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LbpP+2wtwrlKgrBekD/3VAFbisgsiO9RI+kzw3gVE8Qv7hDlxGijsAjpq7rCzm+68ks9TcFS/Pc064USq9BonA==" workbookSaltValue="jPL9TTksR7LjHCqGE5hYwA==" workbookSpinCount="100000" lockStructure="1"/>
  <bookViews>
    <workbookView windowHeight="16660" firstSheet="16" activeTab="16"/>
  </bookViews>
  <sheets>
    <sheet name="属性常数" sheetId="1" state="hidden" r:id="rId1"/>
    <sheet name="装备库" sheetId="2" state="hidden" r:id="rId2"/>
    <sheet name="装备选择" sheetId="5" state="hidden" r:id="rId3"/>
    <sheet name="基础面板属性" sheetId="6" state="hidden" r:id="rId4"/>
    <sheet name="附魔库" sheetId="3" state="hidden" r:id="rId5"/>
    <sheet name="镶嵌库" sheetId="4" state="hidden" r:id="rId6"/>
    <sheet name="额外属性" sheetId="7" state="hidden" r:id="rId7"/>
    <sheet name="技能数据库" sheetId="8" state="hidden" r:id="rId8"/>
    <sheet name="加速" sheetId="13" state="hidden" r:id="rId9"/>
    <sheet name="技能数计算" sheetId="10" state="hidden" r:id="rId10"/>
    <sheet name="伤害与收益计算" sheetId="11" state="hidden" r:id="rId11"/>
    <sheet name="阵眼收益计算" sheetId="15" state="hidden" r:id="rId12"/>
    <sheet name="无穷技能数计算" sheetId="16" state="hidden" r:id="rId13"/>
    <sheet name="无穷伤害与收益计算" sheetId="17" state="hidden" r:id="rId14"/>
    <sheet name="无穷阵眼收益计算" sheetId="20" state="hidden" r:id="rId15"/>
    <sheet name="循环手法" sheetId="19" state="hidden" r:id="rId16"/>
    <sheet name="配装计算器" sheetId="12" r:id="rId17"/>
    <sheet name="更新日志" sheetId="14" r:id="rId18"/>
  </sheets>
  <externalReferences>
    <externalReference r:id="rId20"/>
  </externalReferences>
  <definedNames>
    <definedName name="_xlnm._FilterDatabase" localSheetId="1" hidden="1">装备库!$A$1:$AY$740</definedName>
    <definedName name="_xlnm._FilterDatabase" localSheetId="7" hidden="1">技能数据库!$B$2:$J$77</definedName>
    <definedName name="_xlnm._FilterDatabase" localSheetId="9" hidden="1">技能数计算!$A$1:$CB$696</definedName>
    <definedName name="_666三听">技能数计算!$AS$6</definedName>
    <definedName name="delta攻击">属性常数!$B$27</definedName>
    <definedName name="delta会效">属性常数!$B$31</definedName>
    <definedName name="delta会心">属性常数!$B$30</definedName>
    <definedName name="delta破防">属性常数!$B$32</definedName>
    <definedName name="delta破招">属性常数!$B$33</definedName>
    <definedName name="delta身法">属性常数!$B$29</definedName>
    <definedName name="delta无双">属性常数!$B$34</definedName>
    <definedName name="delta武伤">属性常数!$B$28</definedName>
    <definedName name="Z_8E53DF33_FD66_42DA_A21D_B11FBF5F6988_.wvu.Cols" localSheetId="2" hidden="1">装备选择!$BG:$BG</definedName>
    <definedName name="碧归">技能数据库!$M$40</definedName>
    <definedName name="残雪">技能数据库!$M$41</definedName>
    <definedName name="层云">技能数据库!$M$42</definedName>
    <definedName name="橙武补雾锁">技能数计算!$AN$66</definedName>
    <definedName name="创意食品">额外属性!$C$66:$C$69</definedName>
    <definedName name="创意食品减益">额外属性!$C$63:$C$65</definedName>
    <definedName name="次等蓝色无双">附魔库!$K$12</definedName>
    <definedName name="次等挑战紫色攻击">附魔库!$E$6</definedName>
    <definedName name="次等挑战紫色身法">附魔库!$E$8</definedName>
    <definedName name="次等挑战紫色体质">附魔库!$E$9</definedName>
    <definedName name="次等挑战紫色通用">附魔库!$E$7</definedName>
    <definedName name="次等紫色攻击">附魔库!$I$6</definedName>
    <definedName name="次等紫色气血">附魔库!$I$10</definedName>
    <definedName name="次等紫色身法">附魔库!$I$8</definedName>
    <definedName name="次等紫色体质">附魔库!$I$9</definedName>
    <definedName name="次等紫色通用">附魔库!$I$7</definedName>
    <definedName name="次等紫色武器伤害">附魔库!$I$11</definedName>
    <definedName name="岱宗">技能数据库!$M$43</definedName>
    <definedName name="等级系数130">属性常数!$G$12</definedName>
    <definedName name="等级系数131">属性常数!$G$13</definedName>
    <definedName name="等级系数132">属性常数!$G$14</definedName>
    <definedName name="等级系数133">属性常数!$G$15</definedName>
    <definedName name="等级系数134">属性常数!$G$16</definedName>
    <definedName name="第一属性">镶嵌库!$E$30:$E$39</definedName>
    <definedName name="叠峰意">技能数据库!$M$73</definedName>
    <definedName name="二属性攻击">镶嵌库!$H$30:$H$35</definedName>
    <definedName name="二属性会效">镶嵌库!$K$30:$K$34</definedName>
    <definedName name="二属性会心">镶嵌库!$J$30:$J$32</definedName>
    <definedName name="二属性加速">镶嵌库!$O$30:$O$32</definedName>
    <definedName name="二属性精简">镶嵌库!$N$30</definedName>
    <definedName name="二属性破防">镶嵌库!$I$30:$I$34</definedName>
    <definedName name="二属性破招">镶嵌库!$L$30:$L$33</definedName>
    <definedName name="二属性身法">镶嵌库!$G$30:$G$33</definedName>
    <definedName name="二属性无双">镶嵌库!$M$30:$M$33</definedName>
    <definedName name="二属性武器伤害">镶嵌库!$P$30:$P$34</definedName>
    <definedName name="飞来闻踪">技能数据库!$M$44</definedName>
    <definedName name="非侠士伤害">属性常数!$B$25</definedName>
    <definedName name="风车GCD">加速!$E$15</definedName>
    <definedName name="风来2会">技能数据库!$M$21</definedName>
    <definedName name="风来2伤">技能数据库!$M$19</definedName>
    <definedName name="风来3会">技能数据库!$M$20</definedName>
    <definedName name="风来3伤">技能数据库!$M$18</definedName>
    <definedName name="风来4伤">技能数据库!$M$17</definedName>
    <definedName name="风来秘籍">技能数据库!$M$17:$M$21</definedName>
    <definedName name="攻击系数库">技能数据库!$G$2:$G$500</definedName>
    <definedName name="固定伤害库">技能数据库!$C$2:$C$500</definedName>
    <definedName name="撼岳">技能数据库!$M$45</definedName>
    <definedName name="鹤归_CD1">技能数据库!$M$33</definedName>
    <definedName name="鹤归_CD2">技能数据库!$M$34</definedName>
    <definedName name="鹤归2会">技能数据库!$M$38</definedName>
    <definedName name="鹤归3伤">技能数据库!$M$37</definedName>
    <definedName name="鹤归4伤">技能数据库!$M$36</definedName>
    <definedName name="鹤归5伤">技能数据库!$M$35</definedName>
    <definedName name="鹤归秘籍">技能数据库!$M$33:$M$39</definedName>
    <definedName name="鹤归原地">技能数据库!$M$39</definedName>
    <definedName name="化劲系数">属性常数!$D$5</definedName>
    <definedName name="黄龙2会">技能数据库!$M$32</definedName>
    <definedName name="黄龙3会">技能数据库!$M$31</definedName>
    <definedName name="黄龙3伤">技能数据库!$M$29</definedName>
    <definedName name="黄龙4会">技能数据库!$M$30</definedName>
    <definedName name="黄龙4伤">技能数据库!$M$28</definedName>
    <definedName name="黄龙5伤">技能数据库!$M$27</definedName>
    <definedName name="黄龙秘籍">技能数据库!$M$27:$M$32</definedName>
    <definedName name="会效系数">属性常数!$D$3</definedName>
    <definedName name="会心系数">属性常数!$D$2</definedName>
    <definedName name="急速系数">属性常数!$D$13</definedName>
    <definedName name="技能名称库">技能数据库!$B$2:$B$500</definedName>
    <definedName name="家园菜品">额外属性!$C$52:$C$62</definedName>
    <definedName name="家园酒品">额外属性!$C$70:$C$78</definedName>
    <definedName name="家园香水">额外属性!$C$79:$C$81</definedName>
    <definedName name="剑锋百锻">技能数据库!$M$46</definedName>
    <definedName name="金蛇">技能数据库!$M$68</definedName>
    <definedName name="景行">技能数据库!$M$47</definedName>
    <definedName name="九溪2会">技能数据库!$M$26</definedName>
    <definedName name="九溪3会">技能数据库!$M$25</definedName>
    <definedName name="九溪3伤">技能数据库!$M$24</definedName>
    <definedName name="九溪4伤">技能数据库!$M$23</definedName>
    <definedName name="九溪5伤">技能数据库!$M$22</definedName>
    <definedName name="绝顶">技能数据库!$M$48</definedName>
    <definedName name="蓝色攻击">附魔库!$J$6</definedName>
    <definedName name="蓝色气血">附魔库!$J$10</definedName>
    <definedName name="蓝色身法">附魔库!$J$8</definedName>
    <definedName name="蓝色体质">附魔库!$J$9</definedName>
    <definedName name="蓝色通用">附魔库!$J$7</definedName>
    <definedName name="蓝色无双">附魔库!$J$12</definedName>
    <definedName name="蓝色武器伤害">附魔库!$J$11</definedName>
    <definedName name="力道转基础攻击">属性常数!$B$18</definedName>
    <definedName name="力道转基础破防">属性常数!$B$19</definedName>
    <definedName name="怜光">技能数据库!$M$49</definedName>
    <definedName name="落剑5">技能数计算!$AN$64</definedName>
    <definedName name="命中系数">属性常数!$D$6</definedName>
    <definedName name="磨石">额外属性!$C$46:$C$48</definedName>
    <definedName name="内防全局系数">属性常数!$C$11</definedName>
    <definedName name="内会">额外属性!$BL$3</definedName>
    <definedName name="内会2">额外属性!$BL$4</definedName>
    <definedName name="内会效">额外属性!$BM$3</definedName>
    <definedName name="内会效2">额外属性!$BM$4</definedName>
    <definedName name="内破">额外属性!$BN$3</definedName>
    <definedName name="内置配装器">属性常数!$B$37</definedName>
    <definedName name="平湖秘籍">技能数据库!$M$22:$M$26</definedName>
    <definedName name="破防系数">属性常数!$D$12</definedName>
    <definedName name="破招全局系数">属性常数!$C$15</definedName>
    <definedName name="轻剑第三属性">镶嵌库!$I$47</definedName>
    <definedName name="清风">技能数据库!$M$50</definedName>
    <definedName name="秋">技能数据库!$M$69</definedName>
    <definedName name="秋2">技能数据库!$M$70</definedName>
    <definedName name="全能转破招">属性常数!$B$24</definedName>
    <definedName name="全能转无双">属性常数!$B$23</definedName>
    <definedName name="群侠万变">[1]奇穴秘籍!$E$48</definedName>
    <definedName name="如风">技能数据库!$M$51</definedName>
    <definedName name="山倾_单鹤峰插">技能数据库!$M$52</definedName>
    <definedName name="山倾_双鹤峰插">技能数据库!$M$53</definedName>
    <definedName name="山倾_双鹤无峰">技能数据库!$M$54</definedName>
    <definedName name="山重水复">技能数据库!$M$55</definedName>
    <definedName name="闪避系数">属性常数!$D$7</definedName>
    <definedName name="烧石">技能数据库!$M$56</definedName>
    <definedName name="身法转额外攻击">属性常数!$B$21</definedName>
    <definedName name="身法转额外破防">属性常数!$B$22</definedName>
    <definedName name="身法转基础会心">属性常数!$B$20</definedName>
    <definedName name="食品辅助">额外属性!$C$30:$C$33</definedName>
    <definedName name="食品增强">额外属性!$C$34:$C$45</definedName>
    <definedName name="水煮鱼">额外属性!$C$83:$C$85</definedName>
    <definedName name="淘尽">技能数据库!$M$57</definedName>
    <definedName name="套装效果技能">技能数据库!$M$67</definedName>
    <definedName name="特效护手伤害">附魔库!$O$430</definedName>
    <definedName name="特效裤子会心">附魔库!$O$432</definedName>
    <definedName name="特效裤子破防">附魔库!$O$433</definedName>
    <definedName name="特效裤子无双">附魔库!$O$431</definedName>
    <definedName name="挑战紫色攻击">附魔库!$F$6</definedName>
    <definedName name="挑战紫色身法">附魔库!$F$8</definedName>
    <definedName name="挑战紫色体质">附魔库!$F$9</definedName>
    <definedName name="挑战紫色通用">附魔库!$F$7</definedName>
    <definedName name="听雷2会">技能数据库!$M$16</definedName>
    <definedName name="听雷3会">技能数据库!$M$15</definedName>
    <definedName name="听雷3伤">技能数据库!$M$14</definedName>
    <definedName name="听雷4伤">技能数据库!$M$13</definedName>
    <definedName name="听雷5伤">技能数据库!$M$12</definedName>
    <definedName name="听雷秘籍">技能数据库!$M$12:$M$16</definedName>
    <definedName name="听晓">技能数据库!$M$71</definedName>
    <definedName name="听晓无双率">技能数据库!$O$71</definedName>
    <definedName name="外防全局系数">属性常数!$C$10</definedName>
    <definedName name="万灵当歌">[1]奇穴秘籍!$E$53</definedName>
    <definedName name="无穷最小总时间">加速!$P$8</definedName>
    <definedName name="无双系数">属性常数!$D$9</definedName>
    <definedName name="武伤系数库">技能数据库!$H$2:$H$500</definedName>
    <definedName name="雾锁">技能数据库!$M$58</definedName>
    <definedName name="夕照3会">技能数据库!$M$11</definedName>
    <definedName name="夕照3伤">技能数据库!$M$10</definedName>
    <definedName name="夕照4伤">技能数据库!$M$9</definedName>
    <definedName name="夕照秘籍">技能数据库!$M$9:$M$11</definedName>
    <definedName name="循环比">技能数计算!$AN$26</definedName>
    <definedName name="宴席">额外属性!$C$49:$C$51</definedName>
    <definedName name="药品辅助">额外属性!$C$14:$C$17</definedName>
    <definedName name="药品增强">额外属性!$C$18:$C$29</definedName>
    <definedName name="夜雨">技能数据库!$M$59</definedName>
    <definedName name="易伤">额外属性!$C$89:$C$90</definedName>
    <definedName name="映波">技能数据库!$M$60</definedName>
    <definedName name="御劲减会伤系数">属性常数!$D$14</definedName>
    <definedName name="御劲系数">属性常数!$D$4</definedName>
    <definedName name="云飞2伤">技能数据库!$M$5</definedName>
    <definedName name="云飞3会">技能数据库!$M$6</definedName>
    <definedName name="云飞3伤">技能数据库!$M$4</definedName>
    <definedName name="云飞4伤">技能数据库!$M$3</definedName>
    <definedName name="云飞减读1">技能数据库!$M$7</definedName>
    <definedName name="云飞减读2">技能数据库!$M$8</definedName>
    <definedName name="云飞秘籍">技能数据库!$M$3:$M$8</definedName>
    <definedName name="造化1">技能数据库!$M$62</definedName>
    <definedName name="造化2">技能数据库!$M$61</definedName>
    <definedName name="长时间循环比" localSheetId="12">无穷技能数计算!$AN$26</definedName>
    <definedName name="招架系数">属性常数!$D$8</definedName>
    <definedName name="中等紫色攻击">附魔库!$D$6</definedName>
    <definedName name="中等紫色身法">附魔库!$D$8</definedName>
    <definedName name="中等紫色体质">附魔库!$D$9</definedName>
    <definedName name="中等紫色通用">附魔库!$D$7</definedName>
    <definedName name="重剑第三属性">镶嵌库!$M$47</definedName>
    <definedName name="紫色攻击">附魔库!$H$6</definedName>
    <definedName name="紫色老破防">附魔库!$H$14</definedName>
    <definedName name="紫色老破招">附魔库!$H$13</definedName>
    <definedName name="紫色气血">附魔库!$H$10</definedName>
    <definedName name="紫色身法">附魔库!$H$8</definedName>
    <definedName name="紫色体质">附魔库!$H$9</definedName>
    <definedName name="紫色通用">附魔库!$H$7</definedName>
    <definedName name="紫色武器伤害">附魔库!$H$11</definedName>
    <definedName name="自输入属性">属性常数!$B$36</definedName>
  </definedNames>
  <calcPr calcId="191029"/>
  <customWorkbookViews>
    <customWorkbookView name="打开" guid="{8E53DF33-FD66-42DA-A21D-B11FBF5F6988}" maximized="1" xWindow="-8" yWindow="-8" windowWidth="1936" windowHeight="1056" activeSheetId="12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C105" authorId="0">
      <text>
        <r>
          <rPr>
            <sz val="9"/>
            <rFont val="宋体"/>
            <charset val="134"/>
          </rPr>
          <t>20854</t>
        </r>
      </text>
    </comment>
  </commentList>
</comments>
</file>

<file path=xl/comments2.xml><?xml version="1.0" encoding="utf-8"?>
<comments xmlns="http://schemas.openxmlformats.org/spreadsheetml/2006/main">
  <authors>
    <author>Windows User</author>
    <author>子钰</author>
  </authors>
  <commentList>
    <comment ref="M8" authorId="0">
      <text>
        <r>
          <rPr>
            <b/>
            <sz val="9"/>
            <rFont val="宋体"/>
            <charset val="134"/>
          </rPr>
          <t>此处展示为【外功破防】属性收益</t>
        </r>
      </text>
    </comment>
    <comment ref="Q21" authorId="0">
      <text>
        <r>
          <rPr>
            <b/>
            <sz val="9"/>
            <rFont val="宋体"/>
            <charset val="134"/>
          </rPr>
          <t>每个技能只能选择4本秘籍，超过上限时后台按照默认秘籍计算</t>
        </r>
      </text>
    </comment>
    <comment ref="Q22" authorId="0">
      <text>
        <r>
          <rPr>
            <b/>
            <sz val="9"/>
            <rFont val="宋体"/>
            <charset val="134"/>
          </rPr>
          <t>默认装备1本剑气回复</t>
        </r>
      </text>
    </comment>
    <comment ref="Q24" authorId="0">
      <text>
        <r>
          <rPr>
            <b/>
            <sz val="9"/>
            <rFont val="宋体"/>
            <charset val="134"/>
          </rPr>
          <t>第三重奇穴选择【岱宗】时，【云飞玉皇】默认装备2本降低运功时间秘籍</t>
        </r>
      </text>
    </comment>
    <comment ref="T24" authorId="1">
      <text>
        <r>
          <rPr>
            <b/>
            <sz val="9"/>
            <rFont val="宋体"/>
            <charset val="134"/>
          </rPr>
          <t>默认装备2本额外回复剑气秘籍，建议装备1本驱散秘籍</t>
        </r>
      </text>
    </comment>
    <comment ref="T26" authorId="0">
      <text>
        <r>
          <rPr>
            <b/>
            <sz val="9"/>
            <rFont val="宋体"/>
            <charset val="134"/>
          </rPr>
          <t>默认装备2本降低调息秘籍</t>
        </r>
      </text>
    </comment>
  </commentList>
</comments>
</file>

<file path=xl/sharedStrings.xml><?xml version="1.0" encoding="utf-8"?>
<sst xmlns="http://schemas.openxmlformats.org/spreadsheetml/2006/main" count="32603" uniqueCount="3373">
  <si>
    <t>字段</t>
  </si>
  <si>
    <t>属性</t>
  </si>
  <si>
    <t>全局系数</t>
  </si>
  <si>
    <t>130级系数</t>
  </si>
  <si>
    <t>等级</t>
  </si>
  <si>
    <t>等级常数</t>
  </si>
  <si>
    <t>fCriticalStrikeParam</t>
  </si>
  <si>
    <t>会心</t>
  </si>
  <si>
    <t>fCriticalStrikePowerParam</t>
  </si>
  <si>
    <t>会效</t>
  </si>
  <si>
    <t>fDefCriticalStrikeParam</t>
  </si>
  <si>
    <t>御劲</t>
  </si>
  <si>
    <t>fDecriticalStrikePowerParam</t>
  </si>
  <si>
    <t>化劲</t>
  </si>
  <si>
    <t>fHitValueParam</t>
  </si>
  <si>
    <t>命中</t>
  </si>
  <si>
    <t>fDodgeParam</t>
  </si>
  <si>
    <t>闪避</t>
  </si>
  <si>
    <t>fParryParam</t>
  </si>
  <si>
    <t>招架</t>
  </si>
  <si>
    <t>fInsightParam</t>
  </si>
  <si>
    <t>无双</t>
  </si>
  <si>
    <t>fPhysicsShieldParam</t>
  </si>
  <si>
    <t>外防</t>
  </si>
  <si>
    <t xml:space="preserve"> </t>
  </si>
  <si>
    <t>fMagicShieldParam</t>
  </si>
  <si>
    <t>内防</t>
  </si>
  <si>
    <t>fOvercomeParam</t>
  </si>
  <si>
    <t>破防</t>
  </si>
  <si>
    <t>fHasteRate</t>
  </si>
  <si>
    <t>急速</t>
  </si>
  <si>
    <t>fToughnessDecirDamageCof</t>
  </si>
  <si>
    <t>御劲减会伤</t>
  </si>
  <si>
    <t>fSurplusParam</t>
  </si>
  <si>
    <t>破招</t>
  </si>
  <si>
    <t>力道转基础攻击</t>
  </si>
  <si>
    <t>力道转基础破防</t>
  </si>
  <si>
    <t>身法转基础会心</t>
  </si>
  <si>
    <t>身法转额外攻击</t>
  </si>
  <si>
    <t>身法转额外破防</t>
  </si>
  <si>
    <t>全能转无双</t>
  </si>
  <si>
    <t>全能转破招</t>
  </si>
  <si>
    <t>非侠士伤害</t>
  </si>
  <si>
    <t>delta是否启用</t>
  </si>
  <si>
    <t>陆级五彩石1</t>
  </si>
  <si>
    <t>附魔</t>
  </si>
  <si>
    <t>8级五行石</t>
  </si>
  <si>
    <t>同分</t>
  </si>
  <si>
    <t>delta攻击</t>
  </si>
  <si>
    <t>delta武伤</t>
  </si>
  <si>
    <t>delta身法</t>
  </si>
  <si>
    <t>delta会心</t>
  </si>
  <si>
    <t>delta会效</t>
  </si>
  <si>
    <t>delta破防</t>
  </si>
  <si>
    <t>delta破招</t>
  </si>
  <si>
    <t>delta无双</t>
  </si>
  <si>
    <t>自输入属性</t>
  </si>
  <si>
    <t>内置配装器</t>
  </si>
  <si>
    <t>部位</t>
  </si>
  <si>
    <t>装备ID</t>
  </si>
  <si>
    <t>装备名称</t>
  </si>
  <si>
    <t>装备等级</t>
  </si>
  <si>
    <t>显示名称</t>
  </si>
  <si>
    <t>体质</t>
  </si>
  <si>
    <t>身法</t>
  </si>
  <si>
    <t>力道</t>
  </si>
  <si>
    <t>攻击</t>
  </si>
  <si>
    <t>加速</t>
  </si>
  <si>
    <t>全能</t>
  </si>
  <si>
    <t>武器伤害</t>
  </si>
  <si>
    <t>武器伤害2</t>
  </si>
  <si>
    <t>简称</t>
  </si>
  <si>
    <t>最大可精炼等级</t>
  </si>
  <si>
    <t>装备来源</t>
  </si>
  <si>
    <t>孔1</t>
  </si>
  <si>
    <t>孔2</t>
  </si>
  <si>
    <t>孔3</t>
  </si>
  <si>
    <t>PVE装备</t>
  </si>
  <si>
    <t>品级</t>
  </si>
  <si>
    <t>精简</t>
  </si>
  <si>
    <t>筛选结果</t>
  </si>
  <si>
    <t>累计装备数</t>
  </si>
  <si>
    <t>暗器</t>
  </si>
  <si>
    <t>6_43603</t>
  </si>
  <si>
    <t>智渊囊</t>
  </si>
  <si>
    <t>智渊囊(30200破全)</t>
  </si>
  <si>
    <t>破全</t>
  </si>
  <si>
    <t>副本</t>
  </si>
  <si>
    <t>身法孔</t>
  </si>
  <si>
    <t/>
  </si>
  <si>
    <t>6_43641</t>
  </si>
  <si>
    <t>镂云囊</t>
  </si>
  <si>
    <t>镂云囊(30200会全)</t>
  </si>
  <si>
    <t>会全</t>
  </si>
  <si>
    <t>会心孔</t>
  </si>
  <si>
    <t>6_45633</t>
  </si>
  <si>
    <t>臻泽囊</t>
  </si>
  <si>
    <t>臻泽囊(30200会全)</t>
  </si>
  <si>
    <t>活动</t>
  </si>
  <si>
    <t>6_43372</t>
  </si>
  <si>
    <t>孤城惊梦·迷烟囊</t>
  </si>
  <si>
    <t>孤城惊梦·迷烟囊(30200会无)</t>
  </si>
  <si>
    <t>会无</t>
  </si>
  <si>
    <t>飞沙令</t>
  </si>
  <si>
    <t>6_40579</t>
  </si>
  <si>
    <t>羽缀囊</t>
  </si>
  <si>
    <t>羽缀囊(30200招无)</t>
  </si>
  <si>
    <t>招无</t>
  </si>
  <si>
    <t>无双孔</t>
  </si>
  <si>
    <t>6_41292</t>
  </si>
  <si>
    <t>焚膏继晷</t>
  </si>
  <si>
    <t>焚膏继晷(30200招无)</t>
  </si>
  <si>
    <t>6_40933</t>
  </si>
  <si>
    <t>润源囊</t>
  </si>
  <si>
    <t>润源囊(30200速无)</t>
  </si>
  <si>
    <t>速无</t>
  </si>
  <si>
    <t>6_41180</t>
  </si>
  <si>
    <t>问殿囊</t>
  </si>
  <si>
    <t>问殿囊(30200速无)</t>
  </si>
  <si>
    <t>6_40918</t>
  </si>
  <si>
    <t>平皋囊</t>
  </si>
  <si>
    <t>平皋囊(30200破无)</t>
  </si>
  <si>
    <t>破无</t>
  </si>
  <si>
    <t>攻击孔</t>
  </si>
  <si>
    <t>6_41220</t>
  </si>
  <si>
    <t>标雁囊</t>
  </si>
  <si>
    <t>标雁囊(30200会无)</t>
  </si>
  <si>
    <t>6_41354</t>
  </si>
  <si>
    <t>坠红囊</t>
  </si>
  <si>
    <t>坠红囊(30200会无)</t>
  </si>
  <si>
    <t>世界BOSS</t>
  </si>
  <si>
    <t>6_41348</t>
  </si>
  <si>
    <t>无修囊·外·玄</t>
  </si>
  <si>
    <t>无修囊·外·玄(30200特效精简无)</t>
  </si>
  <si>
    <t>特效精简无</t>
  </si>
  <si>
    <t>破防孔</t>
  </si>
  <si>
    <t>6_41349</t>
  </si>
  <si>
    <t>无修囊·外·玄(30200特效精简会招无)</t>
  </si>
  <si>
    <t>特效精简会招无</t>
  </si>
  <si>
    <t>6_41350</t>
  </si>
  <si>
    <t>无修囊·外·玄(30200特效精简会会无)</t>
  </si>
  <si>
    <t>特效精简会会无</t>
  </si>
  <si>
    <t>6_42063</t>
  </si>
  <si>
    <t>陶然意·谧秋囊</t>
  </si>
  <si>
    <t>陶然意·谧秋囊(30700破全)</t>
  </si>
  <si>
    <t>PVX</t>
  </si>
  <si>
    <t>6_43768</t>
  </si>
  <si>
    <t>娄锋囊</t>
  </si>
  <si>
    <t>娄锋囊(32500招无)</t>
  </si>
  <si>
    <t>侠义值</t>
  </si>
  <si>
    <t>6_42795</t>
  </si>
  <si>
    <t>无修囊·外·地</t>
  </si>
  <si>
    <t>无修囊·外·地(32500特效精简破无)</t>
  </si>
  <si>
    <t>特效精简破无</t>
  </si>
  <si>
    <t>破招孔</t>
  </si>
  <si>
    <t>6_42797</t>
  </si>
  <si>
    <t>无修囊·外·地(32500特效精简会会招)</t>
  </si>
  <si>
    <t>特效精简会会招</t>
  </si>
  <si>
    <t>6_42796</t>
  </si>
  <si>
    <t>无修囊·外·地(32500特效精简会会无)</t>
  </si>
  <si>
    <t>6_44325</t>
  </si>
  <si>
    <t>千机劫·迷城</t>
  </si>
  <si>
    <t>千机劫·迷城(34100破无)</t>
  </si>
  <si>
    <t>预热活动</t>
  </si>
  <si>
    <t>6_45107</t>
  </si>
  <si>
    <t>幽墟荡秽·迅鸿囊</t>
  </si>
  <si>
    <t>幽墟荡秽·迅鸿囊(35300会无)</t>
  </si>
  <si>
    <t>6_42744</t>
  </si>
  <si>
    <t>烟岚云岫</t>
  </si>
  <si>
    <t>烟岚云岫(35300招无)</t>
  </si>
  <si>
    <t>6_42629</t>
  </si>
  <si>
    <t>天风囊</t>
  </si>
  <si>
    <t>天风囊(35300速无)</t>
  </si>
  <si>
    <t>6_42670</t>
  </si>
  <si>
    <t>晚风囊</t>
  </si>
  <si>
    <t>晚风囊(35300会无)</t>
  </si>
  <si>
    <t>6_42807</t>
  </si>
  <si>
    <t>蒙鸠囊</t>
  </si>
  <si>
    <t>蒙鸠囊(35300会无)</t>
  </si>
  <si>
    <t>6_42802</t>
  </si>
  <si>
    <t>无修囊·外·地(35300特效精简招破无)</t>
  </si>
  <si>
    <t>特效精简招破无</t>
  </si>
  <si>
    <t>6_42801</t>
  </si>
  <si>
    <t>无修囊·外·地(35300特效精简会无)</t>
  </si>
  <si>
    <t>特效精简会无</t>
  </si>
  <si>
    <t>会效孔</t>
  </si>
  <si>
    <t>6_42803</t>
  </si>
  <si>
    <t>无修囊·外·地(35300特效精简会破无)</t>
  </si>
  <si>
    <t>特效精简会破无</t>
  </si>
  <si>
    <t>6_43489</t>
  </si>
  <si>
    <t>陶然意·折柳囊</t>
  </si>
  <si>
    <t>陶然意·折柳囊(36200破全)</t>
  </si>
  <si>
    <t>6_45480</t>
  </si>
  <si>
    <t>胃霆囊</t>
  </si>
  <si>
    <t>胃霆囊(38100招无)</t>
  </si>
  <si>
    <t>6_44530</t>
  </si>
  <si>
    <t>无修囊·外·天</t>
  </si>
  <si>
    <t>无修囊·外·天(38100特效精简招无)</t>
  </si>
  <si>
    <t>特效精简招无</t>
  </si>
  <si>
    <t>6_44531</t>
  </si>
  <si>
    <t>无修囊·外·天(38100特效精简破无)</t>
  </si>
  <si>
    <t>6_44532</t>
  </si>
  <si>
    <t>无修囊·外·天(38100特效精简会无)</t>
  </si>
  <si>
    <t>6_44479</t>
  </si>
  <si>
    <t>浮云渡</t>
  </si>
  <si>
    <t>浮云渡(41400招无)</t>
  </si>
  <si>
    <t>6_44364</t>
  </si>
  <si>
    <t>尘隐囊</t>
  </si>
  <si>
    <t>尘隐囊(41400速无)</t>
  </si>
  <si>
    <t>6_44405</t>
  </si>
  <si>
    <t>流漓囊</t>
  </si>
  <si>
    <t>流漓囊(41400会无)</t>
  </si>
  <si>
    <t>6_44542</t>
  </si>
  <si>
    <t>曜影囊</t>
  </si>
  <si>
    <t>曜影囊(41400会无)</t>
  </si>
  <si>
    <t>6_44536</t>
  </si>
  <si>
    <t>无修囊·外·天(41400特效精简破无)</t>
  </si>
  <si>
    <t>6_44537</t>
  </si>
  <si>
    <t>无修囊·外·天(41400特效精简会会招)</t>
  </si>
  <si>
    <t>6_44538</t>
  </si>
  <si>
    <t>无修囊·外·天(41400特效精简会会无)</t>
  </si>
  <si>
    <t>6_45223</t>
  </si>
  <si>
    <t>陶然意·烟峦囊</t>
  </si>
  <si>
    <t>陶然意·烟峦囊(42400破全)</t>
  </si>
  <si>
    <t>护手</t>
  </si>
  <si>
    <t>7_108485</t>
  </si>
  <si>
    <t>智渊袖</t>
  </si>
  <si>
    <t>智渊袖(30200速全)</t>
  </si>
  <si>
    <t>速全</t>
  </si>
  <si>
    <t>最大气血值</t>
  </si>
  <si>
    <t>7_108521</t>
  </si>
  <si>
    <t>镂云袖</t>
  </si>
  <si>
    <t>镂云袖(30200会全)</t>
  </si>
  <si>
    <t>全能孔</t>
  </si>
  <si>
    <t>7_110982</t>
  </si>
  <si>
    <t>臻泽袖</t>
  </si>
  <si>
    <t>臻泽袖(30200会全)</t>
  </si>
  <si>
    <t>7_104665</t>
  </si>
  <si>
    <t>【门派套装】天极·听荷护手</t>
  </si>
  <si>
    <t>【门派套装】天极·听荷护手(30200招无)</t>
  </si>
  <si>
    <t>兑换牌</t>
  </si>
  <si>
    <t>7_108221</t>
  </si>
  <si>
    <t>孤城惊梦·迷烟护腕</t>
  </si>
  <si>
    <t>孤城惊梦·迷烟护腕(30200招无)</t>
  </si>
  <si>
    <t>7_104503</t>
  </si>
  <si>
    <t>润源袖</t>
  </si>
  <si>
    <t>润源袖(30200招无)</t>
  </si>
  <si>
    <t>7_104457</t>
  </si>
  <si>
    <t>羽缀护手</t>
  </si>
  <si>
    <t>羽缀护手(30200速无)</t>
  </si>
  <si>
    <t>7_104809</t>
  </si>
  <si>
    <t>问殿护手</t>
  </si>
  <si>
    <t>问殿护手(30200速无)</t>
  </si>
  <si>
    <t>7_104114</t>
  </si>
  <si>
    <t>平皋袖</t>
  </si>
  <si>
    <t>平皋袖(30200破无)</t>
  </si>
  <si>
    <t>7_104845</t>
  </si>
  <si>
    <t>标雁护手</t>
  </si>
  <si>
    <t>标雁护手(30200破无)</t>
  </si>
  <si>
    <t>7_105007</t>
  </si>
  <si>
    <t>客行江湖·日斜袖</t>
  </si>
  <si>
    <t>客行江湖·日斜袖(30200会无)</t>
  </si>
  <si>
    <t>浪客笺</t>
  </si>
  <si>
    <t>7_105073</t>
  </si>
  <si>
    <t>坠红袖</t>
  </si>
  <si>
    <t>坠红袖(30200会无)</t>
  </si>
  <si>
    <t>7_106642</t>
  </si>
  <si>
    <t>寻踪觅宝·逸群护手</t>
  </si>
  <si>
    <t>寻踪觅宝·逸群护手(30200招无)</t>
  </si>
  <si>
    <t>挖宝</t>
  </si>
  <si>
    <t>7_104938</t>
  </si>
  <si>
    <t>夜森谒</t>
  </si>
  <si>
    <t>夜森谒(30200特效精简招无)</t>
  </si>
  <si>
    <t>7_104939</t>
  </si>
  <si>
    <t>归沉寂</t>
  </si>
  <si>
    <t>归沉寂(30200特效精简招)</t>
  </si>
  <si>
    <t>特效精简招</t>
  </si>
  <si>
    <t>7_104937</t>
  </si>
  <si>
    <t>摧千木</t>
  </si>
  <si>
    <t>摧千木(30200特效精简破无)</t>
  </si>
  <si>
    <t>7_104936</t>
  </si>
  <si>
    <t>立嵯峨</t>
  </si>
  <si>
    <t>立嵯峨(30200特效精简会无)</t>
  </si>
  <si>
    <t>7_104934</t>
  </si>
  <si>
    <t>雾海谜</t>
  </si>
  <si>
    <t>雾海谜(30200特效精简会会招)</t>
  </si>
  <si>
    <t>7_104935</t>
  </si>
  <si>
    <t>向天歌</t>
  </si>
  <si>
    <t>向天歌(30200特效精简会会无)</t>
  </si>
  <si>
    <t>7_104929</t>
  </si>
  <si>
    <t>山华护腕·引</t>
  </si>
  <si>
    <t>山华护腕·引(30200精简招无)</t>
  </si>
  <si>
    <t>精简招无</t>
  </si>
  <si>
    <t>7_104932</t>
  </si>
  <si>
    <t>岳鸿护腕·绝</t>
  </si>
  <si>
    <t>岳鸿护腕·绝(30200精简招破无)</t>
  </si>
  <si>
    <t>精简招破无</t>
  </si>
  <si>
    <t>7_104926</t>
  </si>
  <si>
    <t>风追护腕·尊</t>
  </si>
  <si>
    <t>风追护腕·尊(30200精简无)</t>
  </si>
  <si>
    <t>精简无</t>
  </si>
  <si>
    <t>7_104933</t>
  </si>
  <si>
    <t>苍絮护腕·迅</t>
  </si>
  <si>
    <t>苍絮护腕·迅(30200精简速无)</t>
  </si>
  <si>
    <t>精简速无</t>
  </si>
  <si>
    <t>7_104928</t>
  </si>
  <si>
    <t>水逝护腕·破</t>
  </si>
  <si>
    <t>水逝护腕·破(30200精简破无)</t>
  </si>
  <si>
    <t>精简破无</t>
  </si>
  <si>
    <t>7_104931</t>
  </si>
  <si>
    <t>怒影护腕·明</t>
  </si>
  <si>
    <t>怒影护腕·明(30200精简会招无)</t>
  </si>
  <si>
    <t>精简会招无</t>
  </si>
  <si>
    <t>7_104927</t>
  </si>
  <si>
    <t>云幻护腕·悟</t>
  </si>
  <si>
    <t>云幻护腕·悟(30200精简会无)</t>
  </si>
  <si>
    <t>精简会无</t>
  </si>
  <si>
    <t>7_104930</t>
  </si>
  <si>
    <t>川涌护腕·觉</t>
  </si>
  <si>
    <t>川涌护腕·觉(30200精简会破无)</t>
  </si>
  <si>
    <t>精简会破无</t>
  </si>
  <si>
    <t>7_106393</t>
  </si>
  <si>
    <t>陶然意·谧秋袖</t>
  </si>
  <si>
    <t>陶然意·谧秋袖(30700破全)</t>
  </si>
  <si>
    <t>7_104971</t>
  </si>
  <si>
    <t>月霭袖</t>
  </si>
  <si>
    <t>月霭袖(30700破无)</t>
  </si>
  <si>
    <t>生活技能</t>
  </si>
  <si>
    <t>7_106683</t>
  </si>
  <si>
    <t>【门派套装】牧川·拂梅护手</t>
  </si>
  <si>
    <t>【门派套装】牧川·拂梅护手(35300招无)</t>
  </si>
  <si>
    <t>7_110682</t>
  </si>
  <si>
    <t>幽墟荡秽·迅鸿护手</t>
  </si>
  <si>
    <t>幽墟荡秽·迅鸿护手(35300招无)</t>
  </si>
  <si>
    <t>7_106832</t>
  </si>
  <si>
    <t>天风护手</t>
  </si>
  <si>
    <t>天风护手(35300速无)</t>
  </si>
  <si>
    <t>7_106868</t>
  </si>
  <si>
    <t>晚风护手</t>
  </si>
  <si>
    <t>晚风护手(35300破无)</t>
  </si>
  <si>
    <t>7_107051</t>
  </si>
  <si>
    <t>客行江湖·离帆护腕</t>
  </si>
  <si>
    <t>客行江湖·离帆护腕(35300会无)</t>
  </si>
  <si>
    <t>7_107117</t>
  </si>
  <si>
    <t>蒙鸠护腕</t>
  </si>
  <si>
    <t>蒙鸠护腕(35300会无)</t>
  </si>
  <si>
    <t>7_109103</t>
  </si>
  <si>
    <t>寻踪觅宝·凌英护手</t>
  </si>
  <si>
    <t>寻踪觅宝·凌英护手(35300招无)</t>
  </si>
  <si>
    <t>7_106961</t>
  </si>
  <si>
    <t>潇潇秋江</t>
  </si>
  <si>
    <t>潇潇秋江(35300特效精简招无)</t>
  </si>
  <si>
    <t>7_106962</t>
  </si>
  <si>
    <t>水色天容</t>
  </si>
  <si>
    <t>水色天容(35300特效精简招)</t>
  </si>
  <si>
    <t>7_108668</t>
  </si>
  <si>
    <t>三更静月</t>
  </si>
  <si>
    <t>三更静月(35300特效精简速无)</t>
  </si>
  <si>
    <t>特效精简速无</t>
  </si>
  <si>
    <t>7_106960</t>
  </si>
  <si>
    <t>玉人金缕</t>
  </si>
  <si>
    <t>玉人金缕(35300特效精简破无)</t>
  </si>
  <si>
    <t>7_106959</t>
  </si>
  <si>
    <t>浸月轮</t>
  </si>
  <si>
    <t>浸月轮(35300特效精简会无)</t>
  </si>
  <si>
    <t>7_106957</t>
  </si>
  <si>
    <t>青山夕照</t>
  </si>
  <si>
    <t>青山夕照(35300特效精简会会招)</t>
  </si>
  <si>
    <t>7_106958</t>
  </si>
  <si>
    <t>万里云山</t>
  </si>
  <si>
    <t>万里云山(35300特效精简会会无)</t>
  </si>
  <si>
    <t>7_106952</t>
  </si>
  <si>
    <t>角弓护腕·引</t>
  </si>
  <si>
    <t>角弓护腕·引(35300精简招无)</t>
  </si>
  <si>
    <t>7_106955</t>
  </si>
  <si>
    <t>萧关护腕·绝</t>
  </si>
  <si>
    <t>萧关护腕·绝(35300精简招破无)</t>
  </si>
  <si>
    <t>7_106949</t>
  </si>
  <si>
    <t>江皋护腕·尊</t>
  </si>
  <si>
    <t>江皋护腕·尊(35300精简无)</t>
  </si>
  <si>
    <t>7_106956</t>
  </si>
  <si>
    <t>舂黍护腕·迅</t>
  </si>
  <si>
    <t>舂黍护腕·迅(35300精简速无)</t>
  </si>
  <si>
    <t>7_106951</t>
  </si>
  <si>
    <t>云汉护腕·破</t>
  </si>
  <si>
    <t>云汉护腕·破(35300精简破无)</t>
  </si>
  <si>
    <t>7_106954</t>
  </si>
  <si>
    <t>晴川护腕·明</t>
  </si>
  <si>
    <t>晴川护腕·明(35300精简会招无)</t>
  </si>
  <si>
    <t>7_106950</t>
  </si>
  <si>
    <t>列缺护腕·悟</t>
  </si>
  <si>
    <t>列缺护腕·悟(35300精简会无)</t>
  </si>
  <si>
    <t>7_106953</t>
  </si>
  <si>
    <t>沉舟护腕·觉</t>
  </si>
  <si>
    <t>沉舟护腕·觉(35300精简会破无)</t>
  </si>
  <si>
    <t>7_107015</t>
  </si>
  <si>
    <t>江舟护腕</t>
  </si>
  <si>
    <t>江舟护腕(35900破无)</t>
  </si>
  <si>
    <t>7_108326</t>
  </si>
  <si>
    <t>陶然意·折柳护腕</t>
  </si>
  <si>
    <t>陶然意·折柳护腕(36200破全)</t>
  </si>
  <si>
    <t>7_109144</t>
  </si>
  <si>
    <t>【门派套装】玄阙·燃炼护腕</t>
  </si>
  <si>
    <t>【门派套装】玄阙·燃炼护腕(41400招无)</t>
  </si>
  <si>
    <t>7_109293</t>
  </si>
  <si>
    <t>尘隐袖</t>
  </si>
  <si>
    <t>尘隐袖(41400速无)</t>
  </si>
  <si>
    <t>7_109329</t>
  </si>
  <si>
    <t>流漓袖</t>
  </si>
  <si>
    <t>流漓袖(41400破无)</t>
  </si>
  <si>
    <t>7_109512</t>
  </si>
  <si>
    <t>客行江湖·霁影护手</t>
  </si>
  <si>
    <t>客行江湖·霁影护手(41400会无)</t>
  </si>
  <si>
    <t>7_109578</t>
  </si>
  <si>
    <t>曜影护手</t>
  </si>
  <si>
    <t>曜影护手(41400会无)</t>
  </si>
  <si>
    <t>7_109422</t>
  </si>
  <si>
    <t>残月如钩</t>
  </si>
  <si>
    <t>残月如钩(41400特效精简招无)</t>
  </si>
  <si>
    <t>7_109423</t>
  </si>
  <si>
    <t>千里无鸦</t>
  </si>
  <si>
    <t>千里无鸦(41400特效精简招)</t>
  </si>
  <si>
    <t>7_110946</t>
  </si>
  <si>
    <t>枯叶知秋</t>
  </si>
  <si>
    <t>枯叶知秋(41400特效精简速无)</t>
  </si>
  <si>
    <t>7_109421</t>
  </si>
  <si>
    <t>断魂无迹</t>
  </si>
  <si>
    <t>断魂无迹(41400特效精简破无)</t>
  </si>
  <si>
    <t>7_109420</t>
  </si>
  <si>
    <t>蛇行影没</t>
  </si>
  <si>
    <t>蛇行影没(41400特效精简会无)</t>
  </si>
  <si>
    <t>7_109418</t>
  </si>
  <si>
    <t>孤灯灭处</t>
  </si>
  <si>
    <t>孤灯灭处(41400特效精简会会招)</t>
  </si>
  <si>
    <t>7_109419</t>
  </si>
  <si>
    <t>白骨成霜</t>
  </si>
  <si>
    <t>白骨成霜(41400特效精简会会无)</t>
  </si>
  <si>
    <t>7_109413</t>
  </si>
  <si>
    <t>野渡护腕·引</t>
  </si>
  <si>
    <t>野渡护腕·引(41400精简招无)</t>
  </si>
  <si>
    <t>7_109416</t>
  </si>
  <si>
    <t>斜空护腕·绝</t>
  </si>
  <si>
    <t>斜空护腕·绝(41400精简招破无)</t>
  </si>
  <si>
    <t>7_109410</t>
  </si>
  <si>
    <t>寒戾护腕·尊</t>
  </si>
  <si>
    <t>寒戾护腕·尊(41400精简无)</t>
  </si>
  <si>
    <t>7_109417</t>
  </si>
  <si>
    <t>吹霞护腕·迅</t>
  </si>
  <si>
    <t>吹霞护腕·迅(41400精简速无)</t>
  </si>
  <si>
    <t>7_109412</t>
  </si>
  <si>
    <t>苍刃护腕·破</t>
  </si>
  <si>
    <t>苍刃护腕·破(41400精简破无)</t>
  </si>
  <si>
    <t>7_109415</t>
  </si>
  <si>
    <t>肃寒护腕·明</t>
  </si>
  <si>
    <t>肃寒护腕·明(41400精简会招无)</t>
  </si>
  <si>
    <t>7_109411</t>
  </si>
  <si>
    <t>孤煞护腕·悟</t>
  </si>
  <si>
    <t>孤煞护腕·悟(41400精简会无)</t>
  </si>
  <si>
    <t>7_109414</t>
  </si>
  <si>
    <t>荒泽护腕·觉</t>
  </si>
  <si>
    <t>荒泽护腕·觉(41400精简会破无)</t>
  </si>
  <si>
    <t>7_109476</t>
  </si>
  <si>
    <t>尧影护腕</t>
  </si>
  <si>
    <t>尧影护腕(42100破无)</t>
  </si>
  <si>
    <t>7_110787</t>
  </si>
  <si>
    <t>陶然意·烟峦护手</t>
  </si>
  <si>
    <t>陶然意·烟峦护手(42400破全)</t>
  </si>
  <si>
    <t>戒指</t>
  </si>
  <si>
    <t>8_45509</t>
  </si>
  <si>
    <t>镂云戒</t>
  </si>
  <si>
    <t>镂云戒(30200速全)</t>
  </si>
  <si>
    <t>8_45491</t>
  </si>
  <si>
    <t>智渊戒</t>
  </si>
  <si>
    <t>智渊戒(30200破全)</t>
  </si>
  <si>
    <t>8_49355</t>
  </si>
  <si>
    <t>臻泽戒</t>
  </si>
  <si>
    <t>臻泽戒(30200会全)</t>
  </si>
  <si>
    <t>8_42860</t>
  </si>
  <si>
    <t>羽缀戒</t>
  </si>
  <si>
    <t>羽缀戒(30200招无)</t>
  </si>
  <si>
    <t>8_42954</t>
  </si>
  <si>
    <t>问殿指环</t>
  </si>
  <si>
    <t>问殿指环(30200招无)</t>
  </si>
  <si>
    <t>8_42984</t>
  </si>
  <si>
    <t>衔月戒</t>
  </si>
  <si>
    <t>衔月戒(30200速无)</t>
  </si>
  <si>
    <t>8_42879</t>
  </si>
  <si>
    <t>润源戒</t>
  </si>
  <si>
    <t>润源戒(30200会无)</t>
  </si>
  <si>
    <t>8_42972</t>
  </si>
  <si>
    <t>标雁戒</t>
  </si>
  <si>
    <t>标雁戒(30200会无)</t>
  </si>
  <si>
    <t>8_43072</t>
  </si>
  <si>
    <t>客行江湖·日斜指环</t>
  </si>
  <si>
    <t>客行江湖·日斜指环(30200破无)</t>
  </si>
  <si>
    <t>8_43020</t>
  </si>
  <si>
    <t>溪畔行</t>
  </si>
  <si>
    <t>溪畔行(30200特效精简招无)</t>
  </si>
  <si>
    <t>8_43019</t>
  </si>
  <si>
    <t>芳洲曲</t>
  </si>
  <si>
    <t>芳洲曲(30200特效精简破无)</t>
  </si>
  <si>
    <t>8_43017</t>
  </si>
  <si>
    <t>万壑歌</t>
  </si>
  <si>
    <t>万壑歌(30200特效精简会招破无)</t>
  </si>
  <si>
    <t>特效精简会招破无</t>
  </si>
  <si>
    <t>8_43018</t>
  </si>
  <si>
    <t>忘蹉跎</t>
  </si>
  <si>
    <t>忘蹉跎(30200特效精简会无)</t>
  </si>
  <si>
    <t>8_43015</t>
  </si>
  <si>
    <t>川泽极</t>
  </si>
  <si>
    <t>川泽极(30200特效精简会会招)</t>
  </si>
  <si>
    <t>8_43016</t>
  </si>
  <si>
    <t>千帆竞</t>
  </si>
  <si>
    <t>千帆竞(30200特效精简会会无)</t>
  </si>
  <si>
    <t>8_43010</t>
  </si>
  <si>
    <t>石径戒·引</t>
  </si>
  <si>
    <t>石径戒·引(30200精简招无)</t>
  </si>
  <si>
    <t>8_43013</t>
  </si>
  <si>
    <t>秦楼戒·绝</t>
  </si>
  <si>
    <t>秦楼戒·绝(30200精简招破无)</t>
  </si>
  <si>
    <t>8_43007</t>
  </si>
  <si>
    <t>雁行戒·尊</t>
  </si>
  <si>
    <t>雁行戒·尊(30200精简无)</t>
  </si>
  <si>
    <t>8_43014</t>
  </si>
  <si>
    <t>蝉鸣戒·迅</t>
  </si>
  <si>
    <t>蝉鸣戒·迅(30200精简速)</t>
  </si>
  <si>
    <t>精简速</t>
  </si>
  <si>
    <t>8_43009</t>
  </si>
  <si>
    <t>孤蓬戒·破</t>
  </si>
  <si>
    <t>孤蓬戒·破(30200精简破无)</t>
  </si>
  <si>
    <t>8_43012</t>
  </si>
  <si>
    <t>空翠戒·明</t>
  </si>
  <si>
    <t>空翠戒·明(30200精简会招无)</t>
  </si>
  <si>
    <t>8_43008</t>
  </si>
  <si>
    <t>湘流戒·悟</t>
  </si>
  <si>
    <t>湘流戒·悟(30200精简会无)</t>
  </si>
  <si>
    <t>8_43011</t>
  </si>
  <si>
    <t>醉客戒·觉</t>
  </si>
  <si>
    <t>醉客戒·觉(30200精简会破无)</t>
  </si>
  <si>
    <t>8_43932</t>
  </si>
  <si>
    <t>陶然意·谧秋戒</t>
  </si>
  <si>
    <t>陶然意·谧秋戒(30700破全)</t>
  </si>
  <si>
    <t>8_45574</t>
  </si>
  <si>
    <t>娄锋指环</t>
  </si>
  <si>
    <t>娄锋指环(32500破无)</t>
  </si>
  <si>
    <t>8_47862</t>
  </si>
  <si>
    <t>暮雨玉</t>
  </si>
  <si>
    <t>暮雨玉(34100会无)</t>
  </si>
  <si>
    <t>8_44302</t>
  </si>
  <si>
    <t>天风指环</t>
  </si>
  <si>
    <t>天风指环(35300招无)</t>
  </si>
  <si>
    <t>8_44332</t>
  </si>
  <si>
    <t>临坻指环</t>
  </si>
  <si>
    <t>临坻指环(35300速无)</t>
  </si>
  <si>
    <t>8_44320</t>
  </si>
  <si>
    <t>晚风指环</t>
  </si>
  <si>
    <t>晚风指环(35300会无)</t>
  </si>
  <si>
    <t>8_44427</t>
  </si>
  <si>
    <t>客行江湖·离帆指环</t>
  </si>
  <si>
    <t>客行江湖·离帆指环(35300破无)</t>
  </si>
  <si>
    <t>8_44368</t>
  </si>
  <si>
    <t>天开月影</t>
  </si>
  <si>
    <t>天开月影(35300特效精简招无)</t>
  </si>
  <si>
    <t>8_45578</t>
  </si>
  <si>
    <t>千嶂飞云</t>
  </si>
  <si>
    <t>千嶂飞云(35300特效精简速)</t>
  </si>
  <si>
    <t>特效精简速</t>
  </si>
  <si>
    <t>8_44367</t>
  </si>
  <si>
    <t>岁寒时</t>
  </si>
  <si>
    <t>岁寒时(35300特效精简破无)</t>
  </si>
  <si>
    <t>8_44365</t>
  </si>
  <si>
    <t>淡云微月</t>
  </si>
  <si>
    <t>淡云微月(35300特效精简会招破无)</t>
  </si>
  <si>
    <t>8_44366</t>
  </si>
  <si>
    <t>一渔蓑</t>
  </si>
  <si>
    <t>一渔蓑(35300特效精简会无)</t>
  </si>
  <si>
    <t>8_44363</t>
  </si>
  <si>
    <t>第一尊</t>
  </si>
  <si>
    <t>第一尊(35300特效精简会会招)</t>
  </si>
  <si>
    <t>8_44364</t>
  </si>
  <si>
    <t>水接天门</t>
  </si>
  <si>
    <t>水接天门(35300特效精简会会无)</t>
  </si>
  <si>
    <t>8_44358</t>
  </si>
  <si>
    <t>云涛戒·引</t>
  </si>
  <si>
    <t>云涛戒·引(35300精简招无)</t>
  </si>
  <si>
    <t>8_44361</t>
  </si>
  <si>
    <t>颠陨戒·绝</t>
  </si>
  <si>
    <t>颠陨戒·绝(35300精简招破无)</t>
  </si>
  <si>
    <t>8_44355</t>
  </si>
  <si>
    <t>都护戒·尊</t>
  </si>
  <si>
    <t>都护戒·尊(35300精简无)</t>
  </si>
  <si>
    <t>8_44362</t>
  </si>
  <si>
    <t>客愁戒·迅</t>
  </si>
  <si>
    <t>客愁戒·迅(35300精简速)</t>
  </si>
  <si>
    <t>8_44357</t>
  </si>
  <si>
    <t>玉宇戒·破</t>
  </si>
  <si>
    <t>玉宇戒·破(35300精简破无)</t>
  </si>
  <si>
    <t>8_44360</t>
  </si>
  <si>
    <t>箫鼓戒·明</t>
  </si>
  <si>
    <t>箫鼓戒·明(35300精简会招无)</t>
  </si>
  <si>
    <t>8_44356</t>
  </si>
  <si>
    <t>蓬舟戒·悟</t>
  </si>
  <si>
    <t>蓬舟戒·悟(35300精简会无)</t>
  </si>
  <si>
    <t>8_44359</t>
  </si>
  <si>
    <t>高牙戒·觉</t>
  </si>
  <si>
    <t>高牙戒·觉(35300精简会破无)</t>
  </si>
  <si>
    <t>8_45460</t>
  </si>
  <si>
    <t>陶然意·折柳指环</t>
  </si>
  <si>
    <t>陶然意·折柳指环(36200破全)</t>
  </si>
  <si>
    <t>8_49095</t>
  </si>
  <si>
    <t>胃霆指环</t>
  </si>
  <si>
    <t>胃霆指环(38100破无)</t>
  </si>
  <si>
    <t>8_47880</t>
  </si>
  <si>
    <t>尘隐指环</t>
  </si>
  <si>
    <t>尘隐指环(41400招无)</t>
  </si>
  <si>
    <t>8_47910</t>
  </si>
  <si>
    <t>虎帐指环</t>
  </si>
  <si>
    <t>虎帐指环(41400速无)</t>
  </si>
  <si>
    <t>8_47898</t>
  </si>
  <si>
    <t>流漓指环</t>
  </si>
  <si>
    <t>流漓指环(41400会无)</t>
  </si>
  <si>
    <t>8_48005</t>
  </si>
  <si>
    <t>客行江湖·霁影指环</t>
  </si>
  <si>
    <t>客行江湖·霁影指环(41400破无)</t>
  </si>
  <si>
    <t>8_47946</t>
  </si>
  <si>
    <t>碧海听</t>
  </si>
  <si>
    <t>碧海听(41400特效精简招无)</t>
  </si>
  <si>
    <t>8_49055</t>
  </si>
  <si>
    <t>凤来吟</t>
  </si>
  <si>
    <t>凤来吟(41400特效精简速)</t>
  </si>
  <si>
    <t>8_47945</t>
  </si>
  <si>
    <t>血魄寒</t>
  </si>
  <si>
    <t>血魄寒(41400特效精简破无)</t>
  </si>
  <si>
    <t>8_47943</t>
  </si>
  <si>
    <t>鹤声遥</t>
  </si>
  <si>
    <t>鹤声遥(41400特效精简会招破无)</t>
  </si>
  <si>
    <t>8_47944</t>
  </si>
  <si>
    <t>孤雁回</t>
  </si>
  <si>
    <t>孤雁回(41400特效精简会无)</t>
  </si>
  <si>
    <t>8_47941</t>
  </si>
  <si>
    <t>孤叶沉</t>
  </si>
  <si>
    <t>孤叶沉(41400特效精简会会招)</t>
  </si>
  <si>
    <t>8_47942</t>
  </si>
  <si>
    <t>雪封光</t>
  </si>
  <si>
    <t>雪封光(41400特效精简会会无)</t>
  </si>
  <si>
    <t>8_47936</t>
  </si>
  <si>
    <t>枕流戒·引</t>
  </si>
  <si>
    <t>枕流戒·引(41400精简招无)</t>
  </si>
  <si>
    <t>8_47939</t>
  </si>
  <si>
    <t>霸魄戒·绝</t>
  </si>
  <si>
    <t>霸魄戒·绝(41400精简招破无)</t>
  </si>
  <si>
    <t>8_47933</t>
  </si>
  <si>
    <t>菁雨戒·尊</t>
  </si>
  <si>
    <t>菁雨戒·尊(41400精简无)</t>
  </si>
  <si>
    <t>8_47940</t>
  </si>
  <si>
    <t>逐电戒·迅</t>
  </si>
  <si>
    <t>逐电戒·迅(41400精简速)</t>
  </si>
  <si>
    <t>8_47935</t>
  </si>
  <si>
    <t>漱岩戒·破</t>
  </si>
  <si>
    <t>漱岩戒·破(41400精简破无)</t>
  </si>
  <si>
    <t>8_47938</t>
  </si>
  <si>
    <t>狂岚戒·明</t>
  </si>
  <si>
    <t>狂岚戒·明(41400精简会招无)</t>
  </si>
  <si>
    <t>8_47934</t>
  </si>
  <si>
    <t>熊咆戒·悟</t>
  </si>
  <si>
    <t>熊咆戒·悟(41400精简会无)</t>
  </si>
  <si>
    <t>8_47937</t>
  </si>
  <si>
    <t>裂锋戒·觉</t>
  </si>
  <si>
    <t>裂锋戒·觉(41400精简会破无)</t>
  </si>
  <si>
    <t>8_49038</t>
  </si>
  <si>
    <t>陶然意·烟峦戒</t>
  </si>
  <si>
    <t>陶然意·烟峦戒(42400破全)</t>
  </si>
  <si>
    <t>裤子</t>
  </si>
  <si>
    <t>7_108503</t>
  </si>
  <si>
    <t>智渊裤</t>
  </si>
  <si>
    <t>智渊裤(30200速全)</t>
  </si>
  <si>
    <t>体质孔</t>
  </si>
  <si>
    <t>7_108539</t>
  </si>
  <si>
    <t>镂云裤</t>
  </si>
  <si>
    <t>镂云裤(30200破全)</t>
  </si>
  <si>
    <t>7_111000</t>
  </si>
  <si>
    <t>臻泽裤</t>
  </si>
  <si>
    <t>臻泽裤(30200破全)</t>
  </si>
  <si>
    <t>7_108239</t>
  </si>
  <si>
    <t>孤城惊梦·迷烟下裳</t>
  </si>
  <si>
    <t>孤城惊梦·迷烟下裳(30200破无)</t>
  </si>
  <si>
    <t>7_104488</t>
  </si>
  <si>
    <t>平皋裤</t>
  </si>
  <si>
    <t>平皋裤(30200招无)</t>
  </si>
  <si>
    <t>7_104881</t>
  </si>
  <si>
    <t>衔月裤</t>
  </si>
  <si>
    <t>衔月裤(30200招无)</t>
  </si>
  <si>
    <t>7_104827</t>
  </si>
  <si>
    <t>问殿下裳</t>
  </si>
  <si>
    <t>问殿下裳(30200速无)</t>
  </si>
  <si>
    <t>7_104132</t>
  </si>
  <si>
    <t>羽缀裤</t>
  </si>
  <si>
    <t>羽缀裤(30200破无)</t>
  </si>
  <si>
    <t>7_104520</t>
  </si>
  <si>
    <t>润源裤</t>
  </si>
  <si>
    <t>润源裤(30200会无)</t>
  </si>
  <si>
    <t>7_104863</t>
  </si>
  <si>
    <t>标雁下裳</t>
  </si>
  <si>
    <t>标雁下裳(30200会无)</t>
  </si>
  <si>
    <t>7_105013</t>
  </si>
  <si>
    <t>客行江湖·日斜下裳</t>
  </si>
  <si>
    <t>客行江湖·日斜下裳(30200破无)</t>
  </si>
  <si>
    <t>7_105091</t>
  </si>
  <si>
    <t>坠红裤</t>
  </si>
  <si>
    <t>坠红裤(30200招无)</t>
  </si>
  <si>
    <t>7_104965</t>
  </si>
  <si>
    <t>夏荷谣</t>
  </si>
  <si>
    <t>夏荷谣(30200特效精简招无)</t>
  </si>
  <si>
    <t>7_104964</t>
  </si>
  <si>
    <t>醉芙蓉</t>
  </si>
  <si>
    <t>醉芙蓉(30200特效精简破无)</t>
  </si>
  <si>
    <t>7_104967</t>
  </si>
  <si>
    <t>舞金銮</t>
  </si>
  <si>
    <t>舞金銮(30200特效精简破)</t>
  </si>
  <si>
    <t>特效精简破</t>
  </si>
  <si>
    <t>7_104962</t>
  </si>
  <si>
    <t>朔风雪</t>
  </si>
  <si>
    <t>朔风雪(30200特效精简会招破无)</t>
  </si>
  <si>
    <t>7_104963</t>
  </si>
  <si>
    <t>送寒宵</t>
  </si>
  <si>
    <t>送寒宵(30200特效精简会无)</t>
  </si>
  <si>
    <t>7_104966</t>
  </si>
  <si>
    <t>春晨韵</t>
  </si>
  <si>
    <t>春晨韵(30200特效精简会)</t>
  </si>
  <si>
    <t>特效精简会</t>
  </si>
  <si>
    <t>7_104957</t>
  </si>
  <si>
    <t>裂巽裤·引</t>
  </si>
  <si>
    <t>裂巽裤·引(30200精简招无)</t>
  </si>
  <si>
    <t>7_104960</t>
  </si>
  <si>
    <t>苍劲裤·绝</t>
  </si>
  <si>
    <t>苍劲裤·绝(30200精简招破无)</t>
  </si>
  <si>
    <t>7_104954</t>
  </si>
  <si>
    <t>破浪裤·尊</t>
  </si>
  <si>
    <t>破浪裤·尊(30200精简无)</t>
  </si>
  <si>
    <t>7_104961</t>
  </si>
  <si>
    <t>虹碎裤·迅</t>
  </si>
  <si>
    <t>虹碎裤·迅(30200精简速)</t>
  </si>
  <si>
    <t>7_104956</t>
  </si>
  <si>
    <t>风擂裤·破</t>
  </si>
  <si>
    <t>风擂裤·破(30200精简破无)</t>
  </si>
  <si>
    <t>7_104959</t>
  </si>
  <si>
    <t>霆击裤·明</t>
  </si>
  <si>
    <t>霆击裤·明(30200精简会招无)</t>
  </si>
  <si>
    <t>7_104955</t>
  </si>
  <si>
    <t>飞电裤·悟</t>
  </si>
  <si>
    <t>飞电裤·悟(30200精简会无)</t>
  </si>
  <si>
    <t>7_104958</t>
  </si>
  <si>
    <t>星锐裤·觉</t>
  </si>
  <si>
    <t>星锐裤·觉(30200精简会破无)</t>
  </si>
  <si>
    <t>7_106459</t>
  </si>
  <si>
    <t>陶然意·谧秋裤</t>
  </si>
  <si>
    <t>陶然意·谧秋裤(30700会全)</t>
  </si>
  <si>
    <t>7_104989</t>
  </si>
  <si>
    <t>月霭下裳</t>
  </si>
  <si>
    <t>月霭下裳(30700会无)</t>
  </si>
  <si>
    <t>7_108662</t>
  </si>
  <si>
    <t>娄锋下裳</t>
  </si>
  <si>
    <t>娄锋下裳(32500会无)</t>
  </si>
  <si>
    <t>7_110700</t>
  </si>
  <si>
    <t>幽墟荡秽·迅鸿下裳</t>
  </si>
  <si>
    <t>幽墟荡秽·迅鸿下裳(35300破无)</t>
  </si>
  <si>
    <t>7_106904</t>
  </si>
  <si>
    <t>临坻裤</t>
  </si>
  <si>
    <t>临坻裤(35300招无)</t>
  </si>
  <si>
    <t>7_106850</t>
  </si>
  <si>
    <t>天风裤</t>
  </si>
  <si>
    <t>天风裤(35300速无)</t>
  </si>
  <si>
    <t>7_106886</t>
  </si>
  <si>
    <t>晚风裤</t>
  </si>
  <si>
    <t>晚风裤(35300会无)</t>
  </si>
  <si>
    <t>7_107057</t>
  </si>
  <si>
    <t>客行江湖·离帆下裳</t>
  </si>
  <si>
    <t>客行江湖·离帆下裳(35300破无)</t>
  </si>
  <si>
    <t>7_107135</t>
  </si>
  <si>
    <t>蒙鸠下裳</t>
  </si>
  <si>
    <t>蒙鸠下裳(35300招无)</t>
  </si>
  <si>
    <t>7_106988</t>
  </si>
  <si>
    <t>雪风高穹</t>
  </si>
  <si>
    <t>雪风高穹(35300特效精简招无)</t>
  </si>
  <si>
    <t>7_108670</t>
  </si>
  <si>
    <t>愁断春江</t>
  </si>
  <si>
    <t>愁断春江(35300特效精简速)</t>
  </si>
  <si>
    <t>7_106987</t>
  </si>
  <si>
    <t>云树愁</t>
  </si>
  <si>
    <t>云树愁(35300特效精简破无)</t>
  </si>
  <si>
    <t>7_106990</t>
  </si>
  <si>
    <t>一片烟波</t>
  </si>
  <si>
    <t>一片烟波(35300特效精简破)</t>
  </si>
  <si>
    <t>7_106985</t>
  </si>
  <si>
    <t>清阴独咏</t>
  </si>
  <si>
    <t>清阴独咏(35300特效精简会招破无)</t>
  </si>
  <si>
    <t>7_106986</t>
  </si>
  <si>
    <t>林梢晚晴</t>
  </si>
  <si>
    <t>林梢晚晴(35300特效精简会无)</t>
  </si>
  <si>
    <t>7_106989</t>
  </si>
  <si>
    <t>曾驻行台</t>
  </si>
  <si>
    <t>曾驻行台(35300特效精简会)</t>
  </si>
  <si>
    <t>7_106980</t>
  </si>
  <si>
    <t>踵武裤·引</t>
  </si>
  <si>
    <t>踵武裤·引(35300精简招无)</t>
  </si>
  <si>
    <t>7_106983</t>
  </si>
  <si>
    <t>千嶂裤·绝</t>
  </si>
  <si>
    <t>千嶂裤·绝(35300精简招破无)</t>
  </si>
  <si>
    <t>7_106977</t>
  </si>
  <si>
    <t>飞湍裤·尊</t>
  </si>
  <si>
    <t>飞湍裤·尊(35300精简无)</t>
  </si>
  <si>
    <t>7_106984</t>
  </si>
  <si>
    <t>长烟裤·迅</t>
  </si>
  <si>
    <t>长烟裤·迅(35300精简速)</t>
  </si>
  <si>
    <t>7_106979</t>
  </si>
  <si>
    <t>长亭裤·破</t>
  </si>
  <si>
    <t>长亭裤·破(35300精简破无)</t>
  </si>
  <si>
    <t>7_106982</t>
  </si>
  <si>
    <t>疏桐裤·明</t>
  </si>
  <si>
    <t>疏桐裤·明(35300精简会招无)</t>
  </si>
  <si>
    <t>7_106978</t>
  </si>
  <si>
    <t>故垒裤·悟</t>
  </si>
  <si>
    <t>故垒裤·悟(35300精简会无)</t>
  </si>
  <si>
    <t>7_106981</t>
  </si>
  <si>
    <t>霜天裤·觉</t>
  </si>
  <si>
    <t>霜天裤·觉(35300精简会破无)</t>
  </si>
  <si>
    <t>7_107033</t>
  </si>
  <si>
    <t>江舟下裳</t>
  </si>
  <si>
    <t>江舟下裳(35900会无)</t>
  </si>
  <si>
    <t>7_108410</t>
  </si>
  <si>
    <t>陶然意·折柳裤</t>
  </si>
  <si>
    <t>陶然意·折柳裤(36200会全)</t>
  </si>
  <si>
    <t>7_110952</t>
  </si>
  <si>
    <t>胃霆裤</t>
  </si>
  <si>
    <t>胃霆裤(38100会无)</t>
  </si>
  <si>
    <t>7_109365</t>
  </si>
  <si>
    <t>虎帐裤</t>
  </si>
  <si>
    <t>虎帐裤(41400招无)</t>
  </si>
  <si>
    <t>7_109311</t>
  </si>
  <si>
    <t>尘隐裤</t>
  </si>
  <si>
    <t>尘隐裤(41400速无)</t>
  </si>
  <si>
    <t>7_109347</t>
  </si>
  <si>
    <t>流漓裤</t>
  </si>
  <si>
    <t>流漓裤(41400会无)</t>
  </si>
  <si>
    <t>7_109518</t>
  </si>
  <si>
    <t>客行江湖·霁影下裳</t>
  </si>
  <si>
    <t>客行江湖·霁影下裳(41400破无)</t>
  </si>
  <si>
    <t>7_109596</t>
  </si>
  <si>
    <t>曜影下裳</t>
  </si>
  <si>
    <t>曜影下裳(41400招无)</t>
  </si>
  <si>
    <t>7_109449</t>
  </si>
  <si>
    <t>一剑边城</t>
  </si>
  <si>
    <t>一剑边城(41400特效精简招无)</t>
  </si>
  <si>
    <t>7_110948</t>
  </si>
  <si>
    <t>转星河</t>
  </si>
  <si>
    <t>转星河(41400特效精简速)</t>
  </si>
  <si>
    <t>7_109448</t>
  </si>
  <si>
    <t>浮沉客</t>
  </si>
  <si>
    <t>浮沉客(41400特效精简破无)</t>
  </si>
  <si>
    <t>7_109451</t>
  </si>
  <si>
    <t>归江湖</t>
  </si>
  <si>
    <t>归江湖(41400特效精简破)</t>
  </si>
  <si>
    <t>7_109446</t>
  </si>
  <si>
    <t>风入城</t>
  </si>
  <si>
    <t>风入城(41400特效精简会招破无)</t>
  </si>
  <si>
    <t>7_109447</t>
  </si>
  <si>
    <t>明月归人</t>
  </si>
  <si>
    <t>明月归人(41400特效精简会无)</t>
  </si>
  <si>
    <t>7_109450</t>
  </si>
  <si>
    <t>远近游</t>
  </si>
  <si>
    <t>远近游(41400特效精简会)</t>
  </si>
  <si>
    <t>7_109441</t>
  </si>
  <si>
    <t>乱烟裤·引</t>
  </si>
  <si>
    <t>乱烟裤·引(41400精简招无)</t>
  </si>
  <si>
    <t>7_109444</t>
  </si>
  <si>
    <t>花杀裤·绝</t>
  </si>
  <si>
    <t>花杀裤·绝(41400精简招破无)</t>
  </si>
  <si>
    <t>7_109438</t>
  </si>
  <si>
    <t>休莫裤·尊</t>
  </si>
  <si>
    <t>休莫裤·尊(41400精简无)</t>
  </si>
  <si>
    <t>7_109445</t>
  </si>
  <si>
    <t>识狂裤·迅</t>
  </si>
  <si>
    <t>识狂裤·迅(41400精简速)</t>
  </si>
  <si>
    <t>7_109440</t>
  </si>
  <si>
    <t>破霭裤·破</t>
  </si>
  <si>
    <t>破霭裤·破(41400精简破无)</t>
  </si>
  <si>
    <t>7_109443</t>
  </si>
  <si>
    <t>停日裤·明</t>
  </si>
  <si>
    <t>停日裤·明(41400精简会招无)</t>
  </si>
  <si>
    <t>7_109439</t>
  </si>
  <si>
    <t>分霄裤·悟</t>
  </si>
  <si>
    <t>分霄裤·悟(41400精简会无)</t>
  </si>
  <si>
    <t>7_109442</t>
  </si>
  <si>
    <t>风歇裤·觉</t>
  </si>
  <si>
    <t>风歇裤·觉(41400精简会破无)</t>
  </si>
  <si>
    <t>7_109494</t>
  </si>
  <si>
    <t>尧影裤</t>
  </si>
  <si>
    <t>尧影裤(42100会无)</t>
  </si>
  <si>
    <t>7_110871</t>
  </si>
  <si>
    <t>陶然意·烟峦裤</t>
  </si>
  <si>
    <t>陶然意·烟峦裤(42400会全)</t>
  </si>
  <si>
    <t>帽子</t>
  </si>
  <si>
    <t>7_108545</t>
  </si>
  <si>
    <t>镂云帽</t>
  </si>
  <si>
    <t>镂云帽(30200速全)</t>
  </si>
  <si>
    <t>7_108509</t>
  </si>
  <si>
    <t>智渊帽</t>
  </si>
  <si>
    <t>智渊帽(30200会全)</t>
  </si>
  <si>
    <t>7_111006</t>
  </si>
  <si>
    <t>臻泽帽</t>
  </si>
  <si>
    <t>臻泽帽(30200速全)</t>
  </si>
  <si>
    <t>7_104758</t>
  </si>
  <si>
    <t>【门派套装】天极·听荷冠</t>
  </si>
  <si>
    <t>【门派套装】天极·听荷冠(30200破无)</t>
  </si>
  <si>
    <t>7_108245</t>
  </si>
  <si>
    <t>孤城惊梦·迷烟帽</t>
  </si>
  <si>
    <t>孤城惊梦·迷烟帽(30200会无)</t>
  </si>
  <si>
    <t>7_104138</t>
  </si>
  <si>
    <t>润源冠</t>
  </si>
  <si>
    <t>润源冠(30200招无)</t>
  </si>
  <si>
    <t>7_104494</t>
  </si>
  <si>
    <t>平皋冠</t>
  </si>
  <si>
    <t>平皋冠(30200速无)</t>
  </si>
  <si>
    <t>7_104869</t>
  </si>
  <si>
    <t>标雁冠</t>
  </si>
  <si>
    <t>标雁冠(30200速无)</t>
  </si>
  <si>
    <t>7_104466</t>
  </si>
  <si>
    <t>羽缀冠</t>
  </si>
  <si>
    <t>羽缀冠(30200会无)</t>
  </si>
  <si>
    <t>7_104833</t>
  </si>
  <si>
    <t>问殿冠</t>
  </si>
  <si>
    <t>问殿冠(30200会无)</t>
  </si>
  <si>
    <t>7_105019</t>
  </si>
  <si>
    <t>客行江湖·日斜冠</t>
  </si>
  <si>
    <t>客行江湖·日斜冠(30200招无)</t>
  </si>
  <si>
    <t>7_105097</t>
  </si>
  <si>
    <t>坠红帽</t>
  </si>
  <si>
    <t>坠红帽(30200招无)</t>
  </si>
  <si>
    <t>7_106660</t>
  </si>
  <si>
    <t>寻踪觅宝·逸群冠</t>
  </si>
  <si>
    <t>寻踪觅宝·逸群冠(30200会无)</t>
  </si>
  <si>
    <t>7_105061</t>
  </si>
  <si>
    <t>无修冠·外·玄</t>
  </si>
  <si>
    <t>无修冠·外·玄(30200特效精简破无)</t>
  </si>
  <si>
    <t>7_105063</t>
  </si>
  <si>
    <t>无修冠·外·玄(30200特效精简会招无)</t>
  </si>
  <si>
    <t>7_105062</t>
  </si>
  <si>
    <t>无修冠·外·玄(30200特效精简会会无)</t>
  </si>
  <si>
    <t>7_106481</t>
  </si>
  <si>
    <t>陶然意·谧秋冠</t>
  </si>
  <si>
    <t>陶然意·谧秋冠(30700会全)</t>
  </si>
  <si>
    <t>7_104995</t>
  </si>
  <si>
    <t>月霭冠</t>
  </si>
  <si>
    <t>月霭冠(30700招无)</t>
  </si>
  <si>
    <t>7_107093</t>
  </si>
  <si>
    <t>无修冠·外·地</t>
  </si>
  <si>
    <t>无修冠·外·地(32500特效精简无)</t>
  </si>
  <si>
    <t>7_107094</t>
  </si>
  <si>
    <t>无修冠·外·地(32500特效精简会无)</t>
  </si>
  <si>
    <t>7_107095</t>
  </si>
  <si>
    <t>无修冠·外·地(32500特效精简会破无)</t>
  </si>
  <si>
    <t>7_106779</t>
  </si>
  <si>
    <t>【门派套装】牧川·拂梅冠</t>
  </si>
  <si>
    <t>【门派套装】牧川·拂梅冠(35300破无)</t>
  </si>
  <si>
    <t>7_110706</t>
  </si>
  <si>
    <t>幽墟荡秽·迅鸿冠</t>
  </si>
  <si>
    <t>幽墟荡秽·迅鸿冠(35300会无)</t>
  </si>
  <si>
    <t>7_106892</t>
  </si>
  <si>
    <t>晚风冠</t>
  </si>
  <si>
    <t>晚风冠(35300速无)</t>
  </si>
  <si>
    <t>7_106856</t>
  </si>
  <si>
    <t>天风冠</t>
  </si>
  <si>
    <t>天风冠(35300会无)</t>
  </si>
  <si>
    <t>7_107063</t>
  </si>
  <si>
    <t>客行江湖·离帆帽</t>
  </si>
  <si>
    <t>客行江湖·离帆帽(35300招无)</t>
  </si>
  <si>
    <t>7_107141</t>
  </si>
  <si>
    <t>蒙鸠帽</t>
  </si>
  <si>
    <t>蒙鸠帽(35300招无)</t>
  </si>
  <si>
    <t>7_109121</t>
  </si>
  <si>
    <t>寻踪觅宝·凌英冠</t>
  </si>
  <si>
    <t>寻踪觅宝·凌英冠(35300会无)</t>
  </si>
  <si>
    <t>7_107106</t>
  </si>
  <si>
    <t>无修冠·外·地(35300特效精简会招无)</t>
  </si>
  <si>
    <t>7_107105</t>
  </si>
  <si>
    <t>无修冠·外·地(35300特效精简会无)</t>
  </si>
  <si>
    <t>7_107107</t>
  </si>
  <si>
    <t>无修冠·外·地(35300特效精简会破无)</t>
  </si>
  <si>
    <t>7_107039</t>
  </si>
  <si>
    <t>江舟帽</t>
  </si>
  <si>
    <t>江舟帽(35900招无)</t>
  </si>
  <si>
    <t>7_108438</t>
  </si>
  <si>
    <t>陶然意·折柳帽</t>
  </si>
  <si>
    <t>陶然意·折柳帽(36200会全)</t>
  </si>
  <si>
    <t>7_109556</t>
  </si>
  <si>
    <t>无修冠·外·天</t>
  </si>
  <si>
    <t>无修冠·外·天(38100特效精简招无)</t>
  </si>
  <si>
    <t>7_109554</t>
  </si>
  <si>
    <t>无修冠·外·天(38100特效精简破无)</t>
  </si>
  <si>
    <t>7_109555</t>
  </si>
  <si>
    <t>无修冠·外·天(38100特效精简会会无)</t>
  </si>
  <si>
    <t>7_109240</t>
  </si>
  <si>
    <t>【门派套装】玄阙·燃炼冠</t>
  </si>
  <si>
    <t>【门派套装】玄阙·燃炼冠(41400破无)</t>
  </si>
  <si>
    <t>7_109353</t>
  </si>
  <si>
    <t>流漓冠</t>
  </si>
  <si>
    <t>流漓冠(41400速无)</t>
  </si>
  <si>
    <t>7_109317</t>
  </si>
  <si>
    <t>尘隐冠</t>
  </si>
  <si>
    <t>尘隐冠(41400会无)</t>
  </si>
  <si>
    <t>7_109524</t>
  </si>
  <si>
    <t>客行江湖·霁影冠</t>
  </si>
  <si>
    <t>客行江湖·霁影冠(41400招无)</t>
  </si>
  <si>
    <t>7_109602</t>
  </si>
  <si>
    <t>曜影冠</t>
  </si>
  <si>
    <t>曜影冠(41400招无)</t>
  </si>
  <si>
    <t>7_109567</t>
  </si>
  <si>
    <t>无修冠·外·天(41400特效精简会招破无)</t>
  </si>
  <si>
    <t>7_109566</t>
  </si>
  <si>
    <t>无修冠·外·天(41400特效精简会无)</t>
  </si>
  <si>
    <t>7_109568</t>
  </si>
  <si>
    <t>无修冠·外·天(41400特效精简会会招)</t>
  </si>
  <si>
    <t>7_109500</t>
  </si>
  <si>
    <t>尧影帽</t>
  </si>
  <si>
    <t>尧影帽(42100招无)</t>
  </si>
  <si>
    <t>7_110899</t>
  </si>
  <si>
    <t>陶然意·烟峦帽</t>
  </si>
  <si>
    <t>陶然意·烟峦帽(42400会全)</t>
  </si>
  <si>
    <t>轻剑</t>
  </si>
  <si>
    <t>6_40176</t>
  </si>
  <si>
    <t>伏魔悲音</t>
  </si>
  <si>
    <t>伏魔悲音(21375大橙武)</t>
  </si>
  <si>
    <t>大橙武</t>
  </si>
  <si>
    <t>任务</t>
  </si>
  <si>
    <t>6_40208</t>
  </si>
  <si>
    <t>伏魔悲音(22875大橙武)</t>
  </si>
  <si>
    <t>6_40240</t>
  </si>
  <si>
    <t>伏魔悲音(24375大橙武)</t>
  </si>
  <si>
    <t>6_44116</t>
  </si>
  <si>
    <t>白夜火·行</t>
  </si>
  <si>
    <t>白夜火·行(24500小橙武)</t>
  </si>
  <si>
    <t>小橙武</t>
  </si>
  <si>
    <t>神兵试炼</t>
  </si>
  <si>
    <t>6_40272</t>
  </si>
  <si>
    <t>伏魔悲音(25940大橙武)</t>
  </si>
  <si>
    <t>6_44149</t>
  </si>
  <si>
    <t>白夜火·行(27000小橙武)</t>
  </si>
  <si>
    <t>6_40304</t>
  </si>
  <si>
    <t>伏魔悲音(27500大橙武)</t>
  </si>
  <si>
    <t>6_44182</t>
  </si>
  <si>
    <t>白夜火·行(29500小橙武)</t>
  </si>
  <si>
    <t>6_42123</t>
  </si>
  <si>
    <t>伏魔悲音(29575大橙武)</t>
  </si>
  <si>
    <t>6_43658</t>
  </si>
  <si>
    <t>初长轻剑</t>
  </si>
  <si>
    <t>初长轻剑(30200速全)</t>
  </si>
  <si>
    <t>6_43620</t>
  </si>
  <si>
    <t>惜涯轻剑</t>
  </si>
  <si>
    <t>惜涯轻剑(30200破全)</t>
  </si>
  <si>
    <t>6_45650</t>
  </si>
  <si>
    <t>臻泽轻剑·外</t>
  </si>
  <si>
    <t>臻泽轻剑·外(30200破全)</t>
  </si>
  <si>
    <t>6_43389</t>
  </si>
  <si>
    <t>孤城惊梦·寄锋轻剑</t>
  </si>
  <si>
    <t>孤城惊梦·寄锋轻剑(30200破无)</t>
  </si>
  <si>
    <t>6_41255</t>
  </si>
  <si>
    <t>穆如轻剑</t>
  </si>
  <si>
    <t>穆如轻剑(30200招无)</t>
  </si>
  <si>
    <t>6_41271</t>
  </si>
  <si>
    <t>孤山梅</t>
  </si>
  <si>
    <t>孤山梅(30200特效破无)</t>
  </si>
  <si>
    <t>特效破无</t>
  </si>
  <si>
    <t>6_40945</t>
  </si>
  <si>
    <t>甘风剑</t>
  </si>
  <si>
    <t>甘风剑(30200速无)</t>
  </si>
  <si>
    <t>6_40899</t>
  </si>
  <si>
    <t>延陵剑</t>
  </si>
  <si>
    <t>延陵剑(30200破无)</t>
  </si>
  <si>
    <t>6_40596</t>
  </si>
  <si>
    <t>明祥剑</t>
  </si>
  <si>
    <t>明祥剑(30200会无)</t>
  </si>
  <si>
    <t>6_41215</t>
  </si>
  <si>
    <t>夕岚轻剑</t>
  </si>
  <si>
    <t>夕岚轻剑(30200会无)</t>
  </si>
  <si>
    <t>6_41371</t>
  </si>
  <si>
    <t>玉涧</t>
  </si>
  <si>
    <t>玉涧(30200招无)</t>
  </si>
  <si>
    <t>6_42607</t>
  </si>
  <si>
    <t>寻踪觅宝·曲柳轻剑</t>
  </si>
  <si>
    <t>寻踪觅宝·曲柳轻剑(30200招无)</t>
  </si>
  <si>
    <t>6_42085</t>
  </si>
  <si>
    <t>陶然意·谧秋轻剑</t>
  </si>
  <si>
    <t>陶然意·谧秋轻剑(30700破全)</t>
  </si>
  <si>
    <t>6_42500</t>
  </si>
  <si>
    <t>苌弘化碧</t>
  </si>
  <si>
    <t>苌弘化碧(30700会无)</t>
  </si>
  <si>
    <t>6_41309</t>
  </si>
  <si>
    <t>风动松涛</t>
  </si>
  <si>
    <t>风动松涛(30700会无)</t>
  </si>
  <si>
    <t>6_42155</t>
  </si>
  <si>
    <t>伏魔悲音(31625大橙武)</t>
  </si>
  <si>
    <t>6_44215</t>
  </si>
  <si>
    <t>白夜火·行(32000小橙武)</t>
  </si>
  <si>
    <t>6_43785</t>
  </si>
  <si>
    <t>娄泉轻剑</t>
  </si>
  <si>
    <t>娄泉轻剑(32500会无)</t>
  </si>
  <si>
    <t>6_44083</t>
  </si>
  <si>
    <t>青衣子母剑·轻</t>
  </si>
  <si>
    <t>青衣子母剑·轻(33400特效招无)</t>
  </si>
  <si>
    <t>特效招无</t>
  </si>
  <si>
    <t>6_43548</t>
  </si>
  <si>
    <t>伏魔悲音(34375大橙武)</t>
  </si>
  <si>
    <t>6_44248</t>
  </si>
  <si>
    <t>白夜火·行(35000小橙武)</t>
  </si>
  <si>
    <t>6_45124</t>
  </si>
  <si>
    <t>幽墟荡秽·居虹轻剑</t>
  </si>
  <si>
    <t>幽墟荡秽·居虹轻剑(35300破无)</t>
  </si>
  <si>
    <t>6_42706</t>
  </si>
  <si>
    <t>断桥轻剑</t>
  </si>
  <si>
    <t>断桥轻剑(35300招无)</t>
  </si>
  <si>
    <t>6_42722</t>
  </si>
  <si>
    <t>泉飞涧底</t>
  </si>
  <si>
    <t>泉飞涧底(35300特效破无)</t>
  </si>
  <si>
    <t>6_42665</t>
  </si>
  <si>
    <t>流泉轻剑</t>
  </si>
  <si>
    <t>流泉轻剑(35300会无)</t>
  </si>
  <si>
    <t>6_42824</t>
  </si>
  <si>
    <t>月明渔火</t>
  </si>
  <si>
    <t>月明渔火(35300招无)</t>
  </si>
  <si>
    <t>6_44342</t>
  </si>
  <si>
    <t>寻踪觅宝·常雨轻剑</t>
  </si>
  <si>
    <t>寻踪觅宝·常雨轻剑(35300招无)</t>
  </si>
  <si>
    <t>6_42761</t>
  </si>
  <si>
    <t>遥瞻奇峰</t>
  </si>
  <si>
    <t>遥瞻奇峰(35900会无)</t>
  </si>
  <si>
    <t>6_43517</t>
  </si>
  <si>
    <t>陶然意·折柳轻剑</t>
  </si>
  <si>
    <t>陶然意·折柳轻剑(36200破全)</t>
  </si>
  <si>
    <t>6_43581</t>
  </si>
  <si>
    <t>伏魔悲音(37125大橙武)</t>
  </si>
  <si>
    <t>6_45497</t>
  </si>
  <si>
    <t>胃玄轻剑</t>
  </si>
  <si>
    <t>胃玄轻剑(38100会无)</t>
  </si>
  <si>
    <t>6_44281</t>
  </si>
  <si>
    <t>白夜火·行(39750小橙武)</t>
  </si>
  <si>
    <t>6_45282</t>
  </si>
  <si>
    <t>伏魔悲音(40500大橙武)</t>
  </si>
  <si>
    <t>6_44441</t>
  </si>
  <si>
    <t>金铮轻剑</t>
  </si>
  <si>
    <t>金铮轻剑(41400招无)</t>
  </si>
  <si>
    <t>6_44457</t>
  </si>
  <si>
    <t>星痕动</t>
  </si>
  <si>
    <t>星痕动(41400特效破无)</t>
  </si>
  <si>
    <t>6_44400</t>
  </si>
  <si>
    <t>驰荒轻剑</t>
  </si>
  <si>
    <t>驰荒轻剑(41400会无)</t>
  </si>
  <si>
    <t>6_44559</t>
  </si>
  <si>
    <t>流光影</t>
  </si>
  <si>
    <t>流光影(41400招无)</t>
  </si>
  <si>
    <t>6_44496</t>
  </si>
  <si>
    <t>埋骨月</t>
  </si>
  <si>
    <t>埋骨月(42100会无)</t>
  </si>
  <si>
    <t>6_45251</t>
  </si>
  <si>
    <t>陶然意·烟峦轻剑</t>
  </si>
  <si>
    <t>陶然意·烟峦轻剑(42400破全)</t>
  </si>
  <si>
    <t>6_45315</t>
  </si>
  <si>
    <t>伏魔悲音(42500大橙武)</t>
  </si>
  <si>
    <t>上衣</t>
  </si>
  <si>
    <t>7_108551</t>
  </si>
  <si>
    <t>镂云衫</t>
  </si>
  <si>
    <t>镂云衫(30200速全)</t>
  </si>
  <si>
    <t>7_108515</t>
  </si>
  <si>
    <t>智渊衫</t>
  </si>
  <si>
    <t>智渊衫(30200会全)</t>
  </si>
  <si>
    <t>7_111012</t>
  </si>
  <si>
    <t>臻泽衫</t>
  </si>
  <si>
    <t>臻泽衫(30200破全)</t>
  </si>
  <si>
    <t>7_104789</t>
  </si>
  <si>
    <t>【门派套装】天极·听荷衣</t>
  </si>
  <si>
    <t>【门派套装】天极·听荷衣(30200会无)</t>
  </si>
  <si>
    <t>7_108251</t>
  </si>
  <si>
    <t>孤城惊梦·迷烟衫</t>
  </si>
  <si>
    <t>孤城惊梦·迷烟衫(30200招无)</t>
  </si>
  <si>
    <t>7_104499</t>
  </si>
  <si>
    <t>平皋衣</t>
  </si>
  <si>
    <t>平皋衣(30200招无)</t>
  </si>
  <si>
    <t>7_104875</t>
  </si>
  <si>
    <t>标雁衣</t>
  </si>
  <si>
    <t>标雁衣(30200招无)</t>
  </si>
  <si>
    <t>7_104144</t>
  </si>
  <si>
    <t>润源衣</t>
  </si>
  <si>
    <t>润源衣(30200速无)</t>
  </si>
  <si>
    <t>7_104839</t>
  </si>
  <si>
    <t>问殿衣</t>
  </si>
  <si>
    <t>问殿衣(30200速无)</t>
  </si>
  <si>
    <t>7_104472</t>
  </si>
  <si>
    <t>羽缀衣</t>
  </si>
  <si>
    <t>羽缀衣(30200破无)</t>
  </si>
  <si>
    <t>7_105103</t>
  </si>
  <si>
    <t>坠红衫</t>
  </si>
  <si>
    <t>坠红衫(30200会无)</t>
  </si>
  <si>
    <t>7_106666</t>
  </si>
  <si>
    <t>寻踪觅宝·逸群衣</t>
  </si>
  <si>
    <t>寻踪觅宝·逸群衣(30200速无)</t>
  </si>
  <si>
    <t>7_106503</t>
  </si>
  <si>
    <t>陶然意·谧秋衣</t>
  </si>
  <si>
    <t>陶然意·谧秋衣(30700破全)</t>
  </si>
  <si>
    <t>7_105001</t>
  </si>
  <si>
    <t>月霭衣</t>
  </si>
  <si>
    <t>月霭衣(30700破无)</t>
  </si>
  <si>
    <t>7_106811</t>
  </si>
  <si>
    <t>【门派套装】牧川·拂梅衣</t>
  </si>
  <si>
    <t>【门派套装】牧川·拂梅衣(35300会无)</t>
  </si>
  <si>
    <t>7_110712</t>
  </si>
  <si>
    <t>幽墟荡秽·迅鸿衫</t>
  </si>
  <si>
    <t>幽墟荡秽·迅鸿衫(35300招无)</t>
  </si>
  <si>
    <t>7_106898</t>
  </si>
  <si>
    <t>晚风衣</t>
  </si>
  <si>
    <t>晚风衣(35300招无)</t>
  </si>
  <si>
    <t>7_106862</t>
  </si>
  <si>
    <t>天风衣</t>
  </si>
  <si>
    <t>天风衣(35300速无)</t>
  </si>
  <si>
    <t>7_107147</t>
  </si>
  <si>
    <t>蒙鸠衫</t>
  </si>
  <si>
    <t>蒙鸠衫(35300会无)</t>
  </si>
  <si>
    <t>7_109127</t>
  </si>
  <si>
    <t>寻踪觅宝·凌英衣</t>
  </si>
  <si>
    <t>寻踪觅宝·凌英衣(35300速无)</t>
  </si>
  <si>
    <t>7_107045</t>
  </si>
  <si>
    <t>江舟衫</t>
  </si>
  <si>
    <t>江舟衫(35900破无)</t>
  </si>
  <si>
    <t>7_108466</t>
  </si>
  <si>
    <t>陶然意·折柳衫</t>
  </si>
  <si>
    <t>陶然意·折柳衫(36200破全)</t>
  </si>
  <si>
    <t>7_109272</t>
  </si>
  <si>
    <t>【门派套装】玄阙·燃炼衣</t>
  </si>
  <si>
    <t>【门派套装】玄阙·燃炼衣(41400会无)</t>
  </si>
  <si>
    <t>7_109359</t>
  </si>
  <si>
    <t>流漓衣</t>
  </si>
  <si>
    <t>流漓衣(41400招无)</t>
  </si>
  <si>
    <t>7_109323</t>
  </si>
  <si>
    <t>尘隐衣</t>
  </si>
  <si>
    <t>尘隐衣(41400速无)</t>
  </si>
  <si>
    <t>7_109608</t>
  </si>
  <si>
    <t>曜影衫</t>
  </si>
  <si>
    <t>曜影衫(41400会无)</t>
  </si>
  <si>
    <t>7_109506</t>
  </si>
  <si>
    <t>尧影衫</t>
  </si>
  <si>
    <t>尧影衫(42100破无)</t>
  </si>
  <si>
    <t>7_110927</t>
  </si>
  <si>
    <t>陶然意·烟峦衫</t>
  </si>
  <si>
    <t>陶然意·烟峦衫(42400破全)</t>
  </si>
  <si>
    <t>项链</t>
  </si>
  <si>
    <t>8_45497</t>
  </si>
  <si>
    <t>镂云链</t>
  </si>
  <si>
    <t>镂云链(30200破全)</t>
  </si>
  <si>
    <t>8_45479</t>
  </si>
  <si>
    <t>智渊链</t>
  </si>
  <si>
    <t>智渊链(30200会全)</t>
  </si>
  <si>
    <t>8_49343</t>
  </si>
  <si>
    <t>臻泽链</t>
  </si>
  <si>
    <t>臻泽链(30200破全)</t>
  </si>
  <si>
    <t>8_42848</t>
  </si>
  <si>
    <t>羽缀链</t>
  </si>
  <si>
    <t>羽缀链(30200速无)</t>
  </si>
  <si>
    <t>8_42978</t>
  </si>
  <si>
    <t>衔月链</t>
  </si>
  <si>
    <t>衔月链(30200速无)</t>
  </si>
  <si>
    <t>8_42866</t>
  </si>
  <si>
    <t>平皋链</t>
  </si>
  <si>
    <t>平皋链(30200破无)</t>
  </si>
  <si>
    <t>8_42942</t>
  </si>
  <si>
    <t>问殿链</t>
  </si>
  <si>
    <t>问殿链(30200破无)</t>
  </si>
  <si>
    <t>8_42960</t>
  </si>
  <si>
    <t>标雁项饰</t>
  </si>
  <si>
    <t>标雁项饰(30200会无)</t>
  </si>
  <si>
    <t>8_42736</t>
  </si>
  <si>
    <t>灵空·风行链</t>
  </si>
  <si>
    <t>灵空·风行链(30200破无)</t>
  </si>
  <si>
    <t>8_44391</t>
  </si>
  <si>
    <t>斜月链</t>
  </si>
  <si>
    <t>斜月链(30300招无)</t>
  </si>
  <si>
    <t>声望</t>
  </si>
  <si>
    <t>8_43888</t>
  </si>
  <si>
    <t>陶然意·谧秋项饰</t>
  </si>
  <si>
    <t>陶然意·谧秋项饰(30700会全)</t>
  </si>
  <si>
    <t>8_43060</t>
  </si>
  <si>
    <t>载周链</t>
  </si>
  <si>
    <t>载周链(30700招无)</t>
  </si>
  <si>
    <t>8_47957</t>
  </si>
  <si>
    <t>腾掠链</t>
  </si>
  <si>
    <t>腾掠链(32200招无)</t>
  </si>
  <si>
    <t>8_44459</t>
  </si>
  <si>
    <t>无修链·外·地</t>
  </si>
  <si>
    <t>无修链·外·地(32500特效精简招破无)</t>
  </si>
  <si>
    <t>8_44457</t>
  </si>
  <si>
    <t>无修链·外·地(32500特效精简破无)</t>
  </si>
  <si>
    <t>8_44458</t>
  </si>
  <si>
    <t>无修链·外·地(32500特效精简会招无)</t>
  </si>
  <si>
    <t>8_44403</t>
  </si>
  <si>
    <t>斜月链(33000招无)</t>
  </si>
  <si>
    <t>8_44326</t>
  </si>
  <si>
    <t>临坻链</t>
  </si>
  <si>
    <t>临坻链(35300速无)</t>
  </si>
  <si>
    <t>8_44290</t>
  </si>
  <si>
    <t>天风链</t>
  </si>
  <si>
    <t>天风链(35300破无)</t>
  </si>
  <si>
    <t>8_44308</t>
  </si>
  <si>
    <t>晚风链</t>
  </si>
  <si>
    <t>晚风链(35300会无)</t>
  </si>
  <si>
    <t>8_44469</t>
  </si>
  <si>
    <t>无修链·外·地(35300特效精简无)</t>
  </si>
  <si>
    <t>8_44470</t>
  </si>
  <si>
    <t>无修链·外·地(35300特效精简破无)</t>
  </si>
  <si>
    <t>8_44471</t>
  </si>
  <si>
    <t>无修链·外·地(35300特效精简会招无)</t>
  </si>
  <si>
    <t>8_47969</t>
  </si>
  <si>
    <t>腾掠链(35500招无)</t>
  </si>
  <si>
    <t>8_44415</t>
  </si>
  <si>
    <t>斜月链(35900招无)</t>
  </si>
  <si>
    <t>8_45404</t>
  </si>
  <si>
    <t>陶然意·折柳链</t>
  </si>
  <si>
    <t>陶然意·折柳链(36200会全)</t>
  </si>
  <si>
    <t>8_48036</t>
  </si>
  <si>
    <t>无修链·外·天</t>
  </si>
  <si>
    <t>无修链·外·天(38100特效精简招)</t>
  </si>
  <si>
    <t>8_48035</t>
  </si>
  <si>
    <t>无修链·外·天(38100特效精简会招破无)</t>
  </si>
  <si>
    <t>8_48037</t>
  </si>
  <si>
    <t>无修链·外·天(38100特效精简会会招)</t>
  </si>
  <si>
    <t>8_47981</t>
  </si>
  <si>
    <t>腾掠链(38800招无)</t>
  </si>
  <si>
    <t>8_47904</t>
  </si>
  <si>
    <t>虎帐链</t>
  </si>
  <si>
    <t>虎帐链(41400速无)</t>
  </si>
  <si>
    <t>8_47868</t>
  </si>
  <si>
    <t>尘隐链</t>
  </si>
  <si>
    <t>尘隐链(41400破无)</t>
  </si>
  <si>
    <t>8_47886</t>
  </si>
  <si>
    <t>流漓链</t>
  </si>
  <si>
    <t>流漓链(41400会无)</t>
  </si>
  <si>
    <t>8_48048</t>
  </si>
  <si>
    <t>无修链·外·天(41400特效精简招无)</t>
  </si>
  <si>
    <t>8_48047</t>
  </si>
  <si>
    <t>无修链·外·天(41400特效精简破无)</t>
  </si>
  <si>
    <t>8_48049</t>
  </si>
  <si>
    <t>无修链·外·天(41400特效精简会无)</t>
  </si>
  <si>
    <t>8_47993</t>
  </si>
  <si>
    <t>腾掠链(42100招无)</t>
  </si>
  <si>
    <t>8_48982</t>
  </si>
  <si>
    <t>陶然意·烟峦项饰</t>
  </si>
  <si>
    <t>陶然意·烟峦项饰(42400会全)</t>
  </si>
  <si>
    <t>鞋子</t>
  </si>
  <si>
    <t>7_108497</t>
  </si>
  <si>
    <t>智渊履</t>
  </si>
  <si>
    <t>智渊履(30200速全)</t>
  </si>
  <si>
    <t>7_108533</t>
  </si>
  <si>
    <t>镂云靴</t>
  </si>
  <si>
    <t>镂云靴(30200破全)</t>
  </si>
  <si>
    <t>7_110994</t>
  </si>
  <si>
    <t>臻泽靴</t>
  </si>
  <si>
    <t>臻泽靴(30200破全)</t>
  </si>
  <si>
    <t>7_104727</t>
  </si>
  <si>
    <t>【门派套装】天极·听荷靴</t>
  </si>
  <si>
    <t>【门派套装】天极·听荷靴(30200破无)</t>
  </si>
  <si>
    <t>7_108233</t>
  </si>
  <si>
    <t>孤城惊梦·迷烟靴</t>
  </si>
  <si>
    <t>孤城惊梦·迷烟靴(30200会无)</t>
  </si>
  <si>
    <t>7_104514</t>
  </si>
  <si>
    <t>润源靴</t>
  </si>
  <si>
    <t>润源靴(30200招无)</t>
  </si>
  <si>
    <t>7_104482</t>
  </si>
  <si>
    <t>平皋靴</t>
  </si>
  <si>
    <t>平皋靴(30200速无)</t>
  </si>
  <si>
    <t>7_104821</t>
  </si>
  <si>
    <t>问殿靴</t>
  </si>
  <si>
    <t>问殿靴(30200速无)</t>
  </si>
  <si>
    <t>7_104126</t>
  </si>
  <si>
    <t>羽缀靴</t>
  </si>
  <si>
    <t>羽缀靴(30200会无)</t>
  </si>
  <si>
    <t>7_104857</t>
  </si>
  <si>
    <t>标雁鞋</t>
  </si>
  <si>
    <t>标雁鞋(30200会无)</t>
  </si>
  <si>
    <t>7_105085</t>
  </si>
  <si>
    <t>坠红靴</t>
  </si>
  <si>
    <t>坠红靴(30200会无)</t>
  </si>
  <si>
    <t>7_106654</t>
  </si>
  <si>
    <t>寻踪觅宝·逸群靴</t>
  </si>
  <si>
    <t>寻踪觅宝·逸群靴(30200会无)</t>
  </si>
  <si>
    <t>7_105069</t>
  </si>
  <si>
    <t>无修鞋·外·玄</t>
  </si>
  <si>
    <t>无修鞋·外·玄(30200特效精简招破无)</t>
  </si>
  <si>
    <t>7_105067</t>
  </si>
  <si>
    <t>无修鞋·外·玄(30200特效精简会无)</t>
  </si>
  <si>
    <t>7_105068</t>
  </si>
  <si>
    <t>无修鞋·外·玄(30200特效精简会破无)</t>
  </si>
  <si>
    <t>7_106437</t>
  </si>
  <si>
    <t>陶然意·谧秋履</t>
  </si>
  <si>
    <t>陶然意·谧秋履(30700破全)</t>
  </si>
  <si>
    <t>7_104983</t>
  </si>
  <si>
    <t>月霭履</t>
  </si>
  <si>
    <t>月霭履(30700招无)</t>
  </si>
  <si>
    <t>7_107099</t>
  </si>
  <si>
    <t>无修鞋·外·地</t>
  </si>
  <si>
    <t>无修鞋·外·地(32500特效精简无)</t>
  </si>
  <si>
    <t>7_107100</t>
  </si>
  <si>
    <t>无修鞋·外·地(32500特效精简破无)</t>
  </si>
  <si>
    <t>7_107101</t>
  </si>
  <si>
    <t>无修鞋·外·地(32500特效精简会招无)</t>
  </si>
  <si>
    <t>7_106747</t>
  </si>
  <si>
    <t>【门派套装】牧川·拂梅靴</t>
  </si>
  <si>
    <t>【门派套装】牧川·拂梅靴(35300破无)</t>
  </si>
  <si>
    <t>7_110694</t>
  </si>
  <si>
    <t>幽墟荡秽·迅鸿靴</t>
  </si>
  <si>
    <t>幽墟荡秽·迅鸿靴(35300会无)</t>
  </si>
  <si>
    <t>7_106844</t>
  </si>
  <si>
    <t>天风靴</t>
  </si>
  <si>
    <t>天风靴(35300速无)</t>
  </si>
  <si>
    <t>7_106880</t>
  </si>
  <si>
    <t>晚风靴</t>
  </si>
  <si>
    <t>晚风靴(35300会无)</t>
  </si>
  <si>
    <t>7_107129</t>
  </si>
  <si>
    <t>蒙鸠靴</t>
  </si>
  <si>
    <t>蒙鸠靴(35300会无)</t>
  </si>
  <si>
    <t>7_109115</t>
  </si>
  <si>
    <t>寻踪觅宝·凌英靴</t>
  </si>
  <si>
    <t>寻踪觅宝·凌英靴(35300会无)</t>
  </si>
  <si>
    <t>7_107112</t>
  </si>
  <si>
    <t>无修鞋·外·地(35300特效精简招无)</t>
  </si>
  <si>
    <t>7_107111</t>
  </si>
  <si>
    <t>无修鞋·外·地(35300特效精简破无)</t>
  </si>
  <si>
    <t>7_107113</t>
  </si>
  <si>
    <t>无修鞋·外·地(35300特效精简会会无)</t>
  </si>
  <si>
    <t>7_107027</t>
  </si>
  <si>
    <t>江舟靴</t>
  </si>
  <si>
    <t>江舟靴(35900招无)</t>
  </si>
  <si>
    <t>7_108382</t>
  </si>
  <si>
    <t>陶然意·折柳靴</t>
  </si>
  <si>
    <t>陶然意·折柳靴(36200破全)</t>
  </si>
  <si>
    <t>7_109560</t>
  </si>
  <si>
    <t>无修鞋·外·天</t>
  </si>
  <si>
    <t>无修鞋·外·天(38100特效精简破无)</t>
  </si>
  <si>
    <t>7_109562</t>
  </si>
  <si>
    <t>无修鞋·外·天(38100特效精简会无)</t>
  </si>
  <si>
    <t>7_109561</t>
  </si>
  <si>
    <t>无修鞋·外·天(38100特效精简会会招)</t>
  </si>
  <si>
    <t>7_109208</t>
  </si>
  <si>
    <t>【门派套装】玄阙·燃炼鞋</t>
  </si>
  <si>
    <t>【门派套装】玄阙·燃炼鞋(41400破无)</t>
  </si>
  <si>
    <t>7_109305</t>
  </si>
  <si>
    <t>尘隐鞋</t>
  </si>
  <si>
    <t>尘隐鞋(41400速无)</t>
  </si>
  <si>
    <t>7_109341</t>
  </si>
  <si>
    <t>流漓鞋</t>
  </si>
  <si>
    <t>流漓鞋(41400会无)</t>
  </si>
  <si>
    <t>7_109590</t>
  </si>
  <si>
    <t>曜影鞋</t>
  </si>
  <si>
    <t>曜影鞋(41400会无)</t>
  </si>
  <si>
    <t>7_109573</t>
  </si>
  <si>
    <t>无修鞋·外·天(41400特效精简破无)</t>
  </si>
  <si>
    <t>7_109572</t>
  </si>
  <si>
    <t>无修鞋·外·天(41400特效精简会招破无)</t>
  </si>
  <si>
    <t>7_109574</t>
  </si>
  <si>
    <t>无修鞋·外·天(41400特效精简会会无)</t>
  </si>
  <si>
    <t>7_109488</t>
  </si>
  <si>
    <t>尧影鞋</t>
  </si>
  <si>
    <t>尧影鞋(42100招无)</t>
  </si>
  <si>
    <t>7_110843</t>
  </si>
  <si>
    <t>陶然意·烟峦履</t>
  </si>
  <si>
    <t>陶然意·烟峦履(42400破全)</t>
  </si>
  <si>
    <t>腰带</t>
  </si>
  <si>
    <t>7_108527</t>
  </si>
  <si>
    <t>镂云带</t>
  </si>
  <si>
    <t>镂云带(30200破全)</t>
  </si>
  <si>
    <t>7_108491</t>
  </si>
  <si>
    <t>智渊带</t>
  </si>
  <si>
    <t>智渊带(30200会全)</t>
  </si>
  <si>
    <t>7_110988</t>
  </si>
  <si>
    <t>臻泽带</t>
  </si>
  <si>
    <t>臻泽带(30200破全)</t>
  </si>
  <si>
    <t>7_104696</t>
  </si>
  <si>
    <t>【门派套装】天极·听荷腰带</t>
  </si>
  <si>
    <t>【门派套装】天极·听荷腰带(30200会无)</t>
  </si>
  <si>
    <t>7_108227</t>
  </si>
  <si>
    <t>孤城惊梦·迷烟护腰</t>
  </si>
  <si>
    <t>孤城惊梦·迷烟护腰(30200破无)</t>
  </si>
  <si>
    <t>7_104120</t>
  </si>
  <si>
    <t>平皋腰带</t>
  </si>
  <si>
    <t>平皋腰带(30200招无)</t>
  </si>
  <si>
    <t>7_104851</t>
  </si>
  <si>
    <t>标雁护腰</t>
  </si>
  <si>
    <t>标雁护腰(30200速无)</t>
  </si>
  <si>
    <t>7_104508</t>
  </si>
  <si>
    <t>润源腰带</t>
  </si>
  <si>
    <t>润源腰带(30200破无)</t>
  </si>
  <si>
    <t>7_104815</t>
  </si>
  <si>
    <t>问殿腰带</t>
  </si>
  <si>
    <t>问殿腰带(30200破无)</t>
  </si>
  <si>
    <t>7_104462</t>
  </si>
  <si>
    <t>羽缀腰带</t>
  </si>
  <si>
    <t>羽缀腰带(30200会无)</t>
  </si>
  <si>
    <t>7_105079</t>
  </si>
  <si>
    <t>坠红护腰</t>
  </si>
  <si>
    <t>坠红护腰(30200破无)</t>
  </si>
  <si>
    <t>7_106648</t>
  </si>
  <si>
    <t>寻踪觅宝·逸群护腰</t>
  </si>
  <si>
    <t>寻踪觅宝·逸群护腰(30200速无)</t>
  </si>
  <si>
    <t>7_104907</t>
  </si>
  <si>
    <t>誓无归</t>
  </si>
  <si>
    <t>誓无归(30200特效精简招)</t>
  </si>
  <si>
    <t>7_104909</t>
  </si>
  <si>
    <t>寻故乡</t>
  </si>
  <si>
    <t>寻故乡(30200特效精简破无)</t>
  </si>
  <si>
    <t>7_104911</t>
  </si>
  <si>
    <t>诉征程</t>
  </si>
  <si>
    <t>诉征程(30200特效精简破)</t>
  </si>
  <si>
    <t>7_104906</t>
  </si>
  <si>
    <t>战寒风</t>
  </si>
  <si>
    <t>战寒风(30200特效精简会招破无)</t>
  </si>
  <si>
    <t>7_104908</t>
  </si>
  <si>
    <t>征途远</t>
  </si>
  <si>
    <t>征途远(30200特效精简会无)</t>
  </si>
  <si>
    <t>7_104910</t>
  </si>
  <si>
    <t>悲笳泣</t>
  </si>
  <si>
    <t>悲笳泣(30200特效精简会)</t>
  </si>
  <si>
    <t>7_104901</t>
  </si>
  <si>
    <t>晴容护腰·引</t>
  </si>
  <si>
    <t>晴容护腰·引(30200精简招无)</t>
  </si>
  <si>
    <t>7_104904</t>
  </si>
  <si>
    <t>石行护腰·绝</t>
  </si>
  <si>
    <t>石行护腰·绝(30200精简招破无)</t>
  </si>
  <si>
    <t>7_104898</t>
  </si>
  <si>
    <t>光意护腰·尊</t>
  </si>
  <si>
    <t>光意护腰·尊(30200精简无)</t>
  </si>
  <si>
    <t>7_104905</t>
  </si>
  <si>
    <t>对江护腰·迅</t>
  </si>
  <si>
    <t>对江护腰·迅(30200精简速无)</t>
  </si>
  <si>
    <t>7_104900</t>
  </si>
  <si>
    <t>分雨护腰·破</t>
  </si>
  <si>
    <t>分雨护腰·破(30200精简破无)</t>
  </si>
  <si>
    <t>7_104903</t>
  </si>
  <si>
    <t>舲风护腰·明</t>
  </si>
  <si>
    <t>舲风护腰·明(30200精简会招无)</t>
  </si>
  <si>
    <t>7_104899</t>
  </si>
  <si>
    <t>灵作护腰·悟</t>
  </si>
  <si>
    <t>灵作护腰·悟(30200精简会无)</t>
  </si>
  <si>
    <t>7_104902</t>
  </si>
  <si>
    <t>惊眠护腰·觉</t>
  </si>
  <si>
    <t>惊眠护腰·觉(30200精简会破无)</t>
  </si>
  <si>
    <t>7_106415</t>
  </si>
  <si>
    <t>陶然意·谧秋护腰</t>
  </si>
  <si>
    <t>陶然意·谧秋护腰(30700会全)</t>
  </si>
  <si>
    <t>7_104977</t>
  </si>
  <si>
    <t>月霭护腰</t>
  </si>
  <si>
    <t>月霭护腰(30700会无)</t>
  </si>
  <si>
    <t>7_106715</t>
  </si>
  <si>
    <t>【门派套装】牧川·拂梅护腰</t>
  </si>
  <si>
    <t>【门派套装】牧川·拂梅护腰(35300会无)</t>
  </si>
  <si>
    <t>7_110688</t>
  </si>
  <si>
    <t>幽墟荡秽·迅鸿护腰</t>
  </si>
  <si>
    <t>幽墟荡秽·迅鸿护腰(35300破无)</t>
  </si>
  <si>
    <t>7_106874</t>
  </si>
  <si>
    <t>晚风护腰</t>
  </si>
  <si>
    <t>晚风护腰(35300速无)</t>
  </si>
  <si>
    <t>7_106838</t>
  </si>
  <si>
    <t>天风护腰</t>
  </si>
  <si>
    <t>天风护腰(35300破无)</t>
  </si>
  <si>
    <t>7_107123</t>
  </si>
  <si>
    <t>蒙鸠护腰</t>
  </si>
  <si>
    <t>蒙鸠护腰(35300破无)</t>
  </si>
  <si>
    <t>7_109109</t>
  </si>
  <si>
    <t>寻踪觅宝·凌英护腰</t>
  </si>
  <si>
    <t>寻踪觅宝·凌英护腰(35300速无)</t>
  </si>
  <si>
    <t>7_106930</t>
  </si>
  <si>
    <t>寒声动</t>
  </si>
  <si>
    <t>寒声动(35300特效精简招)</t>
  </si>
  <si>
    <t>7_108666</t>
  </si>
  <si>
    <t>雨打芭蕉</t>
  </si>
  <si>
    <t>雨打芭蕉(35300特效精简速无)</t>
  </si>
  <si>
    <t>7_106932</t>
  </si>
  <si>
    <t>问往还</t>
  </si>
  <si>
    <t>问往还(35300特效精简破无)</t>
  </si>
  <si>
    <t>7_106934</t>
  </si>
  <si>
    <t>野塘烟水</t>
  </si>
  <si>
    <t>野塘烟水(35300特效精简破)</t>
  </si>
  <si>
    <t>7_106929</t>
  </si>
  <si>
    <t>看尽云舒</t>
  </si>
  <si>
    <t>看尽云舒(35300特效精简会招破无)</t>
  </si>
  <si>
    <t>7_106931</t>
  </si>
  <si>
    <t>侠骨英风</t>
  </si>
  <si>
    <t>侠骨英风(35300特效精简会无)</t>
  </si>
  <si>
    <t>7_106933</t>
  </si>
  <si>
    <t>何处玉箫</t>
  </si>
  <si>
    <t>何处玉箫(35300特效精简会)</t>
  </si>
  <si>
    <t>7_106924</t>
  </si>
  <si>
    <t>赤水护腰·引</t>
  </si>
  <si>
    <t>赤水护腰·引(35300精简招无)</t>
  </si>
  <si>
    <t>7_106927</t>
  </si>
  <si>
    <t>巉岩护腰·绝</t>
  </si>
  <si>
    <t>巉岩护腰·绝(35300精简招破无)</t>
  </si>
  <si>
    <t>7_106921</t>
  </si>
  <si>
    <t>飞廉护腰·尊</t>
  </si>
  <si>
    <t>飞廉护腰·尊(35300精简无)</t>
  </si>
  <si>
    <t>7_106928</t>
  </si>
  <si>
    <t>逸兴护腰·迅</t>
  </si>
  <si>
    <t>逸兴护腰·迅(35300精简速无)</t>
  </si>
  <si>
    <t>7_106923</t>
  </si>
  <si>
    <t>周流护腰·破</t>
  </si>
  <si>
    <t>周流护腰·破(35300精简破无)</t>
  </si>
  <si>
    <t>7_106926</t>
  </si>
  <si>
    <t>未落护腰·明</t>
  </si>
  <si>
    <t>未落护腰·明(35300精简会招无)</t>
  </si>
  <si>
    <t>7_106922</t>
  </si>
  <si>
    <t>疏篁护腰·悟</t>
  </si>
  <si>
    <t>疏篁护腰·悟(35300精简会无)</t>
  </si>
  <si>
    <t>7_106925</t>
  </si>
  <si>
    <t>云旗护腰·觉</t>
  </si>
  <si>
    <t>云旗护腰·觉(35300精简会破无)</t>
  </si>
  <si>
    <t>7_107021</t>
  </si>
  <si>
    <t>江舟护腰</t>
  </si>
  <si>
    <t>江舟护腰(35900会无)</t>
  </si>
  <si>
    <t>7_108354</t>
  </si>
  <si>
    <t>陶然意·折柳护腰</t>
  </si>
  <si>
    <t>陶然意·折柳护腰(36200会全)</t>
  </si>
  <si>
    <t>7_109176</t>
  </si>
  <si>
    <t>【门派套装】玄阙·燃炼腰带</t>
  </si>
  <si>
    <t>【门派套装】玄阙·燃炼腰带(41400会无)</t>
  </si>
  <si>
    <t>7_109335</t>
  </si>
  <si>
    <t>流漓腰带</t>
  </si>
  <si>
    <t>流漓腰带(41400速无)</t>
  </si>
  <si>
    <t>7_109299</t>
  </si>
  <si>
    <t>尘隐腰带</t>
  </si>
  <si>
    <t>尘隐腰带(41400破无)</t>
  </si>
  <si>
    <t>7_109584</t>
  </si>
  <si>
    <t>曜影护腰</t>
  </si>
  <si>
    <t>曜影护腰(41400破无)</t>
  </si>
  <si>
    <t>7_109391</t>
  </si>
  <si>
    <t>孤寒劲</t>
  </si>
  <si>
    <t>孤寒劲(41400特效精简招)</t>
  </si>
  <si>
    <t>7_110944</t>
  </si>
  <si>
    <t>尽苍茫</t>
  </si>
  <si>
    <t>尽苍茫(41400特效精简速无)</t>
  </si>
  <si>
    <t>7_109393</t>
  </si>
  <si>
    <t>凌月游</t>
  </si>
  <si>
    <t>凌月游(41400特效精简破无)</t>
  </si>
  <si>
    <t>7_109395</t>
  </si>
  <si>
    <t>锁千秋</t>
  </si>
  <si>
    <t>锁千秋(41400特效精简破)</t>
  </si>
  <si>
    <t>7_109390</t>
  </si>
  <si>
    <t>贯日虹</t>
  </si>
  <si>
    <t>贯日虹(41400特效精简会招破无)</t>
  </si>
  <si>
    <t>7_109392</t>
  </si>
  <si>
    <t>碧落谣</t>
  </si>
  <si>
    <t>碧落谣(41400特效精简会无)</t>
  </si>
  <si>
    <t>7_109394</t>
  </si>
  <si>
    <t>世外身</t>
  </si>
  <si>
    <t>世外身(41400特效精简会)</t>
  </si>
  <si>
    <t>7_109385</t>
  </si>
  <si>
    <t>寒霄护腰·引</t>
  </si>
  <si>
    <t>寒霄护腰·引(41400精简招无)</t>
  </si>
  <si>
    <t>7_109388</t>
  </si>
  <si>
    <t>鸢啼护腰·绝</t>
  </si>
  <si>
    <t>鸢啼护腰·绝(41400精简招破无)</t>
  </si>
  <si>
    <t>7_109382</t>
  </si>
  <si>
    <t>棨戟护腰·尊</t>
  </si>
  <si>
    <t>棨戟护腰·尊(41400精简无)</t>
  </si>
  <si>
    <t>7_109389</t>
  </si>
  <si>
    <t>映霭护腰·迅</t>
  </si>
  <si>
    <t>映霭护腰·迅(41400精简速无)</t>
  </si>
  <si>
    <t>7_109384</t>
  </si>
  <si>
    <t>岷峨护腰·破</t>
  </si>
  <si>
    <t>岷峨护腰·破(41400精简破无)</t>
  </si>
  <si>
    <t>7_109387</t>
  </si>
  <si>
    <t>鸾旌护腰·明</t>
  </si>
  <si>
    <t>鸾旌护腰·明(41400精简会招无)</t>
  </si>
  <si>
    <t>7_109383</t>
  </si>
  <si>
    <t>瞿如护腰·悟</t>
  </si>
  <si>
    <t>瞿如护腰·悟(41400精简会无)</t>
  </si>
  <si>
    <t>7_109386</t>
  </si>
  <si>
    <t>沧陵护腰·觉</t>
  </si>
  <si>
    <t>沧陵护腰·觉(41400精简会破无)</t>
  </si>
  <si>
    <t>7_109482</t>
  </si>
  <si>
    <t>尧影护腰</t>
  </si>
  <si>
    <t>尧影护腰(42100会无)</t>
  </si>
  <si>
    <t>7_110815</t>
  </si>
  <si>
    <t>陶然意·烟峦腰带</t>
  </si>
  <si>
    <t>陶然意·烟峦腰带(42400会全)</t>
  </si>
  <si>
    <t>腰坠</t>
  </si>
  <si>
    <t>8_45503</t>
  </si>
  <si>
    <t>镂云佩</t>
  </si>
  <si>
    <t>镂云佩(30200速全)</t>
  </si>
  <si>
    <t>8_45485</t>
  </si>
  <si>
    <t>智渊佩</t>
  </si>
  <si>
    <t>智渊佩(30200会全)</t>
  </si>
  <si>
    <t>8_49349</t>
  </si>
  <si>
    <t>臻泽佩</t>
  </si>
  <si>
    <t>臻泽佩(30200破全)</t>
  </si>
  <si>
    <t>8_42966</t>
  </si>
  <si>
    <t>标雁坠</t>
  </si>
  <si>
    <t>标雁坠(30200招无)</t>
  </si>
  <si>
    <t>8_42990</t>
  </si>
  <si>
    <t>奉君命</t>
  </si>
  <si>
    <t>奉君命(30200特效破无)</t>
  </si>
  <si>
    <t>8_42854</t>
  </si>
  <si>
    <t>羽缀坠</t>
  </si>
  <si>
    <t>羽缀坠(30200速无)</t>
  </si>
  <si>
    <t>8_42948</t>
  </si>
  <si>
    <t>问殿佩</t>
  </si>
  <si>
    <t>问殿佩(30200速无)</t>
  </si>
  <si>
    <t>8_42870</t>
  </si>
  <si>
    <t>平皋坠</t>
  </si>
  <si>
    <t>平皋坠(30200会无)</t>
  </si>
  <si>
    <t>8_42742</t>
  </si>
  <si>
    <t>灵空·风行坠</t>
  </si>
  <si>
    <t>灵空·风行坠(30200会无)</t>
  </si>
  <si>
    <t>8_44397</t>
  </si>
  <si>
    <t>崔错坠</t>
  </si>
  <si>
    <t>崔错坠(30300会无)</t>
  </si>
  <si>
    <t>8_43910</t>
  </si>
  <si>
    <t>陶然意·谧秋坠</t>
  </si>
  <si>
    <t>陶然意·谧秋坠(30700会全)</t>
  </si>
  <si>
    <t>8_43066</t>
  </si>
  <si>
    <t>载周坠</t>
  </si>
  <si>
    <t>载周坠(30700会无)</t>
  </si>
  <si>
    <t>8_47963</t>
  </si>
  <si>
    <t>洄浏佩</t>
  </si>
  <si>
    <t>洄浏佩(32200会无)</t>
  </si>
  <si>
    <t>8_47800</t>
  </si>
  <si>
    <t>晚风佩</t>
  </si>
  <si>
    <t>晚风佩(32300橙·招无)</t>
  </si>
  <si>
    <t>橙·招无</t>
  </si>
  <si>
    <t>8_47806</t>
  </si>
  <si>
    <t>九衢交驰</t>
  </si>
  <si>
    <t>九衢交驰(32300橙·特效破无)</t>
  </si>
  <si>
    <t>橙·特效破无</t>
  </si>
  <si>
    <t>8_47794</t>
  </si>
  <si>
    <t>天风佩</t>
  </si>
  <si>
    <t>天风佩(32300橙·速无)</t>
  </si>
  <si>
    <t>橙·速无</t>
  </si>
  <si>
    <t>8_47824</t>
  </si>
  <si>
    <t>无修坠·外·地</t>
  </si>
  <si>
    <t>无修坠·外·地(32300橙·特效精简会无)</t>
  </si>
  <si>
    <t>橙·特效精简会无</t>
  </si>
  <si>
    <t>8_47825</t>
  </si>
  <si>
    <t>无修坠·外·地(32300橙·特效精简会破无)</t>
  </si>
  <si>
    <t>橙·特效精简会破无</t>
  </si>
  <si>
    <t>8_47826</t>
  </si>
  <si>
    <t>无修坠·外·地(32300橙·特效精简会会无)</t>
  </si>
  <si>
    <t>橙·特效精简会会无</t>
  </si>
  <si>
    <t>8_44464</t>
  </si>
  <si>
    <t>无修坠·外·地(32500特效精简招破无)</t>
  </si>
  <si>
    <t>8_44463</t>
  </si>
  <si>
    <t>无修坠·外·地(32500特效精简无)</t>
  </si>
  <si>
    <t>8_44465</t>
  </si>
  <si>
    <t>无修坠·外·地(32500特效精简会会无)</t>
  </si>
  <si>
    <t>8_47812</t>
  </si>
  <si>
    <t>崔错坠(32800橙·会无)</t>
  </si>
  <si>
    <t>橙·会无</t>
  </si>
  <si>
    <t>8_44409</t>
  </si>
  <si>
    <t>崔错坠(33000会无)</t>
  </si>
  <si>
    <t>8_44314</t>
  </si>
  <si>
    <t>晚风佩(35300招无)</t>
  </si>
  <si>
    <t>8_44338</t>
  </si>
  <si>
    <t>九衢交驰(35300特效破无)</t>
  </si>
  <si>
    <t>8_44296</t>
  </si>
  <si>
    <t>天风佩(35300速无)</t>
  </si>
  <si>
    <t>8_44475</t>
  </si>
  <si>
    <t>无修坠·外·地(35300特效精简会无)</t>
  </si>
  <si>
    <t>8_44476</t>
  </si>
  <si>
    <t>无修坠·外·地(35300特效精简会破无)</t>
  </si>
  <si>
    <t>8_44477</t>
  </si>
  <si>
    <t>无修坠·外·地(35300特效精简会会无)</t>
  </si>
  <si>
    <t>8_47975</t>
  </si>
  <si>
    <t>洄浏佩(35500会无)</t>
  </si>
  <si>
    <t>8_44421</t>
  </si>
  <si>
    <t>崔错坠(35900会无)</t>
  </si>
  <si>
    <t>8_45432</t>
  </si>
  <si>
    <t>陶然意·折柳坠</t>
  </si>
  <si>
    <t>陶然意·折柳坠(36200会全)</t>
  </si>
  <si>
    <t>8_49065</t>
  </si>
  <si>
    <t>流漓佩</t>
  </si>
  <si>
    <t>流漓佩(37900橙·招无)</t>
  </si>
  <si>
    <t>8_49071</t>
  </si>
  <si>
    <t>掠影凰</t>
  </si>
  <si>
    <t>掠影凰(37900橙·特效破无)</t>
  </si>
  <si>
    <t>8_49059</t>
  </si>
  <si>
    <t>尘隐佩</t>
  </si>
  <si>
    <t>尘隐佩(37900橙·速无)</t>
  </si>
  <si>
    <t>8_49090</t>
  </si>
  <si>
    <t>无修坠·外·天</t>
  </si>
  <si>
    <t>无修坠·外·天(37900橙·特效精简招无)</t>
  </si>
  <si>
    <t>橙·特效精简招无</t>
  </si>
  <si>
    <t>8_49089</t>
  </si>
  <si>
    <t>无修坠·外·天(37900橙·特效精简破无)</t>
  </si>
  <si>
    <t>橙·特效精简破无</t>
  </si>
  <si>
    <t>8_49091</t>
  </si>
  <si>
    <t>无修坠·外·天(37900橙·特效精简会无)</t>
  </si>
  <si>
    <t>8_48043</t>
  </si>
  <si>
    <t>无修坠·外·天(38100特效精简会招破无)</t>
  </si>
  <si>
    <t>8_48042</t>
  </si>
  <si>
    <t>无修坠·外·天(38100特效精简会会招)</t>
  </si>
  <si>
    <t>8_48041</t>
  </si>
  <si>
    <t>无修坠·外·天(38100特效精简会会无)</t>
  </si>
  <si>
    <t>8_49077</t>
  </si>
  <si>
    <t>洄浏佩(38500橙·会无)</t>
  </si>
  <si>
    <t>8_47987</t>
  </si>
  <si>
    <t>洄浏佩(38800会无)</t>
  </si>
  <si>
    <t>8_47892</t>
  </si>
  <si>
    <t>流漓佩(41400招无)</t>
  </si>
  <si>
    <t>8_47916</t>
  </si>
  <si>
    <t>掠影凰(41400特效破无)</t>
  </si>
  <si>
    <t>8_47874</t>
  </si>
  <si>
    <t>尘隐佩(41400速无)</t>
  </si>
  <si>
    <t>8_48054</t>
  </si>
  <si>
    <t>无修坠·外·天(41400特效精简招无)</t>
  </si>
  <si>
    <t>8_48053</t>
  </si>
  <si>
    <t>无修坠·外·天(41400特效精简破无)</t>
  </si>
  <si>
    <t>8_48055</t>
  </si>
  <si>
    <t>无修坠·外·天(41400特效精简会无)</t>
  </si>
  <si>
    <t>8_47999</t>
  </si>
  <si>
    <t>洄浏佩(42100会无)</t>
  </si>
  <si>
    <t>8_49010</t>
  </si>
  <si>
    <t>陶然意·烟峦佩</t>
  </si>
  <si>
    <t>陶然意·烟峦佩(42400会全)</t>
  </si>
  <si>
    <t>重剑</t>
  </si>
  <si>
    <t>6_40177</t>
  </si>
  <si>
    <t>寂夜听雷</t>
  </si>
  <si>
    <t>寂夜听雷(21375大橙武)</t>
  </si>
  <si>
    <t>6_40209</t>
  </si>
  <si>
    <t>寂夜听雷(22875大橙武)</t>
  </si>
  <si>
    <t>6_40241</t>
  </si>
  <si>
    <t>寂夜听雷(24375大橙武)</t>
  </si>
  <si>
    <t>6_44117</t>
  </si>
  <si>
    <t>白夜火·归</t>
  </si>
  <si>
    <t>白夜火·归(24500小橙武)</t>
  </si>
  <si>
    <t>6_40273</t>
  </si>
  <si>
    <t>寂夜听雷(25940大橙武)</t>
  </si>
  <si>
    <t>6_44150</t>
  </si>
  <si>
    <t>白夜火·归(27000小橙武)</t>
  </si>
  <si>
    <t>6_40305</t>
  </si>
  <si>
    <t>寂夜听雷(27500大橙武)</t>
  </si>
  <si>
    <t>6_44183</t>
  </si>
  <si>
    <t>白夜火·归(29500小橙武)</t>
  </si>
  <si>
    <t>6_42124</t>
  </si>
  <si>
    <t>寂夜听雷(29575大橙武)</t>
  </si>
  <si>
    <t>6_43659</t>
  </si>
  <si>
    <t>别意重剑</t>
  </si>
  <si>
    <t>别意重剑(30200速全)</t>
  </si>
  <si>
    <t>6_43621</t>
  </si>
  <si>
    <t>揽尽重剑</t>
  </si>
  <si>
    <t>揽尽重剑(30200破全)</t>
  </si>
  <si>
    <t>6_45651</t>
  </si>
  <si>
    <t>臻泽重剑·外</t>
  </si>
  <si>
    <t>臻泽重剑·外(30200破全)</t>
  </si>
  <si>
    <t>6_43390</t>
  </si>
  <si>
    <t>孤城惊梦·寄锋重剑</t>
  </si>
  <si>
    <t>孤城惊梦·寄锋重剑(30200破无)</t>
  </si>
  <si>
    <t>6_41256</t>
  </si>
  <si>
    <t>穆如重剑</t>
  </si>
  <si>
    <t>穆如重剑(30200招无)</t>
  </si>
  <si>
    <t>6_41272</t>
  </si>
  <si>
    <t>烟雨淬锋</t>
  </si>
  <si>
    <t>烟雨淬锋(30200特效破无)</t>
  </si>
  <si>
    <t>6_40946</t>
  </si>
  <si>
    <t>隐华重剑</t>
  </si>
  <si>
    <t>隐华重剑(30200速无)</t>
  </si>
  <si>
    <t>6_40900</t>
  </si>
  <si>
    <t>流安重剑</t>
  </si>
  <si>
    <t>流安重剑(30200破无)</t>
  </si>
  <si>
    <t>6_40597</t>
  </si>
  <si>
    <t>华烛重剑</t>
  </si>
  <si>
    <t>华烛重剑(30200会无)</t>
  </si>
  <si>
    <t>6_41216</t>
  </si>
  <si>
    <t>夕岚重剑</t>
  </si>
  <si>
    <t>夕岚重剑(30200会无)</t>
  </si>
  <si>
    <t>6_41372</t>
  </si>
  <si>
    <t>金泉</t>
  </si>
  <si>
    <t>金泉(30200招无)</t>
  </si>
  <si>
    <t>6_42608</t>
  </si>
  <si>
    <t>寻踪觅宝·重泉重剑</t>
  </si>
  <si>
    <t>寻踪觅宝·重泉重剑(30200招无)</t>
  </si>
  <si>
    <t>6_42086</t>
  </si>
  <si>
    <t>陶然意·谧秋重剑</t>
  </si>
  <si>
    <t>陶然意·谧秋重剑(30700破全)</t>
  </si>
  <si>
    <t>6_42501</t>
  </si>
  <si>
    <t>岚尘金蛇</t>
  </si>
  <si>
    <t>岚尘金蛇(30700特效会无)</t>
  </si>
  <si>
    <t>特效会无</t>
  </si>
  <si>
    <t>6_41310</t>
  </si>
  <si>
    <t>云作雪</t>
  </si>
  <si>
    <t>云作雪(30700会无)</t>
  </si>
  <si>
    <t>6_42156</t>
  </si>
  <si>
    <t>寂夜听雷(31625大橙武)</t>
  </si>
  <si>
    <t>6_44216</t>
  </si>
  <si>
    <t>白夜火·归(32000小橙武)</t>
  </si>
  <si>
    <t>6_43786</t>
  </si>
  <si>
    <t>娄泉重剑</t>
  </si>
  <si>
    <t>娄泉重剑(32500会无)</t>
  </si>
  <si>
    <t>6_44084</t>
  </si>
  <si>
    <t>青衣子母剑·重</t>
  </si>
  <si>
    <t>青衣子母剑·重(33400特效招无)</t>
  </si>
  <si>
    <t>6_43549</t>
  </si>
  <si>
    <t>寂夜听雷(34375大橙武)</t>
  </si>
  <si>
    <t>6_44249</t>
  </si>
  <si>
    <t>白夜火·归(35000小橙武)</t>
  </si>
  <si>
    <t>6_45125</t>
  </si>
  <si>
    <t>幽墟荡秽·居虹重剑</t>
  </si>
  <si>
    <t>幽墟荡秽·居虹重剑(35300破无)</t>
  </si>
  <si>
    <t>6_42707</t>
  </si>
  <si>
    <t>断桥重剑</t>
  </si>
  <si>
    <t>断桥重剑(35300招无)</t>
  </si>
  <si>
    <t>6_42723</t>
  </si>
  <si>
    <t>西陵江月</t>
  </si>
  <si>
    <t>西陵江月(35300特效破无)</t>
  </si>
  <si>
    <t>6_42666</t>
  </si>
  <si>
    <t>流泉重剑</t>
  </si>
  <si>
    <t>流泉重剑(35300会无)</t>
  </si>
  <si>
    <t>6_42825</t>
  </si>
  <si>
    <t>波光浮槛</t>
  </si>
  <si>
    <t>波光浮槛(35300招无)</t>
  </si>
  <si>
    <t>6_44343</t>
  </si>
  <si>
    <t>寻踪觅宝·时雷重剑</t>
  </si>
  <si>
    <t>寻踪觅宝·时雷重剑(35300招无)</t>
  </si>
  <si>
    <t>6_42762</t>
  </si>
  <si>
    <t>俯眺曲水</t>
  </si>
  <si>
    <t>俯眺曲水(35900会无)</t>
  </si>
  <si>
    <t>6_43518</t>
  </si>
  <si>
    <t>陶然意·折柳重剑</t>
  </si>
  <si>
    <t>陶然意·折柳重剑(36200破全)</t>
  </si>
  <si>
    <t>6_43582</t>
  </si>
  <si>
    <t>寂夜听雷(37125大橙武)</t>
  </si>
  <si>
    <t>6_45498</t>
  </si>
  <si>
    <t>胃玄重剑</t>
  </si>
  <si>
    <t>胃玄重剑(38100会无)</t>
  </si>
  <si>
    <t>6_44282</t>
  </si>
  <si>
    <t>白夜火·归(39750小橙武)</t>
  </si>
  <si>
    <t>6_45283</t>
  </si>
  <si>
    <t>寂夜听雷(40500大橙武)</t>
  </si>
  <si>
    <t>6_44442</t>
  </si>
  <si>
    <t>金铮重剑</t>
  </si>
  <si>
    <t>金铮重剑(41400招无)</t>
  </si>
  <si>
    <t>6_44458</t>
  </si>
  <si>
    <t>半世寒</t>
  </si>
  <si>
    <t>半世寒(41400特效破无)</t>
  </si>
  <si>
    <t>6_44401</t>
  </si>
  <si>
    <t>驰荒重剑</t>
  </si>
  <si>
    <t>驰荒重剑(41400会无)</t>
  </si>
  <si>
    <t>6_44560</t>
  </si>
  <si>
    <t>金藏锋</t>
  </si>
  <si>
    <t>金藏锋(41400招无)</t>
  </si>
  <si>
    <t>6_44497</t>
  </si>
  <si>
    <t>征人喑</t>
  </si>
  <si>
    <t>征人喑(42100会无)</t>
  </si>
  <si>
    <t>6_45252</t>
  </si>
  <si>
    <t>陶然意·烟峦重剑</t>
  </si>
  <si>
    <t>陶然意·烟峦重剑(42400破全)</t>
  </si>
  <si>
    <t>6_45316</t>
  </si>
  <si>
    <t>寂夜听雷(42500大橙武)</t>
  </si>
  <si>
    <t>选择</t>
  </si>
  <si>
    <t>精炼等级</t>
  </si>
  <si>
    <t>最大精炼等级</t>
  </si>
  <si>
    <t>实际精炼等级</t>
  </si>
  <si>
    <t>来源</t>
  </si>
  <si>
    <t>精炼体质</t>
  </si>
  <si>
    <t>精炼身法</t>
  </si>
  <si>
    <t>精炼力道</t>
  </si>
  <si>
    <t>精炼攻击</t>
  </si>
  <si>
    <t>精炼会心</t>
  </si>
  <si>
    <t>精炼会效</t>
  </si>
  <si>
    <t>精炼破防</t>
  </si>
  <si>
    <t>精炼破招</t>
  </si>
  <si>
    <t>精炼无双</t>
  </si>
  <si>
    <t>精炼加速</t>
  </si>
  <si>
    <t>精炼全能</t>
  </si>
  <si>
    <t>精炼御劲</t>
  </si>
  <si>
    <t>品质系数</t>
  </si>
  <si>
    <t>装备系数</t>
  </si>
  <si>
    <t>装备分数</t>
  </si>
  <si>
    <t>精炼分数</t>
  </si>
  <si>
    <t>戒指1</t>
  </si>
  <si>
    <t>戒指2</t>
  </si>
  <si>
    <t>结束</t>
  </si>
  <si>
    <t>镶嵌与附魔分数</t>
  </si>
  <si>
    <t>总分</t>
  </si>
  <si>
    <t>一键精炼使用</t>
  </si>
  <si>
    <t>显示</t>
  </si>
  <si>
    <t>轻/重剑</t>
  </si>
  <si>
    <t>项目</t>
  </si>
  <si>
    <t>内容</t>
  </si>
  <si>
    <t>备注</t>
  </si>
  <si>
    <t>体质值</t>
  </si>
  <si>
    <t>体质百分比</t>
  </si>
  <si>
    <t>基础气血值</t>
  </si>
  <si>
    <t>基础气血值百分比</t>
  </si>
  <si>
    <t>最终基础气血值</t>
  </si>
  <si>
    <t>额外气血值</t>
  </si>
  <si>
    <t>最大气血值百分比</t>
  </si>
  <si>
    <t>身法值</t>
  </si>
  <si>
    <t>百分比身法</t>
  </si>
  <si>
    <t>最终身法</t>
  </si>
  <si>
    <t>力道值</t>
  </si>
  <si>
    <t>百分比力道</t>
  </si>
  <si>
    <t>最终力道</t>
  </si>
  <si>
    <t>攻击值</t>
  </si>
  <si>
    <t>基础攻击百分比</t>
  </si>
  <si>
    <t>最终基础攻击</t>
  </si>
  <si>
    <t>最终攻击</t>
  </si>
  <si>
    <t>会心值</t>
  </si>
  <si>
    <t>会心几率</t>
  </si>
  <si>
    <t>最终会心</t>
  </si>
  <si>
    <t>会效值</t>
  </si>
  <si>
    <t>会效几率</t>
  </si>
  <si>
    <t>最终会效</t>
  </si>
  <si>
    <t>破防值</t>
  </si>
  <si>
    <t>破防百分比</t>
  </si>
  <si>
    <t>最终基础破防</t>
  </si>
  <si>
    <t>最终破防</t>
  </si>
  <si>
    <t>全能值</t>
  </si>
  <si>
    <t>破招值</t>
  </si>
  <si>
    <t>破招百分比</t>
  </si>
  <si>
    <t>最终破招</t>
  </si>
  <si>
    <t>无双值</t>
  </si>
  <si>
    <t>无双值百分比</t>
  </si>
  <si>
    <t>最终无双值</t>
  </si>
  <si>
    <t>无双百分比</t>
  </si>
  <si>
    <t>最终无双</t>
  </si>
  <si>
    <t>加速值</t>
  </si>
  <si>
    <t>加速值百分比</t>
  </si>
  <si>
    <t>最终加速值</t>
  </si>
  <si>
    <t>加速百分比</t>
  </si>
  <si>
    <t>最终加速</t>
  </si>
  <si>
    <t>武器伤害小</t>
  </si>
  <si>
    <t>武器伤害大</t>
  </si>
  <si>
    <t>武器伤害百分比</t>
  </si>
  <si>
    <t>最终武器伤害小</t>
  </si>
  <si>
    <t>最终武器伤害大</t>
  </si>
  <si>
    <t>Damageaddpercent</t>
  </si>
  <si>
    <t>易伤</t>
  </si>
  <si>
    <t>降低防御等级</t>
  </si>
  <si>
    <t>无视防御</t>
  </si>
  <si>
    <t>降低防御百分比</t>
  </si>
  <si>
    <t>是否存在</t>
  </si>
  <si>
    <t>是否显示</t>
  </si>
  <si>
    <t>增益开关</t>
  </si>
  <si>
    <t>覆盖率</t>
  </si>
  <si>
    <t>轻剑基础面板和</t>
  </si>
  <si>
    <t>重剑基础面板和</t>
  </si>
  <si>
    <t>帽子装备</t>
  </si>
  <si>
    <t>帽子五行石孔1</t>
  </si>
  <si>
    <t>帽子五行石孔2</t>
  </si>
  <si>
    <t>帽子基础附魔</t>
  </si>
  <si>
    <t>帽子大附魔</t>
  </si>
  <si>
    <t>衣服</t>
  </si>
  <si>
    <t>衣服装备</t>
  </si>
  <si>
    <t>衣服五行石孔1</t>
  </si>
  <si>
    <t>衣服五行石孔2</t>
  </si>
  <si>
    <t>衣服基础附魔</t>
  </si>
  <si>
    <t>衣服大附魔</t>
  </si>
  <si>
    <t>腰带装备</t>
  </si>
  <si>
    <t>腰带五行石孔1</t>
  </si>
  <si>
    <t>腰带五行石孔2</t>
  </si>
  <si>
    <t>腰带基础附魔</t>
  </si>
  <si>
    <t>腰带大附魔</t>
  </si>
  <si>
    <t>护腕</t>
  </si>
  <si>
    <t>护腕装备</t>
  </si>
  <si>
    <t>护腕五行石孔1</t>
  </si>
  <si>
    <t>护腕五行石孔2</t>
  </si>
  <si>
    <t>护腕基础附魔</t>
  </si>
  <si>
    <t>护腕大附魔</t>
  </si>
  <si>
    <t>下装</t>
  </si>
  <si>
    <t>下装装备</t>
  </si>
  <si>
    <t>下装五行石孔1</t>
  </si>
  <si>
    <t>下装五行石孔2</t>
  </si>
  <si>
    <t>下装基础附魔</t>
  </si>
  <si>
    <t>下装大附魔</t>
  </si>
  <si>
    <t>鞋子装备</t>
  </si>
  <si>
    <t>鞋子五行石孔1</t>
  </si>
  <si>
    <t>鞋子五行石孔2</t>
  </si>
  <si>
    <t>鞋子基础附魔</t>
  </si>
  <si>
    <t>鞋子大附魔</t>
  </si>
  <si>
    <t>项链装备</t>
  </si>
  <si>
    <t>项链五行石孔1</t>
  </si>
  <si>
    <t>项链基础附魔</t>
  </si>
  <si>
    <t>腰坠装备</t>
  </si>
  <si>
    <t>腰坠五行石孔1</t>
  </si>
  <si>
    <t>腰坠基础附魔</t>
  </si>
  <si>
    <t>戒指1装备</t>
  </si>
  <si>
    <t>戒指1基础附魔</t>
  </si>
  <si>
    <t>戒指2装备</t>
  </si>
  <si>
    <t>戒指2基础附魔</t>
  </si>
  <si>
    <t>暗器装备</t>
  </si>
  <si>
    <t>暗器五行石孔1</t>
  </si>
  <si>
    <t>暗器基础附魔</t>
  </si>
  <si>
    <t>轻剑装备</t>
  </si>
  <si>
    <t>轻剑五行石孔1</t>
  </si>
  <si>
    <t>轻剑五行石孔2</t>
  </si>
  <si>
    <t>轻剑五行石孔3</t>
  </si>
  <si>
    <t>轻剑基础附魔</t>
  </si>
  <si>
    <t>轻剑五彩石1</t>
  </si>
  <si>
    <t>轻剑五彩石2</t>
  </si>
  <si>
    <t>轻剑五彩石3</t>
  </si>
  <si>
    <t>重剑装备</t>
  </si>
  <si>
    <t>重剑五行石孔1</t>
  </si>
  <si>
    <t>重剑五行石孔2</t>
  </si>
  <si>
    <t>重剑五行石孔3</t>
  </si>
  <si>
    <t>重剑基础附魔</t>
  </si>
  <si>
    <t>重剑五彩石1</t>
  </si>
  <si>
    <t>重剑五彩石2</t>
  </si>
  <si>
    <t>重剑五彩石3</t>
  </si>
  <si>
    <t>套装</t>
  </si>
  <si>
    <t>切糕套</t>
  </si>
  <si>
    <t>水泉</t>
  </si>
  <si>
    <t>花永*26300</t>
  </si>
  <si>
    <t>月霭*30700</t>
  </si>
  <si>
    <t>江舟*35900</t>
  </si>
  <si>
    <t>尧影*42100</t>
  </si>
  <si>
    <t>门派套装普通</t>
  </si>
  <si>
    <t>门派套装英雄</t>
  </si>
  <si>
    <t>冬至套装</t>
  </si>
  <si>
    <t>问水诀心法</t>
  </si>
  <si>
    <t>心法属性</t>
  </si>
  <si>
    <t>山居剑意心法</t>
  </si>
  <si>
    <t>人物</t>
  </si>
  <si>
    <t>基础属性</t>
  </si>
  <si>
    <t>自定义</t>
  </si>
  <si>
    <t>自定义属性</t>
  </si>
  <si>
    <t>装备</t>
  </si>
  <si>
    <t>通用</t>
  </si>
  <si>
    <t>自输入轻剑</t>
  </si>
  <si>
    <t>自输入重剑</t>
  </si>
  <si>
    <t>双会套</t>
  </si>
  <si>
    <t>头/鞋</t>
  </si>
  <si>
    <t>衣/腰</t>
  </si>
  <si>
    <t>手/裤</t>
  </si>
  <si>
    <t>武器</t>
  </si>
  <si>
    <t>链</t>
  </si>
  <si>
    <t>戒</t>
  </si>
  <si>
    <t>附魔数值</t>
  </si>
  <si>
    <t>小附魔</t>
  </si>
  <si>
    <t>选择附魔</t>
  </si>
  <si>
    <t>数值</t>
  </si>
  <si>
    <t>颜色</t>
  </si>
  <si>
    <t>分数</t>
  </si>
  <si>
    <t>中等紫色</t>
  </si>
  <si>
    <t>次等挑战紫色</t>
  </si>
  <si>
    <t>挑战紫色</t>
  </si>
  <si>
    <t>紫色</t>
  </si>
  <si>
    <t>次等紫色</t>
  </si>
  <si>
    <t>蓝色</t>
  </si>
  <si>
    <t>次等蓝色</t>
  </si>
  <si>
    <t>龙血磨石</t>
  </si>
  <si>
    <t>无</t>
  </si>
  <si>
    <t>气血</t>
  </si>
  <si>
    <t>老破招</t>
  </si>
  <si>
    <t>老破防</t>
  </si>
  <si>
    <t>附魔分数</t>
  </si>
  <si>
    <t>紫</t>
  </si>
  <si>
    <t>链/坠</t>
  </si>
  <si>
    <t>蓝</t>
  </si>
  <si>
    <t>坠</t>
  </si>
  <si>
    <t>紫色攻击</t>
  </si>
  <si>
    <t>紫色体质</t>
  </si>
  <si>
    <t>紫色身法</t>
  </si>
  <si>
    <t>紫色通用</t>
  </si>
  <si>
    <t>次等紫色攻击</t>
  </si>
  <si>
    <t>次等紫色体质</t>
  </si>
  <si>
    <t>次等紫色身法</t>
  </si>
  <si>
    <t>次等紫色通用</t>
  </si>
  <si>
    <t>蓝色攻击</t>
  </si>
  <si>
    <t>蓝色体质</t>
  </si>
  <si>
    <t>蓝色身法</t>
  </si>
  <si>
    <t>挑战紫色体质</t>
  </si>
  <si>
    <t>紫色气血</t>
  </si>
  <si>
    <t>紫色武器伤害</t>
  </si>
  <si>
    <t>次等挑战紫色体质</t>
  </si>
  <si>
    <t>次等紫色气血</t>
  </si>
  <si>
    <t>次等紫色武器伤害</t>
  </si>
  <si>
    <t>挑战紫色身法</t>
  </si>
  <si>
    <t>蓝色通用</t>
  </si>
  <si>
    <t>蓝色气血</t>
  </si>
  <si>
    <t>蓝色武器伤害</t>
  </si>
  <si>
    <t>次等挑战紫色身法</t>
  </si>
  <si>
    <t>蓝色无双</t>
  </si>
  <si>
    <t>中等紫色体质</t>
  </si>
  <si>
    <t>挑战紫色攻击</t>
  </si>
  <si>
    <t>挑战紫色通用</t>
  </si>
  <si>
    <t>次等蓝色无双</t>
  </si>
  <si>
    <t>次等挑战紫色攻击</t>
  </si>
  <si>
    <t>次等挑战紫色通用</t>
  </si>
  <si>
    <t>紫色老破招</t>
  </si>
  <si>
    <t>紫色老破防</t>
  </si>
  <si>
    <t>中等紫色通用</t>
  </si>
  <si>
    <t>中等紫色身法</t>
  </si>
  <si>
    <t>中等紫色攻击</t>
  </si>
  <si>
    <t>大附魔</t>
  </si>
  <si>
    <t>可选数量</t>
  </si>
  <si>
    <t>当前品级</t>
  </si>
  <si>
    <t>帽</t>
  </si>
  <si>
    <t>衣</t>
  </si>
  <si>
    <t>腰</t>
  </si>
  <si>
    <t>腕</t>
  </si>
  <si>
    <t>鞋</t>
  </si>
  <si>
    <t>名称</t>
  </si>
  <si>
    <t>最小品级</t>
  </si>
  <si>
    <t>最大品级</t>
  </si>
  <si>
    <t>占位</t>
  </si>
  <si>
    <t>于阗玉邑</t>
  </si>
  <si>
    <t>于阗玉镇</t>
  </si>
  <si>
    <t>于阗玉川</t>
  </si>
  <si>
    <t>于阗玉邦</t>
  </si>
  <si>
    <t>于阗玉都</t>
  </si>
  <si>
    <t>选择正确</t>
  </si>
  <si>
    <t>已选择</t>
  </si>
  <si>
    <t>分数数据</t>
  </si>
  <si>
    <t>属性数据</t>
  </si>
  <si>
    <t>总属性</t>
  </si>
  <si>
    <t>无修</t>
  </si>
  <si>
    <t>是否存在1</t>
  </si>
  <si>
    <t>是否存在2</t>
  </si>
  <si>
    <t>特殊效果</t>
  </si>
  <si>
    <t>自适应之力</t>
  </si>
  <si>
    <t>增加前</t>
  </si>
  <si>
    <t>增加值</t>
  </si>
  <si>
    <t>无修冠·外·荒</t>
  </si>
  <si>
    <t>帽子自适应之力低</t>
  </si>
  <si>
    <t>帽子自适应之力高</t>
  </si>
  <si>
    <t>身法百分比</t>
  </si>
  <si>
    <t>无修鞋·外·荒</t>
  </si>
  <si>
    <t>会</t>
  </si>
  <si>
    <t>鞋子会心低</t>
  </si>
  <si>
    <t>鞋子破防低</t>
  </si>
  <si>
    <t>力道百分比</t>
  </si>
  <si>
    <t>鞋子会心高</t>
  </si>
  <si>
    <t>鞋子破防高</t>
  </si>
  <si>
    <t>无修链·外·荒</t>
  </si>
  <si>
    <t>项链会效层数低</t>
  </si>
  <si>
    <t>会心等级/4748</t>
  </si>
  <si>
    <t>项链攻击层数低</t>
  </si>
  <si>
    <t>破防等级/5427</t>
  </si>
  <si>
    <t>会效层数</t>
  </si>
  <si>
    <t>项链会效层数高</t>
  </si>
  <si>
    <t>会心等级/4942</t>
  </si>
  <si>
    <t>攻击层数</t>
  </si>
  <si>
    <t>项链攻击层数高</t>
  </si>
  <si>
    <t>破防等级/5648</t>
  </si>
  <si>
    <t>无修坠·外·荒</t>
  </si>
  <si>
    <t>破</t>
  </si>
  <si>
    <t>破防层数低</t>
  </si>
  <si>
    <t>5层</t>
  </si>
  <si>
    <t>会效层数低</t>
  </si>
  <si>
    <t>破防5层</t>
  </si>
  <si>
    <t>会效5层</t>
  </si>
  <si>
    <t>破防层数高</t>
  </si>
  <si>
    <t>会效层数高</t>
  </si>
  <si>
    <t>无修囊·外·荒</t>
  </si>
  <si>
    <t>恒定伤害低</t>
  </si>
  <si>
    <t>CD10s</t>
  </si>
  <si>
    <t>恒定伤害高</t>
  </si>
  <si>
    <t>无修链·外·玄</t>
  </si>
  <si>
    <t>会心等级/5302</t>
  </si>
  <si>
    <t>破防等级/6060</t>
  </si>
  <si>
    <t>会心等级/5683</t>
  </si>
  <si>
    <t>破防等级/6469</t>
  </si>
  <si>
    <t>无修坠·外·玄</t>
  </si>
  <si>
    <t>会心等级/6006</t>
  </si>
  <si>
    <t>破防等级/6864</t>
  </si>
  <si>
    <t>会心等级/6526</t>
  </si>
  <si>
    <t>破防等级/7456</t>
  </si>
  <si>
    <t>破防等级/7901</t>
  </si>
  <si>
    <t>会心等级/7901</t>
  </si>
  <si>
    <t>破防等级/8586</t>
  </si>
  <si>
    <t>会心等级/8586</t>
  </si>
  <si>
    <t>阵法五/六重</t>
  </si>
  <si>
    <t>启用</t>
  </si>
  <si>
    <t>默认</t>
  </si>
  <si>
    <t>结果</t>
  </si>
  <si>
    <t>藏剑(阵眼)阵</t>
  </si>
  <si>
    <t>六重T闪避</t>
  </si>
  <si>
    <t>15%</t>
  </si>
  <si>
    <t>剑纯阵</t>
  </si>
  <si>
    <t>丐帮阵</t>
  </si>
  <si>
    <t>凌雪阵</t>
  </si>
  <si>
    <t>万灵阵</t>
  </si>
  <si>
    <t>五重层数</t>
  </si>
  <si>
    <t>5</t>
  </si>
  <si>
    <t>0%</t>
  </si>
  <si>
    <t>0</t>
  </si>
  <si>
    <t>10%</t>
  </si>
  <si>
    <t>1</t>
  </si>
  <si>
    <t>45%</t>
  </si>
  <si>
    <t>70%</t>
  </si>
  <si>
    <t>五重覆盖率</t>
  </si>
  <si>
    <t>55%</t>
  </si>
  <si>
    <t>2</t>
  </si>
  <si>
    <t>50%</t>
  </si>
  <si>
    <t>80%</t>
  </si>
  <si>
    <t>20%</t>
  </si>
  <si>
    <t>3</t>
  </si>
  <si>
    <t>25%</t>
  </si>
  <si>
    <t>4</t>
  </si>
  <si>
    <t>57%</t>
  </si>
  <si>
    <t>标题显示</t>
  </si>
  <si>
    <t>30%</t>
  </si>
  <si>
    <t>默认显示</t>
  </si>
  <si>
    <t>35%</t>
  </si>
  <si>
    <t>40%</t>
  </si>
  <si>
    <t>创意食品
17365</t>
  </si>
  <si>
    <t>初</t>
  </si>
  <si>
    <t>次</t>
  </si>
  <si>
    <t>升</t>
  </si>
  <si>
    <t>盛</t>
  </si>
  <si>
    <t>实际</t>
  </si>
  <si>
    <t>当前选择</t>
  </si>
  <si>
    <t>是否使用创意料理</t>
  </si>
  <si>
    <t>层数</t>
  </si>
  <si>
    <t>精简特效</t>
  </si>
  <si>
    <t>特效</t>
  </si>
  <si>
    <t>CD</t>
  </si>
  <si>
    <t>额外伤害</t>
  </si>
  <si>
    <t>速震伤害</t>
  </si>
  <si>
    <t>特效护手伤害</t>
  </si>
  <si>
    <t>特效裤子无双</t>
  </si>
  <si>
    <t>特效裤子会心</t>
  </si>
  <si>
    <t>1412破招</t>
  </si>
  <si>
    <t>特效裤子破防</t>
  </si>
  <si>
    <t>1412破防</t>
  </si>
  <si>
    <t>自适应会心</t>
  </si>
  <si>
    <t>自适应破防</t>
  </si>
  <si>
    <t>1412会心</t>
  </si>
  <si>
    <t>2.1%无双</t>
  </si>
  <si>
    <t>6.3%无双或8474破防</t>
  </si>
  <si>
    <t>6.3%无双或8474会心</t>
  </si>
  <si>
    <t>随机8506破防或会心或破招</t>
  </si>
  <si>
    <t>988破防和会心</t>
  </si>
  <si>
    <t>额外DOT</t>
  </si>
  <si>
    <t>1650破招</t>
  </si>
  <si>
    <t>1650无双</t>
  </si>
  <si>
    <t>1650破防</t>
  </si>
  <si>
    <t>1650会心</t>
  </si>
  <si>
    <t>3301无双</t>
  </si>
  <si>
    <t>15.13%无双或20148破防</t>
  </si>
  <si>
    <t>15.13%无双或20148会心</t>
  </si>
  <si>
    <t>1155破防和会心</t>
  </si>
  <si>
    <t>随机12254破防或会心或破招</t>
  </si>
  <si>
    <t>1928破招</t>
  </si>
  <si>
    <t>1928无双</t>
  </si>
  <si>
    <t>1928破防</t>
  </si>
  <si>
    <t>1928会心</t>
  </si>
  <si>
    <t>3857无双</t>
  </si>
  <si>
    <t>17.67%无双或23540破防</t>
  </si>
  <si>
    <t>17.67%无双或23540会心</t>
  </si>
  <si>
    <t>1350破防和会心</t>
  </si>
  <si>
    <t>自适应会心破防</t>
  </si>
  <si>
    <t>五行石孔</t>
  </si>
  <si>
    <t>装分</t>
  </si>
  <si>
    <t>力道孔</t>
  </si>
  <si>
    <t>五行石分数</t>
  </si>
  <si>
    <t>五彩石分数</t>
  </si>
  <si>
    <t>激活个数</t>
  </si>
  <si>
    <t>激活等级</t>
  </si>
  <si>
    <t>五彩石</t>
  </si>
  <si>
    <t>轻剑三属性</t>
  </si>
  <si>
    <t>重剑三属性</t>
  </si>
  <si>
    <t>一键镶嵌</t>
  </si>
  <si>
    <t>肆1</t>
  </si>
  <si>
    <t>镶嵌</t>
  </si>
  <si>
    <t>肆2</t>
  </si>
  <si>
    <t>肆3</t>
  </si>
  <si>
    <t>伍1</t>
  </si>
  <si>
    <t>伍2</t>
  </si>
  <si>
    <t>伍3</t>
  </si>
  <si>
    <t>陆1</t>
  </si>
  <si>
    <t>陆2</t>
  </si>
  <si>
    <t>陆3</t>
  </si>
  <si>
    <t>彩·身法·攻击·武器伤害</t>
  </si>
  <si>
    <t>第一属性</t>
  </si>
  <si>
    <t>二属性身法</t>
  </si>
  <si>
    <t>二属性攻击</t>
  </si>
  <si>
    <t>二属性破防</t>
  </si>
  <si>
    <t>二属性会心</t>
  </si>
  <si>
    <t>二属性会效</t>
  </si>
  <si>
    <t>二属性破招</t>
  </si>
  <si>
    <t>二属性无双</t>
  </si>
  <si>
    <t>二属性精简</t>
  </si>
  <si>
    <t>二属性加速</t>
  </si>
  <si>
    <t>二属性武器伤害</t>
  </si>
  <si>
    <t>彩·身法·攻击·破防</t>
  </si>
  <si>
    <t>彩·身法·攻击·会效</t>
  </si>
  <si>
    <t>彩·身法·破防·武器伤害</t>
  </si>
  <si>
    <t>彩·身法·破防·攻击</t>
  </si>
  <si>
    <t>彩·身法·破防·会效</t>
  </si>
  <si>
    <t>彩·身法·会效·武器伤害</t>
  </si>
  <si>
    <t>彩·身法·会效·破防</t>
  </si>
  <si>
    <t>彩·身法·会效·攻击</t>
  </si>
  <si>
    <t>彩·身法·加速·攻击</t>
  </si>
  <si>
    <t>彩·攻击·破防·武器伤害</t>
  </si>
  <si>
    <t>彩·攻击·破防·会效</t>
  </si>
  <si>
    <t>彩·攻击·会效·武器伤害</t>
  </si>
  <si>
    <t>彩·攻击·会效·破防</t>
  </si>
  <si>
    <t>彩·破防·攻击·武器伤害</t>
  </si>
  <si>
    <t>彩·破防·攻击·会效</t>
  </si>
  <si>
    <t>彩·破防·会效·武器伤害</t>
  </si>
  <si>
    <t>彩·破防·会效·攻击</t>
  </si>
  <si>
    <t>彩·会心·攻击·武器伤害</t>
  </si>
  <si>
    <t>第三属性</t>
  </si>
  <si>
    <t>五彩石存在</t>
  </si>
  <si>
    <t>序号</t>
  </si>
  <si>
    <t>轻剑第三属性</t>
  </si>
  <si>
    <t>重剑第三属性</t>
  </si>
  <si>
    <t>彩·会心·攻击·破防</t>
  </si>
  <si>
    <t>彩·会心·攻击·会效</t>
  </si>
  <si>
    <t>彩·会心·破防·武器伤害</t>
  </si>
  <si>
    <t>彩·会心·破防·攻击</t>
  </si>
  <si>
    <t>彩·会心·破防·会效</t>
  </si>
  <si>
    <t>彩·会心·会效·武器伤害</t>
  </si>
  <si>
    <t>彩·会心·会效·破防</t>
  </si>
  <si>
    <t>彩·会心·会效·攻击</t>
  </si>
  <si>
    <t>彩·会效·攻击·武器伤害</t>
  </si>
  <si>
    <t>彩·会效·攻击·破防</t>
  </si>
  <si>
    <t>彩·会效·破防·武器伤害</t>
  </si>
  <si>
    <t>彩·会效·破防·攻击</t>
  </si>
  <si>
    <t>彩·破招·攻击·武器伤害</t>
  </si>
  <si>
    <t>彩·破招·攻击·破防</t>
  </si>
  <si>
    <t>彩·破招·攻击·会效</t>
  </si>
  <si>
    <t>彩·破招·破防·武器伤害</t>
  </si>
  <si>
    <t>彩·破招·破防·攻击</t>
  </si>
  <si>
    <t>彩·破招·破防·会效</t>
  </si>
  <si>
    <t>彩·破招·会效·武器伤害</t>
  </si>
  <si>
    <t>彩·破招·会效·破防</t>
  </si>
  <si>
    <t>彩·破招·会效·攻击</t>
  </si>
  <si>
    <t>彩·破招·加速·攻击</t>
  </si>
  <si>
    <t>彩·无双·攻击·武器伤害</t>
  </si>
  <si>
    <t>彩·无双·攻击·破防</t>
  </si>
  <si>
    <t>彩·无双·攻击·会效</t>
  </si>
  <si>
    <t>彩·无双·破防·武器伤害</t>
  </si>
  <si>
    <t>彩·无双·破防·攻击</t>
  </si>
  <si>
    <t>彩·无双·破防·会效</t>
  </si>
  <si>
    <t>彩·无双·会效·武器伤害</t>
  </si>
  <si>
    <t>彩·无双·会效·破防</t>
  </si>
  <si>
    <t>彩·无双·会效·攻击</t>
  </si>
  <si>
    <t>彩·无双·加速·攻击</t>
  </si>
  <si>
    <t>彩·精简·会心·身法</t>
  </si>
  <si>
    <t>彩·加速·破招·攻击</t>
  </si>
  <si>
    <t>彩·加速·攻击·破招</t>
  </si>
  <si>
    <t>彩·加速·攻击·无双</t>
  </si>
  <si>
    <t>彩·加速·无双·攻击</t>
  </si>
  <si>
    <t>彩·武器伤害·破招·攻击</t>
  </si>
  <si>
    <t>彩·武器伤害·破招·会效</t>
  </si>
  <si>
    <t>彩·武器伤害·破招·破防</t>
  </si>
  <si>
    <t>彩·武器伤害·攻击·破招</t>
  </si>
  <si>
    <t>彩·武器伤害·攻击·无双</t>
  </si>
  <si>
    <t>彩·武器伤害·会效·破招</t>
  </si>
  <si>
    <t>彩·武器伤害·会效·无双</t>
  </si>
  <si>
    <t>彩·武器伤害·无双·攻击</t>
  </si>
  <si>
    <t>彩·武器伤害·无双·会效</t>
  </si>
  <si>
    <t>彩·武器伤害·无双·破防</t>
  </si>
  <si>
    <t>彩·武器伤害·破防·破招</t>
  </si>
  <si>
    <t>彩·武器伤害·破防·无双</t>
  </si>
  <si>
    <t>彩·攻击·加速·破招</t>
  </si>
  <si>
    <t>彩·攻击·加速·无双</t>
  </si>
  <si>
    <t>彩·攻击·武器伤害·破招</t>
  </si>
  <si>
    <t>彩·攻击·武器伤害·无双</t>
  </si>
  <si>
    <t>彩·攻击·破招·加速</t>
  </si>
  <si>
    <t>彩·攻击·破招·武器伤害</t>
  </si>
  <si>
    <t>彩·攻击·破招·会效</t>
  </si>
  <si>
    <t>彩·攻击·破招·破防</t>
  </si>
  <si>
    <t>彩·攻击·会效·破招</t>
  </si>
  <si>
    <t>彩·攻击·会效·无双</t>
  </si>
  <si>
    <t>彩·攻击·无双·加速</t>
  </si>
  <si>
    <t>彩·攻击·无双·武器伤害</t>
  </si>
  <si>
    <t>彩·攻击·无双·会效</t>
  </si>
  <si>
    <t>彩·攻击·无双·破防</t>
  </si>
  <si>
    <t>彩·攻击·破防·破招</t>
  </si>
  <si>
    <t>彩·攻击·破防·无双</t>
  </si>
  <si>
    <t>彩·会效·武器伤害·破招</t>
  </si>
  <si>
    <t>彩·会效·武器伤害·无双</t>
  </si>
  <si>
    <t>彩·会效·破招·武器伤害</t>
  </si>
  <si>
    <t>彩·会效·破招·攻击</t>
  </si>
  <si>
    <t>彩·会效·破招·破防</t>
  </si>
  <si>
    <t>彩·会效·攻击·破招</t>
  </si>
  <si>
    <t>彩·会效·攻击·无双</t>
  </si>
  <si>
    <t>彩·会效·无双·武器伤害</t>
  </si>
  <si>
    <t>彩·会效·无双·攻击</t>
  </si>
  <si>
    <t>彩·会效·无双·破防</t>
  </si>
  <si>
    <t>彩·会效·破防·破招</t>
  </si>
  <si>
    <t>彩·会效·破防·无双</t>
  </si>
  <si>
    <t>彩·破防·武器伤害·破招</t>
  </si>
  <si>
    <t>彩·破防·武器伤害·无双</t>
  </si>
  <si>
    <t>彩·破防·破招·武器伤害</t>
  </si>
  <si>
    <t>彩·破防·破招·攻击</t>
  </si>
  <si>
    <t>彩·破防·破招·会效</t>
  </si>
  <si>
    <t>彩·破防·攻击·破招</t>
  </si>
  <si>
    <t>彩·破防·攻击·无双</t>
  </si>
  <si>
    <t>彩·破防·会效·破招</t>
  </si>
  <si>
    <t>彩·破防·会效·无双</t>
  </si>
  <si>
    <t>彩·破防·无双·武器伤害</t>
  </si>
  <si>
    <t>彩·破防·无双·攻击</t>
  </si>
  <si>
    <t>彩·破防·无双·会效</t>
  </si>
  <si>
    <t>轻剑计算</t>
  </si>
  <si>
    <t>重剑计算</t>
  </si>
  <si>
    <t>内会</t>
  </si>
  <si>
    <t>内会效</t>
  </si>
  <si>
    <t>内破</t>
  </si>
  <si>
    <t>元气/根骨</t>
  </si>
  <si>
    <t>配装计算器显示</t>
  </si>
  <si>
    <t>轻剑增益面板和</t>
  </si>
  <si>
    <t>重剑增益面板和</t>
  </si>
  <si>
    <t>轻剑实战面板和</t>
  </si>
  <si>
    <t>重剑实战面板和</t>
  </si>
  <si>
    <t>循环增益-奇穴</t>
  </si>
  <si>
    <t>岱宗22913</t>
  </si>
  <si>
    <t>怜光12317</t>
  </si>
  <si>
    <t>如风9701</t>
  </si>
  <si>
    <t>剑锋百锻</t>
  </si>
  <si>
    <t>药品辅助</t>
  </si>
  <si>
    <t>风语·上品轻身丹(紫身)</t>
  </si>
  <si>
    <t>风语·中品轻身丹(蓝身)</t>
  </si>
  <si>
    <t>炼气·辅(八段锦·全属性)</t>
  </si>
  <si>
    <t>药品增强</t>
  </si>
  <si>
    <t>风语·上品破秽散(紫破)</t>
  </si>
  <si>
    <t>风语·上品亢龙散(紫攻)</t>
  </si>
  <si>
    <t>风语·上品玉璃散(紫会)</t>
  </si>
  <si>
    <t>风语·上品活气散(紫速)</t>
  </si>
  <si>
    <t>风语·上品凝神散(紫破招)</t>
  </si>
  <si>
    <t>风语·中品破秽散(蓝破)</t>
  </si>
  <si>
    <t>风语·中品亢龙散(蓝攻)</t>
  </si>
  <si>
    <t>风语·中品玉璃散(蓝会)</t>
  </si>
  <si>
    <t>风语·中品活气散(蓝速)</t>
  </si>
  <si>
    <t>风语·中品凝神散(蓝破招)</t>
  </si>
  <si>
    <t>炼气·增(八段锦·攻)</t>
  </si>
  <si>
    <t>食品辅助</t>
  </si>
  <si>
    <t>风语·杂锦鱼球粥(紫身)</t>
  </si>
  <si>
    <t>风语·杂碎汤(蓝身)</t>
  </si>
  <si>
    <t>强身·辅(八段锦·全属性)</t>
  </si>
  <si>
    <t>食品增强</t>
  </si>
  <si>
    <t>风语·红烧排骨(紫破)</t>
  </si>
  <si>
    <t>风语·太后饼(紫攻)</t>
  </si>
  <si>
    <t>风语·酸菜鱼(紫会)</t>
  </si>
  <si>
    <t>风语·红烧扣肉(紫速)</t>
  </si>
  <si>
    <t>风语·白血肉肠(紫破招)</t>
  </si>
  <si>
    <t>风语·水煮肉片(蓝破)</t>
  </si>
  <si>
    <t>风语·煎饼果子(蓝攻)</t>
  </si>
  <si>
    <t>风语·鱼香肉丝(蓝会)</t>
  </si>
  <si>
    <t>风语·栗子烧肉(蓝速)</t>
  </si>
  <si>
    <t>风语·毛血旺(蓝破招)</t>
  </si>
  <si>
    <t>强身·增(八段锦·攻)</t>
  </si>
  <si>
    <t>磨石</t>
  </si>
  <si>
    <t>风语·瀑沙熔锭(紫攻)</t>
  </si>
  <si>
    <t>风语·瀑沙磨石(蓝攻)</t>
  </si>
  <si>
    <t>宴席</t>
  </si>
  <si>
    <t>风语·水晶芙蓉宴</t>
  </si>
  <si>
    <t>风语·玉笛谁家听落梅</t>
  </si>
  <si>
    <t>家园菜品</t>
  </si>
  <si>
    <t>风语·煎豆腐(破招)</t>
  </si>
  <si>
    <t>风语·炖豆腐(无双)</t>
  </si>
  <si>
    <t>风语·葫芦叫花鸡(外攻)</t>
  </si>
  <si>
    <t>风语·清蒸鲈鱼(破防)</t>
  </si>
  <si>
    <t>风语·炸鱼干(会心)</t>
  </si>
  <si>
    <t>煎豆腐(破招)</t>
  </si>
  <si>
    <t>炖豆腐(无双)</t>
  </si>
  <si>
    <t>葫芦叫花鸡(外攻)</t>
  </si>
  <si>
    <t>清蒸鲈鱼(破防)</t>
  </si>
  <si>
    <t>炸鱼干(会心)</t>
  </si>
  <si>
    <t>创意食品减益</t>
  </si>
  <si>
    <t>无双值降低</t>
  </si>
  <si>
    <t>破招值降低</t>
  </si>
  <si>
    <t>最大气血值降低</t>
  </si>
  <si>
    <t>创意食品</t>
  </si>
  <si>
    <t>攻击值增加</t>
  </si>
  <si>
    <t>破防值增加</t>
  </si>
  <si>
    <t>会心值增加</t>
  </si>
  <si>
    <t>家园酒品</t>
  </si>
  <si>
    <t>关外白酒(身法)</t>
  </si>
  <si>
    <t>关外白酒·今朝醉(身法)</t>
  </si>
  <si>
    <t>关外白酒·六日醉(身法)</t>
  </si>
  <si>
    <t>关外白酒·旬又三(身法)</t>
  </si>
  <si>
    <t>女儿红(加速)</t>
  </si>
  <si>
    <t>女儿红·今朝醉(加速)</t>
  </si>
  <si>
    <t>女儿红·六日醉(加速)</t>
  </si>
  <si>
    <t>女儿红·旬又三(加速)</t>
  </si>
  <si>
    <t>家园香水</t>
  </si>
  <si>
    <t>煦风·宁为秋霜(破防)</t>
  </si>
  <si>
    <t>煦风·燕燕于飞(会心)</t>
  </si>
  <si>
    <t>蒸鱼菜盘</t>
  </si>
  <si>
    <t>水煮鱼</t>
  </si>
  <si>
    <t>百炼水煮鱼</t>
  </si>
  <si>
    <t>炼狱水煮鱼</t>
  </si>
  <si>
    <t>同泽宴</t>
  </si>
  <si>
    <t>袖气</t>
  </si>
  <si>
    <t>袖气-673</t>
  </si>
  <si>
    <t>撼如雷</t>
  </si>
  <si>
    <t>撼如雷-362</t>
  </si>
  <si>
    <t>易伤-4058</t>
  </si>
  <si>
    <t>戒火斩</t>
  </si>
  <si>
    <t>共战江湖</t>
  </si>
  <si>
    <t>共战江湖-3220</t>
  </si>
  <si>
    <t>盾飞(虚弱)</t>
  </si>
  <si>
    <t>乘龙箭</t>
  </si>
  <si>
    <t>疏狂</t>
  </si>
  <si>
    <t>酣畅淋漓</t>
  </si>
  <si>
    <t>碎星辰</t>
  </si>
  <si>
    <t>激雷</t>
  </si>
  <si>
    <t>破风-661</t>
  </si>
  <si>
    <t>破风</t>
  </si>
  <si>
    <t>破风-12717</t>
  </si>
  <si>
    <t>劲风破风</t>
  </si>
  <si>
    <t>号令三军·层数</t>
  </si>
  <si>
    <t>号令三军-23107</t>
  </si>
  <si>
    <t>禅语</t>
  </si>
  <si>
    <t>禅语-6214</t>
  </si>
  <si>
    <t>朝圣言</t>
  </si>
  <si>
    <t>朝圣言-4246</t>
  </si>
  <si>
    <t>振奋·层数</t>
  </si>
  <si>
    <t>振奋·层数-8504</t>
  </si>
  <si>
    <t>寒啸千军</t>
  </si>
  <si>
    <t>寒啸千军-10031</t>
  </si>
  <si>
    <t>飘黄</t>
  </si>
  <si>
    <t>左旋右转</t>
  </si>
  <si>
    <t>左旋右转-20938</t>
  </si>
  <si>
    <t>配伍</t>
  </si>
  <si>
    <t>仙王蛊鼎</t>
  </si>
  <si>
    <t>仙王蛊鼎-24742</t>
  </si>
  <si>
    <t>秋肃</t>
  </si>
  <si>
    <t>秋肃-29294</t>
  </si>
  <si>
    <t>庄周梦</t>
  </si>
  <si>
    <t>庄周梦-23543</t>
  </si>
  <si>
    <t>风特效</t>
  </si>
  <si>
    <t>25900特效</t>
  </si>
  <si>
    <t>水特效</t>
  </si>
  <si>
    <t>15600特效</t>
  </si>
  <si>
    <t>30200特效</t>
  </si>
  <si>
    <t>35300特效</t>
  </si>
  <si>
    <t>41400特效</t>
  </si>
  <si>
    <t>24500小橙武无双</t>
  </si>
  <si>
    <t>27000小橙武无双</t>
  </si>
  <si>
    <t>29500小橙武无双</t>
  </si>
  <si>
    <t>32000小橙武无双</t>
  </si>
  <si>
    <t>35000小橙武无双</t>
  </si>
  <si>
    <t>39750小橙武无双</t>
  </si>
  <si>
    <t>21375大橙武无双</t>
  </si>
  <si>
    <t>22875大橙武无双</t>
  </si>
  <si>
    <t>24375大橙武无双</t>
  </si>
  <si>
    <t>25940大橙武无双</t>
  </si>
  <si>
    <t>27500大橙武无双</t>
  </si>
  <si>
    <t>29575大橙武无双</t>
  </si>
  <si>
    <t>31625大橙武无双</t>
  </si>
  <si>
    <t>34375大橙武无双</t>
  </si>
  <si>
    <t>37125大橙武无双</t>
  </si>
  <si>
    <t>40500大橙武无双</t>
  </si>
  <si>
    <t>42500大橙武无双</t>
  </si>
  <si>
    <t>腰带大附魔1%</t>
  </si>
  <si>
    <t>腰带大附魔5%</t>
  </si>
  <si>
    <t>阵法</t>
  </si>
  <si>
    <t>藏剑阵</t>
  </si>
  <si>
    <t>身法/攻击/会效</t>
  </si>
  <si>
    <t>藏剑五阵</t>
  </si>
  <si>
    <t>武伤</t>
  </si>
  <si>
    <t>藏剑六阵</t>
  </si>
  <si>
    <t>天策阵</t>
  </si>
  <si>
    <t>攻击/破防</t>
  </si>
  <si>
    <t>天策五阵</t>
  </si>
  <si>
    <t>会心/会效/无双</t>
  </si>
  <si>
    <t>剑纯五阵</t>
  </si>
  <si>
    <t>惊羽阵</t>
  </si>
  <si>
    <t>力道/破防/无双</t>
  </si>
  <si>
    <t>惊羽五阵</t>
  </si>
  <si>
    <t>丐帮五阵</t>
  </si>
  <si>
    <t>霸刀阵</t>
  </si>
  <si>
    <t>攻击/破防/无双</t>
  </si>
  <si>
    <t>霸刀五阵</t>
  </si>
  <si>
    <t>天罗阵</t>
  </si>
  <si>
    <t>会效/无视</t>
  </si>
  <si>
    <t>天罗五阵</t>
  </si>
  <si>
    <t>攻击/会心/会效</t>
  </si>
  <si>
    <t>凌雪五阵</t>
  </si>
  <si>
    <t>蓬莱阵</t>
  </si>
  <si>
    <t>攻击/会心/破防</t>
  </si>
  <si>
    <t>段氏阵</t>
  </si>
  <si>
    <t>段氏五阵</t>
  </si>
  <si>
    <t>伤害</t>
  </si>
  <si>
    <t>苍云阵</t>
  </si>
  <si>
    <t>会心/无双</t>
  </si>
  <si>
    <t>苍云五阵</t>
  </si>
  <si>
    <t>刀宗阵</t>
  </si>
  <si>
    <t>攻击/破防/破招</t>
  </si>
  <si>
    <t>会心/无双/伤害</t>
  </si>
  <si>
    <t>万灵五阵</t>
  </si>
  <si>
    <t>无界阵</t>
  </si>
  <si>
    <t>无双/伤害</t>
  </si>
  <si>
    <t>无修鞋子增加属性（已计算覆盖率）</t>
  </si>
  <si>
    <t>无修腰坠增加属性（已计算层数）</t>
  </si>
  <si>
    <t>24500龙门飞剑</t>
  </si>
  <si>
    <t>会心/会效</t>
  </si>
  <si>
    <t>33400龙门飞剑</t>
  </si>
  <si>
    <t>破防/会心</t>
  </si>
  <si>
    <t>破防/会心/破招</t>
  </si>
  <si>
    <t>增益请增加在此行上方，否则无修增益不会被计算</t>
  </si>
  <si>
    <t>无修帽子自适应之力</t>
  </si>
  <si>
    <t>无修项链增加属性</t>
  </si>
  <si>
    <t>手法</t>
  </si>
  <si>
    <t>damageaddpercent</t>
  </si>
  <si>
    <t>18561会心</t>
  </si>
  <si>
    <t>18561破防</t>
  </si>
  <si>
    <t>属性/技能</t>
  </si>
  <si>
    <t>固定伤害</t>
  </si>
  <si>
    <t>原始系数</t>
  </si>
  <si>
    <t>原始武伤</t>
  </si>
  <si>
    <t>原始破招</t>
  </si>
  <si>
    <t>攻击系数</t>
  </si>
  <si>
    <t>武伤系数</t>
  </si>
  <si>
    <t>破招系数</t>
  </si>
  <si>
    <t>文件名</t>
  </si>
  <si>
    <t>项目名称</t>
  </si>
  <si>
    <t>开关</t>
  </si>
  <si>
    <t>复选框备用</t>
  </si>
  <si>
    <t>备注（来源）</t>
  </si>
  <si>
    <t>秘籍奇穴统计</t>
  </si>
  <si>
    <t>听雷-重</t>
  </si>
  <si>
    <t>藏剑_君子风_听雷_山居剑意.lua</t>
  </si>
  <si>
    <t>云飞4伤</t>
  </si>
  <si>
    <t>秘籍</t>
  </si>
  <si>
    <t>听雷-轻</t>
  </si>
  <si>
    <t>断潮</t>
  </si>
  <si>
    <t>藏剑断潮直接触发伤害.lua</t>
  </si>
  <si>
    <t>云飞3伤</t>
  </si>
  <si>
    <t>黄龙吐翠</t>
  </si>
  <si>
    <t>第一层</t>
  </si>
  <si>
    <t>第二层</t>
  </si>
  <si>
    <t>第三层</t>
  </si>
  <si>
    <t>第四层</t>
  </si>
  <si>
    <t>第五层</t>
  </si>
  <si>
    <t>第六层</t>
  </si>
  <si>
    <t>第七层</t>
  </si>
  <si>
    <t>第八层</t>
  </si>
  <si>
    <t>第九层</t>
  </si>
  <si>
    <t>第十层</t>
  </si>
  <si>
    <t>第十一层</t>
  </si>
  <si>
    <t>第十二层</t>
  </si>
  <si>
    <t>藏剑_秀水剑法_黄龙吐翠伤害.lua</t>
  </si>
  <si>
    <t>云飞2伤</t>
  </si>
  <si>
    <t>平湖断月</t>
  </si>
  <si>
    <t>淘尽</t>
  </si>
  <si>
    <t>清风</t>
  </si>
  <si>
    <t>岱宗</t>
  </si>
  <si>
    <t>残雪</t>
  </si>
  <si>
    <t>造化</t>
  </si>
  <si>
    <t>怜光</t>
  </si>
  <si>
    <t>层云</t>
  </si>
  <si>
    <t>山倾</t>
  </si>
  <si>
    <t>雾锁</t>
  </si>
  <si>
    <t>碧归</t>
  </si>
  <si>
    <t>如风</t>
  </si>
  <si>
    <t>听晓</t>
  </si>
  <si>
    <t>三柴剑法</t>
  </si>
  <si>
    <t>--</t>
  </si>
  <si>
    <t>云飞3会</t>
  </si>
  <si>
    <t>烧石</t>
  </si>
  <si>
    <t>绝顶</t>
  </si>
  <si>
    <t>夜雨</t>
  </si>
  <si>
    <t>斩岳</t>
  </si>
  <si>
    <t>映波</t>
  </si>
  <si>
    <t>撼岳</t>
  </si>
  <si>
    <t>山重水复</t>
  </si>
  <si>
    <t>飞来闻踪</t>
  </si>
  <si>
    <t>九溪弥烟</t>
  </si>
  <si>
    <t>藏剑_秀水剑法_九溪弥烟.lua</t>
  </si>
  <si>
    <t>云飞减读1</t>
  </si>
  <si>
    <t>夕照雷峰</t>
  </si>
  <si>
    <t>九溪弥烟（景行）</t>
  </si>
  <si>
    <t>藏剑_灵峰剑式_子技能_九溪弥烟剑泽实际伤害及效果.lua</t>
  </si>
  <si>
    <t>云飞减读2</t>
  </si>
  <si>
    <t>新破招(夕)</t>
  </si>
  <si>
    <t>梦泉虎跑</t>
  </si>
  <si>
    <t>藏剑_秀水剑法_子技能_梦泉虎跑伤害.lua</t>
  </si>
  <si>
    <t>夕照4伤</t>
  </si>
  <si>
    <t>云飞玉皇</t>
  </si>
  <si>
    <t>九溪破招</t>
  </si>
  <si>
    <t>藏剑破招伤害子技能.lua</t>
  </si>
  <si>
    <t>夕照3伤</t>
  </si>
  <si>
    <t>云飞玉皇·二段</t>
  </si>
  <si>
    <t>藏剑_灵峰剑式_夕照雷锋_正常.lua</t>
  </si>
  <si>
    <t>夕照3会</t>
  </si>
  <si>
    <t>新破招(云)</t>
  </si>
  <si>
    <t>藏剑_灵峰剑式_子技能_云飞玉皇远距离.lua</t>
  </si>
  <si>
    <t>听雷5伤</t>
  </si>
  <si>
    <t>云飞玉皇·岱宗</t>
  </si>
  <si>
    <t>藏剑_灵峰剑式_子技能_云飞玉皇近距离.lua</t>
  </si>
  <si>
    <t>听雷4伤</t>
  </si>
  <si>
    <t>风来吴山</t>
  </si>
  <si>
    <t>灵峰剑式_子技能_原地风来吴山究极普通伤害.lua</t>
  </si>
  <si>
    <t>听雷3伤</t>
  </si>
  <si>
    <t>四季剑法</t>
  </si>
  <si>
    <t>听雷3会</t>
  </si>
  <si>
    <t>鹤归孤山</t>
  </si>
  <si>
    <t>松舍问霞</t>
  </si>
  <si>
    <t>藏剑_灵峰剑式_松舍问霞伤害.lua</t>
  </si>
  <si>
    <t>听雷2会</t>
  </si>
  <si>
    <t>鹤归孤山·山倾</t>
  </si>
  <si>
    <t>131级木桩</t>
  </si>
  <si>
    <t>风来4伤</t>
  </si>
  <si>
    <t>九皋鹤野·落剑</t>
  </si>
  <si>
    <t>132级木桩</t>
  </si>
  <si>
    <t>风来3伤</t>
  </si>
  <si>
    <t>133级木桩</t>
  </si>
  <si>
    <t>惊雷</t>
  </si>
  <si>
    <t>风车命中惊雷额外伤害.lua</t>
  </si>
  <si>
    <t>风来2伤</t>
  </si>
  <si>
    <t>云景·云飞玉皇</t>
  </si>
  <si>
    <t>134级木桩</t>
  </si>
  <si>
    <t>昆吾·弦刃</t>
  </si>
  <si>
    <t>130级输出附魔护手固定伤害.lua</t>
  </si>
  <si>
    <t>风来3会</t>
  </si>
  <si>
    <t>听雷</t>
  </si>
  <si>
    <t>5人副本</t>
  </si>
  <si>
    <t>刃凌</t>
  </si>
  <si>
    <t>130级输出附魔鞋固定伤害.lua</t>
  </si>
  <si>
    <t>风来2会</t>
  </si>
  <si>
    <t>默认1剑气3伤害</t>
  </si>
  <si>
    <t>10人副本</t>
  </si>
  <si>
    <t>剑风</t>
  </si>
  <si>
    <t>龙门飞剑特殊武器_输出_被动_自适应伤害.lua</t>
  </si>
  <si>
    <t>平湖5伤</t>
  </si>
  <si>
    <t>25普通副本</t>
  </si>
  <si>
    <t>藏剑_灵峰剑式_子技能_云飞玉皇最大伤害.lua</t>
  </si>
  <si>
    <t>平湖4伤</t>
  </si>
  <si>
    <t>25英雄副本</t>
  </si>
  <si>
    <t>神兵·云飞玉皇</t>
  </si>
  <si>
    <t>110级CW新增特效藏剑伤害子技能.lua</t>
  </si>
  <si>
    <t>平湖3伤</t>
  </si>
  <si>
    <t>灼烧</t>
  </si>
  <si>
    <t>平湖</t>
  </si>
  <si>
    <t>逐云含蕊</t>
  </si>
  <si>
    <t>平湖2会</t>
  </si>
  <si>
    <t>剑引龙泉·斩击</t>
  </si>
  <si>
    <t>黄龙5伤</t>
  </si>
  <si>
    <t>蝮蛇出洞</t>
  </si>
  <si>
    <t>黄龙4伤</t>
  </si>
  <si>
    <t>叠峰意</t>
  </si>
  <si>
    <t>竹叶吟</t>
  </si>
  <si>
    <t>黄龙3伤</t>
  </si>
  <si>
    <t>七步寻</t>
  </si>
  <si>
    <t>黄龙4会</t>
  </si>
  <si>
    <t>听晓碧归循环</t>
  </si>
  <si>
    <t>金环戴</t>
  </si>
  <si>
    <t>黄龙3会</t>
  </si>
  <si>
    <t>叠峰意碧归循环</t>
  </si>
  <si>
    <t>吹风醒</t>
  </si>
  <si>
    <t>黄龙2会</t>
  </si>
  <si>
    <t>叠峰意斩岳循环</t>
  </si>
  <si>
    <t>金蛇锥</t>
  </si>
  <si>
    <t>鹤归-CD1</t>
  </si>
  <si>
    <t>叠峰意碧归三鹤循环</t>
  </si>
  <si>
    <t>暴烛毒葬</t>
  </si>
  <si>
    <t>鹤归-CD2</t>
  </si>
  <si>
    <t>金蛇毒</t>
  </si>
  <si>
    <t>鹤归5伤</t>
  </si>
  <si>
    <t>金锥异毒</t>
  </si>
  <si>
    <t>鹤归4伤</t>
  </si>
  <si>
    <t>血毒金蛇锥</t>
  </si>
  <si>
    <t>鹤归3伤</t>
  </si>
  <si>
    <t>金蛇缠身</t>
  </si>
  <si>
    <t>鹤归2会</t>
  </si>
  <si>
    <t>碧血盛宴</t>
  </si>
  <si>
    <t>鹤归原地</t>
  </si>
  <si>
    <t>蛇尾返</t>
  </si>
  <si>
    <t>计算页</t>
  </si>
  <si>
    <t>奇穴</t>
  </si>
  <si>
    <t>金蛇吐信正面</t>
  </si>
  <si>
    <t>金蛇吐信背面</t>
  </si>
  <si>
    <t>蛇牙锥心</t>
  </si>
  <si>
    <t>蛇牙锥心(dot)</t>
  </si>
  <si>
    <t>千切子寒光1</t>
  </si>
  <si>
    <t>千切子寒光2</t>
  </si>
  <si>
    <t>属性页</t>
  </si>
  <si>
    <t>千切子寒光3</t>
  </si>
  <si>
    <t>景行</t>
  </si>
  <si>
    <t>千切子寒光4</t>
  </si>
  <si>
    <t>千切子寒光5</t>
  </si>
  <si>
    <t>千切子寒光6</t>
  </si>
  <si>
    <t>千切子寒光7</t>
  </si>
  <si>
    <t>千切子寒光8</t>
  </si>
  <si>
    <t>山倾(单鹤峰插)</t>
  </si>
  <si>
    <t>千切子寒光9</t>
  </si>
  <si>
    <t>山倾(双鹤峰插)</t>
  </si>
  <si>
    <t>千切子寒光10</t>
  </si>
  <si>
    <t>山倾(双鹤无峰)</t>
  </si>
  <si>
    <t>千切子裂光1</t>
  </si>
  <si>
    <t>千切子裂光2</t>
  </si>
  <si>
    <t>千切子裂光3</t>
  </si>
  <si>
    <t>千切子裂光4</t>
  </si>
  <si>
    <t>千切子裂光5</t>
  </si>
  <si>
    <t>千切子裂光6</t>
  </si>
  <si>
    <t>千切子裂光7</t>
  </si>
  <si>
    <t>千切子裂光8</t>
  </si>
  <si>
    <t>千切子裂光9</t>
  </si>
  <si>
    <t>轻剑小橙武</t>
  </si>
  <si>
    <t>千切子裂光10</t>
  </si>
  <si>
    <t>重剑小橙武</t>
  </si>
  <si>
    <t>岱宗额外伤害子技能.lua</t>
  </si>
  <si>
    <t>轻剑大橙武</t>
  </si>
  <si>
    <t>听雷/虎跑</t>
  </si>
  <si>
    <t>玉山揽云</t>
  </si>
  <si>
    <t>藏剑cw额外伤害.lua</t>
  </si>
  <si>
    <t>重剑大橙武</t>
  </si>
  <si>
    <t>听雷/夕照</t>
  </si>
  <si>
    <t>烟流暮景</t>
  </si>
  <si>
    <t>套装效果技能</t>
  </si>
  <si>
    <t>藏剑_灵峰剑式_子技能_鹤归孤山远距离.lua</t>
  </si>
  <si>
    <t>藏剑山倾实际伤害子技能.lua</t>
  </si>
  <si>
    <t>秋</t>
  </si>
  <si>
    <t>鹤归区域落剑伤害.lua</t>
  </si>
  <si>
    <t>秋2</t>
  </si>
  <si>
    <t>藏剑_秀水剑法_平湖断月伤害.lua</t>
  </si>
  <si>
    <t>藏剑_君子风_听雷_问水诀.lua</t>
  </si>
  <si>
    <t>听雷额外伤害</t>
  </si>
  <si>
    <t>橙武听雷额外伤害.lua</t>
  </si>
  <si>
    <t>无修·荒</t>
  </si>
  <si>
    <t>黄字暗器dot.lua</t>
  </si>
  <si>
    <t>夕照2伤</t>
  </si>
  <si>
    <t>神兵·听雷</t>
  </si>
  <si>
    <t>110级CW新增特效问水伤害子技能.lua</t>
  </si>
  <si>
    <t>特效·腕</t>
  </si>
  <si>
    <t>精简护手特效伤害.lua</t>
  </si>
  <si>
    <t>速·震</t>
  </si>
  <si>
    <t>精简护手腰带加速DOT伤害.lua</t>
  </si>
  <si>
    <t>轻剑最终加速等级</t>
  </si>
  <si>
    <t>轻剑加速率</t>
  </si>
  <si>
    <t>轻剑GCD</t>
  </si>
  <si>
    <t>三柴剑法CD</t>
  </si>
  <si>
    <t>三柴剑法系数</t>
  </si>
  <si>
    <t>延迟</t>
  </si>
  <si>
    <t>轻剑最终GCD</t>
  </si>
  <si>
    <t>夕照雷峰运功</t>
  </si>
  <si>
    <t>重剑最终加速等级</t>
  </si>
  <si>
    <t>重剑加速率</t>
  </si>
  <si>
    <t>重剑GCD</t>
  </si>
  <si>
    <t>四季剑法CD</t>
  </si>
  <si>
    <t>四季剑法系数</t>
  </si>
  <si>
    <t>重剑最终GCD</t>
  </si>
  <si>
    <t>风来吴山计数</t>
  </si>
  <si>
    <t>速DOT次数</t>
  </si>
  <si>
    <t>风车GCD</t>
  </si>
  <si>
    <t>起始时间</t>
  </si>
  <si>
    <t>技能</t>
  </si>
  <si>
    <t>雾锁时间</t>
  </si>
  <si>
    <t>瞬发</t>
  </si>
  <si>
    <t>闻踪</t>
  </si>
  <si>
    <t>大莺鸣</t>
  </si>
  <si>
    <t>莺鸣</t>
  </si>
  <si>
    <t>落剑</t>
  </si>
  <si>
    <t>鹤归CD</t>
  </si>
  <si>
    <t>等待CD</t>
  </si>
  <si>
    <t>云飞CD</t>
  </si>
  <si>
    <t>云栖松CD</t>
  </si>
  <si>
    <t>莺鸣柳CD</t>
  </si>
  <si>
    <t>金蛇记录</t>
  </si>
  <si>
    <t>金蛇等待CD</t>
  </si>
  <si>
    <t>总等待CD</t>
  </si>
  <si>
    <t>风来吴山计时</t>
  </si>
  <si>
    <t>风来吴山数量</t>
  </si>
  <si>
    <t>金锥异毒时间</t>
  </si>
  <si>
    <t>金锥异毒数量</t>
  </si>
  <si>
    <t>叠时间</t>
  </si>
  <si>
    <t>叠CD</t>
  </si>
  <si>
    <t>叠层数</t>
  </si>
  <si>
    <t>叠等待</t>
  </si>
  <si>
    <t>橙武等待时间</t>
  </si>
  <si>
    <t>技能区域</t>
  </si>
  <si>
    <t>技能名称</t>
  </si>
  <si>
    <t>数量</t>
  </si>
  <si>
    <t>增益备注</t>
  </si>
  <si>
    <t>套装特效计算</t>
  </si>
  <si>
    <t>基础技能循环1</t>
  </si>
  <si>
    <t>基础技能循环2</t>
  </si>
  <si>
    <t>听晓碧归循环低延迟1</t>
  </si>
  <si>
    <t>听晓碧归循环低延迟2</t>
  </si>
  <si>
    <t>叠峰意斩岳循环低延迟1</t>
  </si>
  <si>
    <t>叠峰意斩岳循环低延迟2</t>
  </si>
  <si>
    <t>叠峰意斩岳循环1</t>
  </si>
  <si>
    <t>叠峰意斩岳循环2</t>
  </si>
  <si>
    <t>叠峰意斩岳循环橙武1</t>
  </si>
  <si>
    <t>叠峰意斩岳循环橙武2</t>
  </si>
  <si>
    <t>叠峰意碧归循环1</t>
  </si>
  <si>
    <t>叠峰意碧归循环2</t>
  </si>
  <si>
    <t>叠峰意碧归三鹤循环1</t>
  </si>
  <si>
    <t>叠峰意碧归三鹤循环2</t>
  </si>
  <si>
    <t>叠峰意碧归循环橙武1</t>
  </si>
  <si>
    <t>叠峰意碧归循环橙武2</t>
  </si>
  <si>
    <t>叠峰意碧归循环橙武废弃1</t>
  </si>
  <si>
    <t>叠峰意碧归循环橙武废弃2</t>
  </si>
  <si>
    <t>听晓碧归循环低延迟金蛇1</t>
  </si>
  <si>
    <t>听晓碧归循环低延迟金蛇2</t>
  </si>
  <si>
    <t>听晓碧归循环金蛇1</t>
  </si>
  <si>
    <t>听晓碧归循环金蛇2</t>
  </si>
  <si>
    <t>叠峰意斩岳循环金蛇1</t>
  </si>
  <si>
    <t>叠峰意斩岳循环金蛇2</t>
  </si>
  <si>
    <t>叠峰意碧归循环金蛇1</t>
  </si>
  <si>
    <t>叠峰意碧归循环金蛇2</t>
  </si>
  <si>
    <t>叠峰意碧归三鹤循环金蛇1</t>
  </si>
  <si>
    <t>叠峰意碧归三鹤循环金蛇2</t>
  </si>
  <si>
    <t>秋双切金蛇1</t>
  </si>
  <si>
    <t>秋双切金蛇2</t>
  </si>
  <si>
    <t>34新2323循环金蛇1</t>
  </si>
  <si>
    <t>34新2323循环金蛇2</t>
  </si>
  <si>
    <t>34鹤起手循环金蛇1</t>
  </si>
  <si>
    <t>34鹤起手循环金蛇2</t>
  </si>
  <si>
    <t>风车48+云飞128+夕照84+四季92+鹤归14+山倾14+山倾0伤害14+落剑65+听雷9+黄龙5+三柴12</t>
  </si>
  <si>
    <t>听晓碧归判定</t>
  </si>
  <si>
    <t>听雷-轻莺鸣柳</t>
  </si>
  <si>
    <t>叠1-鹤归孤山</t>
  </si>
  <si>
    <t>叠1-云飞玉皇</t>
  </si>
  <si>
    <t>叠1-夕照雷峰</t>
  </si>
  <si>
    <t>云飞玉皇-峰插</t>
  </si>
  <si>
    <t>雾锁莺鸣</t>
  </si>
  <si>
    <t>橙武计算</t>
  </si>
  <si>
    <t>666三听</t>
  </si>
  <si>
    <t>叠2-夕照雷峰</t>
  </si>
  <si>
    <t>叠2-云景·云飞玉皇</t>
  </si>
  <si>
    <t>叠2-云飞玉皇</t>
  </si>
  <si>
    <t>风车48+云飞128+夕照84+鹤归14+山倾14+山倾0伤害14+落剑65</t>
  </si>
  <si>
    <t>梦泉虎跑-轻</t>
  </si>
  <si>
    <t>叠3-夕照雷峰</t>
  </si>
  <si>
    <t>叠3-云飞玉皇</t>
  </si>
  <si>
    <t>叠1-风来吴山</t>
  </si>
  <si>
    <t>120级橙武轻剑</t>
  </si>
  <si>
    <t>云飞玉皇-玉山揽云</t>
  </si>
  <si>
    <t>云飞玉皇-峰插-血毒金蛇锥</t>
  </si>
  <si>
    <t>云飞玉皇-血毒金蛇锥</t>
  </si>
  <si>
    <t>120级橙武重剑</t>
  </si>
  <si>
    <t>叠2-云飞玉皇-血毒金蛇锥</t>
  </si>
  <si>
    <t>130级橙武轻剑</t>
  </si>
  <si>
    <t>130级橙武重剑</t>
  </si>
  <si>
    <t>重剑橙武计算</t>
  </si>
  <si>
    <t>技能数</t>
  </si>
  <si>
    <t>鹤归孤山-叠</t>
  </si>
  <si>
    <t>云飞玉皇-玉山揽云-叠</t>
  </si>
  <si>
    <t>瞬发触发概率</t>
  </si>
  <si>
    <t>运功触发概率</t>
  </si>
  <si>
    <t>橙武期间</t>
  </si>
  <si>
    <t>补雾锁概率</t>
  </si>
  <si>
    <t>结尾夕云</t>
  </si>
  <si>
    <t>夕照雷峰-峰插</t>
  </si>
  <si>
    <t>结尾云</t>
  </si>
  <si>
    <t>雾锁大莺鸣</t>
  </si>
  <si>
    <t>结尾</t>
  </si>
  <si>
    <t>造化2</t>
  </si>
  <si>
    <t>每次触发技能数</t>
  </si>
  <si>
    <t>造化2雾锁</t>
  </si>
  <si>
    <t>触发概率</t>
  </si>
  <si>
    <t>造化2大莺鸣</t>
  </si>
  <si>
    <t>理论触发期望</t>
  </si>
  <si>
    <t>造化2雾锁大莺鸣</t>
  </si>
  <si>
    <t>造化1</t>
  </si>
  <si>
    <t>理论触发次数</t>
  </si>
  <si>
    <t>鹤归孤山-黄龙吐翠</t>
  </si>
  <si>
    <t>云景·云飞玉皇-黄龙吐翠</t>
  </si>
  <si>
    <t>雾锁造化1</t>
  </si>
  <si>
    <t>占用技能数</t>
  </si>
  <si>
    <t>循环比</t>
  </si>
  <si>
    <t>云飞数</t>
  </si>
  <si>
    <t>夕照数</t>
  </si>
  <si>
    <t>神兵·云飞玉皇率</t>
  </si>
  <si>
    <t>云栖松</t>
  </si>
  <si>
    <t>莺鸣比</t>
  </si>
  <si>
    <t>莺鸣碧归比</t>
  </si>
  <si>
    <t>常规比</t>
  </si>
  <si>
    <t>听雷-轻-黄龙吐翠</t>
  </si>
  <si>
    <t>叠·长-云飞玉皇</t>
  </si>
  <si>
    <t>雾锁造化2</t>
  </si>
  <si>
    <t>雾锁大莺鸣造化2</t>
  </si>
  <si>
    <t>云飞玉皇碧归大莺鸣</t>
  </si>
  <si>
    <t>默认造化2</t>
  </si>
  <si>
    <t>云飞玉皇大莺鸣</t>
  </si>
  <si>
    <t>听玉黄</t>
  </si>
  <si>
    <t>夕照雷峰碧归大莺鸣</t>
  </si>
  <si>
    <t>夕照雷峰大莺鸣</t>
  </si>
  <si>
    <t>玉山揽云莺鸣</t>
  </si>
  <si>
    <t>云飞玉皇-蛇牙锥心</t>
  </si>
  <si>
    <t>烟流暮景莺鸣</t>
  </si>
  <si>
    <t>神兵·云飞玉皇莺鸣</t>
  </si>
  <si>
    <t>轻剑橙武计算</t>
  </si>
  <si>
    <t>切轻次数</t>
  </si>
  <si>
    <t>触发次数</t>
  </si>
  <si>
    <t>云景·云飞玉皇-叠</t>
  </si>
  <si>
    <t>夕照雷峰峰</t>
  </si>
  <si>
    <t>神兵·听雷率</t>
  </si>
  <si>
    <t>神兵·听雷莺鸣</t>
  </si>
  <si>
    <t>剑风总次数</t>
  </si>
  <si>
    <t>大莺鸣雾锁</t>
  </si>
  <si>
    <t>造化2雾锁大莺鸣碧归</t>
  </si>
  <si>
    <t>落剑5</t>
  </si>
  <si>
    <t>雾锁大莺鸣碧归</t>
  </si>
  <si>
    <t>雾锁大莺鸣造化2碧归</t>
  </si>
  <si>
    <t>橙武补雾锁</t>
  </si>
  <si>
    <t>听晓34技能</t>
  </si>
  <si>
    <t>叠1雾锁</t>
  </si>
  <si>
    <t>叠2雾锁</t>
  </si>
  <si>
    <t>恒定伤害</t>
  </si>
  <si>
    <t>叠3雾锁</t>
  </si>
  <si>
    <t>雾锁碧归造化2</t>
  </si>
  <si>
    <t>大莺鸣造化2</t>
  </si>
  <si>
    <t>大莺鸣造化2碧归</t>
  </si>
  <si>
    <t>大莺鸣碧归</t>
  </si>
  <si>
    <t>雾锁碧归</t>
  </si>
  <si>
    <t>雾锁叠1造化2</t>
  </si>
  <si>
    <t>雾锁叠2造化2</t>
  </si>
  <si>
    <t>雾锁叠3造化2</t>
  </si>
  <si>
    <t>雾锁叠1</t>
  </si>
  <si>
    <t>雾锁叠2</t>
  </si>
  <si>
    <t>雾锁叠3</t>
  </si>
  <si>
    <t>雾锁叠1造化2碧归</t>
  </si>
  <si>
    <t>雾锁叠2造化2碧归</t>
  </si>
  <si>
    <t>雾锁叠3造化2碧归</t>
  </si>
  <si>
    <t>雾锁叠1碧归</t>
  </si>
  <si>
    <t>雾锁叠2碧归</t>
  </si>
  <si>
    <t>雾锁叠3碧归</t>
  </si>
  <si>
    <t>金蛇锥-金环戴</t>
  </si>
  <si>
    <t>目标防御</t>
  </si>
  <si>
    <t>目标等级</t>
  </si>
  <si>
    <t>目标防御系数</t>
  </si>
  <si>
    <t>总输出</t>
  </si>
  <si>
    <t>DPS</t>
  </si>
  <si>
    <t>原始伤害</t>
  </si>
  <si>
    <t>伤害加成</t>
  </si>
  <si>
    <t>防御</t>
  </si>
  <si>
    <t>计算破防后伤害</t>
  </si>
  <si>
    <t>等级差</t>
  </si>
  <si>
    <t>计算无双后伤害</t>
  </si>
  <si>
    <t>双会增益</t>
  </si>
  <si>
    <t>非侠士</t>
  </si>
  <si>
    <t>最终伤害</t>
  </si>
  <si>
    <t>技能占比</t>
  </si>
  <si>
    <t>攻击收益</t>
  </si>
  <si>
    <t>武伤收益</t>
  </si>
  <si>
    <t>身法收益</t>
  </si>
  <si>
    <t>身法转攻击收益</t>
  </si>
  <si>
    <t>身法转破防收益</t>
  </si>
  <si>
    <t>身法转会心收益</t>
  </si>
  <si>
    <t>身法技能数</t>
  </si>
  <si>
    <t>会心收益</t>
  </si>
  <si>
    <t>会心技能数</t>
  </si>
  <si>
    <t>会效收益</t>
  </si>
  <si>
    <t>破防收益</t>
  </si>
  <si>
    <t>破招收益</t>
  </si>
  <si>
    <t>无双收益</t>
  </si>
  <si>
    <t>收益选择</t>
  </si>
  <si>
    <t>技能显示</t>
  </si>
  <si>
    <t>比例</t>
  </si>
  <si>
    <t>占比技能显示</t>
  </si>
  <si>
    <t>排名</t>
  </si>
  <si>
    <t>数量稽核</t>
  </si>
  <si>
    <t>页面显示</t>
  </si>
  <si>
    <t>巽</t>
  </si>
  <si>
    <t>秋松金环戴</t>
  </si>
  <si>
    <t>冬月吹风醒</t>
  </si>
  <si>
    <t>金蛇吐信</t>
  </si>
  <si>
    <t>雾锁早造化2</t>
  </si>
  <si>
    <t>千切子寒光</t>
  </si>
  <si>
    <t>千切子裂光</t>
  </si>
  <si>
    <t>内会内破</t>
  </si>
  <si>
    <t>阵眼</t>
  </si>
  <si>
    <t>藏剑阵(阵眼15%闪避)</t>
  </si>
  <si>
    <t>剑纯阵(5层)</t>
  </si>
  <si>
    <t>剑纯阵(4层)</t>
  </si>
  <si>
    <t>剑纯阵(3层)</t>
  </si>
  <si>
    <t>※20无双调用剑纯阵</t>
  </si>
  <si>
    <t>丐帮阵(5层)</t>
  </si>
  <si>
    <t>丐帮阵(0层)</t>
  </si>
  <si>
    <t>凌雪阵(55%)</t>
  </si>
  <si>
    <t>苍云阵(5层)</t>
  </si>
  <si>
    <t>万灵阵(80%)</t>
  </si>
  <si>
    <t>万灵阵(99%)</t>
  </si>
  <si>
    <t>身法31</t>
  </si>
  <si>
    <t>身法转会心</t>
  </si>
  <si>
    <t>攻击51+身法转攻击</t>
  </si>
  <si>
    <t>身法转破防</t>
  </si>
  <si>
    <t>会效204</t>
  </si>
  <si>
    <t>武伤238.5</t>
  </si>
  <si>
    <t>闪避会心</t>
  </si>
  <si>
    <t>攻击50+51/2</t>
  </si>
  <si>
    <t>破防200</t>
  </si>
  <si>
    <t>8%会心</t>
  </si>
  <si>
    <t>外会效150</t>
  </si>
  <si>
    <t>无双20</t>
  </si>
  <si>
    <t>7%会心</t>
  </si>
  <si>
    <t>6%会心</t>
  </si>
  <si>
    <t>力道31</t>
  </si>
  <si>
    <t>破防204</t>
  </si>
  <si>
    <t>5%外会心</t>
  </si>
  <si>
    <t>基础破防14900</t>
  </si>
  <si>
    <t>破防102</t>
  </si>
  <si>
    <t>攻击50</t>
  </si>
  <si>
    <t>攻击50调用丐帮</t>
  </si>
  <si>
    <t>无视52</t>
  </si>
  <si>
    <t>会心5调用霸刀</t>
  </si>
  <si>
    <t>攻击50+102*55%</t>
  </si>
  <si>
    <t>3%外会心</t>
  </si>
  <si>
    <t>会效154</t>
  </si>
  <si>
    <t>攻击133</t>
  </si>
  <si>
    <t>3%会调用凌雪</t>
  </si>
  <si>
    <t>会效100</t>
  </si>
  <si>
    <t>破防256</t>
  </si>
  <si>
    <t>破招2667</t>
  </si>
  <si>
    <t>会效154*80%</t>
  </si>
  <si>
    <t>伤害62</t>
  </si>
  <si>
    <t>会效154*96%</t>
  </si>
  <si>
    <t>无双104</t>
  </si>
  <si>
    <t>伤害52</t>
  </si>
  <si>
    <t>原始DPS</t>
  </si>
  <si>
    <t>无阵DPS</t>
  </si>
  <si>
    <t>无双20调用剑纯</t>
  </si>
  <si>
    <t>破防102调用霸刀</t>
  </si>
  <si>
    <t>固定</t>
  </si>
  <si>
    <t>全会心5%</t>
  </si>
  <si>
    <t>150全会效</t>
  </si>
  <si>
    <t>3%全会心（万灵）</t>
  </si>
  <si>
    <t>收益</t>
  </si>
  <si>
    <t>排行</t>
  </si>
  <si>
    <t>藏剑阵(阵眼&amp;T闪避15%)</t>
  </si>
  <si>
    <t>万灵阵(96%)</t>
  </si>
  <si>
    <t>停止循环</t>
  </si>
  <si>
    <t>545双听</t>
  </si>
  <si>
    <t>545双听/虎跑</t>
  </si>
  <si>
    <t>545平</t>
  </si>
  <si>
    <t>提前云判定</t>
  </si>
  <si>
    <t>545平/虎跑</t>
  </si>
  <si>
    <t>544双听</t>
  </si>
  <si>
    <t>544双听/虎跑</t>
  </si>
  <si>
    <t>544平</t>
  </si>
  <si>
    <t>544平/虎跑</t>
  </si>
  <si>
    <t>444基础</t>
  </si>
  <si>
    <t>长时间循环比</t>
  </si>
  <si>
    <t>莺鸣雾锁</t>
  </si>
  <si>
    <t>碧归雾锁造化2</t>
  </si>
  <si>
    <t>请注意按照时间计算的增益：弘法/鼓</t>
  </si>
  <si>
    <t>会效154*99%</t>
  </si>
  <si>
    <t>循环手法</t>
  </si>
  <si>
    <t>返回计算器</t>
  </si>
  <si>
    <t>※以下展示仅为计算器内置手法，仅供参考，实际手法请根据副本环境和个人熟练度自行调整</t>
  </si>
  <si>
    <t>33技能循环</t>
  </si>
  <si>
    <t>鹤</t>
  </si>
  <si>
    <t>云</t>
  </si>
  <si>
    <t>夕</t>
  </si>
  <si>
    <t>云峰</t>
  </si>
  <si>
    <t>景·云</t>
  </si>
  <si>
    <t>听</t>
  </si>
  <si>
    <t>啸听</t>
  </si>
  <si>
    <t>莺听玉黄啸</t>
  </si>
  <si>
    <t>风/夕</t>
  </si>
  <si>
    <t>33鹤起手循环</t>
  </si>
  <si>
    <t>夕峰</t>
  </si>
  <si>
    <t>34鹤起手循环</t>
  </si>
  <si>
    <t>34新2323循环</t>
  </si>
  <si>
    <t>风</t>
  </si>
  <si>
    <t>37技能循环</t>
  </si>
  <si>
    <t>鹤-啸玉黄啸</t>
  </si>
  <si>
    <t>松</t>
  </si>
  <si>
    <t>37鹤起手循环</t>
  </si>
  <si>
    <t>38鹤起手循环</t>
  </si>
  <si>
    <t>景·云-啸玉黄啸</t>
  </si>
  <si>
    <t>39技能循环</t>
  </si>
  <si>
    <t>40技能循环</t>
  </si>
  <si>
    <t>基础技能循环</t>
  </si>
  <si>
    <t>无增益面板</t>
  </si>
  <si>
    <t>综合属性收益</t>
  </si>
  <si>
    <t>增益选择</t>
  </si>
  <si>
    <t>当前阵法收益排行</t>
  </si>
  <si>
    <t>问水诀</t>
  </si>
  <si>
    <t>山居剑意</t>
  </si>
  <si>
    <t>当前心法</t>
  </si>
  <si>
    <t>计算增益</t>
  </si>
  <si>
    <t>团队增益</t>
  </si>
  <si>
    <t>7级</t>
  </si>
  <si>
    <t>3279加速</t>
  </si>
  <si>
    <t>3279无双</t>
  </si>
  <si>
    <t>属性来源</t>
  </si>
  <si>
    <t>T增益</t>
  </si>
  <si>
    <t>奶增益</t>
  </si>
  <si>
    <t>自身增益</t>
  </si>
  <si>
    <t>基础攻击</t>
  </si>
  <si>
    <t>最小武器伤害</t>
  </si>
  <si>
    <t>号令三军</t>
  </si>
  <si>
    <t>最大武器伤害</t>
  </si>
  <si>
    <t>978无双</t>
  </si>
  <si>
    <t>会心等级</t>
  </si>
  <si>
    <t>-</t>
  </si>
  <si>
    <t>朝圣言·层数</t>
  </si>
  <si>
    <t>会心效果等级</t>
  </si>
  <si>
    <t>会心效果</t>
  </si>
  <si>
    <t>振奋</t>
  </si>
  <si>
    <t>基础破防等级</t>
  </si>
  <si>
    <t>奇穴展示</t>
  </si>
  <si>
    <t>破招等级</t>
  </si>
  <si>
    <t>破防等级</t>
  </si>
  <si>
    <t>第一重</t>
  </si>
  <si>
    <t>特殊循环</t>
  </si>
  <si>
    <t>无双等级</t>
  </si>
  <si>
    <t>第二重</t>
  </si>
  <si>
    <t>暂不支持</t>
  </si>
  <si>
    <t>加速等级</t>
  </si>
  <si>
    <t>第三重</t>
  </si>
  <si>
    <t>通用增益</t>
  </si>
  <si>
    <t>小队增益</t>
  </si>
  <si>
    <t>第四重</t>
  </si>
  <si>
    <t>装备特效</t>
  </si>
  <si>
    <t>第五重</t>
  </si>
  <si>
    <t>套装效果</t>
  </si>
  <si>
    <t>技能伤害</t>
  </si>
  <si>
    <t>副本精简</t>
  </si>
  <si>
    <t>35300破防/会心/破招</t>
  </si>
  <si>
    <t>第六重</t>
  </si>
  <si>
    <t>腰坠效果</t>
  </si>
  <si>
    <t>30200额外伤害</t>
  </si>
  <si>
    <t>628身法</t>
  </si>
  <si>
    <t>1559攻击</t>
  </si>
  <si>
    <t>混选重</t>
  </si>
  <si>
    <t>武器效果</t>
  </si>
  <si>
    <t>30200无双/会心</t>
  </si>
  <si>
    <t>期望DPS</t>
  </si>
  <si>
    <t>99%</t>
  </si>
  <si>
    <t>轻剑橙武特效</t>
  </si>
  <si>
    <t>秘籍选择</t>
  </si>
  <si>
    <t>重剑橙武特效</t>
  </si>
  <si>
    <t>29700大橙武</t>
  </si>
  <si>
    <t>龙门飞剑</t>
  </si>
  <si>
    <t>1037体质</t>
  </si>
  <si>
    <t>附魔效果</t>
  </si>
  <si>
    <t>伤·腰</t>
  </si>
  <si>
    <t>伤·腕</t>
  </si>
  <si>
    <t>伤·鞋</t>
  </si>
  <si>
    <t>理论技能占比(仅供参考)</t>
  </si>
  <si>
    <t>无修·帽</t>
  </si>
  <si>
    <t>轻剑附魔</t>
  </si>
  <si>
    <t>891攻击</t>
  </si>
  <si>
    <t>轻剑来源</t>
  </si>
  <si>
    <t>4099破防</t>
  </si>
  <si>
    <t>无修·鞋</t>
  </si>
  <si>
    <t>8级</t>
  </si>
  <si>
    <t>重剑附魔</t>
  </si>
  <si>
    <t>重剑来源</t>
  </si>
  <si>
    <t>无修·项链</t>
  </si>
  <si>
    <t>30200会效</t>
  </si>
  <si>
    <t>五彩石选择</t>
  </si>
  <si>
    <t>延迟(ms)</t>
  </si>
  <si>
    <t>添加属性</t>
  </si>
  <si>
    <t>无修·腰坠</t>
  </si>
  <si>
    <t>轻剑五彩石</t>
  </si>
  <si>
    <t>陆</t>
  </si>
  <si>
    <t>重剑五彩石</t>
  </si>
  <si>
    <t>战斗时间</t>
  </si>
  <si>
    <t>210s</t>
  </si>
  <si>
    <t>无修·暗器</t>
  </si>
  <si>
    <t>目标选择</t>
  </si>
  <si>
    <t>第二属性</t>
  </si>
  <si>
    <t>一键精炼</t>
  </si>
  <si>
    <t>不使用</t>
  </si>
  <si>
    <t>※如需使用自输入属性计算器请点击此处</t>
  </si>
  <si>
    <t>※如需使用内置配装器计算请点击此处</t>
  </si>
  <si>
    <t>获取最新版本</t>
  </si>
  <si>
    <t>更新日志</t>
  </si>
  <si>
    <t>藏剑配装计算器暗影千机测试版ver1.1（202605212040）</t>
  </si>
  <si>
    <t>1.更新万灵阵默认覆盖率（99%→96%）</t>
  </si>
  <si>
    <t>2.优化增益面板属性显示，水特效/橙武无双特效/副本黄字固定属性特效都将在增益面板中显示了</t>
  </si>
  <si>
    <t>3.更新2026年5月21日新版本技改：</t>
  </si>
  <si>
    <t>·非侠士伤害提高2%（12.98828125%→15.0390625%）</t>
  </si>
  <si>
    <t>藏剑配装计算器暗影千机测试版ver1.0（202604272230）</t>
  </si>
  <si>
    <t>1.更新暗影千机版本装备（30200品-42100品）</t>
  </si>
  <si>
    <t>2.更新暗影千机版本食品、药品、宴席、磨石、家园产物增益</t>
  </si>
  <si>
    <t>3.更新暗影千机版本附魔、套装、特效</t>
  </si>
  <si>
    <t>4.更新五行石、橙色品质装备属性/分数</t>
  </si>
  <si>
    <t>5.更新2026年4月23日新版本技改：</t>
  </si>
  <si>
    <t>https://jx3.xoyo.com/index/index.html#/article-details?kid=1335467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</si>
</sst>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%"/>
    <numFmt numFmtId="178" formatCode="0.00_);[Red]\(0.00\)"/>
    <numFmt numFmtId="179" formatCode="0.0000"/>
    <numFmt numFmtId="180" formatCode="0.0000000"/>
    <numFmt numFmtId="181" formatCode="0.0_ "/>
    <numFmt numFmtId="182" formatCode="0.0"/>
    <numFmt numFmtId="183" formatCode="0.0000000000000000000000"/>
    <numFmt numFmtId="184" formatCode="0.0000000000000000%"/>
    <numFmt numFmtId="185" formatCode="0.000%"/>
  </numFmts>
  <fonts count="4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7030A0"/>
      <name val="微软雅黑"/>
      <charset val="134"/>
    </font>
    <font>
      <sz val="11"/>
      <color rgb="FF7030A0"/>
      <name val="微软雅黑"/>
      <charset val="134"/>
    </font>
    <font>
      <sz val="12"/>
      <color theme="1"/>
      <name val="楷体"/>
      <charset val="134"/>
    </font>
    <font>
      <sz val="11"/>
      <color rgb="FF0070C0"/>
      <name val="微软雅黑"/>
      <charset val="134"/>
    </font>
    <font>
      <sz val="10"/>
      <color theme="1"/>
      <name val="微软雅黑"/>
      <charset val="134"/>
    </font>
    <font>
      <b/>
      <sz val="11"/>
      <name val="微软雅黑"/>
      <charset val="134"/>
    </font>
    <font>
      <sz val="24"/>
      <color rgb="FFFF0000"/>
      <name val="华文新魏"/>
      <charset val="134"/>
    </font>
    <font>
      <sz val="9"/>
      <color theme="1"/>
      <name val="微软雅黑"/>
      <charset val="134"/>
    </font>
    <font>
      <sz val="11"/>
      <name val="微软雅黑"/>
      <charset val="134"/>
    </font>
    <font>
      <u/>
      <sz val="11"/>
      <color theme="10"/>
      <name val="等线"/>
      <charset val="134"/>
      <scheme val="minor"/>
    </font>
    <font>
      <sz val="14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2"/>
      <color theme="1"/>
      <name val="微软雅黑"/>
      <charset val="134"/>
    </font>
    <font>
      <sz val="12"/>
      <color rgb="FF7030A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9" borderId="4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0" applyNumberFormat="0" applyFill="0" applyAlignment="0" applyProtection="0">
      <alignment vertical="center"/>
    </xf>
    <xf numFmtId="0" fontId="28" fillId="0" borderId="50" applyNumberFormat="0" applyFill="0" applyAlignment="0" applyProtection="0">
      <alignment vertical="center"/>
    </xf>
    <xf numFmtId="0" fontId="29" fillId="0" borderId="5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52" applyNumberFormat="0" applyAlignment="0" applyProtection="0">
      <alignment vertical="center"/>
    </xf>
    <xf numFmtId="0" fontId="31" fillId="11" borderId="53" applyNumberFormat="0" applyAlignment="0" applyProtection="0">
      <alignment vertical="center"/>
    </xf>
    <xf numFmtId="0" fontId="32" fillId="11" borderId="52" applyNumberFormat="0" applyAlignment="0" applyProtection="0">
      <alignment vertical="center"/>
    </xf>
    <xf numFmtId="0" fontId="33" fillId="12" borderId="54" applyNumberFormat="0" applyAlignment="0" applyProtection="0">
      <alignment vertical="center"/>
    </xf>
    <xf numFmtId="0" fontId="34" fillId="0" borderId="55" applyNumberFormat="0" applyFill="0" applyAlignment="0" applyProtection="0">
      <alignment vertical="center"/>
    </xf>
    <xf numFmtId="0" fontId="35" fillId="0" borderId="56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0" borderId="0" xfId="0" applyFont="1" applyProtection="1">
      <alignment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0" fontId="1" fillId="0" borderId="7" xfId="0" applyFont="1" applyBorder="1" applyAlignment="1" applyProtection="1">
      <alignment horizontal="center" vertical="center"/>
      <protection locked="0"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176" fontId="1" fillId="0" borderId="12" xfId="3" applyNumberFormat="1" applyFont="1" applyBorder="1" applyAlignment="1" applyProtection="1">
      <alignment horizontal="center" vertical="center"/>
      <protection hidden="1"/>
    </xf>
    <xf numFmtId="176" fontId="1" fillId="0" borderId="13" xfId="3" applyNumberFormat="1" applyFont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 applyProtection="1">
      <alignment horizontal="center" vertical="center"/>
      <protection hidden="1"/>
    </xf>
    <xf numFmtId="0" fontId="1" fillId="0" borderId="17" xfId="0" applyFont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77" fontId="1" fillId="0" borderId="13" xfId="3" applyNumberFormat="1" applyFont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8" fillId="0" borderId="18" xfId="0" applyFont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1" fillId="2" borderId="20" xfId="0" applyFont="1" applyFill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22" xfId="0" applyFont="1" applyBorder="1" applyAlignment="1" applyProtection="1">
      <alignment horizontal="center" vertical="center"/>
      <protection hidden="1"/>
    </xf>
    <xf numFmtId="0" fontId="1" fillId="2" borderId="23" xfId="0" applyFont="1" applyFill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locked="0"/>
    </xf>
    <xf numFmtId="10" fontId="1" fillId="2" borderId="13" xfId="3" applyNumberFormat="1" applyFont="1" applyFill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176" fontId="1" fillId="0" borderId="21" xfId="3" applyNumberFormat="1" applyFont="1" applyBorder="1" applyAlignment="1" applyProtection="1">
      <alignment horizontal="center" vertical="center"/>
      <protection hidden="1"/>
    </xf>
    <xf numFmtId="176" fontId="1" fillId="0" borderId="24" xfId="3" applyNumberFormat="1" applyFont="1" applyBorder="1" applyAlignment="1" applyProtection="1">
      <alignment horizontal="center" vertical="center"/>
      <protection hidden="1"/>
    </xf>
    <xf numFmtId="0" fontId="1" fillId="2" borderId="12" xfId="0" applyFont="1" applyFill="1" applyBorder="1" applyProtection="1">
      <alignment vertical="center"/>
      <protection hidden="1"/>
    </xf>
    <xf numFmtId="0" fontId="1" fillId="0" borderId="13" xfId="0" applyFont="1" applyBorder="1" applyProtection="1">
      <alignment vertical="center"/>
      <protection hidden="1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2" borderId="25" xfId="0" applyFont="1" applyFill="1" applyBorder="1" applyProtection="1">
      <alignment vertical="center"/>
      <protection hidden="1"/>
    </xf>
    <xf numFmtId="0" fontId="1" fillId="0" borderId="26" xfId="0" applyFont="1" applyBorder="1" applyProtection="1">
      <alignment vertical="center"/>
      <protection hidden="1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 applyProtection="1">
      <alignment horizontal="center" vertical="center"/>
      <protection hidden="1"/>
    </xf>
    <xf numFmtId="0" fontId="4" fillId="2" borderId="29" xfId="0" applyFont="1" applyFill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hidden="1"/>
    </xf>
    <xf numFmtId="0" fontId="4" fillId="0" borderId="33" xfId="0" applyFont="1" applyBorder="1" applyAlignment="1" applyProtection="1">
      <alignment horizontal="center" vertical="center"/>
      <protection hidden="1"/>
    </xf>
    <xf numFmtId="0" fontId="4" fillId="0" borderId="34" xfId="0" applyFont="1" applyBorder="1" applyAlignment="1" applyProtection="1">
      <alignment horizontal="center" vertical="center"/>
      <protection hidden="1"/>
    </xf>
    <xf numFmtId="0" fontId="1" fillId="2" borderId="29" xfId="0" applyFont="1" applyFill="1" applyBorder="1" applyAlignment="1" applyProtection="1">
      <alignment horizontal="center" vertical="center"/>
      <protection hidden="1"/>
    </xf>
    <xf numFmtId="10" fontId="1" fillId="2" borderId="13" xfId="0" applyNumberFormat="1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8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Protection="1">
      <alignment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2" fillId="2" borderId="11" xfId="6" applyFont="1" applyFill="1" applyBorder="1" applyAlignment="1" applyProtection="1">
      <alignment horizontal="center" vertical="center"/>
      <protection hidden="1"/>
    </xf>
    <xf numFmtId="0" fontId="1" fillId="2" borderId="35" xfId="0" applyFont="1" applyFill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locked="0"/>
    </xf>
    <xf numFmtId="49" fontId="1" fillId="0" borderId="30" xfId="0" applyNumberFormat="1" applyFont="1" applyBorder="1" applyAlignment="1" applyProtection="1">
      <alignment horizontal="center" vertical="center"/>
      <protection locked="0"/>
    </xf>
    <xf numFmtId="0" fontId="1" fillId="2" borderId="29" xfId="0" applyFont="1" applyFill="1" applyBorder="1" applyProtection="1">
      <alignment vertical="center"/>
      <protection hidden="1"/>
    </xf>
    <xf numFmtId="0" fontId="1" fillId="0" borderId="20" xfId="0" applyFont="1" applyBorder="1" applyAlignment="1" applyProtection="1">
      <alignment horizontal="center" vertical="center"/>
      <protection hidden="1"/>
    </xf>
    <xf numFmtId="177" fontId="1" fillId="0" borderId="24" xfId="3" applyNumberFormat="1" applyFont="1" applyBorder="1" applyAlignment="1" applyProtection="1">
      <alignment horizontal="center" vertical="center"/>
      <protection hidden="1"/>
    </xf>
    <xf numFmtId="0" fontId="4" fillId="2" borderId="35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1" fillId="2" borderId="36" xfId="0" applyFont="1" applyFill="1" applyBorder="1" applyAlignment="1" applyProtection="1">
      <alignment horizontal="center" vertical="center"/>
      <protection hidden="1"/>
    </xf>
    <xf numFmtId="0" fontId="10" fillId="3" borderId="21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/>
      <protection hidden="1"/>
    </xf>
    <xf numFmtId="0" fontId="11" fillId="0" borderId="13" xfId="0" applyFont="1" applyBorder="1" applyAlignment="1" applyProtection="1">
      <alignment horizontal="center" vertical="center"/>
      <protection hidden="1"/>
    </xf>
    <xf numFmtId="0" fontId="1" fillId="2" borderId="18" xfId="0" applyFont="1" applyFill="1" applyBorder="1" applyProtection="1">
      <alignment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hidden="1"/>
    </xf>
    <xf numFmtId="0" fontId="11" fillId="0" borderId="20" xfId="0" applyFont="1" applyBorder="1" applyAlignment="1" applyProtection="1">
      <alignment horizontal="center" vertical="center"/>
      <protection hidden="1"/>
    </xf>
    <xf numFmtId="0" fontId="11" fillId="0" borderId="24" xfId="0" applyFont="1" applyBorder="1" applyAlignment="1" applyProtection="1">
      <alignment horizontal="center" vertical="center"/>
      <protection hidden="1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24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hidden="1"/>
    </xf>
    <xf numFmtId="0" fontId="7" fillId="0" borderId="38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/>
      <protection hidden="1"/>
    </xf>
    <xf numFmtId="177" fontId="13" fillId="4" borderId="12" xfId="3" applyNumberFormat="1" applyFont="1" applyFill="1" applyBorder="1" applyAlignment="1" applyProtection="1">
      <alignment horizontal="center" vertical="center"/>
      <protection hidden="1"/>
    </xf>
    <xf numFmtId="178" fontId="13" fillId="4" borderId="13" xfId="3" applyNumberFormat="1" applyFont="1" applyFill="1" applyBorder="1" applyAlignment="1" applyProtection="1">
      <alignment horizontal="center" vertical="center"/>
      <protection hidden="1"/>
    </xf>
    <xf numFmtId="0" fontId="1" fillId="2" borderId="25" xfId="0" applyFont="1" applyFill="1" applyBorder="1" applyAlignment="1" applyProtection="1">
      <alignment horizontal="center" vertical="center"/>
      <protection hidden="1"/>
    </xf>
    <xf numFmtId="0" fontId="8" fillId="0" borderId="25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hidden="1"/>
    </xf>
    <xf numFmtId="0" fontId="1" fillId="2" borderId="39" xfId="0" applyFont="1" applyFill="1" applyBorder="1" applyAlignment="1" applyProtection="1">
      <alignment horizontal="center" vertical="center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locked="0"/>
    </xf>
    <xf numFmtId="0" fontId="1" fillId="0" borderId="7" xfId="3" applyNumberFormat="1" applyFont="1" applyFill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hidden="1"/>
    </xf>
    <xf numFmtId="0" fontId="1" fillId="0" borderId="37" xfId="0" applyFont="1" applyBorder="1" applyAlignment="1" applyProtection="1">
      <alignment horizontal="center" vertical="center"/>
      <protection hidden="1"/>
    </xf>
    <xf numFmtId="0" fontId="1" fillId="0" borderId="38" xfId="0" applyFont="1" applyBorder="1" applyAlignment="1" applyProtection="1">
      <alignment horizontal="center" vertical="center"/>
      <protection hidden="1"/>
    </xf>
    <xf numFmtId="0" fontId="4" fillId="2" borderId="25" xfId="0" applyFont="1" applyFill="1" applyBorder="1" applyAlignment="1" applyProtection="1">
      <alignment horizontal="center" vertical="center"/>
      <protection hidden="1"/>
    </xf>
    <xf numFmtId="0" fontId="1" fillId="2" borderId="21" xfId="0" applyFont="1" applyFill="1" applyBorder="1" applyProtection="1">
      <alignment vertical="center"/>
      <protection hidden="1"/>
    </xf>
    <xf numFmtId="0" fontId="1" fillId="2" borderId="22" xfId="0" applyFont="1" applyFill="1" applyBorder="1" applyProtection="1">
      <alignment vertical="center"/>
      <protection hidden="1"/>
    </xf>
    <xf numFmtId="0" fontId="1" fillId="0" borderId="24" xfId="0" applyFont="1" applyBorder="1" applyProtection="1">
      <alignment vertical="center"/>
      <protection hidden="1"/>
    </xf>
    <xf numFmtId="0" fontId="1" fillId="0" borderId="38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40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" fillId="0" borderId="4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horizontal="center" vertical="center"/>
      <protection hidden="1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/>
      <protection hidden="1"/>
    </xf>
    <xf numFmtId="0" fontId="1" fillId="0" borderId="44" xfId="0" applyFont="1" applyBorder="1" applyAlignment="1" applyProtection="1">
      <alignment horizontal="center" vertical="center"/>
      <protection hidden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9" fillId="2" borderId="20" xfId="0" applyFont="1" applyFill="1" applyBorder="1" applyAlignment="1" applyProtection="1">
      <alignment horizontal="center" vertical="center"/>
      <protection hidden="1"/>
    </xf>
    <xf numFmtId="177" fontId="13" fillId="4" borderId="21" xfId="3" applyNumberFormat="1" applyFont="1" applyFill="1" applyBorder="1" applyAlignment="1" applyProtection="1">
      <alignment horizontal="center" vertical="center"/>
      <protection hidden="1"/>
    </xf>
    <xf numFmtId="178" fontId="13" fillId="4" borderId="24" xfId="3" applyNumberFormat="1" applyFont="1" applyFill="1" applyBorder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11" fillId="0" borderId="21" xfId="0" applyFont="1" applyBorder="1" applyAlignment="1" applyProtection="1">
      <alignment horizontal="center" vertical="center"/>
      <protection hidden="1"/>
    </xf>
    <xf numFmtId="0" fontId="14" fillId="0" borderId="33" xfId="6" applyBorder="1" applyAlignment="1" applyProtection="1">
      <alignment horizontal="center" vertical="center"/>
      <protection hidden="1"/>
    </xf>
    <xf numFmtId="0" fontId="14" fillId="0" borderId="0" xfId="6" applyBorder="1" applyAlignment="1" applyProtection="1">
      <alignment horizontal="center" vertical="center"/>
      <protection hidden="1"/>
    </xf>
    <xf numFmtId="0" fontId="1" fillId="0" borderId="45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>
      <alignment vertical="center"/>
    </xf>
    <xf numFmtId="10" fontId="1" fillId="0" borderId="12" xfId="0" applyNumberFormat="1" applyFont="1" applyBorder="1" applyAlignment="1">
      <alignment horizontal="center" vertical="center"/>
    </xf>
    <xf numFmtId="10" fontId="1" fillId="0" borderId="12" xfId="3" applyNumberFormat="1" applyFont="1" applyBorder="1" applyAlignment="1">
      <alignment horizontal="center" vertical="center"/>
    </xf>
    <xf numFmtId="10" fontId="0" fillId="0" borderId="0" xfId="3" applyNumberFormat="1" applyFo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3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3" applyNumberFormat="1" applyFont="1">
      <alignment vertical="center"/>
    </xf>
    <xf numFmtId="179" fontId="0" fillId="0" borderId="0" xfId="0" applyNumberFormat="1">
      <alignment vertical="center"/>
    </xf>
    <xf numFmtId="9" fontId="0" fillId="0" borderId="0" xfId="3" applyFont="1">
      <alignment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0" fontId="17" fillId="0" borderId="0" xfId="0" applyFont="1">
      <alignment vertical="center"/>
    </xf>
    <xf numFmtId="0" fontId="0" fillId="8" borderId="0" xfId="0" applyFill="1">
      <alignment vertical="center"/>
    </xf>
    <xf numFmtId="0" fontId="17" fillId="8" borderId="0" xfId="0" applyFont="1" applyFill="1">
      <alignment vertical="center"/>
    </xf>
    <xf numFmtId="0" fontId="17" fillId="7" borderId="0" xfId="0" applyFont="1" applyFill="1">
      <alignment vertical="center"/>
    </xf>
    <xf numFmtId="1" fontId="0" fillId="0" borderId="0" xfId="0" applyNumberForma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8" fillId="7" borderId="0" xfId="0" applyFont="1" applyFill="1">
      <alignment vertical="center"/>
    </xf>
    <xf numFmtId="0" fontId="19" fillId="7" borderId="0" xfId="0" applyFont="1" applyFill="1">
      <alignment vertical="center"/>
    </xf>
    <xf numFmtId="0" fontId="17" fillId="6" borderId="0" xfId="0" applyFont="1" applyFill="1">
      <alignment vertical="center"/>
    </xf>
    <xf numFmtId="181" fontId="0" fillId="0" borderId="0" xfId="0" applyNumberFormat="1" applyAlignment="1">
      <alignment horizontal="center" vertical="center"/>
    </xf>
    <xf numFmtId="0" fontId="0" fillId="6" borderId="12" xfId="0" applyFill="1" applyBorder="1">
      <alignment vertical="center"/>
    </xf>
    <xf numFmtId="1" fontId="0" fillId="0" borderId="12" xfId="0" applyNumberFormat="1" applyBorder="1">
      <alignment vertical="center"/>
    </xf>
    <xf numFmtId="9" fontId="0" fillId="0" borderId="12" xfId="0" applyNumberFormat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182" fontId="0" fillId="0" borderId="12" xfId="0" applyNumberFormat="1" applyBorder="1">
      <alignment vertical="center"/>
    </xf>
    <xf numFmtId="183" fontId="0" fillId="0" borderId="12" xfId="0" applyNumberFormat="1" applyBorder="1">
      <alignment vertical="center"/>
    </xf>
    <xf numFmtId="0" fontId="0" fillId="0" borderId="12" xfId="0" applyBorder="1" applyAlignment="1">
      <alignment vertical="center" wrapText="1"/>
    </xf>
    <xf numFmtId="0" fontId="1" fillId="0" borderId="12" xfId="0" applyFont="1" applyBorder="1">
      <alignment vertical="center"/>
    </xf>
    <xf numFmtId="0" fontId="1" fillId="0" borderId="15" xfId="0" applyFont="1" applyBorder="1" applyAlignment="1">
      <alignment horizontal="center" vertical="center"/>
    </xf>
    <xf numFmtId="184" fontId="1" fillId="0" borderId="12" xfId="0" applyNumberFormat="1" applyFont="1" applyBorder="1" applyAlignment="1">
      <alignment horizontal="center" vertical="center"/>
    </xf>
    <xf numFmtId="185" fontId="1" fillId="0" borderId="12" xfId="0" applyNumberFormat="1" applyFont="1" applyBorder="1" applyAlignment="1">
      <alignment horizontal="center" vertical="center"/>
    </xf>
    <xf numFmtId="9" fontId="1" fillId="0" borderId="12" xfId="0" applyNumberFormat="1" applyFont="1" applyBorder="1" applyAlignment="1">
      <alignment horizontal="center" vertical="center"/>
    </xf>
    <xf numFmtId="10" fontId="1" fillId="7" borderId="12" xfId="3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0" fillId="0" borderId="15" xfId="0" applyBorder="1">
      <alignment vertical="center"/>
    </xf>
    <xf numFmtId="179" fontId="0" fillId="0" borderId="12" xfId="0" applyNumberFormat="1" applyBorder="1" applyAlignment="1">
      <alignment horizontal="center" vertical="center"/>
    </xf>
    <xf numFmtId="179" fontId="0" fillId="0" borderId="47" xfId="0" applyNumberForma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18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12" xfId="3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2" fontId="0" fillId="0" borderId="0" xfId="0" applyNumberFormat="1">
      <alignment vertical="center"/>
    </xf>
    <xf numFmtId="9" fontId="0" fillId="0" borderId="0" xfId="0" applyNumberFormat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0" borderId="12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FF9900"/>
      </font>
    </dxf>
    <dxf>
      <font>
        <color rgb="FF7030A0"/>
      </font>
    </dxf>
    <dxf>
      <font>
        <color rgb="FF0070C0"/>
      </font>
    </dxf>
    <dxf>
      <font>
        <color rgb="FF92D050"/>
      </font>
    </dxf>
    <dxf>
      <fill>
        <patternFill patternType="solid">
          <bgColor theme="5" tint="0.799981688894314"/>
        </patternFill>
      </fill>
    </dxf>
    <dxf>
      <font>
        <b val="1"/>
        <i val="0"/>
        <color rgb="FFC00000"/>
      </font>
    </dxf>
    <dxf>
      <font>
        <color rgb="FF7030A0"/>
      </font>
    </dxf>
    <dxf>
      <fill>
        <patternFill patternType="solid">
          <bgColor theme="0" tint="-0.14996795556505"/>
        </patternFill>
      </fill>
    </dxf>
    <dxf>
      <fill>
        <patternFill patternType="solid">
          <bgColor theme="0" tint="-0.14996795556505"/>
        </patternFill>
      </fill>
    </dxf>
    <dxf>
      <font>
        <color theme="0" tint="-0.14996795556505"/>
      </font>
    </dxf>
    <dxf>
      <font>
        <color theme="0"/>
      </font>
    </dxf>
    <dxf>
      <font>
        <color theme="1"/>
      </font>
    </dxf>
    <dxf>
      <font>
        <color theme="0" tint="-0.14996795556505"/>
      </font>
      <fill>
        <patternFill patternType="solid">
          <bgColor theme="0" tint="-0.14996795556505"/>
        </patternFill>
      </fill>
    </dxf>
    <dxf>
      <font>
        <b val="1"/>
        <i val="0"/>
        <color theme="8"/>
      </font>
    </dxf>
    <dxf>
      <font>
        <b val="1"/>
        <i val="0"/>
        <color rgb="FF7030A0"/>
      </font>
    </dxf>
    <dxf>
      <fill>
        <patternFill patternType="solid">
          <bgColor theme="0" tint="-0.249946592608417"/>
        </patternFill>
      </fill>
    </dxf>
    <dxf>
      <font>
        <color theme="0"/>
      </font>
    </dxf>
    <dxf>
      <fill>
        <patternFill patternType="solid">
          <bgColor rgb="FFFF9999"/>
        </patternFill>
      </fill>
    </dxf>
    <dxf>
      <font>
        <strike val="1"/>
        <color theme="1" tint="0.349986266670736"/>
      </font>
      <fill>
        <patternFill patternType="solid">
          <bgColor theme="6" tint="0.599963377788629"/>
        </patternFill>
      </fill>
    </dxf>
  </dxfs>
  <tableStyles count="0" defaultTableStyle="TableStyleMedium2" defaultPivotStyle="PivotStyleLight16"/>
  <colors>
    <mruColors>
      <color rgb="00FF9900"/>
      <color rgb="00FFFF00"/>
      <color rgb="00FF6600"/>
      <color rgb="0000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fmlaLink="装备库!$AQ$2" noThreeD="1" val="0"/>
</file>

<file path=xl/ctrlProps/ctrlProp2.xml><?xml version="1.0" encoding="utf-8"?>
<formControlPr xmlns="http://schemas.microsoft.com/office/spreadsheetml/2009/9/main" objectType="CheckBox" fmlaLink="装备库!$AR$2" noThreeD="1" val="0"/>
</file>

<file path=xl/ctrlProps/ctrlProp3.xml><?xml version="1.0" encoding="utf-8"?>
<formControlPr xmlns="http://schemas.microsoft.com/office/spreadsheetml/2009/9/main" objectType="CheckBox" fmlaLink="装备库!$AS$2" noThreeD="1" val="0"/>
</file>

<file path=xl/ctrlProps/ctrlProp4.xml><?xml version="1.0" encoding="utf-8"?>
<formControlPr xmlns="http://schemas.microsoft.com/office/spreadsheetml/2009/9/main" objectType="CheckBox" fmlaLink="装备库!$AU$2" noThreeD="1" val="0"/>
</file>

<file path=xl/ctrlProps/ctrlProp5.xml><?xml version="1.0" encoding="utf-8"?>
<formControlPr xmlns="http://schemas.microsoft.com/office/spreadsheetml/2009/9/main" objectType="CheckBox" fmlaLink="装备库!$AT$2" noThreeD="1" val="0"/>
</file>

<file path=xl/ctrlProps/ctrlProp6.xml><?xml version="1.0" encoding="utf-8"?>
<formControlPr xmlns="http://schemas.microsoft.com/office/spreadsheetml/2009/9/main" objectType="CheckBox" fmlaLink="装备库!$AV$2" noThreeD="1" val="0"/>
</file>

<file path=xl/ctrlProps/ctrlProp7.xml><?xml version="1.0" encoding="utf-8"?>
<formControlPr xmlns="http://schemas.microsoft.com/office/spreadsheetml/2009/9/main" objectType="CheckBox" fmlaLink="装备库!$AX$2" noThreeD="1" val="0"/>
</file>

<file path=xl/ctrlProps/ctrlProp8.xml><?xml version="1.0" encoding="utf-8"?>
<formControlPr xmlns="http://schemas.microsoft.com/office/spreadsheetml/2009/9/main" objectType="CheckBox" fmlaLink="装备库!$AW$2" noThreeD="1" val="0"/>
</file>

<file path=xl/ctrlProps/ctrlProp9.xml><?xml version="1.0" encoding="utf-8"?>
<formControlPr xmlns="http://schemas.microsoft.com/office/spreadsheetml/2009/9/main" objectType="CheckBox" checked="Checked" fmlaLink="技能数据库!$N$12" noThreeD="1" val="0"/>
</file>

<file path=xl/ctrlProps/ctrlProp10.xml><?xml version="1.0" encoding="utf-8"?>
<formControlPr xmlns="http://schemas.microsoft.com/office/spreadsheetml/2009/9/main" objectType="CheckBox" checked="Checked" fmlaLink="技能数据库!$N$13" noThreeD="1" val="0"/>
</file>

<file path=xl/ctrlProps/ctrlProp11.xml><?xml version="1.0" encoding="utf-8"?>
<formControlPr xmlns="http://schemas.microsoft.com/office/spreadsheetml/2009/9/main" objectType="CheckBox" checked="Checked" fmlaLink="技能数据库!$N$14" noThreeD="1" val="0"/>
</file>

<file path=xl/ctrlProps/ctrlProp12.xml><?xml version="1.0" encoding="utf-8"?>
<formControlPr xmlns="http://schemas.microsoft.com/office/spreadsheetml/2009/9/main" objectType="CheckBox" fmlaLink="技能数据库!$N$15" noThreeD="1" val="0"/>
</file>

<file path=xl/ctrlProps/ctrlProp13.xml><?xml version="1.0" encoding="utf-8"?>
<formControlPr xmlns="http://schemas.microsoft.com/office/spreadsheetml/2009/9/main" objectType="CheckBox" fmlaLink="技能数据库!$N$16" noThreeD="1" val="0"/>
</file>

<file path=xl/ctrlProps/ctrlProp14.xml><?xml version="1.0" encoding="utf-8"?>
<formControlPr xmlns="http://schemas.microsoft.com/office/spreadsheetml/2009/9/main" objectType="CheckBox" checked="Checked" fmlaLink="技能数据库!$N$3" noThreeD="1" val="0"/>
</file>

<file path=xl/ctrlProps/ctrlProp15.xml><?xml version="1.0" encoding="utf-8"?>
<formControlPr xmlns="http://schemas.microsoft.com/office/spreadsheetml/2009/9/main" objectType="CheckBox" checked="Checked" fmlaLink="技能数据库!$N$4" noThreeD="1" val="0"/>
</file>

<file path=xl/ctrlProps/ctrlProp16.xml><?xml version="1.0" encoding="utf-8"?>
<formControlPr xmlns="http://schemas.microsoft.com/office/spreadsheetml/2009/9/main" objectType="CheckBox" fmlaLink="技能数据库!$N$6" noThreeD="1" val="0"/>
</file>

<file path=xl/ctrlProps/ctrlProp17.xml><?xml version="1.0" encoding="utf-8"?>
<formControlPr xmlns="http://schemas.microsoft.com/office/spreadsheetml/2009/9/main" objectType="CheckBox" fmlaLink="技能数据库!$N$5" noThreeD="1" val="0"/>
</file>

<file path=xl/ctrlProps/ctrlProp18.xml><?xml version="1.0" encoding="utf-8"?>
<formControlPr xmlns="http://schemas.microsoft.com/office/spreadsheetml/2009/9/main" objectType="CheckBox" checked="Checked" fmlaLink="技能数据库!$N$9" noThreeD="1" val="0"/>
</file>

<file path=xl/ctrlProps/ctrlProp19.xml><?xml version="1.0" encoding="utf-8"?>
<formControlPr xmlns="http://schemas.microsoft.com/office/spreadsheetml/2009/9/main" objectType="CheckBox" checked="Checked" fmlaLink="技能数据库!$N$10" noThreeD="1" val="0"/>
</file>

<file path=xl/ctrlProps/ctrlProp20.xml><?xml version="1.0" encoding="utf-8"?>
<formControlPr xmlns="http://schemas.microsoft.com/office/spreadsheetml/2009/9/main" objectType="CheckBox" fmlaLink="技能数据库!$N$11" noThreeD="1" val="0"/>
</file>

<file path=xl/ctrlProps/ctrlProp21.xml><?xml version="1.0" encoding="utf-8"?>
<formControlPr xmlns="http://schemas.microsoft.com/office/spreadsheetml/2009/9/main" objectType="CheckBox" checked="Checked" fmlaLink="技能数据库!$N$17" noThreeD="1" val="0"/>
</file>

<file path=xl/ctrlProps/ctrlProp22.xml><?xml version="1.0" encoding="utf-8"?>
<formControlPr xmlns="http://schemas.microsoft.com/office/spreadsheetml/2009/9/main" objectType="CheckBox" checked="Checked" fmlaLink="技能数据库!$N$18" noThreeD="1" val="0"/>
</file>

<file path=xl/ctrlProps/ctrlProp23.xml><?xml version="1.0" encoding="utf-8"?>
<formControlPr xmlns="http://schemas.microsoft.com/office/spreadsheetml/2009/9/main" objectType="CheckBox" checked="Checked" fmlaLink="技能数据库!$N$19" noThreeD="1" val="0"/>
</file>

<file path=xl/ctrlProps/ctrlProp24.xml><?xml version="1.0" encoding="utf-8"?>
<formControlPr xmlns="http://schemas.microsoft.com/office/spreadsheetml/2009/9/main" objectType="CheckBox" checked="Checked" fmlaLink="技能数据库!$N$20" noThreeD="1" val="0"/>
</file>

<file path=xl/ctrlProps/ctrlProp25.xml><?xml version="1.0" encoding="utf-8"?>
<formControlPr xmlns="http://schemas.microsoft.com/office/spreadsheetml/2009/9/main" objectType="CheckBox" fmlaLink="技能数据库!$N$21" noThreeD="1" val="0"/>
</file>

<file path=xl/ctrlProps/ctrlProp26.xml><?xml version="1.0" encoding="utf-8"?>
<formControlPr xmlns="http://schemas.microsoft.com/office/spreadsheetml/2009/9/main" objectType="CheckBox" checked="Checked" fmlaLink="技能数据库!$N$27" noThreeD="1" val="0"/>
</file>

<file path=xl/ctrlProps/ctrlProp27.xml><?xml version="1.0" encoding="utf-8"?>
<formControlPr xmlns="http://schemas.microsoft.com/office/spreadsheetml/2009/9/main" objectType="CheckBox" checked="Checked" fmlaLink="技能数据库!$N$28" noThreeD="1" val="0"/>
</file>

<file path=xl/ctrlProps/ctrlProp28.xml><?xml version="1.0" encoding="utf-8"?>
<formControlPr xmlns="http://schemas.microsoft.com/office/spreadsheetml/2009/9/main" objectType="CheckBox" checked="Checked" fmlaLink="技能数据库!$N$29" noThreeD="1" val="0"/>
</file>

<file path=xl/ctrlProps/ctrlProp29.xml><?xml version="1.0" encoding="utf-8"?>
<formControlPr xmlns="http://schemas.microsoft.com/office/spreadsheetml/2009/9/main" objectType="CheckBox" fmlaLink="技能数据库!$N$31" noThreeD="1" val="0"/>
</file>

<file path=xl/ctrlProps/ctrlProp30.xml><?xml version="1.0" encoding="utf-8"?>
<formControlPr xmlns="http://schemas.microsoft.com/office/spreadsheetml/2009/9/main" objectType="CheckBox" fmlaLink="技能数据库!$N$32" noThreeD="1" val="0"/>
</file>

<file path=xl/ctrlProps/ctrlProp31.xml><?xml version="1.0" encoding="utf-8"?>
<formControlPr xmlns="http://schemas.microsoft.com/office/spreadsheetml/2009/9/main" objectType="CheckBox" checked="Checked" fmlaLink="技能数据库!$N$30" noThreeD="1" val="0"/>
</file>

<file path=xl/ctrlProps/ctrlProp32.xml><?xml version="1.0" encoding="utf-8"?>
<formControlPr xmlns="http://schemas.microsoft.com/office/spreadsheetml/2009/9/main" objectType="CheckBox" checked="Checked" fmlaLink="技能数据库!$N$7" noThreeD="1" val="0"/>
</file>

<file path=xl/ctrlProps/ctrlProp33.xml><?xml version="1.0" encoding="utf-8"?>
<formControlPr xmlns="http://schemas.microsoft.com/office/spreadsheetml/2009/9/main" objectType="CheckBox" checked="Checked" fmlaLink="技能数据库!$N$8" noThreeD="1" val="0"/>
</file>

<file path=xl/ctrlProps/ctrlProp34.xml><?xml version="1.0" encoding="utf-8"?>
<formControlPr xmlns="http://schemas.microsoft.com/office/spreadsheetml/2009/9/main" objectType="CheckBox" fmlaLink="技能数据库!$N$33" noThreeD="1" val="0"/>
</file>

<file path=xl/ctrlProps/ctrlProp35.xml><?xml version="1.0" encoding="utf-8"?>
<formControlPr xmlns="http://schemas.microsoft.com/office/spreadsheetml/2009/9/main" objectType="CheckBox" fmlaLink="技能数据库!$N$34" noThreeD="1" val="0"/>
</file>

<file path=xl/ctrlProps/ctrlProp36.xml><?xml version="1.0" encoding="utf-8"?>
<formControlPr xmlns="http://schemas.microsoft.com/office/spreadsheetml/2009/9/main" objectType="CheckBox" checked="Checked" fmlaLink="技能数据库!$N$35" noThreeD="1" val="0"/>
</file>

<file path=xl/ctrlProps/ctrlProp37.xml><?xml version="1.0" encoding="utf-8"?>
<formControlPr xmlns="http://schemas.microsoft.com/office/spreadsheetml/2009/9/main" objectType="CheckBox" checked="Checked" fmlaLink="技能数据库!$N$36" noThreeD="1" val="0"/>
</file>

<file path=xl/ctrlProps/ctrlProp38.xml><?xml version="1.0" encoding="utf-8"?>
<formControlPr xmlns="http://schemas.microsoft.com/office/spreadsheetml/2009/9/main" objectType="CheckBox" checked="Checked" fmlaLink="技能数据库!$N$37" noThreeD="1" val="0"/>
</file>

<file path=xl/ctrlProps/ctrlProp39.xml><?xml version="1.0" encoding="utf-8"?>
<formControlPr xmlns="http://schemas.microsoft.com/office/spreadsheetml/2009/9/main" objectType="CheckBox" fmlaLink="技能数据库!$N$38" noThreeD="1" val="0"/>
</file>

<file path=xl/ctrlProps/ctrlProp40.xml><?xml version="1.0" encoding="utf-8"?>
<formControlPr xmlns="http://schemas.microsoft.com/office/spreadsheetml/2009/9/main" objectType="CheckBox" checked="Checked" fmlaLink="技能数据库!$N$39" noThreeD="1" val="0"/>
</file>

<file path=xl/ctrlProps/ctrlProp41.xml><?xml version="1.0" encoding="utf-8"?>
<formControlPr xmlns="http://schemas.microsoft.com/office/spreadsheetml/2009/9/main" objectType="CheckBox" fmlaLink="技能数据库!$N$74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30</xdr:row>
          <xdr:rowOff>9525</xdr:rowOff>
        </xdr:from>
        <xdr:to>
          <xdr:col>7</xdr:col>
          <xdr:colOff>552450</xdr:colOff>
          <xdr:row>30</xdr:row>
          <xdr:rowOff>190500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247005" y="6430010"/>
              <a:ext cx="52387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628650</xdr:colOff>
          <xdr:row>30</xdr:row>
          <xdr:rowOff>9525</xdr:rowOff>
        </xdr:from>
        <xdr:to>
          <xdr:col>8</xdr:col>
          <xdr:colOff>257175</xdr:colOff>
          <xdr:row>30</xdr:row>
          <xdr:rowOff>190500</xdr:rowOff>
        </xdr:to>
        <xdr:sp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5847080" y="6430010"/>
              <a:ext cx="46418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会效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30</xdr:row>
          <xdr:rowOff>9525</xdr:rowOff>
        </xdr:from>
        <xdr:to>
          <xdr:col>9</xdr:col>
          <xdr:colOff>0</xdr:colOff>
          <xdr:row>30</xdr:row>
          <xdr:rowOff>190500</xdr:rowOff>
        </xdr:to>
        <xdr:sp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273165" y="6430010"/>
              <a:ext cx="49212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破防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31</xdr:row>
          <xdr:rowOff>19050</xdr:rowOff>
        </xdr:from>
        <xdr:to>
          <xdr:col>7</xdr:col>
          <xdr:colOff>552450</xdr:colOff>
          <xdr:row>31</xdr:row>
          <xdr:rowOff>200025</xdr:rowOff>
        </xdr:to>
        <xdr:sp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5247005" y="6662420"/>
              <a:ext cx="52387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无双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628650</xdr:colOff>
          <xdr:row>31</xdr:row>
          <xdr:rowOff>19050</xdr:rowOff>
        </xdr:from>
        <xdr:to>
          <xdr:col>8</xdr:col>
          <xdr:colOff>257175</xdr:colOff>
          <xdr:row>31</xdr:row>
          <xdr:rowOff>200025</xdr:rowOff>
        </xdr:to>
        <xdr:sp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5847080" y="6662420"/>
              <a:ext cx="46418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破招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31</xdr:row>
          <xdr:rowOff>19050</xdr:rowOff>
        </xdr:from>
        <xdr:to>
          <xdr:col>9</xdr:col>
          <xdr:colOff>0</xdr:colOff>
          <xdr:row>31</xdr:row>
          <xdr:rowOff>200025</xdr:rowOff>
        </xdr:to>
        <xdr:sp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273165" y="6662420"/>
              <a:ext cx="49212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加速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32</xdr:row>
          <xdr:rowOff>19050</xdr:rowOff>
        </xdr:from>
        <xdr:to>
          <xdr:col>7</xdr:col>
          <xdr:colOff>552450</xdr:colOff>
          <xdr:row>32</xdr:row>
          <xdr:rowOff>200025</xdr:rowOff>
        </xdr:to>
        <xdr:sp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5247005" y="6871970"/>
              <a:ext cx="52387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精简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628650</xdr:colOff>
          <xdr:row>32</xdr:row>
          <xdr:rowOff>19050</xdr:rowOff>
        </xdr:from>
        <xdr:to>
          <xdr:col>8</xdr:col>
          <xdr:colOff>257175</xdr:colOff>
          <xdr:row>32</xdr:row>
          <xdr:rowOff>200025</xdr:rowOff>
        </xdr:to>
        <xdr:sp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5847080" y="6871970"/>
              <a:ext cx="464185" cy="1809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全能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21</xdr:row>
          <xdr:rowOff>0</xdr:rowOff>
        </xdr:from>
        <xdr:to>
          <xdr:col>17</xdr:col>
          <xdr:colOff>819150</xdr:colOff>
          <xdr:row>22</xdr:row>
          <xdr:rowOff>28575</xdr:rowOff>
        </xdr:to>
        <xdr:sp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345545" y="4431665"/>
              <a:ext cx="790575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5%伤害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21</xdr:row>
          <xdr:rowOff>0</xdr:rowOff>
        </xdr:from>
        <xdr:to>
          <xdr:col>18</xdr:col>
          <xdr:colOff>28575</xdr:colOff>
          <xdr:row>22</xdr:row>
          <xdr:rowOff>28575</xdr:rowOff>
        </xdr:to>
        <xdr:sp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2088495" y="4431665"/>
              <a:ext cx="688340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1524000</xdr:colOff>
          <xdr:row>21</xdr:row>
          <xdr:rowOff>0</xdr:rowOff>
        </xdr:from>
        <xdr:to>
          <xdr:col>18</xdr:col>
          <xdr:colOff>781050</xdr:colOff>
          <xdr:row>22</xdr:row>
          <xdr:rowOff>28575</xdr:rowOff>
        </xdr:to>
        <xdr:sp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2748260" y="4431665"/>
              <a:ext cx="781050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22</xdr:row>
          <xdr:rowOff>0</xdr:rowOff>
        </xdr:from>
        <xdr:to>
          <xdr:col>17</xdr:col>
          <xdr:colOff>819150</xdr:colOff>
          <xdr:row>23</xdr:row>
          <xdr:rowOff>38100</xdr:rowOff>
        </xdr:to>
        <xdr:sp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1345545" y="4664710"/>
              <a:ext cx="790575" cy="25146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22</xdr:row>
          <xdr:rowOff>0</xdr:rowOff>
        </xdr:from>
        <xdr:to>
          <xdr:col>18</xdr:col>
          <xdr:colOff>28575</xdr:colOff>
          <xdr:row>23</xdr:row>
          <xdr:rowOff>38100</xdr:rowOff>
        </xdr:to>
        <xdr:sp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2088495" y="4664710"/>
              <a:ext cx="688340" cy="25146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22</xdr:row>
          <xdr:rowOff>200025</xdr:rowOff>
        </xdr:from>
        <xdr:to>
          <xdr:col>17</xdr:col>
          <xdr:colOff>819150</xdr:colOff>
          <xdr:row>24</xdr:row>
          <xdr:rowOff>28575</xdr:rowOff>
        </xdr:to>
        <xdr:sp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1345545" y="4864735"/>
              <a:ext cx="790575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22</xdr:row>
          <xdr:rowOff>200025</xdr:rowOff>
        </xdr:from>
        <xdr:to>
          <xdr:col>18</xdr:col>
          <xdr:colOff>28575</xdr:colOff>
          <xdr:row>24</xdr:row>
          <xdr:rowOff>28575</xdr:rowOff>
        </xdr:to>
        <xdr:sp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2088495" y="4864735"/>
              <a:ext cx="688340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23</xdr:row>
          <xdr:rowOff>200025</xdr:rowOff>
        </xdr:from>
        <xdr:to>
          <xdr:col>17</xdr:col>
          <xdr:colOff>819150</xdr:colOff>
          <xdr:row>25</xdr:row>
          <xdr:rowOff>19050</xdr:rowOff>
        </xdr:to>
        <xdr:sp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1345545" y="5078095"/>
              <a:ext cx="79057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1524000</xdr:colOff>
          <xdr:row>22</xdr:row>
          <xdr:rowOff>200025</xdr:rowOff>
        </xdr:from>
        <xdr:to>
          <xdr:col>18</xdr:col>
          <xdr:colOff>781050</xdr:colOff>
          <xdr:row>24</xdr:row>
          <xdr:rowOff>28575</xdr:rowOff>
        </xdr:to>
        <xdr:sp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2748260" y="4864735"/>
              <a:ext cx="781050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20</xdr:row>
          <xdr:rowOff>200025</xdr:rowOff>
        </xdr:from>
        <xdr:to>
          <xdr:col>21</xdr:col>
          <xdr:colOff>114300</xdr:colOff>
          <xdr:row>22</xdr:row>
          <xdr:rowOff>19050</xdr:rowOff>
        </xdr:to>
        <xdr:sp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4563725" y="4418330"/>
              <a:ext cx="74358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771525</xdr:colOff>
          <xdr:row>20</xdr:row>
          <xdr:rowOff>200025</xdr:rowOff>
        </xdr:from>
        <xdr:to>
          <xdr:col>21</xdr:col>
          <xdr:colOff>790575</xdr:colOff>
          <xdr:row>22</xdr:row>
          <xdr:rowOff>19050</xdr:rowOff>
        </xdr:to>
        <xdr:sp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5193010" y="4418330"/>
              <a:ext cx="79057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22</xdr:row>
          <xdr:rowOff>0</xdr:rowOff>
        </xdr:from>
        <xdr:to>
          <xdr:col>21</xdr:col>
          <xdr:colOff>114300</xdr:colOff>
          <xdr:row>23</xdr:row>
          <xdr:rowOff>38100</xdr:rowOff>
        </xdr:to>
        <xdr:sp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4563725" y="4664710"/>
              <a:ext cx="743585" cy="25146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25</xdr:row>
          <xdr:rowOff>19050</xdr:rowOff>
        </xdr:from>
        <xdr:to>
          <xdr:col>17</xdr:col>
          <xdr:colOff>819150</xdr:colOff>
          <xdr:row>26</xdr:row>
          <xdr:rowOff>57150</xdr:rowOff>
        </xdr:to>
        <xdr:sp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1345545" y="5343525"/>
              <a:ext cx="790575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25</xdr:row>
          <xdr:rowOff>19050</xdr:rowOff>
        </xdr:from>
        <xdr:to>
          <xdr:col>18</xdr:col>
          <xdr:colOff>28575</xdr:colOff>
          <xdr:row>26</xdr:row>
          <xdr:rowOff>57150</xdr:rowOff>
        </xdr:to>
        <xdr:sp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2088495" y="5343525"/>
              <a:ext cx="688340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1524000</xdr:colOff>
          <xdr:row>25</xdr:row>
          <xdr:rowOff>19050</xdr:rowOff>
        </xdr:from>
        <xdr:to>
          <xdr:col>18</xdr:col>
          <xdr:colOff>781050</xdr:colOff>
          <xdr:row>26</xdr:row>
          <xdr:rowOff>57150</xdr:rowOff>
        </xdr:to>
        <xdr:sp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2748260" y="5343525"/>
              <a:ext cx="781050" cy="26162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26</xdr:row>
          <xdr:rowOff>19050</xdr:rowOff>
        </xdr:from>
        <xdr:to>
          <xdr:col>17</xdr:col>
          <xdr:colOff>819150</xdr:colOff>
          <xdr:row>27</xdr:row>
          <xdr:rowOff>57150</xdr:rowOff>
        </xdr:to>
        <xdr:sp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11345545" y="5567045"/>
              <a:ext cx="790575" cy="25146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26</xdr:row>
          <xdr:rowOff>19050</xdr:rowOff>
        </xdr:from>
        <xdr:to>
          <xdr:col>18</xdr:col>
          <xdr:colOff>28575</xdr:colOff>
          <xdr:row>27</xdr:row>
          <xdr:rowOff>57150</xdr:rowOff>
        </xdr:to>
        <xdr:sp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2088495" y="5567045"/>
              <a:ext cx="688340" cy="25146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22</xdr:row>
          <xdr:rowOff>200025</xdr:rowOff>
        </xdr:from>
        <xdr:to>
          <xdr:col>21</xdr:col>
          <xdr:colOff>0</xdr:colOff>
          <xdr:row>24</xdr:row>
          <xdr:rowOff>28575</xdr:rowOff>
        </xdr:to>
        <xdr:sp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4544675" y="4864735"/>
              <a:ext cx="648335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5%伤害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714375</xdr:colOff>
          <xdr:row>22</xdr:row>
          <xdr:rowOff>200025</xdr:rowOff>
        </xdr:from>
        <xdr:to>
          <xdr:col>21</xdr:col>
          <xdr:colOff>695325</xdr:colOff>
          <xdr:row>24</xdr:row>
          <xdr:rowOff>28575</xdr:rowOff>
        </xdr:to>
        <xdr:sp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5193010" y="4864735"/>
              <a:ext cx="695325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723900</xdr:colOff>
          <xdr:row>22</xdr:row>
          <xdr:rowOff>200025</xdr:rowOff>
        </xdr:from>
        <xdr:to>
          <xdr:col>22</xdr:col>
          <xdr:colOff>47625</xdr:colOff>
          <xdr:row>24</xdr:row>
          <xdr:rowOff>28575</xdr:rowOff>
        </xdr:to>
        <xdr:sp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5916910" y="4864735"/>
              <a:ext cx="603885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714375</xdr:colOff>
          <xdr:row>23</xdr:row>
          <xdr:rowOff>200025</xdr:rowOff>
        </xdr:from>
        <xdr:to>
          <xdr:col>21</xdr:col>
          <xdr:colOff>695325</xdr:colOff>
          <xdr:row>25</xdr:row>
          <xdr:rowOff>19050</xdr:rowOff>
        </xdr:to>
        <xdr:sp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5193010" y="5078095"/>
              <a:ext cx="69532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723900</xdr:colOff>
          <xdr:row>23</xdr:row>
          <xdr:rowOff>200025</xdr:rowOff>
        </xdr:from>
        <xdr:to>
          <xdr:col>22</xdr:col>
          <xdr:colOff>47625</xdr:colOff>
          <xdr:row>25</xdr:row>
          <xdr:rowOff>19050</xdr:rowOff>
        </xdr:to>
        <xdr:sp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15916910" y="5078095"/>
              <a:ext cx="60388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23</xdr:row>
          <xdr:rowOff>200025</xdr:rowOff>
        </xdr:from>
        <xdr:to>
          <xdr:col>21</xdr:col>
          <xdr:colOff>0</xdr:colOff>
          <xdr:row>25</xdr:row>
          <xdr:rowOff>19050</xdr:rowOff>
        </xdr:to>
        <xdr:sp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14544675" y="5078095"/>
              <a:ext cx="64833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771525</xdr:colOff>
          <xdr:row>23</xdr:row>
          <xdr:rowOff>200025</xdr:rowOff>
        </xdr:from>
        <xdr:to>
          <xdr:col>18</xdr:col>
          <xdr:colOff>28575</xdr:colOff>
          <xdr:row>25</xdr:row>
          <xdr:rowOff>19050</xdr:rowOff>
        </xdr:to>
        <xdr:sp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12088495" y="5078095"/>
              <a:ext cx="688340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降低运功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1524000</xdr:colOff>
          <xdr:row>23</xdr:row>
          <xdr:rowOff>200025</xdr:rowOff>
        </xdr:from>
        <xdr:to>
          <xdr:col>18</xdr:col>
          <xdr:colOff>781050</xdr:colOff>
          <xdr:row>25</xdr:row>
          <xdr:rowOff>19050</xdr:rowOff>
        </xdr:to>
        <xdr:sp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2748260" y="5078095"/>
              <a:ext cx="781050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降低运功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24</xdr:row>
          <xdr:rowOff>200025</xdr:rowOff>
        </xdr:from>
        <xdr:to>
          <xdr:col>21</xdr:col>
          <xdr:colOff>0</xdr:colOff>
          <xdr:row>26</xdr:row>
          <xdr:rowOff>19050</xdr:rowOff>
        </xdr:to>
        <xdr:sp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14544675" y="5291455"/>
              <a:ext cx="648335" cy="27559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降低调息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714375</xdr:colOff>
          <xdr:row>24</xdr:row>
          <xdr:rowOff>200025</xdr:rowOff>
        </xdr:from>
        <xdr:to>
          <xdr:col>21</xdr:col>
          <xdr:colOff>695325</xdr:colOff>
          <xdr:row>26</xdr:row>
          <xdr:rowOff>19050</xdr:rowOff>
        </xdr:to>
        <xdr:sp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15193010" y="5291455"/>
              <a:ext cx="695325" cy="27559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降低调息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723900</xdr:colOff>
          <xdr:row>24</xdr:row>
          <xdr:rowOff>200025</xdr:rowOff>
        </xdr:from>
        <xdr:to>
          <xdr:col>22</xdr:col>
          <xdr:colOff>47625</xdr:colOff>
          <xdr:row>26</xdr:row>
          <xdr:rowOff>19050</xdr:rowOff>
        </xdr:to>
        <xdr:sp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15916910" y="5291455"/>
              <a:ext cx="603885" cy="27559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5%伤害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25</xdr:row>
          <xdr:rowOff>200025</xdr:rowOff>
        </xdr:from>
        <xdr:to>
          <xdr:col>21</xdr:col>
          <xdr:colOff>0</xdr:colOff>
          <xdr:row>27</xdr:row>
          <xdr:rowOff>28575</xdr:rowOff>
        </xdr:to>
        <xdr:sp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4544675" y="5524500"/>
              <a:ext cx="64833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4%伤害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714375</xdr:colOff>
          <xdr:row>25</xdr:row>
          <xdr:rowOff>200025</xdr:rowOff>
        </xdr:from>
        <xdr:to>
          <xdr:col>21</xdr:col>
          <xdr:colOff>695325</xdr:colOff>
          <xdr:row>27</xdr:row>
          <xdr:rowOff>28575</xdr:rowOff>
        </xdr:to>
        <xdr:sp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15193010" y="5524500"/>
              <a:ext cx="69532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3%伤害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723900</xdr:colOff>
          <xdr:row>25</xdr:row>
          <xdr:rowOff>200025</xdr:rowOff>
        </xdr:from>
        <xdr:to>
          <xdr:col>22</xdr:col>
          <xdr:colOff>47625</xdr:colOff>
          <xdr:row>27</xdr:row>
          <xdr:rowOff>28575</xdr:rowOff>
        </xdr:to>
        <xdr:sp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5916910" y="5524500"/>
              <a:ext cx="60388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2%会心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26</xdr:row>
          <xdr:rowOff>200025</xdr:rowOff>
        </xdr:from>
        <xdr:to>
          <xdr:col>21</xdr:col>
          <xdr:colOff>0</xdr:colOff>
          <xdr:row>28</xdr:row>
          <xdr:rowOff>19050</xdr:rowOff>
        </xdr:to>
        <xdr:sp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14544675" y="5748020"/>
              <a:ext cx="648335" cy="25527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原地释放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208189</xdr:colOff>
          <xdr:row>19</xdr:row>
          <xdr:rowOff>38098</xdr:rowOff>
        </xdr:from>
        <xdr:to>
          <xdr:col>19</xdr:col>
          <xdr:colOff>636814</xdr:colOff>
          <xdr:row>19</xdr:row>
          <xdr:rowOff>179613</xdr:rowOff>
        </xdr:to>
        <xdr:pic>
          <xdr:nvPicPr>
            <xdr:cNvPr id="2" name="图片 1"/>
            <xdr:cNvPicPr>
              <a:picLocks noChangeAspect="1"/>
              <a:extLst>
                <a:ext uri="{84589F7E-364E-4C9E-8A38-B11213B215E9}">
                  <a14:cameraTool cellRange="附魔库!E200" spid="_x0000_s649216"/>
                </a:ext>
              </a:extLst>
            </xdr:cNvPicPr>
          </xdr:nvPicPr>
          <xdr:blipFill>
            <a:blip r:embed="rId1"/>
            <a:srcRect l="22727" t="15644" r="26136" b="13606"/>
            <a:stretch>
              <a:fillRect/>
            </a:stretch>
          </xdr:blipFill>
          <xdr:spPr>
            <a:xfrm>
              <a:off x="13942695" y="4032885"/>
              <a:ext cx="428625" cy="1416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</xdr:row>
          <xdr:rowOff>30956</xdr:rowOff>
        </xdr:from>
        <xdr:to>
          <xdr:col>2</xdr:col>
          <xdr:colOff>485774</xdr:colOff>
          <xdr:row>2</xdr:row>
          <xdr:rowOff>185738</xdr:rowOff>
        </xdr:to>
        <xdr:pic>
          <xdr:nvPicPr>
            <xdr:cNvPr id="5" name="图片 4"/>
            <xdr:cNvPicPr>
              <a:picLocks noChangeAspect="1"/>
              <a:extLst>
                <a:ext uri="{84589F7E-364E-4C9E-8A38-B11213B215E9}">
                  <a14:cameraTool cellRange="装备选择!P21" spid="_x0000_s649217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281940"/>
              <a:ext cx="132715" cy="1549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7</xdr:row>
          <xdr:rowOff>40481</xdr:rowOff>
        </xdr:from>
        <xdr:to>
          <xdr:col>2</xdr:col>
          <xdr:colOff>485774</xdr:colOff>
          <xdr:row>7</xdr:row>
          <xdr:rowOff>195263</xdr:rowOff>
        </xdr:to>
        <xdr:pic>
          <xdr:nvPicPr>
            <xdr:cNvPr id="6" name="图片 5"/>
            <xdr:cNvPicPr>
              <a:picLocks noChangeAspect="1"/>
              <a:extLst>
                <a:ext uri="{84589F7E-364E-4C9E-8A38-B11213B215E9}">
                  <a14:cameraTool cellRange="装备选择!P22" spid="_x0000_s649218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1387475"/>
              <a:ext cx="132715" cy="1549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12</xdr:row>
          <xdr:rowOff>19050</xdr:rowOff>
        </xdr:from>
        <xdr:to>
          <xdr:col>2</xdr:col>
          <xdr:colOff>485774</xdr:colOff>
          <xdr:row>12</xdr:row>
          <xdr:rowOff>173832</xdr:rowOff>
        </xdr:to>
        <xdr:pic>
          <xdr:nvPicPr>
            <xdr:cNvPr id="7" name="图片 6"/>
            <xdr:cNvPicPr>
              <a:picLocks noChangeAspect="1"/>
              <a:extLst>
                <a:ext uri="{84589F7E-364E-4C9E-8A38-B11213B215E9}">
                  <a14:cameraTool cellRange="装备选择!P23" spid="_x0000_s649219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2462530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17</xdr:row>
          <xdr:rowOff>38100</xdr:rowOff>
        </xdr:from>
        <xdr:to>
          <xdr:col>2</xdr:col>
          <xdr:colOff>485774</xdr:colOff>
          <xdr:row>17</xdr:row>
          <xdr:rowOff>192882</xdr:rowOff>
        </xdr:to>
        <xdr:pic>
          <xdr:nvPicPr>
            <xdr:cNvPr id="8" name="图片 7"/>
            <xdr:cNvPicPr>
              <a:picLocks noChangeAspect="1"/>
              <a:extLst>
                <a:ext uri="{84589F7E-364E-4C9E-8A38-B11213B215E9}">
                  <a14:cameraTool cellRange="装备选择!P27" spid="_x0000_s649220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358711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21</xdr:row>
          <xdr:rowOff>38100</xdr:rowOff>
        </xdr:from>
        <xdr:to>
          <xdr:col>2</xdr:col>
          <xdr:colOff>485774</xdr:colOff>
          <xdr:row>21</xdr:row>
          <xdr:rowOff>192882</xdr:rowOff>
        </xdr:to>
        <xdr:pic>
          <xdr:nvPicPr>
            <xdr:cNvPr id="9" name="图片 8"/>
            <xdr:cNvPicPr>
              <a:picLocks noChangeAspect="1"/>
              <a:extLst>
                <a:ext uri="{84589F7E-364E-4C9E-8A38-B11213B215E9}">
                  <a14:cameraTool cellRange="装备选择!P28" spid="_x0000_s649221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446976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352425</xdr:colOff>
          <xdr:row>26</xdr:row>
          <xdr:rowOff>38100</xdr:rowOff>
        </xdr:from>
        <xdr:to>
          <xdr:col>2</xdr:col>
          <xdr:colOff>485774</xdr:colOff>
          <xdr:row>26</xdr:row>
          <xdr:rowOff>192882</xdr:rowOff>
        </xdr:to>
        <xdr:pic>
          <xdr:nvPicPr>
            <xdr:cNvPr id="10" name="图片 9"/>
            <xdr:cNvPicPr>
              <a:picLocks noChangeAspect="1"/>
              <a:extLst>
                <a:ext uri="{84589F7E-364E-4C9E-8A38-B11213B215E9}">
                  <a14:cameraTool cellRange="装备选择!P32" spid="_x0000_s649222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1223645" y="558609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2</xdr:row>
          <xdr:rowOff>38100</xdr:rowOff>
        </xdr:from>
        <xdr:to>
          <xdr:col>8</xdr:col>
          <xdr:colOff>476249</xdr:colOff>
          <xdr:row>2</xdr:row>
          <xdr:rowOff>192882</xdr:rowOff>
        </xdr:to>
        <xdr:pic>
          <xdr:nvPicPr>
            <xdr:cNvPr id="11" name="图片 10"/>
            <xdr:cNvPicPr>
              <a:picLocks noChangeAspect="1"/>
              <a:extLst>
                <a:ext uri="{84589F7E-364E-4C9E-8A38-B11213B215E9}">
                  <a14:cameraTool cellRange="装备选择!P24" spid="_x0000_s649223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289560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7</xdr:row>
          <xdr:rowOff>28575</xdr:rowOff>
        </xdr:from>
        <xdr:to>
          <xdr:col>8</xdr:col>
          <xdr:colOff>476249</xdr:colOff>
          <xdr:row>7</xdr:row>
          <xdr:rowOff>183357</xdr:rowOff>
        </xdr:to>
        <xdr:pic>
          <xdr:nvPicPr>
            <xdr:cNvPr id="12" name="图片 11"/>
            <xdr:cNvPicPr>
              <a:picLocks noChangeAspect="1"/>
              <a:extLst>
                <a:ext uri="{84589F7E-364E-4C9E-8A38-B11213B215E9}">
                  <a14:cameraTool cellRange="装备选择!P25" spid="_x0000_s649224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137604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12</xdr:row>
          <xdr:rowOff>28575</xdr:rowOff>
        </xdr:from>
        <xdr:to>
          <xdr:col>8</xdr:col>
          <xdr:colOff>476249</xdr:colOff>
          <xdr:row>12</xdr:row>
          <xdr:rowOff>183357</xdr:rowOff>
        </xdr:to>
        <xdr:pic>
          <xdr:nvPicPr>
            <xdr:cNvPr id="13" name="图片 12"/>
            <xdr:cNvPicPr>
              <a:picLocks noChangeAspect="1"/>
              <a:extLst>
                <a:ext uri="{84589F7E-364E-4C9E-8A38-B11213B215E9}">
                  <a14:cameraTool cellRange="装备选择!P26" spid="_x0000_s649225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247205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17</xdr:row>
          <xdr:rowOff>19050</xdr:rowOff>
        </xdr:from>
        <xdr:to>
          <xdr:col>8</xdr:col>
          <xdr:colOff>476249</xdr:colOff>
          <xdr:row>17</xdr:row>
          <xdr:rowOff>173832</xdr:rowOff>
        </xdr:to>
        <xdr:pic>
          <xdr:nvPicPr>
            <xdr:cNvPr id="14" name="图片 13"/>
            <xdr:cNvPicPr>
              <a:picLocks noChangeAspect="1"/>
              <a:extLst>
                <a:ext uri="{84589F7E-364E-4C9E-8A38-B11213B215E9}">
                  <a14:cameraTool cellRange="装备选择!P29" spid="_x0000_s649226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356806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21</xdr:row>
          <xdr:rowOff>28575</xdr:rowOff>
        </xdr:from>
        <xdr:to>
          <xdr:col>8</xdr:col>
          <xdr:colOff>476249</xdr:colOff>
          <xdr:row>21</xdr:row>
          <xdr:rowOff>183357</xdr:rowOff>
        </xdr:to>
        <xdr:pic>
          <xdr:nvPicPr>
            <xdr:cNvPr id="15" name="图片 14"/>
            <xdr:cNvPicPr>
              <a:picLocks noChangeAspect="1"/>
              <a:extLst>
                <a:ext uri="{84589F7E-364E-4C9E-8A38-B11213B215E9}">
                  <a14:cameraTool cellRange="装备选择!P30" spid="_x0000_s649227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4460240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25</xdr:row>
          <xdr:rowOff>38100</xdr:rowOff>
        </xdr:from>
        <xdr:to>
          <xdr:col>8</xdr:col>
          <xdr:colOff>476249</xdr:colOff>
          <xdr:row>25</xdr:row>
          <xdr:rowOff>192882</xdr:rowOff>
        </xdr:to>
        <xdr:pic>
          <xdr:nvPicPr>
            <xdr:cNvPr id="16" name="图片 15"/>
            <xdr:cNvPicPr>
              <a:picLocks noChangeAspect="1"/>
              <a:extLst>
                <a:ext uri="{84589F7E-364E-4C9E-8A38-B11213B215E9}">
                  <a14:cameraTool cellRange="装备选择!P31" spid="_x0000_s649228"/>
                </a:ext>
              </a:extLst>
            </xdr:cNvPicPr>
          </xdr:nvPicPr>
          <xdr:blipFill>
            <a:blip r:embed="rId2"/>
            <a:srcRect l="43750" t="17590" r="42788" b="22224"/>
            <a:stretch>
              <a:fillRect/>
            </a:stretch>
          </xdr:blipFill>
          <xdr:spPr>
            <a:xfrm>
              <a:off x="6396990" y="5362575"/>
              <a:ext cx="132715" cy="15430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3</xdr:row>
          <xdr:rowOff>20011</xdr:rowOff>
        </xdr:from>
        <xdr:to>
          <xdr:col>2</xdr:col>
          <xdr:colOff>537322</xdr:colOff>
          <xdr:row>3</xdr:row>
          <xdr:rowOff>188099</xdr:rowOff>
        </xdr:to>
        <xdr:pic>
          <xdr:nvPicPr>
            <xdr:cNvPr id="17" name="图片 16"/>
            <xdr:cNvPicPr>
              <a:picLocks noChangeAspect="1"/>
              <a:extLst>
                <a:ext uri="{84589F7E-364E-4C9E-8A38-B11213B215E9}">
                  <a14:cameraTool cellRange="镶嵌库!Y18" spid="_x0000_s649229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504190"/>
              <a:ext cx="280035" cy="16827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4</xdr:row>
          <xdr:rowOff>14488</xdr:rowOff>
        </xdr:from>
        <xdr:to>
          <xdr:col>2</xdr:col>
          <xdr:colOff>537322</xdr:colOff>
          <xdr:row>4</xdr:row>
          <xdr:rowOff>182576</xdr:rowOff>
        </xdr:to>
        <xdr:pic>
          <xdr:nvPicPr>
            <xdr:cNvPr id="18" name="图片 17"/>
            <xdr:cNvPicPr>
              <a:picLocks noChangeAspect="1"/>
              <a:extLst>
                <a:ext uri="{84589F7E-364E-4C9E-8A38-B11213B215E9}">
                  <a14:cameraTool cellRange="镶嵌库!Y18" spid="_x0000_s649230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711835"/>
              <a:ext cx="280035" cy="16827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8</xdr:row>
          <xdr:rowOff>24013</xdr:rowOff>
        </xdr:from>
        <xdr:to>
          <xdr:col>2</xdr:col>
          <xdr:colOff>537322</xdr:colOff>
          <xdr:row>8</xdr:row>
          <xdr:rowOff>192101</xdr:rowOff>
        </xdr:to>
        <xdr:pic>
          <xdr:nvPicPr>
            <xdr:cNvPr id="19" name="图片 18"/>
            <xdr:cNvPicPr>
              <a:picLocks noChangeAspect="1"/>
              <a:extLst>
                <a:ext uri="{84589F7E-364E-4C9E-8A38-B11213B215E9}">
                  <a14:cameraTool cellRange="镶嵌库!Y18" spid="_x0000_s649231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1594485"/>
              <a:ext cx="280035" cy="168275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9</xdr:row>
          <xdr:rowOff>28575</xdr:rowOff>
        </xdr:from>
        <xdr:to>
          <xdr:col>2</xdr:col>
          <xdr:colOff>537322</xdr:colOff>
          <xdr:row>9</xdr:row>
          <xdr:rowOff>196663</xdr:rowOff>
        </xdr:to>
        <xdr:pic>
          <xdr:nvPicPr>
            <xdr:cNvPr id="20" name="图片 19"/>
            <xdr:cNvPicPr>
              <a:picLocks noChangeAspect="1"/>
              <a:extLst>
                <a:ext uri="{84589F7E-364E-4C9E-8A38-B11213B215E9}">
                  <a14:cameraTool cellRange="镶嵌库!Y18" spid="_x0000_s649232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181292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13</xdr:row>
          <xdr:rowOff>28575</xdr:rowOff>
        </xdr:from>
        <xdr:to>
          <xdr:col>2</xdr:col>
          <xdr:colOff>537322</xdr:colOff>
          <xdr:row>13</xdr:row>
          <xdr:rowOff>196663</xdr:rowOff>
        </xdr:to>
        <xdr:pic>
          <xdr:nvPicPr>
            <xdr:cNvPr id="21" name="图片 20"/>
            <xdr:cNvPicPr>
              <a:picLocks noChangeAspect="1"/>
              <a:extLst>
                <a:ext uri="{84589F7E-364E-4C9E-8A38-B11213B215E9}">
                  <a14:cameraTool cellRange="镶嵌库!Y18" spid="_x0000_s649233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269557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14</xdr:row>
          <xdr:rowOff>38100</xdr:rowOff>
        </xdr:from>
        <xdr:to>
          <xdr:col>2</xdr:col>
          <xdr:colOff>537322</xdr:colOff>
          <xdr:row>14</xdr:row>
          <xdr:rowOff>206188</xdr:rowOff>
        </xdr:to>
        <xdr:pic>
          <xdr:nvPicPr>
            <xdr:cNvPr id="22" name="图片 21"/>
            <xdr:cNvPicPr>
              <a:picLocks noChangeAspect="1"/>
              <a:extLst>
                <a:ext uri="{84589F7E-364E-4C9E-8A38-B11213B215E9}">
                  <a14:cameraTool cellRange="镶嵌库!Y18" spid="_x0000_s649234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292798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18</xdr:row>
          <xdr:rowOff>28575</xdr:rowOff>
        </xdr:from>
        <xdr:to>
          <xdr:col>2</xdr:col>
          <xdr:colOff>537322</xdr:colOff>
          <xdr:row>18</xdr:row>
          <xdr:rowOff>196663</xdr:rowOff>
        </xdr:to>
        <xdr:pic>
          <xdr:nvPicPr>
            <xdr:cNvPr id="23" name="图片 22"/>
            <xdr:cNvPicPr>
              <a:picLocks noChangeAspect="1"/>
              <a:extLst>
                <a:ext uri="{84589F7E-364E-4C9E-8A38-B11213B215E9}">
                  <a14:cameraTool cellRange="镶嵌库!Y18" spid="_x0000_s649235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380111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22</xdr:row>
          <xdr:rowOff>38100</xdr:rowOff>
        </xdr:from>
        <xdr:to>
          <xdr:col>2</xdr:col>
          <xdr:colOff>537322</xdr:colOff>
          <xdr:row>22</xdr:row>
          <xdr:rowOff>206188</xdr:rowOff>
        </xdr:to>
        <xdr:pic>
          <xdr:nvPicPr>
            <xdr:cNvPr id="24" name="图片 23"/>
            <xdr:cNvPicPr>
              <a:picLocks noChangeAspect="1"/>
              <a:extLst>
                <a:ext uri="{84589F7E-364E-4C9E-8A38-B11213B215E9}">
                  <a14:cameraTool cellRange="镶嵌库!Y18" spid="_x0000_s649236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470281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27</xdr:row>
          <xdr:rowOff>142875</xdr:rowOff>
        </xdr:from>
        <xdr:to>
          <xdr:col>2</xdr:col>
          <xdr:colOff>537322</xdr:colOff>
          <xdr:row>28</xdr:row>
          <xdr:rowOff>91888</xdr:rowOff>
        </xdr:to>
        <xdr:pic>
          <xdr:nvPicPr>
            <xdr:cNvPr id="25" name="图片 24"/>
            <xdr:cNvPicPr>
              <a:picLocks noChangeAspect="1"/>
              <a:extLst>
                <a:ext uri="{84589F7E-364E-4C9E-8A38-B11213B215E9}">
                  <a14:cameraTool cellRange="镶嵌库!Y18" spid="_x0000_s649237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5904230"/>
              <a:ext cx="280035" cy="17145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29</xdr:row>
          <xdr:rowOff>171450</xdr:rowOff>
        </xdr:from>
        <xdr:to>
          <xdr:col>2</xdr:col>
          <xdr:colOff>537322</xdr:colOff>
          <xdr:row>30</xdr:row>
          <xdr:rowOff>120463</xdr:rowOff>
        </xdr:to>
        <xdr:pic>
          <xdr:nvPicPr>
            <xdr:cNvPr id="26" name="图片 25"/>
            <xdr:cNvPicPr>
              <a:picLocks noChangeAspect="1"/>
              <a:extLst>
                <a:ext uri="{84589F7E-364E-4C9E-8A38-B11213B215E9}">
                  <a14:cameraTool cellRange="镶嵌库!Y18" spid="_x0000_s649238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6369050"/>
              <a:ext cx="280035" cy="17145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31</xdr:row>
          <xdr:rowOff>133350</xdr:rowOff>
        </xdr:from>
        <xdr:to>
          <xdr:col>2</xdr:col>
          <xdr:colOff>537322</xdr:colOff>
          <xdr:row>32</xdr:row>
          <xdr:rowOff>91888</xdr:rowOff>
        </xdr:to>
        <xdr:pic>
          <xdr:nvPicPr>
            <xdr:cNvPr id="27" name="图片 26"/>
            <xdr:cNvPicPr>
              <a:picLocks noChangeAspect="1"/>
              <a:extLst>
                <a:ext uri="{84589F7E-364E-4C9E-8A38-B11213B215E9}">
                  <a14:cameraTool cellRange="镶嵌库!Y18" spid="_x0000_s649239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1128395" y="677672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3</xdr:row>
          <xdr:rowOff>19050</xdr:rowOff>
        </xdr:from>
        <xdr:to>
          <xdr:col>8</xdr:col>
          <xdr:colOff>527797</xdr:colOff>
          <xdr:row>3</xdr:row>
          <xdr:rowOff>187138</xdr:rowOff>
        </xdr:to>
        <xdr:pic>
          <xdr:nvPicPr>
            <xdr:cNvPr id="28" name="图片 27"/>
            <xdr:cNvPicPr>
              <a:picLocks noChangeAspect="1"/>
              <a:extLst>
                <a:ext uri="{84589F7E-364E-4C9E-8A38-B11213B215E9}">
                  <a14:cameraTool cellRange="镶嵌库!Y18" spid="_x0000_s649240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50355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4</xdr:row>
          <xdr:rowOff>28575</xdr:rowOff>
        </xdr:from>
        <xdr:to>
          <xdr:col>8</xdr:col>
          <xdr:colOff>527797</xdr:colOff>
          <xdr:row>4</xdr:row>
          <xdr:rowOff>196663</xdr:rowOff>
        </xdr:to>
        <xdr:pic>
          <xdr:nvPicPr>
            <xdr:cNvPr id="29" name="图片 28"/>
            <xdr:cNvPicPr>
              <a:picLocks noChangeAspect="1"/>
              <a:extLst>
                <a:ext uri="{84589F7E-364E-4C9E-8A38-B11213B215E9}">
                  <a14:cameraTool cellRange="镶嵌库!Y18" spid="_x0000_s649241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72644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8</xdr:row>
          <xdr:rowOff>28575</xdr:rowOff>
        </xdr:from>
        <xdr:to>
          <xdr:col>8</xdr:col>
          <xdr:colOff>527797</xdr:colOff>
          <xdr:row>8</xdr:row>
          <xdr:rowOff>196663</xdr:rowOff>
        </xdr:to>
        <xdr:pic>
          <xdr:nvPicPr>
            <xdr:cNvPr id="30" name="图片 29"/>
            <xdr:cNvPicPr>
              <a:picLocks noChangeAspect="1"/>
              <a:extLst>
                <a:ext uri="{84589F7E-364E-4C9E-8A38-B11213B215E9}">
                  <a14:cameraTool cellRange="镶嵌库!Y18" spid="_x0000_s649242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159956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9</xdr:row>
          <xdr:rowOff>28575</xdr:rowOff>
        </xdr:from>
        <xdr:to>
          <xdr:col>8</xdr:col>
          <xdr:colOff>527797</xdr:colOff>
          <xdr:row>9</xdr:row>
          <xdr:rowOff>196663</xdr:rowOff>
        </xdr:to>
        <xdr:pic>
          <xdr:nvPicPr>
            <xdr:cNvPr id="31" name="图片 30"/>
            <xdr:cNvPicPr>
              <a:picLocks noChangeAspect="1"/>
              <a:extLst>
                <a:ext uri="{84589F7E-364E-4C9E-8A38-B11213B215E9}">
                  <a14:cameraTool cellRange="镶嵌库!Y18" spid="_x0000_s649243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181292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13</xdr:row>
          <xdr:rowOff>28575</xdr:rowOff>
        </xdr:from>
        <xdr:to>
          <xdr:col>8</xdr:col>
          <xdr:colOff>527797</xdr:colOff>
          <xdr:row>13</xdr:row>
          <xdr:rowOff>196663</xdr:rowOff>
        </xdr:to>
        <xdr:pic>
          <xdr:nvPicPr>
            <xdr:cNvPr id="1151" name="图片 1150"/>
            <xdr:cNvPicPr>
              <a:picLocks noChangeAspect="1"/>
              <a:extLst>
                <a:ext uri="{84589F7E-364E-4C9E-8A38-B11213B215E9}">
                  <a14:cameraTool cellRange="镶嵌库!Y18" spid="_x0000_s649244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2695575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14</xdr:row>
          <xdr:rowOff>28575</xdr:rowOff>
        </xdr:from>
        <xdr:to>
          <xdr:col>8</xdr:col>
          <xdr:colOff>527797</xdr:colOff>
          <xdr:row>14</xdr:row>
          <xdr:rowOff>196663</xdr:rowOff>
        </xdr:to>
        <xdr:pic>
          <xdr:nvPicPr>
            <xdr:cNvPr id="1024" name="图片 1023"/>
            <xdr:cNvPicPr>
              <a:picLocks noChangeAspect="1"/>
              <a:extLst>
                <a:ext uri="{84589F7E-364E-4C9E-8A38-B11213B215E9}">
                  <a14:cameraTool cellRange="镶嵌库!Y18" spid="_x0000_s649245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291846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26</xdr:row>
          <xdr:rowOff>28575</xdr:rowOff>
        </xdr:from>
        <xdr:to>
          <xdr:col>8</xdr:col>
          <xdr:colOff>527797</xdr:colOff>
          <xdr:row>26</xdr:row>
          <xdr:rowOff>196663</xdr:rowOff>
        </xdr:to>
        <xdr:pic>
          <xdr:nvPicPr>
            <xdr:cNvPr id="1026" name="图片 1025"/>
            <xdr:cNvPicPr>
              <a:picLocks noChangeAspect="1"/>
              <a:extLst>
                <a:ext uri="{84589F7E-364E-4C9E-8A38-B11213B215E9}">
                  <a14:cameraTool cellRange="镶嵌库!Y18" spid="_x0000_s649246"/>
                </a:ext>
              </a:extLst>
            </xdr:cNvPicPr>
          </xdr:nvPicPr>
          <xdr:blipFill>
            <a:blip r:embed="rId3"/>
            <a:srcRect l="27766" t="16582" r="31384" b="17955"/>
            <a:stretch>
              <a:fillRect/>
            </a:stretch>
          </xdr:blipFill>
          <xdr:spPr>
            <a:xfrm>
              <a:off x="6301740" y="5576570"/>
              <a:ext cx="280035" cy="167640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723900</xdr:colOff>
          <xdr:row>20</xdr:row>
          <xdr:rowOff>200025</xdr:rowOff>
        </xdr:from>
        <xdr:to>
          <xdr:col>22</xdr:col>
          <xdr:colOff>142875</xdr:colOff>
          <xdr:row>22</xdr:row>
          <xdr:rowOff>19050</xdr:rowOff>
        </xdr:to>
        <xdr:sp>
          <xdr:nvSpPr>
            <xdr:cNvPr id="532703" name="Check Box 30943" hidden="1">
              <a:extLst>
                <a:ext uri="{63B3BB69-23CF-44E3-9099-C40C66FF867C}">
                  <a14:compatExt spid="_x0000_s532703"/>
                </a:ext>
              </a:extLst>
            </xdr:cNvPr>
            <xdr:cNvSpPr/>
          </xdr:nvSpPr>
          <xdr:spPr>
            <a:xfrm>
              <a:off x="15916910" y="4418330"/>
              <a:ext cx="699135" cy="26543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2%伤害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/>
                <a:ea typeface="Microsoft YaHei UI"/>
              </a:endParaRP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4255;&#21073;&#37197;&#35013;&#35745;&#31639;&#22120;&#19997;&#36335;&#39118;&#35821;&#27979;&#35797;&#29256;ver0.1(2024090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原始数据页"/>
      <sheetName val="属性资源"/>
      <sheetName val="五彩石"/>
      <sheetName val="筛选数据页"/>
      <sheetName val="加速"/>
      <sheetName val="奇穴秘籍"/>
      <sheetName val="正常"/>
      <sheetName val="攻击"/>
      <sheetName val="身法"/>
      <sheetName val="武伤"/>
      <sheetName val="会心"/>
      <sheetName val="会效"/>
      <sheetName val="破防"/>
      <sheetName val="破招"/>
      <sheetName val="重剑破招"/>
      <sheetName val="无双"/>
      <sheetName val="导出数据处理"/>
      <sheetName val="无界"/>
      <sheetName val="配装器页面"/>
      <sheetName val="无界属性资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4" Type="http://schemas.openxmlformats.org/officeDocument/2006/relationships/ctrlProp" Target="../ctrlProps/ctrlProp41.xml"/><Relationship Id="rId43" Type="http://schemas.openxmlformats.org/officeDocument/2006/relationships/ctrlProp" Target="../ctrlProps/ctrlProp40.xml"/><Relationship Id="rId42" Type="http://schemas.openxmlformats.org/officeDocument/2006/relationships/ctrlProp" Target="../ctrlProps/ctrlProp39.xml"/><Relationship Id="rId41" Type="http://schemas.openxmlformats.org/officeDocument/2006/relationships/ctrlProp" Target="../ctrlProps/ctrlProp38.xml"/><Relationship Id="rId40" Type="http://schemas.openxmlformats.org/officeDocument/2006/relationships/ctrlProp" Target="../ctrlProps/ctrlProp37.xml"/><Relationship Id="rId4" Type="http://schemas.openxmlformats.org/officeDocument/2006/relationships/ctrlProp" Target="../ctrlProps/ctrlProp1.xml"/><Relationship Id="rId39" Type="http://schemas.openxmlformats.org/officeDocument/2006/relationships/ctrlProp" Target="../ctrlProps/ctrlProp36.xml"/><Relationship Id="rId38" Type="http://schemas.openxmlformats.org/officeDocument/2006/relationships/ctrlProp" Target="../ctrlProps/ctrlProp35.xml"/><Relationship Id="rId37" Type="http://schemas.openxmlformats.org/officeDocument/2006/relationships/ctrlProp" Target="../ctrlProps/ctrlProp34.xml"/><Relationship Id="rId36" Type="http://schemas.openxmlformats.org/officeDocument/2006/relationships/ctrlProp" Target="../ctrlProps/ctrlProp33.xml"/><Relationship Id="rId35" Type="http://schemas.openxmlformats.org/officeDocument/2006/relationships/ctrlProp" Target="../ctrlProps/ctrlProp32.xml"/><Relationship Id="rId34" Type="http://schemas.openxmlformats.org/officeDocument/2006/relationships/ctrlProp" Target="../ctrlProps/ctrlProp31.xml"/><Relationship Id="rId33" Type="http://schemas.openxmlformats.org/officeDocument/2006/relationships/ctrlProp" Target="../ctrlProps/ctrlProp30.xml"/><Relationship Id="rId32" Type="http://schemas.openxmlformats.org/officeDocument/2006/relationships/ctrlProp" Target="../ctrlProps/ctrlProp29.xml"/><Relationship Id="rId31" Type="http://schemas.openxmlformats.org/officeDocument/2006/relationships/ctrlProp" Target="../ctrlProps/ctrlProp28.xml"/><Relationship Id="rId30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9" Type="http://schemas.openxmlformats.org/officeDocument/2006/relationships/ctrlProp" Target="../ctrlProps/ctrlProp26.xml"/><Relationship Id="rId28" Type="http://schemas.openxmlformats.org/officeDocument/2006/relationships/ctrlProp" Target="../ctrlProps/ctrlProp25.xml"/><Relationship Id="rId27" Type="http://schemas.openxmlformats.org/officeDocument/2006/relationships/ctrlProp" Target="../ctrlProps/ctrlProp24.xml"/><Relationship Id="rId26" Type="http://schemas.openxmlformats.org/officeDocument/2006/relationships/ctrlProp" Target="../ctrlProps/ctrlProp23.xml"/><Relationship Id="rId25" Type="http://schemas.openxmlformats.org/officeDocument/2006/relationships/ctrlProp" Target="../ctrlProps/ctrlProp22.xml"/><Relationship Id="rId24" Type="http://schemas.openxmlformats.org/officeDocument/2006/relationships/ctrlProp" Target="../ctrlProps/ctrlProp21.xml"/><Relationship Id="rId23" Type="http://schemas.openxmlformats.org/officeDocument/2006/relationships/ctrlProp" Target="../ctrlProps/ctrlProp20.xml"/><Relationship Id="rId22" Type="http://schemas.openxmlformats.org/officeDocument/2006/relationships/ctrlProp" Target="../ctrlProps/ctrlProp19.xml"/><Relationship Id="rId21" Type="http://schemas.openxmlformats.org/officeDocument/2006/relationships/ctrlProp" Target="../ctrlProps/ctrlProp18.xml"/><Relationship Id="rId20" Type="http://schemas.openxmlformats.org/officeDocument/2006/relationships/ctrlProp" Target="../ctrlProps/ctrlProp17.xml"/><Relationship Id="rId2" Type="http://schemas.openxmlformats.org/officeDocument/2006/relationships/drawing" Target="../drawings/drawing1.xml"/><Relationship Id="rId19" Type="http://schemas.openxmlformats.org/officeDocument/2006/relationships/ctrlProp" Target="../ctrlProps/ctrlProp16.xml"/><Relationship Id="rId18" Type="http://schemas.openxmlformats.org/officeDocument/2006/relationships/ctrlProp" Target="../ctrlProps/ctrlProp15.xml"/><Relationship Id="rId17" Type="http://schemas.openxmlformats.org/officeDocument/2006/relationships/ctrlProp" Target="../ctrlProps/ctrlProp14.xml"/><Relationship Id="rId16" Type="http://schemas.openxmlformats.org/officeDocument/2006/relationships/ctrlProp" Target="../ctrlProps/ctrlProp13.xml"/><Relationship Id="rId15" Type="http://schemas.openxmlformats.org/officeDocument/2006/relationships/ctrlProp" Target="../ctrlProps/ctrlProp12.xml"/><Relationship Id="rId14" Type="http://schemas.openxmlformats.org/officeDocument/2006/relationships/ctrlProp" Target="../ctrlProps/ctrlProp11.xml"/><Relationship Id="rId13" Type="http://schemas.openxmlformats.org/officeDocument/2006/relationships/ctrlProp" Target="../ctrlProps/ctrlProp10.xml"/><Relationship Id="rId12" Type="http://schemas.openxmlformats.org/officeDocument/2006/relationships/ctrlProp" Target="../ctrlProps/ctrlProp9.xml"/><Relationship Id="rId11" Type="http://schemas.openxmlformats.org/officeDocument/2006/relationships/ctrlProp" Target="../ctrlProps/ctrlProp8.xml"/><Relationship Id="rId10" Type="http://schemas.openxmlformats.org/officeDocument/2006/relationships/ctrlProp" Target="../ctrlProps/ctrlProp7.xml"/><Relationship Id="rId1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x3box.com/bps/107703" TargetMode="External"/><Relationship Id="rId1" Type="http://schemas.openxmlformats.org/officeDocument/2006/relationships/hyperlink" Target="https://jx3.xoyo.com/index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opLeftCell="A10" workbookViewId="0">
      <selection activeCell="B26" sqref="B26"/>
    </sheetView>
  </sheetViews>
  <sheetFormatPr defaultColWidth="9" defaultRowHeight="16.8"/>
  <cols>
    <col min="1" max="1" width="29.5" customWidth="1"/>
    <col min="2" max="2" width="11.25" customWidth="1"/>
    <col min="4" max="4" width="9.875" customWidth="1"/>
    <col min="15" max="15" width="21" customWidth="1"/>
  </cols>
  <sheetData>
    <row r="1" spans="1:21">
      <c r="A1" s="224" t="s">
        <v>0</v>
      </c>
      <c r="B1" s="224" t="s">
        <v>1</v>
      </c>
      <c r="C1" t="s">
        <v>2</v>
      </c>
      <c r="D1" t="s">
        <v>3</v>
      </c>
      <c r="F1" t="s">
        <v>4</v>
      </c>
      <c r="G1" t="s">
        <v>5</v>
      </c>
    </row>
    <row r="2" spans="1:21">
      <c r="A2" s="224" t="s">
        <v>6</v>
      </c>
      <c r="B2" s="224" t="s">
        <v>7</v>
      </c>
      <c r="C2">
        <v>9.985</v>
      </c>
      <c r="D2" s="225">
        <f t="shared" ref="D2:D14" si="0">C2*$G$12</f>
        <v>197703</v>
      </c>
      <c r="F2">
        <v>120</v>
      </c>
      <c r="G2">
        <f t="shared" ref="G2:G16" si="1">1155*F2-130350</f>
        <v>8250</v>
      </c>
    </row>
    <row r="3" spans="1:21">
      <c r="A3" s="224" t="s">
        <v>8</v>
      </c>
      <c r="B3" s="224" t="s">
        <v>9</v>
      </c>
      <c r="C3">
        <v>3.679</v>
      </c>
      <c r="D3" s="225">
        <f t="shared" si="0"/>
        <v>72844.2</v>
      </c>
      <c r="F3">
        <v>121</v>
      </c>
      <c r="G3">
        <f t="shared" si="1"/>
        <v>9405</v>
      </c>
    </row>
    <row r="4" spans="1:21">
      <c r="A4" s="224" t="s">
        <v>10</v>
      </c>
      <c r="B4" s="224" t="s">
        <v>11</v>
      </c>
      <c r="C4">
        <v>9.985</v>
      </c>
      <c r="D4" s="225">
        <f t="shared" si="0"/>
        <v>197703</v>
      </c>
      <c r="F4">
        <v>122</v>
      </c>
      <c r="G4">
        <f t="shared" si="1"/>
        <v>10560</v>
      </c>
    </row>
    <row r="5" spans="1:21">
      <c r="A5" s="224" t="s">
        <v>12</v>
      </c>
      <c r="B5" s="224" t="s">
        <v>13</v>
      </c>
      <c r="C5">
        <v>1.669</v>
      </c>
      <c r="D5" s="225">
        <f t="shared" si="0"/>
        <v>33046.2</v>
      </c>
      <c r="F5">
        <v>123</v>
      </c>
      <c r="G5">
        <f t="shared" si="1"/>
        <v>11715</v>
      </c>
    </row>
    <row r="6" spans="1:21">
      <c r="A6" s="224" t="s">
        <v>14</v>
      </c>
      <c r="B6" s="224" t="s">
        <v>15</v>
      </c>
      <c r="C6">
        <v>7.644</v>
      </c>
      <c r="D6" s="225">
        <f t="shared" si="0"/>
        <v>151351.2</v>
      </c>
      <c r="F6">
        <v>124</v>
      </c>
      <c r="G6">
        <f t="shared" si="1"/>
        <v>12870</v>
      </c>
    </row>
    <row r="7" spans="1:21">
      <c r="A7" s="224" t="s">
        <v>16</v>
      </c>
      <c r="B7" s="224" t="s">
        <v>17</v>
      </c>
      <c r="C7">
        <v>4.628</v>
      </c>
      <c r="D7" s="225">
        <f t="shared" si="0"/>
        <v>91634.4</v>
      </c>
      <c r="F7">
        <v>125</v>
      </c>
      <c r="G7">
        <f t="shared" si="1"/>
        <v>14025</v>
      </c>
    </row>
    <row r="8" spans="1:21">
      <c r="A8" s="224" t="s">
        <v>18</v>
      </c>
      <c r="B8" s="224" t="s">
        <v>19</v>
      </c>
      <c r="C8">
        <v>5.432</v>
      </c>
      <c r="D8" s="225">
        <f t="shared" si="0"/>
        <v>107553.6</v>
      </c>
      <c r="F8">
        <v>126</v>
      </c>
      <c r="G8">
        <f t="shared" si="1"/>
        <v>15180</v>
      </c>
    </row>
    <row r="9" spans="1:21">
      <c r="A9" s="224" t="s">
        <v>20</v>
      </c>
      <c r="B9" s="224" t="s">
        <v>21</v>
      </c>
      <c r="C9">
        <v>6.734</v>
      </c>
      <c r="D9" s="225">
        <f t="shared" si="0"/>
        <v>133333.2</v>
      </c>
      <c r="F9">
        <v>127</v>
      </c>
      <c r="G9">
        <f t="shared" si="1"/>
        <v>16335</v>
      </c>
      <c r="K9" s="164"/>
      <c r="M9" s="164"/>
      <c r="N9" s="166"/>
      <c r="O9" s="169"/>
    </row>
    <row r="10" spans="1:21">
      <c r="A10" s="224" t="s">
        <v>22</v>
      </c>
      <c r="B10" s="224" t="s">
        <v>23</v>
      </c>
      <c r="C10">
        <v>6.364</v>
      </c>
      <c r="D10" s="225">
        <f t="shared" si="0"/>
        <v>126007.2</v>
      </c>
      <c r="F10">
        <v>128</v>
      </c>
      <c r="G10">
        <f t="shared" si="1"/>
        <v>17490</v>
      </c>
      <c r="K10" s="164"/>
      <c r="M10" s="164"/>
      <c r="N10" s="166"/>
      <c r="O10" s="169"/>
      <c r="U10" t="s">
        <v>24</v>
      </c>
    </row>
    <row r="11" spans="1:21">
      <c r="A11" s="224" t="s">
        <v>25</v>
      </c>
      <c r="B11" s="224" t="s">
        <v>26</v>
      </c>
      <c r="C11">
        <v>6.364</v>
      </c>
      <c r="D11" s="225">
        <f t="shared" si="0"/>
        <v>126007.2</v>
      </c>
      <c r="F11">
        <v>129</v>
      </c>
      <c r="G11">
        <f t="shared" si="1"/>
        <v>18645</v>
      </c>
    </row>
    <row r="12" spans="1:21">
      <c r="A12" s="224" t="s">
        <v>27</v>
      </c>
      <c r="B12" s="224" t="s">
        <v>28</v>
      </c>
      <c r="C12">
        <v>11.412</v>
      </c>
      <c r="D12" s="225">
        <f t="shared" si="0"/>
        <v>225957.6</v>
      </c>
      <c r="F12">
        <v>130</v>
      </c>
      <c r="G12">
        <f t="shared" si="1"/>
        <v>19800</v>
      </c>
    </row>
    <row r="13" spans="1:21">
      <c r="A13" s="224" t="s">
        <v>29</v>
      </c>
      <c r="B13" s="224" t="s">
        <v>30</v>
      </c>
      <c r="C13">
        <v>10.61</v>
      </c>
      <c r="D13" s="225">
        <f t="shared" si="0"/>
        <v>210078</v>
      </c>
      <c r="F13">
        <v>131</v>
      </c>
      <c r="G13">
        <f t="shared" si="1"/>
        <v>20955</v>
      </c>
    </row>
    <row r="14" spans="1:21">
      <c r="A14" s="224" t="s">
        <v>31</v>
      </c>
      <c r="B14" s="224" t="s">
        <v>32</v>
      </c>
      <c r="C14">
        <v>2.784</v>
      </c>
      <c r="D14" s="225">
        <f t="shared" si="0"/>
        <v>55123.2</v>
      </c>
      <c r="F14">
        <v>132</v>
      </c>
      <c r="G14">
        <f t="shared" si="1"/>
        <v>22110</v>
      </c>
    </row>
    <row r="15" spans="1:21">
      <c r="A15" s="224" t="s">
        <v>33</v>
      </c>
      <c r="B15" s="224" t="s">
        <v>34</v>
      </c>
      <c r="C15">
        <v>8.534</v>
      </c>
      <c r="D15" s="225"/>
      <c r="F15">
        <v>133</v>
      </c>
      <c r="G15">
        <f t="shared" si="1"/>
        <v>23265</v>
      </c>
    </row>
    <row r="16" spans="1:21">
      <c r="F16">
        <v>134</v>
      </c>
      <c r="G16">
        <f t="shared" si="1"/>
        <v>24420</v>
      </c>
    </row>
    <row r="17" spans="1:15">
      <c r="O17" s="164"/>
    </row>
    <row r="18" spans="1:15">
      <c r="A18" s="224" t="s">
        <v>35</v>
      </c>
      <c r="B18">
        <v>0.163</v>
      </c>
      <c r="O18" s="164"/>
    </row>
    <row r="19" spans="1:15">
      <c r="A19" s="224" t="s">
        <v>36</v>
      </c>
      <c r="B19">
        <v>0.3</v>
      </c>
      <c r="O19" s="164"/>
    </row>
    <row r="20" spans="1:15">
      <c r="A20" s="224" t="s">
        <v>37</v>
      </c>
      <c r="B20">
        <v>0.9</v>
      </c>
      <c r="O20" s="164"/>
    </row>
    <row r="21" spans="1:15">
      <c r="A21" s="224" t="s">
        <v>38</v>
      </c>
      <c r="B21">
        <f>C21/1024</f>
        <v>1.7998046875</v>
      </c>
      <c r="C21">
        <v>1843</v>
      </c>
    </row>
    <row r="22" spans="1:15">
      <c r="A22" s="224" t="s">
        <v>39</v>
      </c>
      <c r="B22">
        <f>C22/1024</f>
        <v>0.2802734375</v>
      </c>
      <c r="C22">
        <v>287</v>
      </c>
    </row>
    <row r="23" spans="1:15">
      <c r="A23" s="224" t="s">
        <v>40</v>
      </c>
      <c r="B23">
        <v>1.5</v>
      </c>
    </row>
    <row r="24" spans="1:15">
      <c r="A24" s="224" t="s">
        <v>41</v>
      </c>
      <c r="B24">
        <v>0.5</v>
      </c>
    </row>
    <row r="25" spans="1:15">
      <c r="A25" s="224" t="s">
        <v>42</v>
      </c>
      <c r="B25">
        <v>154</v>
      </c>
    </row>
    <row r="26" spans="1:15">
      <c r="A26" s="224" t="s">
        <v>43</v>
      </c>
      <c r="C26">
        <v>1</v>
      </c>
      <c r="E26" t="s">
        <v>44</v>
      </c>
      <c r="F26" t="s">
        <v>45</v>
      </c>
      <c r="G26" t="s">
        <v>46</v>
      </c>
      <c r="H26" t="s">
        <v>47</v>
      </c>
    </row>
    <row r="27" spans="1:15">
      <c r="A27" s="224" t="s">
        <v>48</v>
      </c>
      <c r="B27">
        <f>$C$26*C27</f>
        <v>397</v>
      </c>
      <c r="C27">
        <f>INDEX($E$27:$H$34,ROW()-ROW($C$26),IFERROR(MATCH(配装计算器!$N$2,属性常数!$E$26:$H$26,0),1))</f>
        <v>397</v>
      </c>
      <c r="E27">
        <v>397</v>
      </c>
      <c r="F27">
        <v>652</v>
      </c>
      <c r="G27">
        <v>260</v>
      </c>
      <c r="H27">
        <v>24.8904469763365</v>
      </c>
    </row>
    <row r="28" spans="1:15">
      <c r="A28" s="224" t="s">
        <v>49</v>
      </c>
      <c r="B28">
        <f t="shared" ref="B28:B34" si="2">$C$26*C28</f>
        <v>596.25</v>
      </c>
      <c r="C28">
        <f>INDEX($E$27:$H$34,ROW()-ROW($C$26),IFERROR(MATCH(配装计算器!$N$2,属性常数!$E$26:$H$26,0),1))</f>
        <v>596.25</v>
      </c>
      <c r="E28">
        <f>2385/4</f>
        <v>596.25</v>
      </c>
      <c r="F28">
        <v>984</v>
      </c>
      <c r="G28">
        <v>391</v>
      </c>
      <c r="H28">
        <v>37.5109553023663</v>
      </c>
    </row>
    <row r="29" spans="1:15">
      <c r="A29" s="224" t="s">
        <v>50</v>
      </c>
      <c r="B29">
        <f t="shared" si="2"/>
        <v>188</v>
      </c>
      <c r="C29">
        <f>INDEX($E$27:$H$34,ROW()-ROW($C$26),IFERROR(MATCH(配装计算器!$N$2,属性常数!$E$26:$H$26,0),1))</f>
        <v>188</v>
      </c>
      <c r="E29">
        <v>188</v>
      </c>
      <c r="F29">
        <v>308</v>
      </c>
      <c r="G29">
        <v>122</v>
      </c>
      <c r="H29">
        <v>11.7440841367222</v>
      </c>
    </row>
    <row r="30" spans="1:15">
      <c r="A30" s="224" t="s">
        <v>51</v>
      </c>
      <c r="B30">
        <f t="shared" si="2"/>
        <v>1463</v>
      </c>
      <c r="C30">
        <f>INDEX($E$27:$H$34,ROW()-ROW($C$26),IFERROR(MATCH(配装计算器!$N$2,属性常数!$E$26:$H$26,0),1))</f>
        <v>1463</v>
      </c>
      <c r="E30">
        <v>1463</v>
      </c>
      <c r="F30">
        <v>2401</v>
      </c>
      <c r="G30">
        <v>960</v>
      </c>
      <c r="H30">
        <v>91.5425065731814</v>
      </c>
    </row>
    <row r="31" spans="1:15">
      <c r="A31" s="224" t="s">
        <v>52</v>
      </c>
      <c r="B31">
        <f t="shared" si="2"/>
        <v>1463</v>
      </c>
      <c r="C31">
        <f>INDEX($E$27:$H$34,ROW()-ROW($C$26),IFERROR(MATCH(配装计算器!$N$2,属性常数!$E$26:$H$26,0),1))</f>
        <v>1463</v>
      </c>
      <c r="E31">
        <v>1463</v>
      </c>
      <c r="F31">
        <v>2401</v>
      </c>
      <c r="G31">
        <v>960</v>
      </c>
      <c r="H31">
        <v>91.5425065731814</v>
      </c>
    </row>
    <row r="32" spans="1:15">
      <c r="A32" s="224" t="s">
        <v>53</v>
      </c>
      <c r="B32">
        <f t="shared" si="2"/>
        <v>1463</v>
      </c>
      <c r="C32">
        <f>INDEX($E$27:$H$34,ROW()-ROW($C$26),IFERROR(MATCH(配装计算器!$N$2,属性常数!$E$26:$H$26,0),1))</f>
        <v>1463</v>
      </c>
      <c r="E32">
        <v>1463</v>
      </c>
      <c r="F32">
        <v>2401</v>
      </c>
      <c r="G32">
        <v>960</v>
      </c>
      <c r="H32">
        <v>91.5425065731814</v>
      </c>
    </row>
    <row r="33" spans="1:8">
      <c r="A33" s="224" t="s">
        <v>54</v>
      </c>
      <c r="B33">
        <f t="shared" si="2"/>
        <v>1463</v>
      </c>
      <c r="C33">
        <f>INDEX($E$27:$H$34,ROW()-ROW($C$26),IFERROR(MATCH(配装计算器!$N$2,属性常数!$E$26:$H$26,0),1))</f>
        <v>1463</v>
      </c>
      <c r="E33">
        <v>1463</v>
      </c>
      <c r="F33">
        <v>2401</v>
      </c>
      <c r="G33">
        <v>960</v>
      </c>
      <c r="H33">
        <v>91.5425065731814</v>
      </c>
    </row>
    <row r="34" spans="1:8">
      <c r="A34" s="224" t="s">
        <v>55</v>
      </c>
      <c r="B34">
        <f t="shared" si="2"/>
        <v>1463</v>
      </c>
      <c r="C34">
        <f>INDEX($E$27:$H$34,ROW()-ROW($C$26),IFERROR(MATCH(配装计算器!$N$2,属性常数!$E$26:$H$26,0),1))</f>
        <v>1463</v>
      </c>
      <c r="E34">
        <v>1463</v>
      </c>
      <c r="F34">
        <v>2401</v>
      </c>
      <c r="G34">
        <v>960</v>
      </c>
      <c r="H34">
        <v>91.5425065731814</v>
      </c>
    </row>
    <row r="36" spans="1:8">
      <c r="A36" s="224" t="s">
        <v>56</v>
      </c>
      <c r="B36">
        <f>IFERROR(COUNTIF(配装计算器!R4,属性常数!A36),0)</f>
        <v>0</v>
      </c>
    </row>
    <row r="37" spans="1:8">
      <c r="A37" s="224" t="s">
        <v>57</v>
      </c>
      <c r="B37">
        <f>1-B36</f>
        <v>1</v>
      </c>
    </row>
  </sheetData>
  <customSheetViews>
    <customSheetView guid="{8E53DF33-FD66-42DA-A21D-B11FBF5F6988}" topLeftCell="A7">
      <selection activeCell="AD90" sqref="AD90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636"/>
  <sheetViews>
    <sheetView workbookViewId="0">
      <selection activeCell="C12" sqref="C12:E12"/>
    </sheetView>
  </sheetViews>
  <sheetFormatPr defaultColWidth="9" defaultRowHeight="16.8"/>
  <cols>
    <col min="1" max="1" width="5.25" customWidth="1"/>
    <col min="2" max="2" width="9.25" customWidth="1"/>
    <col min="3" max="3" width="33" customWidth="1"/>
    <col min="4" max="4" width="9" customWidth="1"/>
    <col min="5" max="5" width="43.875" customWidth="1"/>
    <col min="6" max="17" width="7.25" customWidth="1"/>
    <col min="18" max="18" width="11" customWidth="1"/>
    <col min="19" max="19" width="12" customWidth="1"/>
    <col min="20" max="21" width="15.125" customWidth="1"/>
    <col min="22" max="22" width="9.625" customWidth="1"/>
    <col min="23" max="24" width="11" customWidth="1"/>
    <col min="25" max="25" width="7.125" customWidth="1"/>
    <col min="26" max="27" width="8.375" customWidth="1"/>
  </cols>
  <sheetData>
    <row r="1" spans="1:5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7</v>
      </c>
      <c r="K1" t="s">
        <v>9</v>
      </c>
      <c r="L1" t="s">
        <v>28</v>
      </c>
      <c r="M1" t="s">
        <v>34</v>
      </c>
      <c r="N1" t="s">
        <v>21</v>
      </c>
      <c r="O1" t="s">
        <v>67</v>
      </c>
      <c r="P1" t="s">
        <v>68</v>
      </c>
      <c r="Q1" t="s">
        <v>11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</v>
      </c>
      <c r="AC1" t="s">
        <v>9</v>
      </c>
      <c r="AD1" t="s">
        <v>28</v>
      </c>
      <c r="AE1" t="s">
        <v>34</v>
      </c>
      <c r="AF1" t="s">
        <v>21</v>
      </c>
      <c r="AG1" t="s">
        <v>67</v>
      </c>
      <c r="AH1" t="s">
        <v>68</v>
      </c>
      <c r="AI1" t="s">
        <v>79</v>
      </c>
      <c r="AJ1" t="s">
        <v>80</v>
      </c>
      <c r="AK1" t="s">
        <v>81</v>
      </c>
      <c r="AQ1" t="s">
        <v>7</v>
      </c>
      <c r="AR1" t="s">
        <v>9</v>
      </c>
      <c r="AS1" t="s">
        <v>28</v>
      </c>
      <c r="AT1" t="s">
        <v>34</v>
      </c>
      <c r="AU1" t="s">
        <v>21</v>
      </c>
      <c r="AV1" t="s">
        <v>67</v>
      </c>
      <c r="AW1" t="s">
        <v>68</v>
      </c>
      <c r="AX1" t="s">
        <v>79</v>
      </c>
    </row>
    <row r="2" spans="1:51">
      <c r="A2" t="s">
        <v>82</v>
      </c>
      <c r="B2" t="s">
        <v>83</v>
      </c>
      <c r="C2" t="s">
        <v>84</v>
      </c>
      <c r="D2">
        <v>30200</v>
      </c>
      <c r="E2" t="s">
        <v>85</v>
      </c>
      <c r="F2">
        <v>9948</v>
      </c>
      <c r="G2">
        <v>754</v>
      </c>
      <c r="I2">
        <v>1229</v>
      </c>
      <c r="J2">
        <v>0</v>
      </c>
      <c r="K2">
        <v>0</v>
      </c>
      <c r="L2">
        <v>6783</v>
      </c>
      <c r="M2">
        <v>0</v>
      </c>
      <c r="N2">
        <v>0</v>
      </c>
      <c r="O2">
        <v>0</v>
      </c>
      <c r="P2">
        <v>2713</v>
      </c>
      <c r="R2">
        <v>0</v>
      </c>
      <c r="S2">
        <v>0</v>
      </c>
      <c r="T2" t="s">
        <v>86</v>
      </c>
      <c r="U2">
        <v>6</v>
      </c>
      <c r="V2" t="s">
        <v>87</v>
      </c>
      <c r="W2" t="s">
        <v>88</v>
      </c>
      <c r="X2" t="s">
        <v>89</v>
      </c>
      <c r="Y2" t="s">
        <v>89</v>
      </c>
      <c r="Z2">
        <v>2</v>
      </c>
      <c r="AA2">
        <f>IF(AND(D2&gt;=配装计算器!$I$29,D2&lt;=配装计算器!$I$30),1,0)</f>
        <v>1</v>
      </c>
      <c r="AB2">
        <f t="shared" ref="AB2:AH2" si="0">IF(J2&gt;0,1,0)</f>
        <v>0</v>
      </c>
      <c r="AC2">
        <f t="shared" si="0"/>
        <v>0</v>
      </c>
      <c r="AD2">
        <f t="shared" si="0"/>
        <v>1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1</v>
      </c>
      <c r="AI2">
        <f>IF(COUNTIF(T2,"*"&amp;"精简"&amp;"*")&gt;0,1,0)</f>
        <v>0</v>
      </c>
      <c r="AJ2">
        <f>MIN(1,AA2*($AY$2+IF(AND(AB2&gt;=$AQ$3,AC2&gt;=$AR$3,AD2&gt;=$AS$3,AE2&gt;=$AT$3,AF2&gt;=$AU$3,AG2&gt;=$AV$3,AH2&gt;=$AW$3,AI2&gt;=$AX$3),1,0)))</f>
        <v>1</v>
      </c>
      <c r="AK2">
        <f>SUM(AJ$2:$AJ2)</f>
        <v>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f>IF(SUM(AQ3:AX3)=0,1,0)</f>
        <v>1</v>
      </c>
    </row>
    <row r="3" spans="1:51">
      <c r="A3" t="s">
        <v>82</v>
      </c>
      <c r="B3" t="s">
        <v>90</v>
      </c>
      <c r="C3" t="s">
        <v>91</v>
      </c>
      <c r="D3">
        <v>30200</v>
      </c>
      <c r="E3" t="s">
        <v>92</v>
      </c>
      <c r="F3">
        <v>9948</v>
      </c>
      <c r="G3">
        <v>754</v>
      </c>
      <c r="I3">
        <v>1229</v>
      </c>
      <c r="J3">
        <v>6783</v>
      </c>
      <c r="K3">
        <v>0</v>
      </c>
      <c r="L3">
        <v>0</v>
      </c>
      <c r="M3">
        <v>0</v>
      </c>
      <c r="N3">
        <v>0</v>
      </c>
      <c r="O3">
        <v>0</v>
      </c>
      <c r="P3">
        <v>2713</v>
      </c>
      <c r="R3">
        <v>0</v>
      </c>
      <c r="S3">
        <v>0</v>
      </c>
      <c r="T3" t="s">
        <v>93</v>
      </c>
      <c r="U3">
        <v>6</v>
      </c>
      <c r="V3" t="s">
        <v>87</v>
      </c>
      <c r="W3" t="s">
        <v>94</v>
      </c>
      <c r="X3" t="s">
        <v>89</v>
      </c>
      <c r="Y3" t="s">
        <v>89</v>
      </c>
      <c r="Z3">
        <v>2</v>
      </c>
      <c r="AA3">
        <f>IF(AND(D3&gt;=配装计算器!$I$29,D3&lt;=配装计算器!$I$30),1,0)</f>
        <v>1</v>
      </c>
      <c r="AB3">
        <f t="shared" ref="AB3:AB67" si="1">IF(J3&gt;0,1,0)</f>
        <v>1</v>
      </c>
      <c r="AC3">
        <f t="shared" ref="AC3:AC67" si="2">IF(K3&gt;0,1,0)</f>
        <v>0</v>
      </c>
      <c r="AD3">
        <f t="shared" ref="AD3:AD67" si="3">IF(L3&gt;0,1,0)</f>
        <v>0</v>
      </c>
      <c r="AE3">
        <f t="shared" ref="AE3:AE67" si="4">IF(M3&gt;0,1,0)</f>
        <v>0</v>
      </c>
      <c r="AF3">
        <f t="shared" ref="AF3:AF67" si="5">IF(N3&gt;0,1,0)</f>
        <v>0</v>
      </c>
      <c r="AG3">
        <f t="shared" ref="AG3:AG67" si="6">IF(O3&gt;0,1,0)</f>
        <v>0</v>
      </c>
      <c r="AH3">
        <f t="shared" ref="AH3:AH67" si="7">IF(P3&gt;0,1,0)</f>
        <v>1</v>
      </c>
      <c r="AI3">
        <f t="shared" ref="AI3:AI67" si="8">IF(COUNTIF(T3,"*"&amp;"精简"&amp;"*")&gt;0,1,0)</f>
        <v>0</v>
      </c>
      <c r="AJ3">
        <f t="shared" ref="AJ3:AJ67" si="9">MIN(1,AA3*($AY$2+IF(AND(AB3&gt;=$AQ$3,AC3&gt;=$AR$3,AD3&gt;=$AS$3,AE3&gt;=$AT$3,AF3&gt;=$AU$3,AG3&gt;=$AV$3,AH3&gt;=$AW$3,AI3&gt;=$AX$3),1,0)))</f>
        <v>1</v>
      </c>
      <c r="AK3">
        <f>SUM(AJ$2:$AJ3)</f>
        <v>2</v>
      </c>
      <c r="AQ3">
        <f>INT(AQ2)</f>
        <v>0</v>
      </c>
      <c r="AR3">
        <f t="shared" ref="AR3:AX3" si="10">INT(AR2)</f>
        <v>0</v>
      </c>
      <c r="AS3">
        <f t="shared" si="10"/>
        <v>0</v>
      </c>
      <c r="AT3">
        <f t="shared" si="10"/>
        <v>0</v>
      </c>
      <c r="AU3">
        <f t="shared" si="10"/>
        <v>0</v>
      </c>
      <c r="AV3">
        <f t="shared" si="10"/>
        <v>0</v>
      </c>
      <c r="AW3">
        <f t="shared" si="10"/>
        <v>0</v>
      </c>
      <c r="AX3">
        <f t="shared" si="10"/>
        <v>0</v>
      </c>
    </row>
    <row r="4" spans="1:51">
      <c r="A4" t="s">
        <v>82</v>
      </c>
      <c r="B4" t="s">
        <v>95</v>
      </c>
      <c r="C4" t="s">
        <v>96</v>
      </c>
      <c r="D4">
        <v>30200</v>
      </c>
      <c r="E4" t="s">
        <v>97</v>
      </c>
      <c r="F4">
        <v>9948</v>
      </c>
      <c r="G4">
        <v>754</v>
      </c>
      <c r="I4">
        <v>1229</v>
      </c>
      <c r="J4">
        <v>6783</v>
      </c>
      <c r="K4">
        <v>0</v>
      </c>
      <c r="L4">
        <v>0</v>
      </c>
      <c r="M4">
        <v>0</v>
      </c>
      <c r="N4">
        <v>0</v>
      </c>
      <c r="O4">
        <v>0</v>
      </c>
      <c r="P4">
        <v>2713</v>
      </c>
      <c r="R4">
        <v>0</v>
      </c>
      <c r="S4">
        <v>0</v>
      </c>
      <c r="T4" t="s">
        <v>93</v>
      </c>
      <c r="U4">
        <v>6</v>
      </c>
      <c r="V4" t="s">
        <v>98</v>
      </c>
      <c r="W4" t="s">
        <v>94</v>
      </c>
      <c r="X4" t="s">
        <v>89</v>
      </c>
      <c r="Y4" t="s">
        <v>89</v>
      </c>
      <c r="Z4">
        <v>2</v>
      </c>
      <c r="AA4">
        <f>IF(AND(D4&gt;=配装计算器!$I$29,D4&lt;=配装计算器!$I$30),1,0)</f>
        <v>1</v>
      </c>
      <c r="AB4">
        <f t="shared" si="1"/>
        <v>1</v>
      </c>
      <c r="AC4">
        <f t="shared" si="2"/>
        <v>0</v>
      </c>
      <c r="AD4">
        <f t="shared" si="3"/>
        <v>0</v>
      </c>
      <c r="AE4">
        <f t="shared" si="4"/>
        <v>0</v>
      </c>
      <c r="AF4">
        <f t="shared" si="5"/>
        <v>0</v>
      </c>
      <c r="AG4">
        <f t="shared" si="6"/>
        <v>0</v>
      </c>
      <c r="AH4">
        <f t="shared" si="7"/>
        <v>1</v>
      </c>
      <c r="AI4">
        <f t="shared" si="8"/>
        <v>0</v>
      </c>
      <c r="AJ4">
        <f t="shared" si="9"/>
        <v>1</v>
      </c>
      <c r="AK4">
        <f>SUM(AJ$2:$AJ4)</f>
        <v>3</v>
      </c>
    </row>
    <row r="5" spans="1:51">
      <c r="A5" t="s">
        <v>82</v>
      </c>
      <c r="B5" t="s">
        <v>99</v>
      </c>
      <c r="C5" t="s">
        <v>100</v>
      </c>
      <c r="D5">
        <v>30200</v>
      </c>
      <c r="E5" t="s">
        <v>101</v>
      </c>
      <c r="F5">
        <v>9948</v>
      </c>
      <c r="G5">
        <v>812</v>
      </c>
      <c r="I5">
        <v>1843</v>
      </c>
      <c r="J5">
        <v>6783</v>
      </c>
      <c r="K5">
        <v>0</v>
      </c>
      <c r="L5">
        <v>0</v>
      </c>
      <c r="M5">
        <v>0</v>
      </c>
      <c r="N5">
        <v>5426</v>
      </c>
      <c r="O5">
        <v>0</v>
      </c>
      <c r="P5">
        <v>0</v>
      </c>
      <c r="R5">
        <v>0</v>
      </c>
      <c r="S5">
        <v>0</v>
      </c>
      <c r="T5" t="s">
        <v>102</v>
      </c>
      <c r="U5">
        <v>6</v>
      </c>
      <c r="V5" t="s">
        <v>103</v>
      </c>
      <c r="W5" t="s">
        <v>94</v>
      </c>
      <c r="X5" t="s">
        <v>89</v>
      </c>
      <c r="Y5" t="s">
        <v>89</v>
      </c>
      <c r="Z5">
        <v>1</v>
      </c>
      <c r="AA5">
        <f>IF(AND(D5&gt;=配装计算器!$I$29,D5&lt;=配装计算器!$I$30),1,0)</f>
        <v>1</v>
      </c>
      <c r="AB5">
        <f t="shared" si="1"/>
        <v>1</v>
      </c>
      <c r="AC5">
        <f t="shared" si="2"/>
        <v>0</v>
      </c>
      <c r="AD5">
        <f t="shared" si="3"/>
        <v>0</v>
      </c>
      <c r="AE5">
        <f t="shared" si="4"/>
        <v>0</v>
      </c>
      <c r="AF5">
        <f t="shared" si="5"/>
        <v>1</v>
      </c>
      <c r="AG5">
        <f t="shared" si="6"/>
        <v>0</v>
      </c>
      <c r="AH5">
        <f t="shared" si="7"/>
        <v>0</v>
      </c>
      <c r="AI5">
        <f t="shared" si="8"/>
        <v>0</v>
      </c>
      <c r="AJ5">
        <f t="shared" si="9"/>
        <v>1</v>
      </c>
      <c r="AK5">
        <f>SUM(AJ$2:$AJ5)</f>
        <v>4</v>
      </c>
    </row>
    <row r="6" spans="1:51">
      <c r="A6" t="s">
        <v>82</v>
      </c>
      <c r="B6" t="s">
        <v>104</v>
      </c>
      <c r="C6" t="s">
        <v>105</v>
      </c>
      <c r="D6">
        <v>30200</v>
      </c>
      <c r="E6" t="s">
        <v>106</v>
      </c>
      <c r="F6">
        <v>9948</v>
      </c>
      <c r="G6">
        <v>812</v>
      </c>
      <c r="I6">
        <v>1843</v>
      </c>
      <c r="J6">
        <v>0</v>
      </c>
      <c r="K6">
        <v>0</v>
      </c>
      <c r="L6">
        <v>0</v>
      </c>
      <c r="M6">
        <v>6783</v>
      </c>
      <c r="N6">
        <v>5426</v>
      </c>
      <c r="O6">
        <v>0</v>
      </c>
      <c r="P6">
        <v>0</v>
      </c>
      <c r="R6">
        <v>0</v>
      </c>
      <c r="S6">
        <v>0</v>
      </c>
      <c r="T6" t="s">
        <v>107</v>
      </c>
      <c r="U6">
        <v>6</v>
      </c>
      <c r="V6" t="s">
        <v>87</v>
      </c>
      <c r="W6" t="s">
        <v>108</v>
      </c>
      <c r="X6" t="s">
        <v>89</v>
      </c>
      <c r="Y6" t="s">
        <v>89</v>
      </c>
      <c r="Z6">
        <v>1</v>
      </c>
      <c r="AA6">
        <f>IF(AND(D6&gt;=配装计算器!$I$29,D6&lt;=配装计算器!$I$30),1,0)</f>
        <v>1</v>
      </c>
      <c r="AB6">
        <f t="shared" si="1"/>
        <v>0</v>
      </c>
      <c r="AC6">
        <f t="shared" si="2"/>
        <v>0</v>
      </c>
      <c r="AD6">
        <f t="shared" si="3"/>
        <v>0</v>
      </c>
      <c r="AE6">
        <f t="shared" si="4"/>
        <v>1</v>
      </c>
      <c r="AF6">
        <f t="shared" si="5"/>
        <v>1</v>
      </c>
      <c r="AG6">
        <f t="shared" si="6"/>
        <v>0</v>
      </c>
      <c r="AH6">
        <f t="shared" si="7"/>
        <v>0</v>
      </c>
      <c r="AI6">
        <f t="shared" si="8"/>
        <v>0</v>
      </c>
      <c r="AJ6">
        <f t="shared" si="9"/>
        <v>1</v>
      </c>
      <c r="AK6">
        <f>SUM(AJ$2:$AJ6)</f>
        <v>5</v>
      </c>
    </row>
    <row r="7" spans="1:51">
      <c r="A7" t="s">
        <v>82</v>
      </c>
      <c r="B7" t="s">
        <v>109</v>
      </c>
      <c r="C7" t="s">
        <v>110</v>
      </c>
      <c r="D7">
        <v>30200</v>
      </c>
      <c r="E7" t="s">
        <v>111</v>
      </c>
      <c r="F7">
        <v>9948</v>
      </c>
      <c r="G7">
        <v>812</v>
      </c>
      <c r="I7">
        <v>1843</v>
      </c>
      <c r="J7">
        <v>0</v>
      </c>
      <c r="K7">
        <v>0</v>
      </c>
      <c r="L7">
        <v>0</v>
      </c>
      <c r="M7">
        <v>6783</v>
      </c>
      <c r="N7">
        <v>5426</v>
      </c>
      <c r="O7">
        <v>0</v>
      </c>
      <c r="P7">
        <v>0</v>
      </c>
      <c r="R7">
        <v>0</v>
      </c>
      <c r="S7">
        <v>0</v>
      </c>
      <c r="T7" t="s">
        <v>107</v>
      </c>
      <c r="U7">
        <v>6</v>
      </c>
      <c r="V7" t="s">
        <v>87</v>
      </c>
      <c r="W7" t="s">
        <v>108</v>
      </c>
      <c r="X7" t="s">
        <v>89</v>
      </c>
      <c r="Y7" t="s">
        <v>89</v>
      </c>
      <c r="Z7">
        <v>1</v>
      </c>
      <c r="AA7">
        <f>IF(AND(D7&gt;=配装计算器!$I$29,D7&lt;=配装计算器!$I$30),1,0)</f>
        <v>1</v>
      </c>
      <c r="AB7">
        <f t="shared" si="1"/>
        <v>0</v>
      </c>
      <c r="AC7">
        <f t="shared" si="2"/>
        <v>0</v>
      </c>
      <c r="AD7">
        <f t="shared" si="3"/>
        <v>0</v>
      </c>
      <c r="AE7">
        <f t="shared" si="4"/>
        <v>1</v>
      </c>
      <c r="AF7">
        <f t="shared" si="5"/>
        <v>1</v>
      </c>
      <c r="AG7">
        <f t="shared" si="6"/>
        <v>0</v>
      </c>
      <c r="AH7">
        <f t="shared" si="7"/>
        <v>0</v>
      </c>
      <c r="AI7">
        <f t="shared" si="8"/>
        <v>0</v>
      </c>
      <c r="AJ7">
        <f t="shared" si="9"/>
        <v>1</v>
      </c>
      <c r="AK7">
        <f>SUM(AJ$2:$AJ7)</f>
        <v>6</v>
      </c>
    </row>
    <row r="8" spans="1:51">
      <c r="A8" t="s">
        <v>82</v>
      </c>
      <c r="B8" t="s">
        <v>112</v>
      </c>
      <c r="C8" t="s">
        <v>113</v>
      </c>
      <c r="D8">
        <v>30200</v>
      </c>
      <c r="E8" t="s">
        <v>114</v>
      </c>
      <c r="F8">
        <v>9948</v>
      </c>
      <c r="G8">
        <v>812</v>
      </c>
      <c r="I8">
        <v>1843</v>
      </c>
      <c r="J8">
        <v>0</v>
      </c>
      <c r="K8">
        <v>0</v>
      </c>
      <c r="L8">
        <v>0</v>
      </c>
      <c r="M8">
        <v>0</v>
      </c>
      <c r="N8">
        <v>5426</v>
      </c>
      <c r="O8">
        <v>6783</v>
      </c>
      <c r="P8">
        <v>0</v>
      </c>
      <c r="R8">
        <v>0</v>
      </c>
      <c r="S8">
        <v>0</v>
      </c>
      <c r="T8" t="s">
        <v>115</v>
      </c>
      <c r="U8">
        <v>6</v>
      </c>
      <c r="V8" t="s">
        <v>87</v>
      </c>
      <c r="W8" t="s">
        <v>88</v>
      </c>
      <c r="X8" t="s">
        <v>89</v>
      </c>
      <c r="Y8" t="s">
        <v>89</v>
      </c>
      <c r="Z8">
        <v>1</v>
      </c>
      <c r="AA8">
        <f>IF(AND(D8&gt;=配装计算器!$I$29,D8&lt;=配装计算器!$I$30),1,0)</f>
        <v>1</v>
      </c>
      <c r="AB8">
        <f t="shared" si="1"/>
        <v>0</v>
      </c>
      <c r="AC8">
        <f t="shared" si="2"/>
        <v>0</v>
      </c>
      <c r="AD8">
        <f t="shared" si="3"/>
        <v>0</v>
      </c>
      <c r="AE8">
        <f t="shared" si="4"/>
        <v>0</v>
      </c>
      <c r="AF8">
        <f t="shared" si="5"/>
        <v>1</v>
      </c>
      <c r="AG8">
        <f t="shared" si="6"/>
        <v>1</v>
      </c>
      <c r="AH8">
        <f t="shared" si="7"/>
        <v>0</v>
      </c>
      <c r="AI8">
        <f t="shared" si="8"/>
        <v>0</v>
      </c>
      <c r="AJ8">
        <f t="shared" si="9"/>
        <v>1</v>
      </c>
      <c r="AK8">
        <f>SUM(AJ$2:$AJ8)</f>
        <v>7</v>
      </c>
    </row>
    <row r="9" spans="1:51">
      <c r="A9" t="s">
        <v>82</v>
      </c>
      <c r="B9" t="s">
        <v>116</v>
      </c>
      <c r="C9" t="s">
        <v>117</v>
      </c>
      <c r="D9">
        <v>30200</v>
      </c>
      <c r="E9" t="s">
        <v>118</v>
      </c>
      <c r="F9">
        <v>9948</v>
      </c>
      <c r="G9">
        <v>812</v>
      </c>
      <c r="I9">
        <v>1843</v>
      </c>
      <c r="J9">
        <v>0</v>
      </c>
      <c r="K9">
        <v>0</v>
      </c>
      <c r="L9">
        <v>0</v>
      </c>
      <c r="M9">
        <v>0</v>
      </c>
      <c r="N9">
        <v>5426</v>
      </c>
      <c r="O9">
        <v>6783</v>
      </c>
      <c r="P9">
        <v>0</v>
      </c>
      <c r="R9">
        <v>0</v>
      </c>
      <c r="S9">
        <v>0</v>
      </c>
      <c r="T9" t="s">
        <v>115</v>
      </c>
      <c r="U9">
        <v>6</v>
      </c>
      <c r="V9" t="s">
        <v>87</v>
      </c>
      <c r="W9" t="s">
        <v>88</v>
      </c>
      <c r="X9" t="s">
        <v>89</v>
      </c>
      <c r="Y9" t="s">
        <v>89</v>
      </c>
      <c r="Z9">
        <v>1</v>
      </c>
      <c r="AA9">
        <f>IF(AND(D9&gt;=配装计算器!$I$29,D9&lt;=配装计算器!$I$30),1,0)</f>
        <v>1</v>
      </c>
      <c r="AB9">
        <f t="shared" si="1"/>
        <v>0</v>
      </c>
      <c r="AC9">
        <f t="shared" si="2"/>
        <v>0</v>
      </c>
      <c r="AD9">
        <f t="shared" si="3"/>
        <v>0</v>
      </c>
      <c r="AE9">
        <f t="shared" si="4"/>
        <v>0</v>
      </c>
      <c r="AF9">
        <f t="shared" si="5"/>
        <v>1</v>
      </c>
      <c r="AG9">
        <f t="shared" si="6"/>
        <v>1</v>
      </c>
      <c r="AH9">
        <f t="shared" si="7"/>
        <v>0</v>
      </c>
      <c r="AI9">
        <f t="shared" si="8"/>
        <v>0</v>
      </c>
      <c r="AJ9">
        <f t="shared" si="9"/>
        <v>1</v>
      </c>
      <c r="AK9">
        <f>SUM(AJ$2:$AJ9)</f>
        <v>8</v>
      </c>
    </row>
    <row r="10" spans="1:51">
      <c r="A10" t="s">
        <v>82</v>
      </c>
      <c r="B10" t="s">
        <v>119</v>
      </c>
      <c r="C10" t="s">
        <v>120</v>
      </c>
      <c r="D10">
        <v>30200</v>
      </c>
      <c r="E10" t="s">
        <v>121</v>
      </c>
      <c r="F10">
        <v>9948</v>
      </c>
      <c r="G10">
        <v>812</v>
      </c>
      <c r="I10">
        <v>1843</v>
      </c>
      <c r="J10">
        <v>0</v>
      </c>
      <c r="K10">
        <v>0</v>
      </c>
      <c r="L10">
        <v>6783</v>
      </c>
      <c r="M10">
        <v>0</v>
      </c>
      <c r="N10">
        <v>5426</v>
      </c>
      <c r="O10">
        <v>0</v>
      </c>
      <c r="P10">
        <v>0</v>
      </c>
      <c r="R10">
        <v>0</v>
      </c>
      <c r="S10">
        <v>0</v>
      </c>
      <c r="T10" t="s">
        <v>122</v>
      </c>
      <c r="U10">
        <v>6</v>
      </c>
      <c r="V10" t="s">
        <v>87</v>
      </c>
      <c r="W10" t="s">
        <v>123</v>
      </c>
      <c r="X10" t="s">
        <v>89</v>
      </c>
      <c r="Y10" t="s">
        <v>89</v>
      </c>
      <c r="Z10">
        <v>1</v>
      </c>
      <c r="AA10">
        <f>IF(AND(D10&gt;=配装计算器!$I$29,D10&lt;=配装计算器!$I$30),1,0)</f>
        <v>1</v>
      </c>
      <c r="AB10">
        <f t="shared" si="1"/>
        <v>0</v>
      </c>
      <c r="AC10">
        <f t="shared" si="2"/>
        <v>0</v>
      </c>
      <c r="AD10">
        <f t="shared" si="3"/>
        <v>1</v>
      </c>
      <c r="AE10">
        <f t="shared" si="4"/>
        <v>0</v>
      </c>
      <c r="AF10">
        <f t="shared" si="5"/>
        <v>1</v>
      </c>
      <c r="AG10">
        <f t="shared" si="6"/>
        <v>0</v>
      </c>
      <c r="AH10">
        <f t="shared" si="7"/>
        <v>0</v>
      </c>
      <c r="AI10">
        <f t="shared" si="8"/>
        <v>0</v>
      </c>
      <c r="AJ10">
        <f t="shared" si="9"/>
        <v>1</v>
      </c>
      <c r="AK10">
        <f>SUM(AJ$2:$AJ10)</f>
        <v>9</v>
      </c>
    </row>
    <row r="11" spans="1:51">
      <c r="A11" t="s">
        <v>82</v>
      </c>
      <c r="B11" t="s">
        <v>124</v>
      </c>
      <c r="C11" t="s">
        <v>125</v>
      </c>
      <c r="D11">
        <v>30200</v>
      </c>
      <c r="E11" t="s">
        <v>126</v>
      </c>
      <c r="F11">
        <v>9948</v>
      </c>
      <c r="G11">
        <v>812</v>
      </c>
      <c r="I11">
        <v>1843</v>
      </c>
      <c r="J11">
        <v>6783</v>
      </c>
      <c r="K11">
        <v>0</v>
      </c>
      <c r="L11">
        <v>0</v>
      </c>
      <c r="M11">
        <v>0</v>
      </c>
      <c r="N11">
        <v>5426</v>
      </c>
      <c r="O11">
        <v>0</v>
      </c>
      <c r="P11">
        <v>0</v>
      </c>
      <c r="R11">
        <v>0</v>
      </c>
      <c r="S11">
        <v>0</v>
      </c>
      <c r="T11" t="s">
        <v>102</v>
      </c>
      <c r="U11">
        <v>6</v>
      </c>
      <c r="V11" t="s">
        <v>87</v>
      </c>
      <c r="W11" t="s">
        <v>94</v>
      </c>
      <c r="X11" t="s">
        <v>89</v>
      </c>
      <c r="Y11" t="s">
        <v>89</v>
      </c>
      <c r="Z11">
        <v>1</v>
      </c>
      <c r="AA11">
        <f>IF(AND(D11&gt;=配装计算器!$I$29,D11&lt;=配装计算器!$I$30),1,0)</f>
        <v>1</v>
      </c>
      <c r="AB11">
        <f t="shared" si="1"/>
        <v>1</v>
      </c>
      <c r="AC11">
        <f t="shared" si="2"/>
        <v>0</v>
      </c>
      <c r="AD11">
        <f t="shared" si="3"/>
        <v>0</v>
      </c>
      <c r="AE11">
        <f t="shared" si="4"/>
        <v>0</v>
      </c>
      <c r="AF11">
        <f t="shared" si="5"/>
        <v>1</v>
      </c>
      <c r="AG11">
        <f t="shared" si="6"/>
        <v>0</v>
      </c>
      <c r="AH11">
        <f t="shared" si="7"/>
        <v>0</v>
      </c>
      <c r="AI11">
        <f t="shared" si="8"/>
        <v>0</v>
      </c>
      <c r="AJ11">
        <f t="shared" si="9"/>
        <v>1</v>
      </c>
      <c r="AK11">
        <f>SUM(AJ$2:$AJ11)</f>
        <v>10</v>
      </c>
    </row>
    <row r="12" spans="1:51">
      <c r="A12" t="s">
        <v>82</v>
      </c>
      <c r="B12" t="s">
        <v>127</v>
      </c>
      <c r="C12" t="s">
        <v>128</v>
      </c>
      <c r="D12">
        <v>30200</v>
      </c>
      <c r="E12" t="s">
        <v>129</v>
      </c>
      <c r="F12">
        <v>9948</v>
      </c>
      <c r="G12">
        <v>812</v>
      </c>
      <c r="I12">
        <v>1843</v>
      </c>
      <c r="J12">
        <v>6783</v>
      </c>
      <c r="K12">
        <v>0</v>
      </c>
      <c r="L12">
        <v>0</v>
      </c>
      <c r="M12">
        <v>0</v>
      </c>
      <c r="N12">
        <v>5426</v>
      </c>
      <c r="O12">
        <v>0</v>
      </c>
      <c r="P12">
        <v>0</v>
      </c>
      <c r="R12">
        <v>0</v>
      </c>
      <c r="S12">
        <v>0</v>
      </c>
      <c r="T12" t="s">
        <v>102</v>
      </c>
      <c r="U12">
        <v>6</v>
      </c>
      <c r="V12" t="s">
        <v>130</v>
      </c>
      <c r="W12" t="s">
        <v>94</v>
      </c>
      <c r="X12" t="s">
        <v>89</v>
      </c>
      <c r="Y12" t="s">
        <v>89</v>
      </c>
      <c r="Z12">
        <v>1</v>
      </c>
      <c r="AA12">
        <f>IF(AND(D12&gt;=配装计算器!$I$29,D12&lt;=配装计算器!$I$30),1,0)</f>
        <v>1</v>
      </c>
      <c r="AB12">
        <f t="shared" si="1"/>
        <v>1</v>
      </c>
      <c r="AC12">
        <f t="shared" si="2"/>
        <v>0</v>
      </c>
      <c r="AD12">
        <f t="shared" si="3"/>
        <v>0</v>
      </c>
      <c r="AE12">
        <f t="shared" si="4"/>
        <v>0</v>
      </c>
      <c r="AF12">
        <f t="shared" si="5"/>
        <v>1</v>
      </c>
      <c r="AG12">
        <f t="shared" si="6"/>
        <v>0</v>
      </c>
      <c r="AH12">
        <f t="shared" si="7"/>
        <v>0</v>
      </c>
      <c r="AI12">
        <f t="shared" si="8"/>
        <v>0</v>
      </c>
      <c r="AJ12">
        <f t="shared" si="9"/>
        <v>1</v>
      </c>
      <c r="AK12">
        <f>SUM(AJ$2:$AJ12)</f>
        <v>11</v>
      </c>
    </row>
    <row r="13" spans="1:51">
      <c r="A13" t="s">
        <v>82</v>
      </c>
      <c r="B13" t="s">
        <v>131</v>
      </c>
      <c r="C13" t="s">
        <v>132</v>
      </c>
      <c r="D13">
        <v>30200</v>
      </c>
      <c r="E13" t="s">
        <v>133</v>
      </c>
      <c r="F13">
        <v>9948</v>
      </c>
      <c r="G13">
        <v>0</v>
      </c>
      <c r="I13">
        <v>4178</v>
      </c>
      <c r="J13">
        <v>0</v>
      </c>
      <c r="K13">
        <v>0</v>
      </c>
      <c r="L13">
        <v>0</v>
      </c>
      <c r="M13">
        <v>0</v>
      </c>
      <c r="N13">
        <v>9948</v>
      </c>
      <c r="O13">
        <v>0</v>
      </c>
      <c r="P13">
        <v>0</v>
      </c>
      <c r="R13">
        <v>0</v>
      </c>
      <c r="S13">
        <v>0</v>
      </c>
      <c r="T13" t="s">
        <v>134</v>
      </c>
      <c r="U13">
        <v>6</v>
      </c>
      <c r="V13" t="s">
        <v>98</v>
      </c>
      <c r="W13" t="s">
        <v>135</v>
      </c>
      <c r="X13" t="s">
        <v>89</v>
      </c>
      <c r="Y13" t="s">
        <v>89</v>
      </c>
      <c r="Z13">
        <v>1</v>
      </c>
      <c r="AA13">
        <f>IF(AND(D13&gt;=配装计算器!$I$29,D13&lt;=配装计算器!$I$30),1,0)</f>
        <v>1</v>
      </c>
      <c r="AB13">
        <f t="shared" si="1"/>
        <v>0</v>
      </c>
      <c r="AC13">
        <f t="shared" si="2"/>
        <v>0</v>
      </c>
      <c r="AD13">
        <f t="shared" si="3"/>
        <v>0</v>
      </c>
      <c r="AE13">
        <f t="shared" si="4"/>
        <v>0</v>
      </c>
      <c r="AF13">
        <f t="shared" si="5"/>
        <v>1</v>
      </c>
      <c r="AG13">
        <f t="shared" si="6"/>
        <v>0</v>
      </c>
      <c r="AH13">
        <f t="shared" si="7"/>
        <v>0</v>
      </c>
      <c r="AI13">
        <f t="shared" si="8"/>
        <v>1</v>
      </c>
      <c r="AJ13">
        <f t="shared" si="9"/>
        <v>1</v>
      </c>
      <c r="AK13">
        <f>SUM(AJ$2:$AJ13)</f>
        <v>12</v>
      </c>
    </row>
    <row r="14" spans="1:51">
      <c r="A14" t="s">
        <v>82</v>
      </c>
      <c r="B14" t="s">
        <v>136</v>
      </c>
      <c r="C14" t="s">
        <v>132</v>
      </c>
      <c r="D14">
        <v>30200</v>
      </c>
      <c r="E14" t="s">
        <v>137</v>
      </c>
      <c r="F14">
        <v>9948</v>
      </c>
      <c r="G14">
        <v>0</v>
      </c>
      <c r="I14">
        <v>3564</v>
      </c>
      <c r="J14">
        <v>4522</v>
      </c>
      <c r="K14">
        <v>0</v>
      </c>
      <c r="L14">
        <v>0</v>
      </c>
      <c r="M14">
        <v>4522</v>
      </c>
      <c r="N14">
        <v>4522</v>
      </c>
      <c r="O14">
        <v>0</v>
      </c>
      <c r="P14">
        <v>0</v>
      </c>
      <c r="R14">
        <v>0</v>
      </c>
      <c r="S14">
        <v>0</v>
      </c>
      <c r="T14" t="s">
        <v>138</v>
      </c>
      <c r="U14">
        <v>6</v>
      </c>
      <c r="V14" t="s">
        <v>98</v>
      </c>
      <c r="W14" t="s">
        <v>135</v>
      </c>
      <c r="X14" t="s">
        <v>89</v>
      </c>
      <c r="Y14" t="s">
        <v>89</v>
      </c>
      <c r="Z14">
        <v>1</v>
      </c>
      <c r="AA14">
        <f>IF(AND(D14&gt;=配装计算器!$I$29,D14&lt;=配装计算器!$I$30),1,0)</f>
        <v>1</v>
      </c>
      <c r="AB14">
        <f t="shared" si="1"/>
        <v>1</v>
      </c>
      <c r="AC14">
        <f t="shared" si="2"/>
        <v>0</v>
      </c>
      <c r="AD14">
        <f t="shared" si="3"/>
        <v>0</v>
      </c>
      <c r="AE14">
        <f t="shared" si="4"/>
        <v>1</v>
      </c>
      <c r="AF14">
        <f t="shared" si="5"/>
        <v>1</v>
      </c>
      <c r="AG14">
        <f t="shared" si="6"/>
        <v>0</v>
      </c>
      <c r="AH14">
        <f t="shared" si="7"/>
        <v>0</v>
      </c>
      <c r="AI14">
        <f t="shared" si="8"/>
        <v>1</v>
      </c>
      <c r="AJ14">
        <f t="shared" si="9"/>
        <v>1</v>
      </c>
      <c r="AK14">
        <f>SUM(AJ$2:$AJ14)</f>
        <v>13</v>
      </c>
    </row>
    <row r="15" spans="1:51">
      <c r="A15" t="s">
        <v>82</v>
      </c>
      <c r="B15" t="s">
        <v>139</v>
      </c>
      <c r="C15" t="s">
        <v>132</v>
      </c>
      <c r="D15">
        <v>30200</v>
      </c>
      <c r="E15" t="s">
        <v>140</v>
      </c>
      <c r="F15">
        <v>9948</v>
      </c>
      <c r="G15">
        <v>0</v>
      </c>
      <c r="I15">
        <v>3564</v>
      </c>
      <c r="J15">
        <v>6783</v>
      </c>
      <c r="K15">
        <v>3391</v>
      </c>
      <c r="L15">
        <v>0</v>
      </c>
      <c r="M15">
        <v>0</v>
      </c>
      <c r="N15">
        <v>3391</v>
      </c>
      <c r="O15">
        <v>0</v>
      </c>
      <c r="P15">
        <v>0</v>
      </c>
      <c r="R15">
        <v>0</v>
      </c>
      <c r="S15">
        <v>0</v>
      </c>
      <c r="T15" t="s">
        <v>141</v>
      </c>
      <c r="U15">
        <v>6</v>
      </c>
      <c r="V15" t="s">
        <v>98</v>
      </c>
      <c r="W15" t="s">
        <v>135</v>
      </c>
      <c r="X15" t="s">
        <v>89</v>
      </c>
      <c r="Y15" t="s">
        <v>89</v>
      </c>
      <c r="Z15">
        <v>1</v>
      </c>
      <c r="AA15">
        <f>IF(AND(D15&gt;=配装计算器!$I$29,D15&lt;=配装计算器!$I$30),1,0)</f>
        <v>1</v>
      </c>
      <c r="AB15">
        <f t="shared" si="1"/>
        <v>1</v>
      </c>
      <c r="AC15">
        <f t="shared" si="2"/>
        <v>1</v>
      </c>
      <c r="AD15">
        <f t="shared" si="3"/>
        <v>0</v>
      </c>
      <c r="AE15">
        <f t="shared" si="4"/>
        <v>0</v>
      </c>
      <c r="AF15">
        <f t="shared" si="5"/>
        <v>1</v>
      </c>
      <c r="AG15">
        <f t="shared" si="6"/>
        <v>0</v>
      </c>
      <c r="AH15">
        <f t="shared" si="7"/>
        <v>0</v>
      </c>
      <c r="AI15">
        <f t="shared" si="8"/>
        <v>1</v>
      </c>
      <c r="AJ15">
        <f t="shared" si="9"/>
        <v>1</v>
      </c>
      <c r="AK15">
        <f>SUM(AJ$2:$AJ15)</f>
        <v>14</v>
      </c>
    </row>
    <row r="16" spans="1:51">
      <c r="A16" t="s">
        <v>82</v>
      </c>
      <c r="B16" t="s">
        <v>142</v>
      </c>
      <c r="C16" t="s">
        <v>143</v>
      </c>
      <c r="D16">
        <v>30700</v>
      </c>
      <c r="E16" t="s">
        <v>144</v>
      </c>
      <c r="F16">
        <v>10113</v>
      </c>
      <c r="G16">
        <v>766</v>
      </c>
      <c r="I16">
        <v>1249</v>
      </c>
      <c r="J16">
        <v>0</v>
      </c>
      <c r="K16">
        <v>0</v>
      </c>
      <c r="L16">
        <v>6895</v>
      </c>
      <c r="M16">
        <v>0</v>
      </c>
      <c r="N16">
        <v>0</v>
      </c>
      <c r="O16">
        <v>0</v>
      </c>
      <c r="P16">
        <v>2758</v>
      </c>
      <c r="R16">
        <v>0</v>
      </c>
      <c r="S16">
        <v>0</v>
      </c>
      <c r="T16" t="s">
        <v>86</v>
      </c>
      <c r="U16">
        <v>6</v>
      </c>
      <c r="V16" t="s">
        <v>145</v>
      </c>
      <c r="W16" t="s">
        <v>88</v>
      </c>
      <c r="X16" t="s">
        <v>89</v>
      </c>
      <c r="Y16" t="s">
        <v>89</v>
      </c>
      <c r="Z16">
        <v>2</v>
      </c>
      <c r="AA16">
        <f>IF(AND(D16&gt;=配装计算器!$I$29,D16&lt;=配装计算器!$I$30),1,0)</f>
        <v>1</v>
      </c>
      <c r="AB16">
        <f t="shared" si="1"/>
        <v>0</v>
      </c>
      <c r="AC16">
        <f t="shared" si="2"/>
        <v>0</v>
      </c>
      <c r="AD16">
        <f t="shared" si="3"/>
        <v>1</v>
      </c>
      <c r="AE16">
        <f t="shared" si="4"/>
        <v>0</v>
      </c>
      <c r="AF16">
        <f t="shared" si="5"/>
        <v>0</v>
      </c>
      <c r="AG16">
        <f t="shared" si="6"/>
        <v>0</v>
      </c>
      <c r="AH16">
        <f t="shared" si="7"/>
        <v>1</v>
      </c>
      <c r="AI16">
        <f t="shared" si="8"/>
        <v>0</v>
      </c>
      <c r="AJ16">
        <f t="shared" si="9"/>
        <v>1</v>
      </c>
      <c r="AK16">
        <f>SUM(AJ$2:$AJ16)</f>
        <v>15</v>
      </c>
    </row>
    <row r="17" spans="1:37">
      <c r="A17" t="s">
        <v>82</v>
      </c>
      <c r="B17" t="s">
        <v>146</v>
      </c>
      <c r="C17" t="s">
        <v>147</v>
      </c>
      <c r="D17">
        <v>32500</v>
      </c>
      <c r="E17" t="s">
        <v>148</v>
      </c>
      <c r="F17">
        <v>10705</v>
      </c>
      <c r="G17">
        <v>873</v>
      </c>
      <c r="I17">
        <v>1984</v>
      </c>
      <c r="J17">
        <v>0</v>
      </c>
      <c r="K17">
        <v>0</v>
      </c>
      <c r="L17">
        <v>0</v>
      </c>
      <c r="M17">
        <v>7299</v>
      </c>
      <c r="N17">
        <v>5839</v>
      </c>
      <c r="O17">
        <v>0</v>
      </c>
      <c r="P17">
        <v>0</v>
      </c>
      <c r="R17">
        <v>0</v>
      </c>
      <c r="S17">
        <v>0</v>
      </c>
      <c r="T17" t="s">
        <v>107</v>
      </c>
      <c r="U17">
        <v>6</v>
      </c>
      <c r="V17" t="s">
        <v>149</v>
      </c>
      <c r="W17" t="s">
        <v>108</v>
      </c>
      <c r="X17" t="s">
        <v>89</v>
      </c>
      <c r="Y17" t="s">
        <v>89</v>
      </c>
      <c r="Z17">
        <v>1</v>
      </c>
      <c r="AA17">
        <f>IF(AND(D17&gt;=配装计算器!$I$29,D17&lt;=配装计算器!$I$30),1,0)</f>
        <v>1</v>
      </c>
      <c r="AB17">
        <f t="shared" si="1"/>
        <v>0</v>
      </c>
      <c r="AC17">
        <f t="shared" si="2"/>
        <v>0</v>
      </c>
      <c r="AD17">
        <f t="shared" si="3"/>
        <v>0</v>
      </c>
      <c r="AE17">
        <f t="shared" si="4"/>
        <v>1</v>
      </c>
      <c r="AF17">
        <f t="shared" si="5"/>
        <v>1</v>
      </c>
      <c r="AG17">
        <f t="shared" si="6"/>
        <v>0</v>
      </c>
      <c r="AH17">
        <f t="shared" si="7"/>
        <v>0</v>
      </c>
      <c r="AI17">
        <f t="shared" si="8"/>
        <v>0</v>
      </c>
      <c r="AJ17">
        <f t="shared" si="9"/>
        <v>1</v>
      </c>
      <c r="AK17">
        <f>SUM(AJ$2:$AJ17)</f>
        <v>16</v>
      </c>
    </row>
    <row r="18" spans="1:37">
      <c r="A18" t="s">
        <v>82</v>
      </c>
      <c r="B18" t="s">
        <v>150</v>
      </c>
      <c r="C18" t="s">
        <v>151</v>
      </c>
      <c r="D18">
        <v>32500</v>
      </c>
      <c r="E18" t="s">
        <v>152</v>
      </c>
      <c r="F18">
        <v>10705</v>
      </c>
      <c r="G18">
        <v>0</v>
      </c>
      <c r="I18">
        <v>3174</v>
      </c>
      <c r="J18">
        <v>0</v>
      </c>
      <c r="K18">
        <v>0</v>
      </c>
      <c r="L18">
        <v>11192</v>
      </c>
      <c r="M18">
        <v>0</v>
      </c>
      <c r="N18">
        <v>5839</v>
      </c>
      <c r="O18">
        <v>0</v>
      </c>
      <c r="P18">
        <v>0</v>
      </c>
      <c r="R18">
        <v>0</v>
      </c>
      <c r="S18">
        <v>0</v>
      </c>
      <c r="T18" t="s">
        <v>153</v>
      </c>
      <c r="U18">
        <v>6</v>
      </c>
      <c r="V18" t="s">
        <v>98</v>
      </c>
      <c r="W18" t="s">
        <v>154</v>
      </c>
      <c r="X18" t="s">
        <v>89</v>
      </c>
      <c r="Y18" t="s">
        <v>89</v>
      </c>
      <c r="Z18">
        <v>1</v>
      </c>
      <c r="AA18">
        <f>IF(AND(D18&gt;=配装计算器!$I$29,D18&lt;=配装计算器!$I$30),1,0)</f>
        <v>1</v>
      </c>
      <c r="AB18">
        <f t="shared" si="1"/>
        <v>0</v>
      </c>
      <c r="AC18">
        <f t="shared" si="2"/>
        <v>0</v>
      </c>
      <c r="AD18">
        <f t="shared" si="3"/>
        <v>1</v>
      </c>
      <c r="AE18">
        <f t="shared" si="4"/>
        <v>0</v>
      </c>
      <c r="AF18">
        <f t="shared" si="5"/>
        <v>1</v>
      </c>
      <c r="AG18">
        <f t="shared" si="6"/>
        <v>0</v>
      </c>
      <c r="AH18">
        <f t="shared" si="7"/>
        <v>0</v>
      </c>
      <c r="AI18">
        <f t="shared" si="8"/>
        <v>1</v>
      </c>
      <c r="AJ18">
        <f t="shared" si="9"/>
        <v>1</v>
      </c>
      <c r="AK18">
        <f>SUM(AJ$2:$AJ18)</f>
        <v>17</v>
      </c>
    </row>
    <row r="19" spans="1:37">
      <c r="A19" t="s">
        <v>82</v>
      </c>
      <c r="B19" t="s">
        <v>155</v>
      </c>
      <c r="C19" t="s">
        <v>151</v>
      </c>
      <c r="D19">
        <v>32500</v>
      </c>
      <c r="E19" t="s">
        <v>156</v>
      </c>
      <c r="F19">
        <v>10705</v>
      </c>
      <c r="G19">
        <v>0</v>
      </c>
      <c r="I19">
        <v>3835</v>
      </c>
      <c r="J19">
        <v>7299</v>
      </c>
      <c r="K19">
        <v>3650</v>
      </c>
      <c r="L19">
        <v>0</v>
      </c>
      <c r="M19">
        <v>3650</v>
      </c>
      <c r="N19">
        <v>0</v>
      </c>
      <c r="O19">
        <v>0</v>
      </c>
      <c r="P19">
        <v>0</v>
      </c>
      <c r="R19">
        <v>0</v>
      </c>
      <c r="S19">
        <v>0</v>
      </c>
      <c r="T19" t="s">
        <v>157</v>
      </c>
      <c r="U19">
        <v>6</v>
      </c>
      <c r="V19" t="s">
        <v>98</v>
      </c>
      <c r="W19" t="s">
        <v>135</v>
      </c>
      <c r="X19" t="s">
        <v>89</v>
      </c>
      <c r="Y19" t="s">
        <v>89</v>
      </c>
      <c r="Z19">
        <v>1</v>
      </c>
      <c r="AA19">
        <f>IF(AND(D19&gt;=配装计算器!$I$29,D19&lt;=配装计算器!$I$30),1,0)</f>
        <v>1</v>
      </c>
      <c r="AB19">
        <f t="shared" si="1"/>
        <v>1</v>
      </c>
      <c r="AC19">
        <f t="shared" si="2"/>
        <v>1</v>
      </c>
      <c r="AD19">
        <f t="shared" si="3"/>
        <v>0</v>
      </c>
      <c r="AE19">
        <f t="shared" si="4"/>
        <v>1</v>
      </c>
      <c r="AF19">
        <f t="shared" si="5"/>
        <v>0</v>
      </c>
      <c r="AG19">
        <f t="shared" si="6"/>
        <v>0</v>
      </c>
      <c r="AH19">
        <f t="shared" si="7"/>
        <v>0</v>
      </c>
      <c r="AI19">
        <f t="shared" si="8"/>
        <v>1</v>
      </c>
      <c r="AJ19">
        <f t="shared" si="9"/>
        <v>1</v>
      </c>
      <c r="AK19">
        <f>SUM(AJ$2:$AJ19)</f>
        <v>18</v>
      </c>
    </row>
    <row r="20" spans="1:37">
      <c r="A20" t="s">
        <v>82</v>
      </c>
      <c r="B20" t="s">
        <v>158</v>
      </c>
      <c r="C20" t="s">
        <v>151</v>
      </c>
      <c r="D20">
        <v>32500</v>
      </c>
      <c r="E20" t="s">
        <v>159</v>
      </c>
      <c r="F20">
        <v>10705</v>
      </c>
      <c r="G20">
        <v>0</v>
      </c>
      <c r="I20">
        <v>3835</v>
      </c>
      <c r="J20">
        <v>7299</v>
      </c>
      <c r="K20">
        <v>3650</v>
      </c>
      <c r="L20">
        <v>0</v>
      </c>
      <c r="M20">
        <v>0</v>
      </c>
      <c r="N20">
        <v>3650</v>
      </c>
      <c r="O20">
        <v>0</v>
      </c>
      <c r="P20">
        <v>0</v>
      </c>
      <c r="R20">
        <v>0</v>
      </c>
      <c r="S20">
        <v>0</v>
      </c>
      <c r="T20" t="s">
        <v>141</v>
      </c>
      <c r="U20">
        <v>6</v>
      </c>
      <c r="V20" t="s">
        <v>98</v>
      </c>
      <c r="W20" t="s">
        <v>135</v>
      </c>
      <c r="X20" t="s">
        <v>89</v>
      </c>
      <c r="Y20" t="s">
        <v>89</v>
      </c>
      <c r="Z20">
        <v>1</v>
      </c>
      <c r="AA20">
        <f>IF(AND(D20&gt;=配装计算器!$I$29,D20&lt;=配装计算器!$I$30),1,0)</f>
        <v>1</v>
      </c>
      <c r="AB20">
        <f t="shared" si="1"/>
        <v>1</v>
      </c>
      <c r="AC20">
        <f t="shared" si="2"/>
        <v>1</v>
      </c>
      <c r="AD20">
        <f t="shared" si="3"/>
        <v>0</v>
      </c>
      <c r="AE20">
        <f t="shared" si="4"/>
        <v>0</v>
      </c>
      <c r="AF20">
        <f t="shared" si="5"/>
        <v>1</v>
      </c>
      <c r="AG20">
        <f t="shared" si="6"/>
        <v>0</v>
      </c>
      <c r="AH20">
        <f t="shared" si="7"/>
        <v>0</v>
      </c>
      <c r="AI20">
        <f t="shared" si="8"/>
        <v>1</v>
      </c>
      <c r="AJ20">
        <f t="shared" si="9"/>
        <v>1</v>
      </c>
      <c r="AK20">
        <f>SUM(AJ$2:$AJ20)</f>
        <v>19</v>
      </c>
    </row>
    <row r="21" spans="1:37">
      <c r="A21" t="s">
        <v>82</v>
      </c>
      <c r="B21" t="s">
        <v>160</v>
      </c>
      <c r="C21" t="s">
        <v>161</v>
      </c>
      <c r="D21">
        <v>34100</v>
      </c>
      <c r="E21" t="s">
        <v>162</v>
      </c>
      <c r="F21">
        <v>11233</v>
      </c>
      <c r="G21">
        <v>916</v>
      </c>
      <c r="I21">
        <v>2081</v>
      </c>
      <c r="J21">
        <v>0</v>
      </c>
      <c r="K21">
        <v>0</v>
      </c>
      <c r="L21">
        <v>7659</v>
      </c>
      <c r="M21">
        <v>0</v>
      </c>
      <c r="N21">
        <v>6127</v>
      </c>
      <c r="O21">
        <v>0</v>
      </c>
      <c r="P21">
        <v>0</v>
      </c>
      <c r="R21">
        <v>0</v>
      </c>
      <c r="S21">
        <v>0</v>
      </c>
      <c r="T21" t="s">
        <v>122</v>
      </c>
      <c r="U21">
        <v>6</v>
      </c>
      <c r="V21" t="s">
        <v>163</v>
      </c>
      <c r="W21" t="s">
        <v>123</v>
      </c>
      <c r="X21" t="s">
        <v>89</v>
      </c>
      <c r="Y21" t="s">
        <v>89</v>
      </c>
      <c r="Z21">
        <v>1</v>
      </c>
      <c r="AA21">
        <f>IF(AND(D21&gt;=配装计算器!$I$29,D21&lt;=配装计算器!$I$30),1,0)</f>
        <v>1</v>
      </c>
      <c r="AB21">
        <f t="shared" si="1"/>
        <v>0</v>
      </c>
      <c r="AC21">
        <f t="shared" si="2"/>
        <v>0</v>
      </c>
      <c r="AD21">
        <f t="shared" si="3"/>
        <v>1</v>
      </c>
      <c r="AE21">
        <f t="shared" si="4"/>
        <v>0</v>
      </c>
      <c r="AF21">
        <f t="shared" si="5"/>
        <v>1</v>
      </c>
      <c r="AG21">
        <f t="shared" si="6"/>
        <v>0</v>
      </c>
      <c r="AH21">
        <f t="shared" si="7"/>
        <v>0</v>
      </c>
      <c r="AI21">
        <f t="shared" si="8"/>
        <v>0</v>
      </c>
      <c r="AJ21">
        <f t="shared" si="9"/>
        <v>1</v>
      </c>
      <c r="AK21">
        <f>SUM(AJ$2:$AJ21)</f>
        <v>20</v>
      </c>
    </row>
    <row r="22" spans="1:37">
      <c r="A22" t="s">
        <v>82</v>
      </c>
      <c r="B22" t="s">
        <v>164</v>
      </c>
      <c r="C22" t="s">
        <v>165</v>
      </c>
      <c r="D22">
        <v>35300</v>
      </c>
      <c r="E22" t="s">
        <v>166</v>
      </c>
      <c r="F22">
        <v>11628</v>
      </c>
      <c r="G22">
        <v>949</v>
      </c>
      <c r="I22">
        <v>2154</v>
      </c>
      <c r="J22">
        <v>7928</v>
      </c>
      <c r="K22">
        <v>0</v>
      </c>
      <c r="L22">
        <v>0</v>
      </c>
      <c r="M22">
        <v>0</v>
      </c>
      <c r="N22">
        <v>6342</v>
      </c>
      <c r="O22">
        <v>0</v>
      </c>
      <c r="P22">
        <v>0</v>
      </c>
      <c r="R22">
        <v>0</v>
      </c>
      <c r="S22">
        <v>0</v>
      </c>
      <c r="T22" t="s">
        <v>102</v>
      </c>
      <c r="U22">
        <v>6</v>
      </c>
      <c r="V22" t="s">
        <v>103</v>
      </c>
      <c r="W22" t="s">
        <v>94</v>
      </c>
      <c r="X22" t="s">
        <v>89</v>
      </c>
      <c r="Y22" t="s">
        <v>89</v>
      </c>
      <c r="Z22">
        <v>1</v>
      </c>
      <c r="AA22">
        <f>IF(AND(D22&gt;=配装计算器!$I$29,D22&lt;=配装计算器!$I$30),1,0)</f>
        <v>1</v>
      </c>
      <c r="AB22">
        <f t="shared" si="1"/>
        <v>1</v>
      </c>
      <c r="AC22">
        <f t="shared" si="2"/>
        <v>0</v>
      </c>
      <c r="AD22">
        <f t="shared" si="3"/>
        <v>0</v>
      </c>
      <c r="AE22">
        <f t="shared" si="4"/>
        <v>0</v>
      </c>
      <c r="AF22">
        <f t="shared" si="5"/>
        <v>1</v>
      </c>
      <c r="AG22">
        <f t="shared" si="6"/>
        <v>0</v>
      </c>
      <c r="AH22">
        <f t="shared" si="7"/>
        <v>0</v>
      </c>
      <c r="AI22">
        <f t="shared" si="8"/>
        <v>0</v>
      </c>
      <c r="AJ22">
        <f t="shared" si="9"/>
        <v>1</v>
      </c>
      <c r="AK22">
        <f>SUM(AJ$2:$AJ22)</f>
        <v>21</v>
      </c>
    </row>
    <row r="23" spans="1:37">
      <c r="A23" t="s">
        <v>82</v>
      </c>
      <c r="B23" t="s">
        <v>167</v>
      </c>
      <c r="C23" t="s">
        <v>168</v>
      </c>
      <c r="D23">
        <v>35300</v>
      </c>
      <c r="E23" t="s">
        <v>169</v>
      </c>
      <c r="F23">
        <v>11628</v>
      </c>
      <c r="G23">
        <v>949</v>
      </c>
      <c r="I23">
        <v>2154</v>
      </c>
      <c r="J23">
        <v>0</v>
      </c>
      <c r="K23">
        <v>0</v>
      </c>
      <c r="L23">
        <v>0</v>
      </c>
      <c r="M23">
        <v>7928</v>
      </c>
      <c r="N23">
        <v>6342</v>
      </c>
      <c r="O23">
        <v>0</v>
      </c>
      <c r="P23">
        <v>0</v>
      </c>
      <c r="R23">
        <v>0</v>
      </c>
      <c r="S23">
        <v>0</v>
      </c>
      <c r="T23" t="s">
        <v>107</v>
      </c>
      <c r="U23">
        <v>6</v>
      </c>
      <c r="V23" t="s">
        <v>87</v>
      </c>
      <c r="W23" t="s">
        <v>108</v>
      </c>
      <c r="X23" t="s">
        <v>89</v>
      </c>
      <c r="Y23" t="s">
        <v>89</v>
      </c>
      <c r="Z23">
        <v>1</v>
      </c>
      <c r="AA23">
        <f>IF(AND(D23&gt;=配装计算器!$I$29,D23&lt;=配装计算器!$I$30),1,0)</f>
        <v>1</v>
      </c>
      <c r="AB23">
        <f t="shared" si="1"/>
        <v>0</v>
      </c>
      <c r="AC23">
        <f t="shared" si="2"/>
        <v>0</v>
      </c>
      <c r="AD23">
        <f t="shared" si="3"/>
        <v>0</v>
      </c>
      <c r="AE23">
        <f t="shared" si="4"/>
        <v>1</v>
      </c>
      <c r="AF23">
        <f t="shared" si="5"/>
        <v>1</v>
      </c>
      <c r="AG23">
        <f t="shared" si="6"/>
        <v>0</v>
      </c>
      <c r="AH23">
        <f t="shared" si="7"/>
        <v>0</v>
      </c>
      <c r="AI23">
        <f t="shared" si="8"/>
        <v>0</v>
      </c>
      <c r="AJ23">
        <f t="shared" si="9"/>
        <v>1</v>
      </c>
      <c r="AK23">
        <f>SUM(AJ$2:$AJ23)</f>
        <v>22</v>
      </c>
    </row>
    <row r="24" spans="1:37">
      <c r="A24" t="s">
        <v>82</v>
      </c>
      <c r="B24" t="s">
        <v>170</v>
      </c>
      <c r="C24" t="s">
        <v>171</v>
      </c>
      <c r="D24">
        <v>35300</v>
      </c>
      <c r="E24" t="s">
        <v>172</v>
      </c>
      <c r="F24">
        <v>11628</v>
      </c>
      <c r="G24">
        <v>949</v>
      </c>
      <c r="I24">
        <v>2154</v>
      </c>
      <c r="J24">
        <v>0</v>
      </c>
      <c r="K24">
        <v>0</v>
      </c>
      <c r="L24">
        <v>0</v>
      </c>
      <c r="M24">
        <v>0</v>
      </c>
      <c r="N24">
        <v>6342</v>
      </c>
      <c r="O24">
        <v>7928</v>
      </c>
      <c r="P24">
        <v>0</v>
      </c>
      <c r="R24">
        <v>0</v>
      </c>
      <c r="S24">
        <v>0</v>
      </c>
      <c r="T24" t="s">
        <v>115</v>
      </c>
      <c r="U24">
        <v>6</v>
      </c>
      <c r="V24" t="s">
        <v>87</v>
      </c>
      <c r="W24" t="s">
        <v>88</v>
      </c>
      <c r="X24" t="s">
        <v>89</v>
      </c>
      <c r="Y24" t="s">
        <v>89</v>
      </c>
      <c r="Z24">
        <v>1</v>
      </c>
      <c r="AA24">
        <f>IF(AND(D24&gt;=配装计算器!$I$29,D24&lt;=配装计算器!$I$30),1,0)</f>
        <v>1</v>
      </c>
      <c r="AB24">
        <f t="shared" si="1"/>
        <v>0</v>
      </c>
      <c r="AC24">
        <f t="shared" si="2"/>
        <v>0</v>
      </c>
      <c r="AD24">
        <f t="shared" si="3"/>
        <v>0</v>
      </c>
      <c r="AE24">
        <f t="shared" si="4"/>
        <v>0</v>
      </c>
      <c r="AF24">
        <f t="shared" si="5"/>
        <v>1</v>
      </c>
      <c r="AG24">
        <f t="shared" si="6"/>
        <v>1</v>
      </c>
      <c r="AH24">
        <f t="shared" si="7"/>
        <v>0</v>
      </c>
      <c r="AI24">
        <f t="shared" si="8"/>
        <v>0</v>
      </c>
      <c r="AJ24">
        <f t="shared" si="9"/>
        <v>1</v>
      </c>
      <c r="AK24">
        <f>SUM(AJ$2:$AJ24)</f>
        <v>23</v>
      </c>
    </row>
    <row r="25" spans="1:37">
      <c r="A25" t="s">
        <v>82</v>
      </c>
      <c r="B25" t="s">
        <v>173</v>
      </c>
      <c r="C25" t="s">
        <v>174</v>
      </c>
      <c r="D25">
        <v>35300</v>
      </c>
      <c r="E25" t="s">
        <v>175</v>
      </c>
      <c r="F25">
        <v>11628</v>
      </c>
      <c r="G25">
        <v>949</v>
      </c>
      <c r="I25">
        <v>2154</v>
      </c>
      <c r="J25">
        <v>7928</v>
      </c>
      <c r="K25">
        <v>0</v>
      </c>
      <c r="L25">
        <v>0</v>
      </c>
      <c r="M25">
        <v>0</v>
      </c>
      <c r="N25">
        <v>6342</v>
      </c>
      <c r="O25">
        <v>0</v>
      </c>
      <c r="P25">
        <v>0</v>
      </c>
      <c r="R25">
        <v>0</v>
      </c>
      <c r="S25">
        <v>0</v>
      </c>
      <c r="T25" t="s">
        <v>102</v>
      </c>
      <c r="U25">
        <v>6</v>
      </c>
      <c r="V25" t="s">
        <v>87</v>
      </c>
      <c r="W25" t="s">
        <v>94</v>
      </c>
      <c r="X25" t="s">
        <v>89</v>
      </c>
      <c r="Y25" t="s">
        <v>89</v>
      </c>
      <c r="Z25">
        <v>1</v>
      </c>
      <c r="AA25">
        <f>IF(AND(D25&gt;=配装计算器!$I$29,D25&lt;=配装计算器!$I$30),1,0)</f>
        <v>1</v>
      </c>
      <c r="AB25">
        <f t="shared" si="1"/>
        <v>1</v>
      </c>
      <c r="AC25">
        <f t="shared" si="2"/>
        <v>0</v>
      </c>
      <c r="AD25">
        <f t="shared" si="3"/>
        <v>0</v>
      </c>
      <c r="AE25">
        <f t="shared" si="4"/>
        <v>0</v>
      </c>
      <c r="AF25">
        <f t="shared" si="5"/>
        <v>1</v>
      </c>
      <c r="AG25">
        <f t="shared" si="6"/>
        <v>0</v>
      </c>
      <c r="AH25">
        <f t="shared" si="7"/>
        <v>0</v>
      </c>
      <c r="AI25">
        <f t="shared" si="8"/>
        <v>0</v>
      </c>
      <c r="AJ25">
        <f t="shared" si="9"/>
        <v>1</v>
      </c>
      <c r="AK25">
        <f>SUM(AJ$2:$AJ25)</f>
        <v>24</v>
      </c>
    </row>
    <row r="26" spans="1:37">
      <c r="A26" t="s">
        <v>82</v>
      </c>
      <c r="B26" t="s">
        <v>176</v>
      </c>
      <c r="C26" t="s">
        <v>177</v>
      </c>
      <c r="D26">
        <v>35300</v>
      </c>
      <c r="E26" t="s">
        <v>178</v>
      </c>
      <c r="F26">
        <v>11628</v>
      </c>
      <c r="G26">
        <v>949</v>
      </c>
      <c r="I26">
        <v>2154</v>
      </c>
      <c r="J26">
        <v>7928</v>
      </c>
      <c r="K26">
        <v>0</v>
      </c>
      <c r="L26">
        <v>0</v>
      </c>
      <c r="M26">
        <v>0</v>
      </c>
      <c r="N26">
        <v>6342</v>
      </c>
      <c r="O26">
        <v>0</v>
      </c>
      <c r="P26">
        <v>0</v>
      </c>
      <c r="R26">
        <v>0</v>
      </c>
      <c r="S26">
        <v>0</v>
      </c>
      <c r="T26" t="s">
        <v>102</v>
      </c>
      <c r="U26">
        <v>6</v>
      </c>
      <c r="V26" t="s">
        <v>130</v>
      </c>
      <c r="W26" t="s">
        <v>94</v>
      </c>
      <c r="X26" t="s">
        <v>89</v>
      </c>
      <c r="Y26" t="s">
        <v>89</v>
      </c>
      <c r="Z26">
        <v>1</v>
      </c>
      <c r="AA26">
        <f>IF(AND(D26&gt;=配装计算器!$I$29,D26&lt;=配装计算器!$I$30),1,0)</f>
        <v>1</v>
      </c>
      <c r="AB26">
        <f t="shared" si="1"/>
        <v>1</v>
      </c>
      <c r="AC26">
        <f t="shared" si="2"/>
        <v>0</v>
      </c>
      <c r="AD26">
        <f t="shared" si="3"/>
        <v>0</v>
      </c>
      <c r="AE26">
        <f t="shared" si="4"/>
        <v>0</v>
      </c>
      <c r="AF26">
        <f t="shared" si="5"/>
        <v>1</v>
      </c>
      <c r="AG26">
        <f t="shared" si="6"/>
        <v>0</v>
      </c>
      <c r="AH26">
        <f t="shared" si="7"/>
        <v>0</v>
      </c>
      <c r="AI26">
        <f t="shared" si="8"/>
        <v>0</v>
      </c>
      <c r="AJ26">
        <f t="shared" si="9"/>
        <v>1</v>
      </c>
      <c r="AK26">
        <f>SUM(AJ$2:$AJ26)</f>
        <v>25</v>
      </c>
    </row>
    <row r="27" spans="1:37">
      <c r="A27" t="s">
        <v>82</v>
      </c>
      <c r="B27" t="s">
        <v>179</v>
      </c>
      <c r="C27" t="s">
        <v>151</v>
      </c>
      <c r="D27">
        <v>35300</v>
      </c>
      <c r="E27" t="s">
        <v>180</v>
      </c>
      <c r="F27">
        <v>11628</v>
      </c>
      <c r="G27">
        <v>0</v>
      </c>
      <c r="I27">
        <v>4165</v>
      </c>
      <c r="J27">
        <v>0</v>
      </c>
      <c r="K27">
        <v>0</v>
      </c>
      <c r="L27">
        <v>5285</v>
      </c>
      <c r="M27">
        <v>5285</v>
      </c>
      <c r="N27">
        <v>5285</v>
      </c>
      <c r="O27">
        <v>0</v>
      </c>
      <c r="P27">
        <v>0</v>
      </c>
      <c r="R27">
        <v>0</v>
      </c>
      <c r="S27">
        <v>0</v>
      </c>
      <c r="T27" t="s">
        <v>181</v>
      </c>
      <c r="U27">
        <v>6</v>
      </c>
      <c r="V27" t="s">
        <v>98</v>
      </c>
      <c r="W27" t="s">
        <v>94</v>
      </c>
      <c r="X27" t="s">
        <v>89</v>
      </c>
      <c r="Y27" t="s">
        <v>89</v>
      </c>
      <c r="Z27">
        <v>1</v>
      </c>
      <c r="AA27">
        <f>IF(AND(D27&gt;=配装计算器!$I$29,D27&lt;=配装计算器!$I$30),1,0)</f>
        <v>1</v>
      </c>
      <c r="AB27">
        <f t="shared" si="1"/>
        <v>0</v>
      </c>
      <c r="AC27">
        <f t="shared" si="2"/>
        <v>0</v>
      </c>
      <c r="AD27">
        <f t="shared" si="3"/>
        <v>1</v>
      </c>
      <c r="AE27">
        <f t="shared" si="4"/>
        <v>1</v>
      </c>
      <c r="AF27">
        <f t="shared" si="5"/>
        <v>1</v>
      </c>
      <c r="AG27">
        <f t="shared" si="6"/>
        <v>0</v>
      </c>
      <c r="AH27">
        <f t="shared" si="7"/>
        <v>0</v>
      </c>
      <c r="AI27">
        <f t="shared" si="8"/>
        <v>1</v>
      </c>
      <c r="AJ27">
        <f t="shared" si="9"/>
        <v>1</v>
      </c>
      <c r="AK27">
        <f>SUM(AJ$2:$AJ27)</f>
        <v>26</v>
      </c>
    </row>
    <row r="28" spans="1:37">
      <c r="A28" t="s">
        <v>82</v>
      </c>
      <c r="B28" t="s">
        <v>182</v>
      </c>
      <c r="C28" t="s">
        <v>151</v>
      </c>
      <c r="D28">
        <v>35300</v>
      </c>
      <c r="E28" t="s">
        <v>183</v>
      </c>
      <c r="F28">
        <v>11628</v>
      </c>
      <c r="G28">
        <v>0</v>
      </c>
      <c r="I28">
        <v>3447</v>
      </c>
      <c r="J28">
        <v>12156</v>
      </c>
      <c r="K28">
        <v>0</v>
      </c>
      <c r="L28">
        <v>0</v>
      </c>
      <c r="M28">
        <v>0</v>
      </c>
      <c r="N28">
        <v>6342</v>
      </c>
      <c r="O28">
        <v>0</v>
      </c>
      <c r="P28">
        <v>0</v>
      </c>
      <c r="R28">
        <v>0</v>
      </c>
      <c r="S28">
        <v>0</v>
      </c>
      <c r="T28" t="s">
        <v>184</v>
      </c>
      <c r="U28">
        <v>6</v>
      </c>
      <c r="V28" t="s">
        <v>98</v>
      </c>
      <c r="W28" t="s">
        <v>185</v>
      </c>
      <c r="X28" t="s">
        <v>89</v>
      </c>
      <c r="Y28" t="s">
        <v>89</v>
      </c>
      <c r="Z28">
        <v>1</v>
      </c>
      <c r="AA28">
        <f>IF(AND(D28&gt;=配装计算器!$I$29,D28&lt;=配装计算器!$I$30),1,0)</f>
        <v>1</v>
      </c>
      <c r="AB28">
        <f t="shared" si="1"/>
        <v>1</v>
      </c>
      <c r="AC28">
        <f t="shared" si="2"/>
        <v>0</v>
      </c>
      <c r="AD28">
        <f t="shared" si="3"/>
        <v>0</v>
      </c>
      <c r="AE28">
        <f t="shared" si="4"/>
        <v>0</v>
      </c>
      <c r="AF28">
        <f t="shared" si="5"/>
        <v>1</v>
      </c>
      <c r="AG28">
        <f t="shared" si="6"/>
        <v>0</v>
      </c>
      <c r="AH28">
        <f t="shared" si="7"/>
        <v>0</v>
      </c>
      <c r="AI28">
        <f t="shared" si="8"/>
        <v>1</v>
      </c>
      <c r="AJ28">
        <f t="shared" si="9"/>
        <v>1</v>
      </c>
      <c r="AK28">
        <f>SUM(AJ$2:$AJ28)</f>
        <v>27</v>
      </c>
    </row>
    <row r="29" spans="1:37">
      <c r="A29" t="s">
        <v>82</v>
      </c>
      <c r="B29" t="s">
        <v>186</v>
      </c>
      <c r="C29" t="s">
        <v>151</v>
      </c>
      <c r="D29">
        <v>35300</v>
      </c>
      <c r="E29" t="s">
        <v>187</v>
      </c>
      <c r="F29">
        <v>11628</v>
      </c>
      <c r="G29">
        <v>0</v>
      </c>
      <c r="I29">
        <v>4165</v>
      </c>
      <c r="J29">
        <v>5285</v>
      </c>
      <c r="K29">
        <v>0</v>
      </c>
      <c r="L29">
        <v>5285</v>
      </c>
      <c r="M29">
        <v>0</v>
      </c>
      <c r="N29">
        <v>5285</v>
      </c>
      <c r="O29">
        <v>0</v>
      </c>
      <c r="P29">
        <v>0</v>
      </c>
      <c r="R29">
        <v>0</v>
      </c>
      <c r="S29">
        <v>0</v>
      </c>
      <c r="T29" t="s">
        <v>188</v>
      </c>
      <c r="U29">
        <v>6</v>
      </c>
      <c r="V29" t="s">
        <v>98</v>
      </c>
      <c r="W29" t="s">
        <v>185</v>
      </c>
      <c r="X29" t="s">
        <v>89</v>
      </c>
      <c r="Y29" t="s">
        <v>89</v>
      </c>
      <c r="Z29">
        <v>1</v>
      </c>
      <c r="AA29">
        <f>IF(AND(D29&gt;=配装计算器!$I$29,D29&lt;=配装计算器!$I$30),1,0)</f>
        <v>1</v>
      </c>
      <c r="AB29">
        <f t="shared" si="1"/>
        <v>1</v>
      </c>
      <c r="AC29">
        <f t="shared" si="2"/>
        <v>0</v>
      </c>
      <c r="AD29">
        <f t="shared" si="3"/>
        <v>1</v>
      </c>
      <c r="AE29">
        <f t="shared" si="4"/>
        <v>0</v>
      </c>
      <c r="AF29">
        <f t="shared" si="5"/>
        <v>1</v>
      </c>
      <c r="AG29">
        <f t="shared" si="6"/>
        <v>0</v>
      </c>
      <c r="AH29">
        <f t="shared" si="7"/>
        <v>0</v>
      </c>
      <c r="AI29">
        <f t="shared" si="8"/>
        <v>1</v>
      </c>
      <c r="AJ29">
        <f t="shared" si="9"/>
        <v>1</v>
      </c>
      <c r="AK29">
        <f>SUM(AJ$2:$AJ29)</f>
        <v>28</v>
      </c>
    </row>
    <row r="30" spans="1:37">
      <c r="A30" t="s">
        <v>82</v>
      </c>
      <c r="B30" t="s">
        <v>189</v>
      </c>
      <c r="C30" t="s">
        <v>190</v>
      </c>
      <c r="D30">
        <v>36200</v>
      </c>
      <c r="E30" t="s">
        <v>191</v>
      </c>
      <c r="F30">
        <v>11924</v>
      </c>
      <c r="G30">
        <v>903</v>
      </c>
      <c r="I30">
        <v>1473</v>
      </c>
      <c r="J30">
        <v>0</v>
      </c>
      <c r="K30">
        <v>0</v>
      </c>
      <c r="L30">
        <v>8130</v>
      </c>
      <c r="M30">
        <v>0</v>
      </c>
      <c r="N30">
        <v>0</v>
      </c>
      <c r="O30">
        <v>0</v>
      </c>
      <c r="P30">
        <v>3252</v>
      </c>
      <c r="R30">
        <v>0</v>
      </c>
      <c r="S30">
        <v>0</v>
      </c>
      <c r="T30" t="s">
        <v>86</v>
      </c>
      <c r="U30">
        <v>6</v>
      </c>
      <c r="V30" t="s">
        <v>145</v>
      </c>
      <c r="W30" t="s">
        <v>88</v>
      </c>
      <c r="X30" t="s">
        <v>89</v>
      </c>
      <c r="Y30" t="s">
        <v>89</v>
      </c>
      <c r="Z30">
        <v>2</v>
      </c>
      <c r="AA30">
        <f>IF(AND(D30&gt;=配装计算器!$I$29,D30&lt;=配装计算器!$I$30),1,0)</f>
        <v>1</v>
      </c>
      <c r="AB30">
        <f t="shared" si="1"/>
        <v>0</v>
      </c>
      <c r="AC30">
        <f t="shared" si="2"/>
        <v>0</v>
      </c>
      <c r="AD30">
        <f t="shared" si="3"/>
        <v>1</v>
      </c>
      <c r="AE30">
        <f t="shared" si="4"/>
        <v>0</v>
      </c>
      <c r="AF30">
        <f t="shared" si="5"/>
        <v>0</v>
      </c>
      <c r="AG30">
        <f t="shared" si="6"/>
        <v>0</v>
      </c>
      <c r="AH30">
        <f t="shared" si="7"/>
        <v>1</v>
      </c>
      <c r="AI30">
        <f t="shared" si="8"/>
        <v>0</v>
      </c>
      <c r="AJ30">
        <f t="shared" si="9"/>
        <v>1</v>
      </c>
      <c r="AK30">
        <f>SUM(AJ$2:$AJ30)</f>
        <v>29</v>
      </c>
    </row>
    <row r="31" spans="1:37">
      <c r="A31" t="s">
        <v>82</v>
      </c>
      <c r="B31" t="s">
        <v>192</v>
      </c>
      <c r="C31" t="s">
        <v>193</v>
      </c>
      <c r="D31">
        <v>38100</v>
      </c>
      <c r="E31" t="s">
        <v>194</v>
      </c>
      <c r="F31">
        <v>12550</v>
      </c>
      <c r="G31">
        <v>1024</v>
      </c>
      <c r="I31">
        <v>2325</v>
      </c>
      <c r="J31">
        <v>0</v>
      </c>
      <c r="K31">
        <v>0</v>
      </c>
      <c r="L31">
        <v>0</v>
      </c>
      <c r="M31">
        <v>8557</v>
      </c>
      <c r="N31">
        <v>6846</v>
      </c>
      <c r="O31">
        <v>0</v>
      </c>
      <c r="P31">
        <v>0</v>
      </c>
      <c r="R31">
        <v>0</v>
      </c>
      <c r="S31">
        <v>0</v>
      </c>
      <c r="T31" t="s">
        <v>107</v>
      </c>
      <c r="U31">
        <v>6</v>
      </c>
      <c r="V31" t="s">
        <v>149</v>
      </c>
      <c r="W31" t="s">
        <v>108</v>
      </c>
      <c r="X31" t="s">
        <v>89</v>
      </c>
      <c r="Y31" t="s">
        <v>89</v>
      </c>
      <c r="Z31">
        <v>1</v>
      </c>
      <c r="AA31">
        <f>IF(AND(D31&gt;=配装计算器!$I$29,D31&lt;=配装计算器!$I$30),1,0)</f>
        <v>1</v>
      </c>
      <c r="AB31">
        <f t="shared" si="1"/>
        <v>0</v>
      </c>
      <c r="AC31">
        <f t="shared" si="2"/>
        <v>0</v>
      </c>
      <c r="AD31">
        <f t="shared" si="3"/>
        <v>0</v>
      </c>
      <c r="AE31">
        <f t="shared" si="4"/>
        <v>1</v>
      </c>
      <c r="AF31">
        <f t="shared" si="5"/>
        <v>1</v>
      </c>
      <c r="AG31">
        <f t="shared" si="6"/>
        <v>0</v>
      </c>
      <c r="AH31">
        <f t="shared" si="7"/>
        <v>0</v>
      </c>
      <c r="AI31">
        <f t="shared" si="8"/>
        <v>0</v>
      </c>
      <c r="AJ31">
        <f t="shared" si="9"/>
        <v>1</v>
      </c>
      <c r="AK31">
        <f>SUM(AJ$2:$AJ31)</f>
        <v>30</v>
      </c>
    </row>
    <row r="32" spans="1:37">
      <c r="A32" t="s">
        <v>82</v>
      </c>
      <c r="B32" t="s">
        <v>195</v>
      </c>
      <c r="C32" t="s">
        <v>196</v>
      </c>
      <c r="D32">
        <v>38100</v>
      </c>
      <c r="E32" t="s">
        <v>197</v>
      </c>
      <c r="F32">
        <v>12550</v>
      </c>
      <c r="G32">
        <v>0</v>
      </c>
      <c r="I32">
        <v>1550</v>
      </c>
      <c r="J32">
        <v>0</v>
      </c>
      <c r="K32">
        <v>0</v>
      </c>
      <c r="L32">
        <v>0</v>
      </c>
      <c r="M32">
        <v>22818</v>
      </c>
      <c r="N32">
        <v>6846</v>
      </c>
      <c r="O32">
        <v>0</v>
      </c>
      <c r="P32">
        <v>0</v>
      </c>
      <c r="R32">
        <v>0</v>
      </c>
      <c r="S32">
        <v>0</v>
      </c>
      <c r="T32" t="s">
        <v>198</v>
      </c>
      <c r="U32">
        <v>6</v>
      </c>
      <c r="V32" t="s">
        <v>98</v>
      </c>
      <c r="W32" t="s">
        <v>154</v>
      </c>
      <c r="X32" t="s">
        <v>89</v>
      </c>
      <c r="Y32" t="s">
        <v>89</v>
      </c>
      <c r="Z32">
        <v>1</v>
      </c>
      <c r="AA32">
        <f>IF(AND(D32&gt;=配装计算器!$I$29,D32&lt;=配装计算器!$I$30),1,0)</f>
        <v>1</v>
      </c>
      <c r="AB32">
        <f t="shared" si="1"/>
        <v>0</v>
      </c>
      <c r="AC32">
        <f t="shared" si="2"/>
        <v>0</v>
      </c>
      <c r="AD32">
        <f t="shared" si="3"/>
        <v>0</v>
      </c>
      <c r="AE32">
        <f t="shared" si="4"/>
        <v>1</v>
      </c>
      <c r="AF32">
        <f t="shared" si="5"/>
        <v>1</v>
      </c>
      <c r="AG32">
        <f t="shared" si="6"/>
        <v>0</v>
      </c>
      <c r="AH32">
        <f t="shared" si="7"/>
        <v>0</v>
      </c>
      <c r="AI32">
        <f t="shared" si="8"/>
        <v>1</v>
      </c>
      <c r="AJ32">
        <f t="shared" si="9"/>
        <v>1</v>
      </c>
      <c r="AK32">
        <f>SUM(AJ$2:$AJ32)</f>
        <v>31</v>
      </c>
    </row>
    <row r="33" spans="1:37">
      <c r="A33" t="s">
        <v>82</v>
      </c>
      <c r="B33" t="s">
        <v>199</v>
      </c>
      <c r="C33" t="s">
        <v>196</v>
      </c>
      <c r="D33">
        <v>38100</v>
      </c>
      <c r="E33" t="s">
        <v>200</v>
      </c>
      <c r="F33">
        <v>12550</v>
      </c>
      <c r="G33">
        <v>0</v>
      </c>
      <c r="I33">
        <v>1550</v>
      </c>
      <c r="J33">
        <v>0</v>
      </c>
      <c r="K33">
        <v>0</v>
      </c>
      <c r="L33">
        <v>22248</v>
      </c>
      <c r="M33">
        <v>0</v>
      </c>
      <c r="N33">
        <v>6846</v>
      </c>
      <c r="O33">
        <v>0</v>
      </c>
      <c r="P33">
        <v>0</v>
      </c>
      <c r="R33">
        <v>0</v>
      </c>
      <c r="S33">
        <v>0</v>
      </c>
      <c r="T33" t="s">
        <v>153</v>
      </c>
      <c r="U33">
        <v>6</v>
      </c>
      <c r="V33" t="s">
        <v>98</v>
      </c>
      <c r="W33" t="s">
        <v>135</v>
      </c>
      <c r="X33" t="s">
        <v>89</v>
      </c>
      <c r="Y33" t="s">
        <v>89</v>
      </c>
      <c r="Z33">
        <v>1</v>
      </c>
      <c r="AA33">
        <f>IF(AND(D33&gt;=配装计算器!$I$29,D33&lt;=配装计算器!$I$30),1,0)</f>
        <v>1</v>
      </c>
      <c r="AB33">
        <f t="shared" si="1"/>
        <v>0</v>
      </c>
      <c r="AC33">
        <f t="shared" si="2"/>
        <v>0</v>
      </c>
      <c r="AD33">
        <f t="shared" si="3"/>
        <v>1</v>
      </c>
      <c r="AE33">
        <f t="shared" si="4"/>
        <v>0</v>
      </c>
      <c r="AF33">
        <f t="shared" si="5"/>
        <v>1</v>
      </c>
      <c r="AG33">
        <f t="shared" si="6"/>
        <v>0</v>
      </c>
      <c r="AH33">
        <f t="shared" si="7"/>
        <v>0</v>
      </c>
      <c r="AI33">
        <f t="shared" si="8"/>
        <v>1</v>
      </c>
      <c r="AJ33">
        <f t="shared" si="9"/>
        <v>1</v>
      </c>
      <c r="AK33">
        <f>SUM(AJ$2:$AJ33)</f>
        <v>32</v>
      </c>
    </row>
    <row r="34" spans="1:37">
      <c r="A34" t="s">
        <v>82</v>
      </c>
      <c r="B34" t="s">
        <v>201</v>
      </c>
      <c r="C34" t="s">
        <v>196</v>
      </c>
      <c r="D34">
        <v>38100</v>
      </c>
      <c r="E34" t="s">
        <v>202</v>
      </c>
      <c r="F34">
        <v>12550</v>
      </c>
      <c r="G34">
        <v>0</v>
      </c>
      <c r="I34">
        <v>1550</v>
      </c>
      <c r="J34">
        <v>22248</v>
      </c>
      <c r="K34">
        <v>0</v>
      </c>
      <c r="L34">
        <v>0</v>
      </c>
      <c r="M34">
        <v>0</v>
      </c>
      <c r="N34">
        <v>6846</v>
      </c>
      <c r="O34">
        <v>0</v>
      </c>
      <c r="P34">
        <v>0</v>
      </c>
      <c r="R34">
        <v>0</v>
      </c>
      <c r="S34">
        <v>0</v>
      </c>
      <c r="T34" t="s">
        <v>184</v>
      </c>
      <c r="U34">
        <v>6</v>
      </c>
      <c r="V34" t="s">
        <v>98</v>
      </c>
      <c r="W34" t="s">
        <v>123</v>
      </c>
      <c r="X34" t="s">
        <v>89</v>
      </c>
      <c r="Y34" t="s">
        <v>89</v>
      </c>
      <c r="Z34">
        <v>1</v>
      </c>
      <c r="AA34">
        <f>IF(AND(D34&gt;=配装计算器!$I$29,D34&lt;=配装计算器!$I$30),1,0)</f>
        <v>1</v>
      </c>
      <c r="AB34">
        <f t="shared" ref="AB34" si="11">IF(J34&gt;0,1,0)</f>
        <v>1</v>
      </c>
      <c r="AC34">
        <f t="shared" ref="AC34" si="12">IF(K34&gt;0,1,0)</f>
        <v>0</v>
      </c>
      <c r="AD34">
        <f t="shared" ref="AD34" si="13">IF(L34&gt;0,1,0)</f>
        <v>0</v>
      </c>
      <c r="AE34">
        <f t="shared" ref="AE34" si="14">IF(M34&gt;0,1,0)</f>
        <v>0</v>
      </c>
      <c r="AF34">
        <f t="shared" ref="AF34" si="15">IF(N34&gt;0,1,0)</f>
        <v>1</v>
      </c>
      <c r="AG34">
        <f t="shared" ref="AG34" si="16">IF(O34&gt;0,1,0)</f>
        <v>0</v>
      </c>
      <c r="AH34">
        <f t="shared" ref="AH34" si="17">IF(P34&gt;0,1,0)</f>
        <v>0</v>
      </c>
      <c r="AI34">
        <f t="shared" ref="AI34" si="18">IF(COUNTIF(T34,"*"&amp;"精简"&amp;"*")&gt;0,1,0)</f>
        <v>1</v>
      </c>
      <c r="AJ34">
        <f t="shared" ref="AJ34" si="19">MIN(1,AA34*($AY$2+IF(AND(AB34&gt;=$AQ$3,AC34&gt;=$AR$3,AD34&gt;=$AS$3,AE34&gt;=$AT$3,AF34&gt;=$AU$3,AG34&gt;=$AV$3,AH34&gt;=$AW$3,AI34&gt;=$AX$3),1,0)))</f>
        <v>1</v>
      </c>
      <c r="AK34">
        <f>SUM(AJ$2:$AJ34)</f>
        <v>33</v>
      </c>
    </row>
    <row r="35" spans="1:37">
      <c r="A35" t="s">
        <v>82</v>
      </c>
      <c r="B35" t="s">
        <v>203</v>
      </c>
      <c r="C35" t="s">
        <v>204</v>
      </c>
      <c r="D35">
        <v>41400</v>
      </c>
      <c r="E35" t="s">
        <v>205</v>
      </c>
      <c r="F35">
        <v>13637</v>
      </c>
      <c r="G35">
        <v>1113</v>
      </c>
      <c r="I35">
        <v>2527</v>
      </c>
      <c r="J35">
        <v>0</v>
      </c>
      <c r="K35">
        <v>0</v>
      </c>
      <c r="L35">
        <v>0</v>
      </c>
      <c r="M35">
        <v>9298</v>
      </c>
      <c r="N35">
        <v>7438</v>
      </c>
      <c r="O35">
        <v>0</v>
      </c>
      <c r="P35">
        <v>0</v>
      </c>
      <c r="R35">
        <v>0</v>
      </c>
      <c r="S35">
        <v>0</v>
      </c>
      <c r="T35" t="s">
        <v>107</v>
      </c>
      <c r="U35">
        <v>6</v>
      </c>
      <c r="V35" t="s">
        <v>87</v>
      </c>
      <c r="W35" t="s">
        <v>108</v>
      </c>
      <c r="X35" t="s">
        <v>89</v>
      </c>
      <c r="Y35" t="s">
        <v>89</v>
      </c>
      <c r="Z35">
        <v>1</v>
      </c>
      <c r="AA35">
        <f>IF(AND(D35&gt;=配装计算器!$I$29,D35&lt;=配装计算器!$I$30),1,0)</f>
        <v>1</v>
      </c>
      <c r="AB35">
        <f t="shared" si="1"/>
        <v>0</v>
      </c>
      <c r="AC35">
        <f t="shared" si="2"/>
        <v>0</v>
      </c>
      <c r="AD35">
        <f t="shared" si="3"/>
        <v>0</v>
      </c>
      <c r="AE35">
        <f t="shared" si="4"/>
        <v>1</v>
      </c>
      <c r="AF35">
        <f t="shared" si="5"/>
        <v>1</v>
      </c>
      <c r="AG35">
        <f t="shared" si="6"/>
        <v>0</v>
      </c>
      <c r="AH35">
        <f t="shared" si="7"/>
        <v>0</v>
      </c>
      <c r="AI35">
        <f t="shared" si="8"/>
        <v>0</v>
      </c>
      <c r="AJ35">
        <f t="shared" si="9"/>
        <v>1</v>
      </c>
      <c r="AK35">
        <f>SUM(AJ$2:$AJ35)</f>
        <v>34</v>
      </c>
    </row>
    <row r="36" spans="1:37">
      <c r="A36" t="s">
        <v>82</v>
      </c>
      <c r="B36" t="s">
        <v>206</v>
      </c>
      <c r="C36" t="s">
        <v>207</v>
      </c>
      <c r="D36">
        <v>41400</v>
      </c>
      <c r="E36" t="s">
        <v>208</v>
      </c>
      <c r="F36">
        <v>13637</v>
      </c>
      <c r="G36">
        <v>1113</v>
      </c>
      <c r="I36">
        <v>2527</v>
      </c>
      <c r="J36">
        <v>0</v>
      </c>
      <c r="K36">
        <v>0</v>
      </c>
      <c r="L36">
        <v>0</v>
      </c>
      <c r="M36">
        <v>0</v>
      </c>
      <c r="N36">
        <v>7438</v>
      </c>
      <c r="O36">
        <v>9298</v>
      </c>
      <c r="P36">
        <v>0</v>
      </c>
      <c r="R36">
        <v>0</v>
      </c>
      <c r="S36">
        <v>0</v>
      </c>
      <c r="T36" t="s">
        <v>115</v>
      </c>
      <c r="U36">
        <v>6</v>
      </c>
      <c r="V36" t="s">
        <v>87</v>
      </c>
      <c r="W36" t="s">
        <v>88</v>
      </c>
      <c r="X36" t="s">
        <v>89</v>
      </c>
      <c r="Y36" t="s">
        <v>89</v>
      </c>
      <c r="Z36">
        <v>1</v>
      </c>
      <c r="AA36">
        <f>IF(AND(D36&gt;=配装计算器!$I$29,D36&lt;=配装计算器!$I$30),1,0)</f>
        <v>1</v>
      </c>
      <c r="AB36">
        <f t="shared" si="1"/>
        <v>0</v>
      </c>
      <c r="AC36">
        <f t="shared" si="2"/>
        <v>0</v>
      </c>
      <c r="AD36">
        <f t="shared" si="3"/>
        <v>0</v>
      </c>
      <c r="AE36">
        <f t="shared" si="4"/>
        <v>0</v>
      </c>
      <c r="AF36">
        <f t="shared" si="5"/>
        <v>1</v>
      </c>
      <c r="AG36">
        <f t="shared" si="6"/>
        <v>1</v>
      </c>
      <c r="AH36">
        <f t="shared" si="7"/>
        <v>0</v>
      </c>
      <c r="AI36">
        <f t="shared" si="8"/>
        <v>0</v>
      </c>
      <c r="AJ36">
        <f t="shared" si="9"/>
        <v>1</v>
      </c>
      <c r="AK36">
        <f>SUM(AJ$2:$AJ36)</f>
        <v>35</v>
      </c>
    </row>
    <row r="37" spans="1:37">
      <c r="A37" t="s">
        <v>82</v>
      </c>
      <c r="B37" t="s">
        <v>209</v>
      </c>
      <c r="C37" t="s">
        <v>210</v>
      </c>
      <c r="D37">
        <v>41400</v>
      </c>
      <c r="E37" t="s">
        <v>211</v>
      </c>
      <c r="F37">
        <v>13637</v>
      </c>
      <c r="G37">
        <v>1113</v>
      </c>
      <c r="I37">
        <v>2527</v>
      </c>
      <c r="J37">
        <v>9298</v>
      </c>
      <c r="K37">
        <v>0</v>
      </c>
      <c r="L37">
        <v>0</v>
      </c>
      <c r="M37">
        <v>0</v>
      </c>
      <c r="N37">
        <v>7438</v>
      </c>
      <c r="O37">
        <v>0</v>
      </c>
      <c r="P37">
        <v>0</v>
      </c>
      <c r="R37">
        <v>0</v>
      </c>
      <c r="S37">
        <v>0</v>
      </c>
      <c r="T37" t="s">
        <v>102</v>
      </c>
      <c r="U37">
        <v>6</v>
      </c>
      <c r="V37" t="s">
        <v>87</v>
      </c>
      <c r="W37" t="s">
        <v>94</v>
      </c>
      <c r="X37" t="s">
        <v>89</v>
      </c>
      <c r="Y37" t="s">
        <v>89</v>
      </c>
      <c r="Z37">
        <v>1</v>
      </c>
      <c r="AA37">
        <f>IF(AND(D37&gt;=配装计算器!$I$29,D37&lt;=配装计算器!$I$30),1,0)</f>
        <v>1</v>
      </c>
      <c r="AB37">
        <f t="shared" si="1"/>
        <v>1</v>
      </c>
      <c r="AC37">
        <f t="shared" si="2"/>
        <v>0</v>
      </c>
      <c r="AD37">
        <f t="shared" si="3"/>
        <v>0</v>
      </c>
      <c r="AE37">
        <f t="shared" si="4"/>
        <v>0</v>
      </c>
      <c r="AF37">
        <f t="shared" si="5"/>
        <v>1</v>
      </c>
      <c r="AG37">
        <f t="shared" si="6"/>
        <v>0</v>
      </c>
      <c r="AH37">
        <f t="shared" si="7"/>
        <v>0</v>
      </c>
      <c r="AI37">
        <f t="shared" si="8"/>
        <v>0</v>
      </c>
      <c r="AJ37">
        <f t="shared" si="9"/>
        <v>1</v>
      </c>
      <c r="AK37">
        <f>SUM(AJ$2:$AJ37)</f>
        <v>36</v>
      </c>
    </row>
    <row r="38" spans="1:37">
      <c r="A38" t="s">
        <v>82</v>
      </c>
      <c r="B38" t="s">
        <v>212</v>
      </c>
      <c r="C38" t="s">
        <v>213</v>
      </c>
      <c r="D38">
        <v>41400</v>
      </c>
      <c r="E38" t="s">
        <v>214</v>
      </c>
      <c r="F38">
        <v>13637</v>
      </c>
      <c r="G38">
        <v>1113</v>
      </c>
      <c r="I38">
        <v>2527</v>
      </c>
      <c r="J38">
        <v>9298</v>
      </c>
      <c r="K38">
        <v>0</v>
      </c>
      <c r="L38">
        <v>0</v>
      </c>
      <c r="M38">
        <v>0</v>
      </c>
      <c r="N38">
        <v>7438</v>
      </c>
      <c r="O38">
        <v>0</v>
      </c>
      <c r="P38">
        <v>0</v>
      </c>
      <c r="R38">
        <v>0</v>
      </c>
      <c r="S38">
        <v>0</v>
      </c>
      <c r="T38" t="s">
        <v>102</v>
      </c>
      <c r="U38">
        <v>6</v>
      </c>
      <c r="V38" t="s">
        <v>130</v>
      </c>
      <c r="W38" t="s">
        <v>94</v>
      </c>
      <c r="X38" t="s">
        <v>89</v>
      </c>
      <c r="Y38" t="s">
        <v>89</v>
      </c>
      <c r="Z38">
        <v>1</v>
      </c>
      <c r="AA38">
        <f>IF(AND(D38&gt;=配装计算器!$I$29,D38&lt;=配装计算器!$I$30),1,0)</f>
        <v>1</v>
      </c>
      <c r="AB38">
        <f t="shared" si="1"/>
        <v>1</v>
      </c>
      <c r="AC38">
        <f t="shared" si="2"/>
        <v>0</v>
      </c>
      <c r="AD38">
        <f t="shared" si="3"/>
        <v>0</v>
      </c>
      <c r="AE38">
        <f t="shared" si="4"/>
        <v>0</v>
      </c>
      <c r="AF38">
        <f t="shared" si="5"/>
        <v>1</v>
      </c>
      <c r="AG38">
        <f t="shared" si="6"/>
        <v>0</v>
      </c>
      <c r="AH38">
        <f t="shared" si="7"/>
        <v>0</v>
      </c>
      <c r="AI38">
        <f t="shared" si="8"/>
        <v>0</v>
      </c>
      <c r="AJ38">
        <f t="shared" si="9"/>
        <v>1</v>
      </c>
      <c r="AK38">
        <f>SUM(AJ$2:$AJ38)</f>
        <v>37</v>
      </c>
    </row>
    <row r="39" spans="1:37">
      <c r="A39" t="s">
        <v>82</v>
      </c>
      <c r="B39" t="s">
        <v>215</v>
      </c>
      <c r="C39" t="s">
        <v>196</v>
      </c>
      <c r="D39">
        <v>41400</v>
      </c>
      <c r="E39" t="s">
        <v>216</v>
      </c>
      <c r="F39">
        <v>13637</v>
      </c>
      <c r="G39">
        <v>0</v>
      </c>
      <c r="I39">
        <v>1685</v>
      </c>
      <c r="J39">
        <v>0</v>
      </c>
      <c r="K39">
        <v>0</v>
      </c>
      <c r="L39">
        <v>24175</v>
      </c>
      <c r="M39">
        <v>0</v>
      </c>
      <c r="N39">
        <v>7438</v>
      </c>
      <c r="O39">
        <v>0</v>
      </c>
      <c r="P39">
        <v>0</v>
      </c>
      <c r="R39">
        <v>0</v>
      </c>
      <c r="S39">
        <v>0</v>
      </c>
      <c r="T39" t="s">
        <v>153</v>
      </c>
      <c r="U39">
        <v>6</v>
      </c>
      <c r="V39" t="s">
        <v>98</v>
      </c>
      <c r="W39" t="s">
        <v>135</v>
      </c>
      <c r="X39" t="s">
        <v>89</v>
      </c>
      <c r="Y39" t="s">
        <v>89</v>
      </c>
      <c r="Z39">
        <v>1</v>
      </c>
      <c r="AA39">
        <f>IF(AND(D39&gt;=配装计算器!$I$29,D39&lt;=配装计算器!$I$30),1,0)</f>
        <v>1</v>
      </c>
      <c r="AB39">
        <f t="shared" si="1"/>
        <v>0</v>
      </c>
      <c r="AC39">
        <f t="shared" si="2"/>
        <v>0</v>
      </c>
      <c r="AD39">
        <f t="shared" si="3"/>
        <v>1</v>
      </c>
      <c r="AE39">
        <f t="shared" si="4"/>
        <v>0</v>
      </c>
      <c r="AF39">
        <f t="shared" si="5"/>
        <v>1</v>
      </c>
      <c r="AG39">
        <f t="shared" si="6"/>
        <v>0</v>
      </c>
      <c r="AH39">
        <f t="shared" si="7"/>
        <v>0</v>
      </c>
      <c r="AI39">
        <f t="shared" si="8"/>
        <v>1</v>
      </c>
      <c r="AJ39">
        <f t="shared" si="9"/>
        <v>1</v>
      </c>
      <c r="AK39">
        <f>SUM(AJ$2:$AJ39)</f>
        <v>38</v>
      </c>
    </row>
    <row r="40" spans="1:37">
      <c r="A40" t="s">
        <v>82</v>
      </c>
      <c r="B40" t="s">
        <v>217</v>
      </c>
      <c r="C40" t="s">
        <v>196</v>
      </c>
      <c r="D40">
        <v>41400</v>
      </c>
      <c r="E40" t="s">
        <v>218</v>
      </c>
      <c r="F40">
        <v>13637</v>
      </c>
      <c r="G40">
        <v>0</v>
      </c>
      <c r="I40">
        <v>4885</v>
      </c>
      <c r="J40">
        <v>11158</v>
      </c>
      <c r="K40">
        <v>4649</v>
      </c>
      <c r="L40">
        <v>0</v>
      </c>
      <c r="M40">
        <v>4649</v>
      </c>
      <c r="N40">
        <v>0</v>
      </c>
      <c r="O40">
        <v>0</v>
      </c>
      <c r="P40">
        <v>0</v>
      </c>
      <c r="R40">
        <v>0</v>
      </c>
      <c r="S40">
        <v>0</v>
      </c>
      <c r="T40" t="s">
        <v>157</v>
      </c>
      <c r="U40">
        <v>6</v>
      </c>
      <c r="V40" t="s">
        <v>98</v>
      </c>
      <c r="W40" t="s">
        <v>135</v>
      </c>
      <c r="X40" t="s">
        <v>89</v>
      </c>
      <c r="Y40" t="s">
        <v>89</v>
      </c>
      <c r="Z40">
        <v>1</v>
      </c>
      <c r="AA40">
        <f>IF(AND(D40&gt;=配装计算器!$I$29,D40&lt;=配装计算器!$I$30),1,0)</f>
        <v>1</v>
      </c>
      <c r="AB40">
        <f t="shared" si="1"/>
        <v>1</v>
      </c>
      <c r="AC40">
        <f t="shared" si="2"/>
        <v>1</v>
      </c>
      <c r="AD40">
        <f t="shared" si="3"/>
        <v>0</v>
      </c>
      <c r="AE40">
        <f t="shared" si="4"/>
        <v>1</v>
      </c>
      <c r="AF40">
        <f t="shared" si="5"/>
        <v>0</v>
      </c>
      <c r="AG40">
        <f t="shared" si="6"/>
        <v>0</v>
      </c>
      <c r="AH40">
        <f t="shared" si="7"/>
        <v>0</v>
      </c>
      <c r="AI40">
        <f t="shared" si="8"/>
        <v>1</v>
      </c>
      <c r="AJ40">
        <f t="shared" si="9"/>
        <v>1</v>
      </c>
      <c r="AK40">
        <f>SUM(AJ$2:$AJ40)</f>
        <v>39</v>
      </c>
    </row>
    <row r="41" spans="1:37">
      <c r="A41" t="s">
        <v>82</v>
      </c>
      <c r="B41" t="s">
        <v>219</v>
      </c>
      <c r="C41" t="s">
        <v>196</v>
      </c>
      <c r="D41">
        <v>41400</v>
      </c>
      <c r="E41" t="s">
        <v>220</v>
      </c>
      <c r="F41">
        <v>13637</v>
      </c>
      <c r="G41">
        <v>0</v>
      </c>
      <c r="I41">
        <v>4885</v>
      </c>
      <c r="J41">
        <v>11158</v>
      </c>
      <c r="K41">
        <v>4649</v>
      </c>
      <c r="L41">
        <v>0</v>
      </c>
      <c r="M41">
        <v>0</v>
      </c>
      <c r="N41">
        <v>4649</v>
      </c>
      <c r="O41">
        <v>0</v>
      </c>
      <c r="P41">
        <v>0</v>
      </c>
      <c r="R41">
        <v>0</v>
      </c>
      <c r="S41">
        <v>0</v>
      </c>
      <c r="T41" t="s">
        <v>141</v>
      </c>
      <c r="U41">
        <v>6</v>
      </c>
      <c r="V41" t="s">
        <v>98</v>
      </c>
      <c r="W41" t="s">
        <v>135</v>
      </c>
      <c r="X41" t="s">
        <v>89</v>
      </c>
      <c r="Y41" t="s">
        <v>89</v>
      </c>
      <c r="Z41">
        <v>1</v>
      </c>
      <c r="AA41">
        <f>IF(AND(D41&gt;=配装计算器!$I$29,D41&lt;=配装计算器!$I$30),1,0)</f>
        <v>1</v>
      </c>
      <c r="AB41">
        <f t="shared" si="1"/>
        <v>1</v>
      </c>
      <c r="AC41">
        <f t="shared" si="2"/>
        <v>1</v>
      </c>
      <c r="AD41">
        <f t="shared" si="3"/>
        <v>0</v>
      </c>
      <c r="AE41">
        <f t="shared" si="4"/>
        <v>0</v>
      </c>
      <c r="AF41">
        <f t="shared" si="5"/>
        <v>1</v>
      </c>
      <c r="AG41">
        <f t="shared" si="6"/>
        <v>0</v>
      </c>
      <c r="AH41">
        <f t="shared" si="7"/>
        <v>0</v>
      </c>
      <c r="AI41">
        <f t="shared" si="8"/>
        <v>1</v>
      </c>
      <c r="AJ41">
        <f t="shared" si="9"/>
        <v>1</v>
      </c>
      <c r="AK41">
        <f>SUM(AJ$2:$AJ41)</f>
        <v>40</v>
      </c>
    </row>
    <row r="42" spans="1:37">
      <c r="A42" t="s">
        <v>82</v>
      </c>
      <c r="B42" t="s">
        <v>221</v>
      </c>
      <c r="C42" t="s">
        <v>222</v>
      </c>
      <c r="D42">
        <v>42400</v>
      </c>
      <c r="E42" t="s">
        <v>223</v>
      </c>
      <c r="F42">
        <v>15236</v>
      </c>
      <c r="G42">
        <v>1058</v>
      </c>
      <c r="I42">
        <v>2588</v>
      </c>
      <c r="J42">
        <v>0</v>
      </c>
      <c r="K42">
        <v>0</v>
      </c>
      <c r="L42">
        <v>9523</v>
      </c>
      <c r="M42">
        <v>0</v>
      </c>
      <c r="N42">
        <v>0</v>
      </c>
      <c r="O42">
        <v>0</v>
      </c>
      <c r="P42">
        <v>635</v>
      </c>
      <c r="R42">
        <v>0</v>
      </c>
      <c r="S42">
        <v>0</v>
      </c>
      <c r="T42" t="s">
        <v>86</v>
      </c>
      <c r="U42">
        <v>6</v>
      </c>
      <c r="V42" t="s">
        <v>145</v>
      </c>
      <c r="W42" t="s">
        <v>88</v>
      </c>
      <c r="X42" t="s">
        <v>89</v>
      </c>
      <c r="Y42" t="s">
        <v>89</v>
      </c>
      <c r="Z42">
        <v>2</v>
      </c>
      <c r="AA42">
        <f>IF(AND(D42&gt;=配装计算器!$I$29,D42&lt;=配装计算器!$I$30),1,0)</f>
        <v>1</v>
      </c>
      <c r="AB42">
        <f t="shared" si="1"/>
        <v>0</v>
      </c>
      <c r="AC42">
        <f t="shared" si="2"/>
        <v>0</v>
      </c>
      <c r="AD42">
        <f t="shared" si="3"/>
        <v>1</v>
      </c>
      <c r="AE42">
        <f t="shared" si="4"/>
        <v>0</v>
      </c>
      <c r="AF42">
        <f t="shared" si="5"/>
        <v>0</v>
      </c>
      <c r="AG42">
        <f t="shared" si="6"/>
        <v>0</v>
      </c>
      <c r="AH42">
        <f t="shared" si="7"/>
        <v>1</v>
      </c>
      <c r="AI42">
        <f t="shared" si="8"/>
        <v>0</v>
      </c>
      <c r="AJ42">
        <f t="shared" si="9"/>
        <v>1</v>
      </c>
      <c r="AK42">
        <f>SUM(AJ$2:$AJ42)</f>
        <v>41</v>
      </c>
    </row>
    <row r="43" spans="1:37">
      <c r="A43" t="s">
        <v>224</v>
      </c>
      <c r="B43" t="s">
        <v>225</v>
      </c>
      <c r="C43" t="s">
        <v>226</v>
      </c>
      <c r="D43">
        <v>30200</v>
      </c>
      <c r="E43" t="s">
        <v>227</v>
      </c>
      <c r="F43">
        <v>11606</v>
      </c>
      <c r="G43">
        <v>879</v>
      </c>
      <c r="I43">
        <v>1434</v>
      </c>
      <c r="J43">
        <v>0</v>
      </c>
      <c r="K43">
        <v>0</v>
      </c>
      <c r="L43">
        <v>0</v>
      </c>
      <c r="M43">
        <v>0</v>
      </c>
      <c r="N43">
        <v>0</v>
      </c>
      <c r="O43">
        <v>7913</v>
      </c>
      <c r="P43">
        <v>3165</v>
      </c>
      <c r="R43">
        <v>0</v>
      </c>
      <c r="S43">
        <v>0</v>
      </c>
      <c r="T43" t="s">
        <v>228</v>
      </c>
      <c r="U43">
        <v>6</v>
      </c>
      <c r="V43" t="s">
        <v>87</v>
      </c>
      <c r="W43" t="s">
        <v>229</v>
      </c>
      <c r="X43" t="s">
        <v>88</v>
      </c>
      <c r="Y43" t="s">
        <v>89</v>
      </c>
      <c r="Z43">
        <v>2</v>
      </c>
      <c r="AA43">
        <f>IF(AND(D43&gt;=配装计算器!$I$29,D43&lt;=配装计算器!$I$30),1,0)</f>
        <v>1</v>
      </c>
      <c r="AB43">
        <f t="shared" si="1"/>
        <v>0</v>
      </c>
      <c r="AC43">
        <f t="shared" si="2"/>
        <v>0</v>
      </c>
      <c r="AD43">
        <f t="shared" si="3"/>
        <v>0</v>
      </c>
      <c r="AE43">
        <f t="shared" si="4"/>
        <v>0</v>
      </c>
      <c r="AF43">
        <f t="shared" si="5"/>
        <v>0</v>
      </c>
      <c r="AG43">
        <f t="shared" si="6"/>
        <v>1</v>
      </c>
      <c r="AH43">
        <f t="shared" si="7"/>
        <v>1</v>
      </c>
      <c r="AI43">
        <f t="shared" si="8"/>
        <v>0</v>
      </c>
      <c r="AJ43">
        <f t="shared" si="9"/>
        <v>1</v>
      </c>
      <c r="AK43">
        <f>SUM(AJ$2:$AJ43)</f>
        <v>42</v>
      </c>
    </row>
    <row r="44" spans="1:37">
      <c r="A44" t="s">
        <v>224</v>
      </c>
      <c r="B44" t="s">
        <v>230</v>
      </c>
      <c r="C44" t="s">
        <v>231</v>
      </c>
      <c r="D44">
        <v>30200</v>
      </c>
      <c r="E44" t="s">
        <v>232</v>
      </c>
      <c r="F44">
        <v>11606</v>
      </c>
      <c r="G44">
        <v>879</v>
      </c>
      <c r="I44">
        <v>1434</v>
      </c>
      <c r="J44">
        <v>7913</v>
      </c>
      <c r="K44">
        <v>0</v>
      </c>
      <c r="L44">
        <v>0</v>
      </c>
      <c r="M44">
        <v>0</v>
      </c>
      <c r="N44">
        <v>0</v>
      </c>
      <c r="O44">
        <v>0</v>
      </c>
      <c r="P44">
        <v>3165</v>
      </c>
      <c r="R44">
        <v>0</v>
      </c>
      <c r="S44">
        <v>0</v>
      </c>
      <c r="T44" t="s">
        <v>93</v>
      </c>
      <c r="U44">
        <v>6</v>
      </c>
      <c r="V44" t="s">
        <v>87</v>
      </c>
      <c r="W44" t="s">
        <v>88</v>
      </c>
      <c r="X44" t="s">
        <v>233</v>
      </c>
      <c r="Y44" t="s">
        <v>89</v>
      </c>
      <c r="Z44">
        <v>2</v>
      </c>
      <c r="AA44">
        <f>IF(AND(D44&gt;=配装计算器!$I$29,D44&lt;=配装计算器!$I$30),1,0)</f>
        <v>1</v>
      </c>
      <c r="AB44">
        <f t="shared" si="1"/>
        <v>1</v>
      </c>
      <c r="AC44">
        <f t="shared" si="2"/>
        <v>0</v>
      </c>
      <c r="AD44">
        <f t="shared" si="3"/>
        <v>0</v>
      </c>
      <c r="AE44">
        <f t="shared" si="4"/>
        <v>0</v>
      </c>
      <c r="AF44">
        <f t="shared" si="5"/>
        <v>0</v>
      </c>
      <c r="AG44">
        <f t="shared" si="6"/>
        <v>0</v>
      </c>
      <c r="AH44">
        <f t="shared" si="7"/>
        <v>1</v>
      </c>
      <c r="AI44">
        <f t="shared" si="8"/>
        <v>0</v>
      </c>
      <c r="AJ44">
        <f t="shared" si="9"/>
        <v>1</v>
      </c>
      <c r="AK44">
        <f>SUM(AJ$2:$AJ44)</f>
        <v>43</v>
      </c>
    </row>
    <row r="45" spans="1:37">
      <c r="A45" t="s">
        <v>224</v>
      </c>
      <c r="B45" t="s">
        <v>234</v>
      </c>
      <c r="C45" t="s">
        <v>235</v>
      </c>
      <c r="D45">
        <v>30200</v>
      </c>
      <c r="E45" t="s">
        <v>236</v>
      </c>
      <c r="F45">
        <v>11606</v>
      </c>
      <c r="G45">
        <v>879</v>
      </c>
      <c r="I45">
        <v>1434</v>
      </c>
      <c r="J45">
        <v>7913</v>
      </c>
      <c r="K45">
        <v>0</v>
      </c>
      <c r="L45">
        <v>0</v>
      </c>
      <c r="M45">
        <v>0</v>
      </c>
      <c r="N45">
        <v>0</v>
      </c>
      <c r="O45">
        <v>0</v>
      </c>
      <c r="P45">
        <v>3165</v>
      </c>
      <c r="R45">
        <v>0</v>
      </c>
      <c r="S45">
        <v>0</v>
      </c>
      <c r="T45" t="s">
        <v>93</v>
      </c>
      <c r="U45">
        <v>6</v>
      </c>
      <c r="V45" t="s">
        <v>98</v>
      </c>
      <c r="W45" t="s">
        <v>88</v>
      </c>
      <c r="X45" t="s">
        <v>233</v>
      </c>
      <c r="Y45" t="s">
        <v>89</v>
      </c>
      <c r="Z45">
        <v>2</v>
      </c>
      <c r="AA45">
        <f>IF(AND(D45&gt;=配装计算器!$I$29,D45&lt;=配装计算器!$I$30),1,0)</f>
        <v>1</v>
      </c>
      <c r="AB45">
        <f t="shared" si="1"/>
        <v>1</v>
      </c>
      <c r="AC45">
        <f t="shared" si="2"/>
        <v>0</v>
      </c>
      <c r="AD45">
        <f t="shared" si="3"/>
        <v>0</v>
      </c>
      <c r="AE45">
        <f t="shared" si="4"/>
        <v>0</v>
      </c>
      <c r="AF45">
        <f t="shared" si="5"/>
        <v>0</v>
      </c>
      <c r="AG45">
        <f t="shared" si="6"/>
        <v>0</v>
      </c>
      <c r="AH45">
        <f t="shared" si="7"/>
        <v>1</v>
      </c>
      <c r="AI45">
        <f t="shared" si="8"/>
        <v>0</v>
      </c>
      <c r="AJ45">
        <f t="shared" si="9"/>
        <v>1</v>
      </c>
      <c r="AK45">
        <f>SUM(AJ$2:$AJ45)</f>
        <v>44</v>
      </c>
    </row>
    <row r="46" spans="1:37">
      <c r="A46" t="s">
        <v>224</v>
      </c>
      <c r="B46" t="s">
        <v>237</v>
      </c>
      <c r="C46" t="s">
        <v>238</v>
      </c>
      <c r="D46">
        <v>30200</v>
      </c>
      <c r="E46" t="s">
        <v>239</v>
      </c>
      <c r="F46">
        <v>11606</v>
      </c>
      <c r="G46">
        <v>947</v>
      </c>
      <c r="I46">
        <v>2150</v>
      </c>
      <c r="J46">
        <v>0</v>
      </c>
      <c r="K46">
        <v>0</v>
      </c>
      <c r="L46">
        <v>0</v>
      </c>
      <c r="M46">
        <v>7913</v>
      </c>
      <c r="N46">
        <v>6330</v>
      </c>
      <c r="O46">
        <v>0</v>
      </c>
      <c r="P46">
        <v>0</v>
      </c>
      <c r="R46">
        <v>0</v>
      </c>
      <c r="S46">
        <v>0</v>
      </c>
      <c r="T46" t="s">
        <v>107</v>
      </c>
      <c r="U46">
        <v>6</v>
      </c>
      <c r="V46" t="s">
        <v>240</v>
      </c>
      <c r="W46" t="s">
        <v>135</v>
      </c>
      <c r="X46" t="s">
        <v>154</v>
      </c>
      <c r="Y46" t="s">
        <v>89</v>
      </c>
      <c r="Z46">
        <v>1</v>
      </c>
      <c r="AA46">
        <f>IF(AND(D46&gt;=配装计算器!$I$29,D46&lt;=配装计算器!$I$30),1,0)</f>
        <v>1</v>
      </c>
      <c r="AB46">
        <f t="shared" si="1"/>
        <v>0</v>
      </c>
      <c r="AC46">
        <f t="shared" si="2"/>
        <v>0</v>
      </c>
      <c r="AD46">
        <f t="shared" si="3"/>
        <v>0</v>
      </c>
      <c r="AE46">
        <f t="shared" si="4"/>
        <v>1</v>
      </c>
      <c r="AF46">
        <f t="shared" si="5"/>
        <v>1</v>
      </c>
      <c r="AG46">
        <f t="shared" si="6"/>
        <v>0</v>
      </c>
      <c r="AH46">
        <f t="shared" si="7"/>
        <v>0</v>
      </c>
      <c r="AI46">
        <f t="shared" si="8"/>
        <v>0</v>
      </c>
      <c r="AJ46">
        <f t="shared" si="9"/>
        <v>1</v>
      </c>
      <c r="AK46">
        <f>SUM(AJ$2:$AJ46)</f>
        <v>45</v>
      </c>
    </row>
    <row r="47" spans="1:37">
      <c r="A47" t="s">
        <v>224</v>
      </c>
      <c r="B47" t="s">
        <v>241</v>
      </c>
      <c r="C47" t="s">
        <v>242</v>
      </c>
      <c r="D47">
        <v>30200</v>
      </c>
      <c r="E47" t="s">
        <v>243</v>
      </c>
      <c r="F47">
        <v>11606</v>
      </c>
      <c r="G47">
        <v>947</v>
      </c>
      <c r="I47">
        <v>2150</v>
      </c>
      <c r="J47">
        <v>0</v>
      </c>
      <c r="K47">
        <v>0</v>
      </c>
      <c r="L47">
        <v>0</v>
      </c>
      <c r="M47">
        <v>7913</v>
      </c>
      <c r="N47">
        <v>6330</v>
      </c>
      <c r="O47">
        <v>0</v>
      </c>
      <c r="P47">
        <v>0</v>
      </c>
      <c r="R47">
        <v>0</v>
      </c>
      <c r="S47">
        <v>0</v>
      </c>
      <c r="T47" t="s">
        <v>107</v>
      </c>
      <c r="U47">
        <v>6</v>
      </c>
      <c r="V47" t="s">
        <v>103</v>
      </c>
      <c r="W47" t="s">
        <v>135</v>
      </c>
      <c r="X47" t="s">
        <v>154</v>
      </c>
      <c r="Y47" t="s">
        <v>89</v>
      </c>
      <c r="Z47">
        <v>1</v>
      </c>
      <c r="AA47">
        <f>IF(AND(D47&gt;=配装计算器!$I$29,D47&lt;=配装计算器!$I$30),1,0)</f>
        <v>1</v>
      </c>
      <c r="AB47">
        <f t="shared" si="1"/>
        <v>0</v>
      </c>
      <c r="AC47">
        <f t="shared" si="2"/>
        <v>0</v>
      </c>
      <c r="AD47">
        <f t="shared" si="3"/>
        <v>0</v>
      </c>
      <c r="AE47">
        <f t="shared" si="4"/>
        <v>1</v>
      </c>
      <c r="AF47">
        <f t="shared" si="5"/>
        <v>1</v>
      </c>
      <c r="AG47">
        <f t="shared" si="6"/>
        <v>0</v>
      </c>
      <c r="AH47">
        <f t="shared" si="7"/>
        <v>0</v>
      </c>
      <c r="AI47">
        <f t="shared" si="8"/>
        <v>0</v>
      </c>
      <c r="AJ47">
        <f t="shared" si="9"/>
        <v>1</v>
      </c>
      <c r="AK47">
        <f>SUM(AJ$2:$AJ47)</f>
        <v>46</v>
      </c>
    </row>
    <row r="48" spans="1:37">
      <c r="A48" t="s">
        <v>224</v>
      </c>
      <c r="B48" t="s">
        <v>244</v>
      </c>
      <c r="C48" t="s">
        <v>245</v>
      </c>
      <c r="D48">
        <v>30200</v>
      </c>
      <c r="E48" t="s">
        <v>246</v>
      </c>
      <c r="F48">
        <v>11606</v>
      </c>
      <c r="G48">
        <v>947</v>
      </c>
      <c r="I48">
        <v>2150</v>
      </c>
      <c r="J48">
        <v>0</v>
      </c>
      <c r="K48">
        <v>0</v>
      </c>
      <c r="L48">
        <v>0</v>
      </c>
      <c r="M48">
        <v>7913</v>
      </c>
      <c r="N48">
        <v>6330</v>
      </c>
      <c r="O48">
        <v>0</v>
      </c>
      <c r="P48">
        <v>0</v>
      </c>
      <c r="R48">
        <v>0</v>
      </c>
      <c r="S48">
        <v>0</v>
      </c>
      <c r="T48" t="s">
        <v>107</v>
      </c>
      <c r="U48">
        <v>6</v>
      </c>
      <c r="V48" t="s">
        <v>87</v>
      </c>
      <c r="W48" t="s">
        <v>135</v>
      </c>
      <c r="X48" t="s">
        <v>154</v>
      </c>
      <c r="Y48" t="s">
        <v>89</v>
      </c>
      <c r="Z48">
        <v>1</v>
      </c>
      <c r="AA48">
        <f>IF(AND(D48&gt;=配装计算器!$I$29,D48&lt;=配装计算器!$I$30),1,0)</f>
        <v>1</v>
      </c>
      <c r="AB48">
        <f t="shared" si="1"/>
        <v>0</v>
      </c>
      <c r="AC48">
        <f t="shared" si="2"/>
        <v>0</v>
      </c>
      <c r="AD48">
        <f t="shared" si="3"/>
        <v>0</v>
      </c>
      <c r="AE48">
        <f t="shared" si="4"/>
        <v>1</v>
      </c>
      <c r="AF48">
        <f t="shared" si="5"/>
        <v>1</v>
      </c>
      <c r="AG48">
        <f t="shared" si="6"/>
        <v>0</v>
      </c>
      <c r="AH48">
        <f t="shared" si="7"/>
        <v>0</v>
      </c>
      <c r="AI48">
        <f t="shared" si="8"/>
        <v>0</v>
      </c>
      <c r="AJ48">
        <f t="shared" si="9"/>
        <v>1</v>
      </c>
      <c r="AK48">
        <f>SUM(AJ$2:$AJ48)</f>
        <v>47</v>
      </c>
    </row>
    <row r="49" spans="1:37">
      <c r="A49" t="s">
        <v>224</v>
      </c>
      <c r="B49" t="s">
        <v>247</v>
      </c>
      <c r="C49" t="s">
        <v>248</v>
      </c>
      <c r="D49">
        <v>30200</v>
      </c>
      <c r="E49" t="s">
        <v>249</v>
      </c>
      <c r="F49">
        <v>11606</v>
      </c>
      <c r="G49">
        <v>947</v>
      </c>
      <c r="I49">
        <v>2150</v>
      </c>
      <c r="J49">
        <v>0</v>
      </c>
      <c r="K49">
        <v>0</v>
      </c>
      <c r="L49">
        <v>0</v>
      </c>
      <c r="M49">
        <v>0</v>
      </c>
      <c r="N49">
        <v>6330</v>
      </c>
      <c r="O49">
        <v>7913</v>
      </c>
      <c r="P49">
        <v>0</v>
      </c>
      <c r="R49">
        <v>0</v>
      </c>
      <c r="S49">
        <v>0</v>
      </c>
      <c r="T49" t="s">
        <v>115</v>
      </c>
      <c r="U49">
        <v>6</v>
      </c>
      <c r="V49" t="s">
        <v>87</v>
      </c>
      <c r="W49" t="s">
        <v>135</v>
      </c>
      <c r="X49" t="s">
        <v>88</v>
      </c>
      <c r="Y49" t="s">
        <v>89</v>
      </c>
      <c r="Z49">
        <v>1</v>
      </c>
      <c r="AA49">
        <f>IF(AND(D49&gt;=配装计算器!$I$29,D49&lt;=配装计算器!$I$30),1,0)</f>
        <v>1</v>
      </c>
      <c r="AB49">
        <f t="shared" si="1"/>
        <v>0</v>
      </c>
      <c r="AC49">
        <f t="shared" si="2"/>
        <v>0</v>
      </c>
      <c r="AD49">
        <f t="shared" si="3"/>
        <v>0</v>
      </c>
      <c r="AE49">
        <f t="shared" si="4"/>
        <v>0</v>
      </c>
      <c r="AF49">
        <f t="shared" si="5"/>
        <v>1</v>
      </c>
      <c r="AG49">
        <f t="shared" si="6"/>
        <v>1</v>
      </c>
      <c r="AH49">
        <f t="shared" si="7"/>
        <v>0</v>
      </c>
      <c r="AI49">
        <f t="shared" si="8"/>
        <v>0</v>
      </c>
      <c r="AJ49">
        <f t="shared" si="9"/>
        <v>1</v>
      </c>
      <c r="AK49">
        <f>SUM(AJ$2:$AJ49)</f>
        <v>48</v>
      </c>
    </row>
    <row r="50" spans="1:37">
      <c r="A50" t="s">
        <v>224</v>
      </c>
      <c r="B50" t="s">
        <v>250</v>
      </c>
      <c r="C50" t="s">
        <v>251</v>
      </c>
      <c r="D50">
        <v>30200</v>
      </c>
      <c r="E50" t="s">
        <v>252</v>
      </c>
      <c r="F50">
        <v>11606</v>
      </c>
      <c r="G50">
        <v>947</v>
      </c>
      <c r="I50">
        <v>2150</v>
      </c>
      <c r="J50">
        <v>0</v>
      </c>
      <c r="K50">
        <v>0</v>
      </c>
      <c r="L50">
        <v>0</v>
      </c>
      <c r="M50">
        <v>0</v>
      </c>
      <c r="N50">
        <v>6330</v>
      </c>
      <c r="O50">
        <v>7913</v>
      </c>
      <c r="P50">
        <v>0</v>
      </c>
      <c r="R50">
        <v>0</v>
      </c>
      <c r="S50">
        <v>0</v>
      </c>
      <c r="T50" t="s">
        <v>115</v>
      </c>
      <c r="U50">
        <v>6</v>
      </c>
      <c r="V50" t="s">
        <v>87</v>
      </c>
      <c r="W50" t="s">
        <v>135</v>
      </c>
      <c r="X50" t="s">
        <v>88</v>
      </c>
      <c r="Y50" t="s">
        <v>89</v>
      </c>
      <c r="Z50">
        <v>1</v>
      </c>
      <c r="AA50">
        <f>IF(AND(D50&gt;=配装计算器!$I$29,D50&lt;=配装计算器!$I$30),1,0)</f>
        <v>1</v>
      </c>
      <c r="AB50">
        <f t="shared" si="1"/>
        <v>0</v>
      </c>
      <c r="AC50">
        <f t="shared" si="2"/>
        <v>0</v>
      </c>
      <c r="AD50">
        <f t="shared" si="3"/>
        <v>0</v>
      </c>
      <c r="AE50">
        <f t="shared" si="4"/>
        <v>0</v>
      </c>
      <c r="AF50">
        <f t="shared" si="5"/>
        <v>1</v>
      </c>
      <c r="AG50">
        <f t="shared" si="6"/>
        <v>1</v>
      </c>
      <c r="AH50">
        <f t="shared" si="7"/>
        <v>0</v>
      </c>
      <c r="AI50">
        <f t="shared" si="8"/>
        <v>0</v>
      </c>
      <c r="AJ50">
        <f t="shared" si="9"/>
        <v>1</v>
      </c>
      <c r="AK50">
        <f>SUM(AJ$2:$AJ50)</f>
        <v>49</v>
      </c>
    </row>
    <row r="51" spans="1:37">
      <c r="A51" t="s">
        <v>224</v>
      </c>
      <c r="B51" t="s">
        <v>253</v>
      </c>
      <c r="C51" t="s">
        <v>254</v>
      </c>
      <c r="D51">
        <v>30200</v>
      </c>
      <c r="E51" t="s">
        <v>255</v>
      </c>
      <c r="F51">
        <v>11606</v>
      </c>
      <c r="G51">
        <v>947</v>
      </c>
      <c r="I51">
        <v>2150</v>
      </c>
      <c r="J51">
        <v>0</v>
      </c>
      <c r="K51">
        <v>0</v>
      </c>
      <c r="L51">
        <v>7913</v>
      </c>
      <c r="M51">
        <v>0</v>
      </c>
      <c r="N51">
        <v>6330</v>
      </c>
      <c r="O51">
        <v>0</v>
      </c>
      <c r="P51">
        <v>0</v>
      </c>
      <c r="R51">
        <v>0</v>
      </c>
      <c r="S51">
        <v>0</v>
      </c>
      <c r="T51" t="s">
        <v>122</v>
      </c>
      <c r="U51">
        <v>6</v>
      </c>
      <c r="V51" t="s">
        <v>87</v>
      </c>
      <c r="W51" t="s">
        <v>108</v>
      </c>
      <c r="X51" t="s">
        <v>88</v>
      </c>
      <c r="Y51" t="s">
        <v>89</v>
      </c>
      <c r="Z51">
        <v>1</v>
      </c>
      <c r="AA51">
        <f>IF(AND(D51&gt;=配装计算器!$I$29,D51&lt;=配装计算器!$I$30),1,0)</f>
        <v>1</v>
      </c>
      <c r="AB51">
        <f t="shared" si="1"/>
        <v>0</v>
      </c>
      <c r="AC51">
        <f t="shared" si="2"/>
        <v>0</v>
      </c>
      <c r="AD51">
        <f t="shared" si="3"/>
        <v>1</v>
      </c>
      <c r="AE51">
        <f t="shared" si="4"/>
        <v>0</v>
      </c>
      <c r="AF51">
        <f t="shared" si="5"/>
        <v>1</v>
      </c>
      <c r="AG51">
        <f t="shared" si="6"/>
        <v>0</v>
      </c>
      <c r="AH51">
        <f t="shared" si="7"/>
        <v>0</v>
      </c>
      <c r="AI51">
        <f t="shared" si="8"/>
        <v>0</v>
      </c>
      <c r="AJ51">
        <f t="shared" si="9"/>
        <v>1</v>
      </c>
      <c r="AK51">
        <f>SUM(AJ$2:$AJ51)</f>
        <v>50</v>
      </c>
    </row>
    <row r="52" spans="1:37">
      <c r="A52" t="s">
        <v>224</v>
      </c>
      <c r="B52" t="s">
        <v>256</v>
      </c>
      <c r="C52" t="s">
        <v>257</v>
      </c>
      <c r="D52">
        <v>30200</v>
      </c>
      <c r="E52" t="s">
        <v>258</v>
      </c>
      <c r="F52">
        <v>11606</v>
      </c>
      <c r="G52">
        <v>947</v>
      </c>
      <c r="I52">
        <v>2150</v>
      </c>
      <c r="J52">
        <v>0</v>
      </c>
      <c r="K52">
        <v>0</v>
      </c>
      <c r="L52">
        <v>7913</v>
      </c>
      <c r="M52">
        <v>0</v>
      </c>
      <c r="N52">
        <v>6330</v>
      </c>
      <c r="O52">
        <v>0</v>
      </c>
      <c r="P52">
        <v>0</v>
      </c>
      <c r="R52">
        <v>0</v>
      </c>
      <c r="S52">
        <v>0</v>
      </c>
      <c r="T52" t="s">
        <v>122</v>
      </c>
      <c r="U52">
        <v>6</v>
      </c>
      <c r="V52" t="s">
        <v>87</v>
      </c>
      <c r="W52" t="s">
        <v>108</v>
      </c>
      <c r="X52" t="s">
        <v>88</v>
      </c>
      <c r="Y52" t="s">
        <v>89</v>
      </c>
      <c r="Z52">
        <v>1</v>
      </c>
      <c r="AA52">
        <f>IF(AND(D52&gt;=配装计算器!$I$29,D52&lt;=配装计算器!$I$30),1,0)</f>
        <v>1</v>
      </c>
      <c r="AB52">
        <f t="shared" si="1"/>
        <v>0</v>
      </c>
      <c r="AC52">
        <f t="shared" si="2"/>
        <v>0</v>
      </c>
      <c r="AD52">
        <f t="shared" si="3"/>
        <v>1</v>
      </c>
      <c r="AE52">
        <f t="shared" si="4"/>
        <v>0</v>
      </c>
      <c r="AF52">
        <f t="shared" si="5"/>
        <v>1</v>
      </c>
      <c r="AG52">
        <f t="shared" si="6"/>
        <v>0</v>
      </c>
      <c r="AH52">
        <f t="shared" si="7"/>
        <v>0</v>
      </c>
      <c r="AI52">
        <f t="shared" si="8"/>
        <v>0</v>
      </c>
      <c r="AJ52">
        <f t="shared" si="9"/>
        <v>1</v>
      </c>
      <c r="AK52">
        <f>SUM(AJ$2:$AJ52)</f>
        <v>51</v>
      </c>
    </row>
    <row r="53" spans="1:37">
      <c r="A53" t="s">
        <v>224</v>
      </c>
      <c r="B53" t="s">
        <v>259</v>
      </c>
      <c r="C53" t="s">
        <v>260</v>
      </c>
      <c r="D53">
        <v>30200</v>
      </c>
      <c r="E53" t="s">
        <v>261</v>
      </c>
      <c r="F53">
        <v>11606</v>
      </c>
      <c r="G53">
        <v>947</v>
      </c>
      <c r="I53">
        <v>2150</v>
      </c>
      <c r="J53">
        <v>7913</v>
      </c>
      <c r="K53">
        <v>0</v>
      </c>
      <c r="L53">
        <v>0</v>
      </c>
      <c r="M53">
        <v>0</v>
      </c>
      <c r="N53">
        <v>6330</v>
      </c>
      <c r="O53">
        <v>0</v>
      </c>
      <c r="P53">
        <v>0</v>
      </c>
      <c r="R53">
        <v>0</v>
      </c>
      <c r="S53">
        <v>0</v>
      </c>
      <c r="T53" t="s">
        <v>102</v>
      </c>
      <c r="U53">
        <v>6</v>
      </c>
      <c r="V53" t="s">
        <v>262</v>
      </c>
      <c r="W53" t="s">
        <v>94</v>
      </c>
      <c r="X53" t="s">
        <v>123</v>
      </c>
      <c r="Y53" t="s">
        <v>89</v>
      </c>
      <c r="Z53">
        <v>1</v>
      </c>
      <c r="AA53">
        <f>IF(AND(D53&gt;=配装计算器!$I$29,D53&lt;=配装计算器!$I$30),1,0)</f>
        <v>1</v>
      </c>
      <c r="AB53">
        <f t="shared" si="1"/>
        <v>1</v>
      </c>
      <c r="AC53">
        <f t="shared" si="2"/>
        <v>0</v>
      </c>
      <c r="AD53">
        <f t="shared" si="3"/>
        <v>0</v>
      </c>
      <c r="AE53">
        <f t="shared" si="4"/>
        <v>0</v>
      </c>
      <c r="AF53">
        <f t="shared" si="5"/>
        <v>1</v>
      </c>
      <c r="AG53">
        <f t="shared" si="6"/>
        <v>0</v>
      </c>
      <c r="AH53">
        <f t="shared" si="7"/>
        <v>0</v>
      </c>
      <c r="AI53">
        <f t="shared" si="8"/>
        <v>0</v>
      </c>
      <c r="AJ53">
        <f t="shared" si="9"/>
        <v>1</v>
      </c>
      <c r="AK53">
        <f>SUM(AJ$2:$AJ53)</f>
        <v>52</v>
      </c>
    </row>
    <row r="54" spans="1:37">
      <c r="A54" t="s">
        <v>224</v>
      </c>
      <c r="B54" t="s">
        <v>263</v>
      </c>
      <c r="C54" t="s">
        <v>264</v>
      </c>
      <c r="D54">
        <v>30200</v>
      </c>
      <c r="E54" t="s">
        <v>265</v>
      </c>
      <c r="F54">
        <v>11606</v>
      </c>
      <c r="G54">
        <v>947</v>
      </c>
      <c r="I54">
        <v>2150</v>
      </c>
      <c r="J54">
        <v>7913</v>
      </c>
      <c r="K54">
        <v>0</v>
      </c>
      <c r="L54">
        <v>0</v>
      </c>
      <c r="M54">
        <v>0</v>
      </c>
      <c r="N54">
        <v>6330</v>
      </c>
      <c r="O54">
        <v>0</v>
      </c>
      <c r="P54">
        <v>0</v>
      </c>
      <c r="R54">
        <v>0</v>
      </c>
      <c r="S54">
        <v>0</v>
      </c>
      <c r="T54" t="s">
        <v>102</v>
      </c>
      <c r="U54">
        <v>6</v>
      </c>
      <c r="V54" t="s">
        <v>130</v>
      </c>
      <c r="W54" t="s">
        <v>94</v>
      </c>
      <c r="X54" t="s">
        <v>123</v>
      </c>
      <c r="Y54" t="s">
        <v>89</v>
      </c>
      <c r="Z54">
        <v>1</v>
      </c>
      <c r="AA54">
        <f>IF(AND(D54&gt;=配装计算器!$I$29,D54&lt;=配装计算器!$I$30),1,0)</f>
        <v>1</v>
      </c>
      <c r="AB54">
        <f t="shared" si="1"/>
        <v>1</v>
      </c>
      <c r="AC54">
        <f t="shared" si="2"/>
        <v>0</v>
      </c>
      <c r="AD54">
        <f t="shared" si="3"/>
        <v>0</v>
      </c>
      <c r="AE54">
        <f t="shared" si="4"/>
        <v>0</v>
      </c>
      <c r="AF54">
        <f t="shared" si="5"/>
        <v>1</v>
      </c>
      <c r="AG54">
        <f t="shared" si="6"/>
        <v>0</v>
      </c>
      <c r="AH54">
        <f t="shared" si="7"/>
        <v>0</v>
      </c>
      <c r="AI54">
        <f t="shared" si="8"/>
        <v>0</v>
      </c>
      <c r="AJ54">
        <f t="shared" si="9"/>
        <v>1</v>
      </c>
      <c r="AK54">
        <f>SUM(AJ$2:$AJ54)</f>
        <v>53</v>
      </c>
    </row>
    <row r="55" spans="1:37">
      <c r="A55" t="s">
        <v>224</v>
      </c>
      <c r="B55" t="s">
        <v>266</v>
      </c>
      <c r="C55" t="s">
        <v>267</v>
      </c>
      <c r="D55">
        <v>30200</v>
      </c>
      <c r="E55" t="s">
        <v>268</v>
      </c>
      <c r="F55">
        <v>11606</v>
      </c>
      <c r="G55">
        <v>947</v>
      </c>
      <c r="I55">
        <v>2150</v>
      </c>
      <c r="J55">
        <v>0</v>
      </c>
      <c r="K55">
        <v>0</v>
      </c>
      <c r="L55">
        <v>0</v>
      </c>
      <c r="M55">
        <v>7913</v>
      </c>
      <c r="N55">
        <v>6330</v>
      </c>
      <c r="O55">
        <v>0</v>
      </c>
      <c r="P55">
        <v>0</v>
      </c>
      <c r="R55">
        <v>0</v>
      </c>
      <c r="S55">
        <v>0</v>
      </c>
      <c r="T55" t="s">
        <v>107</v>
      </c>
      <c r="U55">
        <v>6</v>
      </c>
      <c r="V55" t="s">
        <v>269</v>
      </c>
      <c r="W55" t="s">
        <v>135</v>
      </c>
      <c r="X55" t="s">
        <v>154</v>
      </c>
      <c r="Y55" t="s">
        <v>89</v>
      </c>
      <c r="Z55">
        <v>1</v>
      </c>
      <c r="AA55">
        <f>IF(AND(D55&gt;=配装计算器!$I$29,D55&lt;=配装计算器!$I$30),1,0)</f>
        <v>1</v>
      </c>
      <c r="AB55">
        <f t="shared" si="1"/>
        <v>0</v>
      </c>
      <c r="AC55">
        <f t="shared" si="2"/>
        <v>0</v>
      </c>
      <c r="AD55">
        <f t="shared" si="3"/>
        <v>0</v>
      </c>
      <c r="AE55">
        <f t="shared" si="4"/>
        <v>1</v>
      </c>
      <c r="AF55">
        <f t="shared" si="5"/>
        <v>1</v>
      </c>
      <c r="AG55">
        <f t="shared" si="6"/>
        <v>0</v>
      </c>
      <c r="AH55">
        <f t="shared" si="7"/>
        <v>0</v>
      </c>
      <c r="AI55">
        <f t="shared" si="8"/>
        <v>0</v>
      </c>
      <c r="AJ55">
        <f t="shared" si="9"/>
        <v>1</v>
      </c>
      <c r="AK55">
        <f>SUM(AJ$2:$AJ55)</f>
        <v>54</v>
      </c>
    </row>
    <row r="56" spans="1:37">
      <c r="A56" t="s">
        <v>224</v>
      </c>
      <c r="B56" t="s">
        <v>270</v>
      </c>
      <c r="C56" t="s">
        <v>271</v>
      </c>
      <c r="D56">
        <v>30200</v>
      </c>
      <c r="E56" t="s">
        <v>272</v>
      </c>
      <c r="F56">
        <v>11606</v>
      </c>
      <c r="G56">
        <v>0</v>
      </c>
      <c r="I56">
        <v>1434</v>
      </c>
      <c r="J56">
        <v>0</v>
      </c>
      <c r="K56">
        <v>0</v>
      </c>
      <c r="L56">
        <v>0</v>
      </c>
      <c r="M56">
        <v>20574</v>
      </c>
      <c r="N56">
        <v>6330</v>
      </c>
      <c r="O56">
        <v>0</v>
      </c>
      <c r="P56">
        <v>0</v>
      </c>
      <c r="R56">
        <v>0</v>
      </c>
      <c r="S56">
        <v>0</v>
      </c>
      <c r="T56" t="s">
        <v>198</v>
      </c>
      <c r="U56">
        <v>6</v>
      </c>
      <c r="V56" t="s">
        <v>87</v>
      </c>
      <c r="W56" t="s">
        <v>94</v>
      </c>
      <c r="X56" t="s">
        <v>108</v>
      </c>
      <c r="Y56" t="s">
        <v>89</v>
      </c>
      <c r="Z56">
        <v>1</v>
      </c>
      <c r="AA56">
        <f>IF(AND(D56&gt;=配装计算器!$I$29,D56&lt;=配装计算器!$I$30),1,0)</f>
        <v>1</v>
      </c>
      <c r="AB56">
        <f t="shared" si="1"/>
        <v>0</v>
      </c>
      <c r="AC56">
        <f t="shared" si="2"/>
        <v>0</v>
      </c>
      <c r="AD56">
        <f t="shared" si="3"/>
        <v>0</v>
      </c>
      <c r="AE56">
        <f t="shared" si="4"/>
        <v>1</v>
      </c>
      <c r="AF56">
        <f t="shared" si="5"/>
        <v>1</v>
      </c>
      <c r="AG56">
        <f t="shared" si="6"/>
        <v>0</v>
      </c>
      <c r="AH56">
        <f t="shared" si="7"/>
        <v>0</v>
      </c>
      <c r="AI56">
        <f t="shared" si="8"/>
        <v>1</v>
      </c>
      <c r="AJ56">
        <f t="shared" si="9"/>
        <v>1</v>
      </c>
      <c r="AK56">
        <f>SUM(AJ$2:$AJ56)</f>
        <v>55</v>
      </c>
    </row>
    <row r="57" spans="1:37">
      <c r="A57" t="s">
        <v>224</v>
      </c>
      <c r="B57" t="s">
        <v>273</v>
      </c>
      <c r="C57" t="s">
        <v>274</v>
      </c>
      <c r="D57">
        <v>30200</v>
      </c>
      <c r="E57" t="s">
        <v>275</v>
      </c>
      <c r="F57">
        <v>11606</v>
      </c>
      <c r="G57">
        <v>0</v>
      </c>
      <c r="I57">
        <v>4014</v>
      </c>
      <c r="J57">
        <v>0</v>
      </c>
      <c r="K57">
        <v>0</v>
      </c>
      <c r="L57">
        <v>0</v>
      </c>
      <c r="M57">
        <v>15826</v>
      </c>
      <c r="N57">
        <v>0</v>
      </c>
      <c r="O57">
        <v>0</v>
      </c>
      <c r="P57">
        <v>0</v>
      </c>
      <c r="R57">
        <v>0</v>
      </c>
      <c r="S57">
        <v>0</v>
      </c>
      <c r="T57" t="s">
        <v>276</v>
      </c>
      <c r="U57">
        <v>6</v>
      </c>
      <c r="V57" t="s">
        <v>87</v>
      </c>
      <c r="W57" t="s">
        <v>94</v>
      </c>
      <c r="X57" t="s">
        <v>154</v>
      </c>
      <c r="Y57" t="s">
        <v>89</v>
      </c>
      <c r="Z57">
        <v>1</v>
      </c>
      <c r="AA57">
        <f>IF(AND(D57&gt;=配装计算器!$I$29,D57&lt;=配装计算器!$I$30),1,0)</f>
        <v>1</v>
      </c>
      <c r="AB57">
        <f t="shared" si="1"/>
        <v>0</v>
      </c>
      <c r="AC57">
        <f t="shared" si="2"/>
        <v>0</v>
      </c>
      <c r="AD57">
        <f t="shared" si="3"/>
        <v>0</v>
      </c>
      <c r="AE57">
        <f t="shared" si="4"/>
        <v>1</v>
      </c>
      <c r="AF57">
        <f t="shared" si="5"/>
        <v>0</v>
      </c>
      <c r="AG57">
        <f t="shared" si="6"/>
        <v>0</v>
      </c>
      <c r="AH57">
        <f t="shared" si="7"/>
        <v>0</v>
      </c>
      <c r="AI57">
        <f t="shared" si="8"/>
        <v>1</v>
      </c>
      <c r="AJ57">
        <f t="shared" si="9"/>
        <v>1</v>
      </c>
      <c r="AK57">
        <f>SUM(AJ$2:$AJ57)</f>
        <v>56</v>
      </c>
    </row>
    <row r="58" spans="1:37">
      <c r="A58" t="s">
        <v>224</v>
      </c>
      <c r="B58" t="s">
        <v>277</v>
      </c>
      <c r="C58" t="s">
        <v>278</v>
      </c>
      <c r="D58">
        <v>30200</v>
      </c>
      <c r="E58" t="s">
        <v>279</v>
      </c>
      <c r="F58">
        <v>11606</v>
      </c>
      <c r="G58">
        <v>0</v>
      </c>
      <c r="I58">
        <v>1434</v>
      </c>
      <c r="J58">
        <v>0</v>
      </c>
      <c r="K58">
        <v>0</v>
      </c>
      <c r="L58">
        <v>20574</v>
      </c>
      <c r="M58">
        <v>0</v>
      </c>
      <c r="N58">
        <v>6330</v>
      </c>
      <c r="O58">
        <v>0</v>
      </c>
      <c r="P58">
        <v>0</v>
      </c>
      <c r="R58">
        <v>0</v>
      </c>
      <c r="S58">
        <v>0</v>
      </c>
      <c r="T58" t="s">
        <v>153</v>
      </c>
      <c r="U58">
        <v>6</v>
      </c>
      <c r="V58" t="s">
        <v>87</v>
      </c>
      <c r="W58" t="s">
        <v>154</v>
      </c>
      <c r="X58" t="s">
        <v>123</v>
      </c>
      <c r="Y58" t="s">
        <v>89</v>
      </c>
      <c r="Z58">
        <v>1</v>
      </c>
      <c r="AA58">
        <f>IF(AND(D58&gt;=配装计算器!$I$29,D58&lt;=配装计算器!$I$30),1,0)</f>
        <v>1</v>
      </c>
      <c r="AB58">
        <f t="shared" si="1"/>
        <v>0</v>
      </c>
      <c r="AC58">
        <f t="shared" si="2"/>
        <v>0</v>
      </c>
      <c r="AD58">
        <f t="shared" si="3"/>
        <v>1</v>
      </c>
      <c r="AE58">
        <f t="shared" si="4"/>
        <v>0</v>
      </c>
      <c r="AF58">
        <f t="shared" si="5"/>
        <v>1</v>
      </c>
      <c r="AG58">
        <f t="shared" si="6"/>
        <v>0</v>
      </c>
      <c r="AH58">
        <f t="shared" si="7"/>
        <v>0</v>
      </c>
      <c r="AI58">
        <f t="shared" si="8"/>
        <v>1</v>
      </c>
      <c r="AJ58">
        <f t="shared" si="9"/>
        <v>1</v>
      </c>
      <c r="AK58">
        <f>SUM(AJ$2:$AJ58)</f>
        <v>57</v>
      </c>
    </row>
    <row r="59" spans="1:37">
      <c r="A59" t="s">
        <v>224</v>
      </c>
      <c r="B59" t="s">
        <v>280</v>
      </c>
      <c r="C59" t="s">
        <v>281</v>
      </c>
      <c r="D59">
        <v>30200</v>
      </c>
      <c r="E59" t="s">
        <v>282</v>
      </c>
      <c r="F59">
        <v>11606</v>
      </c>
      <c r="G59">
        <v>0</v>
      </c>
      <c r="I59">
        <v>1434</v>
      </c>
      <c r="J59">
        <v>20574</v>
      </c>
      <c r="K59">
        <v>0</v>
      </c>
      <c r="L59">
        <v>0</v>
      </c>
      <c r="M59">
        <v>0</v>
      </c>
      <c r="N59">
        <v>6330</v>
      </c>
      <c r="O59">
        <v>0</v>
      </c>
      <c r="P59">
        <v>0</v>
      </c>
      <c r="R59">
        <v>0</v>
      </c>
      <c r="S59">
        <v>0</v>
      </c>
      <c r="T59" t="s">
        <v>184</v>
      </c>
      <c r="U59">
        <v>6</v>
      </c>
      <c r="V59" t="s">
        <v>87</v>
      </c>
      <c r="W59" t="s">
        <v>185</v>
      </c>
      <c r="X59" t="s">
        <v>108</v>
      </c>
      <c r="Y59" t="s">
        <v>89</v>
      </c>
      <c r="Z59">
        <v>1</v>
      </c>
      <c r="AA59">
        <f>IF(AND(D59&gt;=配装计算器!$I$29,D59&lt;=配装计算器!$I$30),1,0)</f>
        <v>1</v>
      </c>
      <c r="AB59">
        <f t="shared" si="1"/>
        <v>1</v>
      </c>
      <c r="AC59">
        <f t="shared" si="2"/>
        <v>0</v>
      </c>
      <c r="AD59">
        <f t="shared" si="3"/>
        <v>0</v>
      </c>
      <c r="AE59">
        <f t="shared" si="4"/>
        <v>0</v>
      </c>
      <c r="AF59">
        <f t="shared" si="5"/>
        <v>1</v>
      </c>
      <c r="AG59">
        <f t="shared" si="6"/>
        <v>0</v>
      </c>
      <c r="AH59">
        <f t="shared" si="7"/>
        <v>0</v>
      </c>
      <c r="AI59">
        <f t="shared" si="8"/>
        <v>1</v>
      </c>
      <c r="AJ59">
        <f t="shared" si="9"/>
        <v>1</v>
      </c>
      <c r="AK59">
        <f>SUM(AJ$2:$AJ59)</f>
        <v>58</v>
      </c>
    </row>
    <row r="60" spans="1:37">
      <c r="A60" t="s">
        <v>224</v>
      </c>
      <c r="B60" t="s">
        <v>283</v>
      </c>
      <c r="C60" t="s">
        <v>284</v>
      </c>
      <c r="D60">
        <v>30200</v>
      </c>
      <c r="E60" t="s">
        <v>285</v>
      </c>
      <c r="F60">
        <v>11606</v>
      </c>
      <c r="G60">
        <v>0</v>
      </c>
      <c r="I60">
        <v>4157</v>
      </c>
      <c r="J60">
        <v>9496</v>
      </c>
      <c r="K60">
        <v>3957</v>
      </c>
      <c r="L60">
        <v>0</v>
      </c>
      <c r="M60">
        <v>3957</v>
      </c>
      <c r="N60">
        <v>0</v>
      </c>
      <c r="O60">
        <v>0</v>
      </c>
      <c r="P60">
        <v>0</v>
      </c>
      <c r="R60">
        <v>0</v>
      </c>
      <c r="S60">
        <v>0</v>
      </c>
      <c r="T60" t="s">
        <v>157</v>
      </c>
      <c r="U60">
        <v>6</v>
      </c>
      <c r="V60" t="s">
        <v>87</v>
      </c>
      <c r="W60" t="s">
        <v>135</v>
      </c>
      <c r="X60" t="s">
        <v>123</v>
      </c>
      <c r="Y60" t="s">
        <v>89</v>
      </c>
      <c r="Z60">
        <v>1</v>
      </c>
      <c r="AA60">
        <f>IF(AND(D60&gt;=配装计算器!$I$29,D60&lt;=配装计算器!$I$30),1,0)</f>
        <v>1</v>
      </c>
      <c r="AB60">
        <f t="shared" si="1"/>
        <v>1</v>
      </c>
      <c r="AC60">
        <f t="shared" si="2"/>
        <v>1</v>
      </c>
      <c r="AD60">
        <f t="shared" si="3"/>
        <v>0</v>
      </c>
      <c r="AE60">
        <f t="shared" si="4"/>
        <v>1</v>
      </c>
      <c r="AF60">
        <f t="shared" si="5"/>
        <v>0</v>
      </c>
      <c r="AG60">
        <f t="shared" si="6"/>
        <v>0</v>
      </c>
      <c r="AH60">
        <f t="shared" si="7"/>
        <v>0</v>
      </c>
      <c r="AI60">
        <f t="shared" si="8"/>
        <v>1</v>
      </c>
      <c r="AJ60">
        <f t="shared" si="9"/>
        <v>1</v>
      </c>
      <c r="AK60">
        <f>SUM(AJ$2:$AJ60)</f>
        <v>59</v>
      </c>
    </row>
    <row r="61" spans="1:37">
      <c r="A61" t="s">
        <v>224</v>
      </c>
      <c r="B61" t="s">
        <v>286</v>
      </c>
      <c r="C61" t="s">
        <v>287</v>
      </c>
      <c r="D61">
        <v>30200</v>
      </c>
      <c r="E61" t="s">
        <v>288</v>
      </c>
      <c r="F61">
        <v>11606</v>
      </c>
      <c r="G61">
        <v>0</v>
      </c>
      <c r="I61">
        <v>4157</v>
      </c>
      <c r="J61">
        <v>9496</v>
      </c>
      <c r="K61">
        <v>3957</v>
      </c>
      <c r="L61">
        <v>0</v>
      </c>
      <c r="M61">
        <v>0</v>
      </c>
      <c r="N61">
        <v>3957</v>
      </c>
      <c r="O61">
        <v>0</v>
      </c>
      <c r="P61">
        <v>0</v>
      </c>
      <c r="R61">
        <v>0</v>
      </c>
      <c r="S61">
        <v>0</v>
      </c>
      <c r="T61" t="s">
        <v>141</v>
      </c>
      <c r="U61">
        <v>6</v>
      </c>
      <c r="V61" t="s">
        <v>87</v>
      </c>
      <c r="W61" t="s">
        <v>135</v>
      </c>
      <c r="X61" t="s">
        <v>108</v>
      </c>
      <c r="Y61" t="s">
        <v>89</v>
      </c>
      <c r="Z61">
        <v>1</v>
      </c>
      <c r="AA61">
        <f>IF(AND(D61&gt;=配装计算器!$I$29,D61&lt;=配装计算器!$I$30),1,0)</f>
        <v>1</v>
      </c>
      <c r="AB61">
        <f t="shared" si="1"/>
        <v>1</v>
      </c>
      <c r="AC61">
        <f t="shared" si="2"/>
        <v>1</v>
      </c>
      <c r="AD61">
        <f t="shared" si="3"/>
        <v>0</v>
      </c>
      <c r="AE61">
        <f t="shared" si="4"/>
        <v>0</v>
      </c>
      <c r="AF61">
        <f t="shared" si="5"/>
        <v>1</v>
      </c>
      <c r="AG61">
        <f t="shared" si="6"/>
        <v>0</v>
      </c>
      <c r="AH61">
        <f t="shared" si="7"/>
        <v>0</v>
      </c>
      <c r="AI61">
        <f t="shared" si="8"/>
        <v>1</v>
      </c>
      <c r="AJ61">
        <f t="shared" si="9"/>
        <v>1</v>
      </c>
      <c r="AK61">
        <f>SUM(AJ$2:$AJ61)</f>
        <v>60</v>
      </c>
    </row>
    <row r="62" spans="1:37">
      <c r="A62" t="s">
        <v>224</v>
      </c>
      <c r="B62" t="s">
        <v>289</v>
      </c>
      <c r="C62" t="s">
        <v>290</v>
      </c>
      <c r="D62">
        <v>30200</v>
      </c>
      <c r="E62" t="s">
        <v>291</v>
      </c>
      <c r="F62">
        <v>11606</v>
      </c>
      <c r="G62">
        <v>0</v>
      </c>
      <c r="I62">
        <v>2867</v>
      </c>
      <c r="J62">
        <v>0</v>
      </c>
      <c r="K62">
        <v>0</v>
      </c>
      <c r="L62">
        <v>0</v>
      </c>
      <c r="M62">
        <v>14507</v>
      </c>
      <c r="N62">
        <v>7913</v>
      </c>
      <c r="O62">
        <v>0</v>
      </c>
      <c r="P62">
        <v>0</v>
      </c>
      <c r="R62">
        <v>0</v>
      </c>
      <c r="S62">
        <v>0</v>
      </c>
      <c r="T62" t="s">
        <v>292</v>
      </c>
      <c r="U62">
        <v>6</v>
      </c>
      <c r="V62" t="s">
        <v>87</v>
      </c>
      <c r="W62" t="s">
        <v>94</v>
      </c>
      <c r="X62" t="s">
        <v>108</v>
      </c>
      <c r="Y62" t="s">
        <v>89</v>
      </c>
      <c r="Z62">
        <v>1</v>
      </c>
      <c r="AA62">
        <f>IF(AND(D62&gt;=配装计算器!$I$29,D62&lt;=配装计算器!$I$30),1,0)</f>
        <v>1</v>
      </c>
      <c r="AB62">
        <f t="shared" si="1"/>
        <v>0</v>
      </c>
      <c r="AC62">
        <f t="shared" si="2"/>
        <v>0</v>
      </c>
      <c r="AD62">
        <f t="shared" si="3"/>
        <v>0</v>
      </c>
      <c r="AE62">
        <f t="shared" si="4"/>
        <v>1</v>
      </c>
      <c r="AF62">
        <f t="shared" si="5"/>
        <v>1</v>
      </c>
      <c r="AG62">
        <f t="shared" si="6"/>
        <v>0</v>
      </c>
      <c r="AH62">
        <f t="shared" si="7"/>
        <v>0</v>
      </c>
      <c r="AI62">
        <f t="shared" si="8"/>
        <v>1</v>
      </c>
      <c r="AJ62">
        <f t="shared" si="9"/>
        <v>1</v>
      </c>
      <c r="AK62">
        <f>SUM(AJ$2:$AJ62)</f>
        <v>61</v>
      </c>
    </row>
    <row r="63" spans="1:37">
      <c r="A63" t="s">
        <v>224</v>
      </c>
      <c r="B63" t="s">
        <v>293</v>
      </c>
      <c r="C63" t="s">
        <v>294</v>
      </c>
      <c r="D63">
        <v>30200</v>
      </c>
      <c r="E63" t="s">
        <v>295</v>
      </c>
      <c r="F63">
        <v>11606</v>
      </c>
      <c r="G63">
        <v>0</v>
      </c>
      <c r="I63">
        <v>4157</v>
      </c>
      <c r="J63">
        <v>0</v>
      </c>
      <c r="K63">
        <v>0</v>
      </c>
      <c r="L63">
        <v>5803</v>
      </c>
      <c r="M63">
        <v>5803</v>
      </c>
      <c r="N63">
        <v>5803</v>
      </c>
      <c r="O63">
        <v>0</v>
      </c>
      <c r="P63">
        <v>0</v>
      </c>
      <c r="R63">
        <v>0</v>
      </c>
      <c r="S63">
        <v>0</v>
      </c>
      <c r="T63" t="s">
        <v>296</v>
      </c>
      <c r="U63">
        <v>6</v>
      </c>
      <c r="V63" t="s">
        <v>87</v>
      </c>
      <c r="W63" t="s">
        <v>94</v>
      </c>
      <c r="X63" t="s">
        <v>108</v>
      </c>
      <c r="Y63" t="s">
        <v>89</v>
      </c>
      <c r="Z63">
        <v>1</v>
      </c>
      <c r="AA63">
        <f>IF(AND(D63&gt;=配装计算器!$I$29,D63&lt;=配装计算器!$I$30),1,0)</f>
        <v>1</v>
      </c>
      <c r="AB63">
        <f t="shared" si="1"/>
        <v>0</v>
      </c>
      <c r="AC63">
        <f t="shared" si="2"/>
        <v>0</v>
      </c>
      <c r="AD63">
        <f t="shared" si="3"/>
        <v>1</v>
      </c>
      <c r="AE63">
        <f t="shared" si="4"/>
        <v>1</v>
      </c>
      <c r="AF63">
        <f t="shared" si="5"/>
        <v>1</v>
      </c>
      <c r="AG63">
        <f t="shared" si="6"/>
        <v>0</v>
      </c>
      <c r="AH63">
        <f t="shared" si="7"/>
        <v>0</v>
      </c>
      <c r="AI63">
        <f t="shared" si="8"/>
        <v>1</v>
      </c>
      <c r="AJ63">
        <f t="shared" si="9"/>
        <v>1</v>
      </c>
      <c r="AK63">
        <f>SUM(AJ$2:$AJ63)</f>
        <v>62</v>
      </c>
    </row>
    <row r="64" spans="1:37">
      <c r="A64" t="s">
        <v>224</v>
      </c>
      <c r="B64" t="s">
        <v>297</v>
      </c>
      <c r="C64" t="s">
        <v>298</v>
      </c>
      <c r="D64">
        <v>30200</v>
      </c>
      <c r="E64" t="s">
        <v>299</v>
      </c>
      <c r="F64">
        <v>11606</v>
      </c>
      <c r="G64">
        <v>0</v>
      </c>
      <c r="I64">
        <v>4874</v>
      </c>
      <c r="J64">
        <v>0</v>
      </c>
      <c r="K64">
        <v>0</v>
      </c>
      <c r="L64">
        <v>0</v>
      </c>
      <c r="M64">
        <v>0</v>
      </c>
      <c r="N64">
        <v>13716</v>
      </c>
      <c r="O64">
        <v>0</v>
      </c>
      <c r="P64">
        <v>0</v>
      </c>
      <c r="R64">
        <v>0</v>
      </c>
      <c r="S64">
        <v>0</v>
      </c>
      <c r="T64" t="s">
        <v>300</v>
      </c>
      <c r="U64">
        <v>6</v>
      </c>
      <c r="V64" t="s">
        <v>87</v>
      </c>
      <c r="W64" t="s">
        <v>135</v>
      </c>
      <c r="X64" t="s">
        <v>108</v>
      </c>
      <c r="Y64" t="s">
        <v>89</v>
      </c>
      <c r="Z64">
        <v>1</v>
      </c>
      <c r="AA64">
        <f>IF(AND(D64&gt;=配装计算器!$I$29,D64&lt;=配装计算器!$I$30),1,0)</f>
        <v>1</v>
      </c>
      <c r="AB64">
        <f t="shared" si="1"/>
        <v>0</v>
      </c>
      <c r="AC64">
        <f t="shared" si="2"/>
        <v>0</v>
      </c>
      <c r="AD64">
        <f t="shared" si="3"/>
        <v>0</v>
      </c>
      <c r="AE64">
        <f t="shared" si="4"/>
        <v>0</v>
      </c>
      <c r="AF64">
        <f t="shared" si="5"/>
        <v>1</v>
      </c>
      <c r="AG64">
        <f t="shared" si="6"/>
        <v>0</v>
      </c>
      <c r="AH64">
        <f t="shared" si="7"/>
        <v>0</v>
      </c>
      <c r="AI64">
        <f t="shared" si="8"/>
        <v>1</v>
      </c>
      <c r="AJ64">
        <f t="shared" si="9"/>
        <v>1</v>
      </c>
      <c r="AK64">
        <f>SUM(AJ$2:$AJ64)</f>
        <v>63</v>
      </c>
    </row>
    <row r="65" spans="1:37">
      <c r="A65" t="s">
        <v>224</v>
      </c>
      <c r="B65" t="s">
        <v>301</v>
      </c>
      <c r="C65" t="s">
        <v>302</v>
      </c>
      <c r="D65">
        <v>30200</v>
      </c>
      <c r="E65" t="s">
        <v>303</v>
      </c>
      <c r="F65">
        <v>11606</v>
      </c>
      <c r="G65">
        <v>0</v>
      </c>
      <c r="I65">
        <v>4172</v>
      </c>
      <c r="J65">
        <v>0</v>
      </c>
      <c r="K65">
        <v>0</v>
      </c>
      <c r="L65">
        <v>0</v>
      </c>
      <c r="M65">
        <v>0</v>
      </c>
      <c r="N65">
        <v>8177</v>
      </c>
      <c r="O65">
        <v>7597</v>
      </c>
      <c r="P65">
        <v>0</v>
      </c>
      <c r="R65">
        <v>0</v>
      </c>
      <c r="S65">
        <v>0</v>
      </c>
      <c r="T65" t="s">
        <v>304</v>
      </c>
      <c r="U65">
        <v>6</v>
      </c>
      <c r="V65" t="s">
        <v>87</v>
      </c>
      <c r="W65" t="s">
        <v>94</v>
      </c>
      <c r="X65" t="s">
        <v>154</v>
      </c>
      <c r="Y65" t="s">
        <v>89</v>
      </c>
      <c r="Z65">
        <v>1</v>
      </c>
      <c r="AA65">
        <f>IF(AND(D65&gt;=配装计算器!$I$29,D65&lt;=配装计算器!$I$30),1,0)</f>
        <v>1</v>
      </c>
      <c r="AB65">
        <f t="shared" si="1"/>
        <v>0</v>
      </c>
      <c r="AC65">
        <f t="shared" si="2"/>
        <v>0</v>
      </c>
      <c r="AD65">
        <f t="shared" si="3"/>
        <v>0</v>
      </c>
      <c r="AE65">
        <f t="shared" si="4"/>
        <v>0</v>
      </c>
      <c r="AF65">
        <f t="shared" si="5"/>
        <v>1</v>
      </c>
      <c r="AG65">
        <f t="shared" si="6"/>
        <v>1</v>
      </c>
      <c r="AH65">
        <f t="shared" si="7"/>
        <v>0</v>
      </c>
      <c r="AI65">
        <f t="shared" si="8"/>
        <v>1</v>
      </c>
      <c r="AJ65">
        <f t="shared" si="9"/>
        <v>1</v>
      </c>
      <c r="AK65">
        <f>SUM(AJ$2:$AJ65)</f>
        <v>64</v>
      </c>
    </row>
    <row r="66" spans="1:37">
      <c r="A66" t="s">
        <v>224</v>
      </c>
      <c r="B66" t="s">
        <v>305</v>
      </c>
      <c r="C66" t="s">
        <v>306</v>
      </c>
      <c r="D66">
        <v>30200</v>
      </c>
      <c r="E66" t="s">
        <v>307</v>
      </c>
      <c r="F66">
        <v>11606</v>
      </c>
      <c r="G66">
        <v>0</v>
      </c>
      <c r="I66">
        <v>3441</v>
      </c>
      <c r="J66">
        <v>0</v>
      </c>
      <c r="K66">
        <v>0</v>
      </c>
      <c r="L66">
        <v>12133</v>
      </c>
      <c r="M66">
        <v>0</v>
      </c>
      <c r="N66">
        <v>6330</v>
      </c>
      <c r="O66">
        <v>0</v>
      </c>
      <c r="P66">
        <v>0</v>
      </c>
      <c r="R66">
        <v>0</v>
      </c>
      <c r="S66">
        <v>0</v>
      </c>
      <c r="T66" t="s">
        <v>308</v>
      </c>
      <c r="U66">
        <v>6</v>
      </c>
      <c r="V66" t="s">
        <v>87</v>
      </c>
      <c r="W66" t="s">
        <v>154</v>
      </c>
      <c r="X66" t="s">
        <v>123</v>
      </c>
      <c r="Y66" t="s">
        <v>89</v>
      </c>
      <c r="Z66">
        <v>1</v>
      </c>
      <c r="AA66">
        <f>IF(AND(D66&gt;=配装计算器!$I$29,D66&lt;=配装计算器!$I$30),1,0)</f>
        <v>1</v>
      </c>
      <c r="AB66">
        <f t="shared" si="1"/>
        <v>0</v>
      </c>
      <c r="AC66">
        <f t="shared" si="2"/>
        <v>0</v>
      </c>
      <c r="AD66">
        <f t="shared" si="3"/>
        <v>1</v>
      </c>
      <c r="AE66">
        <f t="shared" si="4"/>
        <v>0</v>
      </c>
      <c r="AF66">
        <f t="shared" si="5"/>
        <v>1</v>
      </c>
      <c r="AG66">
        <f t="shared" si="6"/>
        <v>0</v>
      </c>
      <c r="AH66">
        <f t="shared" si="7"/>
        <v>0</v>
      </c>
      <c r="AI66">
        <f t="shared" si="8"/>
        <v>1</v>
      </c>
      <c r="AJ66">
        <f t="shared" si="9"/>
        <v>1</v>
      </c>
      <c r="AK66">
        <f>SUM(AJ$2:$AJ66)</f>
        <v>65</v>
      </c>
    </row>
    <row r="67" spans="1:37">
      <c r="A67" t="s">
        <v>224</v>
      </c>
      <c r="B67" t="s">
        <v>309</v>
      </c>
      <c r="C67" t="s">
        <v>310</v>
      </c>
      <c r="D67">
        <v>30200</v>
      </c>
      <c r="E67" t="s">
        <v>311</v>
      </c>
      <c r="F67">
        <v>11606</v>
      </c>
      <c r="G67">
        <v>0</v>
      </c>
      <c r="I67">
        <v>4157</v>
      </c>
      <c r="J67">
        <v>5803</v>
      </c>
      <c r="K67">
        <v>0</v>
      </c>
      <c r="L67">
        <v>0</v>
      </c>
      <c r="M67">
        <v>5803</v>
      </c>
      <c r="N67">
        <v>5803</v>
      </c>
      <c r="O67">
        <v>0</v>
      </c>
      <c r="P67">
        <v>0</v>
      </c>
      <c r="R67">
        <v>0</v>
      </c>
      <c r="S67">
        <v>0</v>
      </c>
      <c r="T67" t="s">
        <v>312</v>
      </c>
      <c r="U67">
        <v>6</v>
      </c>
      <c r="V67" t="s">
        <v>87</v>
      </c>
      <c r="W67" t="s">
        <v>135</v>
      </c>
      <c r="X67" t="s">
        <v>108</v>
      </c>
      <c r="Y67" t="s">
        <v>89</v>
      </c>
      <c r="Z67">
        <v>1</v>
      </c>
      <c r="AA67">
        <f>IF(AND(D67&gt;=配装计算器!$I$29,D67&lt;=配装计算器!$I$30),1,0)</f>
        <v>1</v>
      </c>
      <c r="AB67">
        <f t="shared" si="1"/>
        <v>1</v>
      </c>
      <c r="AC67">
        <f t="shared" si="2"/>
        <v>0</v>
      </c>
      <c r="AD67">
        <f t="shared" si="3"/>
        <v>0</v>
      </c>
      <c r="AE67">
        <f t="shared" si="4"/>
        <v>1</v>
      </c>
      <c r="AF67">
        <f t="shared" si="5"/>
        <v>1</v>
      </c>
      <c r="AG67">
        <f t="shared" si="6"/>
        <v>0</v>
      </c>
      <c r="AH67">
        <f t="shared" si="7"/>
        <v>0</v>
      </c>
      <c r="AI67">
        <f t="shared" si="8"/>
        <v>1</v>
      </c>
      <c r="AJ67">
        <f t="shared" si="9"/>
        <v>1</v>
      </c>
      <c r="AK67">
        <f>SUM(AJ$2:$AJ67)</f>
        <v>66</v>
      </c>
    </row>
    <row r="68" spans="1:37">
      <c r="A68" t="s">
        <v>224</v>
      </c>
      <c r="B68" t="s">
        <v>313</v>
      </c>
      <c r="C68" t="s">
        <v>314</v>
      </c>
      <c r="D68">
        <v>30200</v>
      </c>
      <c r="E68" t="s">
        <v>315</v>
      </c>
      <c r="F68">
        <v>11606</v>
      </c>
      <c r="G68">
        <v>0</v>
      </c>
      <c r="I68">
        <v>3441</v>
      </c>
      <c r="J68">
        <v>12133</v>
      </c>
      <c r="K68">
        <v>0</v>
      </c>
      <c r="L68">
        <v>0</v>
      </c>
      <c r="M68">
        <v>0</v>
      </c>
      <c r="N68">
        <v>6330</v>
      </c>
      <c r="O68">
        <v>0</v>
      </c>
      <c r="P68">
        <v>0</v>
      </c>
      <c r="R68">
        <v>0</v>
      </c>
      <c r="S68">
        <v>0</v>
      </c>
      <c r="T68" t="s">
        <v>316</v>
      </c>
      <c r="U68">
        <v>6</v>
      </c>
      <c r="V68" t="s">
        <v>87</v>
      </c>
      <c r="W68" t="s">
        <v>185</v>
      </c>
      <c r="X68" t="s">
        <v>108</v>
      </c>
      <c r="Y68" t="s">
        <v>89</v>
      </c>
      <c r="Z68">
        <v>1</v>
      </c>
      <c r="AA68">
        <f>IF(AND(D68&gt;=配装计算器!$I$29,D68&lt;=配装计算器!$I$30),1,0)</f>
        <v>1</v>
      </c>
      <c r="AB68">
        <f t="shared" ref="AB68:AB131" si="20">IF(J68&gt;0,1,0)</f>
        <v>1</v>
      </c>
      <c r="AC68">
        <f t="shared" ref="AC68:AC131" si="21">IF(K68&gt;0,1,0)</f>
        <v>0</v>
      </c>
      <c r="AD68">
        <f t="shared" ref="AD68:AD131" si="22">IF(L68&gt;0,1,0)</f>
        <v>0</v>
      </c>
      <c r="AE68">
        <f t="shared" ref="AE68:AE131" si="23">IF(M68&gt;0,1,0)</f>
        <v>0</v>
      </c>
      <c r="AF68">
        <f t="shared" ref="AF68:AF131" si="24">IF(N68&gt;0,1,0)</f>
        <v>1</v>
      </c>
      <c r="AG68">
        <f t="shared" ref="AG68:AG131" si="25">IF(O68&gt;0,1,0)</f>
        <v>0</v>
      </c>
      <c r="AH68">
        <f t="shared" ref="AH68:AH131" si="26">IF(P68&gt;0,1,0)</f>
        <v>0</v>
      </c>
      <c r="AI68">
        <f t="shared" ref="AI68:AI131" si="27">IF(COUNTIF(T68,"*"&amp;"精简"&amp;"*")&gt;0,1,0)</f>
        <v>1</v>
      </c>
      <c r="AJ68">
        <f t="shared" ref="AJ68:AJ131" si="28">MIN(1,AA68*($AY$2+IF(AND(AB68&gt;=$AQ$3,AC68&gt;=$AR$3,AD68&gt;=$AS$3,AE68&gt;=$AT$3,AF68&gt;=$AU$3,AG68&gt;=$AV$3,AH68&gt;=$AW$3,AI68&gt;=$AX$3),1,0)))</f>
        <v>1</v>
      </c>
      <c r="AK68">
        <f>SUM(AJ$2:$AJ68)</f>
        <v>67</v>
      </c>
    </row>
    <row r="69" spans="1:37">
      <c r="A69" t="s">
        <v>224</v>
      </c>
      <c r="B69" t="s">
        <v>317</v>
      </c>
      <c r="C69" t="s">
        <v>318</v>
      </c>
      <c r="D69">
        <v>30200</v>
      </c>
      <c r="E69" t="s">
        <v>319</v>
      </c>
      <c r="F69">
        <v>11606</v>
      </c>
      <c r="G69">
        <v>0</v>
      </c>
      <c r="I69">
        <v>4157</v>
      </c>
      <c r="J69">
        <v>5803</v>
      </c>
      <c r="K69">
        <v>0</v>
      </c>
      <c r="L69">
        <v>5803</v>
      </c>
      <c r="M69">
        <v>0</v>
      </c>
      <c r="N69">
        <v>5803</v>
      </c>
      <c r="O69">
        <v>0</v>
      </c>
      <c r="P69">
        <v>0</v>
      </c>
      <c r="R69">
        <v>0</v>
      </c>
      <c r="S69">
        <v>0</v>
      </c>
      <c r="T69" t="s">
        <v>320</v>
      </c>
      <c r="U69">
        <v>6</v>
      </c>
      <c r="V69" t="s">
        <v>87</v>
      </c>
      <c r="W69" t="s">
        <v>185</v>
      </c>
      <c r="X69" t="s">
        <v>123</v>
      </c>
      <c r="Y69" t="s">
        <v>89</v>
      </c>
      <c r="Z69">
        <v>1</v>
      </c>
      <c r="AA69">
        <f>IF(AND(D69&gt;=配装计算器!$I$29,D69&lt;=配装计算器!$I$30),1,0)</f>
        <v>1</v>
      </c>
      <c r="AB69">
        <f t="shared" si="20"/>
        <v>1</v>
      </c>
      <c r="AC69">
        <f t="shared" si="21"/>
        <v>0</v>
      </c>
      <c r="AD69">
        <f t="shared" si="22"/>
        <v>1</v>
      </c>
      <c r="AE69">
        <f t="shared" si="23"/>
        <v>0</v>
      </c>
      <c r="AF69">
        <f t="shared" si="24"/>
        <v>1</v>
      </c>
      <c r="AG69">
        <f t="shared" si="25"/>
        <v>0</v>
      </c>
      <c r="AH69">
        <f t="shared" si="26"/>
        <v>0</v>
      </c>
      <c r="AI69">
        <f t="shared" si="27"/>
        <v>1</v>
      </c>
      <c r="AJ69">
        <f t="shared" si="28"/>
        <v>1</v>
      </c>
      <c r="AK69">
        <f>SUM(AJ$2:$AJ69)</f>
        <v>68</v>
      </c>
    </row>
    <row r="70" spans="1:37">
      <c r="A70" t="s">
        <v>224</v>
      </c>
      <c r="B70" t="s">
        <v>321</v>
      </c>
      <c r="C70" t="s">
        <v>322</v>
      </c>
      <c r="D70">
        <v>30700</v>
      </c>
      <c r="E70" t="s">
        <v>323</v>
      </c>
      <c r="F70">
        <v>11798</v>
      </c>
      <c r="G70">
        <v>894</v>
      </c>
      <c r="I70">
        <v>1457</v>
      </c>
      <c r="J70">
        <v>0</v>
      </c>
      <c r="K70">
        <v>0</v>
      </c>
      <c r="L70">
        <v>8044</v>
      </c>
      <c r="M70">
        <v>0</v>
      </c>
      <c r="N70">
        <v>0</v>
      </c>
      <c r="O70">
        <v>0</v>
      </c>
      <c r="P70">
        <v>3218</v>
      </c>
      <c r="R70">
        <v>0</v>
      </c>
      <c r="S70">
        <v>0</v>
      </c>
      <c r="T70" t="s">
        <v>86</v>
      </c>
      <c r="U70">
        <v>6</v>
      </c>
      <c r="V70" t="s">
        <v>145</v>
      </c>
      <c r="W70" t="s">
        <v>229</v>
      </c>
      <c r="X70" t="s">
        <v>135</v>
      </c>
      <c r="Y70" t="s">
        <v>89</v>
      </c>
      <c r="Z70">
        <v>2</v>
      </c>
      <c r="AA70">
        <f>IF(AND(D70&gt;=配装计算器!$I$29,D70&lt;=配装计算器!$I$30),1,0)</f>
        <v>1</v>
      </c>
      <c r="AB70">
        <f t="shared" si="20"/>
        <v>0</v>
      </c>
      <c r="AC70">
        <f t="shared" si="21"/>
        <v>0</v>
      </c>
      <c r="AD70">
        <f t="shared" si="22"/>
        <v>1</v>
      </c>
      <c r="AE70">
        <f t="shared" si="23"/>
        <v>0</v>
      </c>
      <c r="AF70">
        <f t="shared" si="24"/>
        <v>0</v>
      </c>
      <c r="AG70">
        <f t="shared" si="25"/>
        <v>0</v>
      </c>
      <c r="AH70">
        <f t="shared" si="26"/>
        <v>1</v>
      </c>
      <c r="AI70">
        <f t="shared" si="27"/>
        <v>0</v>
      </c>
      <c r="AJ70">
        <f t="shared" si="28"/>
        <v>1</v>
      </c>
      <c r="AK70">
        <f>SUM(AJ$2:$AJ70)</f>
        <v>69</v>
      </c>
    </row>
    <row r="71" spans="1:37">
      <c r="A71" t="s">
        <v>224</v>
      </c>
      <c r="B71" t="s">
        <v>324</v>
      </c>
      <c r="C71" t="s">
        <v>325</v>
      </c>
      <c r="D71">
        <v>30700</v>
      </c>
      <c r="E71" t="s">
        <v>326</v>
      </c>
      <c r="F71">
        <v>11798</v>
      </c>
      <c r="G71">
        <v>963</v>
      </c>
      <c r="I71">
        <v>2186</v>
      </c>
      <c r="J71">
        <v>0</v>
      </c>
      <c r="K71">
        <v>0</v>
      </c>
      <c r="L71">
        <v>8044</v>
      </c>
      <c r="M71">
        <v>0</v>
      </c>
      <c r="N71">
        <v>6435</v>
      </c>
      <c r="O71">
        <v>0</v>
      </c>
      <c r="P71">
        <v>0</v>
      </c>
      <c r="R71">
        <v>0</v>
      </c>
      <c r="S71">
        <v>0</v>
      </c>
      <c r="T71" t="s">
        <v>122</v>
      </c>
      <c r="U71">
        <v>6</v>
      </c>
      <c r="V71" t="s">
        <v>327</v>
      </c>
      <c r="W71" t="s">
        <v>108</v>
      </c>
      <c r="X71" t="s">
        <v>88</v>
      </c>
      <c r="Y71" t="s">
        <v>89</v>
      </c>
      <c r="Z71">
        <v>1</v>
      </c>
      <c r="AA71">
        <f>IF(AND(D71&gt;=配装计算器!$I$29,D71&lt;=配装计算器!$I$30),1,0)</f>
        <v>1</v>
      </c>
      <c r="AB71">
        <f t="shared" si="20"/>
        <v>0</v>
      </c>
      <c r="AC71">
        <f t="shared" si="21"/>
        <v>0</v>
      </c>
      <c r="AD71">
        <f t="shared" si="22"/>
        <v>1</v>
      </c>
      <c r="AE71">
        <f t="shared" si="23"/>
        <v>0</v>
      </c>
      <c r="AF71">
        <f t="shared" si="24"/>
        <v>1</v>
      </c>
      <c r="AG71">
        <f t="shared" si="25"/>
        <v>0</v>
      </c>
      <c r="AH71">
        <f t="shared" si="26"/>
        <v>0</v>
      </c>
      <c r="AI71">
        <f t="shared" si="27"/>
        <v>0</v>
      </c>
      <c r="AJ71">
        <f t="shared" si="28"/>
        <v>1</v>
      </c>
      <c r="AK71">
        <f>SUM(AJ$2:$AJ71)</f>
        <v>70</v>
      </c>
    </row>
    <row r="72" spans="1:37">
      <c r="A72" t="s">
        <v>224</v>
      </c>
      <c r="B72" t="s">
        <v>328</v>
      </c>
      <c r="C72" t="s">
        <v>329</v>
      </c>
      <c r="D72">
        <v>35300</v>
      </c>
      <c r="E72" t="s">
        <v>330</v>
      </c>
      <c r="F72">
        <v>13566</v>
      </c>
      <c r="G72">
        <v>1107</v>
      </c>
      <c r="I72">
        <v>2514</v>
      </c>
      <c r="J72">
        <v>0</v>
      </c>
      <c r="K72">
        <v>0</v>
      </c>
      <c r="L72">
        <v>0</v>
      </c>
      <c r="M72">
        <v>9249</v>
      </c>
      <c r="N72">
        <v>7400</v>
      </c>
      <c r="O72">
        <v>0</v>
      </c>
      <c r="P72">
        <v>0</v>
      </c>
      <c r="R72">
        <v>0</v>
      </c>
      <c r="S72">
        <v>0</v>
      </c>
      <c r="T72" t="s">
        <v>107</v>
      </c>
      <c r="U72">
        <v>6</v>
      </c>
      <c r="V72" t="s">
        <v>240</v>
      </c>
      <c r="W72" t="s">
        <v>135</v>
      </c>
      <c r="X72" t="s">
        <v>154</v>
      </c>
      <c r="Y72" t="s">
        <v>89</v>
      </c>
      <c r="Z72">
        <v>1</v>
      </c>
      <c r="AA72">
        <f>IF(AND(D72&gt;=配装计算器!$I$29,D72&lt;=配装计算器!$I$30),1,0)</f>
        <v>1</v>
      </c>
      <c r="AB72">
        <f t="shared" si="20"/>
        <v>0</v>
      </c>
      <c r="AC72">
        <f t="shared" si="21"/>
        <v>0</v>
      </c>
      <c r="AD72">
        <f t="shared" si="22"/>
        <v>0</v>
      </c>
      <c r="AE72">
        <f t="shared" si="23"/>
        <v>1</v>
      </c>
      <c r="AF72">
        <f t="shared" si="24"/>
        <v>1</v>
      </c>
      <c r="AG72">
        <f t="shared" si="25"/>
        <v>0</v>
      </c>
      <c r="AH72">
        <f t="shared" si="26"/>
        <v>0</v>
      </c>
      <c r="AI72">
        <f t="shared" si="27"/>
        <v>0</v>
      </c>
      <c r="AJ72">
        <f t="shared" si="28"/>
        <v>1</v>
      </c>
      <c r="AK72">
        <f>SUM(AJ$2:$AJ72)</f>
        <v>71</v>
      </c>
    </row>
    <row r="73" spans="1:37">
      <c r="A73" t="s">
        <v>224</v>
      </c>
      <c r="B73" t="s">
        <v>331</v>
      </c>
      <c r="C73" t="s">
        <v>332</v>
      </c>
      <c r="D73">
        <v>35300</v>
      </c>
      <c r="E73" t="s">
        <v>333</v>
      </c>
      <c r="F73">
        <v>13566</v>
      </c>
      <c r="G73">
        <v>1107</v>
      </c>
      <c r="I73">
        <v>2514</v>
      </c>
      <c r="J73">
        <v>0</v>
      </c>
      <c r="K73">
        <v>0</v>
      </c>
      <c r="L73">
        <v>0</v>
      </c>
      <c r="M73">
        <v>9249</v>
      </c>
      <c r="N73">
        <v>7400</v>
      </c>
      <c r="O73">
        <v>0</v>
      </c>
      <c r="P73">
        <v>0</v>
      </c>
      <c r="R73">
        <v>0</v>
      </c>
      <c r="S73">
        <v>0</v>
      </c>
      <c r="T73" t="s">
        <v>107</v>
      </c>
      <c r="U73">
        <v>6</v>
      </c>
      <c r="V73" t="s">
        <v>103</v>
      </c>
      <c r="W73" t="s">
        <v>135</v>
      </c>
      <c r="X73" t="s">
        <v>154</v>
      </c>
      <c r="Y73" t="s">
        <v>89</v>
      </c>
      <c r="Z73">
        <v>1</v>
      </c>
      <c r="AA73">
        <f>IF(AND(D73&gt;=配装计算器!$I$29,D73&lt;=配装计算器!$I$30),1,0)</f>
        <v>1</v>
      </c>
      <c r="AB73">
        <f t="shared" si="20"/>
        <v>0</v>
      </c>
      <c r="AC73">
        <f t="shared" si="21"/>
        <v>0</v>
      </c>
      <c r="AD73">
        <f t="shared" si="22"/>
        <v>0</v>
      </c>
      <c r="AE73">
        <f t="shared" si="23"/>
        <v>1</v>
      </c>
      <c r="AF73">
        <f t="shared" si="24"/>
        <v>1</v>
      </c>
      <c r="AG73">
        <f t="shared" si="25"/>
        <v>0</v>
      </c>
      <c r="AH73">
        <f t="shared" si="26"/>
        <v>0</v>
      </c>
      <c r="AI73">
        <f t="shared" si="27"/>
        <v>0</v>
      </c>
      <c r="AJ73">
        <f t="shared" si="28"/>
        <v>1</v>
      </c>
      <c r="AK73">
        <f>SUM(AJ$2:$AJ73)</f>
        <v>72</v>
      </c>
    </row>
    <row r="74" spans="1:37">
      <c r="A74" t="s">
        <v>224</v>
      </c>
      <c r="B74" t="s">
        <v>334</v>
      </c>
      <c r="C74" t="s">
        <v>335</v>
      </c>
      <c r="D74">
        <v>35300</v>
      </c>
      <c r="E74" t="s">
        <v>336</v>
      </c>
      <c r="F74">
        <v>13566</v>
      </c>
      <c r="G74">
        <v>1107</v>
      </c>
      <c r="I74">
        <v>2514</v>
      </c>
      <c r="J74">
        <v>0</v>
      </c>
      <c r="K74">
        <v>0</v>
      </c>
      <c r="L74">
        <v>0</v>
      </c>
      <c r="M74">
        <v>0</v>
      </c>
      <c r="N74">
        <v>7400</v>
      </c>
      <c r="O74">
        <v>9249</v>
      </c>
      <c r="P74">
        <v>0</v>
      </c>
      <c r="R74">
        <v>0</v>
      </c>
      <c r="S74">
        <v>0</v>
      </c>
      <c r="T74" t="s">
        <v>115</v>
      </c>
      <c r="U74">
        <v>6</v>
      </c>
      <c r="V74" t="s">
        <v>87</v>
      </c>
      <c r="W74" t="s">
        <v>135</v>
      </c>
      <c r="X74" t="s">
        <v>88</v>
      </c>
      <c r="Y74" t="s">
        <v>89</v>
      </c>
      <c r="Z74">
        <v>1</v>
      </c>
      <c r="AA74">
        <f>IF(AND(D74&gt;=配装计算器!$I$29,D74&lt;=配装计算器!$I$30),1,0)</f>
        <v>1</v>
      </c>
      <c r="AB74">
        <f t="shared" si="20"/>
        <v>0</v>
      </c>
      <c r="AC74">
        <f t="shared" si="21"/>
        <v>0</v>
      </c>
      <c r="AD74">
        <f t="shared" si="22"/>
        <v>0</v>
      </c>
      <c r="AE74">
        <f t="shared" si="23"/>
        <v>0</v>
      </c>
      <c r="AF74">
        <f t="shared" si="24"/>
        <v>1</v>
      </c>
      <c r="AG74">
        <f t="shared" si="25"/>
        <v>1</v>
      </c>
      <c r="AH74">
        <f t="shared" si="26"/>
        <v>0</v>
      </c>
      <c r="AI74">
        <f t="shared" si="27"/>
        <v>0</v>
      </c>
      <c r="AJ74">
        <f t="shared" si="28"/>
        <v>1</v>
      </c>
      <c r="AK74">
        <f>SUM(AJ$2:$AJ74)</f>
        <v>73</v>
      </c>
    </row>
    <row r="75" spans="1:37">
      <c r="A75" t="s">
        <v>224</v>
      </c>
      <c r="B75" t="s">
        <v>337</v>
      </c>
      <c r="C75" t="s">
        <v>338</v>
      </c>
      <c r="D75">
        <v>35300</v>
      </c>
      <c r="E75" t="s">
        <v>339</v>
      </c>
      <c r="F75">
        <v>13566</v>
      </c>
      <c r="G75">
        <v>1107</v>
      </c>
      <c r="I75">
        <v>2514</v>
      </c>
      <c r="J75">
        <v>0</v>
      </c>
      <c r="K75">
        <v>0</v>
      </c>
      <c r="L75">
        <v>9249</v>
      </c>
      <c r="M75">
        <v>0</v>
      </c>
      <c r="N75">
        <v>7400</v>
      </c>
      <c r="O75">
        <v>0</v>
      </c>
      <c r="P75">
        <v>0</v>
      </c>
      <c r="R75">
        <v>0</v>
      </c>
      <c r="S75">
        <v>0</v>
      </c>
      <c r="T75" t="s">
        <v>122</v>
      </c>
      <c r="U75">
        <v>6</v>
      </c>
      <c r="V75" t="s">
        <v>87</v>
      </c>
      <c r="W75" t="s">
        <v>108</v>
      </c>
      <c r="X75" t="s">
        <v>88</v>
      </c>
      <c r="Y75" t="s">
        <v>89</v>
      </c>
      <c r="Z75">
        <v>1</v>
      </c>
      <c r="AA75">
        <f>IF(AND(D75&gt;=配装计算器!$I$29,D75&lt;=配装计算器!$I$30),1,0)</f>
        <v>1</v>
      </c>
      <c r="AB75">
        <f t="shared" si="20"/>
        <v>0</v>
      </c>
      <c r="AC75">
        <f t="shared" si="21"/>
        <v>0</v>
      </c>
      <c r="AD75">
        <f t="shared" si="22"/>
        <v>1</v>
      </c>
      <c r="AE75">
        <f t="shared" si="23"/>
        <v>0</v>
      </c>
      <c r="AF75">
        <f t="shared" si="24"/>
        <v>1</v>
      </c>
      <c r="AG75">
        <f t="shared" si="25"/>
        <v>0</v>
      </c>
      <c r="AH75">
        <f t="shared" si="26"/>
        <v>0</v>
      </c>
      <c r="AI75">
        <f t="shared" si="27"/>
        <v>0</v>
      </c>
      <c r="AJ75">
        <f t="shared" si="28"/>
        <v>1</v>
      </c>
      <c r="AK75">
        <f>SUM(AJ$2:$AJ75)</f>
        <v>74</v>
      </c>
    </row>
    <row r="76" spans="1:37">
      <c r="A76" t="s">
        <v>224</v>
      </c>
      <c r="B76" t="s">
        <v>340</v>
      </c>
      <c r="C76" t="s">
        <v>341</v>
      </c>
      <c r="D76">
        <v>35300</v>
      </c>
      <c r="E76" t="s">
        <v>342</v>
      </c>
      <c r="F76">
        <v>13566</v>
      </c>
      <c r="G76">
        <v>1107</v>
      </c>
      <c r="I76">
        <v>2514</v>
      </c>
      <c r="J76">
        <v>9249</v>
      </c>
      <c r="K76">
        <v>0</v>
      </c>
      <c r="L76">
        <v>0</v>
      </c>
      <c r="M76">
        <v>0</v>
      </c>
      <c r="N76">
        <v>7400</v>
      </c>
      <c r="O76">
        <v>0</v>
      </c>
      <c r="P76">
        <v>0</v>
      </c>
      <c r="R76">
        <v>0</v>
      </c>
      <c r="S76">
        <v>0</v>
      </c>
      <c r="T76" t="s">
        <v>102</v>
      </c>
      <c r="U76">
        <v>6</v>
      </c>
      <c r="V76" t="s">
        <v>262</v>
      </c>
      <c r="W76" t="s">
        <v>94</v>
      </c>
      <c r="X76" t="s">
        <v>123</v>
      </c>
      <c r="Y76" t="s">
        <v>89</v>
      </c>
      <c r="Z76">
        <v>1</v>
      </c>
      <c r="AA76">
        <f>IF(AND(D76&gt;=配装计算器!$I$29,D76&lt;=配装计算器!$I$30),1,0)</f>
        <v>1</v>
      </c>
      <c r="AB76">
        <f t="shared" si="20"/>
        <v>1</v>
      </c>
      <c r="AC76">
        <f t="shared" si="21"/>
        <v>0</v>
      </c>
      <c r="AD76">
        <f t="shared" si="22"/>
        <v>0</v>
      </c>
      <c r="AE76">
        <f t="shared" si="23"/>
        <v>0</v>
      </c>
      <c r="AF76">
        <f t="shared" si="24"/>
        <v>1</v>
      </c>
      <c r="AG76">
        <f t="shared" si="25"/>
        <v>0</v>
      </c>
      <c r="AH76">
        <f t="shared" si="26"/>
        <v>0</v>
      </c>
      <c r="AI76">
        <f t="shared" si="27"/>
        <v>0</v>
      </c>
      <c r="AJ76">
        <f t="shared" si="28"/>
        <v>1</v>
      </c>
      <c r="AK76">
        <f>SUM(AJ$2:$AJ76)</f>
        <v>75</v>
      </c>
    </row>
    <row r="77" spans="1:37">
      <c r="A77" t="s">
        <v>224</v>
      </c>
      <c r="B77" t="s">
        <v>343</v>
      </c>
      <c r="C77" t="s">
        <v>344</v>
      </c>
      <c r="D77">
        <v>35300</v>
      </c>
      <c r="E77" t="s">
        <v>345</v>
      </c>
      <c r="F77">
        <v>13566</v>
      </c>
      <c r="G77">
        <v>1107</v>
      </c>
      <c r="I77">
        <v>2514</v>
      </c>
      <c r="J77">
        <v>9249</v>
      </c>
      <c r="K77">
        <v>0</v>
      </c>
      <c r="L77">
        <v>0</v>
      </c>
      <c r="M77">
        <v>0</v>
      </c>
      <c r="N77">
        <v>7400</v>
      </c>
      <c r="O77">
        <v>0</v>
      </c>
      <c r="P77">
        <v>0</v>
      </c>
      <c r="R77">
        <v>0</v>
      </c>
      <c r="S77">
        <v>0</v>
      </c>
      <c r="T77" t="s">
        <v>102</v>
      </c>
      <c r="U77">
        <v>6</v>
      </c>
      <c r="V77" t="s">
        <v>130</v>
      </c>
      <c r="W77" t="s">
        <v>94</v>
      </c>
      <c r="X77" t="s">
        <v>123</v>
      </c>
      <c r="Y77" t="s">
        <v>89</v>
      </c>
      <c r="Z77">
        <v>1</v>
      </c>
      <c r="AA77">
        <f>IF(AND(D77&gt;=配装计算器!$I$29,D77&lt;=配装计算器!$I$30),1,0)</f>
        <v>1</v>
      </c>
      <c r="AB77">
        <f t="shared" si="20"/>
        <v>1</v>
      </c>
      <c r="AC77">
        <f t="shared" si="21"/>
        <v>0</v>
      </c>
      <c r="AD77">
        <f t="shared" si="22"/>
        <v>0</v>
      </c>
      <c r="AE77">
        <f t="shared" si="23"/>
        <v>0</v>
      </c>
      <c r="AF77">
        <f t="shared" si="24"/>
        <v>1</v>
      </c>
      <c r="AG77">
        <f t="shared" si="25"/>
        <v>0</v>
      </c>
      <c r="AH77">
        <f t="shared" si="26"/>
        <v>0</v>
      </c>
      <c r="AI77">
        <f t="shared" si="27"/>
        <v>0</v>
      </c>
      <c r="AJ77">
        <f t="shared" si="28"/>
        <v>1</v>
      </c>
      <c r="AK77">
        <f>SUM(AJ$2:$AJ77)</f>
        <v>76</v>
      </c>
    </row>
    <row r="78" spans="1:37">
      <c r="A78" t="s">
        <v>224</v>
      </c>
      <c r="B78" t="s">
        <v>346</v>
      </c>
      <c r="C78" t="s">
        <v>347</v>
      </c>
      <c r="D78">
        <v>35300</v>
      </c>
      <c r="E78" t="s">
        <v>348</v>
      </c>
      <c r="F78">
        <v>13566</v>
      </c>
      <c r="G78">
        <v>1107</v>
      </c>
      <c r="I78">
        <v>2514</v>
      </c>
      <c r="J78">
        <v>0</v>
      </c>
      <c r="K78">
        <v>0</v>
      </c>
      <c r="L78">
        <v>0</v>
      </c>
      <c r="M78">
        <v>9249</v>
      </c>
      <c r="N78">
        <v>7400</v>
      </c>
      <c r="O78">
        <v>0</v>
      </c>
      <c r="P78">
        <v>0</v>
      </c>
      <c r="R78">
        <v>0</v>
      </c>
      <c r="S78">
        <v>0</v>
      </c>
      <c r="T78" t="s">
        <v>107</v>
      </c>
      <c r="U78">
        <v>6</v>
      </c>
      <c r="V78" t="s">
        <v>269</v>
      </c>
      <c r="W78" t="s">
        <v>135</v>
      </c>
      <c r="X78" t="s">
        <v>154</v>
      </c>
      <c r="Y78" t="s">
        <v>89</v>
      </c>
      <c r="Z78">
        <v>1</v>
      </c>
      <c r="AA78">
        <f>IF(AND(D78&gt;=配装计算器!$I$29,D78&lt;=配装计算器!$I$30),1,0)</f>
        <v>1</v>
      </c>
      <c r="AB78">
        <f t="shared" si="20"/>
        <v>0</v>
      </c>
      <c r="AC78">
        <f t="shared" si="21"/>
        <v>0</v>
      </c>
      <c r="AD78">
        <f t="shared" si="22"/>
        <v>0</v>
      </c>
      <c r="AE78">
        <f t="shared" si="23"/>
        <v>1</v>
      </c>
      <c r="AF78">
        <f t="shared" si="24"/>
        <v>1</v>
      </c>
      <c r="AG78">
        <f t="shared" si="25"/>
        <v>0</v>
      </c>
      <c r="AH78">
        <f t="shared" si="26"/>
        <v>0</v>
      </c>
      <c r="AI78">
        <f t="shared" si="27"/>
        <v>0</v>
      </c>
      <c r="AJ78">
        <f t="shared" si="28"/>
        <v>1</v>
      </c>
      <c r="AK78">
        <f>SUM(AJ$2:$AJ78)</f>
        <v>77</v>
      </c>
    </row>
    <row r="79" spans="1:37">
      <c r="A79" t="s">
        <v>224</v>
      </c>
      <c r="B79" t="s">
        <v>349</v>
      </c>
      <c r="C79" t="s">
        <v>350</v>
      </c>
      <c r="D79">
        <v>35300</v>
      </c>
      <c r="E79" t="s">
        <v>351</v>
      </c>
      <c r="F79">
        <v>13566</v>
      </c>
      <c r="G79">
        <v>0</v>
      </c>
      <c r="I79">
        <v>1676</v>
      </c>
      <c r="J79">
        <v>0</v>
      </c>
      <c r="K79">
        <v>0</v>
      </c>
      <c r="L79">
        <v>0</v>
      </c>
      <c r="M79">
        <v>24048</v>
      </c>
      <c r="N79">
        <v>7400</v>
      </c>
      <c r="O79">
        <v>0</v>
      </c>
      <c r="P79">
        <v>0</v>
      </c>
      <c r="R79">
        <v>0</v>
      </c>
      <c r="S79">
        <v>0</v>
      </c>
      <c r="T79" t="s">
        <v>198</v>
      </c>
      <c r="U79">
        <v>6</v>
      </c>
      <c r="V79" t="s">
        <v>87</v>
      </c>
      <c r="W79" t="s">
        <v>154</v>
      </c>
      <c r="X79" t="s">
        <v>108</v>
      </c>
      <c r="Y79" t="s">
        <v>89</v>
      </c>
      <c r="Z79">
        <v>1</v>
      </c>
      <c r="AA79">
        <f>IF(AND(D79&gt;=配装计算器!$I$29,D79&lt;=配装计算器!$I$30),1,0)</f>
        <v>1</v>
      </c>
      <c r="AB79">
        <f t="shared" si="20"/>
        <v>0</v>
      </c>
      <c r="AC79">
        <f t="shared" si="21"/>
        <v>0</v>
      </c>
      <c r="AD79">
        <f t="shared" si="22"/>
        <v>0</v>
      </c>
      <c r="AE79">
        <f t="shared" si="23"/>
        <v>1</v>
      </c>
      <c r="AF79">
        <f t="shared" si="24"/>
        <v>1</v>
      </c>
      <c r="AG79">
        <f t="shared" si="25"/>
        <v>0</v>
      </c>
      <c r="AH79">
        <f t="shared" si="26"/>
        <v>0</v>
      </c>
      <c r="AI79">
        <f t="shared" si="27"/>
        <v>1</v>
      </c>
      <c r="AJ79">
        <f t="shared" si="28"/>
        <v>1</v>
      </c>
      <c r="AK79">
        <f>SUM(AJ$2:$AJ79)</f>
        <v>78</v>
      </c>
    </row>
    <row r="80" spans="1:37">
      <c r="A80" t="s">
        <v>224</v>
      </c>
      <c r="B80" t="s">
        <v>352</v>
      </c>
      <c r="C80" t="s">
        <v>353</v>
      </c>
      <c r="D80">
        <v>35300</v>
      </c>
      <c r="E80" t="s">
        <v>354</v>
      </c>
      <c r="F80">
        <v>13566</v>
      </c>
      <c r="G80">
        <v>0</v>
      </c>
      <c r="I80">
        <v>4692</v>
      </c>
      <c r="J80">
        <v>0</v>
      </c>
      <c r="K80">
        <v>0</v>
      </c>
      <c r="L80">
        <v>0</v>
      </c>
      <c r="M80">
        <v>18499</v>
      </c>
      <c r="N80">
        <v>0</v>
      </c>
      <c r="O80">
        <v>0</v>
      </c>
      <c r="P80">
        <v>0</v>
      </c>
      <c r="R80">
        <v>0</v>
      </c>
      <c r="S80">
        <v>0</v>
      </c>
      <c r="T80" t="s">
        <v>276</v>
      </c>
      <c r="U80">
        <v>6</v>
      </c>
      <c r="V80" t="s">
        <v>87</v>
      </c>
      <c r="W80" t="s">
        <v>94</v>
      </c>
      <c r="X80" t="s">
        <v>154</v>
      </c>
      <c r="Y80" t="s">
        <v>89</v>
      </c>
      <c r="Z80">
        <v>1</v>
      </c>
      <c r="AA80">
        <f>IF(AND(D80&gt;=配装计算器!$I$29,D80&lt;=配装计算器!$I$30),1,0)</f>
        <v>1</v>
      </c>
      <c r="AB80">
        <f t="shared" si="20"/>
        <v>0</v>
      </c>
      <c r="AC80">
        <f t="shared" si="21"/>
        <v>0</v>
      </c>
      <c r="AD80">
        <f t="shared" si="22"/>
        <v>0</v>
      </c>
      <c r="AE80">
        <f t="shared" si="23"/>
        <v>1</v>
      </c>
      <c r="AF80">
        <f t="shared" si="24"/>
        <v>0</v>
      </c>
      <c r="AG80">
        <f t="shared" si="25"/>
        <v>0</v>
      </c>
      <c r="AH80">
        <f t="shared" si="26"/>
        <v>0</v>
      </c>
      <c r="AI80">
        <f t="shared" si="27"/>
        <v>1</v>
      </c>
      <c r="AJ80">
        <f t="shared" si="28"/>
        <v>1</v>
      </c>
      <c r="AK80">
        <f>SUM(AJ$2:$AJ80)</f>
        <v>79</v>
      </c>
    </row>
    <row r="81" spans="1:37">
      <c r="A81" t="s">
        <v>224</v>
      </c>
      <c r="B81" t="s">
        <v>355</v>
      </c>
      <c r="C81" t="s">
        <v>356</v>
      </c>
      <c r="D81">
        <v>35300</v>
      </c>
      <c r="E81" t="s">
        <v>357</v>
      </c>
      <c r="F81">
        <v>13566</v>
      </c>
      <c r="G81">
        <v>0</v>
      </c>
      <c r="I81">
        <v>5362</v>
      </c>
      <c r="J81">
        <v>0</v>
      </c>
      <c r="K81">
        <v>0</v>
      </c>
      <c r="L81">
        <v>0</v>
      </c>
      <c r="M81">
        <v>0</v>
      </c>
      <c r="N81">
        <v>9558</v>
      </c>
      <c r="O81">
        <v>8941</v>
      </c>
      <c r="P81">
        <v>0</v>
      </c>
      <c r="R81">
        <v>0</v>
      </c>
      <c r="S81">
        <v>0</v>
      </c>
      <c r="T81" t="s">
        <v>358</v>
      </c>
      <c r="U81">
        <v>6</v>
      </c>
      <c r="V81" t="s">
        <v>87</v>
      </c>
      <c r="W81" t="s">
        <v>94</v>
      </c>
      <c r="X81" t="s">
        <v>154</v>
      </c>
      <c r="Y81" t="s">
        <v>89</v>
      </c>
      <c r="Z81">
        <v>1</v>
      </c>
      <c r="AA81">
        <f>IF(AND(D81&gt;=配装计算器!$I$29,D81&lt;=配装计算器!$I$30),1,0)</f>
        <v>1</v>
      </c>
      <c r="AB81">
        <f t="shared" si="20"/>
        <v>0</v>
      </c>
      <c r="AC81">
        <f t="shared" si="21"/>
        <v>0</v>
      </c>
      <c r="AD81">
        <f t="shared" si="22"/>
        <v>0</v>
      </c>
      <c r="AE81">
        <f t="shared" si="23"/>
        <v>0</v>
      </c>
      <c r="AF81">
        <f t="shared" si="24"/>
        <v>1</v>
      </c>
      <c r="AG81">
        <f t="shared" si="25"/>
        <v>1</v>
      </c>
      <c r="AH81">
        <f t="shared" si="26"/>
        <v>0</v>
      </c>
      <c r="AI81">
        <f t="shared" si="27"/>
        <v>1</v>
      </c>
      <c r="AJ81">
        <f t="shared" si="28"/>
        <v>1</v>
      </c>
      <c r="AK81">
        <f>SUM(AJ$2:$AJ81)</f>
        <v>80</v>
      </c>
    </row>
    <row r="82" spans="1:37">
      <c r="A82" t="s">
        <v>224</v>
      </c>
      <c r="B82" t="s">
        <v>359</v>
      </c>
      <c r="C82" t="s">
        <v>360</v>
      </c>
      <c r="D82">
        <v>35300</v>
      </c>
      <c r="E82" t="s">
        <v>361</v>
      </c>
      <c r="F82">
        <v>13566</v>
      </c>
      <c r="G82">
        <v>0</v>
      </c>
      <c r="I82">
        <v>1676</v>
      </c>
      <c r="J82">
        <v>0</v>
      </c>
      <c r="K82">
        <v>0</v>
      </c>
      <c r="L82">
        <v>24048</v>
      </c>
      <c r="M82">
        <v>0</v>
      </c>
      <c r="N82">
        <v>7400</v>
      </c>
      <c r="O82">
        <v>0</v>
      </c>
      <c r="P82">
        <v>0</v>
      </c>
      <c r="R82">
        <v>0</v>
      </c>
      <c r="S82">
        <v>0</v>
      </c>
      <c r="T82" t="s">
        <v>153</v>
      </c>
      <c r="U82">
        <v>6</v>
      </c>
      <c r="V82" t="s">
        <v>87</v>
      </c>
      <c r="W82" t="s">
        <v>135</v>
      </c>
      <c r="X82" t="s">
        <v>123</v>
      </c>
      <c r="Y82" t="s">
        <v>89</v>
      </c>
      <c r="Z82">
        <v>1</v>
      </c>
      <c r="AA82">
        <f>IF(AND(D82&gt;=配装计算器!$I$29,D82&lt;=配装计算器!$I$30),1,0)</f>
        <v>1</v>
      </c>
      <c r="AB82">
        <f t="shared" si="20"/>
        <v>0</v>
      </c>
      <c r="AC82">
        <f t="shared" si="21"/>
        <v>0</v>
      </c>
      <c r="AD82">
        <f t="shared" si="22"/>
        <v>1</v>
      </c>
      <c r="AE82">
        <f t="shared" si="23"/>
        <v>0</v>
      </c>
      <c r="AF82">
        <f t="shared" si="24"/>
        <v>1</v>
      </c>
      <c r="AG82">
        <f t="shared" si="25"/>
        <v>0</v>
      </c>
      <c r="AH82">
        <f t="shared" si="26"/>
        <v>0</v>
      </c>
      <c r="AI82">
        <f t="shared" si="27"/>
        <v>1</v>
      </c>
      <c r="AJ82">
        <f t="shared" si="28"/>
        <v>1</v>
      </c>
      <c r="AK82">
        <f>SUM(AJ$2:$AJ82)</f>
        <v>81</v>
      </c>
    </row>
    <row r="83" spans="1:37">
      <c r="A83" t="s">
        <v>224</v>
      </c>
      <c r="B83" t="s">
        <v>362</v>
      </c>
      <c r="C83" t="s">
        <v>363</v>
      </c>
      <c r="D83">
        <v>35300</v>
      </c>
      <c r="E83" t="s">
        <v>364</v>
      </c>
      <c r="F83">
        <v>13566</v>
      </c>
      <c r="G83">
        <v>0</v>
      </c>
      <c r="I83">
        <v>1676</v>
      </c>
      <c r="J83">
        <v>24048</v>
      </c>
      <c r="K83">
        <v>0</v>
      </c>
      <c r="L83">
        <v>0</v>
      </c>
      <c r="M83">
        <v>0</v>
      </c>
      <c r="N83">
        <v>7400</v>
      </c>
      <c r="O83">
        <v>0</v>
      </c>
      <c r="P83">
        <v>0</v>
      </c>
      <c r="R83">
        <v>0</v>
      </c>
      <c r="S83">
        <v>0</v>
      </c>
      <c r="T83" t="s">
        <v>184</v>
      </c>
      <c r="U83">
        <v>6</v>
      </c>
      <c r="V83" t="s">
        <v>87</v>
      </c>
      <c r="W83" t="s">
        <v>123</v>
      </c>
      <c r="X83" t="s">
        <v>108</v>
      </c>
      <c r="Y83" t="s">
        <v>89</v>
      </c>
      <c r="Z83">
        <v>1</v>
      </c>
      <c r="AA83">
        <f>IF(AND(D83&gt;=配装计算器!$I$29,D83&lt;=配装计算器!$I$30),1,0)</f>
        <v>1</v>
      </c>
      <c r="AB83">
        <f t="shared" si="20"/>
        <v>1</v>
      </c>
      <c r="AC83">
        <f t="shared" si="21"/>
        <v>0</v>
      </c>
      <c r="AD83">
        <f t="shared" si="22"/>
        <v>0</v>
      </c>
      <c r="AE83">
        <f t="shared" si="23"/>
        <v>0</v>
      </c>
      <c r="AF83">
        <f t="shared" si="24"/>
        <v>1</v>
      </c>
      <c r="AG83">
        <f t="shared" si="25"/>
        <v>0</v>
      </c>
      <c r="AH83">
        <f t="shared" si="26"/>
        <v>0</v>
      </c>
      <c r="AI83">
        <f t="shared" si="27"/>
        <v>1</v>
      </c>
      <c r="AJ83">
        <f t="shared" si="28"/>
        <v>1</v>
      </c>
      <c r="AK83">
        <f>SUM(AJ$2:$AJ83)</f>
        <v>82</v>
      </c>
    </row>
    <row r="84" spans="1:37">
      <c r="A84" t="s">
        <v>224</v>
      </c>
      <c r="B84" t="s">
        <v>365</v>
      </c>
      <c r="C84" t="s">
        <v>366</v>
      </c>
      <c r="D84">
        <v>35300</v>
      </c>
      <c r="E84" t="s">
        <v>367</v>
      </c>
      <c r="F84">
        <v>13566</v>
      </c>
      <c r="G84">
        <v>0</v>
      </c>
      <c r="I84">
        <v>4860</v>
      </c>
      <c r="J84">
        <v>11099</v>
      </c>
      <c r="K84">
        <v>4625</v>
      </c>
      <c r="L84">
        <v>0</v>
      </c>
      <c r="M84">
        <v>4625</v>
      </c>
      <c r="N84">
        <v>0</v>
      </c>
      <c r="O84">
        <v>0</v>
      </c>
      <c r="P84">
        <v>0</v>
      </c>
      <c r="R84">
        <v>0</v>
      </c>
      <c r="S84">
        <v>0</v>
      </c>
      <c r="T84" t="s">
        <v>157</v>
      </c>
      <c r="U84">
        <v>6</v>
      </c>
      <c r="V84" t="s">
        <v>87</v>
      </c>
      <c r="W84" t="s">
        <v>135</v>
      </c>
      <c r="X84" t="s">
        <v>123</v>
      </c>
      <c r="Y84" t="s">
        <v>89</v>
      </c>
      <c r="Z84">
        <v>1</v>
      </c>
      <c r="AA84">
        <f>IF(AND(D84&gt;=配装计算器!$I$29,D84&lt;=配装计算器!$I$30),1,0)</f>
        <v>1</v>
      </c>
      <c r="AB84">
        <f t="shared" si="20"/>
        <v>1</v>
      </c>
      <c r="AC84">
        <f t="shared" si="21"/>
        <v>1</v>
      </c>
      <c r="AD84">
        <f t="shared" si="22"/>
        <v>0</v>
      </c>
      <c r="AE84">
        <f t="shared" si="23"/>
        <v>1</v>
      </c>
      <c r="AF84">
        <f t="shared" si="24"/>
        <v>0</v>
      </c>
      <c r="AG84">
        <f t="shared" si="25"/>
        <v>0</v>
      </c>
      <c r="AH84">
        <f t="shared" si="26"/>
        <v>0</v>
      </c>
      <c r="AI84">
        <f t="shared" si="27"/>
        <v>1</v>
      </c>
      <c r="AJ84">
        <f t="shared" si="28"/>
        <v>1</v>
      </c>
      <c r="AK84">
        <f>SUM(AJ$2:$AJ84)</f>
        <v>83</v>
      </c>
    </row>
    <row r="85" spans="1:37">
      <c r="A85" t="s">
        <v>224</v>
      </c>
      <c r="B85" t="s">
        <v>368</v>
      </c>
      <c r="C85" t="s">
        <v>369</v>
      </c>
      <c r="D85">
        <v>35300</v>
      </c>
      <c r="E85" t="s">
        <v>370</v>
      </c>
      <c r="F85">
        <v>13566</v>
      </c>
      <c r="G85">
        <v>0</v>
      </c>
      <c r="I85">
        <v>4860</v>
      </c>
      <c r="J85">
        <v>11099</v>
      </c>
      <c r="K85">
        <v>4625</v>
      </c>
      <c r="L85">
        <v>0</v>
      </c>
      <c r="M85">
        <v>0</v>
      </c>
      <c r="N85">
        <v>4625</v>
      </c>
      <c r="O85">
        <v>0</v>
      </c>
      <c r="P85">
        <v>0</v>
      </c>
      <c r="R85">
        <v>0</v>
      </c>
      <c r="S85">
        <v>0</v>
      </c>
      <c r="T85" t="s">
        <v>141</v>
      </c>
      <c r="U85">
        <v>6</v>
      </c>
      <c r="V85" t="s">
        <v>87</v>
      </c>
      <c r="W85" t="s">
        <v>135</v>
      </c>
      <c r="X85" t="s">
        <v>108</v>
      </c>
      <c r="Y85" t="s">
        <v>89</v>
      </c>
      <c r="Z85">
        <v>1</v>
      </c>
      <c r="AA85">
        <f>IF(AND(D85&gt;=配装计算器!$I$29,D85&lt;=配装计算器!$I$30),1,0)</f>
        <v>1</v>
      </c>
      <c r="AB85">
        <f t="shared" si="20"/>
        <v>1</v>
      </c>
      <c r="AC85">
        <f t="shared" si="21"/>
        <v>1</v>
      </c>
      <c r="AD85">
        <f t="shared" si="22"/>
        <v>0</v>
      </c>
      <c r="AE85">
        <f t="shared" si="23"/>
        <v>0</v>
      </c>
      <c r="AF85">
        <f t="shared" si="24"/>
        <v>1</v>
      </c>
      <c r="AG85">
        <f t="shared" si="25"/>
        <v>0</v>
      </c>
      <c r="AH85">
        <f t="shared" si="26"/>
        <v>0</v>
      </c>
      <c r="AI85">
        <f t="shared" si="27"/>
        <v>1</v>
      </c>
      <c r="AJ85">
        <f t="shared" si="28"/>
        <v>1</v>
      </c>
      <c r="AK85">
        <f>SUM(AJ$2:$AJ85)</f>
        <v>84</v>
      </c>
    </row>
    <row r="86" spans="1:37">
      <c r="A86" t="s">
        <v>224</v>
      </c>
      <c r="B86" t="s">
        <v>371</v>
      </c>
      <c r="C86" t="s">
        <v>372</v>
      </c>
      <c r="D86">
        <v>35300</v>
      </c>
      <c r="E86" t="s">
        <v>373</v>
      </c>
      <c r="F86">
        <v>13566</v>
      </c>
      <c r="G86">
        <v>0</v>
      </c>
      <c r="I86">
        <v>3351</v>
      </c>
      <c r="J86">
        <v>0</v>
      </c>
      <c r="K86">
        <v>0</v>
      </c>
      <c r="L86">
        <v>0</v>
      </c>
      <c r="M86">
        <v>16957</v>
      </c>
      <c r="N86">
        <v>9249</v>
      </c>
      <c r="O86">
        <v>0</v>
      </c>
      <c r="P86">
        <v>0</v>
      </c>
      <c r="R86">
        <v>0</v>
      </c>
      <c r="S86">
        <v>0</v>
      </c>
      <c r="T86" t="s">
        <v>292</v>
      </c>
      <c r="U86">
        <v>6</v>
      </c>
      <c r="V86" t="s">
        <v>87</v>
      </c>
      <c r="W86" t="s">
        <v>154</v>
      </c>
      <c r="X86" t="s">
        <v>108</v>
      </c>
      <c r="Y86" t="s">
        <v>89</v>
      </c>
      <c r="Z86">
        <v>1</v>
      </c>
      <c r="AA86">
        <f>IF(AND(D86&gt;=配装计算器!$I$29,D86&lt;=配装计算器!$I$30),1,0)</f>
        <v>1</v>
      </c>
      <c r="AB86">
        <f t="shared" si="20"/>
        <v>0</v>
      </c>
      <c r="AC86">
        <f t="shared" si="21"/>
        <v>0</v>
      </c>
      <c r="AD86">
        <f t="shared" si="22"/>
        <v>0</v>
      </c>
      <c r="AE86">
        <f t="shared" si="23"/>
        <v>1</v>
      </c>
      <c r="AF86">
        <f t="shared" si="24"/>
        <v>1</v>
      </c>
      <c r="AG86">
        <f t="shared" si="25"/>
        <v>0</v>
      </c>
      <c r="AH86">
        <f t="shared" si="26"/>
        <v>0</v>
      </c>
      <c r="AI86">
        <f t="shared" si="27"/>
        <v>1</v>
      </c>
      <c r="AJ86">
        <f t="shared" si="28"/>
        <v>1</v>
      </c>
      <c r="AK86">
        <f>SUM(AJ$2:$AJ86)</f>
        <v>85</v>
      </c>
    </row>
    <row r="87" spans="1:37">
      <c r="A87" t="s">
        <v>224</v>
      </c>
      <c r="B87" t="s">
        <v>374</v>
      </c>
      <c r="C87" t="s">
        <v>375</v>
      </c>
      <c r="D87">
        <v>35300</v>
      </c>
      <c r="E87" t="s">
        <v>376</v>
      </c>
      <c r="F87">
        <v>13566</v>
      </c>
      <c r="G87">
        <v>0</v>
      </c>
      <c r="I87">
        <v>4860</v>
      </c>
      <c r="J87">
        <v>0</v>
      </c>
      <c r="K87">
        <v>0</v>
      </c>
      <c r="L87">
        <v>6783</v>
      </c>
      <c r="M87">
        <v>6783</v>
      </c>
      <c r="N87">
        <v>6783</v>
      </c>
      <c r="O87">
        <v>0</v>
      </c>
      <c r="P87">
        <v>0</v>
      </c>
      <c r="R87">
        <v>0</v>
      </c>
      <c r="S87">
        <v>0</v>
      </c>
      <c r="T87" t="s">
        <v>296</v>
      </c>
      <c r="U87">
        <v>6</v>
      </c>
      <c r="V87" t="s">
        <v>87</v>
      </c>
      <c r="W87" t="s">
        <v>135</v>
      </c>
      <c r="X87" t="s">
        <v>108</v>
      </c>
      <c r="Y87" t="s">
        <v>89</v>
      </c>
      <c r="Z87">
        <v>1</v>
      </c>
      <c r="AA87">
        <f>IF(AND(D87&gt;=配装计算器!$I$29,D87&lt;=配装计算器!$I$30),1,0)</f>
        <v>1</v>
      </c>
      <c r="AB87">
        <f t="shared" si="20"/>
        <v>0</v>
      </c>
      <c r="AC87">
        <f t="shared" si="21"/>
        <v>0</v>
      </c>
      <c r="AD87">
        <f t="shared" si="22"/>
        <v>1</v>
      </c>
      <c r="AE87">
        <f t="shared" si="23"/>
        <v>1</v>
      </c>
      <c r="AF87">
        <f t="shared" si="24"/>
        <v>1</v>
      </c>
      <c r="AG87">
        <f t="shared" si="25"/>
        <v>0</v>
      </c>
      <c r="AH87">
        <f t="shared" si="26"/>
        <v>0</v>
      </c>
      <c r="AI87">
        <f t="shared" si="27"/>
        <v>1</v>
      </c>
      <c r="AJ87">
        <f t="shared" si="28"/>
        <v>1</v>
      </c>
      <c r="AK87">
        <f>SUM(AJ$2:$AJ87)</f>
        <v>86</v>
      </c>
    </row>
    <row r="88" spans="1:37">
      <c r="A88" t="s">
        <v>224</v>
      </c>
      <c r="B88" t="s">
        <v>377</v>
      </c>
      <c r="C88" t="s">
        <v>378</v>
      </c>
      <c r="D88">
        <v>35300</v>
      </c>
      <c r="E88" t="s">
        <v>379</v>
      </c>
      <c r="F88">
        <v>13566</v>
      </c>
      <c r="G88">
        <v>0</v>
      </c>
      <c r="I88">
        <v>5697</v>
      </c>
      <c r="J88">
        <v>0</v>
      </c>
      <c r="K88">
        <v>0</v>
      </c>
      <c r="L88">
        <v>0</v>
      </c>
      <c r="M88">
        <v>0</v>
      </c>
      <c r="N88">
        <v>16032</v>
      </c>
      <c r="O88">
        <v>0</v>
      </c>
      <c r="P88">
        <v>0</v>
      </c>
      <c r="R88">
        <v>0</v>
      </c>
      <c r="S88">
        <v>0</v>
      </c>
      <c r="T88" t="s">
        <v>300</v>
      </c>
      <c r="U88">
        <v>6</v>
      </c>
      <c r="V88" t="s">
        <v>87</v>
      </c>
      <c r="W88" t="s">
        <v>135</v>
      </c>
      <c r="X88" t="s">
        <v>108</v>
      </c>
      <c r="Y88" t="s">
        <v>89</v>
      </c>
      <c r="Z88">
        <v>1</v>
      </c>
      <c r="AA88">
        <f>IF(AND(D88&gt;=配装计算器!$I$29,D88&lt;=配装计算器!$I$30),1,0)</f>
        <v>1</v>
      </c>
      <c r="AB88">
        <f t="shared" si="20"/>
        <v>0</v>
      </c>
      <c r="AC88">
        <f t="shared" si="21"/>
        <v>0</v>
      </c>
      <c r="AD88">
        <f t="shared" si="22"/>
        <v>0</v>
      </c>
      <c r="AE88">
        <f t="shared" si="23"/>
        <v>0</v>
      </c>
      <c r="AF88">
        <f t="shared" si="24"/>
        <v>1</v>
      </c>
      <c r="AG88">
        <f t="shared" si="25"/>
        <v>0</v>
      </c>
      <c r="AH88">
        <f t="shared" si="26"/>
        <v>0</v>
      </c>
      <c r="AI88">
        <f t="shared" si="27"/>
        <v>1</v>
      </c>
      <c r="AJ88">
        <f t="shared" si="28"/>
        <v>1</v>
      </c>
      <c r="AK88">
        <f>SUM(AJ$2:$AJ88)</f>
        <v>87</v>
      </c>
    </row>
    <row r="89" spans="1:37">
      <c r="A89" t="s">
        <v>224</v>
      </c>
      <c r="B89" t="s">
        <v>380</v>
      </c>
      <c r="C89" t="s">
        <v>381</v>
      </c>
      <c r="D89">
        <v>35300</v>
      </c>
      <c r="E89" t="s">
        <v>382</v>
      </c>
      <c r="F89">
        <v>13566</v>
      </c>
      <c r="G89">
        <v>0</v>
      </c>
      <c r="I89">
        <v>5362</v>
      </c>
      <c r="J89">
        <v>0</v>
      </c>
      <c r="K89">
        <v>0</v>
      </c>
      <c r="L89">
        <v>0</v>
      </c>
      <c r="M89">
        <v>0</v>
      </c>
      <c r="N89">
        <v>9558</v>
      </c>
      <c r="O89">
        <v>8941</v>
      </c>
      <c r="P89">
        <v>0</v>
      </c>
      <c r="R89">
        <v>0</v>
      </c>
      <c r="S89">
        <v>0</v>
      </c>
      <c r="T89" t="s">
        <v>304</v>
      </c>
      <c r="U89">
        <v>6</v>
      </c>
      <c r="V89" t="s">
        <v>87</v>
      </c>
      <c r="W89" t="s">
        <v>94</v>
      </c>
      <c r="X89" t="s">
        <v>154</v>
      </c>
      <c r="Y89" t="s">
        <v>89</v>
      </c>
      <c r="Z89">
        <v>1</v>
      </c>
      <c r="AA89">
        <f>IF(AND(D89&gt;=配装计算器!$I$29,D89&lt;=配装计算器!$I$30),1,0)</f>
        <v>1</v>
      </c>
      <c r="AB89">
        <f t="shared" si="20"/>
        <v>0</v>
      </c>
      <c r="AC89">
        <f t="shared" si="21"/>
        <v>0</v>
      </c>
      <c r="AD89">
        <f t="shared" si="22"/>
        <v>0</v>
      </c>
      <c r="AE89">
        <f t="shared" si="23"/>
        <v>0</v>
      </c>
      <c r="AF89">
        <f t="shared" si="24"/>
        <v>1</v>
      </c>
      <c r="AG89">
        <f t="shared" si="25"/>
        <v>1</v>
      </c>
      <c r="AH89">
        <f t="shared" si="26"/>
        <v>0</v>
      </c>
      <c r="AI89">
        <f t="shared" si="27"/>
        <v>1</v>
      </c>
      <c r="AJ89">
        <f t="shared" si="28"/>
        <v>1</v>
      </c>
      <c r="AK89">
        <f>SUM(AJ$2:$AJ89)</f>
        <v>88</v>
      </c>
    </row>
    <row r="90" spans="1:37">
      <c r="A90" t="s">
        <v>224</v>
      </c>
      <c r="B90" t="s">
        <v>383</v>
      </c>
      <c r="C90" t="s">
        <v>384</v>
      </c>
      <c r="D90">
        <v>35300</v>
      </c>
      <c r="E90" t="s">
        <v>385</v>
      </c>
      <c r="F90">
        <v>13566</v>
      </c>
      <c r="G90">
        <v>0</v>
      </c>
      <c r="I90">
        <v>4692</v>
      </c>
      <c r="J90">
        <v>0</v>
      </c>
      <c r="K90">
        <v>0</v>
      </c>
      <c r="L90">
        <v>15107</v>
      </c>
      <c r="M90">
        <v>0</v>
      </c>
      <c r="N90">
        <v>6166</v>
      </c>
      <c r="O90">
        <v>0</v>
      </c>
      <c r="P90">
        <v>0</v>
      </c>
      <c r="R90">
        <v>0</v>
      </c>
      <c r="S90">
        <v>0</v>
      </c>
      <c r="T90" t="s">
        <v>308</v>
      </c>
      <c r="U90">
        <v>6</v>
      </c>
      <c r="V90" t="s">
        <v>87</v>
      </c>
      <c r="W90" t="s">
        <v>135</v>
      </c>
      <c r="X90" t="s">
        <v>123</v>
      </c>
      <c r="Y90" t="s">
        <v>89</v>
      </c>
      <c r="Z90">
        <v>1</v>
      </c>
      <c r="AA90">
        <f>IF(AND(D90&gt;=配装计算器!$I$29,D90&lt;=配装计算器!$I$30),1,0)</f>
        <v>1</v>
      </c>
      <c r="AB90">
        <f t="shared" si="20"/>
        <v>0</v>
      </c>
      <c r="AC90">
        <f t="shared" si="21"/>
        <v>0</v>
      </c>
      <c r="AD90">
        <f t="shared" si="22"/>
        <v>1</v>
      </c>
      <c r="AE90">
        <f t="shared" si="23"/>
        <v>0</v>
      </c>
      <c r="AF90">
        <f t="shared" si="24"/>
        <v>1</v>
      </c>
      <c r="AG90">
        <f t="shared" si="25"/>
        <v>0</v>
      </c>
      <c r="AH90">
        <f t="shared" si="26"/>
        <v>0</v>
      </c>
      <c r="AI90">
        <f t="shared" si="27"/>
        <v>1</v>
      </c>
      <c r="AJ90">
        <f t="shared" si="28"/>
        <v>1</v>
      </c>
      <c r="AK90">
        <f>SUM(AJ$2:$AJ90)</f>
        <v>89</v>
      </c>
    </row>
    <row r="91" spans="1:37">
      <c r="A91" t="s">
        <v>224</v>
      </c>
      <c r="B91" t="s">
        <v>386</v>
      </c>
      <c r="C91" t="s">
        <v>387</v>
      </c>
      <c r="D91">
        <v>35300</v>
      </c>
      <c r="E91" t="s">
        <v>388</v>
      </c>
      <c r="F91">
        <v>13566</v>
      </c>
      <c r="G91">
        <v>0</v>
      </c>
      <c r="I91">
        <v>4860</v>
      </c>
      <c r="J91">
        <v>6783</v>
      </c>
      <c r="K91">
        <v>0</v>
      </c>
      <c r="L91">
        <v>0</v>
      </c>
      <c r="M91">
        <v>6783</v>
      </c>
      <c r="N91">
        <v>6783</v>
      </c>
      <c r="O91">
        <v>0</v>
      </c>
      <c r="P91">
        <v>0</v>
      </c>
      <c r="R91">
        <v>0</v>
      </c>
      <c r="S91">
        <v>0</v>
      </c>
      <c r="T91" t="s">
        <v>312</v>
      </c>
      <c r="U91">
        <v>6</v>
      </c>
      <c r="V91" t="s">
        <v>87</v>
      </c>
      <c r="W91" t="s">
        <v>94</v>
      </c>
      <c r="X91" t="s">
        <v>108</v>
      </c>
      <c r="Y91" t="s">
        <v>89</v>
      </c>
      <c r="Z91">
        <v>1</v>
      </c>
      <c r="AA91">
        <f>IF(AND(D91&gt;=配装计算器!$I$29,D91&lt;=配装计算器!$I$30),1,0)</f>
        <v>1</v>
      </c>
      <c r="AB91">
        <f t="shared" si="20"/>
        <v>1</v>
      </c>
      <c r="AC91">
        <f t="shared" si="21"/>
        <v>0</v>
      </c>
      <c r="AD91">
        <f t="shared" si="22"/>
        <v>0</v>
      </c>
      <c r="AE91">
        <f t="shared" si="23"/>
        <v>1</v>
      </c>
      <c r="AF91">
        <f t="shared" si="24"/>
        <v>1</v>
      </c>
      <c r="AG91">
        <f t="shared" si="25"/>
        <v>0</v>
      </c>
      <c r="AH91">
        <f t="shared" si="26"/>
        <v>0</v>
      </c>
      <c r="AI91">
        <f t="shared" si="27"/>
        <v>1</v>
      </c>
      <c r="AJ91">
        <f t="shared" si="28"/>
        <v>1</v>
      </c>
      <c r="AK91">
        <f>SUM(AJ$2:$AJ91)</f>
        <v>90</v>
      </c>
    </row>
    <row r="92" spans="1:37">
      <c r="A92" t="s">
        <v>224</v>
      </c>
      <c r="B92" t="s">
        <v>389</v>
      </c>
      <c r="C92" t="s">
        <v>390</v>
      </c>
      <c r="D92">
        <v>35300</v>
      </c>
      <c r="E92" t="s">
        <v>391</v>
      </c>
      <c r="F92">
        <v>13566</v>
      </c>
      <c r="G92">
        <v>0</v>
      </c>
      <c r="I92">
        <v>4022</v>
      </c>
      <c r="J92">
        <v>14799</v>
      </c>
      <c r="K92">
        <v>0</v>
      </c>
      <c r="L92">
        <v>0</v>
      </c>
      <c r="M92">
        <v>0</v>
      </c>
      <c r="N92">
        <v>8633</v>
      </c>
      <c r="O92">
        <v>0</v>
      </c>
      <c r="P92">
        <v>0</v>
      </c>
      <c r="R92">
        <v>0</v>
      </c>
      <c r="S92">
        <v>0</v>
      </c>
      <c r="T92" t="s">
        <v>316</v>
      </c>
      <c r="U92">
        <v>6</v>
      </c>
      <c r="V92" t="s">
        <v>87</v>
      </c>
      <c r="W92" t="s">
        <v>123</v>
      </c>
      <c r="X92" t="s">
        <v>108</v>
      </c>
      <c r="Y92" t="s">
        <v>89</v>
      </c>
      <c r="Z92">
        <v>1</v>
      </c>
      <c r="AA92">
        <f>IF(AND(D92&gt;=配装计算器!$I$29,D92&lt;=配装计算器!$I$30),1,0)</f>
        <v>1</v>
      </c>
      <c r="AB92">
        <f t="shared" si="20"/>
        <v>1</v>
      </c>
      <c r="AC92">
        <f t="shared" si="21"/>
        <v>0</v>
      </c>
      <c r="AD92">
        <f t="shared" si="22"/>
        <v>0</v>
      </c>
      <c r="AE92">
        <f t="shared" si="23"/>
        <v>0</v>
      </c>
      <c r="AF92">
        <f t="shared" si="24"/>
        <v>1</v>
      </c>
      <c r="AG92">
        <f t="shared" si="25"/>
        <v>0</v>
      </c>
      <c r="AH92">
        <f t="shared" si="26"/>
        <v>0</v>
      </c>
      <c r="AI92">
        <f t="shared" si="27"/>
        <v>1</v>
      </c>
      <c r="AJ92">
        <f t="shared" si="28"/>
        <v>1</v>
      </c>
      <c r="AK92">
        <f>SUM(AJ$2:$AJ92)</f>
        <v>91</v>
      </c>
    </row>
    <row r="93" spans="1:37">
      <c r="A93" t="s">
        <v>224</v>
      </c>
      <c r="B93" t="s">
        <v>392</v>
      </c>
      <c r="C93" t="s">
        <v>393</v>
      </c>
      <c r="D93">
        <v>35300</v>
      </c>
      <c r="E93" t="s">
        <v>394</v>
      </c>
      <c r="F93">
        <v>13566</v>
      </c>
      <c r="G93">
        <v>0</v>
      </c>
      <c r="I93">
        <v>4860</v>
      </c>
      <c r="J93">
        <v>6783</v>
      </c>
      <c r="K93">
        <v>0</v>
      </c>
      <c r="L93">
        <v>6783</v>
      </c>
      <c r="M93">
        <v>0</v>
      </c>
      <c r="N93">
        <v>6783</v>
      </c>
      <c r="O93">
        <v>0</v>
      </c>
      <c r="P93">
        <v>0</v>
      </c>
      <c r="R93">
        <v>0</v>
      </c>
      <c r="S93">
        <v>0</v>
      </c>
      <c r="T93" t="s">
        <v>320</v>
      </c>
      <c r="U93">
        <v>6</v>
      </c>
      <c r="V93" t="s">
        <v>87</v>
      </c>
      <c r="W93" t="s">
        <v>185</v>
      </c>
      <c r="X93" t="s">
        <v>123</v>
      </c>
      <c r="Y93" t="s">
        <v>89</v>
      </c>
      <c r="Z93">
        <v>1</v>
      </c>
      <c r="AA93">
        <f>IF(AND(D93&gt;=配装计算器!$I$29,D93&lt;=配装计算器!$I$30),1,0)</f>
        <v>1</v>
      </c>
      <c r="AB93">
        <f t="shared" si="20"/>
        <v>1</v>
      </c>
      <c r="AC93">
        <f t="shared" si="21"/>
        <v>0</v>
      </c>
      <c r="AD93">
        <f t="shared" si="22"/>
        <v>1</v>
      </c>
      <c r="AE93">
        <f t="shared" si="23"/>
        <v>0</v>
      </c>
      <c r="AF93">
        <f t="shared" si="24"/>
        <v>1</v>
      </c>
      <c r="AG93">
        <f t="shared" si="25"/>
        <v>0</v>
      </c>
      <c r="AH93">
        <f t="shared" si="26"/>
        <v>0</v>
      </c>
      <c r="AI93">
        <f t="shared" si="27"/>
        <v>1</v>
      </c>
      <c r="AJ93">
        <f t="shared" si="28"/>
        <v>1</v>
      </c>
      <c r="AK93">
        <f>SUM(AJ$2:$AJ93)</f>
        <v>92</v>
      </c>
    </row>
    <row r="94" spans="1:37">
      <c r="A94" t="s">
        <v>224</v>
      </c>
      <c r="B94" t="s">
        <v>395</v>
      </c>
      <c r="C94" t="s">
        <v>396</v>
      </c>
      <c r="D94">
        <v>35900</v>
      </c>
      <c r="E94" t="s">
        <v>397</v>
      </c>
      <c r="F94">
        <v>13796</v>
      </c>
      <c r="G94">
        <v>1126</v>
      </c>
      <c r="I94">
        <v>2556</v>
      </c>
      <c r="J94">
        <v>0</v>
      </c>
      <c r="K94">
        <v>0</v>
      </c>
      <c r="L94">
        <v>9407</v>
      </c>
      <c r="M94">
        <v>0</v>
      </c>
      <c r="N94">
        <v>7525</v>
      </c>
      <c r="O94">
        <v>0</v>
      </c>
      <c r="P94">
        <v>0</v>
      </c>
      <c r="R94">
        <v>0</v>
      </c>
      <c r="S94">
        <v>0</v>
      </c>
      <c r="T94" t="s">
        <v>122</v>
      </c>
      <c r="U94">
        <v>6</v>
      </c>
      <c r="V94" t="s">
        <v>327</v>
      </c>
      <c r="W94" t="s">
        <v>108</v>
      </c>
      <c r="X94" t="s">
        <v>88</v>
      </c>
      <c r="Y94" t="s">
        <v>89</v>
      </c>
      <c r="Z94">
        <v>1</v>
      </c>
      <c r="AA94">
        <f>IF(AND(D94&gt;=配装计算器!$I$29,D94&lt;=配装计算器!$I$30),1,0)</f>
        <v>1</v>
      </c>
      <c r="AB94">
        <f t="shared" si="20"/>
        <v>0</v>
      </c>
      <c r="AC94">
        <f t="shared" si="21"/>
        <v>0</v>
      </c>
      <c r="AD94">
        <f t="shared" si="22"/>
        <v>1</v>
      </c>
      <c r="AE94">
        <f t="shared" si="23"/>
        <v>0</v>
      </c>
      <c r="AF94">
        <f t="shared" si="24"/>
        <v>1</v>
      </c>
      <c r="AG94">
        <f t="shared" si="25"/>
        <v>0</v>
      </c>
      <c r="AH94">
        <f t="shared" si="26"/>
        <v>0</v>
      </c>
      <c r="AI94">
        <f t="shared" si="27"/>
        <v>0</v>
      </c>
      <c r="AJ94">
        <f t="shared" si="28"/>
        <v>1</v>
      </c>
      <c r="AK94">
        <f>SUM(AJ$2:$AJ94)</f>
        <v>93</v>
      </c>
    </row>
    <row r="95" spans="1:37">
      <c r="A95" t="s">
        <v>224</v>
      </c>
      <c r="B95" t="s">
        <v>398</v>
      </c>
      <c r="C95" t="s">
        <v>399</v>
      </c>
      <c r="D95">
        <v>36200</v>
      </c>
      <c r="E95" t="s">
        <v>400</v>
      </c>
      <c r="F95">
        <v>13912</v>
      </c>
      <c r="G95">
        <v>1054</v>
      </c>
      <c r="I95">
        <v>1718</v>
      </c>
      <c r="J95">
        <v>0</v>
      </c>
      <c r="K95">
        <v>0</v>
      </c>
      <c r="L95">
        <v>9485</v>
      </c>
      <c r="M95">
        <v>0</v>
      </c>
      <c r="N95">
        <v>0</v>
      </c>
      <c r="O95">
        <v>0</v>
      </c>
      <c r="P95">
        <v>3794</v>
      </c>
      <c r="R95">
        <v>0</v>
      </c>
      <c r="S95">
        <v>0</v>
      </c>
      <c r="T95" t="s">
        <v>86</v>
      </c>
      <c r="U95">
        <v>6</v>
      </c>
      <c r="V95" t="s">
        <v>145</v>
      </c>
      <c r="W95" t="s">
        <v>229</v>
      </c>
      <c r="X95" t="s">
        <v>135</v>
      </c>
      <c r="Y95" t="s">
        <v>89</v>
      </c>
      <c r="Z95">
        <v>2</v>
      </c>
      <c r="AA95">
        <f>IF(AND(D95&gt;=配装计算器!$I$29,D95&lt;=配装计算器!$I$30),1,0)</f>
        <v>1</v>
      </c>
      <c r="AB95">
        <f t="shared" si="20"/>
        <v>0</v>
      </c>
      <c r="AC95">
        <f t="shared" si="21"/>
        <v>0</v>
      </c>
      <c r="AD95">
        <f t="shared" si="22"/>
        <v>1</v>
      </c>
      <c r="AE95">
        <f t="shared" si="23"/>
        <v>0</v>
      </c>
      <c r="AF95">
        <f t="shared" si="24"/>
        <v>0</v>
      </c>
      <c r="AG95">
        <f t="shared" si="25"/>
        <v>0</v>
      </c>
      <c r="AH95">
        <f t="shared" si="26"/>
        <v>1</v>
      </c>
      <c r="AI95">
        <f t="shared" si="27"/>
        <v>0</v>
      </c>
      <c r="AJ95">
        <f t="shared" si="28"/>
        <v>1</v>
      </c>
      <c r="AK95">
        <f>SUM(AJ$2:$AJ95)</f>
        <v>94</v>
      </c>
    </row>
    <row r="96" spans="1:37">
      <c r="A96" t="s">
        <v>224</v>
      </c>
      <c r="B96" t="s">
        <v>401</v>
      </c>
      <c r="C96" t="s">
        <v>402</v>
      </c>
      <c r="D96">
        <v>41400</v>
      </c>
      <c r="E96" t="s">
        <v>403</v>
      </c>
      <c r="F96">
        <v>15910</v>
      </c>
      <c r="G96">
        <v>1298</v>
      </c>
      <c r="I96">
        <v>2948</v>
      </c>
      <c r="J96">
        <v>0</v>
      </c>
      <c r="K96">
        <v>0</v>
      </c>
      <c r="L96">
        <v>0</v>
      </c>
      <c r="M96">
        <v>10848</v>
      </c>
      <c r="N96">
        <v>8678</v>
      </c>
      <c r="O96">
        <v>0</v>
      </c>
      <c r="P96">
        <v>0</v>
      </c>
      <c r="R96">
        <v>0</v>
      </c>
      <c r="S96">
        <v>0</v>
      </c>
      <c r="T96" t="s">
        <v>107</v>
      </c>
      <c r="U96">
        <v>6</v>
      </c>
      <c r="V96" t="s">
        <v>240</v>
      </c>
      <c r="W96" t="s">
        <v>135</v>
      </c>
      <c r="X96" t="s">
        <v>154</v>
      </c>
      <c r="Y96" t="s">
        <v>89</v>
      </c>
      <c r="Z96">
        <v>1</v>
      </c>
      <c r="AA96">
        <f>IF(AND(D96&gt;=配装计算器!$I$29,D96&lt;=配装计算器!$I$30),1,0)</f>
        <v>1</v>
      </c>
      <c r="AB96">
        <f t="shared" si="20"/>
        <v>0</v>
      </c>
      <c r="AC96">
        <f t="shared" si="21"/>
        <v>0</v>
      </c>
      <c r="AD96">
        <f t="shared" si="22"/>
        <v>0</v>
      </c>
      <c r="AE96">
        <f t="shared" si="23"/>
        <v>1</v>
      </c>
      <c r="AF96">
        <f t="shared" si="24"/>
        <v>1</v>
      </c>
      <c r="AG96">
        <f t="shared" si="25"/>
        <v>0</v>
      </c>
      <c r="AH96">
        <f t="shared" si="26"/>
        <v>0</v>
      </c>
      <c r="AI96">
        <f t="shared" si="27"/>
        <v>0</v>
      </c>
      <c r="AJ96">
        <f t="shared" si="28"/>
        <v>1</v>
      </c>
      <c r="AK96">
        <f>SUM(AJ$2:$AJ96)</f>
        <v>95</v>
      </c>
    </row>
    <row r="97" spans="1:37">
      <c r="A97" t="s">
        <v>224</v>
      </c>
      <c r="B97" t="s">
        <v>404</v>
      </c>
      <c r="C97" t="s">
        <v>405</v>
      </c>
      <c r="D97">
        <v>41400</v>
      </c>
      <c r="E97" t="s">
        <v>406</v>
      </c>
      <c r="F97">
        <v>15910</v>
      </c>
      <c r="G97">
        <v>1298</v>
      </c>
      <c r="I97">
        <v>2948</v>
      </c>
      <c r="J97">
        <v>0</v>
      </c>
      <c r="K97">
        <v>0</v>
      </c>
      <c r="L97">
        <v>0</v>
      </c>
      <c r="M97">
        <v>0</v>
      </c>
      <c r="N97">
        <v>8678</v>
      </c>
      <c r="O97">
        <v>10848</v>
      </c>
      <c r="P97">
        <v>0</v>
      </c>
      <c r="R97">
        <v>0</v>
      </c>
      <c r="S97">
        <v>0</v>
      </c>
      <c r="T97" t="s">
        <v>115</v>
      </c>
      <c r="U97">
        <v>6</v>
      </c>
      <c r="V97" t="s">
        <v>87</v>
      </c>
      <c r="W97" t="s">
        <v>135</v>
      </c>
      <c r="X97" t="s">
        <v>88</v>
      </c>
      <c r="Y97" t="s">
        <v>89</v>
      </c>
      <c r="Z97">
        <v>1</v>
      </c>
      <c r="AA97">
        <f>IF(AND(D97&gt;=配装计算器!$I$29,D97&lt;=配装计算器!$I$30),1,0)</f>
        <v>1</v>
      </c>
      <c r="AB97">
        <f t="shared" si="20"/>
        <v>0</v>
      </c>
      <c r="AC97">
        <f t="shared" si="21"/>
        <v>0</v>
      </c>
      <c r="AD97">
        <f t="shared" si="22"/>
        <v>0</v>
      </c>
      <c r="AE97">
        <f t="shared" si="23"/>
        <v>0</v>
      </c>
      <c r="AF97">
        <f t="shared" si="24"/>
        <v>1</v>
      </c>
      <c r="AG97">
        <f t="shared" si="25"/>
        <v>1</v>
      </c>
      <c r="AH97">
        <f t="shared" si="26"/>
        <v>0</v>
      </c>
      <c r="AI97">
        <f t="shared" si="27"/>
        <v>0</v>
      </c>
      <c r="AJ97">
        <f t="shared" si="28"/>
        <v>1</v>
      </c>
      <c r="AK97">
        <f>SUM(AJ$2:$AJ97)</f>
        <v>96</v>
      </c>
    </row>
    <row r="98" spans="1:37">
      <c r="A98" t="s">
        <v>224</v>
      </c>
      <c r="B98" t="s">
        <v>407</v>
      </c>
      <c r="C98" t="s">
        <v>408</v>
      </c>
      <c r="D98">
        <v>41400</v>
      </c>
      <c r="E98" t="s">
        <v>409</v>
      </c>
      <c r="F98">
        <v>15910</v>
      </c>
      <c r="G98">
        <v>1298</v>
      </c>
      <c r="I98">
        <v>2948</v>
      </c>
      <c r="J98">
        <v>0</v>
      </c>
      <c r="K98">
        <v>0</v>
      </c>
      <c r="L98">
        <v>10848</v>
      </c>
      <c r="M98">
        <v>0</v>
      </c>
      <c r="N98">
        <v>8678</v>
      </c>
      <c r="O98">
        <v>0</v>
      </c>
      <c r="P98">
        <v>0</v>
      </c>
      <c r="R98">
        <v>0</v>
      </c>
      <c r="S98">
        <v>0</v>
      </c>
      <c r="T98" t="s">
        <v>122</v>
      </c>
      <c r="U98">
        <v>6</v>
      </c>
      <c r="V98" t="s">
        <v>87</v>
      </c>
      <c r="W98" t="s">
        <v>108</v>
      </c>
      <c r="X98" t="s">
        <v>88</v>
      </c>
      <c r="Y98" t="s">
        <v>89</v>
      </c>
      <c r="Z98">
        <v>1</v>
      </c>
      <c r="AA98">
        <f>IF(AND(D98&gt;=配装计算器!$I$29,D98&lt;=配装计算器!$I$30),1,0)</f>
        <v>1</v>
      </c>
      <c r="AB98">
        <f t="shared" si="20"/>
        <v>0</v>
      </c>
      <c r="AC98">
        <f t="shared" si="21"/>
        <v>0</v>
      </c>
      <c r="AD98">
        <f t="shared" si="22"/>
        <v>1</v>
      </c>
      <c r="AE98">
        <f t="shared" si="23"/>
        <v>0</v>
      </c>
      <c r="AF98">
        <f t="shared" si="24"/>
        <v>1</v>
      </c>
      <c r="AG98">
        <f t="shared" si="25"/>
        <v>0</v>
      </c>
      <c r="AH98">
        <f t="shared" si="26"/>
        <v>0</v>
      </c>
      <c r="AI98">
        <f t="shared" si="27"/>
        <v>0</v>
      </c>
      <c r="AJ98">
        <f t="shared" si="28"/>
        <v>1</v>
      </c>
      <c r="AK98">
        <f>SUM(AJ$2:$AJ98)</f>
        <v>97</v>
      </c>
    </row>
    <row r="99" spans="1:37">
      <c r="A99" t="s">
        <v>224</v>
      </c>
      <c r="B99" t="s">
        <v>410</v>
      </c>
      <c r="C99" t="s">
        <v>411</v>
      </c>
      <c r="D99">
        <v>41400</v>
      </c>
      <c r="E99" t="s">
        <v>412</v>
      </c>
      <c r="F99">
        <v>15910</v>
      </c>
      <c r="G99">
        <v>1298</v>
      </c>
      <c r="I99">
        <v>2948</v>
      </c>
      <c r="J99">
        <v>10848</v>
      </c>
      <c r="K99">
        <v>0</v>
      </c>
      <c r="L99">
        <v>0</v>
      </c>
      <c r="M99">
        <v>0</v>
      </c>
      <c r="N99">
        <v>8678</v>
      </c>
      <c r="O99">
        <v>0</v>
      </c>
      <c r="P99">
        <v>0</v>
      </c>
      <c r="R99">
        <v>0</v>
      </c>
      <c r="S99">
        <v>0</v>
      </c>
      <c r="T99" t="s">
        <v>102</v>
      </c>
      <c r="U99">
        <v>6</v>
      </c>
      <c r="V99" t="s">
        <v>262</v>
      </c>
      <c r="W99" t="s">
        <v>94</v>
      </c>
      <c r="X99" t="s">
        <v>123</v>
      </c>
      <c r="Y99" t="s">
        <v>89</v>
      </c>
      <c r="Z99">
        <v>1</v>
      </c>
      <c r="AA99">
        <f>IF(AND(D99&gt;=配装计算器!$I$29,D99&lt;=配装计算器!$I$30),1,0)</f>
        <v>1</v>
      </c>
      <c r="AB99">
        <f t="shared" si="20"/>
        <v>1</v>
      </c>
      <c r="AC99">
        <f t="shared" si="21"/>
        <v>0</v>
      </c>
      <c r="AD99">
        <f t="shared" si="22"/>
        <v>0</v>
      </c>
      <c r="AE99">
        <f t="shared" si="23"/>
        <v>0</v>
      </c>
      <c r="AF99">
        <f t="shared" si="24"/>
        <v>1</v>
      </c>
      <c r="AG99">
        <f t="shared" si="25"/>
        <v>0</v>
      </c>
      <c r="AH99">
        <f t="shared" si="26"/>
        <v>0</v>
      </c>
      <c r="AI99">
        <f t="shared" si="27"/>
        <v>0</v>
      </c>
      <c r="AJ99">
        <f t="shared" si="28"/>
        <v>1</v>
      </c>
      <c r="AK99">
        <f>SUM(AJ$2:$AJ99)</f>
        <v>98</v>
      </c>
    </row>
    <row r="100" spans="1:37">
      <c r="A100" t="s">
        <v>224</v>
      </c>
      <c r="B100" t="s">
        <v>413</v>
      </c>
      <c r="C100" t="s">
        <v>414</v>
      </c>
      <c r="D100">
        <v>41400</v>
      </c>
      <c r="E100" t="s">
        <v>415</v>
      </c>
      <c r="F100">
        <v>15910</v>
      </c>
      <c r="G100">
        <v>1298</v>
      </c>
      <c r="I100">
        <v>2948</v>
      </c>
      <c r="J100">
        <v>10848</v>
      </c>
      <c r="K100">
        <v>0</v>
      </c>
      <c r="L100">
        <v>0</v>
      </c>
      <c r="M100">
        <v>0</v>
      </c>
      <c r="N100">
        <v>8678</v>
      </c>
      <c r="O100">
        <v>0</v>
      </c>
      <c r="P100">
        <v>0</v>
      </c>
      <c r="R100">
        <v>0</v>
      </c>
      <c r="S100">
        <v>0</v>
      </c>
      <c r="T100" t="s">
        <v>102</v>
      </c>
      <c r="U100">
        <v>6</v>
      </c>
      <c r="V100" t="s">
        <v>130</v>
      </c>
      <c r="W100" t="s">
        <v>94</v>
      </c>
      <c r="X100" t="s">
        <v>123</v>
      </c>
      <c r="Y100" t="s">
        <v>89</v>
      </c>
      <c r="Z100">
        <v>1</v>
      </c>
      <c r="AA100">
        <f>IF(AND(D100&gt;=配装计算器!$I$29,D100&lt;=配装计算器!$I$30),1,0)</f>
        <v>1</v>
      </c>
      <c r="AB100">
        <f t="shared" si="20"/>
        <v>1</v>
      </c>
      <c r="AC100">
        <f t="shared" si="21"/>
        <v>0</v>
      </c>
      <c r="AD100">
        <f t="shared" si="22"/>
        <v>0</v>
      </c>
      <c r="AE100">
        <f t="shared" si="23"/>
        <v>0</v>
      </c>
      <c r="AF100">
        <f t="shared" si="24"/>
        <v>1</v>
      </c>
      <c r="AG100">
        <f t="shared" si="25"/>
        <v>0</v>
      </c>
      <c r="AH100">
        <f t="shared" si="26"/>
        <v>0</v>
      </c>
      <c r="AI100">
        <f t="shared" si="27"/>
        <v>0</v>
      </c>
      <c r="AJ100">
        <f t="shared" si="28"/>
        <v>1</v>
      </c>
      <c r="AK100">
        <f>SUM(AJ$2:$AJ100)</f>
        <v>99</v>
      </c>
    </row>
    <row r="101" spans="1:37">
      <c r="A101" t="s">
        <v>224</v>
      </c>
      <c r="B101" t="s">
        <v>416</v>
      </c>
      <c r="C101" t="s">
        <v>417</v>
      </c>
      <c r="D101">
        <v>41400</v>
      </c>
      <c r="E101" t="s">
        <v>418</v>
      </c>
      <c r="F101">
        <v>15910</v>
      </c>
      <c r="G101">
        <v>0</v>
      </c>
      <c r="I101">
        <v>1965</v>
      </c>
      <c r="J101">
        <v>0</v>
      </c>
      <c r="K101">
        <v>0</v>
      </c>
      <c r="L101">
        <v>0</v>
      </c>
      <c r="M101">
        <v>28927</v>
      </c>
      <c r="N101">
        <v>8678</v>
      </c>
      <c r="O101">
        <v>0</v>
      </c>
      <c r="P101">
        <v>0</v>
      </c>
      <c r="R101">
        <v>0</v>
      </c>
      <c r="S101">
        <v>0</v>
      </c>
      <c r="T101" t="s">
        <v>198</v>
      </c>
      <c r="U101">
        <v>6</v>
      </c>
      <c r="V101" t="s">
        <v>87</v>
      </c>
      <c r="W101" t="s">
        <v>154</v>
      </c>
      <c r="X101" t="s">
        <v>108</v>
      </c>
      <c r="Y101" t="s">
        <v>89</v>
      </c>
      <c r="Z101">
        <v>1</v>
      </c>
      <c r="AA101">
        <f>IF(AND(D101&gt;=配装计算器!$I$29,D101&lt;=配装计算器!$I$30),1,0)</f>
        <v>1</v>
      </c>
      <c r="AB101">
        <f t="shared" si="20"/>
        <v>0</v>
      </c>
      <c r="AC101">
        <f t="shared" si="21"/>
        <v>0</v>
      </c>
      <c r="AD101">
        <f t="shared" si="22"/>
        <v>0</v>
      </c>
      <c r="AE101">
        <f t="shared" si="23"/>
        <v>1</v>
      </c>
      <c r="AF101">
        <f t="shared" si="24"/>
        <v>1</v>
      </c>
      <c r="AG101">
        <f t="shared" si="25"/>
        <v>0</v>
      </c>
      <c r="AH101">
        <f t="shared" si="26"/>
        <v>0</v>
      </c>
      <c r="AI101">
        <f t="shared" si="27"/>
        <v>1</v>
      </c>
      <c r="AJ101">
        <f t="shared" si="28"/>
        <v>1</v>
      </c>
      <c r="AK101">
        <f>SUM(AJ$2:$AJ101)</f>
        <v>100</v>
      </c>
    </row>
    <row r="102" spans="1:37">
      <c r="A102" t="s">
        <v>224</v>
      </c>
      <c r="B102" t="s">
        <v>419</v>
      </c>
      <c r="C102" t="s">
        <v>420</v>
      </c>
      <c r="D102">
        <v>41400</v>
      </c>
      <c r="E102" t="s">
        <v>421</v>
      </c>
      <c r="F102">
        <v>15910</v>
      </c>
      <c r="G102">
        <v>0</v>
      </c>
      <c r="I102">
        <v>5503</v>
      </c>
      <c r="J102">
        <v>0</v>
      </c>
      <c r="K102">
        <v>0</v>
      </c>
      <c r="L102">
        <v>0</v>
      </c>
      <c r="M102">
        <v>22419</v>
      </c>
      <c r="N102">
        <v>0</v>
      </c>
      <c r="O102">
        <v>0</v>
      </c>
      <c r="P102">
        <v>0</v>
      </c>
      <c r="R102">
        <v>0</v>
      </c>
      <c r="S102">
        <v>0</v>
      </c>
      <c r="T102" t="s">
        <v>276</v>
      </c>
      <c r="U102">
        <v>6</v>
      </c>
      <c r="V102" t="s">
        <v>87</v>
      </c>
      <c r="W102" t="s">
        <v>94</v>
      </c>
      <c r="X102" t="s">
        <v>154</v>
      </c>
      <c r="Y102" t="s">
        <v>89</v>
      </c>
      <c r="Z102">
        <v>1</v>
      </c>
      <c r="AA102">
        <f>IF(AND(D102&gt;=配装计算器!$I$29,D102&lt;=配装计算器!$I$30),1,0)</f>
        <v>1</v>
      </c>
      <c r="AB102">
        <f t="shared" si="20"/>
        <v>0</v>
      </c>
      <c r="AC102">
        <f t="shared" si="21"/>
        <v>0</v>
      </c>
      <c r="AD102">
        <f t="shared" si="22"/>
        <v>0</v>
      </c>
      <c r="AE102">
        <f t="shared" si="23"/>
        <v>1</v>
      </c>
      <c r="AF102">
        <f t="shared" si="24"/>
        <v>0</v>
      </c>
      <c r="AG102">
        <f t="shared" si="25"/>
        <v>0</v>
      </c>
      <c r="AH102">
        <f t="shared" si="26"/>
        <v>0</v>
      </c>
      <c r="AI102">
        <f t="shared" si="27"/>
        <v>1</v>
      </c>
      <c r="AJ102">
        <f t="shared" si="28"/>
        <v>1</v>
      </c>
      <c r="AK102">
        <f>SUM(AJ$2:$AJ102)</f>
        <v>101</v>
      </c>
    </row>
    <row r="103" spans="1:37">
      <c r="A103" t="s">
        <v>224</v>
      </c>
      <c r="B103" t="s">
        <v>422</v>
      </c>
      <c r="C103" t="s">
        <v>423</v>
      </c>
      <c r="D103">
        <v>41400</v>
      </c>
      <c r="E103" t="s">
        <v>424</v>
      </c>
      <c r="F103">
        <v>15910</v>
      </c>
      <c r="G103">
        <v>0</v>
      </c>
      <c r="I103">
        <v>6702</v>
      </c>
      <c r="J103">
        <v>0</v>
      </c>
      <c r="K103">
        <v>0</v>
      </c>
      <c r="L103">
        <v>0</v>
      </c>
      <c r="M103">
        <v>0</v>
      </c>
      <c r="N103">
        <v>11209</v>
      </c>
      <c r="O103">
        <v>8967</v>
      </c>
      <c r="P103">
        <v>0</v>
      </c>
      <c r="R103">
        <v>0</v>
      </c>
      <c r="S103">
        <v>0</v>
      </c>
      <c r="T103" t="s">
        <v>358</v>
      </c>
      <c r="U103">
        <v>6</v>
      </c>
      <c r="V103" t="s">
        <v>87</v>
      </c>
      <c r="W103" t="s">
        <v>94</v>
      </c>
      <c r="X103" t="s">
        <v>154</v>
      </c>
      <c r="Y103" t="s">
        <v>89</v>
      </c>
      <c r="Z103">
        <v>1</v>
      </c>
      <c r="AA103">
        <f>IF(AND(D103&gt;=配装计算器!$I$29,D103&lt;=配装计算器!$I$30),1,0)</f>
        <v>1</v>
      </c>
      <c r="AB103">
        <f t="shared" si="20"/>
        <v>0</v>
      </c>
      <c r="AC103">
        <f t="shared" si="21"/>
        <v>0</v>
      </c>
      <c r="AD103">
        <f t="shared" si="22"/>
        <v>0</v>
      </c>
      <c r="AE103">
        <f t="shared" si="23"/>
        <v>0</v>
      </c>
      <c r="AF103">
        <f t="shared" si="24"/>
        <v>1</v>
      </c>
      <c r="AG103">
        <f t="shared" si="25"/>
        <v>1</v>
      </c>
      <c r="AH103">
        <f t="shared" si="26"/>
        <v>0</v>
      </c>
      <c r="AI103">
        <f t="shared" si="27"/>
        <v>1</v>
      </c>
      <c r="AJ103">
        <f t="shared" si="28"/>
        <v>1</v>
      </c>
      <c r="AK103">
        <f>SUM(AJ$2:$AJ103)</f>
        <v>102</v>
      </c>
    </row>
    <row r="104" spans="1:37">
      <c r="A104" t="s">
        <v>224</v>
      </c>
      <c r="B104" t="s">
        <v>425</v>
      </c>
      <c r="C104" t="s">
        <v>426</v>
      </c>
      <c r="D104">
        <v>41400</v>
      </c>
      <c r="E104" t="s">
        <v>427</v>
      </c>
      <c r="F104">
        <v>15910</v>
      </c>
      <c r="G104">
        <v>0</v>
      </c>
      <c r="I104">
        <v>1965</v>
      </c>
      <c r="J104">
        <v>0</v>
      </c>
      <c r="K104">
        <v>0</v>
      </c>
      <c r="L104">
        <v>28204</v>
      </c>
      <c r="M104">
        <v>0</v>
      </c>
      <c r="N104">
        <v>8678</v>
      </c>
      <c r="O104">
        <v>0</v>
      </c>
      <c r="P104">
        <v>0</v>
      </c>
      <c r="R104">
        <v>0</v>
      </c>
      <c r="S104">
        <v>0</v>
      </c>
      <c r="T104" t="s">
        <v>153</v>
      </c>
      <c r="U104">
        <v>6</v>
      </c>
      <c r="V104" t="s">
        <v>87</v>
      </c>
      <c r="W104" t="s">
        <v>135</v>
      </c>
      <c r="X104" t="s">
        <v>123</v>
      </c>
      <c r="Y104" t="s">
        <v>89</v>
      </c>
      <c r="Z104">
        <v>1</v>
      </c>
      <c r="AA104">
        <f>IF(AND(D104&gt;=配装计算器!$I$29,D104&lt;=配装计算器!$I$30),1,0)</f>
        <v>1</v>
      </c>
      <c r="AB104">
        <f t="shared" si="20"/>
        <v>0</v>
      </c>
      <c r="AC104">
        <f t="shared" si="21"/>
        <v>0</v>
      </c>
      <c r="AD104">
        <f t="shared" si="22"/>
        <v>1</v>
      </c>
      <c r="AE104">
        <f t="shared" si="23"/>
        <v>0</v>
      </c>
      <c r="AF104">
        <f t="shared" si="24"/>
        <v>1</v>
      </c>
      <c r="AG104">
        <f t="shared" si="25"/>
        <v>0</v>
      </c>
      <c r="AH104">
        <f t="shared" si="26"/>
        <v>0</v>
      </c>
      <c r="AI104">
        <f t="shared" si="27"/>
        <v>1</v>
      </c>
      <c r="AJ104">
        <f t="shared" si="28"/>
        <v>1</v>
      </c>
      <c r="AK104">
        <f>SUM(AJ$2:$AJ104)</f>
        <v>103</v>
      </c>
    </row>
    <row r="105" spans="1:37">
      <c r="A105" t="s">
        <v>224</v>
      </c>
      <c r="B105" t="s">
        <v>428</v>
      </c>
      <c r="C105" t="s">
        <v>429</v>
      </c>
      <c r="D105">
        <v>41400</v>
      </c>
      <c r="E105" t="s">
        <v>430</v>
      </c>
      <c r="F105">
        <v>15910</v>
      </c>
      <c r="G105">
        <v>0</v>
      </c>
      <c r="I105">
        <v>1965</v>
      </c>
      <c r="J105">
        <v>28204</v>
      </c>
      <c r="K105">
        <v>0</v>
      </c>
      <c r="L105">
        <v>0</v>
      </c>
      <c r="M105">
        <v>0</v>
      </c>
      <c r="N105">
        <v>8678</v>
      </c>
      <c r="O105">
        <v>0</v>
      </c>
      <c r="P105">
        <v>0</v>
      </c>
      <c r="R105">
        <v>0</v>
      </c>
      <c r="S105">
        <v>0</v>
      </c>
      <c r="T105" t="s">
        <v>184</v>
      </c>
      <c r="U105">
        <v>6</v>
      </c>
      <c r="V105" t="s">
        <v>87</v>
      </c>
      <c r="W105" t="s">
        <v>123</v>
      </c>
      <c r="X105" t="s">
        <v>108</v>
      </c>
      <c r="Y105" t="s">
        <v>89</v>
      </c>
      <c r="Z105">
        <v>1</v>
      </c>
      <c r="AA105">
        <f>IF(AND(D105&gt;=配装计算器!$I$29,D105&lt;=配装计算器!$I$30),1,0)</f>
        <v>1</v>
      </c>
      <c r="AB105">
        <f t="shared" si="20"/>
        <v>1</v>
      </c>
      <c r="AC105">
        <f t="shared" si="21"/>
        <v>0</v>
      </c>
      <c r="AD105">
        <f t="shared" si="22"/>
        <v>0</v>
      </c>
      <c r="AE105">
        <f t="shared" si="23"/>
        <v>0</v>
      </c>
      <c r="AF105">
        <f t="shared" si="24"/>
        <v>1</v>
      </c>
      <c r="AG105">
        <f t="shared" si="25"/>
        <v>0</v>
      </c>
      <c r="AH105">
        <f t="shared" si="26"/>
        <v>0</v>
      </c>
      <c r="AI105">
        <f t="shared" si="27"/>
        <v>1</v>
      </c>
      <c r="AJ105">
        <f t="shared" si="28"/>
        <v>1</v>
      </c>
      <c r="AK105">
        <f>SUM(AJ$2:$AJ105)</f>
        <v>104</v>
      </c>
    </row>
    <row r="106" spans="1:37">
      <c r="A106" t="s">
        <v>224</v>
      </c>
      <c r="B106" t="s">
        <v>431</v>
      </c>
      <c r="C106" t="s">
        <v>432</v>
      </c>
      <c r="D106">
        <v>41400</v>
      </c>
      <c r="E106" t="s">
        <v>433</v>
      </c>
      <c r="F106">
        <v>15910</v>
      </c>
      <c r="G106">
        <v>0</v>
      </c>
      <c r="I106">
        <v>5699</v>
      </c>
      <c r="J106">
        <v>13017</v>
      </c>
      <c r="K106">
        <v>5424</v>
      </c>
      <c r="L106">
        <v>0</v>
      </c>
      <c r="M106">
        <v>5424</v>
      </c>
      <c r="N106">
        <v>0</v>
      </c>
      <c r="O106">
        <v>0</v>
      </c>
      <c r="P106">
        <v>0</v>
      </c>
      <c r="R106">
        <v>0</v>
      </c>
      <c r="S106">
        <v>0</v>
      </c>
      <c r="T106" t="s">
        <v>157</v>
      </c>
      <c r="U106">
        <v>6</v>
      </c>
      <c r="V106" t="s">
        <v>87</v>
      </c>
      <c r="W106" t="s">
        <v>135</v>
      </c>
      <c r="X106" t="s">
        <v>123</v>
      </c>
      <c r="Y106" t="s">
        <v>89</v>
      </c>
      <c r="Z106">
        <v>1</v>
      </c>
      <c r="AA106">
        <f>IF(AND(D106&gt;=配装计算器!$I$29,D106&lt;=配装计算器!$I$30),1,0)</f>
        <v>1</v>
      </c>
      <c r="AB106">
        <f t="shared" si="20"/>
        <v>1</v>
      </c>
      <c r="AC106">
        <f t="shared" si="21"/>
        <v>1</v>
      </c>
      <c r="AD106">
        <f t="shared" si="22"/>
        <v>0</v>
      </c>
      <c r="AE106">
        <f t="shared" si="23"/>
        <v>1</v>
      </c>
      <c r="AF106">
        <f t="shared" si="24"/>
        <v>0</v>
      </c>
      <c r="AG106">
        <f t="shared" si="25"/>
        <v>0</v>
      </c>
      <c r="AH106">
        <f t="shared" si="26"/>
        <v>0</v>
      </c>
      <c r="AI106">
        <f t="shared" si="27"/>
        <v>1</v>
      </c>
      <c r="AJ106">
        <f t="shared" si="28"/>
        <v>1</v>
      </c>
      <c r="AK106">
        <f>SUM(AJ$2:$AJ106)</f>
        <v>105</v>
      </c>
    </row>
    <row r="107" spans="1:37">
      <c r="A107" t="s">
        <v>224</v>
      </c>
      <c r="B107" t="s">
        <v>434</v>
      </c>
      <c r="C107" t="s">
        <v>435</v>
      </c>
      <c r="D107">
        <v>41400</v>
      </c>
      <c r="E107" t="s">
        <v>436</v>
      </c>
      <c r="F107">
        <v>15910</v>
      </c>
      <c r="G107">
        <v>0</v>
      </c>
      <c r="I107">
        <v>5699</v>
      </c>
      <c r="J107">
        <v>13017</v>
      </c>
      <c r="K107">
        <v>5424</v>
      </c>
      <c r="L107">
        <v>0</v>
      </c>
      <c r="M107">
        <v>0</v>
      </c>
      <c r="N107">
        <v>5424</v>
      </c>
      <c r="O107">
        <v>0</v>
      </c>
      <c r="P107">
        <v>0</v>
      </c>
      <c r="R107">
        <v>0</v>
      </c>
      <c r="S107">
        <v>0</v>
      </c>
      <c r="T107" t="s">
        <v>141</v>
      </c>
      <c r="U107">
        <v>6</v>
      </c>
      <c r="V107" t="s">
        <v>87</v>
      </c>
      <c r="W107" t="s">
        <v>135</v>
      </c>
      <c r="X107" t="s">
        <v>108</v>
      </c>
      <c r="Y107" t="s">
        <v>89</v>
      </c>
      <c r="Z107">
        <v>1</v>
      </c>
      <c r="AA107">
        <f>IF(AND(D107&gt;=配装计算器!$I$29,D107&lt;=配装计算器!$I$30),1,0)</f>
        <v>1</v>
      </c>
      <c r="AB107">
        <f t="shared" si="20"/>
        <v>1</v>
      </c>
      <c r="AC107">
        <f t="shared" si="21"/>
        <v>1</v>
      </c>
      <c r="AD107">
        <f t="shared" si="22"/>
        <v>0</v>
      </c>
      <c r="AE107">
        <f t="shared" si="23"/>
        <v>0</v>
      </c>
      <c r="AF107">
        <f t="shared" si="24"/>
        <v>1</v>
      </c>
      <c r="AG107">
        <f t="shared" si="25"/>
        <v>0</v>
      </c>
      <c r="AH107">
        <f t="shared" si="26"/>
        <v>0</v>
      </c>
      <c r="AI107">
        <f t="shared" si="27"/>
        <v>1</v>
      </c>
      <c r="AJ107">
        <f t="shared" si="28"/>
        <v>1</v>
      </c>
      <c r="AK107">
        <f>SUM(AJ$2:$AJ107)</f>
        <v>106</v>
      </c>
    </row>
    <row r="108" spans="1:37">
      <c r="A108" t="s">
        <v>224</v>
      </c>
      <c r="B108" t="s">
        <v>437</v>
      </c>
      <c r="C108" t="s">
        <v>438</v>
      </c>
      <c r="D108">
        <v>41400</v>
      </c>
      <c r="E108" t="s">
        <v>439</v>
      </c>
      <c r="F108">
        <v>15910</v>
      </c>
      <c r="G108">
        <v>0</v>
      </c>
      <c r="I108">
        <v>3931</v>
      </c>
      <c r="J108">
        <v>0</v>
      </c>
      <c r="K108">
        <v>0</v>
      </c>
      <c r="L108">
        <v>0</v>
      </c>
      <c r="M108">
        <v>20611</v>
      </c>
      <c r="N108">
        <v>10848</v>
      </c>
      <c r="O108">
        <v>0</v>
      </c>
      <c r="P108">
        <v>0</v>
      </c>
      <c r="R108">
        <v>0</v>
      </c>
      <c r="S108">
        <v>0</v>
      </c>
      <c r="T108" t="s">
        <v>292</v>
      </c>
      <c r="U108">
        <v>6</v>
      </c>
      <c r="V108" t="s">
        <v>87</v>
      </c>
      <c r="W108" t="s">
        <v>154</v>
      </c>
      <c r="X108" t="s">
        <v>108</v>
      </c>
      <c r="Y108" t="s">
        <v>89</v>
      </c>
      <c r="Z108">
        <v>1</v>
      </c>
      <c r="AA108">
        <f>IF(AND(D108&gt;=配装计算器!$I$29,D108&lt;=配装计算器!$I$30),1,0)</f>
        <v>1</v>
      </c>
      <c r="AB108">
        <f t="shared" si="20"/>
        <v>0</v>
      </c>
      <c r="AC108">
        <f t="shared" si="21"/>
        <v>0</v>
      </c>
      <c r="AD108">
        <f t="shared" si="22"/>
        <v>0</v>
      </c>
      <c r="AE108">
        <f t="shared" si="23"/>
        <v>1</v>
      </c>
      <c r="AF108">
        <f t="shared" si="24"/>
        <v>1</v>
      </c>
      <c r="AG108">
        <f t="shared" si="25"/>
        <v>0</v>
      </c>
      <c r="AH108">
        <f t="shared" si="26"/>
        <v>0</v>
      </c>
      <c r="AI108">
        <f t="shared" si="27"/>
        <v>1</v>
      </c>
      <c r="AJ108">
        <f t="shared" si="28"/>
        <v>1</v>
      </c>
      <c r="AK108">
        <f>SUM(AJ$2:$AJ108)</f>
        <v>107</v>
      </c>
    </row>
    <row r="109" spans="1:37">
      <c r="A109" t="s">
        <v>224</v>
      </c>
      <c r="B109" t="s">
        <v>440</v>
      </c>
      <c r="C109" t="s">
        <v>441</v>
      </c>
      <c r="D109">
        <v>41400</v>
      </c>
      <c r="E109" t="s">
        <v>442</v>
      </c>
      <c r="F109">
        <v>15910</v>
      </c>
      <c r="G109">
        <v>0</v>
      </c>
      <c r="I109">
        <v>5699</v>
      </c>
      <c r="J109">
        <v>0</v>
      </c>
      <c r="K109">
        <v>0</v>
      </c>
      <c r="L109">
        <v>7955</v>
      </c>
      <c r="M109">
        <v>7955</v>
      </c>
      <c r="N109">
        <v>7955</v>
      </c>
      <c r="O109">
        <v>0</v>
      </c>
      <c r="P109">
        <v>0</v>
      </c>
      <c r="R109">
        <v>0</v>
      </c>
      <c r="S109">
        <v>0</v>
      </c>
      <c r="T109" t="s">
        <v>296</v>
      </c>
      <c r="U109">
        <v>6</v>
      </c>
      <c r="V109" t="s">
        <v>87</v>
      </c>
      <c r="W109" t="s">
        <v>135</v>
      </c>
      <c r="X109" t="s">
        <v>108</v>
      </c>
      <c r="Y109" t="s">
        <v>89</v>
      </c>
      <c r="Z109">
        <v>1</v>
      </c>
      <c r="AA109">
        <f>IF(AND(D109&gt;=配装计算器!$I$29,D109&lt;=配装计算器!$I$30),1,0)</f>
        <v>1</v>
      </c>
      <c r="AB109">
        <f t="shared" si="20"/>
        <v>0</v>
      </c>
      <c r="AC109">
        <f t="shared" si="21"/>
        <v>0</v>
      </c>
      <c r="AD109">
        <f t="shared" si="22"/>
        <v>1</v>
      </c>
      <c r="AE109">
        <f t="shared" si="23"/>
        <v>1</v>
      </c>
      <c r="AF109">
        <f t="shared" si="24"/>
        <v>1</v>
      </c>
      <c r="AG109">
        <f t="shared" si="25"/>
        <v>0</v>
      </c>
      <c r="AH109">
        <f t="shared" si="26"/>
        <v>0</v>
      </c>
      <c r="AI109">
        <f t="shared" si="27"/>
        <v>1</v>
      </c>
      <c r="AJ109">
        <f t="shared" si="28"/>
        <v>1</v>
      </c>
      <c r="AK109">
        <f>SUM(AJ$2:$AJ109)</f>
        <v>108</v>
      </c>
    </row>
    <row r="110" spans="1:37">
      <c r="A110" t="s">
        <v>224</v>
      </c>
      <c r="B110" t="s">
        <v>443</v>
      </c>
      <c r="C110" t="s">
        <v>444</v>
      </c>
      <c r="D110">
        <v>41400</v>
      </c>
      <c r="E110" t="s">
        <v>445</v>
      </c>
      <c r="F110">
        <v>15910</v>
      </c>
      <c r="G110">
        <v>0</v>
      </c>
      <c r="I110">
        <v>6682</v>
      </c>
      <c r="J110">
        <v>0</v>
      </c>
      <c r="K110">
        <v>0</v>
      </c>
      <c r="L110">
        <v>0</v>
      </c>
      <c r="M110">
        <v>0</v>
      </c>
      <c r="N110">
        <v>18803</v>
      </c>
      <c r="O110">
        <v>0</v>
      </c>
      <c r="P110">
        <v>0</v>
      </c>
      <c r="R110">
        <v>0</v>
      </c>
      <c r="S110">
        <v>0</v>
      </c>
      <c r="T110" t="s">
        <v>300</v>
      </c>
      <c r="U110">
        <v>6</v>
      </c>
      <c r="V110" t="s">
        <v>87</v>
      </c>
      <c r="W110" t="s">
        <v>135</v>
      </c>
      <c r="X110" t="s">
        <v>108</v>
      </c>
      <c r="Y110" t="s">
        <v>89</v>
      </c>
      <c r="Z110">
        <v>1</v>
      </c>
      <c r="AA110">
        <f>IF(AND(D110&gt;=配装计算器!$I$29,D110&lt;=配装计算器!$I$30),1,0)</f>
        <v>1</v>
      </c>
      <c r="AB110">
        <f t="shared" si="20"/>
        <v>0</v>
      </c>
      <c r="AC110">
        <f t="shared" si="21"/>
        <v>0</v>
      </c>
      <c r="AD110">
        <f t="shared" si="22"/>
        <v>0</v>
      </c>
      <c r="AE110">
        <f t="shared" si="23"/>
        <v>0</v>
      </c>
      <c r="AF110">
        <f t="shared" si="24"/>
        <v>1</v>
      </c>
      <c r="AG110">
        <f t="shared" si="25"/>
        <v>0</v>
      </c>
      <c r="AH110">
        <f t="shared" si="26"/>
        <v>0</v>
      </c>
      <c r="AI110">
        <f t="shared" si="27"/>
        <v>1</v>
      </c>
      <c r="AJ110">
        <f t="shared" si="28"/>
        <v>1</v>
      </c>
      <c r="AK110">
        <f>SUM(AJ$2:$AJ110)</f>
        <v>109</v>
      </c>
    </row>
    <row r="111" spans="1:37">
      <c r="A111" t="s">
        <v>224</v>
      </c>
      <c r="B111" t="s">
        <v>446</v>
      </c>
      <c r="C111" t="s">
        <v>447</v>
      </c>
      <c r="D111">
        <v>41400</v>
      </c>
      <c r="E111" t="s">
        <v>448</v>
      </c>
      <c r="F111">
        <v>15910</v>
      </c>
      <c r="G111">
        <v>0</v>
      </c>
      <c r="I111">
        <v>6702</v>
      </c>
      <c r="J111">
        <v>0</v>
      </c>
      <c r="K111">
        <v>0</v>
      </c>
      <c r="L111">
        <v>0</v>
      </c>
      <c r="M111">
        <v>0</v>
      </c>
      <c r="N111">
        <v>11209</v>
      </c>
      <c r="O111">
        <v>8967</v>
      </c>
      <c r="P111">
        <v>0</v>
      </c>
      <c r="R111">
        <v>0</v>
      </c>
      <c r="S111">
        <v>0</v>
      </c>
      <c r="T111" t="s">
        <v>304</v>
      </c>
      <c r="U111">
        <v>6</v>
      </c>
      <c r="V111" t="s">
        <v>87</v>
      </c>
      <c r="W111" t="s">
        <v>94</v>
      </c>
      <c r="X111" t="s">
        <v>154</v>
      </c>
      <c r="Y111" t="s">
        <v>89</v>
      </c>
      <c r="Z111">
        <v>1</v>
      </c>
      <c r="AA111">
        <f>IF(AND(D111&gt;=配装计算器!$I$29,D111&lt;=配装计算器!$I$30),1,0)</f>
        <v>1</v>
      </c>
      <c r="AB111">
        <f t="shared" si="20"/>
        <v>0</v>
      </c>
      <c r="AC111">
        <f t="shared" si="21"/>
        <v>0</v>
      </c>
      <c r="AD111">
        <f t="shared" si="22"/>
        <v>0</v>
      </c>
      <c r="AE111">
        <f t="shared" si="23"/>
        <v>0</v>
      </c>
      <c r="AF111">
        <f t="shared" si="24"/>
        <v>1</v>
      </c>
      <c r="AG111">
        <f t="shared" si="25"/>
        <v>1</v>
      </c>
      <c r="AH111">
        <f t="shared" si="26"/>
        <v>0</v>
      </c>
      <c r="AI111">
        <f t="shared" si="27"/>
        <v>1</v>
      </c>
      <c r="AJ111">
        <f t="shared" si="28"/>
        <v>1</v>
      </c>
      <c r="AK111">
        <f>SUM(AJ$2:$AJ111)</f>
        <v>110</v>
      </c>
    </row>
    <row r="112" spans="1:37">
      <c r="A112" t="s">
        <v>224</v>
      </c>
      <c r="B112" t="s">
        <v>449</v>
      </c>
      <c r="C112" t="s">
        <v>450</v>
      </c>
      <c r="D112">
        <v>41400</v>
      </c>
      <c r="E112" t="s">
        <v>451</v>
      </c>
      <c r="F112">
        <v>15910</v>
      </c>
      <c r="G112">
        <v>0</v>
      </c>
      <c r="I112">
        <v>5503</v>
      </c>
      <c r="J112">
        <v>0</v>
      </c>
      <c r="K112">
        <v>0</v>
      </c>
      <c r="L112">
        <v>17718</v>
      </c>
      <c r="M112">
        <v>0</v>
      </c>
      <c r="N112">
        <v>7232</v>
      </c>
      <c r="O112">
        <v>0</v>
      </c>
      <c r="P112">
        <v>0</v>
      </c>
      <c r="R112">
        <v>0</v>
      </c>
      <c r="S112">
        <v>0</v>
      </c>
      <c r="T112" t="s">
        <v>308</v>
      </c>
      <c r="U112">
        <v>6</v>
      </c>
      <c r="V112" t="s">
        <v>87</v>
      </c>
      <c r="W112" t="s">
        <v>135</v>
      </c>
      <c r="X112" t="s">
        <v>123</v>
      </c>
      <c r="Y112" t="s">
        <v>89</v>
      </c>
      <c r="Z112">
        <v>1</v>
      </c>
      <c r="AA112">
        <f>IF(AND(D112&gt;=配装计算器!$I$29,D112&lt;=配装计算器!$I$30),1,0)</f>
        <v>1</v>
      </c>
      <c r="AB112">
        <f t="shared" si="20"/>
        <v>0</v>
      </c>
      <c r="AC112">
        <f t="shared" si="21"/>
        <v>0</v>
      </c>
      <c r="AD112">
        <f t="shared" si="22"/>
        <v>1</v>
      </c>
      <c r="AE112">
        <f t="shared" si="23"/>
        <v>0</v>
      </c>
      <c r="AF112">
        <f t="shared" si="24"/>
        <v>1</v>
      </c>
      <c r="AG112">
        <f t="shared" si="25"/>
        <v>0</v>
      </c>
      <c r="AH112">
        <f t="shared" si="26"/>
        <v>0</v>
      </c>
      <c r="AI112">
        <f t="shared" si="27"/>
        <v>1</v>
      </c>
      <c r="AJ112">
        <f t="shared" si="28"/>
        <v>1</v>
      </c>
      <c r="AK112">
        <f>SUM(AJ$2:$AJ112)</f>
        <v>111</v>
      </c>
    </row>
    <row r="113" spans="1:37">
      <c r="A113" t="s">
        <v>224</v>
      </c>
      <c r="B113" t="s">
        <v>452</v>
      </c>
      <c r="C113" t="s">
        <v>453</v>
      </c>
      <c r="D113">
        <v>41400</v>
      </c>
      <c r="E113" t="s">
        <v>454</v>
      </c>
      <c r="F113">
        <v>15910</v>
      </c>
      <c r="G113">
        <v>0</v>
      </c>
      <c r="I113">
        <v>5699</v>
      </c>
      <c r="J113">
        <v>7955</v>
      </c>
      <c r="K113">
        <v>0</v>
      </c>
      <c r="L113">
        <v>0</v>
      </c>
      <c r="M113">
        <v>7955</v>
      </c>
      <c r="N113">
        <v>7955</v>
      </c>
      <c r="O113">
        <v>0</v>
      </c>
      <c r="P113">
        <v>0</v>
      </c>
      <c r="R113">
        <v>0</v>
      </c>
      <c r="S113">
        <v>0</v>
      </c>
      <c r="T113" t="s">
        <v>312</v>
      </c>
      <c r="U113">
        <v>6</v>
      </c>
      <c r="V113" t="s">
        <v>87</v>
      </c>
      <c r="W113" t="s">
        <v>94</v>
      </c>
      <c r="X113" t="s">
        <v>108</v>
      </c>
      <c r="Y113" t="s">
        <v>89</v>
      </c>
      <c r="Z113">
        <v>1</v>
      </c>
      <c r="AA113">
        <f>IF(AND(D113&gt;=配装计算器!$I$29,D113&lt;=配装计算器!$I$30),1,0)</f>
        <v>1</v>
      </c>
      <c r="AB113">
        <f t="shared" si="20"/>
        <v>1</v>
      </c>
      <c r="AC113">
        <f t="shared" si="21"/>
        <v>0</v>
      </c>
      <c r="AD113">
        <f t="shared" si="22"/>
        <v>0</v>
      </c>
      <c r="AE113">
        <f t="shared" si="23"/>
        <v>1</v>
      </c>
      <c r="AF113">
        <f t="shared" si="24"/>
        <v>1</v>
      </c>
      <c r="AG113">
        <f t="shared" si="25"/>
        <v>0</v>
      </c>
      <c r="AH113">
        <f t="shared" si="26"/>
        <v>0</v>
      </c>
      <c r="AI113">
        <f t="shared" si="27"/>
        <v>1</v>
      </c>
      <c r="AJ113">
        <f t="shared" si="28"/>
        <v>1</v>
      </c>
      <c r="AK113">
        <f>SUM(AJ$2:$AJ113)</f>
        <v>112</v>
      </c>
    </row>
    <row r="114" spans="1:37">
      <c r="A114" t="s">
        <v>224</v>
      </c>
      <c r="B114" t="s">
        <v>455</v>
      </c>
      <c r="C114" t="s">
        <v>456</v>
      </c>
      <c r="D114">
        <v>41400</v>
      </c>
      <c r="E114" t="s">
        <v>457</v>
      </c>
      <c r="F114">
        <v>15910</v>
      </c>
      <c r="G114">
        <v>0</v>
      </c>
      <c r="I114">
        <v>4717</v>
      </c>
      <c r="J114">
        <v>17356</v>
      </c>
      <c r="K114">
        <v>0</v>
      </c>
      <c r="L114">
        <v>0</v>
      </c>
      <c r="M114">
        <v>0</v>
      </c>
      <c r="N114">
        <v>10125</v>
      </c>
      <c r="O114">
        <v>0</v>
      </c>
      <c r="P114">
        <v>0</v>
      </c>
      <c r="R114">
        <v>0</v>
      </c>
      <c r="S114">
        <v>0</v>
      </c>
      <c r="T114" t="s">
        <v>316</v>
      </c>
      <c r="U114">
        <v>6</v>
      </c>
      <c r="V114" t="s">
        <v>87</v>
      </c>
      <c r="W114" t="s">
        <v>123</v>
      </c>
      <c r="X114" t="s">
        <v>108</v>
      </c>
      <c r="Y114" t="s">
        <v>89</v>
      </c>
      <c r="Z114">
        <v>1</v>
      </c>
      <c r="AA114">
        <f>IF(AND(D114&gt;=配装计算器!$I$29,D114&lt;=配装计算器!$I$30),1,0)</f>
        <v>1</v>
      </c>
      <c r="AB114">
        <f t="shared" si="20"/>
        <v>1</v>
      </c>
      <c r="AC114">
        <f t="shared" si="21"/>
        <v>0</v>
      </c>
      <c r="AD114">
        <f t="shared" si="22"/>
        <v>0</v>
      </c>
      <c r="AE114">
        <f t="shared" si="23"/>
        <v>0</v>
      </c>
      <c r="AF114">
        <f t="shared" si="24"/>
        <v>1</v>
      </c>
      <c r="AG114">
        <f t="shared" si="25"/>
        <v>0</v>
      </c>
      <c r="AH114">
        <f t="shared" si="26"/>
        <v>0</v>
      </c>
      <c r="AI114">
        <f t="shared" si="27"/>
        <v>1</v>
      </c>
      <c r="AJ114">
        <f t="shared" si="28"/>
        <v>1</v>
      </c>
      <c r="AK114">
        <f>SUM(AJ$2:$AJ114)</f>
        <v>113</v>
      </c>
    </row>
    <row r="115" spans="1:37">
      <c r="A115" t="s">
        <v>224</v>
      </c>
      <c r="B115" t="s">
        <v>458</v>
      </c>
      <c r="C115" t="s">
        <v>459</v>
      </c>
      <c r="D115">
        <v>41400</v>
      </c>
      <c r="E115" t="s">
        <v>460</v>
      </c>
      <c r="F115">
        <v>15910</v>
      </c>
      <c r="G115">
        <v>0</v>
      </c>
      <c r="I115">
        <v>5699</v>
      </c>
      <c r="J115">
        <v>7955</v>
      </c>
      <c r="K115">
        <v>0</v>
      </c>
      <c r="L115">
        <v>7955</v>
      </c>
      <c r="M115">
        <v>0</v>
      </c>
      <c r="N115">
        <v>7955</v>
      </c>
      <c r="O115">
        <v>0</v>
      </c>
      <c r="P115">
        <v>0</v>
      </c>
      <c r="R115">
        <v>0</v>
      </c>
      <c r="S115">
        <v>0</v>
      </c>
      <c r="T115" t="s">
        <v>320</v>
      </c>
      <c r="U115">
        <v>6</v>
      </c>
      <c r="V115" t="s">
        <v>87</v>
      </c>
      <c r="W115" t="s">
        <v>185</v>
      </c>
      <c r="X115" t="s">
        <v>123</v>
      </c>
      <c r="Y115" t="s">
        <v>89</v>
      </c>
      <c r="Z115">
        <v>1</v>
      </c>
      <c r="AA115">
        <f>IF(AND(D115&gt;=配装计算器!$I$29,D115&lt;=配装计算器!$I$30),1,0)</f>
        <v>1</v>
      </c>
      <c r="AB115">
        <f t="shared" si="20"/>
        <v>1</v>
      </c>
      <c r="AC115">
        <f t="shared" si="21"/>
        <v>0</v>
      </c>
      <c r="AD115">
        <f t="shared" si="22"/>
        <v>1</v>
      </c>
      <c r="AE115">
        <f t="shared" si="23"/>
        <v>0</v>
      </c>
      <c r="AF115">
        <f t="shared" si="24"/>
        <v>1</v>
      </c>
      <c r="AG115">
        <f t="shared" si="25"/>
        <v>0</v>
      </c>
      <c r="AH115">
        <f t="shared" si="26"/>
        <v>0</v>
      </c>
      <c r="AI115">
        <f t="shared" si="27"/>
        <v>1</v>
      </c>
      <c r="AJ115">
        <f t="shared" si="28"/>
        <v>1</v>
      </c>
      <c r="AK115">
        <f>SUM(AJ$2:$AJ115)</f>
        <v>114</v>
      </c>
    </row>
    <row r="116" spans="1:37">
      <c r="A116" t="s">
        <v>224</v>
      </c>
      <c r="B116" t="s">
        <v>461</v>
      </c>
      <c r="C116" t="s">
        <v>462</v>
      </c>
      <c r="D116">
        <v>42100</v>
      </c>
      <c r="E116" t="s">
        <v>463</v>
      </c>
      <c r="F116">
        <v>16179</v>
      </c>
      <c r="G116">
        <v>1320</v>
      </c>
      <c r="I116">
        <v>2998</v>
      </c>
      <c r="J116">
        <v>0</v>
      </c>
      <c r="K116">
        <v>0</v>
      </c>
      <c r="L116">
        <v>11031</v>
      </c>
      <c r="M116">
        <v>0</v>
      </c>
      <c r="N116">
        <v>8825</v>
      </c>
      <c r="O116">
        <v>0</v>
      </c>
      <c r="P116">
        <v>0</v>
      </c>
      <c r="R116">
        <v>0</v>
      </c>
      <c r="S116">
        <v>0</v>
      </c>
      <c r="T116" t="s">
        <v>122</v>
      </c>
      <c r="U116">
        <v>6</v>
      </c>
      <c r="V116" t="s">
        <v>327</v>
      </c>
      <c r="W116" t="s">
        <v>108</v>
      </c>
      <c r="X116" t="s">
        <v>88</v>
      </c>
      <c r="Y116" t="s">
        <v>89</v>
      </c>
      <c r="Z116">
        <v>1</v>
      </c>
      <c r="AA116">
        <f>IF(AND(D116&gt;=配装计算器!$I$29,D116&lt;=配装计算器!$I$30),1,0)</f>
        <v>1</v>
      </c>
      <c r="AB116">
        <f t="shared" si="20"/>
        <v>0</v>
      </c>
      <c r="AC116">
        <f t="shared" si="21"/>
        <v>0</v>
      </c>
      <c r="AD116">
        <f t="shared" si="22"/>
        <v>1</v>
      </c>
      <c r="AE116">
        <f t="shared" si="23"/>
        <v>0</v>
      </c>
      <c r="AF116">
        <f t="shared" si="24"/>
        <v>1</v>
      </c>
      <c r="AG116">
        <f t="shared" si="25"/>
        <v>0</v>
      </c>
      <c r="AH116">
        <f t="shared" si="26"/>
        <v>0</v>
      </c>
      <c r="AI116">
        <f t="shared" si="27"/>
        <v>0</v>
      </c>
      <c r="AJ116">
        <f t="shared" si="28"/>
        <v>1</v>
      </c>
      <c r="AK116">
        <f>SUM(AJ$2:$AJ116)</f>
        <v>115</v>
      </c>
    </row>
    <row r="117" spans="1:37">
      <c r="A117" t="s">
        <v>224</v>
      </c>
      <c r="B117" t="s">
        <v>464</v>
      </c>
      <c r="C117" t="s">
        <v>465</v>
      </c>
      <c r="D117">
        <v>42400</v>
      </c>
      <c r="E117" t="s">
        <v>466</v>
      </c>
      <c r="F117">
        <v>16294</v>
      </c>
      <c r="G117">
        <v>1234</v>
      </c>
      <c r="I117">
        <v>2013</v>
      </c>
      <c r="J117">
        <v>0</v>
      </c>
      <c r="K117">
        <v>0</v>
      </c>
      <c r="L117">
        <v>11110</v>
      </c>
      <c r="M117">
        <v>0</v>
      </c>
      <c r="N117">
        <v>0</v>
      </c>
      <c r="O117">
        <v>0</v>
      </c>
      <c r="P117">
        <v>4444</v>
      </c>
      <c r="R117">
        <v>0</v>
      </c>
      <c r="S117">
        <v>0</v>
      </c>
      <c r="T117" t="s">
        <v>86</v>
      </c>
      <c r="U117">
        <v>6</v>
      </c>
      <c r="V117" t="s">
        <v>145</v>
      </c>
      <c r="W117" t="s">
        <v>229</v>
      </c>
      <c r="X117" t="s">
        <v>135</v>
      </c>
      <c r="Y117" t="s">
        <v>89</v>
      </c>
      <c r="Z117">
        <v>2</v>
      </c>
      <c r="AA117">
        <f>IF(AND(D117&gt;=配装计算器!$I$29,D117&lt;=配装计算器!$I$30),1,0)</f>
        <v>1</v>
      </c>
      <c r="AB117">
        <f t="shared" si="20"/>
        <v>0</v>
      </c>
      <c r="AC117">
        <f t="shared" si="21"/>
        <v>0</v>
      </c>
      <c r="AD117">
        <f t="shared" si="22"/>
        <v>1</v>
      </c>
      <c r="AE117">
        <f t="shared" si="23"/>
        <v>0</v>
      </c>
      <c r="AF117">
        <f t="shared" si="24"/>
        <v>0</v>
      </c>
      <c r="AG117">
        <f t="shared" si="25"/>
        <v>0</v>
      </c>
      <c r="AH117">
        <f t="shared" si="26"/>
        <v>1</v>
      </c>
      <c r="AI117">
        <f t="shared" si="27"/>
        <v>0</v>
      </c>
      <c r="AJ117">
        <f t="shared" si="28"/>
        <v>1</v>
      </c>
      <c r="AK117">
        <f>SUM(AJ$2:$AJ117)</f>
        <v>116</v>
      </c>
    </row>
    <row r="118" spans="1:37">
      <c r="A118" t="s">
        <v>467</v>
      </c>
      <c r="B118" t="s">
        <v>468</v>
      </c>
      <c r="C118" t="s">
        <v>469</v>
      </c>
      <c r="D118">
        <v>30200</v>
      </c>
      <c r="E118" t="s">
        <v>470</v>
      </c>
      <c r="F118">
        <v>8290</v>
      </c>
      <c r="G118">
        <v>628</v>
      </c>
      <c r="I118">
        <v>1024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5652</v>
      </c>
      <c r="P118">
        <v>2261</v>
      </c>
      <c r="R118">
        <v>0</v>
      </c>
      <c r="S118">
        <v>0</v>
      </c>
      <c r="T118" t="s">
        <v>228</v>
      </c>
      <c r="U118">
        <v>6</v>
      </c>
      <c r="V118" t="s">
        <v>87</v>
      </c>
      <c r="W118" t="s">
        <v>89</v>
      </c>
      <c r="X118" t="s">
        <v>89</v>
      </c>
      <c r="Y118" t="s">
        <v>89</v>
      </c>
      <c r="Z118">
        <v>2</v>
      </c>
      <c r="AA118">
        <f>IF(AND(D118&gt;=配装计算器!$I$29,D118&lt;=配装计算器!$I$30),1,0)</f>
        <v>1</v>
      </c>
      <c r="AB118">
        <f t="shared" si="20"/>
        <v>0</v>
      </c>
      <c r="AC118">
        <f t="shared" si="21"/>
        <v>0</v>
      </c>
      <c r="AD118">
        <f t="shared" si="22"/>
        <v>0</v>
      </c>
      <c r="AE118">
        <f t="shared" si="23"/>
        <v>0</v>
      </c>
      <c r="AF118">
        <f t="shared" si="24"/>
        <v>0</v>
      </c>
      <c r="AG118">
        <f t="shared" si="25"/>
        <v>1</v>
      </c>
      <c r="AH118">
        <f t="shared" si="26"/>
        <v>1</v>
      </c>
      <c r="AI118">
        <f t="shared" si="27"/>
        <v>0</v>
      </c>
      <c r="AJ118">
        <f t="shared" si="28"/>
        <v>1</v>
      </c>
      <c r="AK118">
        <f>SUM(AJ$2:$AJ118)</f>
        <v>117</v>
      </c>
    </row>
    <row r="119" spans="1:37">
      <c r="A119" t="s">
        <v>467</v>
      </c>
      <c r="B119" t="s">
        <v>471</v>
      </c>
      <c r="C119" t="s">
        <v>472</v>
      </c>
      <c r="D119">
        <v>30200</v>
      </c>
      <c r="E119" t="s">
        <v>473</v>
      </c>
      <c r="F119">
        <v>8290</v>
      </c>
      <c r="G119">
        <v>628</v>
      </c>
      <c r="I119">
        <v>1024</v>
      </c>
      <c r="J119">
        <v>0</v>
      </c>
      <c r="K119">
        <v>0</v>
      </c>
      <c r="L119">
        <v>5652</v>
      </c>
      <c r="M119">
        <v>0</v>
      </c>
      <c r="N119">
        <v>0</v>
      </c>
      <c r="O119">
        <v>0</v>
      </c>
      <c r="P119">
        <v>2261</v>
      </c>
      <c r="R119">
        <v>0</v>
      </c>
      <c r="S119">
        <v>0</v>
      </c>
      <c r="T119" t="s">
        <v>86</v>
      </c>
      <c r="U119">
        <v>6</v>
      </c>
      <c r="V119" t="s">
        <v>87</v>
      </c>
      <c r="W119" t="s">
        <v>89</v>
      </c>
      <c r="X119" t="s">
        <v>89</v>
      </c>
      <c r="Y119" t="s">
        <v>89</v>
      </c>
      <c r="Z119">
        <v>2</v>
      </c>
      <c r="AA119">
        <f>IF(AND(D119&gt;=配装计算器!$I$29,D119&lt;=配装计算器!$I$30),1,0)</f>
        <v>1</v>
      </c>
      <c r="AB119">
        <f t="shared" si="20"/>
        <v>0</v>
      </c>
      <c r="AC119">
        <f t="shared" si="21"/>
        <v>0</v>
      </c>
      <c r="AD119">
        <f t="shared" si="22"/>
        <v>1</v>
      </c>
      <c r="AE119">
        <f t="shared" si="23"/>
        <v>0</v>
      </c>
      <c r="AF119">
        <f t="shared" si="24"/>
        <v>0</v>
      </c>
      <c r="AG119">
        <f t="shared" si="25"/>
        <v>0</v>
      </c>
      <c r="AH119">
        <f t="shared" si="26"/>
        <v>1</v>
      </c>
      <c r="AI119">
        <f t="shared" si="27"/>
        <v>0</v>
      </c>
      <c r="AJ119">
        <f t="shared" si="28"/>
        <v>1</v>
      </c>
      <c r="AK119">
        <f>SUM(AJ$2:$AJ119)</f>
        <v>118</v>
      </c>
    </row>
    <row r="120" spans="1:37">
      <c r="A120" t="s">
        <v>467</v>
      </c>
      <c r="B120" t="s">
        <v>474</v>
      </c>
      <c r="C120" t="s">
        <v>475</v>
      </c>
      <c r="D120">
        <v>30200</v>
      </c>
      <c r="E120" t="s">
        <v>476</v>
      </c>
      <c r="F120">
        <v>8290</v>
      </c>
      <c r="G120">
        <v>628</v>
      </c>
      <c r="I120">
        <v>1024</v>
      </c>
      <c r="J120">
        <v>5652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2261</v>
      </c>
      <c r="R120">
        <v>0</v>
      </c>
      <c r="S120">
        <v>0</v>
      </c>
      <c r="T120" t="s">
        <v>93</v>
      </c>
      <c r="U120">
        <v>6</v>
      </c>
      <c r="V120" t="s">
        <v>98</v>
      </c>
      <c r="W120" t="s">
        <v>89</v>
      </c>
      <c r="X120" t="s">
        <v>89</v>
      </c>
      <c r="Y120" t="s">
        <v>89</v>
      </c>
      <c r="Z120">
        <v>2</v>
      </c>
      <c r="AA120">
        <f>IF(AND(D120&gt;=配装计算器!$I$29,D120&lt;=配装计算器!$I$30),1,0)</f>
        <v>1</v>
      </c>
      <c r="AB120">
        <f t="shared" si="20"/>
        <v>1</v>
      </c>
      <c r="AC120">
        <f t="shared" si="21"/>
        <v>0</v>
      </c>
      <c r="AD120">
        <f t="shared" si="22"/>
        <v>0</v>
      </c>
      <c r="AE120">
        <f t="shared" si="23"/>
        <v>0</v>
      </c>
      <c r="AF120">
        <f t="shared" si="24"/>
        <v>0</v>
      </c>
      <c r="AG120">
        <f t="shared" si="25"/>
        <v>0</v>
      </c>
      <c r="AH120">
        <f t="shared" si="26"/>
        <v>1</v>
      </c>
      <c r="AI120">
        <f t="shared" si="27"/>
        <v>0</v>
      </c>
      <c r="AJ120">
        <f t="shared" si="28"/>
        <v>1</v>
      </c>
      <c r="AK120">
        <f>SUM(AJ$2:$AJ120)</f>
        <v>119</v>
      </c>
    </row>
    <row r="121" spans="1:37">
      <c r="A121" t="s">
        <v>467</v>
      </c>
      <c r="B121" t="s">
        <v>477</v>
      </c>
      <c r="C121" t="s">
        <v>478</v>
      </c>
      <c r="D121">
        <v>30200</v>
      </c>
      <c r="E121" t="s">
        <v>479</v>
      </c>
      <c r="F121">
        <v>8290</v>
      </c>
      <c r="G121">
        <v>676</v>
      </c>
      <c r="I121">
        <v>1536</v>
      </c>
      <c r="J121">
        <v>0</v>
      </c>
      <c r="K121">
        <v>0</v>
      </c>
      <c r="L121">
        <v>0</v>
      </c>
      <c r="M121">
        <v>5652</v>
      </c>
      <c r="N121">
        <v>4522</v>
      </c>
      <c r="O121">
        <v>0</v>
      </c>
      <c r="P121">
        <v>0</v>
      </c>
      <c r="R121">
        <v>0</v>
      </c>
      <c r="S121">
        <v>0</v>
      </c>
      <c r="T121" t="s">
        <v>107</v>
      </c>
      <c r="U121">
        <v>6</v>
      </c>
      <c r="V121" t="s">
        <v>87</v>
      </c>
      <c r="W121" t="s">
        <v>89</v>
      </c>
      <c r="X121" t="s">
        <v>89</v>
      </c>
      <c r="Y121" t="s">
        <v>89</v>
      </c>
      <c r="Z121">
        <v>1</v>
      </c>
      <c r="AA121">
        <f>IF(AND(D121&gt;=配装计算器!$I$29,D121&lt;=配装计算器!$I$30),1,0)</f>
        <v>1</v>
      </c>
      <c r="AB121">
        <f t="shared" si="20"/>
        <v>0</v>
      </c>
      <c r="AC121">
        <f t="shared" si="21"/>
        <v>0</v>
      </c>
      <c r="AD121">
        <f t="shared" si="22"/>
        <v>0</v>
      </c>
      <c r="AE121">
        <f t="shared" si="23"/>
        <v>1</v>
      </c>
      <c r="AF121">
        <f t="shared" si="24"/>
        <v>1</v>
      </c>
      <c r="AG121">
        <f t="shared" si="25"/>
        <v>0</v>
      </c>
      <c r="AH121">
        <f t="shared" si="26"/>
        <v>0</v>
      </c>
      <c r="AI121">
        <f t="shared" si="27"/>
        <v>0</v>
      </c>
      <c r="AJ121">
        <f t="shared" si="28"/>
        <v>1</v>
      </c>
      <c r="AK121">
        <f>SUM(AJ$2:$AJ121)</f>
        <v>120</v>
      </c>
    </row>
    <row r="122" spans="1:37">
      <c r="A122" t="s">
        <v>467</v>
      </c>
      <c r="B122" t="s">
        <v>480</v>
      </c>
      <c r="C122" t="s">
        <v>481</v>
      </c>
      <c r="D122">
        <v>30200</v>
      </c>
      <c r="E122" t="s">
        <v>482</v>
      </c>
      <c r="F122">
        <v>8290</v>
      </c>
      <c r="G122">
        <v>676</v>
      </c>
      <c r="I122">
        <v>1536</v>
      </c>
      <c r="J122">
        <v>0</v>
      </c>
      <c r="K122">
        <v>0</v>
      </c>
      <c r="L122">
        <v>0</v>
      </c>
      <c r="M122">
        <v>5652</v>
      </c>
      <c r="N122">
        <v>4522</v>
      </c>
      <c r="O122">
        <v>0</v>
      </c>
      <c r="P122">
        <v>0</v>
      </c>
      <c r="R122">
        <v>0</v>
      </c>
      <c r="S122">
        <v>0</v>
      </c>
      <c r="T122" t="s">
        <v>107</v>
      </c>
      <c r="U122">
        <v>6</v>
      </c>
      <c r="V122" t="s">
        <v>87</v>
      </c>
      <c r="W122" t="s">
        <v>89</v>
      </c>
      <c r="X122" t="s">
        <v>89</v>
      </c>
      <c r="Y122" t="s">
        <v>89</v>
      </c>
      <c r="Z122">
        <v>1</v>
      </c>
      <c r="AA122">
        <f>IF(AND(D122&gt;=配装计算器!$I$29,D122&lt;=配装计算器!$I$30),1,0)</f>
        <v>1</v>
      </c>
      <c r="AB122">
        <f t="shared" si="20"/>
        <v>0</v>
      </c>
      <c r="AC122">
        <f t="shared" si="21"/>
        <v>0</v>
      </c>
      <c r="AD122">
        <f t="shared" si="22"/>
        <v>0</v>
      </c>
      <c r="AE122">
        <f t="shared" si="23"/>
        <v>1</v>
      </c>
      <c r="AF122">
        <f t="shared" si="24"/>
        <v>1</v>
      </c>
      <c r="AG122">
        <f t="shared" si="25"/>
        <v>0</v>
      </c>
      <c r="AH122">
        <f t="shared" si="26"/>
        <v>0</v>
      </c>
      <c r="AI122">
        <f t="shared" si="27"/>
        <v>0</v>
      </c>
      <c r="AJ122">
        <f t="shared" si="28"/>
        <v>1</v>
      </c>
      <c r="AK122">
        <f>SUM(AJ$2:$AJ122)</f>
        <v>121</v>
      </c>
    </row>
    <row r="123" spans="1:37">
      <c r="A123" t="s">
        <v>467</v>
      </c>
      <c r="B123" t="s">
        <v>483</v>
      </c>
      <c r="C123" t="s">
        <v>484</v>
      </c>
      <c r="D123">
        <v>30200</v>
      </c>
      <c r="E123" t="s">
        <v>485</v>
      </c>
      <c r="F123">
        <v>8290</v>
      </c>
      <c r="G123">
        <v>676</v>
      </c>
      <c r="I123">
        <v>1536</v>
      </c>
      <c r="J123">
        <v>0</v>
      </c>
      <c r="K123">
        <v>0</v>
      </c>
      <c r="L123">
        <v>0</v>
      </c>
      <c r="M123">
        <v>0</v>
      </c>
      <c r="N123">
        <v>4522</v>
      </c>
      <c r="O123">
        <v>5652</v>
      </c>
      <c r="P123">
        <v>0</v>
      </c>
      <c r="R123">
        <v>0</v>
      </c>
      <c r="S123">
        <v>0</v>
      </c>
      <c r="T123" t="s">
        <v>115</v>
      </c>
      <c r="U123">
        <v>6</v>
      </c>
      <c r="V123" t="s">
        <v>87</v>
      </c>
      <c r="W123" t="s">
        <v>89</v>
      </c>
      <c r="X123" t="s">
        <v>89</v>
      </c>
      <c r="Y123" t="s">
        <v>89</v>
      </c>
      <c r="Z123">
        <v>1</v>
      </c>
      <c r="AA123">
        <f>IF(AND(D123&gt;=配装计算器!$I$29,D123&lt;=配装计算器!$I$30),1,0)</f>
        <v>1</v>
      </c>
      <c r="AB123">
        <f t="shared" si="20"/>
        <v>0</v>
      </c>
      <c r="AC123">
        <f t="shared" si="21"/>
        <v>0</v>
      </c>
      <c r="AD123">
        <f t="shared" si="22"/>
        <v>0</v>
      </c>
      <c r="AE123">
        <f t="shared" si="23"/>
        <v>0</v>
      </c>
      <c r="AF123">
        <f t="shared" si="24"/>
        <v>1</v>
      </c>
      <c r="AG123">
        <f t="shared" si="25"/>
        <v>1</v>
      </c>
      <c r="AH123">
        <f t="shared" si="26"/>
        <v>0</v>
      </c>
      <c r="AI123">
        <f t="shared" si="27"/>
        <v>0</v>
      </c>
      <c r="AJ123">
        <f t="shared" si="28"/>
        <v>1</v>
      </c>
      <c r="AK123">
        <f>SUM(AJ$2:$AJ123)</f>
        <v>122</v>
      </c>
    </row>
    <row r="124" spans="1:37">
      <c r="A124" t="s">
        <v>467</v>
      </c>
      <c r="B124" t="s">
        <v>486</v>
      </c>
      <c r="C124" t="s">
        <v>487</v>
      </c>
      <c r="D124">
        <v>30200</v>
      </c>
      <c r="E124" t="s">
        <v>488</v>
      </c>
      <c r="F124">
        <v>8290</v>
      </c>
      <c r="G124">
        <v>676</v>
      </c>
      <c r="I124">
        <v>1536</v>
      </c>
      <c r="J124">
        <v>5652</v>
      </c>
      <c r="K124">
        <v>0</v>
      </c>
      <c r="L124">
        <v>0</v>
      </c>
      <c r="M124">
        <v>0</v>
      </c>
      <c r="N124">
        <v>4522</v>
      </c>
      <c r="O124">
        <v>0</v>
      </c>
      <c r="P124">
        <v>0</v>
      </c>
      <c r="R124">
        <v>0</v>
      </c>
      <c r="S124">
        <v>0</v>
      </c>
      <c r="T124" t="s">
        <v>102</v>
      </c>
      <c r="U124">
        <v>6</v>
      </c>
      <c r="V124" t="s">
        <v>87</v>
      </c>
      <c r="W124" t="s">
        <v>89</v>
      </c>
      <c r="X124" t="s">
        <v>89</v>
      </c>
      <c r="Y124" t="s">
        <v>89</v>
      </c>
      <c r="Z124">
        <v>1</v>
      </c>
      <c r="AA124">
        <f>IF(AND(D124&gt;=配装计算器!$I$29,D124&lt;=配装计算器!$I$30),1,0)</f>
        <v>1</v>
      </c>
      <c r="AB124">
        <f t="shared" si="20"/>
        <v>1</v>
      </c>
      <c r="AC124">
        <f t="shared" si="21"/>
        <v>0</v>
      </c>
      <c r="AD124">
        <f t="shared" si="22"/>
        <v>0</v>
      </c>
      <c r="AE124">
        <f t="shared" si="23"/>
        <v>0</v>
      </c>
      <c r="AF124">
        <f t="shared" si="24"/>
        <v>1</v>
      </c>
      <c r="AG124">
        <f t="shared" si="25"/>
        <v>0</v>
      </c>
      <c r="AH124">
        <f t="shared" si="26"/>
        <v>0</v>
      </c>
      <c r="AI124">
        <f t="shared" si="27"/>
        <v>0</v>
      </c>
      <c r="AJ124">
        <f t="shared" si="28"/>
        <v>1</v>
      </c>
      <c r="AK124">
        <f>SUM(AJ$2:$AJ124)</f>
        <v>123</v>
      </c>
    </row>
    <row r="125" spans="1:37">
      <c r="A125" t="s">
        <v>467</v>
      </c>
      <c r="B125" t="s">
        <v>489</v>
      </c>
      <c r="C125" t="s">
        <v>490</v>
      </c>
      <c r="D125">
        <v>30200</v>
      </c>
      <c r="E125" t="s">
        <v>491</v>
      </c>
      <c r="F125">
        <v>8290</v>
      </c>
      <c r="G125">
        <v>676</v>
      </c>
      <c r="I125">
        <v>1536</v>
      </c>
      <c r="J125">
        <v>5652</v>
      </c>
      <c r="K125">
        <v>0</v>
      </c>
      <c r="L125">
        <v>0</v>
      </c>
      <c r="M125">
        <v>0</v>
      </c>
      <c r="N125">
        <v>4522</v>
      </c>
      <c r="O125">
        <v>0</v>
      </c>
      <c r="P125">
        <v>0</v>
      </c>
      <c r="R125">
        <v>0</v>
      </c>
      <c r="S125">
        <v>0</v>
      </c>
      <c r="T125" t="s">
        <v>102</v>
      </c>
      <c r="U125">
        <v>6</v>
      </c>
      <c r="V125" t="s">
        <v>87</v>
      </c>
      <c r="W125" t="s">
        <v>89</v>
      </c>
      <c r="X125" t="s">
        <v>89</v>
      </c>
      <c r="Y125" t="s">
        <v>89</v>
      </c>
      <c r="Z125">
        <v>1</v>
      </c>
      <c r="AA125">
        <f>IF(AND(D125&gt;=配装计算器!$I$29,D125&lt;=配装计算器!$I$30),1,0)</f>
        <v>1</v>
      </c>
      <c r="AB125">
        <f t="shared" si="20"/>
        <v>1</v>
      </c>
      <c r="AC125">
        <f t="shared" si="21"/>
        <v>0</v>
      </c>
      <c r="AD125">
        <f t="shared" si="22"/>
        <v>0</v>
      </c>
      <c r="AE125">
        <f t="shared" si="23"/>
        <v>0</v>
      </c>
      <c r="AF125">
        <f t="shared" si="24"/>
        <v>1</v>
      </c>
      <c r="AG125">
        <f t="shared" si="25"/>
        <v>0</v>
      </c>
      <c r="AH125">
        <f t="shared" si="26"/>
        <v>0</v>
      </c>
      <c r="AI125">
        <f t="shared" si="27"/>
        <v>0</v>
      </c>
      <c r="AJ125">
        <f t="shared" si="28"/>
        <v>1</v>
      </c>
      <c r="AK125">
        <f>SUM(AJ$2:$AJ125)</f>
        <v>124</v>
      </c>
    </row>
    <row r="126" spans="1:37">
      <c r="A126" t="s">
        <v>467</v>
      </c>
      <c r="B126" t="s">
        <v>492</v>
      </c>
      <c r="C126" t="s">
        <v>493</v>
      </c>
      <c r="D126">
        <v>30200</v>
      </c>
      <c r="E126" t="s">
        <v>494</v>
      </c>
      <c r="F126">
        <v>8290</v>
      </c>
      <c r="G126">
        <v>676</v>
      </c>
      <c r="I126">
        <v>1536</v>
      </c>
      <c r="J126">
        <v>0</v>
      </c>
      <c r="K126">
        <v>0</v>
      </c>
      <c r="L126">
        <v>5652</v>
      </c>
      <c r="M126">
        <v>0</v>
      </c>
      <c r="N126">
        <v>4522</v>
      </c>
      <c r="O126">
        <v>0</v>
      </c>
      <c r="P126">
        <v>0</v>
      </c>
      <c r="R126">
        <v>0</v>
      </c>
      <c r="S126">
        <v>0</v>
      </c>
      <c r="T126" t="s">
        <v>122</v>
      </c>
      <c r="U126">
        <v>6</v>
      </c>
      <c r="V126" t="s">
        <v>262</v>
      </c>
      <c r="W126" t="s">
        <v>89</v>
      </c>
      <c r="X126" t="s">
        <v>89</v>
      </c>
      <c r="Y126" t="s">
        <v>89</v>
      </c>
      <c r="Z126">
        <v>1</v>
      </c>
      <c r="AA126">
        <f>IF(AND(D126&gt;=配装计算器!$I$29,D126&lt;=配装计算器!$I$30),1,0)</f>
        <v>1</v>
      </c>
      <c r="AB126">
        <f t="shared" si="20"/>
        <v>0</v>
      </c>
      <c r="AC126">
        <f t="shared" si="21"/>
        <v>0</v>
      </c>
      <c r="AD126">
        <f t="shared" si="22"/>
        <v>1</v>
      </c>
      <c r="AE126">
        <f t="shared" si="23"/>
        <v>0</v>
      </c>
      <c r="AF126">
        <f t="shared" si="24"/>
        <v>1</v>
      </c>
      <c r="AG126">
        <f t="shared" si="25"/>
        <v>0</v>
      </c>
      <c r="AH126">
        <f t="shared" si="26"/>
        <v>0</v>
      </c>
      <c r="AI126">
        <f t="shared" si="27"/>
        <v>0</v>
      </c>
      <c r="AJ126">
        <f t="shared" si="28"/>
        <v>1</v>
      </c>
      <c r="AK126">
        <f>SUM(AJ$2:$AJ126)</f>
        <v>125</v>
      </c>
    </row>
    <row r="127" spans="1:37">
      <c r="A127" t="s">
        <v>467</v>
      </c>
      <c r="B127" t="s">
        <v>495</v>
      </c>
      <c r="C127" t="s">
        <v>496</v>
      </c>
      <c r="D127">
        <v>30200</v>
      </c>
      <c r="E127" t="s">
        <v>497</v>
      </c>
      <c r="F127">
        <v>8290</v>
      </c>
      <c r="G127">
        <v>0</v>
      </c>
      <c r="I127">
        <v>1024</v>
      </c>
      <c r="J127">
        <v>0</v>
      </c>
      <c r="K127">
        <v>0</v>
      </c>
      <c r="L127">
        <v>0</v>
      </c>
      <c r="M127">
        <v>14696</v>
      </c>
      <c r="N127">
        <v>4522</v>
      </c>
      <c r="O127">
        <v>0</v>
      </c>
      <c r="P127">
        <v>0</v>
      </c>
      <c r="R127">
        <v>0</v>
      </c>
      <c r="S127">
        <v>0</v>
      </c>
      <c r="T127" t="s">
        <v>198</v>
      </c>
      <c r="U127">
        <v>6</v>
      </c>
      <c r="V127" t="s">
        <v>87</v>
      </c>
      <c r="W127" t="s">
        <v>89</v>
      </c>
      <c r="X127" t="s">
        <v>89</v>
      </c>
      <c r="Y127" t="s">
        <v>89</v>
      </c>
      <c r="Z127">
        <v>1</v>
      </c>
      <c r="AA127">
        <f>IF(AND(D127&gt;=配装计算器!$I$29,D127&lt;=配装计算器!$I$30),1,0)</f>
        <v>1</v>
      </c>
      <c r="AB127">
        <f t="shared" si="20"/>
        <v>0</v>
      </c>
      <c r="AC127">
        <f t="shared" si="21"/>
        <v>0</v>
      </c>
      <c r="AD127">
        <f t="shared" si="22"/>
        <v>0</v>
      </c>
      <c r="AE127">
        <f t="shared" si="23"/>
        <v>1</v>
      </c>
      <c r="AF127">
        <f t="shared" si="24"/>
        <v>1</v>
      </c>
      <c r="AG127">
        <f t="shared" si="25"/>
        <v>0</v>
      </c>
      <c r="AH127">
        <f t="shared" si="26"/>
        <v>0</v>
      </c>
      <c r="AI127">
        <f t="shared" si="27"/>
        <v>1</v>
      </c>
      <c r="AJ127">
        <f t="shared" si="28"/>
        <v>1</v>
      </c>
      <c r="AK127">
        <f>SUM(AJ$2:$AJ127)</f>
        <v>126</v>
      </c>
    </row>
    <row r="128" spans="1:37">
      <c r="A128" t="s">
        <v>467</v>
      </c>
      <c r="B128" t="s">
        <v>498</v>
      </c>
      <c r="C128" t="s">
        <v>499</v>
      </c>
      <c r="D128">
        <v>30200</v>
      </c>
      <c r="E128" t="s">
        <v>500</v>
      </c>
      <c r="F128">
        <v>8290</v>
      </c>
      <c r="G128">
        <v>0</v>
      </c>
      <c r="I128">
        <v>1024</v>
      </c>
      <c r="J128">
        <v>0</v>
      </c>
      <c r="K128">
        <v>0</v>
      </c>
      <c r="L128">
        <v>14696</v>
      </c>
      <c r="M128">
        <v>0</v>
      </c>
      <c r="N128">
        <v>4522</v>
      </c>
      <c r="O128">
        <v>0</v>
      </c>
      <c r="P128">
        <v>0</v>
      </c>
      <c r="R128">
        <v>0</v>
      </c>
      <c r="S128">
        <v>0</v>
      </c>
      <c r="T128" t="s">
        <v>153</v>
      </c>
      <c r="U128">
        <v>6</v>
      </c>
      <c r="V128" t="s">
        <v>87</v>
      </c>
      <c r="W128" t="s">
        <v>89</v>
      </c>
      <c r="X128" t="s">
        <v>89</v>
      </c>
      <c r="Y128" t="s">
        <v>89</v>
      </c>
      <c r="Z128">
        <v>1</v>
      </c>
      <c r="AA128">
        <f>IF(AND(D128&gt;=配装计算器!$I$29,D128&lt;=配装计算器!$I$30),1,0)</f>
        <v>1</v>
      </c>
      <c r="AB128">
        <f t="shared" si="20"/>
        <v>0</v>
      </c>
      <c r="AC128">
        <f t="shared" si="21"/>
        <v>0</v>
      </c>
      <c r="AD128">
        <f t="shared" si="22"/>
        <v>1</v>
      </c>
      <c r="AE128">
        <f t="shared" si="23"/>
        <v>0</v>
      </c>
      <c r="AF128">
        <f t="shared" si="24"/>
        <v>1</v>
      </c>
      <c r="AG128">
        <f t="shared" si="25"/>
        <v>0</v>
      </c>
      <c r="AH128">
        <f t="shared" si="26"/>
        <v>0</v>
      </c>
      <c r="AI128">
        <f t="shared" si="27"/>
        <v>1</v>
      </c>
      <c r="AJ128">
        <f t="shared" si="28"/>
        <v>1</v>
      </c>
      <c r="AK128">
        <f>SUM(AJ$2:$AJ128)</f>
        <v>127</v>
      </c>
    </row>
    <row r="129" spans="1:37">
      <c r="A129" t="s">
        <v>467</v>
      </c>
      <c r="B129" t="s">
        <v>501</v>
      </c>
      <c r="C129" t="s">
        <v>502</v>
      </c>
      <c r="D129">
        <v>30200</v>
      </c>
      <c r="E129" t="s">
        <v>503</v>
      </c>
      <c r="F129">
        <v>8290</v>
      </c>
      <c r="G129">
        <v>0</v>
      </c>
      <c r="I129">
        <v>2406</v>
      </c>
      <c r="J129">
        <v>3768</v>
      </c>
      <c r="K129">
        <v>0</v>
      </c>
      <c r="L129">
        <v>3768</v>
      </c>
      <c r="M129">
        <v>3768</v>
      </c>
      <c r="N129">
        <v>3768</v>
      </c>
      <c r="O129">
        <v>0</v>
      </c>
      <c r="P129">
        <v>0</v>
      </c>
      <c r="R129">
        <v>0</v>
      </c>
      <c r="S129">
        <v>0</v>
      </c>
      <c r="T129" t="s">
        <v>504</v>
      </c>
      <c r="U129">
        <v>6</v>
      </c>
      <c r="V129" t="s">
        <v>87</v>
      </c>
      <c r="W129" t="s">
        <v>89</v>
      </c>
      <c r="X129" t="s">
        <v>89</v>
      </c>
      <c r="Y129" t="s">
        <v>89</v>
      </c>
      <c r="Z129">
        <v>1</v>
      </c>
      <c r="AA129">
        <f>IF(AND(D129&gt;=配装计算器!$I$29,D129&lt;=配装计算器!$I$30),1,0)</f>
        <v>1</v>
      </c>
      <c r="AB129">
        <f t="shared" si="20"/>
        <v>1</v>
      </c>
      <c r="AC129">
        <f t="shared" si="21"/>
        <v>0</v>
      </c>
      <c r="AD129">
        <f t="shared" si="22"/>
        <v>1</v>
      </c>
      <c r="AE129">
        <f t="shared" si="23"/>
        <v>1</v>
      </c>
      <c r="AF129">
        <f t="shared" si="24"/>
        <v>1</v>
      </c>
      <c r="AG129">
        <f t="shared" si="25"/>
        <v>0</v>
      </c>
      <c r="AH129">
        <f t="shared" si="26"/>
        <v>0</v>
      </c>
      <c r="AI129">
        <f t="shared" si="27"/>
        <v>1</v>
      </c>
      <c r="AJ129">
        <f t="shared" si="28"/>
        <v>1</v>
      </c>
      <c r="AK129">
        <f>SUM(AJ$2:$AJ129)</f>
        <v>128</v>
      </c>
    </row>
    <row r="130" spans="1:37">
      <c r="A130" t="s">
        <v>467</v>
      </c>
      <c r="B130" t="s">
        <v>505</v>
      </c>
      <c r="C130" t="s">
        <v>506</v>
      </c>
      <c r="D130">
        <v>30200</v>
      </c>
      <c r="E130" t="s">
        <v>507</v>
      </c>
      <c r="F130">
        <v>8290</v>
      </c>
      <c r="G130">
        <v>0</v>
      </c>
      <c r="I130">
        <v>1024</v>
      </c>
      <c r="J130">
        <v>14696</v>
      </c>
      <c r="K130">
        <v>0</v>
      </c>
      <c r="L130">
        <v>0</v>
      </c>
      <c r="M130">
        <v>0</v>
      </c>
      <c r="N130">
        <v>4522</v>
      </c>
      <c r="O130">
        <v>0</v>
      </c>
      <c r="P130">
        <v>0</v>
      </c>
      <c r="R130">
        <v>0</v>
      </c>
      <c r="S130">
        <v>0</v>
      </c>
      <c r="T130" t="s">
        <v>184</v>
      </c>
      <c r="U130">
        <v>6</v>
      </c>
      <c r="V130" t="s">
        <v>87</v>
      </c>
      <c r="W130" t="s">
        <v>89</v>
      </c>
      <c r="X130" t="s">
        <v>89</v>
      </c>
      <c r="Y130" t="s">
        <v>89</v>
      </c>
      <c r="Z130">
        <v>1</v>
      </c>
      <c r="AA130">
        <f>IF(AND(D130&gt;=配装计算器!$I$29,D130&lt;=配装计算器!$I$30),1,0)</f>
        <v>1</v>
      </c>
      <c r="AB130">
        <f t="shared" si="20"/>
        <v>1</v>
      </c>
      <c r="AC130">
        <f t="shared" si="21"/>
        <v>0</v>
      </c>
      <c r="AD130">
        <f t="shared" si="22"/>
        <v>0</v>
      </c>
      <c r="AE130">
        <f t="shared" si="23"/>
        <v>0</v>
      </c>
      <c r="AF130">
        <f t="shared" si="24"/>
        <v>1</v>
      </c>
      <c r="AG130">
        <f t="shared" si="25"/>
        <v>0</v>
      </c>
      <c r="AH130">
        <f t="shared" si="26"/>
        <v>0</v>
      </c>
      <c r="AI130">
        <f t="shared" si="27"/>
        <v>1</v>
      </c>
      <c r="AJ130">
        <f t="shared" si="28"/>
        <v>1</v>
      </c>
      <c r="AK130">
        <f>SUM(AJ$2:$AJ130)</f>
        <v>129</v>
      </c>
    </row>
    <row r="131" spans="1:37">
      <c r="A131" t="s">
        <v>467</v>
      </c>
      <c r="B131" t="s">
        <v>508</v>
      </c>
      <c r="C131" t="s">
        <v>509</v>
      </c>
      <c r="D131">
        <v>30200</v>
      </c>
      <c r="E131" t="s">
        <v>510</v>
      </c>
      <c r="F131">
        <v>8290</v>
      </c>
      <c r="G131">
        <v>0</v>
      </c>
      <c r="I131">
        <v>2970</v>
      </c>
      <c r="J131">
        <v>6783</v>
      </c>
      <c r="K131">
        <v>2826</v>
      </c>
      <c r="L131">
        <v>0</v>
      </c>
      <c r="M131">
        <v>2826</v>
      </c>
      <c r="N131">
        <v>0</v>
      </c>
      <c r="O131">
        <v>0</v>
      </c>
      <c r="P131">
        <v>0</v>
      </c>
      <c r="R131">
        <v>0</v>
      </c>
      <c r="S131">
        <v>0</v>
      </c>
      <c r="T131" t="s">
        <v>157</v>
      </c>
      <c r="U131">
        <v>6</v>
      </c>
      <c r="V131" t="s">
        <v>87</v>
      </c>
      <c r="W131" t="s">
        <v>89</v>
      </c>
      <c r="X131" t="s">
        <v>89</v>
      </c>
      <c r="Y131" t="s">
        <v>89</v>
      </c>
      <c r="Z131">
        <v>1</v>
      </c>
      <c r="AA131">
        <f>IF(AND(D131&gt;=配装计算器!$I$29,D131&lt;=配装计算器!$I$30),1,0)</f>
        <v>1</v>
      </c>
      <c r="AB131">
        <f t="shared" si="20"/>
        <v>1</v>
      </c>
      <c r="AC131">
        <f t="shared" si="21"/>
        <v>1</v>
      </c>
      <c r="AD131">
        <f t="shared" si="22"/>
        <v>0</v>
      </c>
      <c r="AE131">
        <f t="shared" si="23"/>
        <v>1</v>
      </c>
      <c r="AF131">
        <f t="shared" si="24"/>
        <v>0</v>
      </c>
      <c r="AG131">
        <f t="shared" si="25"/>
        <v>0</v>
      </c>
      <c r="AH131">
        <f t="shared" si="26"/>
        <v>0</v>
      </c>
      <c r="AI131">
        <f t="shared" si="27"/>
        <v>1</v>
      </c>
      <c r="AJ131">
        <f t="shared" si="28"/>
        <v>1</v>
      </c>
      <c r="AK131">
        <f>SUM(AJ$2:$AJ131)</f>
        <v>130</v>
      </c>
    </row>
    <row r="132" spans="1:37">
      <c r="A132" t="s">
        <v>467</v>
      </c>
      <c r="B132" t="s">
        <v>511</v>
      </c>
      <c r="C132" t="s">
        <v>512</v>
      </c>
      <c r="D132">
        <v>30200</v>
      </c>
      <c r="E132" t="s">
        <v>513</v>
      </c>
      <c r="F132">
        <v>8290</v>
      </c>
      <c r="G132">
        <v>0</v>
      </c>
      <c r="I132">
        <v>2970</v>
      </c>
      <c r="J132">
        <v>6783</v>
      </c>
      <c r="K132">
        <v>2826</v>
      </c>
      <c r="L132">
        <v>0</v>
      </c>
      <c r="M132">
        <v>0</v>
      </c>
      <c r="N132">
        <v>2826</v>
      </c>
      <c r="O132">
        <v>0</v>
      </c>
      <c r="P132">
        <v>0</v>
      </c>
      <c r="R132">
        <v>0</v>
      </c>
      <c r="S132">
        <v>0</v>
      </c>
      <c r="T132" t="s">
        <v>141</v>
      </c>
      <c r="U132">
        <v>6</v>
      </c>
      <c r="V132" t="s">
        <v>87</v>
      </c>
      <c r="W132" t="s">
        <v>89</v>
      </c>
      <c r="X132" t="s">
        <v>89</v>
      </c>
      <c r="Y132" t="s">
        <v>89</v>
      </c>
      <c r="Z132">
        <v>1</v>
      </c>
      <c r="AA132">
        <f>IF(AND(D132&gt;=配装计算器!$I$29,D132&lt;=配装计算器!$I$30),1,0)</f>
        <v>1</v>
      </c>
      <c r="AB132">
        <f t="shared" ref="AB132:AB197" si="29">IF(J132&gt;0,1,0)</f>
        <v>1</v>
      </c>
      <c r="AC132">
        <f t="shared" ref="AC132:AC197" si="30">IF(K132&gt;0,1,0)</f>
        <v>1</v>
      </c>
      <c r="AD132">
        <f t="shared" ref="AD132:AD197" si="31">IF(L132&gt;0,1,0)</f>
        <v>0</v>
      </c>
      <c r="AE132">
        <f t="shared" ref="AE132:AE197" si="32">IF(M132&gt;0,1,0)</f>
        <v>0</v>
      </c>
      <c r="AF132">
        <f t="shared" ref="AF132:AF197" si="33">IF(N132&gt;0,1,0)</f>
        <v>1</v>
      </c>
      <c r="AG132">
        <f t="shared" ref="AG132:AG197" si="34">IF(O132&gt;0,1,0)</f>
        <v>0</v>
      </c>
      <c r="AH132">
        <f t="shared" ref="AH132:AH197" si="35">IF(P132&gt;0,1,0)</f>
        <v>0</v>
      </c>
      <c r="AI132">
        <f t="shared" ref="AI132:AI197" si="36">IF(COUNTIF(T132,"*"&amp;"精简"&amp;"*")&gt;0,1,0)</f>
        <v>1</v>
      </c>
      <c r="AJ132">
        <f t="shared" ref="AJ132:AJ197" si="37">MIN(1,AA132*($AY$2+IF(AND(AB132&gt;=$AQ$3,AC132&gt;=$AR$3,AD132&gt;=$AS$3,AE132&gt;=$AT$3,AF132&gt;=$AU$3,AG132&gt;=$AV$3,AH132&gt;=$AW$3,AI132&gt;=$AX$3),1,0)))</f>
        <v>1</v>
      </c>
      <c r="AK132">
        <f>SUM(AJ$2:$AJ132)</f>
        <v>131</v>
      </c>
    </row>
    <row r="133" spans="1:37">
      <c r="A133" t="s">
        <v>467</v>
      </c>
      <c r="B133" t="s">
        <v>514</v>
      </c>
      <c r="C133" t="s">
        <v>515</v>
      </c>
      <c r="D133">
        <v>30200</v>
      </c>
      <c r="E133" t="s">
        <v>516</v>
      </c>
      <c r="F133">
        <v>8290</v>
      </c>
      <c r="G133">
        <v>0</v>
      </c>
      <c r="I133">
        <v>2048</v>
      </c>
      <c r="J133">
        <v>0</v>
      </c>
      <c r="K133">
        <v>0</v>
      </c>
      <c r="L133">
        <v>0</v>
      </c>
      <c r="M133">
        <v>10362</v>
      </c>
      <c r="N133">
        <v>5652</v>
      </c>
      <c r="O133">
        <v>0</v>
      </c>
      <c r="P133">
        <v>0</v>
      </c>
      <c r="R133">
        <v>0</v>
      </c>
      <c r="S133">
        <v>0</v>
      </c>
      <c r="T133" t="s">
        <v>292</v>
      </c>
      <c r="U133">
        <v>6</v>
      </c>
      <c r="V133" t="s">
        <v>87</v>
      </c>
      <c r="W133" t="s">
        <v>89</v>
      </c>
      <c r="X133" t="s">
        <v>89</v>
      </c>
      <c r="Y133" t="s">
        <v>89</v>
      </c>
      <c r="Z133">
        <v>1</v>
      </c>
      <c r="AA133">
        <f>IF(AND(D133&gt;=配装计算器!$I$29,D133&lt;=配装计算器!$I$30),1,0)</f>
        <v>1</v>
      </c>
      <c r="AB133">
        <f t="shared" si="29"/>
        <v>0</v>
      </c>
      <c r="AC133">
        <f t="shared" si="30"/>
        <v>0</v>
      </c>
      <c r="AD133">
        <f t="shared" si="31"/>
        <v>0</v>
      </c>
      <c r="AE133">
        <f t="shared" si="32"/>
        <v>1</v>
      </c>
      <c r="AF133">
        <f t="shared" si="33"/>
        <v>1</v>
      </c>
      <c r="AG133">
        <f t="shared" si="34"/>
        <v>0</v>
      </c>
      <c r="AH133">
        <f t="shared" si="35"/>
        <v>0</v>
      </c>
      <c r="AI133">
        <f t="shared" si="36"/>
        <v>1</v>
      </c>
      <c r="AJ133">
        <f t="shared" si="37"/>
        <v>1</v>
      </c>
      <c r="AK133">
        <f>SUM(AJ$2:$AJ133)</f>
        <v>132</v>
      </c>
    </row>
    <row r="134" spans="1:37">
      <c r="A134" t="s">
        <v>467</v>
      </c>
      <c r="B134" t="s">
        <v>517</v>
      </c>
      <c r="C134" t="s">
        <v>518</v>
      </c>
      <c r="D134">
        <v>30200</v>
      </c>
      <c r="E134" t="s">
        <v>519</v>
      </c>
      <c r="F134">
        <v>8290</v>
      </c>
      <c r="G134">
        <v>0</v>
      </c>
      <c r="I134">
        <v>2970</v>
      </c>
      <c r="J134">
        <v>0</v>
      </c>
      <c r="K134">
        <v>0</v>
      </c>
      <c r="L134">
        <v>4145</v>
      </c>
      <c r="M134">
        <v>4145</v>
      </c>
      <c r="N134">
        <v>4145</v>
      </c>
      <c r="O134">
        <v>0</v>
      </c>
      <c r="P134">
        <v>0</v>
      </c>
      <c r="R134">
        <v>0</v>
      </c>
      <c r="S134">
        <v>0</v>
      </c>
      <c r="T134" t="s">
        <v>296</v>
      </c>
      <c r="U134">
        <v>6</v>
      </c>
      <c r="V134" t="s">
        <v>87</v>
      </c>
      <c r="W134" t="s">
        <v>89</v>
      </c>
      <c r="X134" t="s">
        <v>89</v>
      </c>
      <c r="Y134" t="s">
        <v>89</v>
      </c>
      <c r="Z134">
        <v>1</v>
      </c>
      <c r="AA134">
        <f>IF(AND(D134&gt;=配装计算器!$I$29,D134&lt;=配装计算器!$I$30),1,0)</f>
        <v>1</v>
      </c>
      <c r="AB134">
        <f t="shared" si="29"/>
        <v>0</v>
      </c>
      <c r="AC134">
        <f t="shared" si="30"/>
        <v>0</v>
      </c>
      <c r="AD134">
        <f t="shared" si="31"/>
        <v>1</v>
      </c>
      <c r="AE134">
        <f t="shared" si="32"/>
        <v>1</v>
      </c>
      <c r="AF134">
        <f t="shared" si="33"/>
        <v>1</v>
      </c>
      <c r="AG134">
        <f t="shared" si="34"/>
        <v>0</v>
      </c>
      <c r="AH134">
        <f t="shared" si="35"/>
        <v>0</v>
      </c>
      <c r="AI134">
        <f t="shared" si="36"/>
        <v>1</v>
      </c>
      <c r="AJ134">
        <f t="shared" si="37"/>
        <v>1</v>
      </c>
      <c r="AK134">
        <f>SUM(AJ$2:$AJ134)</f>
        <v>133</v>
      </c>
    </row>
    <row r="135" spans="1:37">
      <c r="A135" t="s">
        <v>467</v>
      </c>
      <c r="B135" t="s">
        <v>520</v>
      </c>
      <c r="C135" t="s">
        <v>521</v>
      </c>
      <c r="D135">
        <v>30200</v>
      </c>
      <c r="E135" t="s">
        <v>522</v>
      </c>
      <c r="F135">
        <v>8290</v>
      </c>
      <c r="G135">
        <v>0</v>
      </c>
      <c r="I135">
        <v>3482</v>
      </c>
      <c r="J135">
        <v>0</v>
      </c>
      <c r="K135">
        <v>0</v>
      </c>
      <c r="L135">
        <v>0</v>
      </c>
      <c r="M135">
        <v>0</v>
      </c>
      <c r="N135">
        <v>9797</v>
      </c>
      <c r="O135">
        <v>0</v>
      </c>
      <c r="P135">
        <v>0</v>
      </c>
      <c r="R135">
        <v>0</v>
      </c>
      <c r="S135">
        <v>0</v>
      </c>
      <c r="T135" t="s">
        <v>300</v>
      </c>
      <c r="U135">
        <v>6</v>
      </c>
      <c r="V135" t="s">
        <v>87</v>
      </c>
      <c r="W135" t="s">
        <v>89</v>
      </c>
      <c r="X135" t="s">
        <v>89</v>
      </c>
      <c r="Y135" t="s">
        <v>89</v>
      </c>
      <c r="Z135">
        <v>1</v>
      </c>
      <c r="AA135">
        <f>IF(AND(D135&gt;=配装计算器!$I$29,D135&lt;=配装计算器!$I$30),1,0)</f>
        <v>1</v>
      </c>
      <c r="AB135">
        <f t="shared" si="29"/>
        <v>0</v>
      </c>
      <c r="AC135">
        <f t="shared" si="30"/>
        <v>0</v>
      </c>
      <c r="AD135">
        <f t="shared" si="31"/>
        <v>0</v>
      </c>
      <c r="AE135">
        <f t="shared" si="32"/>
        <v>0</v>
      </c>
      <c r="AF135">
        <f t="shared" si="33"/>
        <v>1</v>
      </c>
      <c r="AG135">
        <f t="shared" si="34"/>
        <v>0</v>
      </c>
      <c r="AH135">
        <f t="shared" si="35"/>
        <v>0</v>
      </c>
      <c r="AI135">
        <f t="shared" si="36"/>
        <v>1</v>
      </c>
      <c r="AJ135">
        <f t="shared" si="37"/>
        <v>1</v>
      </c>
      <c r="AK135">
        <f>SUM(AJ$2:$AJ135)</f>
        <v>134</v>
      </c>
    </row>
    <row r="136" spans="1:37">
      <c r="A136" t="s">
        <v>467</v>
      </c>
      <c r="B136" t="s">
        <v>523</v>
      </c>
      <c r="C136" t="s">
        <v>524</v>
      </c>
      <c r="D136">
        <v>30200</v>
      </c>
      <c r="E136" t="s">
        <v>525</v>
      </c>
      <c r="F136">
        <v>8290</v>
      </c>
      <c r="G136">
        <v>0</v>
      </c>
      <c r="I136">
        <v>3512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9307</v>
      </c>
      <c r="P136">
        <v>0</v>
      </c>
      <c r="R136">
        <v>0</v>
      </c>
      <c r="S136">
        <v>0</v>
      </c>
      <c r="T136" t="s">
        <v>526</v>
      </c>
      <c r="U136">
        <v>6</v>
      </c>
      <c r="V136" t="s">
        <v>87</v>
      </c>
      <c r="W136" t="s">
        <v>89</v>
      </c>
      <c r="X136" t="s">
        <v>89</v>
      </c>
      <c r="Y136" t="s">
        <v>89</v>
      </c>
      <c r="Z136">
        <v>1</v>
      </c>
      <c r="AA136">
        <f>IF(AND(D136&gt;=配装计算器!$I$29,D136&lt;=配装计算器!$I$30),1,0)</f>
        <v>1</v>
      </c>
      <c r="AB136">
        <f t="shared" si="29"/>
        <v>0</v>
      </c>
      <c r="AC136">
        <f t="shared" si="30"/>
        <v>0</v>
      </c>
      <c r="AD136">
        <f t="shared" si="31"/>
        <v>0</v>
      </c>
      <c r="AE136">
        <f t="shared" si="32"/>
        <v>0</v>
      </c>
      <c r="AF136">
        <f t="shared" si="33"/>
        <v>0</v>
      </c>
      <c r="AG136">
        <f t="shared" si="34"/>
        <v>1</v>
      </c>
      <c r="AH136">
        <f t="shared" si="35"/>
        <v>0</v>
      </c>
      <c r="AI136">
        <f t="shared" si="36"/>
        <v>1</v>
      </c>
      <c r="AJ136">
        <f t="shared" si="37"/>
        <v>1</v>
      </c>
      <c r="AK136">
        <f>SUM(AJ$2:$AJ136)</f>
        <v>135</v>
      </c>
    </row>
    <row r="137" spans="1:37">
      <c r="A137" t="s">
        <v>467</v>
      </c>
      <c r="B137" t="s">
        <v>527</v>
      </c>
      <c r="C137" t="s">
        <v>528</v>
      </c>
      <c r="D137">
        <v>30200</v>
      </c>
      <c r="E137" t="s">
        <v>529</v>
      </c>
      <c r="F137">
        <v>8290</v>
      </c>
      <c r="G137">
        <v>0</v>
      </c>
      <c r="I137">
        <v>2458</v>
      </c>
      <c r="J137">
        <v>0</v>
      </c>
      <c r="K137">
        <v>0</v>
      </c>
      <c r="L137">
        <v>8667</v>
      </c>
      <c r="M137">
        <v>0</v>
      </c>
      <c r="N137">
        <v>4522</v>
      </c>
      <c r="O137">
        <v>0</v>
      </c>
      <c r="P137">
        <v>0</v>
      </c>
      <c r="R137">
        <v>0</v>
      </c>
      <c r="S137">
        <v>0</v>
      </c>
      <c r="T137" t="s">
        <v>308</v>
      </c>
      <c r="U137">
        <v>6</v>
      </c>
      <c r="V137" t="s">
        <v>87</v>
      </c>
      <c r="W137" t="s">
        <v>89</v>
      </c>
      <c r="X137" t="s">
        <v>89</v>
      </c>
      <c r="Y137" t="s">
        <v>89</v>
      </c>
      <c r="Z137">
        <v>1</v>
      </c>
      <c r="AA137">
        <f>IF(AND(D137&gt;=配装计算器!$I$29,D137&lt;=配装计算器!$I$30),1,0)</f>
        <v>1</v>
      </c>
      <c r="AB137">
        <f t="shared" si="29"/>
        <v>0</v>
      </c>
      <c r="AC137">
        <f t="shared" si="30"/>
        <v>0</v>
      </c>
      <c r="AD137">
        <f t="shared" si="31"/>
        <v>1</v>
      </c>
      <c r="AE137">
        <f t="shared" si="32"/>
        <v>0</v>
      </c>
      <c r="AF137">
        <f t="shared" si="33"/>
        <v>1</v>
      </c>
      <c r="AG137">
        <f t="shared" si="34"/>
        <v>0</v>
      </c>
      <c r="AH137">
        <f t="shared" si="35"/>
        <v>0</v>
      </c>
      <c r="AI137">
        <f t="shared" si="36"/>
        <v>1</v>
      </c>
      <c r="AJ137">
        <f t="shared" si="37"/>
        <v>1</v>
      </c>
      <c r="AK137">
        <f>SUM(AJ$2:$AJ137)</f>
        <v>136</v>
      </c>
    </row>
    <row r="138" spans="1:37">
      <c r="A138" t="s">
        <v>467</v>
      </c>
      <c r="B138" t="s">
        <v>530</v>
      </c>
      <c r="C138" t="s">
        <v>531</v>
      </c>
      <c r="D138">
        <v>30200</v>
      </c>
      <c r="E138" t="s">
        <v>532</v>
      </c>
      <c r="F138">
        <v>8290</v>
      </c>
      <c r="G138">
        <v>0</v>
      </c>
      <c r="I138">
        <v>2970</v>
      </c>
      <c r="J138">
        <v>4145</v>
      </c>
      <c r="K138">
        <v>0</v>
      </c>
      <c r="L138">
        <v>0</v>
      </c>
      <c r="M138">
        <v>4145</v>
      </c>
      <c r="N138">
        <v>4145</v>
      </c>
      <c r="O138">
        <v>0</v>
      </c>
      <c r="P138">
        <v>0</v>
      </c>
      <c r="R138">
        <v>0</v>
      </c>
      <c r="S138">
        <v>0</v>
      </c>
      <c r="T138" t="s">
        <v>312</v>
      </c>
      <c r="U138">
        <v>6</v>
      </c>
      <c r="V138" t="s">
        <v>87</v>
      </c>
      <c r="W138" t="s">
        <v>89</v>
      </c>
      <c r="X138" t="s">
        <v>89</v>
      </c>
      <c r="Y138" t="s">
        <v>89</v>
      </c>
      <c r="Z138">
        <v>1</v>
      </c>
      <c r="AA138">
        <f>IF(AND(D138&gt;=配装计算器!$I$29,D138&lt;=配装计算器!$I$30),1,0)</f>
        <v>1</v>
      </c>
      <c r="AB138">
        <f t="shared" si="29"/>
        <v>1</v>
      </c>
      <c r="AC138">
        <f t="shared" si="30"/>
        <v>0</v>
      </c>
      <c r="AD138">
        <f t="shared" si="31"/>
        <v>0</v>
      </c>
      <c r="AE138">
        <f t="shared" si="32"/>
        <v>1</v>
      </c>
      <c r="AF138">
        <f t="shared" si="33"/>
        <v>1</v>
      </c>
      <c r="AG138">
        <f t="shared" si="34"/>
        <v>0</v>
      </c>
      <c r="AH138">
        <f t="shared" si="35"/>
        <v>0</v>
      </c>
      <c r="AI138">
        <f t="shared" si="36"/>
        <v>1</v>
      </c>
      <c r="AJ138">
        <f t="shared" si="37"/>
        <v>1</v>
      </c>
      <c r="AK138">
        <f>SUM(AJ$2:$AJ138)</f>
        <v>137</v>
      </c>
    </row>
    <row r="139" spans="1:37">
      <c r="A139" t="s">
        <v>467</v>
      </c>
      <c r="B139" t="s">
        <v>533</v>
      </c>
      <c r="C139" t="s">
        <v>534</v>
      </c>
      <c r="D139">
        <v>30200</v>
      </c>
      <c r="E139" t="s">
        <v>535</v>
      </c>
      <c r="F139">
        <v>8290</v>
      </c>
      <c r="G139">
        <v>0</v>
      </c>
      <c r="I139">
        <v>2458</v>
      </c>
      <c r="J139">
        <v>8667</v>
      </c>
      <c r="K139">
        <v>0</v>
      </c>
      <c r="L139">
        <v>0</v>
      </c>
      <c r="M139">
        <v>0</v>
      </c>
      <c r="N139">
        <v>4522</v>
      </c>
      <c r="O139">
        <v>0</v>
      </c>
      <c r="P139">
        <v>0</v>
      </c>
      <c r="R139">
        <v>0</v>
      </c>
      <c r="S139">
        <v>0</v>
      </c>
      <c r="T139" t="s">
        <v>316</v>
      </c>
      <c r="U139">
        <v>6</v>
      </c>
      <c r="V139" t="s">
        <v>87</v>
      </c>
      <c r="W139" t="s">
        <v>89</v>
      </c>
      <c r="X139" t="s">
        <v>89</v>
      </c>
      <c r="Y139" t="s">
        <v>89</v>
      </c>
      <c r="Z139">
        <v>1</v>
      </c>
      <c r="AA139">
        <f>IF(AND(D139&gt;=配装计算器!$I$29,D139&lt;=配装计算器!$I$30),1,0)</f>
        <v>1</v>
      </c>
      <c r="AB139">
        <f t="shared" ref="AB139" si="38">IF(J139&gt;0,1,0)</f>
        <v>1</v>
      </c>
      <c r="AC139">
        <f t="shared" ref="AC139" si="39">IF(K139&gt;0,1,0)</f>
        <v>0</v>
      </c>
      <c r="AD139">
        <f t="shared" ref="AD139" si="40">IF(L139&gt;0,1,0)</f>
        <v>0</v>
      </c>
      <c r="AE139">
        <f t="shared" ref="AE139" si="41">IF(M139&gt;0,1,0)</f>
        <v>0</v>
      </c>
      <c r="AF139">
        <f t="shared" ref="AF139" si="42">IF(N139&gt;0,1,0)</f>
        <v>1</v>
      </c>
      <c r="AG139">
        <f t="shared" ref="AG139" si="43">IF(O139&gt;0,1,0)</f>
        <v>0</v>
      </c>
      <c r="AH139">
        <f t="shared" ref="AH139" si="44">IF(P139&gt;0,1,0)</f>
        <v>0</v>
      </c>
      <c r="AI139">
        <f t="shared" ref="AI139" si="45">IF(COUNTIF(T139,"*"&amp;"精简"&amp;"*")&gt;0,1,0)</f>
        <v>1</v>
      </c>
      <c r="AJ139">
        <f t="shared" ref="AJ139" si="46">MIN(1,AA139*($AY$2+IF(AND(AB139&gt;=$AQ$3,AC139&gt;=$AR$3,AD139&gt;=$AS$3,AE139&gt;=$AT$3,AF139&gt;=$AU$3,AG139&gt;=$AV$3,AH139&gt;=$AW$3,AI139&gt;=$AX$3),1,0)))</f>
        <v>1</v>
      </c>
      <c r="AK139">
        <f>SUM(AJ$2:$AJ139)</f>
        <v>138</v>
      </c>
    </row>
    <row r="140" spans="1:37">
      <c r="A140" t="s">
        <v>467</v>
      </c>
      <c r="B140" t="s">
        <v>536</v>
      </c>
      <c r="C140" t="s">
        <v>537</v>
      </c>
      <c r="D140">
        <v>30200</v>
      </c>
      <c r="E140" t="s">
        <v>538</v>
      </c>
      <c r="F140">
        <v>8290</v>
      </c>
      <c r="G140">
        <v>0</v>
      </c>
      <c r="I140">
        <v>2970</v>
      </c>
      <c r="J140">
        <v>4145</v>
      </c>
      <c r="K140">
        <v>0</v>
      </c>
      <c r="L140">
        <v>4145</v>
      </c>
      <c r="M140">
        <v>0</v>
      </c>
      <c r="N140">
        <v>4145</v>
      </c>
      <c r="O140">
        <v>0</v>
      </c>
      <c r="P140">
        <v>0</v>
      </c>
      <c r="R140">
        <v>0</v>
      </c>
      <c r="S140">
        <v>0</v>
      </c>
      <c r="T140" t="s">
        <v>320</v>
      </c>
      <c r="U140">
        <v>6</v>
      </c>
      <c r="V140" t="s">
        <v>87</v>
      </c>
      <c r="W140" t="s">
        <v>89</v>
      </c>
      <c r="X140" t="s">
        <v>89</v>
      </c>
      <c r="Y140" t="s">
        <v>89</v>
      </c>
      <c r="Z140">
        <v>1</v>
      </c>
      <c r="AA140">
        <f>IF(AND(D140&gt;=配装计算器!$I$29,D140&lt;=配装计算器!$I$30),1,0)</f>
        <v>1</v>
      </c>
      <c r="AB140">
        <f t="shared" si="29"/>
        <v>1</v>
      </c>
      <c r="AC140">
        <f t="shared" si="30"/>
        <v>0</v>
      </c>
      <c r="AD140">
        <f t="shared" si="31"/>
        <v>1</v>
      </c>
      <c r="AE140">
        <f t="shared" si="32"/>
        <v>0</v>
      </c>
      <c r="AF140">
        <f t="shared" si="33"/>
        <v>1</v>
      </c>
      <c r="AG140">
        <f t="shared" si="34"/>
        <v>0</v>
      </c>
      <c r="AH140">
        <f t="shared" si="35"/>
        <v>0</v>
      </c>
      <c r="AI140">
        <f t="shared" si="36"/>
        <v>1</v>
      </c>
      <c r="AJ140">
        <f t="shared" si="37"/>
        <v>1</v>
      </c>
      <c r="AK140">
        <f>SUM(AJ$2:$AJ140)</f>
        <v>139</v>
      </c>
    </row>
    <row r="141" spans="1:37">
      <c r="A141" t="s">
        <v>467</v>
      </c>
      <c r="B141" t="s">
        <v>539</v>
      </c>
      <c r="C141" t="s">
        <v>540</v>
      </c>
      <c r="D141">
        <v>30700</v>
      </c>
      <c r="E141" t="s">
        <v>541</v>
      </c>
      <c r="F141">
        <v>8427</v>
      </c>
      <c r="G141">
        <v>638</v>
      </c>
      <c r="I141">
        <v>1041</v>
      </c>
      <c r="J141">
        <v>0</v>
      </c>
      <c r="K141">
        <v>0</v>
      </c>
      <c r="L141">
        <v>5746</v>
      </c>
      <c r="M141">
        <v>0</v>
      </c>
      <c r="N141">
        <v>0</v>
      </c>
      <c r="O141">
        <v>0</v>
      </c>
      <c r="P141">
        <v>2298</v>
      </c>
      <c r="R141">
        <v>0</v>
      </c>
      <c r="S141">
        <v>0</v>
      </c>
      <c r="T141" t="s">
        <v>86</v>
      </c>
      <c r="U141">
        <v>6</v>
      </c>
      <c r="V141" t="s">
        <v>145</v>
      </c>
      <c r="W141" t="s">
        <v>89</v>
      </c>
      <c r="X141" t="s">
        <v>89</v>
      </c>
      <c r="Y141" t="s">
        <v>89</v>
      </c>
      <c r="Z141">
        <v>2</v>
      </c>
      <c r="AA141">
        <f>IF(AND(D141&gt;=配装计算器!$I$29,D141&lt;=配装计算器!$I$30),1,0)</f>
        <v>1</v>
      </c>
      <c r="AB141">
        <f t="shared" si="29"/>
        <v>0</v>
      </c>
      <c r="AC141">
        <f t="shared" si="30"/>
        <v>0</v>
      </c>
      <c r="AD141">
        <f t="shared" si="31"/>
        <v>1</v>
      </c>
      <c r="AE141">
        <f t="shared" si="32"/>
        <v>0</v>
      </c>
      <c r="AF141">
        <f t="shared" si="33"/>
        <v>0</v>
      </c>
      <c r="AG141">
        <f t="shared" si="34"/>
        <v>0</v>
      </c>
      <c r="AH141">
        <f t="shared" si="35"/>
        <v>1</v>
      </c>
      <c r="AI141">
        <f t="shared" si="36"/>
        <v>0</v>
      </c>
      <c r="AJ141">
        <f t="shared" si="37"/>
        <v>1</v>
      </c>
      <c r="AK141">
        <f>SUM(AJ$2:$AJ141)</f>
        <v>140</v>
      </c>
    </row>
    <row r="142" spans="1:37">
      <c r="A142" t="s">
        <v>467</v>
      </c>
      <c r="B142" t="s">
        <v>542</v>
      </c>
      <c r="C142" t="s">
        <v>543</v>
      </c>
      <c r="D142">
        <v>32500</v>
      </c>
      <c r="E142" t="s">
        <v>544</v>
      </c>
      <c r="F142">
        <v>8921</v>
      </c>
      <c r="G142">
        <v>728</v>
      </c>
      <c r="I142">
        <v>1653</v>
      </c>
      <c r="J142">
        <v>0</v>
      </c>
      <c r="K142">
        <v>0</v>
      </c>
      <c r="L142">
        <v>6083</v>
      </c>
      <c r="M142">
        <v>0</v>
      </c>
      <c r="N142">
        <v>4866</v>
      </c>
      <c r="O142">
        <v>0</v>
      </c>
      <c r="P142">
        <v>0</v>
      </c>
      <c r="R142">
        <v>0</v>
      </c>
      <c r="S142">
        <v>0</v>
      </c>
      <c r="T142" t="s">
        <v>122</v>
      </c>
      <c r="U142">
        <v>6</v>
      </c>
      <c r="V142" t="s">
        <v>149</v>
      </c>
      <c r="W142" t="s">
        <v>89</v>
      </c>
      <c r="X142" t="s">
        <v>89</v>
      </c>
      <c r="Y142" t="s">
        <v>89</v>
      </c>
      <c r="Z142">
        <v>1</v>
      </c>
      <c r="AA142">
        <f>IF(AND(D142&gt;=配装计算器!$I$29,D142&lt;=配装计算器!$I$30),1,0)</f>
        <v>1</v>
      </c>
      <c r="AB142">
        <f t="shared" si="29"/>
        <v>0</v>
      </c>
      <c r="AC142">
        <f t="shared" si="30"/>
        <v>0</v>
      </c>
      <c r="AD142">
        <f t="shared" si="31"/>
        <v>1</v>
      </c>
      <c r="AE142">
        <f t="shared" si="32"/>
        <v>0</v>
      </c>
      <c r="AF142">
        <f t="shared" si="33"/>
        <v>1</v>
      </c>
      <c r="AG142">
        <f t="shared" si="34"/>
        <v>0</v>
      </c>
      <c r="AH142">
        <f t="shared" si="35"/>
        <v>0</v>
      </c>
      <c r="AI142">
        <f t="shared" si="36"/>
        <v>0</v>
      </c>
      <c r="AJ142">
        <f t="shared" si="37"/>
        <v>1</v>
      </c>
      <c r="AK142">
        <f>SUM(AJ$2:$AJ142)</f>
        <v>141</v>
      </c>
    </row>
    <row r="143" spans="1:37">
      <c r="A143" t="s">
        <v>467</v>
      </c>
      <c r="B143" t="s">
        <v>545</v>
      </c>
      <c r="C143" t="s">
        <v>546</v>
      </c>
      <c r="D143">
        <v>34100</v>
      </c>
      <c r="E143" t="s">
        <v>547</v>
      </c>
      <c r="F143">
        <v>9360</v>
      </c>
      <c r="G143">
        <v>764</v>
      </c>
      <c r="I143">
        <v>1734</v>
      </c>
      <c r="J143">
        <v>6382</v>
      </c>
      <c r="K143">
        <v>0</v>
      </c>
      <c r="L143">
        <v>0</v>
      </c>
      <c r="M143">
        <v>0</v>
      </c>
      <c r="N143">
        <v>5106</v>
      </c>
      <c r="O143">
        <v>0</v>
      </c>
      <c r="P143">
        <v>0</v>
      </c>
      <c r="R143">
        <v>0</v>
      </c>
      <c r="S143">
        <v>0</v>
      </c>
      <c r="T143" t="s">
        <v>102</v>
      </c>
      <c r="U143">
        <v>6</v>
      </c>
      <c r="V143" t="s">
        <v>98</v>
      </c>
      <c r="W143" t="s">
        <v>89</v>
      </c>
      <c r="X143" t="s">
        <v>89</v>
      </c>
      <c r="Y143" t="s">
        <v>89</v>
      </c>
      <c r="Z143">
        <v>1</v>
      </c>
      <c r="AA143">
        <f>IF(AND(D143&gt;=配装计算器!$I$29,D143&lt;=配装计算器!$I$30),1,0)</f>
        <v>1</v>
      </c>
      <c r="AB143">
        <f t="shared" si="29"/>
        <v>1</v>
      </c>
      <c r="AC143">
        <f t="shared" si="30"/>
        <v>0</v>
      </c>
      <c r="AD143">
        <f t="shared" si="31"/>
        <v>0</v>
      </c>
      <c r="AE143">
        <f t="shared" si="32"/>
        <v>0</v>
      </c>
      <c r="AF143">
        <f t="shared" si="33"/>
        <v>1</v>
      </c>
      <c r="AG143">
        <f t="shared" si="34"/>
        <v>0</v>
      </c>
      <c r="AH143">
        <f t="shared" si="35"/>
        <v>0</v>
      </c>
      <c r="AI143">
        <f t="shared" si="36"/>
        <v>0</v>
      </c>
      <c r="AJ143">
        <f t="shared" si="37"/>
        <v>1</v>
      </c>
      <c r="AK143">
        <f>SUM(AJ$2:$AJ143)</f>
        <v>142</v>
      </c>
    </row>
    <row r="144" spans="1:37">
      <c r="A144" t="s">
        <v>467</v>
      </c>
      <c r="B144" t="s">
        <v>548</v>
      </c>
      <c r="C144" t="s">
        <v>549</v>
      </c>
      <c r="D144">
        <v>35300</v>
      </c>
      <c r="E144" t="s">
        <v>550</v>
      </c>
      <c r="F144">
        <v>9690</v>
      </c>
      <c r="G144">
        <v>791</v>
      </c>
      <c r="I144">
        <v>1795</v>
      </c>
      <c r="J144">
        <v>0</v>
      </c>
      <c r="K144">
        <v>0</v>
      </c>
      <c r="L144">
        <v>0</v>
      </c>
      <c r="M144">
        <v>6607</v>
      </c>
      <c r="N144">
        <v>5285</v>
      </c>
      <c r="O144">
        <v>0</v>
      </c>
      <c r="P144">
        <v>0</v>
      </c>
      <c r="R144">
        <v>0</v>
      </c>
      <c r="S144">
        <v>0</v>
      </c>
      <c r="T144" t="s">
        <v>107</v>
      </c>
      <c r="U144">
        <v>6</v>
      </c>
      <c r="V144" t="s">
        <v>87</v>
      </c>
      <c r="W144" t="s">
        <v>89</v>
      </c>
      <c r="X144" t="s">
        <v>89</v>
      </c>
      <c r="Y144" t="s">
        <v>89</v>
      </c>
      <c r="Z144">
        <v>1</v>
      </c>
      <c r="AA144">
        <f>IF(AND(D144&gt;=配装计算器!$I$29,D144&lt;=配装计算器!$I$30),1,0)</f>
        <v>1</v>
      </c>
      <c r="AB144">
        <f t="shared" si="29"/>
        <v>0</v>
      </c>
      <c r="AC144">
        <f t="shared" si="30"/>
        <v>0</v>
      </c>
      <c r="AD144">
        <f t="shared" si="31"/>
        <v>0</v>
      </c>
      <c r="AE144">
        <f t="shared" si="32"/>
        <v>1</v>
      </c>
      <c r="AF144">
        <f t="shared" si="33"/>
        <v>1</v>
      </c>
      <c r="AG144">
        <f t="shared" si="34"/>
        <v>0</v>
      </c>
      <c r="AH144">
        <f t="shared" si="35"/>
        <v>0</v>
      </c>
      <c r="AI144">
        <f t="shared" si="36"/>
        <v>0</v>
      </c>
      <c r="AJ144">
        <f t="shared" si="37"/>
        <v>1</v>
      </c>
      <c r="AK144">
        <f>SUM(AJ$2:$AJ144)</f>
        <v>143</v>
      </c>
    </row>
    <row r="145" spans="1:37">
      <c r="A145" t="s">
        <v>467</v>
      </c>
      <c r="B145" t="s">
        <v>551</v>
      </c>
      <c r="C145" t="s">
        <v>552</v>
      </c>
      <c r="D145">
        <v>35300</v>
      </c>
      <c r="E145" t="s">
        <v>553</v>
      </c>
      <c r="F145">
        <v>9690</v>
      </c>
      <c r="G145">
        <v>791</v>
      </c>
      <c r="I145">
        <v>1795</v>
      </c>
      <c r="J145">
        <v>0</v>
      </c>
      <c r="K145">
        <v>0</v>
      </c>
      <c r="L145">
        <v>0</v>
      </c>
      <c r="M145">
        <v>0</v>
      </c>
      <c r="N145">
        <v>5285</v>
      </c>
      <c r="O145">
        <v>6607</v>
      </c>
      <c r="P145">
        <v>0</v>
      </c>
      <c r="R145">
        <v>0</v>
      </c>
      <c r="S145">
        <v>0</v>
      </c>
      <c r="T145" t="s">
        <v>115</v>
      </c>
      <c r="U145">
        <v>6</v>
      </c>
      <c r="V145" t="s">
        <v>87</v>
      </c>
      <c r="W145" t="s">
        <v>89</v>
      </c>
      <c r="X145" t="s">
        <v>89</v>
      </c>
      <c r="Y145" t="s">
        <v>89</v>
      </c>
      <c r="Z145">
        <v>1</v>
      </c>
      <c r="AA145">
        <f>IF(AND(D145&gt;=配装计算器!$I$29,D145&lt;=配装计算器!$I$30),1,0)</f>
        <v>1</v>
      </c>
      <c r="AB145">
        <f t="shared" si="29"/>
        <v>0</v>
      </c>
      <c r="AC145">
        <f t="shared" si="30"/>
        <v>0</v>
      </c>
      <c r="AD145">
        <f t="shared" si="31"/>
        <v>0</v>
      </c>
      <c r="AE145">
        <f t="shared" si="32"/>
        <v>0</v>
      </c>
      <c r="AF145">
        <f t="shared" si="33"/>
        <v>1</v>
      </c>
      <c r="AG145">
        <f t="shared" si="34"/>
        <v>1</v>
      </c>
      <c r="AH145">
        <f t="shared" si="35"/>
        <v>0</v>
      </c>
      <c r="AI145">
        <f t="shared" si="36"/>
        <v>0</v>
      </c>
      <c r="AJ145">
        <f t="shared" si="37"/>
        <v>1</v>
      </c>
      <c r="AK145">
        <f>SUM(AJ$2:$AJ145)</f>
        <v>144</v>
      </c>
    </row>
    <row r="146" spans="1:37">
      <c r="A146" t="s">
        <v>467</v>
      </c>
      <c r="B146" t="s">
        <v>554</v>
      </c>
      <c r="C146" t="s">
        <v>555</v>
      </c>
      <c r="D146">
        <v>35300</v>
      </c>
      <c r="E146" t="s">
        <v>556</v>
      </c>
      <c r="F146">
        <v>9690</v>
      </c>
      <c r="G146">
        <v>791</v>
      </c>
      <c r="I146">
        <v>1795</v>
      </c>
      <c r="J146">
        <v>6607</v>
      </c>
      <c r="K146">
        <v>0</v>
      </c>
      <c r="L146">
        <v>0</v>
      </c>
      <c r="M146">
        <v>0</v>
      </c>
      <c r="N146">
        <v>5285</v>
      </c>
      <c r="O146">
        <v>0</v>
      </c>
      <c r="P146">
        <v>0</v>
      </c>
      <c r="R146">
        <v>0</v>
      </c>
      <c r="S146">
        <v>0</v>
      </c>
      <c r="T146" t="s">
        <v>102</v>
      </c>
      <c r="U146">
        <v>6</v>
      </c>
      <c r="V146" t="s">
        <v>87</v>
      </c>
      <c r="W146" t="s">
        <v>89</v>
      </c>
      <c r="X146" t="s">
        <v>89</v>
      </c>
      <c r="Y146" t="s">
        <v>89</v>
      </c>
      <c r="Z146">
        <v>1</v>
      </c>
      <c r="AA146">
        <f>IF(AND(D146&gt;=配装计算器!$I$29,D146&lt;=配装计算器!$I$30),1,0)</f>
        <v>1</v>
      </c>
      <c r="AB146">
        <f t="shared" si="29"/>
        <v>1</v>
      </c>
      <c r="AC146">
        <f t="shared" si="30"/>
        <v>0</v>
      </c>
      <c r="AD146">
        <f t="shared" si="31"/>
        <v>0</v>
      </c>
      <c r="AE146">
        <f t="shared" si="32"/>
        <v>0</v>
      </c>
      <c r="AF146">
        <f t="shared" si="33"/>
        <v>1</v>
      </c>
      <c r="AG146">
        <f t="shared" si="34"/>
        <v>0</v>
      </c>
      <c r="AH146">
        <f t="shared" si="35"/>
        <v>0</v>
      </c>
      <c r="AI146">
        <f t="shared" si="36"/>
        <v>0</v>
      </c>
      <c r="AJ146">
        <f t="shared" si="37"/>
        <v>1</v>
      </c>
      <c r="AK146">
        <f>SUM(AJ$2:$AJ146)</f>
        <v>145</v>
      </c>
    </row>
    <row r="147" spans="1:37">
      <c r="A147" t="s">
        <v>467</v>
      </c>
      <c r="B147" t="s">
        <v>557</v>
      </c>
      <c r="C147" t="s">
        <v>558</v>
      </c>
      <c r="D147">
        <v>35300</v>
      </c>
      <c r="E147" t="s">
        <v>559</v>
      </c>
      <c r="F147">
        <v>9690</v>
      </c>
      <c r="G147">
        <v>791</v>
      </c>
      <c r="I147">
        <v>1795</v>
      </c>
      <c r="J147">
        <v>0</v>
      </c>
      <c r="K147">
        <v>0</v>
      </c>
      <c r="L147">
        <v>6607</v>
      </c>
      <c r="M147">
        <v>0</v>
      </c>
      <c r="N147">
        <v>5285</v>
      </c>
      <c r="O147">
        <v>0</v>
      </c>
      <c r="P147">
        <v>0</v>
      </c>
      <c r="R147">
        <v>0</v>
      </c>
      <c r="S147">
        <v>0</v>
      </c>
      <c r="T147" t="s">
        <v>122</v>
      </c>
      <c r="U147">
        <v>6</v>
      </c>
      <c r="V147" t="s">
        <v>262</v>
      </c>
      <c r="W147" t="s">
        <v>89</v>
      </c>
      <c r="X147" t="s">
        <v>89</v>
      </c>
      <c r="Y147" t="s">
        <v>89</v>
      </c>
      <c r="Z147">
        <v>1</v>
      </c>
      <c r="AA147">
        <f>IF(AND(D147&gt;=配装计算器!$I$29,D147&lt;=配装计算器!$I$30),1,0)</f>
        <v>1</v>
      </c>
      <c r="AB147">
        <f t="shared" si="29"/>
        <v>0</v>
      </c>
      <c r="AC147">
        <f t="shared" si="30"/>
        <v>0</v>
      </c>
      <c r="AD147">
        <f t="shared" si="31"/>
        <v>1</v>
      </c>
      <c r="AE147">
        <f t="shared" si="32"/>
        <v>0</v>
      </c>
      <c r="AF147">
        <f t="shared" si="33"/>
        <v>1</v>
      </c>
      <c r="AG147">
        <f t="shared" si="34"/>
        <v>0</v>
      </c>
      <c r="AH147">
        <f t="shared" si="35"/>
        <v>0</v>
      </c>
      <c r="AI147">
        <f t="shared" si="36"/>
        <v>0</v>
      </c>
      <c r="AJ147">
        <f t="shared" si="37"/>
        <v>1</v>
      </c>
      <c r="AK147">
        <f>SUM(AJ$2:$AJ147)</f>
        <v>146</v>
      </c>
    </row>
    <row r="148" spans="1:37">
      <c r="A148" t="s">
        <v>467</v>
      </c>
      <c r="B148" t="s">
        <v>560</v>
      </c>
      <c r="C148" t="s">
        <v>561</v>
      </c>
      <c r="D148">
        <v>35300</v>
      </c>
      <c r="E148" t="s">
        <v>562</v>
      </c>
      <c r="F148">
        <v>9690</v>
      </c>
      <c r="G148">
        <v>0</v>
      </c>
      <c r="I148">
        <v>1197</v>
      </c>
      <c r="J148">
        <v>0</v>
      </c>
      <c r="K148">
        <v>0</v>
      </c>
      <c r="L148">
        <v>0</v>
      </c>
      <c r="M148">
        <v>17177</v>
      </c>
      <c r="N148">
        <v>5285</v>
      </c>
      <c r="O148">
        <v>0</v>
      </c>
      <c r="P148">
        <v>0</v>
      </c>
      <c r="R148">
        <v>0</v>
      </c>
      <c r="S148">
        <v>0</v>
      </c>
      <c r="T148" t="s">
        <v>198</v>
      </c>
      <c r="U148">
        <v>6</v>
      </c>
      <c r="V148" t="s">
        <v>87</v>
      </c>
      <c r="W148" t="s">
        <v>89</v>
      </c>
      <c r="X148" t="s">
        <v>89</v>
      </c>
      <c r="Y148" t="s">
        <v>89</v>
      </c>
      <c r="Z148">
        <v>1</v>
      </c>
      <c r="AA148">
        <f>IF(AND(D148&gt;=配装计算器!$I$29,D148&lt;=配装计算器!$I$30),1,0)</f>
        <v>1</v>
      </c>
      <c r="AB148">
        <f t="shared" si="29"/>
        <v>0</v>
      </c>
      <c r="AC148">
        <f t="shared" si="30"/>
        <v>0</v>
      </c>
      <c r="AD148">
        <f t="shared" si="31"/>
        <v>0</v>
      </c>
      <c r="AE148">
        <f t="shared" si="32"/>
        <v>1</v>
      </c>
      <c r="AF148">
        <f t="shared" si="33"/>
        <v>1</v>
      </c>
      <c r="AG148">
        <f t="shared" si="34"/>
        <v>0</v>
      </c>
      <c r="AH148">
        <f t="shared" si="35"/>
        <v>0</v>
      </c>
      <c r="AI148">
        <f t="shared" si="36"/>
        <v>1</v>
      </c>
      <c r="AJ148">
        <f t="shared" si="37"/>
        <v>1</v>
      </c>
      <c r="AK148">
        <f>SUM(AJ$2:$AJ148)</f>
        <v>147</v>
      </c>
    </row>
    <row r="149" spans="1:37">
      <c r="A149" t="s">
        <v>467</v>
      </c>
      <c r="B149" t="s">
        <v>563</v>
      </c>
      <c r="C149" t="s">
        <v>564</v>
      </c>
      <c r="D149">
        <v>35300</v>
      </c>
      <c r="E149" t="s">
        <v>565</v>
      </c>
      <c r="F149">
        <v>9690</v>
      </c>
      <c r="G149">
        <v>0</v>
      </c>
      <c r="I149">
        <v>4955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9073</v>
      </c>
      <c r="P149">
        <v>0</v>
      </c>
      <c r="R149">
        <v>0</v>
      </c>
      <c r="S149">
        <v>0</v>
      </c>
      <c r="T149" t="s">
        <v>566</v>
      </c>
      <c r="U149">
        <v>6</v>
      </c>
      <c r="V149" t="s">
        <v>87</v>
      </c>
      <c r="W149" t="s">
        <v>89</v>
      </c>
      <c r="X149" t="s">
        <v>89</v>
      </c>
      <c r="Y149" t="s">
        <v>89</v>
      </c>
      <c r="Z149">
        <v>1</v>
      </c>
      <c r="AA149">
        <f>IF(AND(D149&gt;=配装计算器!$I$29,D149&lt;=配装计算器!$I$30),1,0)</f>
        <v>1</v>
      </c>
      <c r="AB149">
        <f t="shared" si="29"/>
        <v>0</v>
      </c>
      <c r="AC149">
        <f t="shared" si="30"/>
        <v>0</v>
      </c>
      <c r="AD149">
        <f t="shared" si="31"/>
        <v>0</v>
      </c>
      <c r="AE149">
        <f t="shared" si="32"/>
        <v>0</v>
      </c>
      <c r="AF149">
        <f t="shared" si="33"/>
        <v>0</v>
      </c>
      <c r="AG149">
        <f t="shared" si="34"/>
        <v>1</v>
      </c>
      <c r="AH149">
        <f t="shared" si="35"/>
        <v>0</v>
      </c>
      <c r="AI149">
        <f t="shared" si="36"/>
        <v>1</v>
      </c>
      <c r="AJ149">
        <f t="shared" si="37"/>
        <v>1</v>
      </c>
      <c r="AK149">
        <f>SUM(AJ$2:$AJ149)</f>
        <v>148</v>
      </c>
    </row>
    <row r="150" spans="1:37">
      <c r="A150" t="s">
        <v>467</v>
      </c>
      <c r="B150" t="s">
        <v>567</v>
      </c>
      <c r="C150" t="s">
        <v>568</v>
      </c>
      <c r="D150">
        <v>35300</v>
      </c>
      <c r="E150" t="s">
        <v>569</v>
      </c>
      <c r="F150">
        <v>9690</v>
      </c>
      <c r="G150">
        <v>0</v>
      </c>
      <c r="I150">
        <v>1197</v>
      </c>
      <c r="J150">
        <v>0</v>
      </c>
      <c r="K150">
        <v>0</v>
      </c>
      <c r="L150">
        <v>17177</v>
      </c>
      <c r="M150">
        <v>0</v>
      </c>
      <c r="N150">
        <v>5285</v>
      </c>
      <c r="O150">
        <v>0</v>
      </c>
      <c r="P150">
        <v>0</v>
      </c>
      <c r="R150">
        <v>0</v>
      </c>
      <c r="S150">
        <v>0</v>
      </c>
      <c r="T150" t="s">
        <v>153</v>
      </c>
      <c r="U150">
        <v>6</v>
      </c>
      <c r="V150" t="s">
        <v>87</v>
      </c>
      <c r="W150" t="s">
        <v>89</v>
      </c>
      <c r="X150" t="s">
        <v>89</v>
      </c>
      <c r="Y150" t="s">
        <v>89</v>
      </c>
      <c r="Z150">
        <v>1</v>
      </c>
      <c r="AA150">
        <f>IF(AND(D150&gt;=配装计算器!$I$29,D150&lt;=配装计算器!$I$30),1,0)</f>
        <v>1</v>
      </c>
      <c r="AB150">
        <f t="shared" si="29"/>
        <v>0</v>
      </c>
      <c r="AC150">
        <f t="shared" si="30"/>
        <v>0</v>
      </c>
      <c r="AD150">
        <f t="shared" si="31"/>
        <v>1</v>
      </c>
      <c r="AE150">
        <f t="shared" si="32"/>
        <v>0</v>
      </c>
      <c r="AF150">
        <f t="shared" si="33"/>
        <v>1</v>
      </c>
      <c r="AG150">
        <f t="shared" si="34"/>
        <v>0</v>
      </c>
      <c r="AH150">
        <f t="shared" si="35"/>
        <v>0</v>
      </c>
      <c r="AI150">
        <f t="shared" si="36"/>
        <v>1</v>
      </c>
      <c r="AJ150">
        <f t="shared" si="37"/>
        <v>1</v>
      </c>
      <c r="AK150">
        <f>SUM(AJ$2:$AJ150)</f>
        <v>149</v>
      </c>
    </row>
    <row r="151" spans="1:37">
      <c r="A151" t="s">
        <v>467</v>
      </c>
      <c r="B151" t="s">
        <v>570</v>
      </c>
      <c r="C151" t="s">
        <v>571</v>
      </c>
      <c r="D151">
        <v>35300</v>
      </c>
      <c r="E151" t="s">
        <v>572</v>
      </c>
      <c r="F151">
        <v>9690</v>
      </c>
      <c r="G151">
        <v>0</v>
      </c>
      <c r="I151">
        <v>2813</v>
      </c>
      <c r="J151">
        <v>4404</v>
      </c>
      <c r="K151">
        <v>0</v>
      </c>
      <c r="L151">
        <v>4404</v>
      </c>
      <c r="M151">
        <v>4404</v>
      </c>
      <c r="N151">
        <v>4404</v>
      </c>
      <c r="O151">
        <v>0</v>
      </c>
      <c r="P151">
        <v>0</v>
      </c>
      <c r="R151">
        <v>0</v>
      </c>
      <c r="S151">
        <v>0</v>
      </c>
      <c r="T151" t="s">
        <v>504</v>
      </c>
      <c r="U151">
        <v>6</v>
      </c>
      <c r="V151" t="s">
        <v>87</v>
      </c>
      <c r="W151" t="s">
        <v>89</v>
      </c>
      <c r="X151" t="s">
        <v>89</v>
      </c>
      <c r="Y151" t="s">
        <v>89</v>
      </c>
      <c r="Z151">
        <v>1</v>
      </c>
      <c r="AA151">
        <f>IF(AND(D151&gt;=配装计算器!$I$29,D151&lt;=配装计算器!$I$30),1,0)</f>
        <v>1</v>
      </c>
      <c r="AB151">
        <f t="shared" si="29"/>
        <v>1</v>
      </c>
      <c r="AC151">
        <f t="shared" si="30"/>
        <v>0</v>
      </c>
      <c r="AD151">
        <f t="shared" si="31"/>
        <v>1</v>
      </c>
      <c r="AE151">
        <f t="shared" si="32"/>
        <v>1</v>
      </c>
      <c r="AF151">
        <f t="shared" si="33"/>
        <v>1</v>
      </c>
      <c r="AG151">
        <f t="shared" si="34"/>
        <v>0</v>
      </c>
      <c r="AH151">
        <f t="shared" si="35"/>
        <v>0</v>
      </c>
      <c r="AI151">
        <f t="shared" si="36"/>
        <v>1</v>
      </c>
      <c r="AJ151">
        <f t="shared" si="37"/>
        <v>1</v>
      </c>
      <c r="AK151">
        <f>SUM(AJ$2:$AJ151)</f>
        <v>150</v>
      </c>
    </row>
    <row r="152" spans="1:37">
      <c r="A152" t="s">
        <v>467</v>
      </c>
      <c r="B152" t="s">
        <v>573</v>
      </c>
      <c r="C152" t="s">
        <v>574</v>
      </c>
      <c r="D152">
        <v>35300</v>
      </c>
      <c r="E152" t="s">
        <v>575</v>
      </c>
      <c r="F152">
        <v>9690</v>
      </c>
      <c r="G152">
        <v>0</v>
      </c>
      <c r="I152">
        <v>1197</v>
      </c>
      <c r="J152">
        <v>17177</v>
      </c>
      <c r="K152">
        <v>0</v>
      </c>
      <c r="L152">
        <v>0</v>
      </c>
      <c r="M152">
        <v>0</v>
      </c>
      <c r="N152">
        <v>5285</v>
      </c>
      <c r="O152">
        <v>0</v>
      </c>
      <c r="P152">
        <v>0</v>
      </c>
      <c r="R152">
        <v>0</v>
      </c>
      <c r="S152">
        <v>0</v>
      </c>
      <c r="T152" t="s">
        <v>184</v>
      </c>
      <c r="U152">
        <v>6</v>
      </c>
      <c r="V152" t="s">
        <v>87</v>
      </c>
      <c r="W152" t="s">
        <v>89</v>
      </c>
      <c r="X152" t="s">
        <v>89</v>
      </c>
      <c r="Y152" t="s">
        <v>89</v>
      </c>
      <c r="Z152">
        <v>1</v>
      </c>
      <c r="AA152">
        <f>IF(AND(D152&gt;=配装计算器!$I$29,D152&lt;=配装计算器!$I$30),1,0)</f>
        <v>1</v>
      </c>
      <c r="AB152">
        <f t="shared" si="29"/>
        <v>1</v>
      </c>
      <c r="AC152">
        <f t="shared" si="30"/>
        <v>0</v>
      </c>
      <c r="AD152">
        <f t="shared" si="31"/>
        <v>0</v>
      </c>
      <c r="AE152">
        <f t="shared" si="32"/>
        <v>0</v>
      </c>
      <c r="AF152">
        <f t="shared" si="33"/>
        <v>1</v>
      </c>
      <c r="AG152">
        <f t="shared" si="34"/>
        <v>0</v>
      </c>
      <c r="AH152">
        <f t="shared" si="35"/>
        <v>0</v>
      </c>
      <c r="AI152">
        <f t="shared" si="36"/>
        <v>1</v>
      </c>
      <c r="AJ152">
        <f t="shared" si="37"/>
        <v>1</v>
      </c>
      <c r="AK152">
        <f>SUM(AJ$2:$AJ152)</f>
        <v>151</v>
      </c>
    </row>
    <row r="153" spans="1:37">
      <c r="A153" t="s">
        <v>467</v>
      </c>
      <c r="B153" t="s">
        <v>576</v>
      </c>
      <c r="C153" t="s">
        <v>577</v>
      </c>
      <c r="D153">
        <v>35300</v>
      </c>
      <c r="E153" t="s">
        <v>578</v>
      </c>
      <c r="F153">
        <v>9690</v>
      </c>
      <c r="G153">
        <v>0</v>
      </c>
      <c r="I153">
        <v>3471</v>
      </c>
      <c r="J153">
        <v>7928</v>
      </c>
      <c r="K153">
        <v>3303</v>
      </c>
      <c r="L153">
        <v>0</v>
      </c>
      <c r="M153">
        <v>3303</v>
      </c>
      <c r="N153">
        <v>0</v>
      </c>
      <c r="O153">
        <v>0</v>
      </c>
      <c r="P153">
        <v>0</v>
      </c>
      <c r="R153">
        <v>0</v>
      </c>
      <c r="S153">
        <v>0</v>
      </c>
      <c r="T153" t="s">
        <v>157</v>
      </c>
      <c r="U153">
        <v>6</v>
      </c>
      <c r="V153" t="s">
        <v>87</v>
      </c>
      <c r="W153" t="s">
        <v>89</v>
      </c>
      <c r="X153" t="s">
        <v>89</v>
      </c>
      <c r="Y153" t="s">
        <v>89</v>
      </c>
      <c r="Z153">
        <v>1</v>
      </c>
      <c r="AA153">
        <f>IF(AND(D153&gt;=配装计算器!$I$29,D153&lt;=配装计算器!$I$30),1,0)</f>
        <v>1</v>
      </c>
      <c r="AB153">
        <f t="shared" si="29"/>
        <v>1</v>
      </c>
      <c r="AC153">
        <f t="shared" si="30"/>
        <v>1</v>
      </c>
      <c r="AD153">
        <f t="shared" si="31"/>
        <v>0</v>
      </c>
      <c r="AE153">
        <f t="shared" si="32"/>
        <v>1</v>
      </c>
      <c r="AF153">
        <f t="shared" si="33"/>
        <v>0</v>
      </c>
      <c r="AG153">
        <f t="shared" si="34"/>
        <v>0</v>
      </c>
      <c r="AH153">
        <f t="shared" si="35"/>
        <v>0</v>
      </c>
      <c r="AI153">
        <f t="shared" si="36"/>
        <v>1</v>
      </c>
      <c r="AJ153">
        <f t="shared" si="37"/>
        <v>1</v>
      </c>
      <c r="AK153">
        <f>SUM(AJ$2:$AJ153)</f>
        <v>152</v>
      </c>
    </row>
    <row r="154" spans="1:37">
      <c r="A154" t="s">
        <v>467</v>
      </c>
      <c r="B154" t="s">
        <v>579</v>
      </c>
      <c r="C154" t="s">
        <v>580</v>
      </c>
      <c r="D154">
        <v>35300</v>
      </c>
      <c r="E154" t="s">
        <v>581</v>
      </c>
      <c r="F154">
        <v>9690</v>
      </c>
      <c r="G154">
        <v>0</v>
      </c>
      <c r="I154">
        <v>3471</v>
      </c>
      <c r="J154">
        <v>7928</v>
      </c>
      <c r="K154">
        <v>3303</v>
      </c>
      <c r="L154">
        <v>0</v>
      </c>
      <c r="M154">
        <v>0</v>
      </c>
      <c r="N154">
        <v>3303</v>
      </c>
      <c r="O154">
        <v>0</v>
      </c>
      <c r="P154">
        <v>0</v>
      </c>
      <c r="R154">
        <v>0</v>
      </c>
      <c r="S154">
        <v>0</v>
      </c>
      <c r="T154" t="s">
        <v>141</v>
      </c>
      <c r="U154">
        <v>6</v>
      </c>
      <c r="V154" t="s">
        <v>87</v>
      </c>
      <c r="W154" t="s">
        <v>89</v>
      </c>
      <c r="X154" t="s">
        <v>89</v>
      </c>
      <c r="Y154" t="s">
        <v>89</v>
      </c>
      <c r="Z154">
        <v>1</v>
      </c>
      <c r="AA154">
        <f>IF(AND(D154&gt;=配装计算器!$I$29,D154&lt;=配装计算器!$I$30),1,0)</f>
        <v>1</v>
      </c>
      <c r="AB154">
        <f t="shared" si="29"/>
        <v>1</v>
      </c>
      <c r="AC154">
        <f t="shared" si="30"/>
        <v>1</v>
      </c>
      <c r="AD154">
        <f t="shared" si="31"/>
        <v>0</v>
      </c>
      <c r="AE154">
        <f t="shared" si="32"/>
        <v>0</v>
      </c>
      <c r="AF154">
        <f t="shared" si="33"/>
        <v>1</v>
      </c>
      <c r="AG154">
        <f t="shared" si="34"/>
        <v>0</v>
      </c>
      <c r="AH154">
        <f t="shared" si="35"/>
        <v>0</v>
      </c>
      <c r="AI154">
        <f t="shared" si="36"/>
        <v>1</v>
      </c>
      <c r="AJ154">
        <f t="shared" si="37"/>
        <v>1</v>
      </c>
      <c r="AK154">
        <f>SUM(AJ$2:$AJ154)</f>
        <v>153</v>
      </c>
    </row>
    <row r="155" spans="1:37">
      <c r="A155" t="s">
        <v>467</v>
      </c>
      <c r="B155" t="s">
        <v>582</v>
      </c>
      <c r="C155" t="s">
        <v>583</v>
      </c>
      <c r="D155">
        <v>35300</v>
      </c>
      <c r="E155" t="s">
        <v>584</v>
      </c>
      <c r="F155">
        <v>9690</v>
      </c>
      <c r="G155">
        <v>0</v>
      </c>
      <c r="I155">
        <v>2394</v>
      </c>
      <c r="J155">
        <v>0</v>
      </c>
      <c r="K155">
        <v>0</v>
      </c>
      <c r="L155">
        <v>0</v>
      </c>
      <c r="M155">
        <v>12112</v>
      </c>
      <c r="N155">
        <v>6607</v>
      </c>
      <c r="O155">
        <v>0</v>
      </c>
      <c r="P155">
        <v>0</v>
      </c>
      <c r="R155">
        <v>0</v>
      </c>
      <c r="S155">
        <v>0</v>
      </c>
      <c r="T155" t="s">
        <v>292</v>
      </c>
      <c r="U155">
        <v>6</v>
      </c>
      <c r="V155" t="s">
        <v>87</v>
      </c>
      <c r="W155" t="s">
        <v>89</v>
      </c>
      <c r="X155" t="s">
        <v>89</v>
      </c>
      <c r="Y155" t="s">
        <v>89</v>
      </c>
      <c r="Z155">
        <v>1</v>
      </c>
      <c r="AA155">
        <f>IF(AND(D155&gt;=配装计算器!$I$29,D155&lt;=配装计算器!$I$30),1,0)</f>
        <v>1</v>
      </c>
      <c r="AB155">
        <f t="shared" si="29"/>
        <v>0</v>
      </c>
      <c r="AC155">
        <f t="shared" si="30"/>
        <v>0</v>
      </c>
      <c r="AD155">
        <f t="shared" si="31"/>
        <v>0</v>
      </c>
      <c r="AE155">
        <f t="shared" si="32"/>
        <v>1</v>
      </c>
      <c r="AF155">
        <f t="shared" si="33"/>
        <v>1</v>
      </c>
      <c r="AG155">
        <f t="shared" si="34"/>
        <v>0</v>
      </c>
      <c r="AH155">
        <f t="shared" si="35"/>
        <v>0</v>
      </c>
      <c r="AI155">
        <f t="shared" si="36"/>
        <v>1</v>
      </c>
      <c r="AJ155">
        <f t="shared" si="37"/>
        <v>1</v>
      </c>
      <c r="AK155">
        <f>SUM(AJ$2:$AJ155)</f>
        <v>154</v>
      </c>
    </row>
    <row r="156" spans="1:37">
      <c r="A156" t="s">
        <v>467</v>
      </c>
      <c r="B156" t="s">
        <v>585</v>
      </c>
      <c r="C156" t="s">
        <v>586</v>
      </c>
      <c r="D156">
        <v>35300</v>
      </c>
      <c r="E156" t="s">
        <v>587</v>
      </c>
      <c r="F156">
        <v>9690</v>
      </c>
      <c r="G156">
        <v>0</v>
      </c>
      <c r="I156">
        <v>3471</v>
      </c>
      <c r="J156">
        <v>0</v>
      </c>
      <c r="K156">
        <v>0</v>
      </c>
      <c r="L156">
        <v>4845</v>
      </c>
      <c r="M156">
        <v>4845</v>
      </c>
      <c r="N156">
        <v>4845</v>
      </c>
      <c r="O156">
        <v>0</v>
      </c>
      <c r="P156">
        <v>0</v>
      </c>
      <c r="R156">
        <v>0</v>
      </c>
      <c r="S156">
        <v>0</v>
      </c>
      <c r="T156" t="s">
        <v>296</v>
      </c>
      <c r="U156">
        <v>6</v>
      </c>
      <c r="V156" t="s">
        <v>87</v>
      </c>
      <c r="W156" t="s">
        <v>89</v>
      </c>
      <c r="X156" t="s">
        <v>89</v>
      </c>
      <c r="Y156" t="s">
        <v>89</v>
      </c>
      <c r="Z156">
        <v>1</v>
      </c>
      <c r="AA156">
        <f>IF(AND(D156&gt;=配装计算器!$I$29,D156&lt;=配装计算器!$I$30),1,0)</f>
        <v>1</v>
      </c>
      <c r="AB156">
        <f t="shared" si="29"/>
        <v>0</v>
      </c>
      <c r="AC156">
        <f t="shared" si="30"/>
        <v>0</v>
      </c>
      <c r="AD156">
        <f t="shared" si="31"/>
        <v>1</v>
      </c>
      <c r="AE156">
        <f t="shared" si="32"/>
        <v>1</v>
      </c>
      <c r="AF156">
        <f t="shared" si="33"/>
        <v>1</v>
      </c>
      <c r="AG156">
        <f t="shared" si="34"/>
        <v>0</v>
      </c>
      <c r="AH156">
        <f t="shared" si="35"/>
        <v>0</v>
      </c>
      <c r="AI156">
        <f t="shared" si="36"/>
        <v>1</v>
      </c>
      <c r="AJ156">
        <f t="shared" si="37"/>
        <v>1</v>
      </c>
      <c r="AK156">
        <f>SUM(AJ$2:$AJ156)</f>
        <v>155</v>
      </c>
    </row>
    <row r="157" spans="1:37">
      <c r="A157" t="s">
        <v>467</v>
      </c>
      <c r="B157" t="s">
        <v>588</v>
      </c>
      <c r="C157" t="s">
        <v>589</v>
      </c>
      <c r="D157">
        <v>35300</v>
      </c>
      <c r="E157" t="s">
        <v>590</v>
      </c>
      <c r="F157">
        <v>9690</v>
      </c>
      <c r="G157">
        <v>0</v>
      </c>
      <c r="I157">
        <v>4070</v>
      </c>
      <c r="J157">
        <v>0</v>
      </c>
      <c r="K157">
        <v>0</v>
      </c>
      <c r="L157">
        <v>0</v>
      </c>
      <c r="M157">
        <v>0</v>
      </c>
      <c r="N157">
        <v>11452</v>
      </c>
      <c r="O157">
        <v>0</v>
      </c>
      <c r="P157">
        <v>0</v>
      </c>
      <c r="R157">
        <v>0</v>
      </c>
      <c r="S157">
        <v>0</v>
      </c>
      <c r="T157" t="s">
        <v>300</v>
      </c>
      <c r="U157">
        <v>6</v>
      </c>
      <c r="V157" t="s">
        <v>87</v>
      </c>
      <c r="W157" t="s">
        <v>89</v>
      </c>
      <c r="X157" t="s">
        <v>89</v>
      </c>
      <c r="Y157" t="s">
        <v>89</v>
      </c>
      <c r="Z157">
        <v>1</v>
      </c>
      <c r="AA157">
        <f>IF(AND(D157&gt;=配装计算器!$I$29,D157&lt;=配装计算器!$I$30),1,0)</f>
        <v>1</v>
      </c>
      <c r="AB157">
        <f t="shared" si="29"/>
        <v>0</v>
      </c>
      <c r="AC157">
        <f t="shared" si="30"/>
        <v>0</v>
      </c>
      <c r="AD157">
        <f t="shared" si="31"/>
        <v>0</v>
      </c>
      <c r="AE157">
        <f t="shared" si="32"/>
        <v>0</v>
      </c>
      <c r="AF157">
        <f t="shared" si="33"/>
        <v>1</v>
      </c>
      <c r="AG157">
        <f t="shared" si="34"/>
        <v>0</v>
      </c>
      <c r="AH157">
        <f t="shared" si="35"/>
        <v>0</v>
      </c>
      <c r="AI157">
        <f t="shared" si="36"/>
        <v>1</v>
      </c>
      <c r="AJ157">
        <f t="shared" si="37"/>
        <v>1</v>
      </c>
      <c r="AK157">
        <f>SUM(AJ$2:$AJ157)</f>
        <v>156</v>
      </c>
    </row>
    <row r="158" spans="1:37">
      <c r="A158" t="s">
        <v>467</v>
      </c>
      <c r="B158" t="s">
        <v>591</v>
      </c>
      <c r="C158" t="s">
        <v>592</v>
      </c>
      <c r="D158">
        <v>35300</v>
      </c>
      <c r="E158" t="s">
        <v>593</v>
      </c>
      <c r="F158">
        <v>9690</v>
      </c>
      <c r="G158">
        <v>0</v>
      </c>
      <c r="I158">
        <v>4955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9073</v>
      </c>
      <c r="P158">
        <v>0</v>
      </c>
      <c r="R158">
        <v>0</v>
      </c>
      <c r="S158">
        <v>0</v>
      </c>
      <c r="T158" t="s">
        <v>526</v>
      </c>
      <c r="U158">
        <v>6</v>
      </c>
      <c r="V158" t="s">
        <v>87</v>
      </c>
      <c r="W158" t="s">
        <v>89</v>
      </c>
      <c r="X158" t="s">
        <v>89</v>
      </c>
      <c r="Y158" t="s">
        <v>89</v>
      </c>
      <c r="Z158">
        <v>1</v>
      </c>
      <c r="AA158">
        <f>IF(AND(D158&gt;=配装计算器!$I$29,D158&lt;=配装计算器!$I$30),1,0)</f>
        <v>1</v>
      </c>
      <c r="AB158">
        <f t="shared" ref="AB158" si="47">IF(J158&gt;0,1,0)</f>
        <v>0</v>
      </c>
      <c r="AC158">
        <f t="shared" ref="AC158" si="48">IF(K158&gt;0,1,0)</f>
        <v>0</v>
      </c>
      <c r="AD158">
        <f t="shared" ref="AD158" si="49">IF(L158&gt;0,1,0)</f>
        <v>0</v>
      </c>
      <c r="AE158">
        <f t="shared" ref="AE158" si="50">IF(M158&gt;0,1,0)</f>
        <v>0</v>
      </c>
      <c r="AF158">
        <f t="shared" ref="AF158" si="51">IF(N158&gt;0,1,0)</f>
        <v>0</v>
      </c>
      <c r="AG158">
        <f t="shared" ref="AG158" si="52">IF(O158&gt;0,1,0)</f>
        <v>1</v>
      </c>
      <c r="AH158">
        <f t="shared" ref="AH158" si="53">IF(P158&gt;0,1,0)</f>
        <v>0</v>
      </c>
      <c r="AI158">
        <f t="shared" ref="AI158" si="54">IF(COUNTIF(T158,"*"&amp;"精简"&amp;"*")&gt;0,1,0)</f>
        <v>1</v>
      </c>
      <c r="AJ158">
        <f t="shared" ref="AJ158" si="55">MIN(1,AA158*($AY$2+IF(AND(AB158&gt;=$AQ$3,AC158&gt;=$AR$3,AD158&gt;=$AS$3,AE158&gt;=$AT$3,AF158&gt;=$AU$3,AG158&gt;=$AV$3,AH158&gt;=$AW$3,AI158&gt;=$AX$3),1,0)))</f>
        <v>1</v>
      </c>
      <c r="AK158">
        <f>SUM(AJ$2:$AJ158)</f>
        <v>157</v>
      </c>
    </row>
    <row r="159" spans="1:37">
      <c r="A159" t="s">
        <v>467</v>
      </c>
      <c r="B159" t="s">
        <v>594</v>
      </c>
      <c r="C159" t="s">
        <v>595</v>
      </c>
      <c r="D159">
        <v>35300</v>
      </c>
      <c r="E159" t="s">
        <v>596</v>
      </c>
      <c r="F159">
        <v>9690</v>
      </c>
      <c r="G159">
        <v>0</v>
      </c>
      <c r="I159">
        <v>3351</v>
      </c>
      <c r="J159">
        <v>0</v>
      </c>
      <c r="K159">
        <v>0</v>
      </c>
      <c r="L159">
        <v>10791</v>
      </c>
      <c r="M159">
        <v>0</v>
      </c>
      <c r="N159">
        <v>4404</v>
      </c>
      <c r="O159">
        <v>0</v>
      </c>
      <c r="P159">
        <v>0</v>
      </c>
      <c r="R159">
        <v>0</v>
      </c>
      <c r="S159">
        <v>0</v>
      </c>
      <c r="T159" t="s">
        <v>308</v>
      </c>
      <c r="U159">
        <v>6</v>
      </c>
      <c r="V159" t="s">
        <v>87</v>
      </c>
      <c r="W159" t="s">
        <v>89</v>
      </c>
      <c r="X159" t="s">
        <v>89</v>
      </c>
      <c r="Y159" t="s">
        <v>89</v>
      </c>
      <c r="Z159">
        <v>1</v>
      </c>
      <c r="AA159">
        <f>IF(AND(D159&gt;=配装计算器!$I$29,D159&lt;=配装计算器!$I$30),1,0)</f>
        <v>1</v>
      </c>
      <c r="AB159">
        <f t="shared" si="29"/>
        <v>0</v>
      </c>
      <c r="AC159">
        <f t="shared" si="30"/>
        <v>0</v>
      </c>
      <c r="AD159">
        <f t="shared" si="31"/>
        <v>1</v>
      </c>
      <c r="AE159">
        <f t="shared" si="32"/>
        <v>0</v>
      </c>
      <c r="AF159">
        <f t="shared" si="33"/>
        <v>1</v>
      </c>
      <c r="AG159">
        <f t="shared" si="34"/>
        <v>0</v>
      </c>
      <c r="AH159">
        <f t="shared" si="35"/>
        <v>0</v>
      </c>
      <c r="AI159">
        <f t="shared" si="36"/>
        <v>1</v>
      </c>
      <c r="AJ159">
        <f t="shared" si="37"/>
        <v>1</v>
      </c>
      <c r="AK159">
        <f>SUM(AJ$2:$AJ159)</f>
        <v>158</v>
      </c>
    </row>
    <row r="160" spans="1:37">
      <c r="A160" t="s">
        <v>467</v>
      </c>
      <c r="B160" t="s">
        <v>597</v>
      </c>
      <c r="C160" t="s">
        <v>598</v>
      </c>
      <c r="D160">
        <v>35300</v>
      </c>
      <c r="E160" t="s">
        <v>599</v>
      </c>
      <c r="F160">
        <v>9690</v>
      </c>
      <c r="G160">
        <v>0</v>
      </c>
      <c r="I160">
        <v>3471</v>
      </c>
      <c r="J160">
        <v>4845</v>
      </c>
      <c r="K160">
        <v>0</v>
      </c>
      <c r="L160">
        <v>0</v>
      </c>
      <c r="M160">
        <v>4845</v>
      </c>
      <c r="N160">
        <v>4845</v>
      </c>
      <c r="O160">
        <v>0</v>
      </c>
      <c r="P160">
        <v>0</v>
      </c>
      <c r="R160">
        <v>0</v>
      </c>
      <c r="S160">
        <v>0</v>
      </c>
      <c r="T160" t="s">
        <v>312</v>
      </c>
      <c r="U160">
        <v>6</v>
      </c>
      <c r="V160" t="s">
        <v>87</v>
      </c>
      <c r="W160" t="s">
        <v>89</v>
      </c>
      <c r="X160" t="s">
        <v>89</v>
      </c>
      <c r="Y160" t="s">
        <v>89</v>
      </c>
      <c r="Z160">
        <v>1</v>
      </c>
      <c r="AA160">
        <f>IF(AND(D160&gt;=配装计算器!$I$29,D160&lt;=配装计算器!$I$30),1,0)</f>
        <v>1</v>
      </c>
      <c r="AB160">
        <f t="shared" si="29"/>
        <v>1</v>
      </c>
      <c r="AC160">
        <f t="shared" si="30"/>
        <v>0</v>
      </c>
      <c r="AD160">
        <f t="shared" si="31"/>
        <v>0</v>
      </c>
      <c r="AE160">
        <f t="shared" si="32"/>
        <v>1</v>
      </c>
      <c r="AF160">
        <f t="shared" si="33"/>
        <v>1</v>
      </c>
      <c r="AG160">
        <f t="shared" si="34"/>
        <v>0</v>
      </c>
      <c r="AH160">
        <f t="shared" si="35"/>
        <v>0</v>
      </c>
      <c r="AI160">
        <f t="shared" si="36"/>
        <v>1</v>
      </c>
      <c r="AJ160">
        <f t="shared" si="37"/>
        <v>1</v>
      </c>
      <c r="AK160">
        <f>SUM(AJ$2:$AJ160)</f>
        <v>159</v>
      </c>
    </row>
    <row r="161" spans="1:37">
      <c r="A161" t="s">
        <v>467</v>
      </c>
      <c r="B161" t="s">
        <v>600</v>
      </c>
      <c r="C161" t="s">
        <v>601</v>
      </c>
      <c r="D161">
        <v>35300</v>
      </c>
      <c r="E161" t="s">
        <v>602</v>
      </c>
      <c r="F161">
        <v>9690</v>
      </c>
      <c r="G161">
        <v>0</v>
      </c>
      <c r="I161">
        <v>2873</v>
      </c>
      <c r="J161">
        <v>10571</v>
      </c>
      <c r="K161">
        <v>0</v>
      </c>
      <c r="L161">
        <v>0</v>
      </c>
      <c r="M161">
        <v>0</v>
      </c>
      <c r="N161">
        <v>6166</v>
      </c>
      <c r="O161">
        <v>0</v>
      </c>
      <c r="P161">
        <v>0</v>
      </c>
      <c r="R161">
        <v>0</v>
      </c>
      <c r="S161">
        <v>0</v>
      </c>
      <c r="T161" t="s">
        <v>316</v>
      </c>
      <c r="U161">
        <v>6</v>
      </c>
      <c r="V161" t="s">
        <v>87</v>
      </c>
      <c r="W161" t="s">
        <v>89</v>
      </c>
      <c r="X161" t="s">
        <v>89</v>
      </c>
      <c r="Y161" t="s">
        <v>89</v>
      </c>
      <c r="Z161">
        <v>1</v>
      </c>
      <c r="AA161">
        <f>IF(AND(D161&gt;=配装计算器!$I$29,D161&lt;=配装计算器!$I$30),1,0)</f>
        <v>1</v>
      </c>
      <c r="AB161">
        <f t="shared" si="29"/>
        <v>1</v>
      </c>
      <c r="AC161">
        <f t="shared" si="30"/>
        <v>0</v>
      </c>
      <c r="AD161">
        <f t="shared" si="31"/>
        <v>0</v>
      </c>
      <c r="AE161">
        <f t="shared" si="32"/>
        <v>0</v>
      </c>
      <c r="AF161">
        <f t="shared" si="33"/>
        <v>1</v>
      </c>
      <c r="AG161">
        <f t="shared" si="34"/>
        <v>0</v>
      </c>
      <c r="AH161">
        <f t="shared" si="35"/>
        <v>0</v>
      </c>
      <c r="AI161">
        <f t="shared" si="36"/>
        <v>1</v>
      </c>
      <c r="AJ161">
        <f t="shared" si="37"/>
        <v>1</v>
      </c>
      <c r="AK161">
        <f>SUM(AJ$2:$AJ161)</f>
        <v>160</v>
      </c>
    </row>
    <row r="162" spans="1:37">
      <c r="A162" t="s">
        <v>467</v>
      </c>
      <c r="B162" t="s">
        <v>603</v>
      </c>
      <c r="C162" t="s">
        <v>604</v>
      </c>
      <c r="D162">
        <v>35300</v>
      </c>
      <c r="E162" t="s">
        <v>605</v>
      </c>
      <c r="F162">
        <v>9690</v>
      </c>
      <c r="G162">
        <v>0</v>
      </c>
      <c r="I162">
        <v>3471</v>
      </c>
      <c r="J162">
        <v>4845</v>
      </c>
      <c r="K162">
        <v>0</v>
      </c>
      <c r="L162">
        <v>4845</v>
      </c>
      <c r="M162">
        <v>0</v>
      </c>
      <c r="N162">
        <v>4845</v>
      </c>
      <c r="O162">
        <v>0</v>
      </c>
      <c r="P162">
        <v>0</v>
      </c>
      <c r="R162">
        <v>0</v>
      </c>
      <c r="S162">
        <v>0</v>
      </c>
      <c r="T162" t="s">
        <v>320</v>
      </c>
      <c r="U162">
        <v>6</v>
      </c>
      <c r="V162" t="s">
        <v>87</v>
      </c>
      <c r="W162" t="s">
        <v>89</v>
      </c>
      <c r="X162" t="s">
        <v>89</v>
      </c>
      <c r="Y162" t="s">
        <v>89</v>
      </c>
      <c r="Z162">
        <v>1</v>
      </c>
      <c r="AA162">
        <f>IF(AND(D162&gt;=配装计算器!$I$29,D162&lt;=配装计算器!$I$30),1,0)</f>
        <v>1</v>
      </c>
      <c r="AB162">
        <f t="shared" si="29"/>
        <v>1</v>
      </c>
      <c r="AC162">
        <f t="shared" si="30"/>
        <v>0</v>
      </c>
      <c r="AD162">
        <f t="shared" si="31"/>
        <v>1</v>
      </c>
      <c r="AE162">
        <f t="shared" si="32"/>
        <v>0</v>
      </c>
      <c r="AF162">
        <f t="shared" si="33"/>
        <v>1</v>
      </c>
      <c r="AG162">
        <f t="shared" si="34"/>
        <v>0</v>
      </c>
      <c r="AH162">
        <f t="shared" si="35"/>
        <v>0</v>
      </c>
      <c r="AI162">
        <f t="shared" si="36"/>
        <v>1</v>
      </c>
      <c r="AJ162">
        <f t="shared" si="37"/>
        <v>1</v>
      </c>
      <c r="AK162">
        <f>SUM(AJ$2:$AJ162)</f>
        <v>161</v>
      </c>
    </row>
    <row r="163" spans="1:37">
      <c r="A163" t="s">
        <v>467</v>
      </c>
      <c r="B163" t="s">
        <v>606</v>
      </c>
      <c r="C163" t="s">
        <v>607</v>
      </c>
      <c r="D163">
        <v>36200</v>
      </c>
      <c r="E163" t="s">
        <v>608</v>
      </c>
      <c r="F163">
        <v>9937</v>
      </c>
      <c r="G163">
        <v>753</v>
      </c>
      <c r="I163">
        <v>1227</v>
      </c>
      <c r="J163">
        <v>0</v>
      </c>
      <c r="K163">
        <v>0</v>
      </c>
      <c r="L163">
        <v>6775</v>
      </c>
      <c r="M163">
        <v>0</v>
      </c>
      <c r="N163">
        <v>0</v>
      </c>
      <c r="O163">
        <v>0</v>
      </c>
      <c r="P163">
        <v>2710</v>
      </c>
      <c r="R163">
        <v>0</v>
      </c>
      <c r="S163">
        <v>0</v>
      </c>
      <c r="T163" t="s">
        <v>86</v>
      </c>
      <c r="U163">
        <v>6</v>
      </c>
      <c r="V163" t="s">
        <v>145</v>
      </c>
      <c r="W163" t="s">
        <v>89</v>
      </c>
      <c r="X163" t="s">
        <v>89</v>
      </c>
      <c r="Y163" t="s">
        <v>89</v>
      </c>
      <c r="Z163">
        <v>2</v>
      </c>
      <c r="AA163">
        <f>IF(AND(D163&gt;=配装计算器!$I$29,D163&lt;=配装计算器!$I$30),1,0)</f>
        <v>1</v>
      </c>
      <c r="AB163">
        <f t="shared" si="29"/>
        <v>0</v>
      </c>
      <c r="AC163">
        <f t="shared" si="30"/>
        <v>0</v>
      </c>
      <c r="AD163">
        <f t="shared" si="31"/>
        <v>1</v>
      </c>
      <c r="AE163">
        <f t="shared" si="32"/>
        <v>0</v>
      </c>
      <c r="AF163">
        <f t="shared" si="33"/>
        <v>0</v>
      </c>
      <c r="AG163">
        <f t="shared" si="34"/>
        <v>0</v>
      </c>
      <c r="AH163">
        <f t="shared" si="35"/>
        <v>1</v>
      </c>
      <c r="AI163">
        <f t="shared" si="36"/>
        <v>0</v>
      </c>
      <c r="AJ163">
        <f t="shared" si="37"/>
        <v>1</v>
      </c>
      <c r="AK163">
        <f>SUM(AJ$2:$AJ163)</f>
        <v>162</v>
      </c>
    </row>
    <row r="164" spans="1:37">
      <c r="A164" t="s">
        <v>467</v>
      </c>
      <c r="B164" t="s">
        <v>609</v>
      </c>
      <c r="C164" t="s">
        <v>610</v>
      </c>
      <c r="D164">
        <v>38100</v>
      </c>
      <c r="E164" t="s">
        <v>611</v>
      </c>
      <c r="F164">
        <v>10458</v>
      </c>
      <c r="G164">
        <v>853</v>
      </c>
      <c r="I164">
        <v>1938</v>
      </c>
      <c r="J164">
        <v>0</v>
      </c>
      <c r="K164">
        <v>0</v>
      </c>
      <c r="L164">
        <v>7131</v>
      </c>
      <c r="M164">
        <v>0</v>
      </c>
      <c r="N164">
        <v>5705</v>
      </c>
      <c r="O164">
        <v>0</v>
      </c>
      <c r="P164">
        <v>0</v>
      </c>
      <c r="R164">
        <v>0</v>
      </c>
      <c r="S164">
        <v>0</v>
      </c>
      <c r="T164" t="s">
        <v>122</v>
      </c>
      <c r="U164">
        <v>6</v>
      </c>
      <c r="V164" t="s">
        <v>149</v>
      </c>
      <c r="W164" t="s">
        <v>89</v>
      </c>
      <c r="X164" t="s">
        <v>89</v>
      </c>
      <c r="Y164" t="s">
        <v>89</v>
      </c>
      <c r="Z164">
        <v>1</v>
      </c>
      <c r="AA164">
        <f>IF(AND(D164&gt;=配装计算器!$I$29,D164&lt;=配装计算器!$I$30),1,0)</f>
        <v>1</v>
      </c>
      <c r="AB164">
        <f t="shared" si="29"/>
        <v>0</v>
      </c>
      <c r="AC164">
        <f t="shared" si="30"/>
        <v>0</v>
      </c>
      <c r="AD164">
        <f t="shared" si="31"/>
        <v>1</v>
      </c>
      <c r="AE164">
        <f t="shared" si="32"/>
        <v>0</v>
      </c>
      <c r="AF164">
        <f t="shared" si="33"/>
        <v>1</v>
      </c>
      <c r="AG164">
        <f t="shared" si="34"/>
        <v>0</v>
      </c>
      <c r="AH164">
        <f t="shared" si="35"/>
        <v>0</v>
      </c>
      <c r="AI164">
        <f t="shared" si="36"/>
        <v>0</v>
      </c>
      <c r="AJ164">
        <f t="shared" si="37"/>
        <v>1</v>
      </c>
      <c r="AK164">
        <f>SUM(AJ$2:$AJ164)</f>
        <v>163</v>
      </c>
    </row>
    <row r="165" spans="1:37">
      <c r="A165" t="s">
        <v>467</v>
      </c>
      <c r="B165" t="s">
        <v>612</v>
      </c>
      <c r="C165" t="s">
        <v>613</v>
      </c>
      <c r="D165">
        <v>41400</v>
      </c>
      <c r="E165" t="s">
        <v>614</v>
      </c>
      <c r="F165">
        <v>11364</v>
      </c>
      <c r="G165">
        <v>927</v>
      </c>
      <c r="I165">
        <v>2106</v>
      </c>
      <c r="J165">
        <v>0</v>
      </c>
      <c r="K165">
        <v>0</v>
      </c>
      <c r="L165">
        <v>0</v>
      </c>
      <c r="M165">
        <v>7748</v>
      </c>
      <c r="N165">
        <v>6199</v>
      </c>
      <c r="O165">
        <v>0</v>
      </c>
      <c r="P165">
        <v>0</v>
      </c>
      <c r="R165">
        <v>0</v>
      </c>
      <c r="S165">
        <v>0</v>
      </c>
      <c r="T165" t="s">
        <v>107</v>
      </c>
      <c r="U165">
        <v>6</v>
      </c>
      <c r="V165" t="s">
        <v>87</v>
      </c>
      <c r="W165" t="s">
        <v>89</v>
      </c>
      <c r="X165" t="s">
        <v>89</v>
      </c>
      <c r="Y165" t="s">
        <v>89</v>
      </c>
      <c r="Z165">
        <v>1</v>
      </c>
      <c r="AA165">
        <f>IF(AND(D165&gt;=配装计算器!$I$29,D165&lt;=配装计算器!$I$30),1,0)</f>
        <v>1</v>
      </c>
      <c r="AB165">
        <f t="shared" si="29"/>
        <v>0</v>
      </c>
      <c r="AC165">
        <f t="shared" si="30"/>
        <v>0</v>
      </c>
      <c r="AD165">
        <f t="shared" si="31"/>
        <v>0</v>
      </c>
      <c r="AE165">
        <f t="shared" si="32"/>
        <v>1</v>
      </c>
      <c r="AF165">
        <f t="shared" si="33"/>
        <v>1</v>
      </c>
      <c r="AG165">
        <f t="shared" si="34"/>
        <v>0</v>
      </c>
      <c r="AH165">
        <f t="shared" si="35"/>
        <v>0</v>
      </c>
      <c r="AI165">
        <f t="shared" si="36"/>
        <v>0</v>
      </c>
      <c r="AJ165">
        <f t="shared" si="37"/>
        <v>1</v>
      </c>
      <c r="AK165">
        <f>SUM(AJ$2:$AJ165)</f>
        <v>164</v>
      </c>
    </row>
    <row r="166" spans="1:37">
      <c r="A166" t="s">
        <v>467</v>
      </c>
      <c r="B166" t="s">
        <v>615</v>
      </c>
      <c r="C166" t="s">
        <v>616</v>
      </c>
      <c r="D166">
        <v>41400</v>
      </c>
      <c r="E166" t="s">
        <v>617</v>
      </c>
      <c r="F166">
        <v>11364</v>
      </c>
      <c r="G166">
        <v>927</v>
      </c>
      <c r="I166">
        <v>2106</v>
      </c>
      <c r="J166">
        <v>0</v>
      </c>
      <c r="K166">
        <v>0</v>
      </c>
      <c r="L166">
        <v>0</v>
      </c>
      <c r="M166">
        <v>0</v>
      </c>
      <c r="N166">
        <v>6199</v>
      </c>
      <c r="O166">
        <v>7748</v>
      </c>
      <c r="P166">
        <v>0</v>
      </c>
      <c r="R166">
        <v>0</v>
      </c>
      <c r="S166">
        <v>0</v>
      </c>
      <c r="T166" t="s">
        <v>115</v>
      </c>
      <c r="U166">
        <v>6</v>
      </c>
      <c r="V166" t="s">
        <v>87</v>
      </c>
      <c r="W166" t="s">
        <v>89</v>
      </c>
      <c r="X166" t="s">
        <v>89</v>
      </c>
      <c r="Y166" t="s">
        <v>89</v>
      </c>
      <c r="Z166">
        <v>1</v>
      </c>
      <c r="AA166">
        <f>IF(AND(D166&gt;=配装计算器!$I$29,D166&lt;=配装计算器!$I$30),1,0)</f>
        <v>1</v>
      </c>
      <c r="AB166">
        <f t="shared" si="29"/>
        <v>0</v>
      </c>
      <c r="AC166">
        <f t="shared" si="30"/>
        <v>0</v>
      </c>
      <c r="AD166">
        <f t="shared" si="31"/>
        <v>0</v>
      </c>
      <c r="AE166">
        <f t="shared" si="32"/>
        <v>0</v>
      </c>
      <c r="AF166">
        <f t="shared" si="33"/>
        <v>1</v>
      </c>
      <c r="AG166">
        <f t="shared" si="34"/>
        <v>1</v>
      </c>
      <c r="AH166">
        <f t="shared" si="35"/>
        <v>0</v>
      </c>
      <c r="AI166">
        <f t="shared" si="36"/>
        <v>0</v>
      </c>
      <c r="AJ166">
        <f t="shared" si="37"/>
        <v>1</v>
      </c>
      <c r="AK166">
        <f>SUM(AJ$2:$AJ166)</f>
        <v>165</v>
      </c>
    </row>
    <row r="167" spans="1:37">
      <c r="A167" t="s">
        <v>467</v>
      </c>
      <c r="B167" t="s">
        <v>618</v>
      </c>
      <c r="C167" t="s">
        <v>619</v>
      </c>
      <c r="D167">
        <v>41400</v>
      </c>
      <c r="E167" t="s">
        <v>620</v>
      </c>
      <c r="F167">
        <v>11364</v>
      </c>
      <c r="G167">
        <v>927</v>
      </c>
      <c r="I167">
        <v>2106</v>
      </c>
      <c r="J167">
        <v>7748</v>
      </c>
      <c r="K167">
        <v>0</v>
      </c>
      <c r="L167">
        <v>0</v>
      </c>
      <c r="M167">
        <v>0</v>
      </c>
      <c r="N167">
        <v>6199</v>
      </c>
      <c r="O167">
        <v>0</v>
      </c>
      <c r="P167">
        <v>0</v>
      </c>
      <c r="R167">
        <v>0</v>
      </c>
      <c r="S167">
        <v>0</v>
      </c>
      <c r="T167" t="s">
        <v>102</v>
      </c>
      <c r="U167">
        <v>6</v>
      </c>
      <c r="V167" t="s">
        <v>87</v>
      </c>
      <c r="W167" t="s">
        <v>89</v>
      </c>
      <c r="X167" t="s">
        <v>89</v>
      </c>
      <c r="Y167" t="s">
        <v>89</v>
      </c>
      <c r="Z167">
        <v>1</v>
      </c>
      <c r="AA167">
        <f>IF(AND(D167&gt;=配装计算器!$I$29,D167&lt;=配装计算器!$I$30),1,0)</f>
        <v>1</v>
      </c>
      <c r="AB167">
        <f t="shared" si="29"/>
        <v>1</v>
      </c>
      <c r="AC167">
        <f t="shared" si="30"/>
        <v>0</v>
      </c>
      <c r="AD167">
        <f t="shared" si="31"/>
        <v>0</v>
      </c>
      <c r="AE167">
        <f t="shared" si="32"/>
        <v>0</v>
      </c>
      <c r="AF167">
        <f t="shared" si="33"/>
        <v>1</v>
      </c>
      <c r="AG167">
        <f t="shared" si="34"/>
        <v>0</v>
      </c>
      <c r="AH167">
        <f t="shared" si="35"/>
        <v>0</v>
      </c>
      <c r="AI167">
        <f t="shared" si="36"/>
        <v>0</v>
      </c>
      <c r="AJ167">
        <f t="shared" si="37"/>
        <v>1</v>
      </c>
      <c r="AK167">
        <f>SUM(AJ$2:$AJ167)</f>
        <v>166</v>
      </c>
    </row>
    <row r="168" spans="1:37">
      <c r="A168" t="s">
        <v>467</v>
      </c>
      <c r="B168" t="s">
        <v>621</v>
      </c>
      <c r="C168" t="s">
        <v>622</v>
      </c>
      <c r="D168">
        <v>41400</v>
      </c>
      <c r="E168" t="s">
        <v>623</v>
      </c>
      <c r="F168">
        <v>11364</v>
      </c>
      <c r="G168">
        <v>927</v>
      </c>
      <c r="I168">
        <v>2106</v>
      </c>
      <c r="J168">
        <v>0</v>
      </c>
      <c r="K168">
        <v>0</v>
      </c>
      <c r="L168">
        <v>7748</v>
      </c>
      <c r="M168">
        <v>0</v>
      </c>
      <c r="N168">
        <v>6199</v>
      </c>
      <c r="O168">
        <v>0</v>
      </c>
      <c r="P168">
        <v>0</v>
      </c>
      <c r="R168">
        <v>0</v>
      </c>
      <c r="S168">
        <v>0</v>
      </c>
      <c r="T168" t="s">
        <v>122</v>
      </c>
      <c r="U168">
        <v>6</v>
      </c>
      <c r="V168" t="s">
        <v>262</v>
      </c>
      <c r="W168" t="s">
        <v>89</v>
      </c>
      <c r="X168" t="s">
        <v>89</v>
      </c>
      <c r="Y168" t="s">
        <v>89</v>
      </c>
      <c r="Z168">
        <v>1</v>
      </c>
      <c r="AA168">
        <f>IF(AND(D168&gt;=配装计算器!$I$29,D168&lt;=配装计算器!$I$30),1,0)</f>
        <v>1</v>
      </c>
      <c r="AB168">
        <f t="shared" si="29"/>
        <v>0</v>
      </c>
      <c r="AC168">
        <f t="shared" si="30"/>
        <v>0</v>
      </c>
      <c r="AD168">
        <f t="shared" si="31"/>
        <v>1</v>
      </c>
      <c r="AE168">
        <f t="shared" si="32"/>
        <v>0</v>
      </c>
      <c r="AF168">
        <f t="shared" si="33"/>
        <v>1</v>
      </c>
      <c r="AG168">
        <f t="shared" si="34"/>
        <v>0</v>
      </c>
      <c r="AH168">
        <f t="shared" si="35"/>
        <v>0</v>
      </c>
      <c r="AI168">
        <f t="shared" si="36"/>
        <v>0</v>
      </c>
      <c r="AJ168">
        <f t="shared" si="37"/>
        <v>1</v>
      </c>
      <c r="AK168">
        <f>SUM(AJ$2:$AJ168)</f>
        <v>167</v>
      </c>
    </row>
    <row r="169" spans="1:37">
      <c r="A169" t="s">
        <v>467</v>
      </c>
      <c r="B169" t="s">
        <v>624</v>
      </c>
      <c r="C169" t="s">
        <v>625</v>
      </c>
      <c r="D169">
        <v>41400</v>
      </c>
      <c r="E169" t="s">
        <v>626</v>
      </c>
      <c r="F169">
        <v>11364</v>
      </c>
      <c r="G169">
        <v>0</v>
      </c>
      <c r="I169">
        <v>1404</v>
      </c>
      <c r="J169">
        <v>0</v>
      </c>
      <c r="K169">
        <v>0</v>
      </c>
      <c r="L169">
        <v>0</v>
      </c>
      <c r="M169">
        <v>20662</v>
      </c>
      <c r="N169">
        <v>6199</v>
      </c>
      <c r="O169">
        <v>0</v>
      </c>
      <c r="P169">
        <v>0</v>
      </c>
      <c r="R169">
        <v>0</v>
      </c>
      <c r="S169">
        <v>0</v>
      </c>
      <c r="T169" t="s">
        <v>198</v>
      </c>
      <c r="U169">
        <v>6</v>
      </c>
      <c r="V169" t="s">
        <v>87</v>
      </c>
      <c r="W169" t="s">
        <v>89</v>
      </c>
      <c r="X169" t="s">
        <v>89</v>
      </c>
      <c r="Y169" t="s">
        <v>89</v>
      </c>
      <c r="Z169">
        <v>1</v>
      </c>
      <c r="AA169">
        <f>IF(AND(D169&gt;=配装计算器!$I$29,D169&lt;=配装计算器!$I$30),1,0)</f>
        <v>1</v>
      </c>
      <c r="AB169">
        <f t="shared" si="29"/>
        <v>0</v>
      </c>
      <c r="AC169">
        <f t="shared" si="30"/>
        <v>0</v>
      </c>
      <c r="AD169">
        <f t="shared" si="31"/>
        <v>0</v>
      </c>
      <c r="AE169">
        <f t="shared" si="32"/>
        <v>1</v>
      </c>
      <c r="AF169">
        <f t="shared" si="33"/>
        <v>1</v>
      </c>
      <c r="AG169">
        <f t="shared" si="34"/>
        <v>0</v>
      </c>
      <c r="AH169">
        <f t="shared" si="35"/>
        <v>0</v>
      </c>
      <c r="AI169">
        <f t="shared" si="36"/>
        <v>1</v>
      </c>
      <c r="AJ169">
        <f t="shared" si="37"/>
        <v>1</v>
      </c>
      <c r="AK169">
        <f>SUM(AJ$2:$AJ169)</f>
        <v>168</v>
      </c>
    </row>
    <row r="170" spans="1:37">
      <c r="A170" t="s">
        <v>467</v>
      </c>
      <c r="B170" t="s">
        <v>627</v>
      </c>
      <c r="C170" t="s">
        <v>628</v>
      </c>
      <c r="D170">
        <v>41400</v>
      </c>
      <c r="E170" t="s">
        <v>629</v>
      </c>
      <c r="F170">
        <v>11364</v>
      </c>
      <c r="G170">
        <v>0</v>
      </c>
      <c r="I170">
        <v>6233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9091</v>
      </c>
      <c r="P170">
        <v>0</v>
      </c>
      <c r="R170">
        <v>0</v>
      </c>
      <c r="S170">
        <v>0</v>
      </c>
      <c r="T170" t="s">
        <v>566</v>
      </c>
      <c r="U170">
        <v>6</v>
      </c>
      <c r="V170" t="s">
        <v>87</v>
      </c>
      <c r="W170" t="s">
        <v>89</v>
      </c>
      <c r="X170" t="s">
        <v>89</v>
      </c>
      <c r="Y170" t="s">
        <v>89</v>
      </c>
      <c r="Z170">
        <v>1</v>
      </c>
      <c r="AA170">
        <f>IF(AND(D170&gt;=配装计算器!$I$29,D170&lt;=配装计算器!$I$30),1,0)</f>
        <v>1</v>
      </c>
      <c r="AB170">
        <f t="shared" si="29"/>
        <v>0</v>
      </c>
      <c r="AC170">
        <f t="shared" si="30"/>
        <v>0</v>
      </c>
      <c r="AD170">
        <f t="shared" si="31"/>
        <v>0</v>
      </c>
      <c r="AE170">
        <f t="shared" si="32"/>
        <v>0</v>
      </c>
      <c r="AF170">
        <f t="shared" si="33"/>
        <v>0</v>
      </c>
      <c r="AG170">
        <f t="shared" si="34"/>
        <v>1</v>
      </c>
      <c r="AH170">
        <f t="shared" si="35"/>
        <v>0</v>
      </c>
      <c r="AI170">
        <f t="shared" si="36"/>
        <v>1</v>
      </c>
      <c r="AJ170">
        <f t="shared" si="37"/>
        <v>1</v>
      </c>
      <c r="AK170">
        <f>SUM(AJ$2:$AJ170)</f>
        <v>169</v>
      </c>
    </row>
    <row r="171" spans="1:37">
      <c r="A171" t="s">
        <v>467</v>
      </c>
      <c r="B171" t="s">
        <v>630</v>
      </c>
      <c r="C171" t="s">
        <v>631</v>
      </c>
      <c r="D171">
        <v>41400</v>
      </c>
      <c r="E171" t="s">
        <v>632</v>
      </c>
      <c r="F171">
        <v>11364</v>
      </c>
      <c r="G171">
        <v>0</v>
      </c>
      <c r="I171">
        <v>1404</v>
      </c>
      <c r="J171">
        <v>0</v>
      </c>
      <c r="K171">
        <v>0</v>
      </c>
      <c r="L171">
        <v>20146</v>
      </c>
      <c r="M171">
        <v>0</v>
      </c>
      <c r="N171">
        <v>6199</v>
      </c>
      <c r="O171">
        <v>0</v>
      </c>
      <c r="P171">
        <v>0</v>
      </c>
      <c r="R171">
        <v>0</v>
      </c>
      <c r="S171">
        <v>0</v>
      </c>
      <c r="T171" t="s">
        <v>153</v>
      </c>
      <c r="U171">
        <v>6</v>
      </c>
      <c r="V171" t="s">
        <v>87</v>
      </c>
      <c r="W171" t="s">
        <v>89</v>
      </c>
      <c r="X171" t="s">
        <v>89</v>
      </c>
      <c r="Y171" t="s">
        <v>89</v>
      </c>
      <c r="Z171">
        <v>1</v>
      </c>
      <c r="AA171">
        <f>IF(AND(D171&gt;=配装计算器!$I$29,D171&lt;=配装计算器!$I$30),1,0)</f>
        <v>1</v>
      </c>
      <c r="AB171">
        <f t="shared" si="29"/>
        <v>0</v>
      </c>
      <c r="AC171">
        <f t="shared" si="30"/>
        <v>0</v>
      </c>
      <c r="AD171">
        <f t="shared" si="31"/>
        <v>1</v>
      </c>
      <c r="AE171">
        <f t="shared" si="32"/>
        <v>0</v>
      </c>
      <c r="AF171">
        <f t="shared" si="33"/>
        <v>1</v>
      </c>
      <c r="AG171">
        <f t="shared" si="34"/>
        <v>0</v>
      </c>
      <c r="AH171">
        <f t="shared" si="35"/>
        <v>0</v>
      </c>
      <c r="AI171">
        <f t="shared" si="36"/>
        <v>1</v>
      </c>
      <c r="AJ171">
        <f t="shared" si="37"/>
        <v>1</v>
      </c>
      <c r="AK171">
        <f>SUM(AJ$2:$AJ171)</f>
        <v>170</v>
      </c>
    </row>
    <row r="172" spans="1:37">
      <c r="A172" t="s">
        <v>467</v>
      </c>
      <c r="B172" t="s">
        <v>633</v>
      </c>
      <c r="C172" t="s">
        <v>634</v>
      </c>
      <c r="D172">
        <v>41400</v>
      </c>
      <c r="E172" t="s">
        <v>635</v>
      </c>
      <c r="F172">
        <v>11364</v>
      </c>
      <c r="G172">
        <v>0</v>
      </c>
      <c r="I172">
        <v>3299</v>
      </c>
      <c r="J172">
        <v>5166</v>
      </c>
      <c r="K172">
        <v>0</v>
      </c>
      <c r="L172">
        <v>5166</v>
      </c>
      <c r="M172">
        <v>5166</v>
      </c>
      <c r="N172">
        <v>5166</v>
      </c>
      <c r="O172">
        <v>0</v>
      </c>
      <c r="P172">
        <v>0</v>
      </c>
      <c r="R172">
        <v>0</v>
      </c>
      <c r="S172">
        <v>0</v>
      </c>
      <c r="T172" t="s">
        <v>504</v>
      </c>
      <c r="U172">
        <v>6</v>
      </c>
      <c r="V172" t="s">
        <v>87</v>
      </c>
      <c r="W172" t="s">
        <v>89</v>
      </c>
      <c r="X172" t="s">
        <v>89</v>
      </c>
      <c r="Y172" t="s">
        <v>89</v>
      </c>
      <c r="Z172">
        <v>1</v>
      </c>
      <c r="AA172">
        <f>IF(AND(D172&gt;=配装计算器!$I$29,D172&lt;=配装计算器!$I$30),1,0)</f>
        <v>1</v>
      </c>
      <c r="AB172">
        <f t="shared" si="29"/>
        <v>1</v>
      </c>
      <c r="AC172">
        <f t="shared" si="30"/>
        <v>0</v>
      </c>
      <c r="AD172">
        <f t="shared" si="31"/>
        <v>1</v>
      </c>
      <c r="AE172">
        <f t="shared" si="32"/>
        <v>1</v>
      </c>
      <c r="AF172">
        <f t="shared" si="33"/>
        <v>1</v>
      </c>
      <c r="AG172">
        <f t="shared" si="34"/>
        <v>0</v>
      </c>
      <c r="AH172">
        <f t="shared" si="35"/>
        <v>0</v>
      </c>
      <c r="AI172">
        <f t="shared" si="36"/>
        <v>1</v>
      </c>
      <c r="AJ172">
        <f t="shared" si="37"/>
        <v>1</v>
      </c>
      <c r="AK172">
        <f>SUM(AJ$2:$AJ172)</f>
        <v>171</v>
      </c>
    </row>
    <row r="173" spans="1:37">
      <c r="A173" t="s">
        <v>467</v>
      </c>
      <c r="B173" t="s">
        <v>636</v>
      </c>
      <c r="C173" t="s">
        <v>637</v>
      </c>
      <c r="D173">
        <v>41400</v>
      </c>
      <c r="E173" t="s">
        <v>638</v>
      </c>
      <c r="F173">
        <v>11364</v>
      </c>
      <c r="G173">
        <v>0</v>
      </c>
      <c r="I173">
        <v>1404</v>
      </c>
      <c r="J173">
        <v>20146</v>
      </c>
      <c r="K173">
        <v>0</v>
      </c>
      <c r="L173">
        <v>0</v>
      </c>
      <c r="M173">
        <v>0</v>
      </c>
      <c r="N173">
        <v>6199</v>
      </c>
      <c r="O173">
        <v>0</v>
      </c>
      <c r="P173">
        <v>0</v>
      </c>
      <c r="R173">
        <v>0</v>
      </c>
      <c r="S173">
        <v>0</v>
      </c>
      <c r="T173" t="s">
        <v>184</v>
      </c>
      <c r="U173">
        <v>6</v>
      </c>
      <c r="V173" t="s">
        <v>87</v>
      </c>
      <c r="W173" t="s">
        <v>89</v>
      </c>
      <c r="X173" t="s">
        <v>89</v>
      </c>
      <c r="Y173" t="s">
        <v>89</v>
      </c>
      <c r="Z173">
        <v>1</v>
      </c>
      <c r="AA173">
        <f>IF(AND(D173&gt;=配装计算器!$I$29,D173&lt;=配装计算器!$I$30),1,0)</f>
        <v>1</v>
      </c>
      <c r="AB173">
        <f t="shared" si="29"/>
        <v>1</v>
      </c>
      <c r="AC173">
        <f t="shared" si="30"/>
        <v>0</v>
      </c>
      <c r="AD173">
        <f t="shared" si="31"/>
        <v>0</v>
      </c>
      <c r="AE173">
        <f t="shared" si="32"/>
        <v>0</v>
      </c>
      <c r="AF173">
        <f t="shared" si="33"/>
        <v>1</v>
      </c>
      <c r="AG173">
        <f t="shared" si="34"/>
        <v>0</v>
      </c>
      <c r="AH173">
        <f t="shared" si="35"/>
        <v>0</v>
      </c>
      <c r="AI173">
        <f t="shared" si="36"/>
        <v>1</v>
      </c>
      <c r="AJ173">
        <f t="shared" si="37"/>
        <v>1</v>
      </c>
      <c r="AK173">
        <f>SUM(AJ$2:$AJ173)</f>
        <v>172</v>
      </c>
    </row>
    <row r="174" spans="1:37">
      <c r="A174" t="s">
        <v>467</v>
      </c>
      <c r="B174" t="s">
        <v>639</v>
      </c>
      <c r="C174" t="s">
        <v>640</v>
      </c>
      <c r="D174">
        <v>41400</v>
      </c>
      <c r="E174" t="s">
        <v>641</v>
      </c>
      <c r="F174">
        <v>11364</v>
      </c>
      <c r="G174">
        <v>0</v>
      </c>
      <c r="I174">
        <v>4071</v>
      </c>
      <c r="J174">
        <v>9298</v>
      </c>
      <c r="K174">
        <v>3874</v>
      </c>
      <c r="L174">
        <v>0</v>
      </c>
      <c r="M174">
        <v>3874</v>
      </c>
      <c r="N174">
        <v>0</v>
      </c>
      <c r="O174">
        <v>0</v>
      </c>
      <c r="P174">
        <v>0</v>
      </c>
      <c r="R174">
        <v>0</v>
      </c>
      <c r="S174">
        <v>0</v>
      </c>
      <c r="T174" t="s">
        <v>157</v>
      </c>
      <c r="U174">
        <v>6</v>
      </c>
      <c r="V174" t="s">
        <v>87</v>
      </c>
      <c r="W174" t="s">
        <v>89</v>
      </c>
      <c r="X174" t="s">
        <v>89</v>
      </c>
      <c r="Y174" t="s">
        <v>89</v>
      </c>
      <c r="Z174">
        <v>1</v>
      </c>
      <c r="AA174">
        <f>IF(AND(D174&gt;=配装计算器!$I$29,D174&lt;=配装计算器!$I$30),1,0)</f>
        <v>1</v>
      </c>
      <c r="AB174">
        <f t="shared" si="29"/>
        <v>1</v>
      </c>
      <c r="AC174">
        <f t="shared" si="30"/>
        <v>1</v>
      </c>
      <c r="AD174">
        <f t="shared" si="31"/>
        <v>0</v>
      </c>
      <c r="AE174">
        <f t="shared" si="32"/>
        <v>1</v>
      </c>
      <c r="AF174">
        <f t="shared" si="33"/>
        <v>0</v>
      </c>
      <c r="AG174">
        <f t="shared" si="34"/>
        <v>0</v>
      </c>
      <c r="AH174">
        <f t="shared" si="35"/>
        <v>0</v>
      </c>
      <c r="AI174">
        <f t="shared" si="36"/>
        <v>1</v>
      </c>
      <c r="AJ174">
        <f t="shared" si="37"/>
        <v>1</v>
      </c>
      <c r="AK174">
        <f>SUM(AJ$2:$AJ174)</f>
        <v>173</v>
      </c>
    </row>
    <row r="175" spans="1:37">
      <c r="A175" t="s">
        <v>467</v>
      </c>
      <c r="B175" t="s">
        <v>642</v>
      </c>
      <c r="C175" t="s">
        <v>643</v>
      </c>
      <c r="D175">
        <v>41400</v>
      </c>
      <c r="E175" t="s">
        <v>644</v>
      </c>
      <c r="F175">
        <v>11364</v>
      </c>
      <c r="G175">
        <v>0</v>
      </c>
      <c r="I175">
        <v>4071</v>
      </c>
      <c r="J175">
        <v>9298</v>
      </c>
      <c r="K175">
        <v>3874</v>
      </c>
      <c r="L175">
        <v>0</v>
      </c>
      <c r="M175">
        <v>0</v>
      </c>
      <c r="N175">
        <v>3874</v>
      </c>
      <c r="O175">
        <v>0</v>
      </c>
      <c r="P175">
        <v>0</v>
      </c>
      <c r="R175">
        <v>0</v>
      </c>
      <c r="S175">
        <v>0</v>
      </c>
      <c r="T175" t="s">
        <v>141</v>
      </c>
      <c r="U175">
        <v>6</v>
      </c>
      <c r="V175" t="s">
        <v>87</v>
      </c>
      <c r="W175" t="s">
        <v>89</v>
      </c>
      <c r="X175" t="s">
        <v>89</v>
      </c>
      <c r="Y175" t="s">
        <v>89</v>
      </c>
      <c r="Z175">
        <v>1</v>
      </c>
      <c r="AA175">
        <f>IF(AND(D175&gt;=配装计算器!$I$29,D175&lt;=配装计算器!$I$30),1,0)</f>
        <v>1</v>
      </c>
      <c r="AB175">
        <f t="shared" si="29"/>
        <v>1</v>
      </c>
      <c r="AC175">
        <f t="shared" si="30"/>
        <v>1</v>
      </c>
      <c r="AD175">
        <f t="shared" si="31"/>
        <v>0</v>
      </c>
      <c r="AE175">
        <f t="shared" si="32"/>
        <v>0</v>
      </c>
      <c r="AF175">
        <f t="shared" si="33"/>
        <v>1</v>
      </c>
      <c r="AG175">
        <f t="shared" si="34"/>
        <v>0</v>
      </c>
      <c r="AH175">
        <f t="shared" si="35"/>
        <v>0</v>
      </c>
      <c r="AI175">
        <f t="shared" si="36"/>
        <v>1</v>
      </c>
      <c r="AJ175">
        <f t="shared" si="37"/>
        <v>1</v>
      </c>
      <c r="AK175">
        <f>SUM(AJ$2:$AJ175)</f>
        <v>174</v>
      </c>
    </row>
    <row r="176" spans="1:37">
      <c r="A176" t="s">
        <v>467</v>
      </c>
      <c r="B176" t="s">
        <v>645</v>
      </c>
      <c r="C176" t="s">
        <v>646</v>
      </c>
      <c r="D176">
        <v>41400</v>
      </c>
      <c r="E176" t="s">
        <v>647</v>
      </c>
      <c r="F176">
        <v>11364</v>
      </c>
      <c r="G176">
        <v>0</v>
      </c>
      <c r="I176">
        <v>2808</v>
      </c>
      <c r="J176">
        <v>0</v>
      </c>
      <c r="K176">
        <v>0</v>
      </c>
      <c r="L176">
        <v>0</v>
      </c>
      <c r="M176">
        <v>14722</v>
      </c>
      <c r="N176">
        <v>7748</v>
      </c>
      <c r="O176">
        <v>0</v>
      </c>
      <c r="P176">
        <v>0</v>
      </c>
      <c r="R176">
        <v>0</v>
      </c>
      <c r="S176">
        <v>0</v>
      </c>
      <c r="T176" t="s">
        <v>292</v>
      </c>
      <c r="U176">
        <v>6</v>
      </c>
      <c r="V176" t="s">
        <v>87</v>
      </c>
      <c r="W176" t="s">
        <v>89</v>
      </c>
      <c r="X176" t="s">
        <v>89</v>
      </c>
      <c r="Y176" t="s">
        <v>89</v>
      </c>
      <c r="Z176">
        <v>1</v>
      </c>
      <c r="AA176">
        <f>IF(AND(D176&gt;=配装计算器!$I$29,D176&lt;=配装计算器!$I$30),1,0)</f>
        <v>1</v>
      </c>
      <c r="AB176">
        <f t="shared" si="29"/>
        <v>0</v>
      </c>
      <c r="AC176">
        <f t="shared" si="30"/>
        <v>0</v>
      </c>
      <c r="AD176">
        <f t="shared" si="31"/>
        <v>0</v>
      </c>
      <c r="AE176">
        <f t="shared" si="32"/>
        <v>1</v>
      </c>
      <c r="AF176">
        <f t="shared" si="33"/>
        <v>1</v>
      </c>
      <c r="AG176">
        <f t="shared" si="34"/>
        <v>0</v>
      </c>
      <c r="AH176">
        <f t="shared" si="35"/>
        <v>0</v>
      </c>
      <c r="AI176">
        <f t="shared" si="36"/>
        <v>1</v>
      </c>
      <c r="AJ176">
        <f t="shared" si="37"/>
        <v>1</v>
      </c>
      <c r="AK176">
        <f>SUM(AJ$2:$AJ176)</f>
        <v>175</v>
      </c>
    </row>
    <row r="177" spans="1:37">
      <c r="A177" t="s">
        <v>467</v>
      </c>
      <c r="B177" t="s">
        <v>648</v>
      </c>
      <c r="C177" t="s">
        <v>649</v>
      </c>
      <c r="D177">
        <v>41400</v>
      </c>
      <c r="E177" t="s">
        <v>650</v>
      </c>
      <c r="F177">
        <v>11364</v>
      </c>
      <c r="G177">
        <v>0</v>
      </c>
      <c r="I177">
        <v>4071</v>
      </c>
      <c r="J177">
        <v>0</v>
      </c>
      <c r="K177">
        <v>0</v>
      </c>
      <c r="L177">
        <v>5682</v>
      </c>
      <c r="M177">
        <v>5682</v>
      </c>
      <c r="N177">
        <v>5682</v>
      </c>
      <c r="O177">
        <v>0</v>
      </c>
      <c r="P177">
        <v>0</v>
      </c>
      <c r="R177">
        <v>0</v>
      </c>
      <c r="S177">
        <v>0</v>
      </c>
      <c r="T177" t="s">
        <v>296</v>
      </c>
      <c r="U177">
        <v>6</v>
      </c>
      <c r="V177" t="s">
        <v>87</v>
      </c>
      <c r="W177" t="s">
        <v>89</v>
      </c>
      <c r="X177" t="s">
        <v>89</v>
      </c>
      <c r="Y177" t="s">
        <v>89</v>
      </c>
      <c r="Z177">
        <v>1</v>
      </c>
      <c r="AA177">
        <f>IF(AND(D177&gt;=配装计算器!$I$29,D177&lt;=配装计算器!$I$30),1,0)</f>
        <v>1</v>
      </c>
      <c r="AB177">
        <f t="shared" si="29"/>
        <v>0</v>
      </c>
      <c r="AC177">
        <f t="shared" si="30"/>
        <v>0</v>
      </c>
      <c r="AD177">
        <f t="shared" si="31"/>
        <v>1</v>
      </c>
      <c r="AE177">
        <f t="shared" si="32"/>
        <v>1</v>
      </c>
      <c r="AF177">
        <f t="shared" si="33"/>
        <v>1</v>
      </c>
      <c r="AG177">
        <f t="shared" si="34"/>
        <v>0</v>
      </c>
      <c r="AH177">
        <f t="shared" si="35"/>
        <v>0</v>
      </c>
      <c r="AI177">
        <f t="shared" si="36"/>
        <v>1</v>
      </c>
      <c r="AJ177">
        <f t="shared" si="37"/>
        <v>1</v>
      </c>
      <c r="AK177">
        <f>SUM(AJ$2:$AJ177)</f>
        <v>176</v>
      </c>
    </row>
    <row r="178" spans="1:37">
      <c r="A178" t="s">
        <v>467</v>
      </c>
      <c r="B178" t="s">
        <v>651</v>
      </c>
      <c r="C178" t="s">
        <v>652</v>
      </c>
      <c r="D178">
        <v>41400</v>
      </c>
      <c r="E178" t="s">
        <v>653</v>
      </c>
      <c r="F178">
        <v>11364</v>
      </c>
      <c r="G178">
        <v>0</v>
      </c>
      <c r="I178">
        <v>4773</v>
      </c>
      <c r="J178">
        <v>0</v>
      </c>
      <c r="K178">
        <v>0</v>
      </c>
      <c r="L178">
        <v>0</v>
      </c>
      <c r="M178">
        <v>0</v>
      </c>
      <c r="N178">
        <v>13431</v>
      </c>
      <c r="O178">
        <v>0</v>
      </c>
      <c r="P178">
        <v>0</v>
      </c>
      <c r="R178">
        <v>0</v>
      </c>
      <c r="S178">
        <v>0</v>
      </c>
      <c r="T178" t="s">
        <v>300</v>
      </c>
      <c r="U178">
        <v>6</v>
      </c>
      <c r="V178" t="s">
        <v>87</v>
      </c>
      <c r="W178" t="s">
        <v>89</v>
      </c>
      <c r="X178" t="s">
        <v>89</v>
      </c>
      <c r="Y178" t="s">
        <v>89</v>
      </c>
      <c r="Z178">
        <v>1</v>
      </c>
      <c r="AA178">
        <f>IF(AND(D178&gt;=配装计算器!$I$29,D178&lt;=配装计算器!$I$30),1,0)</f>
        <v>1</v>
      </c>
      <c r="AB178">
        <f t="shared" si="29"/>
        <v>0</v>
      </c>
      <c r="AC178">
        <f t="shared" si="30"/>
        <v>0</v>
      </c>
      <c r="AD178">
        <f t="shared" si="31"/>
        <v>0</v>
      </c>
      <c r="AE178">
        <f t="shared" si="32"/>
        <v>0</v>
      </c>
      <c r="AF178">
        <f t="shared" si="33"/>
        <v>1</v>
      </c>
      <c r="AG178">
        <f t="shared" si="34"/>
        <v>0</v>
      </c>
      <c r="AH178">
        <f t="shared" si="35"/>
        <v>0</v>
      </c>
      <c r="AI178">
        <f t="shared" si="36"/>
        <v>1</v>
      </c>
      <c r="AJ178">
        <f t="shared" si="37"/>
        <v>1</v>
      </c>
      <c r="AK178">
        <f>SUM(AJ$2:$AJ178)</f>
        <v>177</v>
      </c>
    </row>
    <row r="179" spans="1:37">
      <c r="A179" t="s">
        <v>467</v>
      </c>
      <c r="B179" t="s">
        <v>654</v>
      </c>
      <c r="C179" t="s">
        <v>655</v>
      </c>
      <c r="D179">
        <v>41400</v>
      </c>
      <c r="E179" t="s">
        <v>656</v>
      </c>
      <c r="F179">
        <v>11364</v>
      </c>
      <c r="G179">
        <v>0</v>
      </c>
      <c r="I179">
        <v>6233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9091</v>
      </c>
      <c r="P179">
        <v>0</v>
      </c>
      <c r="R179">
        <v>0</v>
      </c>
      <c r="S179">
        <v>0</v>
      </c>
      <c r="T179" t="s">
        <v>526</v>
      </c>
      <c r="U179">
        <v>6</v>
      </c>
      <c r="V179" t="s">
        <v>87</v>
      </c>
      <c r="W179" t="s">
        <v>89</v>
      </c>
      <c r="X179" t="s">
        <v>89</v>
      </c>
      <c r="Y179" t="s">
        <v>89</v>
      </c>
      <c r="Z179">
        <v>1</v>
      </c>
      <c r="AA179">
        <f>IF(AND(D179&gt;=配装计算器!$I$29,D179&lt;=配装计算器!$I$30),1,0)</f>
        <v>1</v>
      </c>
      <c r="AB179">
        <f t="shared" si="29"/>
        <v>0</v>
      </c>
      <c r="AC179">
        <f t="shared" si="30"/>
        <v>0</v>
      </c>
      <c r="AD179">
        <f t="shared" si="31"/>
        <v>0</v>
      </c>
      <c r="AE179">
        <f t="shared" si="32"/>
        <v>0</v>
      </c>
      <c r="AF179">
        <f t="shared" si="33"/>
        <v>0</v>
      </c>
      <c r="AG179">
        <f t="shared" si="34"/>
        <v>1</v>
      </c>
      <c r="AH179">
        <f t="shared" si="35"/>
        <v>0</v>
      </c>
      <c r="AI179">
        <f t="shared" si="36"/>
        <v>1</v>
      </c>
      <c r="AJ179">
        <f t="shared" si="37"/>
        <v>1</v>
      </c>
      <c r="AK179">
        <f>SUM(AJ$2:$AJ179)</f>
        <v>178</v>
      </c>
    </row>
    <row r="180" spans="1:37">
      <c r="A180" t="s">
        <v>467</v>
      </c>
      <c r="B180" t="s">
        <v>657</v>
      </c>
      <c r="C180" t="s">
        <v>658</v>
      </c>
      <c r="D180">
        <v>41400</v>
      </c>
      <c r="E180" t="s">
        <v>659</v>
      </c>
      <c r="F180">
        <v>11364</v>
      </c>
      <c r="G180">
        <v>0</v>
      </c>
      <c r="I180">
        <v>3931</v>
      </c>
      <c r="J180">
        <v>0</v>
      </c>
      <c r="K180">
        <v>0</v>
      </c>
      <c r="L180">
        <v>12656</v>
      </c>
      <c r="M180">
        <v>0</v>
      </c>
      <c r="N180">
        <v>5166</v>
      </c>
      <c r="O180">
        <v>0</v>
      </c>
      <c r="P180">
        <v>0</v>
      </c>
      <c r="R180">
        <v>0</v>
      </c>
      <c r="S180">
        <v>0</v>
      </c>
      <c r="T180" t="s">
        <v>308</v>
      </c>
      <c r="U180">
        <v>6</v>
      </c>
      <c r="V180" t="s">
        <v>87</v>
      </c>
      <c r="W180" t="s">
        <v>89</v>
      </c>
      <c r="X180" t="s">
        <v>89</v>
      </c>
      <c r="Y180" t="s">
        <v>89</v>
      </c>
      <c r="Z180">
        <v>1</v>
      </c>
      <c r="AA180">
        <f>IF(AND(D180&gt;=配装计算器!$I$29,D180&lt;=配装计算器!$I$30),1,0)</f>
        <v>1</v>
      </c>
      <c r="AB180">
        <f t="shared" si="29"/>
        <v>0</v>
      </c>
      <c r="AC180">
        <f t="shared" si="30"/>
        <v>0</v>
      </c>
      <c r="AD180">
        <f t="shared" si="31"/>
        <v>1</v>
      </c>
      <c r="AE180">
        <f t="shared" si="32"/>
        <v>0</v>
      </c>
      <c r="AF180">
        <f t="shared" si="33"/>
        <v>1</v>
      </c>
      <c r="AG180">
        <f t="shared" si="34"/>
        <v>0</v>
      </c>
      <c r="AH180">
        <f t="shared" si="35"/>
        <v>0</v>
      </c>
      <c r="AI180">
        <f t="shared" si="36"/>
        <v>1</v>
      </c>
      <c r="AJ180">
        <f t="shared" si="37"/>
        <v>1</v>
      </c>
      <c r="AK180">
        <f>SUM(AJ$2:$AJ180)</f>
        <v>179</v>
      </c>
    </row>
    <row r="181" spans="1:37">
      <c r="A181" t="s">
        <v>467</v>
      </c>
      <c r="B181" t="s">
        <v>660</v>
      </c>
      <c r="C181" t="s">
        <v>661</v>
      </c>
      <c r="D181">
        <v>41400</v>
      </c>
      <c r="E181" t="s">
        <v>662</v>
      </c>
      <c r="F181">
        <v>11364</v>
      </c>
      <c r="G181">
        <v>0</v>
      </c>
      <c r="I181">
        <v>4071</v>
      </c>
      <c r="J181">
        <v>5682</v>
      </c>
      <c r="K181">
        <v>0</v>
      </c>
      <c r="L181">
        <v>0</v>
      </c>
      <c r="M181">
        <v>5682</v>
      </c>
      <c r="N181">
        <v>5682</v>
      </c>
      <c r="O181">
        <v>0</v>
      </c>
      <c r="P181">
        <v>0</v>
      </c>
      <c r="R181">
        <v>0</v>
      </c>
      <c r="S181">
        <v>0</v>
      </c>
      <c r="T181" t="s">
        <v>312</v>
      </c>
      <c r="U181">
        <v>6</v>
      </c>
      <c r="V181" t="s">
        <v>87</v>
      </c>
      <c r="W181" t="s">
        <v>89</v>
      </c>
      <c r="X181" t="s">
        <v>89</v>
      </c>
      <c r="Y181" t="s">
        <v>89</v>
      </c>
      <c r="Z181">
        <v>1</v>
      </c>
      <c r="AA181">
        <f>IF(AND(D181&gt;=配装计算器!$I$29,D181&lt;=配装计算器!$I$30),1,0)</f>
        <v>1</v>
      </c>
      <c r="AB181">
        <f t="shared" si="29"/>
        <v>1</v>
      </c>
      <c r="AC181">
        <f t="shared" si="30"/>
        <v>0</v>
      </c>
      <c r="AD181">
        <f t="shared" si="31"/>
        <v>0</v>
      </c>
      <c r="AE181">
        <f t="shared" si="32"/>
        <v>1</v>
      </c>
      <c r="AF181">
        <f t="shared" si="33"/>
        <v>1</v>
      </c>
      <c r="AG181">
        <f t="shared" si="34"/>
        <v>0</v>
      </c>
      <c r="AH181">
        <f t="shared" si="35"/>
        <v>0</v>
      </c>
      <c r="AI181">
        <f t="shared" si="36"/>
        <v>1</v>
      </c>
      <c r="AJ181">
        <f t="shared" si="37"/>
        <v>1</v>
      </c>
      <c r="AK181">
        <f>SUM(AJ$2:$AJ181)</f>
        <v>180</v>
      </c>
    </row>
    <row r="182" spans="1:37">
      <c r="A182" t="s">
        <v>467</v>
      </c>
      <c r="B182" t="s">
        <v>663</v>
      </c>
      <c r="C182" t="s">
        <v>664</v>
      </c>
      <c r="D182">
        <v>41400</v>
      </c>
      <c r="E182" t="s">
        <v>665</v>
      </c>
      <c r="F182">
        <v>11364</v>
      </c>
      <c r="G182">
        <v>0</v>
      </c>
      <c r="I182">
        <v>3369</v>
      </c>
      <c r="J182">
        <v>12397</v>
      </c>
      <c r="K182">
        <v>0</v>
      </c>
      <c r="L182">
        <v>0</v>
      </c>
      <c r="M182">
        <v>0</v>
      </c>
      <c r="N182">
        <v>7232</v>
      </c>
      <c r="O182">
        <v>0</v>
      </c>
      <c r="P182">
        <v>0</v>
      </c>
      <c r="R182">
        <v>0</v>
      </c>
      <c r="S182">
        <v>0</v>
      </c>
      <c r="T182" t="s">
        <v>316</v>
      </c>
      <c r="U182">
        <v>6</v>
      </c>
      <c r="V182" t="s">
        <v>87</v>
      </c>
      <c r="W182" t="s">
        <v>89</v>
      </c>
      <c r="X182" t="s">
        <v>89</v>
      </c>
      <c r="Y182" t="s">
        <v>89</v>
      </c>
      <c r="Z182">
        <v>1</v>
      </c>
      <c r="AA182">
        <f>IF(AND(D182&gt;=配装计算器!$I$29,D182&lt;=配装计算器!$I$30),1,0)</f>
        <v>1</v>
      </c>
      <c r="AB182">
        <f t="shared" si="29"/>
        <v>1</v>
      </c>
      <c r="AC182">
        <f t="shared" si="30"/>
        <v>0</v>
      </c>
      <c r="AD182">
        <f t="shared" si="31"/>
        <v>0</v>
      </c>
      <c r="AE182">
        <f t="shared" si="32"/>
        <v>0</v>
      </c>
      <c r="AF182">
        <f t="shared" si="33"/>
        <v>1</v>
      </c>
      <c r="AG182">
        <f t="shared" si="34"/>
        <v>0</v>
      </c>
      <c r="AH182">
        <f t="shared" si="35"/>
        <v>0</v>
      </c>
      <c r="AI182">
        <f t="shared" si="36"/>
        <v>1</v>
      </c>
      <c r="AJ182">
        <f t="shared" si="37"/>
        <v>1</v>
      </c>
      <c r="AK182">
        <f>SUM(AJ$2:$AJ182)</f>
        <v>181</v>
      </c>
    </row>
    <row r="183" spans="1:37">
      <c r="A183" t="s">
        <v>467</v>
      </c>
      <c r="B183" t="s">
        <v>666</v>
      </c>
      <c r="C183" t="s">
        <v>667</v>
      </c>
      <c r="D183">
        <v>41400</v>
      </c>
      <c r="E183" t="s">
        <v>668</v>
      </c>
      <c r="F183">
        <v>11364</v>
      </c>
      <c r="G183">
        <v>0</v>
      </c>
      <c r="I183">
        <v>4071</v>
      </c>
      <c r="J183">
        <v>5682</v>
      </c>
      <c r="K183">
        <v>0</v>
      </c>
      <c r="L183">
        <v>5682</v>
      </c>
      <c r="M183">
        <v>0</v>
      </c>
      <c r="N183">
        <v>5682</v>
      </c>
      <c r="O183">
        <v>0</v>
      </c>
      <c r="P183">
        <v>0</v>
      </c>
      <c r="R183">
        <v>0</v>
      </c>
      <c r="S183">
        <v>0</v>
      </c>
      <c r="T183" t="s">
        <v>320</v>
      </c>
      <c r="U183">
        <v>6</v>
      </c>
      <c r="V183" t="s">
        <v>87</v>
      </c>
      <c r="W183" t="s">
        <v>89</v>
      </c>
      <c r="X183" t="s">
        <v>89</v>
      </c>
      <c r="Y183" t="s">
        <v>89</v>
      </c>
      <c r="Z183">
        <v>1</v>
      </c>
      <c r="AA183">
        <f>IF(AND(D183&gt;=配装计算器!$I$29,D183&lt;=配装计算器!$I$30),1,0)</f>
        <v>1</v>
      </c>
      <c r="AB183">
        <f t="shared" si="29"/>
        <v>1</v>
      </c>
      <c r="AC183">
        <f t="shared" si="30"/>
        <v>0</v>
      </c>
      <c r="AD183">
        <f t="shared" si="31"/>
        <v>1</v>
      </c>
      <c r="AE183">
        <f t="shared" si="32"/>
        <v>0</v>
      </c>
      <c r="AF183">
        <f t="shared" si="33"/>
        <v>1</v>
      </c>
      <c r="AG183">
        <f t="shared" si="34"/>
        <v>0</v>
      </c>
      <c r="AH183">
        <f t="shared" si="35"/>
        <v>0</v>
      </c>
      <c r="AI183">
        <f t="shared" si="36"/>
        <v>1</v>
      </c>
      <c r="AJ183">
        <f t="shared" si="37"/>
        <v>1</v>
      </c>
      <c r="AK183">
        <f>SUM(AJ$2:$AJ183)</f>
        <v>182</v>
      </c>
    </row>
    <row r="184" spans="1:37">
      <c r="A184" t="s">
        <v>467</v>
      </c>
      <c r="B184" t="s">
        <v>669</v>
      </c>
      <c r="C184" t="s">
        <v>670</v>
      </c>
      <c r="D184">
        <v>42400</v>
      </c>
      <c r="E184" t="s">
        <v>671</v>
      </c>
      <c r="F184">
        <v>11639</v>
      </c>
      <c r="G184">
        <v>882</v>
      </c>
      <c r="I184">
        <v>1438</v>
      </c>
      <c r="J184">
        <v>0</v>
      </c>
      <c r="K184">
        <v>0</v>
      </c>
      <c r="L184">
        <v>7936</v>
      </c>
      <c r="M184">
        <v>0</v>
      </c>
      <c r="N184">
        <v>0</v>
      </c>
      <c r="O184">
        <v>0</v>
      </c>
      <c r="P184">
        <v>3174</v>
      </c>
      <c r="R184">
        <v>0</v>
      </c>
      <c r="S184">
        <v>0</v>
      </c>
      <c r="T184" t="s">
        <v>86</v>
      </c>
      <c r="U184">
        <v>6</v>
      </c>
      <c r="V184" t="s">
        <v>145</v>
      </c>
      <c r="W184" t="s">
        <v>89</v>
      </c>
      <c r="X184" t="s">
        <v>89</v>
      </c>
      <c r="Y184" t="s">
        <v>89</v>
      </c>
      <c r="Z184">
        <v>2</v>
      </c>
      <c r="AA184">
        <f>IF(AND(D184&gt;=配装计算器!$I$29,D184&lt;=配装计算器!$I$30),1,0)</f>
        <v>1</v>
      </c>
      <c r="AB184">
        <f t="shared" si="29"/>
        <v>0</v>
      </c>
      <c r="AC184">
        <f t="shared" si="30"/>
        <v>0</v>
      </c>
      <c r="AD184">
        <f t="shared" si="31"/>
        <v>1</v>
      </c>
      <c r="AE184">
        <f t="shared" si="32"/>
        <v>0</v>
      </c>
      <c r="AF184">
        <f t="shared" si="33"/>
        <v>0</v>
      </c>
      <c r="AG184">
        <f t="shared" si="34"/>
        <v>0</v>
      </c>
      <c r="AH184">
        <f t="shared" si="35"/>
        <v>1</v>
      </c>
      <c r="AI184">
        <f t="shared" si="36"/>
        <v>0</v>
      </c>
      <c r="AJ184">
        <f t="shared" si="37"/>
        <v>1</v>
      </c>
      <c r="AK184">
        <f>SUM(AJ$2:$AJ184)</f>
        <v>183</v>
      </c>
    </row>
    <row r="185" spans="1:37">
      <c r="A185" t="s">
        <v>672</v>
      </c>
      <c r="B185" t="s">
        <v>673</v>
      </c>
      <c r="C185" t="s">
        <v>674</v>
      </c>
      <c r="D185">
        <v>30200</v>
      </c>
      <c r="E185" t="s">
        <v>675</v>
      </c>
      <c r="F185">
        <v>16580</v>
      </c>
      <c r="G185">
        <v>1256</v>
      </c>
      <c r="I185">
        <v>2048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11304</v>
      </c>
      <c r="P185">
        <v>4522</v>
      </c>
      <c r="R185">
        <v>0</v>
      </c>
      <c r="S185">
        <v>0</v>
      </c>
      <c r="T185" t="s">
        <v>228</v>
      </c>
      <c r="U185">
        <v>6</v>
      </c>
      <c r="V185" t="s">
        <v>87</v>
      </c>
      <c r="W185" t="s">
        <v>676</v>
      </c>
      <c r="X185" t="s">
        <v>123</v>
      </c>
      <c r="Y185" t="s">
        <v>89</v>
      </c>
      <c r="Z185">
        <v>2</v>
      </c>
      <c r="AA185">
        <f>IF(AND(D185&gt;=配装计算器!$I$29,D185&lt;=配装计算器!$I$30),1,0)</f>
        <v>1</v>
      </c>
      <c r="AB185">
        <f t="shared" si="29"/>
        <v>0</v>
      </c>
      <c r="AC185">
        <f t="shared" si="30"/>
        <v>0</v>
      </c>
      <c r="AD185">
        <f t="shared" si="31"/>
        <v>0</v>
      </c>
      <c r="AE185">
        <f t="shared" si="32"/>
        <v>0</v>
      </c>
      <c r="AF185">
        <f t="shared" si="33"/>
        <v>0</v>
      </c>
      <c r="AG185">
        <f t="shared" si="34"/>
        <v>1</v>
      </c>
      <c r="AH185">
        <f t="shared" si="35"/>
        <v>1</v>
      </c>
      <c r="AI185">
        <f t="shared" si="36"/>
        <v>0</v>
      </c>
      <c r="AJ185">
        <f t="shared" si="37"/>
        <v>1</v>
      </c>
      <c r="AK185">
        <f>SUM(AJ$2:$AJ185)</f>
        <v>184</v>
      </c>
    </row>
    <row r="186" spans="1:37">
      <c r="A186" t="s">
        <v>672</v>
      </c>
      <c r="B186" t="s">
        <v>677</v>
      </c>
      <c r="C186" t="s">
        <v>678</v>
      </c>
      <c r="D186">
        <v>30200</v>
      </c>
      <c r="E186" t="s">
        <v>679</v>
      </c>
      <c r="F186">
        <v>16580</v>
      </c>
      <c r="G186">
        <v>1256</v>
      </c>
      <c r="I186">
        <v>2048</v>
      </c>
      <c r="J186">
        <v>0</v>
      </c>
      <c r="K186">
        <v>0</v>
      </c>
      <c r="L186">
        <v>11304</v>
      </c>
      <c r="M186">
        <v>0</v>
      </c>
      <c r="N186">
        <v>0</v>
      </c>
      <c r="O186">
        <v>0</v>
      </c>
      <c r="P186">
        <v>4522</v>
      </c>
      <c r="R186">
        <v>0</v>
      </c>
      <c r="S186">
        <v>0</v>
      </c>
      <c r="T186" t="s">
        <v>86</v>
      </c>
      <c r="U186">
        <v>6</v>
      </c>
      <c r="V186" t="s">
        <v>87</v>
      </c>
      <c r="W186" t="s">
        <v>135</v>
      </c>
      <c r="X186" t="s">
        <v>88</v>
      </c>
      <c r="Y186" t="s">
        <v>89</v>
      </c>
      <c r="Z186">
        <v>2</v>
      </c>
      <c r="AA186">
        <f>IF(AND(D186&gt;=配装计算器!$I$29,D186&lt;=配装计算器!$I$30),1,0)</f>
        <v>1</v>
      </c>
      <c r="AB186">
        <f t="shared" si="29"/>
        <v>0</v>
      </c>
      <c r="AC186">
        <f t="shared" si="30"/>
        <v>0</v>
      </c>
      <c r="AD186">
        <f t="shared" si="31"/>
        <v>1</v>
      </c>
      <c r="AE186">
        <f t="shared" si="32"/>
        <v>0</v>
      </c>
      <c r="AF186">
        <f t="shared" si="33"/>
        <v>0</v>
      </c>
      <c r="AG186">
        <f t="shared" si="34"/>
        <v>0</v>
      </c>
      <c r="AH186">
        <f t="shared" si="35"/>
        <v>1</v>
      </c>
      <c r="AI186">
        <f t="shared" si="36"/>
        <v>0</v>
      </c>
      <c r="AJ186">
        <f t="shared" si="37"/>
        <v>1</v>
      </c>
      <c r="AK186">
        <f>SUM(AJ$2:$AJ186)</f>
        <v>185</v>
      </c>
    </row>
    <row r="187" spans="1:37">
      <c r="A187" t="s">
        <v>672</v>
      </c>
      <c r="B187" t="s">
        <v>680</v>
      </c>
      <c r="C187" t="s">
        <v>681</v>
      </c>
      <c r="D187">
        <v>30200</v>
      </c>
      <c r="E187" t="s">
        <v>682</v>
      </c>
      <c r="F187">
        <v>16580</v>
      </c>
      <c r="G187">
        <v>1256</v>
      </c>
      <c r="I187">
        <v>2048</v>
      </c>
      <c r="J187">
        <v>0</v>
      </c>
      <c r="K187">
        <v>0</v>
      </c>
      <c r="L187">
        <v>11304</v>
      </c>
      <c r="M187">
        <v>0</v>
      </c>
      <c r="N187">
        <v>0</v>
      </c>
      <c r="O187">
        <v>0</v>
      </c>
      <c r="P187">
        <v>4522</v>
      </c>
      <c r="R187">
        <v>0</v>
      </c>
      <c r="S187">
        <v>0</v>
      </c>
      <c r="T187" t="s">
        <v>86</v>
      </c>
      <c r="U187">
        <v>6</v>
      </c>
      <c r="V187" t="s">
        <v>98</v>
      </c>
      <c r="W187" t="s">
        <v>135</v>
      </c>
      <c r="X187" t="s">
        <v>88</v>
      </c>
      <c r="Y187" t="s">
        <v>89</v>
      </c>
      <c r="Z187">
        <v>2</v>
      </c>
      <c r="AA187">
        <f>IF(AND(D187&gt;=配装计算器!$I$29,D187&lt;=配装计算器!$I$30),1,0)</f>
        <v>1</v>
      </c>
      <c r="AB187">
        <f t="shared" si="29"/>
        <v>0</v>
      </c>
      <c r="AC187">
        <f t="shared" si="30"/>
        <v>0</v>
      </c>
      <c r="AD187">
        <f t="shared" si="31"/>
        <v>1</v>
      </c>
      <c r="AE187">
        <f t="shared" si="32"/>
        <v>0</v>
      </c>
      <c r="AF187">
        <f t="shared" si="33"/>
        <v>0</v>
      </c>
      <c r="AG187">
        <f t="shared" si="34"/>
        <v>0</v>
      </c>
      <c r="AH187">
        <f t="shared" si="35"/>
        <v>1</v>
      </c>
      <c r="AI187">
        <f t="shared" si="36"/>
        <v>0</v>
      </c>
      <c r="AJ187">
        <f t="shared" si="37"/>
        <v>1</v>
      </c>
      <c r="AK187">
        <f>SUM(AJ$2:$AJ187)</f>
        <v>186</v>
      </c>
    </row>
    <row r="188" spans="1:37">
      <c r="A188" t="s">
        <v>672</v>
      </c>
      <c r="B188" t="s">
        <v>683</v>
      </c>
      <c r="C188" t="s">
        <v>684</v>
      </c>
      <c r="D188">
        <v>30200</v>
      </c>
      <c r="E188" t="s">
        <v>685</v>
      </c>
      <c r="F188">
        <v>16580</v>
      </c>
      <c r="G188">
        <v>1353</v>
      </c>
      <c r="I188">
        <v>3072</v>
      </c>
      <c r="J188">
        <v>0</v>
      </c>
      <c r="K188">
        <v>0</v>
      </c>
      <c r="L188">
        <v>11304</v>
      </c>
      <c r="M188">
        <v>0</v>
      </c>
      <c r="N188">
        <v>9044</v>
      </c>
      <c r="O188">
        <v>0</v>
      </c>
      <c r="P188">
        <v>0</v>
      </c>
      <c r="R188">
        <v>0</v>
      </c>
      <c r="S188">
        <v>0</v>
      </c>
      <c r="T188" t="s">
        <v>122</v>
      </c>
      <c r="U188">
        <v>6</v>
      </c>
      <c r="V188" t="s">
        <v>103</v>
      </c>
      <c r="W188" t="s">
        <v>123</v>
      </c>
      <c r="X188" t="s">
        <v>94</v>
      </c>
      <c r="Y188" t="s">
        <v>89</v>
      </c>
      <c r="Z188">
        <v>1</v>
      </c>
      <c r="AA188">
        <f>IF(AND(D188&gt;=配装计算器!$I$29,D188&lt;=配装计算器!$I$30),1,0)</f>
        <v>1</v>
      </c>
      <c r="AB188">
        <f t="shared" si="29"/>
        <v>0</v>
      </c>
      <c r="AC188">
        <f t="shared" si="30"/>
        <v>0</v>
      </c>
      <c r="AD188">
        <f t="shared" si="31"/>
        <v>1</v>
      </c>
      <c r="AE188">
        <f t="shared" si="32"/>
        <v>0</v>
      </c>
      <c r="AF188">
        <f t="shared" si="33"/>
        <v>1</v>
      </c>
      <c r="AG188">
        <f t="shared" si="34"/>
        <v>0</v>
      </c>
      <c r="AH188">
        <f t="shared" si="35"/>
        <v>0</v>
      </c>
      <c r="AI188">
        <f t="shared" si="36"/>
        <v>0</v>
      </c>
      <c r="AJ188">
        <f t="shared" si="37"/>
        <v>1</v>
      </c>
      <c r="AK188">
        <f>SUM(AJ$2:$AJ188)</f>
        <v>187</v>
      </c>
    </row>
    <row r="189" spans="1:37">
      <c r="A189" t="s">
        <v>672</v>
      </c>
      <c r="B189" t="s">
        <v>686</v>
      </c>
      <c r="C189" t="s">
        <v>687</v>
      </c>
      <c r="D189">
        <v>30200</v>
      </c>
      <c r="E189" t="s">
        <v>688</v>
      </c>
      <c r="F189">
        <v>16580</v>
      </c>
      <c r="G189">
        <v>1353</v>
      </c>
      <c r="I189">
        <v>3072</v>
      </c>
      <c r="J189">
        <v>0</v>
      </c>
      <c r="K189">
        <v>0</v>
      </c>
      <c r="L189">
        <v>0</v>
      </c>
      <c r="M189">
        <v>11304</v>
      </c>
      <c r="N189">
        <v>9044</v>
      </c>
      <c r="O189">
        <v>0</v>
      </c>
      <c r="P189">
        <v>0</v>
      </c>
      <c r="R189">
        <v>0</v>
      </c>
      <c r="S189">
        <v>0</v>
      </c>
      <c r="T189" t="s">
        <v>107</v>
      </c>
      <c r="U189">
        <v>6</v>
      </c>
      <c r="V189" t="s">
        <v>87</v>
      </c>
      <c r="W189" t="s">
        <v>135</v>
      </c>
      <c r="X189" t="s">
        <v>88</v>
      </c>
      <c r="Y189" t="s">
        <v>89</v>
      </c>
      <c r="Z189">
        <v>1</v>
      </c>
      <c r="AA189">
        <f>IF(AND(D189&gt;=配装计算器!$I$29,D189&lt;=配装计算器!$I$30),1,0)</f>
        <v>1</v>
      </c>
      <c r="AB189">
        <f t="shared" si="29"/>
        <v>0</v>
      </c>
      <c r="AC189">
        <f t="shared" si="30"/>
        <v>0</v>
      </c>
      <c r="AD189">
        <f t="shared" si="31"/>
        <v>0</v>
      </c>
      <c r="AE189">
        <f t="shared" si="32"/>
        <v>1</v>
      </c>
      <c r="AF189">
        <f t="shared" si="33"/>
        <v>1</v>
      </c>
      <c r="AG189">
        <f t="shared" si="34"/>
        <v>0</v>
      </c>
      <c r="AH189">
        <f t="shared" si="35"/>
        <v>0</v>
      </c>
      <c r="AI189">
        <f t="shared" si="36"/>
        <v>0</v>
      </c>
      <c r="AJ189">
        <f t="shared" si="37"/>
        <v>1</v>
      </c>
      <c r="AK189">
        <f>SUM(AJ$2:$AJ189)</f>
        <v>188</v>
      </c>
    </row>
    <row r="190" spans="1:37">
      <c r="A190" t="s">
        <v>672</v>
      </c>
      <c r="B190" t="s">
        <v>689</v>
      </c>
      <c r="C190" t="s">
        <v>690</v>
      </c>
      <c r="D190">
        <v>30200</v>
      </c>
      <c r="E190" t="s">
        <v>691</v>
      </c>
      <c r="F190">
        <v>16580</v>
      </c>
      <c r="G190">
        <v>1353</v>
      </c>
      <c r="I190">
        <v>3072</v>
      </c>
      <c r="J190">
        <v>0</v>
      </c>
      <c r="K190">
        <v>0</v>
      </c>
      <c r="L190">
        <v>0</v>
      </c>
      <c r="M190">
        <v>11304</v>
      </c>
      <c r="N190">
        <v>9044</v>
      </c>
      <c r="O190">
        <v>0</v>
      </c>
      <c r="P190">
        <v>0</v>
      </c>
      <c r="R190">
        <v>0</v>
      </c>
      <c r="S190">
        <v>0</v>
      </c>
      <c r="T190" t="s">
        <v>107</v>
      </c>
      <c r="U190">
        <v>6</v>
      </c>
      <c r="V190" t="s">
        <v>87</v>
      </c>
      <c r="W190" t="s">
        <v>135</v>
      </c>
      <c r="X190" t="s">
        <v>88</v>
      </c>
      <c r="Y190" t="s">
        <v>89</v>
      </c>
      <c r="Z190">
        <v>1</v>
      </c>
      <c r="AA190">
        <f>IF(AND(D190&gt;=配装计算器!$I$29,D190&lt;=配装计算器!$I$30),1,0)</f>
        <v>1</v>
      </c>
      <c r="AB190">
        <f t="shared" si="29"/>
        <v>0</v>
      </c>
      <c r="AC190">
        <f t="shared" si="30"/>
        <v>0</v>
      </c>
      <c r="AD190">
        <f t="shared" si="31"/>
        <v>0</v>
      </c>
      <c r="AE190">
        <f t="shared" si="32"/>
        <v>1</v>
      </c>
      <c r="AF190">
        <f t="shared" si="33"/>
        <v>1</v>
      </c>
      <c r="AG190">
        <f t="shared" si="34"/>
        <v>0</v>
      </c>
      <c r="AH190">
        <f t="shared" si="35"/>
        <v>0</v>
      </c>
      <c r="AI190">
        <f t="shared" si="36"/>
        <v>0</v>
      </c>
      <c r="AJ190">
        <f t="shared" si="37"/>
        <v>1</v>
      </c>
      <c r="AK190">
        <f>SUM(AJ$2:$AJ190)</f>
        <v>189</v>
      </c>
    </row>
    <row r="191" spans="1:37">
      <c r="A191" t="s">
        <v>672</v>
      </c>
      <c r="B191" t="s">
        <v>692</v>
      </c>
      <c r="C191" t="s">
        <v>693</v>
      </c>
      <c r="D191">
        <v>30200</v>
      </c>
      <c r="E191" t="s">
        <v>694</v>
      </c>
      <c r="F191">
        <v>16580</v>
      </c>
      <c r="G191">
        <v>1353</v>
      </c>
      <c r="I191">
        <v>3072</v>
      </c>
      <c r="J191">
        <v>0</v>
      </c>
      <c r="K191">
        <v>0</v>
      </c>
      <c r="L191">
        <v>0</v>
      </c>
      <c r="M191">
        <v>0</v>
      </c>
      <c r="N191">
        <v>9044</v>
      </c>
      <c r="O191">
        <v>11304</v>
      </c>
      <c r="P191">
        <v>0</v>
      </c>
      <c r="R191">
        <v>0</v>
      </c>
      <c r="S191">
        <v>0</v>
      </c>
      <c r="T191" t="s">
        <v>115</v>
      </c>
      <c r="U191">
        <v>6</v>
      </c>
      <c r="V191" t="s">
        <v>87</v>
      </c>
      <c r="W191" t="s">
        <v>154</v>
      </c>
      <c r="X191" t="s">
        <v>94</v>
      </c>
      <c r="Y191" t="s">
        <v>89</v>
      </c>
      <c r="Z191">
        <v>1</v>
      </c>
      <c r="AA191">
        <f>IF(AND(D191&gt;=配装计算器!$I$29,D191&lt;=配装计算器!$I$30),1,0)</f>
        <v>1</v>
      </c>
      <c r="AB191">
        <f t="shared" si="29"/>
        <v>0</v>
      </c>
      <c r="AC191">
        <f t="shared" si="30"/>
        <v>0</v>
      </c>
      <c r="AD191">
        <f t="shared" si="31"/>
        <v>0</v>
      </c>
      <c r="AE191">
        <f t="shared" si="32"/>
        <v>0</v>
      </c>
      <c r="AF191">
        <f t="shared" si="33"/>
        <v>1</v>
      </c>
      <c r="AG191">
        <f t="shared" si="34"/>
        <v>1</v>
      </c>
      <c r="AH191">
        <f t="shared" si="35"/>
        <v>0</v>
      </c>
      <c r="AI191">
        <f t="shared" si="36"/>
        <v>0</v>
      </c>
      <c r="AJ191">
        <f t="shared" si="37"/>
        <v>1</v>
      </c>
      <c r="AK191">
        <f>SUM(AJ$2:$AJ191)</f>
        <v>190</v>
      </c>
    </row>
    <row r="192" spans="1:37">
      <c r="A192" t="s">
        <v>672</v>
      </c>
      <c r="B192" t="s">
        <v>695</v>
      </c>
      <c r="C192" t="s">
        <v>696</v>
      </c>
      <c r="D192">
        <v>30200</v>
      </c>
      <c r="E192" t="s">
        <v>697</v>
      </c>
      <c r="F192">
        <v>16580</v>
      </c>
      <c r="G192">
        <v>1353</v>
      </c>
      <c r="I192">
        <v>3072</v>
      </c>
      <c r="J192">
        <v>0</v>
      </c>
      <c r="K192">
        <v>0</v>
      </c>
      <c r="L192">
        <v>11304</v>
      </c>
      <c r="M192">
        <v>0</v>
      </c>
      <c r="N192">
        <v>9044</v>
      </c>
      <c r="O192">
        <v>0</v>
      </c>
      <c r="P192">
        <v>0</v>
      </c>
      <c r="R192">
        <v>0</v>
      </c>
      <c r="S192">
        <v>0</v>
      </c>
      <c r="T192" t="s">
        <v>122</v>
      </c>
      <c r="U192">
        <v>6</v>
      </c>
      <c r="V192" t="s">
        <v>87</v>
      </c>
      <c r="W192" t="s">
        <v>123</v>
      </c>
      <c r="X192" t="s">
        <v>94</v>
      </c>
      <c r="Y192" t="s">
        <v>89</v>
      </c>
      <c r="Z192">
        <v>1</v>
      </c>
      <c r="AA192">
        <f>IF(AND(D192&gt;=配装计算器!$I$29,D192&lt;=配装计算器!$I$30),1,0)</f>
        <v>1</v>
      </c>
      <c r="AB192">
        <f t="shared" si="29"/>
        <v>0</v>
      </c>
      <c r="AC192">
        <f t="shared" si="30"/>
        <v>0</v>
      </c>
      <c r="AD192">
        <f t="shared" si="31"/>
        <v>1</v>
      </c>
      <c r="AE192">
        <f t="shared" si="32"/>
        <v>0</v>
      </c>
      <c r="AF192">
        <f t="shared" si="33"/>
        <v>1</v>
      </c>
      <c r="AG192">
        <f t="shared" si="34"/>
        <v>0</v>
      </c>
      <c r="AH192">
        <f t="shared" si="35"/>
        <v>0</v>
      </c>
      <c r="AI192">
        <f t="shared" si="36"/>
        <v>0</v>
      </c>
      <c r="AJ192">
        <f t="shared" si="37"/>
        <v>1</v>
      </c>
      <c r="AK192">
        <f>SUM(AJ$2:$AJ192)</f>
        <v>191</v>
      </c>
    </row>
    <row r="193" spans="1:37">
      <c r="A193" t="s">
        <v>672</v>
      </c>
      <c r="B193" t="s">
        <v>698</v>
      </c>
      <c r="C193" t="s">
        <v>699</v>
      </c>
      <c r="D193">
        <v>30200</v>
      </c>
      <c r="E193" t="s">
        <v>700</v>
      </c>
      <c r="F193">
        <v>16580</v>
      </c>
      <c r="G193">
        <v>1353</v>
      </c>
      <c r="I193">
        <v>3072</v>
      </c>
      <c r="J193">
        <v>11304</v>
      </c>
      <c r="K193">
        <v>0</v>
      </c>
      <c r="L193">
        <v>0</v>
      </c>
      <c r="M193">
        <v>0</v>
      </c>
      <c r="N193">
        <v>9044</v>
      </c>
      <c r="O193">
        <v>0</v>
      </c>
      <c r="P193">
        <v>0</v>
      </c>
      <c r="R193">
        <v>0</v>
      </c>
      <c r="S193">
        <v>0</v>
      </c>
      <c r="T193" t="s">
        <v>102</v>
      </c>
      <c r="U193">
        <v>6</v>
      </c>
      <c r="V193" t="s">
        <v>87</v>
      </c>
      <c r="W193" t="s">
        <v>154</v>
      </c>
      <c r="X193" t="s">
        <v>94</v>
      </c>
      <c r="Y193" t="s">
        <v>89</v>
      </c>
      <c r="Z193">
        <v>1</v>
      </c>
      <c r="AA193">
        <f>IF(AND(D193&gt;=配装计算器!$I$29,D193&lt;=配装计算器!$I$30),1,0)</f>
        <v>1</v>
      </c>
      <c r="AB193">
        <f t="shared" si="29"/>
        <v>1</v>
      </c>
      <c r="AC193">
        <f t="shared" si="30"/>
        <v>0</v>
      </c>
      <c r="AD193">
        <f t="shared" si="31"/>
        <v>0</v>
      </c>
      <c r="AE193">
        <f t="shared" si="32"/>
        <v>0</v>
      </c>
      <c r="AF193">
        <f t="shared" si="33"/>
        <v>1</v>
      </c>
      <c r="AG193">
        <f t="shared" si="34"/>
        <v>0</v>
      </c>
      <c r="AH193">
        <f t="shared" si="35"/>
        <v>0</v>
      </c>
      <c r="AI193">
        <f t="shared" si="36"/>
        <v>0</v>
      </c>
      <c r="AJ193">
        <f t="shared" si="37"/>
        <v>1</v>
      </c>
      <c r="AK193">
        <f>SUM(AJ$2:$AJ193)</f>
        <v>192</v>
      </c>
    </row>
    <row r="194" spans="1:37">
      <c r="A194" t="s">
        <v>672</v>
      </c>
      <c r="B194" t="s">
        <v>701</v>
      </c>
      <c r="C194" t="s">
        <v>702</v>
      </c>
      <c r="D194">
        <v>30200</v>
      </c>
      <c r="E194" t="s">
        <v>703</v>
      </c>
      <c r="F194">
        <v>16580</v>
      </c>
      <c r="G194">
        <v>1353</v>
      </c>
      <c r="I194">
        <v>3072</v>
      </c>
      <c r="J194">
        <v>11304</v>
      </c>
      <c r="K194">
        <v>0</v>
      </c>
      <c r="L194">
        <v>0</v>
      </c>
      <c r="M194">
        <v>0</v>
      </c>
      <c r="N194">
        <v>9044</v>
      </c>
      <c r="O194">
        <v>0</v>
      </c>
      <c r="P194">
        <v>0</v>
      </c>
      <c r="R194">
        <v>0</v>
      </c>
      <c r="S194">
        <v>0</v>
      </c>
      <c r="T194" t="s">
        <v>102</v>
      </c>
      <c r="U194">
        <v>6</v>
      </c>
      <c r="V194" t="s">
        <v>87</v>
      </c>
      <c r="W194" t="s">
        <v>154</v>
      </c>
      <c r="X194" t="s">
        <v>94</v>
      </c>
      <c r="Y194" t="s">
        <v>89</v>
      </c>
      <c r="Z194">
        <v>1</v>
      </c>
      <c r="AA194">
        <f>IF(AND(D194&gt;=配装计算器!$I$29,D194&lt;=配装计算器!$I$30),1,0)</f>
        <v>1</v>
      </c>
      <c r="AB194">
        <f t="shared" si="29"/>
        <v>1</v>
      </c>
      <c r="AC194">
        <f t="shared" si="30"/>
        <v>0</v>
      </c>
      <c r="AD194">
        <f t="shared" si="31"/>
        <v>0</v>
      </c>
      <c r="AE194">
        <f t="shared" si="32"/>
        <v>0</v>
      </c>
      <c r="AF194">
        <f t="shared" si="33"/>
        <v>1</v>
      </c>
      <c r="AG194">
        <f t="shared" si="34"/>
        <v>0</v>
      </c>
      <c r="AH194">
        <f t="shared" si="35"/>
        <v>0</v>
      </c>
      <c r="AI194">
        <f t="shared" si="36"/>
        <v>0</v>
      </c>
      <c r="AJ194">
        <f t="shared" si="37"/>
        <v>1</v>
      </c>
      <c r="AK194">
        <f>SUM(AJ$2:$AJ194)</f>
        <v>193</v>
      </c>
    </row>
    <row r="195" spans="1:37">
      <c r="A195" t="s">
        <v>672</v>
      </c>
      <c r="B195" t="s">
        <v>704</v>
      </c>
      <c r="C195" t="s">
        <v>705</v>
      </c>
      <c r="D195">
        <v>30200</v>
      </c>
      <c r="E195" t="s">
        <v>706</v>
      </c>
      <c r="F195">
        <v>16580</v>
      </c>
      <c r="G195">
        <v>1353</v>
      </c>
      <c r="I195">
        <v>3072</v>
      </c>
      <c r="J195">
        <v>0</v>
      </c>
      <c r="K195">
        <v>0</v>
      </c>
      <c r="L195">
        <v>11304</v>
      </c>
      <c r="M195">
        <v>0</v>
      </c>
      <c r="N195">
        <v>9044</v>
      </c>
      <c r="O195">
        <v>0</v>
      </c>
      <c r="P195">
        <v>0</v>
      </c>
      <c r="R195">
        <v>0</v>
      </c>
      <c r="S195">
        <v>0</v>
      </c>
      <c r="T195" t="s">
        <v>122</v>
      </c>
      <c r="U195">
        <v>6</v>
      </c>
      <c r="V195" t="s">
        <v>262</v>
      </c>
      <c r="W195" t="s">
        <v>123</v>
      </c>
      <c r="X195" t="s">
        <v>94</v>
      </c>
      <c r="Y195" t="s">
        <v>89</v>
      </c>
      <c r="Z195">
        <v>1</v>
      </c>
      <c r="AA195">
        <f>IF(AND(D195&gt;=配装计算器!$I$29,D195&lt;=配装计算器!$I$30),1,0)</f>
        <v>1</v>
      </c>
      <c r="AB195">
        <f t="shared" si="29"/>
        <v>0</v>
      </c>
      <c r="AC195">
        <f t="shared" si="30"/>
        <v>0</v>
      </c>
      <c r="AD195">
        <f t="shared" si="31"/>
        <v>1</v>
      </c>
      <c r="AE195">
        <f t="shared" si="32"/>
        <v>0</v>
      </c>
      <c r="AF195">
        <f t="shared" si="33"/>
        <v>1</v>
      </c>
      <c r="AG195">
        <f t="shared" si="34"/>
        <v>0</v>
      </c>
      <c r="AH195">
        <f t="shared" si="35"/>
        <v>0</v>
      </c>
      <c r="AI195">
        <f t="shared" si="36"/>
        <v>0</v>
      </c>
      <c r="AJ195">
        <f t="shared" si="37"/>
        <v>1</v>
      </c>
      <c r="AK195">
        <f>SUM(AJ$2:$AJ195)</f>
        <v>194</v>
      </c>
    </row>
    <row r="196" spans="1:37">
      <c r="A196" t="s">
        <v>672</v>
      </c>
      <c r="B196" t="s">
        <v>707</v>
      </c>
      <c r="C196" t="s">
        <v>708</v>
      </c>
      <c r="D196">
        <v>30200</v>
      </c>
      <c r="E196" t="s">
        <v>709</v>
      </c>
      <c r="F196">
        <v>16580</v>
      </c>
      <c r="G196">
        <v>1353</v>
      </c>
      <c r="I196">
        <v>3072</v>
      </c>
      <c r="J196">
        <v>0</v>
      </c>
      <c r="K196">
        <v>0</v>
      </c>
      <c r="L196">
        <v>0</v>
      </c>
      <c r="M196">
        <v>11304</v>
      </c>
      <c r="N196">
        <v>9044</v>
      </c>
      <c r="O196">
        <v>0</v>
      </c>
      <c r="P196">
        <v>0</v>
      </c>
      <c r="R196">
        <v>0</v>
      </c>
      <c r="S196">
        <v>0</v>
      </c>
      <c r="T196" t="s">
        <v>107</v>
      </c>
      <c r="U196">
        <v>6</v>
      </c>
      <c r="V196" t="s">
        <v>130</v>
      </c>
      <c r="W196" t="s">
        <v>135</v>
      </c>
      <c r="X196" t="s">
        <v>88</v>
      </c>
      <c r="Y196" t="s">
        <v>89</v>
      </c>
      <c r="Z196">
        <v>1</v>
      </c>
      <c r="AA196">
        <f>IF(AND(D196&gt;=配装计算器!$I$29,D196&lt;=配装计算器!$I$30),1,0)</f>
        <v>1</v>
      </c>
      <c r="AB196">
        <f t="shared" si="29"/>
        <v>0</v>
      </c>
      <c r="AC196">
        <f t="shared" si="30"/>
        <v>0</v>
      </c>
      <c r="AD196">
        <f t="shared" si="31"/>
        <v>0</v>
      </c>
      <c r="AE196">
        <f t="shared" si="32"/>
        <v>1</v>
      </c>
      <c r="AF196">
        <f t="shared" si="33"/>
        <v>1</v>
      </c>
      <c r="AG196">
        <f t="shared" si="34"/>
        <v>0</v>
      </c>
      <c r="AH196">
        <f t="shared" si="35"/>
        <v>0</v>
      </c>
      <c r="AI196">
        <f t="shared" si="36"/>
        <v>0</v>
      </c>
      <c r="AJ196">
        <f t="shared" si="37"/>
        <v>1</v>
      </c>
      <c r="AK196">
        <f>SUM(AJ$2:$AJ196)</f>
        <v>195</v>
      </c>
    </row>
    <row r="197" spans="1:37">
      <c r="A197" t="s">
        <v>672</v>
      </c>
      <c r="B197" t="s">
        <v>710</v>
      </c>
      <c r="C197" t="s">
        <v>711</v>
      </c>
      <c r="D197">
        <v>30200</v>
      </c>
      <c r="E197" t="s">
        <v>712</v>
      </c>
      <c r="F197">
        <v>16580</v>
      </c>
      <c r="G197">
        <v>0</v>
      </c>
      <c r="I197">
        <v>2048</v>
      </c>
      <c r="J197">
        <v>0</v>
      </c>
      <c r="K197">
        <v>0</v>
      </c>
      <c r="L197">
        <v>0</v>
      </c>
      <c r="M197">
        <v>29391</v>
      </c>
      <c r="N197">
        <v>9044</v>
      </c>
      <c r="O197">
        <v>0</v>
      </c>
      <c r="P197">
        <v>0</v>
      </c>
      <c r="R197">
        <v>0</v>
      </c>
      <c r="S197">
        <v>0</v>
      </c>
      <c r="T197" t="s">
        <v>198</v>
      </c>
      <c r="U197">
        <v>6</v>
      </c>
      <c r="V197" t="s">
        <v>87</v>
      </c>
      <c r="W197" t="s">
        <v>94</v>
      </c>
      <c r="X197" t="s">
        <v>108</v>
      </c>
      <c r="Y197" t="s">
        <v>89</v>
      </c>
      <c r="Z197">
        <v>1</v>
      </c>
      <c r="AA197">
        <f>IF(AND(D197&gt;=配装计算器!$I$29,D197&lt;=配装计算器!$I$30),1,0)</f>
        <v>1</v>
      </c>
      <c r="AB197">
        <f t="shared" si="29"/>
        <v>0</v>
      </c>
      <c r="AC197">
        <f t="shared" si="30"/>
        <v>0</v>
      </c>
      <c r="AD197">
        <f t="shared" si="31"/>
        <v>0</v>
      </c>
      <c r="AE197">
        <f t="shared" si="32"/>
        <v>1</v>
      </c>
      <c r="AF197">
        <f t="shared" si="33"/>
        <v>1</v>
      </c>
      <c r="AG197">
        <f t="shared" si="34"/>
        <v>0</v>
      </c>
      <c r="AH197">
        <f t="shared" si="35"/>
        <v>0</v>
      </c>
      <c r="AI197">
        <f t="shared" si="36"/>
        <v>1</v>
      </c>
      <c r="AJ197">
        <f t="shared" si="37"/>
        <v>1</v>
      </c>
      <c r="AK197">
        <f>SUM(AJ$2:$AJ197)</f>
        <v>196</v>
      </c>
    </row>
    <row r="198" spans="1:37">
      <c r="A198" t="s">
        <v>672</v>
      </c>
      <c r="B198" t="s">
        <v>713</v>
      </c>
      <c r="C198" t="s">
        <v>714</v>
      </c>
      <c r="D198">
        <v>30200</v>
      </c>
      <c r="E198" t="s">
        <v>715</v>
      </c>
      <c r="F198">
        <v>16580</v>
      </c>
      <c r="G198">
        <v>0</v>
      </c>
      <c r="I198">
        <v>2048</v>
      </c>
      <c r="J198">
        <v>0</v>
      </c>
      <c r="K198">
        <v>0</v>
      </c>
      <c r="L198">
        <v>29391</v>
      </c>
      <c r="M198">
        <v>0</v>
      </c>
      <c r="N198">
        <v>9044</v>
      </c>
      <c r="O198">
        <v>0</v>
      </c>
      <c r="P198">
        <v>0</v>
      </c>
      <c r="R198">
        <v>0</v>
      </c>
      <c r="S198">
        <v>0</v>
      </c>
      <c r="T198" t="s">
        <v>153</v>
      </c>
      <c r="U198">
        <v>6</v>
      </c>
      <c r="V198" t="s">
        <v>87</v>
      </c>
      <c r="W198" t="s">
        <v>154</v>
      </c>
      <c r="X198" t="s">
        <v>123</v>
      </c>
      <c r="Y198" t="s">
        <v>89</v>
      </c>
      <c r="Z198">
        <v>1</v>
      </c>
      <c r="AA198">
        <f>IF(AND(D198&gt;=配装计算器!$I$29,D198&lt;=配装计算器!$I$30),1,0)</f>
        <v>1</v>
      </c>
      <c r="AB198">
        <f t="shared" ref="AB198:AB261" si="56">IF(J198&gt;0,1,0)</f>
        <v>0</v>
      </c>
      <c r="AC198">
        <f t="shared" ref="AC198:AC261" si="57">IF(K198&gt;0,1,0)</f>
        <v>0</v>
      </c>
      <c r="AD198">
        <f t="shared" ref="AD198:AD261" si="58">IF(L198&gt;0,1,0)</f>
        <v>1</v>
      </c>
      <c r="AE198">
        <f t="shared" ref="AE198:AE261" si="59">IF(M198&gt;0,1,0)</f>
        <v>0</v>
      </c>
      <c r="AF198">
        <f t="shared" ref="AF198:AF261" si="60">IF(N198&gt;0,1,0)</f>
        <v>1</v>
      </c>
      <c r="AG198">
        <f t="shared" ref="AG198:AG261" si="61">IF(O198&gt;0,1,0)</f>
        <v>0</v>
      </c>
      <c r="AH198">
        <f t="shared" ref="AH198:AH261" si="62">IF(P198&gt;0,1,0)</f>
        <v>0</v>
      </c>
      <c r="AI198">
        <f t="shared" ref="AI198:AI261" si="63">IF(COUNTIF(T198,"*"&amp;"精简"&amp;"*")&gt;0,1,0)</f>
        <v>1</v>
      </c>
      <c r="AJ198">
        <f t="shared" ref="AJ198:AJ261" si="64">MIN(1,AA198*($AY$2+IF(AND(AB198&gt;=$AQ$3,AC198&gt;=$AR$3,AD198&gt;=$AS$3,AE198&gt;=$AT$3,AF198&gt;=$AU$3,AG198&gt;=$AV$3,AH198&gt;=$AW$3,AI198&gt;=$AX$3),1,0)))</f>
        <v>1</v>
      </c>
      <c r="AK198">
        <f>SUM(AJ$2:$AJ198)</f>
        <v>197</v>
      </c>
    </row>
    <row r="199" spans="1:37">
      <c r="A199" t="s">
        <v>672</v>
      </c>
      <c r="B199" t="s">
        <v>716</v>
      </c>
      <c r="C199" t="s">
        <v>717</v>
      </c>
      <c r="D199">
        <v>30200</v>
      </c>
      <c r="E199" t="s">
        <v>718</v>
      </c>
      <c r="F199">
        <v>16580</v>
      </c>
      <c r="G199">
        <v>0</v>
      </c>
      <c r="I199">
        <v>5939</v>
      </c>
      <c r="J199">
        <v>0</v>
      </c>
      <c r="K199">
        <v>0</v>
      </c>
      <c r="L199">
        <v>11304</v>
      </c>
      <c r="M199">
        <v>0</v>
      </c>
      <c r="N199">
        <v>0</v>
      </c>
      <c r="O199">
        <v>0</v>
      </c>
      <c r="P199">
        <v>0</v>
      </c>
      <c r="R199">
        <v>0</v>
      </c>
      <c r="S199">
        <v>0</v>
      </c>
      <c r="T199" t="s">
        <v>719</v>
      </c>
      <c r="U199">
        <v>6</v>
      </c>
      <c r="V199" t="s">
        <v>87</v>
      </c>
      <c r="W199" t="s">
        <v>94</v>
      </c>
      <c r="X199" t="s">
        <v>108</v>
      </c>
      <c r="Y199" t="s">
        <v>89</v>
      </c>
      <c r="Z199">
        <v>1</v>
      </c>
      <c r="AA199">
        <f>IF(AND(D199&gt;=配装计算器!$I$29,D199&lt;=配装计算器!$I$30),1,0)</f>
        <v>1</v>
      </c>
      <c r="AB199">
        <f t="shared" si="56"/>
        <v>0</v>
      </c>
      <c r="AC199">
        <f t="shared" si="57"/>
        <v>0</v>
      </c>
      <c r="AD199">
        <f t="shared" si="58"/>
        <v>1</v>
      </c>
      <c r="AE199">
        <f t="shared" si="59"/>
        <v>0</v>
      </c>
      <c r="AF199">
        <f t="shared" si="60"/>
        <v>0</v>
      </c>
      <c r="AG199">
        <f t="shared" si="61"/>
        <v>0</v>
      </c>
      <c r="AH199">
        <f t="shared" si="62"/>
        <v>0</v>
      </c>
      <c r="AI199">
        <f t="shared" si="63"/>
        <v>1</v>
      </c>
      <c r="AJ199">
        <f t="shared" si="64"/>
        <v>1</v>
      </c>
      <c r="AK199">
        <f>SUM(AJ$2:$AJ199)</f>
        <v>198</v>
      </c>
    </row>
    <row r="200" spans="1:37">
      <c r="A200" t="s">
        <v>672</v>
      </c>
      <c r="B200" t="s">
        <v>720</v>
      </c>
      <c r="C200" t="s">
        <v>721</v>
      </c>
      <c r="D200">
        <v>30200</v>
      </c>
      <c r="E200" t="s">
        <v>722</v>
      </c>
      <c r="F200">
        <v>16580</v>
      </c>
      <c r="G200">
        <v>0</v>
      </c>
      <c r="I200">
        <v>4813</v>
      </c>
      <c r="J200">
        <v>7536</v>
      </c>
      <c r="K200">
        <v>0</v>
      </c>
      <c r="L200">
        <v>7536</v>
      </c>
      <c r="M200">
        <v>7536</v>
      </c>
      <c r="N200">
        <v>7536</v>
      </c>
      <c r="O200">
        <v>0</v>
      </c>
      <c r="P200">
        <v>0</v>
      </c>
      <c r="R200">
        <v>0</v>
      </c>
      <c r="S200">
        <v>0</v>
      </c>
      <c r="T200" t="s">
        <v>504</v>
      </c>
      <c r="U200">
        <v>6</v>
      </c>
      <c r="V200" t="s">
        <v>87</v>
      </c>
      <c r="W200" t="s">
        <v>94</v>
      </c>
      <c r="X200" t="s">
        <v>154</v>
      </c>
      <c r="Y200" t="s">
        <v>89</v>
      </c>
      <c r="Z200">
        <v>1</v>
      </c>
      <c r="AA200">
        <f>IF(AND(D200&gt;=配装计算器!$I$29,D200&lt;=配装计算器!$I$30),1,0)</f>
        <v>1</v>
      </c>
      <c r="AB200">
        <f t="shared" si="56"/>
        <v>1</v>
      </c>
      <c r="AC200">
        <f t="shared" si="57"/>
        <v>0</v>
      </c>
      <c r="AD200">
        <f t="shared" si="58"/>
        <v>1</v>
      </c>
      <c r="AE200">
        <f t="shared" si="59"/>
        <v>1</v>
      </c>
      <c r="AF200">
        <f t="shared" si="60"/>
        <v>1</v>
      </c>
      <c r="AG200">
        <f t="shared" si="61"/>
        <v>0</v>
      </c>
      <c r="AH200">
        <f t="shared" si="62"/>
        <v>0</v>
      </c>
      <c r="AI200">
        <f t="shared" si="63"/>
        <v>1</v>
      </c>
      <c r="AJ200">
        <f t="shared" si="64"/>
        <v>1</v>
      </c>
      <c r="AK200">
        <f>SUM(AJ$2:$AJ200)</f>
        <v>199</v>
      </c>
    </row>
    <row r="201" spans="1:37">
      <c r="A201" t="s">
        <v>672</v>
      </c>
      <c r="B201" t="s">
        <v>723</v>
      </c>
      <c r="C201" t="s">
        <v>724</v>
      </c>
      <c r="D201">
        <v>30200</v>
      </c>
      <c r="E201" t="s">
        <v>725</v>
      </c>
      <c r="F201">
        <v>16580</v>
      </c>
      <c r="G201">
        <v>0</v>
      </c>
      <c r="I201">
        <v>2048</v>
      </c>
      <c r="J201">
        <v>29391</v>
      </c>
      <c r="K201">
        <v>0</v>
      </c>
      <c r="L201">
        <v>0</v>
      </c>
      <c r="M201">
        <v>0</v>
      </c>
      <c r="N201">
        <v>9044</v>
      </c>
      <c r="O201">
        <v>0</v>
      </c>
      <c r="P201">
        <v>0</v>
      </c>
      <c r="R201">
        <v>0</v>
      </c>
      <c r="S201">
        <v>0</v>
      </c>
      <c r="T201" t="s">
        <v>184</v>
      </c>
      <c r="U201">
        <v>6</v>
      </c>
      <c r="V201" t="s">
        <v>87</v>
      </c>
      <c r="W201" t="s">
        <v>185</v>
      </c>
      <c r="X201" t="s">
        <v>108</v>
      </c>
      <c r="Y201" t="s">
        <v>89</v>
      </c>
      <c r="Z201">
        <v>1</v>
      </c>
      <c r="AA201">
        <f>IF(AND(D201&gt;=配装计算器!$I$29,D201&lt;=配装计算器!$I$30),1,0)</f>
        <v>1</v>
      </c>
      <c r="AB201">
        <f t="shared" si="56"/>
        <v>1</v>
      </c>
      <c r="AC201">
        <f t="shared" si="57"/>
        <v>0</v>
      </c>
      <c r="AD201">
        <f t="shared" si="58"/>
        <v>0</v>
      </c>
      <c r="AE201">
        <f t="shared" si="59"/>
        <v>0</v>
      </c>
      <c r="AF201">
        <f t="shared" si="60"/>
        <v>1</v>
      </c>
      <c r="AG201">
        <f t="shared" si="61"/>
        <v>0</v>
      </c>
      <c r="AH201">
        <f t="shared" si="62"/>
        <v>0</v>
      </c>
      <c r="AI201">
        <f t="shared" si="63"/>
        <v>1</v>
      </c>
      <c r="AJ201">
        <f t="shared" si="64"/>
        <v>1</v>
      </c>
      <c r="AK201">
        <f>SUM(AJ$2:$AJ201)</f>
        <v>200</v>
      </c>
    </row>
    <row r="202" spans="1:37">
      <c r="A202" t="s">
        <v>672</v>
      </c>
      <c r="B202" t="s">
        <v>726</v>
      </c>
      <c r="C202" t="s">
        <v>727</v>
      </c>
      <c r="D202">
        <v>30200</v>
      </c>
      <c r="E202" t="s">
        <v>728</v>
      </c>
      <c r="F202">
        <v>16580</v>
      </c>
      <c r="G202">
        <v>0</v>
      </c>
      <c r="I202">
        <v>5939</v>
      </c>
      <c r="J202">
        <v>11304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R202">
        <v>0</v>
      </c>
      <c r="S202">
        <v>0</v>
      </c>
      <c r="T202" t="s">
        <v>729</v>
      </c>
      <c r="U202">
        <v>6</v>
      </c>
      <c r="V202" t="s">
        <v>87</v>
      </c>
      <c r="W202" t="s">
        <v>185</v>
      </c>
      <c r="X202" t="s">
        <v>108</v>
      </c>
      <c r="Y202" t="s">
        <v>89</v>
      </c>
      <c r="Z202">
        <v>1</v>
      </c>
      <c r="AA202">
        <f>IF(AND(D202&gt;=配装计算器!$I$29,D202&lt;=配装计算器!$I$30),1,0)</f>
        <v>1</v>
      </c>
      <c r="AB202">
        <f t="shared" si="56"/>
        <v>1</v>
      </c>
      <c r="AC202">
        <f t="shared" si="57"/>
        <v>0</v>
      </c>
      <c r="AD202">
        <f t="shared" si="58"/>
        <v>0</v>
      </c>
      <c r="AE202">
        <f t="shared" si="59"/>
        <v>0</v>
      </c>
      <c r="AF202">
        <f t="shared" si="60"/>
        <v>0</v>
      </c>
      <c r="AG202">
        <f t="shared" si="61"/>
        <v>0</v>
      </c>
      <c r="AH202">
        <f t="shared" si="62"/>
        <v>0</v>
      </c>
      <c r="AI202">
        <f t="shared" si="63"/>
        <v>1</v>
      </c>
      <c r="AJ202">
        <f t="shared" si="64"/>
        <v>1</v>
      </c>
      <c r="AK202">
        <f>SUM(AJ$2:$AJ202)</f>
        <v>201</v>
      </c>
    </row>
    <row r="203" spans="1:37">
      <c r="A203" t="s">
        <v>672</v>
      </c>
      <c r="B203" t="s">
        <v>730</v>
      </c>
      <c r="C203" t="s">
        <v>731</v>
      </c>
      <c r="D203">
        <v>30200</v>
      </c>
      <c r="E203" t="s">
        <v>732</v>
      </c>
      <c r="F203">
        <v>16580</v>
      </c>
      <c r="G203">
        <v>0</v>
      </c>
      <c r="I203">
        <v>4096</v>
      </c>
      <c r="J203">
        <v>0</v>
      </c>
      <c r="K203">
        <v>0</v>
      </c>
      <c r="L203">
        <v>0</v>
      </c>
      <c r="M203">
        <v>20725</v>
      </c>
      <c r="N203">
        <v>11304</v>
      </c>
      <c r="O203">
        <v>0</v>
      </c>
      <c r="P203">
        <v>0</v>
      </c>
      <c r="R203">
        <v>0</v>
      </c>
      <c r="S203">
        <v>0</v>
      </c>
      <c r="T203" t="s">
        <v>292</v>
      </c>
      <c r="U203">
        <v>6</v>
      </c>
      <c r="V203" t="s">
        <v>87</v>
      </c>
      <c r="W203" t="s">
        <v>94</v>
      </c>
      <c r="X203" t="s">
        <v>108</v>
      </c>
      <c r="Y203" t="s">
        <v>89</v>
      </c>
      <c r="Z203">
        <v>1</v>
      </c>
      <c r="AA203">
        <f>IF(AND(D203&gt;=配装计算器!$I$29,D203&lt;=配装计算器!$I$30),1,0)</f>
        <v>1</v>
      </c>
      <c r="AB203">
        <f t="shared" si="56"/>
        <v>0</v>
      </c>
      <c r="AC203">
        <f t="shared" si="57"/>
        <v>0</v>
      </c>
      <c r="AD203">
        <f t="shared" si="58"/>
        <v>0</v>
      </c>
      <c r="AE203">
        <f t="shared" si="59"/>
        <v>1</v>
      </c>
      <c r="AF203">
        <f t="shared" si="60"/>
        <v>1</v>
      </c>
      <c r="AG203">
        <f t="shared" si="61"/>
        <v>0</v>
      </c>
      <c r="AH203">
        <f t="shared" si="62"/>
        <v>0</v>
      </c>
      <c r="AI203">
        <f t="shared" si="63"/>
        <v>1</v>
      </c>
      <c r="AJ203">
        <f t="shared" si="64"/>
        <v>1</v>
      </c>
      <c r="AK203">
        <f>SUM(AJ$2:$AJ203)</f>
        <v>202</v>
      </c>
    </row>
    <row r="204" spans="1:37">
      <c r="A204" t="s">
        <v>672</v>
      </c>
      <c r="B204" t="s">
        <v>733</v>
      </c>
      <c r="C204" t="s">
        <v>734</v>
      </c>
      <c r="D204">
        <v>30200</v>
      </c>
      <c r="E204" t="s">
        <v>735</v>
      </c>
      <c r="F204">
        <v>16580</v>
      </c>
      <c r="G204">
        <v>0</v>
      </c>
      <c r="I204">
        <v>5939</v>
      </c>
      <c r="J204">
        <v>0</v>
      </c>
      <c r="K204">
        <v>0</v>
      </c>
      <c r="L204">
        <v>8290</v>
      </c>
      <c r="M204">
        <v>8290</v>
      </c>
      <c r="N204">
        <v>8290</v>
      </c>
      <c r="O204">
        <v>0</v>
      </c>
      <c r="P204">
        <v>0</v>
      </c>
      <c r="R204">
        <v>0</v>
      </c>
      <c r="S204">
        <v>0</v>
      </c>
      <c r="T204" t="s">
        <v>296</v>
      </c>
      <c r="U204">
        <v>6</v>
      </c>
      <c r="V204" t="s">
        <v>87</v>
      </c>
      <c r="W204" t="s">
        <v>94</v>
      </c>
      <c r="X204" t="s">
        <v>108</v>
      </c>
      <c r="Y204" t="s">
        <v>89</v>
      </c>
      <c r="Z204">
        <v>1</v>
      </c>
      <c r="AA204">
        <f>IF(AND(D204&gt;=配装计算器!$I$29,D204&lt;=配装计算器!$I$30),1,0)</f>
        <v>1</v>
      </c>
      <c r="AB204">
        <f t="shared" si="56"/>
        <v>0</v>
      </c>
      <c r="AC204">
        <f t="shared" si="57"/>
        <v>0</v>
      </c>
      <c r="AD204">
        <f t="shared" si="58"/>
        <v>1</v>
      </c>
      <c r="AE204">
        <f t="shared" si="59"/>
        <v>1</v>
      </c>
      <c r="AF204">
        <f t="shared" si="60"/>
        <v>1</v>
      </c>
      <c r="AG204">
        <f t="shared" si="61"/>
        <v>0</v>
      </c>
      <c r="AH204">
        <f t="shared" si="62"/>
        <v>0</v>
      </c>
      <c r="AI204">
        <f t="shared" si="63"/>
        <v>1</v>
      </c>
      <c r="AJ204">
        <f t="shared" si="64"/>
        <v>1</v>
      </c>
      <c r="AK204">
        <f>SUM(AJ$2:$AJ204)</f>
        <v>203</v>
      </c>
    </row>
    <row r="205" spans="1:37">
      <c r="A205" t="s">
        <v>672</v>
      </c>
      <c r="B205" t="s">
        <v>736</v>
      </c>
      <c r="C205" t="s">
        <v>737</v>
      </c>
      <c r="D205">
        <v>30200</v>
      </c>
      <c r="E205" t="s">
        <v>738</v>
      </c>
      <c r="F205">
        <v>16580</v>
      </c>
      <c r="G205">
        <v>0</v>
      </c>
      <c r="I205">
        <v>6963</v>
      </c>
      <c r="J205">
        <v>0</v>
      </c>
      <c r="K205">
        <v>0</v>
      </c>
      <c r="L205">
        <v>0</v>
      </c>
      <c r="M205">
        <v>0</v>
      </c>
      <c r="N205">
        <v>19594</v>
      </c>
      <c r="O205">
        <v>0</v>
      </c>
      <c r="P205">
        <v>0</v>
      </c>
      <c r="R205">
        <v>0</v>
      </c>
      <c r="S205">
        <v>0</v>
      </c>
      <c r="T205" t="s">
        <v>300</v>
      </c>
      <c r="U205">
        <v>6</v>
      </c>
      <c r="V205" t="s">
        <v>87</v>
      </c>
      <c r="W205" t="s">
        <v>135</v>
      </c>
      <c r="X205" t="s">
        <v>108</v>
      </c>
      <c r="Y205" t="s">
        <v>89</v>
      </c>
      <c r="Z205">
        <v>1</v>
      </c>
      <c r="AA205">
        <f>IF(AND(D205&gt;=配装计算器!$I$29,D205&lt;=配装计算器!$I$30),1,0)</f>
        <v>1</v>
      </c>
      <c r="AB205">
        <f t="shared" si="56"/>
        <v>0</v>
      </c>
      <c r="AC205">
        <f t="shared" si="57"/>
        <v>0</v>
      </c>
      <c r="AD205">
        <f t="shared" si="58"/>
        <v>0</v>
      </c>
      <c r="AE205">
        <f t="shared" si="59"/>
        <v>0</v>
      </c>
      <c r="AF205">
        <f t="shared" si="60"/>
        <v>1</v>
      </c>
      <c r="AG205">
        <f t="shared" si="61"/>
        <v>0</v>
      </c>
      <c r="AH205">
        <f t="shared" si="62"/>
        <v>0</v>
      </c>
      <c r="AI205">
        <f t="shared" si="63"/>
        <v>1</v>
      </c>
      <c r="AJ205">
        <f t="shared" si="64"/>
        <v>1</v>
      </c>
      <c r="AK205">
        <f>SUM(AJ$2:$AJ205)</f>
        <v>204</v>
      </c>
    </row>
    <row r="206" spans="1:37">
      <c r="A206" t="s">
        <v>672</v>
      </c>
      <c r="B206" t="s">
        <v>739</v>
      </c>
      <c r="C206" t="s">
        <v>740</v>
      </c>
      <c r="D206">
        <v>30200</v>
      </c>
      <c r="E206" t="s">
        <v>741</v>
      </c>
      <c r="F206">
        <v>16580</v>
      </c>
      <c r="G206">
        <v>0</v>
      </c>
      <c r="I206">
        <v>7025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18615</v>
      </c>
      <c r="P206">
        <v>0</v>
      </c>
      <c r="R206">
        <v>0</v>
      </c>
      <c r="S206">
        <v>0</v>
      </c>
      <c r="T206" t="s">
        <v>526</v>
      </c>
      <c r="U206">
        <v>6</v>
      </c>
      <c r="V206" t="s">
        <v>87</v>
      </c>
      <c r="W206" t="s">
        <v>94</v>
      </c>
      <c r="X206" t="s">
        <v>154</v>
      </c>
      <c r="Y206" t="s">
        <v>89</v>
      </c>
      <c r="Z206">
        <v>1</v>
      </c>
      <c r="AA206">
        <f>IF(AND(D206&gt;=配装计算器!$I$29,D206&lt;=配装计算器!$I$30),1,0)</f>
        <v>1</v>
      </c>
      <c r="AB206">
        <f t="shared" si="56"/>
        <v>0</v>
      </c>
      <c r="AC206">
        <f t="shared" si="57"/>
        <v>0</v>
      </c>
      <c r="AD206">
        <f t="shared" si="58"/>
        <v>0</v>
      </c>
      <c r="AE206">
        <f t="shared" si="59"/>
        <v>0</v>
      </c>
      <c r="AF206">
        <f t="shared" si="60"/>
        <v>0</v>
      </c>
      <c r="AG206">
        <f t="shared" si="61"/>
        <v>1</v>
      </c>
      <c r="AH206">
        <f t="shared" si="62"/>
        <v>0</v>
      </c>
      <c r="AI206">
        <f t="shared" si="63"/>
        <v>1</v>
      </c>
      <c r="AJ206">
        <f t="shared" si="64"/>
        <v>1</v>
      </c>
      <c r="AK206">
        <f>SUM(AJ$2:$AJ206)</f>
        <v>205</v>
      </c>
    </row>
    <row r="207" spans="1:37">
      <c r="A207" t="s">
        <v>672</v>
      </c>
      <c r="B207" t="s">
        <v>742</v>
      </c>
      <c r="C207" t="s">
        <v>743</v>
      </c>
      <c r="D207">
        <v>30200</v>
      </c>
      <c r="E207" t="s">
        <v>744</v>
      </c>
      <c r="F207">
        <v>16580</v>
      </c>
      <c r="G207">
        <v>0</v>
      </c>
      <c r="I207">
        <v>4915</v>
      </c>
      <c r="J207">
        <v>0</v>
      </c>
      <c r="K207">
        <v>0</v>
      </c>
      <c r="L207">
        <v>8290</v>
      </c>
      <c r="M207">
        <v>0</v>
      </c>
      <c r="N207">
        <v>16580</v>
      </c>
      <c r="O207">
        <v>0</v>
      </c>
      <c r="P207">
        <v>0</v>
      </c>
      <c r="R207">
        <v>0</v>
      </c>
      <c r="S207">
        <v>0</v>
      </c>
      <c r="T207" t="s">
        <v>308</v>
      </c>
      <c r="U207">
        <v>6</v>
      </c>
      <c r="V207" t="s">
        <v>87</v>
      </c>
      <c r="W207" t="s">
        <v>154</v>
      </c>
      <c r="X207" t="s">
        <v>123</v>
      </c>
      <c r="Y207" t="s">
        <v>89</v>
      </c>
      <c r="Z207">
        <v>1</v>
      </c>
      <c r="AA207">
        <f>IF(AND(D207&gt;=配装计算器!$I$29,D207&lt;=配装计算器!$I$30),1,0)</f>
        <v>1</v>
      </c>
      <c r="AB207">
        <f t="shared" si="56"/>
        <v>0</v>
      </c>
      <c r="AC207">
        <f t="shared" si="57"/>
        <v>0</v>
      </c>
      <c r="AD207">
        <f t="shared" si="58"/>
        <v>1</v>
      </c>
      <c r="AE207">
        <f t="shared" si="59"/>
        <v>0</v>
      </c>
      <c r="AF207">
        <f t="shared" si="60"/>
        <v>1</v>
      </c>
      <c r="AG207">
        <f t="shared" si="61"/>
        <v>0</v>
      </c>
      <c r="AH207">
        <f t="shared" si="62"/>
        <v>0</v>
      </c>
      <c r="AI207">
        <f t="shared" si="63"/>
        <v>1</v>
      </c>
      <c r="AJ207">
        <f t="shared" si="64"/>
        <v>1</v>
      </c>
      <c r="AK207">
        <f>SUM(AJ$2:$AJ207)</f>
        <v>206</v>
      </c>
    </row>
    <row r="208" spans="1:37">
      <c r="A208" t="s">
        <v>672</v>
      </c>
      <c r="B208" t="s">
        <v>745</v>
      </c>
      <c r="C208" t="s">
        <v>746</v>
      </c>
      <c r="D208">
        <v>30200</v>
      </c>
      <c r="E208" t="s">
        <v>747</v>
      </c>
      <c r="F208">
        <v>16580</v>
      </c>
      <c r="G208">
        <v>0</v>
      </c>
      <c r="I208">
        <v>5939</v>
      </c>
      <c r="J208">
        <v>8290</v>
      </c>
      <c r="K208">
        <v>0</v>
      </c>
      <c r="L208">
        <v>0</v>
      </c>
      <c r="M208">
        <v>8290</v>
      </c>
      <c r="N208">
        <v>8290</v>
      </c>
      <c r="O208">
        <v>0</v>
      </c>
      <c r="P208">
        <v>0</v>
      </c>
      <c r="R208">
        <v>0</v>
      </c>
      <c r="S208">
        <v>0</v>
      </c>
      <c r="T208" t="s">
        <v>312</v>
      </c>
      <c r="U208">
        <v>6</v>
      </c>
      <c r="V208" t="s">
        <v>87</v>
      </c>
      <c r="W208" t="s">
        <v>135</v>
      </c>
      <c r="X208" t="s">
        <v>108</v>
      </c>
      <c r="Y208" t="s">
        <v>89</v>
      </c>
      <c r="Z208">
        <v>1</v>
      </c>
      <c r="AA208">
        <f>IF(AND(D208&gt;=配装计算器!$I$29,D208&lt;=配装计算器!$I$30),1,0)</f>
        <v>1</v>
      </c>
      <c r="AB208">
        <f t="shared" si="56"/>
        <v>1</v>
      </c>
      <c r="AC208">
        <f t="shared" si="57"/>
        <v>0</v>
      </c>
      <c r="AD208">
        <f t="shared" si="58"/>
        <v>0</v>
      </c>
      <c r="AE208">
        <f t="shared" si="59"/>
        <v>1</v>
      </c>
      <c r="AF208">
        <f t="shared" si="60"/>
        <v>1</v>
      </c>
      <c r="AG208">
        <f t="shared" si="61"/>
        <v>0</v>
      </c>
      <c r="AH208">
        <f t="shared" si="62"/>
        <v>0</v>
      </c>
      <c r="AI208">
        <f t="shared" si="63"/>
        <v>1</v>
      </c>
      <c r="AJ208">
        <f t="shared" si="64"/>
        <v>1</v>
      </c>
      <c r="AK208">
        <f>SUM(AJ$2:$AJ208)</f>
        <v>207</v>
      </c>
    </row>
    <row r="209" spans="1:37">
      <c r="A209" t="s">
        <v>672</v>
      </c>
      <c r="B209" t="s">
        <v>748</v>
      </c>
      <c r="C209" t="s">
        <v>749</v>
      </c>
      <c r="D209">
        <v>30200</v>
      </c>
      <c r="E209" t="s">
        <v>750</v>
      </c>
      <c r="F209">
        <v>16580</v>
      </c>
      <c r="G209">
        <v>0</v>
      </c>
      <c r="I209">
        <v>4915</v>
      </c>
      <c r="J209">
        <v>8290</v>
      </c>
      <c r="K209">
        <v>0</v>
      </c>
      <c r="L209">
        <v>0</v>
      </c>
      <c r="M209">
        <v>0</v>
      </c>
      <c r="N209">
        <v>16580</v>
      </c>
      <c r="O209">
        <v>0</v>
      </c>
      <c r="P209">
        <v>0</v>
      </c>
      <c r="R209">
        <v>0</v>
      </c>
      <c r="S209">
        <v>0</v>
      </c>
      <c r="T209" t="s">
        <v>316</v>
      </c>
      <c r="U209">
        <v>6</v>
      </c>
      <c r="V209" t="s">
        <v>87</v>
      </c>
      <c r="W209" t="s">
        <v>185</v>
      </c>
      <c r="X209" t="s">
        <v>108</v>
      </c>
      <c r="Y209" t="s">
        <v>89</v>
      </c>
      <c r="Z209">
        <v>1</v>
      </c>
      <c r="AA209">
        <f>IF(AND(D209&gt;=配装计算器!$I$29,D209&lt;=配装计算器!$I$30),1,0)</f>
        <v>1</v>
      </c>
      <c r="AB209">
        <f t="shared" si="56"/>
        <v>1</v>
      </c>
      <c r="AC209">
        <f t="shared" si="57"/>
        <v>0</v>
      </c>
      <c r="AD209">
        <f t="shared" si="58"/>
        <v>0</v>
      </c>
      <c r="AE209">
        <f t="shared" si="59"/>
        <v>0</v>
      </c>
      <c r="AF209">
        <f t="shared" si="60"/>
        <v>1</v>
      </c>
      <c r="AG209">
        <f t="shared" si="61"/>
        <v>0</v>
      </c>
      <c r="AH209">
        <f t="shared" si="62"/>
        <v>0</v>
      </c>
      <c r="AI209">
        <f t="shared" si="63"/>
        <v>1</v>
      </c>
      <c r="AJ209">
        <f t="shared" si="64"/>
        <v>1</v>
      </c>
      <c r="AK209">
        <f>SUM(AJ$2:$AJ209)</f>
        <v>208</v>
      </c>
    </row>
    <row r="210" spans="1:37">
      <c r="A210" t="s">
        <v>672</v>
      </c>
      <c r="B210" t="s">
        <v>751</v>
      </c>
      <c r="C210" t="s">
        <v>752</v>
      </c>
      <c r="D210">
        <v>30200</v>
      </c>
      <c r="E210" t="s">
        <v>753</v>
      </c>
      <c r="F210">
        <v>16580</v>
      </c>
      <c r="G210">
        <v>0</v>
      </c>
      <c r="I210">
        <v>5939</v>
      </c>
      <c r="J210">
        <v>8290</v>
      </c>
      <c r="K210">
        <v>0</v>
      </c>
      <c r="L210">
        <v>8290</v>
      </c>
      <c r="M210">
        <v>0</v>
      </c>
      <c r="N210">
        <v>8290</v>
      </c>
      <c r="O210">
        <v>0</v>
      </c>
      <c r="P210">
        <v>0</v>
      </c>
      <c r="R210">
        <v>0</v>
      </c>
      <c r="S210">
        <v>0</v>
      </c>
      <c r="T210" t="s">
        <v>320</v>
      </c>
      <c r="U210">
        <v>6</v>
      </c>
      <c r="V210" t="s">
        <v>87</v>
      </c>
      <c r="W210" t="s">
        <v>185</v>
      </c>
      <c r="X210" t="s">
        <v>123</v>
      </c>
      <c r="Y210" t="s">
        <v>89</v>
      </c>
      <c r="Z210">
        <v>1</v>
      </c>
      <c r="AA210">
        <f>IF(AND(D210&gt;=配装计算器!$I$29,D210&lt;=配装计算器!$I$30),1,0)</f>
        <v>1</v>
      </c>
      <c r="AB210">
        <f t="shared" si="56"/>
        <v>1</v>
      </c>
      <c r="AC210">
        <f t="shared" si="57"/>
        <v>0</v>
      </c>
      <c r="AD210">
        <f t="shared" si="58"/>
        <v>1</v>
      </c>
      <c r="AE210">
        <f t="shared" si="59"/>
        <v>0</v>
      </c>
      <c r="AF210">
        <f t="shared" si="60"/>
        <v>1</v>
      </c>
      <c r="AG210">
        <f t="shared" si="61"/>
        <v>0</v>
      </c>
      <c r="AH210">
        <f t="shared" si="62"/>
        <v>0</v>
      </c>
      <c r="AI210">
        <f t="shared" si="63"/>
        <v>1</v>
      </c>
      <c r="AJ210">
        <f t="shared" si="64"/>
        <v>1</v>
      </c>
      <c r="AK210">
        <f>SUM(AJ$2:$AJ210)</f>
        <v>209</v>
      </c>
    </row>
    <row r="211" spans="1:37">
      <c r="A211" t="s">
        <v>672</v>
      </c>
      <c r="B211" t="s">
        <v>754</v>
      </c>
      <c r="C211" t="s">
        <v>755</v>
      </c>
      <c r="D211">
        <v>30700</v>
      </c>
      <c r="E211" t="s">
        <v>756</v>
      </c>
      <c r="F211">
        <v>16854</v>
      </c>
      <c r="G211">
        <v>1277</v>
      </c>
      <c r="I211">
        <v>2082</v>
      </c>
      <c r="J211">
        <v>11492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4597</v>
      </c>
      <c r="R211">
        <v>0</v>
      </c>
      <c r="S211">
        <v>0</v>
      </c>
      <c r="T211" t="s">
        <v>93</v>
      </c>
      <c r="U211">
        <v>6</v>
      </c>
      <c r="V211" t="s">
        <v>145</v>
      </c>
      <c r="W211" t="s">
        <v>88</v>
      </c>
      <c r="X211" t="s">
        <v>94</v>
      </c>
      <c r="Y211" t="s">
        <v>89</v>
      </c>
      <c r="Z211">
        <v>2</v>
      </c>
      <c r="AA211">
        <f>IF(AND(D211&gt;=配装计算器!$I$29,D211&lt;=配装计算器!$I$30),1,0)</f>
        <v>1</v>
      </c>
      <c r="AB211">
        <f t="shared" si="56"/>
        <v>1</v>
      </c>
      <c r="AC211">
        <f t="shared" si="57"/>
        <v>0</v>
      </c>
      <c r="AD211">
        <f t="shared" si="58"/>
        <v>0</v>
      </c>
      <c r="AE211">
        <f t="shared" si="59"/>
        <v>0</v>
      </c>
      <c r="AF211">
        <f t="shared" si="60"/>
        <v>0</v>
      </c>
      <c r="AG211">
        <f t="shared" si="61"/>
        <v>0</v>
      </c>
      <c r="AH211">
        <f t="shared" si="62"/>
        <v>1</v>
      </c>
      <c r="AI211">
        <f t="shared" si="63"/>
        <v>0</v>
      </c>
      <c r="AJ211">
        <f t="shared" si="64"/>
        <v>1</v>
      </c>
      <c r="AK211">
        <f>SUM(AJ$2:$AJ211)</f>
        <v>210</v>
      </c>
    </row>
    <row r="212" spans="1:37">
      <c r="A212" t="s">
        <v>672</v>
      </c>
      <c r="B212" t="s">
        <v>757</v>
      </c>
      <c r="C212" t="s">
        <v>758</v>
      </c>
      <c r="D212">
        <v>30700</v>
      </c>
      <c r="E212" t="s">
        <v>759</v>
      </c>
      <c r="F212">
        <v>16854</v>
      </c>
      <c r="G212">
        <v>1375</v>
      </c>
      <c r="I212">
        <v>3123</v>
      </c>
      <c r="J212">
        <v>11492</v>
      </c>
      <c r="K212">
        <v>0</v>
      </c>
      <c r="L212">
        <v>0</v>
      </c>
      <c r="M212">
        <v>0</v>
      </c>
      <c r="N212">
        <v>9193</v>
      </c>
      <c r="O212">
        <v>0</v>
      </c>
      <c r="P212">
        <v>0</v>
      </c>
      <c r="R212">
        <v>0</v>
      </c>
      <c r="S212">
        <v>0</v>
      </c>
      <c r="T212" t="s">
        <v>102</v>
      </c>
      <c r="U212">
        <v>6</v>
      </c>
      <c r="V212" t="s">
        <v>327</v>
      </c>
      <c r="W212" t="s">
        <v>154</v>
      </c>
      <c r="X212" t="s">
        <v>94</v>
      </c>
      <c r="Y212" t="s">
        <v>89</v>
      </c>
      <c r="Z212">
        <v>1</v>
      </c>
      <c r="AA212">
        <f>IF(AND(D212&gt;=配装计算器!$I$29,D212&lt;=配装计算器!$I$30),1,0)</f>
        <v>1</v>
      </c>
      <c r="AB212">
        <f t="shared" si="56"/>
        <v>1</v>
      </c>
      <c r="AC212">
        <f t="shared" si="57"/>
        <v>0</v>
      </c>
      <c r="AD212">
        <f t="shared" si="58"/>
        <v>0</v>
      </c>
      <c r="AE212">
        <f t="shared" si="59"/>
        <v>0</v>
      </c>
      <c r="AF212">
        <f t="shared" si="60"/>
        <v>1</v>
      </c>
      <c r="AG212">
        <f t="shared" si="61"/>
        <v>0</v>
      </c>
      <c r="AH212">
        <f t="shared" si="62"/>
        <v>0</v>
      </c>
      <c r="AI212">
        <f t="shared" si="63"/>
        <v>0</v>
      </c>
      <c r="AJ212">
        <f t="shared" si="64"/>
        <v>1</v>
      </c>
      <c r="AK212">
        <f>SUM(AJ$2:$AJ212)</f>
        <v>211</v>
      </c>
    </row>
    <row r="213" spans="1:37">
      <c r="A213" t="s">
        <v>672</v>
      </c>
      <c r="B213" t="s">
        <v>760</v>
      </c>
      <c r="C213" t="s">
        <v>761</v>
      </c>
      <c r="D213">
        <v>32500</v>
      </c>
      <c r="E213" t="s">
        <v>762</v>
      </c>
      <c r="F213">
        <v>17843</v>
      </c>
      <c r="G213">
        <v>1456</v>
      </c>
      <c r="I213">
        <v>3306</v>
      </c>
      <c r="J213">
        <v>12165</v>
      </c>
      <c r="K213">
        <v>0</v>
      </c>
      <c r="L213">
        <v>0</v>
      </c>
      <c r="M213">
        <v>0</v>
      </c>
      <c r="N213">
        <v>9732</v>
      </c>
      <c r="O213">
        <v>0</v>
      </c>
      <c r="P213">
        <v>0</v>
      </c>
      <c r="R213">
        <v>0</v>
      </c>
      <c r="S213">
        <v>0</v>
      </c>
      <c r="T213" t="s">
        <v>102</v>
      </c>
      <c r="U213">
        <v>6</v>
      </c>
      <c r="V213" t="s">
        <v>149</v>
      </c>
      <c r="W213" t="s">
        <v>154</v>
      </c>
      <c r="X213" t="s">
        <v>94</v>
      </c>
      <c r="Y213" t="s">
        <v>89</v>
      </c>
      <c r="Z213">
        <v>1</v>
      </c>
      <c r="AA213">
        <f>IF(AND(D213&gt;=配装计算器!$I$29,D213&lt;=配装计算器!$I$30),1,0)</f>
        <v>1</v>
      </c>
      <c r="AB213">
        <f t="shared" si="56"/>
        <v>1</v>
      </c>
      <c r="AC213">
        <f t="shared" si="57"/>
        <v>0</v>
      </c>
      <c r="AD213">
        <f t="shared" si="58"/>
        <v>0</v>
      </c>
      <c r="AE213">
        <f t="shared" si="59"/>
        <v>0</v>
      </c>
      <c r="AF213">
        <f t="shared" si="60"/>
        <v>1</v>
      </c>
      <c r="AG213">
        <f t="shared" si="61"/>
        <v>0</v>
      </c>
      <c r="AH213">
        <f t="shared" si="62"/>
        <v>0</v>
      </c>
      <c r="AI213">
        <f t="shared" si="63"/>
        <v>0</v>
      </c>
      <c r="AJ213">
        <f t="shared" si="64"/>
        <v>1</v>
      </c>
      <c r="AK213">
        <f>SUM(AJ$2:$AJ213)</f>
        <v>212</v>
      </c>
    </row>
    <row r="214" spans="1:37">
      <c r="A214" t="s">
        <v>672</v>
      </c>
      <c r="B214" t="s">
        <v>763</v>
      </c>
      <c r="C214" t="s">
        <v>764</v>
      </c>
      <c r="D214">
        <v>35300</v>
      </c>
      <c r="E214" t="s">
        <v>765</v>
      </c>
      <c r="F214">
        <v>19380</v>
      </c>
      <c r="G214">
        <v>1581</v>
      </c>
      <c r="I214">
        <v>3591</v>
      </c>
      <c r="J214">
        <v>0</v>
      </c>
      <c r="K214">
        <v>0</v>
      </c>
      <c r="L214">
        <v>13213</v>
      </c>
      <c r="M214">
        <v>0</v>
      </c>
      <c r="N214">
        <v>10571</v>
      </c>
      <c r="O214">
        <v>0</v>
      </c>
      <c r="P214">
        <v>0</v>
      </c>
      <c r="R214">
        <v>0</v>
      </c>
      <c r="S214">
        <v>0</v>
      </c>
      <c r="T214" t="s">
        <v>122</v>
      </c>
      <c r="U214">
        <v>6</v>
      </c>
      <c r="V214" t="s">
        <v>103</v>
      </c>
      <c r="W214" t="s">
        <v>123</v>
      </c>
      <c r="X214" t="s">
        <v>94</v>
      </c>
      <c r="Y214" t="s">
        <v>89</v>
      </c>
      <c r="Z214">
        <v>1</v>
      </c>
      <c r="AA214">
        <f>IF(AND(D214&gt;=配装计算器!$I$29,D214&lt;=配装计算器!$I$30),1,0)</f>
        <v>1</v>
      </c>
      <c r="AB214">
        <f t="shared" si="56"/>
        <v>0</v>
      </c>
      <c r="AC214">
        <f t="shared" si="57"/>
        <v>0</v>
      </c>
      <c r="AD214">
        <f t="shared" si="58"/>
        <v>1</v>
      </c>
      <c r="AE214">
        <f t="shared" si="59"/>
        <v>0</v>
      </c>
      <c r="AF214">
        <f t="shared" si="60"/>
        <v>1</v>
      </c>
      <c r="AG214">
        <f t="shared" si="61"/>
        <v>0</v>
      </c>
      <c r="AH214">
        <f t="shared" si="62"/>
        <v>0</v>
      </c>
      <c r="AI214">
        <f t="shared" si="63"/>
        <v>0</v>
      </c>
      <c r="AJ214">
        <f t="shared" si="64"/>
        <v>1</v>
      </c>
      <c r="AK214">
        <f>SUM(AJ$2:$AJ214)</f>
        <v>213</v>
      </c>
    </row>
    <row r="215" spans="1:37">
      <c r="A215" t="s">
        <v>672</v>
      </c>
      <c r="B215" t="s">
        <v>766</v>
      </c>
      <c r="C215" t="s">
        <v>767</v>
      </c>
      <c r="D215">
        <v>35300</v>
      </c>
      <c r="E215" t="s">
        <v>768</v>
      </c>
      <c r="F215">
        <v>19380</v>
      </c>
      <c r="G215">
        <v>1581</v>
      </c>
      <c r="I215">
        <v>3591</v>
      </c>
      <c r="J215">
        <v>0</v>
      </c>
      <c r="K215">
        <v>0</v>
      </c>
      <c r="L215">
        <v>0</v>
      </c>
      <c r="M215">
        <v>13213</v>
      </c>
      <c r="N215">
        <v>10571</v>
      </c>
      <c r="O215">
        <v>0</v>
      </c>
      <c r="P215">
        <v>0</v>
      </c>
      <c r="R215">
        <v>0</v>
      </c>
      <c r="S215">
        <v>0</v>
      </c>
      <c r="T215" t="s">
        <v>107</v>
      </c>
      <c r="U215">
        <v>6</v>
      </c>
      <c r="V215" t="s">
        <v>87</v>
      </c>
      <c r="W215" t="s">
        <v>135</v>
      </c>
      <c r="X215" t="s">
        <v>88</v>
      </c>
      <c r="Y215" t="s">
        <v>89</v>
      </c>
      <c r="Z215">
        <v>1</v>
      </c>
      <c r="AA215">
        <f>IF(AND(D215&gt;=配装计算器!$I$29,D215&lt;=配装计算器!$I$30),1,0)</f>
        <v>1</v>
      </c>
      <c r="AB215">
        <f t="shared" si="56"/>
        <v>0</v>
      </c>
      <c r="AC215">
        <f t="shared" si="57"/>
        <v>0</v>
      </c>
      <c r="AD215">
        <f t="shared" si="58"/>
        <v>0</v>
      </c>
      <c r="AE215">
        <f t="shared" si="59"/>
        <v>1</v>
      </c>
      <c r="AF215">
        <f t="shared" si="60"/>
        <v>1</v>
      </c>
      <c r="AG215">
        <f t="shared" si="61"/>
        <v>0</v>
      </c>
      <c r="AH215">
        <f t="shared" si="62"/>
        <v>0</v>
      </c>
      <c r="AI215">
        <f t="shared" si="63"/>
        <v>0</v>
      </c>
      <c r="AJ215">
        <f t="shared" si="64"/>
        <v>1</v>
      </c>
      <c r="AK215">
        <f>SUM(AJ$2:$AJ215)</f>
        <v>214</v>
      </c>
    </row>
    <row r="216" spans="1:37">
      <c r="A216" t="s">
        <v>672</v>
      </c>
      <c r="B216" t="s">
        <v>769</v>
      </c>
      <c r="C216" t="s">
        <v>770</v>
      </c>
      <c r="D216">
        <v>35300</v>
      </c>
      <c r="E216" t="s">
        <v>771</v>
      </c>
      <c r="F216">
        <v>19380</v>
      </c>
      <c r="G216">
        <v>1581</v>
      </c>
      <c r="I216">
        <v>3591</v>
      </c>
      <c r="J216">
        <v>0</v>
      </c>
      <c r="K216">
        <v>0</v>
      </c>
      <c r="L216">
        <v>0</v>
      </c>
      <c r="M216">
        <v>0</v>
      </c>
      <c r="N216">
        <v>10571</v>
      </c>
      <c r="O216">
        <v>13213</v>
      </c>
      <c r="P216">
        <v>0</v>
      </c>
      <c r="R216">
        <v>0</v>
      </c>
      <c r="S216">
        <v>0</v>
      </c>
      <c r="T216" t="s">
        <v>115</v>
      </c>
      <c r="U216">
        <v>6</v>
      </c>
      <c r="V216" t="s">
        <v>87</v>
      </c>
      <c r="W216" t="s">
        <v>154</v>
      </c>
      <c r="X216" t="s">
        <v>94</v>
      </c>
      <c r="Y216" t="s">
        <v>89</v>
      </c>
      <c r="Z216">
        <v>1</v>
      </c>
      <c r="AA216">
        <f>IF(AND(D216&gt;=配装计算器!$I$29,D216&lt;=配装计算器!$I$30),1,0)</f>
        <v>1</v>
      </c>
      <c r="AB216">
        <f t="shared" si="56"/>
        <v>0</v>
      </c>
      <c r="AC216">
        <f t="shared" si="57"/>
        <v>0</v>
      </c>
      <c r="AD216">
        <f t="shared" si="58"/>
        <v>0</v>
      </c>
      <c r="AE216">
        <f t="shared" si="59"/>
        <v>0</v>
      </c>
      <c r="AF216">
        <f t="shared" si="60"/>
        <v>1</v>
      </c>
      <c r="AG216">
        <f t="shared" si="61"/>
        <v>1</v>
      </c>
      <c r="AH216">
        <f t="shared" si="62"/>
        <v>0</v>
      </c>
      <c r="AI216">
        <f t="shared" si="63"/>
        <v>0</v>
      </c>
      <c r="AJ216">
        <f t="shared" si="64"/>
        <v>1</v>
      </c>
      <c r="AK216">
        <f>SUM(AJ$2:$AJ216)</f>
        <v>215</v>
      </c>
    </row>
    <row r="217" spans="1:37">
      <c r="A217" t="s">
        <v>672</v>
      </c>
      <c r="B217" t="s">
        <v>772</v>
      </c>
      <c r="C217" t="s">
        <v>773</v>
      </c>
      <c r="D217">
        <v>35300</v>
      </c>
      <c r="E217" t="s">
        <v>774</v>
      </c>
      <c r="F217">
        <v>19380</v>
      </c>
      <c r="G217">
        <v>1581</v>
      </c>
      <c r="I217">
        <v>3591</v>
      </c>
      <c r="J217">
        <v>13213</v>
      </c>
      <c r="K217">
        <v>0</v>
      </c>
      <c r="L217">
        <v>0</v>
      </c>
      <c r="M217">
        <v>0</v>
      </c>
      <c r="N217">
        <v>10571</v>
      </c>
      <c r="O217">
        <v>0</v>
      </c>
      <c r="P217">
        <v>0</v>
      </c>
      <c r="R217">
        <v>0</v>
      </c>
      <c r="S217">
        <v>0</v>
      </c>
      <c r="T217" t="s">
        <v>102</v>
      </c>
      <c r="U217">
        <v>6</v>
      </c>
      <c r="V217" t="s">
        <v>87</v>
      </c>
      <c r="W217" t="s">
        <v>154</v>
      </c>
      <c r="X217" t="s">
        <v>94</v>
      </c>
      <c r="Y217" t="s">
        <v>89</v>
      </c>
      <c r="Z217">
        <v>1</v>
      </c>
      <c r="AA217">
        <f>IF(AND(D217&gt;=配装计算器!$I$29,D217&lt;=配装计算器!$I$30),1,0)</f>
        <v>1</v>
      </c>
      <c r="AB217">
        <f t="shared" si="56"/>
        <v>1</v>
      </c>
      <c r="AC217">
        <f t="shared" si="57"/>
        <v>0</v>
      </c>
      <c r="AD217">
        <f t="shared" si="58"/>
        <v>0</v>
      </c>
      <c r="AE217">
        <f t="shared" si="59"/>
        <v>0</v>
      </c>
      <c r="AF217">
        <f t="shared" si="60"/>
        <v>1</v>
      </c>
      <c r="AG217">
        <f t="shared" si="61"/>
        <v>0</v>
      </c>
      <c r="AH217">
        <f t="shared" si="62"/>
        <v>0</v>
      </c>
      <c r="AI217">
        <f t="shared" si="63"/>
        <v>0</v>
      </c>
      <c r="AJ217">
        <f t="shared" si="64"/>
        <v>1</v>
      </c>
      <c r="AK217">
        <f>SUM(AJ$2:$AJ217)</f>
        <v>216</v>
      </c>
    </row>
    <row r="218" spans="1:37">
      <c r="A218" t="s">
        <v>672</v>
      </c>
      <c r="B218" t="s">
        <v>775</v>
      </c>
      <c r="C218" t="s">
        <v>776</v>
      </c>
      <c r="D218">
        <v>35300</v>
      </c>
      <c r="E218" t="s">
        <v>777</v>
      </c>
      <c r="F218">
        <v>19380</v>
      </c>
      <c r="G218">
        <v>1581</v>
      </c>
      <c r="I218">
        <v>3591</v>
      </c>
      <c r="J218">
        <v>0</v>
      </c>
      <c r="K218">
        <v>0</v>
      </c>
      <c r="L218">
        <v>13213</v>
      </c>
      <c r="M218">
        <v>0</v>
      </c>
      <c r="N218">
        <v>10571</v>
      </c>
      <c r="O218">
        <v>0</v>
      </c>
      <c r="P218">
        <v>0</v>
      </c>
      <c r="R218">
        <v>0</v>
      </c>
      <c r="S218">
        <v>0</v>
      </c>
      <c r="T218" t="s">
        <v>122</v>
      </c>
      <c r="U218">
        <v>6</v>
      </c>
      <c r="V218" t="s">
        <v>262</v>
      </c>
      <c r="W218" t="s">
        <v>123</v>
      </c>
      <c r="X218" t="s">
        <v>94</v>
      </c>
      <c r="Y218" t="s">
        <v>89</v>
      </c>
      <c r="Z218">
        <v>1</v>
      </c>
      <c r="AA218">
        <f>IF(AND(D218&gt;=配装计算器!$I$29,D218&lt;=配装计算器!$I$30),1,0)</f>
        <v>1</v>
      </c>
      <c r="AB218">
        <f t="shared" si="56"/>
        <v>0</v>
      </c>
      <c r="AC218">
        <f t="shared" si="57"/>
        <v>0</v>
      </c>
      <c r="AD218">
        <f t="shared" si="58"/>
        <v>1</v>
      </c>
      <c r="AE218">
        <f t="shared" si="59"/>
        <v>0</v>
      </c>
      <c r="AF218">
        <f t="shared" si="60"/>
        <v>1</v>
      </c>
      <c r="AG218">
        <f t="shared" si="61"/>
        <v>0</v>
      </c>
      <c r="AH218">
        <f t="shared" si="62"/>
        <v>0</v>
      </c>
      <c r="AI218">
        <f t="shared" si="63"/>
        <v>0</v>
      </c>
      <c r="AJ218">
        <f t="shared" si="64"/>
        <v>1</v>
      </c>
      <c r="AK218">
        <f>SUM(AJ$2:$AJ218)</f>
        <v>217</v>
      </c>
    </row>
    <row r="219" spans="1:37">
      <c r="A219" t="s">
        <v>672</v>
      </c>
      <c r="B219" t="s">
        <v>778</v>
      </c>
      <c r="C219" t="s">
        <v>779</v>
      </c>
      <c r="D219">
        <v>35300</v>
      </c>
      <c r="E219" t="s">
        <v>780</v>
      </c>
      <c r="F219">
        <v>19380</v>
      </c>
      <c r="G219">
        <v>1581</v>
      </c>
      <c r="I219">
        <v>3591</v>
      </c>
      <c r="J219">
        <v>0</v>
      </c>
      <c r="K219">
        <v>0</v>
      </c>
      <c r="L219">
        <v>0</v>
      </c>
      <c r="M219">
        <v>13213</v>
      </c>
      <c r="N219">
        <v>10571</v>
      </c>
      <c r="O219">
        <v>0</v>
      </c>
      <c r="P219">
        <v>0</v>
      </c>
      <c r="R219">
        <v>0</v>
      </c>
      <c r="S219">
        <v>0</v>
      </c>
      <c r="T219" t="s">
        <v>107</v>
      </c>
      <c r="U219">
        <v>6</v>
      </c>
      <c r="V219" t="s">
        <v>130</v>
      </c>
      <c r="W219" t="s">
        <v>135</v>
      </c>
      <c r="X219" t="s">
        <v>88</v>
      </c>
      <c r="Y219" t="s">
        <v>89</v>
      </c>
      <c r="Z219">
        <v>1</v>
      </c>
      <c r="AA219">
        <f>IF(AND(D219&gt;=配装计算器!$I$29,D219&lt;=配装计算器!$I$30),1,0)</f>
        <v>1</v>
      </c>
      <c r="AB219">
        <f t="shared" si="56"/>
        <v>0</v>
      </c>
      <c r="AC219">
        <f t="shared" si="57"/>
        <v>0</v>
      </c>
      <c r="AD219">
        <f t="shared" si="58"/>
        <v>0</v>
      </c>
      <c r="AE219">
        <f t="shared" si="59"/>
        <v>1</v>
      </c>
      <c r="AF219">
        <f t="shared" si="60"/>
        <v>1</v>
      </c>
      <c r="AG219">
        <f t="shared" si="61"/>
        <v>0</v>
      </c>
      <c r="AH219">
        <f t="shared" si="62"/>
        <v>0</v>
      </c>
      <c r="AI219">
        <f t="shared" si="63"/>
        <v>0</v>
      </c>
      <c r="AJ219">
        <f t="shared" si="64"/>
        <v>1</v>
      </c>
      <c r="AK219">
        <f>SUM(AJ$2:$AJ219)</f>
        <v>218</v>
      </c>
    </row>
    <row r="220" spans="1:37">
      <c r="A220" t="s">
        <v>672</v>
      </c>
      <c r="B220" t="s">
        <v>781</v>
      </c>
      <c r="C220" t="s">
        <v>782</v>
      </c>
      <c r="D220">
        <v>35300</v>
      </c>
      <c r="E220" t="s">
        <v>783</v>
      </c>
      <c r="F220">
        <v>19380</v>
      </c>
      <c r="G220">
        <v>0</v>
      </c>
      <c r="I220">
        <v>2394</v>
      </c>
      <c r="J220">
        <v>0</v>
      </c>
      <c r="K220">
        <v>0</v>
      </c>
      <c r="L220">
        <v>0</v>
      </c>
      <c r="M220">
        <v>34355</v>
      </c>
      <c r="N220">
        <v>10571</v>
      </c>
      <c r="O220">
        <v>0</v>
      </c>
      <c r="P220">
        <v>0</v>
      </c>
      <c r="R220">
        <v>0</v>
      </c>
      <c r="S220">
        <v>0</v>
      </c>
      <c r="T220" t="s">
        <v>198</v>
      </c>
      <c r="U220">
        <v>6</v>
      </c>
      <c r="V220" t="s">
        <v>87</v>
      </c>
      <c r="W220" t="s">
        <v>154</v>
      </c>
      <c r="X220" t="s">
        <v>108</v>
      </c>
      <c r="Y220" t="s">
        <v>89</v>
      </c>
      <c r="Z220">
        <v>1</v>
      </c>
      <c r="AA220">
        <f>IF(AND(D220&gt;=配装计算器!$I$29,D220&lt;=配装计算器!$I$30),1,0)</f>
        <v>1</v>
      </c>
      <c r="AB220">
        <f t="shared" si="56"/>
        <v>0</v>
      </c>
      <c r="AC220">
        <f t="shared" si="57"/>
        <v>0</v>
      </c>
      <c r="AD220">
        <f t="shared" si="58"/>
        <v>0</v>
      </c>
      <c r="AE220">
        <f t="shared" si="59"/>
        <v>1</v>
      </c>
      <c r="AF220">
        <f t="shared" si="60"/>
        <v>1</v>
      </c>
      <c r="AG220">
        <f t="shared" si="61"/>
        <v>0</v>
      </c>
      <c r="AH220">
        <f t="shared" si="62"/>
        <v>0</v>
      </c>
      <c r="AI220">
        <f t="shared" si="63"/>
        <v>1</v>
      </c>
      <c r="AJ220">
        <f t="shared" si="64"/>
        <v>1</v>
      </c>
      <c r="AK220">
        <f>SUM(AJ$2:$AJ220)</f>
        <v>219</v>
      </c>
    </row>
    <row r="221" spans="1:37">
      <c r="A221" t="s">
        <v>672</v>
      </c>
      <c r="B221" t="s">
        <v>784</v>
      </c>
      <c r="C221" t="s">
        <v>785</v>
      </c>
      <c r="D221">
        <v>35300</v>
      </c>
      <c r="E221" t="s">
        <v>786</v>
      </c>
      <c r="F221">
        <v>19380</v>
      </c>
      <c r="G221">
        <v>0</v>
      </c>
      <c r="I221">
        <v>8594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22991</v>
      </c>
      <c r="P221">
        <v>0</v>
      </c>
      <c r="R221">
        <v>0</v>
      </c>
      <c r="S221">
        <v>0</v>
      </c>
      <c r="T221" t="s">
        <v>566</v>
      </c>
      <c r="U221">
        <v>6</v>
      </c>
      <c r="V221" t="s">
        <v>87</v>
      </c>
      <c r="W221" t="s">
        <v>94</v>
      </c>
      <c r="X221" t="s">
        <v>154</v>
      </c>
      <c r="Y221" t="s">
        <v>89</v>
      </c>
      <c r="Z221">
        <v>1</v>
      </c>
      <c r="AA221">
        <f>IF(AND(D221&gt;=配装计算器!$I$29,D221&lt;=配装计算器!$I$30),1,0)</f>
        <v>1</v>
      </c>
      <c r="AB221">
        <f t="shared" si="56"/>
        <v>0</v>
      </c>
      <c r="AC221">
        <f t="shared" si="57"/>
        <v>0</v>
      </c>
      <c r="AD221">
        <f t="shared" si="58"/>
        <v>0</v>
      </c>
      <c r="AE221">
        <f t="shared" si="59"/>
        <v>0</v>
      </c>
      <c r="AF221">
        <f t="shared" si="60"/>
        <v>0</v>
      </c>
      <c r="AG221">
        <f t="shared" si="61"/>
        <v>1</v>
      </c>
      <c r="AH221">
        <f t="shared" si="62"/>
        <v>0</v>
      </c>
      <c r="AI221">
        <f t="shared" si="63"/>
        <v>1</v>
      </c>
      <c r="AJ221">
        <f t="shared" si="64"/>
        <v>1</v>
      </c>
      <c r="AK221">
        <f>SUM(AJ$2:$AJ221)</f>
        <v>220</v>
      </c>
    </row>
    <row r="222" spans="1:37">
      <c r="A222" t="s">
        <v>672</v>
      </c>
      <c r="B222" t="s">
        <v>787</v>
      </c>
      <c r="C222" t="s">
        <v>788</v>
      </c>
      <c r="D222">
        <v>35300</v>
      </c>
      <c r="E222" t="s">
        <v>789</v>
      </c>
      <c r="F222">
        <v>19380</v>
      </c>
      <c r="G222">
        <v>0</v>
      </c>
      <c r="I222">
        <v>2394</v>
      </c>
      <c r="J222">
        <v>0</v>
      </c>
      <c r="K222">
        <v>0</v>
      </c>
      <c r="L222">
        <v>34355</v>
      </c>
      <c r="M222">
        <v>0</v>
      </c>
      <c r="N222">
        <v>10571</v>
      </c>
      <c r="O222">
        <v>0</v>
      </c>
      <c r="P222">
        <v>0</v>
      </c>
      <c r="R222">
        <v>0</v>
      </c>
      <c r="S222">
        <v>0</v>
      </c>
      <c r="T222" t="s">
        <v>153</v>
      </c>
      <c r="U222">
        <v>6</v>
      </c>
      <c r="V222" t="s">
        <v>87</v>
      </c>
      <c r="W222" t="s">
        <v>135</v>
      </c>
      <c r="X222" t="s">
        <v>123</v>
      </c>
      <c r="Y222" t="s">
        <v>89</v>
      </c>
      <c r="Z222">
        <v>1</v>
      </c>
      <c r="AA222">
        <f>IF(AND(D222&gt;=配装计算器!$I$29,D222&lt;=配装计算器!$I$30),1,0)</f>
        <v>1</v>
      </c>
      <c r="AB222">
        <f t="shared" si="56"/>
        <v>0</v>
      </c>
      <c r="AC222">
        <f t="shared" si="57"/>
        <v>0</v>
      </c>
      <c r="AD222">
        <f t="shared" si="58"/>
        <v>1</v>
      </c>
      <c r="AE222">
        <f t="shared" si="59"/>
        <v>0</v>
      </c>
      <c r="AF222">
        <f t="shared" si="60"/>
        <v>1</v>
      </c>
      <c r="AG222">
        <f t="shared" si="61"/>
        <v>0</v>
      </c>
      <c r="AH222">
        <f t="shared" si="62"/>
        <v>0</v>
      </c>
      <c r="AI222">
        <f t="shared" si="63"/>
        <v>1</v>
      </c>
      <c r="AJ222">
        <f t="shared" si="64"/>
        <v>1</v>
      </c>
      <c r="AK222">
        <f>SUM(AJ$2:$AJ222)</f>
        <v>221</v>
      </c>
    </row>
    <row r="223" spans="1:37">
      <c r="A223" t="s">
        <v>672</v>
      </c>
      <c r="B223" t="s">
        <v>790</v>
      </c>
      <c r="C223" t="s">
        <v>791</v>
      </c>
      <c r="D223">
        <v>35300</v>
      </c>
      <c r="E223" t="s">
        <v>792</v>
      </c>
      <c r="F223">
        <v>19380</v>
      </c>
      <c r="G223">
        <v>0</v>
      </c>
      <c r="I223">
        <v>6942</v>
      </c>
      <c r="J223">
        <v>0</v>
      </c>
      <c r="K223">
        <v>0</v>
      </c>
      <c r="L223">
        <v>13213</v>
      </c>
      <c r="M223">
        <v>0</v>
      </c>
      <c r="N223">
        <v>0</v>
      </c>
      <c r="O223">
        <v>0</v>
      </c>
      <c r="P223">
        <v>0</v>
      </c>
      <c r="R223">
        <v>0</v>
      </c>
      <c r="S223">
        <v>0</v>
      </c>
      <c r="T223" t="s">
        <v>719</v>
      </c>
      <c r="U223">
        <v>6</v>
      </c>
      <c r="V223" t="s">
        <v>87</v>
      </c>
      <c r="W223" t="s">
        <v>135</v>
      </c>
      <c r="X223" t="s">
        <v>108</v>
      </c>
      <c r="Y223" t="s">
        <v>89</v>
      </c>
      <c r="Z223">
        <v>1</v>
      </c>
      <c r="AA223">
        <f>IF(AND(D223&gt;=配装计算器!$I$29,D223&lt;=配装计算器!$I$30),1,0)</f>
        <v>1</v>
      </c>
      <c r="AB223">
        <f t="shared" si="56"/>
        <v>0</v>
      </c>
      <c r="AC223">
        <f t="shared" si="57"/>
        <v>0</v>
      </c>
      <c r="AD223">
        <f t="shared" si="58"/>
        <v>1</v>
      </c>
      <c r="AE223">
        <f t="shared" si="59"/>
        <v>0</v>
      </c>
      <c r="AF223">
        <f t="shared" si="60"/>
        <v>0</v>
      </c>
      <c r="AG223">
        <f t="shared" si="61"/>
        <v>0</v>
      </c>
      <c r="AH223">
        <f t="shared" si="62"/>
        <v>0</v>
      </c>
      <c r="AI223">
        <f t="shared" si="63"/>
        <v>1</v>
      </c>
      <c r="AJ223">
        <f t="shared" si="64"/>
        <v>1</v>
      </c>
      <c r="AK223">
        <f>SUM(AJ$2:$AJ223)</f>
        <v>222</v>
      </c>
    </row>
    <row r="224" spans="1:37">
      <c r="A224" t="s">
        <v>672</v>
      </c>
      <c r="B224" t="s">
        <v>793</v>
      </c>
      <c r="C224" t="s">
        <v>794</v>
      </c>
      <c r="D224">
        <v>35300</v>
      </c>
      <c r="E224" t="s">
        <v>795</v>
      </c>
      <c r="F224">
        <v>19380</v>
      </c>
      <c r="G224">
        <v>0</v>
      </c>
      <c r="I224">
        <v>5626</v>
      </c>
      <c r="J224">
        <v>8809</v>
      </c>
      <c r="K224">
        <v>0</v>
      </c>
      <c r="L224">
        <v>8809</v>
      </c>
      <c r="M224">
        <v>8809</v>
      </c>
      <c r="N224">
        <v>8809</v>
      </c>
      <c r="O224">
        <v>0</v>
      </c>
      <c r="P224">
        <v>0</v>
      </c>
      <c r="R224">
        <v>0</v>
      </c>
      <c r="S224">
        <v>0</v>
      </c>
      <c r="T224" t="s">
        <v>504</v>
      </c>
      <c r="U224">
        <v>6</v>
      </c>
      <c r="V224" t="s">
        <v>87</v>
      </c>
      <c r="W224" t="s">
        <v>94</v>
      </c>
      <c r="X224" t="s">
        <v>154</v>
      </c>
      <c r="Y224" t="s">
        <v>89</v>
      </c>
      <c r="Z224">
        <v>1</v>
      </c>
      <c r="AA224">
        <f>IF(AND(D224&gt;=配装计算器!$I$29,D224&lt;=配装计算器!$I$30),1,0)</f>
        <v>1</v>
      </c>
      <c r="AB224">
        <f t="shared" si="56"/>
        <v>1</v>
      </c>
      <c r="AC224">
        <f t="shared" si="57"/>
        <v>0</v>
      </c>
      <c r="AD224">
        <f t="shared" si="58"/>
        <v>1</v>
      </c>
      <c r="AE224">
        <f t="shared" si="59"/>
        <v>1</v>
      </c>
      <c r="AF224">
        <f t="shared" si="60"/>
        <v>1</v>
      </c>
      <c r="AG224">
        <f t="shared" si="61"/>
        <v>0</v>
      </c>
      <c r="AH224">
        <f t="shared" si="62"/>
        <v>0</v>
      </c>
      <c r="AI224">
        <f t="shared" si="63"/>
        <v>1</v>
      </c>
      <c r="AJ224">
        <f t="shared" si="64"/>
        <v>1</v>
      </c>
      <c r="AK224">
        <f>SUM(AJ$2:$AJ224)</f>
        <v>223</v>
      </c>
    </row>
    <row r="225" spans="1:37">
      <c r="A225" t="s">
        <v>672</v>
      </c>
      <c r="B225" t="s">
        <v>796</v>
      </c>
      <c r="C225" t="s">
        <v>797</v>
      </c>
      <c r="D225">
        <v>35300</v>
      </c>
      <c r="E225" t="s">
        <v>798</v>
      </c>
      <c r="F225">
        <v>19380</v>
      </c>
      <c r="G225">
        <v>0</v>
      </c>
      <c r="I225">
        <v>2394</v>
      </c>
      <c r="J225">
        <v>34355</v>
      </c>
      <c r="K225">
        <v>0</v>
      </c>
      <c r="L225">
        <v>0</v>
      </c>
      <c r="M225">
        <v>0</v>
      </c>
      <c r="N225">
        <v>10571</v>
      </c>
      <c r="O225">
        <v>0</v>
      </c>
      <c r="P225">
        <v>0</v>
      </c>
      <c r="R225">
        <v>0</v>
      </c>
      <c r="S225">
        <v>0</v>
      </c>
      <c r="T225" t="s">
        <v>184</v>
      </c>
      <c r="U225">
        <v>6</v>
      </c>
      <c r="V225" t="s">
        <v>87</v>
      </c>
      <c r="W225" t="s">
        <v>123</v>
      </c>
      <c r="X225" t="s">
        <v>108</v>
      </c>
      <c r="Y225" t="s">
        <v>89</v>
      </c>
      <c r="Z225">
        <v>1</v>
      </c>
      <c r="AA225">
        <f>IF(AND(D225&gt;=配装计算器!$I$29,D225&lt;=配装计算器!$I$30),1,0)</f>
        <v>1</v>
      </c>
      <c r="AB225">
        <f t="shared" si="56"/>
        <v>1</v>
      </c>
      <c r="AC225">
        <f t="shared" si="57"/>
        <v>0</v>
      </c>
      <c r="AD225">
        <f t="shared" si="58"/>
        <v>0</v>
      </c>
      <c r="AE225">
        <f t="shared" si="59"/>
        <v>0</v>
      </c>
      <c r="AF225">
        <f t="shared" si="60"/>
        <v>1</v>
      </c>
      <c r="AG225">
        <f t="shared" si="61"/>
        <v>0</v>
      </c>
      <c r="AH225">
        <f t="shared" si="62"/>
        <v>0</v>
      </c>
      <c r="AI225">
        <f t="shared" si="63"/>
        <v>1</v>
      </c>
      <c r="AJ225">
        <f t="shared" si="64"/>
        <v>1</v>
      </c>
      <c r="AK225">
        <f>SUM(AJ$2:$AJ225)</f>
        <v>224</v>
      </c>
    </row>
    <row r="226" spans="1:37">
      <c r="A226" t="s">
        <v>672</v>
      </c>
      <c r="B226" t="s">
        <v>799</v>
      </c>
      <c r="C226" t="s">
        <v>800</v>
      </c>
      <c r="D226">
        <v>35300</v>
      </c>
      <c r="E226" t="s">
        <v>801</v>
      </c>
      <c r="F226">
        <v>19380</v>
      </c>
      <c r="G226">
        <v>0</v>
      </c>
      <c r="I226">
        <v>6942</v>
      </c>
      <c r="J226">
        <v>13213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0</v>
      </c>
      <c r="S226">
        <v>0</v>
      </c>
      <c r="T226" t="s">
        <v>729</v>
      </c>
      <c r="U226">
        <v>6</v>
      </c>
      <c r="V226" t="s">
        <v>87</v>
      </c>
      <c r="W226" t="s">
        <v>185</v>
      </c>
      <c r="X226" t="s">
        <v>108</v>
      </c>
      <c r="Y226" t="s">
        <v>89</v>
      </c>
      <c r="Z226">
        <v>1</v>
      </c>
      <c r="AA226">
        <f>IF(AND(D226&gt;=配装计算器!$I$29,D226&lt;=配装计算器!$I$30),1,0)</f>
        <v>1</v>
      </c>
      <c r="AB226">
        <f t="shared" si="56"/>
        <v>1</v>
      </c>
      <c r="AC226">
        <f t="shared" si="57"/>
        <v>0</v>
      </c>
      <c r="AD226">
        <f t="shared" si="58"/>
        <v>0</v>
      </c>
      <c r="AE226">
        <f t="shared" si="59"/>
        <v>0</v>
      </c>
      <c r="AF226">
        <f t="shared" si="60"/>
        <v>0</v>
      </c>
      <c r="AG226">
        <f t="shared" si="61"/>
        <v>0</v>
      </c>
      <c r="AH226">
        <f t="shared" si="62"/>
        <v>0</v>
      </c>
      <c r="AI226">
        <f t="shared" si="63"/>
        <v>1</v>
      </c>
      <c r="AJ226">
        <f t="shared" si="64"/>
        <v>1</v>
      </c>
      <c r="AK226">
        <f>SUM(AJ$2:$AJ226)</f>
        <v>225</v>
      </c>
    </row>
    <row r="227" spans="1:37">
      <c r="A227" t="s">
        <v>672</v>
      </c>
      <c r="B227" t="s">
        <v>802</v>
      </c>
      <c r="C227" t="s">
        <v>803</v>
      </c>
      <c r="D227">
        <v>35300</v>
      </c>
      <c r="E227" t="s">
        <v>804</v>
      </c>
      <c r="F227">
        <v>19380</v>
      </c>
      <c r="G227">
        <v>0</v>
      </c>
      <c r="I227">
        <v>4788</v>
      </c>
      <c r="J227">
        <v>0</v>
      </c>
      <c r="K227">
        <v>0</v>
      </c>
      <c r="L227">
        <v>0</v>
      </c>
      <c r="M227">
        <v>24225</v>
      </c>
      <c r="N227">
        <v>13213</v>
      </c>
      <c r="O227">
        <v>0</v>
      </c>
      <c r="P227">
        <v>0</v>
      </c>
      <c r="R227">
        <v>0</v>
      </c>
      <c r="S227">
        <v>0</v>
      </c>
      <c r="T227" t="s">
        <v>292</v>
      </c>
      <c r="U227">
        <v>6</v>
      </c>
      <c r="V227" t="s">
        <v>87</v>
      </c>
      <c r="W227" t="s">
        <v>154</v>
      </c>
      <c r="X227" t="s">
        <v>108</v>
      </c>
      <c r="Y227" t="s">
        <v>89</v>
      </c>
      <c r="Z227">
        <v>1</v>
      </c>
      <c r="AA227">
        <f>IF(AND(D227&gt;=配装计算器!$I$29,D227&lt;=配装计算器!$I$30),1,0)</f>
        <v>1</v>
      </c>
      <c r="AB227">
        <f t="shared" si="56"/>
        <v>0</v>
      </c>
      <c r="AC227">
        <f t="shared" si="57"/>
        <v>0</v>
      </c>
      <c r="AD227">
        <f t="shared" si="58"/>
        <v>0</v>
      </c>
      <c r="AE227">
        <f t="shared" si="59"/>
        <v>1</v>
      </c>
      <c r="AF227">
        <f t="shared" si="60"/>
        <v>1</v>
      </c>
      <c r="AG227">
        <f t="shared" si="61"/>
        <v>0</v>
      </c>
      <c r="AH227">
        <f t="shared" si="62"/>
        <v>0</v>
      </c>
      <c r="AI227">
        <f t="shared" si="63"/>
        <v>1</v>
      </c>
      <c r="AJ227">
        <f t="shared" si="64"/>
        <v>1</v>
      </c>
      <c r="AK227">
        <f>SUM(AJ$2:$AJ227)</f>
        <v>226</v>
      </c>
    </row>
    <row r="228" spans="1:37">
      <c r="A228" t="s">
        <v>672</v>
      </c>
      <c r="B228" t="s">
        <v>805</v>
      </c>
      <c r="C228" t="s">
        <v>806</v>
      </c>
      <c r="D228">
        <v>35300</v>
      </c>
      <c r="E228" t="s">
        <v>807</v>
      </c>
      <c r="F228">
        <v>19380</v>
      </c>
      <c r="G228">
        <v>0</v>
      </c>
      <c r="I228">
        <v>6942</v>
      </c>
      <c r="J228">
        <v>0</v>
      </c>
      <c r="K228">
        <v>0</v>
      </c>
      <c r="L228">
        <v>9690</v>
      </c>
      <c r="M228">
        <v>9690</v>
      </c>
      <c r="N228">
        <v>9690</v>
      </c>
      <c r="O228">
        <v>0</v>
      </c>
      <c r="P228">
        <v>0</v>
      </c>
      <c r="R228">
        <v>0</v>
      </c>
      <c r="S228">
        <v>0</v>
      </c>
      <c r="T228" t="s">
        <v>296</v>
      </c>
      <c r="U228">
        <v>6</v>
      </c>
      <c r="V228" t="s">
        <v>87</v>
      </c>
      <c r="W228" t="s">
        <v>135</v>
      </c>
      <c r="X228" t="s">
        <v>108</v>
      </c>
      <c r="Y228" t="s">
        <v>89</v>
      </c>
      <c r="Z228">
        <v>1</v>
      </c>
      <c r="AA228">
        <f>IF(AND(D228&gt;=配装计算器!$I$29,D228&lt;=配装计算器!$I$30),1,0)</f>
        <v>1</v>
      </c>
      <c r="AB228">
        <f t="shared" si="56"/>
        <v>0</v>
      </c>
      <c r="AC228">
        <f t="shared" si="57"/>
        <v>0</v>
      </c>
      <c r="AD228">
        <f t="shared" si="58"/>
        <v>1</v>
      </c>
      <c r="AE228">
        <f t="shared" si="59"/>
        <v>1</v>
      </c>
      <c r="AF228">
        <f t="shared" si="60"/>
        <v>1</v>
      </c>
      <c r="AG228">
        <f t="shared" si="61"/>
        <v>0</v>
      </c>
      <c r="AH228">
        <f t="shared" si="62"/>
        <v>0</v>
      </c>
      <c r="AI228">
        <f t="shared" si="63"/>
        <v>1</v>
      </c>
      <c r="AJ228">
        <f t="shared" si="64"/>
        <v>1</v>
      </c>
      <c r="AK228">
        <f>SUM(AJ$2:$AJ228)</f>
        <v>227</v>
      </c>
    </row>
    <row r="229" spans="1:37">
      <c r="A229" t="s">
        <v>672</v>
      </c>
      <c r="B229" t="s">
        <v>808</v>
      </c>
      <c r="C229" t="s">
        <v>809</v>
      </c>
      <c r="D229">
        <v>35300</v>
      </c>
      <c r="E229" t="s">
        <v>810</v>
      </c>
      <c r="F229">
        <v>19380</v>
      </c>
      <c r="G229">
        <v>0</v>
      </c>
      <c r="I229">
        <v>8139</v>
      </c>
      <c r="J229">
        <v>0</v>
      </c>
      <c r="K229">
        <v>0</v>
      </c>
      <c r="L229">
        <v>0</v>
      </c>
      <c r="M229">
        <v>0</v>
      </c>
      <c r="N229">
        <v>22903</v>
      </c>
      <c r="O229">
        <v>0</v>
      </c>
      <c r="P229">
        <v>0</v>
      </c>
      <c r="R229">
        <v>0</v>
      </c>
      <c r="S229">
        <v>0</v>
      </c>
      <c r="T229" t="s">
        <v>300</v>
      </c>
      <c r="U229">
        <v>6</v>
      </c>
      <c r="V229" t="s">
        <v>87</v>
      </c>
      <c r="W229" t="s">
        <v>135</v>
      </c>
      <c r="X229" t="s">
        <v>108</v>
      </c>
      <c r="Y229" t="s">
        <v>89</v>
      </c>
      <c r="Z229">
        <v>1</v>
      </c>
      <c r="AA229">
        <f>IF(AND(D229&gt;=配装计算器!$I$29,D229&lt;=配装计算器!$I$30),1,0)</f>
        <v>1</v>
      </c>
      <c r="AB229">
        <f t="shared" si="56"/>
        <v>0</v>
      </c>
      <c r="AC229">
        <f t="shared" si="57"/>
        <v>0</v>
      </c>
      <c r="AD229">
        <f t="shared" si="58"/>
        <v>0</v>
      </c>
      <c r="AE229">
        <f t="shared" si="59"/>
        <v>0</v>
      </c>
      <c r="AF229">
        <f t="shared" si="60"/>
        <v>1</v>
      </c>
      <c r="AG229">
        <f t="shared" si="61"/>
        <v>0</v>
      </c>
      <c r="AH229">
        <f t="shared" si="62"/>
        <v>0</v>
      </c>
      <c r="AI229">
        <f t="shared" si="63"/>
        <v>1</v>
      </c>
      <c r="AJ229">
        <f t="shared" si="64"/>
        <v>1</v>
      </c>
      <c r="AK229">
        <f>SUM(AJ$2:$AJ229)</f>
        <v>228</v>
      </c>
    </row>
    <row r="230" spans="1:37">
      <c r="A230" t="s">
        <v>672</v>
      </c>
      <c r="B230" t="s">
        <v>811</v>
      </c>
      <c r="C230" t="s">
        <v>812</v>
      </c>
      <c r="D230">
        <v>35300</v>
      </c>
      <c r="E230" t="s">
        <v>813</v>
      </c>
      <c r="F230">
        <v>19380</v>
      </c>
      <c r="G230">
        <v>0</v>
      </c>
      <c r="I230">
        <v>8594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22991</v>
      </c>
      <c r="P230">
        <v>0</v>
      </c>
      <c r="R230">
        <v>0</v>
      </c>
      <c r="S230">
        <v>0</v>
      </c>
      <c r="T230" t="s">
        <v>526</v>
      </c>
      <c r="U230">
        <v>6</v>
      </c>
      <c r="V230" t="s">
        <v>87</v>
      </c>
      <c r="W230" t="s">
        <v>94</v>
      </c>
      <c r="X230" t="s">
        <v>154</v>
      </c>
      <c r="Y230" t="s">
        <v>89</v>
      </c>
      <c r="Z230">
        <v>1</v>
      </c>
      <c r="AA230">
        <f>IF(AND(D230&gt;=配装计算器!$I$29,D230&lt;=配装计算器!$I$30),1,0)</f>
        <v>1</v>
      </c>
      <c r="AB230">
        <f t="shared" si="56"/>
        <v>0</v>
      </c>
      <c r="AC230">
        <f t="shared" si="57"/>
        <v>0</v>
      </c>
      <c r="AD230">
        <f t="shared" si="58"/>
        <v>0</v>
      </c>
      <c r="AE230">
        <f t="shared" si="59"/>
        <v>0</v>
      </c>
      <c r="AF230">
        <f t="shared" si="60"/>
        <v>0</v>
      </c>
      <c r="AG230">
        <f t="shared" si="61"/>
        <v>1</v>
      </c>
      <c r="AH230">
        <f t="shared" si="62"/>
        <v>0</v>
      </c>
      <c r="AI230">
        <f t="shared" si="63"/>
        <v>1</v>
      </c>
      <c r="AJ230">
        <f t="shared" si="64"/>
        <v>1</v>
      </c>
      <c r="AK230">
        <f>SUM(AJ$2:$AJ230)</f>
        <v>229</v>
      </c>
    </row>
    <row r="231" spans="1:37">
      <c r="A231" t="s">
        <v>672</v>
      </c>
      <c r="B231" t="s">
        <v>814</v>
      </c>
      <c r="C231" t="s">
        <v>815</v>
      </c>
      <c r="D231">
        <v>35300</v>
      </c>
      <c r="E231" t="s">
        <v>816</v>
      </c>
      <c r="F231">
        <v>19380</v>
      </c>
      <c r="G231">
        <v>0</v>
      </c>
      <c r="I231">
        <v>5745</v>
      </c>
      <c r="J231">
        <v>0</v>
      </c>
      <c r="K231">
        <v>0</v>
      </c>
      <c r="L231">
        <v>12333</v>
      </c>
      <c r="M231">
        <v>0</v>
      </c>
      <c r="N231">
        <v>19380</v>
      </c>
      <c r="O231">
        <v>0</v>
      </c>
      <c r="P231">
        <v>0</v>
      </c>
      <c r="R231">
        <v>0</v>
      </c>
      <c r="S231">
        <v>0</v>
      </c>
      <c r="T231" t="s">
        <v>308</v>
      </c>
      <c r="U231">
        <v>6</v>
      </c>
      <c r="V231" t="s">
        <v>87</v>
      </c>
      <c r="W231" t="s">
        <v>135</v>
      </c>
      <c r="X231" t="s">
        <v>123</v>
      </c>
      <c r="Y231" t="s">
        <v>89</v>
      </c>
      <c r="Z231">
        <v>1</v>
      </c>
      <c r="AA231">
        <f>IF(AND(D231&gt;=配装计算器!$I$29,D231&lt;=配装计算器!$I$30),1,0)</f>
        <v>1</v>
      </c>
      <c r="AB231">
        <f t="shared" si="56"/>
        <v>0</v>
      </c>
      <c r="AC231">
        <f t="shared" si="57"/>
        <v>0</v>
      </c>
      <c r="AD231">
        <f t="shared" si="58"/>
        <v>1</v>
      </c>
      <c r="AE231">
        <f t="shared" si="59"/>
        <v>0</v>
      </c>
      <c r="AF231">
        <f t="shared" si="60"/>
        <v>1</v>
      </c>
      <c r="AG231">
        <f t="shared" si="61"/>
        <v>0</v>
      </c>
      <c r="AH231">
        <f t="shared" si="62"/>
        <v>0</v>
      </c>
      <c r="AI231">
        <f t="shared" si="63"/>
        <v>1</v>
      </c>
      <c r="AJ231">
        <f t="shared" si="64"/>
        <v>1</v>
      </c>
      <c r="AK231">
        <f>SUM(AJ$2:$AJ231)</f>
        <v>230</v>
      </c>
    </row>
    <row r="232" spans="1:37">
      <c r="A232" t="s">
        <v>672</v>
      </c>
      <c r="B232" t="s">
        <v>817</v>
      </c>
      <c r="C232" t="s">
        <v>818</v>
      </c>
      <c r="D232">
        <v>35300</v>
      </c>
      <c r="E232" t="s">
        <v>819</v>
      </c>
      <c r="F232">
        <v>19380</v>
      </c>
      <c r="G232">
        <v>0</v>
      </c>
      <c r="I232">
        <v>6942</v>
      </c>
      <c r="J232">
        <v>9690</v>
      </c>
      <c r="K232">
        <v>0</v>
      </c>
      <c r="L232">
        <v>0</v>
      </c>
      <c r="M232">
        <v>9690</v>
      </c>
      <c r="N232">
        <v>9690</v>
      </c>
      <c r="O232">
        <v>0</v>
      </c>
      <c r="P232">
        <v>0</v>
      </c>
      <c r="R232">
        <v>0</v>
      </c>
      <c r="S232">
        <v>0</v>
      </c>
      <c r="T232" t="s">
        <v>312</v>
      </c>
      <c r="U232">
        <v>6</v>
      </c>
      <c r="V232" t="s">
        <v>87</v>
      </c>
      <c r="W232" t="s">
        <v>94</v>
      </c>
      <c r="X232" t="s">
        <v>108</v>
      </c>
      <c r="Y232" t="s">
        <v>89</v>
      </c>
      <c r="Z232">
        <v>1</v>
      </c>
      <c r="AA232">
        <f>IF(AND(D232&gt;=配装计算器!$I$29,D232&lt;=配装计算器!$I$30),1,0)</f>
        <v>1</v>
      </c>
      <c r="AB232">
        <f t="shared" si="56"/>
        <v>1</v>
      </c>
      <c r="AC232">
        <f t="shared" si="57"/>
        <v>0</v>
      </c>
      <c r="AD232">
        <f t="shared" si="58"/>
        <v>0</v>
      </c>
      <c r="AE232">
        <f t="shared" si="59"/>
        <v>1</v>
      </c>
      <c r="AF232">
        <f t="shared" si="60"/>
        <v>1</v>
      </c>
      <c r="AG232">
        <f t="shared" si="61"/>
        <v>0</v>
      </c>
      <c r="AH232">
        <f t="shared" si="62"/>
        <v>0</v>
      </c>
      <c r="AI232">
        <f t="shared" si="63"/>
        <v>1</v>
      </c>
      <c r="AJ232">
        <f t="shared" si="64"/>
        <v>1</v>
      </c>
      <c r="AK232">
        <f>SUM(AJ$2:$AJ232)</f>
        <v>231</v>
      </c>
    </row>
    <row r="233" spans="1:37">
      <c r="A233" t="s">
        <v>672</v>
      </c>
      <c r="B233" t="s">
        <v>820</v>
      </c>
      <c r="C233" t="s">
        <v>821</v>
      </c>
      <c r="D233">
        <v>35300</v>
      </c>
      <c r="E233" t="s">
        <v>822</v>
      </c>
      <c r="F233">
        <v>19380</v>
      </c>
      <c r="G233">
        <v>0</v>
      </c>
      <c r="I233">
        <v>5745</v>
      </c>
      <c r="J233">
        <v>12333</v>
      </c>
      <c r="K233">
        <v>0</v>
      </c>
      <c r="L233">
        <v>0</v>
      </c>
      <c r="M233">
        <v>0</v>
      </c>
      <c r="N233">
        <v>19380</v>
      </c>
      <c r="O233">
        <v>0</v>
      </c>
      <c r="P233">
        <v>0</v>
      </c>
      <c r="R233">
        <v>0</v>
      </c>
      <c r="S233">
        <v>0</v>
      </c>
      <c r="T233" t="s">
        <v>316</v>
      </c>
      <c r="U233">
        <v>6</v>
      </c>
      <c r="V233" t="s">
        <v>87</v>
      </c>
      <c r="W233" t="s">
        <v>123</v>
      </c>
      <c r="X233" t="s">
        <v>108</v>
      </c>
      <c r="Y233" t="s">
        <v>89</v>
      </c>
      <c r="Z233">
        <v>1</v>
      </c>
      <c r="AA233">
        <f>IF(AND(D233&gt;=配装计算器!$I$29,D233&lt;=配装计算器!$I$30),1,0)</f>
        <v>1</v>
      </c>
      <c r="AB233">
        <f t="shared" si="56"/>
        <v>1</v>
      </c>
      <c r="AC233">
        <f t="shared" si="57"/>
        <v>0</v>
      </c>
      <c r="AD233">
        <f t="shared" si="58"/>
        <v>0</v>
      </c>
      <c r="AE233">
        <f t="shared" si="59"/>
        <v>0</v>
      </c>
      <c r="AF233">
        <f t="shared" si="60"/>
        <v>1</v>
      </c>
      <c r="AG233">
        <f t="shared" si="61"/>
        <v>0</v>
      </c>
      <c r="AH233">
        <f t="shared" si="62"/>
        <v>0</v>
      </c>
      <c r="AI233">
        <f t="shared" si="63"/>
        <v>1</v>
      </c>
      <c r="AJ233">
        <f t="shared" si="64"/>
        <v>1</v>
      </c>
      <c r="AK233">
        <f>SUM(AJ$2:$AJ233)</f>
        <v>232</v>
      </c>
    </row>
    <row r="234" spans="1:37">
      <c r="A234" t="s">
        <v>672</v>
      </c>
      <c r="B234" t="s">
        <v>823</v>
      </c>
      <c r="C234" t="s">
        <v>824</v>
      </c>
      <c r="D234">
        <v>35300</v>
      </c>
      <c r="E234" t="s">
        <v>825</v>
      </c>
      <c r="F234">
        <v>19380</v>
      </c>
      <c r="G234">
        <v>0</v>
      </c>
      <c r="I234">
        <v>6942</v>
      </c>
      <c r="J234">
        <v>9690</v>
      </c>
      <c r="K234">
        <v>0</v>
      </c>
      <c r="L234">
        <v>9690</v>
      </c>
      <c r="M234">
        <v>0</v>
      </c>
      <c r="N234">
        <v>9690</v>
      </c>
      <c r="O234">
        <v>0</v>
      </c>
      <c r="P234">
        <v>0</v>
      </c>
      <c r="R234">
        <v>0</v>
      </c>
      <c r="S234">
        <v>0</v>
      </c>
      <c r="T234" t="s">
        <v>320</v>
      </c>
      <c r="U234">
        <v>6</v>
      </c>
      <c r="V234" t="s">
        <v>87</v>
      </c>
      <c r="W234" t="s">
        <v>185</v>
      </c>
      <c r="X234" t="s">
        <v>123</v>
      </c>
      <c r="Y234" t="s">
        <v>89</v>
      </c>
      <c r="Z234">
        <v>1</v>
      </c>
      <c r="AA234">
        <f>IF(AND(D234&gt;=配装计算器!$I$29,D234&lt;=配装计算器!$I$30),1,0)</f>
        <v>1</v>
      </c>
      <c r="AB234">
        <f t="shared" si="56"/>
        <v>1</v>
      </c>
      <c r="AC234">
        <f t="shared" si="57"/>
        <v>0</v>
      </c>
      <c r="AD234">
        <f t="shared" si="58"/>
        <v>1</v>
      </c>
      <c r="AE234">
        <f t="shared" si="59"/>
        <v>0</v>
      </c>
      <c r="AF234">
        <f t="shared" si="60"/>
        <v>1</v>
      </c>
      <c r="AG234">
        <f t="shared" si="61"/>
        <v>0</v>
      </c>
      <c r="AH234">
        <f t="shared" si="62"/>
        <v>0</v>
      </c>
      <c r="AI234">
        <f t="shared" si="63"/>
        <v>1</v>
      </c>
      <c r="AJ234">
        <f t="shared" si="64"/>
        <v>1</v>
      </c>
      <c r="AK234">
        <f>SUM(AJ$2:$AJ234)</f>
        <v>233</v>
      </c>
    </row>
    <row r="235" spans="1:37">
      <c r="A235" t="s">
        <v>672</v>
      </c>
      <c r="B235" t="s">
        <v>826</v>
      </c>
      <c r="C235" t="s">
        <v>827</v>
      </c>
      <c r="D235">
        <v>35900</v>
      </c>
      <c r="E235" t="s">
        <v>828</v>
      </c>
      <c r="F235">
        <v>19709</v>
      </c>
      <c r="G235">
        <v>1608</v>
      </c>
      <c r="I235">
        <v>3652</v>
      </c>
      <c r="J235">
        <v>13438</v>
      </c>
      <c r="K235">
        <v>0</v>
      </c>
      <c r="L235">
        <v>0</v>
      </c>
      <c r="M235">
        <v>0</v>
      </c>
      <c r="N235">
        <v>10750</v>
      </c>
      <c r="O235">
        <v>0</v>
      </c>
      <c r="P235">
        <v>0</v>
      </c>
      <c r="R235">
        <v>0</v>
      </c>
      <c r="S235">
        <v>0</v>
      </c>
      <c r="T235" t="s">
        <v>102</v>
      </c>
      <c r="U235">
        <v>6</v>
      </c>
      <c r="V235" t="s">
        <v>327</v>
      </c>
      <c r="W235" t="s">
        <v>154</v>
      </c>
      <c r="X235" t="s">
        <v>94</v>
      </c>
      <c r="Y235" t="s">
        <v>89</v>
      </c>
      <c r="Z235">
        <v>1</v>
      </c>
      <c r="AA235">
        <f>IF(AND(D235&gt;=配装计算器!$I$29,D235&lt;=配装计算器!$I$30),1,0)</f>
        <v>1</v>
      </c>
      <c r="AB235">
        <f t="shared" si="56"/>
        <v>1</v>
      </c>
      <c r="AC235">
        <f t="shared" si="57"/>
        <v>0</v>
      </c>
      <c r="AD235">
        <f t="shared" si="58"/>
        <v>0</v>
      </c>
      <c r="AE235">
        <f t="shared" si="59"/>
        <v>0</v>
      </c>
      <c r="AF235">
        <f t="shared" si="60"/>
        <v>1</v>
      </c>
      <c r="AG235">
        <f t="shared" si="61"/>
        <v>0</v>
      </c>
      <c r="AH235">
        <f t="shared" si="62"/>
        <v>0</v>
      </c>
      <c r="AI235">
        <f t="shared" si="63"/>
        <v>0</v>
      </c>
      <c r="AJ235">
        <f t="shared" si="64"/>
        <v>1</v>
      </c>
      <c r="AK235">
        <f>SUM(AJ$2:$AJ235)</f>
        <v>234</v>
      </c>
    </row>
    <row r="236" spans="1:37">
      <c r="A236" t="s">
        <v>672</v>
      </c>
      <c r="B236" t="s">
        <v>829</v>
      </c>
      <c r="C236" t="s">
        <v>830</v>
      </c>
      <c r="D236">
        <v>36200</v>
      </c>
      <c r="E236" t="s">
        <v>831</v>
      </c>
      <c r="F236">
        <v>19874</v>
      </c>
      <c r="G236">
        <v>1506</v>
      </c>
      <c r="I236">
        <v>2455</v>
      </c>
      <c r="J236">
        <v>13550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5420</v>
      </c>
      <c r="R236">
        <v>0</v>
      </c>
      <c r="S236">
        <v>0</v>
      </c>
      <c r="T236" t="s">
        <v>93</v>
      </c>
      <c r="U236">
        <v>6</v>
      </c>
      <c r="V236" t="s">
        <v>145</v>
      </c>
      <c r="W236" t="s">
        <v>88</v>
      </c>
      <c r="X236" t="s">
        <v>94</v>
      </c>
      <c r="Y236" t="s">
        <v>89</v>
      </c>
      <c r="Z236">
        <v>2</v>
      </c>
      <c r="AA236">
        <f>IF(AND(D236&gt;=配装计算器!$I$29,D236&lt;=配装计算器!$I$30),1,0)</f>
        <v>1</v>
      </c>
      <c r="AB236">
        <f t="shared" si="56"/>
        <v>1</v>
      </c>
      <c r="AC236">
        <f t="shared" si="57"/>
        <v>0</v>
      </c>
      <c r="AD236">
        <f t="shared" si="58"/>
        <v>0</v>
      </c>
      <c r="AE236">
        <f t="shared" si="59"/>
        <v>0</v>
      </c>
      <c r="AF236">
        <f t="shared" si="60"/>
        <v>0</v>
      </c>
      <c r="AG236">
        <f t="shared" si="61"/>
        <v>0</v>
      </c>
      <c r="AH236">
        <f t="shared" si="62"/>
        <v>1</v>
      </c>
      <c r="AI236">
        <f t="shared" si="63"/>
        <v>0</v>
      </c>
      <c r="AJ236">
        <f t="shared" si="64"/>
        <v>1</v>
      </c>
      <c r="AK236">
        <f>SUM(AJ$2:$AJ236)</f>
        <v>235</v>
      </c>
    </row>
    <row r="237" spans="1:37">
      <c r="A237" t="s">
        <v>672</v>
      </c>
      <c r="B237" t="s">
        <v>832</v>
      </c>
      <c r="C237" t="s">
        <v>833</v>
      </c>
      <c r="D237">
        <v>38100</v>
      </c>
      <c r="E237" t="s">
        <v>834</v>
      </c>
      <c r="F237">
        <v>20917</v>
      </c>
      <c r="G237">
        <v>1707</v>
      </c>
      <c r="I237">
        <v>3876</v>
      </c>
      <c r="J237">
        <v>14262</v>
      </c>
      <c r="K237">
        <v>0</v>
      </c>
      <c r="L237">
        <v>0</v>
      </c>
      <c r="M237">
        <v>0</v>
      </c>
      <c r="N237">
        <v>11409</v>
      </c>
      <c r="O237">
        <v>0</v>
      </c>
      <c r="P237">
        <v>0</v>
      </c>
      <c r="R237">
        <v>0</v>
      </c>
      <c r="S237">
        <v>0</v>
      </c>
      <c r="T237" t="s">
        <v>102</v>
      </c>
      <c r="U237">
        <v>6</v>
      </c>
      <c r="V237" t="s">
        <v>149</v>
      </c>
      <c r="W237" t="s">
        <v>154</v>
      </c>
      <c r="X237" t="s">
        <v>94</v>
      </c>
      <c r="Y237" t="s">
        <v>89</v>
      </c>
      <c r="Z237">
        <v>1</v>
      </c>
      <c r="AA237">
        <f>IF(AND(D237&gt;=配装计算器!$I$29,D237&lt;=配装计算器!$I$30),1,0)</f>
        <v>1</v>
      </c>
      <c r="AB237">
        <f t="shared" si="56"/>
        <v>1</v>
      </c>
      <c r="AC237">
        <f t="shared" si="57"/>
        <v>0</v>
      </c>
      <c r="AD237">
        <f t="shared" si="58"/>
        <v>0</v>
      </c>
      <c r="AE237">
        <f t="shared" si="59"/>
        <v>0</v>
      </c>
      <c r="AF237">
        <f t="shared" si="60"/>
        <v>1</v>
      </c>
      <c r="AG237">
        <f t="shared" si="61"/>
        <v>0</v>
      </c>
      <c r="AH237">
        <f t="shared" si="62"/>
        <v>0</v>
      </c>
      <c r="AI237">
        <f t="shared" si="63"/>
        <v>0</v>
      </c>
      <c r="AJ237">
        <f t="shared" si="64"/>
        <v>1</v>
      </c>
      <c r="AK237">
        <f>SUM(AJ$2:$AJ237)</f>
        <v>236</v>
      </c>
    </row>
    <row r="238" spans="1:37">
      <c r="A238" t="s">
        <v>672</v>
      </c>
      <c r="B238" t="s">
        <v>835</v>
      </c>
      <c r="C238" t="s">
        <v>836</v>
      </c>
      <c r="D238">
        <v>41400</v>
      </c>
      <c r="E238" t="s">
        <v>837</v>
      </c>
      <c r="F238">
        <v>22729</v>
      </c>
      <c r="G238">
        <v>1854</v>
      </c>
      <c r="I238">
        <v>4211</v>
      </c>
      <c r="J238">
        <v>0</v>
      </c>
      <c r="K238">
        <v>0</v>
      </c>
      <c r="L238">
        <v>0</v>
      </c>
      <c r="M238">
        <v>15497</v>
      </c>
      <c r="N238">
        <v>12397</v>
      </c>
      <c r="O238">
        <v>0</v>
      </c>
      <c r="P238">
        <v>0</v>
      </c>
      <c r="R238">
        <v>0</v>
      </c>
      <c r="S238">
        <v>0</v>
      </c>
      <c r="T238" t="s">
        <v>107</v>
      </c>
      <c r="U238">
        <v>6</v>
      </c>
      <c r="V238" t="s">
        <v>87</v>
      </c>
      <c r="W238" t="s">
        <v>135</v>
      </c>
      <c r="X238" t="s">
        <v>88</v>
      </c>
      <c r="Y238" t="s">
        <v>89</v>
      </c>
      <c r="Z238">
        <v>1</v>
      </c>
      <c r="AA238">
        <f>IF(AND(D238&gt;=配装计算器!$I$29,D238&lt;=配装计算器!$I$30),1,0)</f>
        <v>1</v>
      </c>
      <c r="AB238">
        <f t="shared" si="56"/>
        <v>0</v>
      </c>
      <c r="AC238">
        <f t="shared" si="57"/>
        <v>0</v>
      </c>
      <c r="AD238">
        <f t="shared" si="58"/>
        <v>0</v>
      </c>
      <c r="AE238">
        <f t="shared" si="59"/>
        <v>1</v>
      </c>
      <c r="AF238">
        <f t="shared" si="60"/>
        <v>1</v>
      </c>
      <c r="AG238">
        <f t="shared" si="61"/>
        <v>0</v>
      </c>
      <c r="AH238">
        <f t="shared" si="62"/>
        <v>0</v>
      </c>
      <c r="AI238">
        <f t="shared" si="63"/>
        <v>0</v>
      </c>
      <c r="AJ238">
        <f t="shared" si="64"/>
        <v>1</v>
      </c>
      <c r="AK238">
        <f>SUM(AJ$2:$AJ238)</f>
        <v>237</v>
      </c>
    </row>
    <row r="239" spans="1:37">
      <c r="A239" t="s">
        <v>672</v>
      </c>
      <c r="B239" t="s">
        <v>838</v>
      </c>
      <c r="C239" t="s">
        <v>839</v>
      </c>
      <c r="D239">
        <v>41400</v>
      </c>
      <c r="E239" t="s">
        <v>840</v>
      </c>
      <c r="F239">
        <v>22729</v>
      </c>
      <c r="G239">
        <v>1854</v>
      </c>
      <c r="I239">
        <v>4211</v>
      </c>
      <c r="J239">
        <v>0</v>
      </c>
      <c r="K239">
        <v>0</v>
      </c>
      <c r="L239">
        <v>0</v>
      </c>
      <c r="M239">
        <v>0</v>
      </c>
      <c r="N239">
        <v>12397</v>
      </c>
      <c r="O239">
        <v>15497</v>
      </c>
      <c r="P239">
        <v>0</v>
      </c>
      <c r="R239">
        <v>0</v>
      </c>
      <c r="S239">
        <v>0</v>
      </c>
      <c r="T239" t="s">
        <v>115</v>
      </c>
      <c r="U239">
        <v>6</v>
      </c>
      <c r="V239" t="s">
        <v>87</v>
      </c>
      <c r="W239" t="s">
        <v>154</v>
      </c>
      <c r="X239" t="s">
        <v>94</v>
      </c>
      <c r="Y239" t="s">
        <v>89</v>
      </c>
      <c r="Z239">
        <v>1</v>
      </c>
      <c r="AA239">
        <f>IF(AND(D239&gt;=配装计算器!$I$29,D239&lt;=配装计算器!$I$30),1,0)</f>
        <v>1</v>
      </c>
      <c r="AB239">
        <f t="shared" si="56"/>
        <v>0</v>
      </c>
      <c r="AC239">
        <f t="shared" si="57"/>
        <v>0</v>
      </c>
      <c r="AD239">
        <f t="shared" si="58"/>
        <v>0</v>
      </c>
      <c r="AE239">
        <f t="shared" si="59"/>
        <v>0</v>
      </c>
      <c r="AF239">
        <f t="shared" si="60"/>
        <v>1</v>
      </c>
      <c r="AG239">
        <f t="shared" si="61"/>
        <v>1</v>
      </c>
      <c r="AH239">
        <f t="shared" si="62"/>
        <v>0</v>
      </c>
      <c r="AI239">
        <f t="shared" si="63"/>
        <v>0</v>
      </c>
      <c r="AJ239">
        <f t="shared" si="64"/>
        <v>1</v>
      </c>
      <c r="AK239">
        <f>SUM(AJ$2:$AJ239)</f>
        <v>238</v>
      </c>
    </row>
    <row r="240" spans="1:37">
      <c r="A240" t="s">
        <v>672</v>
      </c>
      <c r="B240" t="s">
        <v>841</v>
      </c>
      <c r="C240" t="s">
        <v>842</v>
      </c>
      <c r="D240">
        <v>41400</v>
      </c>
      <c r="E240" t="s">
        <v>843</v>
      </c>
      <c r="F240">
        <v>22729</v>
      </c>
      <c r="G240">
        <v>1854</v>
      </c>
      <c r="I240">
        <v>4211</v>
      </c>
      <c r="J240">
        <v>15497</v>
      </c>
      <c r="K240">
        <v>0</v>
      </c>
      <c r="L240">
        <v>0</v>
      </c>
      <c r="M240">
        <v>0</v>
      </c>
      <c r="N240">
        <v>12397</v>
      </c>
      <c r="O240">
        <v>0</v>
      </c>
      <c r="P240">
        <v>0</v>
      </c>
      <c r="R240">
        <v>0</v>
      </c>
      <c r="S240">
        <v>0</v>
      </c>
      <c r="T240" t="s">
        <v>102</v>
      </c>
      <c r="U240">
        <v>6</v>
      </c>
      <c r="V240" t="s">
        <v>87</v>
      </c>
      <c r="W240" t="s">
        <v>154</v>
      </c>
      <c r="X240" t="s">
        <v>94</v>
      </c>
      <c r="Y240" t="s">
        <v>89</v>
      </c>
      <c r="Z240">
        <v>1</v>
      </c>
      <c r="AA240">
        <f>IF(AND(D240&gt;=配装计算器!$I$29,D240&lt;=配装计算器!$I$30),1,0)</f>
        <v>1</v>
      </c>
      <c r="AB240">
        <f t="shared" si="56"/>
        <v>1</v>
      </c>
      <c r="AC240">
        <f t="shared" si="57"/>
        <v>0</v>
      </c>
      <c r="AD240">
        <f t="shared" si="58"/>
        <v>0</v>
      </c>
      <c r="AE240">
        <f t="shared" si="59"/>
        <v>0</v>
      </c>
      <c r="AF240">
        <f t="shared" si="60"/>
        <v>1</v>
      </c>
      <c r="AG240">
        <f t="shared" si="61"/>
        <v>0</v>
      </c>
      <c r="AH240">
        <f t="shared" si="62"/>
        <v>0</v>
      </c>
      <c r="AI240">
        <f t="shared" si="63"/>
        <v>0</v>
      </c>
      <c r="AJ240">
        <f t="shared" si="64"/>
        <v>1</v>
      </c>
      <c r="AK240">
        <f>SUM(AJ$2:$AJ240)</f>
        <v>239</v>
      </c>
    </row>
    <row r="241" spans="1:37">
      <c r="A241" t="s">
        <v>672</v>
      </c>
      <c r="B241" t="s">
        <v>844</v>
      </c>
      <c r="C241" t="s">
        <v>845</v>
      </c>
      <c r="D241">
        <v>41400</v>
      </c>
      <c r="E241" t="s">
        <v>846</v>
      </c>
      <c r="F241">
        <v>22729</v>
      </c>
      <c r="G241">
        <v>1854</v>
      </c>
      <c r="I241">
        <v>4211</v>
      </c>
      <c r="J241">
        <v>0</v>
      </c>
      <c r="K241">
        <v>0</v>
      </c>
      <c r="L241">
        <v>15497</v>
      </c>
      <c r="M241">
        <v>0</v>
      </c>
      <c r="N241">
        <v>12397</v>
      </c>
      <c r="O241">
        <v>0</v>
      </c>
      <c r="P241">
        <v>0</v>
      </c>
      <c r="R241">
        <v>0</v>
      </c>
      <c r="S241">
        <v>0</v>
      </c>
      <c r="T241" t="s">
        <v>122</v>
      </c>
      <c r="U241">
        <v>6</v>
      </c>
      <c r="V241" t="s">
        <v>262</v>
      </c>
      <c r="W241" t="s">
        <v>123</v>
      </c>
      <c r="X241" t="s">
        <v>94</v>
      </c>
      <c r="Y241" t="s">
        <v>89</v>
      </c>
      <c r="Z241">
        <v>1</v>
      </c>
      <c r="AA241">
        <f>IF(AND(D241&gt;=配装计算器!$I$29,D241&lt;=配装计算器!$I$30),1,0)</f>
        <v>1</v>
      </c>
      <c r="AB241">
        <f t="shared" si="56"/>
        <v>0</v>
      </c>
      <c r="AC241">
        <f t="shared" si="57"/>
        <v>0</v>
      </c>
      <c r="AD241">
        <f t="shared" si="58"/>
        <v>1</v>
      </c>
      <c r="AE241">
        <f t="shared" si="59"/>
        <v>0</v>
      </c>
      <c r="AF241">
        <f t="shared" si="60"/>
        <v>1</v>
      </c>
      <c r="AG241">
        <f t="shared" si="61"/>
        <v>0</v>
      </c>
      <c r="AH241">
        <f t="shared" si="62"/>
        <v>0</v>
      </c>
      <c r="AI241">
        <f t="shared" si="63"/>
        <v>0</v>
      </c>
      <c r="AJ241">
        <f t="shared" si="64"/>
        <v>1</v>
      </c>
      <c r="AK241">
        <f>SUM(AJ$2:$AJ241)</f>
        <v>240</v>
      </c>
    </row>
    <row r="242" spans="1:37">
      <c r="A242" t="s">
        <v>672</v>
      </c>
      <c r="B242" t="s">
        <v>847</v>
      </c>
      <c r="C242" t="s">
        <v>848</v>
      </c>
      <c r="D242">
        <v>41400</v>
      </c>
      <c r="E242" t="s">
        <v>849</v>
      </c>
      <c r="F242">
        <v>22729</v>
      </c>
      <c r="G242">
        <v>1854</v>
      </c>
      <c r="I242">
        <v>4211</v>
      </c>
      <c r="J242">
        <v>0</v>
      </c>
      <c r="K242">
        <v>0</v>
      </c>
      <c r="L242">
        <v>0</v>
      </c>
      <c r="M242">
        <v>15497</v>
      </c>
      <c r="N242">
        <v>12397</v>
      </c>
      <c r="O242">
        <v>0</v>
      </c>
      <c r="P242">
        <v>0</v>
      </c>
      <c r="R242">
        <v>0</v>
      </c>
      <c r="S242">
        <v>0</v>
      </c>
      <c r="T242" t="s">
        <v>107</v>
      </c>
      <c r="U242">
        <v>6</v>
      </c>
      <c r="V242" t="s">
        <v>130</v>
      </c>
      <c r="W242" t="s">
        <v>135</v>
      </c>
      <c r="X242" t="s">
        <v>88</v>
      </c>
      <c r="Y242" t="s">
        <v>89</v>
      </c>
      <c r="Z242">
        <v>1</v>
      </c>
      <c r="AA242">
        <f>IF(AND(D242&gt;=配装计算器!$I$29,D242&lt;=配装计算器!$I$30),1,0)</f>
        <v>1</v>
      </c>
      <c r="AB242">
        <f t="shared" si="56"/>
        <v>0</v>
      </c>
      <c r="AC242">
        <f t="shared" si="57"/>
        <v>0</v>
      </c>
      <c r="AD242">
        <f t="shared" si="58"/>
        <v>0</v>
      </c>
      <c r="AE242">
        <f t="shared" si="59"/>
        <v>1</v>
      </c>
      <c r="AF242">
        <f t="shared" si="60"/>
        <v>1</v>
      </c>
      <c r="AG242">
        <f t="shared" si="61"/>
        <v>0</v>
      </c>
      <c r="AH242">
        <f t="shared" si="62"/>
        <v>0</v>
      </c>
      <c r="AI242">
        <f t="shared" si="63"/>
        <v>0</v>
      </c>
      <c r="AJ242">
        <f t="shared" si="64"/>
        <v>1</v>
      </c>
      <c r="AK242">
        <f>SUM(AJ$2:$AJ242)</f>
        <v>241</v>
      </c>
    </row>
    <row r="243" spans="1:37">
      <c r="A243" t="s">
        <v>672</v>
      </c>
      <c r="B243" t="s">
        <v>850</v>
      </c>
      <c r="C243" t="s">
        <v>851</v>
      </c>
      <c r="D243">
        <v>41400</v>
      </c>
      <c r="E243" t="s">
        <v>852</v>
      </c>
      <c r="F243">
        <v>22729</v>
      </c>
      <c r="G243">
        <v>0</v>
      </c>
      <c r="I243">
        <v>2808</v>
      </c>
      <c r="J243">
        <v>0</v>
      </c>
      <c r="K243">
        <v>0</v>
      </c>
      <c r="L243">
        <v>0</v>
      </c>
      <c r="M243">
        <v>41325</v>
      </c>
      <c r="N243">
        <v>12397</v>
      </c>
      <c r="O243">
        <v>0</v>
      </c>
      <c r="P243">
        <v>0</v>
      </c>
      <c r="R243">
        <v>0</v>
      </c>
      <c r="S243">
        <v>0</v>
      </c>
      <c r="T243" t="s">
        <v>198</v>
      </c>
      <c r="U243">
        <v>6</v>
      </c>
      <c r="V243" t="s">
        <v>87</v>
      </c>
      <c r="W243" t="s">
        <v>154</v>
      </c>
      <c r="X243" t="s">
        <v>108</v>
      </c>
      <c r="Y243" t="s">
        <v>89</v>
      </c>
      <c r="Z243">
        <v>1</v>
      </c>
      <c r="AA243">
        <f>IF(AND(D243&gt;=配装计算器!$I$29,D243&lt;=配装计算器!$I$30),1,0)</f>
        <v>1</v>
      </c>
      <c r="AB243">
        <f t="shared" si="56"/>
        <v>0</v>
      </c>
      <c r="AC243">
        <f t="shared" si="57"/>
        <v>0</v>
      </c>
      <c r="AD243">
        <f t="shared" si="58"/>
        <v>0</v>
      </c>
      <c r="AE243">
        <f t="shared" si="59"/>
        <v>1</v>
      </c>
      <c r="AF243">
        <f t="shared" si="60"/>
        <v>1</v>
      </c>
      <c r="AG243">
        <f t="shared" si="61"/>
        <v>0</v>
      </c>
      <c r="AH243">
        <f t="shared" si="62"/>
        <v>0</v>
      </c>
      <c r="AI243">
        <f t="shared" si="63"/>
        <v>1</v>
      </c>
      <c r="AJ243">
        <f t="shared" si="64"/>
        <v>1</v>
      </c>
      <c r="AK243">
        <f>SUM(AJ$2:$AJ243)</f>
        <v>242</v>
      </c>
    </row>
    <row r="244" spans="1:37">
      <c r="A244" t="s">
        <v>672</v>
      </c>
      <c r="B244" t="s">
        <v>853</v>
      </c>
      <c r="C244" t="s">
        <v>854</v>
      </c>
      <c r="D244">
        <v>41400</v>
      </c>
      <c r="E244" t="s">
        <v>855</v>
      </c>
      <c r="F244">
        <v>22729</v>
      </c>
      <c r="G244">
        <v>0</v>
      </c>
      <c r="I244">
        <v>11146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23039</v>
      </c>
      <c r="P244">
        <v>0</v>
      </c>
      <c r="R244">
        <v>0</v>
      </c>
      <c r="S244">
        <v>0</v>
      </c>
      <c r="T244" t="s">
        <v>566</v>
      </c>
      <c r="U244">
        <v>6</v>
      </c>
      <c r="V244" t="s">
        <v>87</v>
      </c>
      <c r="W244" t="s">
        <v>94</v>
      </c>
      <c r="X244" t="s">
        <v>154</v>
      </c>
      <c r="Y244" t="s">
        <v>89</v>
      </c>
      <c r="Z244">
        <v>1</v>
      </c>
      <c r="AA244">
        <f>IF(AND(D244&gt;=配装计算器!$I$29,D244&lt;=配装计算器!$I$30),1,0)</f>
        <v>1</v>
      </c>
      <c r="AB244">
        <f t="shared" si="56"/>
        <v>0</v>
      </c>
      <c r="AC244">
        <f t="shared" si="57"/>
        <v>0</v>
      </c>
      <c r="AD244">
        <f t="shared" si="58"/>
        <v>0</v>
      </c>
      <c r="AE244">
        <f t="shared" si="59"/>
        <v>0</v>
      </c>
      <c r="AF244">
        <f t="shared" si="60"/>
        <v>0</v>
      </c>
      <c r="AG244">
        <f t="shared" si="61"/>
        <v>1</v>
      </c>
      <c r="AH244">
        <f t="shared" si="62"/>
        <v>0</v>
      </c>
      <c r="AI244">
        <f t="shared" si="63"/>
        <v>1</v>
      </c>
      <c r="AJ244">
        <f t="shared" si="64"/>
        <v>1</v>
      </c>
      <c r="AK244">
        <f>SUM(AJ$2:$AJ244)</f>
        <v>243</v>
      </c>
    </row>
    <row r="245" spans="1:37">
      <c r="A245" t="s">
        <v>672</v>
      </c>
      <c r="B245" t="s">
        <v>856</v>
      </c>
      <c r="C245" t="s">
        <v>857</v>
      </c>
      <c r="D245">
        <v>41400</v>
      </c>
      <c r="E245" t="s">
        <v>858</v>
      </c>
      <c r="F245">
        <v>22729</v>
      </c>
      <c r="G245">
        <v>0</v>
      </c>
      <c r="I245">
        <v>2808</v>
      </c>
      <c r="J245">
        <v>0</v>
      </c>
      <c r="K245">
        <v>0</v>
      </c>
      <c r="L245">
        <v>40292</v>
      </c>
      <c r="M245">
        <v>0</v>
      </c>
      <c r="N245">
        <v>12397</v>
      </c>
      <c r="O245">
        <v>0</v>
      </c>
      <c r="P245">
        <v>0</v>
      </c>
      <c r="R245">
        <v>0</v>
      </c>
      <c r="S245">
        <v>0</v>
      </c>
      <c r="T245" t="s">
        <v>153</v>
      </c>
      <c r="U245">
        <v>6</v>
      </c>
      <c r="V245" t="s">
        <v>87</v>
      </c>
      <c r="W245" t="s">
        <v>135</v>
      </c>
      <c r="X245" t="s">
        <v>123</v>
      </c>
      <c r="Y245" t="s">
        <v>89</v>
      </c>
      <c r="Z245">
        <v>1</v>
      </c>
      <c r="AA245">
        <f>IF(AND(D245&gt;=配装计算器!$I$29,D245&lt;=配装计算器!$I$30),1,0)</f>
        <v>1</v>
      </c>
      <c r="AB245">
        <f t="shared" si="56"/>
        <v>0</v>
      </c>
      <c r="AC245">
        <f t="shared" si="57"/>
        <v>0</v>
      </c>
      <c r="AD245">
        <f t="shared" si="58"/>
        <v>1</v>
      </c>
      <c r="AE245">
        <f t="shared" si="59"/>
        <v>0</v>
      </c>
      <c r="AF245">
        <f t="shared" si="60"/>
        <v>1</v>
      </c>
      <c r="AG245">
        <f t="shared" si="61"/>
        <v>0</v>
      </c>
      <c r="AH245">
        <f t="shared" si="62"/>
        <v>0</v>
      </c>
      <c r="AI245">
        <f t="shared" si="63"/>
        <v>1</v>
      </c>
      <c r="AJ245">
        <f t="shared" si="64"/>
        <v>1</v>
      </c>
      <c r="AK245">
        <f>SUM(AJ$2:$AJ245)</f>
        <v>244</v>
      </c>
    </row>
    <row r="246" spans="1:37">
      <c r="A246" t="s">
        <v>672</v>
      </c>
      <c r="B246" t="s">
        <v>859</v>
      </c>
      <c r="C246" t="s">
        <v>860</v>
      </c>
      <c r="D246">
        <v>41400</v>
      </c>
      <c r="E246" t="s">
        <v>861</v>
      </c>
      <c r="F246">
        <v>22729</v>
      </c>
      <c r="G246">
        <v>0</v>
      </c>
      <c r="I246">
        <v>8142</v>
      </c>
      <c r="J246">
        <v>0</v>
      </c>
      <c r="K246">
        <v>0</v>
      </c>
      <c r="L246">
        <v>15497</v>
      </c>
      <c r="M246">
        <v>0</v>
      </c>
      <c r="N246">
        <v>0</v>
      </c>
      <c r="O246">
        <v>0</v>
      </c>
      <c r="P246">
        <v>0</v>
      </c>
      <c r="R246">
        <v>0</v>
      </c>
      <c r="S246">
        <v>0</v>
      </c>
      <c r="T246" t="s">
        <v>719</v>
      </c>
      <c r="U246">
        <v>6</v>
      </c>
      <c r="V246" t="s">
        <v>87</v>
      </c>
      <c r="W246" t="s">
        <v>135</v>
      </c>
      <c r="X246" t="s">
        <v>108</v>
      </c>
      <c r="Y246" t="s">
        <v>89</v>
      </c>
      <c r="Z246">
        <v>1</v>
      </c>
      <c r="AA246">
        <f>IF(AND(D246&gt;=配装计算器!$I$29,D246&lt;=配装计算器!$I$30),1,0)</f>
        <v>1</v>
      </c>
      <c r="AB246">
        <f t="shared" si="56"/>
        <v>0</v>
      </c>
      <c r="AC246">
        <f t="shared" si="57"/>
        <v>0</v>
      </c>
      <c r="AD246">
        <f t="shared" si="58"/>
        <v>1</v>
      </c>
      <c r="AE246">
        <f t="shared" si="59"/>
        <v>0</v>
      </c>
      <c r="AF246">
        <f t="shared" si="60"/>
        <v>0</v>
      </c>
      <c r="AG246">
        <f t="shared" si="61"/>
        <v>0</v>
      </c>
      <c r="AH246">
        <f t="shared" si="62"/>
        <v>0</v>
      </c>
      <c r="AI246">
        <f t="shared" si="63"/>
        <v>1</v>
      </c>
      <c r="AJ246">
        <f t="shared" si="64"/>
        <v>1</v>
      </c>
      <c r="AK246">
        <f>SUM(AJ$2:$AJ246)</f>
        <v>245</v>
      </c>
    </row>
    <row r="247" spans="1:37">
      <c r="A247" t="s">
        <v>672</v>
      </c>
      <c r="B247" t="s">
        <v>862</v>
      </c>
      <c r="C247" t="s">
        <v>863</v>
      </c>
      <c r="D247">
        <v>41400</v>
      </c>
      <c r="E247" t="s">
        <v>864</v>
      </c>
      <c r="F247">
        <v>22729</v>
      </c>
      <c r="G247">
        <v>0</v>
      </c>
      <c r="I247">
        <v>6598</v>
      </c>
      <c r="J247">
        <v>10331</v>
      </c>
      <c r="K247">
        <v>0</v>
      </c>
      <c r="L247">
        <v>10331</v>
      </c>
      <c r="M247">
        <v>10331</v>
      </c>
      <c r="N247">
        <v>10331</v>
      </c>
      <c r="O247">
        <v>0</v>
      </c>
      <c r="P247">
        <v>0</v>
      </c>
      <c r="R247">
        <v>0</v>
      </c>
      <c r="S247">
        <v>0</v>
      </c>
      <c r="T247" t="s">
        <v>504</v>
      </c>
      <c r="U247">
        <v>6</v>
      </c>
      <c r="V247" t="s">
        <v>87</v>
      </c>
      <c r="W247" t="s">
        <v>94</v>
      </c>
      <c r="X247" t="s">
        <v>154</v>
      </c>
      <c r="Y247" t="s">
        <v>89</v>
      </c>
      <c r="Z247">
        <v>1</v>
      </c>
      <c r="AA247">
        <f>IF(AND(D247&gt;=配装计算器!$I$29,D247&lt;=配装计算器!$I$30),1,0)</f>
        <v>1</v>
      </c>
      <c r="AB247">
        <f t="shared" si="56"/>
        <v>1</v>
      </c>
      <c r="AC247">
        <f t="shared" si="57"/>
        <v>0</v>
      </c>
      <c r="AD247">
        <f t="shared" si="58"/>
        <v>1</v>
      </c>
      <c r="AE247">
        <f t="shared" si="59"/>
        <v>1</v>
      </c>
      <c r="AF247">
        <f t="shared" si="60"/>
        <v>1</v>
      </c>
      <c r="AG247">
        <f t="shared" si="61"/>
        <v>0</v>
      </c>
      <c r="AH247">
        <f t="shared" si="62"/>
        <v>0</v>
      </c>
      <c r="AI247">
        <f t="shared" si="63"/>
        <v>1</v>
      </c>
      <c r="AJ247">
        <f t="shared" si="64"/>
        <v>1</v>
      </c>
      <c r="AK247">
        <f>SUM(AJ$2:$AJ247)</f>
        <v>246</v>
      </c>
    </row>
    <row r="248" spans="1:37">
      <c r="A248" t="s">
        <v>672</v>
      </c>
      <c r="B248" t="s">
        <v>865</v>
      </c>
      <c r="C248" t="s">
        <v>866</v>
      </c>
      <c r="D248">
        <v>41400</v>
      </c>
      <c r="E248" t="s">
        <v>867</v>
      </c>
      <c r="F248">
        <v>22729</v>
      </c>
      <c r="G248">
        <v>0</v>
      </c>
      <c r="I248">
        <v>2808</v>
      </c>
      <c r="J248">
        <v>40292</v>
      </c>
      <c r="K248">
        <v>0</v>
      </c>
      <c r="L248">
        <v>0</v>
      </c>
      <c r="M248">
        <v>0</v>
      </c>
      <c r="N248">
        <v>12397</v>
      </c>
      <c r="O248">
        <v>0</v>
      </c>
      <c r="P248">
        <v>0</v>
      </c>
      <c r="R248">
        <v>0</v>
      </c>
      <c r="S248">
        <v>0</v>
      </c>
      <c r="T248" t="s">
        <v>184</v>
      </c>
      <c r="U248">
        <v>6</v>
      </c>
      <c r="V248" t="s">
        <v>87</v>
      </c>
      <c r="W248" t="s">
        <v>123</v>
      </c>
      <c r="X248" t="s">
        <v>108</v>
      </c>
      <c r="Y248" t="s">
        <v>89</v>
      </c>
      <c r="Z248">
        <v>1</v>
      </c>
      <c r="AA248">
        <f>IF(AND(D248&gt;=配装计算器!$I$29,D248&lt;=配装计算器!$I$30),1,0)</f>
        <v>1</v>
      </c>
      <c r="AB248">
        <f t="shared" si="56"/>
        <v>1</v>
      </c>
      <c r="AC248">
        <f t="shared" si="57"/>
        <v>0</v>
      </c>
      <c r="AD248">
        <f t="shared" si="58"/>
        <v>0</v>
      </c>
      <c r="AE248">
        <f t="shared" si="59"/>
        <v>0</v>
      </c>
      <c r="AF248">
        <f t="shared" si="60"/>
        <v>1</v>
      </c>
      <c r="AG248">
        <f t="shared" si="61"/>
        <v>0</v>
      </c>
      <c r="AH248">
        <f t="shared" si="62"/>
        <v>0</v>
      </c>
      <c r="AI248">
        <f t="shared" si="63"/>
        <v>1</v>
      </c>
      <c r="AJ248">
        <f t="shared" si="64"/>
        <v>1</v>
      </c>
      <c r="AK248">
        <f>SUM(AJ$2:$AJ248)</f>
        <v>247</v>
      </c>
    </row>
    <row r="249" spans="1:37">
      <c r="A249" t="s">
        <v>672</v>
      </c>
      <c r="B249" t="s">
        <v>868</v>
      </c>
      <c r="C249" t="s">
        <v>869</v>
      </c>
      <c r="D249">
        <v>41400</v>
      </c>
      <c r="E249" t="s">
        <v>870</v>
      </c>
      <c r="F249">
        <v>22729</v>
      </c>
      <c r="G249">
        <v>0</v>
      </c>
      <c r="I249">
        <v>8142</v>
      </c>
      <c r="J249">
        <v>15497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R249">
        <v>0</v>
      </c>
      <c r="S249">
        <v>0</v>
      </c>
      <c r="T249" t="s">
        <v>729</v>
      </c>
      <c r="U249">
        <v>6</v>
      </c>
      <c r="V249" t="s">
        <v>87</v>
      </c>
      <c r="W249" t="s">
        <v>185</v>
      </c>
      <c r="X249" t="s">
        <v>108</v>
      </c>
      <c r="Y249" t="s">
        <v>89</v>
      </c>
      <c r="Z249">
        <v>1</v>
      </c>
      <c r="AA249">
        <f>IF(AND(D249&gt;=配装计算器!$I$29,D249&lt;=配装计算器!$I$30),1,0)</f>
        <v>1</v>
      </c>
      <c r="AB249">
        <f t="shared" si="56"/>
        <v>1</v>
      </c>
      <c r="AC249">
        <f t="shared" si="57"/>
        <v>0</v>
      </c>
      <c r="AD249">
        <f t="shared" si="58"/>
        <v>0</v>
      </c>
      <c r="AE249">
        <f t="shared" si="59"/>
        <v>0</v>
      </c>
      <c r="AF249">
        <f t="shared" si="60"/>
        <v>0</v>
      </c>
      <c r="AG249">
        <f t="shared" si="61"/>
        <v>0</v>
      </c>
      <c r="AH249">
        <f t="shared" si="62"/>
        <v>0</v>
      </c>
      <c r="AI249">
        <f t="shared" si="63"/>
        <v>1</v>
      </c>
      <c r="AJ249">
        <f t="shared" si="64"/>
        <v>1</v>
      </c>
      <c r="AK249">
        <f>SUM(AJ$2:$AJ249)</f>
        <v>248</v>
      </c>
    </row>
    <row r="250" spans="1:37">
      <c r="A250" t="s">
        <v>672</v>
      </c>
      <c r="B250" t="s">
        <v>871</v>
      </c>
      <c r="C250" t="s">
        <v>872</v>
      </c>
      <c r="D250">
        <v>41400</v>
      </c>
      <c r="E250" t="s">
        <v>873</v>
      </c>
      <c r="F250">
        <v>22729</v>
      </c>
      <c r="G250">
        <v>0</v>
      </c>
      <c r="I250">
        <v>5615</v>
      </c>
      <c r="J250">
        <v>0</v>
      </c>
      <c r="K250">
        <v>0</v>
      </c>
      <c r="L250">
        <v>0</v>
      </c>
      <c r="M250">
        <v>29444</v>
      </c>
      <c r="N250">
        <v>15497</v>
      </c>
      <c r="O250">
        <v>0</v>
      </c>
      <c r="P250">
        <v>0</v>
      </c>
      <c r="R250">
        <v>0</v>
      </c>
      <c r="S250">
        <v>0</v>
      </c>
      <c r="T250" t="s">
        <v>292</v>
      </c>
      <c r="U250">
        <v>6</v>
      </c>
      <c r="V250" t="s">
        <v>87</v>
      </c>
      <c r="W250" t="s">
        <v>154</v>
      </c>
      <c r="X250" t="s">
        <v>108</v>
      </c>
      <c r="Y250" t="s">
        <v>89</v>
      </c>
      <c r="Z250">
        <v>1</v>
      </c>
      <c r="AA250">
        <f>IF(AND(D250&gt;=配装计算器!$I$29,D250&lt;=配装计算器!$I$30),1,0)</f>
        <v>1</v>
      </c>
      <c r="AB250">
        <f t="shared" si="56"/>
        <v>0</v>
      </c>
      <c r="AC250">
        <f t="shared" si="57"/>
        <v>0</v>
      </c>
      <c r="AD250">
        <f t="shared" si="58"/>
        <v>0</v>
      </c>
      <c r="AE250">
        <f t="shared" si="59"/>
        <v>1</v>
      </c>
      <c r="AF250">
        <f t="shared" si="60"/>
        <v>1</v>
      </c>
      <c r="AG250">
        <f t="shared" si="61"/>
        <v>0</v>
      </c>
      <c r="AH250">
        <f t="shared" si="62"/>
        <v>0</v>
      </c>
      <c r="AI250">
        <f t="shared" si="63"/>
        <v>1</v>
      </c>
      <c r="AJ250">
        <f t="shared" si="64"/>
        <v>1</v>
      </c>
      <c r="AK250">
        <f>SUM(AJ$2:$AJ250)</f>
        <v>249</v>
      </c>
    </row>
    <row r="251" spans="1:37">
      <c r="A251" t="s">
        <v>672</v>
      </c>
      <c r="B251" t="s">
        <v>874</v>
      </c>
      <c r="C251" t="s">
        <v>875</v>
      </c>
      <c r="D251">
        <v>41400</v>
      </c>
      <c r="E251" t="s">
        <v>876</v>
      </c>
      <c r="F251">
        <v>22729</v>
      </c>
      <c r="G251">
        <v>0</v>
      </c>
      <c r="I251">
        <v>8142</v>
      </c>
      <c r="J251">
        <v>0</v>
      </c>
      <c r="K251">
        <v>0</v>
      </c>
      <c r="L251">
        <v>11364</v>
      </c>
      <c r="M251">
        <v>11364</v>
      </c>
      <c r="N251">
        <v>11364</v>
      </c>
      <c r="O251">
        <v>0</v>
      </c>
      <c r="P251">
        <v>0</v>
      </c>
      <c r="R251">
        <v>0</v>
      </c>
      <c r="S251">
        <v>0</v>
      </c>
      <c r="T251" t="s">
        <v>296</v>
      </c>
      <c r="U251">
        <v>6</v>
      </c>
      <c r="V251" t="s">
        <v>87</v>
      </c>
      <c r="W251" t="s">
        <v>135</v>
      </c>
      <c r="X251" t="s">
        <v>108</v>
      </c>
      <c r="Y251" t="s">
        <v>89</v>
      </c>
      <c r="Z251">
        <v>1</v>
      </c>
      <c r="AA251">
        <f>IF(AND(D251&gt;=配装计算器!$I$29,D251&lt;=配装计算器!$I$30),1,0)</f>
        <v>1</v>
      </c>
      <c r="AB251">
        <f t="shared" si="56"/>
        <v>0</v>
      </c>
      <c r="AC251">
        <f t="shared" si="57"/>
        <v>0</v>
      </c>
      <c r="AD251">
        <f t="shared" si="58"/>
        <v>1</v>
      </c>
      <c r="AE251">
        <f t="shared" si="59"/>
        <v>1</v>
      </c>
      <c r="AF251">
        <f t="shared" si="60"/>
        <v>1</v>
      </c>
      <c r="AG251">
        <f t="shared" si="61"/>
        <v>0</v>
      </c>
      <c r="AH251">
        <f t="shared" si="62"/>
        <v>0</v>
      </c>
      <c r="AI251">
        <f t="shared" si="63"/>
        <v>1</v>
      </c>
      <c r="AJ251">
        <f t="shared" si="64"/>
        <v>1</v>
      </c>
      <c r="AK251">
        <f>SUM(AJ$2:$AJ251)</f>
        <v>250</v>
      </c>
    </row>
    <row r="252" spans="1:37">
      <c r="A252" t="s">
        <v>672</v>
      </c>
      <c r="B252" t="s">
        <v>877</v>
      </c>
      <c r="C252" t="s">
        <v>878</v>
      </c>
      <c r="D252">
        <v>41400</v>
      </c>
      <c r="E252" t="s">
        <v>879</v>
      </c>
      <c r="F252">
        <v>22729</v>
      </c>
      <c r="G252">
        <v>0</v>
      </c>
      <c r="I252">
        <v>9546</v>
      </c>
      <c r="J252">
        <v>0</v>
      </c>
      <c r="K252">
        <v>0</v>
      </c>
      <c r="L252">
        <v>0</v>
      </c>
      <c r="M252">
        <v>0</v>
      </c>
      <c r="N252">
        <v>26861</v>
      </c>
      <c r="O252">
        <v>0</v>
      </c>
      <c r="P252">
        <v>0</v>
      </c>
      <c r="R252">
        <v>0</v>
      </c>
      <c r="S252">
        <v>0</v>
      </c>
      <c r="T252" t="s">
        <v>300</v>
      </c>
      <c r="U252">
        <v>6</v>
      </c>
      <c r="V252" t="s">
        <v>87</v>
      </c>
      <c r="W252" t="s">
        <v>135</v>
      </c>
      <c r="X252" t="s">
        <v>108</v>
      </c>
      <c r="Y252" t="s">
        <v>89</v>
      </c>
      <c r="Z252">
        <v>1</v>
      </c>
      <c r="AA252">
        <f>IF(AND(D252&gt;=配装计算器!$I$29,D252&lt;=配装计算器!$I$30),1,0)</f>
        <v>1</v>
      </c>
      <c r="AB252">
        <f t="shared" si="56"/>
        <v>0</v>
      </c>
      <c r="AC252">
        <f t="shared" si="57"/>
        <v>0</v>
      </c>
      <c r="AD252">
        <f t="shared" si="58"/>
        <v>0</v>
      </c>
      <c r="AE252">
        <f t="shared" si="59"/>
        <v>0</v>
      </c>
      <c r="AF252">
        <f t="shared" si="60"/>
        <v>1</v>
      </c>
      <c r="AG252">
        <f t="shared" si="61"/>
        <v>0</v>
      </c>
      <c r="AH252">
        <f t="shared" si="62"/>
        <v>0</v>
      </c>
      <c r="AI252">
        <f t="shared" si="63"/>
        <v>1</v>
      </c>
      <c r="AJ252">
        <f t="shared" si="64"/>
        <v>1</v>
      </c>
      <c r="AK252">
        <f>SUM(AJ$2:$AJ252)</f>
        <v>251</v>
      </c>
    </row>
    <row r="253" spans="1:37">
      <c r="A253" t="s">
        <v>672</v>
      </c>
      <c r="B253" t="s">
        <v>880</v>
      </c>
      <c r="C253" t="s">
        <v>881</v>
      </c>
      <c r="D253">
        <v>41400</v>
      </c>
      <c r="E253" t="s">
        <v>882</v>
      </c>
      <c r="F253">
        <v>22729</v>
      </c>
      <c r="G253">
        <v>0</v>
      </c>
      <c r="I253">
        <v>11146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23039</v>
      </c>
      <c r="P253">
        <v>0</v>
      </c>
      <c r="R253">
        <v>0</v>
      </c>
      <c r="S253">
        <v>0</v>
      </c>
      <c r="T253" t="s">
        <v>526</v>
      </c>
      <c r="U253">
        <v>6</v>
      </c>
      <c r="V253" t="s">
        <v>87</v>
      </c>
      <c r="W253" t="s">
        <v>94</v>
      </c>
      <c r="X253" t="s">
        <v>154</v>
      </c>
      <c r="Y253" t="s">
        <v>89</v>
      </c>
      <c r="Z253">
        <v>1</v>
      </c>
      <c r="AA253">
        <f>IF(AND(D253&gt;=配装计算器!$I$29,D253&lt;=配装计算器!$I$30),1,0)</f>
        <v>1</v>
      </c>
      <c r="AB253">
        <f t="shared" si="56"/>
        <v>0</v>
      </c>
      <c r="AC253">
        <f t="shared" si="57"/>
        <v>0</v>
      </c>
      <c r="AD253">
        <f t="shared" si="58"/>
        <v>0</v>
      </c>
      <c r="AE253">
        <f t="shared" si="59"/>
        <v>0</v>
      </c>
      <c r="AF253">
        <f t="shared" si="60"/>
        <v>0</v>
      </c>
      <c r="AG253">
        <f t="shared" si="61"/>
        <v>1</v>
      </c>
      <c r="AH253">
        <f t="shared" si="62"/>
        <v>0</v>
      </c>
      <c r="AI253">
        <f t="shared" si="63"/>
        <v>1</v>
      </c>
      <c r="AJ253">
        <f t="shared" si="64"/>
        <v>1</v>
      </c>
      <c r="AK253">
        <f>SUM(AJ$2:$AJ253)</f>
        <v>252</v>
      </c>
    </row>
    <row r="254" spans="1:37">
      <c r="A254" t="s">
        <v>672</v>
      </c>
      <c r="B254" t="s">
        <v>883</v>
      </c>
      <c r="C254" t="s">
        <v>884</v>
      </c>
      <c r="D254">
        <v>41400</v>
      </c>
      <c r="E254" t="s">
        <v>885</v>
      </c>
      <c r="F254">
        <v>22729</v>
      </c>
      <c r="G254">
        <v>0</v>
      </c>
      <c r="I254">
        <v>6738</v>
      </c>
      <c r="J254">
        <v>0</v>
      </c>
      <c r="K254">
        <v>0</v>
      </c>
      <c r="L254">
        <v>14464</v>
      </c>
      <c r="M254">
        <v>0</v>
      </c>
      <c r="N254">
        <v>22729</v>
      </c>
      <c r="O254">
        <v>0</v>
      </c>
      <c r="P254">
        <v>0</v>
      </c>
      <c r="R254">
        <v>0</v>
      </c>
      <c r="S254">
        <v>0</v>
      </c>
      <c r="T254" t="s">
        <v>308</v>
      </c>
      <c r="U254">
        <v>6</v>
      </c>
      <c r="V254" t="s">
        <v>87</v>
      </c>
      <c r="W254" t="s">
        <v>135</v>
      </c>
      <c r="X254" t="s">
        <v>123</v>
      </c>
      <c r="Y254" t="s">
        <v>89</v>
      </c>
      <c r="Z254">
        <v>1</v>
      </c>
      <c r="AA254">
        <f>IF(AND(D254&gt;=配装计算器!$I$29,D254&lt;=配装计算器!$I$30),1,0)</f>
        <v>1</v>
      </c>
      <c r="AB254">
        <f t="shared" si="56"/>
        <v>0</v>
      </c>
      <c r="AC254">
        <f t="shared" si="57"/>
        <v>0</v>
      </c>
      <c r="AD254">
        <f t="shared" si="58"/>
        <v>1</v>
      </c>
      <c r="AE254">
        <f t="shared" si="59"/>
        <v>0</v>
      </c>
      <c r="AF254">
        <f t="shared" si="60"/>
        <v>1</v>
      </c>
      <c r="AG254">
        <f t="shared" si="61"/>
        <v>0</v>
      </c>
      <c r="AH254">
        <f t="shared" si="62"/>
        <v>0</v>
      </c>
      <c r="AI254">
        <f t="shared" si="63"/>
        <v>1</v>
      </c>
      <c r="AJ254">
        <f t="shared" si="64"/>
        <v>1</v>
      </c>
      <c r="AK254">
        <f>SUM(AJ$2:$AJ254)</f>
        <v>253</v>
      </c>
    </row>
    <row r="255" spans="1:37">
      <c r="A255" t="s">
        <v>672</v>
      </c>
      <c r="B255" t="s">
        <v>886</v>
      </c>
      <c r="C255" t="s">
        <v>887</v>
      </c>
      <c r="D255">
        <v>41400</v>
      </c>
      <c r="E255" t="s">
        <v>888</v>
      </c>
      <c r="F255">
        <v>22729</v>
      </c>
      <c r="G255">
        <v>0</v>
      </c>
      <c r="I255">
        <v>8142</v>
      </c>
      <c r="J255">
        <v>11364</v>
      </c>
      <c r="K255">
        <v>0</v>
      </c>
      <c r="L255">
        <v>0</v>
      </c>
      <c r="M255">
        <v>11364</v>
      </c>
      <c r="N255">
        <v>11364</v>
      </c>
      <c r="O255">
        <v>0</v>
      </c>
      <c r="P255">
        <v>0</v>
      </c>
      <c r="R255">
        <v>0</v>
      </c>
      <c r="S255">
        <v>0</v>
      </c>
      <c r="T255" t="s">
        <v>312</v>
      </c>
      <c r="U255">
        <v>6</v>
      </c>
      <c r="V255" t="s">
        <v>87</v>
      </c>
      <c r="W255" t="s">
        <v>94</v>
      </c>
      <c r="X255" t="s">
        <v>108</v>
      </c>
      <c r="Y255" t="s">
        <v>89</v>
      </c>
      <c r="Z255">
        <v>1</v>
      </c>
      <c r="AA255">
        <f>IF(AND(D255&gt;=配装计算器!$I$29,D255&lt;=配装计算器!$I$30),1,0)</f>
        <v>1</v>
      </c>
      <c r="AB255">
        <f t="shared" si="56"/>
        <v>1</v>
      </c>
      <c r="AC255">
        <f t="shared" si="57"/>
        <v>0</v>
      </c>
      <c r="AD255">
        <f t="shared" si="58"/>
        <v>0</v>
      </c>
      <c r="AE255">
        <f t="shared" si="59"/>
        <v>1</v>
      </c>
      <c r="AF255">
        <f t="shared" si="60"/>
        <v>1</v>
      </c>
      <c r="AG255">
        <f t="shared" si="61"/>
        <v>0</v>
      </c>
      <c r="AH255">
        <f t="shared" si="62"/>
        <v>0</v>
      </c>
      <c r="AI255">
        <f t="shared" si="63"/>
        <v>1</v>
      </c>
      <c r="AJ255">
        <f t="shared" si="64"/>
        <v>1</v>
      </c>
      <c r="AK255">
        <f>SUM(AJ$2:$AJ255)</f>
        <v>254</v>
      </c>
    </row>
    <row r="256" spans="1:37">
      <c r="A256" t="s">
        <v>672</v>
      </c>
      <c r="B256" t="s">
        <v>889</v>
      </c>
      <c r="C256" t="s">
        <v>890</v>
      </c>
      <c r="D256">
        <v>41400</v>
      </c>
      <c r="E256" t="s">
        <v>891</v>
      </c>
      <c r="F256">
        <v>22729</v>
      </c>
      <c r="G256">
        <v>0</v>
      </c>
      <c r="I256">
        <v>6738</v>
      </c>
      <c r="J256">
        <v>14464</v>
      </c>
      <c r="K256">
        <v>0</v>
      </c>
      <c r="L256">
        <v>0</v>
      </c>
      <c r="M256">
        <v>0</v>
      </c>
      <c r="N256">
        <v>22729</v>
      </c>
      <c r="O256">
        <v>0</v>
      </c>
      <c r="P256">
        <v>0</v>
      </c>
      <c r="R256">
        <v>0</v>
      </c>
      <c r="S256">
        <v>0</v>
      </c>
      <c r="T256" t="s">
        <v>316</v>
      </c>
      <c r="U256">
        <v>6</v>
      </c>
      <c r="V256" t="s">
        <v>87</v>
      </c>
      <c r="W256" t="s">
        <v>123</v>
      </c>
      <c r="X256" t="s">
        <v>108</v>
      </c>
      <c r="Y256" t="s">
        <v>89</v>
      </c>
      <c r="Z256">
        <v>1</v>
      </c>
      <c r="AA256">
        <f>IF(AND(D256&gt;=配装计算器!$I$29,D256&lt;=配装计算器!$I$30),1,0)</f>
        <v>1</v>
      </c>
      <c r="AB256">
        <f t="shared" si="56"/>
        <v>1</v>
      </c>
      <c r="AC256">
        <f t="shared" si="57"/>
        <v>0</v>
      </c>
      <c r="AD256">
        <f t="shared" si="58"/>
        <v>0</v>
      </c>
      <c r="AE256">
        <f t="shared" si="59"/>
        <v>0</v>
      </c>
      <c r="AF256">
        <f t="shared" si="60"/>
        <v>1</v>
      </c>
      <c r="AG256">
        <f t="shared" si="61"/>
        <v>0</v>
      </c>
      <c r="AH256">
        <f t="shared" si="62"/>
        <v>0</v>
      </c>
      <c r="AI256">
        <f t="shared" si="63"/>
        <v>1</v>
      </c>
      <c r="AJ256">
        <f t="shared" si="64"/>
        <v>1</v>
      </c>
      <c r="AK256">
        <f>SUM(AJ$2:$AJ256)</f>
        <v>255</v>
      </c>
    </row>
    <row r="257" spans="1:37">
      <c r="A257" t="s">
        <v>672</v>
      </c>
      <c r="B257" t="s">
        <v>892</v>
      </c>
      <c r="C257" t="s">
        <v>893</v>
      </c>
      <c r="D257">
        <v>41400</v>
      </c>
      <c r="E257" t="s">
        <v>894</v>
      </c>
      <c r="F257">
        <v>22729</v>
      </c>
      <c r="G257">
        <v>0</v>
      </c>
      <c r="I257">
        <v>8142</v>
      </c>
      <c r="J257">
        <v>11364</v>
      </c>
      <c r="K257">
        <v>0</v>
      </c>
      <c r="L257">
        <v>11364</v>
      </c>
      <c r="M257">
        <v>0</v>
      </c>
      <c r="N257">
        <v>11364</v>
      </c>
      <c r="O257">
        <v>0</v>
      </c>
      <c r="P257">
        <v>0</v>
      </c>
      <c r="R257">
        <v>0</v>
      </c>
      <c r="S257">
        <v>0</v>
      </c>
      <c r="T257" t="s">
        <v>320</v>
      </c>
      <c r="U257">
        <v>6</v>
      </c>
      <c r="V257" t="s">
        <v>87</v>
      </c>
      <c r="W257" t="s">
        <v>185</v>
      </c>
      <c r="X257" t="s">
        <v>123</v>
      </c>
      <c r="Y257" t="s">
        <v>89</v>
      </c>
      <c r="Z257">
        <v>1</v>
      </c>
      <c r="AA257">
        <f>IF(AND(D257&gt;=配装计算器!$I$29,D257&lt;=配装计算器!$I$30),1,0)</f>
        <v>1</v>
      </c>
      <c r="AB257">
        <f t="shared" si="56"/>
        <v>1</v>
      </c>
      <c r="AC257">
        <f t="shared" si="57"/>
        <v>0</v>
      </c>
      <c r="AD257">
        <f t="shared" si="58"/>
        <v>1</v>
      </c>
      <c r="AE257">
        <f t="shared" si="59"/>
        <v>0</v>
      </c>
      <c r="AF257">
        <f t="shared" si="60"/>
        <v>1</v>
      </c>
      <c r="AG257">
        <f t="shared" si="61"/>
        <v>0</v>
      </c>
      <c r="AH257">
        <f t="shared" si="62"/>
        <v>0</v>
      </c>
      <c r="AI257">
        <f t="shared" si="63"/>
        <v>1</v>
      </c>
      <c r="AJ257">
        <f t="shared" si="64"/>
        <v>1</v>
      </c>
      <c r="AK257">
        <f>SUM(AJ$2:$AJ257)</f>
        <v>256</v>
      </c>
    </row>
    <row r="258" spans="1:37">
      <c r="A258" t="s">
        <v>672</v>
      </c>
      <c r="B258" t="s">
        <v>895</v>
      </c>
      <c r="C258" t="s">
        <v>896</v>
      </c>
      <c r="D258">
        <v>42100</v>
      </c>
      <c r="E258" t="s">
        <v>897</v>
      </c>
      <c r="F258">
        <v>23113</v>
      </c>
      <c r="G258">
        <v>1886</v>
      </c>
      <c r="I258">
        <v>4283</v>
      </c>
      <c r="J258">
        <v>15759</v>
      </c>
      <c r="K258">
        <v>0</v>
      </c>
      <c r="L258">
        <v>0</v>
      </c>
      <c r="M258">
        <v>0</v>
      </c>
      <c r="N258">
        <v>12607</v>
      </c>
      <c r="O258">
        <v>0</v>
      </c>
      <c r="P258">
        <v>0</v>
      </c>
      <c r="R258">
        <v>0</v>
      </c>
      <c r="S258">
        <v>0</v>
      </c>
      <c r="T258" t="s">
        <v>102</v>
      </c>
      <c r="U258">
        <v>6</v>
      </c>
      <c r="V258" t="s">
        <v>327</v>
      </c>
      <c r="W258" t="s">
        <v>154</v>
      </c>
      <c r="X258" t="s">
        <v>94</v>
      </c>
      <c r="Y258" t="s">
        <v>89</v>
      </c>
      <c r="Z258">
        <v>1</v>
      </c>
      <c r="AA258">
        <f>IF(AND(D258&gt;=配装计算器!$I$29,D258&lt;=配装计算器!$I$30),1,0)</f>
        <v>1</v>
      </c>
      <c r="AB258">
        <f t="shared" si="56"/>
        <v>1</v>
      </c>
      <c r="AC258">
        <f t="shared" si="57"/>
        <v>0</v>
      </c>
      <c r="AD258">
        <f t="shared" si="58"/>
        <v>0</v>
      </c>
      <c r="AE258">
        <f t="shared" si="59"/>
        <v>0</v>
      </c>
      <c r="AF258">
        <f t="shared" si="60"/>
        <v>1</v>
      </c>
      <c r="AG258">
        <f t="shared" si="61"/>
        <v>0</v>
      </c>
      <c r="AH258">
        <f t="shared" si="62"/>
        <v>0</v>
      </c>
      <c r="AI258">
        <f t="shared" si="63"/>
        <v>0</v>
      </c>
      <c r="AJ258">
        <f t="shared" si="64"/>
        <v>1</v>
      </c>
      <c r="AK258">
        <f>SUM(AJ$2:$AJ258)</f>
        <v>257</v>
      </c>
    </row>
    <row r="259" spans="1:37">
      <c r="A259" t="s">
        <v>672</v>
      </c>
      <c r="B259" t="s">
        <v>898</v>
      </c>
      <c r="C259" t="s">
        <v>899</v>
      </c>
      <c r="D259">
        <v>42400</v>
      </c>
      <c r="E259" t="s">
        <v>900</v>
      </c>
      <c r="F259">
        <v>23278</v>
      </c>
      <c r="G259">
        <v>1763</v>
      </c>
      <c r="I259">
        <v>2875</v>
      </c>
      <c r="J259">
        <v>15871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6348</v>
      </c>
      <c r="R259">
        <v>0</v>
      </c>
      <c r="S259">
        <v>0</v>
      </c>
      <c r="T259" t="s">
        <v>93</v>
      </c>
      <c r="U259">
        <v>6</v>
      </c>
      <c r="V259" t="s">
        <v>145</v>
      </c>
      <c r="W259" t="s">
        <v>88</v>
      </c>
      <c r="X259" t="s">
        <v>94</v>
      </c>
      <c r="Y259" t="s">
        <v>89</v>
      </c>
      <c r="Z259">
        <v>2</v>
      </c>
      <c r="AA259">
        <f>IF(AND(D259&gt;=配装计算器!$I$29,D259&lt;=配装计算器!$I$30),1,0)</f>
        <v>1</v>
      </c>
      <c r="AB259">
        <f t="shared" si="56"/>
        <v>1</v>
      </c>
      <c r="AC259">
        <f t="shared" si="57"/>
        <v>0</v>
      </c>
      <c r="AD259">
        <f t="shared" si="58"/>
        <v>0</v>
      </c>
      <c r="AE259">
        <f t="shared" si="59"/>
        <v>0</v>
      </c>
      <c r="AF259">
        <f t="shared" si="60"/>
        <v>0</v>
      </c>
      <c r="AG259">
        <f t="shared" si="61"/>
        <v>0</v>
      </c>
      <c r="AH259">
        <f t="shared" si="62"/>
        <v>1</v>
      </c>
      <c r="AI259">
        <f t="shared" si="63"/>
        <v>0</v>
      </c>
      <c r="AJ259">
        <f t="shared" si="64"/>
        <v>1</v>
      </c>
      <c r="AK259">
        <f>SUM(AJ$2:$AJ259)</f>
        <v>258</v>
      </c>
    </row>
    <row r="260" spans="1:37">
      <c r="A260" t="s">
        <v>901</v>
      </c>
      <c r="B260" t="s">
        <v>902</v>
      </c>
      <c r="C260" t="s">
        <v>903</v>
      </c>
      <c r="D260">
        <v>30200</v>
      </c>
      <c r="E260" t="s">
        <v>904</v>
      </c>
      <c r="F260">
        <v>14922</v>
      </c>
      <c r="G260">
        <v>1130</v>
      </c>
      <c r="I260">
        <v>1843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10174</v>
      </c>
      <c r="P260">
        <v>4070</v>
      </c>
      <c r="R260">
        <v>0</v>
      </c>
      <c r="S260">
        <v>0</v>
      </c>
      <c r="T260" t="s">
        <v>228</v>
      </c>
      <c r="U260">
        <v>6</v>
      </c>
      <c r="V260" t="s">
        <v>87</v>
      </c>
      <c r="W260" t="s">
        <v>94</v>
      </c>
      <c r="X260" t="s">
        <v>229</v>
      </c>
      <c r="Y260" t="s">
        <v>89</v>
      </c>
      <c r="Z260">
        <v>2</v>
      </c>
      <c r="AA260">
        <f>IF(AND(D260&gt;=配装计算器!$I$29,D260&lt;=配装计算器!$I$30),1,0)</f>
        <v>1</v>
      </c>
      <c r="AB260">
        <f t="shared" si="56"/>
        <v>0</v>
      </c>
      <c r="AC260">
        <f t="shared" si="57"/>
        <v>0</v>
      </c>
      <c r="AD260">
        <f t="shared" si="58"/>
        <v>0</v>
      </c>
      <c r="AE260">
        <f t="shared" si="59"/>
        <v>0</v>
      </c>
      <c r="AF260">
        <f t="shared" si="60"/>
        <v>0</v>
      </c>
      <c r="AG260">
        <f t="shared" si="61"/>
        <v>1</v>
      </c>
      <c r="AH260">
        <f t="shared" si="62"/>
        <v>1</v>
      </c>
      <c r="AI260">
        <f t="shared" si="63"/>
        <v>0</v>
      </c>
      <c r="AJ260">
        <f t="shared" si="64"/>
        <v>1</v>
      </c>
      <c r="AK260">
        <f>SUM(AJ$2:$AJ260)</f>
        <v>259</v>
      </c>
    </row>
    <row r="261" spans="1:37">
      <c r="A261" t="s">
        <v>901</v>
      </c>
      <c r="B261" t="s">
        <v>905</v>
      </c>
      <c r="C261" t="s">
        <v>906</v>
      </c>
      <c r="D261">
        <v>30200</v>
      </c>
      <c r="E261" t="s">
        <v>907</v>
      </c>
      <c r="F261">
        <v>14922</v>
      </c>
      <c r="G261">
        <v>1130</v>
      </c>
      <c r="I261">
        <v>1843</v>
      </c>
      <c r="J261">
        <v>10174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4070</v>
      </c>
      <c r="R261">
        <v>0</v>
      </c>
      <c r="S261">
        <v>0</v>
      </c>
      <c r="T261" t="s">
        <v>93</v>
      </c>
      <c r="U261">
        <v>6</v>
      </c>
      <c r="V261" t="s">
        <v>87</v>
      </c>
      <c r="W261" t="s">
        <v>94</v>
      </c>
      <c r="X261" t="s">
        <v>185</v>
      </c>
      <c r="Y261" t="s">
        <v>89</v>
      </c>
      <c r="Z261">
        <v>2</v>
      </c>
      <c r="AA261">
        <f>IF(AND(D261&gt;=配装计算器!$I$29,D261&lt;=配装计算器!$I$30),1,0)</f>
        <v>1</v>
      </c>
      <c r="AB261">
        <f t="shared" si="56"/>
        <v>1</v>
      </c>
      <c r="AC261">
        <f t="shared" si="57"/>
        <v>0</v>
      </c>
      <c r="AD261">
        <f t="shared" si="58"/>
        <v>0</v>
      </c>
      <c r="AE261">
        <f t="shared" si="59"/>
        <v>0</v>
      </c>
      <c r="AF261">
        <f t="shared" si="60"/>
        <v>0</v>
      </c>
      <c r="AG261">
        <f t="shared" si="61"/>
        <v>0</v>
      </c>
      <c r="AH261">
        <f t="shared" si="62"/>
        <v>1</v>
      </c>
      <c r="AI261">
        <f t="shared" si="63"/>
        <v>0</v>
      </c>
      <c r="AJ261">
        <f t="shared" si="64"/>
        <v>1</v>
      </c>
      <c r="AK261">
        <f>SUM(AJ$2:$AJ261)</f>
        <v>260</v>
      </c>
    </row>
    <row r="262" spans="1:37">
      <c r="A262" t="s">
        <v>901</v>
      </c>
      <c r="B262" t="s">
        <v>908</v>
      </c>
      <c r="C262" t="s">
        <v>909</v>
      </c>
      <c r="D262">
        <v>30200</v>
      </c>
      <c r="E262" t="s">
        <v>910</v>
      </c>
      <c r="F262">
        <v>14922</v>
      </c>
      <c r="G262">
        <v>1130</v>
      </c>
      <c r="I262">
        <v>1843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10174</v>
      </c>
      <c r="P262">
        <v>4070</v>
      </c>
      <c r="R262">
        <v>0</v>
      </c>
      <c r="S262">
        <v>0</v>
      </c>
      <c r="T262" t="s">
        <v>228</v>
      </c>
      <c r="U262">
        <v>6</v>
      </c>
      <c r="V262" t="s">
        <v>98</v>
      </c>
      <c r="W262" t="s">
        <v>94</v>
      </c>
      <c r="X262" t="s">
        <v>229</v>
      </c>
      <c r="Y262" t="s">
        <v>89</v>
      </c>
      <c r="Z262">
        <v>2</v>
      </c>
      <c r="AA262">
        <f>IF(AND(D262&gt;=配装计算器!$I$29,D262&lt;=配装计算器!$I$30),1,0)</f>
        <v>1</v>
      </c>
      <c r="AB262">
        <f t="shared" ref="AB262:AB327" si="65">IF(J262&gt;0,1,0)</f>
        <v>0</v>
      </c>
      <c r="AC262">
        <f t="shared" ref="AC262:AC327" si="66">IF(K262&gt;0,1,0)</f>
        <v>0</v>
      </c>
      <c r="AD262">
        <f t="shared" ref="AD262:AD327" si="67">IF(L262&gt;0,1,0)</f>
        <v>0</v>
      </c>
      <c r="AE262">
        <f t="shared" ref="AE262:AE327" si="68">IF(M262&gt;0,1,0)</f>
        <v>0</v>
      </c>
      <c r="AF262">
        <f t="shared" ref="AF262:AF327" si="69">IF(N262&gt;0,1,0)</f>
        <v>0</v>
      </c>
      <c r="AG262">
        <f t="shared" ref="AG262:AG327" si="70">IF(O262&gt;0,1,0)</f>
        <v>1</v>
      </c>
      <c r="AH262">
        <f t="shared" ref="AH262:AH327" si="71">IF(P262&gt;0,1,0)</f>
        <v>1</v>
      </c>
      <c r="AI262">
        <f t="shared" ref="AI262:AI327" si="72">IF(COUNTIF(T262,"*"&amp;"精简"&amp;"*")&gt;0,1,0)</f>
        <v>0</v>
      </c>
      <c r="AJ262">
        <f t="shared" ref="AJ262:AJ327" si="73">MIN(1,AA262*($AY$2+IF(AND(AB262&gt;=$AQ$3,AC262&gt;=$AR$3,AD262&gt;=$AS$3,AE262&gt;=$AT$3,AF262&gt;=$AU$3,AG262&gt;=$AV$3,AH262&gt;=$AW$3,AI262&gt;=$AX$3),1,0)))</f>
        <v>1</v>
      </c>
      <c r="AK262">
        <f>SUM(AJ$2:$AJ262)</f>
        <v>261</v>
      </c>
    </row>
    <row r="263" spans="1:37">
      <c r="A263" t="s">
        <v>901</v>
      </c>
      <c r="B263" t="s">
        <v>911</v>
      </c>
      <c r="C263" t="s">
        <v>912</v>
      </c>
      <c r="D263">
        <v>30200</v>
      </c>
      <c r="E263" t="s">
        <v>913</v>
      </c>
      <c r="F263">
        <v>14922</v>
      </c>
      <c r="G263">
        <v>1217</v>
      </c>
      <c r="I263">
        <v>2765</v>
      </c>
      <c r="J263">
        <v>0</v>
      </c>
      <c r="K263">
        <v>0</v>
      </c>
      <c r="L263">
        <v>10174</v>
      </c>
      <c r="M263">
        <v>0</v>
      </c>
      <c r="N263">
        <v>8139</v>
      </c>
      <c r="O263">
        <v>0</v>
      </c>
      <c r="P263">
        <v>0</v>
      </c>
      <c r="R263">
        <v>0</v>
      </c>
      <c r="S263">
        <v>0</v>
      </c>
      <c r="T263" t="s">
        <v>122</v>
      </c>
      <c r="U263">
        <v>6</v>
      </c>
      <c r="V263" t="s">
        <v>240</v>
      </c>
      <c r="W263" t="s">
        <v>88</v>
      </c>
      <c r="X263" t="s">
        <v>135</v>
      </c>
      <c r="Y263" t="s">
        <v>89</v>
      </c>
      <c r="Z263">
        <v>1</v>
      </c>
      <c r="AA263">
        <f>IF(AND(D263&gt;=配装计算器!$I$29,D263&lt;=配装计算器!$I$30),1,0)</f>
        <v>1</v>
      </c>
      <c r="AB263">
        <f t="shared" si="65"/>
        <v>0</v>
      </c>
      <c r="AC263">
        <f t="shared" si="66"/>
        <v>0</v>
      </c>
      <c r="AD263">
        <f t="shared" si="67"/>
        <v>1</v>
      </c>
      <c r="AE263">
        <f t="shared" si="68"/>
        <v>0</v>
      </c>
      <c r="AF263">
        <f t="shared" si="69"/>
        <v>1</v>
      </c>
      <c r="AG263">
        <f t="shared" si="70"/>
        <v>0</v>
      </c>
      <c r="AH263">
        <f t="shared" si="71"/>
        <v>0</v>
      </c>
      <c r="AI263">
        <f t="shared" si="72"/>
        <v>0</v>
      </c>
      <c r="AJ263">
        <f t="shared" si="73"/>
        <v>1</v>
      </c>
      <c r="AK263">
        <f>SUM(AJ$2:$AJ263)</f>
        <v>262</v>
      </c>
    </row>
    <row r="264" spans="1:37">
      <c r="A264" t="s">
        <v>901</v>
      </c>
      <c r="B264" t="s">
        <v>914</v>
      </c>
      <c r="C264" t="s">
        <v>915</v>
      </c>
      <c r="D264">
        <v>30200</v>
      </c>
      <c r="E264" t="s">
        <v>916</v>
      </c>
      <c r="F264">
        <v>14922</v>
      </c>
      <c r="G264">
        <v>1217</v>
      </c>
      <c r="I264">
        <v>2765</v>
      </c>
      <c r="J264">
        <v>10174</v>
      </c>
      <c r="K264">
        <v>0</v>
      </c>
      <c r="L264">
        <v>0</v>
      </c>
      <c r="M264">
        <v>0</v>
      </c>
      <c r="N264">
        <v>8139</v>
      </c>
      <c r="O264">
        <v>0</v>
      </c>
      <c r="P264">
        <v>0</v>
      </c>
      <c r="R264">
        <v>0</v>
      </c>
      <c r="S264">
        <v>0</v>
      </c>
      <c r="T264" t="s">
        <v>102</v>
      </c>
      <c r="U264">
        <v>6</v>
      </c>
      <c r="V264" t="s">
        <v>103</v>
      </c>
      <c r="W264" t="s">
        <v>135</v>
      </c>
      <c r="X264" t="s">
        <v>108</v>
      </c>
      <c r="Y264" t="s">
        <v>89</v>
      </c>
      <c r="Z264">
        <v>1</v>
      </c>
      <c r="AA264">
        <f>IF(AND(D264&gt;=配装计算器!$I$29,D264&lt;=配装计算器!$I$30),1,0)</f>
        <v>1</v>
      </c>
      <c r="AB264">
        <f t="shared" si="65"/>
        <v>1</v>
      </c>
      <c r="AC264">
        <f t="shared" si="66"/>
        <v>0</v>
      </c>
      <c r="AD264">
        <f t="shared" si="67"/>
        <v>0</v>
      </c>
      <c r="AE264">
        <f t="shared" si="68"/>
        <v>0</v>
      </c>
      <c r="AF264">
        <f t="shared" si="69"/>
        <v>1</v>
      </c>
      <c r="AG264">
        <f t="shared" si="70"/>
        <v>0</v>
      </c>
      <c r="AH264">
        <f t="shared" si="71"/>
        <v>0</v>
      </c>
      <c r="AI264">
        <f t="shared" si="72"/>
        <v>0</v>
      </c>
      <c r="AJ264">
        <f t="shared" si="73"/>
        <v>1</v>
      </c>
      <c r="AK264">
        <f>SUM(AJ$2:$AJ264)</f>
        <v>263</v>
      </c>
    </row>
    <row r="265" spans="1:37">
      <c r="A265" t="s">
        <v>901</v>
      </c>
      <c r="B265" t="s">
        <v>917</v>
      </c>
      <c r="C265" t="s">
        <v>918</v>
      </c>
      <c r="D265">
        <v>30200</v>
      </c>
      <c r="E265" t="s">
        <v>919</v>
      </c>
      <c r="F265">
        <v>14922</v>
      </c>
      <c r="G265">
        <v>1217</v>
      </c>
      <c r="I265">
        <v>2765</v>
      </c>
      <c r="J265">
        <v>0</v>
      </c>
      <c r="K265">
        <v>0</v>
      </c>
      <c r="L265">
        <v>0</v>
      </c>
      <c r="M265">
        <v>10174</v>
      </c>
      <c r="N265">
        <v>8139</v>
      </c>
      <c r="O265">
        <v>0</v>
      </c>
      <c r="P265">
        <v>0</v>
      </c>
      <c r="R265">
        <v>0</v>
      </c>
      <c r="S265">
        <v>0</v>
      </c>
      <c r="T265" t="s">
        <v>107</v>
      </c>
      <c r="U265">
        <v>6</v>
      </c>
      <c r="V265" t="s">
        <v>87</v>
      </c>
      <c r="W265" t="s">
        <v>94</v>
      </c>
      <c r="X265" t="s">
        <v>123</v>
      </c>
      <c r="Y265" t="s">
        <v>89</v>
      </c>
      <c r="Z265">
        <v>1</v>
      </c>
      <c r="AA265">
        <f>IF(AND(D265&gt;=配装计算器!$I$29,D265&lt;=配装计算器!$I$30),1,0)</f>
        <v>1</v>
      </c>
      <c r="AB265">
        <f t="shared" si="65"/>
        <v>0</v>
      </c>
      <c r="AC265">
        <f t="shared" si="66"/>
        <v>0</v>
      </c>
      <c r="AD265">
        <f t="shared" si="67"/>
        <v>0</v>
      </c>
      <c r="AE265">
        <f t="shared" si="68"/>
        <v>1</v>
      </c>
      <c r="AF265">
        <f t="shared" si="69"/>
        <v>1</v>
      </c>
      <c r="AG265">
        <f t="shared" si="70"/>
        <v>0</v>
      </c>
      <c r="AH265">
        <f t="shared" si="71"/>
        <v>0</v>
      </c>
      <c r="AI265">
        <f t="shared" si="72"/>
        <v>0</v>
      </c>
      <c r="AJ265">
        <f t="shared" si="73"/>
        <v>1</v>
      </c>
      <c r="AK265">
        <f>SUM(AJ$2:$AJ265)</f>
        <v>264</v>
      </c>
    </row>
    <row r="266" spans="1:37">
      <c r="A266" t="s">
        <v>901</v>
      </c>
      <c r="B266" t="s">
        <v>920</v>
      </c>
      <c r="C266" t="s">
        <v>921</v>
      </c>
      <c r="D266">
        <v>30200</v>
      </c>
      <c r="E266" t="s">
        <v>922</v>
      </c>
      <c r="F266">
        <v>14922</v>
      </c>
      <c r="G266">
        <v>1217</v>
      </c>
      <c r="I266">
        <v>2765</v>
      </c>
      <c r="J266">
        <v>0</v>
      </c>
      <c r="K266">
        <v>0</v>
      </c>
      <c r="L266">
        <v>0</v>
      </c>
      <c r="M266">
        <v>0</v>
      </c>
      <c r="N266">
        <v>8139</v>
      </c>
      <c r="O266">
        <v>10174</v>
      </c>
      <c r="P266">
        <v>0</v>
      </c>
      <c r="R266">
        <v>0</v>
      </c>
      <c r="S266">
        <v>0</v>
      </c>
      <c r="T266" t="s">
        <v>115</v>
      </c>
      <c r="U266">
        <v>6</v>
      </c>
      <c r="V266" t="s">
        <v>87</v>
      </c>
      <c r="W266" t="s">
        <v>108</v>
      </c>
      <c r="X266" t="s">
        <v>123</v>
      </c>
      <c r="Y266" t="s">
        <v>89</v>
      </c>
      <c r="Z266">
        <v>1</v>
      </c>
      <c r="AA266">
        <f>IF(AND(D266&gt;=配装计算器!$I$29,D266&lt;=配装计算器!$I$30),1,0)</f>
        <v>1</v>
      </c>
      <c r="AB266">
        <f t="shared" si="65"/>
        <v>0</v>
      </c>
      <c r="AC266">
        <f t="shared" si="66"/>
        <v>0</v>
      </c>
      <c r="AD266">
        <f t="shared" si="67"/>
        <v>0</v>
      </c>
      <c r="AE266">
        <f t="shared" si="68"/>
        <v>0</v>
      </c>
      <c r="AF266">
        <f t="shared" si="69"/>
        <v>1</v>
      </c>
      <c r="AG266">
        <f t="shared" si="70"/>
        <v>1</v>
      </c>
      <c r="AH266">
        <f t="shared" si="71"/>
        <v>0</v>
      </c>
      <c r="AI266">
        <f t="shared" si="72"/>
        <v>0</v>
      </c>
      <c r="AJ266">
        <f t="shared" si="73"/>
        <v>1</v>
      </c>
      <c r="AK266">
        <f>SUM(AJ$2:$AJ266)</f>
        <v>265</v>
      </c>
    </row>
    <row r="267" spans="1:37">
      <c r="A267" t="s">
        <v>901</v>
      </c>
      <c r="B267" t="s">
        <v>923</v>
      </c>
      <c r="C267" t="s">
        <v>924</v>
      </c>
      <c r="D267">
        <v>30200</v>
      </c>
      <c r="E267" t="s">
        <v>925</v>
      </c>
      <c r="F267">
        <v>14922</v>
      </c>
      <c r="G267">
        <v>1217</v>
      </c>
      <c r="I267">
        <v>2765</v>
      </c>
      <c r="J267">
        <v>0</v>
      </c>
      <c r="K267">
        <v>0</v>
      </c>
      <c r="L267">
        <v>0</v>
      </c>
      <c r="M267">
        <v>0</v>
      </c>
      <c r="N267">
        <v>8139</v>
      </c>
      <c r="O267">
        <v>10174</v>
      </c>
      <c r="P267">
        <v>0</v>
      </c>
      <c r="R267">
        <v>0</v>
      </c>
      <c r="S267">
        <v>0</v>
      </c>
      <c r="T267" t="s">
        <v>115</v>
      </c>
      <c r="U267">
        <v>6</v>
      </c>
      <c r="V267" t="s">
        <v>87</v>
      </c>
      <c r="W267" t="s">
        <v>108</v>
      </c>
      <c r="X267" t="s">
        <v>123</v>
      </c>
      <c r="Y267" t="s">
        <v>89</v>
      </c>
      <c r="Z267">
        <v>1</v>
      </c>
      <c r="AA267">
        <f>IF(AND(D267&gt;=配装计算器!$I$29,D267&lt;=配装计算器!$I$30),1,0)</f>
        <v>1</v>
      </c>
      <c r="AB267">
        <f t="shared" si="65"/>
        <v>0</v>
      </c>
      <c r="AC267">
        <f t="shared" si="66"/>
        <v>0</v>
      </c>
      <c r="AD267">
        <f t="shared" si="67"/>
        <v>0</v>
      </c>
      <c r="AE267">
        <f t="shared" si="68"/>
        <v>0</v>
      </c>
      <c r="AF267">
        <f t="shared" si="69"/>
        <v>1</v>
      </c>
      <c r="AG267">
        <f t="shared" si="70"/>
        <v>1</v>
      </c>
      <c r="AH267">
        <f t="shared" si="71"/>
        <v>0</v>
      </c>
      <c r="AI267">
        <f t="shared" si="72"/>
        <v>0</v>
      </c>
      <c r="AJ267">
        <f t="shared" si="73"/>
        <v>1</v>
      </c>
      <c r="AK267">
        <f>SUM(AJ$2:$AJ267)</f>
        <v>266</v>
      </c>
    </row>
    <row r="268" spans="1:37">
      <c r="A268" t="s">
        <v>901</v>
      </c>
      <c r="B268" t="s">
        <v>926</v>
      </c>
      <c r="C268" t="s">
        <v>927</v>
      </c>
      <c r="D268">
        <v>30200</v>
      </c>
      <c r="E268" t="s">
        <v>928</v>
      </c>
      <c r="F268">
        <v>14922</v>
      </c>
      <c r="G268">
        <v>1217</v>
      </c>
      <c r="I268">
        <v>2765</v>
      </c>
      <c r="J268">
        <v>10174</v>
      </c>
      <c r="K268">
        <v>0</v>
      </c>
      <c r="L268">
        <v>0</v>
      </c>
      <c r="M268">
        <v>0</v>
      </c>
      <c r="N268">
        <v>8139</v>
      </c>
      <c r="O268">
        <v>0</v>
      </c>
      <c r="P268">
        <v>0</v>
      </c>
      <c r="R268">
        <v>0</v>
      </c>
      <c r="S268">
        <v>0</v>
      </c>
      <c r="T268" t="s">
        <v>102</v>
      </c>
      <c r="U268">
        <v>6</v>
      </c>
      <c r="V268" t="s">
        <v>87</v>
      </c>
      <c r="W268" t="s">
        <v>135</v>
      </c>
      <c r="X268" t="s">
        <v>108</v>
      </c>
      <c r="Y268" t="s">
        <v>89</v>
      </c>
      <c r="Z268">
        <v>1</v>
      </c>
      <c r="AA268">
        <f>IF(AND(D268&gt;=配装计算器!$I$29,D268&lt;=配装计算器!$I$30),1,0)</f>
        <v>1</v>
      </c>
      <c r="AB268">
        <f t="shared" si="65"/>
        <v>1</v>
      </c>
      <c r="AC268">
        <f t="shared" si="66"/>
        <v>0</v>
      </c>
      <c r="AD268">
        <f t="shared" si="67"/>
        <v>0</v>
      </c>
      <c r="AE268">
        <f t="shared" si="68"/>
        <v>0</v>
      </c>
      <c r="AF268">
        <f t="shared" si="69"/>
        <v>1</v>
      </c>
      <c r="AG268">
        <f t="shared" si="70"/>
        <v>0</v>
      </c>
      <c r="AH268">
        <f t="shared" si="71"/>
        <v>0</v>
      </c>
      <c r="AI268">
        <f t="shared" si="72"/>
        <v>0</v>
      </c>
      <c r="AJ268">
        <f t="shared" si="73"/>
        <v>1</v>
      </c>
      <c r="AK268">
        <f>SUM(AJ$2:$AJ268)</f>
        <v>267</v>
      </c>
    </row>
    <row r="269" spans="1:37">
      <c r="A269" t="s">
        <v>901</v>
      </c>
      <c r="B269" t="s">
        <v>929</v>
      </c>
      <c r="C269" t="s">
        <v>930</v>
      </c>
      <c r="D269">
        <v>30200</v>
      </c>
      <c r="E269" t="s">
        <v>931</v>
      </c>
      <c r="F269">
        <v>14922</v>
      </c>
      <c r="G269">
        <v>1217</v>
      </c>
      <c r="I269">
        <v>2765</v>
      </c>
      <c r="J269">
        <v>10174</v>
      </c>
      <c r="K269">
        <v>0</v>
      </c>
      <c r="L269">
        <v>0</v>
      </c>
      <c r="M269">
        <v>0</v>
      </c>
      <c r="N269">
        <v>8139</v>
      </c>
      <c r="O269">
        <v>0</v>
      </c>
      <c r="P269">
        <v>0</v>
      </c>
      <c r="R269">
        <v>0</v>
      </c>
      <c r="S269">
        <v>0</v>
      </c>
      <c r="T269" t="s">
        <v>102</v>
      </c>
      <c r="U269">
        <v>6</v>
      </c>
      <c r="V269" t="s">
        <v>87</v>
      </c>
      <c r="W269" t="s">
        <v>135</v>
      </c>
      <c r="X269" t="s">
        <v>108</v>
      </c>
      <c r="Y269" t="s">
        <v>89</v>
      </c>
      <c r="Z269">
        <v>1</v>
      </c>
      <c r="AA269">
        <f>IF(AND(D269&gt;=配装计算器!$I$29,D269&lt;=配装计算器!$I$30),1,0)</f>
        <v>1</v>
      </c>
      <c r="AB269">
        <f t="shared" si="65"/>
        <v>1</v>
      </c>
      <c r="AC269">
        <f t="shared" si="66"/>
        <v>0</v>
      </c>
      <c r="AD269">
        <f t="shared" si="67"/>
        <v>0</v>
      </c>
      <c r="AE269">
        <f t="shared" si="68"/>
        <v>0</v>
      </c>
      <c r="AF269">
        <f t="shared" si="69"/>
        <v>1</v>
      </c>
      <c r="AG269">
        <f t="shared" si="70"/>
        <v>0</v>
      </c>
      <c r="AH269">
        <f t="shared" si="71"/>
        <v>0</v>
      </c>
      <c r="AI269">
        <f t="shared" si="72"/>
        <v>0</v>
      </c>
      <c r="AJ269">
        <f t="shared" si="73"/>
        <v>1</v>
      </c>
      <c r="AK269">
        <f>SUM(AJ$2:$AJ269)</f>
        <v>268</v>
      </c>
    </row>
    <row r="270" spans="1:37">
      <c r="A270" t="s">
        <v>901</v>
      </c>
      <c r="B270" t="s">
        <v>932</v>
      </c>
      <c r="C270" t="s">
        <v>933</v>
      </c>
      <c r="D270">
        <v>30200</v>
      </c>
      <c r="E270" t="s">
        <v>934</v>
      </c>
      <c r="F270">
        <v>14922</v>
      </c>
      <c r="G270">
        <v>1217</v>
      </c>
      <c r="I270">
        <v>2765</v>
      </c>
      <c r="J270">
        <v>0</v>
      </c>
      <c r="K270">
        <v>0</v>
      </c>
      <c r="L270">
        <v>0</v>
      </c>
      <c r="M270">
        <v>10174</v>
      </c>
      <c r="N270">
        <v>8139</v>
      </c>
      <c r="O270">
        <v>0</v>
      </c>
      <c r="P270">
        <v>0</v>
      </c>
      <c r="R270">
        <v>0</v>
      </c>
      <c r="S270">
        <v>0</v>
      </c>
      <c r="T270" t="s">
        <v>107</v>
      </c>
      <c r="U270">
        <v>6</v>
      </c>
      <c r="V270" t="s">
        <v>262</v>
      </c>
      <c r="W270" t="s">
        <v>94</v>
      </c>
      <c r="X270" t="s">
        <v>123</v>
      </c>
      <c r="Y270" t="s">
        <v>89</v>
      </c>
      <c r="Z270">
        <v>1</v>
      </c>
      <c r="AA270">
        <f>IF(AND(D270&gt;=配装计算器!$I$29,D270&lt;=配装计算器!$I$30),1,0)</f>
        <v>1</v>
      </c>
      <c r="AB270">
        <f t="shared" si="65"/>
        <v>0</v>
      </c>
      <c r="AC270">
        <f t="shared" si="66"/>
        <v>0</v>
      </c>
      <c r="AD270">
        <f t="shared" si="67"/>
        <v>0</v>
      </c>
      <c r="AE270">
        <f t="shared" si="68"/>
        <v>1</v>
      </c>
      <c r="AF270">
        <f t="shared" si="69"/>
        <v>1</v>
      </c>
      <c r="AG270">
        <f t="shared" si="70"/>
        <v>0</v>
      </c>
      <c r="AH270">
        <f t="shared" si="71"/>
        <v>0</v>
      </c>
      <c r="AI270">
        <f t="shared" si="72"/>
        <v>0</v>
      </c>
      <c r="AJ270">
        <f t="shared" si="73"/>
        <v>1</v>
      </c>
      <c r="AK270">
        <f>SUM(AJ$2:$AJ270)</f>
        <v>269</v>
      </c>
    </row>
    <row r="271" spans="1:37">
      <c r="A271" t="s">
        <v>901</v>
      </c>
      <c r="B271" t="s">
        <v>935</v>
      </c>
      <c r="C271" t="s">
        <v>936</v>
      </c>
      <c r="D271">
        <v>30200</v>
      </c>
      <c r="E271" t="s">
        <v>937</v>
      </c>
      <c r="F271">
        <v>14922</v>
      </c>
      <c r="G271">
        <v>1217</v>
      </c>
      <c r="I271">
        <v>2765</v>
      </c>
      <c r="J271">
        <v>0</v>
      </c>
      <c r="K271">
        <v>0</v>
      </c>
      <c r="L271">
        <v>0</v>
      </c>
      <c r="M271">
        <v>10174</v>
      </c>
      <c r="N271">
        <v>8139</v>
      </c>
      <c r="O271">
        <v>0</v>
      </c>
      <c r="P271">
        <v>0</v>
      </c>
      <c r="R271">
        <v>0</v>
      </c>
      <c r="S271">
        <v>0</v>
      </c>
      <c r="T271" t="s">
        <v>107</v>
      </c>
      <c r="U271">
        <v>6</v>
      </c>
      <c r="V271" t="s">
        <v>130</v>
      </c>
      <c r="W271" t="s">
        <v>94</v>
      </c>
      <c r="X271" t="s">
        <v>123</v>
      </c>
      <c r="Y271" t="s">
        <v>89</v>
      </c>
      <c r="Z271">
        <v>1</v>
      </c>
      <c r="AA271">
        <f>IF(AND(D271&gt;=配装计算器!$I$29,D271&lt;=配装计算器!$I$30),1,0)</f>
        <v>1</v>
      </c>
      <c r="AB271">
        <f t="shared" si="65"/>
        <v>0</v>
      </c>
      <c r="AC271">
        <f t="shared" si="66"/>
        <v>0</v>
      </c>
      <c r="AD271">
        <f t="shared" si="67"/>
        <v>0</v>
      </c>
      <c r="AE271">
        <f t="shared" si="68"/>
        <v>1</v>
      </c>
      <c r="AF271">
        <f t="shared" si="69"/>
        <v>1</v>
      </c>
      <c r="AG271">
        <f t="shared" si="70"/>
        <v>0</v>
      </c>
      <c r="AH271">
        <f t="shared" si="71"/>
        <v>0</v>
      </c>
      <c r="AI271">
        <f t="shared" si="72"/>
        <v>0</v>
      </c>
      <c r="AJ271">
        <f t="shared" si="73"/>
        <v>1</v>
      </c>
      <c r="AK271">
        <f>SUM(AJ$2:$AJ271)</f>
        <v>270</v>
      </c>
    </row>
    <row r="272" spans="1:37">
      <c r="A272" t="s">
        <v>901</v>
      </c>
      <c r="B272" t="s">
        <v>938</v>
      </c>
      <c r="C272" t="s">
        <v>939</v>
      </c>
      <c r="D272">
        <v>30200</v>
      </c>
      <c r="E272" t="s">
        <v>940</v>
      </c>
      <c r="F272">
        <v>14922</v>
      </c>
      <c r="G272">
        <v>1217</v>
      </c>
      <c r="I272">
        <v>2765</v>
      </c>
      <c r="J272">
        <v>10174</v>
      </c>
      <c r="K272">
        <v>0</v>
      </c>
      <c r="L272">
        <v>0</v>
      </c>
      <c r="M272">
        <v>0</v>
      </c>
      <c r="N272">
        <v>8139</v>
      </c>
      <c r="O272">
        <v>0</v>
      </c>
      <c r="P272">
        <v>0</v>
      </c>
      <c r="R272">
        <v>0</v>
      </c>
      <c r="S272">
        <v>0</v>
      </c>
      <c r="T272" t="s">
        <v>102</v>
      </c>
      <c r="U272">
        <v>6</v>
      </c>
      <c r="V272" t="s">
        <v>269</v>
      </c>
      <c r="W272" t="s">
        <v>135</v>
      </c>
      <c r="X272" t="s">
        <v>108</v>
      </c>
      <c r="Y272" t="s">
        <v>89</v>
      </c>
      <c r="Z272">
        <v>1</v>
      </c>
      <c r="AA272">
        <f>IF(AND(D272&gt;=配装计算器!$I$29,D272&lt;=配装计算器!$I$30),1,0)</f>
        <v>1</v>
      </c>
      <c r="AB272">
        <f t="shared" si="65"/>
        <v>1</v>
      </c>
      <c r="AC272">
        <f t="shared" si="66"/>
        <v>0</v>
      </c>
      <c r="AD272">
        <f t="shared" si="67"/>
        <v>0</v>
      </c>
      <c r="AE272">
        <f t="shared" si="68"/>
        <v>0</v>
      </c>
      <c r="AF272">
        <f t="shared" si="69"/>
        <v>1</v>
      </c>
      <c r="AG272">
        <f t="shared" si="70"/>
        <v>0</v>
      </c>
      <c r="AH272">
        <f t="shared" si="71"/>
        <v>0</v>
      </c>
      <c r="AI272">
        <f t="shared" si="72"/>
        <v>0</v>
      </c>
      <c r="AJ272">
        <f t="shared" si="73"/>
        <v>1</v>
      </c>
      <c r="AK272">
        <f>SUM(AJ$2:$AJ272)</f>
        <v>271</v>
      </c>
    </row>
    <row r="273" spans="1:37">
      <c r="A273" t="s">
        <v>901</v>
      </c>
      <c r="B273" t="s">
        <v>941</v>
      </c>
      <c r="C273" t="s">
        <v>942</v>
      </c>
      <c r="D273">
        <v>30200</v>
      </c>
      <c r="E273" t="s">
        <v>943</v>
      </c>
      <c r="F273">
        <v>14922</v>
      </c>
      <c r="G273">
        <v>0</v>
      </c>
      <c r="I273">
        <v>4424</v>
      </c>
      <c r="J273">
        <v>0</v>
      </c>
      <c r="K273">
        <v>0</v>
      </c>
      <c r="L273">
        <v>15600</v>
      </c>
      <c r="M273">
        <v>0</v>
      </c>
      <c r="N273">
        <v>8139</v>
      </c>
      <c r="O273">
        <v>0</v>
      </c>
      <c r="P273">
        <v>0</v>
      </c>
      <c r="R273">
        <v>0</v>
      </c>
      <c r="S273">
        <v>0</v>
      </c>
      <c r="T273" t="s">
        <v>153</v>
      </c>
      <c r="U273">
        <v>6</v>
      </c>
      <c r="V273" t="s">
        <v>98</v>
      </c>
      <c r="W273" t="s">
        <v>154</v>
      </c>
      <c r="X273" t="s">
        <v>123</v>
      </c>
      <c r="Y273" t="s">
        <v>89</v>
      </c>
      <c r="Z273">
        <v>1</v>
      </c>
      <c r="AA273">
        <f>IF(AND(D273&gt;=配装计算器!$I$29,D273&lt;=配装计算器!$I$30),1,0)</f>
        <v>1</v>
      </c>
      <c r="AB273">
        <f t="shared" si="65"/>
        <v>0</v>
      </c>
      <c r="AC273">
        <f t="shared" si="66"/>
        <v>0</v>
      </c>
      <c r="AD273">
        <f t="shared" si="67"/>
        <v>1</v>
      </c>
      <c r="AE273">
        <f t="shared" si="68"/>
        <v>0</v>
      </c>
      <c r="AF273">
        <f t="shared" si="69"/>
        <v>1</v>
      </c>
      <c r="AG273">
        <f t="shared" si="70"/>
        <v>0</v>
      </c>
      <c r="AH273">
        <f t="shared" si="71"/>
        <v>0</v>
      </c>
      <c r="AI273">
        <f t="shared" si="72"/>
        <v>1</v>
      </c>
      <c r="AJ273">
        <f t="shared" si="73"/>
        <v>1</v>
      </c>
      <c r="AK273">
        <f>SUM(AJ$2:$AJ273)</f>
        <v>272</v>
      </c>
    </row>
    <row r="274" spans="1:37">
      <c r="A274" t="s">
        <v>901</v>
      </c>
      <c r="B274" t="s">
        <v>944</v>
      </c>
      <c r="C274" t="s">
        <v>942</v>
      </c>
      <c r="D274">
        <v>30200</v>
      </c>
      <c r="E274" t="s">
        <v>945</v>
      </c>
      <c r="F274">
        <v>14922</v>
      </c>
      <c r="G274">
        <v>0</v>
      </c>
      <c r="I274">
        <v>5345</v>
      </c>
      <c r="J274">
        <v>6783</v>
      </c>
      <c r="K274">
        <v>0</v>
      </c>
      <c r="L274">
        <v>0</v>
      </c>
      <c r="M274">
        <v>6783</v>
      </c>
      <c r="N274">
        <v>6783</v>
      </c>
      <c r="O274">
        <v>0</v>
      </c>
      <c r="P274">
        <v>0</v>
      </c>
      <c r="R274">
        <v>0</v>
      </c>
      <c r="S274">
        <v>0</v>
      </c>
      <c r="T274" t="s">
        <v>138</v>
      </c>
      <c r="U274">
        <v>6</v>
      </c>
      <c r="V274" t="s">
        <v>98</v>
      </c>
      <c r="W274" t="s">
        <v>135</v>
      </c>
      <c r="X274" t="s">
        <v>108</v>
      </c>
      <c r="Y274" t="s">
        <v>89</v>
      </c>
      <c r="Z274">
        <v>1</v>
      </c>
      <c r="AA274">
        <f>IF(AND(D274&gt;=配装计算器!$I$29,D274&lt;=配装计算器!$I$30),1,0)</f>
        <v>1</v>
      </c>
      <c r="AB274">
        <f t="shared" si="65"/>
        <v>1</v>
      </c>
      <c r="AC274">
        <f t="shared" si="66"/>
        <v>0</v>
      </c>
      <c r="AD274">
        <f t="shared" si="67"/>
        <v>0</v>
      </c>
      <c r="AE274">
        <f t="shared" si="68"/>
        <v>1</v>
      </c>
      <c r="AF274">
        <f t="shared" si="69"/>
        <v>1</v>
      </c>
      <c r="AG274">
        <f t="shared" si="70"/>
        <v>0</v>
      </c>
      <c r="AH274">
        <f t="shared" si="71"/>
        <v>0</v>
      </c>
      <c r="AI274">
        <f t="shared" si="72"/>
        <v>1</v>
      </c>
      <c r="AJ274">
        <f t="shared" si="73"/>
        <v>1</v>
      </c>
      <c r="AK274">
        <f>SUM(AJ$2:$AJ274)</f>
        <v>273</v>
      </c>
    </row>
    <row r="275" spans="1:37">
      <c r="A275" t="s">
        <v>901</v>
      </c>
      <c r="B275" t="s">
        <v>946</v>
      </c>
      <c r="C275" t="s">
        <v>942</v>
      </c>
      <c r="D275">
        <v>30200</v>
      </c>
      <c r="E275" t="s">
        <v>947</v>
      </c>
      <c r="F275">
        <v>14922</v>
      </c>
      <c r="G275">
        <v>0</v>
      </c>
      <c r="I275">
        <v>5345</v>
      </c>
      <c r="J275">
        <v>10174</v>
      </c>
      <c r="K275">
        <v>5087</v>
      </c>
      <c r="L275">
        <v>0</v>
      </c>
      <c r="M275">
        <v>0</v>
      </c>
      <c r="N275">
        <v>5087</v>
      </c>
      <c r="O275">
        <v>0</v>
      </c>
      <c r="P275">
        <v>0</v>
      </c>
      <c r="R275">
        <v>0</v>
      </c>
      <c r="S275">
        <v>0</v>
      </c>
      <c r="T275" t="s">
        <v>141</v>
      </c>
      <c r="U275">
        <v>6</v>
      </c>
      <c r="V275" t="s">
        <v>98</v>
      </c>
      <c r="W275" t="s">
        <v>135</v>
      </c>
      <c r="X275" t="s">
        <v>108</v>
      </c>
      <c r="Y275" t="s">
        <v>89</v>
      </c>
      <c r="Z275">
        <v>1</v>
      </c>
      <c r="AA275">
        <f>IF(AND(D275&gt;=配装计算器!$I$29,D275&lt;=配装计算器!$I$30),1,0)</f>
        <v>1</v>
      </c>
      <c r="AB275">
        <f t="shared" si="65"/>
        <v>1</v>
      </c>
      <c r="AC275">
        <f t="shared" si="66"/>
        <v>1</v>
      </c>
      <c r="AD275">
        <f t="shared" si="67"/>
        <v>0</v>
      </c>
      <c r="AE275">
        <f t="shared" si="68"/>
        <v>0</v>
      </c>
      <c r="AF275">
        <f t="shared" si="69"/>
        <v>1</v>
      </c>
      <c r="AG275">
        <f t="shared" si="70"/>
        <v>0</v>
      </c>
      <c r="AH275">
        <f t="shared" si="71"/>
        <v>0</v>
      </c>
      <c r="AI275">
        <f t="shared" si="72"/>
        <v>1</v>
      </c>
      <c r="AJ275">
        <f t="shared" si="73"/>
        <v>1</v>
      </c>
      <c r="AK275">
        <f>SUM(AJ$2:$AJ275)</f>
        <v>274</v>
      </c>
    </row>
    <row r="276" spans="1:37">
      <c r="A276" t="s">
        <v>901</v>
      </c>
      <c r="B276" t="s">
        <v>948</v>
      </c>
      <c r="C276" t="s">
        <v>949</v>
      </c>
      <c r="D276">
        <v>30700</v>
      </c>
      <c r="E276" t="s">
        <v>950</v>
      </c>
      <c r="F276">
        <v>15169</v>
      </c>
      <c r="G276">
        <v>1149</v>
      </c>
      <c r="I276">
        <v>1874</v>
      </c>
      <c r="J276">
        <v>10342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4137</v>
      </c>
      <c r="R276">
        <v>0</v>
      </c>
      <c r="S276">
        <v>0</v>
      </c>
      <c r="T276" t="s">
        <v>93</v>
      </c>
      <c r="U276">
        <v>6</v>
      </c>
      <c r="V276" t="s">
        <v>145</v>
      </c>
      <c r="W276" t="s">
        <v>94</v>
      </c>
      <c r="X276" t="s">
        <v>185</v>
      </c>
      <c r="Y276" t="s">
        <v>89</v>
      </c>
      <c r="Z276">
        <v>2</v>
      </c>
      <c r="AA276">
        <f>IF(AND(D276&gt;=配装计算器!$I$29,D276&lt;=配装计算器!$I$30),1,0)</f>
        <v>1</v>
      </c>
      <c r="AB276">
        <f t="shared" si="65"/>
        <v>1</v>
      </c>
      <c r="AC276">
        <f t="shared" si="66"/>
        <v>0</v>
      </c>
      <c r="AD276">
        <f t="shared" si="67"/>
        <v>0</v>
      </c>
      <c r="AE276">
        <f t="shared" si="68"/>
        <v>0</v>
      </c>
      <c r="AF276">
        <f t="shared" si="69"/>
        <v>0</v>
      </c>
      <c r="AG276">
        <f t="shared" si="70"/>
        <v>0</v>
      </c>
      <c r="AH276">
        <f t="shared" si="71"/>
        <v>1</v>
      </c>
      <c r="AI276">
        <f t="shared" si="72"/>
        <v>0</v>
      </c>
      <c r="AJ276">
        <f t="shared" si="73"/>
        <v>1</v>
      </c>
      <c r="AK276">
        <f>SUM(AJ$2:$AJ276)</f>
        <v>275</v>
      </c>
    </row>
    <row r="277" spans="1:37">
      <c r="A277" t="s">
        <v>901</v>
      </c>
      <c r="B277" t="s">
        <v>951</v>
      </c>
      <c r="C277" t="s">
        <v>952</v>
      </c>
      <c r="D277">
        <v>30700</v>
      </c>
      <c r="E277" t="s">
        <v>953</v>
      </c>
      <c r="F277">
        <v>15169</v>
      </c>
      <c r="G277">
        <v>1238</v>
      </c>
      <c r="I277">
        <v>2811</v>
      </c>
      <c r="J277">
        <v>0</v>
      </c>
      <c r="K277">
        <v>0</v>
      </c>
      <c r="L277">
        <v>0</v>
      </c>
      <c r="M277">
        <v>10342</v>
      </c>
      <c r="N277">
        <v>8274</v>
      </c>
      <c r="O277">
        <v>0</v>
      </c>
      <c r="P277">
        <v>0</v>
      </c>
      <c r="R277">
        <v>0</v>
      </c>
      <c r="S277">
        <v>0</v>
      </c>
      <c r="T277" t="s">
        <v>107</v>
      </c>
      <c r="U277">
        <v>6</v>
      </c>
      <c r="V277" t="s">
        <v>327</v>
      </c>
      <c r="W277" t="s">
        <v>94</v>
      </c>
      <c r="X277" t="s">
        <v>123</v>
      </c>
      <c r="Y277" t="s">
        <v>89</v>
      </c>
      <c r="Z277">
        <v>1</v>
      </c>
      <c r="AA277">
        <f>IF(AND(D277&gt;=配装计算器!$I$29,D277&lt;=配装计算器!$I$30),1,0)</f>
        <v>1</v>
      </c>
      <c r="AB277">
        <f t="shared" si="65"/>
        <v>0</v>
      </c>
      <c r="AC277">
        <f t="shared" si="66"/>
        <v>0</v>
      </c>
      <c r="AD277">
        <f t="shared" si="67"/>
        <v>0</v>
      </c>
      <c r="AE277">
        <f t="shared" si="68"/>
        <v>1</v>
      </c>
      <c r="AF277">
        <f t="shared" si="69"/>
        <v>1</v>
      </c>
      <c r="AG277">
        <f t="shared" si="70"/>
        <v>0</v>
      </c>
      <c r="AH277">
        <f t="shared" si="71"/>
        <v>0</v>
      </c>
      <c r="AI277">
        <f t="shared" si="72"/>
        <v>0</v>
      </c>
      <c r="AJ277">
        <f t="shared" si="73"/>
        <v>1</v>
      </c>
      <c r="AK277">
        <f>SUM(AJ$2:$AJ277)</f>
        <v>276</v>
      </c>
    </row>
    <row r="278" spans="1:37">
      <c r="A278" t="s">
        <v>901</v>
      </c>
      <c r="B278" t="s">
        <v>954</v>
      </c>
      <c r="C278" t="s">
        <v>955</v>
      </c>
      <c r="D278">
        <v>32500</v>
      </c>
      <c r="E278" t="s">
        <v>956</v>
      </c>
      <c r="F278">
        <v>16058</v>
      </c>
      <c r="G278">
        <v>0</v>
      </c>
      <c r="I278">
        <v>6744</v>
      </c>
      <c r="J278">
        <v>0</v>
      </c>
      <c r="K278">
        <v>0</v>
      </c>
      <c r="L278">
        <v>0</v>
      </c>
      <c r="M278">
        <v>0</v>
      </c>
      <c r="N278">
        <v>16058</v>
      </c>
      <c r="O278">
        <v>0</v>
      </c>
      <c r="P278">
        <v>0</v>
      </c>
      <c r="R278">
        <v>0</v>
      </c>
      <c r="S278">
        <v>0</v>
      </c>
      <c r="T278" t="s">
        <v>134</v>
      </c>
      <c r="U278">
        <v>6</v>
      </c>
      <c r="V278" t="s">
        <v>98</v>
      </c>
      <c r="W278" t="s">
        <v>135</v>
      </c>
      <c r="X278" t="s">
        <v>108</v>
      </c>
      <c r="Y278" t="s">
        <v>89</v>
      </c>
      <c r="Z278">
        <v>1</v>
      </c>
      <c r="AA278">
        <f>IF(AND(D278&gt;=配装计算器!$I$29,D278&lt;=配装计算器!$I$30),1,0)</f>
        <v>1</v>
      </c>
      <c r="AB278">
        <f t="shared" si="65"/>
        <v>0</v>
      </c>
      <c r="AC278">
        <f t="shared" si="66"/>
        <v>0</v>
      </c>
      <c r="AD278">
        <f t="shared" si="67"/>
        <v>0</v>
      </c>
      <c r="AE278">
        <f t="shared" si="68"/>
        <v>0</v>
      </c>
      <c r="AF278">
        <f t="shared" si="69"/>
        <v>1</v>
      </c>
      <c r="AG278">
        <f t="shared" si="70"/>
        <v>0</v>
      </c>
      <c r="AH278">
        <f t="shared" si="71"/>
        <v>0</v>
      </c>
      <c r="AI278">
        <f t="shared" si="72"/>
        <v>1</v>
      </c>
      <c r="AJ278">
        <f t="shared" si="73"/>
        <v>1</v>
      </c>
      <c r="AK278">
        <f>SUM(AJ$2:$AJ278)</f>
        <v>277</v>
      </c>
    </row>
    <row r="279" spans="1:37">
      <c r="A279" t="s">
        <v>901</v>
      </c>
      <c r="B279" t="s">
        <v>957</v>
      </c>
      <c r="C279" t="s">
        <v>955</v>
      </c>
      <c r="D279">
        <v>32500</v>
      </c>
      <c r="E279" t="s">
        <v>958</v>
      </c>
      <c r="F279">
        <v>16058</v>
      </c>
      <c r="G279">
        <v>0</v>
      </c>
      <c r="I279">
        <v>4761</v>
      </c>
      <c r="J279">
        <v>8029</v>
      </c>
      <c r="K279">
        <v>0</v>
      </c>
      <c r="L279">
        <v>0</v>
      </c>
      <c r="M279">
        <v>0</v>
      </c>
      <c r="N279">
        <v>16058</v>
      </c>
      <c r="O279">
        <v>0</v>
      </c>
      <c r="P279">
        <v>0</v>
      </c>
      <c r="R279">
        <v>0</v>
      </c>
      <c r="S279">
        <v>0</v>
      </c>
      <c r="T279" t="s">
        <v>184</v>
      </c>
      <c r="U279">
        <v>6</v>
      </c>
      <c r="V279" t="s">
        <v>98</v>
      </c>
      <c r="W279" t="s">
        <v>185</v>
      </c>
      <c r="X279" t="s">
        <v>108</v>
      </c>
      <c r="Y279" t="s">
        <v>89</v>
      </c>
      <c r="Z279">
        <v>1</v>
      </c>
      <c r="AA279">
        <f>IF(AND(D279&gt;=配装计算器!$I$29,D279&lt;=配装计算器!$I$30),1,0)</f>
        <v>1</v>
      </c>
      <c r="AB279">
        <f t="shared" si="65"/>
        <v>1</v>
      </c>
      <c r="AC279">
        <f t="shared" si="66"/>
        <v>0</v>
      </c>
      <c r="AD279">
        <f t="shared" si="67"/>
        <v>0</v>
      </c>
      <c r="AE279">
        <f t="shared" si="68"/>
        <v>0</v>
      </c>
      <c r="AF279">
        <f t="shared" si="69"/>
        <v>1</v>
      </c>
      <c r="AG279">
        <f t="shared" si="70"/>
        <v>0</v>
      </c>
      <c r="AH279">
        <f t="shared" si="71"/>
        <v>0</v>
      </c>
      <c r="AI279">
        <f t="shared" si="72"/>
        <v>1</v>
      </c>
      <c r="AJ279">
        <f t="shared" si="73"/>
        <v>1</v>
      </c>
      <c r="AK279">
        <f>SUM(AJ$2:$AJ279)</f>
        <v>278</v>
      </c>
    </row>
    <row r="280" spans="1:37">
      <c r="A280" t="s">
        <v>901</v>
      </c>
      <c r="B280" t="s">
        <v>959</v>
      </c>
      <c r="C280" t="s">
        <v>955</v>
      </c>
      <c r="D280">
        <v>32500</v>
      </c>
      <c r="E280" t="s">
        <v>960</v>
      </c>
      <c r="F280">
        <v>16058</v>
      </c>
      <c r="G280">
        <v>0</v>
      </c>
      <c r="I280">
        <v>5752</v>
      </c>
      <c r="J280">
        <v>7299</v>
      </c>
      <c r="K280">
        <v>0</v>
      </c>
      <c r="L280">
        <v>7299</v>
      </c>
      <c r="M280">
        <v>0</v>
      </c>
      <c r="N280">
        <v>7299</v>
      </c>
      <c r="O280">
        <v>0</v>
      </c>
      <c r="P280">
        <v>0</v>
      </c>
      <c r="R280">
        <v>0</v>
      </c>
      <c r="S280">
        <v>0</v>
      </c>
      <c r="T280" t="s">
        <v>188</v>
      </c>
      <c r="U280">
        <v>6</v>
      </c>
      <c r="V280" t="s">
        <v>98</v>
      </c>
      <c r="W280" t="s">
        <v>185</v>
      </c>
      <c r="X280" t="s">
        <v>123</v>
      </c>
      <c r="Y280" t="s">
        <v>89</v>
      </c>
      <c r="Z280">
        <v>1</v>
      </c>
      <c r="AA280">
        <f>IF(AND(D280&gt;=配装计算器!$I$29,D280&lt;=配装计算器!$I$30),1,0)</f>
        <v>1</v>
      </c>
      <c r="AB280">
        <f t="shared" si="65"/>
        <v>1</v>
      </c>
      <c r="AC280">
        <f t="shared" si="66"/>
        <v>0</v>
      </c>
      <c r="AD280">
        <f t="shared" si="67"/>
        <v>1</v>
      </c>
      <c r="AE280">
        <f t="shared" si="68"/>
        <v>0</v>
      </c>
      <c r="AF280">
        <f t="shared" si="69"/>
        <v>1</v>
      </c>
      <c r="AG280">
        <f t="shared" si="70"/>
        <v>0</v>
      </c>
      <c r="AH280">
        <f t="shared" si="71"/>
        <v>0</v>
      </c>
      <c r="AI280">
        <f t="shared" si="72"/>
        <v>1</v>
      </c>
      <c r="AJ280">
        <f t="shared" si="73"/>
        <v>1</v>
      </c>
      <c r="AK280">
        <f>SUM(AJ$2:$AJ280)</f>
        <v>279</v>
      </c>
    </row>
    <row r="281" spans="1:37">
      <c r="A281" t="s">
        <v>901</v>
      </c>
      <c r="B281" t="s">
        <v>961</v>
      </c>
      <c r="C281" t="s">
        <v>962</v>
      </c>
      <c r="D281">
        <v>35300</v>
      </c>
      <c r="E281" t="s">
        <v>963</v>
      </c>
      <c r="F281">
        <v>17442</v>
      </c>
      <c r="G281">
        <v>1423</v>
      </c>
      <c r="I281">
        <v>3232</v>
      </c>
      <c r="J281">
        <v>0</v>
      </c>
      <c r="K281">
        <v>0</v>
      </c>
      <c r="L281">
        <v>11892</v>
      </c>
      <c r="M281">
        <v>0</v>
      </c>
      <c r="N281">
        <v>9514</v>
      </c>
      <c r="O281">
        <v>0</v>
      </c>
      <c r="P281">
        <v>0</v>
      </c>
      <c r="R281">
        <v>0</v>
      </c>
      <c r="S281">
        <v>0</v>
      </c>
      <c r="T281" t="s">
        <v>122</v>
      </c>
      <c r="U281">
        <v>6</v>
      </c>
      <c r="V281" t="s">
        <v>240</v>
      </c>
      <c r="W281" t="s">
        <v>88</v>
      </c>
      <c r="X281" t="s">
        <v>135</v>
      </c>
      <c r="Y281" t="s">
        <v>89</v>
      </c>
      <c r="Z281">
        <v>1</v>
      </c>
      <c r="AA281">
        <f>IF(AND(D281&gt;=配装计算器!$I$29,D281&lt;=配装计算器!$I$30),1,0)</f>
        <v>1</v>
      </c>
      <c r="AB281">
        <f t="shared" si="65"/>
        <v>0</v>
      </c>
      <c r="AC281">
        <f t="shared" si="66"/>
        <v>0</v>
      </c>
      <c r="AD281">
        <f t="shared" si="67"/>
        <v>1</v>
      </c>
      <c r="AE281">
        <f t="shared" si="68"/>
        <v>0</v>
      </c>
      <c r="AF281">
        <f t="shared" si="69"/>
        <v>1</v>
      </c>
      <c r="AG281">
        <f t="shared" si="70"/>
        <v>0</v>
      </c>
      <c r="AH281">
        <f t="shared" si="71"/>
        <v>0</v>
      </c>
      <c r="AI281">
        <f t="shared" si="72"/>
        <v>0</v>
      </c>
      <c r="AJ281">
        <f t="shared" si="73"/>
        <v>1</v>
      </c>
      <c r="AK281">
        <f>SUM(AJ$2:$AJ281)</f>
        <v>280</v>
      </c>
    </row>
    <row r="282" spans="1:37">
      <c r="A282" t="s">
        <v>901</v>
      </c>
      <c r="B282" t="s">
        <v>964</v>
      </c>
      <c r="C282" t="s">
        <v>965</v>
      </c>
      <c r="D282">
        <v>35300</v>
      </c>
      <c r="E282" t="s">
        <v>966</v>
      </c>
      <c r="F282">
        <v>17442</v>
      </c>
      <c r="G282">
        <v>1423</v>
      </c>
      <c r="I282">
        <v>3232</v>
      </c>
      <c r="J282">
        <v>11892</v>
      </c>
      <c r="K282">
        <v>0</v>
      </c>
      <c r="L282">
        <v>0</v>
      </c>
      <c r="M282">
        <v>0</v>
      </c>
      <c r="N282">
        <v>9514</v>
      </c>
      <c r="O282">
        <v>0</v>
      </c>
      <c r="P282">
        <v>0</v>
      </c>
      <c r="R282">
        <v>0</v>
      </c>
      <c r="S282">
        <v>0</v>
      </c>
      <c r="T282" t="s">
        <v>102</v>
      </c>
      <c r="U282">
        <v>6</v>
      </c>
      <c r="V282" t="s">
        <v>103</v>
      </c>
      <c r="W282" t="s">
        <v>135</v>
      </c>
      <c r="X282" t="s">
        <v>108</v>
      </c>
      <c r="Y282" t="s">
        <v>89</v>
      </c>
      <c r="Z282">
        <v>1</v>
      </c>
      <c r="AA282">
        <f>IF(AND(D282&gt;=配装计算器!$I$29,D282&lt;=配装计算器!$I$30),1,0)</f>
        <v>1</v>
      </c>
      <c r="AB282">
        <f t="shared" ref="AB282" si="74">IF(J282&gt;0,1,0)</f>
        <v>1</v>
      </c>
      <c r="AC282">
        <f t="shared" ref="AC282" si="75">IF(K282&gt;0,1,0)</f>
        <v>0</v>
      </c>
      <c r="AD282">
        <f t="shared" ref="AD282" si="76">IF(L282&gt;0,1,0)</f>
        <v>0</v>
      </c>
      <c r="AE282">
        <f t="shared" ref="AE282" si="77">IF(M282&gt;0,1,0)</f>
        <v>0</v>
      </c>
      <c r="AF282">
        <f t="shared" ref="AF282" si="78">IF(N282&gt;0,1,0)</f>
        <v>1</v>
      </c>
      <c r="AG282">
        <f t="shared" ref="AG282" si="79">IF(O282&gt;0,1,0)</f>
        <v>0</v>
      </c>
      <c r="AH282">
        <f t="shared" ref="AH282" si="80">IF(P282&gt;0,1,0)</f>
        <v>0</v>
      </c>
      <c r="AI282">
        <f t="shared" ref="AI282" si="81">IF(COUNTIF(T282,"*"&amp;"精简"&amp;"*")&gt;0,1,0)</f>
        <v>0</v>
      </c>
      <c r="AJ282">
        <f t="shared" ref="AJ282" si="82">MIN(1,AA282*($AY$2+IF(AND(AB282&gt;=$AQ$3,AC282&gt;=$AR$3,AD282&gt;=$AS$3,AE282&gt;=$AT$3,AF282&gt;=$AU$3,AG282&gt;=$AV$3,AH282&gt;=$AW$3,AI282&gt;=$AX$3),1,0)))</f>
        <v>1</v>
      </c>
      <c r="AK282">
        <f>SUM(AJ$2:$AJ282)</f>
        <v>281</v>
      </c>
    </row>
    <row r="283" spans="1:37">
      <c r="A283" t="s">
        <v>901</v>
      </c>
      <c r="B283" t="s">
        <v>967</v>
      </c>
      <c r="C283" t="s">
        <v>968</v>
      </c>
      <c r="D283">
        <v>35300</v>
      </c>
      <c r="E283" t="s">
        <v>969</v>
      </c>
      <c r="F283">
        <v>17442</v>
      </c>
      <c r="G283">
        <v>1423</v>
      </c>
      <c r="I283">
        <v>3232</v>
      </c>
      <c r="J283">
        <v>0</v>
      </c>
      <c r="K283">
        <v>0</v>
      </c>
      <c r="L283">
        <v>0</v>
      </c>
      <c r="M283">
        <v>0</v>
      </c>
      <c r="N283">
        <v>9514</v>
      </c>
      <c r="O283">
        <v>11892</v>
      </c>
      <c r="P283">
        <v>0</v>
      </c>
      <c r="R283">
        <v>0</v>
      </c>
      <c r="S283">
        <v>0</v>
      </c>
      <c r="T283" t="s">
        <v>115</v>
      </c>
      <c r="U283">
        <v>6</v>
      </c>
      <c r="V283" t="s">
        <v>87</v>
      </c>
      <c r="W283" t="s">
        <v>108</v>
      </c>
      <c r="X283" t="s">
        <v>123</v>
      </c>
      <c r="Y283" t="s">
        <v>89</v>
      </c>
      <c r="Z283">
        <v>1</v>
      </c>
      <c r="AA283">
        <f>IF(AND(D283&gt;=配装计算器!$I$29,D283&lt;=配装计算器!$I$30),1,0)</f>
        <v>1</v>
      </c>
      <c r="AB283">
        <f t="shared" si="65"/>
        <v>0</v>
      </c>
      <c r="AC283">
        <f t="shared" si="66"/>
        <v>0</v>
      </c>
      <c r="AD283">
        <f t="shared" si="67"/>
        <v>0</v>
      </c>
      <c r="AE283">
        <f t="shared" si="68"/>
        <v>0</v>
      </c>
      <c r="AF283">
        <f t="shared" si="69"/>
        <v>1</v>
      </c>
      <c r="AG283">
        <f t="shared" si="70"/>
        <v>1</v>
      </c>
      <c r="AH283">
        <f t="shared" si="71"/>
        <v>0</v>
      </c>
      <c r="AI283">
        <f t="shared" si="72"/>
        <v>0</v>
      </c>
      <c r="AJ283">
        <f t="shared" si="73"/>
        <v>1</v>
      </c>
      <c r="AK283">
        <f>SUM(AJ$2:$AJ283)</f>
        <v>282</v>
      </c>
    </row>
    <row r="284" spans="1:37">
      <c r="A284" t="s">
        <v>901</v>
      </c>
      <c r="B284" t="s">
        <v>970</v>
      </c>
      <c r="C284" t="s">
        <v>971</v>
      </c>
      <c r="D284">
        <v>35300</v>
      </c>
      <c r="E284" t="s">
        <v>972</v>
      </c>
      <c r="F284">
        <v>17442</v>
      </c>
      <c r="G284">
        <v>1423</v>
      </c>
      <c r="I284">
        <v>3232</v>
      </c>
      <c r="J284">
        <v>11892</v>
      </c>
      <c r="K284">
        <v>0</v>
      </c>
      <c r="L284">
        <v>0</v>
      </c>
      <c r="M284">
        <v>0</v>
      </c>
      <c r="N284">
        <v>9514</v>
      </c>
      <c r="O284">
        <v>0</v>
      </c>
      <c r="P284">
        <v>0</v>
      </c>
      <c r="R284">
        <v>0</v>
      </c>
      <c r="S284">
        <v>0</v>
      </c>
      <c r="T284" t="s">
        <v>102</v>
      </c>
      <c r="U284">
        <v>6</v>
      </c>
      <c r="V284" t="s">
        <v>87</v>
      </c>
      <c r="W284" t="s">
        <v>135</v>
      </c>
      <c r="X284" t="s">
        <v>108</v>
      </c>
      <c r="Y284" t="s">
        <v>89</v>
      </c>
      <c r="Z284">
        <v>1</v>
      </c>
      <c r="AA284">
        <f>IF(AND(D284&gt;=配装计算器!$I$29,D284&lt;=配装计算器!$I$30),1,0)</f>
        <v>1</v>
      </c>
      <c r="AB284">
        <f t="shared" si="65"/>
        <v>1</v>
      </c>
      <c r="AC284">
        <f t="shared" si="66"/>
        <v>0</v>
      </c>
      <c r="AD284">
        <f t="shared" si="67"/>
        <v>0</v>
      </c>
      <c r="AE284">
        <f t="shared" si="68"/>
        <v>0</v>
      </c>
      <c r="AF284">
        <f t="shared" si="69"/>
        <v>1</v>
      </c>
      <c r="AG284">
        <f t="shared" si="70"/>
        <v>0</v>
      </c>
      <c r="AH284">
        <f t="shared" si="71"/>
        <v>0</v>
      </c>
      <c r="AI284">
        <f t="shared" si="72"/>
        <v>0</v>
      </c>
      <c r="AJ284">
        <f t="shared" si="73"/>
        <v>1</v>
      </c>
      <c r="AK284">
        <f>SUM(AJ$2:$AJ284)</f>
        <v>283</v>
      </c>
    </row>
    <row r="285" spans="1:37">
      <c r="A285" t="s">
        <v>901</v>
      </c>
      <c r="B285" t="s">
        <v>973</v>
      </c>
      <c r="C285" t="s">
        <v>974</v>
      </c>
      <c r="D285">
        <v>35300</v>
      </c>
      <c r="E285" t="s">
        <v>975</v>
      </c>
      <c r="F285">
        <v>17442</v>
      </c>
      <c r="G285">
        <v>1423</v>
      </c>
      <c r="I285">
        <v>3232</v>
      </c>
      <c r="J285">
        <v>0</v>
      </c>
      <c r="K285">
        <v>0</v>
      </c>
      <c r="L285">
        <v>0</v>
      </c>
      <c r="M285">
        <v>11892</v>
      </c>
      <c r="N285">
        <v>9514</v>
      </c>
      <c r="O285">
        <v>0</v>
      </c>
      <c r="P285">
        <v>0</v>
      </c>
      <c r="R285">
        <v>0</v>
      </c>
      <c r="S285">
        <v>0</v>
      </c>
      <c r="T285" t="s">
        <v>107</v>
      </c>
      <c r="U285">
        <v>6</v>
      </c>
      <c r="V285" t="s">
        <v>262</v>
      </c>
      <c r="W285" t="s">
        <v>94</v>
      </c>
      <c r="X285" t="s">
        <v>123</v>
      </c>
      <c r="Y285" t="s">
        <v>89</v>
      </c>
      <c r="Z285">
        <v>1</v>
      </c>
      <c r="AA285">
        <f>IF(AND(D285&gt;=配装计算器!$I$29,D285&lt;=配装计算器!$I$30),1,0)</f>
        <v>1</v>
      </c>
      <c r="AB285">
        <f t="shared" si="65"/>
        <v>0</v>
      </c>
      <c r="AC285">
        <f t="shared" si="66"/>
        <v>0</v>
      </c>
      <c r="AD285">
        <f t="shared" si="67"/>
        <v>0</v>
      </c>
      <c r="AE285">
        <f t="shared" si="68"/>
        <v>1</v>
      </c>
      <c r="AF285">
        <f t="shared" si="69"/>
        <v>1</v>
      </c>
      <c r="AG285">
        <f t="shared" si="70"/>
        <v>0</v>
      </c>
      <c r="AH285">
        <f t="shared" si="71"/>
        <v>0</v>
      </c>
      <c r="AI285">
        <f t="shared" si="72"/>
        <v>0</v>
      </c>
      <c r="AJ285">
        <f t="shared" si="73"/>
        <v>1</v>
      </c>
      <c r="AK285">
        <f>SUM(AJ$2:$AJ285)</f>
        <v>284</v>
      </c>
    </row>
    <row r="286" spans="1:37">
      <c r="A286" t="s">
        <v>901</v>
      </c>
      <c r="B286" t="s">
        <v>976</v>
      </c>
      <c r="C286" t="s">
        <v>977</v>
      </c>
      <c r="D286">
        <v>35300</v>
      </c>
      <c r="E286" t="s">
        <v>978</v>
      </c>
      <c r="F286">
        <v>17442</v>
      </c>
      <c r="G286">
        <v>1423</v>
      </c>
      <c r="I286">
        <v>3232</v>
      </c>
      <c r="J286">
        <v>0</v>
      </c>
      <c r="K286">
        <v>0</v>
      </c>
      <c r="L286">
        <v>0</v>
      </c>
      <c r="M286">
        <v>11892</v>
      </c>
      <c r="N286">
        <v>9514</v>
      </c>
      <c r="O286">
        <v>0</v>
      </c>
      <c r="P286">
        <v>0</v>
      </c>
      <c r="R286">
        <v>0</v>
      </c>
      <c r="S286">
        <v>0</v>
      </c>
      <c r="T286" t="s">
        <v>107</v>
      </c>
      <c r="U286">
        <v>6</v>
      </c>
      <c r="V286" t="s">
        <v>130</v>
      </c>
      <c r="W286" t="s">
        <v>94</v>
      </c>
      <c r="X286" t="s">
        <v>123</v>
      </c>
      <c r="Y286" t="s">
        <v>89</v>
      </c>
      <c r="Z286">
        <v>1</v>
      </c>
      <c r="AA286">
        <f>IF(AND(D286&gt;=配装计算器!$I$29,D286&lt;=配装计算器!$I$30),1,0)</f>
        <v>1</v>
      </c>
      <c r="AB286">
        <f t="shared" si="65"/>
        <v>0</v>
      </c>
      <c r="AC286">
        <f t="shared" si="66"/>
        <v>0</v>
      </c>
      <c r="AD286">
        <f t="shared" si="67"/>
        <v>0</v>
      </c>
      <c r="AE286">
        <f t="shared" si="68"/>
        <v>1</v>
      </c>
      <c r="AF286">
        <f t="shared" si="69"/>
        <v>1</v>
      </c>
      <c r="AG286">
        <f t="shared" si="70"/>
        <v>0</v>
      </c>
      <c r="AH286">
        <f t="shared" si="71"/>
        <v>0</v>
      </c>
      <c r="AI286">
        <f t="shared" si="72"/>
        <v>0</v>
      </c>
      <c r="AJ286">
        <f t="shared" si="73"/>
        <v>1</v>
      </c>
      <c r="AK286">
        <f>SUM(AJ$2:$AJ286)</f>
        <v>285</v>
      </c>
    </row>
    <row r="287" spans="1:37">
      <c r="A287" t="s">
        <v>901</v>
      </c>
      <c r="B287" t="s">
        <v>979</v>
      </c>
      <c r="C287" t="s">
        <v>980</v>
      </c>
      <c r="D287">
        <v>35300</v>
      </c>
      <c r="E287" t="s">
        <v>981</v>
      </c>
      <c r="F287">
        <v>17442</v>
      </c>
      <c r="G287">
        <v>1423</v>
      </c>
      <c r="I287">
        <v>3232</v>
      </c>
      <c r="J287">
        <v>11892</v>
      </c>
      <c r="K287">
        <v>0</v>
      </c>
      <c r="L287">
        <v>0</v>
      </c>
      <c r="M287">
        <v>0</v>
      </c>
      <c r="N287">
        <v>9514</v>
      </c>
      <c r="O287">
        <v>0</v>
      </c>
      <c r="P287">
        <v>0</v>
      </c>
      <c r="R287">
        <v>0</v>
      </c>
      <c r="S287">
        <v>0</v>
      </c>
      <c r="T287" t="s">
        <v>102</v>
      </c>
      <c r="U287">
        <v>6</v>
      </c>
      <c r="V287" t="s">
        <v>269</v>
      </c>
      <c r="W287" t="s">
        <v>135</v>
      </c>
      <c r="X287" t="s">
        <v>108</v>
      </c>
      <c r="Y287" t="s">
        <v>89</v>
      </c>
      <c r="Z287">
        <v>1</v>
      </c>
      <c r="AA287">
        <f>IF(AND(D287&gt;=配装计算器!$I$29,D287&lt;=配装计算器!$I$30),1,0)</f>
        <v>1</v>
      </c>
      <c r="AB287">
        <f t="shared" si="65"/>
        <v>1</v>
      </c>
      <c r="AC287">
        <f t="shared" si="66"/>
        <v>0</v>
      </c>
      <c r="AD287">
        <f t="shared" si="67"/>
        <v>0</v>
      </c>
      <c r="AE287">
        <f t="shared" si="68"/>
        <v>0</v>
      </c>
      <c r="AF287">
        <f t="shared" si="69"/>
        <v>1</v>
      </c>
      <c r="AG287">
        <f t="shared" si="70"/>
        <v>0</v>
      </c>
      <c r="AH287">
        <f t="shared" si="71"/>
        <v>0</v>
      </c>
      <c r="AI287">
        <f t="shared" si="72"/>
        <v>0</v>
      </c>
      <c r="AJ287">
        <f t="shared" si="73"/>
        <v>1</v>
      </c>
      <c r="AK287">
        <f>SUM(AJ$2:$AJ287)</f>
        <v>286</v>
      </c>
    </row>
    <row r="288" spans="1:37">
      <c r="A288" t="s">
        <v>901</v>
      </c>
      <c r="B288" t="s">
        <v>982</v>
      </c>
      <c r="C288" t="s">
        <v>955</v>
      </c>
      <c r="D288">
        <v>35300</v>
      </c>
      <c r="E288" t="s">
        <v>983</v>
      </c>
      <c r="F288">
        <v>17442</v>
      </c>
      <c r="G288">
        <v>0</v>
      </c>
      <c r="I288">
        <v>6248</v>
      </c>
      <c r="J288">
        <v>7928</v>
      </c>
      <c r="K288">
        <v>0</v>
      </c>
      <c r="L288">
        <v>0</v>
      </c>
      <c r="M288">
        <v>7928</v>
      </c>
      <c r="N288">
        <v>7928</v>
      </c>
      <c r="O288">
        <v>0</v>
      </c>
      <c r="P288">
        <v>0</v>
      </c>
      <c r="R288">
        <v>0</v>
      </c>
      <c r="S288">
        <v>0</v>
      </c>
      <c r="T288" t="s">
        <v>138</v>
      </c>
      <c r="U288">
        <v>6</v>
      </c>
      <c r="V288" t="s">
        <v>98</v>
      </c>
      <c r="W288" t="s">
        <v>135</v>
      </c>
      <c r="X288" t="s">
        <v>108</v>
      </c>
      <c r="Y288" t="s">
        <v>89</v>
      </c>
      <c r="Z288">
        <v>1</v>
      </c>
      <c r="AA288">
        <f>IF(AND(D288&gt;=配装计算器!$I$29,D288&lt;=配装计算器!$I$30),1,0)</f>
        <v>1</v>
      </c>
      <c r="AB288">
        <f t="shared" si="65"/>
        <v>1</v>
      </c>
      <c r="AC288">
        <f t="shared" si="66"/>
        <v>0</v>
      </c>
      <c r="AD288">
        <f t="shared" si="67"/>
        <v>0</v>
      </c>
      <c r="AE288">
        <f t="shared" si="68"/>
        <v>1</v>
      </c>
      <c r="AF288">
        <f t="shared" si="69"/>
        <v>1</v>
      </c>
      <c r="AG288">
        <f t="shared" si="70"/>
        <v>0</v>
      </c>
      <c r="AH288">
        <f t="shared" si="71"/>
        <v>0</v>
      </c>
      <c r="AI288">
        <f t="shared" si="72"/>
        <v>1</v>
      </c>
      <c r="AJ288">
        <f t="shared" si="73"/>
        <v>1</v>
      </c>
      <c r="AK288">
        <f>SUM(AJ$2:$AJ288)</f>
        <v>287</v>
      </c>
    </row>
    <row r="289" spans="1:37">
      <c r="A289" t="s">
        <v>901</v>
      </c>
      <c r="B289" t="s">
        <v>984</v>
      </c>
      <c r="C289" t="s">
        <v>955</v>
      </c>
      <c r="D289">
        <v>35300</v>
      </c>
      <c r="E289" t="s">
        <v>985</v>
      </c>
      <c r="F289">
        <v>17442</v>
      </c>
      <c r="G289">
        <v>0</v>
      </c>
      <c r="I289">
        <v>5171</v>
      </c>
      <c r="J289">
        <v>18235</v>
      </c>
      <c r="K289">
        <v>0</v>
      </c>
      <c r="L289">
        <v>0</v>
      </c>
      <c r="M289">
        <v>0</v>
      </c>
      <c r="N289">
        <v>9514</v>
      </c>
      <c r="O289">
        <v>0</v>
      </c>
      <c r="P289">
        <v>0</v>
      </c>
      <c r="R289">
        <v>0</v>
      </c>
      <c r="S289">
        <v>0</v>
      </c>
      <c r="T289" t="s">
        <v>184</v>
      </c>
      <c r="U289">
        <v>6</v>
      </c>
      <c r="V289" t="s">
        <v>98</v>
      </c>
      <c r="W289" t="s">
        <v>185</v>
      </c>
      <c r="X289" t="s">
        <v>108</v>
      </c>
      <c r="Y289" t="s">
        <v>89</v>
      </c>
      <c r="Z289">
        <v>1</v>
      </c>
      <c r="AA289">
        <f>IF(AND(D289&gt;=配装计算器!$I$29,D289&lt;=配装计算器!$I$30),1,0)</f>
        <v>1</v>
      </c>
      <c r="AB289">
        <f t="shared" si="65"/>
        <v>1</v>
      </c>
      <c r="AC289">
        <f t="shared" si="66"/>
        <v>0</v>
      </c>
      <c r="AD289">
        <f t="shared" si="67"/>
        <v>0</v>
      </c>
      <c r="AE289">
        <f t="shared" si="68"/>
        <v>0</v>
      </c>
      <c r="AF289">
        <f t="shared" si="69"/>
        <v>1</v>
      </c>
      <c r="AG289">
        <f t="shared" si="70"/>
        <v>0</v>
      </c>
      <c r="AH289">
        <f t="shared" si="71"/>
        <v>0</v>
      </c>
      <c r="AI289">
        <f t="shared" si="72"/>
        <v>1</v>
      </c>
      <c r="AJ289">
        <f t="shared" si="73"/>
        <v>1</v>
      </c>
      <c r="AK289">
        <f>SUM(AJ$2:$AJ289)</f>
        <v>288</v>
      </c>
    </row>
    <row r="290" spans="1:37">
      <c r="A290" t="s">
        <v>901</v>
      </c>
      <c r="B290" t="s">
        <v>986</v>
      </c>
      <c r="C290" t="s">
        <v>955</v>
      </c>
      <c r="D290">
        <v>35300</v>
      </c>
      <c r="E290" t="s">
        <v>987</v>
      </c>
      <c r="F290">
        <v>17442</v>
      </c>
      <c r="G290">
        <v>0</v>
      </c>
      <c r="I290">
        <v>6248</v>
      </c>
      <c r="J290">
        <v>7928</v>
      </c>
      <c r="K290">
        <v>0</v>
      </c>
      <c r="L290">
        <v>7928</v>
      </c>
      <c r="M290">
        <v>0</v>
      </c>
      <c r="N290">
        <v>7928</v>
      </c>
      <c r="O290">
        <v>0</v>
      </c>
      <c r="P290">
        <v>0</v>
      </c>
      <c r="R290">
        <v>0</v>
      </c>
      <c r="S290">
        <v>0</v>
      </c>
      <c r="T290" t="s">
        <v>188</v>
      </c>
      <c r="U290">
        <v>6</v>
      </c>
      <c r="V290" t="s">
        <v>98</v>
      </c>
      <c r="W290" t="s">
        <v>185</v>
      </c>
      <c r="X290" t="s">
        <v>123</v>
      </c>
      <c r="Y290" t="s">
        <v>89</v>
      </c>
      <c r="Z290">
        <v>1</v>
      </c>
      <c r="AA290">
        <f>IF(AND(D290&gt;=配装计算器!$I$29,D290&lt;=配装计算器!$I$30),1,0)</f>
        <v>1</v>
      </c>
      <c r="AB290">
        <f t="shared" si="65"/>
        <v>1</v>
      </c>
      <c r="AC290">
        <f t="shared" si="66"/>
        <v>0</v>
      </c>
      <c r="AD290">
        <f t="shared" si="67"/>
        <v>1</v>
      </c>
      <c r="AE290">
        <f t="shared" si="68"/>
        <v>0</v>
      </c>
      <c r="AF290">
        <f t="shared" si="69"/>
        <v>1</v>
      </c>
      <c r="AG290">
        <f t="shared" si="70"/>
        <v>0</v>
      </c>
      <c r="AH290">
        <f t="shared" si="71"/>
        <v>0</v>
      </c>
      <c r="AI290">
        <f t="shared" si="72"/>
        <v>1</v>
      </c>
      <c r="AJ290">
        <f t="shared" si="73"/>
        <v>1</v>
      </c>
      <c r="AK290">
        <f>SUM(AJ$2:$AJ290)</f>
        <v>289</v>
      </c>
    </row>
    <row r="291" spans="1:37">
      <c r="A291" t="s">
        <v>901</v>
      </c>
      <c r="B291" t="s">
        <v>988</v>
      </c>
      <c r="C291" t="s">
        <v>989</v>
      </c>
      <c r="D291">
        <v>35900</v>
      </c>
      <c r="E291" t="s">
        <v>990</v>
      </c>
      <c r="F291">
        <v>17738</v>
      </c>
      <c r="G291">
        <v>1447</v>
      </c>
      <c r="I291">
        <v>3287</v>
      </c>
      <c r="J291">
        <v>0</v>
      </c>
      <c r="K291">
        <v>0</v>
      </c>
      <c r="L291">
        <v>0</v>
      </c>
      <c r="M291">
        <v>12094</v>
      </c>
      <c r="N291">
        <v>9675</v>
      </c>
      <c r="O291">
        <v>0</v>
      </c>
      <c r="P291">
        <v>0</v>
      </c>
      <c r="R291">
        <v>0</v>
      </c>
      <c r="S291">
        <v>0</v>
      </c>
      <c r="T291" t="s">
        <v>107</v>
      </c>
      <c r="U291">
        <v>6</v>
      </c>
      <c r="V291" t="s">
        <v>327</v>
      </c>
      <c r="W291" t="s">
        <v>94</v>
      </c>
      <c r="X291" t="s">
        <v>123</v>
      </c>
      <c r="Y291" t="s">
        <v>89</v>
      </c>
      <c r="Z291">
        <v>1</v>
      </c>
      <c r="AA291">
        <f>IF(AND(D291&gt;=配装计算器!$I$29,D291&lt;=配装计算器!$I$30),1,0)</f>
        <v>1</v>
      </c>
      <c r="AB291">
        <f t="shared" si="65"/>
        <v>0</v>
      </c>
      <c r="AC291">
        <f t="shared" si="66"/>
        <v>0</v>
      </c>
      <c r="AD291">
        <f t="shared" si="67"/>
        <v>0</v>
      </c>
      <c r="AE291">
        <f t="shared" si="68"/>
        <v>1</v>
      </c>
      <c r="AF291">
        <f t="shared" si="69"/>
        <v>1</v>
      </c>
      <c r="AG291">
        <f t="shared" si="70"/>
        <v>0</v>
      </c>
      <c r="AH291">
        <f t="shared" si="71"/>
        <v>0</v>
      </c>
      <c r="AI291">
        <f t="shared" si="72"/>
        <v>0</v>
      </c>
      <c r="AJ291">
        <f t="shared" si="73"/>
        <v>1</v>
      </c>
      <c r="AK291">
        <f>SUM(AJ$2:$AJ291)</f>
        <v>290</v>
      </c>
    </row>
    <row r="292" spans="1:37">
      <c r="A292" t="s">
        <v>901</v>
      </c>
      <c r="B292" t="s">
        <v>991</v>
      </c>
      <c r="C292" t="s">
        <v>992</v>
      </c>
      <c r="D292">
        <v>36200</v>
      </c>
      <c r="E292" t="s">
        <v>993</v>
      </c>
      <c r="F292">
        <v>17886</v>
      </c>
      <c r="G292">
        <v>1355</v>
      </c>
      <c r="I292">
        <v>2209</v>
      </c>
      <c r="J292">
        <v>12195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4878</v>
      </c>
      <c r="R292">
        <v>0</v>
      </c>
      <c r="S292">
        <v>0</v>
      </c>
      <c r="T292" t="s">
        <v>93</v>
      </c>
      <c r="U292">
        <v>6</v>
      </c>
      <c r="V292" t="s">
        <v>145</v>
      </c>
      <c r="W292" t="s">
        <v>94</v>
      </c>
      <c r="X292" t="s">
        <v>185</v>
      </c>
      <c r="Y292" t="s">
        <v>89</v>
      </c>
      <c r="Z292">
        <v>2</v>
      </c>
      <c r="AA292">
        <f>IF(AND(D292&gt;=配装计算器!$I$29,D292&lt;=配装计算器!$I$30),1,0)</f>
        <v>1</v>
      </c>
      <c r="AB292">
        <f t="shared" si="65"/>
        <v>1</v>
      </c>
      <c r="AC292">
        <f t="shared" si="66"/>
        <v>0</v>
      </c>
      <c r="AD292">
        <f t="shared" si="67"/>
        <v>0</v>
      </c>
      <c r="AE292">
        <f t="shared" si="68"/>
        <v>0</v>
      </c>
      <c r="AF292">
        <f t="shared" si="69"/>
        <v>0</v>
      </c>
      <c r="AG292">
        <f t="shared" si="70"/>
        <v>0</v>
      </c>
      <c r="AH292">
        <f t="shared" si="71"/>
        <v>1</v>
      </c>
      <c r="AI292">
        <f t="shared" si="72"/>
        <v>0</v>
      </c>
      <c r="AJ292">
        <f t="shared" si="73"/>
        <v>1</v>
      </c>
      <c r="AK292">
        <f>SUM(AJ$2:$AJ292)</f>
        <v>291</v>
      </c>
    </row>
    <row r="293" spans="1:37">
      <c r="A293" t="s">
        <v>901</v>
      </c>
      <c r="B293" t="s">
        <v>994</v>
      </c>
      <c r="C293" t="s">
        <v>995</v>
      </c>
      <c r="D293">
        <v>38100</v>
      </c>
      <c r="E293" t="s">
        <v>996</v>
      </c>
      <c r="F293">
        <v>18825</v>
      </c>
      <c r="G293">
        <v>0</v>
      </c>
      <c r="I293">
        <v>2325</v>
      </c>
      <c r="J293">
        <v>0</v>
      </c>
      <c r="K293">
        <v>0</v>
      </c>
      <c r="L293">
        <v>0</v>
      </c>
      <c r="M293">
        <v>34228</v>
      </c>
      <c r="N293">
        <v>10268</v>
      </c>
      <c r="O293">
        <v>0</v>
      </c>
      <c r="P293">
        <v>0</v>
      </c>
      <c r="R293">
        <v>0</v>
      </c>
      <c r="S293">
        <v>0</v>
      </c>
      <c r="T293" t="s">
        <v>198</v>
      </c>
      <c r="U293">
        <v>6</v>
      </c>
      <c r="V293" t="s">
        <v>98</v>
      </c>
      <c r="W293" t="s">
        <v>154</v>
      </c>
      <c r="X293" t="s">
        <v>108</v>
      </c>
      <c r="Y293" t="s">
        <v>89</v>
      </c>
      <c r="Z293">
        <v>1</v>
      </c>
      <c r="AA293">
        <f>IF(AND(D293&gt;=配装计算器!$I$29,D293&lt;=配装计算器!$I$30),1,0)</f>
        <v>1</v>
      </c>
      <c r="AB293">
        <f t="shared" si="65"/>
        <v>0</v>
      </c>
      <c r="AC293">
        <f t="shared" si="66"/>
        <v>0</v>
      </c>
      <c r="AD293">
        <f t="shared" si="67"/>
        <v>0</v>
      </c>
      <c r="AE293">
        <f t="shared" si="68"/>
        <v>1</v>
      </c>
      <c r="AF293">
        <f t="shared" si="69"/>
        <v>1</v>
      </c>
      <c r="AG293">
        <f t="shared" si="70"/>
        <v>0</v>
      </c>
      <c r="AH293">
        <f t="shared" si="71"/>
        <v>0</v>
      </c>
      <c r="AI293">
        <f t="shared" si="72"/>
        <v>1</v>
      </c>
      <c r="AJ293">
        <f t="shared" si="73"/>
        <v>1</v>
      </c>
      <c r="AK293">
        <f>SUM(AJ$2:$AJ293)</f>
        <v>292</v>
      </c>
    </row>
    <row r="294" spans="1:37">
      <c r="A294" t="s">
        <v>901</v>
      </c>
      <c r="B294" t="s">
        <v>997</v>
      </c>
      <c r="C294" t="s">
        <v>995</v>
      </c>
      <c r="D294">
        <v>38100</v>
      </c>
      <c r="E294" t="s">
        <v>998</v>
      </c>
      <c r="F294">
        <v>18825</v>
      </c>
      <c r="G294">
        <v>0</v>
      </c>
      <c r="I294">
        <v>2325</v>
      </c>
      <c r="J294">
        <v>0</v>
      </c>
      <c r="K294">
        <v>0</v>
      </c>
      <c r="L294">
        <v>33372</v>
      </c>
      <c r="M294">
        <v>0</v>
      </c>
      <c r="N294">
        <v>10268</v>
      </c>
      <c r="O294">
        <v>0</v>
      </c>
      <c r="P294">
        <v>0</v>
      </c>
      <c r="R294">
        <v>0</v>
      </c>
      <c r="S294">
        <v>0</v>
      </c>
      <c r="T294" t="s">
        <v>153</v>
      </c>
      <c r="U294">
        <v>6</v>
      </c>
      <c r="V294" t="s">
        <v>98</v>
      </c>
      <c r="W294" t="s">
        <v>135</v>
      </c>
      <c r="X294" t="s">
        <v>123</v>
      </c>
      <c r="Y294" t="s">
        <v>89</v>
      </c>
      <c r="Z294">
        <v>1</v>
      </c>
      <c r="AA294">
        <f>IF(AND(D294&gt;=配装计算器!$I$29,D294&lt;=配装计算器!$I$30),1,0)</f>
        <v>1</v>
      </c>
      <c r="AB294">
        <f t="shared" si="65"/>
        <v>0</v>
      </c>
      <c r="AC294">
        <f t="shared" si="66"/>
        <v>0</v>
      </c>
      <c r="AD294">
        <f t="shared" si="67"/>
        <v>1</v>
      </c>
      <c r="AE294">
        <f t="shared" si="68"/>
        <v>0</v>
      </c>
      <c r="AF294">
        <f t="shared" si="69"/>
        <v>1</v>
      </c>
      <c r="AG294">
        <f t="shared" si="70"/>
        <v>0</v>
      </c>
      <c r="AH294">
        <f t="shared" si="71"/>
        <v>0</v>
      </c>
      <c r="AI294">
        <f t="shared" si="72"/>
        <v>1</v>
      </c>
      <c r="AJ294">
        <f t="shared" si="73"/>
        <v>1</v>
      </c>
      <c r="AK294">
        <f>SUM(AJ$2:$AJ294)</f>
        <v>293</v>
      </c>
    </row>
    <row r="295" spans="1:37">
      <c r="A295" t="s">
        <v>901</v>
      </c>
      <c r="B295" t="s">
        <v>999</v>
      </c>
      <c r="C295" t="s">
        <v>995</v>
      </c>
      <c r="D295">
        <v>38100</v>
      </c>
      <c r="E295" t="s">
        <v>1000</v>
      </c>
      <c r="F295">
        <v>18825</v>
      </c>
      <c r="G295">
        <v>0</v>
      </c>
      <c r="I295">
        <v>6744</v>
      </c>
      <c r="J295">
        <v>15402</v>
      </c>
      <c r="K295">
        <v>6418</v>
      </c>
      <c r="L295">
        <v>0</v>
      </c>
      <c r="M295">
        <v>0</v>
      </c>
      <c r="N295">
        <v>6418</v>
      </c>
      <c r="O295">
        <v>0</v>
      </c>
      <c r="P295">
        <v>0</v>
      </c>
      <c r="R295">
        <v>0</v>
      </c>
      <c r="S295">
        <v>0</v>
      </c>
      <c r="T295" t="s">
        <v>141</v>
      </c>
      <c r="U295">
        <v>6</v>
      </c>
      <c r="V295" t="s">
        <v>98</v>
      </c>
      <c r="W295" t="s">
        <v>135</v>
      </c>
      <c r="X295" t="s">
        <v>108</v>
      </c>
      <c r="Y295" t="s">
        <v>89</v>
      </c>
      <c r="Z295">
        <v>1</v>
      </c>
      <c r="AA295">
        <f>IF(AND(D295&gt;=配装计算器!$I$29,D295&lt;=配装计算器!$I$30),1,0)</f>
        <v>1</v>
      </c>
      <c r="AB295">
        <f t="shared" si="65"/>
        <v>1</v>
      </c>
      <c r="AC295">
        <f t="shared" si="66"/>
        <v>1</v>
      </c>
      <c r="AD295">
        <f t="shared" si="67"/>
        <v>0</v>
      </c>
      <c r="AE295">
        <f t="shared" si="68"/>
        <v>0</v>
      </c>
      <c r="AF295">
        <f t="shared" si="69"/>
        <v>1</v>
      </c>
      <c r="AG295">
        <f t="shared" si="70"/>
        <v>0</v>
      </c>
      <c r="AH295">
        <f t="shared" si="71"/>
        <v>0</v>
      </c>
      <c r="AI295">
        <f t="shared" si="72"/>
        <v>1</v>
      </c>
      <c r="AJ295">
        <f t="shared" si="73"/>
        <v>1</v>
      </c>
      <c r="AK295">
        <f>SUM(AJ$2:$AJ295)</f>
        <v>294</v>
      </c>
    </row>
    <row r="296" spans="1:37">
      <c r="A296" t="s">
        <v>901</v>
      </c>
      <c r="B296" t="s">
        <v>1001</v>
      </c>
      <c r="C296" t="s">
        <v>1002</v>
      </c>
      <c r="D296">
        <v>41400</v>
      </c>
      <c r="E296" t="s">
        <v>1003</v>
      </c>
      <c r="F296">
        <v>20456</v>
      </c>
      <c r="G296">
        <v>1669</v>
      </c>
      <c r="I296">
        <v>3790</v>
      </c>
      <c r="J296">
        <v>0</v>
      </c>
      <c r="K296">
        <v>0</v>
      </c>
      <c r="L296">
        <v>13947</v>
      </c>
      <c r="M296">
        <v>0</v>
      </c>
      <c r="N296">
        <v>11158</v>
      </c>
      <c r="O296">
        <v>0</v>
      </c>
      <c r="P296">
        <v>0</v>
      </c>
      <c r="R296">
        <v>0</v>
      </c>
      <c r="S296">
        <v>0</v>
      </c>
      <c r="T296" t="s">
        <v>122</v>
      </c>
      <c r="U296">
        <v>6</v>
      </c>
      <c r="V296" t="s">
        <v>240</v>
      </c>
      <c r="W296" t="s">
        <v>88</v>
      </c>
      <c r="X296" t="s">
        <v>135</v>
      </c>
      <c r="Y296" t="s">
        <v>89</v>
      </c>
      <c r="Z296">
        <v>1</v>
      </c>
      <c r="AA296">
        <f>IF(AND(D296&gt;=配装计算器!$I$29,D296&lt;=配装计算器!$I$30),1,0)</f>
        <v>1</v>
      </c>
      <c r="AB296">
        <f t="shared" si="65"/>
        <v>0</v>
      </c>
      <c r="AC296">
        <f t="shared" si="66"/>
        <v>0</v>
      </c>
      <c r="AD296">
        <f t="shared" si="67"/>
        <v>1</v>
      </c>
      <c r="AE296">
        <f t="shared" si="68"/>
        <v>0</v>
      </c>
      <c r="AF296">
        <f t="shared" si="69"/>
        <v>1</v>
      </c>
      <c r="AG296">
        <f t="shared" si="70"/>
        <v>0</v>
      </c>
      <c r="AH296">
        <f t="shared" si="71"/>
        <v>0</v>
      </c>
      <c r="AI296">
        <f t="shared" si="72"/>
        <v>0</v>
      </c>
      <c r="AJ296">
        <f t="shared" si="73"/>
        <v>1</v>
      </c>
      <c r="AK296">
        <f>SUM(AJ$2:$AJ296)</f>
        <v>295</v>
      </c>
    </row>
    <row r="297" spans="1:37">
      <c r="A297" t="s">
        <v>901</v>
      </c>
      <c r="B297" t="s">
        <v>1004</v>
      </c>
      <c r="C297" t="s">
        <v>1005</v>
      </c>
      <c r="D297">
        <v>41400</v>
      </c>
      <c r="E297" t="s">
        <v>1006</v>
      </c>
      <c r="F297">
        <v>20456</v>
      </c>
      <c r="G297">
        <v>1669</v>
      </c>
      <c r="I297">
        <v>3790</v>
      </c>
      <c r="J297">
        <v>0</v>
      </c>
      <c r="K297">
        <v>0</v>
      </c>
      <c r="L297">
        <v>0</v>
      </c>
      <c r="M297">
        <v>0</v>
      </c>
      <c r="N297">
        <v>11158</v>
      </c>
      <c r="O297">
        <v>13947</v>
      </c>
      <c r="P297">
        <v>0</v>
      </c>
      <c r="R297">
        <v>0</v>
      </c>
      <c r="S297">
        <v>0</v>
      </c>
      <c r="T297" t="s">
        <v>115</v>
      </c>
      <c r="U297">
        <v>6</v>
      </c>
      <c r="V297" t="s">
        <v>87</v>
      </c>
      <c r="W297" t="s">
        <v>108</v>
      </c>
      <c r="X297" t="s">
        <v>123</v>
      </c>
      <c r="Y297" t="s">
        <v>89</v>
      </c>
      <c r="Z297">
        <v>1</v>
      </c>
      <c r="AA297">
        <f>IF(AND(D297&gt;=配装计算器!$I$29,D297&lt;=配装计算器!$I$30),1,0)</f>
        <v>1</v>
      </c>
      <c r="AB297">
        <f t="shared" si="65"/>
        <v>0</v>
      </c>
      <c r="AC297">
        <f t="shared" si="66"/>
        <v>0</v>
      </c>
      <c r="AD297">
        <f t="shared" si="67"/>
        <v>0</v>
      </c>
      <c r="AE297">
        <f t="shared" si="68"/>
        <v>0</v>
      </c>
      <c r="AF297">
        <f t="shared" si="69"/>
        <v>1</v>
      </c>
      <c r="AG297">
        <f t="shared" si="70"/>
        <v>1</v>
      </c>
      <c r="AH297">
        <f t="shared" si="71"/>
        <v>0</v>
      </c>
      <c r="AI297">
        <f t="shared" si="72"/>
        <v>0</v>
      </c>
      <c r="AJ297">
        <f t="shared" si="73"/>
        <v>1</v>
      </c>
      <c r="AK297">
        <f>SUM(AJ$2:$AJ297)</f>
        <v>296</v>
      </c>
    </row>
    <row r="298" spans="1:37">
      <c r="A298" t="s">
        <v>901</v>
      </c>
      <c r="B298" t="s">
        <v>1007</v>
      </c>
      <c r="C298" t="s">
        <v>1008</v>
      </c>
      <c r="D298">
        <v>41400</v>
      </c>
      <c r="E298" t="s">
        <v>1009</v>
      </c>
      <c r="F298">
        <v>20456</v>
      </c>
      <c r="G298">
        <v>1669</v>
      </c>
      <c r="I298">
        <v>3790</v>
      </c>
      <c r="J298">
        <v>13947</v>
      </c>
      <c r="K298">
        <v>0</v>
      </c>
      <c r="L298">
        <v>0</v>
      </c>
      <c r="M298">
        <v>0</v>
      </c>
      <c r="N298">
        <v>11158</v>
      </c>
      <c r="O298">
        <v>0</v>
      </c>
      <c r="P298">
        <v>0</v>
      </c>
      <c r="R298">
        <v>0</v>
      </c>
      <c r="S298">
        <v>0</v>
      </c>
      <c r="T298" t="s">
        <v>102</v>
      </c>
      <c r="U298">
        <v>6</v>
      </c>
      <c r="V298" t="s">
        <v>87</v>
      </c>
      <c r="W298" t="s">
        <v>135</v>
      </c>
      <c r="X298" t="s">
        <v>108</v>
      </c>
      <c r="Y298" t="s">
        <v>89</v>
      </c>
      <c r="Z298">
        <v>1</v>
      </c>
      <c r="AA298">
        <f>IF(AND(D298&gt;=配装计算器!$I$29,D298&lt;=配装计算器!$I$30),1,0)</f>
        <v>1</v>
      </c>
      <c r="AB298">
        <f t="shared" si="65"/>
        <v>1</v>
      </c>
      <c r="AC298">
        <f t="shared" si="66"/>
        <v>0</v>
      </c>
      <c r="AD298">
        <f t="shared" si="67"/>
        <v>0</v>
      </c>
      <c r="AE298">
        <f t="shared" si="68"/>
        <v>0</v>
      </c>
      <c r="AF298">
        <f t="shared" si="69"/>
        <v>1</v>
      </c>
      <c r="AG298">
        <f t="shared" si="70"/>
        <v>0</v>
      </c>
      <c r="AH298">
        <f t="shared" si="71"/>
        <v>0</v>
      </c>
      <c r="AI298">
        <f t="shared" si="72"/>
        <v>0</v>
      </c>
      <c r="AJ298">
        <f t="shared" si="73"/>
        <v>1</v>
      </c>
      <c r="AK298">
        <f>SUM(AJ$2:$AJ298)</f>
        <v>297</v>
      </c>
    </row>
    <row r="299" spans="1:37">
      <c r="A299" t="s">
        <v>901</v>
      </c>
      <c r="B299" t="s">
        <v>1010</v>
      </c>
      <c r="C299" t="s">
        <v>1011</v>
      </c>
      <c r="D299">
        <v>41400</v>
      </c>
      <c r="E299" t="s">
        <v>1012</v>
      </c>
      <c r="F299">
        <v>20456</v>
      </c>
      <c r="G299">
        <v>1669</v>
      </c>
      <c r="I299">
        <v>3790</v>
      </c>
      <c r="J299">
        <v>0</v>
      </c>
      <c r="K299">
        <v>0</v>
      </c>
      <c r="L299">
        <v>0</v>
      </c>
      <c r="M299">
        <v>13947</v>
      </c>
      <c r="N299">
        <v>11158</v>
      </c>
      <c r="O299">
        <v>0</v>
      </c>
      <c r="P299">
        <v>0</v>
      </c>
      <c r="R299">
        <v>0</v>
      </c>
      <c r="S299">
        <v>0</v>
      </c>
      <c r="T299" t="s">
        <v>107</v>
      </c>
      <c r="U299">
        <v>6</v>
      </c>
      <c r="V299" t="s">
        <v>262</v>
      </c>
      <c r="W299" t="s">
        <v>94</v>
      </c>
      <c r="X299" t="s">
        <v>123</v>
      </c>
      <c r="Y299" t="s">
        <v>89</v>
      </c>
      <c r="Z299">
        <v>1</v>
      </c>
      <c r="AA299">
        <f>IF(AND(D299&gt;=配装计算器!$I$29,D299&lt;=配装计算器!$I$30),1,0)</f>
        <v>1</v>
      </c>
      <c r="AB299">
        <f t="shared" si="65"/>
        <v>0</v>
      </c>
      <c r="AC299">
        <f t="shared" si="66"/>
        <v>0</v>
      </c>
      <c r="AD299">
        <f t="shared" si="67"/>
        <v>0</v>
      </c>
      <c r="AE299">
        <f t="shared" si="68"/>
        <v>1</v>
      </c>
      <c r="AF299">
        <f t="shared" si="69"/>
        <v>1</v>
      </c>
      <c r="AG299">
        <f t="shared" si="70"/>
        <v>0</v>
      </c>
      <c r="AH299">
        <f t="shared" si="71"/>
        <v>0</v>
      </c>
      <c r="AI299">
        <f t="shared" si="72"/>
        <v>0</v>
      </c>
      <c r="AJ299">
        <f t="shared" si="73"/>
        <v>1</v>
      </c>
      <c r="AK299">
        <f>SUM(AJ$2:$AJ299)</f>
        <v>298</v>
      </c>
    </row>
    <row r="300" spans="1:37">
      <c r="A300" t="s">
        <v>901</v>
      </c>
      <c r="B300" t="s">
        <v>1013</v>
      </c>
      <c r="C300" t="s">
        <v>1014</v>
      </c>
      <c r="D300">
        <v>41400</v>
      </c>
      <c r="E300" t="s">
        <v>1015</v>
      </c>
      <c r="F300">
        <v>20456</v>
      </c>
      <c r="G300">
        <v>1669</v>
      </c>
      <c r="I300">
        <v>3790</v>
      </c>
      <c r="J300">
        <v>0</v>
      </c>
      <c r="K300">
        <v>0</v>
      </c>
      <c r="L300">
        <v>0</v>
      </c>
      <c r="M300">
        <v>13947</v>
      </c>
      <c r="N300">
        <v>11158</v>
      </c>
      <c r="O300">
        <v>0</v>
      </c>
      <c r="P300">
        <v>0</v>
      </c>
      <c r="R300">
        <v>0</v>
      </c>
      <c r="S300">
        <v>0</v>
      </c>
      <c r="T300" t="s">
        <v>107</v>
      </c>
      <c r="U300">
        <v>6</v>
      </c>
      <c r="V300" t="s">
        <v>130</v>
      </c>
      <c r="W300" t="s">
        <v>94</v>
      </c>
      <c r="X300" t="s">
        <v>123</v>
      </c>
      <c r="Y300" t="s">
        <v>89</v>
      </c>
      <c r="Z300">
        <v>1</v>
      </c>
      <c r="AA300">
        <f>IF(AND(D300&gt;=配装计算器!$I$29,D300&lt;=配装计算器!$I$30),1,0)</f>
        <v>1</v>
      </c>
      <c r="AB300">
        <f t="shared" si="65"/>
        <v>0</v>
      </c>
      <c r="AC300">
        <f t="shared" si="66"/>
        <v>0</v>
      </c>
      <c r="AD300">
        <f t="shared" si="67"/>
        <v>0</v>
      </c>
      <c r="AE300">
        <f t="shared" si="68"/>
        <v>1</v>
      </c>
      <c r="AF300">
        <f t="shared" si="69"/>
        <v>1</v>
      </c>
      <c r="AG300">
        <f t="shared" si="70"/>
        <v>0</v>
      </c>
      <c r="AH300">
        <f t="shared" si="71"/>
        <v>0</v>
      </c>
      <c r="AI300">
        <f t="shared" si="72"/>
        <v>0</v>
      </c>
      <c r="AJ300">
        <f t="shared" si="73"/>
        <v>1</v>
      </c>
      <c r="AK300">
        <f>SUM(AJ$2:$AJ300)</f>
        <v>299</v>
      </c>
    </row>
    <row r="301" spans="1:37">
      <c r="A301" t="s">
        <v>901</v>
      </c>
      <c r="B301" t="s">
        <v>1016</v>
      </c>
      <c r="C301" t="s">
        <v>995</v>
      </c>
      <c r="D301">
        <v>41400</v>
      </c>
      <c r="E301" t="s">
        <v>1017</v>
      </c>
      <c r="F301">
        <v>20456</v>
      </c>
      <c r="G301">
        <v>0</v>
      </c>
      <c r="I301">
        <v>5938</v>
      </c>
      <c r="J301">
        <v>9298</v>
      </c>
      <c r="K301">
        <v>0</v>
      </c>
      <c r="L301">
        <v>9298</v>
      </c>
      <c r="M301">
        <v>9298</v>
      </c>
      <c r="N301">
        <v>9298</v>
      </c>
      <c r="O301">
        <v>0</v>
      </c>
      <c r="P301">
        <v>0</v>
      </c>
      <c r="R301">
        <v>0</v>
      </c>
      <c r="S301">
        <v>0</v>
      </c>
      <c r="T301" t="s">
        <v>504</v>
      </c>
      <c r="U301">
        <v>6</v>
      </c>
      <c r="V301" t="s">
        <v>98</v>
      </c>
      <c r="W301" t="s">
        <v>94</v>
      </c>
      <c r="X301" t="s">
        <v>154</v>
      </c>
      <c r="Y301" t="s">
        <v>89</v>
      </c>
      <c r="Z301">
        <v>1</v>
      </c>
      <c r="AA301">
        <f>IF(AND(D301&gt;=配装计算器!$I$29,D301&lt;=配装计算器!$I$30),1,0)</f>
        <v>1</v>
      </c>
      <c r="AB301">
        <f t="shared" si="65"/>
        <v>1</v>
      </c>
      <c r="AC301">
        <f t="shared" si="66"/>
        <v>0</v>
      </c>
      <c r="AD301">
        <f t="shared" si="67"/>
        <v>1</v>
      </c>
      <c r="AE301">
        <f t="shared" si="68"/>
        <v>1</v>
      </c>
      <c r="AF301">
        <f t="shared" si="69"/>
        <v>1</v>
      </c>
      <c r="AG301">
        <f t="shared" si="70"/>
        <v>0</v>
      </c>
      <c r="AH301">
        <f t="shared" si="71"/>
        <v>0</v>
      </c>
      <c r="AI301">
        <f t="shared" si="72"/>
        <v>1</v>
      </c>
      <c r="AJ301">
        <f t="shared" si="73"/>
        <v>1</v>
      </c>
      <c r="AK301">
        <f>SUM(AJ$2:$AJ301)</f>
        <v>300</v>
      </c>
    </row>
    <row r="302" spans="1:37">
      <c r="A302" t="s">
        <v>901</v>
      </c>
      <c r="B302" t="s">
        <v>1018</v>
      </c>
      <c r="C302" t="s">
        <v>995</v>
      </c>
      <c r="D302">
        <v>41400</v>
      </c>
      <c r="E302" t="s">
        <v>1019</v>
      </c>
      <c r="F302">
        <v>20456</v>
      </c>
      <c r="G302">
        <v>0</v>
      </c>
      <c r="I302">
        <v>2527</v>
      </c>
      <c r="J302">
        <v>36262</v>
      </c>
      <c r="K302">
        <v>0</v>
      </c>
      <c r="L302">
        <v>0</v>
      </c>
      <c r="M302">
        <v>0</v>
      </c>
      <c r="N302">
        <v>11158</v>
      </c>
      <c r="O302">
        <v>0</v>
      </c>
      <c r="P302">
        <v>0</v>
      </c>
      <c r="R302">
        <v>0</v>
      </c>
      <c r="S302">
        <v>0</v>
      </c>
      <c r="T302" t="s">
        <v>184</v>
      </c>
      <c r="U302">
        <v>6</v>
      </c>
      <c r="V302" t="s">
        <v>98</v>
      </c>
      <c r="W302" t="s">
        <v>123</v>
      </c>
      <c r="X302" t="s">
        <v>108</v>
      </c>
      <c r="Y302" t="s">
        <v>89</v>
      </c>
      <c r="Z302">
        <v>1</v>
      </c>
      <c r="AA302">
        <f>IF(AND(D302&gt;=配装计算器!$I$29,D302&lt;=配装计算器!$I$30),1,0)</f>
        <v>1</v>
      </c>
      <c r="AB302">
        <f t="shared" ref="AB302" si="83">IF(J302&gt;0,1,0)</f>
        <v>1</v>
      </c>
      <c r="AC302">
        <f t="shared" ref="AC302" si="84">IF(K302&gt;0,1,0)</f>
        <v>0</v>
      </c>
      <c r="AD302">
        <f t="shared" ref="AD302" si="85">IF(L302&gt;0,1,0)</f>
        <v>0</v>
      </c>
      <c r="AE302">
        <f t="shared" ref="AE302" si="86">IF(M302&gt;0,1,0)</f>
        <v>0</v>
      </c>
      <c r="AF302">
        <f t="shared" ref="AF302" si="87">IF(N302&gt;0,1,0)</f>
        <v>1</v>
      </c>
      <c r="AG302">
        <f t="shared" ref="AG302" si="88">IF(O302&gt;0,1,0)</f>
        <v>0</v>
      </c>
      <c r="AH302">
        <f t="shared" ref="AH302" si="89">IF(P302&gt;0,1,0)</f>
        <v>0</v>
      </c>
      <c r="AI302">
        <f t="shared" ref="AI302" si="90">IF(COUNTIF(T302,"*"&amp;"精简"&amp;"*")&gt;0,1,0)</f>
        <v>1</v>
      </c>
      <c r="AJ302">
        <f t="shared" ref="AJ302" si="91">MIN(1,AA302*($AY$2+IF(AND(AB302&gt;=$AQ$3,AC302&gt;=$AR$3,AD302&gt;=$AS$3,AE302&gt;=$AT$3,AF302&gt;=$AU$3,AG302&gt;=$AV$3,AH302&gt;=$AW$3,AI302&gt;=$AX$3),1,0)))</f>
        <v>1</v>
      </c>
      <c r="AK302">
        <f>SUM(AJ$2:$AJ302)</f>
        <v>301</v>
      </c>
    </row>
    <row r="303" spans="1:37">
      <c r="A303" t="s">
        <v>901</v>
      </c>
      <c r="B303" t="s">
        <v>1020</v>
      </c>
      <c r="C303" t="s">
        <v>995</v>
      </c>
      <c r="D303">
        <v>41400</v>
      </c>
      <c r="E303" t="s">
        <v>1021</v>
      </c>
      <c r="F303">
        <v>20456</v>
      </c>
      <c r="G303">
        <v>0</v>
      </c>
      <c r="I303">
        <v>7328</v>
      </c>
      <c r="J303">
        <v>16737</v>
      </c>
      <c r="K303">
        <v>6974</v>
      </c>
      <c r="L303">
        <v>0</v>
      </c>
      <c r="M303">
        <v>6974</v>
      </c>
      <c r="N303">
        <v>0</v>
      </c>
      <c r="O303">
        <v>0</v>
      </c>
      <c r="P303">
        <v>0</v>
      </c>
      <c r="R303">
        <v>0</v>
      </c>
      <c r="S303">
        <v>0</v>
      </c>
      <c r="T303" t="s">
        <v>157</v>
      </c>
      <c r="U303">
        <v>6</v>
      </c>
      <c r="V303" t="s">
        <v>98</v>
      </c>
      <c r="W303" t="s">
        <v>135</v>
      </c>
      <c r="X303" t="s">
        <v>123</v>
      </c>
      <c r="Y303" t="s">
        <v>89</v>
      </c>
      <c r="Z303">
        <v>1</v>
      </c>
      <c r="AA303">
        <f>IF(AND(D303&gt;=配装计算器!$I$29,D303&lt;=配装计算器!$I$30),1,0)</f>
        <v>1</v>
      </c>
      <c r="AB303">
        <f t="shared" si="65"/>
        <v>1</v>
      </c>
      <c r="AC303">
        <f t="shared" si="66"/>
        <v>1</v>
      </c>
      <c r="AD303">
        <f t="shared" si="67"/>
        <v>0</v>
      </c>
      <c r="AE303">
        <f t="shared" si="68"/>
        <v>1</v>
      </c>
      <c r="AF303">
        <f t="shared" si="69"/>
        <v>0</v>
      </c>
      <c r="AG303">
        <f t="shared" si="70"/>
        <v>0</v>
      </c>
      <c r="AH303">
        <f t="shared" si="71"/>
        <v>0</v>
      </c>
      <c r="AI303">
        <f t="shared" si="72"/>
        <v>1</v>
      </c>
      <c r="AJ303">
        <f t="shared" si="73"/>
        <v>1</v>
      </c>
      <c r="AK303">
        <f>SUM(AJ$2:$AJ303)</f>
        <v>302</v>
      </c>
    </row>
    <row r="304" spans="1:37">
      <c r="A304" t="s">
        <v>901</v>
      </c>
      <c r="B304" t="s">
        <v>1022</v>
      </c>
      <c r="C304" t="s">
        <v>1023</v>
      </c>
      <c r="D304">
        <v>42100</v>
      </c>
      <c r="E304" t="s">
        <v>1024</v>
      </c>
      <c r="F304">
        <v>20802</v>
      </c>
      <c r="G304">
        <v>1697</v>
      </c>
      <c r="I304">
        <v>3854</v>
      </c>
      <c r="J304">
        <v>0</v>
      </c>
      <c r="K304">
        <v>0</v>
      </c>
      <c r="L304">
        <v>0</v>
      </c>
      <c r="M304">
        <v>14183</v>
      </c>
      <c r="N304">
        <v>11346</v>
      </c>
      <c r="O304">
        <v>0</v>
      </c>
      <c r="P304">
        <v>0</v>
      </c>
      <c r="R304">
        <v>0</v>
      </c>
      <c r="S304">
        <v>0</v>
      </c>
      <c r="T304" t="s">
        <v>107</v>
      </c>
      <c r="U304">
        <v>6</v>
      </c>
      <c r="V304" t="s">
        <v>327</v>
      </c>
      <c r="W304" t="s">
        <v>94</v>
      </c>
      <c r="X304" t="s">
        <v>123</v>
      </c>
      <c r="Y304" t="s">
        <v>89</v>
      </c>
      <c r="Z304">
        <v>1</v>
      </c>
      <c r="AA304">
        <f>IF(AND(D304&gt;=配装计算器!$I$29,D304&lt;=配装计算器!$I$30),1,0)</f>
        <v>1</v>
      </c>
      <c r="AB304">
        <f t="shared" si="65"/>
        <v>0</v>
      </c>
      <c r="AC304">
        <f t="shared" si="66"/>
        <v>0</v>
      </c>
      <c r="AD304">
        <f t="shared" si="67"/>
        <v>0</v>
      </c>
      <c r="AE304">
        <f t="shared" si="68"/>
        <v>1</v>
      </c>
      <c r="AF304">
        <f t="shared" si="69"/>
        <v>1</v>
      </c>
      <c r="AG304">
        <f t="shared" si="70"/>
        <v>0</v>
      </c>
      <c r="AH304">
        <f t="shared" si="71"/>
        <v>0</v>
      </c>
      <c r="AI304">
        <f t="shared" si="72"/>
        <v>0</v>
      </c>
      <c r="AJ304">
        <f t="shared" si="73"/>
        <v>1</v>
      </c>
      <c r="AK304">
        <f>SUM(AJ$2:$AJ304)</f>
        <v>303</v>
      </c>
    </row>
    <row r="305" spans="1:37">
      <c r="A305" t="s">
        <v>901</v>
      </c>
      <c r="B305" t="s">
        <v>1025</v>
      </c>
      <c r="C305" t="s">
        <v>1026</v>
      </c>
      <c r="D305">
        <v>42400</v>
      </c>
      <c r="E305" t="s">
        <v>1027</v>
      </c>
      <c r="F305">
        <v>20950</v>
      </c>
      <c r="G305">
        <v>1587</v>
      </c>
      <c r="I305">
        <v>2588</v>
      </c>
      <c r="J305">
        <v>14284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5714</v>
      </c>
      <c r="R305">
        <v>0</v>
      </c>
      <c r="S305">
        <v>0</v>
      </c>
      <c r="T305" t="s">
        <v>93</v>
      </c>
      <c r="U305">
        <v>6</v>
      </c>
      <c r="V305" t="s">
        <v>145</v>
      </c>
      <c r="W305" t="s">
        <v>94</v>
      </c>
      <c r="X305" t="s">
        <v>185</v>
      </c>
      <c r="Y305" t="s">
        <v>89</v>
      </c>
      <c r="Z305">
        <v>2</v>
      </c>
      <c r="AA305">
        <f>IF(AND(D305&gt;=配装计算器!$I$29,D305&lt;=配装计算器!$I$30),1,0)</f>
        <v>1</v>
      </c>
      <c r="AB305">
        <f t="shared" si="65"/>
        <v>1</v>
      </c>
      <c r="AC305">
        <f t="shared" si="66"/>
        <v>0</v>
      </c>
      <c r="AD305">
        <f t="shared" si="67"/>
        <v>0</v>
      </c>
      <c r="AE305">
        <f t="shared" si="68"/>
        <v>0</v>
      </c>
      <c r="AF305">
        <f t="shared" si="69"/>
        <v>0</v>
      </c>
      <c r="AG305">
        <f t="shared" si="70"/>
        <v>0</v>
      </c>
      <c r="AH305">
        <f t="shared" si="71"/>
        <v>1</v>
      </c>
      <c r="AI305">
        <f t="shared" si="72"/>
        <v>0</v>
      </c>
      <c r="AJ305">
        <f t="shared" si="73"/>
        <v>1</v>
      </c>
      <c r="AK305">
        <f>SUM(AJ$2:$AJ305)</f>
        <v>304</v>
      </c>
    </row>
    <row r="306" spans="1:37">
      <c r="A306" t="s">
        <v>1028</v>
      </c>
      <c r="B306" t="s">
        <v>1029</v>
      </c>
      <c r="C306" t="s">
        <v>1030</v>
      </c>
      <c r="D306">
        <v>21375</v>
      </c>
      <c r="E306" t="s">
        <v>1031</v>
      </c>
      <c r="F306">
        <v>15647</v>
      </c>
      <c r="G306">
        <v>1277</v>
      </c>
      <c r="I306">
        <v>6191</v>
      </c>
      <c r="J306">
        <v>9246</v>
      </c>
      <c r="K306">
        <v>0</v>
      </c>
      <c r="L306">
        <v>7112</v>
      </c>
      <c r="M306">
        <v>0</v>
      </c>
      <c r="N306">
        <v>0</v>
      </c>
      <c r="O306">
        <v>3556</v>
      </c>
      <c r="P306">
        <v>0</v>
      </c>
      <c r="R306">
        <v>4788</v>
      </c>
      <c r="S306">
        <v>7980</v>
      </c>
      <c r="T306" t="s">
        <v>1032</v>
      </c>
      <c r="U306">
        <v>8</v>
      </c>
      <c r="V306" t="s">
        <v>1033</v>
      </c>
      <c r="W306" t="s">
        <v>123</v>
      </c>
      <c r="X306" t="s">
        <v>88</v>
      </c>
      <c r="Y306" t="s">
        <v>135</v>
      </c>
      <c r="Z306">
        <v>3</v>
      </c>
      <c r="AA306">
        <f>IF(AND(D306&gt;=配装计算器!$I$29,D306&lt;=配装计算器!$I$30),1,0)</f>
        <v>1</v>
      </c>
      <c r="AB306">
        <f t="shared" si="65"/>
        <v>1</v>
      </c>
      <c r="AC306">
        <f t="shared" si="66"/>
        <v>0</v>
      </c>
      <c r="AD306">
        <f t="shared" si="67"/>
        <v>1</v>
      </c>
      <c r="AE306">
        <f t="shared" si="68"/>
        <v>0</v>
      </c>
      <c r="AF306">
        <f t="shared" si="69"/>
        <v>0</v>
      </c>
      <c r="AG306">
        <f t="shared" si="70"/>
        <v>1</v>
      </c>
      <c r="AH306">
        <f t="shared" si="71"/>
        <v>0</v>
      </c>
      <c r="AI306">
        <f t="shared" si="72"/>
        <v>0</v>
      </c>
      <c r="AJ306">
        <f t="shared" si="73"/>
        <v>1</v>
      </c>
      <c r="AK306">
        <f>SUM(AJ$2:$AJ306)</f>
        <v>305</v>
      </c>
    </row>
    <row r="307" spans="1:37">
      <c r="A307" t="s">
        <v>1028</v>
      </c>
      <c r="B307" t="s">
        <v>1034</v>
      </c>
      <c r="C307" t="s">
        <v>1030</v>
      </c>
      <c r="D307">
        <v>22875</v>
      </c>
      <c r="E307" t="s">
        <v>1035</v>
      </c>
      <c r="F307">
        <v>16744</v>
      </c>
      <c r="G307">
        <v>1366</v>
      </c>
      <c r="I307">
        <v>6626</v>
      </c>
      <c r="J307">
        <v>9894</v>
      </c>
      <c r="K307">
        <v>0</v>
      </c>
      <c r="L307">
        <v>7611</v>
      </c>
      <c r="M307">
        <v>0</v>
      </c>
      <c r="N307">
        <v>0</v>
      </c>
      <c r="O307">
        <v>3806</v>
      </c>
      <c r="P307">
        <v>0</v>
      </c>
      <c r="R307">
        <v>5124</v>
      </c>
      <c r="S307">
        <v>8540</v>
      </c>
      <c r="T307" t="s">
        <v>1032</v>
      </c>
      <c r="U307">
        <v>8</v>
      </c>
      <c r="V307" t="s">
        <v>1033</v>
      </c>
      <c r="W307" t="s">
        <v>123</v>
      </c>
      <c r="X307" t="s">
        <v>88</v>
      </c>
      <c r="Y307" t="s">
        <v>135</v>
      </c>
      <c r="Z307">
        <v>3</v>
      </c>
      <c r="AA307">
        <f>IF(AND(D307&gt;=配装计算器!$I$29,D307&lt;=配装计算器!$I$30),1,0)</f>
        <v>1</v>
      </c>
      <c r="AB307">
        <f t="shared" si="65"/>
        <v>1</v>
      </c>
      <c r="AC307">
        <f t="shared" si="66"/>
        <v>0</v>
      </c>
      <c r="AD307">
        <f t="shared" si="67"/>
        <v>1</v>
      </c>
      <c r="AE307">
        <f t="shared" si="68"/>
        <v>0</v>
      </c>
      <c r="AF307">
        <f t="shared" si="69"/>
        <v>0</v>
      </c>
      <c r="AG307">
        <f t="shared" si="70"/>
        <v>1</v>
      </c>
      <c r="AH307">
        <f t="shared" si="71"/>
        <v>0</v>
      </c>
      <c r="AI307">
        <f t="shared" si="72"/>
        <v>0</v>
      </c>
      <c r="AJ307">
        <f t="shared" si="73"/>
        <v>1</v>
      </c>
      <c r="AK307">
        <f>SUM(AJ$2:$AJ307)</f>
        <v>306</v>
      </c>
    </row>
    <row r="308" spans="1:37">
      <c r="A308" t="s">
        <v>1028</v>
      </c>
      <c r="B308" t="s">
        <v>1036</v>
      </c>
      <c r="C308" t="s">
        <v>1030</v>
      </c>
      <c r="D308">
        <v>24375</v>
      </c>
      <c r="E308" t="s">
        <v>1037</v>
      </c>
      <c r="F308">
        <v>17843</v>
      </c>
      <c r="G308">
        <v>1456</v>
      </c>
      <c r="I308">
        <v>7060</v>
      </c>
      <c r="J308">
        <v>10543</v>
      </c>
      <c r="K308">
        <v>0</v>
      </c>
      <c r="L308">
        <v>8110</v>
      </c>
      <c r="M308">
        <v>0</v>
      </c>
      <c r="N308">
        <v>0</v>
      </c>
      <c r="O308">
        <v>4055</v>
      </c>
      <c r="P308">
        <v>0</v>
      </c>
      <c r="R308">
        <v>5460</v>
      </c>
      <c r="S308">
        <v>9100</v>
      </c>
      <c r="T308" t="s">
        <v>1032</v>
      </c>
      <c r="U308">
        <v>8</v>
      </c>
      <c r="V308" t="s">
        <v>1033</v>
      </c>
      <c r="W308" t="s">
        <v>123</v>
      </c>
      <c r="X308" t="s">
        <v>88</v>
      </c>
      <c r="Y308" t="s">
        <v>135</v>
      </c>
      <c r="Z308">
        <v>3</v>
      </c>
      <c r="AA308">
        <f>IF(AND(D308&gt;=配装计算器!$I$29,D308&lt;=配装计算器!$I$30),1,0)</f>
        <v>1</v>
      </c>
      <c r="AB308">
        <f t="shared" si="65"/>
        <v>1</v>
      </c>
      <c r="AC308">
        <f t="shared" si="66"/>
        <v>0</v>
      </c>
      <c r="AD308">
        <f t="shared" si="67"/>
        <v>1</v>
      </c>
      <c r="AE308">
        <f t="shared" si="68"/>
        <v>0</v>
      </c>
      <c r="AF308">
        <f t="shared" si="69"/>
        <v>0</v>
      </c>
      <c r="AG308">
        <f t="shared" si="70"/>
        <v>1</v>
      </c>
      <c r="AH308">
        <f t="shared" si="71"/>
        <v>0</v>
      </c>
      <c r="AI308">
        <f t="shared" si="72"/>
        <v>0</v>
      </c>
      <c r="AJ308">
        <f t="shared" si="73"/>
        <v>1</v>
      </c>
      <c r="AK308">
        <f>SUM(AJ$2:$AJ308)</f>
        <v>307</v>
      </c>
    </row>
    <row r="309" spans="1:37">
      <c r="A309" t="s">
        <v>1028</v>
      </c>
      <c r="B309" t="s">
        <v>1038</v>
      </c>
      <c r="C309" t="s">
        <v>1039</v>
      </c>
      <c r="D309">
        <v>24500</v>
      </c>
      <c r="E309" t="s">
        <v>1040</v>
      </c>
      <c r="F309">
        <v>17934</v>
      </c>
      <c r="G309">
        <v>1463</v>
      </c>
      <c r="I309">
        <v>7096</v>
      </c>
      <c r="J309">
        <v>10597</v>
      </c>
      <c r="K309">
        <v>0</v>
      </c>
      <c r="L309">
        <v>8152</v>
      </c>
      <c r="M309">
        <v>0</v>
      </c>
      <c r="N309">
        <v>0</v>
      </c>
      <c r="O309">
        <v>4076</v>
      </c>
      <c r="P309">
        <v>0</v>
      </c>
      <c r="R309">
        <v>5488</v>
      </c>
      <c r="S309">
        <v>9147</v>
      </c>
      <c r="T309" t="s">
        <v>1041</v>
      </c>
      <c r="U309">
        <v>8</v>
      </c>
      <c r="V309" t="s">
        <v>1042</v>
      </c>
      <c r="W309" t="s">
        <v>123</v>
      </c>
      <c r="X309" t="s">
        <v>88</v>
      </c>
      <c r="Y309" t="s">
        <v>135</v>
      </c>
      <c r="Z309">
        <v>3</v>
      </c>
      <c r="AA309">
        <f>IF(AND(D309&gt;=配装计算器!$I$29,D309&lt;=配装计算器!$I$30),1,0)</f>
        <v>1</v>
      </c>
      <c r="AB309">
        <f t="shared" si="65"/>
        <v>1</v>
      </c>
      <c r="AC309">
        <f t="shared" si="66"/>
        <v>0</v>
      </c>
      <c r="AD309">
        <f t="shared" si="67"/>
        <v>1</v>
      </c>
      <c r="AE309">
        <f t="shared" si="68"/>
        <v>0</v>
      </c>
      <c r="AF309">
        <f t="shared" si="69"/>
        <v>0</v>
      </c>
      <c r="AG309">
        <f t="shared" si="70"/>
        <v>1</v>
      </c>
      <c r="AH309">
        <f t="shared" si="71"/>
        <v>0</v>
      </c>
      <c r="AI309">
        <f t="shared" si="72"/>
        <v>0</v>
      </c>
      <c r="AJ309">
        <f t="shared" si="73"/>
        <v>1</v>
      </c>
      <c r="AK309">
        <f>SUM(AJ$2:$AJ309)</f>
        <v>308</v>
      </c>
    </row>
    <row r="310" spans="1:37">
      <c r="A310" t="s">
        <v>1028</v>
      </c>
      <c r="B310" t="s">
        <v>1043</v>
      </c>
      <c r="C310" t="s">
        <v>1030</v>
      </c>
      <c r="D310">
        <v>25940</v>
      </c>
      <c r="E310" t="s">
        <v>1044</v>
      </c>
      <c r="F310">
        <v>18988</v>
      </c>
      <c r="G310">
        <v>1549</v>
      </c>
      <c r="I310">
        <v>7513</v>
      </c>
      <c r="J310">
        <v>11220</v>
      </c>
      <c r="K310">
        <v>0</v>
      </c>
      <c r="L310">
        <v>8631</v>
      </c>
      <c r="M310">
        <v>0</v>
      </c>
      <c r="N310">
        <v>0</v>
      </c>
      <c r="O310">
        <v>4315</v>
      </c>
      <c r="P310">
        <v>0</v>
      </c>
      <c r="R310">
        <v>5811</v>
      </c>
      <c r="S310">
        <v>9685</v>
      </c>
      <c r="T310" t="s">
        <v>1032</v>
      </c>
      <c r="U310">
        <v>8</v>
      </c>
      <c r="V310" t="s">
        <v>1033</v>
      </c>
      <c r="W310" t="s">
        <v>123</v>
      </c>
      <c r="X310" t="s">
        <v>88</v>
      </c>
      <c r="Y310" t="s">
        <v>135</v>
      </c>
      <c r="Z310">
        <v>3</v>
      </c>
      <c r="AA310">
        <f>IF(AND(D310&gt;=配装计算器!$I$29,D310&lt;=配装计算器!$I$30),1,0)</f>
        <v>1</v>
      </c>
      <c r="AB310">
        <f t="shared" si="65"/>
        <v>1</v>
      </c>
      <c r="AC310">
        <f t="shared" si="66"/>
        <v>0</v>
      </c>
      <c r="AD310">
        <f t="shared" si="67"/>
        <v>1</v>
      </c>
      <c r="AE310">
        <f t="shared" si="68"/>
        <v>0</v>
      </c>
      <c r="AF310">
        <f t="shared" si="69"/>
        <v>0</v>
      </c>
      <c r="AG310">
        <f t="shared" si="70"/>
        <v>1</v>
      </c>
      <c r="AH310">
        <f t="shared" si="71"/>
        <v>0</v>
      </c>
      <c r="AI310">
        <f t="shared" si="72"/>
        <v>0</v>
      </c>
      <c r="AJ310">
        <f t="shared" si="73"/>
        <v>1</v>
      </c>
      <c r="AK310">
        <f>SUM(AJ$2:$AJ310)</f>
        <v>309</v>
      </c>
    </row>
    <row r="311" spans="1:37">
      <c r="A311" t="s">
        <v>1028</v>
      </c>
      <c r="B311" t="s">
        <v>1045</v>
      </c>
      <c r="C311" t="s">
        <v>1039</v>
      </c>
      <c r="D311">
        <v>27000</v>
      </c>
      <c r="E311" t="s">
        <v>1046</v>
      </c>
      <c r="F311">
        <v>19764</v>
      </c>
      <c r="G311">
        <v>1612</v>
      </c>
      <c r="I311">
        <v>7820</v>
      </c>
      <c r="J311">
        <v>11679</v>
      </c>
      <c r="K311">
        <v>0</v>
      </c>
      <c r="L311">
        <v>8984</v>
      </c>
      <c r="M311">
        <v>0</v>
      </c>
      <c r="N311">
        <v>0</v>
      </c>
      <c r="O311">
        <v>4492</v>
      </c>
      <c r="P311">
        <v>0</v>
      </c>
      <c r="R311">
        <v>6048</v>
      </c>
      <c r="S311">
        <v>10080</v>
      </c>
      <c r="T311" t="s">
        <v>1041</v>
      </c>
      <c r="U311">
        <v>8</v>
      </c>
      <c r="V311" t="s">
        <v>1042</v>
      </c>
      <c r="W311" t="s">
        <v>123</v>
      </c>
      <c r="X311" t="s">
        <v>88</v>
      </c>
      <c r="Y311" t="s">
        <v>135</v>
      </c>
      <c r="Z311">
        <v>3</v>
      </c>
      <c r="AA311">
        <f>IF(AND(D311&gt;=配装计算器!$I$29,D311&lt;=配装计算器!$I$30),1,0)</f>
        <v>1</v>
      </c>
      <c r="AB311">
        <f t="shared" si="65"/>
        <v>1</v>
      </c>
      <c r="AC311">
        <f t="shared" si="66"/>
        <v>0</v>
      </c>
      <c r="AD311">
        <f t="shared" si="67"/>
        <v>1</v>
      </c>
      <c r="AE311">
        <f t="shared" si="68"/>
        <v>0</v>
      </c>
      <c r="AF311">
        <f t="shared" si="69"/>
        <v>0</v>
      </c>
      <c r="AG311">
        <f t="shared" si="70"/>
        <v>1</v>
      </c>
      <c r="AH311">
        <f t="shared" si="71"/>
        <v>0</v>
      </c>
      <c r="AI311">
        <f t="shared" si="72"/>
        <v>0</v>
      </c>
      <c r="AJ311">
        <f t="shared" si="73"/>
        <v>1</v>
      </c>
      <c r="AK311">
        <f>SUM(AJ$2:$AJ311)</f>
        <v>310</v>
      </c>
    </row>
    <row r="312" spans="1:37">
      <c r="A312" t="s">
        <v>1028</v>
      </c>
      <c r="B312" t="s">
        <v>1047</v>
      </c>
      <c r="C312" t="s">
        <v>1030</v>
      </c>
      <c r="D312">
        <v>27500</v>
      </c>
      <c r="E312" t="s">
        <v>1048</v>
      </c>
      <c r="F312">
        <v>20130</v>
      </c>
      <c r="G312">
        <v>1642</v>
      </c>
      <c r="I312">
        <v>7965</v>
      </c>
      <c r="J312">
        <v>11895</v>
      </c>
      <c r="K312">
        <v>0</v>
      </c>
      <c r="L312">
        <v>9150</v>
      </c>
      <c r="M312">
        <v>0</v>
      </c>
      <c r="N312">
        <v>0</v>
      </c>
      <c r="O312">
        <v>4575</v>
      </c>
      <c r="P312">
        <v>0</v>
      </c>
      <c r="R312">
        <v>6160</v>
      </c>
      <c r="S312">
        <v>10267</v>
      </c>
      <c r="T312" t="s">
        <v>1032</v>
      </c>
      <c r="U312">
        <v>8</v>
      </c>
      <c r="V312" t="s">
        <v>1033</v>
      </c>
      <c r="W312" t="s">
        <v>123</v>
      </c>
      <c r="X312" t="s">
        <v>88</v>
      </c>
      <c r="Y312" t="s">
        <v>135</v>
      </c>
      <c r="Z312">
        <v>3</v>
      </c>
      <c r="AA312">
        <f>IF(AND(D312&gt;=配装计算器!$I$29,D312&lt;=配装计算器!$I$30),1,0)</f>
        <v>1</v>
      </c>
      <c r="AB312">
        <f t="shared" si="65"/>
        <v>1</v>
      </c>
      <c r="AC312">
        <f t="shared" si="66"/>
        <v>0</v>
      </c>
      <c r="AD312">
        <f t="shared" si="67"/>
        <v>1</v>
      </c>
      <c r="AE312">
        <f t="shared" si="68"/>
        <v>0</v>
      </c>
      <c r="AF312">
        <f t="shared" si="69"/>
        <v>0</v>
      </c>
      <c r="AG312">
        <f t="shared" si="70"/>
        <v>1</v>
      </c>
      <c r="AH312">
        <f t="shared" si="71"/>
        <v>0</v>
      </c>
      <c r="AI312">
        <f t="shared" si="72"/>
        <v>0</v>
      </c>
      <c r="AJ312">
        <f t="shared" si="73"/>
        <v>1</v>
      </c>
      <c r="AK312">
        <f>SUM(AJ$2:$AJ312)</f>
        <v>311</v>
      </c>
    </row>
    <row r="313" spans="1:37">
      <c r="A313" t="s">
        <v>1028</v>
      </c>
      <c r="B313" t="s">
        <v>1049</v>
      </c>
      <c r="C313" t="s">
        <v>1039</v>
      </c>
      <c r="D313">
        <v>29500</v>
      </c>
      <c r="E313" t="s">
        <v>1050</v>
      </c>
      <c r="F313">
        <v>21594</v>
      </c>
      <c r="G313">
        <v>1762</v>
      </c>
      <c r="I313">
        <v>8544</v>
      </c>
      <c r="J313">
        <v>12760</v>
      </c>
      <c r="K313">
        <v>0</v>
      </c>
      <c r="L313">
        <v>9815</v>
      </c>
      <c r="M313">
        <v>0</v>
      </c>
      <c r="N313">
        <v>0</v>
      </c>
      <c r="O313">
        <v>4908</v>
      </c>
      <c r="P313">
        <v>0</v>
      </c>
      <c r="R313">
        <v>6608</v>
      </c>
      <c r="S313">
        <v>11014</v>
      </c>
      <c r="T313" t="s">
        <v>1041</v>
      </c>
      <c r="U313">
        <v>8</v>
      </c>
      <c r="V313" t="s">
        <v>1042</v>
      </c>
      <c r="W313" t="s">
        <v>123</v>
      </c>
      <c r="X313" t="s">
        <v>88</v>
      </c>
      <c r="Y313" t="s">
        <v>135</v>
      </c>
      <c r="Z313">
        <v>3</v>
      </c>
      <c r="AA313">
        <f>IF(AND(D313&gt;=配装计算器!$I$29,D313&lt;=配装计算器!$I$30),1,0)</f>
        <v>1</v>
      </c>
      <c r="AB313">
        <f t="shared" si="65"/>
        <v>1</v>
      </c>
      <c r="AC313">
        <f t="shared" si="66"/>
        <v>0</v>
      </c>
      <c r="AD313">
        <f t="shared" si="67"/>
        <v>1</v>
      </c>
      <c r="AE313">
        <f t="shared" si="68"/>
        <v>0</v>
      </c>
      <c r="AF313">
        <f t="shared" si="69"/>
        <v>0</v>
      </c>
      <c r="AG313">
        <f t="shared" si="70"/>
        <v>1</v>
      </c>
      <c r="AH313">
        <f t="shared" si="71"/>
        <v>0</v>
      </c>
      <c r="AI313">
        <f t="shared" si="72"/>
        <v>0</v>
      </c>
      <c r="AJ313">
        <f t="shared" si="73"/>
        <v>1</v>
      </c>
      <c r="AK313">
        <f>SUM(AJ$2:$AJ313)</f>
        <v>312</v>
      </c>
    </row>
    <row r="314" spans="1:37">
      <c r="A314" t="s">
        <v>1028</v>
      </c>
      <c r="B314" t="s">
        <v>1051</v>
      </c>
      <c r="C314" t="s">
        <v>1030</v>
      </c>
      <c r="D314">
        <v>29575</v>
      </c>
      <c r="E314" t="s">
        <v>1052</v>
      </c>
      <c r="F314">
        <v>21649</v>
      </c>
      <c r="G314">
        <v>1766</v>
      </c>
      <c r="I314">
        <v>8566</v>
      </c>
      <c r="J314">
        <v>12793</v>
      </c>
      <c r="K314">
        <v>0</v>
      </c>
      <c r="L314">
        <v>9840</v>
      </c>
      <c r="M314">
        <v>0</v>
      </c>
      <c r="N314">
        <v>0</v>
      </c>
      <c r="O314">
        <v>4920</v>
      </c>
      <c r="P314">
        <v>0</v>
      </c>
      <c r="R314">
        <v>6625</v>
      </c>
      <c r="S314">
        <v>11042</v>
      </c>
      <c r="T314" t="s">
        <v>1032</v>
      </c>
      <c r="U314">
        <v>8</v>
      </c>
      <c r="V314" t="s">
        <v>1033</v>
      </c>
      <c r="W314" t="s">
        <v>123</v>
      </c>
      <c r="X314" t="s">
        <v>88</v>
      </c>
      <c r="Y314" t="s">
        <v>135</v>
      </c>
      <c r="Z314">
        <v>3</v>
      </c>
      <c r="AA314">
        <f>IF(AND(D314&gt;=配装计算器!$I$29,D314&lt;=配装计算器!$I$30),1,0)</f>
        <v>1</v>
      </c>
      <c r="AB314">
        <f t="shared" si="65"/>
        <v>1</v>
      </c>
      <c r="AC314">
        <f t="shared" si="66"/>
        <v>0</v>
      </c>
      <c r="AD314">
        <f t="shared" si="67"/>
        <v>1</v>
      </c>
      <c r="AE314">
        <f t="shared" si="68"/>
        <v>0</v>
      </c>
      <c r="AF314">
        <f t="shared" si="69"/>
        <v>0</v>
      </c>
      <c r="AG314">
        <f t="shared" si="70"/>
        <v>1</v>
      </c>
      <c r="AH314">
        <f t="shared" si="71"/>
        <v>0</v>
      </c>
      <c r="AI314">
        <f t="shared" si="72"/>
        <v>0</v>
      </c>
      <c r="AJ314">
        <f t="shared" si="73"/>
        <v>1</v>
      </c>
      <c r="AK314">
        <f>SUM(AJ$2:$AJ314)</f>
        <v>313</v>
      </c>
    </row>
    <row r="315" spans="1:37">
      <c r="A315" t="s">
        <v>1028</v>
      </c>
      <c r="B315" t="s">
        <v>1053</v>
      </c>
      <c r="C315" t="s">
        <v>1054</v>
      </c>
      <c r="D315">
        <v>30200</v>
      </c>
      <c r="E315" t="s">
        <v>1055</v>
      </c>
      <c r="F315">
        <v>19896</v>
      </c>
      <c r="G315">
        <v>1507</v>
      </c>
      <c r="I315">
        <v>6889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13565</v>
      </c>
      <c r="P315">
        <v>5426</v>
      </c>
      <c r="R315">
        <v>6089</v>
      </c>
      <c r="S315">
        <v>10148</v>
      </c>
      <c r="T315" t="s">
        <v>228</v>
      </c>
      <c r="U315">
        <v>6</v>
      </c>
      <c r="V315" t="s">
        <v>87</v>
      </c>
      <c r="W315" t="s">
        <v>135</v>
      </c>
      <c r="X315" t="s">
        <v>123</v>
      </c>
      <c r="Y315" t="s">
        <v>233</v>
      </c>
      <c r="Z315">
        <v>2</v>
      </c>
      <c r="AA315">
        <f>IF(AND(D315&gt;=配装计算器!$I$29,D315&lt;=配装计算器!$I$30),1,0)</f>
        <v>1</v>
      </c>
      <c r="AB315">
        <f t="shared" si="65"/>
        <v>0</v>
      </c>
      <c r="AC315">
        <f t="shared" si="66"/>
        <v>0</v>
      </c>
      <c r="AD315">
        <f t="shared" si="67"/>
        <v>0</v>
      </c>
      <c r="AE315">
        <f t="shared" si="68"/>
        <v>0</v>
      </c>
      <c r="AF315">
        <f t="shared" si="69"/>
        <v>0</v>
      </c>
      <c r="AG315">
        <f t="shared" si="70"/>
        <v>1</v>
      </c>
      <c r="AH315">
        <f t="shared" si="71"/>
        <v>1</v>
      </c>
      <c r="AI315">
        <f t="shared" si="72"/>
        <v>0</v>
      </c>
      <c r="AJ315">
        <f t="shared" si="73"/>
        <v>1</v>
      </c>
      <c r="AK315">
        <f>SUM(AJ$2:$AJ315)</f>
        <v>314</v>
      </c>
    </row>
    <row r="316" spans="1:37">
      <c r="A316" t="s">
        <v>1028</v>
      </c>
      <c r="B316" t="s">
        <v>1056</v>
      </c>
      <c r="C316" t="s">
        <v>1057</v>
      </c>
      <c r="D316">
        <v>30200</v>
      </c>
      <c r="E316" t="s">
        <v>1058</v>
      </c>
      <c r="F316">
        <v>19896</v>
      </c>
      <c r="G316">
        <v>1507</v>
      </c>
      <c r="I316">
        <v>6889</v>
      </c>
      <c r="J316">
        <v>0</v>
      </c>
      <c r="K316">
        <v>0</v>
      </c>
      <c r="L316">
        <v>13565</v>
      </c>
      <c r="M316">
        <v>0</v>
      </c>
      <c r="N316">
        <v>0</v>
      </c>
      <c r="O316">
        <v>0</v>
      </c>
      <c r="P316">
        <v>5426</v>
      </c>
      <c r="R316">
        <v>6089</v>
      </c>
      <c r="S316">
        <v>10148</v>
      </c>
      <c r="T316" t="s">
        <v>86</v>
      </c>
      <c r="U316">
        <v>6</v>
      </c>
      <c r="V316" t="s">
        <v>87</v>
      </c>
      <c r="W316" t="s">
        <v>88</v>
      </c>
      <c r="X316" t="s">
        <v>135</v>
      </c>
      <c r="Y316" t="s">
        <v>233</v>
      </c>
      <c r="Z316">
        <v>2</v>
      </c>
      <c r="AA316">
        <f>IF(AND(D316&gt;=配装计算器!$I$29,D316&lt;=配装计算器!$I$30),1,0)</f>
        <v>1</v>
      </c>
      <c r="AB316">
        <f t="shared" si="65"/>
        <v>0</v>
      </c>
      <c r="AC316">
        <f t="shared" si="66"/>
        <v>0</v>
      </c>
      <c r="AD316">
        <f t="shared" si="67"/>
        <v>1</v>
      </c>
      <c r="AE316">
        <f t="shared" si="68"/>
        <v>0</v>
      </c>
      <c r="AF316">
        <f t="shared" si="69"/>
        <v>0</v>
      </c>
      <c r="AG316">
        <f t="shared" si="70"/>
        <v>0</v>
      </c>
      <c r="AH316">
        <f t="shared" si="71"/>
        <v>1</v>
      </c>
      <c r="AI316">
        <f t="shared" si="72"/>
        <v>0</v>
      </c>
      <c r="AJ316">
        <f t="shared" si="73"/>
        <v>1</v>
      </c>
      <c r="AK316">
        <f>SUM(AJ$2:$AJ316)</f>
        <v>315</v>
      </c>
    </row>
    <row r="317" spans="1:37">
      <c r="A317" t="s">
        <v>1028</v>
      </c>
      <c r="B317" t="s">
        <v>1059</v>
      </c>
      <c r="C317" t="s">
        <v>1060</v>
      </c>
      <c r="D317">
        <v>30200</v>
      </c>
      <c r="E317" t="s">
        <v>1061</v>
      </c>
      <c r="F317">
        <v>19896</v>
      </c>
      <c r="G317">
        <v>1507</v>
      </c>
      <c r="I317">
        <v>6889</v>
      </c>
      <c r="J317">
        <v>0</v>
      </c>
      <c r="K317">
        <v>0</v>
      </c>
      <c r="L317">
        <v>13565</v>
      </c>
      <c r="M317">
        <v>0</v>
      </c>
      <c r="N317">
        <v>0</v>
      </c>
      <c r="O317">
        <v>0</v>
      </c>
      <c r="P317">
        <v>5426</v>
      </c>
      <c r="R317">
        <v>6089</v>
      </c>
      <c r="S317">
        <v>10148</v>
      </c>
      <c r="T317" t="s">
        <v>86</v>
      </c>
      <c r="U317">
        <v>6</v>
      </c>
      <c r="V317" t="s">
        <v>98</v>
      </c>
      <c r="W317" t="s">
        <v>88</v>
      </c>
      <c r="X317" t="s">
        <v>135</v>
      </c>
      <c r="Y317" t="s">
        <v>233</v>
      </c>
      <c r="Z317">
        <v>2</v>
      </c>
      <c r="AA317">
        <f>IF(AND(D317&gt;=配装计算器!$I$29,D317&lt;=配装计算器!$I$30),1,0)</f>
        <v>1</v>
      </c>
      <c r="AB317">
        <f t="shared" si="65"/>
        <v>0</v>
      </c>
      <c r="AC317">
        <f t="shared" si="66"/>
        <v>0</v>
      </c>
      <c r="AD317">
        <f t="shared" si="67"/>
        <v>1</v>
      </c>
      <c r="AE317">
        <f t="shared" si="68"/>
        <v>0</v>
      </c>
      <c r="AF317">
        <f t="shared" si="69"/>
        <v>0</v>
      </c>
      <c r="AG317">
        <f t="shared" si="70"/>
        <v>0</v>
      </c>
      <c r="AH317">
        <f t="shared" si="71"/>
        <v>1</v>
      </c>
      <c r="AI317">
        <f t="shared" si="72"/>
        <v>0</v>
      </c>
      <c r="AJ317">
        <f t="shared" si="73"/>
        <v>1</v>
      </c>
      <c r="AK317">
        <f>SUM(AJ$2:$AJ317)</f>
        <v>316</v>
      </c>
    </row>
    <row r="318" spans="1:37">
      <c r="A318" t="s">
        <v>1028</v>
      </c>
      <c r="B318" t="s">
        <v>1062</v>
      </c>
      <c r="C318" t="s">
        <v>1063</v>
      </c>
      <c r="D318">
        <v>30200</v>
      </c>
      <c r="E318" t="s">
        <v>1064</v>
      </c>
      <c r="F318">
        <v>19896</v>
      </c>
      <c r="G318">
        <v>1623</v>
      </c>
      <c r="I318">
        <v>8118</v>
      </c>
      <c r="J318">
        <v>0</v>
      </c>
      <c r="K318">
        <v>0</v>
      </c>
      <c r="L318">
        <v>13565</v>
      </c>
      <c r="M318">
        <v>0</v>
      </c>
      <c r="N318">
        <v>13113</v>
      </c>
      <c r="O318">
        <v>0</v>
      </c>
      <c r="P318">
        <v>0</v>
      </c>
      <c r="R318">
        <v>6089</v>
      </c>
      <c r="S318">
        <v>10148</v>
      </c>
      <c r="T318" t="s">
        <v>122</v>
      </c>
      <c r="U318">
        <v>6</v>
      </c>
      <c r="V318" t="s">
        <v>103</v>
      </c>
      <c r="W318" t="s">
        <v>123</v>
      </c>
      <c r="X318" t="s">
        <v>88</v>
      </c>
      <c r="Y318" t="s">
        <v>135</v>
      </c>
      <c r="Z318">
        <v>1</v>
      </c>
      <c r="AA318">
        <f>IF(AND(D318&gt;=配装计算器!$I$29,D318&lt;=配装计算器!$I$30),1,0)</f>
        <v>1</v>
      </c>
      <c r="AB318">
        <f t="shared" si="65"/>
        <v>0</v>
      </c>
      <c r="AC318">
        <f t="shared" si="66"/>
        <v>0</v>
      </c>
      <c r="AD318">
        <f t="shared" si="67"/>
        <v>1</v>
      </c>
      <c r="AE318">
        <f t="shared" si="68"/>
        <v>0</v>
      </c>
      <c r="AF318">
        <f t="shared" si="69"/>
        <v>1</v>
      </c>
      <c r="AG318">
        <f t="shared" si="70"/>
        <v>0</v>
      </c>
      <c r="AH318">
        <f t="shared" si="71"/>
        <v>0</v>
      </c>
      <c r="AI318">
        <f t="shared" si="72"/>
        <v>0</v>
      </c>
      <c r="AJ318">
        <f t="shared" si="73"/>
        <v>1</v>
      </c>
      <c r="AK318">
        <f>SUM(AJ$2:$AJ318)</f>
        <v>317</v>
      </c>
    </row>
    <row r="319" spans="1:37">
      <c r="A319" t="s">
        <v>1028</v>
      </c>
      <c r="B319" t="s">
        <v>1065</v>
      </c>
      <c r="C319" t="s">
        <v>1066</v>
      </c>
      <c r="D319">
        <v>30200</v>
      </c>
      <c r="E319" t="s">
        <v>1067</v>
      </c>
      <c r="F319">
        <v>19896</v>
      </c>
      <c r="G319">
        <v>1623</v>
      </c>
      <c r="I319">
        <v>8118</v>
      </c>
      <c r="J319">
        <v>0</v>
      </c>
      <c r="K319">
        <v>0</v>
      </c>
      <c r="L319">
        <v>0</v>
      </c>
      <c r="M319">
        <v>13565</v>
      </c>
      <c r="N319">
        <v>13113</v>
      </c>
      <c r="O319">
        <v>0</v>
      </c>
      <c r="P319">
        <v>0</v>
      </c>
      <c r="R319">
        <v>6089</v>
      </c>
      <c r="S319">
        <v>10148</v>
      </c>
      <c r="T319" t="s">
        <v>107</v>
      </c>
      <c r="U319">
        <v>6</v>
      </c>
      <c r="V319" t="s">
        <v>87</v>
      </c>
      <c r="W319" t="s">
        <v>123</v>
      </c>
      <c r="X319" t="s">
        <v>88</v>
      </c>
      <c r="Y319" t="s">
        <v>135</v>
      </c>
      <c r="Z319">
        <v>1</v>
      </c>
      <c r="AA319">
        <f>IF(AND(D319&gt;=配装计算器!$I$29,D319&lt;=配装计算器!$I$30),1,0)</f>
        <v>1</v>
      </c>
      <c r="AB319">
        <f t="shared" si="65"/>
        <v>0</v>
      </c>
      <c r="AC319">
        <f t="shared" si="66"/>
        <v>0</v>
      </c>
      <c r="AD319">
        <f t="shared" si="67"/>
        <v>0</v>
      </c>
      <c r="AE319">
        <f t="shared" si="68"/>
        <v>1</v>
      </c>
      <c r="AF319">
        <f t="shared" si="69"/>
        <v>1</v>
      </c>
      <c r="AG319">
        <f t="shared" si="70"/>
        <v>0</v>
      </c>
      <c r="AH319">
        <f t="shared" si="71"/>
        <v>0</v>
      </c>
      <c r="AI319">
        <f t="shared" si="72"/>
        <v>0</v>
      </c>
      <c r="AJ319">
        <f t="shared" si="73"/>
        <v>1</v>
      </c>
      <c r="AK319">
        <f>SUM(AJ$2:$AJ319)</f>
        <v>318</v>
      </c>
    </row>
    <row r="320" spans="1:37">
      <c r="A320" t="s">
        <v>1028</v>
      </c>
      <c r="B320" t="s">
        <v>1068</v>
      </c>
      <c r="C320" t="s">
        <v>1069</v>
      </c>
      <c r="D320">
        <v>30200</v>
      </c>
      <c r="E320" t="s">
        <v>1070</v>
      </c>
      <c r="F320">
        <v>19896</v>
      </c>
      <c r="G320">
        <v>1623</v>
      </c>
      <c r="I320">
        <v>8118</v>
      </c>
      <c r="J320">
        <v>0</v>
      </c>
      <c r="K320">
        <v>0</v>
      </c>
      <c r="L320">
        <v>13565</v>
      </c>
      <c r="M320">
        <v>0</v>
      </c>
      <c r="N320">
        <v>13113</v>
      </c>
      <c r="O320">
        <v>0</v>
      </c>
      <c r="P320">
        <v>0</v>
      </c>
      <c r="R320">
        <v>6089</v>
      </c>
      <c r="S320">
        <v>10148</v>
      </c>
      <c r="T320" t="s">
        <v>1071</v>
      </c>
      <c r="U320">
        <v>6</v>
      </c>
      <c r="V320" t="s">
        <v>87</v>
      </c>
      <c r="W320" t="s">
        <v>123</v>
      </c>
      <c r="X320" t="s">
        <v>88</v>
      </c>
      <c r="Y320" t="s">
        <v>135</v>
      </c>
      <c r="Z320">
        <v>1</v>
      </c>
      <c r="AA320">
        <f>IF(AND(D320&gt;=配装计算器!$I$29,D320&lt;=配装计算器!$I$30),1,0)</f>
        <v>1</v>
      </c>
      <c r="AB320">
        <f t="shared" si="65"/>
        <v>0</v>
      </c>
      <c r="AC320">
        <f t="shared" si="66"/>
        <v>0</v>
      </c>
      <c r="AD320">
        <f t="shared" si="67"/>
        <v>1</v>
      </c>
      <c r="AE320">
        <f t="shared" si="68"/>
        <v>0</v>
      </c>
      <c r="AF320">
        <f t="shared" si="69"/>
        <v>1</v>
      </c>
      <c r="AG320">
        <f t="shared" si="70"/>
        <v>0</v>
      </c>
      <c r="AH320">
        <f t="shared" si="71"/>
        <v>0</v>
      </c>
      <c r="AI320">
        <f t="shared" si="72"/>
        <v>0</v>
      </c>
      <c r="AJ320">
        <f t="shared" si="73"/>
        <v>1</v>
      </c>
      <c r="AK320">
        <f>SUM(AJ$2:$AJ320)</f>
        <v>319</v>
      </c>
    </row>
    <row r="321" spans="1:37">
      <c r="A321" t="s">
        <v>1028</v>
      </c>
      <c r="B321" t="s">
        <v>1072</v>
      </c>
      <c r="C321" t="s">
        <v>1073</v>
      </c>
      <c r="D321">
        <v>30200</v>
      </c>
      <c r="E321" t="s">
        <v>1074</v>
      </c>
      <c r="F321">
        <v>19896</v>
      </c>
      <c r="G321">
        <v>1623</v>
      </c>
      <c r="I321">
        <v>8118</v>
      </c>
      <c r="J321">
        <v>0</v>
      </c>
      <c r="K321">
        <v>0</v>
      </c>
      <c r="L321">
        <v>0</v>
      </c>
      <c r="M321">
        <v>0</v>
      </c>
      <c r="N321">
        <v>13113</v>
      </c>
      <c r="O321">
        <v>13565</v>
      </c>
      <c r="P321">
        <v>0</v>
      </c>
      <c r="R321">
        <v>6089</v>
      </c>
      <c r="S321">
        <v>10148</v>
      </c>
      <c r="T321" t="s">
        <v>115</v>
      </c>
      <c r="U321">
        <v>6</v>
      </c>
      <c r="V321" t="s">
        <v>87</v>
      </c>
      <c r="W321" t="s">
        <v>88</v>
      </c>
      <c r="X321" t="s">
        <v>123</v>
      </c>
      <c r="Y321" t="s">
        <v>94</v>
      </c>
      <c r="Z321">
        <v>1</v>
      </c>
      <c r="AA321">
        <f>IF(AND(D321&gt;=配装计算器!$I$29,D321&lt;=配装计算器!$I$30),1,0)</f>
        <v>1</v>
      </c>
      <c r="AB321">
        <f t="shared" si="65"/>
        <v>0</v>
      </c>
      <c r="AC321">
        <f t="shared" si="66"/>
        <v>0</v>
      </c>
      <c r="AD321">
        <f t="shared" si="67"/>
        <v>0</v>
      </c>
      <c r="AE321">
        <f t="shared" si="68"/>
        <v>0</v>
      </c>
      <c r="AF321">
        <f t="shared" si="69"/>
        <v>1</v>
      </c>
      <c r="AG321">
        <f t="shared" si="70"/>
        <v>1</v>
      </c>
      <c r="AH321">
        <f t="shared" si="71"/>
        <v>0</v>
      </c>
      <c r="AI321">
        <f t="shared" si="72"/>
        <v>0</v>
      </c>
      <c r="AJ321">
        <f t="shared" si="73"/>
        <v>1</v>
      </c>
      <c r="AK321">
        <f>SUM(AJ$2:$AJ321)</f>
        <v>320</v>
      </c>
    </row>
    <row r="322" spans="1:37">
      <c r="A322" t="s">
        <v>1028</v>
      </c>
      <c r="B322" t="s">
        <v>1075</v>
      </c>
      <c r="C322" t="s">
        <v>1076</v>
      </c>
      <c r="D322">
        <v>30200</v>
      </c>
      <c r="E322" t="s">
        <v>1077</v>
      </c>
      <c r="F322">
        <v>19896</v>
      </c>
      <c r="G322">
        <v>1623</v>
      </c>
      <c r="I322">
        <v>8118</v>
      </c>
      <c r="J322">
        <v>0</v>
      </c>
      <c r="K322">
        <v>0</v>
      </c>
      <c r="L322">
        <v>13565</v>
      </c>
      <c r="M322">
        <v>0</v>
      </c>
      <c r="N322">
        <v>13113</v>
      </c>
      <c r="O322">
        <v>0</v>
      </c>
      <c r="P322">
        <v>0</v>
      </c>
      <c r="R322">
        <v>6089</v>
      </c>
      <c r="S322">
        <v>10148</v>
      </c>
      <c r="T322" t="s">
        <v>122</v>
      </c>
      <c r="U322">
        <v>6</v>
      </c>
      <c r="V322" t="s">
        <v>87</v>
      </c>
      <c r="W322" t="s">
        <v>123</v>
      </c>
      <c r="X322" t="s">
        <v>88</v>
      </c>
      <c r="Y322" t="s">
        <v>135</v>
      </c>
      <c r="Z322">
        <v>1</v>
      </c>
      <c r="AA322">
        <f>IF(AND(D322&gt;=配装计算器!$I$29,D322&lt;=配装计算器!$I$30),1,0)</f>
        <v>1</v>
      </c>
      <c r="AB322">
        <f t="shared" si="65"/>
        <v>0</v>
      </c>
      <c r="AC322">
        <f t="shared" si="66"/>
        <v>0</v>
      </c>
      <c r="AD322">
        <f t="shared" si="67"/>
        <v>1</v>
      </c>
      <c r="AE322">
        <f t="shared" si="68"/>
        <v>0</v>
      </c>
      <c r="AF322">
        <f t="shared" si="69"/>
        <v>1</v>
      </c>
      <c r="AG322">
        <f t="shared" si="70"/>
        <v>0</v>
      </c>
      <c r="AH322">
        <f t="shared" si="71"/>
        <v>0</v>
      </c>
      <c r="AI322">
        <f t="shared" si="72"/>
        <v>0</v>
      </c>
      <c r="AJ322">
        <f t="shared" si="73"/>
        <v>1</v>
      </c>
      <c r="AK322">
        <f>SUM(AJ$2:$AJ322)</f>
        <v>321</v>
      </c>
    </row>
    <row r="323" spans="1:37">
      <c r="A323" t="s">
        <v>1028</v>
      </c>
      <c r="B323" t="s">
        <v>1078</v>
      </c>
      <c r="C323" t="s">
        <v>1079</v>
      </c>
      <c r="D323">
        <v>30200</v>
      </c>
      <c r="E323" t="s">
        <v>1080</v>
      </c>
      <c r="F323">
        <v>19896</v>
      </c>
      <c r="G323">
        <v>1623</v>
      </c>
      <c r="I323">
        <v>8118</v>
      </c>
      <c r="J323">
        <v>13565</v>
      </c>
      <c r="K323">
        <v>0</v>
      </c>
      <c r="L323">
        <v>0</v>
      </c>
      <c r="M323">
        <v>0</v>
      </c>
      <c r="N323">
        <v>13113</v>
      </c>
      <c r="O323">
        <v>0</v>
      </c>
      <c r="P323">
        <v>0</v>
      </c>
      <c r="R323">
        <v>6089</v>
      </c>
      <c r="S323">
        <v>10148</v>
      </c>
      <c r="T323" t="s">
        <v>102</v>
      </c>
      <c r="U323">
        <v>6</v>
      </c>
      <c r="V323" t="s">
        <v>87</v>
      </c>
      <c r="W323" t="s">
        <v>185</v>
      </c>
      <c r="X323" t="s">
        <v>94</v>
      </c>
      <c r="Y323" t="s">
        <v>88</v>
      </c>
      <c r="Z323">
        <v>1</v>
      </c>
      <c r="AA323">
        <f>IF(AND(D323&gt;=配装计算器!$I$29,D323&lt;=配装计算器!$I$30),1,0)</f>
        <v>1</v>
      </c>
      <c r="AB323">
        <f t="shared" si="65"/>
        <v>1</v>
      </c>
      <c r="AC323">
        <f t="shared" si="66"/>
        <v>0</v>
      </c>
      <c r="AD323">
        <f t="shared" si="67"/>
        <v>0</v>
      </c>
      <c r="AE323">
        <f t="shared" si="68"/>
        <v>0</v>
      </c>
      <c r="AF323">
        <f t="shared" si="69"/>
        <v>1</v>
      </c>
      <c r="AG323">
        <f t="shared" si="70"/>
        <v>0</v>
      </c>
      <c r="AH323">
        <f t="shared" si="71"/>
        <v>0</v>
      </c>
      <c r="AI323">
        <f t="shared" si="72"/>
        <v>0</v>
      </c>
      <c r="AJ323">
        <f t="shared" si="73"/>
        <v>1</v>
      </c>
      <c r="AK323">
        <f>SUM(AJ$2:$AJ323)</f>
        <v>322</v>
      </c>
    </row>
    <row r="324" spans="1:37">
      <c r="A324" t="s">
        <v>1028</v>
      </c>
      <c r="B324" t="s">
        <v>1081</v>
      </c>
      <c r="C324" t="s">
        <v>1082</v>
      </c>
      <c r="D324">
        <v>30200</v>
      </c>
      <c r="E324" t="s">
        <v>1083</v>
      </c>
      <c r="F324">
        <v>19896</v>
      </c>
      <c r="G324">
        <v>1623</v>
      </c>
      <c r="I324">
        <v>8118</v>
      </c>
      <c r="J324">
        <v>13565</v>
      </c>
      <c r="K324">
        <v>0</v>
      </c>
      <c r="L324">
        <v>0</v>
      </c>
      <c r="M324">
        <v>0</v>
      </c>
      <c r="N324">
        <v>13113</v>
      </c>
      <c r="O324">
        <v>0</v>
      </c>
      <c r="P324">
        <v>0</v>
      </c>
      <c r="R324">
        <v>6089</v>
      </c>
      <c r="S324">
        <v>10148</v>
      </c>
      <c r="T324" t="s">
        <v>102</v>
      </c>
      <c r="U324">
        <v>6</v>
      </c>
      <c r="V324" t="s">
        <v>87</v>
      </c>
      <c r="W324" t="s">
        <v>185</v>
      </c>
      <c r="X324" t="s">
        <v>94</v>
      </c>
      <c r="Y324" t="s">
        <v>88</v>
      </c>
      <c r="Z324">
        <v>1</v>
      </c>
      <c r="AA324">
        <f>IF(AND(D324&gt;=配装计算器!$I$29,D324&lt;=配装计算器!$I$30),1,0)</f>
        <v>1</v>
      </c>
      <c r="AB324">
        <f t="shared" si="65"/>
        <v>1</v>
      </c>
      <c r="AC324">
        <f t="shared" si="66"/>
        <v>0</v>
      </c>
      <c r="AD324">
        <f t="shared" si="67"/>
        <v>0</v>
      </c>
      <c r="AE324">
        <f t="shared" si="68"/>
        <v>0</v>
      </c>
      <c r="AF324">
        <f t="shared" si="69"/>
        <v>1</v>
      </c>
      <c r="AG324">
        <f t="shared" si="70"/>
        <v>0</v>
      </c>
      <c r="AH324">
        <f t="shared" si="71"/>
        <v>0</v>
      </c>
      <c r="AI324">
        <f t="shared" si="72"/>
        <v>0</v>
      </c>
      <c r="AJ324">
        <f t="shared" si="73"/>
        <v>1</v>
      </c>
      <c r="AK324">
        <f>SUM(AJ$2:$AJ324)</f>
        <v>323</v>
      </c>
    </row>
    <row r="325" spans="1:37">
      <c r="A325" t="s">
        <v>1028</v>
      </c>
      <c r="B325" t="s">
        <v>1084</v>
      </c>
      <c r="C325" t="s">
        <v>1085</v>
      </c>
      <c r="D325">
        <v>30200</v>
      </c>
      <c r="E325" t="s">
        <v>1086</v>
      </c>
      <c r="F325">
        <v>19896</v>
      </c>
      <c r="G325">
        <v>1623</v>
      </c>
      <c r="I325">
        <v>8118</v>
      </c>
      <c r="J325">
        <v>0</v>
      </c>
      <c r="K325">
        <v>0</v>
      </c>
      <c r="L325">
        <v>0</v>
      </c>
      <c r="M325">
        <v>13565</v>
      </c>
      <c r="N325">
        <v>13113</v>
      </c>
      <c r="O325">
        <v>0</v>
      </c>
      <c r="P325">
        <v>0</v>
      </c>
      <c r="R325">
        <v>6089</v>
      </c>
      <c r="S325">
        <v>10148</v>
      </c>
      <c r="T325" t="s">
        <v>107</v>
      </c>
      <c r="U325">
        <v>6</v>
      </c>
      <c r="V325" t="s">
        <v>130</v>
      </c>
      <c r="W325" t="s">
        <v>123</v>
      </c>
      <c r="X325" t="s">
        <v>88</v>
      </c>
      <c r="Y325" t="s">
        <v>135</v>
      </c>
      <c r="Z325">
        <v>1</v>
      </c>
      <c r="AA325">
        <f>IF(AND(D325&gt;=配装计算器!$I$29,D325&lt;=配装计算器!$I$30),1,0)</f>
        <v>1</v>
      </c>
      <c r="AB325">
        <f t="shared" si="65"/>
        <v>0</v>
      </c>
      <c r="AC325">
        <f t="shared" si="66"/>
        <v>0</v>
      </c>
      <c r="AD325">
        <f t="shared" si="67"/>
        <v>0</v>
      </c>
      <c r="AE325">
        <f t="shared" si="68"/>
        <v>1</v>
      </c>
      <c r="AF325">
        <f t="shared" si="69"/>
        <v>1</v>
      </c>
      <c r="AG325">
        <f t="shared" si="70"/>
        <v>0</v>
      </c>
      <c r="AH325">
        <f t="shared" si="71"/>
        <v>0</v>
      </c>
      <c r="AI325">
        <f t="shared" si="72"/>
        <v>0</v>
      </c>
      <c r="AJ325">
        <f t="shared" si="73"/>
        <v>1</v>
      </c>
      <c r="AK325">
        <f>SUM(AJ$2:$AJ325)</f>
        <v>324</v>
      </c>
    </row>
    <row r="326" spans="1:37">
      <c r="A326" t="s">
        <v>1028</v>
      </c>
      <c r="B326" t="s">
        <v>1087</v>
      </c>
      <c r="C326" t="s">
        <v>1088</v>
      </c>
      <c r="D326">
        <v>30200</v>
      </c>
      <c r="E326" t="s">
        <v>1089</v>
      </c>
      <c r="F326">
        <v>19896</v>
      </c>
      <c r="G326">
        <v>1623</v>
      </c>
      <c r="I326">
        <v>8118</v>
      </c>
      <c r="J326">
        <v>0</v>
      </c>
      <c r="K326">
        <v>0</v>
      </c>
      <c r="L326">
        <v>0</v>
      </c>
      <c r="M326">
        <v>13565</v>
      </c>
      <c r="N326">
        <v>13113</v>
      </c>
      <c r="O326">
        <v>0</v>
      </c>
      <c r="P326">
        <v>0</v>
      </c>
      <c r="R326">
        <v>6089</v>
      </c>
      <c r="S326">
        <v>10148</v>
      </c>
      <c r="T326" t="s">
        <v>107</v>
      </c>
      <c r="U326">
        <v>6</v>
      </c>
      <c r="V326" t="s">
        <v>269</v>
      </c>
      <c r="W326" t="s">
        <v>123</v>
      </c>
      <c r="X326" t="s">
        <v>88</v>
      </c>
      <c r="Y326" t="s">
        <v>135</v>
      </c>
      <c r="Z326">
        <v>1</v>
      </c>
      <c r="AA326">
        <f>IF(AND(D326&gt;=配装计算器!$I$29,D326&lt;=配装计算器!$I$30),1,0)</f>
        <v>1</v>
      </c>
      <c r="AB326">
        <f t="shared" si="65"/>
        <v>0</v>
      </c>
      <c r="AC326">
        <f t="shared" si="66"/>
        <v>0</v>
      </c>
      <c r="AD326">
        <f t="shared" si="67"/>
        <v>0</v>
      </c>
      <c r="AE326">
        <f t="shared" si="68"/>
        <v>1</v>
      </c>
      <c r="AF326">
        <f t="shared" si="69"/>
        <v>1</v>
      </c>
      <c r="AG326">
        <f t="shared" si="70"/>
        <v>0</v>
      </c>
      <c r="AH326">
        <f t="shared" si="71"/>
        <v>0</v>
      </c>
      <c r="AI326">
        <f t="shared" si="72"/>
        <v>0</v>
      </c>
      <c r="AJ326">
        <f t="shared" si="73"/>
        <v>1</v>
      </c>
      <c r="AK326">
        <f>SUM(AJ$2:$AJ326)</f>
        <v>325</v>
      </c>
    </row>
    <row r="327" spans="1:37">
      <c r="A327" t="s">
        <v>1028</v>
      </c>
      <c r="B327" t="s">
        <v>1090</v>
      </c>
      <c r="C327" t="s">
        <v>1091</v>
      </c>
      <c r="D327">
        <v>30700</v>
      </c>
      <c r="E327" t="s">
        <v>1092</v>
      </c>
      <c r="F327">
        <v>20225</v>
      </c>
      <c r="G327">
        <v>1532</v>
      </c>
      <c r="I327">
        <v>7003</v>
      </c>
      <c r="J327">
        <v>0</v>
      </c>
      <c r="K327">
        <v>0</v>
      </c>
      <c r="L327">
        <v>13790</v>
      </c>
      <c r="M327">
        <v>0</v>
      </c>
      <c r="N327">
        <v>0</v>
      </c>
      <c r="O327">
        <v>0</v>
      </c>
      <c r="P327">
        <v>5516</v>
      </c>
      <c r="R327">
        <v>6190</v>
      </c>
      <c r="S327">
        <v>10316</v>
      </c>
      <c r="T327" t="s">
        <v>86</v>
      </c>
      <c r="U327">
        <v>6</v>
      </c>
      <c r="V327" t="s">
        <v>145</v>
      </c>
      <c r="W327" t="s">
        <v>88</v>
      </c>
      <c r="X327" t="s">
        <v>135</v>
      </c>
      <c r="Y327" t="s">
        <v>233</v>
      </c>
      <c r="Z327">
        <v>2</v>
      </c>
      <c r="AA327">
        <f>IF(AND(D327&gt;=配装计算器!$I$29,D327&lt;=配装计算器!$I$30),1,0)</f>
        <v>1</v>
      </c>
      <c r="AB327">
        <f t="shared" si="65"/>
        <v>0</v>
      </c>
      <c r="AC327">
        <f t="shared" si="66"/>
        <v>0</v>
      </c>
      <c r="AD327">
        <f t="shared" si="67"/>
        <v>1</v>
      </c>
      <c r="AE327">
        <f t="shared" si="68"/>
        <v>0</v>
      </c>
      <c r="AF327">
        <f t="shared" si="69"/>
        <v>0</v>
      </c>
      <c r="AG327">
        <f t="shared" si="70"/>
        <v>0</v>
      </c>
      <c r="AH327">
        <f t="shared" si="71"/>
        <v>1</v>
      </c>
      <c r="AI327">
        <f t="shared" si="72"/>
        <v>0</v>
      </c>
      <c r="AJ327">
        <f t="shared" si="73"/>
        <v>1</v>
      </c>
      <c r="AK327">
        <f>SUM(AJ$2:$AJ327)</f>
        <v>326</v>
      </c>
    </row>
    <row r="328" spans="1:37">
      <c r="A328" t="s">
        <v>1028</v>
      </c>
      <c r="B328" t="s">
        <v>1093</v>
      </c>
      <c r="C328" t="s">
        <v>1094</v>
      </c>
      <c r="D328">
        <v>30700</v>
      </c>
      <c r="E328" t="s">
        <v>1095</v>
      </c>
      <c r="F328">
        <v>20225</v>
      </c>
      <c r="G328">
        <v>1650</v>
      </c>
      <c r="I328">
        <v>8253</v>
      </c>
      <c r="J328">
        <v>13790</v>
      </c>
      <c r="K328">
        <v>0</v>
      </c>
      <c r="L328">
        <v>0</v>
      </c>
      <c r="M328">
        <v>0</v>
      </c>
      <c r="N328">
        <v>13330</v>
      </c>
      <c r="O328">
        <v>0</v>
      </c>
      <c r="P328">
        <v>0</v>
      </c>
      <c r="R328">
        <v>6190</v>
      </c>
      <c r="S328">
        <v>10316</v>
      </c>
      <c r="T328" t="s">
        <v>102</v>
      </c>
      <c r="U328">
        <v>6</v>
      </c>
      <c r="V328" t="s">
        <v>87</v>
      </c>
      <c r="W328" t="s">
        <v>185</v>
      </c>
      <c r="X328" t="s">
        <v>94</v>
      </c>
      <c r="Y328" t="s">
        <v>88</v>
      </c>
      <c r="Z328">
        <v>1</v>
      </c>
      <c r="AA328">
        <f>IF(AND(D328&gt;=配装计算器!$I$29,D328&lt;=配装计算器!$I$30),1,0)</f>
        <v>1</v>
      </c>
      <c r="AB328">
        <f t="shared" ref="AB328:AB400" si="92">IF(J328&gt;0,1,0)</f>
        <v>1</v>
      </c>
      <c r="AC328">
        <f t="shared" ref="AC328:AC400" si="93">IF(K328&gt;0,1,0)</f>
        <v>0</v>
      </c>
      <c r="AD328">
        <f t="shared" ref="AD328:AD400" si="94">IF(L328&gt;0,1,0)</f>
        <v>0</v>
      </c>
      <c r="AE328">
        <f t="shared" ref="AE328:AE400" si="95">IF(M328&gt;0,1,0)</f>
        <v>0</v>
      </c>
      <c r="AF328">
        <f t="shared" ref="AF328:AF400" si="96">IF(N328&gt;0,1,0)</f>
        <v>1</v>
      </c>
      <c r="AG328">
        <f t="shared" ref="AG328:AG400" si="97">IF(O328&gt;0,1,0)</f>
        <v>0</v>
      </c>
      <c r="AH328">
        <f t="shared" ref="AH328:AH400" si="98">IF(P328&gt;0,1,0)</f>
        <v>0</v>
      </c>
      <c r="AI328">
        <f t="shared" ref="AI328:AI400" si="99">IF(COUNTIF(T328,"*"&amp;"精简"&amp;"*")&gt;0,1,0)</f>
        <v>0</v>
      </c>
      <c r="AJ328">
        <f t="shared" ref="AJ328:AJ400" si="100">MIN(1,AA328*($AY$2+IF(AND(AB328&gt;=$AQ$3,AC328&gt;=$AR$3,AD328&gt;=$AS$3,AE328&gt;=$AT$3,AF328&gt;=$AU$3,AG328&gt;=$AV$3,AH328&gt;=$AW$3,AI328&gt;=$AX$3),1,0)))</f>
        <v>1</v>
      </c>
      <c r="AK328">
        <f>SUM(AJ$2:$AJ328)</f>
        <v>327</v>
      </c>
    </row>
    <row r="329" spans="1:37">
      <c r="A329" t="s">
        <v>1028</v>
      </c>
      <c r="B329" t="s">
        <v>1096</v>
      </c>
      <c r="C329" t="s">
        <v>1097</v>
      </c>
      <c r="D329">
        <v>30700</v>
      </c>
      <c r="E329" t="s">
        <v>1098</v>
      </c>
      <c r="F329">
        <v>20225</v>
      </c>
      <c r="G329">
        <v>1650</v>
      </c>
      <c r="I329">
        <v>8253</v>
      </c>
      <c r="J329">
        <v>13790</v>
      </c>
      <c r="K329">
        <v>0</v>
      </c>
      <c r="L329">
        <v>0</v>
      </c>
      <c r="M329">
        <v>0</v>
      </c>
      <c r="N329">
        <v>13330</v>
      </c>
      <c r="O329">
        <v>0</v>
      </c>
      <c r="P329">
        <v>0</v>
      </c>
      <c r="R329">
        <v>6190</v>
      </c>
      <c r="S329">
        <v>10316</v>
      </c>
      <c r="T329" t="s">
        <v>102</v>
      </c>
      <c r="U329">
        <v>6</v>
      </c>
      <c r="V329" t="s">
        <v>327</v>
      </c>
      <c r="W329" t="s">
        <v>185</v>
      </c>
      <c r="X329" t="s">
        <v>94</v>
      </c>
      <c r="Y329" t="s">
        <v>88</v>
      </c>
      <c r="Z329">
        <v>1</v>
      </c>
      <c r="AA329">
        <f>IF(AND(D329&gt;=配装计算器!$I$29,D329&lt;=配装计算器!$I$30),1,0)</f>
        <v>1</v>
      </c>
      <c r="AB329">
        <f t="shared" si="92"/>
        <v>1</v>
      </c>
      <c r="AC329">
        <f t="shared" si="93"/>
        <v>0</v>
      </c>
      <c r="AD329">
        <f t="shared" si="94"/>
        <v>0</v>
      </c>
      <c r="AE329">
        <f t="shared" si="95"/>
        <v>0</v>
      </c>
      <c r="AF329">
        <f t="shared" si="96"/>
        <v>1</v>
      </c>
      <c r="AG329">
        <f t="shared" si="97"/>
        <v>0</v>
      </c>
      <c r="AH329">
        <f t="shared" si="98"/>
        <v>0</v>
      </c>
      <c r="AI329">
        <f t="shared" si="99"/>
        <v>0</v>
      </c>
      <c r="AJ329">
        <f t="shared" si="100"/>
        <v>1</v>
      </c>
      <c r="AK329">
        <f>SUM(AJ$2:$AJ329)</f>
        <v>328</v>
      </c>
    </row>
    <row r="330" spans="1:37">
      <c r="A330" t="s">
        <v>1028</v>
      </c>
      <c r="B330" t="s">
        <v>1099</v>
      </c>
      <c r="C330" t="s">
        <v>1030</v>
      </c>
      <c r="D330">
        <v>31625</v>
      </c>
      <c r="E330" t="s">
        <v>1100</v>
      </c>
      <c r="F330">
        <v>23150</v>
      </c>
      <c r="G330">
        <v>1889</v>
      </c>
      <c r="I330">
        <v>9160</v>
      </c>
      <c r="J330">
        <v>13679</v>
      </c>
      <c r="K330">
        <v>0</v>
      </c>
      <c r="L330">
        <v>10523</v>
      </c>
      <c r="M330">
        <v>0</v>
      </c>
      <c r="N330">
        <v>0</v>
      </c>
      <c r="O330">
        <v>5261</v>
      </c>
      <c r="P330">
        <v>0</v>
      </c>
      <c r="R330">
        <v>7085</v>
      </c>
      <c r="S330">
        <v>11808</v>
      </c>
      <c r="T330" t="s">
        <v>1032</v>
      </c>
      <c r="U330">
        <v>8</v>
      </c>
      <c r="V330" t="s">
        <v>1033</v>
      </c>
      <c r="W330" t="s">
        <v>123</v>
      </c>
      <c r="X330" t="s">
        <v>88</v>
      </c>
      <c r="Y330" t="s">
        <v>135</v>
      </c>
      <c r="Z330">
        <v>3</v>
      </c>
      <c r="AA330">
        <f>IF(AND(D330&gt;=配装计算器!$I$29,D330&lt;=配装计算器!$I$30),1,0)</f>
        <v>1</v>
      </c>
      <c r="AB330">
        <f t="shared" ref="AB330" si="101">IF(J330&gt;0,1,0)</f>
        <v>1</v>
      </c>
      <c r="AC330">
        <f t="shared" ref="AC330" si="102">IF(K330&gt;0,1,0)</f>
        <v>0</v>
      </c>
      <c r="AD330">
        <f t="shared" ref="AD330" si="103">IF(L330&gt;0,1,0)</f>
        <v>1</v>
      </c>
      <c r="AE330">
        <f t="shared" ref="AE330" si="104">IF(M330&gt;0,1,0)</f>
        <v>0</v>
      </c>
      <c r="AF330">
        <f t="shared" ref="AF330" si="105">IF(N330&gt;0,1,0)</f>
        <v>0</v>
      </c>
      <c r="AG330">
        <f t="shared" ref="AG330" si="106">IF(O330&gt;0,1,0)</f>
        <v>1</v>
      </c>
      <c r="AH330">
        <f t="shared" ref="AH330" si="107">IF(P330&gt;0,1,0)</f>
        <v>0</v>
      </c>
      <c r="AI330">
        <f t="shared" ref="AI330" si="108">IF(COUNTIF(T330,"*"&amp;"精简"&amp;"*")&gt;0,1,0)</f>
        <v>0</v>
      </c>
      <c r="AJ330">
        <f t="shared" ref="AJ330" si="109">MIN(1,AA330*($AY$2+IF(AND(AB330&gt;=$AQ$3,AC330&gt;=$AR$3,AD330&gt;=$AS$3,AE330&gt;=$AT$3,AF330&gt;=$AU$3,AG330&gt;=$AV$3,AH330&gt;=$AW$3,AI330&gt;=$AX$3),1,0)))</f>
        <v>1</v>
      </c>
      <c r="AK330">
        <f>SUM(AJ$2:$AJ330)</f>
        <v>329</v>
      </c>
    </row>
    <row r="331" spans="1:37">
      <c r="A331" t="s">
        <v>1028</v>
      </c>
      <c r="B331" t="s">
        <v>1101</v>
      </c>
      <c r="C331" t="s">
        <v>1039</v>
      </c>
      <c r="D331">
        <v>32000</v>
      </c>
      <c r="E331" t="s">
        <v>1102</v>
      </c>
      <c r="F331">
        <v>23424</v>
      </c>
      <c r="G331">
        <v>1911</v>
      </c>
      <c r="I331">
        <v>9268</v>
      </c>
      <c r="J331">
        <v>13841</v>
      </c>
      <c r="K331">
        <v>0</v>
      </c>
      <c r="L331">
        <v>10647</v>
      </c>
      <c r="M331">
        <v>0</v>
      </c>
      <c r="N331">
        <v>0</v>
      </c>
      <c r="O331">
        <v>5324</v>
      </c>
      <c r="P331">
        <v>0</v>
      </c>
      <c r="R331">
        <v>7168</v>
      </c>
      <c r="S331">
        <v>11947</v>
      </c>
      <c r="T331" t="s">
        <v>1041</v>
      </c>
      <c r="U331">
        <v>8</v>
      </c>
      <c r="V331" t="s">
        <v>1042</v>
      </c>
      <c r="W331" t="s">
        <v>123</v>
      </c>
      <c r="X331" t="s">
        <v>88</v>
      </c>
      <c r="Y331" t="s">
        <v>135</v>
      </c>
      <c r="Z331">
        <v>3</v>
      </c>
      <c r="AA331">
        <f>IF(AND(D331&gt;=配装计算器!$I$29,D331&lt;=配装计算器!$I$30),1,0)</f>
        <v>1</v>
      </c>
      <c r="AB331">
        <f t="shared" si="92"/>
        <v>1</v>
      </c>
      <c r="AC331">
        <f t="shared" si="93"/>
        <v>0</v>
      </c>
      <c r="AD331">
        <f t="shared" si="94"/>
        <v>1</v>
      </c>
      <c r="AE331">
        <f t="shared" si="95"/>
        <v>0</v>
      </c>
      <c r="AF331">
        <f t="shared" si="96"/>
        <v>0</v>
      </c>
      <c r="AG331">
        <f t="shared" si="97"/>
        <v>1</v>
      </c>
      <c r="AH331">
        <f t="shared" si="98"/>
        <v>0</v>
      </c>
      <c r="AI331">
        <f t="shared" si="99"/>
        <v>0</v>
      </c>
      <c r="AJ331">
        <f t="shared" si="100"/>
        <v>1</v>
      </c>
      <c r="AK331">
        <f>SUM(AJ$2:$AJ331)</f>
        <v>330</v>
      </c>
    </row>
    <row r="332" spans="1:37">
      <c r="A332" t="s">
        <v>1028</v>
      </c>
      <c r="B332" t="s">
        <v>1103</v>
      </c>
      <c r="C332" t="s">
        <v>1104</v>
      </c>
      <c r="D332">
        <v>32500</v>
      </c>
      <c r="E332" t="s">
        <v>1105</v>
      </c>
      <c r="F332">
        <v>21411</v>
      </c>
      <c r="G332">
        <v>1747</v>
      </c>
      <c r="I332">
        <v>8736</v>
      </c>
      <c r="J332">
        <v>14598</v>
      </c>
      <c r="K332">
        <v>0</v>
      </c>
      <c r="L332">
        <v>0</v>
      </c>
      <c r="M332">
        <v>0</v>
      </c>
      <c r="N332">
        <v>14112</v>
      </c>
      <c r="O332">
        <v>0</v>
      </c>
      <c r="P332">
        <v>0</v>
      </c>
      <c r="R332">
        <v>6553</v>
      </c>
      <c r="S332">
        <v>10921</v>
      </c>
      <c r="T332" t="s">
        <v>102</v>
      </c>
      <c r="U332">
        <v>6</v>
      </c>
      <c r="V332" t="s">
        <v>149</v>
      </c>
      <c r="W332" t="s">
        <v>185</v>
      </c>
      <c r="X332" t="s">
        <v>94</v>
      </c>
      <c r="Y332" t="s">
        <v>88</v>
      </c>
      <c r="Z332">
        <v>1</v>
      </c>
      <c r="AA332">
        <f>IF(AND(D332&gt;=配装计算器!$I$29,D332&lt;=配装计算器!$I$30),1,0)</f>
        <v>1</v>
      </c>
      <c r="AB332">
        <f t="shared" si="92"/>
        <v>1</v>
      </c>
      <c r="AC332">
        <f t="shared" si="93"/>
        <v>0</v>
      </c>
      <c r="AD332">
        <f t="shared" si="94"/>
        <v>0</v>
      </c>
      <c r="AE332">
        <f t="shared" si="95"/>
        <v>0</v>
      </c>
      <c r="AF332">
        <f t="shared" si="96"/>
        <v>1</v>
      </c>
      <c r="AG332">
        <f t="shared" si="97"/>
        <v>0</v>
      </c>
      <c r="AH332">
        <f t="shared" si="98"/>
        <v>0</v>
      </c>
      <c r="AI332">
        <f t="shared" si="99"/>
        <v>0</v>
      </c>
      <c r="AJ332">
        <f t="shared" si="100"/>
        <v>1</v>
      </c>
      <c r="AK332">
        <f>SUM(AJ$2:$AJ332)</f>
        <v>331</v>
      </c>
    </row>
    <row r="333" spans="1:37">
      <c r="A333" t="s">
        <v>1028</v>
      </c>
      <c r="B333" t="s">
        <v>1106</v>
      </c>
      <c r="C333" t="s">
        <v>1107</v>
      </c>
      <c r="D333">
        <v>33400</v>
      </c>
      <c r="E333" t="s">
        <v>1108</v>
      </c>
      <c r="F333">
        <v>22004</v>
      </c>
      <c r="G333">
        <v>1795</v>
      </c>
      <c r="I333">
        <v>8978</v>
      </c>
      <c r="J333">
        <v>0</v>
      </c>
      <c r="K333">
        <v>0</v>
      </c>
      <c r="L333">
        <v>0</v>
      </c>
      <c r="M333">
        <v>15003</v>
      </c>
      <c r="N333">
        <v>14503</v>
      </c>
      <c r="O333">
        <v>0</v>
      </c>
      <c r="P333">
        <v>0</v>
      </c>
      <c r="R333">
        <v>6734</v>
      </c>
      <c r="S333">
        <v>11223</v>
      </c>
      <c r="T333" t="s">
        <v>1109</v>
      </c>
      <c r="U333">
        <v>6</v>
      </c>
      <c r="V333" t="s">
        <v>87</v>
      </c>
      <c r="W333" t="s">
        <v>123</v>
      </c>
      <c r="X333" t="s">
        <v>88</v>
      </c>
      <c r="Y333" t="s">
        <v>135</v>
      </c>
      <c r="Z333">
        <v>1</v>
      </c>
      <c r="AA333">
        <f>IF(AND(D333&gt;=配装计算器!$I$29,D333&lt;=配装计算器!$I$30),1,0)</f>
        <v>1</v>
      </c>
      <c r="AB333">
        <f t="shared" si="92"/>
        <v>0</v>
      </c>
      <c r="AC333">
        <f t="shared" si="93"/>
        <v>0</v>
      </c>
      <c r="AD333">
        <f t="shared" si="94"/>
        <v>0</v>
      </c>
      <c r="AE333">
        <f t="shared" si="95"/>
        <v>1</v>
      </c>
      <c r="AF333">
        <f t="shared" si="96"/>
        <v>1</v>
      </c>
      <c r="AG333">
        <f t="shared" si="97"/>
        <v>0</v>
      </c>
      <c r="AH333">
        <f t="shared" si="98"/>
        <v>0</v>
      </c>
      <c r="AI333">
        <f t="shared" si="99"/>
        <v>0</v>
      </c>
      <c r="AJ333">
        <f t="shared" si="100"/>
        <v>1</v>
      </c>
      <c r="AK333">
        <f>SUM(AJ$2:$AJ333)</f>
        <v>332</v>
      </c>
    </row>
    <row r="334" spans="1:37">
      <c r="A334" t="s">
        <v>1028</v>
      </c>
      <c r="B334" t="s">
        <v>1110</v>
      </c>
      <c r="C334" t="s">
        <v>1030</v>
      </c>
      <c r="D334">
        <v>34375</v>
      </c>
      <c r="E334" t="s">
        <v>1111</v>
      </c>
      <c r="F334">
        <v>25163</v>
      </c>
      <c r="G334">
        <v>2053</v>
      </c>
      <c r="I334">
        <v>9956</v>
      </c>
      <c r="J334">
        <v>14869</v>
      </c>
      <c r="K334">
        <v>0</v>
      </c>
      <c r="L334">
        <v>11438</v>
      </c>
      <c r="M334">
        <v>0</v>
      </c>
      <c r="N334">
        <v>0</v>
      </c>
      <c r="O334">
        <v>5719</v>
      </c>
      <c r="P334">
        <v>0</v>
      </c>
      <c r="R334">
        <v>7701</v>
      </c>
      <c r="S334">
        <v>12835</v>
      </c>
      <c r="T334" t="s">
        <v>1032</v>
      </c>
      <c r="U334">
        <v>8</v>
      </c>
      <c r="V334" t="s">
        <v>1033</v>
      </c>
      <c r="W334" t="s">
        <v>123</v>
      </c>
      <c r="X334" t="s">
        <v>88</v>
      </c>
      <c r="Y334" t="s">
        <v>135</v>
      </c>
      <c r="Z334">
        <v>3</v>
      </c>
      <c r="AA334">
        <f>IF(AND(D334&gt;=配装计算器!$I$29,D334&lt;=配装计算器!$I$30),1,0)</f>
        <v>1</v>
      </c>
      <c r="AB334">
        <f t="shared" si="92"/>
        <v>1</v>
      </c>
      <c r="AC334">
        <f t="shared" si="93"/>
        <v>0</v>
      </c>
      <c r="AD334">
        <f t="shared" si="94"/>
        <v>1</v>
      </c>
      <c r="AE334">
        <f t="shared" si="95"/>
        <v>0</v>
      </c>
      <c r="AF334">
        <f t="shared" si="96"/>
        <v>0</v>
      </c>
      <c r="AG334">
        <f t="shared" si="97"/>
        <v>1</v>
      </c>
      <c r="AH334">
        <f t="shared" si="98"/>
        <v>0</v>
      </c>
      <c r="AI334">
        <f t="shared" si="99"/>
        <v>0</v>
      </c>
      <c r="AJ334">
        <f t="shared" si="100"/>
        <v>1</v>
      </c>
      <c r="AK334">
        <f>SUM(AJ$2:$AJ334)</f>
        <v>333</v>
      </c>
    </row>
    <row r="335" spans="1:37">
      <c r="A335" t="s">
        <v>1028</v>
      </c>
      <c r="B335" t="s">
        <v>1112</v>
      </c>
      <c r="C335" t="s">
        <v>1039</v>
      </c>
      <c r="D335">
        <v>35000</v>
      </c>
      <c r="E335" t="s">
        <v>1113</v>
      </c>
      <c r="F335">
        <v>25620</v>
      </c>
      <c r="G335">
        <v>2090</v>
      </c>
      <c r="I335">
        <v>10137</v>
      </c>
      <c r="J335">
        <v>15139</v>
      </c>
      <c r="K335">
        <v>0</v>
      </c>
      <c r="L335">
        <v>11645</v>
      </c>
      <c r="M335">
        <v>0</v>
      </c>
      <c r="N335">
        <v>0</v>
      </c>
      <c r="O335">
        <v>5823</v>
      </c>
      <c r="P335">
        <v>0</v>
      </c>
      <c r="R335">
        <v>7841</v>
      </c>
      <c r="S335">
        <v>13068</v>
      </c>
      <c r="T335" t="s">
        <v>1041</v>
      </c>
      <c r="U335">
        <v>8</v>
      </c>
      <c r="V335" t="s">
        <v>1042</v>
      </c>
      <c r="W335" t="s">
        <v>123</v>
      </c>
      <c r="X335" t="s">
        <v>88</v>
      </c>
      <c r="Y335" t="s">
        <v>135</v>
      </c>
      <c r="Z335">
        <v>3</v>
      </c>
      <c r="AA335">
        <f>IF(AND(D335&gt;=配装计算器!$I$29,D335&lt;=配装计算器!$I$30),1,0)</f>
        <v>1</v>
      </c>
      <c r="AB335">
        <f t="shared" si="92"/>
        <v>1</v>
      </c>
      <c r="AC335">
        <f t="shared" si="93"/>
        <v>0</v>
      </c>
      <c r="AD335">
        <f t="shared" si="94"/>
        <v>1</v>
      </c>
      <c r="AE335">
        <f t="shared" si="95"/>
        <v>0</v>
      </c>
      <c r="AF335">
        <f t="shared" si="96"/>
        <v>0</v>
      </c>
      <c r="AG335">
        <f t="shared" si="97"/>
        <v>1</v>
      </c>
      <c r="AH335">
        <f t="shared" si="98"/>
        <v>0</v>
      </c>
      <c r="AI335">
        <f t="shared" si="99"/>
        <v>0</v>
      </c>
      <c r="AJ335">
        <f t="shared" si="100"/>
        <v>1</v>
      </c>
      <c r="AK335">
        <f>SUM(AJ$2:$AJ335)</f>
        <v>334</v>
      </c>
    </row>
    <row r="336" spans="1:37">
      <c r="A336" t="s">
        <v>1028</v>
      </c>
      <c r="B336" t="s">
        <v>1114</v>
      </c>
      <c r="C336" t="s">
        <v>1115</v>
      </c>
      <c r="D336">
        <v>35300</v>
      </c>
      <c r="E336" t="s">
        <v>1116</v>
      </c>
      <c r="F336">
        <v>23256</v>
      </c>
      <c r="G336">
        <v>1897</v>
      </c>
      <c r="I336">
        <v>9489</v>
      </c>
      <c r="J336">
        <v>0</v>
      </c>
      <c r="K336">
        <v>0</v>
      </c>
      <c r="L336">
        <v>15856</v>
      </c>
      <c r="M336">
        <v>0</v>
      </c>
      <c r="N336">
        <v>15328</v>
      </c>
      <c r="O336">
        <v>0</v>
      </c>
      <c r="P336">
        <v>0</v>
      </c>
      <c r="R336">
        <v>7117</v>
      </c>
      <c r="S336">
        <v>11862</v>
      </c>
      <c r="T336" t="s">
        <v>122</v>
      </c>
      <c r="U336">
        <v>6</v>
      </c>
      <c r="V336" t="s">
        <v>103</v>
      </c>
      <c r="W336" t="s">
        <v>123</v>
      </c>
      <c r="X336" t="s">
        <v>88</v>
      </c>
      <c r="Y336" t="s">
        <v>135</v>
      </c>
      <c r="Z336">
        <v>1</v>
      </c>
      <c r="AA336">
        <f>IF(AND(D336&gt;=配装计算器!$I$29,D336&lt;=配装计算器!$I$30),1,0)</f>
        <v>1</v>
      </c>
      <c r="AB336">
        <f t="shared" si="92"/>
        <v>0</v>
      </c>
      <c r="AC336">
        <f t="shared" si="93"/>
        <v>0</v>
      </c>
      <c r="AD336">
        <f t="shared" si="94"/>
        <v>1</v>
      </c>
      <c r="AE336">
        <f t="shared" si="95"/>
        <v>0</v>
      </c>
      <c r="AF336">
        <f t="shared" si="96"/>
        <v>1</v>
      </c>
      <c r="AG336">
        <f t="shared" si="97"/>
        <v>0</v>
      </c>
      <c r="AH336">
        <f t="shared" si="98"/>
        <v>0</v>
      </c>
      <c r="AI336">
        <f t="shared" si="99"/>
        <v>0</v>
      </c>
      <c r="AJ336">
        <f t="shared" si="100"/>
        <v>1</v>
      </c>
      <c r="AK336">
        <f>SUM(AJ$2:$AJ336)</f>
        <v>335</v>
      </c>
    </row>
    <row r="337" spans="1:37">
      <c r="A337" t="s">
        <v>1028</v>
      </c>
      <c r="B337" t="s">
        <v>1117</v>
      </c>
      <c r="C337" t="s">
        <v>1118</v>
      </c>
      <c r="D337">
        <v>35300</v>
      </c>
      <c r="E337" t="s">
        <v>1119</v>
      </c>
      <c r="F337">
        <v>23256</v>
      </c>
      <c r="G337">
        <v>1897</v>
      </c>
      <c r="I337">
        <v>9489</v>
      </c>
      <c r="J337">
        <v>0</v>
      </c>
      <c r="K337">
        <v>0</v>
      </c>
      <c r="L337">
        <v>0</v>
      </c>
      <c r="M337">
        <v>15856</v>
      </c>
      <c r="N337">
        <v>15328</v>
      </c>
      <c r="O337">
        <v>0</v>
      </c>
      <c r="P337">
        <v>0</v>
      </c>
      <c r="R337">
        <v>7117</v>
      </c>
      <c r="S337">
        <v>11862</v>
      </c>
      <c r="T337" t="s">
        <v>107</v>
      </c>
      <c r="U337">
        <v>6</v>
      </c>
      <c r="V337" t="s">
        <v>87</v>
      </c>
      <c r="W337" t="s">
        <v>123</v>
      </c>
      <c r="X337" t="s">
        <v>88</v>
      </c>
      <c r="Y337" t="s">
        <v>135</v>
      </c>
      <c r="Z337">
        <v>1</v>
      </c>
      <c r="AA337">
        <f>IF(AND(D337&gt;=配装计算器!$I$29,D337&lt;=配装计算器!$I$30),1,0)</f>
        <v>1</v>
      </c>
      <c r="AB337">
        <f t="shared" si="92"/>
        <v>0</v>
      </c>
      <c r="AC337">
        <f t="shared" si="93"/>
        <v>0</v>
      </c>
      <c r="AD337">
        <f t="shared" si="94"/>
        <v>0</v>
      </c>
      <c r="AE337">
        <f t="shared" si="95"/>
        <v>1</v>
      </c>
      <c r="AF337">
        <f t="shared" si="96"/>
        <v>1</v>
      </c>
      <c r="AG337">
        <f t="shared" si="97"/>
        <v>0</v>
      </c>
      <c r="AH337">
        <f t="shared" si="98"/>
        <v>0</v>
      </c>
      <c r="AI337">
        <f t="shared" si="99"/>
        <v>0</v>
      </c>
      <c r="AJ337">
        <f t="shared" si="100"/>
        <v>1</v>
      </c>
      <c r="AK337">
        <f>SUM(AJ$2:$AJ337)</f>
        <v>336</v>
      </c>
    </row>
    <row r="338" spans="1:37">
      <c r="A338" t="s">
        <v>1028</v>
      </c>
      <c r="B338" t="s">
        <v>1120</v>
      </c>
      <c r="C338" t="s">
        <v>1121</v>
      </c>
      <c r="D338">
        <v>35300</v>
      </c>
      <c r="E338" t="s">
        <v>1122</v>
      </c>
      <c r="F338">
        <v>23256</v>
      </c>
      <c r="G338">
        <v>1897</v>
      </c>
      <c r="I338">
        <v>9489</v>
      </c>
      <c r="J338">
        <v>0</v>
      </c>
      <c r="K338">
        <v>0</v>
      </c>
      <c r="L338">
        <v>15856</v>
      </c>
      <c r="M338">
        <v>0</v>
      </c>
      <c r="N338">
        <v>15328</v>
      </c>
      <c r="O338">
        <v>0</v>
      </c>
      <c r="P338">
        <v>0</v>
      </c>
      <c r="R338">
        <v>7117</v>
      </c>
      <c r="S338">
        <v>11862</v>
      </c>
      <c r="T338" t="s">
        <v>1071</v>
      </c>
      <c r="U338">
        <v>6</v>
      </c>
      <c r="V338" t="s">
        <v>87</v>
      </c>
      <c r="W338" t="s">
        <v>123</v>
      </c>
      <c r="X338" t="s">
        <v>88</v>
      </c>
      <c r="Y338" t="s">
        <v>135</v>
      </c>
      <c r="Z338">
        <v>1</v>
      </c>
      <c r="AA338">
        <f>IF(AND(D338&gt;=配装计算器!$I$29,D338&lt;=配装计算器!$I$30),1,0)</f>
        <v>1</v>
      </c>
      <c r="AB338">
        <f t="shared" si="92"/>
        <v>0</v>
      </c>
      <c r="AC338">
        <f t="shared" si="93"/>
        <v>0</v>
      </c>
      <c r="AD338">
        <f t="shared" si="94"/>
        <v>1</v>
      </c>
      <c r="AE338">
        <f t="shared" si="95"/>
        <v>0</v>
      </c>
      <c r="AF338">
        <f t="shared" si="96"/>
        <v>1</v>
      </c>
      <c r="AG338">
        <f t="shared" si="97"/>
        <v>0</v>
      </c>
      <c r="AH338">
        <f t="shared" si="98"/>
        <v>0</v>
      </c>
      <c r="AI338">
        <f t="shared" si="99"/>
        <v>0</v>
      </c>
      <c r="AJ338">
        <f t="shared" si="100"/>
        <v>1</v>
      </c>
      <c r="AK338">
        <f>SUM(AJ$2:$AJ338)</f>
        <v>337</v>
      </c>
    </row>
    <row r="339" spans="1:37">
      <c r="A339" t="s">
        <v>1028</v>
      </c>
      <c r="B339" t="s">
        <v>1123</v>
      </c>
      <c r="C339" t="s">
        <v>1124</v>
      </c>
      <c r="D339">
        <v>35300</v>
      </c>
      <c r="E339" t="s">
        <v>1125</v>
      </c>
      <c r="F339">
        <v>23256</v>
      </c>
      <c r="G339">
        <v>1897</v>
      </c>
      <c r="I339">
        <v>9489</v>
      </c>
      <c r="J339">
        <v>15856</v>
      </c>
      <c r="K339">
        <v>0</v>
      </c>
      <c r="L339">
        <v>0</v>
      </c>
      <c r="M339">
        <v>0</v>
      </c>
      <c r="N339">
        <v>15328</v>
      </c>
      <c r="O339">
        <v>0</v>
      </c>
      <c r="P339">
        <v>0</v>
      </c>
      <c r="R339">
        <v>7117</v>
      </c>
      <c r="S339">
        <v>11862</v>
      </c>
      <c r="T339" t="s">
        <v>102</v>
      </c>
      <c r="U339">
        <v>6</v>
      </c>
      <c r="V339" t="s">
        <v>87</v>
      </c>
      <c r="W339" t="s">
        <v>185</v>
      </c>
      <c r="X339" t="s">
        <v>94</v>
      </c>
      <c r="Y339" t="s">
        <v>88</v>
      </c>
      <c r="Z339">
        <v>1</v>
      </c>
      <c r="AA339">
        <f>IF(AND(D339&gt;=配装计算器!$I$29,D339&lt;=配装计算器!$I$30),1,0)</f>
        <v>1</v>
      </c>
      <c r="AB339">
        <f t="shared" si="92"/>
        <v>1</v>
      </c>
      <c r="AC339">
        <f t="shared" si="93"/>
        <v>0</v>
      </c>
      <c r="AD339">
        <f t="shared" si="94"/>
        <v>0</v>
      </c>
      <c r="AE339">
        <f t="shared" si="95"/>
        <v>0</v>
      </c>
      <c r="AF339">
        <f t="shared" si="96"/>
        <v>1</v>
      </c>
      <c r="AG339">
        <f t="shared" si="97"/>
        <v>0</v>
      </c>
      <c r="AH339">
        <f t="shared" si="98"/>
        <v>0</v>
      </c>
      <c r="AI339">
        <f t="shared" si="99"/>
        <v>0</v>
      </c>
      <c r="AJ339">
        <f t="shared" si="100"/>
        <v>1</v>
      </c>
      <c r="AK339">
        <f>SUM(AJ$2:$AJ339)</f>
        <v>338</v>
      </c>
    </row>
    <row r="340" spans="1:37">
      <c r="A340" t="s">
        <v>1028</v>
      </c>
      <c r="B340" t="s">
        <v>1126</v>
      </c>
      <c r="C340" t="s">
        <v>1127</v>
      </c>
      <c r="D340">
        <v>35300</v>
      </c>
      <c r="E340" t="s">
        <v>1128</v>
      </c>
      <c r="F340">
        <v>23256</v>
      </c>
      <c r="G340">
        <v>1897</v>
      </c>
      <c r="I340">
        <v>9489</v>
      </c>
      <c r="J340">
        <v>0</v>
      </c>
      <c r="K340">
        <v>0</v>
      </c>
      <c r="L340">
        <v>0</v>
      </c>
      <c r="M340">
        <v>15856</v>
      </c>
      <c r="N340">
        <v>15328</v>
      </c>
      <c r="O340">
        <v>0</v>
      </c>
      <c r="P340">
        <v>0</v>
      </c>
      <c r="R340">
        <v>7117</v>
      </c>
      <c r="S340">
        <v>11862</v>
      </c>
      <c r="T340" t="s">
        <v>107</v>
      </c>
      <c r="U340">
        <v>6</v>
      </c>
      <c r="V340" t="s">
        <v>130</v>
      </c>
      <c r="W340" t="s">
        <v>123</v>
      </c>
      <c r="X340" t="s">
        <v>88</v>
      </c>
      <c r="Y340" t="s">
        <v>135</v>
      </c>
      <c r="Z340">
        <v>1</v>
      </c>
      <c r="AA340">
        <f>IF(AND(D340&gt;=配装计算器!$I$29,D340&lt;=配装计算器!$I$30),1,0)</f>
        <v>1</v>
      </c>
      <c r="AB340">
        <f t="shared" ref="AB340" si="110">IF(J340&gt;0,1,0)</f>
        <v>0</v>
      </c>
      <c r="AC340">
        <f t="shared" ref="AC340" si="111">IF(K340&gt;0,1,0)</f>
        <v>0</v>
      </c>
      <c r="AD340">
        <f t="shared" ref="AD340" si="112">IF(L340&gt;0,1,0)</f>
        <v>0</v>
      </c>
      <c r="AE340">
        <f t="shared" ref="AE340" si="113">IF(M340&gt;0,1,0)</f>
        <v>1</v>
      </c>
      <c r="AF340">
        <f t="shared" ref="AF340" si="114">IF(N340&gt;0,1,0)</f>
        <v>1</v>
      </c>
      <c r="AG340">
        <f t="shared" ref="AG340" si="115">IF(O340&gt;0,1,0)</f>
        <v>0</v>
      </c>
      <c r="AH340">
        <f t="shared" ref="AH340" si="116">IF(P340&gt;0,1,0)</f>
        <v>0</v>
      </c>
      <c r="AI340">
        <f t="shared" ref="AI340" si="117">IF(COUNTIF(T340,"*"&amp;"精简"&amp;"*")&gt;0,1,0)</f>
        <v>0</v>
      </c>
      <c r="AJ340">
        <f t="shared" ref="AJ340" si="118">MIN(1,AA340*($AY$2+IF(AND(AB340&gt;=$AQ$3,AC340&gt;=$AR$3,AD340&gt;=$AS$3,AE340&gt;=$AT$3,AF340&gt;=$AU$3,AG340&gt;=$AV$3,AH340&gt;=$AW$3,AI340&gt;=$AX$3),1,0)))</f>
        <v>1</v>
      </c>
      <c r="AK340">
        <f>SUM(AJ$2:$AJ340)</f>
        <v>339</v>
      </c>
    </row>
    <row r="341" spans="1:37">
      <c r="A341" t="s">
        <v>1028</v>
      </c>
      <c r="B341" t="s">
        <v>1129</v>
      </c>
      <c r="C341" t="s">
        <v>1130</v>
      </c>
      <c r="D341">
        <v>35300</v>
      </c>
      <c r="E341" t="s">
        <v>1131</v>
      </c>
      <c r="F341">
        <v>23256</v>
      </c>
      <c r="G341">
        <v>1897</v>
      </c>
      <c r="I341">
        <v>9489</v>
      </c>
      <c r="J341">
        <v>0</v>
      </c>
      <c r="K341">
        <v>0</v>
      </c>
      <c r="L341">
        <v>0</v>
      </c>
      <c r="M341">
        <v>15856</v>
      </c>
      <c r="N341">
        <v>15328</v>
      </c>
      <c r="O341">
        <v>0</v>
      </c>
      <c r="P341">
        <v>0</v>
      </c>
      <c r="R341">
        <v>7117</v>
      </c>
      <c r="S341">
        <v>11862</v>
      </c>
      <c r="T341" t="s">
        <v>107</v>
      </c>
      <c r="U341">
        <v>6</v>
      </c>
      <c r="V341" t="s">
        <v>269</v>
      </c>
      <c r="W341" t="s">
        <v>123</v>
      </c>
      <c r="X341" t="s">
        <v>88</v>
      </c>
      <c r="Y341" t="s">
        <v>135</v>
      </c>
      <c r="Z341">
        <v>1</v>
      </c>
      <c r="AA341">
        <f>IF(AND(D341&gt;=配装计算器!$I$29,D341&lt;=配装计算器!$I$30),1,0)</f>
        <v>1</v>
      </c>
      <c r="AB341">
        <f t="shared" si="92"/>
        <v>0</v>
      </c>
      <c r="AC341">
        <f t="shared" si="93"/>
        <v>0</v>
      </c>
      <c r="AD341">
        <f t="shared" si="94"/>
        <v>0</v>
      </c>
      <c r="AE341">
        <f t="shared" si="95"/>
        <v>1</v>
      </c>
      <c r="AF341">
        <f t="shared" si="96"/>
        <v>1</v>
      </c>
      <c r="AG341">
        <f t="shared" si="97"/>
        <v>0</v>
      </c>
      <c r="AH341">
        <f t="shared" si="98"/>
        <v>0</v>
      </c>
      <c r="AI341">
        <f t="shared" si="99"/>
        <v>0</v>
      </c>
      <c r="AJ341">
        <f t="shared" si="100"/>
        <v>1</v>
      </c>
      <c r="AK341">
        <f>SUM(AJ$2:$AJ341)</f>
        <v>340</v>
      </c>
    </row>
    <row r="342" spans="1:37">
      <c r="A342" t="s">
        <v>1028</v>
      </c>
      <c r="B342" t="s">
        <v>1132</v>
      </c>
      <c r="C342" t="s">
        <v>1133</v>
      </c>
      <c r="D342">
        <v>35900</v>
      </c>
      <c r="E342" t="s">
        <v>1134</v>
      </c>
      <c r="F342">
        <v>23651</v>
      </c>
      <c r="G342">
        <v>1930</v>
      </c>
      <c r="I342">
        <v>9650</v>
      </c>
      <c r="J342">
        <v>16126</v>
      </c>
      <c r="K342">
        <v>0</v>
      </c>
      <c r="L342">
        <v>0</v>
      </c>
      <c r="M342">
        <v>0</v>
      </c>
      <c r="N342">
        <v>15588</v>
      </c>
      <c r="O342">
        <v>0</v>
      </c>
      <c r="P342">
        <v>0</v>
      </c>
      <c r="R342">
        <v>7238</v>
      </c>
      <c r="S342">
        <v>12063</v>
      </c>
      <c r="T342" t="s">
        <v>102</v>
      </c>
      <c r="U342">
        <v>6</v>
      </c>
      <c r="V342" t="s">
        <v>327</v>
      </c>
      <c r="W342" t="s">
        <v>185</v>
      </c>
      <c r="X342" t="s">
        <v>94</v>
      </c>
      <c r="Y342" t="s">
        <v>88</v>
      </c>
      <c r="Z342">
        <v>1</v>
      </c>
      <c r="AA342">
        <f>IF(AND(D342&gt;=配装计算器!$I$29,D342&lt;=配装计算器!$I$30),1,0)</f>
        <v>1</v>
      </c>
      <c r="AB342">
        <f t="shared" si="92"/>
        <v>1</v>
      </c>
      <c r="AC342">
        <f t="shared" si="93"/>
        <v>0</v>
      </c>
      <c r="AD342">
        <f t="shared" si="94"/>
        <v>0</v>
      </c>
      <c r="AE342">
        <f t="shared" si="95"/>
        <v>0</v>
      </c>
      <c r="AF342">
        <f t="shared" si="96"/>
        <v>1</v>
      </c>
      <c r="AG342">
        <f t="shared" si="97"/>
        <v>0</v>
      </c>
      <c r="AH342">
        <f t="shared" si="98"/>
        <v>0</v>
      </c>
      <c r="AI342">
        <f t="shared" si="99"/>
        <v>0</v>
      </c>
      <c r="AJ342">
        <f t="shared" si="100"/>
        <v>1</v>
      </c>
      <c r="AK342">
        <f>SUM(AJ$2:$AJ342)</f>
        <v>341</v>
      </c>
    </row>
    <row r="343" spans="1:37">
      <c r="A343" t="s">
        <v>1028</v>
      </c>
      <c r="B343" t="s">
        <v>1135</v>
      </c>
      <c r="C343" t="s">
        <v>1136</v>
      </c>
      <c r="D343">
        <v>36200</v>
      </c>
      <c r="E343" t="s">
        <v>1137</v>
      </c>
      <c r="F343">
        <v>23849</v>
      </c>
      <c r="G343">
        <v>1807</v>
      </c>
      <c r="I343">
        <v>8258</v>
      </c>
      <c r="J343">
        <v>0</v>
      </c>
      <c r="K343">
        <v>0</v>
      </c>
      <c r="L343">
        <v>16260</v>
      </c>
      <c r="M343">
        <v>0</v>
      </c>
      <c r="N343">
        <v>0</v>
      </c>
      <c r="O343">
        <v>0</v>
      </c>
      <c r="P343">
        <v>6504</v>
      </c>
      <c r="R343">
        <v>7299</v>
      </c>
      <c r="S343">
        <v>12165</v>
      </c>
      <c r="T343" t="s">
        <v>86</v>
      </c>
      <c r="U343">
        <v>6</v>
      </c>
      <c r="V343" t="s">
        <v>145</v>
      </c>
      <c r="W343" t="s">
        <v>88</v>
      </c>
      <c r="X343" t="s">
        <v>135</v>
      </c>
      <c r="Y343" t="s">
        <v>233</v>
      </c>
      <c r="Z343">
        <v>2</v>
      </c>
      <c r="AA343">
        <f>IF(AND(D343&gt;=配装计算器!$I$29,D343&lt;=配装计算器!$I$30),1,0)</f>
        <v>1</v>
      </c>
      <c r="AB343">
        <f t="shared" si="92"/>
        <v>0</v>
      </c>
      <c r="AC343">
        <f t="shared" si="93"/>
        <v>0</v>
      </c>
      <c r="AD343">
        <f t="shared" si="94"/>
        <v>1</v>
      </c>
      <c r="AE343">
        <f t="shared" si="95"/>
        <v>0</v>
      </c>
      <c r="AF343">
        <f t="shared" si="96"/>
        <v>0</v>
      </c>
      <c r="AG343">
        <f t="shared" si="97"/>
        <v>0</v>
      </c>
      <c r="AH343">
        <f t="shared" si="98"/>
        <v>1</v>
      </c>
      <c r="AI343">
        <f t="shared" si="99"/>
        <v>0</v>
      </c>
      <c r="AJ343">
        <f t="shared" si="100"/>
        <v>1</v>
      </c>
      <c r="AK343">
        <f>SUM(AJ$2:$AJ343)</f>
        <v>342</v>
      </c>
    </row>
    <row r="344" spans="1:37">
      <c r="A344" t="s">
        <v>1028</v>
      </c>
      <c r="B344" t="s">
        <v>1138</v>
      </c>
      <c r="C344" t="s">
        <v>1030</v>
      </c>
      <c r="D344">
        <v>37125</v>
      </c>
      <c r="E344" t="s">
        <v>1139</v>
      </c>
      <c r="F344">
        <v>27176</v>
      </c>
      <c r="G344">
        <v>2217</v>
      </c>
      <c r="I344">
        <v>10753</v>
      </c>
      <c r="J344">
        <v>16058</v>
      </c>
      <c r="K344">
        <v>0</v>
      </c>
      <c r="L344">
        <v>12353</v>
      </c>
      <c r="M344">
        <v>0</v>
      </c>
      <c r="N344">
        <v>0</v>
      </c>
      <c r="O344">
        <v>6176</v>
      </c>
      <c r="P344">
        <v>0</v>
      </c>
      <c r="R344">
        <v>8317</v>
      </c>
      <c r="S344">
        <v>13862</v>
      </c>
      <c r="T344" t="s">
        <v>1032</v>
      </c>
      <c r="U344">
        <v>8</v>
      </c>
      <c r="V344" t="s">
        <v>1033</v>
      </c>
      <c r="W344" t="s">
        <v>123</v>
      </c>
      <c r="X344" t="s">
        <v>88</v>
      </c>
      <c r="Y344" t="s">
        <v>135</v>
      </c>
      <c r="Z344">
        <v>3</v>
      </c>
      <c r="AA344">
        <f>IF(AND(D344&gt;=配装计算器!$I$29,D344&lt;=配装计算器!$I$30),1,0)</f>
        <v>1</v>
      </c>
      <c r="AB344">
        <f t="shared" si="92"/>
        <v>1</v>
      </c>
      <c r="AC344">
        <f t="shared" si="93"/>
        <v>0</v>
      </c>
      <c r="AD344">
        <f t="shared" si="94"/>
        <v>1</v>
      </c>
      <c r="AE344">
        <f t="shared" si="95"/>
        <v>0</v>
      </c>
      <c r="AF344">
        <f t="shared" si="96"/>
        <v>0</v>
      </c>
      <c r="AG344">
        <f t="shared" si="97"/>
        <v>1</v>
      </c>
      <c r="AH344">
        <f t="shared" si="98"/>
        <v>0</v>
      </c>
      <c r="AI344">
        <f t="shared" si="99"/>
        <v>0</v>
      </c>
      <c r="AJ344">
        <f t="shared" si="100"/>
        <v>1</v>
      </c>
      <c r="AK344">
        <f>SUM(AJ$2:$AJ344)</f>
        <v>343</v>
      </c>
    </row>
    <row r="345" spans="1:37">
      <c r="A345" t="s">
        <v>1028</v>
      </c>
      <c r="B345" t="s">
        <v>1140</v>
      </c>
      <c r="C345" t="s">
        <v>1141</v>
      </c>
      <c r="D345">
        <v>38100</v>
      </c>
      <c r="E345" t="s">
        <v>1142</v>
      </c>
      <c r="F345">
        <v>25100</v>
      </c>
      <c r="G345">
        <v>2048</v>
      </c>
      <c r="I345">
        <v>10242</v>
      </c>
      <c r="J345">
        <v>17114</v>
      </c>
      <c r="K345">
        <v>0</v>
      </c>
      <c r="L345">
        <v>0</v>
      </c>
      <c r="M345">
        <v>0</v>
      </c>
      <c r="N345">
        <v>16543</v>
      </c>
      <c r="O345">
        <v>0</v>
      </c>
      <c r="P345">
        <v>0</v>
      </c>
      <c r="R345">
        <v>7682</v>
      </c>
      <c r="S345">
        <v>12803</v>
      </c>
      <c r="T345" t="s">
        <v>102</v>
      </c>
      <c r="U345">
        <v>6</v>
      </c>
      <c r="V345" t="s">
        <v>149</v>
      </c>
      <c r="W345" t="s">
        <v>185</v>
      </c>
      <c r="X345" t="s">
        <v>94</v>
      </c>
      <c r="Y345" t="s">
        <v>88</v>
      </c>
      <c r="Z345">
        <v>1</v>
      </c>
      <c r="AA345">
        <f>IF(AND(D345&gt;=配装计算器!$I$29,D345&lt;=配装计算器!$I$30),1,0)</f>
        <v>1</v>
      </c>
      <c r="AB345">
        <f t="shared" si="92"/>
        <v>1</v>
      </c>
      <c r="AC345">
        <f t="shared" si="93"/>
        <v>0</v>
      </c>
      <c r="AD345">
        <f t="shared" si="94"/>
        <v>0</v>
      </c>
      <c r="AE345">
        <f t="shared" si="95"/>
        <v>0</v>
      </c>
      <c r="AF345">
        <f t="shared" si="96"/>
        <v>1</v>
      </c>
      <c r="AG345">
        <f t="shared" si="97"/>
        <v>0</v>
      </c>
      <c r="AH345">
        <f t="shared" si="98"/>
        <v>0</v>
      </c>
      <c r="AI345">
        <f t="shared" si="99"/>
        <v>0</v>
      </c>
      <c r="AJ345">
        <f t="shared" si="100"/>
        <v>1</v>
      </c>
      <c r="AK345">
        <f>SUM(AJ$2:$AJ345)</f>
        <v>344</v>
      </c>
    </row>
    <row r="346" spans="1:37">
      <c r="A346" t="s">
        <v>1028</v>
      </c>
      <c r="B346" t="s">
        <v>1143</v>
      </c>
      <c r="C346" t="s">
        <v>1039</v>
      </c>
      <c r="D346">
        <v>39750</v>
      </c>
      <c r="E346" t="s">
        <v>1144</v>
      </c>
      <c r="F346">
        <v>29097</v>
      </c>
      <c r="G346">
        <v>2374</v>
      </c>
      <c r="I346">
        <v>11513</v>
      </c>
      <c r="J346">
        <v>17194</v>
      </c>
      <c r="K346">
        <v>0</v>
      </c>
      <c r="L346">
        <v>13226</v>
      </c>
      <c r="M346">
        <v>0</v>
      </c>
      <c r="N346">
        <v>0</v>
      </c>
      <c r="O346">
        <v>6613</v>
      </c>
      <c r="P346">
        <v>0</v>
      </c>
      <c r="R346">
        <v>8905</v>
      </c>
      <c r="S346">
        <v>14842</v>
      </c>
      <c r="T346" t="s">
        <v>1041</v>
      </c>
      <c r="U346">
        <v>8</v>
      </c>
      <c r="V346" t="s">
        <v>1042</v>
      </c>
      <c r="W346" t="s">
        <v>123</v>
      </c>
      <c r="X346" t="s">
        <v>88</v>
      </c>
      <c r="Y346" t="s">
        <v>135</v>
      </c>
      <c r="Z346">
        <v>3</v>
      </c>
      <c r="AA346">
        <f>IF(AND(D346&gt;=配装计算器!$I$29,D346&lt;=配装计算器!$I$30),1,0)</f>
        <v>1</v>
      </c>
      <c r="AB346">
        <f t="shared" si="92"/>
        <v>1</v>
      </c>
      <c r="AC346">
        <f t="shared" si="93"/>
        <v>0</v>
      </c>
      <c r="AD346">
        <f t="shared" si="94"/>
        <v>1</v>
      </c>
      <c r="AE346">
        <f t="shared" si="95"/>
        <v>0</v>
      </c>
      <c r="AF346">
        <f t="shared" si="96"/>
        <v>0</v>
      </c>
      <c r="AG346">
        <f t="shared" si="97"/>
        <v>1</v>
      </c>
      <c r="AH346">
        <f t="shared" si="98"/>
        <v>0</v>
      </c>
      <c r="AI346">
        <f t="shared" si="99"/>
        <v>0</v>
      </c>
      <c r="AJ346">
        <f t="shared" si="100"/>
        <v>1</v>
      </c>
      <c r="AK346">
        <f>SUM(AJ$2:$AJ346)</f>
        <v>345</v>
      </c>
    </row>
    <row r="347" spans="1:37">
      <c r="A347" t="s">
        <v>1028</v>
      </c>
      <c r="B347" t="s">
        <v>1145</v>
      </c>
      <c r="C347" t="s">
        <v>1030</v>
      </c>
      <c r="D347">
        <v>40500</v>
      </c>
      <c r="E347" t="s">
        <v>1146</v>
      </c>
      <c r="F347">
        <v>29646</v>
      </c>
      <c r="G347">
        <v>2419</v>
      </c>
      <c r="I347">
        <v>11730</v>
      </c>
      <c r="J347">
        <v>17518</v>
      </c>
      <c r="K347">
        <v>0</v>
      </c>
      <c r="L347">
        <v>13475</v>
      </c>
      <c r="M347">
        <v>0</v>
      </c>
      <c r="N347">
        <v>0</v>
      </c>
      <c r="O347">
        <v>6738</v>
      </c>
      <c r="P347">
        <v>0</v>
      </c>
      <c r="R347">
        <v>9073</v>
      </c>
      <c r="S347">
        <v>15122</v>
      </c>
      <c r="T347" t="s">
        <v>1032</v>
      </c>
      <c r="U347">
        <v>8</v>
      </c>
      <c r="V347" t="s">
        <v>1033</v>
      </c>
      <c r="W347" t="s">
        <v>123</v>
      </c>
      <c r="X347" t="s">
        <v>88</v>
      </c>
      <c r="Y347" t="s">
        <v>135</v>
      </c>
      <c r="Z347">
        <v>3</v>
      </c>
      <c r="AA347">
        <f>IF(AND(D347&gt;=配装计算器!$I$29,D347&lt;=配装计算器!$I$30),1,0)</f>
        <v>1</v>
      </c>
      <c r="AB347">
        <f t="shared" si="92"/>
        <v>1</v>
      </c>
      <c r="AC347">
        <f t="shared" si="93"/>
        <v>0</v>
      </c>
      <c r="AD347">
        <f t="shared" si="94"/>
        <v>1</v>
      </c>
      <c r="AE347">
        <f t="shared" si="95"/>
        <v>0</v>
      </c>
      <c r="AF347">
        <f t="shared" si="96"/>
        <v>0</v>
      </c>
      <c r="AG347">
        <f t="shared" si="97"/>
        <v>1</v>
      </c>
      <c r="AH347">
        <f t="shared" si="98"/>
        <v>0</v>
      </c>
      <c r="AI347">
        <f t="shared" si="99"/>
        <v>0</v>
      </c>
      <c r="AJ347">
        <f t="shared" si="100"/>
        <v>1</v>
      </c>
      <c r="AK347">
        <f>SUM(AJ$2:$AJ347)</f>
        <v>346</v>
      </c>
    </row>
    <row r="348" spans="1:37">
      <c r="A348" t="s">
        <v>1028</v>
      </c>
      <c r="B348" t="s">
        <v>1147</v>
      </c>
      <c r="C348" t="s">
        <v>1148</v>
      </c>
      <c r="D348">
        <v>41400</v>
      </c>
      <c r="E348" t="s">
        <v>1149</v>
      </c>
      <c r="F348">
        <v>27274</v>
      </c>
      <c r="G348">
        <v>2225</v>
      </c>
      <c r="I348">
        <v>11129</v>
      </c>
      <c r="J348">
        <v>0</v>
      </c>
      <c r="K348">
        <v>0</v>
      </c>
      <c r="L348">
        <v>0</v>
      </c>
      <c r="M348">
        <v>18596</v>
      </c>
      <c r="N348">
        <v>17976</v>
      </c>
      <c r="O348">
        <v>0</v>
      </c>
      <c r="P348">
        <v>0</v>
      </c>
      <c r="R348">
        <v>8347</v>
      </c>
      <c r="S348">
        <v>13912</v>
      </c>
      <c r="T348" t="s">
        <v>107</v>
      </c>
      <c r="U348">
        <v>6</v>
      </c>
      <c r="V348" t="s">
        <v>87</v>
      </c>
      <c r="W348" t="s">
        <v>123</v>
      </c>
      <c r="X348" t="s">
        <v>88</v>
      </c>
      <c r="Y348" t="s">
        <v>135</v>
      </c>
      <c r="Z348">
        <v>1</v>
      </c>
      <c r="AA348">
        <f>IF(AND(D348&gt;=配装计算器!$I$29,D348&lt;=配装计算器!$I$30),1,0)</f>
        <v>1</v>
      </c>
      <c r="AB348">
        <f t="shared" si="92"/>
        <v>0</v>
      </c>
      <c r="AC348">
        <f t="shared" si="93"/>
        <v>0</v>
      </c>
      <c r="AD348">
        <f t="shared" si="94"/>
        <v>0</v>
      </c>
      <c r="AE348">
        <f t="shared" si="95"/>
        <v>1</v>
      </c>
      <c r="AF348">
        <f t="shared" si="96"/>
        <v>1</v>
      </c>
      <c r="AG348">
        <f t="shared" si="97"/>
        <v>0</v>
      </c>
      <c r="AH348">
        <f t="shared" si="98"/>
        <v>0</v>
      </c>
      <c r="AI348">
        <f t="shared" si="99"/>
        <v>0</v>
      </c>
      <c r="AJ348">
        <f t="shared" si="100"/>
        <v>1</v>
      </c>
      <c r="AK348">
        <f>SUM(AJ$2:$AJ348)</f>
        <v>347</v>
      </c>
    </row>
    <row r="349" spans="1:37">
      <c r="A349" t="s">
        <v>1028</v>
      </c>
      <c r="B349" t="s">
        <v>1150</v>
      </c>
      <c r="C349" t="s">
        <v>1151</v>
      </c>
      <c r="D349">
        <v>41400</v>
      </c>
      <c r="E349" t="s">
        <v>1152</v>
      </c>
      <c r="F349">
        <v>27274</v>
      </c>
      <c r="G349">
        <v>2225</v>
      </c>
      <c r="I349">
        <v>11129</v>
      </c>
      <c r="J349">
        <v>0</v>
      </c>
      <c r="K349">
        <v>0</v>
      </c>
      <c r="L349">
        <v>18596</v>
      </c>
      <c r="M349">
        <v>0</v>
      </c>
      <c r="N349">
        <v>17976</v>
      </c>
      <c r="O349">
        <v>0</v>
      </c>
      <c r="P349">
        <v>0</v>
      </c>
      <c r="R349">
        <v>8347</v>
      </c>
      <c r="S349">
        <v>13912</v>
      </c>
      <c r="T349" t="s">
        <v>1071</v>
      </c>
      <c r="U349">
        <v>6</v>
      </c>
      <c r="V349" t="s">
        <v>87</v>
      </c>
      <c r="W349" t="s">
        <v>123</v>
      </c>
      <c r="X349" t="s">
        <v>88</v>
      </c>
      <c r="Y349" t="s">
        <v>135</v>
      </c>
      <c r="Z349">
        <v>1</v>
      </c>
      <c r="AA349">
        <f>IF(AND(D349&gt;=配装计算器!$I$29,D349&lt;=配装计算器!$I$30),1,0)</f>
        <v>1</v>
      </c>
      <c r="AB349">
        <f t="shared" si="92"/>
        <v>0</v>
      </c>
      <c r="AC349">
        <f t="shared" si="93"/>
        <v>0</v>
      </c>
      <c r="AD349">
        <f t="shared" si="94"/>
        <v>1</v>
      </c>
      <c r="AE349">
        <f t="shared" si="95"/>
        <v>0</v>
      </c>
      <c r="AF349">
        <f t="shared" si="96"/>
        <v>1</v>
      </c>
      <c r="AG349">
        <f t="shared" si="97"/>
        <v>0</v>
      </c>
      <c r="AH349">
        <f t="shared" si="98"/>
        <v>0</v>
      </c>
      <c r="AI349">
        <f t="shared" si="99"/>
        <v>0</v>
      </c>
      <c r="AJ349">
        <f t="shared" si="100"/>
        <v>1</v>
      </c>
      <c r="AK349">
        <f>SUM(AJ$2:$AJ349)</f>
        <v>348</v>
      </c>
    </row>
    <row r="350" spans="1:37">
      <c r="A350" t="s">
        <v>1028</v>
      </c>
      <c r="B350" t="s">
        <v>1153</v>
      </c>
      <c r="C350" t="s">
        <v>1154</v>
      </c>
      <c r="D350">
        <v>41400</v>
      </c>
      <c r="E350" t="s">
        <v>1155</v>
      </c>
      <c r="F350">
        <v>27274</v>
      </c>
      <c r="G350">
        <v>2225</v>
      </c>
      <c r="I350">
        <v>11129</v>
      </c>
      <c r="J350">
        <v>18596</v>
      </c>
      <c r="K350">
        <v>0</v>
      </c>
      <c r="L350">
        <v>0</v>
      </c>
      <c r="M350">
        <v>0</v>
      </c>
      <c r="N350">
        <v>17976</v>
      </c>
      <c r="O350">
        <v>0</v>
      </c>
      <c r="P350">
        <v>0</v>
      </c>
      <c r="R350">
        <v>8347</v>
      </c>
      <c r="S350">
        <v>13912</v>
      </c>
      <c r="T350" t="s">
        <v>102</v>
      </c>
      <c r="U350">
        <v>6</v>
      </c>
      <c r="V350" t="s">
        <v>87</v>
      </c>
      <c r="W350" t="s">
        <v>185</v>
      </c>
      <c r="X350" t="s">
        <v>94</v>
      </c>
      <c r="Y350" t="s">
        <v>88</v>
      </c>
      <c r="Z350">
        <v>1</v>
      </c>
      <c r="AA350">
        <f>IF(AND(D350&gt;=配装计算器!$I$29,D350&lt;=配装计算器!$I$30),1,0)</f>
        <v>1</v>
      </c>
      <c r="AB350">
        <f t="shared" si="92"/>
        <v>1</v>
      </c>
      <c r="AC350">
        <f t="shared" si="93"/>
        <v>0</v>
      </c>
      <c r="AD350">
        <f t="shared" si="94"/>
        <v>0</v>
      </c>
      <c r="AE350">
        <f t="shared" si="95"/>
        <v>0</v>
      </c>
      <c r="AF350">
        <f t="shared" si="96"/>
        <v>1</v>
      </c>
      <c r="AG350">
        <f t="shared" si="97"/>
        <v>0</v>
      </c>
      <c r="AH350">
        <f t="shared" si="98"/>
        <v>0</v>
      </c>
      <c r="AI350">
        <f t="shared" si="99"/>
        <v>0</v>
      </c>
      <c r="AJ350">
        <f t="shared" si="100"/>
        <v>1</v>
      </c>
      <c r="AK350">
        <f>SUM(AJ$2:$AJ350)</f>
        <v>349</v>
      </c>
    </row>
    <row r="351" spans="1:37">
      <c r="A351" t="s">
        <v>1028</v>
      </c>
      <c r="B351" t="s">
        <v>1156</v>
      </c>
      <c r="C351" t="s">
        <v>1157</v>
      </c>
      <c r="D351">
        <v>41400</v>
      </c>
      <c r="E351" t="s">
        <v>1158</v>
      </c>
      <c r="F351">
        <v>27274</v>
      </c>
      <c r="G351">
        <v>2225</v>
      </c>
      <c r="I351">
        <v>11129</v>
      </c>
      <c r="J351">
        <v>0</v>
      </c>
      <c r="K351">
        <v>0</v>
      </c>
      <c r="L351">
        <v>0</v>
      </c>
      <c r="M351">
        <v>18596</v>
      </c>
      <c r="N351">
        <v>17976</v>
      </c>
      <c r="O351">
        <v>0</v>
      </c>
      <c r="P351">
        <v>0</v>
      </c>
      <c r="R351">
        <v>8347</v>
      </c>
      <c r="S351">
        <v>13912</v>
      </c>
      <c r="T351" t="s">
        <v>107</v>
      </c>
      <c r="U351">
        <v>6</v>
      </c>
      <c r="V351" t="s">
        <v>130</v>
      </c>
      <c r="W351" t="s">
        <v>123</v>
      </c>
      <c r="X351" t="s">
        <v>88</v>
      </c>
      <c r="Y351" t="s">
        <v>135</v>
      </c>
      <c r="Z351">
        <v>1</v>
      </c>
      <c r="AA351">
        <f>IF(AND(D351&gt;=配装计算器!$I$29,D351&lt;=配装计算器!$I$30),1,0)</f>
        <v>1</v>
      </c>
      <c r="AB351">
        <f t="shared" si="92"/>
        <v>0</v>
      </c>
      <c r="AC351">
        <f t="shared" si="93"/>
        <v>0</v>
      </c>
      <c r="AD351">
        <f t="shared" si="94"/>
        <v>0</v>
      </c>
      <c r="AE351">
        <f t="shared" si="95"/>
        <v>1</v>
      </c>
      <c r="AF351">
        <f t="shared" si="96"/>
        <v>1</v>
      </c>
      <c r="AG351">
        <f t="shared" si="97"/>
        <v>0</v>
      </c>
      <c r="AH351">
        <f t="shared" si="98"/>
        <v>0</v>
      </c>
      <c r="AI351">
        <f t="shared" si="99"/>
        <v>0</v>
      </c>
      <c r="AJ351">
        <f t="shared" si="100"/>
        <v>1</v>
      </c>
      <c r="AK351">
        <f>SUM(AJ$2:$AJ351)</f>
        <v>350</v>
      </c>
    </row>
    <row r="352" spans="1:37">
      <c r="A352" t="s">
        <v>1028</v>
      </c>
      <c r="B352" t="s">
        <v>1159</v>
      </c>
      <c r="C352" t="s">
        <v>1160</v>
      </c>
      <c r="D352">
        <v>42100</v>
      </c>
      <c r="E352" t="s">
        <v>1161</v>
      </c>
      <c r="F352">
        <v>27735</v>
      </c>
      <c r="G352">
        <v>2263</v>
      </c>
      <c r="I352">
        <v>11317</v>
      </c>
      <c r="J352">
        <v>18911</v>
      </c>
      <c r="K352">
        <v>0</v>
      </c>
      <c r="L352">
        <v>0</v>
      </c>
      <c r="M352">
        <v>0</v>
      </c>
      <c r="N352">
        <v>18280</v>
      </c>
      <c r="O352">
        <v>0</v>
      </c>
      <c r="P352">
        <v>0</v>
      </c>
      <c r="R352">
        <v>8488</v>
      </c>
      <c r="S352">
        <v>14147</v>
      </c>
      <c r="T352" t="s">
        <v>102</v>
      </c>
      <c r="U352">
        <v>6</v>
      </c>
      <c r="V352" t="s">
        <v>327</v>
      </c>
      <c r="W352" t="s">
        <v>185</v>
      </c>
      <c r="X352" t="s">
        <v>94</v>
      </c>
      <c r="Y352" t="s">
        <v>88</v>
      </c>
      <c r="Z352">
        <v>1</v>
      </c>
      <c r="AA352">
        <f>IF(AND(D352&gt;=配装计算器!$I$29,D352&lt;=配装计算器!$I$30),1,0)</f>
        <v>1</v>
      </c>
      <c r="AB352">
        <f t="shared" si="92"/>
        <v>1</v>
      </c>
      <c r="AC352">
        <f t="shared" si="93"/>
        <v>0</v>
      </c>
      <c r="AD352">
        <f t="shared" si="94"/>
        <v>0</v>
      </c>
      <c r="AE352">
        <f t="shared" si="95"/>
        <v>0</v>
      </c>
      <c r="AF352">
        <f t="shared" si="96"/>
        <v>1</v>
      </c>
      <c r="AG352">
        <f t="shared" si="97"/>
        <v>0</v>
      </c>
      <c r="AH352">
        <f t="shared" si="98"/>
        <v>0</v>
      </c>
      <c r="AI352">
        <f t="shared" si="99"/>
        <v>0</v>
      </c>
      <c r="AJ352">
        <f t="shared" si="100"/>
        <v>1</v>
      </c>
      <c r="AK352">
        <f>SUM(AJ$2:$AJ352)</f>
        <v>351</v>
      </c>
    </row>
    <row r="353" spans="1:37">
      <c r="A353" t="s">
        <v>1028</v>
      </c>
      <c r="B353" t="s">
        <v>1162</v>
      </c>
      <c r="C353" t="s">
        <v>1163</v>
      </c>
      <c r="D353">
        <v>42400</v>
      </c>
      <c r="E353" t="s">
        <v>1164</v>
      </c>
      <c r="F353">
        <v>30472</v>
      </c>
      <c r="G353">
        <v>2116</v>
      </c>
      <c r="I353">
        <v>11398</v>
      </c>
      <c r="J353">
        <v>0</v>
      </c>
      <c r="K353">
        <v>0</v>
      </c>
      <c r="L353">
        <v>19045</v>
      </c>
      <c r="M353">
        <v>0</v>
      </c>
      <c r="N353">
        <v>0</v>
      </c>
      <c r="O353">
        <v>0</v>
      </c>
      <c r="P353">
        <v>1270</v>
      </c>
      <c r="R353">
        <v>8549</v>
      </c>
      <c r="S353">
        <v>14248</v>
      </c>
      <c r="T353" t="s">
        <v>86</v>
      </c>
      <c r="U353">
        <v>6</v>
      </c>
      <c r="V353" t="s">
        <v>145</v>
      </c>
      <c r="W353" t="s">
        <v>88</v>
      </c>
      <c r="X353" t="s">
        <v>135</v>
      </c>
      <c r="Y353" t="s">
        <v>233</v>
      </c>
      <c r="Z353">
        <v>2</v>
      </c>
      <c r="AA353">
        <f>IF(AND(D353&gt;=配装计算器!$I$29,D353&lt;=配装计算器!$I$30),1,0)</f>
        <v>1</v>
      </c>
      <c r="AB353">
        <f t="shared" ref="AB353" si="119">IF(J353&gt;0,1,0)</f>
        <v>0</v>
      </c>
      <c r="AC353">
        <f t="shared" ref="AC353" si="120">IF(K353&gt;0,1,0)</f>
        <v>0</v>
      </c>
      <c r="AD353">
        <f t="shared" ref="AD353" si="121">IF(L353&gt;0,1,0)</f>
        <v>1</v>
      </c>
      <c r="AE353">
        <f t="shared" ref="AE353" si="122">IF(M353&gt;0,1,0)</f>
        <v>0</v>
      </c>
      <c r="AF353">
        <f t="shared" ref="AF353" si="123">IF(N353&gt;0,1,0)</f>
        <v>0</v>
      </c>
      <c r="AG353">
        <f t="shared" ref="AG353" si="124">IF(O353&gt;0,1,0)</f>
        <v>0</v>
      </c>
      <c r="AH353">
        <f t="shared" ref="AH353" si="125">IF(P353&gt;0,1,0)</f>
        <v>1</v>
      </c>
      <c r="AI353">
        <f t="shared" ref="AI353" si="126">IF(COUNTIF(T353,"*"&amp;"精简"&amp;"*")&gt;0,1,0)</f>
        <v>0</v>
      </c>
      <c r="AJ353">
        <f t="shared" ref="AJ353" si="127">MIN(1,AA353*($AY$2+IF(AND(AB353&gt;=$AQ$3,AC353&gt;=$AR$3,AD353&gt;=$AS$3,AE353&gt;=$AT$3,AF353&gt;=$AU$3,AG353&gt;=$AV$3,AH353&gt;=$AW$3,AI353&gt;=$AX$3),1,0)))</f>
        <v>1</v>
      </c>
      <c r="AK353">
        <f>SUM(AJ$2:$AJ353)</f>
        <v>352</v>
      </c>
    </row>
    <row r="354" spans="1:37">
      <c r="A354" t="s">
        <v>1028</v>
      </c>
      <c r="B354" t="s">
        <v>1165</v>
      </c>
      <c r="C354" t="s">
        <v>1030</v>
      </c>
      <c r="D354">
        <v>42500</v>
      </c>
      <c r="E354" t="s">
        <v>1166</v>
      </c>
      <c r="F354">
        <v>31110</v>
      </c>
      <c r="G354">
        <v>2538</v>
      </c>
      <c r="I354">
        <v>12310</v>
      </c>
      <c r="J354">
        <v>18383</v>
      </c>
      <c r="K354">
        <v>0</v>
      </c>
      <c r="L354">
        <v>14141</v>
      </c>
      <c r="M354">
        <v>0</v>
      </c>
      <c r="N354">
        <v>0</v>
      </c>
      <c r="O354">
        <v>7070</v>
      </c>
      <c r="P354">
        <v>0</v>
      </c>
      <c r="R354">
        <v>9521</v>
      </c>
      <c r="S354">
        <v>15868</v>
      </c>
      <c r="T354" t="s">
        <v>1032</v>
      </c>
      <c r="U354">
        <v>8</v>
      </c>
      <c r="V354" t="s">
        <v>1033</v>
      </c>
      <c r="W354" t="s">
        <v>123</v>
      </c>
      <c r="X354" t="s">
        <v>88</v>
      </c>
      <c r="Y354" t="s">
        <v>135</v>
      </c>
      <c r="Z354">
        <v>3</v>
      </c>
      <c r="AA354">
        <f>IF(AND(D354&gt;=配装计算器!$I$29,D354&lt;=配装计算器!$I$30),1,0)</f>
        <v>1</v>
      </c>
      <c r="AB354">
        <f t="shared" si="92"/>
        <v>1</v>
      </c>
      <c r="AC354">
        <f t="shared" si="93"/>
        <v>0</v>
      </c>
      <c r="AD354">
        <f t="shared" si="94"/>
        <v>1</v>
      </c>
      <c r="AE354">
        <f t="shared" si="95"/>
        <v>0</v>
      </c>
      <c r="AF354">
        <f t="shared" si="96"/>
        <v>0</v>
      </c>
      <c r="AG354">
        <f t="shared" si="97"/>
        <v>1</v>
      </c>
      <c r="AH354">
        <f t="shared" si="98"/>
        <v>0</v>
      </c>
      <c r="AI354">
        <f t="shared" si="99"/>
        <v>0</v>
      </c>
      <c r="AJ354">
        <f t="shared" si="100"/>
        <v>1</v>
      </c>
      <c r="AK354">
        <f>SUM(AJ$2:$AJ354)</f>
        <v>353</v>
      </c>
    </row>
    <row r="355" spans="1:37">
      <c r="A355" t="s">
        <v>1167</v>
      </c>
      <c r="B355" t="s">
        <v>1168</v>
      </c>
      <c r="C355" t="s">
        <v>1169</v>
      </c>
      <c r="D355">
        <v>30200</v>
      </c>
      <c r="E355" t="s">
        <v>1170</v>
      </c>
      <c r="F355">
        <v>16580</v>
      </c>
      <c r="G355">
        <v>1256</v>
      </c>
      <c r="I355">
        <v>2048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11304</v>
      </c>
      <c r="P355">
        <v>4522</v>
      </c>
      <c r="R355">
        <v>0</v>
      </c>
      <c r="S355">
        <v>0</v>
      </c>
      <c r="T355" t="s">
        <v>228</v>
      </c>
      <c r="U355">
        <v>6</v>
      </c>
      <c r="V355" t="s">
        <v>87</v>
      </c>
      <c r="W355" t="s">
        <v>135</v>
      </c>
      <c r="X355" t="s">
        <v>233</v>
      </c>
      <c r="Y355" t="s">
        <v>89</v>
      </c>
      <c r="Z355">
        <v>2</v>
      </c>
      <c r="AA355">
        <f>IF(AND(D355&gt;=配装计算器!$I$29,D355&lt;=配装计算器!$I$30),1,0)</f>
        <v>1</v>
      </c>
      <c r="AB355">
        <f t="shared" si="92"/>
        <v>0</v>
      </c>
      <c r="AC355">
        <f t="shared" si="93"/>
        <v>0</v>
      </c>
      <c r="AD355">
        <f t="shared" si="94"/>
        <v>0</v>
      </c>
      <c r="AE355">
        <f t="shared" si="95"/>
        <v>0</v>
      </c>
      <c r="AF355">
        <f t="shared" si="96"/>
        <v>0</v>
      </c>
      <c r="AG355">
        <f t="shared" si="97"/>
        <v>1</v>
      </c>
      <c r="AH355">
        <f t="shared" si="98"/>
        <v>1</v>
      </c>
      <c r="AI355">
        <f t="shared" si="99"/>
        <v>0</v>
      </c>
      <c r="AJ355">
        <f t="shared" si="100"/>
        <v>1</v>
      </c>
      <c r="AK355">
        <f>SUM(AJ$2:$AJ355)</f>
        <v>354</v>
      </c>
    </row>
    <row r="356" spans="1:37">
      <c r="A356" t="s">
        <v>1167</v>
      </c>
      <c r="B356" t="s">
        <v>1171</v>
      </c>
      <c r="C356" t="s">
        <v>1172</v>
      </c>
      <c r="D356">
        <v>30200</v>
      </c>
      <c r="E356" t="s">
        <v>1173</v>
      </c>
      <c r="F356">
        <v>16580</v>
      </c>
      <c r="G356">
        <v>1256</v>
      </c>
      <c r="I356">
        <v>2048</v>
      </c>
      <c r="J356">
        <v>11304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4522</v>
      </c>
      <c r="R356">
        <v>0</v>
      </c>
      <c r="S356">
        <v>0</v>
      </c>
      <c r="T356" t="s">
        <v>93</v>
      </c>
      <c r="U356">
        <v>6</v>
      </c>
      <c r="V356" t="s">
        <v>87</v>
      </c>
      <c r="W356" t="s">
        <v>676</v>
      </c>
      <c r="X356" t="s">
        <v>94</v>
      </c>
      <c r="Y356" t="s">
        <v>89</v>
      </c>
      <c r="Z356">
        <v>2</v>
      </c>
      <c r="AA356">
        <f>IF(AND(D356&gt;=配装计算器!$I$29,D356&lt;=配装计算器!$I$30),1,0)</f>
        <v>1</v>
      </c>
      <c r="AB356">
        <f t="shared" si="92"/>
        <v>1</v>
      </c>
      <c r="AC356">
        <f t="shared" si="93"/>
        <v>0</v>
      </c>
      <c r="AD356">
        <f t="shared" si="94"/>
        <v>0</v>
      </c>
      <c r="AE356">
        <f t="shared" si="95"/>
        <v>0</v>
      </c>
      <c r="AF356">
        <f t="shared" si="96"/>
        <v>0</v>
      </c>
      <c r="AG356">
        <f t="shared" si="97"/>
        <v>0</v>
      </c>
      <c r="AH356">
        <f t="shared" si="98"/>
        <v>1</v>
      </c>
      <c r="AI356">
        <f t="shared" si="99"/>
        <v>0</v>
      </c>
      <c r="AJ356">
        <f t="shared" si="100"/>
        <v>1</v>
      </c>
      <c r="AK356">
        <f>SUM(AJ$2:$AJ356)</f>
        <v>355</v>
      </c>
    </row>
    <row r="357" spans="1:37">
      <c r="A357" t="s">
        <v>1167</v>
      </c>
      <c r="B357" t="s">
        <v>1174</v>
      </c>
      <c r="C357" t="s">
        <v>1175</v>
      </c>
      <c r="D357">
        <v>30200</v>
      </c>
      <c r="E357" t="s">
        <v>1176</v>
      </c>
      <c r="F357">
        <v>16580</v>
      </c>
      <c r="G357">
        <v>1256</v>
      </c>
      <c r="I357">
        <v>2048</v>
      </c>
      <c r="J357">
        <v>0</v>
      </c>
      <c r="K357">
        <v>0</v>
      </c>
      <c r="L357">
        <v>11304</v>
      </c>
      <c r="M357">
        <v>0</v>
      </c>
      <c r="N357">
        <v>0</v>
      </c>
      <c r="O357">
        <v>0</v>
      </c>
      <c r="P357">
        <v>4522</v>
      </c>
      <c r="R357">
        <v>0</v>
      </c>
      <c r="S357">
        <v>0</v>
      </c>
      <c r="T357" t="s">
        <v>86</v>
      </c>
      <c r="U357">
        <v>6</v>
      </c>
      <c r="V357" t="s">
        <v>98</v>
      </c>
      <c r="W357" t="s">
        <v>88</v>
      </c>
      <c r="X357" t="s">
        <v>229</v>
      </c>
      <c r="Y357" t="s">
        <v>89</v>
      </c>
      <c r="Z357">
        <v>2</v>
      </c>
      <c r="AA357">
        <f>IF(AND(D357&gt;=配装计算器!$I$29,D357&lt;=配装计算器!$I$30),1,0)</f>
        <v>1</v>
      </c>
      <c r="AB357">
        <f t="shared" si="92"/>
        <v>0</v>
      </c>
      <c r="AC357">
        <f t="shared" si="93"/>
        <v>0</v>
      </c>
      <c r="AD357">
        <f t="shared" si="94"/>
        <v>1</v>
      </c>
      <c r="AE357">
        <f t="shared" si="95"/>
        <v>0</v>
      </c>
      <c r="AF357">
        <f t="shared" si="96"/>
        <v>0</v>
      </c>
      <c r="AG357">
        <f t="shared" si="97"/>
        <v>0</v>
      </c>
      <c r="AH357">
        <f t="shared" si="98"/>
        <v>1</v>
      </c>
      <c r="AI357">
        <f t="shared" si="99"/>
        <v>0</v>
      </c>
      <c r="AJ357">
        <f t="shared" si="100"/>
        <v>1</v>
      </c>
      <c r="AK357">
        <f>SUM(AJ$2:$AJ357)</f>
        <v>356</v>
      </c>
    </row>
    <row r="358" spans="1:37">
      <c r="A358" t="s">
        <v>1167</v>
      </c>
      <c r="B358" t="s">
        <v>1177</v>
      </c>
      <c r="C358" t="s">
        <v>1178</v>
      </c>
      <c r="D358">
        <v>30200</v>
      </c>
      <c r="E358" t="s">
        <v>1179</v>
      </c>
      <c r="F358">
        <v>16580</v>
      </c>
      <c r="G358">
        <v>1353</v>
      </c>
      <c r="I358">
        <v>3072</v>
      </c>
      <c r="J358">
        <v>11304</v>
      </c>
      <c r="K358">
        <v>0</v>
      </c>
      <c r="L358">
        <v>0</v>
      </c>
      <c r="M358">
        <v>0</v>
      </c>
      <c r="N358">
        <v>9044</v>
      </c>
      <c r="O358">
        <v>0</v>
      </c>
      <c r="P358">
        <v>0</v>
      </c>
      <c r="R358">
        <v>0</v>
      </c>
      <c r="S358">
        <v>0</v>
      </c>
      <c r="T358" t="s">
        <v>102</v>
      </c>
      <c r="U358">
        <v>6</v>
      </c>
      <c r="V358" t="s">
        <v>240</v>
      </c>
      <c r="W358" t="s">
        <v>94</v>
      </c>
      <c r="X358" t="s">
        <v>185</v>
      </c>
      <c r="Y358" t="s">
        <v>89</v>
      </c>
      <c r="Z358">
        <v>1</v>
      </c>
      <c r="AA358">
        <f>IF(AND(D358&gt;=配装计算器!$I$29,D358&lt;=配装计算器!$I$30),1,0)</f>
        <v>1</v>
      </c>
      <c r="AB358">
        <f t="shared" si="92"/>
        <v>1</v>
      </c>
      <c r="AC358">
        <f t="shared" si="93"/>
        <v>0</v>
      </c>
      <c r="AD358">
        <f t="shared" si="94"/>
        <v>0</v>
      </c>
      <c r="AE358">
        <f t="shared" si="95"/>
        <v>0</v>
      </c>
      <c r="AF358">
        <f t="shared" si="96"/>
        <v>1</v>
      </c>
      <c r="AG358">
        <f t="shared" si="97"/>
        <v>0</v>
      </c>
      <c r="AH358">
        <f t="shared" si="98"/>
        <v>0</v>
      </c>
      <c r="AI358">
        <f t="shared" si="99"/>
        <v>0</v>
      </c>
      <c r="AJ358">
        <f t="shared" si="100"/>
        <v>1</v>
      </c>
      <c r="AK358">
        <f>SUM(AJ$2:$AJ358)</f>
        <v>357</v>
      </c>
    </row>
    <row r="359" spans="1:37">
      <c r="A359" t="s">
        <v>1167</v>
      </c>
      <c r="B359" t="s">
        <v>1180</v>
      </c>
      <c r="C359" t="s">
        <v>1181</v>
      </c>
      <c r="D359">
        <v>30200</v>
      </c>
      <c r="E359" t="s">
        <v>1182</v>
      </c>
      <c r="F359">
        <v>16580</v>
      </c>
      <c r="G359">
        <v>1353</v>
      </c>
      <c r="I359">
        <v>3072</v>
      </c>
      <c r="J359">
        <v>0</v>
      </c>
      <c r="K359">
        <v>0</v>
      </c>
      <c r="L359">
        <v>0</v>
      </c>
      <c r="M359">
        <v>11304</v>
      </c>
      <c r="N359">
        <v>9044</v>
      </c>
      <c r="O359">
        <v>0</v>
      </c>
      <c r="P359">
        <v>0</v>
      </c>
      <c r="R359">
        <v>0</v>
      </c>
      <c r="S359">
        <v>0</v>
      </c>
      <c r="T359" t="s">
        <v>107</v>
      </c>
      <c r="U359">
        <v>6</v>
      </c>
      <c r="V359" t="s">
        <v>103</v>
      </c>
      <c r="W359" t="s">
        <v>154</v>
      </c>
      <c r="X359" t="s">
        <v>94</v>
      </c>
      <c r="Y359" t="s">
        <v>89</v>
      </c>
      <c r="Z359">
        <v>1</v>
      </c>
      <c r="AA359">
        <f>IF(AND(D359&gt;=配装计算器!$I$29,D359&lt;=配装计算器!$I$30),1,0)</f>
        <v>1</v>
      </c>
      <c r="AB359">
        <f t="shared" si="92"/>
        <v>0</v>
      </c>
      <c r="AC359">
        <f t="shared" si="93"/>
        <v>0</v>
      </c>
      <c r="AD359">
        <f t="shared" si="94"/>
        <v>0</v>
      </c>
      <c r="AE359">
        <f t="shared" si="95"/>
        <v>1</v>
      </c>
      <c r="AF359">
        <f t="shared" si="96"/>
        <v>1</v>
      </c>
      <c r="AG359">
        <f t="shared" si="97"/>
        <v>0</v>
      </c>
      <c r="AH359">
        <f t="shared" si="98"/>
        <v>0</v>
      </c>
      <c r="AI359">
        <f t="shared" si="99"/>
        <v>0</v>
      </c>
      <c r="AJ359">
        <f t="shared" si="100"/>
        <v>1</v>
      </c>
      <c r="AK359">
        <f>SUM(AJ$2:$AJ359)</f>
        <v>358</v>
      </c>
    </row>
    <row r="360" spans="1:37">
      <c r="A360" t="s">
        <v>1167</v>
      </c>
      <c r="B360" t="s">
        <v>1183</v>
      </c>
      <c r="C360" t="s">
        <v>1184</v>
      </c>
      <c r="D360">
        <v>30200</v>
      </c>
      <c r="E360" t="s">
        <v>1185</v>
      </c>
      <c r="F360">
        <v>16580</v>
      </c>
      <c r="G360">
        <v>1353</v>
      </c>
      <c r="I360">
        <v>3072</v>
      </c>
      <c r="J360">
        <v>0</v>
      </c>
      <c r="K360">
        <v>0</v>
      </c>
      <c r="L360">
        <v>0</v>
      </c>
      <c r="M360">
        <v>11304</v>
      </c>
      <c r="N360">
        <v>9044</v>
      </c>
      <c r="O360">
        <v>0</v>
      </c>
      <c r="P360">
        <v>0</v>
      </c>
      <c r="R360">
        <v>0</v>
      </c>
      <c r="S360">
        <v>0</v>
      </c>
      <c r="T360" t="s">
        <v>107</v>
      </c>
      <c r="U360">
        <v>6</v>
      </c>
      <c r="V360" t="s">
        <v>87</v>
      </c>
      <c r="W360" t="s">
        <v>154</v>
      </c>
      <c r="X360" t="s">
        <v>94</v>
      </c>
      <c r="Y360" t="s">
        <v>89</v>
      </c>
      <c r="Z360">
        <v>1</v>
      </c>
      <c r="AA360">
        <f>IF(AND(D360&gt;=配装计算器!$I$29,D360&lt;=配装计算器!$I$30),1,0)</f>
        <v>1</v>
      </c>
      <c r="AB360">
        <f t="shared" si="92"/>
        <v>0</v>
      </c>
      <c r="AC360">
        <f t="shared" si="93"/>
        <v>0</v>
      </c>
      <c r="AD360">
        <f t="shared" si="94"/>
        <v>0</v>
      </c>
      <c r="AE360">
        <f t="shared" si="95"/>
        <v>1</v>
      </c>
      <c r="AF360">
        <f t="shared" si="96"/>
        <v>1</v>
      </c>
      <c r="AG360">
        <f t="shared" si="97"/>
        <v>0</v>
      </c>
      <c r="AH360">
        <f t="shared" si="98"/>
        <v>0</v>
      </c>
      <c r="AI360">
        <f t="shared" si="99"/>
        <v>0</v>
      </c>
      <c r="AJ360">
        <f t="shared" si="100"/>
        <v>1</v>
      </c>
      <c r="AK360">
        <f>SUM(AJ$2:$AJ360)</f>
        <v>359</v>
      </c>
    </row>
    <row r="361" spans="1:37">
      <c r="A361" t="s">
        <v>1167</v>
      </c>
      <c r="B361" t="s">
        <v>1186</v>
      </c>
      <c r="C361" t="s">
        <v>1187</v>
      </c>
      <c r="D361">
        <v>30200</v>
      </c>
      <c r="E361" t="s">
        <v>1188</v>
      </c>
      <c r="F361">
        <v>16580</v>
      </c>
      <c r="G361">
        <v>1353</v>
      </c>
      <c r="I361">
        <v>3072</v>
      </c>
      <c r="J361">
        <v>0</v>
      </c>
      <c r="K361">
        <v>0</v>
      </c>
      <c r="L361">
        <v>0</v>
      </c>
      <c r="M361">
        <v>11304</v>
      </c>
      <c r="N361">
        <v>9044</v>
      </c>
      <c r="O361">
        <v>0</v>
      </c>
      <c r="P361">
        <v>0</v>
      </c>
      <c r="R361">
        <v>0</v>
      </c>
      <c r="S361">
        <v>0</v>
      </c>
      <c r="T361" t="s">
        <v>107</v>
      </c>
      <c r="U361">
        <v>6</v>
      </c>
      <c r="V361" t="s">
        <v>87</v>
      </c>
      <c r="W361" t="s">
        <v>154</v>
      </c>
      <c r="X361" t="s">
        <v>94</v>
      </c>
      <c r="Y361" t="s">
        <v>89</v>
      </c>
      <c r="Z361">
        <v>1</v>
      </c>
      <c r="AA361">
        <f>IF(AND(D361&gt;=配装计算器!$I$29,D361&lt;=配装计算器!$I$30),1,0)</f>
        <v>1</v>
      </c>
      <c r="AB361">
        <f t="shared" si="92"/>
        <v>0</v>
      </c>
      <c r="AC361">
        <f t="shared" si="93"/>
        <v>0</v>
      </c>
      <c r="AD361">
        <f t="shared" si="94"/>
        <v>0</v>
      </c>
      <c r="AE361">
        <f t="shared" si="95"/>
        <v>1</v>
      </c>
      <c r="AF361">
        <f t="shared" si="96"/>
        <v>1</v>
      </c>
      <c r="AG361">
        <f t="shared" si="97"/>
        <v>0</v>
      </c>
      <c r="AH361">
        <f t="shared" si="98"/>
        <v>0</v>
      </c>
      <c r="AI361">
        <f t="shared" si="99"/>
        <v>0</v>
      </c>
      <c r="AJ361">
        <f t="shared" si="100"/>
        <v>1</v>
      </c>
      <c r="AK361">
        <f>SUM(AJ$2:$AJ361)</f>
        <v>360</v>
      </c>
    </row>
    <row r="362" spans="1:37">
      <c r="A362" t="s">
        <v>1167</v>
      </c>
      <c r="B362" t="s">
        <v>1189</v>
      </c>
      <c r="C362" t="s">
        <v>1190</v>
      </c>
      <c r="D362">
        <v>30200</v>
      </c>
      <c r="E362" t="s">
        <v>1191</v>
      </c>
      <c r="F362">
        <v>16580</v>
      </c>
      <c r="G362">
        <v>1353</v>
      </c>
      <c r="I362">
        <v>3072</v>
      </c>
      <c r="J362">
        <v>0</v>
      </c>
      <c r="K362">
        <v>0</v>
      </c>
      <c r="L362">
        <v>0</v>
      </c>
      <c r="M362">
        <v>0</v>
      </c>
      <c r="N362">
        <v>9044</v>
      </c>
      <c r="O362">
        <v>11304</v>
      </c>
      <c r="P362">
        <v>0</v>
      </c>
      <c r="R362">
        <v>0</v>
      </c>
      <c r="S362">
        <v>0</v>
      </c>
      <c r="T362" t="s">
        <v>115</v>
      </c>
      <c r="U362">
        <v>6</v>
      </c>
      <c r="V362" t="s">
        <v>87</v>
      </c>
      <c r="W362" t="s">
        <v>94</v>
      </c>
      <c r="X362" t="s">
        <v>154</v>
      </c>
      <c r="Y362" t="s">
        <v>89</v>
      </c>
      <c r="Z362">
        <v>1</v>
      </c>
      <c r="AA362">
        <f>IF(AND(D362&gt;=配装计算器!$I$29,D362&lt;=配装计算器!$I$30),1,0)</f>
        <v>1</v>
      </c>
      <c r="AB362">
        <f t="shared" si="92"/>
        <v>0</v>
      </c>
      <c r="AC362">
        <f t="shared" si="93"/>
        <v>0</v>
      </c>
      <c r="AD362">
        <f t="shared" si="94"/>
        <v>0</v>
      </c>
      <c r="AE362">
        <f t="shared" si="95"/>
        <v>0</v>
      </c>
      <c r="AF362">
        <f t="shared" si="96"/>
        <v>1</v>
      </c>
      <c r="AG362">
        <f t="shared" si="97"/>
        <v>1</v>
      </c>
      <c r="AH362">
        <f t="shared" si="98"/>
        <v>0</v>
      </c>
      <c r="AI362">
        <f t="shared" si="99"/>
        <v>0</v>
      </c>
      <c r="AJ362">
        <f t="shared" si="100"/>
        <v>1</v>
      </c>
      <c r="AK362">
        <f>SUM(AJ$2:$AJ362)</f>
        <v>361</v>
      </c>
    </row>
    <row r="363" spans="1:37">
      <c r="A363" t="s">
        <v>1167</v>
      </c>
      <c r="B363" t="s">
        <v>1192</v>
      </c>
      <c r="C363" t="s">
        <v>1193</v>
      </c>
      <c r="D363">
        <v>30200</v>
      </c>
      <c r="E363" t="s">
        <v>1194</v>
      </c>
      <c r="F363">
        <v>16580</v>
      </c>
      <c r="G363">
        <v>1353</v>
      </c>
      <c r="I363">
        <v>3072</v>
      </c>
      <c r="J363">
        <v>0</v>
      </c>
      <c r="K363">
        <v>0</v>
      </c>
      <c r="L363">
        <v>0</v>
      </c>
      <c r="M363">
        <v>0</v>
      </c>
      <c r="N363">
        <v>9044</v>
      </c>
      <c r="O363">
        <v>11304</v>
      </c>
      <c r="P363">
        <v>0</v>
      </c>
      <c r="R363">
        <v>0</v>
      </c>
      <c r="S363">
        <v>0</v>
      </c>
      <c r="T363" t="s">
        <v>115</v>
      </c>
      <c r="U363">
        <v>6</v>
      </c>
      <c r="V363" t="s">
        <v>87</v>
      </c>
      <c r="W363" t="s">
        <v>94</v>
      </c>
      <c r="X363" t="s">
        <v>154</v>
      </c>
      <c r="Y363" t="s">
        <v>89</v>
      </c>
      <c r="Z363">
        <v>1</v>
      </c>
      <c r="AA363">
        <f>IF(AND(D363&gt;=配装计算器!$I$29,D363&lt;=配装计算器!$I$30),1,0)</f>
        <v>1</v>
      </c>
      <c r="AB363">
        <f t="shared" si="92"/>
        <v>0</v>
      </c>
      <c r="AC363">
        <f t="shared" si="93"/>
        <v>0</v>
      </c>
      <c r="AD363">
        <f t="shared" si="94"/>
        <v>0</v>
      </c>
      <c r="AE363">
        <f t="shared" si="95"/>
        <v>0</v>
      </c>
      <c r="AF363">
        <f t="shared" si="96"/>
        <v>1</v>
      </c>
      <c r="AG363">
        <f t="shared" si="97"/>
        <v>1</v>
      </c>
      <c r="AH363">
        <f t="shared" si="98"/>
        <v>0</v>
      </c>
      <c r="AI363">
        <f t="shared" si="99"/>
        <v>0</v>
      </c>
      <c r="AJ363">
        <f t="shared" si="100"/>
        <v>1</v>
      </c>
      <c r="AK363">
        <f>SUM(AJ$2:$AJ363)</f>
        <v>362</v>
      </c>
    </row>
    <row r="364" spans="1:37">
      <c r="A364" t="s">
        <v>1167</v>
      </c>
      <c r="B364" t="s">
        <v>1195</v>
      </c>
      <c r="C364" t="s">
        <v>1196</v>
      </c>
      <c r="D364">
        <v>30200</v>
      </c>
      <c r="E364" t="s">
        <v>1197</v>
      </c>
      <c r="F364">
        <v>16580</v>
      </c>
      <c r="G364">
        <v>1353</v>
      </c>
      <c r="I364">
        <v>3072</v>
      </c>
      <c r="J364">
        <v>0</v>
      </c>
      <c r="K364">
        <v>0</v>
      </c>
      <c r="L364">
        <v>11304</v>
      </c>
      <c r="M364">
        <v>0</v>
      </c>
      <c r="N364">
        <v>9044</v>
      </c>
      <c r="O364">
        <v>0</v>
      </c>
      <c r="P364">
        <v>0</v>
      </c>
      <c r="R364">
        <v>0</v>
      </c>
      <c r="S364">
        <v>0</v>
      </c>
      <c r="T364" t="s">
        <v>122</v>
      </c>
      <c r="U364">
        <v>6</v>
      </c>
      <c r="V364" t="s">
        <v>87</v>
      </c>
      <c r="W364" t="s">
        <v>88</v>
      </c>
      <c r="X364" t="s">
        <v>94</v>
      </c>
      <c r="Y364" t="s">
        <v>89</v>
      </c>
      <c r="Z364">
        <v>1</v>
      </c>
      <c r="AA364">
        <f>IF(AND(D364&gt;=配装计算器!$I$29,D364&lt;=配装计算器!$I$30),1,0)</f>
        <v>1</v>
      </c>
      <c r="AB364">
        <f t="shared" si="92"/>
        <v>0</v>
      </c>
      <c r="AC364">
        <f t="shared" si="93"/>
        <v>0</v>
      </c>
      <c r="AD364">
        <f t="shared" si="94"/>
        <v>1</v>
      </c>
      <c r="AE364">
        <f t="shared" si="95"/>
        <v>0</v>
      </c>
      <c r="AF364">
        <f t="shared" si="96"/>
        <v>1</v>
      </c>
      <c r="AG364">
        <f t="shared" si="97"/>
        <v>0</v>
      </c>
      <c r="AH364">
        <f t="shared" si="98"/>
        <v>0</v>
      </c>
      <c r="AI364">
        <f t="shared" si="99"/>
        <v>0</v>
      </c>
      <c r="AJ364">
        <f t="shared" si="100"/>
        <v>1</v>
      </c>
      <c r="AK364">
        <f>SUM(AJ$2:$AJ364)</f>
        <v>363</v>
      </c>
    </row>
    <row r="365" spans="1:37">
      <c r="A365" t="s">
        <v>1167</v>
      </c>
      <c r="B365" t="s">
        <v>1198</v>
      </c>
      <c r="C365" t="s">
        <v>1199</v>
      </c>
      <c r="D365">
        <v>30200</v>
      </c>
      <c r="E365" t="s">
        <v>1200</v>
      </c>
      <c r="F365">
        <v>16580</v>
      </c>
      <c r="G365">
        <v>1353</v>
      </c>
      <c r="I365">
        <v>3072</v>
      </c>
      <c r="J365">
        <v>11304</v>
      </c>
      <c r="K365">
        <v>0</v>
      </c>
      <c r="L365">
        <v>0</v>
      </c>
      <c r="M365">
        <v>0</v>
      </c>
      <c r="N365">
        <v>9044</v>
      </c>
      <c r="O365">
        <v>0</v>
      </c>
      <c r="P365">
        <v>0</v>
      </c>
      <c r="R365">
        <v>0</v>
      </c>
      <c r="S365">
        <v>0</v>
      </c>
      <c r="T365" t="s">
        <v>102</v>
      </c>
      <c r="U365">
        <v>6</v>
      </c>
      <c r="V365" t="s">
        <v>130</v>
      </c>
      <c r="W365" t="s">
        <v>94</v>
      </c>
      <c r="X365" t="s">
        <v>185</v>
      </c>
      <c r="Y365" t="s">
        <v>89</v>
      </c>
      <c r="Z365">
        <v>1</v>
      </c>
      <c r="AA365">
        <f>IF(AND(D365&gt;=配装计算器!$I$29,D365&lt;=配装计算器!$I$30),1,0)</f>
        <v>1</v>
      </c>
      <c r="AB365">
        <f t="shared" si="92"/>
        <v>1</v>
      </c>
      <c r="AC365">
        <f t="shared" si="93"/>
        <v>0</v>
      </c>
      <c r="AD365">
        <f t="shared" si="94"/>
        <v>0</v>
      </c>
      <c r="AE365">
        <f t="shared" si="95"/>
        <v>0</v>
      </c>
      <c r="AF365">
        <f t="shared" si="96"/>
        <v>1</v>
      </c>
      <c r="AG365">
        <f t="shared" si="97"/>
        <v>0</v>
      </c>
      <c r="AH365">
        <f t="shared" si="98"/>
        <v>0</v>
      </c>
      <c r="AI365">
        <f t="shared" si="99"/>
        <v>0</v>
      </c>
      <c r="AJ365">
        <f t="shared" si="100"/>
        <v>1</v>
      </c>
      <c r="AK365">
        <f>SUM(AJ$2:$AJ365)</f>
        <v>364</v>
      </c>
    </row>
    <row r="366" spans="1:37">
      <c r="A366" t="s">
        <v>1167</v>
      </c>
      <c r="B366" t="s">
        <v>1201</v>
      </c>
      <c r="C366" t="s">
        <v>1202</v>
      </c>
      <c r="D366">
        <v>30200</v>
      </c>
      <c r="E366" t="s">
        <v>1203</v>
      </c>
      <c r="F366">
        <v>16580</v>
      </c>
      <c r="G366">
        <v>1353</v>
      </c>
      <c r="I366">
        <v>3072</v>
      </c>
      <c r="J366">
        <v>0</v>
      </c>
      <c r="K366">
        <v>0</v>
      </c>
      <c r="L366">
        <v>0</v>
      </c>
      <c r="M366">
        <v>0</v>
      </c>
      <c r="N366">
        <v>9044</v>
      </c>
      <c r="O366">
        <v>11304</v>
      </c>
      <c r="P366">
        <v>0</v>
      </c>
      <c r="R366">
        <v>0</v>
      </c>
      <c r="S366">
        <v>0</v>
      </c>
      <c r="T366" t="s">
        <v>115</v>
      </c>
      <c r="U366">
        <v>6</v>
      </c>
      <c r="V366" t="s">
        <v>269</v>
      </c>
      <c r="W366" t="s">
        <v>94</v>
      </c>
      <c r="X366" t="s">
        <v>154</v>
      </c>
      <c r="Y366" t="s">
        <v>89</v>
      </c>
      <c r="Z366">
        <v>1</v>
      </c>
      <c r="AA366">
        <f>IF(AND(D366&gt;=配装计算器!$I$29,D366&lt;=配装计算器!$I$30),1,0)</f>
        <v>1</v>
      </c>
      <c r="AB366">
        <f t="shared" si="92"/>
        <v>0</v>
      </c>
      <c r="AC366">
        <f t="shared" si="93"/>
        <v>0</v>
      </c>
      <c r="AD366">
        <f t="shared" si="94"/>
        <v>0</v>
      </c>
      <c r="AE366">
        <f t="shared" si="95"/>
        <v>0</v>
      </c>
      <c r="AF366">
        <f t="shared" si="96"/>
        <v>1</v>
      </c>
      <c r="AG366">
        <f t="shared" si="97"/>
        <v>1</v>
      </c>
      <c r="AH366">
        <f t="shared" si="98"/>
        <v>0</v>
      </c>
      <c r="AI366">
        <f t="shared" si="99"/>
        <v>0</v>
      </c>
      <c r="AJ366">
        <f t="shared" si="100"/>
        <v>1</v>
      </c>
      <c r="AK366">
        <f>SUM(AJ$2:$AJ366)</f>
        <v>365</v>
      </c>
    </row>
    <row r="367" spans="1:37">
      <c r="A367" t="s">
        <v>1167</v>
      </c>
      <c r="B367" t="s">
        <v>1204</v>
      </c>
      <c r="C367" t="s">
        <v>1205</v>
      </c>
      <c r="D367">
        <v>30700</v>
      </c>
      <c r="E367" t="s">
        <v>1206</v>
      </c>
      <c r="F367">
        <v>16854</v>
      </c>
      <c r="G367">
        <v>1277</v>
      </c>
      <c r="I367">
        <v>2082</v>
      </c>
      <c r="J367">
        <v>0</v>
      </c>
      <c r="K367">
        <v>0</v>
      </c>
      <c r="L367">
        <v>11492</v>
      </c>
      <c r="M367">
        <v>0</v>
      </c>
      <c r="N367">
        <v>0</v>
      </c>
      <c r="O367">
        <v>0</v>
      </c>
      <c r="P367">
        <v>4597</v>
      </c>
      <c r="R367">
        <v>0</v>
      </c>
      <c r="S367">
        <v>0</v>
      </c>
      <c r="T367" t="s">
        <v>86</v>
      </c>
      <c r="U367">
        <v>6</v>
      </c>
      <c r="V367" t="s">
        <v>145</v>
      </c>
      <c r="W367" t="s">
        <v>88</v>
      </c>
      <c r="X367" t="s">
        <v>229</v>
      </c>
      <c r="Y367" t="s">
        <v>89</v>
      </c>
      <c r="Z367">
        <v>2</v>
      </c>
      <c r="AA367">
        <f>IF(AND(D367&gt;=配装计算器!$I$29,D367&lt;=配装计算器!$I$30),1,0)</f>
        <v>1</v>
      </c>
      <c r="AB367">
        <f t="shared" si="92"/>
        <v>0</v>
      </c>
      <c r="AC367">
        <f t="shared" si="93"/>
        <v>0</v>
      </c>
      <c r="AD367">
        <f t="shared" si="94"/>
        <v>1</v>
      </c>
      <c r="AE367">
        <f t="shared" si="95"/>
        <v>0</v>
      </c>
      <c r="AF367">
        <f t="shared" si="96"/>
        <v>0</v>
      </c>
      <c r="AG367">
        <f t="shared" si="97"/>
        <v>0</v>
      </c>
      <c r="AH367">
        <f t="shared" si="98"/>
        <v>1</v>
      </c>
      <c r="AI367">
        <f t="shared" si="99"/>
        <v>0</v>
      </c>
      <c r="AJ367">
        <f t="shared" si="100"/>
        <v>1</v>
      </c>
      <c r="AK367">
        <f>SUM(AJ$2:$AJ367)</f>
        <v>366</v>
      </c>
    </row>
    <row r="368" spans="1:37">
      <c r="A368" t="s">
        <v>1167</v>
      </c>
      <c r="B368" t="s">
        <v>1207</v>
      </c>
      <c r="C368" t="s">
        <v>1208</v>
      </c>
      <c r="D368">
        <v>30700</v>
      </c>
      <c r="E368" t="s">
        <v>1209</v>
      </c>
      <c r="F368">
        <v>16854</v>
      </c>
      <c r="G368">
        <v>1375</v>
      </c>
      <c r="I368">
        <v>3123</v>
      </c>
      <c r="J368">
        <v>0</v>
      </c>
      <c r="K368">
        <v>0</v>
      </c>
      <c r="L368">
        <v>11492</v>
      </c>
      <c r="M368">
        <v>0</v>
      </c>
      <c r="N368">
        <v>9193</v>
      </c>
      <c r="O368">
        <v>0</v>
      </c>
      <c r="P368">
        <v>0</v>
      </c>
      <c r="R368">
        <v>0</v>
      </c>
      <c r="S368">
        <v>0</v>
      </c>
      <c r="T368" t="s">
        <v>122</v>
      </c>
      <c r="U368">
        <v>6</v>
      </c>
      <c r="V368" t="s">
        <v>327</v>
      </c>
      <c r="W368" t="s">
        <v>88</v>
      </c>
      <c r="X368" t="s">
        <v>94</v>
      </c>
      <c r="Y368" t="s">
        <v>89</v>
      </c>
      <c r="Z368">
        <v>1</v>
      </c>
      <c r="AA368">
        <f>IF(AND(D368&gt;=配装计算器!$I$29,D368&lt;=配装计算器!$I$30),1,0)</f>
        <v>1</v>
      </c>
      <c r="AB368">
        <f t="shared" si="92"/>
        <v>0</v>
      </c>
      <c r="AC368">
        <f t="shared" si="93"/>
        <v>0</v>
      </c>
      <c r="AD368">
        <f t="shared" si="94"/>
        <v>1</v>
      </c>
      <c r="AE368">
        <f t="shared" si="95"/>
        <v>0</v>
      </c>
      <c r="AF368">
        <f t="shared" si="96"/>
        <v>1</v>
      </c>
      <c r="AG368">
        <f t="shared" si="97"/>
        <v>0</v>
      </c>
      <c r="AH368">
        <f t="shared" si="98"/>
        <v>0</v>
      </c>
      <c r="AI368">
        <f t="shared" si="99"/>
        <v>0</v>
      </c>
      <c r="AJ368">
        <f t="shared" si="100"/>
        <v>1</v>
      </c>
      <c r="AK368">
        <f>SUM(AJ$2:$AJ368)</f>
        <v>367</v>
      </c>
    </row>
    <row r="369" spans="1:37">
      <c r="A369" t="s">
        <v>1167</v>
      </c>
      <c r="B369" t="s">
        <v>1210</v>
      </c>
      <c r="C369" t="s">
        <v>1211</v>
      </c>
      <c r="D369">
        <v>35300</v>
      </c>
      <c r="E369" t="s">
        <v>1212</v>
      </c>
      <c r="F369">
        <v>19380</v>
      </c>
      <c r="G369">
        <v>1581</v>
      </c>
      <c r="I369">
        <v>3591</v>
      </c>
      <c r="J369">
        <v>13213</v>
      </c>
      <c r="K369">
        <v>0</v>
      </c>
      <c r="L369">
        <v>0</v>
      </c>
      <c r="M369">
        <v>0</v>
      </c>
      <c r="N369">
        <v>10571</v>
      </c>
      <c r="O369">
        <v>0</v>
      </c>
      <c r="P369">
        <v>0</v>
      </c>
      <c r="R369">
        <v>0</v>
      </c>
      <c r="S369">
        <v>0</v>
      </c>
      <c r="T369" t="s">
        <v>102</v>
      </c>
      <c r="U369">
        <v>6</v>
      </c>
      <c r="V369" t="s">
        <v>240</v>
      </c>
      <c r="W369" t="s">
        <v>94</v>
      </c>
      <c r="X369" t="s">
        <v>185</v>
      </c>
      <c r="Y369" t="s">
        <v>89</v>
      </c>
      <c r="Z369">
        <v>1</v>
      </c>
      <c r="AA369">
        <f>IF(AND(D369&gt;=配装计算器!$I$29,D369&lt;=配装计算器!$I$30),1,0)</f>
        <v>1</v>
      </c>
      <c r="AB369">
        <f t="shared" si="92"/>
        <v>1</v>
      </c>
      <c r="AC369">
        <f t="shared" si="93"/>
        <v>0</v>
      </c>
      <c r="AD369">
        <f t="shared" si="94"/>
        <v>0</v>
      </c>
      <c r="AE369">
        <f t="shared" si="95"/>
        <v>0</v>
      </c>
      <c r="AF369">
        <f t="shared" si="96"/>
        <v>1</v>
      </c>
      <c r="AG369">
        <f t="shared" si="97"/>
        <v>0</v>
      </c>
      <c r="AH369">
        <f t="shared" si="98"/>
        <v>0</v>
      </c>
      <c r="AI369">
        <f t="shared" si="99"/>
        <v>0</v>
      </c>
      <c r="AJ369">
        <f t="shared" si="100"/>
        <v>1</v>
      </c>
      <c r="AK369">
        <f>SUM(AJ$2:$AJ369)</f>
        <v>368</v>
      </c>
    </row>
    <row r="370" spans="1:37">
      <c r="A370" t="s">
        <v>1167</v>
      </c>
      <c r="B370" t="s">
        <v>1213</v>
      </c>
      <c r="C370" t="s">
        <v>1214</v>
      </c>
      <c r="D370">
        <v>35300</v>
      </c>
      <c r="E370" t="s">
        <v>1215</v>
      </c>
      <c r="F370">
        <v>19380</v>
      </c>
      <c r="G370">
        <v>1581</v>
      </c>
      <c r="I370">
        <v>3591</v>
      </c>
      <c r="J370">
        <v>0</v>
      </c>
      <c r="K370">
        <v>0</v>
      </c>
      <c r="L370">
        <v>0</v>
      </c>
      <c r="M370">
        <v>13213</v>
      </c>
      <c r="N370">
        <v>10571</v>
      </c>
      <c r="O370">
        <v>0</v>
      </c>
      <c r="P370">
        <v>0</v>
      </c>
      <c r="R370">
        <v>0</v>
      </c>
      <c r="S370">
        <v>0</v>
      </c>
      <c r="T370" t="s">
        <v>107</v>
      </c>
      <c r="U370">
        <v>6</v>
      </c>
      <c r="V370" t="s">
        <v>103</v>
      </c>
      <c r="W370" t="s">
        <v>154</v>
      </c>
      <c r="X370" t="s">
        <v>94</v>
      </c>
      <c r="Y370" t="s">
        <v>89</v>
      </c>
      <c r="Z370">
        <v>1</v>
      </c>
      <c r="AA370">
        <f>IF(AND(D370&gt;=配装计算器!$I$29,D370&lt;=配装计算器!$I$30),1,0)</f>
        <v>1</v>
      </c>
      <c r="AB370">
        <f t="shared" ref="AB370" si="128">IF(J370&gt;0,1,0)</f>
        <v>0</v>
      </c>
      <c r="AC370">
        <f t="shared" ref="AC370" si="129">IF(K370&gt;0,1,0)</f>
        <v>0</v>
      </c>
      <c r="AD370">
        <f t="shared" ref="AD370" si="130">IF(L370&gt;0,1,0)</f>
        <v>0</v>
      </c>
      <c r="AE370">
        <f t="shared" ref="AE370" si="131">IF(M370&gt;0,1,0)</f>
        <v>1</v>
      </c>
      <c r="AF370">
        <f t="shared" ref="AF370" si="132">IF(N370&gt;0,1,0)</f>
        <v>1</v>
      </c>
      <c r="AG370">
        <f t="shared" ref="AG370" si="133">IF(O370&gt;0,1,0)</f>
        <v>0</v>
      </c>
      <c r="AH370">
        <f t="shared" ref="AH370" si="134">IF(P370&gt;0,1,0)</f>
        <v>0</v>
      </c>
      <c r="AI370">
        <f t="shared" ref="AI370" si="135">IF(COUNTIF(T370,"*"&amp;"精简"&amp;"*")&gt;0,1,0)</f>
        <v>0</v>
      </c>
      <c r="AJ370">
        <f t="shared" ref="AJ370" si="136">MIN(1,AA370*($AY$2+IF(AND(AB370&gt;=$AQ$3,AC370&gt;=$AR$3,AD370&gt;=$AS$3,AE370&gt;=$AT$3,AF370&gt;=$AU$3,AG370&gt;=$AV$3,AH370&gt;=$AW$3,AI370&gt;=$AX$3),1,0)))</f>
        <v>1</v>
      </c>
      <c r="AK370">
        <f>SUM(AJ$2:$AJ370)</f>
        <v>369</v>
      </c>
    </row>
    <row r="371" spans="1:37">
      <c r="A371" t="s">
        <v>1167</v>
      </c>
      <c r="B371" t="s">
        <v>1216</v>
      </c>
      <c r="C371" t="s">
        <v>1217</v>
      </c>
      <c r="D371">
        <v>35300</v>
      </c>
      <c r="E371" t="s">
        <v>1218</v>
      </c>
      <c r="F371">
        <v>19380</v>
      </c>
      <c r="G371">
        <v>1581</v>
      </c>
      <c r="I371">
        <v>3591</v>
      </c>
      <c r="J371">
        <v>0</v>
      </c>
      <c r="K371">
        <v>0</v>
      </c>
      <c r="L371">
        <v>0</v>
      </c>
      <c r="M371">
        <v>13213</v>
      </c>
      <c r="N371">
        <v>10571</v>
      </c>
      <c r="O371">
        <v>0</v>
      </c>
      <c r="P371">
        <v>0</v>
      </c>
      <c r="R371">
        <v>0</v>
      </c>
      <c r="S371">
        <v>0</v>
      </c>
      <c r="T371" t="s">
        <v>107</v>
      </c>
      <c r="U371">
        <v>6</v>
      </c>
      <c r="V371" t="s">
        <v>87</v>
      </c>
      <c r="W371" t="s">
        <v>154</v>
      </c>
      <c r="X371" t="s">
        <v>94</v>
      </c>
      <c r="Y371" t="s">
        <v>89</v>
      </c>
      <c r="Z371">
        <v>1</v>
      </c>
      <c r="AA371">
        <f>IF(AND(D371&gt;=配装计算器!$I$29,D371&lt;=配装计算器!$I$30),1,0)</f>
        <v>1</v>
      </c>
      <c r="AB371">
        <f t="shared" si="92"/>
        <v>0</v>
      </c>
      <c r="AC371">
        <f t="shared" si="93"/>
        <v>0</v>
      </c>
      <c r="AD371">
        <f t="shared" si="94"/>
        <v>0</v>
      </c>
      <c r="AE371">
        <f t="shared" si="95"/>
        <v>1</v>
      </c>
      <c r="AF371">
        <f t="shared" si="96"/>
        <v>1</v>
      </c>
      <c r="AG371">
        <f t="shared" si="97"/>
        <v>0</v>
      </c>
      <c r="AH371">
        <f t="shared" si="98"/>
        <v>0</v>
      </c>
      <c r="AI371">
        <f t="shared" si="99"/>
        <v>0</v>
      </c>
      <c r="AJ371">
        <f t="shared" si="100"/>
        <v>1</v>
      </c>
      <c r="AK371">
        <f>SUM(AJ$2:$AJ371)</f>
        <v>370</v>
      </c>
    </row>
    <row r="372" spans="1:37">
      <c r="A372" t="s">
        <v>1167</v>
      </c>
      <c r="B372" t="s">
        <v>1219</v>
      </c>
      <c r="C372" t="s">
        <v>1220</v>
      </c>
      <c r="D372">
        <v>35300</v>
      </c>
      <c r="E372" t="s">
        <v>1221</v>
      </c>
      <c r="F372">
        <v>19380</v>
      </c>
      <c r="G372">
        <v>1581</v>
      </c>
      <c r="I372">
        <v>3591</v>
      </c>
      <c r="J372">
        <v>0</v>
      </c>
      <c r="K372">
        <v>0</v>
      </c>
      <c r="L372">
        <v>0</v>
      </c>
      <c r="M372">
        <v>0</v>
      </c>
      <c r="N372">
        <v>10571</v>
      </c>
      <c r="O372">
        <v>13213</v>
      </c>
      <c r="P372">
        <v>0</v>
      </c>
      <c r="R372">
        <v>0</v>
      </c>
      <c r="S372">
        <v>0</v>
      </c>
      <c r="T372" t="s">
        <v>115</v>
      </c>
      <c r="U372">
        <v>6</v>
      </c>
      <c r="V372" t="s">
        <v>87</v>
      </c>
      <c r="W372" t="s">
        <v>94</v>
      </c>
      <c r="X372" t="s">
        <v>154</v>
      </c>
      <c r="Y372" t="s">
        <v>89</v>
      </c>
      <c r="Z372">
        <v>1</v>
      </c>
      <c r="AA372">
        <f>IF(AND(D372&gt;=配装计算器!$I$29,D372&lt;=配装计算器!$I$30),1,0)</f>
        <v>1</v>
      </c>
      <c r="AB372">
        <f t="shared" si="92"/>
        <v>0</v>
      </c>
      <c r="AC372">
        <f t="shared" si="93"/>
        <v>0</v>
      </c>
      <c r="AD372">
        <f t="shared" si="94"/>
        <v>0</v>
      </c>
      <c r="AE372">
        <f t="shared" si="95"/>
        <v>0</v>
      </c>
      <c r="AF372">
        <f t="shared" si="96"/>
        <v>1</v>
      </c>
      <c r="AG372">
        <f t="shared" si="97"/>
        <v>1</v>
      </c>
      <c r="AH372">
        <f t="shared" si="98"/>
        <v>0</v>
      </c>
      <c r="AI372">
        <f t="shared" si="99"/>
        <v>0</v>
      </c>
      <c r="AJ372">
        <f t="shared" si="100"/>
        <v>1</v>
      </c>
      <c r="AK372">
        <f>SUM(AJ$2:$AJ372)</f>
        <v>371</v>
      </c>
    </row>
    <row r="373" spans="1:37">
      <c r="A373" t="s">
        <v>1167</v>
      </c>
      <c r="B373" t="s">
        <v>1222</v>
      </c>
      <c r="C373" t="s">
        <v>1223</v>
      </c>
      <c r="D373">
        <v>35300</v>
      </c>
      <c r="E373" t="s">
        <v>1224</v>
      </c>
      <c r="F373">
        <v>19380</v>
      </c>
      <c r="G373">
        <v>1581</v>
      </c>
      <c r="I373">
        <v>3591</v>
      </c>
      <c r="J373">
        <v>13213</v>
      </c>
      <c r="K373">
        <v>0</v>
      </c>
      <c r="L373">
        <v>0</v>
      </c>
      <c r="M373">
        <v>0</v>
      </c>
      <c r="N373">
        <v>10571</v>
      </c>
      <c r="O373">
        <v>0</v>
      </c>
      <c r="P373">
        <v>0</v>
      </c>
      <c r="R373">
        <v>0</v>
      </c>
      <c r="S373">
        <v>0</v>
      </c>
      <c r="T373" t="s">
        <v>102</v>
      </c>
      <c r="U373">
        <v>6</v>
      </c>
      <c r="V373" t="s">
        <v>130</v>
      </c>
      <c r="W373" t="s">
        <v>94</v>
      </c>
      <c r="X373" t="s">
        <v>185</v>
      </c>
      <c r="Y373" t="s">
        <v>89</v>
      </c>
      <c r="Z373">
        <v>1</v>
      </c>
      <c r="AA373">
        <f>IF(AND(D373&gt;=配装计算器!$I$29,D373&lt;=配装计算器!$I$30),1,0)</f>
        <v>1</v>
      </c>
      <c r="AB373">
        <f t="shared" si="92"/>
        <v>1</v>
      </c>
      <c r="AC373">
        <f t="shared" si="93"/>
        <v>0</v>
      </c>
      <c r="AD373">
        <f t="shared" si="94"/>
        <v>0</v>
      </c>
      <c r="AE373">
        <f t="shared" si="95"/>
        <v>0</v>
      </c>
      <c r="AF373">
        <f t="shared" si="96"/>
        <v>1</v>
      </c>
      <c r="AG373">
        <f t="shared" si="97"/>
        <v>0</v>
      </c>
      <c r="AH373">
        <f t="shared" si="98"/>
        <v>0</v>
      </c>
      <c r="AI373">
        <f t="shared" si="99"/>
        <v>0</v>
      </c>
      <c r="AJ373">
        <f t="shared" si="100"/>
        <v>1</v>
      </c>
      <c r="AK373">
        <f>SUM(AJ$2:$AJ373)</f>
        <v>372</v>
      </c>
    </row>
    <row r="374" spans="1:37">
      <c r="A374" t="s">
        <v>1167</v>
      </c>
      <c r="B374" t="s">
        <v>1225</v>
      </c>
      <c r="C374" t="s">
        <v>1226</v>
      </c>
      <c r="D374">
        <v>35300</v>
      </c>
      <c r="E374" t="s">
        <v>1227</v>
      </c>
      <c r="F374">
        <v>19380</v>
      </c>
      <c r="G374">
        <v>1581</v>
      </c>
      <c r="I374">
        <v>3591</v>
      </c>
      <c r="J374">
        <v>0</v>
      </c>
      <c r="K374">
        <v>0</v>
      </c>
      <c r="L374">
        <v>0</v>
      </c>
      <c r="M374">
        <v>0</v>
      </c>
      <c r="N374">
        <v>10571</v>
      </c>
      <c r="O374">
        <v>13213</v>
      </c>
      <c r="P374">
        <v>0</v>
      </c>
      <c r="R374">
        <v>0</v>
      </c>
      <c r="S374">
        <v>0</v>
      </c>
      <c r="T374" t="s">
        <v>115</v>
      </c>
      <c r="U374">
        <v>6</v>
      </c>
      <c r="V374" t="s">
        <v>269</v>
      </c>
      <c r="W374" t="s">
        <v>94</v>
      </c>
      <c r="X374" t="s">
        <v>154</v>
      </c>
      <c r="Y374" t="s">
        <v>89</v>
      </c>
      <c r="Z374">
        <v>1</v>
      </c>
      <c r="AA374">
        <f>IF(AND(D374&gt;=配装计算器!$I$29,D374&lt;=配装计算器!$I$30),1,0)</f>
        <v>1</v>
      </c>
      <c r="AB374">
        <f t="shared" si="92"/>
        <v>0</v>
      </c>
      <c r="AC374">
        <f t="shared" si="93"/>
        <v>0</v>
      </c>
      <c r="AD374">
        <f t="shared" si="94"/>
        <v>0</v>
      </c>
      <c r="AE374">
        <f t="shared" si="95"/>
        <v>0</v>
      </c>
      <c r="AF374">
        <f t="shared" si="96"/>
        <v>1</v>
      </c>
      <c r="AG374">
        <f t="shared" si="97"/>
        <v>1</v>
      </c>
      <c r="AH374">
        <f t="shared" si="98"/>
        <v>0</v>
      </c>
      <c r="AI374">
        <f t="shared" si="99"/>
        <v>0</v>
      </c>
      <c r="AJ374">
        <f t="shared" si="100"/>
        <v>1</v>
      </c>
      <c r="AK374">
        <f>SUM(AJ$2:$AJ374)</f>
        <v>373</v>
      </c>
    </row>
    <row r="375" spans="1:37">
      <c r="A375" t="s">
        <v>1167</v>
      </c>
      <c r="B375" t="s">
        <v>1228</v>
      </c>
      <c r="C375" t="s">
        <v>1229</v>
      </c>
      <c r="D375">
        <v>35900</v>
      </c>
      <c r="E375" t="s">
        <v>1230</v>
      </c>
      <c r="F375">
        <v>19709</v>
      </c>
      <c r="G375">
        <v>1608</v>
      </c>
      <c r="I375">
        <v>3652</v>
      </c>
      <c r="J375">
        <v>0</v>
      </c>
      <c r="K375">
        <v>0</v>
      </c>
      <c r="L375">
        <v>13438</v>
      </c>
      <c r="M375">
        <v>0</v>
      </c>
      <c r="N375">
        <v>10750</v>
      </c>
      <c r="O375">
        <v>0</v>
      </c>
      <c r="P375">
        <v>0</v>
      </c>
      <c r="R375">
        <v>0</v>
      </c>
      <c r="S375">
        <v>0</v>
      </c>
      <c r="T375" t="s">
        <v>122</v>
      </c>
      <c r="U375">
        <v>6</v>
      </c>
      <c r="V375" t="s">
        <v>327</v>
      </c>
      <c r="W375" t="s">
        <v>88</v>
      </c>
      <c r="X375" t="s">
        <v>94</v>
      </c>
      <c r="Y375" t="s">
        <v>89</v>
      </c>
      <c r="Z375">
        <v>1</v>
      </c>
      <c r="AA375">
        <f>IF(AND(D375&gt;=配装计算器!$I$29,D375&lt;=配装计算器!$I$30),1,0)</f>
        <v>1</v>
      </c>
      <c r="AB375">
        <f t="shared" si="92"/>
        <v>0</v>
      </c>
      <c r="AC375">
        <f t="shared" si="93"/>
        <v>0</v>
      </c>
      <c r="AD375">
        <f t="shared" si="94"/>
        <v>1</v>
      </c>
      <c r="AE375">
        <f t="shared" si="95"/>
        <v>0</v>
      </c>
      <c r="AF375">
        <f t="shared" si="96"/>
        <v>1</v>
      </c>
      <c r="AG375">
        <f t="shared" si="97"/>
        <v>0</v>
      </c>
      <c r="AH375">
        <f t="shared" si="98"/>
        <v>0</v>
      </c>
      <c r="AI375">
        <f t="shared" si="99"/>
        <v>0</v>
      </c>
      <c r="AJ375">
        <f t="shared" si="100"/>
        <v>1</v>
      </c>
      <c r="AK375">
        <f>SUM(AJ$2:$AJ375)</f>
        <v>374</v>
      </c>
    </row>
    <row r="376" spans="1:37">
      <c r="A376" t="s">
        <v>1167</v>
      </c>
      <c r="B376" t="s">
        <v>1231</v>
      </c>
      <c r="C376" t="s">
        <v>1232</v>
      </c>
      <c r="D376">
        <v>36200</v>
      </c>
      <c r="E376" t="s">
        <v>1233</v>
      </c>
      <c r="F376">
        <v>19874</v>
      </c>
      <c r="G376">
        <v>1506</v>
      </c>
      <c r="I376">
        <v>2455</v>
      </c>
      <c r="J376">
        <v>0</v>
      </c>
      <c r="K376">
        <v>0</v>
      </c>
      <c r="L376">
        <v>13550</v>
      </c>
      <c r="M376">
        <v>0</v>
      </c>
      <c r="N376">
        <v>0</v>
      </c>
      <c r="O376">
        <v>0</v>
      </c>
      <c r="P376">
        <v>5420</v>
      </c>
      <c r="R376">
        <v>0</v>
      </c>
      <c r="S376">
        <v>0</v>
      </c>
      <c r="T376" t="s">
        <v>86</v>
      </c>
      <c r="U376">
        <v>6</v>
      </c>
      <c r="V376" t="s">
        <v>145</v>
      </c>
      <c r="W376" t="s">
        <v>88</v>
      </c>
      <c r="X376" t="s">
        <v>229</v>
      </c>
      <c r="Y376" t="s">
        <v>89</v>
      </c>
      <c r="Z376">
        <v>2</v>
      </c>
      <c r="AA376">
        <f>IF(AND(D376&gt;=配装计算器!$I$29,D376&lt;=配装计算器!$I$30),1,0)</f>
        <v>1</v>
      </c>
      <c r="AB376">
        <f t="shared" si="92"/>
        <v>0</v>
      </c>
      <c r="AC376">
        <f t="shared" si="93"/>
        <v>0</v>
      </c>
      <c r="AD376">
        <f t="shared" si="94"/>
        <v>1</v>
      </c>
      <c r="AE376">
        <f t="shared" si="95"/>
        <v>0</v>
      </c>
      <c r="AF376">
        <f t="shared" si="96"/>
        <v>0</v>
      </c>
      <c r="AG376">
        <f t="shared" si="97"/>
        <v>0</v>
      </c>
      <c r="AH376">
        <f t="shared" si="98"/>
        <v>1</v>
      </c>
      <c r="AI376">
        <f t="shared" si="99"/>
        <v>0</v>
      </c>
      <c r="AJ376">
        <f t="shared" si="100"/>
        <v>1</v>
      </c>
      <c r="AK376">
        <f>SUM(AJ$2:$AJ376)</f>
        <v>375</v>
      </c>
    </row>
    <row r="377" spans="1:37">
      <c r="A377" t="s">
        <v>1167</v>
      </c>
      <c r="B377" t="s">
        <v>1234</v>
      </c>
      <c r="C377" t="s">
        <v>1235</v>
      </c>
      <c r="D377">
        <v>41400</v>
      </c>
      <c r="E377" t="s">
        <v>1236</v>
      </c>
      <c r="F377">
        <v>22729</v>
      </c>
      <c r="G377">
        <v>1854</v>
      </c>
      <c r="I377">
        <v>4211</v>
      </c>
      <c r="J377">
        <v>15497</v>
      </c>
      <c r="K377">
        <v>0</v>
      </c>
      <c r="L377">
        <v>0</v>
      </c>
      <c r="M377">
        <v>0</v>
      </c>
      <c r="N377">
        <v>12397</v>
      </c>
      <c r="O377">
        <v>0</v>
      </c>
      <c r="P377">
        <v>0</v>
      </c>
      <c r="R377">
        <v>0</v>
      </c>
      <c r="S377">
        <v>0</v>
      </c>
      <c r="T377" t="s">
        <v>102</v>
      </c>
      <c r="U377">
        <v>6</v>
      </c>
      <c r="V377" t="s">
        <v>240</v>
      </c>
      <c r="W377" t="s">
        <v>94</v>
      </c>
      <c r="X377" t="s">
        <v>185</v>
      </c>
      <c r="Y377" t="s">
        <v>89</v>
      </c>
      <c r="Z377">
        <v>1</v>
      </c>
      <c r="AA377">
        <f>IF(AND(D377&gt;=配装计算器!$I$29,D377&lt;=配装计算器!$I$30),1,0)</f>
        <v>1</v>
      </c>
      <c r="AB377">
        <f t="shared" si="92"/>
        <v>1</v>
      </c>
      <c r="AC377">
        <f t="shared" si="93"/>
        <v>0</v>
      </c>
      <c r="AD377">
        <f t="shared" si="94"/>
        <v>0</v>
      </c>
      <c r="AE377">
        <f t="shared" si="95"/>
        <v>0</v>
      </c>
      <c r="AF377">
        <f t="shared" si="96"/>
        <v>1</v>
      </c>
      <c r="AG377">
        <f t="shared" si="97"/>
        <v>0</v>
      </c>
      <c r="AH377">
        <f t="shared" si="98"/>
        <v>0</v>
      </c>
      <c r="AI377">
        <f t="shared" si="99"/>
        <v>0</v>
      </c>
      <c r="AJ377">
        <f t="shared" si="100"/>
        <v>1</v>
      </c>
      <c r="AK377">
        <f>SUM(AJ$2:$AJ377)</f>
        <v>376</v>
      </c>
    </row>
    <row r="378" spans="1:37">
      <c r="A378" t="s">
        <v>1167</v>
      </c>
      <c r="B378" t="s">
        <v>1237</v>
      </c>
      <c r="C378" t="s">
        <v>1238</v>
      </c>
      <c r="D378">
        <v>41400</v>
      </c>
      <c r="E378" t="s">
        <v>1239</v>
      </c>
      <c r="F378">
        <v>22729</v>
      </c>
      <c r="G378">
        <v>1854</v>
      </c>
      <c r="I378">
        <v>4211</v>
      </c>
      <c r="J378">
        <v>0</v>
      </c>
      <c r="K378">
        <v>0</v>
      </c>
      <c r="L378">
        <v>0</v>
      </c>
      <c r="M378">
        <v>15497</v>
      </c>
      <c r="N378">
        <v>12397</v>
      </c>
      <c r="O378">
        <v>0</v>
      </c>
      <c r="P378">
        <v>0</v>
      </c>
      <c r="R378">
        <v>0</v>
      </c>
      <c r="S378">
        <v>0</v>
      </c>
      <c r="T378" t="s">
        <v>107</v>
      </c>
      <c r="U378">
        <v>6</v>
      </c>
      <c r="V378" t="s">
        <v>87</v>
      </c>
      <c r="W378" t="s">
        <v>154</v>
      </c>
      <c r="X378" t="s">
        <v>94</v>
      </c>
      <c r="Y378" t="s">
        <v>89</v>
      </c>
      <c r="Z378">
        <v>1</v>
      </c>
      <c r="AA378">
        <f>IF(AND(D378&gt;=配装计算器!$I$29,D378&lt;=配装计算器!$I$30),1,0)</f>
        <v>1</v>
      </c>
      <c r="AB378">
        <f t="shared" si="92"/>
        <v>0</v>
      </c>
      <c r="AC378">
        <f t="shared" si="93"/>
        <v>0</v>
      </c>
      <c r="AD378">
        <f t="shared" si="94"/>
        <v>0</v>
      </c>
      <c r="AE378">
        <f t="shared" si="95"/>
        <v>1</v>
      </c>
      <c r="AF378">
        <f t="shared" si="96"/>
        <v>1</v>
      </c>
      <c r="AG378">
        <f t="shared" si="97"/>
        <v>0</v>
      </c>
      <c r="AH378">
        <f t="shared" si="98"/>
        <v>0</v>
      </c>
      <c r="AI378">
        <f t="shared" si="99"/>
        <v>0</v>
      </c>
      <c r="AJ378">
        <f t="shared" si="100"/>
        <v>1</v>
      </c>
      <c r="AK378">
        <f>SUM(AJ$2:$AJ378)</f>
        <v>377</v>
      </c>
    </row>
    <row r="379" spans="1:37">
      <c r="A379" t="s">
        <v>1167</v>
      </c>
      <c r="B379" t="s">
        <v>1240</v>
      </c>
      <c r="C379" t="s">
        <v>1241</v>
      </c>
      <c r="D379">
        <v>41400</v>
      </c>
      <c r="E379" t="s">
        <v>1242</v>
      </c>
      <c r="F379">
        <v>22729</v>
      </c>
      <c r="G379">
        <v>1854</v>
      </c>
      <c r="I379">
        <v>4211</v>
      </c>
      <c r="J379">
        <v>0</v>
      </c>
      <c r="K379">
        <v>0</v>
      </c>
      <c r="L379">
        <v>0</v>
      </c>
      <c r="M379">
        <v>0</v>
      </c>
      <c r="N379">
        <v>12397</v>
      </c>
      <c r="O379">
        <v>15497</v>
      </c>
      <c r="P379">
        <v>0</v>
      </c>
      <c r="R379">
        <v>0</v>
      </c>
      <c r="S379">
        <v>0</v>
      </c>
      <c r="T379" t="s">
        <v>115</v>
      </c>
      <c r="U379">
        <v>6</v>
      </c>
      <c r="V379" t="s">
        <v>87</v>
      </c>
      <c r="W379" t="s">
        <v>94</v>
      </c>
      <c r="X379" t="s">
        <v>154</v>
      </c>
      <c r="Y379" t="s">
        <v>89</v>
      </c>
      <c r="Z379">
        <v>1</v>
      </c>
      <c r="AA379">
        <f>IF(AND(D379&gt;=配装计算器!$I$29,D379&lt;=配装计算器!$I$30),1,0)</f>
        <v>1</v>
      </c>
      <c r="AB379">
        <f t="shared" si="92"/>
        <v>0</v>
      </c>
      <c r="AC379">
        <f t="shared" si="93"/>
        <v>0</v>
      </c>
      <c r="AD379">
        <f t="shared" si="94"/>
        <v>0</v>
      </c>
      <c r="AE379">
        <f t="shared" si="95"/>
        <v>0</v>
      </c>
      <c r="AF379">
        <f t="shared" si="96"/>
        <v>1</v>
      </c>
      <c r="AG379">
        <f t="shared" si="97"/>
        <v>1</v>
      </c>
      <c r="AH379">
        <f t="shared" si="98"/>
        <v>0</v>
      </c>
      <c r="AI379">
        <f t="shared" si="99"/>
        <v>0</v>
      </c>
      <c r="AJ379">
        <f t="shared" si="100"/>
        <v>1</v>
      </c>
      <c r="AK379">
        <f>SUM(AJ$2:$AJ379)</f>
        <v>378</v>
      </c>
    </row>
    <row r="380" spans="1:37">
      <c r="A380" t="s">
        <v>1167</v>
      </c>
      <c r="B380" t="s">
        <v>1243</v>
      </c>
      <c r="C380" t="s">
        <v>1244</v>
      </c>
      <c r="D380">
        <v>41400</v>
      </c>
      <c r="E380" t="s">
        <v>1245</v>
      </c>
      <c r="F380">
        <v>22729</v>
      </c>
      <c r="G380">
        <v>1854</v>
      </c>
      <c r="I380">
        <v>4211</v>
      </c>
      <c r="J380">
        <v>15497</v>
      </c>
      <c r="K380">
        <v>0</v>
      </c>
      <c r="L380">
        <v>0</v>
      </c>
      <c r="M380">
        <v>0</v>
      </c>
      <c r="N380">
        <v>12397</v>
      </c>
      <c r="O380">
        <v>0</v>
      </c>
      <c r="P380">
        <v>0</v>
      </c>
      <c r="R380">
        <v>0</v>
      </c>
      <c r="S380">
        <v>0</v>
      </c>
      <c r="T380" t="s">
        <v>102</v>
      </c>
      <c r="U380">
        <v>6</v>
      </c>
      <c r="V380" t="s">
        <v>130</v>
      </c>
      <c r="W380" t="s">
        <v>94</v>
      </c>
      <c r="X380" t="s">
        <v>185</v>
      </c>
      <c r="Y380" t="s">
        <v>89</v>
      </c>
      <c r="Z380">
        <v>1</v>
      </c>
      <c r="AA380">
        <f>IF(AND(D380&gt;=配装计算器!$I$29,D380&lt;=配装计算器!$I$30),1,0)</f>
        <v>1</v>
      </c>
      <c r="AB380">
        <f t="shared" ref="AB380" si="137">IF(J380&gt;0,1,0)</f>
        <v>1</v>
      </c>
      <c r="AC380">
        <f t="shared" ref="AC380" si="138">IF(K380&gt;0,1,0)</f>
        <v>0</v>
      </c>
      <c r="AD380">
        <f t="shared" ref="AD380" si="139">IF(L380&gt;0,1,0)</f>
        <v>0</v>
      </c>
      <c r="AE380">
        <f t="shared" ref="AE380" si="140">IF(M380&gt;0,1,0)</f>
        <v>0</v>
      </c>
      <c r="AF380">
        <f t="shared" ref="AF380" si="141">IF(N380&gt;0,1,0)</f>
        <v>1</v>
      </c>
      <c r="AG380">
        <f t="shared" ref="AG380" si="142">IF(O380&gt;0,1,0)</f>
        <v>0</v>
      </c>
      <c r="AH380">
        <f t="shared" ref="AH380" si="143">IF(P380&gt;0,1,0)</f>
        <v>0</v>
      </c>
      <c r="AI380">
        <f t="shared" ref="AI380" si="144">IF(COUNTIF(T380,"*"&amp;"精简"&amp;"*")&gt;0,1,0)</f>
        <v>0</v>
      </c>
      <c r="AJ380">
        <f t="shared" ref="AJ380" si="145">MIN(1,AA380*($AY$2+IF(AND(AB380&gt;=$AQ$3,AC380&gt;=$AR$3,AD380&gt;=$AS$3,AE380&gt;=$AT$3,AF380&gt;=$AU$3,AG380&gt;=$AV$3,AH380&gt;=$AW$3,AI380&gt;=$AX$3),1,0)))</f>
        <v>1</v>
      </c>
      <c r="AK380">
        <f>SUM(AJ$2:$AJ380)</f>
        <v>379</v>
      </c>
    </row>
    <row r="381" spans="1:37">
      <c r="A381" t="s">
        <v>1167</v>
      </c>
      <c r="B381" t="s">
        <v>1246</v>
      </c>
      <c r="C381" t="s">
        <v>1247</v>
      </c>
      <c r="D381">
        <v>42100</v>
      </c>
      <c r="E381" t="s">
        <v>1248</v>
      </c>
      <c r="F381">
        <v>23113</v>
      </c>
      <c r="G381">
        <v>1886</v>
      </c>
      <c r="I381">
        <v>4283</v>
      </c>
      <c r="J381">
        <v>0</v>
      </c>
      <c r="K381">
        <v>0</v>
      </c>
      <c r="L381">
        <v>15759</v>
      </c>
      <c r="M381">
        <v>0</v>
      </c>
      <c r="N381">
        <v>12607</v>
      </c>
      <c r="O381">
        <v>0</v>
      </c>
      <c r="P381">
        <v>0</v>
      </c>
      <c r="R381">
        <v>0</v>
      </c>
      <c r="S381">
        <v>0</v>
      </c>
      <c r="T381" t="s">
        <v>122</v>
      </c>
      <c r="U381">
        <v>6</v>
      </c>
      <c r="V381" t="s">
        <v>327</v>
      </c>
      <c r="W381" t="s">
        <v>88</v>
      </c>
      <c r="X381" t="s">
        <v>94</v>
      </c>
      <c r="Y381" t="s">
        <v>89</v>
      </c>
      <c r="Z381">
        <v>1</v>
      </c>
      <c r="AA381">
        <f>IF(AND(D381&gt;=配装计算器!$I$29,D381&lt;=配装计算器!$I$30),1,0)</f>
        <v>1</v>
      </c>
      <c r="AB381">
        <f t="shared" si="92"/>
        <v>0</v>
      </c>
      <c r="AC381">
        <f t="shared" si="93"/>
        <v>0</v>
      </c>
      <c r="AD381">
        <f t="shared" si="94"/>
        <v>1</v>
      </c>
      <c r="AE381">
        <f t="shared" si="95"/>
        <v>0</v>
      </c>
      <c r="AF381">
        <f t="shared" si="96"/>
        <v>1</v>
      </c>
      <c r="AG381">
        <f t="shared" si="97"/>
        <v>0</v>
      </c>
      <c r="AH381">
        <f t="shared" si="98"/>
        <v>0</v>
      </c>
      <c r="AI381">
        <f t="shared" si="99"/>
        <v>0</v>
      </c>
      <c r="AJ381">
        <f t="shared" si="100"/>
        <v>1</v>
      </c>
      <c r="AK381">
        <f>SUM(AJ$2:$AJ381)</f>
        <v>380</v>
      </c>
    </row>
    <row r="382" spans="1:37">
      <c r="A382" t="s">
        <v>1167</v>
      </c>
      <c r="B382" t="s">
        <v>1249</v>
      </c>
      <c r="C382" t="s">
        <v>1250</v>
      </c>
      <c r="D382">
        <v>42400</v>
      </c>
      <c r="E382" t="s">
        <v>1251</v>
      </c>
      <c r="F382">
        <v>23278</v>
      </c>
      <c r="G382">
        <v>1763</v>
      </c>
      <c r="I382">
        <v>2875</v>
      </c>
      <c r="J382">
        <v>0</v>
      </c>
      <c r="K382">
        <v>0</v>
      </c>
      <c r="L382">
        <v>15871</v>
      </c>
      <c r="M382">
        <v>0</v>
      </c>
      <c r="N382">
        <v>0</v>
      </c>
      <c r="O382">
        <v>0</v>
      </c>
      <c r="P382">
        <v>6348</v>
      </c>
      <c r="R382">
        <v>0</v>
      </c>
      <c r="S382">
        <v>0</v>
      </c>
      <c r="T382" t="s">
        <v>86</v>
      </c>
      <c r="U382">
        <v>6</v>
      </c>
      <c r="V382" t="s">
        <v>145</v>
      </c>
      <c r="W382" t="s">
        <v>88</v>
      </c>
      <c r="X382" t="s">
        <v>229</v>
      </c>
      <c r="Y382" t="s">
        <v>89</v>
      </c>
      <c r="Z382">
        <v>2</v>
      </c>
      <c r="AA382">
        <f>IF(AND(D382&gt;=配装计算器!$I$29,D382&lt;=配装计算器!$I$30),1,0)</f>
        <v>1</v>
      </c>
      <c r="AB382">
        <f t="shared" ref="AB382" si="146">IF(J382&gt;0,1,0)</f>
        <v>0</v>
      </c>
      <c r="AC382">
        <f t="shared" ref="AC382" si="147">IF(K382&gt;0,1,0)</f>
        <v>0</v>
      </c>
      <c r="AD382">
        <f t="shared" ref="AD382" si="148">IF(L382&gt;0,1,0)</f>
        <v>1</v>
      </c>
      <c r="AE382">
        <f t="shared" ref="AE382" si="149">IF(M382&gt;0,1,0)</f>
        <v>0</v>
      </c>
      <c r="AF382">
        <f t="shared" ref="AF382" si="150">IF(N382&gt;0,1,0)</f>
        <v>0</v>
      </c>
      <c r="AG382">
        <f t="shared" ref="AG382" si="151">IF(O382&gt;0,1,0)</f>
        <v>0</v>
      </c>
      <c r="AH382">
        <f t="shared" ref="AH382" si="152">IF(P382&gt;0,1,0)</f>
        <v>1</v>
      </c>
      <c r="AI382">
        <f t="shared" ref="AI382" si="153">IF(COUNTIF(T382,"*"&amp;"精简"&amp;"*")&gt;0,1,0)</f>
        <v>0</v>
      </c>
      <c r="AJ382">
        <f t="shared" ref="AJ382" si="154">MIN(1,AA382*($AY$2+IF(AND(AB382&gt;=$AQ$3,AC382&gt;=$AR$3,AD382&gt;=$AS$3,AE382&gt;=$AT$3,AF382&gt;=$AU$3,AG382&gt;=$AV$3,AH382&gt;=$AW$3,AI382&gt;=$AX$3),1,0)))</f>
        <v>1</v>
      </c>
      <c r="AK382">
        <f>SUM(AJ$2:$AJ382)</f>
        <v>381</v>
      </c>
    </row>
    <row r="383" spans="1:37">
      <c r="A383" t="s">
        <v>1252</v>
      </c>
      <c r="B383" t="s">
        <v>1253</v>
      </c>
      <c r="C383" t="s">
        <v>1254</v>
      </c>
      <c r="D383">
        <v>30200</v>
      </c>
      <c r="E383" t="s">
        <v>1255</v>
      </c>
      <c r="F383">
        <v>8290</v>
      </c>
      <c r="G383">
        <v>628</v>
      </c>
      <c r="I383">
        <v>1024</v>
      </c>
      <c r="J383">
        <v>0</v>
      </c>
      <c r="K383">
        <v>0</v>
      </c>
      <c r="L383">
        <v>5652</v>
      </c>
      <c r="M383">
        <v>0</v>
      </c>
      <c r="N383">
        <v>0</v>
      </c>
      <c r="O383">
        <v>0</v>
      </c>
      <c r="P383">
        <v>2261</v>
      </c>
      <c r="R383">
        <v>0</v>
      </c>
      <c r="S383">
        <v>0</v>
      </c>
      <c r="T383" t="s">
        <v>86</v>
      </c>
      <c r="U383">
        <v>6</v>
      </c>
      <c r="V383" t="s">
        <v>87</v>
      </c>
      <c r="W383" t="s">
        <v>233</v>
      </c>
      <c r="X383" t="s">
        <v>233</v>
      </c>
      <c r="Y383" t="s">
        <v>89</v>
      </c>
      <c r="Z383">
        <v>2</v>
      </c>
      <c r="AA383">
        <f>IF(AND(D383&gt;=配装计算器!$I$29,D383&lt;=配装计算器!$I$30),1,0)</f>
        <v>1</v>
      </c>
      <c r="AB383">
        <f t="shared" si="92"/>
        <v>0</v>
      </c>
      <c r="AC383">
        <f t="shared" si="93"/>
        <v>0</v>
      </c>
      <c r="AD383">
        <f t="shared" si="94"/>
        <v>1</v>
      </c>
      <c r="AE383">
        <f t="shared" si="95"/>
        <v>0</v>
      </c>
      <c r="AF383">
        <f t="shared" si="96"/>
        <v>0</v>
      </c>
      <c r="AG383">
        <f t="shared" si="97"/>
        <v>0</v>
      </c>
      <c r="AH383">
        <f t="shared" si="98"/>
        <v>1</v>
      </c>
      <c r="AI383">
        <f t="shared" si="99"/>
        <v>0</v>
      </c>
      <c r="AJ383">
        <f t="shared" si="100"/>
        <v>1</v>
      </c>
      <c r="AK383">
        <f>SUM(AJ$2:$AJ383)</f>
        <v>382</v>
      </c>
    </row>
    <row r="384" spans="1:37">
      <c r="A384" t="s">
        <v>1252</v>
      </c>
      <c r="B384" t="s">
        <v>1256</v>
      </c>
      <c r="C384" t="s">
        <v>1257</v>
      </c>
      <c r="D384">
        <v>30200</v>
      </c>
      <c r="E384" t="s">
        <v>1258</v>
      </c>
      <c r="F384">
        <v>8290</v>
      </c>
      <c r="G384">
        <v>628</v>
      </c>
      <c r="I384">
        <v>1024</v>
      </c>
      <c r="J384">
        <v>5652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2261</v>
      </c>
      <c r="R384">
        <v>0</v>
      </c>
      <c r="S384">
        <v>0</v>
      </c>
      <c r="T384" t="s">
        <v>93</v>
      </c>
      <c r="U384">
        <v>6</v>
      </c>
      <c r="V384" t="s">
        <v>87</v>
      </c>
      <c r="W384" t="s">
        <v>94</v>
      </c>
      <c r="X384" t="s">
        <v>94</v>
      </c>
      <c r="Y384" t="s">
        <v>89</v>
      </c>
      <c r="Z384">
        <v>2</v>
      </c>
      <c r="AA384">
        <f>IF(AND(D384&gt;=配装计算器!$I$29,D384&lt;=配装计算器!$I$30),1,0)</f>
        <v>1</v>
      </c>
      <c r="AB384">
        <f t="shared" si="92"/>
        <v>1</v>
      </c>
      <c r="AC384">
        <f t="shared" si="93"/>
        <v>0</v>
      </c>
      <c r="AD384">
        <f t="shared" si="94"/>
        <v>0</v>
      </c>
      <c r="AE384">
        <f t="shared" si="95"/>
        <v>0</v>
      </c>
      <c r="AF384">
        <f t="shared" si="96"/>
        <v>0</v>
      </c>
      <c r="AG384">
        <f t="shared" si="97"/>
        <v>0</v>
      </c>
      <c r="AH384">
        <f t="shared" si="98"/>
        <v>1</v>
      </c>
      <c r="AI384">
        <f t="shared" si="99"/>
        <v>0</v>
      </c>
      <c r="AJ384">
        <f t="shared" si="100"/>
        <v>1</v>
      </c>
      <c r="AK384">
        <f>SUM(AJ$2:$AJ384)</f>
        <v>383</v>
      </c>
    </row>
    <row r="385" spans="1:37">
      <c r="A385" t="s">
        <v>1252</v>
      </c>
      <c r="B385" t="s">
        <v>1259</v>
      </c>
      <c r="C385" t="s">
        <v>1260</v>
      </c>
      <c r="D385">
        <v>30200</v>
      </c>
      <c r="E385" t="s">
        <v>1261</v>
      </c>
      <c r="F385">
        <v>8290</v>
      </c>
      <c r="G385">
        <v>628</v>
      </c>
      <c r="I385">
        <v>1024</v>
      </c>
      <c r="J385">
        <v>0</v>
      </c>
      <c r="K385">
        <v>0</v>
      </c>
      <c r="L385">
        <v>5652</v>
      </c>
      <c r="M385">
        <v>0</v>
      </c>
      <c r="N385">
        <v>0</v>
      </c>
      <c r="O385">
        <v>0</v>
      </c>
      <c r="P385">
        <v>2261</v>
      </c>
      <c r="R385">
        <v>0</v>
      </c>
      <c r="S385">
        <v>0</v>
      </c>
      <c r="T385" t="s">
        <v>86</v>
      </c>
      <c r="U385">
        <v>6</v>
      </c>
      <c r="V385" t="s">
        <v>98</v>
      </c>
      <c r="W385" t="s">
        <v>233</v>
      </c>
      <c r="X385" t="s">
        <v>233</v>
      </c>
      <c r="Y385" t="s">
        <v>89</v>
      </c>
      <c r="Z385">
        <v>2</v>
      </c>
      <c r="AA385">
        <f>IF(AND(D385&gt;=配装计算器!$I$29,D385&lt;=配装计算器!$I$30),1,0)</f>
        <v>1</v>
      </c>
      <c r="AB385">
        <f t="shared" si="92"/>
        <v>0</v>
      </c>
      <c r="AC385">
        <f t="shared" si="93"/>
        <v>0</v>
      </c>
      <c r="AD385">
        <f t="shared" si="94"/>
        <v>1</v>
      </c>
      <c r="AE385">
        <f t="shared" si="95"/>
        <v>0</v>
      </c>
      <c r="AF385">
        <f t="shared" si="96"/>
        <v>0</v>
      </c>
      <c r="AG385">
        <f t="shared" si="97"/>
        <v>0</v>
      </c>
      <c r="AH385">
        <f t="shared" si="98"/>
        <v>1</v>
      </c>
      <c r="AI385">
        <f t="shared" si="99"/>
        <v>0</v>
      </c>
      <c r="AJ385">
        <f t="shared" si="100"/>
        <v>1</v>
      </c>
      <c r="AK385">
        <f>SUM(AJ$2:$AJ385)</f>
        <v>384</v>
      </c>
    </row>
    <row r="386" spans="1:37">
      <c r="A386" t="s">
        <v>1252</v>
      </c>
      <c r="B386" t="s">
        <v>1262</v>
      </c>
      <c r="C386" t="s">
        <v>1263</v>
      </c>
      <c r="D386">
        <v>30200</v>
      </c>
      <c r="E386" t="s">
        <v>1264</v>
      </c>
      <c r="F386">
        <v>8290</v>
      </c>
      <c r="G386">
        <v>676</v>
      </c>
      <c r="I386">
        <v>1536</v>
      </c>
      <c r="J386">
        <v>0</v>
      </c>
      <c r="K386">
        <v>0</v>
      </c>
      <c r="L386">
        <v>0</v>
      </c>
      <c r="M386">
        <v>0</v>
      </c>
      <c r="N386">
        <v>4522</v>
      </c>
      <c r="O386">
        <v>5652</v>
      </c>
      <c r="P386">
        <v>0</v>
      </c>
      <c r="R386">
        <v>0</v>
      </c>
      <c r="S386">
        <v>0</v>
      </c>
      <c r="T386" t="s">
        <v>115</v>
      </c>
      <c r="U386">
        <v>6</v>
      </c>
      <c r="V386" t="s">
        <v>87</v>
      </c>
      <c r="W386" t="s">
        <v>108</v>
      </c>
      <c r="X386" t="s">
        <v>108</v>
      </c>
      <c r="Y386" t="s">
        <v>89</v>
      </c>
      <c r="Z386">
        <v>1</v>
      </c>
      <c r="AA386">
        <f>IF(AND(D386&gt;=配装计算器!$I$29,D386&lt;=配装计算器!$I$30),1,0)</f>
        <v>1</v>
      </c>
      <c r="AB386">
        <f t="shared" si="92"/>
        <v>0</v>
      </c>
      <c r="AC386">
        <f t="shared" si="93"/>
        <v>0</v>
      </c>
      <c r="AD386">
        <f t="shared" si="94"/>
        <v>0</v>
      </c>
      <c r="AE386">
        <f t="shared" si="95"/>
        <v>0</v>
      </c>
      <c r="AF386">
        <f t="shared" si="96"/>
        <v>1</v>
      </c>
      <c r="AG386">
        <f t="shared" si="97"/>
        <v>1</v>
      </c>
      <c r="AH386">
        <f t="shared" si="98"/>
        <v>0</v>
      </c>
      <c r="AI386">
        <f t="shared" si="99"/>
        <v>0</v>
      </c>
      <c r="AJ386">
        <f t="shared" si="100"/>
        <v>1</v>
      </c>
      <c r="AK386">
        <f>SUM(AJ$2:$AJ386)</f>
        <v>385</v>
      </c>
    </row>
    <row r="387" spans="1:37">
      <c r="A387" t="s">
        <v>1252</v>
      </c>
      <c r="B387" t="s">
        <v>1265</v>
      </c>
      <c r="C387" t="s">
        <v>1266</v>
      </c>
      <c r="D387">
        <v>30200</v>
      </c>
      <c r="E387" t="s">
        <v>1267</v>
      </c>
      <c r="F387">
        <v>8290</v>
      </c>
      <c r="G387">
        <v>676</v>
      </c>
      <c r="I387">
        <v>1536</v>
      </c>
      <c r="J387">
        <v>0</v>
      </c>
      <c r="K387">
        <v>0</v>
      </c>
      <c r="L387">
        <v>0</v>
      </c>
      <c r="M387">
        <v>0</v>
      </c>
      <c r="N387">
        <v>4522</v>
      </c>
      <c r="O387">
        <v>5652</v>
      </c>
      <c r="P387">
        <v>0</v>
      </c>
      <c r="R387">
        <v>0</v>
      </c>
      <c r="S387">
        <v>0</v>
      </c>
      <c r="T387" t="s">
        <v>115</v>
      </c>
      <c r="U387">
        <v>6</v>
      </c>
      <c r="V387" t="s">
        <v>87</v>
      </c>
      <c r="W387" t="s">
        <v>108</v>
      </c>
      <c r="X387" t="s">
        <v>108</v>
      </c>
      <c r="Y387" t="s">
        <v>89</v>
      </c>
      <c r="Z387">
        <v>1</v>
      </c>
      <c r="AA387">
        <f>IF(AND(D387&gt;=配装计算器!$I$29,D387&lt;=配装计算器!$I$30),1,0)</f>
        <v>1</v>
      </c>
      <c r="AB387">
        <f t="shared" si="92"/>
        <v>0</v>
      </c>
      <c r="AC387">
        <f t="shared" si="93"/>
        <v>0</v>
      </c>
      <c r="AD387">
        <f t="shared" si="94"/>
        <v>0</v>
      </c>
      <c r="AE387">
        <f t="shared" si="95"/>
        <v>0</v>
      </c>
      <c r="AF387">
        <f t="shared" si="96"/>
        <v>1</v>
      </c>
      <c r="AG387">
        <f t="shared" si="97"/>
        <v>1</v>
      </c>
      <c r="AH387">
        <f t="shared" si="98"/>
        <v>0</v>
      </c>
      <c r="AI387">
        <f t="shared" si="99"/>
        <v>0</v>
      </c>
      <c r="AJ387">
        <f t="shared" si="100"/>
        <v>1</v>
      </c>
      <c r="AK387">
        <f>SUM(AJ$2:$AJ387)</f>
        <v>386</v>
      </c>
    </row>
    <row r="388" spans="1:37">
      <c r="A388" t="s">
        <v>1252</v>
      </c>
      <c r="B388" t="s">
        <v>1268</v>
      </c>
      <c r="C388" t="s">
        <v>1269</v>
      </c>
      <c r="D388">
        <v>30200</v>
      </c>
      <c r="E388" t="s">
        <v>1270</v>
      </c>
      <c r="F388">
        <v>8290</v>
      </c>
      <c r="G388">
        <v>676</v>
      </c>
      <c r="I388">
        <v>1536</v>
      </c>
      <c r="J388">
        <v>0</v>
      </c>
      <c r="K388">
        <v>0</v>
      </c>
      <c r="L388">
        <v>5652</v>
      </c>
      <c r="M388">
        <v>0</v>
      </c>
      <c r="N388">
        <v>4522</v>
      </c>
      <c r="O388">
        <v>0</v>
      </c>
      <c r="P388">
        <v>0</v>
      </c>
      <c r="R388">
        <v>0</v>
      </c>
      <c r="S388">
        <v>0</v>
      </c>
      <c r="T388" t="s">
        <v>122</v>
      </c>
      <c r="U388">
        <v>6</v>
      </c>
      <c r="V388" t="s">
        <v>87</v>
      </c>
      <c r="W388" t="s">
        <v>108</v>
      </c>
      <c r="X388" t="s">
        <v>108</v>
      </c>
      <c r="Y388" t="s">
        <v>89</v>
      </c>
      <c r="Z388">
        <v>1</v>
      </c>
      <c r="AA388">
        <f>IF(AND(D388&gt;=配装计算器!$I$29,D388&lt;=配装计算器!$I$30),1,0)</f>
        <v>1</v>
      </c>
      <c r="AB388">
        <f t="shared" si="92"/>
        <v>0</v>
      </c>
      <c r="AC388">
        <f t="shared" si="93"/>
        <v>0</v>
      </c>
      <c r="AD388">
        <f t="shared" si="94"/>
        <v>1</v>
      </c>
      <c r="AE388">
        <f t="shared" si="95"/>
        <v>0</v>
      </c>
      <c r="AF388">
        <f t="shared" si="96"/>
        <v>1</v>
      </c>
      <c r="AG388">
        <f t="shared" si="97"/>
        <v>0</v>
      </c>
      <c r="AH388">
        <f t="shared" si="98"/>
        <v>0</v>
      </c>
      <c r="AI388">
        <f t="shared" si="99"/>
        <v>0</v>
      </c>
      <c r="AJ388">
        <f t="shared" si="100"/>
        <v>1</v>
      </c>
      <c r="AK388">
        <f>SUM(AJ$2:$AJ388)</f>
        <v>387</v>
      </c>
    </row>
    <row r="389" spans="1:37">
      <c r="A389" t="s">
        <v>1252</v>
      </c>
      <c r="B389" t="s">
        <v>1271</v>
      </c>
      <c r="C389" t="s">
        <v>1272</v>
      </c>
      <c r="D389">
        <v>30200</v>
      </c>
      <c r="E389" t="s">
        <v>1273</v>
      </c>
      <c r="F389">
        <v>8290</v>
      </c>
      <c r="G389">
        <v>676</v>
      </c>
      <c r="I389">
        <v>1536</v>
      </c>
      <c r="J389">
        <v>0</v>
      </c>
      <c r="K389">
        <v>0</v>
      </c>
      <c r="L389">
        <v>5652</v>
      </c>
      <c r="M389">
        <v>0</v>
      </c>
      <c r="N389">
        <v>4522</v>
      </c>
      <c r="O389">
        <v>0</v>
      </c>
      <c r="P389">
        <v>0</v>
      </c>
      <c r="R389">
        <v>0</v>
      </c>
      <c r="S389">
        <v>0</v>
      </c>
      <c r="T389" t="s">
        <v>122</v>
      </c>
      <c r="U389">
        <v>6</v>
      </c>
      <c r="V389" t="s">
        <v>87</v>
      </c>
      <c r="W389" t="s">
        <v>108</v>
      </c>
      <c r="X389" t="s">
        <v>108</v>
      </c>
      <c r="Y389" t="s">
        <v>89</v>
      </c>
      <c r="Z389">
        <v>1</v>
      </c>
      <c r="AA389">
        <f>IF(AND(D389&gt;=配装计算器!$I$29,D389&lt;=配装计算器!$I$30),1,0)</f>
        <v>1</v>
      </c>
      <c r="AB389">
        <f t="shared" si="92"/>
        <v>0</v>
      </c>
      <c r="AC389">
        <f t="shared" si="93"/>
        <v>0</v>
      </c>
      <c r="AD389">
        <f t="shared" si="94"/>
        <v>1</v>
      </c>
      <c r="AE389">
        <f t="shared" si="95"/>
        <v>0</v>
      </c>
      <c r="AF389">
        <f t="shared" si="96"/>
        <v>1</v>
      </c>
      <c r="AG389">
        <f t="shared" si="97"/>
        <v>0</v>
      </c>
      <c r="AH389">
        <f t="shared" si="98"/>
        <v>0</v>
      </c>
      <c r="AI389">
        <f t="shared" si="99"/>
        <v>0</v>
      </c>
      <c r="AJ389">
        <f t="shared" si="100"/>
        <v>1</v>
      </c>
      <c r="AK389">
        <f>SUM(AJ$2:$AJ389)</f>
        <v>388</v>
      </c>
    </row>
    <row r="390" spans="1:37">
      <c r="A390" t="s">
        <v>1252</v>
      </c>
      <c r="B390" t="s">
        <v>1274</v>
      </c>
      <c r="C390" t="s">
        <v>1275</v>
      </c>
      <c r="D390">
        <v>30200</v>
      </c>
      <c r="E390" t="s">
        <v>1276</v>
      </c>
      <c r="F390">
        <v>8290</v>
      </c>
      <c r="G390">
        <v>676</v>
      </c>
      <c r="I390">
        <v>1536</v>
      </c>
      <c r="J390">
        <v>5652</v>
      </c>
      <c r="K390">
        <v>0</v>
      </c>
      <c r="L390">
        <v>0</v>
      </c>
      <c r="M390">
        <v>0</v>
      </c>
      <c r="N390">
        <v>4522</v>
      </c>
      <c r="O390">
        <v>0</v>
      </c>
      <c r="P390">
        <v>0</v>
      </c>
      <c r="R390">
        <v>0</v>
      </c>
      <c r="S390">
        <v>0</v>
      </c>
      <c r="T390" t="s">
        <v>102</v>
      </c>
      <c r="U390">
        <v>6</v>
      </c>
      <c r="V390" t="s">
        <v>87</v>
      </c>
      <c r="W390" t="s">
        <v>135</v>
      </c>
      <c r="X390" t="s">
        <v>135</v>
      </c>
      <c r="Y390" t="s">
        <v>89</v>
      </c>
      <c r="Z390">
        <v>1</v>
      </c>
      <c r="AA390">
        <f>IF(AND(D390&gt;=配装计算器!$I$29,D390&lt;=配装计算器!$I$30),1,0)</f>
        <v>1</v>
      </c>
      <c r="AB390">
        <f t="shared" si="92"/>
        <v>1</v>
      </c>
      <c r="AC390">
        <f t="shared" si="93"/>
        <v>0</v>
      </c>
      <c r="AD390">
        <f t="shared" si="94"/>
        <v>0</v>
      </c>
      <c r="AE390">
        <f t="shared" si="95"/>
        <v>0</v>
      </c>
      <c r="AF390">
        <f t="shared" si="96"/>
        <v>1</v>
      </c>
      <c r="AG390">
        <f t="shared" si="97"/>
        <v>0</v>
      </c>
      <c r="AH390">
        <f t="shared" si="98"/>
        <v>0</v>
      </c>
      <c r="AI390">
        <f t="shared" si="99"/>
        <v>0</v>
      </c>
      <c r="AJ390">
        <f t="shared" si="100"/>
        <v>1</v>
      </c>
      <c r="AK390">
        <f>SUM(AJ$2:$AJ390)</f>
        <v>389</v>
      </c>
    </row>
    <row r="391" spans="1:37">
      <c r="A391" t="s">
        <v>1252</v>
      </c>
      <c r="B391" t="s">
        <v>1277</v>
      </c>
      <c r="C391" t="s">
        <v>1278</v>
      </c>
      <c r="D391">
        <v>30200</v>
      </c>
      <c r="E391" t="s">
        <v>1279</v>
      </c>
      <c r="F391">
        <v>8290</v>
      </c>
      <c r="G391">
        <v>676</v>
      </c>
      <c r="I391">
        <v>1536</v>
      </c>
      <c r="J391">
        <v>0</v>
      </c>
      <c r="K391">
        <v>0</v>
      </c>
      <c r="L391">
        <v>5652</v>
      </c>
      <c r="M391">
        <v>0</v>
      </c>
      <c r="N391">
        <v>4522</v>
      </c>
      <c r="O391">
        <v>0</v>
      </c>
      <c r="P391">
        <v>0</v>
      </c>
      <c r="R391">
        <v>0</v>
      </c>
      <c r="S391">
        <v>0</v>
      </c>
      <c r="T391" t="s">
        <v>122</v>
      </c>
      <c r="U391">
        <v>6</v>
      </c>
      <c r="V391" t="s">
        <v>1033</v>
      </c>
      <c r="W391" t="s">
        <v>108</v>
      </c>
      <c r="X391" t="s">
        <v>108</v>
      </c>
      <c r="Y391" t="s">
        <v>89</v>
      </c>
      <c r="Z391">
        <v>1</v>
      </c>
      <c r="AA391">
        <f>IF(AND(D391&gt;=配装计算器!$I$29,D391&lt;=配装计算器!$I$30),1,0)</f>
        <v>1</v>
      </c>
      <c r="AB391">
        <f t="shared" si="92"/>
        <v>0</v>
      </c>
      <c r="AC391">
        <f t="shared" si="93"/>
        <v>0</v>
      </c>
      <c r="AD391">
        <f t="shared" si="94"/>
        <v>1</v>
      </c>
      <c r="AE391">
        <f t="shared" si="95"/>
        <v>0</v>
      </c>
      <c r="AF391">
        <f t="shared" si="96"/>
        <v>1</v>
      </c>
      <c r="AG391">
        <f t="shared" si="97"/>
        <v>0</v>
      </c>
      <c r="AH391">
        <f t="shared" si="98"/>
        <v>0</v>
      </c>
      <c r="AI391">
        <f t="shared" si="99"/>
        <v>0</v>
      </c>
      <c r="AJ391">
        <f t="shared" si="100"/>
        <v>1</v>
      </c>
      <c r="AK391">
        <f>SUM(AJ$2:$AJ391)</f>
        <v>390</v>
      </c>
    </row>
    <row r="392" spans="1:37">
      <c r="A392" t="s">
        <v>1252</v>
      </c>
      <c r="B392" t="s">
        <v>1280</v>
      </c>
      <c r="C392" t="s">
        <v>1281</v>
      </c>
      <c r="D392">
        <v>30300</v>
      </c>
      <c r="E392" t="s">
        <v>1282</v>
      </c>
      <c r="F392">
        <v>8317</v>
      </c>
      <c r="G392">
        <v>679</v>
      </c>
      <c r="I392">
        <v>1541</v>
      </c>
      <c r="J392">
        <v>0</v>
      </c>
      <c r="K392">
        <v>0</v>
      </c>
      <c r="L392">
        <v>0</v>
      </c>
      <c r="M392">
        <v>5671</v>
      </c>
      <c r="N392">
        <v>4537</v>
      </c>
      <c r="O392">
        <v>0</v>
      </c>
      <c r="P392">
        <v>0</v>
      </c>
      <c r="R392">
        <v>0</v>
      </c>
      <c r="S392">
        <v>0</v>
      </c>
      <c r="T392" t="s">
        <v>107</v>
      </c>
      <c r="U392">
        <v>6</v>
      </c>
      <c r="V392" t="s">
        <v>1283</v>
      </c>
      <c r="W392" t="s">
        <v>123</v>
      </c>
      <c r="X392" t="s">
        <v>123</v>
      </c>
      <c r="Y392" t="s">
        <v>89</v>
      </c>
      <c r="Z392">
        <v>1</v>
      </c>
      <c r="AA392">
        <f>IF(AND(D392&gt;=配装计算器!$I$29,D392&lt;=配装计算器!$I$30),1,0)</f>
        <v>1</v>
      </c>
      <c r="AB392">
        <f t="shared" si="92"/>
        <v>0</v>
      </c>
      <c r="AC392">
        <f t="shared" si="93"/>
        <v>0</v>
      </c>
      <c r="AD392">
        <f t="shared" si="94"/>
        <v>0</v>
      </c>
      <c r="AE392">
        <f t="shared" si="95"/>
        <v>1</v>
      </c>
      <c r="AF392">
        <f t="shared" si="96"/>
        <v>1</v>
      </c>
      <c r="AG392">
        <f t="shared" si="97"/>
        <v>0</v>
      </c>
      <c r="AH392">
        <f t="shared" si="98"/>
        <v>0</v>
      </c>
      <c r="AI392">
        <f t="shared" si="99"/>
        <v>0</v>
      </c>
      <c r="AJ392">
        <f t="shared" si="100"/>
        <v>1</v>
      </c>
      <c r="AK392">
        <f>SUM(AJ$2:$AJ392)</f>
        <v>391</v>
      </c>
    </row>
    <row r="393" spans="1:37">
      <c r="A393" t="s">
        <v>1252</v>
      </c>
      <c r="B393" t="s">
        <v>1284</v>
      </c>
      <c r="C393" t="s">
        <v>1285</v>
      </c>
      <c r="D393">
        <v>30700</v>
      </c>
      <c r="E393" t="s">
        <v>1286</v>
      </c>
      <c r="F393">
        <v>8427</v>
      </c>
      <c r="G393">
        <v>638</v>
      </c>
      <c r="I393">
        <v>1041</v>
      </c>
      <c r="J393">
        <v>5746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2298</v>
      </c>
      <c r="R393">
        <v>0</v>
      </c>
      <c r="S393">
        <v>0</v>
      </c>
      <c r="T393" t="s">
        <v>93</v>
      </c>
      <c r="U393">
        <v>6</v>
      </c>
      <c r="V393" t="s">
        <v>145</v>
      </c>
      <c r="W393" t="s">
        <v>94</v>
      </c>
      <c r="X393" t="s">
        <v>94</v>
      </c>
      <c r="Y393" t="s">
        <v>89</v>
      </c>
      <c r="Z393">
        <v>2</v>
      </c>
      <c r="AA393">
        <f>IF(AND(D393&gt;=配装计算器!$I$29,D393&lt;=配装计算器!$I$30),1,0)</f>
        <v>1</v>
      </c>
      <c r="AB393">
        <f t="shared" si="92"/>
        <v>1</v>
      </c>
      <c r="AC393">
        <f t="shared" si="93"/>
        <v>0</v>
      </c>
      <c r="AD393">
        <f t="shared" si="94"/>
        <v>0</v>
      </c>
      <c r="AE393">
        <f t="shared" si="95"/>
        <v>0</v>
      </c>
      <c r="AF393">
        <f t="shared" si="96"/>
        <v>0</v>
      </c>
      <c r="AG393">
        <f t="shared" si="97"/>
        <v>0</v>
      </c>
      <c r="AH393">
        <f t="shared" si="98"/>
        <v>1</v>
      </c>
      <c r="AI393">
        <f t="shared" si="99"/>
        <v>0</v>
      </c>
      <c r="AJ393">
        <f t="shared" si="100"/>
        <v>1</v>
      </c>
      <c r="AK393">
        <f>SUM(AJ$2:$AJ393)</f>
        <v>392</v>
      </c>
    </row>
    <row r="394" spans="1:37">
      <c r="A394" t="s">
        <v>1252</v>
      </c>
      <c r="B394" t="s">
        <v>1287</v>
      </c>
      <c r="C394" t="s">
        <v>1288</v>
      </c>
      <c r="D394">
        <v>30700</v>
      </c>
      <c r="E394" t="s">
        <v>1289</v>
      </c>
      <c r="F394">
        <v>8427</v>
      </c>
      <c r="G394">
        <v>688</v>
      </c>
      <c r="I394">
        <v>1561</v>
      </c>
      <c r="J394">
        <v>0</v>
      </c>
      <c r="K394">
        <v>0</v>
      </c>
      <c r="L394">
        <v>0</v>
      </c>
      <c r="M394">
        <v>5746</v>
      </c>
      <c r="N394">
        <v>4597</v>
      </c>
      <c r="O394">
        <v>0</v>
      </c>
      <c r="P394">
        <v>0</v>
      </c>
      <c r="R394">
        <v>0</v>
      </c>
      <c r="S394">
        <v>0</v>
      </c>
      <c r="T394" t="s">
        <v>107</v>
      </c>
      <c r="U394">
        <v>6</v>
      </c>
      <c r="V394" t="s">
        <v>1283</v>
      </c>
      <c r="W394" t="s">
        <v>123</v>
      </c>
      <c r="X394" t="s">
        <v>123</v>
      </c>
      <c r="Y394" t="s">
        <v>89</v>
      </c>
      <c r="Z394">
        <v>1</v>
      </c>
      <c r="AA394">
        <f>IF(AND(D394&gt;=配装计算器!$I$29,D394&lt;=配装计算器!$I$30),1,0)</f>
        <v>1</v>
      </c>
      <c r="AB394">
        <f t="shared" si="92"/>
        <v>0</v>
      </c>
      <c r="AC394">
        <f t="shared" si="93"/>
        <v>0</v>
      </c>
      <c r="AD394">
        <f t="shared" si="94"/>
        <v>0</v>
      </c>
      <c r="AE394">
        <f t="shared" si="95"/>
        <v>1</v>
      </c>
      <c r="AF394">
        <f t="shared" si="96"/>
        <v>1</v>
      </c>
      <c r="AG394">
        <f t="shared" si="97"/>
        <v>0</v>
      </c>
      <c r="AH394">
        <f t="shared" si="98"/>
        <v>0</v>
      </c>
      <c r="AI394">
        <f t="shared" si="99"/>
        <v>0</v>
      </c>
      <c r="AJ394">
        <f t="shared" si="100"/>
        <v>1</v>
      </c>
      <c r="AK394">
        <f>SUM(AJ$2:$AJ394)</f>
        <v>393</v>
      </c>
    </row>
    <row r="395" spans="1:37">
      <c r="A395" t="s">
        <v>1252</v>
      </c>
      <c r="B395" t="s">
        <v>1290</v>
      </c>
      <c r="C395" t="s">
        <v>1291</v>
      </c>
      <c r="D395">
        <v>32200</v>
      </c>
      <c r="E395" t="s">
        <v>1292</v>
      </c>
      <c r="F395">
        <v>8839</v>
      </c>
      <c r="G395">
        <v>721</v>
      </c>
      <c r="I395">
        <v>1638</v>
      </c>
      <c r="J395">
        <v>0</v>
      </c>
      <c r="K395">
        <v>0</v>
      </c>
      <c r="L395">
        <v>0</v>
      </c>
      <c r="M395">
        <v>6027</v>
      </c>
      <c r="N395">
        <v>4821</v>
      </c>
      <c r="O395">
        <v>0</v>
      </c>
      <c r="P395">
        <v>0</v>
      </c>
      <c r="R395">
        <v>0</v>
      </c>
      <c r="S395">
        <v>0</v>
      </c>
      <c r="T395" t="s">
        <v>107</v>
      </c>
      <c r="U395">
        <v>6</v>
      </c>
      <c r="V395" t="s">
        <v>1283</v>
      </c>
      <c r="W395" t="s">
        <v>123</v>
      </c>
      <c r="X395" t="s">
        <v>123</v>
      </c>
      <c r="Y395" t="s">
        <v>89</v>
      </c>
      <c r="Z395">
        <v>1</v>
      </c>
      <c r="AA395">
        <f>IF(AND(D395&gt;=配装计算器!$I$29,D395&lt;=配装计算器!$I$30),1,0)</f>
        <v>1</v>
      </c>
      <c r="AB395">
        <f t="shared" si="92"/>
        <v>0</v>
      </c>
      <c r="AC395">
        <f t="shared" si="93"/>
        <v>0</v>
      </c>
      <c r="AD395">
        <f t="shared" si="94"/>
        <v>0</v>
      </c>
      <c r="AE395">
        <f t="shared" si="95"/>
        <v>1</v>
      </c>
      <c r="AF395">
        <f t="shared" si="96"/>
        <v>1</v>
      </c>
      <c r="AG395">
        <f t="shared" si="97"/>
        <v>0</v>
      </c>
      <c r="AH395">
        <f t="shared" si="98"/>
        <v>0</v>
      </c>
      <c r="AI395">
        <f t="shared" si="99"/>
        <v>0</v>
      </c>
      <c r="AJ395">
        <f t="shared" si="100"/>
        <v>1</v>
      </c>
      <c r="AK395">
        <f>SUM(AJ$2:$AJ395)</f>
        <v>394</v>
      </c>
    </row>
    <row r="396" spans="1:37">
      <c r="A396" t="s">
        <v>1252</v>
      </c>
      <c r="B396" t="s">
        <v>1293</v>
      </c>
      <c r="C396" t="s">
        <v>1294</v>
      </c>
      <c r="D396">
        <v>32500</v>
      </c>
      <c r="E396" t="s">
        <v>1295</v>
      </c>
      <c r="F396">
        <v>8921</v>
      </c>
      <c r="G396">
        <v>0</v>
      </c>
      <c r="I396">
        <v>3196</v>
      </c>
      <c r="J396">
        <v>0</v>
      </c>
      <c r="K396">
        <v>0</v>
      </c>
      <c r="L396">
        <v>4055</v>
      </c>
      <c r="M396">
        <v>4055</v>
      </c>
      <c r="N396">
        <v>4055</v>
      </c>
      <c r="O396">
        <v>0</v>
      </c>
      <c r="P396">
        <v>0</v>
      </c>
      <c r="R396">
        <v>0</v>
      </c>
      <c r="S396">
        <v>0</v>
      </c>
      <c r="T396" t="s">
        <v>181</v>
      </c>
      <c r="U396">
        <v>6</v>
      </c>
      <c r="V396" t="s">
        <v>98</v>
      </c>
      <c r="W396" t="s">
        <v>94</v>
      </c>
      <c r="X396" t="s">
        <v>94</v>
      </c>
      <c r="Y396" t="s">
        <v>89</v>
      </c>
      <c r="Z396">
        <v>1</v>
      </c>
      <c r="AA396">
        <f>IF(AND(D396&gt;=配装计算器!$I$29,D396&lt;=配装计算器!$I$30),1,0)</f>
        <v>1</v>
      </c>
      <c r="AB396">
        <f t="shared" si="92"/>
        <v>0</v>
      </c>
      <c r="AC396">
        <f t="shared" si="93"/>
        <v>0</v>
      </c>
      <c r="AD396">
        <f t="shared" si="94"/>
        <v>1</v>
      </c>
      <c r="AE396">
        <f t="shared" si="95"/>
        <v>1</v>
      </c>
      <c r="AF396">
        <f t="shared" si="96"/>
        <v>1</v>
      </c>
      <c r="AG396">
        <f t="shared" si="97"/>
        <v>0</v>
      </c>
      <c r="AH396">
        <f t="shared" si="98"/>
        <v>0</v>
      </c>
      <c r="AI396">
        <f t="shared" si="99"/>
        <v>1</v>
      </c>
      <c r="AJ396">
        <f t="shared" si="100"/>
        <v>1</v>
      </c>
      <c r="AK396">
        <f>SUM(AJ$2:$AJ396)</f>
        <v>395</v>
      </c>
    </row>
    <row r="397" spans="1:37">
      <c r="A397" t="s">
        <v>1252</v>
      </c>
      <c r="B397" t="s">
        <v>1296</v>
      </c>
      <c r="C397" t="s">
        <v>1294</v>
      </c>
      <c r="D397">
        <v>32500</v>
      </c>
      <c r="E397" t="s">
        <v>1297</v>
      </c>
      <c r="F397">
        <v>8921</v>
      </c>
      <c r="G397">
        <v>0</v>
      </c>
      <c r="I397">
        <v>2645</v>
      </c>
      <c r="J397">
        <v>0</v>
      </c>
      <c r="K397">
        <v>0</v>
      </c>
      <c r="L397">
        <v>9327</v>
      </c>
      <c r="M397">
        <v>0</v>
      </c>
      <c r="N397">
        <v>4866</v>
      </c>
      <c r="O397">
        <v>0</v>
      </c>
      <c r="P397">
        <v>0</v>
      </c>
      <c r="R397">
        <v>0</v>
      </c>
      <c r="S397">
        <v>0</v>
      </c>
      <c r="T397" t="s">
        <v>153</v>
      </c>
      <c r="U397">
        <v>6</v>
      </c>
      <c r="V397" t="s">
        <v>98</v>
      </c>
      <c r="W397" t="s">
        <v>154</v>
      </c>
      <c r="X397" t="s">
        <v>154</v>
      </c>
      <c r="Y397" t="s">
        <v>89</v>
      </c>
      <c r="Z397">
        <v>1</v>
      </c>
      <c r="AA397">
        <f>IF(AND(D397&gt;=配装计算器!$I$29,D397&lt;=配装计算器!$I$30),1,0)</f>
        <v>1</v>
      </c>
      <c r="AB397">
        <f t="shared" si="92"/>
        <v>0</v>
      </c>
      <c r="AC397">
        <f t="shared" si="93"/>
        <v>0</v>
      </c>
      <c r="AD397">
        <f t="shared" si="94"/>
        <v>1</v>
      </c>
      <c r="AE397">
        <f t="shared" si="95"/>
        <v>0</v>
      </c>
      <c r="AF397">
        <f t="shared" si="96"/>
        <v>1</v>
      </c>
      <c r="AG397">
        <f t="shared" si="97"/>
        <v>0</v>
      </c>
      <c r="AH397">
        <f t="shared" si="98"/>
        <v>0</v>
      </c>
      <c r="AI397">
        <f t="shared" si="99"/>
        <v>1</v>
      </c>
      <c r="AJ397">
        <f t="shared" si="100"/>
        <v>1</v>
      </c>
      <c r="AK397">
        <f>SUM(AJ$2:$AJ397)</f>
        <v>396</v>
      </c>
    </row>
    <row r="398" spans="1:37">
      <c r="A398" t="s">
        <v>1252</v>
      </c>
      <c r="B398" t="s">
        <v>1298</v>
      </c>
      <c r="C398" t="s">
        <v>1294</v>
      </c>
      <c r="D398">
        <v>32500</v>
      </c>
      <c r="E398" t="s">
        <v>1299</v>
      </c>
      <c r="F398">
        <v>8921</v>
      </c>
      <c r="G398">
        <v>0</v>
      </c>
      <c r="I398">
        <v>3196</v>
      </c>
      <c r="J398">
        <v>4055</v>
      </c>
      <c r="K398">
        <v>0</v>
      </c>
      <c r="L398">
        <v>0</v>
      </c>
      <c r="M398">
        <v>4055</v>
      </c>
      <c r="N398">
        <v>4055</v>
      </c>
      <c r="O398">
        <v>0</v>
      </c>
      <c r="P398">
        <v>0</v>
      </c>
      <c r="R398">
        <v>0</v>
      </c>
      <c r="S398">
        <v>0</v>
      </c>
      <c r="T398" t="s">
        <v>138</v>
      </c>
      <c r="U398">
        <v>6</v>
      </c>
      <c r="V398" t="s">
        <v>98</v>
      </c>
      <c r="W398" t="s">
        <v>135</v>
      </c>
      <c r="X398" t="s">
        <v>135</v>
      </c>
      <c r="Y398" t="s">
        <v>89</v>
      </c>
      <c r="Z398">
        <v>1</v>
      </c>
      <c r="AA398">
        <f>IF(AND(D398&gt;=配装计算器!$I$29,D398&lt;=配装计算器!$I$30),1,0)</f>
        <v>1</v>
      </c>
      <c r="AB398">
        <f t="shared" si="92"/>
        <v>1</v>
      </c>
      <c r="AC398">
        <f t="shared" si="93"/>
        <v>0</v>
      </c>
      <c r="AD398">
        <f t="shared" si="94"/>
        <v>0</v>
      </c>
      <c r="AE398">
        <f t="shared" si="95"/>
        <v>1</v>
      </c>
      <c r="AF398">
        <f t="shared" si="96"/>
        <v>1</v>
      </c>
      <c r="AG398">
        <f t="shared" si="97"/>
        <v>0</v>
      </c>
      <c r="AH398">
        <f t="shared" si="98"/>
        <v>0</v>
      </c>
      <c r="AI398">
        <f t="shared" si="99"/>
        <v>1</v>
      </c>
      <c r="AJ398">
        <f t="shared" si="100"/>
        <v>1</v>
      </c>
      <c r="AK398">
        <f>SUM(AJ$2:$AJ398)</f>
        <v>397</v>
      </c>
    </row>
    <row r="399" spans="1:37">
      <c r="A399" t="s">
        <v>1252</v>
      </c>
      <c r="B399" t="s">
        <v>1300</v>
      </c>
      <c r="C399" t="s">
        <v>1281</v>
      </c>
      <c r="D399">
        <v>33000</v>
      </c>
      <c r="E399" t="s">
        <v>1301</v>
      </c>
      <c r="F399">
        <v>9059</v>
      </c>
      <c r="G399">
        <v>739</v>
      </c>
      <c r="I399">
        <v>1678</v>
      </c>
      <c r="J399">
        <v>0</v>
      </c>
      <c r="K399">
        <v>0</v>
      </c>
      <c r="L399">
        <v>0</v>
      </c>
      <c r="M399">
        <v>6176</v>
      </c>
      <c r="N399">
        <v>4941</v>
      </c>
      <c r="O399">
        <v>0</v>
      </c>
      <c r="P399">
        <v>0</v>
      </c>
      <c r="R399">
        <v>0</v>
      </c>
      <c r="S399">
        <v>0</v>
      </c>
      <c r="T399" t="s">
        <v>107</v>
      </c>
      <c r="U399">
        <v>6</v>
      </c>
      <c r="V399" t="s">
        <v>1283</v>
      </c>
      <c r="W399" t="s">
        <v>123</v>
      </c>
      <c r="X399" t="s">
        <v>123</v>
      </c>
      <c r="Y399" t="s">
        <v>89</v>
      </c>
      <c r="Z399">
        <v>1</v>
      </c>
      <c r="AA399">
        <f>IF(AND(D399&gt;=配装计算器!$I$29,D399&lt;=配装计算器!$I$30),1,0)</f>
        <v>1</v>
      </c>
      <c r="AB399">
        <f t="shared" si="92"/>
        <v>0</v>
      </c>
      <c r="AC399">
        <f t="shared" si="93"/>
        <v>0</v>
      </c>
      <c r="AD399">
        <f t="shared" si="94"/>
        <v>0</v>
      </c>
      <c r="AE399">
        <f t="shared" si="95"/>
        <v>1</v>
      </c>
      <c r="AF399">
        <f t="shared" si="96"/>
        <v>1</v>
      </c>
      <c r="AG399">
        <f t="shared" si="97"/>
        <v>0</v>
      </c>
      <c r="AH399">
        <f t="shared" si="98"/>
        <v>0</v>
      </c>
      <c r="AI399">
        <f t="shared" si="99"/>
        <v>0</v>
      </c>
      <c r="AJ399">
        <f t="shared" si="100"/>
        <v>1</v>
      </c>
      <c r="AK399">
        <f>SUM(AJ$2:$AJ399)</f>
        <v>398</v>
      </c>
    </row>
    <row r="400" spans="1:37">
      <c r="A400" t="s">
        <v>1252</v>
      </c>
      <c r="B400" t="s">
        <v>1302</v>
      </c>
      <c r="C400" t="s">
        <v>1303</v>
      </c>
      <c r="D400">
        <v>35300</v>
      </c>
      <c r="E400" t="s">
        <v>1304</v>
      </c>
      <c r="F400">
        <v>9690</v>
      </c>
      <c r="G400">
        <v>791</v>
      </c>
      <c r="I400">
        <v>1795</v>
      </c>
      <c r="J400">
        <v>0</v>
      </c>
      <c r="K400">
        <v>0</v>
      </c>
      <c r="L400">
        <v>0</v>
      </c>
      <c r="M400">
        <v>0</v>
      </c>
      <c r="N400">
        <v>5285</v>
      </c>
      <c r="O400">
        <v>6607</v>
      </c>
      <c r="P400">
        <v>0</v>
      </c>
      <c r="R400">
        <v>0</v>
      </c>
      <c r="S400">
        <v>0</v>
      </c>
      <c r="T400" t="s">
        <v>115</v>
      </c>
      <c r="U400">
        <v>6</v>
      </c>
      <c r="V400" t="s">
        <v>87</v>
      </c>
      <c r="W400" t="s">
        <v>108</v>
      </c>
      <c r="X400" t="s">
        <v>108</v>
      </c>
      <c r="Y400" t="s">
        <v>89</v>
      </c>
      <c r="Z400">
        <v>1</v>
      </c>
      <c r="AA400">
        <f>IF(AND(D400&gt;=配装计算器!$I$29,D400&lt;=配装计算器!$I$30),1,0)</f>
        <v>1</v>
      </c>
      <c r="AB400">
        <f t="shared" si="92"/>
        <v>0</v>
      </c>
      <c r="AC400">
        <f t="shared" si="93"/>
        <v>0</v>
      </c>
      <c r="AD400">
        <f t="shared" si="94"/>
        <v>0</v>
      </c>
      <c r="AE400">
        <f t="shared" si="95"/>
        <v>0</v>
      </c>
      <c r="AF400">
        <f t="shared" si="96"/>
        <v>1</v>
      </c>
      <c r="AG400">
        <f t="shared" si="97"/>
        <v>1</v>
      </c>
      <c r="AH400">
        <f t="shared" si="98"/>
        <v>0</v>
      </c>
      <c r="AI400">
        <f t="shared" si="99"/>
        <v>0</v>
      </c>
      <c r="AJ400">
        <f t="shared" si="100"/>
        <v>1</v>
      </c>
      <c r="AK400">
        <f>SUM(AJ$2:$AJ400)</f>
        <v>399</v>
      </c>
    </row>
    <row r="401" spans="1:37">
      <c r="A401" t="s">
        <v>1252</v>
      </c>
      <c r="B401" t="s">
        <v>1305</v>
      </c>
      <c r="C401" t="s">
        <v>1306</v>
      </c>
      <c r="D401">
        <v>35300</v>
      </c>
      <c r="E401" t="s">
        <v>1307</v>
      </c>
      <c r="F401">
        <v>9690</v>
      </c>
      <c r="G401">
        <v>791</v>
      </c>
      <c r="I401">
        <v>1795</v>
      </c>
      <c r="J401">
        <v>0</v>
      </c>
      <c r="K401">
        <v>0</v>
      </c>
      <c r="L401">
        <v>6607</v>
      </c>
      <c r="M401">
        <v>0</v>
      </c>
      <c r="N401">
        <v>5285</v>
      </c>
      <c r="O401">
        <v>0</v>
      </c>
      <c r="P401">
        <v>0</v>
      </c>
      <c r="R401">
        <v>0</v>
      </c>
      <c r="S401">
        <v>0</v>
      </c>
      <c r="T401" t="s">
        <v>122</v>
      </c>
      <c r="U401">
        <v>6</v>
      </c>
      <c r="V401" t="s">
        <v>87</v>
      </c>
      <c r="W401" t="s">
        <v>108</v>
      </c>
      <c r="X401" t="s">
        <v>108</v>
      </c>
      <c r="Y401" t="s">
        <v>89</v>
      </c>
      <c r="Z401">
        <v>1</v>
      </c>
      <c r="AA401">
        <f>IF(AND(D401&gt;=配装计算器!$I$29,D401&lt;=配装计算器!$I$30),1,0)</f>
        <v>1</v>
      </c>
      <c r="AB401">
        <f t="shared" ref="AB401:AB432" si="155">IF(J401&gt;0,1,0)</f>
        <v>0</v>
      </c>
      <c r="AC401">
        <f t="shared" ref="AC401:AC432" si="156">IF(K401&gt;0,1,0)</f>
        <v>0</v>
      </c>
      <c r="AD401">
        <f t="shared" ref="AD401:AD432" si="157">IF(L401&gt;0,1,0)</f>
        <v>1</v>
      </c>
      <c r="AE401">
        <f t="shared" ref="AE401:AE432" si="158">IF(M401&gt;0,1,0)</f>
        <v>0</v>
      </c>
      <c r="AF401">
        <f t="shared" ref="AF401:AF432" si="159">IF(N401&gt;0,1,0)</f>
        <v>1</v>
      </c>
      <c r="AG401">
        <f t="shared" ref="AG401:AG432" si="160">IF(O401&gt;0,1,0)</f>
        <v>0</v>
      </c>
      <c r="AH401">
        <f t="shared" ref="AH401:AH432" si="161">IF(P401&gt;0,1,0)</f>
        <v>0</v>
      </c>
      <c r="AI401">
        <f t="shared" ref="AI401:AI432" si="162">IF(COUNTIF(T401,"*"&amp;"精简"&amp;"*")&gt;0,1,0)</f>
        <v>0</v>
      </c>
      <c r="AJ401">
        <f t="shared" ref="AJ401:AJ432" si="163">MIN(1,AA401*($AY$2+IF(AND(AB401&gt;=$AQ$3,AC401&gt;=$AR$3,AD401&gt;=$AS$3,AE401&gt;=$AT$3,AF401&gt;=$AU$3,AG401&gt;=$AV$3,AH401&gt;=$AW$3,AI401&gt;=$AX$3),1,0)))</f>
        <v>1</v>
      </c>
      <c r="AK401">
        <f>SUM(AJ$2:$AJ401)</f>
        <v>400</v>
      </c>
    </row>
    <row r="402" spans="1:37">
      <c r="A402" t="s">
        <v>1252</v>
      </c>
      <c r="B402" t="s">
        <v>1308</v>
      </c>
      <c r="C402" t="s">
        <v>1309</v>
      </c>
      <c r="D402">
        <v>35300</v>
      </c>
      <c r="E402" t="s">
        <v>1310</v>
      </c>
      <c r="F402">
        <v>9690</v>
      </c>
      <c r="G402">
        <v>791</v>
      </c>
      <c r="I402">
        <v>1795</v>
      </c>
      <c r="J402">
        <v>6607</v>
      </c>
      <c r="K402">
        <v>0</v>
      </c>
      <c r="L402">
        <v>0</v>
      </c>
      <c r="M402">
        <v>0</v>
      </c>
      <c r="N402">
        <v>5285</v>
      </c>
      <c r="O402">
        <v>0</v>
      </c>
      <c r="P402">
        <v>0</v>
      </c>
      <c r="R402">
        <v>0</v>
      </c>
      <c r="S402">
        <v>0</v>
      </c>
      <c r="T402" t="s">
        <v>102</v>
      </c>
      <c r="U402">
        <v>6</v>
      </c>
      <c r="V402" t="s">
        <v>87</v>
      </c>
      <c r="W402" t="s">
        <v>135</v>
      </c>
      <c r="X402" t="s">
        <v>135</v>
      </c>
      <c r="Y402" t="s">
        <v>89</v>
      </c>
      <c r="Z402">
        <v>1</v>
      </c>
      <c r="AA402">
        <f>IF(AND(D402&gt;=配装计算器!$I$29,D402&lt;=配装计算器!$I$30),1,0)</f>
        <v>1</v>
      </c>
      <c r="AB402">
        <f t="shared" si="155"/>
        <v>1</v>
      </c>
      <c r="AC402">
        <f t="shared" si="156"/>
        <v>0</v>
      </c>
      <c r="AD402">
        <f t="shared" si="157"/>
        <v>0</v>
      </c>
      <c r="AE402">
        <f t="shared" si="158"/>
        <v>0</v>
      </c>
      <c r="AF402">
        <f t="shared" si="159"/>
        <v>1</v>
      </c>
      <c r="AG402">
        <f t="shared" si="160"/>
        <v>0</v>
      </c>
      <c r="AH402">
        <f t="shared" si="161"/>
        <v>0</v>
      </c>
      <c r="AI402">
        <f t="shared" si="162"/>
        <v>0</v>
      </c>
      <c r="AJ402">
        <f t="shared" si="163"/>
        <v>1</v>
      </c>
      <c r="AK402">
        <f>SUM(AJ$2:$AJ402)</f>
        <v>401</v>
      </c>
    </row>
    <row r="403" spans="1:37">
      <c r="A403" t="s">
        <v>1252</v>
      </c>
      <c r="B403" t="s">
        <v>1311</v>
      </c>
      <c r="C403" t="s">
        <v>1294</v>
      </c>
      <c r="D403">
        <v>35300</v>
      </c>
      <c r="E403" t="s">
        <v>1312</v>
      </c>
      <c r="F403">
        <v>9690</v>
      </c>
      <c r="G403">
        <v>0</v>
      </c>
      <c r="I403">
        <v>4070</v>
      </c>
      <c r="J403">
        <v>0</v>
      </c>
      <c r="K403">
        <v>0</v>
      </c>
      <c r="L403">
        <v>0</v>
      </c>
      <c r="M403">
        <v>0</v>
      </c>
      <c r="N403">
        <v>9690</v>
      </c>
      <c r="O403">
        <v>0</v>
      </c>
      <c r="P403">
        <v>0</v>
      </c>
      <c r="R403">
        <v>0</v>
      </c>
      <c r="S403">
        <v>0</v>
      </c>
      <c r="T403" t="s">
        <v>134</v>
      </c>
      <c r="U403">
        <v>6</v>
      </c>
      <c r="V403" t="s">
        <v>98</v>
      </c>
      <c r="W403" t="s">
        <v>135</v>
      </c>
      <c r="X403" t="s">
        <v>135</v>
      </c>
      <c r="Y403" t="s">
        <v>89</v>
      </c>
      <c r="Z403">
        <v>1</v>
      </c>
      <c r="AA403">
        <f>IF(AND(D403&gt;=配装计算器!$I$29,D403&lt;=配装计算器!$I$30),1,0)</f>
        <v>1</v>
      </c>
      <c r="AB403">
        <f t="shared" si="155"/>
        <v>0</v>
      </c>
      <c r="AC403">
        <f t="shared" si="156"/>
        <v>0</v>
      </c>
      <c r="AD403">
        <f t="shared" si="157"/>
        <v>0</v>
      </c>
      <c r="AE403">
        <f t="shared" si="158"/>
        <v>0</v>
      </c>
      <c r="AF403">
        <f t="shared" si="159"/>
        <v>1</v>
      </c>
      <c r="AG403">
        <f t="shared" si="160"/>
        <v>0</v>
      </c>
      <c r="AH403">
        <f t="shared" si="161"/>
        <v>0</v>
      </c>
      <c r="AI403">
        <f t="shared" si="162"/>
        <v>1</v>
      </c>
      <c r="AJ403">
        <f t="shared" si="163"/>
        <v>1</v>
      </c>
      <c r="AK403">
        <f>SUM(AJ$2:$AJ403)</f>
        <v>402</v>
      </c>
    </row>
    <row r="404" spans="1:37">
      <c r="A404" t="s">
        <v>1252</v>
      </c>
      <c r="B404" t="s">
        <v>1313</v>
      </c>
      <c r="C404" t="s">
        <v>1294</v>
      </c>
      <c r="D404">
        <v>35300</v>
      </c>
      <c r="E404" t="s">
        <v>1314</v>
      </c>
      <c r="F404">
        <v>9690</v>
      </c>
      <c r="G404">
        <v>0</v>
      </c>
      <c r="I404">
        <v>2873</v>
      </c>
      <c r="J404">
        <v>0</v>
      </c>
      <c r="K404">
        <v>0</v>
      </c>
      <c r="L404">
        <v>4845</v>
      </c>
      <c r="M404">
        <v>0</v>
      </c>
      <c r="N404">
        <v>9690</v>
      </c>
      <c r="O404">
        <v>0</v>
      </c>
      <c r="P404">
        <v>0</v>
      </c>
      <c r="R404">
        <v>0</v>
      </c>
      <c r="S404">
        <v>0</v>
      </c>
      <c r="T404" t="s">
        <v>153</v>
      </c>
      <c r="U404">
        <v>6</v>
      </c>
      <c r="V404" t="s">
        <v>98</v>
      </c>
      <c r="W404" t="s">
        <v>154</v>
      </c>
      <c r="X404" t="s">
        <v>154</v>
      </c>
      <c r="Y404" t="s">
        <v>89</v>
      </c>
      <c r="Z404">
        <v>1</v>
      </c>
      <c r="AA404">
        <f>IF(AND(D404&gt;=配装计算器!$I$29,D404&lt;=配装计算器!$I$30),1,0)</f>
        <v>1</v>
      </c>
      <c r="AB404">
        <f t="shared" si="155"/>
        <v>0</v>
      </c>
      <c r="AC404">
        <f t="shared" si="156"/>
        <v>0</v>
      </c>
      <c r="AD404">
        <f t="shared" si="157"/>
        <v>1</v>
      </c>
      <c r="AE404">
        <f t="shared" si="158"/>
        <v>0</v>
      </c>
      <c r="AF404">
        <f t="shared" si="159"/>
        <v>1</v>
      </c>
      <c r="AG404">
        <f t="shared" si="160"/>
        <v>0</v>
      </c>
      <c r="AH404">
        <f t="shared" si="161"/>
        <v>0</v>
      </c>
      <c r="AI404">
        <f t="shared" si="162"/>
        <v>1</v>
      </c>
      <c r="AJ404">
        <f t="shared" si="163"/>
        <v>1</v>
      </c>
      <c r="AK404">
        <f>SUM(AJ$2:$AJ404)</f>
        <v>403</v>
      </c>
    </row>
    <row r="405" spans="1:37">
      <c r="A405" t="s">
        <v>1252</v>
      </c>
      <c r="B405" t="s">
        <v>1315</v>
      </c>
      <c r="C405" t="s">
        <v>1294</v>
      </c>
      <c r="D405">
        <v>35300</v>
      </c>
      <c r="E405" t="s">
        <v>1316</v>
      </c>
      <c r="F405">
        <v>9690</v>
      </c>
      <c r="G405">
        <v>0</v>
      </c>
      <c r="I405">
        <v>3471</v>
      </c>
      <c r="J405">
        <v>4404</v>
      </c>
      <c r="K405">
        <v>0</v>
      </c>
      <c r="L405">
        <v>0</v>
      </c>
      <c r="M405">
        <v>4404</v>
      </c>
      <c r="N405">
        <v>4404</v>
      </c>
      <c r="O405">
        <v>0</v>
      </c>
      <c r="P405">
        <v>0</v>
      </c>
      <c r="R405">
        <v>0</v>
      </c>
      <c r="S405">
        <v>0</v>
      </c>
      <c r="T405" t="s">
        <v>138</v>
      </c>
      <c r="U405">
        <v>6</v>
      </c>
      <c r="V405" t="s">
        <v>98</v>
      </c>
      <c r="W405" t="s">
        <v>135</v>
      </c>
      <c r="X405" t="s">
        <v>135</v>
      </c>
      <c r="Y405" t="s">
        <v>89</v>
      </c>
      <c r="Z405">
        <v>1</v>
      </c>
      <c r="AA405">
        <f>IF(AND(D405&gt;=配装计算器!$I$29,D405&lt;=配装计算器!$I$30),1,0)</f>
        <v>1</v>
      </c>
      <c r="AB405">
        <f t="shared" si="155"/>
        <v>1</v>
      </c>
      <c r="AC405">
        <f t="shared" si="156"/>
        <v>0</v>
      </c>
      <c r="AD405">
        <f t="shared" si="157"/>
        <v>0</v>
      </c>
      <c r="AE405">
        <f t="shared" si="158"/>
        <v>1</v>
      </c>
      <c r="AF405">
        <f t="shared" si="159"/>
        <v>1</v>
      </c>
      <c r="AG405">
        <f t="shared" si="160"/>
        <v>0</v>
      </c>
      <c r="AH405">
        <f t="shared" si="161"/>
        <v>0</v>
      </c>
      <c r="AI405">
        <f t="shared" si="162"/>
        <v>1</v>
      </c>
      <c r="AJ405">
        <f t="shared" si="163"/>
        <v>1</v>
      </c>
      <c r="AK405">
        <f>SUM(AJ$2:$AJ405)</f>
        <v>404</v>
      </c>
    </row>
    <row r="406" spans="1:37">
      <c r="A406" t="s">
        <v>1252</v>
      </c>
      <c r="B406" t="s">
        <v>1317</v>
      </c>
      <c r="C406" t="s">
        <v>1291</v>
      </c>
      <c r="D406">
        <v>35500</v>
      </c>
      <c r="E406" t="s">
        <v>1318</v>
      </c>
      <c r="F406">
        <v>9745</v>
      </c>
      <c r="G406">
        <v>795</v>
      </c>
      <c r="I406">
        <v>1806</v>
      </c>
      <c r="J406">
        <v>0</v>
      </c>
      <c r="K406">
        <v>0</v>
      </c>
      <c r="L406">
        <v>0</v>
      </c>
      <c r="M406">
        <v>6644</v>
      </c>
      <c r="N406">
        <v>5315</v>
      </c>
      <c r="O406">
        <v>0</v>
      </c>
      <c r="P406">
        <v>0</v>
      </c>
      <c r="R406">
        <v>0</v>
      </c>
      <c r="S406">
        <v>0</v>
      </c>
      <c r="T406" t="s">
        <v>107</v>
      </c>
      <c r="U406">
        <v>6</v>
      </c>
      <c r="V406" t="s">
        <v>1283</v>
      </c>
      <c r="W406" t="s">
        <v>123</v>
      </c>
      <c r="X406" t="s">
        <v>123</v>
      </c>
      <c r="Y406" t="s">
        <v>89</v>
      </c>
      <c r="Z406">
        <v>1</v>
      </c>
      <c r="AA406">
        <f>IF(AND(D406&gt;=配装计算器!$I$29,D406&lt;=配装计算器!$I$30),1,0)</f>
        <v>1</v>
      </c>
      <c r="AB406">
        <f t="shared" si="155"/>
        <v>0</v>
      </c>
      <c r="AC406">
        <f t="shared" si="156"/>
        <v>0</v>
      </c>
      <c r="AD406">
        <f t="shared" si="157"/>
        <v>0</v>
      </c>
      <c r="AE406">
        <f t="shared" si="158"/>
        <v>1</v>
      </c>
      <c r="AF406">
        <f t="shared" si="159"/>
        <v>1</v>
      </c>
      <c r="AG406">
        <f t="shared" si="160"/>
        <v>0</v>
      </c>
      <c r="AH406">
        <f t="shared" si="161"/>
        <v>0</v>
      </c>
      <c r="AI406">
        <f t="shared" si="162"/>
        <v>0</v>
      </c>
      <c r="AJ406">
        <f t="shared" si="163"/>
        <v>1</v>
      </c>
      <c r="AK406">
        <f>SUM(AJ$2:$AJ406)</f>
        <v>405</v>
      </c>
    </row>
    <row r="407" spans="1:37">
      <c r="A407" t="s">
        <v>1252</v>
      </c>
      <c r="B407" t="s">
        <v>1319</v>
      </c>
      <c r="C407" t="s">
        <v>1281</v>
      </c>
      <c r="D407">
        <v>35900</v>
      </c>
      <c r="E407" t="s">
        <v>1320</v>
      </c>
      <c r="F407">
        <v>9855</v>
      </c>
      <c r="G407">
        <v>804</v>
      </c>
      <c r="I407">
        <v>1826</v>
      </c>
      <c r="J407">
        <v>0</v>
      </c>
      <c r="K407">
        <v>0</v>
      </c>
      <c r="L407">
        <v>0</v>
      </c>
      <c r="M407">
        <v>6719</v>
      </c>
      <c r="N407">
        <v>5375</v>
      </c>
      <c r="O407">
        <v>0</v>
      </c>
      <c r="P407">
        <v>0</v>
      </c>
      <c r="R407">
        <v>0</v>
      </c>
      <c r="S407">
        <v>0</v>
      </c>
      <c r="T407" t="s">
        <v>107</v>
      </c>
      <c r="U407">
        <v>6</v>
      </c>
      <c r="V407" t="s">
        <v>1283</v>
      </c>
      <c r="W407" t="s">
        <v>123</v>
      </c>
      <c r="X407" t="s">
        <v>123</v>
      </c>
      <c r="Y407" t="s">
        <v>89</v>
      </c>
      <c r="Z407">
        <v>1</v>
      </c>
      <c r="AA407">
        <f>IF(AND(D407&gt;=配装计算器!$I$29,D407&lt;=配装计算器!$I$30),1,0)</f>
        <v>1</v>
      </c>
      <c r="AB407">
        <f t="shared" si="155"/>
        <v>0</v>
      </c>
      <c r="AC407">
        <f t="shared" si="156"/>
        <v>0</v>
      </c>
      <c r="AD407">
        <f t="shared" si="157"/>
        <v>0</v>
      </c>
      <c r="AE407">
        <f t="shared" si="158"/>
        <v>1</v>
      </c>
      <c r="AF407">
        <f t="shared" si="159"/>
        <v>1</v>
      </c>
      <c r="AG407">
        <f t="shared" si="160"/>
        <v>0</v>
      </c>
      <c r="AH407">
        <f t="shared" si="161"/>
        <v>0</v>
      </c>
      <c r="AI407">
        <f t="shared" si="162"/>
        <v>0</v>
      </c>
      <c r="AJ407">
        <f t="shared" si="163"/>
        <v>1</v>
      </c>
      <c r="AK407">
        <f>SUM(AJ$2:$AJ407)</f>
        <v>406</v>
      </c>
    </row>
    <row r="408" spans="1:37">
      <c r="A408" t="s">
        <v>1252</v>
      </c>
      <c r="B408" t="s">
        <v>1321</v>
      </c>
      <c r="C408" t="s">
        <v>1322</v>
      </c>
      <c r="D408">
        <v>36200</v>
      </c>
      <c r="E408" t="s">
        <v>1323</v>
      </c>
      <c r="F408">
        <v>9937</v>
      </c>
      <c r="G408">
        <v>753</v>
      </c>
      <c r="I408">
        <v>1227</v>
      </c>
      <c r="J408">
        <v>6775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2710</v>
      </c>
      <c r="R408">
        <v>0</v>
      </c>
      <c r="S408">
        <v>0</v>
      </c>
      <c r="T408" t="s">
        <v>93</v>
      </c>
      <c r="U408">
        <v>6</v>
      </c>
      <c r="V408" t="s">
        <v>145</v>
      </c>
      <c r="W408" t="s">
        <v>94</v>
      </c>
      <c r="X408" t="s">
        <v>94</v>
      </c>
      <c r="Y408" t="s">
        <v>89</v>
      </c>
      <c r="Z408">
        <v>2</v>
      </c>
      <c r="AA408">
        <f>IF(AND(D408&gt;=配装计算器!$I$29,D408&lt;=配装计算器!$I$30),1,0)</f>
        <v>1</v>
      </c>
      <c r="AB408">
        <f t="shared" si="155"/>
        <v>1</v>
      </c>
      <c r="AC408">
        <f t="shared" si="156"/>
        <v>0</v>
      </c>
      <c r="AD408">
        <f t="shared" si="157"/>
        <v>0</v>
      </c>
      <c r="AE408">
        <f t="shared" si="158"/>
        <v>0</v>
      </c>
      <c r="AF408">
        <f t="shared" si="159"/>
        <v>0</v>
      </c>
      <c r="AG408">
        <f t="shared" si="160"/>
        <v>0</v>
      </c>
      <c r="AH408">
        <f t="shared" si="161"/>
        <v>1</v>
      </c>
      <c r="AI408">
        <f t="shared" si="162"/>
        <v>0</v>
      </c>
      <c r="AJ408">
        <f t="shared" si="163"/>
        <v>1</v>
      </c>
      <c r="AK408">
        <f>SUM(AJ$2:$AJ408)</f>
        <v>407</v>
      </c>
    </row>
    <row r="409" spans="1:37">
      <c r="A409" t="s">
        <v>1252</v>
      </c>
      <c r="B409" t="s">
        <v>1324</v>
      </c>
      <c r="C409" t="s">
        <v>1325</v>
      </c>
      <c r="D409">
        <v>38100</v>
      </c>
      <c r="E409" t="s">
        <v>1326</v>
      </c>
      <c r="F409">
        <v>10458</v>
      </c>
      <c r="G409">
        <v>0</v>
      </c>
      <c r="I409">
        <v>3617</v>
      </c>
      <c r="J409">
        <v>0</v>
      </c>
      <c r="K409">
        <v>0</v>
      </c>
      <c r="L409">
        <v>0</v>
      </c>
      <c r="M409">
        <v>14737</v>
      </c>
      <c r="N409">
        <v>0</v>
      </c>
      <c r="O409">
        <v>0</v>
      </c>
      <c r="P409">
        <v>0</v>
      </c>
      <c r="R409">
        <v>0</v>
      </c>
      <c r="S409">
        <v>0</v>
      </c>
      <c r="T409" t="s">
        <v>276</v>
      </c>
      <c r="U409">
        <v>6</v>
      </c>
      <c r="V409" t="s">
        <v>98</v>
      </c>
      <c r="W409" t="s">
        <v>94</v>
      </c>
      <c r="X409" t="s">
        <v>94</v>
      </c>
      <c r="Y409" t="s">
        <v>89</v>
      </c>
      <c r="Z409">
        <v>1</v>
      </c>
      <c r="AA409">
        <f>IF(AND(D409&gt;=配装计算器!$I$29,D409&lt;=配装计算器!$I$30),1,0)</f>
        <v>1</v>
      </c>
      <c r="AB409">
        <f t="shared" si="155"/>
        <v>0</v>
      </c>
      <c r="AC409">
        <f t="shared" si="156"/>
        <v>0</v>
      </c>
      <c r="AD409">
        <f t="shared" si="157"/>
        <v>0</v>
      </c>
      <c r="AE409">
        <f t="shared" si="158"/>
        <v>1</v>
      </c>
      <c r="AF409">
        <f t="shared" si="159"/>
        <v>0</v>
      </c>
      <c r="AG409">
        <f t="shared" si="160"/>
        <v>0</v>
      </c>
      <c r="AH409">
        <f t="shared" si="161"/>
        <v>0</v>
      </c>
      <c r="AI409">
        <f t="shared" si="162"/>
        <v>1</v>
      </c>
      <c r="AJ409">
        <f t="shared" si="163"/>
        <v>1</v>
      </c>
      <c r="AK409">
        <f>SUM(AJ$2:$AJ409)</f>
        <v>408</v>
      </c>
    </row>
    <row r="410" spans="1:37">
      <c r="A410" t="s">
        <v>1252</v>
      </c>
      <c r="B410" t="s">
        <v>1327</v>
      </c>
      <c r="C410" t="s">
        <v>1325</v>
      </c>
      <c r="D410">
        <v>38100</v>
      </c>
      <c r="E410" t="s">
        <v>1328</v>
      </c>
      <c r="F410">
        <v>10458</v>
      </c>
      <c r="G410">
        <v>0</v>
      </c>
      <c r="I410">
        <v>3036</v>
      </c>
      <c r="J410">
        <v>4754</v>
      </c>
      <c r="K410">
        <v>0</v>
      </c>
      <c r="L410">
        <v>4754</v>
      </c>
      <c r="M410">
        <v>4754</v>
      </c>
      <c r="N410">
        <v>4754</v>
      </c>
      <c r="O410">
        <v>0</v>
      </c>
      <c r="P410">
        <v>0</v>
      </c>
      <c r="R410">
        <v>0</v>
      </c>
      <c r="S410">
        <v>0</v>
      </c>
      <c r="T410" t="s">
        <v>504</v>
      </c>
      <c r="U410">
        <v>6</v>
      </c>
      <c r="V410" t="s">
        <v>98</v>
      </c>
      <c r="W410" t="s">
        <v>94</v>
      </c>
      <c r="X410" t="s">
        <v>94</v>
      </c>
      <c r="Y410" t="s">
        <v>89</v>
      </c>
      <c r="Z410">
        <v>1</v>
      </c>
      <c r="AA410">
        <f>IF(AND(D410&gt;=配装计算器!$I$29,D410&lt;=配装计算器!$I$30),1,0)</f>
        <v>1</v>
      </c>
      <c r="AB410">
        <f t="shared" ref="AB410" si="164">IF(J410&gt;0,1,0)</f>
        <v>1</v>
      </c>
      <c r="AC410">
        <f t="shared" ref="AC410" si="165">IF(K410&gt;0,1,0)</f>
        <v>0</v>
      </c>
      <c r="AD410">
        <f t="shared" ref="AD410" si="166">IF(L410&gt;0,1,0)</f>
        <v>1</v>
      </c>
      <c r="AE410">
        <f t="shared" ref="AE410" si="167">IF(M410&gt;0,1,0)</f>
        <v>1</v>
      </c>
      <c r="AF410">
        <f t="shared" ref="AF410" si="168">IF(N410&gt;0,1,0)</f>
        <v>1</v>
      </c>
      <c r="AG410">
        <f t="shared" ref="AG410" si="169">IF(O410&gt;0,1,0)</f>
        <v>0</v>
      </c>
      <c r="AH410">
        <f t="shared" ref="AH410" si="170">IF(P410&gt;0,1,0)</f>
        <v>0</v>
      </c>
      <c r="AI410">
        <f t="shared" ref="AI410" si="171">IF(COUNTIF(T410,"*"&amp;"精简"&amp;"*")&gt;0,1,0)</f>
        <v>1</v>
      </c>
      <c r="AJ410">
        <f t="shared" ref="AJ410" si="172">MIN(1,AA410*($AY$2+IF(AND(AB410&gt;=$AQ$3,AC410&gt;=$AR$3,AD410&gt;=$AS$3,AE410&gt;=$AT$3,AF410&gt;=$AU$3,AG410&gt;=$AV$3,AH410&gt;=$AW$3,AI410&gt;=$AX$3),1,0)))</f>
        <v>1</v>
      </c>
      <c r="AK410">
        <f>SUM(AJ$2:$AJ410)</f>
        <v>409</v>
      </c>
    </row>
    <row r="411" spans="1:37">
      <c r="A411" t="s">
        <v>1252</v>
      </c>
      <c r="B411" t="s">
        <v>1329</v>
      </c>
      <c r="C411" t="s">
        <v>1325</v>
      </c>
      <c r="D411">
        <v>38100</v>
      </c>
      <c r="E411" t="s">
        <v>1330</v>
      </c>
      <c r="F411">
        <v>10458</v>
      </c>
      <c r="G411">
        <v>0</v>
      </c>
      <c r="I411">
        <v>3746</v>
      </c>
      <c r="J411">
        <v>8557</v>
      </c>
      <c r="K411">
        <v>3565</v>
      </c>
      <c r="L411">
        <v>0</v>
      </c>
      <c r="M411">
        <v>3565</v>
      </c>
      <c r="N411">
        <v>0</v>
      </c>
      <c r="O411">
        <v>0</v>
      </c>
      <c r="P411">
        <v>0</v>
      </c>
      <c r="R411">
        <v>0</v>
      </c>
      <c r="S411">
        <v>0</v>
      </c>
      <c r="T411" t="s">
        <v>157</v>
      </c>
      <c r="U411">
        <v>6</v>
      </c>
      <c r="V411" t="s">
        <v>98</v>
      </c>
      <c r="W411" t="s">
        <v>135</v>
      </c>
      <c r="X411" t="s">
        <v>135</v>
      </c>
      <c r="Y411" t="s">
        <v>89</v>
      </c>
      <c r="Z411">
        <v>1</v>
      </c>
      <c r="AA411">
        <f>IF(AND(D411&gt;=配装计算器!$I$29,D411&lt;=配装计算器!$I$30),1,0)</f>
        <v>1</v>
      </c>
      <c r="AB411">
        <f t="shared" si="155"/>
        <v>1</v>
      </c>
      <c r="AC411">
        <f t="shared" si="156"/>
        <v>1</v>
      </c>
      <c r="AD411">
        <f t="shared" si="157"/>
        <v>0</v>
      </c>
      <c r="AE411">
        <f t="shared" si="158"/>
        <v>1</v>
      </c>
      <c r="AF411">
        <f t="shared" si="159"/>
        <v>0</v>
      </c>
      <c r="AG411">
        <f t="shared" si="160"/>
        <v>0</v>
      </c>
      <c r="AH411">
        <f t="shared" si="161"/>
        <v>0</v>
      </c>
      <c r="AI411">
        <f t="shared" si="162"/>
        <v>1</v>
      </c>
      <c r="AJ411">
        <f t="shared" si="163"/>
        <v>1</v>
      </c>
      <c r="AK411">
        <f>SUM(AJ$2:$AJ411)</f>
        <v>410</v>
      </c>
    </row>
    <row r="412" spans="1:37">
      <c r="A412" t="s">
        <v>1252</v>
      </c>
      <c r="B412" t="s">
        <v>1331</v>
      </c>
      <c r="C412" t="s">
        <v>1291</v>
      </c>
      <c r="D412">
        <v>38800</v>
      </c>
      <c r="E412" t="s">
        <v>1332</v>
      </c>
      <c r="F412">
        <v>10651</v>
      </c>
      <c r="G412">
        <v>869</v>
      </c>
      <c r="I412">
        <v>1973</v>
      </c>
      <c r="J412">
        <v>0</v>
      </c>
      <c r="K412">
        <v>0</v>
      </c>
      <c r="L412">
        <v>0</v>
      </c>
      <c r="M412">
        <v>7262</v>
      </c>
      <c r="N412">
        <v>5809</v>
      </c>
      <c r="O412">
        <v>0</v>
      </c>
      <c r="P412">
        <v>0</v>
      </c>
      <c r="R412">
        <v>0</v>
      </c>
      <c r="S412">
        <v>0</v>
      </c>
      <c r="T412" t="s">
        <v>107</v>
      </c>
      <c r="U412">
        <v>6</v>
      </c>
      <c r="V412" t="s">
        <v>1283</v>
      </c>
      <c r="W412" t="s">
        <v>123</v>
      </c>
      <c r="X412" t="s">
        <v>123</v>
      </c>
      <c r="Y412" t="s">
        <v>89</v>
      </c>
      <c r="Z412">
        <v>1</v>
      </c>
      <c r="AA412">
        <f>IF(AND(D412&gt;=配装计算器!$I$29,D412&lt;=配装计算器!$I$30),1,0)</f>
        <v>1</v>
      </c>
      <c r="AB412">
        <f t="shared" si="155"/>
        <v>0</v>
      </c>
      <c r="AC412">
        <f t="shared" si="156"/>
        <v>0</v>
      </c>
      <c r="AD412">
        <f t="shared" si="157"/>
        <v>0</v>
      </c>
      <c r="AE412">
        <f t="shared" si="158"/>
        <v>1</v>
      </c>
      <c r="AF412">
        <f t="shared" si="159"/>
        <v>1</v>
      </c>
      <c r="AG412">
        <f t="shared" si="160"/>
        <v>0</v>
      </c>
      <c r="AH412">
        <f t="shared" si="161"/>
        <v>0</v>
      </c>
      <c r="AI412">
        <f t="shared" si="162"/>
        <v>0</v>
      </c>
      <c r="AJ412">
        <f t="shared" si="163"/>
        <v>1</v>
      </c>
      <c r="AK412">
        <f>SUM(AJ$2:$AJ412)</f>
        <v>411</v>
      </c>
    </row>
    <row r="413" spans="1:37">
      <c r="A413" t="s">
        <v>1252</v>
      </c>
      <c r="B413" t="s">
        <v>1333</v>
      </c>
      <c r="C413" t="s">
        <v>1334</v>
      </c>
      <c r="D413">
        <v>41400</v>
      </c>
      <c r="E413" t="s">
        <v>1335</v>
      </c>
      <c r="F413">
        <v>11364</v>
      </c>
      <c r="G413">
        <v>927</v>
      </c>
      <c r="I413">
        <v>2106</v>
      </c>
      <c r="J413">
        <v>0</v>
      </c>
      <c r="K413">
        <v>0</v>
      </c>
      <c r="L413">
        <v>0</v>
      </c>
      <c r="M413">
        <v>0</v>
      </c>
      <c r="N413">
        <v>6199</v>
      </c>
      <c r="O413">
        <v>7748</v>
      </c>
      <c r="P413">
        <v>0</v>
      </c>
      <c r="R413">
        <v>0</v>
      </c>
      <c r="S413">
        <v>0</v>
      </c>
      <c r="T413" t="s">
        <v>115</v>
      </c>
      <c r="U413">
        <v>6</v>
      </c>
      <c r="V413" t="s">
        <v>87</v>
      </c>
      <c r="W413" t="s">
        <v>108</v>
      </c>
      <c r="X413" t="s">
        <v>108</v>
      </c>
      <c r="Y413" t="s">
        <v>89</v>
      </c>
      <c r="Z413">
        <v>1</v>
      </c>
      <c r="AA413">
        <f>IF(AND(D413&gt;=配装计算器!$I$29,D413&lt;=配装计算器!$I$30),1,0)</f>
        <v>1</v>
      </c>
      <c r="AB413">
        <f t="shared" si="155"/>
        <v>0</v>
      </c>
      <c r="AC413">
        <f t="shared" si="156"/>
        <v>0</v>
      </c>
      <c r="AD413">
        <f t="shared" si="157"/>
        <v>0</v>
      </c>
      <c r="AE413">
        <f t="shared" si="158"/>
        <v>0</v>
      </c>
      <c r="AF413">
        <f t="shared" si="159"/>
        <v>1</v>
      </c>
      <c r="AG413">
        <f t="shared" si="160"/>
        <v>1</v>
      </c>
      <c r="AH413">
        <f t="shared" si="161"/>
        <v>0</v>
      </c>
      <c r="AI413">
        <f t="shared" si="162"/>
        <v>0</v>
      </c>
      <c r="AJ413">
        <f t="shared" si="163"/>
        <v>1</v>
      </c>
      <c r="AK413">
        <f>SUM(AJ$2:$AJ413)</f>
        <v>412</v>
      </c>
    </row>
    <row r="414" spans="1:37">
      <c r="A414" t="s">
        <v>1252</v>
      </c>
      <c r="B414" t="s">
        <v>1336</v>
      </c>
      <c r="C414" t="s">
        <v>1337</v>
      </c>
      <c r="D414">
        <v>41400</v>
      </c>
      <c r="E414" t="s">
        <v>1338</v>
      </c>
      <c r="F414">
        <v>11364</v>
      </c>
      <c r="G414">
        <v>927</v>
      </c>
      <c r="I414">
        <v>2106</v>
      </c>
      <c r="J414">
        <v>0</v>
      </c>
      <c r="K414">
        <v>0</v>
      </c>
      <c r="L414">
        <v>7748</v>
      </c>
      <c r="M414">
        <v>0</v>
      </c>
      <c r="N414">
        <v>6199</v>
      </c>
      <c r="O414">
        <v>0</v>
      </c>
      <c r="P414">
        <v>0</v>
      </c>
      <c r="R414">
        <v>0</v>
      </c>
      <c r="S414">
        <v>0</v>
      </c>
      <c r="T414" t="s">
        <v>122</v>
      </c>
      <c r="U414">
        <v>6</v>
      </c>
      <c r="V414" t="s">
        <v>87</v>
      </c>
      <c r="W414" t="s">
        <v>108</v>
      </c>
      <c r="X414" t="s">
        <v>108</v>
      </c>
      <c r="Y414" t="s">
        <v>89</v>
      </c>
      <c r="Z414">
        <v>1</v>
      </c>
      <c r="AA414">
        <f>IF(AND(D414&gt;=配装计算器!$I$29,D414&lt;=配装计算器!$I$30),1,0)</f>
        <v>1</v>
      </c>
      <c r="AB414">
        <f t="shared" si="155"/>
        <v>0</v>
      </c>
      <c r="AC414">
        <f t="shared" si="156"/>
        <v>0</v>
      </c>
      <c r="AD414">
        <f t="shared" si="157"/>
        <v>1</v>
      </c>
      <c r="AE414">
        <f t="shared" si="158"/>
        <v>0</v>
      </c>
      <c r="AF414">
        <f t="shared" si="159"/>
        <v>1</v>
      </c>
      <c r="AG414">
        <f t="shared" si="160"/>
        <v>0</v>
      </c>
      <c r="AH414">
        <f t="shared" si="161"/>
        <v>0</v>
      </c>
      <c r="AI414">
        <f t="shared" si="162"/>
        <v>0</v>
      </c>
      <c r="AJ414">
        <f t="shared" si="163"/>
        <v>1</v>
      </c>
      <c r="AK414">
        <f>SUM(AJ$2:$AJ414)</f>
        <v>413</v>
      </c>
    </row>
    <row r="415" spans="1:37">
      <c r="A415" t="s">
        <v>1252</v>
      </c>
      <c r="B415" t="s">
        <v>1339</v>
      </c>
      <c r="C415" t="s">
        <v>1340</v>
      </c>
      <c r="D415">
        <v>41400</v>
      </c>
      <c r="E415" t="s">
        <v>1341</v>
      </c>
      <c r="F415">
        <v>11364</v>
      </c>
      <c r="G415">
        <v>927</v>
      </c>
      <c r="I415">
        <v>2106</v>
      </c>
      <c r="J415">
        <v>7748</v>
      </c>
      <c r="K415">
        <v>0</v>
      </c>
      <c r="L415">
        <v>0</v>
      </c>
      <c r="M415">
        <v>0</v>
      </c>
      <c r="N415">
        <v>6199</v>
      </c>
      <c r="O415">
        <v>0</v>
      </c>
      <c r="P415">
        <v>0</v>
      </c>
      <c r="R415">
        <v>0</v>
      </c>
      <c r="S415">
        <v>0</v>
      </c>
      <c r="T415" t="s">
        <v>102</v>
      </c>
      <c r="U415">
        <v>6</v>
      </c>
      <c r="V415" t="s">
        <v>87</v>
      </c>
      <c r="W415" t="s">
        <v>135</v>
      </c>
      <c r="X415" t="s">
        <v>135</v>
      </c>
      <c r="Y415" t="s">
        <v>89</v>
      </c>
      <c r="Z415">
        <v>1</v>
      </c>
      <c r="AA415">
        <f>IF(AND(D415&gt;=配装计算器!$I$29,D415&lt;=配装计算器!$I$30),1,0)</f>
        <v>1</v>
      </c>
      <c r="AB415">
        <f t="shared" si="155"/>
        <v>1</v>
      </c>
      <c r="AC415">
        <f t="shared" si="156"/>
        <v>0</v>
      </c>
      <c r="AD415">
        <f t="shared" si="157"/>
        <v>0</v>
      </c>
      <c r="AE415">
        <f t="shared" si="158"/>
        <v>0</v>
      </c>
      <c r="AF415">
        <f t="shared" si="159"/>
        <v>1</v>
      </c>
      <c r="AG415">
        <f t="shared" si="160"/>
        <v>0</v>
      </c>
      <c r="AH415">
        <f t="shared" si="161"/>
        <v>0</v>
      </c>
      <c r="AI415">
        <f t="shared" si="162"/>
        <v>0</v>
      </c>
      <c r="AJ415">
        <f t="shared" si="163"/>
        <v>1</v>
      </c>
      <c r="AK415">
        <f>SUM(AJ$2:$AJ415)</f>
        <v>414</v>
      </c>
    </row>
    <row r="416" spans="1:37">
      <c r="A416" t="s">
        <v>1252</v>
      </c>
      <c r="B416" t="s">
        <v>1342</v>
      </c>
      <c r="C416" t="s">
        <v>1325</v>
      </c>
      <c r="D416">
        <v>41400</v>
      </c>
      <c r="E416" t="s">
        <v>1343</v>
      </c>
      <c r="F416">
        <v>11364</v>
      </c>
      <c r="G416">
        <v>0</v>
      </c>
      <c r="I416">
        <v>1404</v>
      </c>
      <c r="J416">
        <v>0</v>
      </c>
      <c r="K416">
        <v>0</v>
      </c>
      <c r="L416">
        <v>0</v>
      </c>
      <c r="M416">
        <v>20662</v>
      </c>
      <c r="N416">
        <v>6199</v>
      </c>
      <c r="O416">
        <v>0</v>
      </c>
      <c r="P416">
        <v>0</v>
      </c>
      <c r="R416">
        <v>0</v>
      </c>
      <c r="S416">
        <v>0</v>
      </c>
      <c r="T416" t="s">
        <v>198</v>
      </c>
      <c r="U416">
        <v>6</v>
      </c>
      <c r="V416" t="s">
        <v>98</v>
      </c>
      <c r="W416" t="s">
        <v>154</v>
      </c>
      <c r="X416" t="s">
        <v>154</v>
      </c>
      <c r="Y416" t="s">
        <v>89</v>
      </c>
      <c r="Z416">
        <v>1</v>
      </c>
      <c r="AA416">
        <f>IF(AND(D416&gt;=配装计算器!$I$29,D416&lt;=配装计算器!$I$30),1,0)</f>
        <v>1</v>
      </c>
      <c r="AB416">
        <f t="shared" si="155"/>
        <v>0</v>
      </c>
      <c r="AC416">
        <f t="shared" si="156"/>
        <v>0</v>
      </c>
      <c r="AD416">
        <f t="shared" si="157"/>
        <v>0</v>
      </c>
      <c r="AE416">
        <f t="shared" si="158"/>
        <v>1</v>
      </c>
      <c r="AF416">
        <f t="shared" si="159"/>
        <v>1</v>
      </c>
      <c r="AG416">
        <f t="shared" si="160"/>
        <v>0</v>
      </c>
      <c r="AH416">
        <f t="shared" si="161"/>
        <v>0</v>
      </c>
      <c r="AI416">
        <f t="shared" si="162"/>
        <v>1</v>
      </c>
      <c r="AJ416">
        <f t="shared" si="163"/>
        <v>1</v>
      </c>
      <c r="AK416">
        <f>SUM(AJ$2:$AJ416)</f>
        <v>415</v>
      </c>
    </row>
    <row r="417" spans="1:37">
      <c r="A417" t="s">
        <v>1252</v>
      </c>
      <c r="B417" t="s">
        <v>1344</v>
      </c>
      <c r="C417" t="s">
        <v>1325</v>
      </c>
      <c r="D417">
        <v>41400</v>
      </c>
      <c r="E417" t="s">
        <v>1345</v>
      </c>
      <c r="F417">
        <v>11364</v>
      </c>
      <c r="G417">
        <v>0</v>
      </c>
      <c r="I417">
        <v>1404</v>
      </c>
      <c r="J417">
        <v>0</v>
      </c>
      <c r="K417">
        <v>0</v>
      </c>
      <c r="L417">
        <v>20146</v>
      </c>
      <c r="M417">
        <v>0</v>
      </c>
      <c r="N417">
        <v>6199</v>
      </c>
      <c r="O417">
        <v>0</v>
      </c>
      <c r="P417">
        <v>0</v>
      </c>
      <c r="R417">
        <v>0</v>
      </c>
      <c r="S417">
        <v>0</v>
      </c>
      <c r="T417" t="s">
        <v>153</v>
      </c>
      <c r="U417">
        <v>6</v>
      </c>
      <c r="V417" t="s">
        <v>98</v>
      </c>
      <c r="W417" t="s">
        <v>135</v>
      </c>
      <c r="X417" t="s">
        <v>135</v>
      </c>
      <c r="Y417" t="s">
        <v>89</v>
      </c>
      <c r="Z417">
        <v>1</v>
      </c>
      <c r="AA417">
        <f>IF(AND(D417&gt;=配装计算器!$I$29,D417&lt;=配装计算器!$I$30),1,0)</f>
        <v>1</v>
      </c>
      <c r="AB417">
        <f t="shared" si="155"/>
        <v>0</v>
      </c>
      <c r="AC417">
        <f t="shared" si="156"/>
        <v>0</v>
      </c>
      <c r="AD417">
        <f t="shared" si="157"/>
        <v>1</v>
      </c>
      <c r="AE417">
        <f t="shared" si="158"/>
        <v>0</v>
      </c>
      <c r="AF417">
        <f t="shared" si="159"/>
        <v>1</v>
      </c>
      <c r="AG417">
        <f t="shared" si="160"/>
        <v>0</v>
      </c>
      <c r="AH417">
        <f t="shared" si="161"/>
        <v>0</v>
      </c>
      <c r="AI417">
        <f t="shared" si="162"/>
        <v>1</v>
      </c>
      <c r="AJ417">
        <f t="shared" si="163"/>
        <v>1</v>
      </c>
      <c r="AK417">
        <f>SUM(AJ$2:$AJ417)</f>
        <v>416</v>
      </c>
    </row>
    <row r="418" spans="1:37">
      <c r="A418" t="s">
        <v>1252</v>
      </c>
      <c r="B418" t="s">
        <v>1346</v>
      </c>
      <c r="C418" t="s">
        <v>1325</v>
      </c>
      <c r="D418">
        <v>41400</v>
      </c>
      <c r="E418" t="s">
        <v>1347</v>
      </c>
      <c r="F418">
        <v>11364</v>
      </c>
      <c r="G418">
        <v>0</v>
      </c>
      <c r="I418">
        <v>1404</v>
      </c>
      <c r="J418">
        <v>20146</v>
      </c>
      <c r="K418">
        <v>0</v>
      </c>
      <c r="L418">
        <v>0</v>
      </c>
      <c r="M418">
        <v>0</v>
      </c>
      <c r="N418">
        <v>6199</v>
      </c>
      <c r="O418">
        <v>0</v>
      </c>
      <c r="P418">
        <v>0</v>
      </c>
      <c r="R418">
        <v>0</v>
      </c>
      <c r="S418">
        <v>0</v>
      </c>
      <c r="T418" t="s">
        <v>184</v>
      </c>
      <c r="U418">
        <v>6</v>
      </c>
      <c r="V418" t="s">
        <v>98</v>
      </c>
      <c r="W418" t="s">
        <v>123</v>
      </c>
      <c r="X418" t="s">
        <v>123</v>
      </c>
      <c r="Y418" t="s">
        <v>89</v>
      </c>
      <c r="Z418">
        <v>1</v>
      </c>
      <c r="AA418">
        <f>IF(AND(D418&gt;=配装计算器!$I$29,D418&lt;=配装计算器!$I$30),1,0)</f>
        <v>1</v>
      </c>
      <c r="AB418">
        <f t="shared" si="155"/>
        <v>1</v>
      </c>
      <c r="AC418">
        <f t="shared" si="156"/>
        <v>0</v>
      </c>
      <c r="AD418">
        <f t="shared" si="157"/>
        <v>0</v>
      </c>
      <c r="AE418">
        <f t="shared" si="158"/>
        <v>0</v>
      </c>
      <c r="AF418">
        <f t="shared" si="159"/>
        <v>1</v>
      </c>
      <c r="AG418">
        <f t="shared" si="160"/>
        <v>0</v>
      </c>
      <c r="AH418">
        <f t="shared" si="161"/>
        <v>0</v>
      </c>
      <c r="AI418">
        <f t="shared" si="162"/>
        <v>1</v>
      </c>
      <c r="AJ418">
        <f t="shared" si="163"/>
        <v>1</v>
      </c>
      <c r="AK418">
        <f>SUM(AJ$2:$AJ418)</f>
        <v>417</v>
      </c>
    </row>
    <row r="419" spans="1:37">
      <c r="A419" t="s">
        <v>1252</v>
      </c>
      <c r="B419" t="s">
        <v>1348</v>
      </c>
      <c r="C419" t="s">
        <v>1291</v>
      </c>
      <c r="D419">
        <v>42100</v>
      </c>
      <c r="E419" t="s">
        <v>1349</v>
      </c>
      <c r="F419">
        <v>11556</v>
      </c>
      <c r="G419">
        <v>943</v>
      </c>
      <c r="I419">
        <v>2141</v>
      </c>
      <c r="J419">
        <v>0</v>
      </c>
      <c r="K419">
        <v>0</v>
      </c>
      <c r="L419">
        <v>0</v>
      </c>
      <c r="M419">
        <v>7879</v>
      </c>
      <c r="N419">
        <v>6304</v>
      </c>
      <c r="O419">
        <v>0</v>
      </c>
      <c r="P419">
        <v>0</v>
      </c>
      <c r="R419">
        <v>0</v>
      </c>
      <c r="S419">
        <v>0</v>
      </c>
      <c r="T419" t="s">
        <v>107</v>
      </c>
      <c r="U419">
        <v>6</v>
      </c>
      <c r="V419" t="s">
        <v>1283</v>
      </c>
      <c r="W419" t="s">
        <v>123</v>
      </c>
      <c r="X419" t="s">
        <v>123</v>
      </c>
      <c r="Y419" t="s">
        <v>89</v>
      </c>
      <c r="Z419">
        <v>1</v>
      </c>
      <c r="AA419">
        <f>IF(AND(D419&gt;=配装计算器!$I$29,D419&lt;=配装计算器!$I$30),1,0)</f>
        <v>1</v>
      </c>
      <c r="AB419">
        <f t="shared" si="155"/>
        <v>0</v>
      </c>
      <c r="AC419">
        <f t="shared" si="156"/>
        <v>0</v>
      </c>
      <c r="AD419">
        <f t="shared" si="157"/>
        <v>0</v>
      </c>
      <c r="AE419">
        <f t="shared" si="158"/>
        <v>1</v>
      </c>
      <c r="AF419">
        <f t="shared" si="159"/>
        <v>1</v>
      </c>
      <c r="AG419">
        <f t="shared" si="160"/>
        <v>0</v>
      </c>
      <c r="AH419">
        <f t="shared" si="161"/>
        <v>0</v>
      </c>
      <c r="AI419">
        <f t="shared" si="162"/>
        <v>0</v>
      </c>
      <c r="AJ419">
        <f t="shared" si="163"/>
        <v>1</v>
      </c>
      <c r="AK419">
        <f>SUM(AJ$2:$AJ419)</f>
        <v>418</v>
      </c>
    </row>
    <row r="420" spans="1:37">
      <c r="A420" t="s">
        <v>1252</v>
      </c>
      <c r="B420" t="s">
        <v>1350</v>
      </c>
      <c r="C420" t="s">
        <v>1351</v>
      </c>
      <c r="D420">
        <v>42400</v>
      </c>
      <c r="E420" t="s">
        <v>1352</v>
      </c>
      <c r="F420">
        <v>11639</v>
      </c>
      <c r="G420">
        <v>882</v>
      </c>
      <c r="I420">
        <v>1438</v>
      </c>
      <c r="J420">
        <v>7936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3174</v>
      </c>
      <c r="R420">
        <v>0</v>
      </c>
      <c r="S420">
        <v>0</v>
      </c>
      <c r="T420" t="s">
        <v>93</v>
      </c>
      <c r="U420">
        <v>6</v>
      </c>
      <c r="V420" t="s">
        <v>145</v>
      </c>
      <c r="W420" t="s">
        <v>94</v>
      </c>
      <c r="X420" t="s">
        <v>94</v>
      </c>
      <c r="Y420" t="s">
        <v>89</v>
      </c>
      <c r="Z420">
        <v>2</v>
      </c>
      <c r="AA420">
        <f>IF(AND(D420&gt;=配装计算器!$I$29,D420&lt;=配装计算器!$I$30),1,0)</f>
        <v>1</v>
      </c>
      <c r="AB420">
        <f t="shared" si="155"/>
        <v>1</v>
      </c>
      <c r="AC420">
        <f t="shared" si="156"/>
        <v>0</v>
      </c>
      <c r="AD420">
        <f t="shared" si="157"/>
        <v>0</v>
      </c>
      <c r="AE420">
        <f t="shared" si="158"/>
        <v>0</v>
      </c>
      <c r="AF420">
        <f t="shared" si="159"/>
        <v>0</v>
      </c>
      <c r="AG420">
        <f t="shared" si="160"/>
        <v>0</v>
      </c>
      <c r="AH420">
        <f t="shared" si="161"/>
        <v>1</v>
      </c>
      <c r="AI420">
        <f t="shared" si="162"/>
        <v>0</v>
      </c>
      <c r="AJ420">
        <f t="shared" si="163"/>
        <v>1</v>
      </c>
      <c r="AK420">
        <f>SUM(AJ$2:$AJ420)</f>
        <v>419</v>
      </c>
    </row>
    <row r="421" spans="1:37">
      <c r="A421" t="s">
        <v>1353</v>
      </c>
      <c r="B421" t="s">
        <v>1354</v>
      </c>
      <c r="C421" t="s">
        <v>1355</v>
      </c>
      <c r="D421">
        <v>30200</v>
      </c>
      <c r="E421" t="s">
        <v>1356</v>
      </c>
      <c r="F421">
        <v>11606</v>
      </c>
      <c r="G421">
        <v>879</v>
      </c>
      <c r="I421">
        <v>1434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7913</v>
      </c>
      <c r="P421">
        <v>3165</v>
      </c>
      <c r="R421">
        <v>0</v>
      </c>
      <c r="S421">
        <v>0</v>
      </c>
      <c r="T421" t="s">
        <v>228</v>
      </c>
      <c r="U421">
        <v>6</v>
      </c>
      <c r="V421" t="s">
        <v>87</v>
      </c>
      <c r="W421" t="s">
        <v>123</v>
      </c>
      <c r="X421" t="s">
        <v>135</v>
      </c>
      <c r="Y421" t="s">
        <v>89</v>
      </c>
      <c r="Z421">
        <v>2</v>
      </c>
      <c r="AA421">
        <f>IF(AND(D421&gt;=配装计算器!$I$29,D421&lt;=配装计算器!$I$30),1,0)</f>
        <v>1</v>
      </c>
      <c r="AB421">
        <f t="shared" si="155"/>
        <v>0</v>
      </c>
      <c r="AC421">
        <f t="shared" si="156"/>
        <v>0</v>
      </c>
      <c r="AD421">
        <f t="shared" si="157"/>
        <v>0</v>
      </c>
      <c r="AE421">
        <f t="shared" si="158"/>
        <v>0</v>
      </c>
      <c r="AF421">
        <f t="shared" si="159"/>
        <v>0</v>
      </c>
      <c r="AG421">
        <f t="shared" si="160"/>
        <v>1</v>
      </c>
      <c r="AH421">
        <f t="shared" si="161"/>
        <v>1</v>
      </c>
      <c r="AI421">
        <f t="shared" si="162"/>
        <v>0</v>
      </c>
      <c r="AJ421">
        <f t="shared" si="163"/>
        <v>1</v>
      </c>
      <c r="AK421">
        <f>SUM(AJ$2:$AJ421)</f>
        <v>420</v>
      </c>
    </row>
    <row r="422" spans="1:37">
      <c r="A422" t="s">
        <v>1353</v>
      </c>
      <c r="B422" t="s">
        <v>1357</v>
      </c>
      <c r="C422" t="s">
        <v>1358</v>
      </c>
      <c r="D422">
        <v>30200</v>
      </c>
      <c r="E422" t="s">
        <v>1359</v>
      </c>
      <c r="F422">
        <v>11606</v>
      </c>
      <c r="G422">
        <v>879</v>
      </c>
      <c r="I422">
        <v>1434</v>
      </c>
      <c r="J422">
        <v>0</v>
      </c>
      <c r="K422">
        <v>0</v>
      </c>
      <c r="L422">
        <v>7913</v>
      </c>
      <c r="M422">
        <v>0</v>
      </c>
      <c r="N422">
        <v>0</v>
      </c>
      <c r="O422">
        <v>0</v>
      </c>
      <c r="P422">
        <v>3165</v>
      </c>
      <c r="R422">
        <v>0</v>
      </c>
      <c r="S422">
        <v>0</v>
      </c>
      <c r="T422" t="s">
        <v>86</v>
      </c>
      <c r="U422">
        <v>6</v>
      </c>
      <c r="V422" t="s">
        <v>87</v>
      </c>
      <c r="W422" t="s">
        <v>229</v>
      </c>
      <c r="X422" t="s">
        <v>135</v>
      </c>
      <c r="Y422" t="s">
        <v>89</v>
      </c>
      <c r="Z422">
        <v>2</v>
      </c>
      <c r="AA422">
        <f>IF(AND(D422&gt;=配装计算器!$I$29,D422&lt;=配装计算器!$I$30),1,0)</f>
        <v>1</v>
      </c>
      <c r="AB422">
        <f t="shared" si="155"/>
        <v>0</v>
      </c>
      <c r="AC422">
        <f t="shared" si="156"/>
        <v>0</v>
      </c>
      <c r="AD422">
        <f t="shared" si="157"/>
        <v>1</v>
      </c>
      <c r="AE422">
        <f t="shared" si="158"/>
        <v>0</v>
      </c>
      <c r="AF422">
        <f t="shared" si="159"/>
        <v>0</v>
      </c>
      <c r="AG422">
        <f t="shared" si="160"/>
        <v>0</v>
      </c>
      <c r="AH422">
        <f t="shared" si="161"/>
        <v>1</v>
      </c>
      <c r="AI422">
        <f t="shared" si="162"/>
        <v>0</v>
      </c>
      <c r="AJ422">
        <f t="shared" si="163"/>
        <v>1</v>
      </c>
      <c r="AK422">
        <f>SUM(AJ$2:$AJ422)</f>
        <v>421</v>
      </c>
    </row>
    <row r="423" spans="1:37">
      <c r="A423" t="s">
        <v>1353</v>
      </c>
      <c r="B423" t="s">
        <v>1360</v>
      </c>
      <c r="C423" t="s">
        <v>1361</v>
      </c>
      <c r="D423">
        <v>30200</v>
      </c>
      <c r="E423" t="s">
        <v>1362</v>
      </c>
      <c r="F423">
        <v>11606</v>
      </c>
      <c r="G423">
        <v>879</v>
      </c>
      <c r="I423">
        <v>1434</v>
      </c>
      <c r="J423">
        <v>0</v>
      </c>
      <c r="K423">
        <v>0</v>
      </c>
      <c r="L423">
        <v>7913</v>
      </c>
      <c r="M423">
        <v>0</v>
      </c>
      <c r="N423">
        <v>0</v>
      </c>
      <c r="O423">
        <v>0</v>
      </c>
      <c r="P423">
        <v>3165</v>
      </c>
      <c r="R423">
        <v>0</v>
      </c>
      <c r="S423">
        <v>0</v>
      </c>
      <c r="T423" t="s">
        <v>86</v>
      </c>
      <c r="U423">
        <v>6</v>
      </c>
      <c r="V423" t="s">
        <v>98</v>
      </c>
      <c r="W423" t="s">
        <v>229</v>
      </c>
      <c r="X423" t="s">
        <v>135</v>
      </c>
      <c r="Y423" t="s">
        <v>89</v>
      </c>
      <c r="Z423">
        <v>2</v>
      </c>
      <c r="AA423">
        <f>IF(AND(D423&gt;=配装计算器!$I$29,D423&lt;=配装计算器!$I$30),1,0)</f>
        <v>1</v>
      </c>
      <c r="AB423">
        <f t="shared" si="155"/>
        <v>0</v>
      </c>
      <c r="AC423">
        <f t="shared" si="156"/>
        <v>0</v>
      </c>
      <c r="AD423">
        <f t="shared" si="157"/>
        <v>1</v>
      </c>
      <c r="AE423">
        <f t="shared" si="158"/>
        <v>0</v>
      </c>
      <c r="AF423">
        <f t="shared" si="159"/>
        <v>0</v>
      </c>
      <c r="AG423">
        <f t="shared" si="160"/>
        <v>0</v>
      </c>
      <c r="AH423">
        <f t="shared" si="161"/>
        <v>1</v>
      </c>
      <c r="AI423">
        <f t="shared" si="162"/>
        <v>0</v>
      </c>
      <c r="AJ423">
        <f t="shared" si="163"/>
        <v>1</v>
      </c>
      <c r="AK423">
        <f>SUM(AJ$2:$AJ423)</f>
        <v>422</v>
      </c>
    </row>
    <row r="424" spans="1:37">
      <c r="A424" t="s">
        <v>1353</v>
      </c>
      <c r="B424" t="s">
        <v>1363</v>
      </c>
      <c r="C424" t="s">
        <v>1364</v>
      </c>
      <c r="D424">
        <v>30200</v>
      </c>
      <c r="E424" t="s">
        <v>1365</v>
      </c>
      <c r="F424">
        <v>11606</v>
      </c>
      <c r="G424">
        <v>947</v>
      </c>
      <c r="I424">
        <v>2150</v>
      </c>
      <c r="J424">
        <v>0</v>
      </c>
      <c r="K424">
        <v>0</v>
      </c>
      <c r="L424">
        <v>7913</v>
      </c>
      <c r="M424">
        <v>0</v>
      </c>
      <c r="N424">
        <v>6330</v>
      </c>
      <c r="O424">
        <v>0</v>
      </c>
      <c r="P424">
        <v>0</v>
      </c>
      <c r="R424">
        <v>0</v>
      </c>
      <c r="S424">
        <v>0</v>
      </c>
      <c r="T424" t="s">
        <v>122</v>
      </c>
      <c r="U424">
        <v>6</v>
      </c>
      <c r="V424" t="s">
        <v>240</v>
      </c>
      <c r="W424" t="s">
        <v>123</v>
      </c>
      <c r="X424" t="s">
        <v>135</v>
      </c>
      <c r="Y424" t="s">
        <v>89</v>
      </c>
      <c r="Z424">
        <v>1</v>
      </c>
      <c r="AA424">
        <f>IF(AND(D424&gt;=配装计算器!$I$29,D424&lt;=配装计算器!$I$30),1,0)</f>
        <v>1</v>
      </c>
      <c r="AB424">
        <f t="shared" si="155"/>
        <v>0</v>
      </c>
      <c r="AC424">
        <f t="shared" si="156"/>
        <v>0</v>
      </c>
      <c r="AD424">
        <f t="shared" si="157"/>
        <v>1</v>
      </c>
      <c r="AE424">
        <f t="shared" si="158"/>
        <v>0</v>
      </c>
      <c r="AF424">
        <f t="shared" si="159"/>
        <v>1</v>
      </c>
      <c r="AG424">
        <f t="shared" si="160"/>
        <v>0</v>
      </c>
      <c r="AH424">
        <f t="shared" si="161"/>
        <v>0</v>
      </c>
      <c r="AI424">
        <f t="shared" si="162"/>
        <v>0</v>
      </c>
      <c r="AJ424">
        <f t="shared" si="163"/>
        <v>1</v>
      </c>
      <c r="AK424">
        <f>SUM(AJ$2:$AJ424)</f>
        <v>423</v>
      </c>
    </row>
    <row r="425" spans="1:37">
      <c r="A425" t="s">
        <v>1353</v>
      </c>
      <c r="B425" t="s">
        <v>1366</v>
      </c>
      <c r="C425" t="s">
        <v>1367</v>
      </c>
      <c r="D425">
        <v>30200</v>
      </c>
      <c r="E425" t="s">
        <v>1368</v>
      </c>
      <c r="F425">
        <v>11606</v>
      </c>
      <c r="G425">
        <v>947</v>
      </c>
      <c r="I425">
        <v>2150</v>
      </c>
      <c r="J425">
        <v>7913</v>
      </c>
      <c r="K425">
        <v>0</v>
      </c>
      <c r="L425">
        <v>0</v>
      </c>
      <c r="M425">
        <v>0</v>
      </c>
      <c r="N425">
        <v>6330</v>
      </c>
      <c r="O425">
        <v>0</v>
      </c>
      <c r="P425">
        <v>0</v>
      </c>
      <c r="R425">
        <v>0</v>
      </c>
      <c r="S425">
        <v>0</v>
      </c>
      <c r="T425" t="s">
        <v>102</v>
      </c>
      <c r="U425">
        <v>6</v>
      </c>
      <c r="V425" t="s">
        <v>103</v>
      </c>
      <c r="W425" t="s">
        <v>88</v>
      </c>
      <c r="X425" t="s">
        <v>108</v>
      </c>
      <c r="Y425" t="s">
        <v>89</v>
      </c>
      <c r="Z425">
        <v>1</v>
      </c>
      <c r="AA425">
        <f>IF(AND(D425&gt;=配装计算器!$I$29,D425&lt;=配装计算器!$I$30),1,0)</f>
        <v>1</v>
      </c>
      <c r="AB425">
        <f t="shared" si="155"/>
        <v>1</v>
      </c>
      <c r="AC425">
        <f t="shared" si="156"/>
        <v>0</v>
      </c>
      <c r="AD425">
        <f t="shared" si="157"/>
        <v>0</v>
      </c>
      <c r="AE425">
        <f t="shared" si="158"/>
        <v>0</v>
      </c>
      <c r="AF425">
        <f t="shared" si="159"/>
        <v>1</v>
      </c>
      <c r="AG425">
        <f t="shared" si="160"/>
        <v>0</v>
      </c>
      <c r="AH425">
        <f t="shared" si="161"/>
        <v>0</v>
      </c>
      <c r="AI425">
        <f t="shared" si="162"/>
        <v>0</v>
      </c>
      <c r="AJ425">
        <f t="shared" si="163"/>
        <v>1</v>
      </c>
      <c r="AK425">
        <f>SUM(AJ$2:$AJ425)</f>
        <v>424</v>
      </c>
    </row>
    <row r="426" spans="1:37">
      <c r="A426" t="s">
        <v>1353</v>
      </c>
      <c r="B426" t="s">
        <v>1369</v>
      </c>
      <c r="C426" t="s">
        <v>1370</v>
      </c>
      <c r="D426">
        <v>30200</v>
      </c>
      <c r="E426" t="s">
        <v>1371</v>
      </c>
      <c r="F426">
        <v>11606</v>
      </c>
      <c r="G426">
        <v>947</v>
      </c>
      <c r="I426">
        <v>2150</v>
      </c>
      <c r="J426">
        <v>0</v>
      </c>
      <c r="K426">
        <v>0</v>
      </c>
      <c r="L426">
        <v>0</v>
      </c>
      <c r="M426">
        <v>7913</v>
      </c>
      <c r="N426">
        <v>6330</v>
      </c>
      <c r="O426">
        <v>0</v>
      </c>
      <c r="P426">
        <v>0</v>
      </c>
      <c r="R426">
        <v>0</v>
      </c>
      <c r="S426">
        <v>0</v>
      </c>
      <c r="T426" t="s">
        <v>107</v>
      </c>
      <c r="U426">
        <v>6</v>
      </c>
      <c r="V426" t="s">
        <v>87</v>
      </c>
      <c r="W426" t="s">
        <v>88</v>
      </c>
      <c r="X426" t="s">
        <v>123</v>
      </c>
      <c r="Y426" t="s">
        <v>89</v>
      </c>
      <c r="Z426">
        <v>1</v>
      </c>
      <c r="AA426">
        <f>IF(AND(D426&gt;=配装计算器!$I$29,D426&lt;=配装计算器!$I$30),1,0)</f>
        <v>1</v>
      </c>
      <c r="AB426">
        <f t="shared" si="155"/>
        <v>0</v>
      </c>
      <c r="AC426">
        <f t="shared" si="156"/>
        <v>0</v>
      </c>
      <c r="AD426">
        <f t="shared" si="157"/>
        <v>0</v>
      </c>
      <c r="AE426">
        <f t="shared" si="158"/>
        <v>1</v>
      </c>
      <c r="AF426">
        <f t="shared" si="159"/>
        <v>1</v>
      </c>
      <c r="AG426">
        <f t="shared" si="160"/>
        <v>0</v>
      </c>
      <c r="AH426">
        <f t="shared" si="161"/>
        <v>0</v>
      </c>
      <c r="AI426">
        <f t="shared" si="162"/>
        <v>0</v>
      </c>
      <c r="AJ426">
        <f t="shared" si="163"/>
        <v>1</v>
      </c>
      <c r="AK426">
        <f>SUM(AJ$2:$AJ426)</f>
        <v>425</v>
      </c>
    </row>
    <row r="427" spans="1:37">
      <c r="A427" t="s">
        <v>1353</v>
      </c>
      <c r="B427" t="s">
        <v>1372</v>
      </c>
      <c r="C427" t="s">
        <v>1373</v>
      </c>
      <c r="D427">
        <v>30200</v>
      </c>
      <c r="E427" t="s">
        <v>1374</v>
      </c>
      <c r="F427">
        <v>11606</v>
      </c>
      <c r="G427">
        <v>947</v>
      </c>
      <c r="I427">
        <v>2150</v>
      </c>
      <c r="J427">
        <v>0</v>
      </c>
      <c r="K427">
        <v>0</v>
      </c>
      <c r="L427">
        <v>0</v>
      </c>
      <c r="M427">
        <v>0</v>
      </c>
      <c r="N427">
        <v>6330</v>
      </c>
      <c r="O427">
        <v>7913</v>
      </c>
      <c r="P427">
        <v>0</v>
      </c>
      <c r="R427">
        <v>0</v>
      </c>
      <c r="S427">
        <v>0</v>
      </c>
      <c r="T427" t="s">
        <v>115</v>
      </c>
      <c r="U427">
        <v>6</v>
      </c>
      <c r="V427" t="s">
        <v>87</v>
      </c>
      <c r="W427" t="s">
        <v>135</v>
      </c>
      <c r="X427" t="s">
        <v>108</v>
      </c>
      <c r="Y427" t="s">
        <v>89</v>
      </c>
      <c r="Z427">
        <v>1</v>
      </c>
      <c r="AA427">
        <f>IF(AND(D427&gt;=配装计算器!$I$29,D427&lt;=配装计算器!$I$30),1,0)</f>
        <v>1</v>
      </c>
      <c r="AB427">
        <f t="shared" si="155"/>
        <v>0</v>
      </c>
      <c r="AC427">
        <f t="shared" si="156"/>
        <v>0</v>
      </c>
      <c r="AD427">
        <f t="shared" si="157"/>
        <v>0</v>
      </c>
      <c r="AE427">
        <f t="shared" si="158"/>
        <v>0</v>
      </c>
      <c r="AF427">
        <f t="shared" si="159"/>
        <v>1</v>
      </c>
      <c r="AG427">
        <f t="shared" si="160"/>
        <v>1</v>
      </c>
      <c r="AH427">
        <f t="shared" si="161"/>
        <v>0</v>
      </c>
      <c r="AI427">
        <f t="shared" si="162"/>
        <v>0</v>
      </c>
      <c r="AJ427">
        <f t="shared" si="163"/>
        <v>1</v>
      </c>
      <c r="AK427">
        <f>SUM(AJ$2:$AJ427)</f>
        <v>426</v>
      </c>
    </row>
    <row r="428" spans="1:37">
      <c r="A428" t="s">
        <v>1353</v>
      </c>
      <c r="B428" t="s">
        <v>1375</v>
      </c>
      <c r="C428" t="s">
        <v>1376</v>
      </c>
      <c r="D428">
        <v>30200</v>
      </c>
      <c r="E428" t="s">
        <v>1377</v>
      </c>
      <c r="F428">
        <v>11606</v>
      </c>
      <c r="G428">
        <v>947</v>
      </c>
      <c r="I428">
        <v>2150</v>
      </c>
      <c r="J428">
        <v>0</v>
      </c>
      <c r="K428">
        <v>0</v>
      </c>
      <c r="L428">
        <v>0</v>
      </c>
      <c r="M428">
        <v>0</v>
      </c>
      <c r="N428">
        <v>6330</v>
      </c>
      <c r="O428">
        <v>7913</v>
      </c>
      <c r="P428">
        <v>0</v>
      </c>
      <c r="R428">
        <v>0</v>
      </c>
      <c r="S428">
        <v>0</v>
      </c>
      <c r="T428" t="s">
        <v>115</v>
      </c>
      <c r="U428">
        <v>6</v>
      </c>
      <c r="V428" t="s">
        <v>87</v>
      </c>
      <c r="W428" t="s">
        <v>135</v>
      </c>
      <c r="X428" t="s">
        <v>108</v>
      </c>
      <c r="Y428" t="s">
        <v>89</v>
      </c>
      <c r="Z428">
        <v>1</v>
      </c>
      <c r="AA428">
        <f>IF(AND(D428&gt;=配装计算器!$I$29,D428&lt;=配装计算器!$I$30),1,0)</f>
        <v>1</v>
      </c>
      <c r="AB428">
        <f t="shared" si="155"/>
        <v>0</v>
      </c>
      <c r="AC428">
        <f t="shared" si="156"/>
        <v>0</v>
      </c>
      <c r="AD428">
        <f t="shared" si="157"/>
        <v>0</v>
      </c>
      <c r="AE428">
        <f t="shared" si="158"/>
        <v>0</v>
      </c>
      <c r="AF428">
        <f t="shared" si="159"/>
        <v>1</v>
      </c>
      <c r="AG428">
        <f t="shared" si="160"/>
        <v>1</v>
      </c>
      <c r="AH428">
        <f t="shared" si="161"/>
        <v>0</v>
      </c>
      <c r="AI428">
        <f t="shared" si="162"/>
        <v>0</v>
      </c>
      <c r="AJ428">
        <f t="shared" si="163"/>
        <v>1</v>
      </c>
      <c r="AK428">
        <f>SUM(AJ$2:$AJ428)</f>
        <v>427</v>
      </c>
    </row>
    <row r="429" spans="1:37">
      <c r="A429" t="s">
        <v>1353</v>
      </c>
      <c r="B429" t="s">
        <v>1378</v>
      </c>
      <c r="C429" t="s">
        <v>1379</v>
      </c>
      <c r="D429">
        <v>30200</v>
      </c>
      <c r="E429" t="s">
        <v>1380</v>
      </c>
      <c r="F429">
        <v>11606</v>
      </c>
      <c r="G429">
        <v>947</v>
      </c>
      <c r="I429">
        <v>2150</v>
      </c>
      <c r="J429">
        <v>7913</v>
      </c>
      <c r="K429">
        <v>0</v>
      </c>
      <c r="L429">
        <v>0</v>
      </c>
      <c r="M429">
        <v>0</v>
      </c>
      <c r="N429">
        <v>6330</v>
      </c>
      <c r="O429">
        <v>0</v>
      </c>
      <c r="P429">
        <v>0</v>
      </c>
      <c r="R429">
        <v>0</v>
      </c>
      <c r="S429">
        <v>0</v>
      </c>
      <c r="T429" t="s">
        <v>102</v>
      </c>
      <c r="U429">
        <v>6</v>
      </c>
      <c r="V429" t="s">
        <v>87</v>
      </c>
      <c r="W429" t="s">
        <v>88</v>
      </c>
      <c r="X429" t="s">
        <v>108</v>
      </c>
      <c r="Y429" t="s">
        <v>89</v>
      </c>
      <c r="Z429">
        <v>1</v>
      </c>
      <c r="AA429">
        <f>IF(AND(D429&gt;=配装计算器!$I$29,D429&lt;=配装计算器!$I$30),1,0)</f>
        <v>1</v>
      </c>
      <c r="AB429">
        <f t="shared" si="155"/>
        <v>1</v>
      </c>
      <c r="AC429">
        <f t="shared" si="156"/>
        <v>0</v>
      </c>
      <c r="AD429">
        <f t="shared" si="157"/>
        <v>0</v>
      </c>
      <c r="AE429">
        <f t="shared" si="158"/>
        <v>0</v>
      </c>
      <c r="AF429">
        <f t="shared" si="159"/>
        <v>1</v>
      </c>
      <c r="AG429">
        <f t="shared" si="160"/>
        <v>0</v>
      </c>
      <c r="AH429">
        <f t="shared" si="161"/>
        <v>0</v>
      </c>
      <c r="AI429">
        <f t="shared" si="162"/>
        <v>0</v>
      </c>
      <c r="AJ429">
        <f t="shared" si="163"/>
        <v>1</v>
      </c>
      <c r="AK429">
        <f>SUM(AJ$2:$AJ429)</f>
        <v>428</v>
      </c>
    </row>
    <row r="430" spans="1:37">
      <c r="A430" t="s">
        <v>1353</v>
      </c>
      <c r="B430" t="s">
        <v>1381</v>
      </c>
      <c r="C430" t="s">
        <v>1382</v>
      </c>
      <c r="D430">
        <v>30200</v>
      </c>
      <c r="E430" t="s">
        <v>1383</v>
      </c>
      <c r="F430">
        <v>11606</v>
      </c>
      <c r="G430">
        <v>947</v>
      </c>
      <c r="I430">
        <v>2150</v>
      </c>
      <c r="J430">
        <v>7913</v>
      </c>
      <c r="K430">
        <v>0</v>
      </c>
      <c r="L430">
        <v>0</v>
      </c>
      <c r="M430">
        <v>0</v>
      </c>
      <c r="N430">
        <v>6330</v>
      </c>
      <c r="O430">
        <v>0</v>
      </c>
      <c r="P430">
        <v>0</v>
      </c>
      <c r="R430">
        <v>0</v>
      </c>
      <c r="S430">
        <v>0</v>
      </c>
      <c r="T430" t="s">
        <v>102</v>
      </c>
      <c r="U430">
        <v>6</v>
      </c>
      <c r="V430" t="s">
        <v>87</v>
      </c>
      <c r="W430" t="s">
        <v>88</v>
      </c>
      <c r="X430" t="s">
        <v>108</v>
      </c>
      <c r="Y430" t="s">
        <v>89</v>
      </c>
      <c r="Z430">
        <v>1</v>
      </c>
      <c r="AA430">
        <f>IF(AND(D430&gt;=配装计算器!$I$29,D430&lt;=配装计算器!$I$30),1,0)</f>
        <v>1</v>
      </c>
      <c r="AB430">
        <f t="shared" si="155"/>
        <v>1</v>
      </c>
      <c r="AC430">
        <f t="shared" si="156"/>
        <v>0</v>
      </c>
      <c r="AD430">
        <f t="shared" si="157"/>
        <v>0</v>
      </c>
      <c r="AE430">
        <f t="shared" si="158"/>
        <v>0</v>
      </c>
      <c r="AF430">
        <f t="shared" si="159"/>
        <v>1</v>
      </c>
      <c r="AG430">
        <f t="shared" si="160"/>
        <v>0</v>
      </c>
      <c r="AH430">
        <f t="shared" si="161"/>
        <v>0</v>
      </c>
      <c r="AI430">
        <f t="shared" si="162"/>
        <v>0</v>
      </c>
      <c r="AJ430">
        <f t="shared" si="163"/>
        <v>1</v>
      </c>
      <c r="AK430">
        <f>SUM(AJ$2:$AJ430)</f>
        <v>429</v>
      </c>
    </row>
    <row r="431" spans="1:37">
      <c r="A431" t="s">
        <v>1353</v>
      </c>
      <c r="B431" t="s">
        <v>1384</v>
      </c>
      <c r="C431" t="s">
        <v>1385</v>
      </c>
      <c r="D431">
        <v>30200</v>
      </c>
      <c r="E431" t="s">
        <v>1386</v>
      </c>
      <c r="F431">
        <v>11606</v>
      </c>
      <c r="G431">
        <v>947</v>
      </c>
      <c r="I431">
        <v>2150</v>
      </c>
      <c r="J431">
        <v>7913</v>
      </c>
      <c r="K431">
        <v>0</v>
      </c>
      <c r="L431">
        <v>0</v>
      </c>
      <c r="M431">
        <v>0</v>
      </c>
      <c r="N431">
        <v>6330</v>
      </c>
      <c r="O431">
        <v>0</v>
      </c>
      <c r="P431">
        <v>0</v>
      </c>
      <c r="R431">
        <v>0</v>
      </c>
      <c r="S431">
        <v>0</v>
      </c>
      <c r="T431" t="s">
        <v>102</v>
      </c>
      <c r="U431">
        <v>6</v>
      </c>
      <c r="V431" t="s">
        <v>130</v>
      </c>
      <c r="W431" t="s">
        <v>88</v>
      </c>
      <c r="X431" t="s">
        <v>108</v>
      </c>
      <c r="Y431" t="s">
        <v>89</v>
      </c>
      <c r="Z431">
        <v>1</v>
      </c>
      <c r="AA431">
        <f>IF(AND(D431&gt;=配装计算器!$I$29,D431&lt;=配装计算器!$I$30),1,0)</f>
        <v>1</v>
      </c>
      <c r="AB431">
        <f t="shared" si="155"/>
        <v>1</v>
      </c>
      <c r="AC431">
        <f t="shared" si="156"/>
        <v>0</v>
      </c>
      <c r="AD431">
        <f t="shared" si="157"/>
        <v>0</v>
      </c>
      <c r="AE431">
        <f t="shared" si="158"/>
        <v>0</v>
      </c>
      <c r="AF431">
        <f t="shared" si="159"/>
        <v>1</v>
      </c>
      <c r="AG431">
        <f t="shared" si="160"/>
        <v>0</v>
      </c>
      <c r="AH431">
        <f t="shared" si="161"/>
        <v>0</v>
      </c>
      <c r="AI431">
        <f t="shared" si="162"/>
        <v>0</v>
      </c>
      <c r="AJ431">
        <f t="shared" si="163"/>
        <v>1</v>
      </c>
      <c r="AK431">
        <f>SUM(AJ$2:$AJ431)</f>
        <v>430</v>
      </c>
    </row>
    <row r="432" spans="1:37">
      <c r="A432" t="s">
        <v>1353</v>
      </c>
      <c r="B432" t="s">
        <v>1387</v>
      </c>
      <c r="C432" t="s">
        <v>1388</v>
      </c>
      <c r="D432">
        <v>30200</v>
      </c>
      <c r="E432" t="s">
        <v>1389</v>
      </c>
      <c r="F432">
        <v>11606</v>
      </c>
      <c r="G432">
        <v>947</v>
      </c>
      <c r="I432">
        <v>2150</v>
      </c>
      <c r="J432">
        <v>7913</v>
      </c>
      <c r="K432">
        <v>0</v>
      </c>
      <c r="L432">
        <v>0</v>
      </c>
      <c r="M432">
        <v>0</v>
      </c>
      <c r="N432">
        <v>6330</v>
      </c>
      <c r="O432">
        <v>0</v>
      </c>
      <c r="P432">
        <v>0</v>
      </c>
      <c r="R432">
        <v>0</v>
      </c>
      <c r="S432">
        <v>0</v>
      </c>
      <c r="T432" t="s">
        <v>102</v>
      </c>
      <c r="U432">
        <v>6</v>
      </c>
      <c r="V432" t="s">
        <v>269</v>
      </c>
      <c r="W432" t="s">
        <v>88</v>
      </c>
      <c r="X432" t="s">
        <v>108</v>
      </c>
      <c r="Y432" t="s">
        <v>89</v>
      </c>
      <c r="Z432">
        <v>1</v>
      </c>
      <c r="AA432">
        <f>IF(AND(D432&gt;=配装计算器!$I$29,D432&lt;=配装计算器!$I$30),1,0)</f>
        <v>1</v>
      </c>
      <c r="AB432">
        <f t="shared" si="155"/>
        <v>1</v>
      </c>
      <c r="AC432">
        <f t="shared" si="156"/>
        <v>0</v>
      </c>
      <c r="AD432">
        <f t="shared" si="157"/>
        <v>0</v>
      </c>
      <c r="AE432">
        <f t="shared" si="158"/>
        <v>0</v>
      </c>
      <c r="AF432">
        <f t="shared" si="159"/>
        <v>1</v>
      </c>
      <c r="AG432">
        <f t="shared" si="160"/>
        <v>0</v>
      </c>
      <c r="AH432">
        <f t="shared" si="161"/>
        <v>0</v>
      </c>
      <c r="AI432">
        <f t="shared" si="162"/>
        <v>0</v>
      </c>
      <c r="AJ432">
        <f t="shared" si="163"/>
        <v>1</v>
      </c>
      <c r="AK432">
        <f>SUM(AJ$2:$AJ432)</f>
        <v>431</v>
      </c>
    </row>
    <row r="433" spans="1:37">
      <c r="A433" t="s">
        <v>1353</v>
      </c>
      <c r="B433" t="s">
        <v>1390</v>
      </c>
      <c r="C433" t="s">
        <v>1391</v>
      </c>
      <c r="D433">
        <v>30200</v>
      </c>
      <c r="E433" t="s">
        <v>1392</v>
      </c>
      <c r="F433">
        <v>11606</v>
      </c>
      <c r="G433">
        <v>0</v>
      </c>
      <c r="I433">
        <v>4157</v>
      </c>
      <c r="J433">
        <v>0</v>
      </c>
      <c r="K433">
        <v>0</v>
      </c>
      <c r="L433">
        <v>5275</v>
      </c>
      <c r="M433">
        <v>5275</v>
      </c>
      <c r="N433">
        <v>5275</v>
      </c>
      <c r="O433">
        <v>0</v>
      </c>
      <c r="P433">
        <v>0</v>
      </c>
      <c r="R433">
        <v>0</v>
      </c>
      <c r="S433">
        <v>0</v>
      </c>
      <c r="T433" t="s">
        <v>181</v>
      </c>
      <c r="U433">
        <v>6</v>
      </c>
      <c r="V433" t="s">
        <v>98</v>
      </c>
      <c r="W433" t="s">
        <v>94</v>
      </c>
      <c r="X433" t="s">
        <v>108</v>
      </c>
      <c r="Y433" t="s">
        <v>89</v>
      </c>
      <c r="Z433">
        <v>1</v>
      </c>
      <c r="AA433">
        <f>IF(AND(D433&gt;=配装计算器!$I$29,D433&lt;=配装计算器!$I$30),1,0)</f>
        <v>1</v>
      </c>
      <c r="AB433">
        <f t="shared" ref="AB433:AB496" si="173">IF(J433&gt;0,1,0)</f>
        <v>0</v>
      </c>
      <c r="AC433">
        <f t="shared" ref="AC433:AC496" si="174">IF(K433&gt;0,1,0)</f>
        <v>0</v>
      </c>
      <c r="AD433">
        <f t="shared" ref="AD433:AD496" si="175">IF(L433&gt;0,1,0)</f>
        <v>1</v>
      </c>
      <c r="AE433">
        <f t="shared" ref="AE433:AE496" si="176">IF(M433&gt;0,1,0)</f>
        <v>1</v>
      </c>
      <c r="AF433">
        <f t="shared" ref="AF433:AF496" si="177">IF(N433&gt;0,1,0)</f>
        <v>1</v>
      </c>
      <c r="AG433">
        <f t="shared" ref="AG433:AG496" si="178">IF(O433&gt;0,1,0)</f>
        <v>0</v>
      </c>
      <c r="AH433">
        <f t="shared" ref="AH433:AH496" si="179">IF(P433&gt;0,1,0)</f>
        <v>0</v>
      </c>
      <c r="AI433">
        <f t="shared" ref="AI433:AI496" si="180">IF(COUNTIF(T433,"*"&amp;"精简"&amp;"*")&gt;0,1,0)</f>
        <v>1</v>
      </c>
      <c r="AJ433">
        <f t="shared" ref="AJ433:AJ496" si="181">MIN(1,AA433*($AY$2+IF(AND(AB433&gt;=$AQ$3,AC433&gt;=$AR$3,AD433&gt;=$AS$3,AE433&gt;=$AT$3,AF433&gt;=$AU$3,AG433&gt;=$AV$3,AH433&gt;=$AW$3,AI433&gt;=$AX$3),1,0)))</f>
        <v>1</v>
      </c>
      <c r="AK433">
        <f>SUM(AJ$2:$AJ433)</f>
        <v>432</v>
      </c>
    </row>
    <row r="434" spans="1:37">
      <c r="A434" t="s">
        <v>1353</v>
      </c>
      <c r="B434" t="s">
        <v>1393</v>
      </c>
      <c r="C434" t="s">
        <v>1391</v>
      </c>
      <c r="D434">
        <v>30200</v>
      </c>
      <c r="E434" t="s">
        <v>1394</v>
      </c>
      <c r="F434">
        <v>11606</v>
      </c>
      <c r="G434">
        <v>0</v>
      </c>
      <c r="I434">
        <v>3441</v>
      </c>
      <c r="J434">
        <v>12133</v>
      </c>
      <c r="K434">
        <v>0</v>
      </c>
      <c r="L434">
        <v>0</v>
      </c>
      <c r="M434">
        <v>0</v>
      </c>
      <c r="N434">
        <v>6330</v>
      </c>
      <c r="O434">
        <v>0</v>
      </c>
      <c r="P434">
        <v>0</v>
      </c>
      <c r="R434">
        <v>0</v>
      </c>
      <c r="S434">
        <v>0</v>
      </c>
      <c r="T434" t="s">
        <v>184</v>
      </c>
      <c r="U434">
        <v>6</v>
      </c>
      <c r="V434" t="s">
        <v>98</v>
      </c>
      <c r="W434" t="s">
        <v>185</v>
      </c>
      <c r="X434" t="s">
        <v>108</v>
      </c>
      <c r="Y434" t="s">
        <v>89</v>
      </c>
      <c r="Z434">
        <v>1</v>
      </c>
      <c r="AA434">
        <f>IF(AND(D434&gt;=配装计算器!$I$29,D434&lt;=配装计算器!$I$30),1,0)</f>
        <v>1</v>
      </c>
      <c r="AB434">
        <f t="shared" si="173"/>
        <v>1</v>
      </c>
      <c r="AC434">
        <f t="shared" si="174"/>
        <v>0</v>
      </c>
      <c r="AD434">
        <f t="shared" si="175"/>
        <v>0</v>
      </c>
      <c r="AE434">
        <f t="shared" si="176"/>
        <v>0</v>
      </c>
      <c r="AF434">
        <f t="shared" si="177"/>
        <v>1</v>
      </c>
      <c r="AG434">
        <f t="shared" si="178"/>
        <v>0</v>
      </c>
      <c r="AH434">
        <f t="shared" si="179"/>
        <v>0</v>
      </c>
      <c r="AI434">
        <f t="shared" si="180"/>
        <v>1</v>
      </c>
      <c r="AJ434">
        <f t="shared" si="181"/>
        <v>1</v>
      </c>
      <c r="AK434">
        <f>SUM(AJ$2:$AJ434)</f>
        <v>433</v>
      </c>
    </row>
    <row r="435" spans="1:37">
      <c r="A435" t="s">
        <v>1353</v>
      </c>
      <c r="B435" t="s">
        <v>1395</v>
      </c>
      <c r="C435" t="s">
        <v>1391</v>
      </c>
      <c r="D435">
        <v>30200</v>
      </c>
      <c r="E435" t="s">
        <v>1396</v>
      </c>
      <c r="F435">
        <v>11606</v>
      </c>
      <c r="G435">
        <v>0</v>
      </c>
      <c r="I435">
        <v>4157</v>
      </c>
      <c r="J435">
        <v>5275</v>
      </c>
      <c r="K435">
        <v>0</v>
      </c>
      <c r="L435">
        <v>5275</v>
      </c>
      <c r="M435">
        <v>0</v>
      </c>
      <c r="N435">
        <v>5275</v>
      </c>
      <c r="O435">
        <v>0</v>
      </c>
      <c r="P435">
        <v>0</v>
      </c>
      <c r="R435">
        <v>0</v>
      </c>
      <c r="S435">
        <v>0</v>
      </c>
      <c r="T435" t="s">
        <v>188</v>
      </c>
      <c r="U435">
        <v>6</v>
      </c>
      <c r="V435" t="s">
        <v>98</v>
      </c>
      <c r="W435" t="s">
        <v>185</v>
      </c>
      <c r="X435" t="s">
        <v>123</v>
      </c>
      <c r="Y435" t="s">
        <v>89</v>
      </c>
      <c r="Z435">
        <v>1</v>
      </c>
      <c r="AA435">
        <f>IF(AND(D435&gt;=配装计算器!$I$29,D435&lt;=配装计算器!$I$30),1,0)</f>
        <v>1</v>
      </c>
      <c r="AB435">
        <f t="shared" si="173"/>
        <v>1</v>
      </c>
      <c r="AC435">
        <f t="shared" si="174"/>
        <v>0</v>
      </c>
      <c r="AD435">
        <f t="shared" si="175"/>
        <v>1</v>
      </c>
      <c r="AE435">
        <f t="shared" si="176"/>
        <v>0</v>
      </c>
      <c r="AF435">
        <f t="shared" si="177"/>
        <v>1</v>
      </c>
      <c r="AG435">
        <f t="shared" si="178"/>
        <v>0</v>
      </c>
      <c r="AH435">
        <f t="shared" si="179"/>
        <v>0</v>
      </c>
      <c r="AI435">
        <f t="shared" si="180"/>
        <v>1</v>
      </c>
      <c r="AJ435">
        <f t="shared" si="181"/>
        <v>1</v>
      </c>
      <c r="AK435">
        <f>SUM(AJ$2:$AJ435)</f>
        <v>434</v>
      </c>
    </row>
    <row r="436" spans="1:37">
      <c r="A436" t="s">
        <v>1353</v>
      </c>
      <c r="B436" t="s">
        <v>1397</v>
      </c>
      <c r="C436" t="s">
        <v>1398</v>
      </c>
      <c r="D436">
        <v>30700</v>
      </c>
      <c r="E436" t="s">
        <v>1399</v>
      </c>
      <c r="F436">
        <v>11798</v>
      </c>
      <c r="G436">
        <v>894</v>
      </c>
      <c r="I436">
        <v>1457</v>
      </c>
      <c r="J436">
        <v>0</v>
      </c>
      <c r="K436">
        <v>0</v>
      </c>
      <c r="L436">
        <v>8044</v>
      </c>
      <c r="M436">
        <v>0</v>
      </c>
      <c r="N436">
        <v>0</v>
      </c>
      <c r="O436">
        <v>0</v>
      </c>
      <c r="P436">
        <v>3218</v>
      </c>
      <c r="R436">
        <v>0</v>
      </c>
      <c r="S436">
        <v>0</v>
      </c>
      <c r="T436" t="s">
        <v>86</v>
      </c>
      <c r="U436">
        <v>6</v>
      </c>
      <c r="V436" t="s">
        <v>145</v>
      </c>
      <c r="W436" t="s">
        <v>229</v>
      </c>
      <c r="X436" t="s">
        <v>135</v>
      </c>
      <c r="Y436" t="s">
        <v>89</v>
      </c>
      <c r="Z436">
        <v>2</v>
      </c>
      <c r="AA436">
        <f>IF(AND(D436&gt;=配装计算器!$I$29,D436&lt;=配装计算器!$I$30),1,0)</f>
        <v>1</v>
      </c>
      <c r="AB436">
        <f t="shared" si="173"/>
        <v>0</v>
      </c>
      <c r="AC436">
        <f t="shared" si="174"/>
        <v>0</v>
      </c>
      <c r="AD436">
        <f t="shared" si="175"/>
        <v>1</v>
      </c>
      <c r="AE436">
        <f t="shared" si="176"/>
        <v>0</v>
      </c>
      <c r="AF436">
        <f t="shared" si="177"/>
        <v>0</v>
      </c>
      <c r="AG436">
        <f t="shared" si="178"/>
        <v>0</v>
      </c>
      <c r="AH436">
        <f t="shared" si="179"/>
        <v>1</v>
      </c>
      <c r="AI436">
        <f t="shared" si="180"/>
        <v>0</v>
      </c>
      <c r="AJ436">
        <f t="shared" si="181"/>
        <v>1</v>
      </c>
      <c r="AK436">
        <f>SUM(AJ$2:$AJ436)</f>
        <v>435</v>
      </c>
    </row>
    <row r="437" spans="1:37">
      <c r="A437" t="s">
        <v>1353</v>
      </c>
      <c r="B437" t="s">
        <v>1400</v>
      </c>
      <c r="C437" t="s">
        <v>1401</v>
      </c>
      <c r="D437">
        <v>30700</v>
      </c>
      <c r="E437" t="s">
        <v>1402</v>
      </c>
      <c r="F437">
        <v>11798</v>
      </c>
      <c r="G437">
        <v>963</v>
      </c>
      <c r="I437">
        <v>2186</v>
      </c>
      <c r="J437">
        <v>0</v>
      </c>
      <c r="K437">
        <v>0</v>
      </c>
      <c r="L437">
        <v>0</v>
      </c>
      <c r="M437">
        <v>8044</v>
      </c>
      <c r="N437">
        <v>6435</v>
      </c>
      <c r="O437">
        <v>0</v>
      </c>
      <c r="P437">
        <v>0</v>
      </c>
      <c r="R437">
        <v>0</v>
      </c>
      <c r="S437">
        <v>0</v>
      </c>
      <c r="T437" t="s">
        <v>107</v>
      </c>
      <c r="U437">
        <v>6</v>
      </c>
      <c r="V437" t="s">
        <v>327</v>
      </c>
      <c r="W437" t="s">
        <v>88</v>
      </c>
      <c r="X437" t="s">
        <v>123</v>
      </c>
      <c r="Y437" t="s">
        <v>89</v>
      </c>
      <c r="Z437">
        <v>1</v>
      </c>
      <c r="AA437">
        <f>IF(AND(D437&gt;=配装计算器!$I$29,D437&lt;=配装计算器!$I$30),1,0)</f>
        <v>1</v>
      </c>
      <c r="AB437">
        <f t="shared" si="173"/>
        <v>0</v>
      </c>
      <c r="AC437">
        <f t="shared" si="174"/>
        <v>0</v>
      </c>
      <c r="AD437">
        <f t="shared" si="175"/>
        <v>0</v>
      </c>
      <c r="AE437">
        <f t="shared" si="176"/>
        <v>1</v>
      </c>
      <c r="AF437">
        <f t="shared" si="177"/>
        <v>1</v>
      </c>
      <c r="AG437">
        <f t="shared" si="178"/>
        <v>0</v>
      </c>
      <c r="AH437">
        <f t="shared" si="179"/>
        <v>0</v>
      </c>
      <c r="AI437">
        <f t="shared" si="180"/>
        <v>0</v>
      </c>
      <c r="AJ437">
        <f t="shared" si="181"/>
        <v>1</v>
      </c>
      <c r="AK437">
        <f>SUM(AJ$2:$AJ437)</f>
        <v>436</v>
      </c>
    </row>
    <row r="438" spans="1:37">
      <c r="A438" t="s">
        <v>1353</v>
      </c>
      <c r="B438" t="s">
        <v>1403</v>
      </c>
      <c r="C438" t="s">
        <v>1404</v>
      </c>
      <c r="D438">
        <v>32500</v>
      </c>
      <c r="E438" t="s">
        <v>1405</v>
      </c>
      <c r="F438">
        <v>12490</v>
      </c>
      <c r="G438">
        <v>0</v>
      </c>
      <c r="I438">
        <v>5245</v>
      </c>
      <c r="J438">
        <v>0</v>
      </c>
      <c r="K438">
        <v>0</v>
      </c>
      <c r="L438">
        <v>0</v>
      </c>
      <c r="M438">
        <v>0</v>
      </c>
      <c r="N438">
        <v>12490</v>
      </c>
      <c r="O438">
        <v>0</v>
      </c>
      <c r="P438">
        <v>0</v>
      </c>
      <c r="R438">
        <v>0</v>
      </c>
      <c r="S438">
        <v>0</v>
      </c>
      <c r="T438" t="s">
        <v>134</v>
      </c>
      <c r="U438">
        <v>6</v>
      </c>
      <c r="V438" t="s">
        <v>98</v>
      </c>
      <c r="W438" t="s">
        <v>135</v>
      </c>
      <c r="X438" t="s">
        <v>108</v>
      </c>
      <c r="Y438" t="s">
        <v>89</v>
      </c>
      <c r="Z438">
        <v>1</v>
      </c>
      <c r="AA438">
        <f>IF(AND(D438&gt;=配装计算器!$I$29,D438&lt;=配装计算器!$I$30),1,0)</f>
        <v>1</v>
      </c>
      <c r="AB438">
        <f t="shared" si="173"/>
        <v>0</v>
      </c>
      <c r="AC438">
        <f t="shared" si="174"/>
        <v>0</v>
      </c>
      <c r="AD438">
        <f t="shared" si="175"/>
        <v>0</v>
      </c>
      <c r="AE438">
        <f t="shared" si="176"/>
        <v>0</v>
      </c>
      <c r="AF438">
        <f t="shared" si="177"/>
        <v>1</v>
      </c>
      <c r="AG438">
        <f t="shared" si="178"/>
        <v>0</v>
      </c>
      <c r="AH438">
        <f t="shared" si="179"/>
        <v>0</v>
      </c>
      <c r="AI438">
        <f t="shared" si="180"/>
        <v>1</v>
      </c>
      <c r="AJ438">
        <f t="shared" si="181"/>
        <v>1</v>
      </c>
      <c r="AK438">
        <f>SUM(AJ$2:$AJ438)</f>
        <v>437</v>
      </c>
    </row>
    <row r="439" spans="1:37">
      <c r="A439" t="s">
        <v>1353</v>
      </c>
      <c r="B439" t="s">
        <v>1406</v>
      </c>
      <c r="C439" t="s">
        <v>1404</v>
      </c>
      <c r="D439">
        <v>32500</v>
      </c>
      <c r="E439" t="s">
        <v>1407</v>
      </c>
      <c r="F439">
        <v>12490</v>
      </c>
      <c r="G439">
        <v>0</v>
      </c>
      <c r="I439">
        <v>3703</v>
      </c>
      <c r="J439">
        <v>0</v>
      </c>
      <c r="K439">
        <v>0</v>
      </c>
      <c r="L439">
        <v>6245</v>
      </c>
      <c r="M439">
        <v>0</v>
      </c>
      <c r="N439">
        <v>12490</v>
      </c>
      <c r="O439">
        <v>0</v>
      </c>
      <c r="P439">
        <v>0</v>
      </c>
      <c r="R439">
        <v>0</v>
      </c>
      <c r="S439">
        <v>0</v>
      </c>
      <c r="T439" t="s">
        <v>153</v>
      </c>
      <c r="U439">
        <v>6</v>
      </c>
      <c r="V439" t="s">
        <v>98</v>
      </c>
      <c r="W439" t="s">
        <v>154</v>
      </c>
      <c r="X439" t="s">
        <v>123</v>
      </c>
      <c r="Y439" t="s">
        <v>89</v>
      </c>
      <c r="Z439">
        <v>1</v>
      </c>
      <c r="AA439">
        <f>IF(AND(D439&gt;=配装计算器!$I$29,D439&lt;=配装计算器!$I$30),1,0)</f>
        <v>1</v>
      </c>
      <c r="AB439">
        <f t="shared" si="173"/>
        <v>0</v>
      </c>
      <c r="AC439">
        <f t="shared" si="174"/>
        <v>0</v>
      </c>
      <c r="AD439">
        <f t="shared" si="175"/>
        <v>1</v>
      </c>
      <c r="AE439">
        <f t="shared" si="176"/>
        <v>0</v>
      </c>
      <c r="AF439">
        <f t="shared" si="177"/>
        <v>1</v>
      </c>
      <c r="AG439">
        <f t="shared" si="178"/>
        <v>0</v>
      </c>
      <c r="AH439">
        <f t="shared" si="179"/>
        <v>0</v>
      </c>
      <c r="AI439">
        <f t="shared" si="180"/>
        <v>1</v>
      </c>
      <c r="AJ439">
        <f t="shared" si="181"/>
        <v>1</v>
      </c>
      <c r="AK439">
        <f>SUM(AJ$2:$AJ439)</f>
        <v>438</v>
      </c>
    </row>
    <row r="440" spans="1:37">
      <c r="A440" t="s">
        <v>1353</v>
      </c>
      <c r="B440" t="s">
        <v>1408</v>
      </c>
      <c r="C440" t="s">
        <v>1404</v>
      </c>
      <c r="D440">
        <v>32500</v>
      </c>
      <c r="E440" t="s">
        <v>1409</v>
      </c>
      <c r="F440">
        <v>12490</v>
      </c>
      <c r="G440">
        <v>0</v>
      </c>
      <c r="I440">
        <v>4474</v>
      </c>
      <c r="J440">
        <v>5677</v>
      </c>
      <c r="K440">
        <v>0</v>
      </c>
      <c r="L440">
        <v>0</v>
      </c>
      <c r="M440">
        <v>5677</v>
      </c>
      <c r="N440">
        <v>5677</v>
      </c>
      <c r="O440">
        <v>0</v>
      </c>
      <c r="P440">
        <v>0</v>
      </c>
      <c r="R440">
        <v>0</v>
      </c>
      <c r="S440">
        <v>0</v>
      </c>
      <c r="T440" t="s">
        <v>138</v>
      </c>
      <c r="U440">
        <v>6</v>
      </c>
      <c r="V440" t="s">
        <v>98</v>
      </c>
      <c r="W440" t="s">
        <v>135</v>
      </c>
      <c r="X440" t="s">
        <v>108</v>
      </c>
      <c r="Y440" t="s">
        <v>89</v>
      </c>
      <c r="Z440">
        <v>1</v>
      </c>
      <c r="AA440">
        <f>IF(AND(D440&gt;=配装计算器!$I$29,D440&lt;=配装计算器!$I$30),1,0)</f>
        <v>1</v>
      </c>
      <c r="AB440">
        <f t="shared" si="173"/>
        <v>1</v>
      </c>
      <c r="AC440">
        <f t="shared" si="174"/>
        <v>0</v>
      </c>
      <c r="AD440">
        <f t="shared" si="175"/>
        <v>0</v>
      </c>
      <c r="AE440">
        <f t="shared" si="176"/>
        <v>1</v>
      </c>
      <c r="AF440">
        <f t="shared" si="177"/>
        <v>1</v>
      </c>
      <c r="AG440">
        <f t="shared" si="178"/>
        <v>0</v>
      </c>
      <c r="AH440">
        <f t="shared" si="179"/>
        <v>0</v>
      </c>
      <c r="AI440">
        <f t="shared" si="180"/>
        <v>1</v>
      </c>
      <c r="AJ440">
        <f t="shared" si="181"/>
        <v>1</v>
      </c>
      <c r="AK440">
        <f>SUM(AJ$2:$AJ440)</f>
        <v>439</v>
      </c>
    </row>
    <row r="441" spans="1:37">
      <c r="A441" t="s">
        <v>1353</v>
      </c>
      <c r="B441" t="s">
        <v>1410</v>
      </c>
      <c r="C441" t="s">
        <v>1411</v>
      </c>
      <c r="D441">
        <v>35300</v>
      </c>
      <c r="E441" t="s">
        <v>1412</v>
      </c>
      <c r="F441">
        <v>13566</v>
      </c>
      <c r="G441">
        <v>1107</v>
      </c>
      <c r="I441">
        <v>2514</v>
      </c>
      <c r="J441">
        <v>0</v>
      </c>
      <c r="K441">
        <v>0</v>
      </c>
      <c r="L441">
        <v>9249</v>
      </c>
      <c r="M441">
        <v>0</v>
      </c>
      <c r="N441">
        <v>7400</v>
      </c>
      <c r="O441">
        <v>0</v>
      </c>
      <c r="P441">
        <v>0</v>
      </c>
      <c r="R441">
        <v>0</v>
      </c>
      <c r="S441">
        <v>0</v>
      </c>
      <c r="T441" t="s">
        <v>122</v>
      </c>
      <c r="U441">
        <v>6</v>
      </c>
      <c r="V441" t="s">
        <v>240</v>
      </c>
      <c r="W441" t="s">
        <v>123</v>
      </c>
      <c r="X441" t="s">
        <v>135</v>
      </c>
      <c r="Y441" t="s">
        <v>89</v>
      </c>
      <c r="Z441">
        <v>1</v>
      </c>
      <c r="AA441">
        <f>IF(AND(D441&gt;=配装计算器!$I$29,D441&lt;=配装计算器!$I$30),1,0)</f>
        <v>1</v>
      </c>
      <c r="AB441">
        <f t="shared" si="173"/>
        <v>0</v>
      </c>
      <c r="AC441">
        <f t="shared" si="174"/>
        <v>0</v>
      </c>
      <c r="AD441">
        <f t="shared" si="175"/>
        <v>1</v>
      </c>
      <c r="AE441">
        <f t="shared" si="176"/>
        <v>0</v>
      </c>
      <c r="AF441">
        <f t="shared" si="177"/>
        <v>1</v>
      </c>
      <c r="AG441">
        <f t="shared" si="178"/>
        <v>0</v>
      </c>
      <c r="AH441">
        <f t="shared" si="179"/>
        <v>0</v>
      </c>
      <c r="AI441">
        <f t="shared" si="180"/>
        <v>0</v>
      </c>
      <c r="AJ441">
        <f t="shared" si="181"/>
        <v>1</v>
      </c>
      <c r="AK441">
        <f>SUM(AJ$2:$AJ441)</f>
        <v>440</v>
      </c>
    </row>
    <row r="442" spans="1:37">
      <c r="A442" t="s">
        <v>1353</v>
      </c>
      <c r="B442" t="s">
        <v>1413</v>
      </c>
      <c r="C442" t="s">
        <v>1414</v>
      </c>
      <c r="D442">
        <v>35300</v>
      </c>
      <c r="E442" t="s">
        <v>1415</v>
      </c>
      <c r="F442">
        <v>13566</v>
      </c>
      <c r="G442">
        <v>1107</v>
      </c>
      <c r="I442">
        <v>2514</v>
      </c>
      <c r="J442">
        <v>9249</v>
      </c>
      <c r="K442">
        <v>0</v>
      </c>
      <c r="L442">
        <v>0</v>
      </c>
      <c r="M442">
        <v>0</v>
      </c>
      <c r="N442">
        <v>7400</v>
      </c>
      <c r="O442">
        <v>0</v>
      </c>
      <c r="P442">
        <v>0</v>
      </c>
      <c r="R442">
        <v>0</v>
      </c>
      <c r="S442">
        <v>0</v>
      </c>
      <c r="T442" t="s">
        <v>102</v>
      </c>
      <c r="U442">
        <v>6</v>
      </c>
      <c r="V442" t="s">
        <v>103</v>
      </c>
      <c r="W442" t="s">
        <v>88</v>
      </c>
      <c r="X442" t="s">
        <v>108</v>
      </c>
      <c r="Y442" t="s">
        <v>89</v>
      </c>
      <c r="Z442">
        <v>1</v>
      </c>
      <c r="AA442">
        <f>IF(AND(D442&gt;=配装计算器!$I$29,D442&lt;=配装计算器!$I$30),1,0)</f>
        <v>1</v>
      </c>
      <c r="AB442">
        <f t="shared" si="173"/>
        <v>1</v>
      </c>
      <c r="AC442">
        <f t="shared" si="174"/>
        <v>0</v>
      </c>
      <c r="AD442">
        <f t="shared" si="175"/>
        <v>0</v>
      </c>
      <c r="AE442">
        <f t="shared" si="176"/>
        <v>0</v>
      </c>
      <c r="AF442">
        <f t="shared" si="177"/>
        <v>1</v>
      </c>
      <c r="AG442">
        <f t="shared" si="178"/>
        <v>0</v>
      </c>
      <c r="AH442">
        <f t="shared" si="179"/>
        <v>0</v>
      </c>
      <c r="AI442">
        <f t="shared" si="180"/>
        <v>0</v>
      </c>
      <c r="AJ442">
        <f t="shared" si="181"/>
        <v>1</v>
      </c>
      <c r="AK442">
        <f>SUM(AJ$2:$AJ442)</f>
        <v>441</v>
      </c>
    </row>
    <row r="443" spans="1:37">
      <c r="A443" t="s">
        <v>1353</v>
      </c>
      <c r="B443" t="s">
        <v>1416</v>
      </c>
      <c r="C443" t="s">
        <v>1417</v>
      </c>
      <c r="D443">
        <v>35300</v>
      </c>
      <c r="E443" t="s">
        <v>1418</v>
      </c>
      <c r="F443">
        <v>13566</v>
      </c>
      <c r="G443">
        <v>1107</v>
      </c>
      <c r="I443">
        <v>2514</v>
      </c>
      <c r="J443">
        <v>0</v>
      </c>
      <c r="K443">
        <v>0</v>
      </c>
      <c r="L443">
        <v>0</v>
      </c>
      <c r="M443">
        <v>0</v>
      </c>
      <c r="N443">
        <v>7400</v>
      </c>
      <c r="O443">
        <v>9249</v>
      </c>
      <c r="P443">
        <v>0</v>
      </c>
      <c r="R443">
        <v>0</v>
      </c>
      <c r="S443">
        <v>0</v>
      </c>
      <c r="T443" t="s">
        <v>115</v>
      </c>
      <c r="U443">
        <v>6</v>
      </c>
      <c r="V443" t="s">
        <v>87</v>
      </c>
      <c r="W443" t="s">
        <v>135</v>
      </c>
      <c r="X443" t="s">
        <v>108</v>
      </c>
      <c r="Y443" t="s">
        <v>89</v>
      </c>
      <c r="Z443">
        <v>1</v>
      </c>
      <c r="AA443">
        <f>IF(AND(D443&gt;=配装计算器!$I$29,D443&lt;=配装计算器!$I$30),1,0)</f>
        <v>1</v>
      </c>
      <c r="AB443">
        <f t="shared" si="173"/>
        <v>0</v>
      </c>
      <c r="AC443">
        <f t="shared" si="174"/>
        <v>0</v>
      </c>
      <c r="AD443">
        <f t="shared" si="175"/>
        <v>0</v>
      </c>
      <c r="AE443">
        <f t="shared" si="176"/>
        <v>0</v>
      </c>
      <c r="AF443">
        <f t="shared" si="177"/>
        <v>1</v>
      </c>
      <c r="AG443">
        <f t="shared" si="178"/>
        <v>1</v>
      </c>
      <c r="AH443">
        <f t="shared" si="179"/>
        <v>0</v>
      </c>
      <c r="AI443">
        <f t="shared" si="180"/>
        <v>0</v>
      </c>
      <c r="AJ443">
        <f t="shared" si="181"/>
        <v>1</v>
      </c>
      <c r="AK443">
        <f>SUM(AJ$2:$AJ443)</f>
        <v>442</v>
      </c>
    </row>
    <row r="444" spans="1:37">
      <c r="A444" t="s">
        <v>1353</v>
      </c>
      <c r="B444" t="s">
        <v>1419</v>
      </c>
      <c r="C444" t="s">
        <v>1420</v>
      </c>
      <c r="D444">
        <v>35300</v>
      </c>
      <c r="E444" t="s">
        <v>1421</v>
      </c>
      <c r="F444">
        <v>13566</v>
      </c>
      <c r="G444">
        <v>1107</v>
      </c>
      <c r="I444">
        <v>2514</v>
      </c>
      <c r="J444">
        <v>9249</v>
      </c>
      <c r="K444">
        <v>0</v>
      </c>
      <c r="L444">
        <v>0</v>
      </c>
      <c r="M444">
        <v>0</v>
      </c>
      <c r="N444">
        <v>7400</v>
      </c>
      <c r="O444">
        <v>0</v>
      </c>
      <c r="P444">
        <v>0</v>
      </c>
      <c r="R444">
        <v>0</v>
      </c>
      <c r="S444">
        <v>0</v>
      </c>
      <c r="T444" t="s">
        <v>102</v>
      </c>
      <c r="U444">
        <v>6</v>
      </c>
      <c r="V444" t="s">
        <v>87</v>
      </c>
      <c r="W444" t="s">
        <v>88</v>
      </c>
      <c r="X444" t="s">
        <v>108</v>
      </c>
      <c r="Y444" t="s">
        <v>89</v>
      </c>
      <c r="Z444">
        <v>1</v>
      </c>
      <c r="AA444">
        <f>IF(AND(D444&gt;=配装计算器!$I$29,D444&lt;=配装计算器!$I$30),1,0)</f>
        <v>1</v>
      </c>
      <c r="AB444">
        <f t="shared" si="173"/>
        <v>1</v>
      </c>
      <c r="AC444">
        <f t="shared" si="174"/>
        <v>0</v>
      </c>
      <c r="AD444">
        <f t="shared" si="175"/>
        <v>0</v>
      </c>
      <c r="AE444">
        <f t="shared" si="176"/>
        <v>0</v>
      </c>
      <c r="AF444">
        <f t="shared" si="177"/>
        <v>1</v>
      </c>
      <c r="AG444">
        <f t="shared" si="178"/>
        <v>0</v>
      </c>
      <c r="AH444">
        <f t="shared" si="179"/>
        <v>0</v>
      </c>
      <c r="AI444">
        <f t="shared" si="180"/>
        <v>0</v>
      </c>
      <c r="AJ444">
        <f t="shared" si="181"/>
        <v>1</v>
      </c>
      <c r="AK444">
        <f>SUM(AJ$2:$AJ444)</f>
        <v>443</v>
      </c>
    </row>
    <row r="445" spans="1:37">
      <c r="A445" t="s">
        <v>1353</v>
      </c>
      <c r="B445" t="s">
        <v>1422</v>
      </c>
      <c r="C445" t="s">
        <v>1423</v>
      </c>
      <c r="D445">
        <v>35300</v>
      </c>
      <c r="E445" t="s">
        <v>1424</v>
      </c>
      <c r="F445">
        <v>13566</v>
      </c>
      <c r="G445">
        <v>1107</v>
      </c>
      <c r="I445">
        <v>2514</v>
      </c>
      <c r="J445">
        <v>9249</v>
      </c>
      <c r="K445">
        <v>0</v>
      </c>
      <c r="L445">
        <v>0</v>
      </c>
      <c r="M445">
        <v>0</v>
      </c>
      <c r="N445">
        <v>7400</v>
      </c>
      <c r="O445">
        <v>0</v>
      </c>
      <c r="P445">
        <v>0</v>
      </c>
      <c r="R445">
        <v>0</v>
      </c>
      <c r="S445">
        <v>0</v>
      </c>
      <c r="T445" t="s">
        <v>102</v>
      </c>
      <c r="U445">
        <v>6</v>
      </c>
      <c r="V445" t="s">
        <v>130</v>
      </c>
      <c r="W445" t="s">
        <v>88</v>
      </c>
      <c r="X445" t="s">
        <v>108</v>
      </c>
      <c r="Y445" t="s">
        <v>89</v>
      </c>
      <c r="Z445">
        <v>1</v>
      </c>
      <c r="AA445">
        <f>IF(AND(D445&gt;=配装计算器!$I$29,D445&lt;=配装计算器!$I$30),1,0)</f>
        <v>1</v>
      </c>
      <c r="AB445">
        <f t="shared" si="173"/>
        <v>1</v>
      </c>
      <c r="AC445">
        <f t="shared" si="174"/>
        <v>0</v>
      </c>
      <c r="AD445">
        <f t="shared" si="175"/>
        <v>0</v>
      </c>
      <c r="AE445">
        <f t="shared" si="176"/>
        <v>0</v>
      </c>
      <c r="AF445">
        <f t="shared" si="177"/>
        <v>1</v>
      </c>
      <c r="AG445">
        <f t="shared" si="178"/>
        <v>0</v>
      </c>
      <c r="AH445">
        <f t="shared" si="179"/>
        <v>0</v>
      </c>
      <c r="AI445">
        <f t="shared" si="180"/>
        <v>0</v>
      </c>
      <c r="AJ445">
        <f t="shared" si="181"/>
        <v>1</v>
      </c>
      <c r="AK445">
        <f>SUM(AJ$2:$AJ445)</f>
        <v>444</v>
      </c>
    </row>
    <row r="446" spans="1:37">
      <c r="A446" t="s">
        <v>1353</v>
      </c>
      <c r="B446" t="s">
        <v>1425</v>
      </c>
      <c r="C446" t="s">
        <v>1426</v>
      </c>
      <c r="D446">
        <v>35300</v>
      </c>
      <c r="E446" t="s">
        <v>1427</v>
      </c>
      <c r="F446">
        <v>13566</v>
      </c>
      <c r="G446">
        <v>1107</v>
      </c>
      <c r="I446">
        <v>2514</v>
      </c>
      <c r="J446">
        <v>9249</v>
      </c>
      <c r="K446">
        <v>0</v>
      </c>
      <c r="L446">
        <v>0</v>
      </c>
      <c r="M446">
        <v>0</v>
      </c>
      <c r="N446">
        <v>7400</v>
      </c>
      <c r="O446">
        <v>0</v>
      </c>
      <c r="P446">
        <v>0</v>
      </c>
      <c r="R446">
        <v>0</v>
      </c>
      <c r="S446">
        <v>0</v>
      </c>
      <c r="T446" t="s">
        <v>102</v>
      </c>
      <c r="U446">
        <v>6</v>
      </c>
      <c r="V446" t="s">
        <v>269</v>
      </c>
      <c r="W446" t="s">
        <v>88</v>
      </c>
      <c r="X446" t="s">
        <v>108</v>
      </c>
      <c r="Y446" t="s">
        <v>89</v>
      </c>
      <c r="Z446">
        <v>1</v>
      </c>
      <c r="AA446">
        <f>IF(AND(D446&gt;=配装计算器!$I$29,D446&lt;=配装计算器!$I$30),1,0)</f>
        <v>1</v>
      </c>
      <c r="AB446">
        <f t="shared" si="173"/>
        <v>1</v>
      </c>
      <c r="AC446">
        <f t="shared" si="174"/>
        <v>0</v>
      </c>
      <c r="AD446">
        <f t="shared" si="175"/>
        <v>0</v>
      </c>
      <c r="AE446">
        <f t="shared" si="176"/>
        <v>0</v>
      </c>
      <c r="AF446">
        <f t="shared" si="177"/>
        <v>1</v>
      </c>
      <c r="AG446">
        <f t="shared" si="178"/>
        <v>0</v>
      </c>
      <c r="AH446">
        <f t="shared" si="179"/>
        <v>0</v>
      </c>
      <c r="AI446">
        <f t="shared" si="180"/>
        <v>0</v>
      </c>
      <c r="AJ446">
        <f t="shared" si="181"/>
        <v>1</v>
      </c>
      <c r="AK446">
        <f>SUM(AJ$2:$AJ446)</f>
        <v>445</v>
      </c>
    </row>
    <row r="447" spans="1:37">
      <c r="A447" t="s">
        <v>1353</v>
      </c>
      <c r="B447" t="s">
        <v>1428</v>
      </c>
      <c r="C447" t="s">
        <v>1404</v>
      </c>
      <c r="D447">
        <v>35300</v>
      </c>
      <c r="E447" t="s">
        <v>1429</v>
      </c>
      <c r="F447">
        <v>13566</v>
      </c>
      <c r="G447">
        <v>0</v>
      </c>
      <c r="I447">
        <v>3351</v>
      </c>
      <c r="J447">
        <v>0</v>
      </c>
      <c r="K447">
        <v>0</v>
      </c>
      <c r="L447">
        <v>0</v>
      </c>
      <c r="M447">
        <v>14182</v>
      </c>
      <c r="N447">
        <v>9249</v>
      </c>
      <c r="O447">
        <v>0</v>
      </c>
      <c r="P447">
        <v>0</v>
      </c>
      <c r="R447">
        <v>0</v>
      </c>
      <c r="S447">
        <v>0</v>
      </c>
      <c r="T447" t="s">
        <v>198</v>
      </c>
      <c r="U447">
        <v>6</v>
      </c>
      <c r="V447" t="s">
        <v>98</v>
      </c>
      <c r="W447" t="s">
        <v>94</v>
      </c>
      <c r="X447" t="s">
        <v>108</v>
      </c>
      <c r="Y447" t="s">
        <v>89</v>
      </c>
      <c r="Z447">
        <v>1</v>
      </c>
      <c r="AA447">
        <f>IF(AND(D447&gt;=配装计算器!$I$29,D447&lt;=配装计算器!$I$30),1,0)</f>
        <v>1</v>
      </c>
      <c r="AB447">
        <f t="shared" si="173"/>
        <v>0</v>
      </c>
      <c r="AC447">
        <f t="shared" si="174"/>
        <v>0</v>
      </c>
      <c r="AD447">
        <f t="shared" si="175"/>
        <v>0</v>
      </c>
      <c r="AE447">
        <f t="shared" si="176"/>
        <v>1</v>
      </c>
      <c r="AF447">
        <f t="shared" si="177"/>
        <v>1</v>
      </c>
      <c r="AG447">
        <f t="shared" si="178"/>
        <v>0</v>
      </c>
      <c r="AH447">
        <f t="shared" si="179"/>
        <v>0</v>
      </c>
      <c r="AI447">
        <f t="shared" si="180"/>
        <v>1</v>
      </c>
      <c r="AJ447">
        <f t="shared" si="181"/>
        <v>1</v>
      </c>
      <c r="AK447">
        <f>SUM(AJ$2:$AJ447)</f>
        <v>446</v>
      </c>
    </row>
    <row r="448" spans="1:37">
      <c r="A448" t="s">
        <v>1353</v>
      </c>
      <c r="B448" t="s">
        <v>1430</v>
      </c>
      <c r="C448" t="s">
        <v>1404</v>
      </c>
      <c r="D448">
        <v>35300</v>
      </c>
      <c r="E448" t="s">
        <v>1431</v>
      </c>
      <c r="F448">
        <v>13566</v>
      </c>
      <c r="G448">
        <v>0</v>
      </c>
      <c r="I448">
        <v>4022</v>
      </c>
      <c r="J448">
        <v>0</v>
      </c>
      <c r="K448">
        <v>0</v>
      </c>
      <c r="L448">
        <v>14182</v>
      </c>
      <c r="M448">
        <v>0</v>
      </c>
      <c r="N448">
        <v>7400</v>
      </c>
      <c r="O448">
        <v>0</v>
      </c>
      <c r="P448">
        <v>0</v>
      </c>
      <c r="R448">
        <v>0</v>
      </c>
      <c r="S448">
        <v>0</v>
      </c>
      <c r="T448" t="s">
        <v>153</v>
      </c>
      <c r="U448">
        <v>6</v>
      </c>
      <c r="V448" t="s">
        <v>98</v>
      </c>
      <c r="W448" t="s">
        <v>154</v>
      </c>
      <c r="X448" t="s">
        <v>123</v>
      </c>
      <c r="Y448" t="s">
        <v>89</v>
      </c>
      <c r="Z448">
        <v>1</v>
      </c>
      <c r="AA448">
        <f>IF(AND(D448&gt;=配装计算器!$I$29,D448&lt;=配装计算器!$I$30),1,0)</f>
        <v>1</v>
      </c>
      <c r="AB448">
        <f t="shared" si="173"/>
        <v>0</v>
      </c>
      <c r="AC448">
        <f t="shared" si="174"/>
        <v>0</v>
      </c>
      <c r="AD448">
        <f t="shared" si="175"/>
        <v>1</v>
      </c>
      <c r="AE448">
        <f t="shared" si="176"/>
        <v>0</v>
      </c>
      <c r="AF448">
        <f t="shared" si="177"/>
        <v>1</v>
      </c>
      <c r="AG448">
        <f t="shared" si="178"/>
        <v>0</v>
      </c>
      <c r="AH448">
        <f t="shared" si="179"/>
        <v>0</v>
      </c>
      <c r="AI448">
        <f t="shared" si="180"/>
        <v>1</v>
      </c>
      <c r="AJ448">
        <f t="shared" si="181"/>
        <v>1</v>
      </c>
      <c r="AK448">
        <f>SUM(AJ$2:$AJ448)</f>
        <v>447</v>
      </c>
    </row>
    <row r="449" spans="1:37">
      <c r="A449" t="s">
        <v>1353</v>
      </c>
      <c r="B449" t="s">
        <v>1432</v>
      </c>
      <c r="C449" t="s">
        <v>1404</v>
      </c>
      <c r="D449">
        <v>35300</v>
      </c>
      <c r="E449" t="s">
        <v>1433</v>
      </c>
      <c r="F449">
        <v>13566</v>
      </c>
      <c r="G449">
        <v>0</v>
      </c>
      <c r="I449">
        <v>4860</v>
      </c>
      <c r="J449">
        <v>9249</v>
      </c>
      <c r="K449">
        <v>4625</v>
      </c>
      <c r="L449">
        <v>0</v>
      </c>
      <c r="M449">
        <v>0</v>
      </c>
      <c r="N449">
        <v>4625</v>
      </c>
      <c r="O449">
        <v>0</v>
      </c>
      <c r="P449">
        <v>0</v>
      </c>
      <c r="R449">
        <v>0</v>
      </c>
      <c r="S449">
        <v>0</v>
      </c>
      <c r="T449" t="s">
        <v>141</v>
      </c>
      <c r="U449">
        <v>6</v>
      </c>
      <c r="V449" t="s">
        <v>98</v>
      </c>
      <c r="W449" t="s">
        <v>135</v>
      </c>
      <c r="X449" t="s">
        <v>108</v>
      </c>
      <c r="Y449" t="s">
        <v>89</v>
      </c>
      <c r="Z449">
        <v>1</v>
      </c>
      <c r="AA449">
        <f>IF(AND(D449&gt;=配装计算器!$I$29,D449&lt;=配装计算器!$I$30),1,0)</f>
        <v>1</v>
      </c>
      <c r="AB449">
        <f t="shared" si="173"/>
        <v>1</v>
      </c>
      <c r="AC449">
        <f t="shared" si="174"/>
        <v>1</v>
      </c>
      <c r="AD449">
        <f t="shared" si="175"/>
        <v>0</v>
      </c>
      <c r="AE449">
        <f t="shared" si="176"/>
        <v>0</v>
      </c>
      <c r="AF449">
        <f t="shared" si="177"/>
        <v>1</v>
      </c>
      <c r="AG449">
        <f t="shared" si="178"/>
        <v>0</v>
      </c>
      <c r="AH449">
        <f t="shared" si="179"/>
        <v>0</v>
      </c>
      <c r="AI449">
        <f t="shared" si="180"/>
        <v>1</v>
      </c>
      <c r="AJ449">
        <f t="shared" si="181"/>
        <v>1</v>
      </c>
      <c r="AK449">
        <f>SUM(AJ$2:$AJ449)</f>
        <v>448</v>
      </c>
    </row>
    <row r="450" spans="1:37">
      <c r="A450" t="s">
        <v>1353</v>
      </c>
      <c r="B450" t="s">
        <v>1434</v>
      </c>
      <c r="C450" t="s">
        <v>1435</v>
      </c>
      <c r="D450">
        <v>35900</v>
      </c>
      <c r="E450" t="s">
        <v>1436</v>
      </c>
      <c r="F450">
        <v>13796</v>
      </c>
      <c r="G450">
        <v>1126</v>
      </c>
      <c r="I450">
        <v>2556</v>
      </c>
      <c r="J450">
        <v>0</v>
      </c>
      <c r="K450">
        <v>0</v>
      </c>
      <c r="L450">
        <v>0</v>
      </c>
      <c r="M450">
        <v>9407</v>
      </c>
      <c r="N450">
        <v>7525</v>
      </c>
      <c r="O450">
        <v>0</v>
      </c>
      <c r="P450">
        <v>0</v>
      </c>
      <c r="R450">
        <v>0</v>
      </c>
      <c r="S450">
        <v>0</v>
      </c>
      <c r="T450" t="s">
        <v>107</v>
      </c>
      <c r="U450">
        <v>6</v>
      </c>
      <c r="V450" t="s">
        <v>327</v>
      </c>
      <c r="W450" t="s">
        <v>88</v>
      </c>
      <c r="X450" t="s">
        <v>123</v>
      </c>
      <c r="Y450" t="s">
        <v>89</v>
      </c>
      <c r="Z450">
        <v>1</v>
      </c>
      <c r="AA450">
        <f>IF(AND(D450&gt;=配装计算器!$I$29,D450&lt;=配装计算器!$I$30),1,0)</f>
        <v>1</v>
      </c>
      <c r="AB450">
        <f t="shared" si="173"/>
        <v>0</v>
      </c>
      <c r="AC450">
        <f t="shared" si="174"/>
        <v>0</v>
      </c>
      <c r="AD450">
        <f t="shared" si="175"/>
        <v>0</v>
      </c>
      <c r="AE450">
        <f t="shared" si="176"/>
        <v>1</v>
      </c>
      <c r="AF450">
        <f t="shared" si="177"/>
        <v>1</v>
      </c>
      <c r="AG450">
        <f t="shared" si="178"/>
        <v>0</v>
      </c>
      <c r="AH450">
        <f t="shared" si="179"/>
        <v>0</v>
      </c>
      <c r="AI450">
        <f t="shared" si="180"/>
        <v>0</v>
      </c>
      <c r="AJ450">
        <f t="shared" si="181"/>
        <v>1</v>
      </c>
      <c r="AK450">
        <f>SUM(AJ$2:$AJ450)</f>
        <v>449</v>
      </c>
    </row>
    <row r="451" spans="1:37">
      <c r="A451" t="s">
        <v>1353</v>
      </c>
      <c r="B451" t="s">
        <v>1437</v>
      </c>
      <c r="C451" t="s">
        <v>1438</v>
      </c>
      <c r="D451">
        <v>36200</v>
      </c>
      <c r="E451" t="s">
        <v>1439</v>
      </c>
      <c r="F451">
        <v>13912</v>
      </c>
      <c r="G451">
        <v>1054</v>
      </c>
      <c r="I451">
        <v>1718</v>
      </c>
      <c r="J451">
        <v>0</v>
      </c>
      <c r="K451">
        <v>0</v>
      </c>
      <c r="L451">
        <v>9485</v>
      </c>
      <c r="M451">
        <v>0</v>
      </c>
      <c r="N451">
        <v>0</v>
      </c>
      <c r="O451">
        <v>0</v>
      </c>
      <c r="P451">
        <v>3794</v>
      </c>
      <c r="R451">
        <v>0</v>
      </c>
      <c r="S451">
        <v>0</v>
      </c>
      <c r="T451" t="s">
        <v>86</v>
      </c>
      <c r="U451">
        <v>6</v>
      </c>
      <c r="V451" t="s">
        <v>145</v>
      </c>
      <c r="W451" t="s">
        <v>229</v>
      </c>
      <c r="X451" t="s">
        <v>135</v>
      </c>
      <c r="Y451" t="s">
        <v>89</v>
      </c>
      <c r="Z451">
        <v>2</v>
      </c>
      <c r="AA451">
        <f>IF(AND(D451&gt;=配装计算器!$I$29,D451&lt;=配装计算器!$I$30),1,0)</f>
        <v>1</v>
      </c>
      <c r="AB451">
        <f t="shared" si="173"/>
        <v>0</v>
      </c>
      <c r="AC451">
        <f t="shared" si="174"/>
        <v>0</v>
      </c>
      <c r="AD451">
        <f t="shared" si="175"/>
        <v>1</v>
      </c>
      <c r="AE451">
        <f t="shared" si="176"/>
        <v>0</v>
      </c>
      <c r="AF451">
        <f t="shared" si="177"/>
        <v>0</v>
      </c>
      <c r="AG451">
        <f t="shared" si="178"/>
        <v>0</v>
      </c>
      <c r="AH451">
        <f t="shared" si="179"/>
        <v>1</v>
      </c>
      <c r="AI451">
        <f t="shared" si="180"/>
        <v>0</v>
      </c>
      <c r="AJ451">
        <f t="shared" si="181"/>
        <v>1</v>
      </c>
      <c r="AK451">
        <f>SUM(AJ$2:$AJ451)</f>
        <v>450</v>
      </c>
    </row>
    <row r="452" spans="1:37">
      <c r="A452" t="s">
        <v>1353</v>
      </c>
      <c r="B452" t="s">
        <v>1440</v>
      </c>
      <c r="C452" t="s">
        <v>1441</v>
      </c>
      <c r="D452">
        <v>38100</v>
      </c>
      <c r="E452" t="s">
        <v>1442</v>
      </c>
      <c r="F452">
        <v>14642</v>
      </c>
      <c r="G452">
        <v>0</v>
      </c>
      <c r="I452">
        <v>1809</v>
      </c>
      <c r="J452">
        <v>0</v>
      </c>
      <c r="K452">
        <v>0</v>
      </c>
      <c r="L452">
        <v>25956</v>
      </c>
      <c r="M452">
        <v>0</v>
      </c>
      <c r="N452">
        <v>7986</v>
      </c>
      <c r="O452">
        <v>0</v>
      </c>
      <c r="P452">
        <v>0</v>
      </c>
      <c r="R452">
        <v>0</v>
      </c>
      <c r="S452">
        <v>0</v>
      </c>
      <c r="T452" t="s">
        <v>153</v>
      </c>
      <c r="U452">
        <v>6</v>
      </c>
      <c r="V452" t="s">
        <v>98</v>
      </c>
      <c r="W452" t="s">
        <v>135</v>
      </c>
      <c r="X452" t="s">
        <v>123</v>
      </c>
      <c r="Y452" t="s">
        <v>89</v>
      </c>
      <c r="Z452">
        <v>1</v>
      </c>
      <c r="AA452">
        <f>IF(AND(D452&gt;=配装计算器!$I$29,D452&lt;=配装计算器!$I$30),1,0)</f>
        <v>1</v>
      </c>
      <c r="AB452">
        <f t="shared" si="173"/>
        <v>0</v>
      </c>
      <c r="AC452">
        <f t="shared" si="174"/>
        <v>0</v>
      </c>
      <c r="AD452">
        <f t="shared" si="175"/>
        <v>1</v>
      </c>
      <c r="AE452">
        <f t="shared" si="176"/>
        <v>0</v>
      </c>
      <c r="AF452">
        <f t="shared" si="177"/>
        <v>1</v>
      </c>
      <c r="AG452">
        <f t="shared" si="178"/>
        <v>0</v>
      </c>
      <c r="AH452">
        <f t="shared" si="179"/>
        <v>0</v>
      </c>
      <c r="AI452">
        <f t="shared" si="180"/>
        <v>1</v>
      </c>
      <c r="AJ452">
        <f t="shared" si="181"/>
        <v>1</v>
      </c>
      <c r="AK452">
        <f>SUM(AJ$2:$AJ452)</f>
        <v>451</v>
      </c>
    </row>
    <row r="453" spans="1:37">
      <c r="A453" t="s">
        <v>1353</v>
      </c>
      <c r="B453" t="s">
        <v>1443</v>
      </c>
      <c r="C453" t="s">
        <v>1441</v>
      </c>
      <c r="D453">
        <v>38100</v>
      </c>
      <c r="E453" t="s">
        <v>1444</v>
      </c>
      <c r="F453">
        <v>14642</v>
      </c>
      <c r="G453">
        <v>0</v>
      </c>
      <c r="I453">
        <v>1809</v>
      </c>
      <c r="J453">
        <v>25956</v>
      </c>
      <c r="K453">
        <v>0</v>
      </c>
      <c r="L453">
        <v>0</v>
      </c>
      <c r="M453">
        <v>0</v>
      </c>
      <c r="N453">
        <v>7986</v>
      </c>
      <c r="O453">
        <v>0</v>
      </c>
      <c r="P453">
        <v>0</v>
      </c>
      <c r="R453">
        <v>0</v>
      </c>
      <c r="S453">
        <v>0</v>
      </c>
      <c r="T453" t="s">
        <v>184</v>
      </c>
      <c r="U453">
        <v>6</v>
      </c>
      <c r="V453" t="s">
        <v>98</v>
      </c>
      <c r="W453" t="s">
        <v>123</v>
      </c>
      <c r="X453" t="s">
        <v>108</v>
      </c>
      <c r="Y453" t="s">
        <v>89</v>
      </c>
      <c r="Z453">
        <v>1</v>
      </c>
      <c r="AA453">
        <f>IF(AND(D453&gt;=配装计算器!$I$29,D453&lt;=配装计算器!$I$30),1,0)</f>
        <v>1</v>
      </c>
      <c r="AB453">
        <f t="shared" si="173"/>
        <v>1</v>
      </c>
      <c r="AC453">
        <f t="shared" si="174"/>
        <v>0</v>
      </c>
      <c r="AD453">
        <f t="shared" si="175"/>
        <v>0</v>
      </c>
      <c r="AE453">
        <f t="shared" si="176"/>
        <v>0</v>
      </c>
      <c r="AF453">
        <f t="shared" si="177"/>
        <v>1</v>
      </c>
      <c r="AG453">
        <f t="shared" si="178"/>
        <v>0</v>
      </c>
      <c r="AH453">
        <f t="shared" si="179"/>
        <v>0</v>
      </c>
      <c r="AI453">
        <f t="shared" si="180"/>
        <v>1</v>
      </c>
      <c r="AJ453">
        <f t="shared" si="181"/>
        <v>1</v>
      </c>
      <c r="AK453">
        <f>SUM(AJ$2:$AJ453)</f>
        <v>452</v>
      </c>
    </row>
    <row r="454" spans="1:37">
      <c r="A454" t="s">
        <v>1353</v>
      </c>
      <c r="B454" t="s">
        <v>1445</v>
      </c>
      <c r="C454" t="s">
        <v>1441</v>
      </c>
      <c r="D454">
        <v>38100</v>
      </c>
      <c r="E454" t="s">
        <v>1446</v>
      </c>
      <c r="F454">
        <v>14642</v>
      </c>
      <c r="G454">
        <v>0</v>
      </c>
      <c r="I454">
        <v>5245</v>
      </c>
      <c r="J454">
        <v>11980</v>
      </c>
      <c r="K454">
        <v>4992</v>
      </c>
      <c r="L454">
        <v>0</v>
      </c>
      <c r="M454">
        <v>4992</v>
      </c>
      <c r="N454">
        <v>0</v>
      </c>
      <c r="O454">
        <v>0</v>
      </c>
      <c r="P454">
        <v>0</v>
      </c>
      <c r="R454">
        <v>0</v>
      </c>
      <c r="S454">
        <v>0</v>
      </c>
      <c r="T454" t="s">
        <v>157</v>
      </c>
      <c r="U454">
        <v>6</v>
      </c>
      <c r="V454" t="s">
        <v>98</v>
      </c>
      <c r="W454" t="s">
        <v>135</v>
      </c>
      <c r="X454" t="s">
        <v>123</v>
      </c>
      <c r="Y454" t="s">
        <v>89</v>
      </c>
      <c r="Z454">
        <v>1</v>
      </c>
      <c r="AA454">
        <f>IF(AND(D454&gt;=配装计算器!$I$29,D454&lt;=配装计算器!$I$30),1,0)</f>
        <v>1</v>
      </c>
      <c r="AB454">
        <f t="shared" si="173"/>
        <v>1</v>
      </c>
      <c r="AC454">
        <f t="shared" si="174"/>
        <v>1</v>
      </c>
      <c r="AD454">
        <f t="shared" si="175"/>
        <v>0</v>
      </c>
      <c r="AE454">
        <f t="shared" si="176"/>
        <v>1</v>
      </c>
      <c r="AF454">
        <f t="shared" si="177"/>
        <v>0</v>
      </c>
      <c r="AG454">
        <f t="shared" si="178"/>
        <v>0</v>
      </c>
      <c r="AH454">
        <f t="shared" si="179"/>
        <v>0</v>
      </c>
      <c r="AI454">
        <f t="shared" si="180"/>
        <v>1</v>
      </c>
      <c r="AJ454">
        <f t="shared" si="181"/>
        <v>1</v>
      </c>
      <c r="AK454">
        <f>SUM(AJ$2:$AJ454)</f>
        <v>453</v>
      </c>
    </row>
    <row r="455" spans="1:37">
      <c r="A455" t="s">
        <v>1353</v>
      </c>
      <c r="B455" t="s">
        <v>1447</v>
      </c>
      <c r="C455" t="s">
        <v>1448</v>
      </c>
      <c r="D455">
        <v>41400</v>
      </c>
      <c r="E455" t="s">
        <v>1449</v>
      </c>
      <c r="F455">
        <v>15910</v>
      </c>
      <c r="G455">
        <v>1298</v>
      </c>
      <c r="I455">
        <v>2948</v>
      </c>
      <c r="J455">
        <v>0</v>
      </c>
      <c r="K455">
        <v>0</v>
      </c>
      <c r="L455">
        <v>10848</v>
      </c>
      <c r="M455">
        <v>0</v>
      </c>
      <c r="N455">
        <v>8678</v>
      </c>
      <c r="O455">
        <v>0</v>
      </c>
      <c r="P455">
        <v>0</v>
      </c>
      <c r="R455">
        <v>0</v>
      </c>
      <c r="S455">
        <v>0</v>
      </c>
      <c r="T455" t="s">
        <v>122</v>
      </c>
      <c r="U455">
        <v>6</v>
      </c>
      <c r="V455" t="s">
        <v>240</v>
      </c>
      <c r="W455" t="s">
        <v>123</v>
      </c>
      <c r="X455" t="s">
        <v>135</v>
      </c>
      <c r="Y455" t="s">
        <v>89</v>
      </c>
      <c r="Z455">
        <v>1</v>
      </c>
      <c r="AA455">
        <f>IF(AND(D455&gt;=配装计算器!$I$29,D455&lt;=配装计算器!$I$30),1,0)</f>
        <v>1</v>
      </c>
      <c r="AB455">
        <f t="shared" si="173"/>
        <v>0</v>
      </c>
      <c r="AC455">
        <f t="shared" si="174"/>
        <v>0</v>
      </c>
      <c r="AD455">
        <f t="shared" si="175"/>
        <v>1</v>
      </c>
      <c r="AE455">
        <f t="shared" si="176"/>
        <v>0</v>
      </c>
      <c r="AF455">
        <f t="shared" si="177"/>
        <v>1</v>
      </c>
      <c r="AG455">
        <f t="shared" si="178"/>
        <v>0</v>
      </c>
      <c r="AH455">
        <f t="shared" si="179"/>
        <v>0</v>
      </c>
      <c r="AI455">
        <f t="shared" si="180"/>
        <v>0</v>
      </c>
      <c r="AJ455">
        <f t="shared" si="181"/>
        <v>1</v>
      </c>
      <c r="AK455">
        <f>SUM(AJ$2:$AJ455)</f>
        <v>454</v>
      </c>
    </row>
    <row r="456" spans="1:37">
      <c r="A456" t="s">
        <v>1353</v>
      </c>
      <c r="B456" t="s">
        <v>1450</v>
      </c>
      <c r="C456" t="s">
        <v>1451</v>
      </c>
      <c r="D456">
        <v>41400</v>
      </c>
      <c r="E456" t="s">
        <v>1452</v>
      </c>
      <c r="F456">
        <v>15910</v>
      </c>
      <c r="G456">
        <v>1298</v>
      </c>
      <c r="I456">
        <v>2948</v>
      </c>
      <c r="J456">
        <v>0</v>
      </c>
      <c r="K456">
        <v>0</v>
      </c>
      <c r="L456">
        <v>0</v>
      </c>
      <c r="M456">
        <v>0</v>
      </c>
      <c r="N456">
        <v>8678</v>
      </c>
      <c r="O456">
        <v>10848</v>
      </c>
      <c r="P456">
        <v>0</v>
      </c>
      <c r="R456">
        <v>0</v>
      </c>
      <c r="S456">
        <v>0</v>
      </c>
      <c r="T456" t="s">
        <v>115</v>
      </c>
      <c r="U456">
        <v>6</v>
      </c>
      <c r="V456" t="s">
        <v>87</v>
      </c>
      <c r="W456" t="s">
        <v>135</v>
      </c>
      <c r="X456" t="s">
        <v>108</v>
      </c>
      <c r="Y456" t="s">
        <v>89</v>
      </c>
      <c r="Z456">
        <v>1</v>
      </c>
      <c r="AA456">
        <f>IF(AND(D456&gt;=配装计算器!$I$29,D456&lt;=配装计算器!$I$30),1,0)</f>
        <v>1</v>
      </c>
      <c r="AB456">
        <f t="shared" si="173"/>
        <v>0</v>
      </c>
      <c r="AC456">
        <f t="shared" si="174"/>
        <v>0</v>
      </c>
      <c r="AD456">
        <f t="shared" si="175"/>
        <v>0</v>
      </c>
      <c r="AE456">
        <f t="shared" si="176"/>
        <v>0</v>
      </c>
      <c r="AF456">
        <f t="shared" si="177"/>
        <v>1</v>
      </c>
      <c r="AG456">
        <f t="shared" si="178"/>
        <v>1</v>
      </c>
      <c r="AH456">
        <f t="shared" si="179"/>
        <v>0</v>
      </c>
      <c r="AI456">
        <f t="shared" si="180"/>
        <v>0</v>
      </c>
      <c r="AJ456">
        <f t="shared" si="181"/>
        <v>1</v>
      </c>
      <c r="AK456">
        <f>SUM(AJ$2:$AJ456)</f>
        <v>455</v>
      </c>
    </row>
    <row r="457" spans="1:37">
      <c r="A457" t="s">
        <v>1353</v>
      </c>
      <c r="B457" t="s">
        <v>1453</v>
      </c>
      <c r="C457" t="s">
        <v>1454</v>
      </c>
      <c r="D457">
        <v>41400</v>
      </c>
      <c r="E457" t="s">
        <v>1455</v>
      </c>
      <c r="F457">
        <v>15910</v>
      </c>
      <c r="G457">
        <v>1298</v>
      </c>
      <c r="I457">
        <v>2948</v>
      </c>
      <c r="J457">
        <v>10848</v>
      </c>
      <c r="K457">
        <v>0</v>
      </c>
      <c r="L457">
        <v>0</v>
      </c>
      <c r="M457">
        <v>0</v>
      </c>
      <c r="N457">
        <v>8678</v>
      </c>
      <c r="O457">
        <v>0</v>
      </c>
      <c r="P457">
        <v>0</v>
      </c>
      <c r="R457">
        <v>0</v>
      </c>
      <c r="S457">
        <v>0</v>
      </c>
      <c r="T457" t="s">
        <v>102</v>
      </c>
      <c r="U457">
        <v>6</v>
      </c>
      <c r="V457" t="s">
        <v>87</v>
      </c>
      <c r="W457" t="s">
        <v>88</v>
      </c>
      <c r="X457" t="s">
        <v>108</v>
      </c>
      <c r="Y457" t="s">
        <v>89</v>
      </c>
      <c r="Z457">
        <v>1</v>
      </c>
      <c r="AA457">
        <f>IF(AND(D457&gt;=配装计算器!$I$29,D457&lt;=配装计算器!$I$30),1,0)</f>
        <v>1</v>
      </c>
      <c r="AB457">
        <f t="shared" si="173"/>
        <v>1</v>
      </c>
      <c r="AC457">
        <f t="shared" si="174"/>
        <v>0</v>
      </c>
      <c r="AD457">
        <f t="shared" si="175"/>
        <v>0</v>
      </c>
      <c r="AE457">
        <f t="shared" si="176"/>
        <v>0</v>
      </c>
      <c r="AF457">
        <f t="shared" si="177"/>
        <v>1</v>
      </c>
      <c r="AG457">
        <f t="shared" si="178"/>
        <v>0</v>
      </c>
      <c r="AH457">
        <f t="shared" si="179"/>
        <v>0</v>
      </c>
      <c r="AI457">
        <f t="shared" si="180"/>
        <v>0</v>
      </c>
      <c r="AJ457">
        <f t="shared" si="181"/>
        <v>1</v>
      </c>
      <c r="AK457">
        <f>SUM(AJ$2:$AJ457)</f>
        <v>456</v>
      </c>
    </row>
    <row r="458" spans="1:37">
      <c r="A458" t="s">
        <v>1353</v>
      </c>
      <c r="B458" t="s">
        <v>1456</v>
      </c>
      <c r="C458" t="s">
        <v>1457</v>
      </c>
      <c r="D458">
        <v>41400</v>
      </c>
      <c r="E458" t="s">
        <v>1458</v>
      </c>
      <c r="F458">
        <v>15910</v>
      </c>
      <c r="G458">
        <v>1298</v>
      </c>
      <c r="I458">
        <v>2948</v>
      </c>
      <c r="J458">
        <v>10848</v>
      </c>
      <c r="K458">
        <v>0</v>
      </c>
      <c r="L458">
        <v>0</v>
      </c>
      <c r="M458">
        <v>0</v>
      </c>
      <c r="N458">
        <v>8678</v>
      </c>
      <c r="O458">
        <v>0</v>
      </c>
      <c r="P458">
        <v>0</v>
      </c>
      <c r="R458">
        <v>0</v>
      </c>
      <c r="S458">
        <v>0</v>
      </c>
      <c r="T458" t="s">
        <v>102</v>
      </c>
      <c r="U458">
        <v>6</v>
      </c>
      <c r="V458" t="s">
        <v>130</v>
      </c>
      <c r="W458" t="s">
        <v>88</v>
      </c>
      <c r="X458" t="s">
        <v>108</v>
      </c>
      <c r="Y458" t="s">
        <v>89</v>
      </c>
      <c r="Z458">
        <v>1</v>
      </c>
      <c r="AA458">
        <f>IF(AND(D458&gt;=配装计算器!$I$29,D458&lt;=配装计算器!$I$30),1,0)</f>
        <v>1</v>
      </c>
      <c r="AB458">
        <f t="shared" si="173"/>
        <v>1</v>
      </c>
      <c r="AC458">
        <f t="shared" si="174"/>
        <v>0</v>
      </c>
      <c r="AD458">
        <f t="shared" si="175"/>
        <v>0</v>
      </c>
      <c r="AE458">
        <f t="shared" si="176"/>
        <v>0</v>
      </c>
      <c r="AF458">
        <f t="shared" si="177"/>
        <v>1</v>
      </c>
      <c r="AG458">
        <f t="shared" si="178"/>
        <v>0</v>
      </c>
      <c r="AH458">
        <f t="shared" si="179"/>
        <v>0</v>
      </c>
      <c r="AI458">
        <f t="shared" si="180"/>
        <v>0</v>
      </c>
      <c r="AJ458">
        <f t="shared" si="181"/>
        <v>1</v>
      </c>
      <c r="AK458">
        <f>SUM(AJ$2:$AJ458)</f>
        <v>457</v>
      </c>
    </row>
    <row r="459" spans="1:37">
      <c r="A459" t="s">
        <v>1353</v>
      </c>
      <c r="B459" t="s">
        <v>1459</v>
      </c>
      <c r="C459" t="s">
        <v>1441</v>
      </c>
      <c r="D459">
        <v>41400</v>
      </c>
      <c r="E459" t="s">
        <v>1460</v>
      </c>
      <c r="F459">
        <v>15910</v>
      </c>
      <c r="G459">
        <v>0</v>
      </c>
      <c r="I459">
        <v>1965</v>
      </c>
      <c r="J459">
        <v>0</v>
      </c>
      <c r="K459">
        <v>0</v>
      </c>
      <c r="L459">
        <v>28204</v>
      </c>
      <c r="M459">
        <v>0</v>
      </c>
      <c r="N459">
        <v>8678</v>
      </c>
      <c r="O459">
        <v>0</v>
      </c>
      <c r="P459">
        <v>0</v>
      </c>
      <c r="R459">
        <v>0</v>
      </c>
      <c r="S459">
        <v>0</v>
      </c>
      <c r="T459" t="s">
        <v>153</v>
      </c>
      <c r="U459">
        <v>6</v>
      </c>
      <c r="V459" t="s">
        <v>98</v>
      </c>
      <c r="W459" t="s">
        <v>135</v>
      </c>
      <c r="X459" t="s">
        <v>123</v>
      </c>
      <c r="Y459" t="s">
        <v>89</v>
      </c>
      <c r="Z459">
        <v>1</v>
      </c>
      <c r="AA459">
        <f>IF(AND(D459&gt;=配装计算器!$I$29,D459&lt;=配装计算器!$I$30),1,0)</f>
        <v>1</v>
      </c>
      <c r="AB459">
        <f t="shared" si="173"/>
        <v>0</v>
      </c>
      <c r="AC459">
        <f t="shared" si="174"/>
        <v>0</v>
      </c>
      <c r="AD459">
        <f t="shared" si="175"/>
        <v>1</v>
      </c>
      <c r="AE459">
        <f t="shared" si="176"/>
        <v>0</v>
      </c>
      <c r="AF459">
        <f t="shared" si="177"/>
        <v>1</v>
      </c>
      <c r="AG459">
        <f t="shared" si="178"/>
        <v>0</v>
      </c>
      <c r="AH459">
        <f t="shared" si="179"/>
        <v>0</v>
      </c>
      <c r="AI459">
        <f t="shared" si="180"/>
        <v>1</v>
      </c>
      <c r="AJ459">
        <f t="shared" si="181"/>
        <v>1</v>
      </c>
      <c r="AK459">
        <f>SUM(AJ$2:$AJ459)</f>
        <v>458</v>
      </c>
    </row>
    <row r="460" spans="1:37">
      <c r="A460" t="s">
        <v>1353</v>
      </c>
      <c r="B460" t="s">
        <v>1461</v>
      </c>
      <c r="C460" t="s">
        <v>1441</v>
      </c>
      <c r="D460">
        <v>41400</v>
      </c>
      <c r="E460" t="s">
        <v>1462</v>
      </c>
      <c r="F460">
        <v>15910</v>
      </c>
      <c r="G460">
        <v>0</v>
      </c>
      <c r="I460">
        <v>4618</v>
      </c>
      <c r="J460">
        <v>7232</v>
      </c>
      <c r="K460">
        <v>0</v>
      </c>
      <c r="L460">
        <v>7232</v>
      </c>
      <c r="M460">
        <v>7232</v>
      </c>
      <c r="N460">
        <v>7232</v>
      </c>
      <c r="O460">
        <v>0</v>
      </c>
      <c r="P460">
        <v>0</v>
      </c>
      <c r="R460">
        <v>0</v>
      </c>
      <c r="S460">
        <v>0</v>
      </c>
      <c r="T460" t="s">
        <v>504</v>
      </c>
      <c r="U460">
        <v>6</v>
      </c>
      <c r="V460" t="s">
        <v>98</v>
      </c>
      <c r="W460" t="s">
        <v>94</v>
      </c>
      <c r="X460" t="s">
        <v>154</v>
      </c>
      <c r="Y460" t="s">
        <v>89</v>
      </c>
      <c r="Z460">
        <v>1</v>
      </c>
      <c r="AA460">
        <f>IF(AND(D460&gt;=配装计算器!$I$29,D460&lt;=配装计算器!$I$30),1,0)</f>
        <v>1</v>
      </c>
      <c r="AB460">
        <f t="shared" si="173"/>
        <v>1</v>
      </c>
      <c r="AC460">
        <f t="shared" si="174"/>
        <v>0</v>
      </c>
      <c r="AD460">
        <f t="shared" si="175"/>
        <v>1</v>
      </c>
      <c r="AE460">
        <f t="shared" si="176"/>
        <v>1</v>
      </c>
      <c r="AF460">
        <f t="shared" si="177"/>
        <v>1</v>
      </c>
      <c r="AG460">
        <f t="shared" si="178"/>
        <v>0</v>
      </c>
      <c r="AH460">
        <f t="shared" si="179"/>
        <v>0</v>
      </c>
      <c r="AI460">
        <f t="shared" si="180"/>
        <v>1</v>
      </c>
      <c r="AJ460">
        <f t="shared" si="181"/>
        <v>1</v>
      </c>
      <c r="AK460">
        <f>SUM(AJ$2:$AJ460)</f>
        <v>459</v>
      </c>
    </row>
    <row r="461" spans="1:37">
      <c r="A461" t="s">
        <v>1353</v>
      </c>
      <c r="B461" t="s">
        <v>1463</v>
      </c>
      <c r="C461" t="s">
        <v>1441</v>
      </c>
      <c r="D461">
        <v>41400</v>
      </c>
      <c r="E461" t="s">
        <v>1464</v>
      </c>
      <c r="F461">
        <v>15910</v>
      </c>
      <c r="G461">
        <v>0</v>
      </c>
      <c r="I461">
        <v>5699</v>
      </c>
      <c r="J461">
        <v>13017</v>
      </c>
      <c r="K461">
        <v>5424</v>
      </c>
      <c r="L461">
        <v>0</v>
      </c>
      <c r="M461">
        <v>0</v>
      </c>
      <c r="N461">
        <v>5424</v>
      </c>
      <c r="O461">
        <v>0</v>
      </c>
      <c r="P461">
        <v>0</v>
      </c>
      <c r="R461">
        <v>0</v>
      </c>
      <c r="S461">
        <v>0</v>
      </c>
      <c r="T461" t="s">
        <v>141</v>
      </c>
      <c r="U461">
        <v>6</v>
      </c>
      <c r="V461" t="s">
        <v>98</v>
      </c>
      <c r="W461" t="s">
        <v>135</v>
      </c>
      <c r="X461" t="s">
        <v>108</v>
      </c>
      <c r="Y461" t="s">
        <v>89</v>
      </c>
      <c r="Z461">
        <v>1</v>
      </c>
      <c r="AA461">
        <f>IF(AND(D461&gt;=配装计算器!$I$29,D461&lt;=配装计算器!$I$30),1,0)</f>
        <v>1</v>
      </c>
      <c r="AB461">
        <f t="shared" si="173"/>
        <v>1</v>
      </c>
      <c r="AC461">
        <f t="shared" si="174"/>
        <v>1</v>
      </c>
      <c r="AD461">
        <f t="shared" si="175"/>
        <v>0</v>
      </c>
      <c r="AE461">
        <f t="shared" si="176"/>
        <v>0</v>
      </c>
      <c r="AF461">
        <f t="shared" si="177"/>
        <v>1</v>
      </c>
      <c r="AG461">
        <f t="shared" si="178"/>
        <v>0</v>
      </c>
      <c r="AH461">
        <f t="shared" si="179"/>
        <v>0</v>
      </c>
      <c r="AI461">
        <f t="shared" si="180"/>
        <v>1</v>
      </c>
      <c r="AJ461">
        <f t="shared" si="181"/>
        <v>1</v>
      </c>
      <c r="AK461">
        <f>SUM(AJ$2:$AJ461)</f>
        <v>460</v>
      </c>
    </row>
    <row r="462" spans="1:37">
      <c r="A462" t="s">
        <v>1353</v>
      </c>
      <c r="B462" t="s">
        <v>1465</v>
      </c>
      <c r="C462" t="s">
        <v>1466</v>
      </c>
      <c r="D462">
        <v>42100</v>
      </c>
      <c r="E462" t="s">
        <v>1467</v>
      </c>
      <c r="F462">
        <v>16179</v>
      </c>
      <c r="G462">
        <v>1320</v>
      </c>
      <c r="I462">
        <v>2998</v>
      </c>
      <c r="J462">
        <v>0</v>
      </c>
      <c r="K462">
        <v>0</v>
      </c>
      <c r="L462">
        <v>0</v>
      </c>
      <c r="M462">
        <v>11031</v>
      </c>
      <c r="N462">
        <v>8825</v>
      </c>
      <c r="O462">
        <v>0</v>
      </c>
      <c r="P462">
        <v>0</v>
      </c>
      <c r="R462">
        <v>0</v>
      </c>
      <c r="S462">
        <v>0</v>
      </c>
      <c r="T462" t="s">
        <v>107</v>
      </c>
      <c r="U462">
        <v>6</v>
      </c>
      <c r="V462" t="s">
        <v>327</v>
      </c>
      <c r="W462" t="s">
        <v>88</v>
      </c>
      <c r="X462" t="s">
        <v>123</v>
      </c>
      <c r="Y462" t="s">
        <v>89</v>
      </c>
      <c r="Z462">
        <v>1</v>
      </c>
      <c r="AA462">
        <f>IF(AND(D462&gt;=配装计算器!$I$29,D462&lt;=配装计算器!$I$30),1,0)</f>
        <v>1</v>
      </c>
      <c r="AB462">
        <f t="shared" si="173"/>
        <v>0</v>
      </c>
      <c r="AC462">
        <f t="shared" si="174"/>
        <v>0</v>
      </c>
      <c r="AD462">
        <f t="shared" si="175"/>
        <v>0</v>
      </c>
      <c r="AE462">
        <f t="shared" si="176"/>
        <v>1</v>
      </c>
      <c r="AF462">
        <f t="shared" si="177"/>
        <v>1</v>
      </c>
      <c r="AG462">
        <f t="shared" si="178"/>
        <v>0</v>
      </c>
      <c r="AH462">
        <f t="shared" si="179"/>
        <v>0</v>
      </c>
      <c r="AI462">
        <f t="shared" si="180"/>
        <v>0</v>
      </c>
      <c r="AJ462">
        <f t="shared" si="181"/>
        <v>1</v>
      </c>
      <c r="AK462">
        <f>SUM(AJ$2:$AJ462)</f>
        <v>461</v>
      </c>
    </row>
    <row r="463" spans="1:37">
      <c r="A463" t="s">
        <v>1353</v>
      </c>
      <c r="B463" t="s">
        <v>1468</v>
      </c>
      <c r="C463" t="s">
        <v>1469</v>
      </c>
      <c r="D463">
        <v>42400</v>
      </c>
      <c r="E463" t="s">
        <v>1470</v>
      </c>
      <c r="F463">
        <v>16294</v>
      </c>
      <c r="G463">
        <v>1234</v>
      </c>
      <c r="I463">
        <v>2013</v>
      </c>
      <c r="J463">
        <v>0</v>
      </c>
      <c r="K463">
        <v>0</v>
      </c>
      <c r="L463">
        <v>11110</v>
      </c>
      <c r="M463">
        <v>0</v>
      </c>
      <c r="N463">
        <v>0</v>
      </c>
      <c r="O463">
        <v>0</v>
      </c>
      <c r="P463">
        <v>4444</v>
      </c>
      <c r="R463">
        <v>0</v>
      </c>
      <c r="S463">
        <v>0</v>
      </c>
      <c r="T463" t="s">
        <v>86</v>
      </c>
      <c r="U463">
        <v>6</v>
      </c>
      <c r="V463" t="s">
        <v>145</v>
      </c>
      <c r="W463" t="s">
        <v>229</v>
      </c>
      <c r="X463" t="s">
        <v>135</v>
      </c>
      <c r="Y463" t="s">
        <v>89</v>
      </c>
      <c r="Z463">
        <v>2</v>
      </c>
      <c r="AA463">
        <f>IF(AND(D463&gt;=配装计算器!$I$29,D463&lt;=配装计算器!$I$30),1,0)</f>
        <v>1</v>
      </c>
      <c r="AB463">
        <f t="shared" si="173"/>
        <v>0</v>
      </c>
      <c r="AC463">
        <f t="shared" si="174"/>
        <v>0</v>
      </c>
      <c r="AD463">
        <f t="shared" si="175"/>
        <v>1</v>
      </c>
      <c r="AE463">
        <f t="shared" si="176"/>
        <v>0</v>
      </c>
      <c r="AF463">
        <f t="shared" si="177"/>
        <v>0</v>
      </c>
      <c r="AG463">
        <f t="shared" si="178"/>
        <v>0</v>
      </c>
      <c r="AH463">
        <f t="shared" si="179"/>
        <v>1</v>
      </c>
      <c r="AI463">
        <f t="shared" si="180"/>
        <v>0</v>
      </c>
      <c r="AJ463">
        <f t="shared" si="181"/>
        <v>1</v>
      </c>
      <c r="AK463">
        <f>SUM(AJ$2:$AJ463)</f>
        <v>462</v>
      </c>
    </row>
    <row r="464" spans="1:37">
      <c r="A464" t="s">
        <v>1471</v>
      </c>
      <c r="B464" t="s">
        <v>1472</v>
      </c>
      <c r="C464" t="s">
        <v>1473</v>
      </c>
      <c r="D464">
        <v>30200</v>
      </c>
      <c r="E464" t="s">
        <v>1474</v>
      </c>
      <c r="F464">
        <v>11606</v>
      </c>
      <c r="G464">
        <v>879</v>
      </c>
      <c r="I464">
        <v>1434</v>
      </c>
      <c r="J464">
        <v>0</v>
      </c>
      <c r="K464">
        <v>0</v>
      </c>
      <c r="L464">
        <v>7913</v>
      </c>
      <c r="M464">
        <v>0</v>
      </c>
      <c r="N464">
        <v>0</v>
      </c>
      <c r="O464">
        <v>0</v>
      </c>
      <c r="P464">
        <v>3165</v>
      </c>
      <c r="R464">
        <v>0</v>
      </c>
      <c r="S464">
        <v>0</v>
      </c>
      <c r="T464" t="s">
        <v>86</v>
      </c>
      <c r="U464">
        <v>6</v>
      </c>
      <c r="V464" t="s">
        <v>87</v>
      </c>
      <c r="W464" t="s">
        <v>88</v>
      </c>
      <c r="X464" t="s">
        <v>135</v>
      </c>
      <c r="Y464" t="s">
        <v>89</v>
      </c>
      <c r="Z464">
        <v>2</v>
      </c>
      <c r="AA464">
        <f>IF(AND(D464&gt;=配装计算器!$I$29,D464&lt;=配装计算器!$I$30),1,0)</f>
        <v>1</v>
      </c>
      <c r="AB464">
        <f t="shared" si="173"/>
        <v>0</v>
      </c>
      <c r="AC464">
        <f t="shared" si="174"/>
        <v>0</v>
      </c>
      <c r="AD464">
        <f t="shared" si="175"/>
        <v>1</v>
      </c>
      <c r="AE464">
        <f t="shared" si="176"/>
        <v>0</v>
      </c>
      <c r="AF464">
        <f t="shared" si="177"/>
        <v>0</v>
      </c>
      <c r="AG464">
        <f t="shared" si="178"/>
        <v>0</v>
      </c>
      <c r="AH464">
        <f t="shared" si="179"/>
        <v>1</v>
      </c>
      <c r="AI464">
        <f t="shared" si="180"/>
        <v>0</v>
      </c>
      <c r="AJ464">
        <f t="shared" si="181"/>
        <v>1</v>
      </c>
      <c r="AK464">
        <f>SUM(AJ$2:$AJ464)</f>
        <v>463</v>
      </c>
    </row>
    <row r="465" spans="1:37">
      <c r="A465" t="s">
        <v>1471</v>
      </c>
      <c r="B465" t="s">
        <v>1475</v>
      </c>
      <c r="C465" t="s">
        <v>1476</v>
      </c>
      <c r="D465">
        <v>30200</v>
      </c>
      <c r="E465" t="s">
        <v>1477</v>
      </c>
      <c r="F465">
        <v>11606</v>
      </c>
      <c r="G465">
        <v>879</v>
      </c>
      <c r="I465">
        <v>1434</v>
      </c>
      <c r="J465">
        <v>7913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3165</v>
      </c>
      <c r="R465">
        <v>0</v>
      </c>
      <c r="S465">
        <v>0</v>
      </c>
      <c r="T465" t="s">
        <v>93</v>
      </c>
      <c r="U465">
        <v>6</v>
      </c>
      <c r="V465" t="s">
        <v>87</v>
      </c>
      <c r="W465" t="s">
        <v>88</v>
      </c>
      <c r="X465" t="s">
        <v>233</v>
      </c>
      <c r="Y465" t="s">
        <v>89</v>
      </c>
      <c r="Z465">
        <v>2</v>
      </c>
      <c r="AA465">
        <f>IF(AND(D465&gt;=配装计算器!$I$29,D465&lt;=配装计算器!$I$30),1,0)</f>
        <v>1</v>
      </c>
      <c r="AB465">
        <f t="shared" si="173"/>
        <v>1</v>
      </c>
      <c r="AC465">
        <f t="shared" si="174"/>
        <v>0</v>
      </c>
      <c r="AD465">
        <f t="shared" si="175"/>
        <v>0</v>
      </c>
      <c r="AE465">
        <f t="shared" si="176"/>
        <v>0</v>
      </c>
      <c r="AF465">
        <f t="shared" si="177"/>
        <v>0</v>
      </c>
      <c r="AG465">
        <f t="shared" si="178"/>
        <v>0</v>
      </c>
      <c r="AH465">
        <f t="shared" si="179"/>
        <v>1</v>
      </c>
      <c r="AI465">
        <f t="shared" si="180"/>
        <v>0</v>
      </c>
      <c r="AJ465">
        <f t="shared" si="181"/>
        <v>1</v>
      </c>
      <c r="AK465">
        <f>SUM(AJ$2:$AJ465)</f>
        <v>464</v>
      </c>
    </row>
    <row r="466" spans="1:37">
      <c r="A466" t="s">
        <v>1471</v>
      </c>
      <c r="B466" t="s">
        <v>1478</v>
      </c>
      <c r="C466" t="s">
        <v>1479</v>
      </c>
      <c r="D466">
        <v>30200</v>
      </c>
      <c r="E466" t="s">
        <v>1480</v>
      </c>
      <c r="F466">
        <v>11606</v>
      </c>
      <c r="G466">
        <v>879</v>
      </c>
      <c r="I466">
        <v>1434</v>
      </c>
      <c r="J466">
        <v>0</v>
      </c>
      <c r="K466">
        <v>0</v>
      </c>
      <c r="L466">
        <v>7913</v>
      </c>
      <c r="M466">
        <v>0</v>
      </c>
      <c r="N466">
        <v>0</v>
      </c>
      <c r="O466">
        <v>0</v>
      </c>
      <c r="P466">
        <v>3165</v>
      </c>
      <c r="R466">
        <v>0</v>
      </c>
      <c r="S466">
        <v>0</v>
      </c>
      <c r="T466" t="s">
        <v>86</v>
      </c>
      <c r="U466">
        <v>6</v>
      </c>
      <c r="V466" t="s">
        <v>98</v>
      </c>
      <c r="W466" t="s">
        <v>88</v>
      </c>
      <c r="X466" t="s">
        <v>135</v>
      </c>
      <c r="Y466" t="s">
        <v>89</v>
      </c>
      <c r="Z466">
        <v>2</v>
      </c>
      <c r="AA466">
        <f>IF(AND(D466&gt;=配装计算器!$I$29,D466&lt;=配装计算器!$I$30),1,0)</f>
        <v>1</v>
      </c>
      <c r="AB466">
        <f t="shared" si="173"/>
        <v>0</v>
      </c>
      <c r="AC466">
        <f t="shared" si="174"/>
        <v>0</v>
      </c>
      <c r="AD466">
        <f t="shared" si="175"/>
        <v>1</v>
      </c>
      <c r="AE466">
        <f t="shared" si="176"/>
        <v>0</v>
      </c>
      <c r="AF466">
        <f t="shared" si="177"/>
        <v>0</v>
      </c>
      <c r="AG466">
        <f t="shared" si="178"/>
        <v>0</v>
      </c>
      <c r="AH466">
        <f t="shared" si="179"/>
        <v>1</v>
      </c>
      <c r="AI466">
        <f t="shared" si="180"/>
        <v>0</v>
      </c>
      <c r="AJ466">
        <f t="shared" si="181"/>
        <v>1</v>
      </c>
      <c r="AK466">
        <f>SUM(AJ$2:$AJ466)</f>
        <v>465</v>
      </c>
    </row>
    <row r="467" spans="1:37">
      <c r="A467" t="s">
        <v>1471</v>
      </c>
      <c r="B467" t="s">
        <v>1481</v>
      </c>
      <c r="C467" t="s">
        <v>1482</v>
      </c>
      <c r="D467">
        <v>30200</v>
      </c>
      <c r="E467" t="s">
        <v>1483</v>
      </c>
      <c r="F467">
        <v>11606</v>
      </c>
      <c r="G467">
        <v>947</v>
      </c>
      <c r="I467">
        <v>2150</v>
      </c>
      <c r="J467">
        <v>7913</v>
      </c>
      <c r="K467">
        <v>0</v>
      </c>
      <c r="L467">
        <v>0</v>
      </c>
      <c r="M467">
        <v>0</v>
      </c>
      <c r="N467">
        <v>6330</v>
      </c>
      <c r="O467">
        <v>0</v>
      </c>
      <c r="P467">
        <v>0</v>
      </c>
      <c r="R467">
        <v>0</v>
      </c>
      <c r="S467">
        <v>0</v>
      </c>
      <c r="T467" t="s">
        <v>102</v>
      </c>
      <c r="U467">
        <v>6</v>
      </c>
      <c r="V467" t="s">
        <v>240</v>
      </c>
      <c r="W467" t="s">
        <v>94</v>
      </c>
      <c r="X467" t="s">
        <v>123</v>
      </c>
      <c r="Y467" t="s">
        <v>89</v>
      </c>
      <c r="Z467">
        <v>1</v>
      </c>
      <c r="AA467">
        <f>IF(AND(D467&gt;=配装计算器!$I$29,D467&lt;=配装计算器!$I$30),1,0)</f>
        <v>1</v>
      </c>
      <c r="AB467">
        <f t="shared" si="173"/>
        <v>1</v>
      </c>
      <c r="AC467">
        <f t="shared" si="174"/>
        <v>0</v>
      </c>
      <c r="AD467">
        <f t="shared" si="175"/>
        <v>0</v>
      </c>
      <c r="AE467">
        <f t="shared" si="176"/>
        <v>0</v>
      </c>
      <c r="AF467">
        <f t="shared" si="177"/>
        <v>1</v>
      </c>
      <c r="AG467">
        <f t="shared" si="178"/>
        <v>0</v>
      </c>
      <c r="AH467">
        <f t="shared" si="179"/>
        <v>0</v>
      </c>
      <c r="AI467">
        <f t="shared" si="180"/>
        <v>0</v>
      </c>
      <c r="AJ467">
        <f t="shared" si="181"/>
        <v>1</v>
      </c>
      <c r="AK467">
        <f>SUM(AJ$2:$AJ467)</f>
        <v>466</v>
      </c>
    </row>
    <row r="468" spans="1:37">
      <c r="A468" t="s">
        <v>1471</v>
      </c>
      <c r="B468" t="s">
        <v>1484</v>
      </c>
      <c r="C468" t="s">
        <v>1485</v>
      </c>
      <c r="D468">
        <v>30200</v>
      </c>
      <c r="E468" t="s">
        <v>1486</v>
      </c>
      <c r="F468">
        <v>11606</v>
      </c>
      <c r="G468">
        <v>947</v>
      </c>
      <c r="I468">
        <v>2150</v>
      </c>
      <c r="J468">
        <v>0</v>
      </c>
      <c r="K468">
        <v>0</v>
      </c>
      <c r="L468">
        <v>7913</v>
      </c>
      <c r="M468">
        <v>0</v>
      </c>
      <c r="N468">
        <v>6330</v>
      </c>
      <c r="O468">
        <v>0</v>
      </c>
      <c r="P468">
        <v>0</v>
      </c>
      <c r="R468">
        <v>0</v>
      </c>
      <c r="S468">
        <v>0</v>
      </c>
      <c r="T468" t="s">
        <v>122</v>
      </c>
      <c r="U468">
        <v>6</v>
      </c>
      <c r="V468" t="s">
        <v>103</v>
      </c>
      <c r="W468" t="s">
        <v>108</v>
      </c>
      <c r="X468" t="s">
        <v>94</v>
      </c>
      <c r="Y468" t="s">
        <v>89</v>
      </c>
      <c r="Z468">
        <v>1</v>
      </c>
      <c r="AA468">
        <f>IF(AND(D468&gt;=配装计算器!$I$29,D468&lt;=配装计算器!$I$30),1,0)</f>
        <v>1</v>
      </c>
      <c r="AB468">
        <f t="shared" si="173"/>
        <v>0</v>
      </c>
      <c r="AC468">
        <f t="shared" si="174"/>
        <v>0</v>
      </c>
      <c r="AD468">
        <f t="shared" si="175"/>
        <v>1</v>
      </c>
      <c r="AE468">
        <f t="shared" si="176"/>
        <v>0</v>
      </c>
      <c r="AF468">
        <f t="shared" si="177"/>
        <v>1</v>
      </c>
      <c r="AG468">
        <f t="shared" si="178"/>
        <v>0</v>
      </c>
      <c r="AH468">
        <f t="shared" si="179"/>
        <v>0</v>
      </c>
      <c r="AI468">
        <f t="shared" si="180"/>
        <v>0</v>
      </c>
      <c r="AJ468">
        <f t="shared" si="181"/>
        <v>1</v>
      </c>
      <c r="AK468">
        <f>SUM(AJ$2:$AJ468)</f>
        <v>467</v>
      </c>
    </row>
    <row r="469" spans="1:37">
      <c r="A469" t="s">
        <v>1471</v>
      </c>
      <c r="B469" t="s">
        <v>1487</v>
      </c>
      <c r="C469" t="s">
        <v>1488</v>
      </c>
      <c r="D469">
        <v>30200</v>
      </c>
      <c r="E469" t="s">
        <v>1489</v>
      </c>
      <c r="F469">
        <v>11606</v>
      </c>
      <c r="G469">
        <v>947</v>
      </c>
      <c r="I469">
        <v>2150</v>
      </c>
      <c r="J469">
        <v>0</v>
      </c>
      <c r="K469">
        <v>0</v>
      </c>
      <c r="L469">
        <v>0</v>
      </c>
      <c r="M469">
        <v>7913</v>
      </c>
      <c r="N469">
        <v>6330</v>
      </c>
      <c r="O469">
        <v>0</v>
      </c>
      <c r="P469">
        <v>0</v>
      </c>
      <c r="R469">
        <v>0</v>
      </c>
      <c r="S469">
        <v>0</v>
      </c>
      <c r="T469" t="s">
        <v>107</v>
      </c>
      <c r="U469">
        <v>6</v>
      </c>
      <c r="V469" t="s">
        <v>87</v>
      </c>
      <c r="W469" t="s">
        <v>108</v>
      </c>
      <c r="X469" t="s">
        <v>94</v>
      </c>
      <c r="Y469" t="s">
        <v>89</v>
      </c>
      <c r="Z469">
        <v>1</v>
      </c>
      <c r="AA469">
        <f>IF(AND(D469&gt;=配装计算器!$I$29,D469&lt;=配装计算器!$I$30),1,0)</f>
        <v>1</v>
      </c>
      <c r="AB469">
        <f t="shared" si="173"/>
        <v>0</v>
      </c>
      <c r="AC469">
        <f t="shared" si="174"/>
        <v>0</v>
      </c>
      <c r="AD469">
        <f t="shared" si="175"/>
        <v>0</v>
      </c>
      <c r="AE469">
        <f t="shared" si="176"/>
        <v>1</v>
      </c>
      <c r="AF469">
        <f t="shared" si="177"/>
        <v>1</v>
      </c>
      <c r="AG469">
        <f t="shared" si="178"/>
        <v>0</v>
      </c>
      <c r="AH469">
        <f t="shared" si="179"/>
        <v>0</v>
      </c>
      <c r="AI469">
        <f t="shared" si="180"/>
        <v>0</v>
      </c>
      <c r="AJ469">
        <f t="shared" si="181"/>
        <v>1</v>
      </c>
      <c r="AK469">
        <f>SUM(AJ$2:$AJ469)</f>
        <v>468</v>
      </c>
    </row>
    <row r="470" spans="1:37">
      <c r="A470" t="s">
        <v>1471</v>
      </c>
      <c r="B470" t="s">
        <v>1490</v>
      </c>
      <c r="C470" t="s">
        <v>1491</v>
      </c>
      <c r="D470">
        <v>30200</v>
      </c>
      <c r="E470" t="s">
        <v>1492</v>
      </c>
      <c r="F470">
        <v>11606</v>
      </c>
      <c r="G470">
        <v>947</v>
      </c>
      <c r="I470">
        <v>2150</v>
      </c>
      <c r="J470">
        <v>0</v>
      </c>
      <c r="K470">
        <v>0</v>
      </c>
      <c r="L470">
        <v>0</v>
      </c>
      <c r="M470">
        <v>0</v>
      </c>
      <c r="N470">
        <v>6330</v>
      </c>
      <c r="O470">
        <v>7913</v>
      </c>
      <c r="P470">
        <v>0</v>
      </c>
      <c r="R470">
        <v>0</v>
      </c>
      <c r="S470">
        <v>0</v>
      </c>
      <c r="T470" t="s">
        <v>115</v>
      </c>
      <c r="U470">
        <v>6</v>
      </c>
      <c r="V470" t="s">
        <v>87</v>
      </c>
      <c r="W470" t="s">
        <v>123</v>
      </c>
      <c r="X470" t="s">
        <v>88</v>
      </c>
      <c r="Y470" t="s">
        <v>89</v>
      </c>
      <c r="Z470">
        <v>1</v>
      </c>
      <c r="AA470">
        <f>IF(AND(D470&gt;=配装计算器!$I$29,D470&lt;=配装计算器!$I$30),1,0)</f>
        <v>1</v>
      </c>
      <c r="AB470">
        <f t="shared" si="173"/>
        <v>0</v>
      </c>
      <c r="AC470">
        <f t="shared" si="174"/>
        <v>0</v>
      </c>
      <c r="AD470">
        <f t="shared" si="175"/>
        <v>0</v>
      </c>
      <c r="AE470">
        <f t="shared" si="176"/>
        <v>0</v>
      </c>
      <c r="AF470">
        <f t="shared" si="177"/>
        <v>1</v>
      </c>
      <c r="AG470">
        <f t="shared" si="178"/>
        <v>1</v>
      </c>
      <c r="AH470">
        <f t="shared" si="179"/>
        <v>0</v>
      </c>
      <c r="AI470">
        <f t="shared" si="180"/>
        <v>0</v>
      </c>
      <c r="AJ470">
        <f t="shared" si="181"/>
        <v>1</v>
      </c>
      <c r="AK470">
        <f>SUM(AJ$2:$AJ470)</f>
        <v>469</v>
      </c>
    </row>
    <row r="471" spans="1:37">
      <c r="A471" t="s">
        <v>1471</v>
      </c>
      <c r="B471" t="s">
        <v>1493</v>
      </c>
      <c r="C471" t="s">
        <v>1494</v>
      </c>
      <c r="D471">
        <v>30200</v>
      </c>
      <c r="E471" t="s">
        <v>1495</v>
      </c>
      <c r="F471">
        <v>11606</v>
      </c>
      <c r="G471">
        <v>947</v>
      </c>
      <c r="I471">
        <v>2150</v>
      </c>
      <c r="J471">
        <v>0</v>
      </c>
      <c r="K471">
        <v>0</v>
      </c>
      <c r="L471">
        <v>7913</v>
      </c>
      <c r="M471">
        <v>0</v>
      </c>
      <c r="N471">
        <v>6330</v>
      </c>
      <c r="O471">
        <v>0</v>
      </c>
      <c r="P471">
        <v>0</v>
      </c>
      <c r="R471">
        <v>0</v>
      </c>
      <c r="S471">
        <v>0</v>
      </c>
      <c r="T471" t="s">
        <v>122</v>
      </c>
      <c r="U471">
        <v>6</v>
      </c>
      <c r="V471" t="s">
        <v>87</v>
      </c>
      <c r="W471" t="s">
        <v>108</v>
      </c>
      <c r="X471" t="s">
        <v>94</v>
      </c>
      <c r="Y471" t="s">
        <v>89</v>
      </c>
      <c r="Z471">
        <v>1</v>
      </c>
      <c r="AA471">
        <f>IF(AND(D471&gt;=配装计算器!$I$29,D471&lt;=配装计算器!$I$30),1,0)</f>
        <v>1</v>
      </c>
      <c r="AB471">
        <f t="shared" si="173"/>
        <v>0</v>
      </c>
      <c r="AC471">
        <f t="shared" si="174"/>
        <v>0</v>
      </c>
      <c r="AD471">
        <f t="shared" si="175"/>
        <v>1</v>
      </c>
      <c r="AE471">
        <f t="shared" si="176"/>
        <v>0</v>
      </c>
      <c r="AF471">
        <f t="shared" si="177"/>
        <v>1</v>
      </c>
      <c r="AG471">
        <f t="shared" si="178"/>
        <v>0</v>
      </c>
      <c r="AH471">
        <f t="shared" si="179"/>
        <v>0</v>
      </c>
      <c r="AI471">
        <f t="shared" si="180"/>
        <v>0</v>
      </c>
      <c r="AJ471">
        <f t="shared" si="181"/>
        <v>1</v>
      </c>
      <c r="AK471">
        <f>SUM(AJ$2:$AJ471)</f>
        <v>470</v>
      </c>
    </row>
    <row r="472" spans="1:37">
      <c r="A472" t="s">
        <v>1471</v>
      </c>
      <c r="B472" t="s">
        <v>1496</v>
      </c>
      <c r="C472" t="s">
        <v>1497</v>
      </c>
      <c r="D472">
        <v>30200</v>
      </c>
      <c r="E472" t="s">
        <v>1498</v>
      </c>
      <c r="F472">
        <v>11606</v>
      </c>
      <c r="G472">
        <v>947</v>
      </c>
      <c r="I472">
        <v>2150</v>
      </c>
      <c r="J472">
        <v>0</v>
      </c>
      <c r="K472">
        <v>0</v>
      </c>
      <c r="L472">
        <v>7913</v>
      </c>
      <c r="M472">
        <v>0</v>
      </c>
      <c r="N472">
        <v>6330</v>
      </c>
      <c r="O472">
        <v>0</v>
      </c>
      <c r="P472">
        <v>0</v>
      </c>
      <c r="R472">
        <v>0</v>
      </c>
      <c r="S472">
        <v>0</v>
      </c>
      <c r="T472" t="s">
        <v>122</v>
      </c>
      <c r="U472">
        <v>6</v>
      </c>
      <c r="V472" t="s">
        <v>87</v>
      </c>
      <c r="W472" t="s">
        <v>108</v>
      </c>
      <c r="X472" t="s">
        <v>94</v>
      </c>
      <c r="Y472" t="s">
        <v>89</v>
      </c>
      <c r="Z472">
        <v>1</v>
      </c>
      <c r="AA472">
        <f>IF(AND(D472&gt;=配装计算器!$I$29,D472&lt;=配装计算器!$I$30),1,0)</f>
        <v>1</v>
      </c>
      <c r="AB472">
        <f t="shared" si="173"/>
        <v>0</v>
      </c>
      <c r="AC472">
        <f t="shared" si="174"/>
        <v>0</v>
      </c>
      <c r="AD472">
        <f t="shared" si="175"/>
        <v>1</v>
      </c>
      <c r="AE472">
        <f t="shared" si="176"/>
        <v>0</v>
      </c>
      <c r="AF472">
        <f t="shared" si="177"/>
        <v>1</v>
      </c>
      <c r="AG472">
        <f t="shared" si="178"/>
        <v>0</v>
      </c>
      <c r="AH472">
        <f t="shared" si="179"/>
        <v>0</v>
      </c>
      <c r="AI472">
        <f t="shared" si="180"/>
        <v>0</v>
      </c>
      <c r="AJ472">
        <f t="shared" si="181"/>
        <v>1</v>
      </c>
      <c r="AK472">
        <f>SUM(AJ$2:$AJ472)</f>
        <v>471</v>
      </c>
    </row>
    <row r="473" spans="1:37">
      <c r="A473" t="s">
        <v>1471</v>
      </c>
      <c r="B473" t="s">
        <v>1499</v>
      </c>
      <c r="C473" t="s">
        <v>1500</v>
      </c>
      <c r="D473">
        <v>30200</v>
      </c>
      <c r="E473" t="s">
        <v>1501</v>
      </c>
      <c r="F473">
        <v>11606</v>
      </c>
      <c r="G473">
        <v>947</v>
      </c>
      <c r="I473">
        <v>2150</v>
      </c>
      <c r="J473">
        <v>7913</v>
      </c>
      <c r="K473">
        <v>0</v>
      </c>
      <c r="L473">
        <v>0</v>
      </c>
      <c r="M473">
        <v>0</v>
      </c>
      <c r="N473">
        <v>6330</v>
      </c>
      <c r="O473">
        <v>0</v>
      </c>
      <c r="P473">
        <v>0</v>
      </c>
      <c r="R473">
        <v>0</v>
      </c>
      <c r="S473">
        <v>0</v>
      </c>
      <c r="T473" t="s">
        <v>102</v>
      </c>
      <c r="U473">
        <v>6</v>
      </c>
      <c r="V473" t="s">
        <v>87</v>
      </c>
      <c r="W473" t="s">
        <v>94</v>
      </c>
      <c r="X473" t="s">
        <v>123</v>
      </c>
      <c r="Y473" t="s">
        <v>89</v>
      </c>
      <c r="Z473">
        <v>1</v>
      </c>
      <c r="AA473">
        <f>IF(AND(D473&gt;=配装计算器!$I$29,D473&lt;=配装计算器!$I$30),1,0)</f>
        <v>1</v>
      </c>
      <c r="AB473">
        <f t="shared" si="173"/>
        <v>1</v>
      </c>
      <c r="AC473">
        <f t="shared" si="174"/>
        <v>0</v>
      </c>
      <c r="AD473">
        <f t="shared" si="175"/>
        <v>0</v>
      </c>
      <c r="AE473">
        <f t="shared" si="176"/>
        <v>0</v>
      </c>
      <c r="AF473">
        <f t="shared" si="177"/>
        <v>1</v>
      </c>
      <c r="AG473">
        <f t="shared" si="178"/>
        <v>0</v>
      </c>
      <c r="AH473">
        <f t="shared" si="179"/>
        <v>0</v>
      </c>
      <c r="AI473">
        <f t="shared" si="180"/>
        <v>0</v>
      </c>
      <c r="AJ473">
        <f t="shared" si="181"/>
        <v>1</v>
      </c>
      <c r="AK473">
        <f>SUM(AJ$2:$AJ473)</f>
        <v>472</v>
      </c>
    </row>
    <row r="474" spans="1:37">
      <c r="A474" t="s">
        <v>1471</v>
      </c>
      <c r="B474" t="s">
        <v>1502</v>
      </c>
      <c r="C474" t="s">
        <v>1503</v>
      </c>
      <c r="D474">
        <v>30200</v>
      </c>
      <c r="E474" t="s">
        <v>1504</v>
      </c>
      <c r="F474">
        <v>11606</v>
      </c>
      <c r="G474">
        <v>947</v>
      </c>
      <c r="I474">
        <v>2150</v>
      </c>
      <c r="J474">
        <v>0</v>
      </c>
      <c r="K474">
        <v>0</v>
      </c>
      <c r="L474">
        <v>7913</v>
      </c>
      <c r="M474">
        <v>0</v>
      </c>
      <c r="N474">
        <v>6330</v>
      </c>
      <c r="O474">
        <v>0</v>
      </c>
      <c r="P474">
        <v>0</v>
      </c>
      <c r="R474">
        <v>0</v>
      </c>
      <c r="S474">
        <v>0</v>
      </c>
      <c r="T474" t="s">
        <v>122</v>
      </c>
      <c r="U474">
        <v>6</v>
      </c>
      <c r="V474" t="s">
        <v>130</v>
      </c>
      <c r="W474" t="s">
        <v>108</v>
      </c>
      <c r="X474" t="s">
        <v>94</v>
      </c>
      <c r="Y474" t="s">
        <v>89</v>
      </c>
      <c r="Z474">
        <v>1</v>
      </c>
      <c r="AA474">
        <f>IF(AND(D474&gt;=配装计算器!$I$29,D474&lt;=配装计算器!$I$30),1,0)</f>
        <v>1</v>
      </c>
      <c r="AB474">
        <f t="shared" si="173"/>
        <v>0</v>
      </c>
      <c r="AC474">
        <f t="shared" si="174"/>
        <v>0</v>
      </c>
      <c r="AD474">
        <f t="shared" si="175"/>
        <v>1</v>
      </c>
      <c r="AE474">
        <f t="shared" si="176"/>
        <v>0</v>
      </c>
      <c r="AF474">
        <f t="shared" si="177"/>
        <v>1</v>
      </c>
      <c r="AG474">
        <f t="shared" si="178"/>
        <v>0</v>
      </c>
      <c r="AH474">
        <f t="shared" si="179"/>
        <v>0</v>
      </c>
      <c r="AI474">
        <f t="shared" si="180"/>
        <v>0</v>
      </c>
      <c r="AJ474">
        <f t="shared" si="181"/>
        <v>1</v>
      </c>
      <c r="AK474">
        <f>SUM(AJ$2:$AJ474)</f>
        <v>473</v>
      </c>
    </row>
    <row r="475" spans="1:37">
      <c r="A475" t="s">
        <v>1471</v>
      </c>
      <c r="B475" t="s">
        <v>1505</v>
      </c>
      <c r="C475" t="s">
        <v>1506</v>
      </c>
      <c r="D475">
        <v>30200</v>
      </c>
      <c r="E475" t="s">
        <v>1507</v>
      </c>
      <c r="F475">
        <v>11606</v>
      </c>
      <c r="G475">
        <v>947</v>
      </c>
      <c r="I475">
        <v>2150</v>
      </c>
      <c r="J475">
        <v>0</v>
      </c>
      <c r="K475">
        <v>0</v>
      </c>
      <c r="L475">
        <v>0</v>
      </c>
      <c r="M475">
        <v>0</v>
      </c>
      <c r="N475">
        <v>6330</v>
      </c>
      <c r="O475">
        <v>7913</v>
      </c>
      <c r="P475">
        <v>0</v>
      </c>
      <c r="R475">
        <v>0</v>
      </c>
      <c r="S475">
        <v>0</v>
      </c>
      <c r="T475" t="s">
        <v>115</v>
      </c>
      <c r="U475">
        <v>6</v>
      </c>
      <c r="V475" t="s">
        <v>269</v>
      </c>
      <c r="W475" t="s">
        <v>123</v>
      </c>
      <c r="X475" t="s">
        <v>88</v>
      </c>
      <c r="Y475" t="s">
        <v>89</v>
      </c>
      <c r="Z475">
        <v>1</v>
      </c>
      <c r="AA475">
        <f>IF(AND(D475&gt;=配装计算器!$I$29,D475&lt;=配装计算器!$I$30),1,0)</f>
        <v>1</v>
      </c>
      <c r="AB475">
        <f t="shared" si="173"/>
        <v>0</v>
      </c>
      <c r="AC475">
        <f t="shared" si="174"/>
        <v>0</v>
      </c>
      <c r="AD475">
        <f t="shared" si="175"/>
        <v>0</v>
      </c>
      <c r="AE475">
        <f t="shared" si="176"/>
        <v>0</v>
      </c>
      <c r="AF475">
        <f t="shared" si="177"/>
        <v>1</v>
      </c>
      <c r="AG475">
        <f t="shared" si="178"/>
        <v>1</v>
      </c>
      <c r="AH475">
        <f t="shared" si="179"/>
        <v>0</v>
      </c>
      <c r="AI475">
        <f t="shared" si="180"/>
        <v>0</v>
      </c>
      <c r="AJ475">
        <f t="shared" si="181"/>
        <v>1</v>
      </c>
      <c r="AK475">
        <f>SUM(AJ$2:$AJ475)</f>
        <v>474</v>
      </c>
    </row>
    <row r="476" spans="1:37">
      <c r="A476" t="s">
        <v>1471</v>
      </c>
      <c r="B476" t="s">
        <v>1508</v>
      </c>
      <c r="C476" t="s">
        <v>1509</v>
      </c>
      <c r="D476">
        <v>30200</v>
      </c>
      <c r="E476" t="s">
        <v>1510</v>
      </c>
      <c r="F476">
        <v>11606</v>
      </c>
      <c r="G476">
        <v>0</v>
      </c>
      <c r="I476">
        <v>4014</v>
      </c>
      <c r="J476">
        <v>0</v>
      </c>
      <c r="K476">
        <v>0</v>
      </c>
      <c r="L476">
        <v>0</v>
      </c>
      <c r="M476">
        <v>15826</v>
      </c>
      <c r="N476">
        <v>0</v>
      </c>
      <c r="O476">
        <v>0</v>
      </c>
      <c r="P476">
        <v>0</v>
      </c>
      <c r="R476">
        <v>0</v>
      </c>
      <c r="S476">
        <v>0</v>
      </c>
      <c r="T476" t="s">
        <v>276</v>
      </c>
      <c r="U476">
        <v>6</v>
      </c>
      <c r="V476" t="s">
        <v>87</v>
      </c>
      <c r="W476" t="s">
        <v>94</v>
      </c>
      <c r="X476" t="s">
        <v>154</v>
      </c>
      <c r="Y476" t="s">
        <v>89</v>
      </c>
      <c r="Z476">
        <v>1</v>
      </c>
      <c r="AA476">
        <f>IF(AND(D476&gt;=配装计算器!$I$29,D476&lt;=配装计算器!$I$30),1,0)</f>
        <v>1</v>
      </c>
      <c r="AB476">
        <f t="shared" si="173"/>
        <v>0</v>
      </c>
      <c r="AC476">
        <f t="shared" si="174"/>
        <v>0</v>
      </c>
      <c r="AD476">
        <f t="shared" si="175"/>
        <v>0</v>
      </c>
      <c r="AE476">
        <f t="shared" si="176"/>
        <v>1</v>
      </c>
      <c r="AF476">
        <f t="shared" si="177"/>
        <v>0</v>
      </c>
      <c r="AG476">
        <f t="shared" si="178"/>
        <v>0</v>
      </c>
      <c r="AH476">
        <f t="shared" si="179"/>
        <v>0</v>
      </c>
      <c r="AI476">
        <f t="shared" si="180"/>
        <v>1</v>
      </c>
      <c r="AJ476">
        <f t="shared" si="181"/>
        <v>1</v>
      </c>
      <c r="AK476">
        <f>SUM(AJ$2:$AJ476)</f>
        <v>475</v>
      </c>
    </row>
    <row r="477" spans="1:37">
      <c r="A477" t="s">
        <v>1471</v>
      </c>
      <c r="B477" t="s">
        <v>1511</v>
      </c>
      <c r="C477" t="s">
        <v>1512</v>
      </c>
      <c r="D477">
        <v>30200</v>
      </c>
      <c r="E477" t="s">
        <v>1513</v>
      </c>
      <c r="F477">
        <v>11606</v>
      </c>
      <c r="G477">
        <v>0</v>
      </c>
      <c r="I477">
        <v>1434</v>
      </c>
      <c r="J477">
        <v>0</v>
      </c>
      <c r="K477">
        <v>0</v>
      </c>
      <c r="L477">
        <v>20574</v>
      </c>
      <c r="M477">
        <v>0</v>
      </c>
      <c r="N477">
        <v>6330</v>
      </c>
      <c r="O477">
        <v>0</v>
      </c>
      <c r="P477">
        <v>0</v>
      </c>
      <c r="R477">
        <v>0</v>
      </c>
      <c r="S477">
        <v>0</v>
      </c>
      <c r="T477" t="s">
        <v>153</v>
      </c>
      <c r="U477">
        <v>6</v>
      </c>
      <c r="V477" t="s">
        <v>87</v>
      </c>
      <c r="W477" t="s">
        <v>154</v>
      </c>
      <c r="X477" t="s">
        <v>123</v>
      </c>
      <c r="Y477" t="s">
        <v>89</v>
      </c>
      <c r="Z477">
        <v>1</v>
      </c>
      <c r="AA477">
        <f>IF(AND(D477&gt;=配装计算器!$I$29,D477&lt;=配装计算器!$I$30),1,0)</f>
        <v>1</v>
      </c>
      <c r="AB477">
        <f t="shared" si="173"/>
        <v>0</v>
      </c>
      <c r="AC477">
        <f t="shared" si="174"/>
        <v>0</v>
      </c>
      <c r="AD477">
        <f t="shared" si="175"/>
        <v>1</v>
      </c>
      <c r="AE477">
        <f t="shared" si="176"/>
        <v>0</v>
      </c>
      <c r="AF477">
        <f t="shared" si="177"/>
        <v>1</v>
      </c>
      <c r="AG477">
        <f t="shared" si="178"/>
        <v>0</v>
      </c>
      <c r="AH477">
        <f t="shared" si="179"/>
        <v>0</v>
      </c>
      <c r="AI477">
        <f t="shared" si="180"/>
        <v>1</v>
      </c>
      <c r="AJ477">
        <f t="shared" si="181"/>
        <v>1</v>
      </c>
      <c r="AK477">
        <f>SUM(AJ$2:$AJ477)</f>
        <v>476</v>
      </c>
    </row>
    <row r="478" spans="1:37">
      <c r="A478" t="s">
        <v>1471</v>
      </c>
      <c r="B478" t="s">
        <v>1514</v>
      </c>
      <c r="C478" t="s">
        <v>1515</v>
      </c>
      <c r="D478">
        <v>30200</v>
      </c>
      <c r="E478" t="s">
        <v>1516</v>
      </c>
      <c r="F478">
        <v>11606</v>
      </c>
      <c r="G478">
        <v>0</v>
      </c>
      <c r="I478">
        <v>4157</v>
      </c>
      <c r="J478">
        <v>0</v>
      </c>
      <c r="K478">
        <v>0</v>
      </c>
      <c r="L478">
        <v>7913</v>
      </c>
      <c r="M478">
        <v>0</v>
      </c>
      <c r="N478">
        <v>0</v>
      </c>
      <c r="O478">
        <v>0</v>
      </c>
      <c r="P478">
        <v>0</v>
      </c>
      <c r="R478">
        <v>0</v>
      </c>
      <c r="S478">
        <v>0</v>
      </c>
      <c r="T478" t="s">
        <v>719</v>
      </c>
      <c r="U478">
        <v>6</v>
      </c>
      <c r="V478" t="s">
        <v>87</v>
      </c>
      <c r="W478" t="s">
        <v>94</v>
      </c>
      <c r="X478" t="s">
        <v>108</v>
      </c>
      <c r="Y478" t="s">
        <v>89</v>
      </c>
      <c r="Z478">
        <v>1</v>
      </c>
      <c r="AA478">
        <f>IF(AND(D478&gt;=配装计算器!$I$29,D478&lt;=配装计算器!$I$30),1,0)</f>
        <v>1</v>
      </c>
      <c r="AB478">
        <f t="shared" si="173"/>
        <v>0</v>
      </c>
      <c r="AC478">
        <f t="shared" si="174"/>
        <v>0</v>
      </c>
      <c r="AD478">
        <f t="shared" si="175"/>
        <v>1</v>
      </c>
      <c r="AE478">
        <f t="shared" si="176"/>
        <v>0</v>
      </c>
      <c r="AF478">
        <f t="shared" si="177"/>
        <v>0</v>
      </c>
      <c r="AG478">
        <f t="shared" si="178"/>
        <v>0</v>
      </c>
      <c r="AH478">
        <f t="shared" si="179"/>
        <v>0</v>
      </c>
      <c r="AI478">
        <f t="shared" si="180"/>
        <v>1</v>
      </c>
      <c r="AJ478">
        <f t="shared" si="181"/>
        <v>1</v>
      </c>
      <c r="AK478">
        <f>SUM(AJ$2:$AJ478)</f>
        <v>477</v>
      </c>
    </row>
    <row r="479" spans="1:37">
      <c r="A479" t="s">
        <v>1471</v>
      </c>
      <c r="B479" t="s">
        <v>1517</v>
      </c>
      <c r="C479" t="s">
        <v>1518</v>
      </c>
      <c r="D479">
        <v>30200</v>
      </c>
      <c r="E479" t="s">
        <v>1519</v>
      </c>
      <c r="F479">
        <v>11606</v>
      </c>
      <c r="G479">
        <v>0</v>
      </c>
      <c r="I479">
        <v>3369</v>
      </c>
      <c r="J479">
        <v>5275</v>
      </c>
      <c r="K479">
        <v>0</v>
      </c>
      <c r="L479">
        <v>5275</v>
      </c>
      <c r="M479">
        <v>5275</v>
      </c>
      <c r="N479">
        <v>5275</v>
      </c>
      <c r="O479">
        <v>0</v>
      </c>
      <c r="P479">
        <v>0</v>
      </c>
      <c r="R479">
        <v>0</v>
      </c>
      <c r="S479">
        <v>0</v>
      </c>
      <c r="T479" t="s">
        <v>504</v>
      </c>
      <c r="U479">
        <v>6</v>
      </c>
      <c r="V479" t="s">
        <v>87</v>
      </c>
      <c r="W479" t="s">
        <v>94</v>
      </c>
      <c r="X479" t="s">
        <v>154</v>
      </c>
      <c r="Y479" t="s">
        <v>89</v>
      </c>
      <c r="Z479">
        <v>1</v>
      </c>
      <c r="AA479">
        <f>IF(AND(D479&gt;=配装计算器!$I$29,D479&lt;=配装计算器!$I$30),1,0)</f>
        <v>1</v>
      </c>
      <c r="AB479">
        <f t="shared" si="173"/>
        <v>1</v>
      </c>
      <c r="AC479">
        <f t="shared" si="174"/>
        <v>0</v>
      </c>
      <c r="AD479">
        <f t="shared" si="175"/>
        <v>1</v>
      </c>
      <c r="AE479">
        <f t="shared" si="176"/>
        <v>1</v>
      </c>
      <c r="AF479">
        <f t="shared" si="177"/>
        <v>1</v>
      </c>
      <c r="AG479">
        <f t="shared" si="178"/>
        <v>0</v>
      </c>
      <c r="AH479">
        <f t="shared" si="179"/>
        <v>0</v>
      </c>
      <c r="AI479">
        <f t="shared" si="180"/>
        <v>1</v>
      </c>
      <c r="AJ479">
        <f t="shared" si="181"/>
        <v>1</v>
      </c>
      <c r="AK479">
        <f>SUM(AJ$2:$AJ479)</f>
        <v>478</v>
      </c>
    </row>
    <row r="480" spans="1:37">
      <c r="A480" t="s">
        <v>1471</v>
      </c>
      <c r="B480" t="s">
        <v>1520</v>
      </c>
      <c r="C480" t="s">
        <v>1521</v>
      </c>
      <c r="D480">
        <v>30200</v>
      </c>
      <c r="E480" t="s">
        <v>1522</v>
      </c>
      <c r="F480">
        <v>11606</v>
      </c>
      <c r="G480">
        <v>0</v>
      </c>
      <c r="I480">
        <v>1434</v>
      </c>
      <c r="J480">
        <v>20574</v>
      </c>
      <c r="K480">
        <v>0</v>
      </c>
      <c r="L480">
        <v>0</v>
      </c>
      <c r="M480">
        <v>0</v>
      </c>
      <c r="N480">
        <v>6330</v>
      </c>
      <c r="O480">
        <v>0</v>
      </c>
      <c r="P480">
        <v>0</v>
      </c>
      <c r="R480">
        <v>0</v>
      </c>
      <c r="S480">
        <v>0</v>
      </c>
      <c r="T480" t="s">
        <v>184</v>
      </c>
      <c r="U480">
        <v>6</v>
      </c>
      <c r="V480" t="s">
        <v>87</v>
      </c>
      <c r="W480" t="s">
        <v>185</v>
      </c>
      <c r="X480" t="s">
        <v>108</v>
      </c>
      <c r="Y480" t="s">
        <v>89</v>
      </c>
      <c r="Z480">
        <v>1</v>
      </c>
      <c r="AA480">
        <f>IF(AND(D480&gt;=配装计算器!$I$29,D480&lt;=配装计算器!$I$30),1,0)</f>
        <v>1</v>
      </c>
      <c r="AB480">
        <f t="shared" si="173"/>
        <v>1</v>
      </c>
      <c r="AC480">
        <f t="shared" si="174"/>
        <v>0</v>
      </c>
      <c r="AD480">
        <f t="shared" si="175"/>
        <v>0</v>
      </c>
      <c r="AE480">
        <f t="shared" si="176"/>
        <v>0</v>
      </c>
      <c r="AF480">
        <f t="shared" si="177"/>
        <v>1</v>
      </c>
      <c r="AG480">
        <f t="shared" si="178"/>
        <v>0</v>
      </c>
      <c r="AH480">
        <f t="shared" si="179"/>
        <v>0</v>
      </c>
      <c r="AI480">
        <f t="shared" si="180"/>
        <v>1</v>
      </c>
      <c r="AJ480">
        <f t="shared" si="181"/>
        <v>1</v>
      </c>
      <c r="AK480">
        <f>SUM(AJ$2:$AJ480)</f>
        <v>479</v>
      </c>
    </row>
    <row r="481" spans="1:37">
      <c r="A481" t="s">
        <v>1471</v>
      </c>
      <c r="B481" t="s">
        <v>1523</v>
      </c>
      <c r="C481" t="s">
        <v>1524</v>
      </c>
      <c r="D481">
        <v>30200</v>
      </c>
      <c r="E481" t="s">
        <v>1525</v>
      </c>
      <c r="F481">
        <v>11606</v>
      </c>
      <c r="G481">
        <v>0</v>
      </c>
      <c r="I481">
        <v>4157</v>
      </c>
      <c r="J481">
        <v>7913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R481">
        <v>0</v>
      </c>
      <c r="S481">
        <v>0</v>
      </c>
      <c r="T481" t="s">
        <v>729</v>
      </c>
      <c r="U481">
        <v>6</v>
      </c>
      <c r="V481" t="s">
        <v>87</v>
      </c>
      <c r="W481" t="s">
        <v>185</v>
      </c>
      <c r="X481" t="s">
        <v>108</v>
      </c>
      <c r="Y481" t="s">
        <v>89</v>
      </c>
      <c r="Z481">
        <v>1</v>
      </c>
      <c r="AA481">
        <f>IF(AND(D481&gt;=配装计算器!$I$29,D481&lt;=配装计算器!$I$30),1,0)</f>
        <v>1</v>
      </c>
      <c r="AB481">
        <f t="shared" si="173"/>
        <v>1</v>
      </c>
      <c r="AC481">
        <f t="shared" si="174"/>
        <v>0</v>
      </c>
      <c r="AD481">
        <f t="shared" si="175"/>
        <v>0</v>
      </c>
      <c r="AE481">
        <f t="shared" si="176"/>
        <v>0</v>
      </c>
      <c r="AF481">
        <f t="shared" si="177"/>
        <v>0</v>
      </c>
      <c r="AG481">
        <f t="shared" si="178"/>
        <v>0</v>
      </c>
      <c r="AH481">
        <f t="shared" si="179"/>
        <v>0</v>
      </c>
      <c r="AI481">
        <f t="shared" si="180"/>
        <v>1</v>
      </c>
      <c r="AJ481">
        <f t="shared" si="181"/>
        <v>1</v>
      </c>
      <c r="AK481">
        <f>SUM(AJ$2:$AJ481)</f>
        <v>480</v>
      </c>
    </row>
    <row r="482" spans="1:37">
      <c r="A482" t="s">
        <v>1471</v>
      </c>
      <c r="B482" t="s">
        <v>1526</v>
      </c>
      <c r="C482" t="s">
        <v>1527</v>
      </c>
      <c r="D482">
        <v>30200</v>
      </c>
      <c r="E482" t="s">
        <v>1528</v>
      </c>
      <c r="F482">
        <v>11606</v>
      </c>
      <c r="G482">
        <v>0</v>
      </c>
      <c r="I482">
        <v>2867</v>
      </c>
      <c r="J482">
        <v>0</v>
      </c>
      <c r="K482">
        <v>0</v>
      </c>
      <c r="L482">
        <v>0</v>
      </c>
      <c r="M482">
        <v>14507</v>
      </c>
      <c r="N482">
        <v>7913</v>
      </c>
      <c r="O482">
        <v>0</v>
      </c>
      <c r="P482">
        <v>0</v>
      </c>
      <c r="R482">
        <v>0</v>
      </c>
      <c r="S482">
        <v>0</v>
      </c>
      <c r="T482" t="s">
        <v>292</v>
      </c>
      <c r="U482">
        <v>6</v>
      </c>
      <c r="V482" t="s">
        <v>87</v>
      </c>
      <c r="W482" t="s">
        <v>94</v>
      </c>
      <c r="X482" t="s">
        <v>108</v>
      </c>
      <c r="Y482" t="s">
        <v>89</v>
      </c>
      <c r="Z482">
        <v>1</v>
      </c>
      <c r="AA482">
        <f>IF(AND(D482&gt;=配装计算器!$I$29,D482&lt;=配装计算器!$I$30),1,0)</f>
        <v>1</v>
      </c>
      <c r="AB482">
        <f t="shared" si="173"/>
        <v>0</v>
      </c>
      <c r="AC482">
        <f t="shared" si="174"/>
        <v>0</v>
      </c>
      <c r="AD482">
        <f t="shared" si="175"/>
        <v>0</v>
      </c>
      <c r="AE482">
        <f t="shared" si="176"/>
        <v>1</v>
      </c>
      <c r="AF482">
        <f t="shared" si="177"/>
        <v>1</v>
      </c>
      <c r="AG482">
        <f t="shared" si="178"/>
        <v>0</v>
      </c>
      <c r="AH482">
        <f t="shared" si="179"/>
        <v>0</v>
      </c>
      <c r="AI482">
        <f t="shared" si="180"/>
        <v>1</v>
      </c>
      <c r="AJ482">
        <f t="shared" si="181"/>
        <v>1</v>
      </c>
      <c r="AK482">
        <f>SUM(AJ$2:$AJ482)</f>
        <v>481</v>
      </c>
    </row>
    <row r="483" spans="1:37">
      <c r="A483" t="s">
        <v>1471</v>
      </c>
      <c r="B483" t="s">
        <v>1529</v>
      </c>
      <c r="C483" t="s">
        <v>1530</v>
      </c>
      <c r="D483">
        <v>30200</v>
      </c>
      <c r="E483" t="s">
        <v>1531</v>
      </c>
      <c r="F483">
        <v>11606</v>
      </c>
      <c r="G483">
        <v>0</v>
      </c>
      <c r="I483">
        <v>4157</v>
      </c>
      <c r="J483">
        <v>0</v>
      </c>
      <c r="K483">
        <v>0</v>
      </c>
      <c r="L483">
        <v>5803</v>
      </c>
      <c r="M483">
        <v>5803</v>
      </c>
      <c r="N483">
        <v>5803</v>
      </c>
      <c r="O483">
        <v>0</v>
      </c>
      <c r="P483">
        <v>0</v>
      </c>
      <c r="R483">
        <v>0</v>
      </c>
      <c r="S483">
        <v>0</v>
      </c>
      <c r="T483" t="s">
        <v>296</v>
      </c>
      <c r="U483">
        <v>6</v>
      </c>
      <c r="V483" t="s">
        <v>87</v>
      </c>
      <c r="W483" t="s">
        <v>94</v>
      </c>
      <c r="X483" t="s">
        <v>108</v>
      </c>
      <c r="Y483" t="s">
        <v>89</v>
      </c>
      <c r="Z483">
        <v>1</v>
      </c>
      <c r="AA483">
        <f>IF(AND(D483&gt;=配装计算器!$I$29,D483&lt;=配装计算器!$I$30),1,0)</f>
        <v>1</v>
      </c>
      <c r="AB483">
        <f t="shared" si="173"/>
        <v>0</v>
      </c>
      <c r="AC483">
        <f t="shared" si="174"/>
        <v>0</v>
      </c>
      <c r="AD483">
        <f t="shared" si="175"/>
        <v>1</v>
      </c>
      <c r="AE483">
        <f t="shared" si="176"/>
        <v>1</v>
      </c>
      <c r="AF483">
        <f t="shared" si="177"/>
        <v>1</v>
      </c>
      <c r="AG483">
        <f t="shared" si="178"/>
        <v>0</v>
      </c>
      <c r="AH483">
        <f t="shared" si="179"/>
        <v>0</v>
      </c>
      <c r="AI483">
        <f t="shared" si="180"/>
        <v>1</v>
      </c>
      <c r="AJ483">
        <f t="shared" si="181"/>
        <v>1</v>
      </c>
      <c r="AK483">
        <f>SUM(AJ$2:$AJ483)</f>
        <v>482</v>
      </c>
    </row>
    <row r="484" spans="1:37">
      <c r="A484" t="s">
        <v>1471</v>
      </c>
      <c r="B484" t="s">
        <v>1532</v>
      </c>
      <c r="C484" t="s">
        <v>1533</v>
      </c>
      <c r="D484">
        <v>30200</v>
      </c>
      <c r="E484" t="s">
        <v>1534</v>
      </c>
      <c r="F484">
        <v>11606</v>
      </c>
      <c r="G484">
        <v>0</v>
      </c>
      <c r="I484">
        <v>4874</v>
      </c>
      <c r="J484">
        <v>0</v>
      </c>
      <c r="K484">
        <v>0</v>
      </c>
      <c r="L484">
        <v>0</v>
      </c>
      <c r="M484">
        <v>0</v>
      </c>
      <c r="N484">
        <v>13716</v>
      </c>
      <c r="O484">
        <v>0</v>
      </c>
      <c r="P484">
        <v>0</v>
      </c>
      <c r="R484">
        <v>0</v>
      </c>
      <c r="S484">
        <v>0</v>
      </c>
      <c r="T484" t="s">
        <v>300</v>
      </c>
      <c r="U484">
        <v>6</v>
      </c>
      <c r="V484" t="s">
        <v>87</v>
      </c>
      <c r="W484" t="s">
        <v>135</v>
      </c>
      <c r="X484" t="s">
        <v>108</v>
      </c>
      <c r="Y484" t="s">
        <v>89</v>
      </c>
      <c r="Z484">
        <v>1</v>
      </c>
      <c r="AA484">
        <f>IF(AND(D484&gt;=配装计算器!$I$29,D484&lt;=配装计算器!$I$30),1,0)</f>
        <v>1</v>
      </c>
      <c r="AB484">
        <f t="shared" si="173"/>
        <v>0</v>
      </c>
      <c r="AC484">
        <f t="shared" si="174"/>
        <v>0</v>
      </c>
      <c r="AD484">
        <f t="shared" si="175"/>
        <v>0</v>
      </c>
      <c r="AE484">
        <f t="shared" si="176"/>
        <v>0</v>
      </c>
      <c r="AF484">
        <f t="shared" si="177"/>
        <v>1</v>
      </c>
      <c r="AG484">
        <f t="shared" si="178"/>
        <v>0</v>
      </c>
      <c r="AH484">
        <f t="shared" si="179"/>
        <v>0</v>
      </c>
      <c r="AI484">
        <f t="shared" si="180"/>
        <v>1</v>
      </c>
      <c r="AJ484">
        <f t="shared" si="181"/>
        <v>1</v>
      </c>
      <c r="AK484">
        <f>SUM(AJ$2:$AJ484)</f>
        <v>483</v>
      </c>
    </row>
    <row r="485" spans="1:37">
      <c r="A485" t="s">
        <v>1471</v>
      </c>
      <c r="B485" t="s">
        <v>1535</v>
      </c>
      <c r="C485" t="s">
        <v>1536</v>
      </c>
      <c r="D485">
        <v>30200</v>
      </c>
      <c r="E485" t="s">
        <v>1537</v>
      </c>
      <c r="F485">
        <v>11606</v>
      </c>
      <c r="G485">
        <v>0</v>
      </c>
      <c r="I485">
        <v>4172</v>
      </c>
      <c r="J485">
        <v>0</v>
      </c>
      <c r="K485">
        <v>0</v>
      </c>
      <c r="L485">
        <v>0</v>
      </c>
      <c r="M485">
        <v>0</v>
      </c>
      <c r="N485">
        <v>8177</v>
      </c>
      <c r="O485">
        <v>7597</v>
      </c>
      <c r="P485">
        <v>0</v>
      </c>
      <c r="R485">
        <v>0</v>
      </c>
      <c r="S485">
        <v>0</v>
      </c>
      <c r="T485" t="s">
        <v>304</v>
      </c>
      <c r="U485">
        <v>6</v>
      </c>
      <c r="V485" t="s">
        <v>87</v>
      </c>
      <c r="W485" t="s">
        <v>94</v>
      </c>
      <c r="X485" t="s">
        <v>154</v>
      </c>
      <c r="Y485" t="s">
        <v>89</v>
      </c>
      <c r="Z485">
        <v>1</v>
      </c>
      <c r="AA485">
        <f>IF(AND(D485&gt;=配装计算器!$I$29,D485&lt;=配装计算器!$I$30),1,0)</f>
        <v>1</v>
      </c>
      <c r="AB485">
        <f t="shared" si="173"/>
        <v>0</v>
      </c>
      <c r="AC485">
        <f t="shared" si="174"/>
        <v>0</v>
      </c>
      <c r="AD485">
        <f t="shared" si="175"/>
        <v>0</v>
      </c>
      <c r="AE485">
        <f t="shared" si="176"/>
        <v>0</v>
      </c>
      <c r="AF485">
        <f t="shared" si="177"/>
        <v>1</v>
      </c>
      <c r="AG485">
        <f t="shared" si="178"/>
        <v>1</v>
      </c>
      <c r="AH485">
        <f t="shared" si="179"/>
        <v>0</v>
      </c>
      <c r="AI485">
        <f t="shared" si="180"/>
        <v>1</v>
      </c>
      <c r="AJ485">
        <f t="shared" si="181"/>
        <v>1</v>
      </c>
      <c r="AK485">
        <f>SUM(AJ$2:$AJ485)</f>
        <v>484</v>
      </c>
    </row>
    <row r="486" spans="1:37">
      <c r="A486" t="s">
        <v>1471</v>
      </c>
      <c r="B486" t="s">
        <v>1538</v>
      </c>
      <c r="C486" t="s">
        <v>1539</v>
      </c>
      <c r="D486">
        <v>30200</v>
      </c>
      <c r="E486" t="s">
        <v>1540</v>
      </c>
      <c r="F486">
        <v>11606</v>
      </c>
      <c r="G486">
        <v>0</v>
      </c>
      <c r="I486">
        <v>3441</v>
      </c>
      <c r="J486">
        <v>0</v>
      </c>
      <c r="K486">
        <v>0</v>
      </c>
      <c r="L486">
        <v>5803</v>
      </c>
      <c r="M486">
        <v>0</v>
      </c>
      <c r="N486">
        <v>11606</v>
      </c>
      <c r="O486">
        <v>0</v>
      </c>
      <c r="P486">
        <v>0</v>
      </c>
      <c r="R486">
        <v>0</v>
      </c>
      <c r="S486">
        <v>0</v>
      </c>
      <c r="T486" t="s">
        <v>308</v>
      </c>
      <c r="U486">
        <v>6</v>
      </c>
      <c r="V486" t="s">
        <v>87</v>
      </c>
      <c r="W486" t="s">
        <v>154</v>
      </c>
      <c r="X486" t="s">
        <v>123</v>
      </c>
      <c r="Y486" t="s">
        <v>89</v>
      </c>
      <c r="Z486">
        <v>1</v>
      </c>
      <c r="AA486">
        <f>IF(AND(D486&gt;=配装计算器!$I$29,D486&lt;=配装计算器!$I$30),1,0)</f>
        <v>1</v>
      </c>
      <c r="AB486">
        <f t="shared" si="173"/>
        <v>0</v>
      </c>
      <c r="AC486">
        <f t="shared" si="174"/>
        <v>0</v>
      </c>
      <c r="AD486">
        <f t="shared" si="175"/>
        <v>1</v>
      </c>
      <c r="AE486">
        <f t="shared" si="176"/>
        <v>0</v>
      </c>
      <c r="AF486">
        <f t="shared" si="177"/>
        <v>1</v>
      </c>
      <c r="AG486">
        <f t="shared" si="178"/>
        <v>0</v>
      </c>
      <c r="AH486">
        <f t="shared" si="179"/>
        <v>0</v>
      </c>
      <c r="AI486">
        <f t="shared" si="180"/>
        <v>1</v>
      </c>
      <c r="AJ486">
        <f t="shared" si="181"/>
        <v>1</v>
      </c>
      <c r="AK486">
        <f>SUM(AJ$2:$AJ486)</f>
        <v>485</v>
      </c>
    </row>
    <row r="487" spans="1:37">
      <c r="A487" t="s">
        <v>1471</v>
      </c>
      <c r="B487" t="s">
        <v>1541</v>
      </c>
      <c r="C487" t="s">
        <v>1542</v>
      </c>
      <c r="D487">
        <v>30200</v>
      </c>
      <c r="E487" t="s">
        <v>1543</v>
      </c>
      <c r="F487">
        <v>11606</v>
      </c>
      <c r="G487">
        <v>0</v>
      </c>
      <c r="I487">
        <v>4157</v>
      </c>
      <c r="J487">
        <v>5803</v>
      </c>
      <c r="K487">
        <v>0</v>
      </c>
      <c r="L487">
        <v>0</v>
      </c>
      <c r="M487">
        <v>5803</v>
      </c>
      <c r="N487">
        <v>5803</v>
      </c>
      <c r="O487">
        <v>0</v>
      </c>
      <c r="P487">
        <v>0</v>
      </c>
      <c r="R487">
        <v>0</v>
      </c>
      <c r="S487">
        <v>0</v>
      </c>
      <c r="T487" t="s">
        <v>312</v>
      </c>
      <c r="U487">
        <v>6</v>
      </c>
      <c r="V487" t="s">
        <v>87</v>
      </c>
      <c r="W487" t="s">
        <v>135</v>
      </c>
      <c r="X487" t="s">
        <v>108</v>
      </c>
      <c r="Y487" t="s">
        <v>89</v>
      </c>
      <c r="Z487">
        <v>1</v>
      </c>
      <c r="AA487">
        <f>IF(AND(D487&gt;=配装计算器!$I$29,D487&lt;=配装计算器!$I$30),1,0)</f>
        <v>1</v>
      </c>
      <c r="AB487">
        <f t="shared" si="173"/>
        <v>1</v>
      </c>
      <c r="AC487">
        <f t="shared" si="174"/>
        <v>0</v>
      </c>
      <c r="AD487">
        <f t="shared" si="175"/>
        <v>0</v>
      </c>
      <c r="AE487">
        <f t="shared" si="176"/>
        <v>1</v>
      </c>
      <c r="AF487">
        <f t="shared" si="177"/>
        <v>1</v>
      </c>
      <c r="AG487">
        <f t="shared" si="178"/>
        <v>0</v>
      </c>
      <c r="AH487">
        <f t="shared" si="179"/>
        <v>0</v>
      </c>
      <c r="AI487">
        <f t="shared" si="180"/>
        <v>1</v>
      </c>
      <c r="AJ487">
        <f t="shared" si="181"/>
        <v>1</v>
      </c>
      <c r="AK487">
        <f>SUM(AJ$2:$AJ487)</f>
        <v>486</v>
      </c>
    </row>
    <row r="488" spans="1:37">
      <c r="A488" t="s">
        <v>1471</v>
      </c>
      <c r="B488" t="s">
        <v>1544</v>
      </c>
      <c r="C488" t="s">
        <v>1545</v>
      </c>
      <c r="D488">
        <v>30200</v>
      </c>
      <c r="E488" t="s">
        <v>1546</v>
      </c>
      <c r="F488">
        <v>11606</v>
      </c>
      <c r="G488">
        <v>0</v>
      </c>
      <c r="I488">
        <v>3441</v>
      </c>
      <c r="J488">
        <v>5803</v>
      </c>
      <c r="K488">
        <v>0</v>
      </c>
      <c r="L488">
        <v>0</v>
      </c>
      <c r="M488">
        <v>0</v>
      </c>
      <c r="N488">
        <v>11606</v>
      </c>
      <c r="O488">
        <v>0</v>
      </c>
      <c r="P488">
        <v>0</v>
      </c>
      <c r="R488">
        <v>0</v>
      </c>
      <c r="S488">
        <v>0</v>
      </c>
      <c r="T488" t="s">
        <v>316</v>
      </c>
      <c r="U488">
        <v>6</v>
      </c>
      <c r="V488" t="s">
        <v>87</v>
      </c>
      <c r="W488" t="s">
        <v>185</v>
      </c>
      <c r="X488" t="s">
        <v>108</v>
      </c>
      <c r="Y488" t="s">
        <v>89</v>
      </c>
      <c r="Z488">
        <v>1</v>
      </c>
      <c r="AA488">
        <f>IF(AND(D488&gt;=配装计算器!$I$29,D488&lt;=配装计算器!$I$30),1,0)</f>
        <v>1</v>
      </c>
      <c r="AB488">
        <f t="shared" si="173"/>
        <v>1</v>
      </c>
      <c r="AC488">
        <f t="shared" si="174"/>
        <v>0</v>
      </c>
      <c r="AD488">
        <f t="shared" si="175"/>
        <v>0</v>
      </c>
      <c r="AE488">
        <f t="shared" si="176"/>
        <v>0</v>
      </c>
      <c r="AF488">
        <f t="shared" si="177"/>
        <v>1</v>
      </c>
      <c r="AG488">
        <f t="shared" si="178"/>
        <v>0</v>
      </c>
      <c r="AH488">
        <f t="shared" si="179"/>
        <v>0</v>
      </c>
      <c r="AI488">
        <f t="shared" si="180"/>
        <v>1</v>
      </c>
      <c r="AJ488">
        <f t="shared" si="181"/>
        <v>1</v>
      </c>
      <c r="AK488">
        <f>SUM(AJ$2:$AJ488)</f>
        <v>487</v>
      </c>
    </row>
    <row r="489" spans="1:37">
      <c r="A489" t="s">
        <v>1471</v>
      </c>
      <c r="B489" t="s">
        <v>1547</v>
      </c>
      <c r="C489" t="s">
        <v>1548</v>
      </c>
      <c r="D489">
        <v>30200</v>
      </c>
      <c r="E489" t="s">
        <v>1549</v>
      </c>
      <c r="F489">
        <v>11606</v>
      </c>
      <c r="G489">
        <v>0</v>
      </c>
      <c r="I489">
        <v>4157</v>
      </c>
      <c r="J489">
        <v>5803</v>
      </c>
      <c r="K489">
        <v>0</v>
      </c>
      <c r="L489">
        <v>5803</v>
      </c>
      <c r="M489">
        <v>0</v>
      </c>
      <c r="N489">
        <v>5803</v>
      </c>
      <c r="O489">
        <v>0</v>
      </c>
      <c r="P489">
        <v>0</v>
      </c>
      <c r="R489">
        <v>0</v>
      </c>
      <c r="S489">
        <v>0</v>
      </c>
      <c r="T489" t="s">
        <v>320</v>
      </c>
      <c r="U489">
        <v>6</v>
      </c>
      <c r="V489" t="s">
        <v>87</v>
      </c>
      <c r="W489" t="s">
        <v>185</v>
      </c>
      <c r="X489" t="s">
        <v>123</v>
      </c>
      <c r="Y489" t="s">
        <v>89</v>
      </c>
      <c r="Z489">
        <v>1</v>
      </c>
      <c r="AA489">
        <f>IF(AND(D489&gt;=配装计算器!$I$29,D489&lt;=配装计算器!$I$30),1,0)</f>
        <v>1</v>
      </c>
      <c r="AB489">
        <f t="shared" si="173"/>
        <v>1</v>
      </c>
      <c r="AC489">
        <f t="shared" si="174"/>
        <v>0</v>
      </c>
      <c r="AD489">
        <f t="shared" si="175"/>
        <v>1</v>
      </c>
      <c r="AE489">
        <f t="shared" si="176"/>
        <v>0</v>
      </c>
      <c r="AF489">
        <f t="shared" si="177"/>
        <v>1</v>
      </c>
      <c r="AG489">
        <f t="shared" si="178"/>
        <v>0</v>
      </c>
      <c r="AH489">
        <f t="shared" si="179"/>
        <v>0</v>
      </c>
      <c r="AI489">
        <f t="shared" si="180"/>
        <v>1</v>
      </c>
      <c r="AJ489">
        <f t="shared" si="181"/>
        <v>1</v>
      </c>
      <c r="AK489">
        <f>SUM(AJ$2:$AJ489)</f>
        <v>488</v>
      </c>
    </row>
    <row r="490" spans="1:37">
      <c r="A490" t="s">
        <v>1471</v>
      </c>
      <c r="B490" t="s">
        <v>1550</v>
      </c>
      <c r="C490" t="s">
        <v>1551</v>
      </c>
      <c r="D490">
        <v>30700</v>
      </c>
      <c r="E490" t="s">
        <v>1552</v>
      </c>
      <c r="F490">
        <v>11798</v>
      </c>
      <c r="G490">
        <v>894</v>
      </c>
      <c r="I490">
        <v>1457</v>
      </c>
      <c r="J490">
        <v>8044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3218</v>
      </c>
      <c r="R490">
        <v>0</v>
      </c>
      <c r="S490">
        <v>0</v>
      </c>
      <c r="T490" t="s">
        <v>93</v>
      </c>
      <c r="U490">
        <v>6</v>
      </c>
      <c r="V490" t="s">
        <v>145</v>
      </c>
      <c r="W490" t="s">
        <v>88</v>
      </c>
      <c r="X490" t="s">
        <v>233</v>
      </c>
      <c r="Y490" t="s">
        <v>89</v>
      </c>
      <c r="Z490">
        <v>2</v>
      </c>
      <c r="AA490">
        <f>IF(AND(D490&gt;=配装计算器!$I$29,D490&lt;=配装计算器!$I$30),1,0)</f>
        <v>1</v>
      </c>
      <c r="AB490">
        <f t="shared" si="173"/>
        <v>1</v>
      </c>
      <c r="AC490">
        <f t="shared" si="174"/>
        <v>0</v>
      </c>
      <c r="AD490">
        <f t="shared" si="175"/>
        <v>0</v>
      </c>
      <c r="AE490">
        <f t="shared" si="176"/>
        <v>0</v>
      </c>
      <c r="AF490">
        <f t="shared" si="177"/>
        <v>0</v>
      </c>
      <c r="AG490">
        <f t="shared" si="178"/>
        <v>0</v>
      </c>
      <c r="AH490">
        <f t="shared" si="179"/>
        <v>1</v>
      </c>
      <c r="AI490">
        <f t="shared" si="180"/>
        <v>0</v>
      </c>
      <c r="AJ490">
        <f t="shared" si="181"/>
        <v>1</v>
      </c>
      <c r="AK490">
        <f>SUM(AJ$2:$AJ490)</f>
        <v>489</v>
      </c>
    </row>
    <row r="491" spans="1:37">
      <c r="A491" t="s">
        <v>1471</v>
      </c>
      <c r="B491" t="s">
        <v>1553</v>
      </c>
      <c r="C491" t="s">
        <v>1554</v>
      </c>
      <c r="D491">
        <v>30700</v>
      </c>
      <c r="E491" t="s">
        <v>1555</v>
      </c>
      <c r="F491">
        <v>11798</v>
      </c>
      <c r="G491">
        <v>963</v>
      </c>
      <c r="I491">
        <v>2186</v>
      </c>
      <c r="J491">
        <v>8044</v>
      </c>
      <c r="K491">
        <v>0</v>
      </c>
      <c r="L491">
        <v>0</v>
      </c>
      <c r="M491">
        <v>0</v>
      </c>
      <c r="N491">
        <v>6435</v>
      </c>
      <c r="O491">
        <v>0</v>
      </c>
      <c r="P491">
        <v>0</v>
      </c>
      <c r="R491">
        <v>0</v>
      </c>
      <c r="S491">
        <v>0</v>
      </c>
      <c r="T491" t="s">
        <v>102</v>
      </c>
      <c r="U491">
        <v>6</v>
      </c>
      <c r="V491" t="s">
        <v>327</v>
      </c>
      <c r="W491" t="s">
        <v>94</v>
      </c>
      <c r="X491" t="s">
        <v>123</v>
      </c>
      <c r="Y491" t="s">
        <v>89</v>
      </c>
      <c r="Z491">
        <v>1</v>
      </c>
      <c r="AA491">
        <f>IF(AND(D491&gt;=配装计算器!$I$29,D491&lt;=配装计算器!$I$30),1,0)</f>
        <v>1</v>
      </c>
      <c r="AB491">
        <f t="shared" si="173"/>
        <v>1</v>
      </c>
      <c r="AC491">
        <f t="shared" si="174"/>
        <v>0</v>
      </c>
      <c r="AD491">
        <f t="shared" si="175"/>
        <v>0</v>
      </c>
      <c r="AE491">
        <f t="shared" si="176"/>
        <v>0</v>
      </c>
      <c r="AF491">
        <f t="shared" si="177"/>
        <v>1</v>
      </c>
      <c r="AG491">
        <f t="shared" si="178"/>
        <v>0</v>
      </c>
      <c r="AH491">
        <f t="shared" si="179"/>
        <v>0</v>
      </c>
      <c r="AI491">
        <f t="shared" si="180"/>
        <v>0</v>
      </c>
      <c r="AJ491">
        <f t="shared" si="181"/>
        <v>1</v>
      </c>
      <c r="AK491">
        <f>SUM(AJ$2:$AJ491)</f>
        <v>490</v>
      </c>
    </row>
    <row r="492" spans="1:37">
      <c r="A492" t="s">
        <v>1471</v>
      </c>
      <c r="B492" t="s">
        <v>1556</v>
      </c>
      <c r="C492" t="s">
        <v>1557</v>
      </c>
      <c r="D492">
        <v>35300</v>
      </c>
      <c r="E492" t="s">
        <v>1558</v>
      </c>
      <c r="F492">
        <v>13566</v>
      </c>
      <c r="G492">
        <v>1107</v>
      </c>
      <c r="I492">
        <v>2514</v>
      </c>
      <c r="J492">
        <v>9249</v>
      </c>
      <c r="K492">
        <v>0</v>
      </c>
      <c r="L492">
        <v>0</v>
      </c>
      <c r="M492">
        <v>0</v>
      </c>
      <c r="N492">
        <v>7400</v>
      </c>
      <c r="O492">
        <v>0</v>
      </c>
      <c r="P492">
        <v>0</v>
      </c>
      <c r="R492">
        <v>0</v>
      </c>
      <c r="S492">
        <v>0</v>
      </c>
      <c r="T492" t="s">
        <v>102</v>
      </c>
      <c r="U492">
        <v>6</v>
      </c>
      <c r="V492" t="s">
        <v>240</v>
      </c>
      <c r="W492" t="s">
        <v>94</v>
      </c>
      <c r="X492" t="s">
        <v>123</v>
      </c>
      <c r="Y492" t="s">
        <v>89</v>
      </c>
      <c r="Z492">
        <v>1</v>
      </c>
      <c r="AA492">
        <f>IF(AND(D492&gt;=配装计算器!$I$29,D492&lt;=配装计算器!$I$30),1,0)</f>
        <v>1</v>
      </c>
      <c r="AB492">
        <f t="shared" si="173"/>
        <v>1</v>
      </c>
      <c r="AC492">
        <f t="shared" si="174"/>
        <v>0</v>
      </c>
      <c r="AD492">
        <f t="shared" si="175"/>
        <v>0</v>
      </c>
      <c r="AE492">
        <f t="shared" si="176"/>
        <v>0</v>
      </c>
      <c r="AF492">
        <f t="shared" si="177"/>
        <v>1</v>
      </c>
      <c r="AG492">
        <f t="shared" si="178"/>
        <v>0</v>
      </c>
      <c r="AH492">
        <f t="shared" si="179"/>
        <v>0</v>
      </c>
      <c r="AI492">
        <f t="shared" si="180"/>
        <v>0</v>
      </c>
      <c r="AJ492">
        <f t="shared" si="181"/>
        <v>1</v>
      </c>
      <c r="AK492">
        <f>SUM(AJ$2:$AJ492)</f>
        <v>491</v>
      </c>
    </row>
    <row r="493" spans="1:37">
      <c r="A493" t="s">
        <v>1471</v>
      </c>
      <c r="B493" t="s">
        <v>1559</v>
      </c>
      <c r="C493" t="s">
        <v>1560</v>
      </c>
      <c r="D493">
        <v>35300</v>
      </c>
      <c r="E493" t="s">
        <v>1561</v>
      </c>
      <c r="F493">
        <v>13566</v>
      </c>
      <c r="G493">
        <v>1107</v>
      </c>
      <c r="I493">
        <v>2514</v>
      </c>
      <c r="J493">
        <v>0</v>
      </c>
      <c r="K493">
        <v>0</v>
      </c>
      <c r="L493">
        <v>9249</v>
      </c>
      <c r="M493">
        <v>0</v>
      </c>
      <c r="N493">
        <v>7400</v>
      </c>
      <c r="O493">
        <v>0</v>
      </c>
      <c r="P493">
        <v>0</v>
      </c>
      <c r="R493">
        <v>0</v>
      </c>
      <c r="S493">
        <v>0</v>
      </c>
      <c r="T493" t="s">
        <v>122</v>
      </c>
      <c r="U493">
        <v>6</v>
      </c>
      <c r="V493" t="s">
        <v>103</v>
      </c>
      <c r="W493" t="s">
        <v>108</v>
      </c>
      <c r="X493" t="s">
        <v>94</v>
      </c>
      <c r="Y493" t="s">
        <v>89</v>
      </c>
      <c r="Z493">
        <v>1</v>
      </c>
      <c r="AA493">
        <f>IF(AND(D493&gt;=配装计算器!$I$29,D493&lt;=配装计算器!$I$30),1,0)</f>
        <v>1</v>
      </c>
      <c r="AB493">
        <f t="shared" si="173"/>
        <v>0</v>
      </c>
      <c r="AC493">
        <f t="shared" si="174"/>
        <v>0</v>
      </c>
      <c r="AD493">
        <f t="shared" si="175"/>
        <v>1</v>
      </c>
      <c r="AE493">
        <f t="shared" si="176"/>
        <v>0</v>
      </c>
      <c r="AF493">
        <f t="shared" si="177"/>
        <v>1</v>
      </c>
      <c r="AG493">
        <f t="shared" si="178"/>
        <v>0</v>
      </c>
      <c r="AH493">
        <f t="shared" si="179"/>
        <v>0</v>
      </c>
      <c r="AI493">
        <f t="shared" si="180"/>
        <v>0</v>
      </c>
      <c r="AJ493">
        <f t="shared" si="181"/>
        <v>1</v>
      </c>
      <c r="AK493">
        <f>SUM(AJ$2:$AJ493)</f>
        <v>492</v>
      </c>
    </row>
    <row r="494" spans="1:37">
      <c r="A494" t="s">
        <v>1471</v>
      </c>
      <c r="B494" t="s">
        <v>1562</v>
      </c>
      <c r="C494" t="s">
        <v>1563</v>
      </c>
      <c r="D494">
        <v>35300</v>
      </c>
      <c r="E494" t="s">
        <v>1564</v>
      </c>
      <c r="F494">
        <v>13566</v>
      </c>
      <c r="G494">
        <v>1107</v>
      </c>
      <c r="I494">
        <v>2514</v>
      </c>
      <c r="J494">
        <v>0</v>
      </c>
      <c r="K494">
        <v>0</v>
      </c>
      <c r="L494">
        <v>0</v>
      </c>
      <c r="M494">
        <v>0</v>
      </c>
      <c r="N494">
        <v>7400</v>
      </c>
      <c r="O494">
        <v>9249</v>
      </c>
      <c r="P494">
        <v>0</v>
      </c>
      <c r="R494">
        <v>0</v>
      </c>
      <c r="S494">
        <v>0</v>
      </c>
      <c r="T494" t="s">
        <v>115</v>
      </c>
      <c r="U494">
        <v>6</v>
      </c>
      <c r="V494" t="s">
        <v>87</v>
      </c>
      <c r="W494" t="s">
        <v>123</v>
      </c>
      <c r="X494" t="s">
        <v>88</v>
      </c>
      <c r="Y494" t="s">
        <v>89</v>
      </c>
      <c r="Z494">
        <v>1</v>
      </c>
      <c r="AA494">
        <f>IF(AND(D494&gt;=配装计算器!$I$29,D494&lt;=配装计算器!$I$30),1,0)</f>
        <v>1</v>
      </c>
      <c r="AB494">
        <f t="shared" si="173"/>
        <v>0</v>
      </c>
      <c r="AC494">
        <f t="shared" si="174"/>
        <v>0</v>
      </c>
      <c r="AD494">
        <f t="shared" si="175"/>
        <v>0</v>
      </c>
      <c r="AE494">
        <f t="shared" si="176"/>
        <v>0</v>
      </c>
      <c r="AF494">
        <f t="shared" si="177"/>
        <v>1</v>
      </c>
      <c r="AG494">
        <f t="shared" si="178"/>
        <v>1</v>
      </c>
      <c r="AH494">
        <f t="shared" si="179"/>
        <v>0</v>
      </c>
      <c r="AI494">
        <f t="shared" si="180"/>
        <v>0</v>
      </c>
      <c r="AJ494">
        <f t="shared" si="181"/>
        <v>1</v>
      </c>
      <c r="AK494">
        <f>SUM(AJ$2:$AJ494)</f>
        <v>493</v>
      </c>
    </row>
    <row r="495" spans="1:37">
      <c r="A495" t="s">
        <v>1471</v>
      </c>
      <c r="B495" t="s">
        <v>1565</v>
      </c>
      <c r="C495" t="s">
        <v>1566</v>
      </c>
      <c r="D495">
        <v>35300</v>
      </c>
      <c r="E495" t="s">
        <v>1567</v>
      </c>
      <c r="F495">
        <v>13566</v>
      </c>
      <c r="G495">
        <v>1107</v>
      </c>
      <c r="I495">
        <v>2514</v>
      </c>
      <c r="J495">
        <v>0</v>
      </c>
      <c r="K495">
        <v>0</v>
      </c>
      <c r="L495">
        <v>9249</v>
      </c>
      <c r="M495">
        <v>0</v>
      </c>
      <c r="N495">
        <v>7400</v>
      </c>
      <c r="O495">
        <v>0</v>
      </c>
      <c r="P495">
        <v>0</v>
      </c>
      <c r="R495">
        <v>0</v>
      </c>
      <c r="S495">
        <v>0</v>
      </c>
      <c r="T495" t="s">
        <v>122</v>
      </c>
      <c r="U495">
        <v>6</v>
      </c>
      <c r="V495" t="s">
        <v>87</v>
      </c>
      <c r="W495" t="s">
        <v>108</v>
      </c>
      <c r="X495" t="s">
        <v>94</v>
      </c>
      <c r="Y495" t="s">
        <v>89</v>
      </c>
      <c r="Z495">
        <v>1</v>
      </c>
      <c r="AA495">
        <f>IF(AND(D495&gt;=配装计算器!$I$29,D495&lt;=配装计算器!$I$30),1,0)</f>
        <v>1</v>
      </c>
      <c r="AB495">
        <f t="shared" si="173"/>
        <v>0</v>
      </c>
      <c r="AC495">
        <f t="shared" si="174"/>
        <v>0</v>
      </c>
      <c r="AD495">
        <f t="shared" si="175"/>
        <v>1</v>
      </c>
      <c r="AE495">
        <f t="shared" si="176"/>
        <v>0</v>
      </c>
      <c r="AF495">
        <f t="shared" si="177"/>
        <v>1</v>
      </c>
      <c r="AG495">
        <f t="shared" si="178"/>
        <v>0</v>
      </c>
      <c r="AH495">
        <f t="shared" si="179"/>
        <v>0</v>
      </c>
      <c r="AI495">
        <f t="shared" si="180"/>
        <v>0</v>
      </c>
      <c r="AJ495">
        <f t="shared" si="181"/>
        <v>1</v>
      </c>
      <c r="AK495">
        <f>SUM(AJ$2:$AJ495)</f>
        <v>494</v>
      </c>
    </row>
    <row r="496" spans="1:37">
      <c r="A496" t="s">
        <v>1471</v>
      </c>
      <c r="B496" t="s">
        <v>1568</v>
      </c>
      <c r="C496" t="s">
        <v>1569</v>
      </c>
      <c r="D496">
        <v>35300</v>
      </c>
      <c r="E496" t="s">
        <v>1570</v>
      </c>
      <c r="F496">
        <v>13566</v>
      </c>
      <c r="G496">
        <v>1107</v>
      </c>
      <c r="I496">
        <v>2514</v>
      </c>
      <c r="J496">
        <v>0</v>
      </c>
      <c r="K496">
        <v>0</v>
      </c>
      <c r="L496">
        <v>9249</v>
      </c>
      <c r="M496">
        <v>0</v>
      </c>
      <c r="N496">
        <v>7400</v>
      </c>
      <c r="O496">
        <v>0</v>
      </c>
      <c r="P496">
        <v>0</v>
      </c>
      <c r="R496">
        <v>0</v>
      </c>
      <c r="S496">
        <v>0</v>
      </c>
      <c r="T496" t="s">
        <v>122</v>
      </c>
      <c r="U496">
        <v>6</v>
      </c>
      <c r="V496" t="s">
        <v>130</v>
      </c>
      <c r="W496" t="s">
        <v>108</v>
      </c>
      <c r="X496" t="s">
        <v>94</v>
      </c>
      <c r="Y496" t="s">
        <v>89</v>
      </c>
      <c r="Z496">
        <v>1</v>
      </c>
      <c r="AA496">
        <f>IF(AND(D496&gt;=配装计算器!$I$29,D496&lt;=配装计算器!$I$30),1,0)</f>
        <v>1</v>
      </c>
      <c r="AB496">
        <f t="shared" si="173"/>
        <v>0</v>
      </c>
      <c r="AC496">
        <f t="shared" si="174"/>
        <v>0</v>
      </c>
      <c r="AD496">
        <f t="shared" si="175"/>
        <v>1</v>
      </c>
      <c r="AE496">
        <f t="shared" si="176"/>
        <v>0</v>
      </c>
      <c r="AF496">
        <f t="shared" si="177"/>
        <v>1</v>
      </c>
      <c r="AG496">
        <f t="shared" si="178"/>
        <v>0</v>
      </c>
      <c r="AH496">
        <f t="shared" si="179"/>
        <v>0</v>
      </c>
      <c r="AI496">
        <f t="shared" si="180"/>
        <v>0</v>
      </c>
      <c r="AJ496">
        <f t="shared" si="181"/>
        <v>1</v>
      </c>
      <c r="AK496">
        <f>SUM(AJ$2:$AJ496)</f>
        <v>495</v>
      </c>
    </row>
    <row r="497" spans="1:37">
      <c r="A497" t="s">
        <v>1471</v>
      </c>
      <c r="B497" t="s">
        <v>1571</v>
      </c>
      <c r="C497" t="s">
        <v>1572</v>
      </c>
      <c r="D497">
        <v>35300</v>
      </c>
      <c r="E497" t="s">
        <v>1573</v>
      </c>
      <c r="F497">
        <v>13566</v>
      </c>
      <c r="G497">
        <v>1107</v>
      </c>
      <c r="I497">
        <v>2514</v>
      </c>
      <c r="J497">
        <v>0</v>
      </c>
      <c r="K497">
        <v>0</v>
      </c>
      <c r="L497">
        <v>0</v>
      </c>
      <c r="M497">
        <v>0</v>
      </c>
      <c r="N497">
        <v>7400</v>
      </c>
      <c r="O497">
        <v>9249</v>
      </c>
      <c r="P497">
        <v>0</v>
      </c>
      <c r="R497">
        <v>0</v>
      </c>
      <c r="S497">
        <v>0</v>
      </c>
      <c r="T497" t="s">
        <v>115</v>
      </c>
      <c r="U497">
        <v>6</v>
      </c>
      <c r="V497" t="s">
        <v>269</v>
      </c>
      <c r="W497" t="s">
        <v>123</v>
      </c>
      <c r="X497" t="s">
        <v>88</v>
      </c>
      <c r="Y497" t="s">
        <v>89</v>
      </c>
      <c r="Z497">
        <v>1</v>
      </c>
      <c r="AA497">
        <f>IF(AND(D497&gt;=配装计算器!$I$29,D497&lt;=配装计算器!$I$30),1,0)</f>
        <v>1</v>
      </c>
      <c r="AB497">
        <f t="shared" ref="AB497:AB560" si="182">IF(J497&gt;0,1,0)</f>
        <v>0</v>
      </c>
      <c r="AC497">
        <f t="shared" ref="AC497:AC560" si="183">IF(K497&gt;0,1,0)</f>
        <v>0</v>
      </c>
      <c r="AD497">
        <f t="shared" ref="AD497:AD560" si="184">IF(L497&gt;0,1,0)</f>
        <v>0</v>
      </c>
      <c r="AE497">
        <f t="shared" ref="AE497:AE560" si="185">IF(M497&gt;0,1,0)</f>
        <v>0</v>
      </c>
      <c r="AF497">
        <f t="shared" ref="AF497:AF560" si="186">IF(N497&gt;0,1,0)</f>
        <v>1</v>
      </c>
      <c r="AG497">
        <f t="shared" ref="AG497:AG560" si="187">IF(O497&gt;0,1,0)</f>
        <v>1</v>
      </c>
      <c r="AH497">
        <f t="shared" ref="AH497:AH560" si="188">IF(P497&gt;0,1,0)</f>
        <v>0</v>
      </c>
      <c r="AI497">
        <f t="shared" ref="AI497:AI560" si="189">IF(COUNTIF(T497,"*"&amp;"精简"&amp;"*")&gt;0,1,0)</f>
        <v>0</v>
      </c>
      <c r="AJ497">
        <f t="shared" ref="AJ497:AJ560" si="190">MIN(1,AA497*($AY$2+IF(AND(AB497&gt;=$AQ$3,AC497&gt;=$AR$3,AD497&gt;=$AS$3,AE497&gt;=$AT$3,AF497&gt;=$AU$3,AG497&gt;=$AV$3,AH497&gt;=$AW$3,AI497&gt;=$AX$3),1,0)))</f>
        <v>1</v>
      </c>
      <c r="AK497">
        <f>SUM(AJ$2:$AJ497)</f>
        <v>496</v>
      </c>
    </row>
    <row r="498" spans="1:37">
      <c r="A498" t="s">
        <v>1471</v>
      </c>
      <c r="B498" t="s">
        <v>1574</v>
      </c>
      <c r="C498" t="s">
        <v>1575</v>
      </c>
      <c r="D498">
        <v>35300</v>
      </c>
      <c r="E498" t="s">
        <v>1576</v>
      </c>
      <c r="F498">
        <v>13566</v>
      </c>
      <c r="G498">
        <v>0</v>
      </c>
      <c r="I498">
        <v>4692</v>
      </c>
      <c r="J498">
        <v>0</v>
      </c>
      <c r="K498">
        <v>0</v>
      </c>
      <c r="L498">
        <v>0</v>
      </c>
      <c r="M498">
        <v>18499</v>
      </c>
      <c r="N498">
        <v>0</v>
      </c>
      <c r="O498">
        <v>0</v>
      </c>
      <c r="P498">
        <v>0</v>
      </c>
      <c r="R498">
        <v>0</v>
      </c>
      <c r="S498">
        <v>0</v>
      </c>
      <c r="T498" t="s">
        <v>276</v>
      </c>
      <c r="U498">
        <v>6</v>
      </c>
      <c r="V498" t="s">
        <v>87</v>
      </c>
      <c r="W498" t="s">
        <v>94</v>
      </c>
      <c r="X498" t="s">
        <v>154</v>
      </c>
      <c r="Y498" t="s">
        <v>89</v>
      </c>
      <c r="Z498">
        <v>1</v>
      </c>
      <c r="AA498">
        <f>IF(AND(D498&gt;=配装计算器!$I$29,D498&lt;=配装计算器!$I$30),1,0)</f>
        <v>1</v>
      </c>
      <c r="AB498">
        <f t="shared" si="182"/>
        <v>0</v>
      </c>
      <c r="AC498">
        <f t="shared" si="183"/>
        <v>0</v>
      </c>
      <c r="AD498">
        <f t="shared" si="184"/>
        <v>0</v>
      </c>
      <c r="AE498">
        <f t="shared" si="185"/>
        <v>1</v>
      </c>
      <c r="AF498">
        <f t="shared" si="186"/>
        <v>0</v>
      </c>
      <c r="AG498">
        <f t="shared" si="187"/>
        <v>0</v>
      </c>
      <c r="AH498">
        <f t="shared" si="188"/>
        <v>0</v>
      </c>
      <c r="AI498">
        <f t="shared" si="189"/>
        <v>1</v>
      </c>
      <c r="AJ498">
        <f t="shared" si="190"/>
        <v>1</v>
      </c>
      <c r="AK498">
        <f>SUM(AJ$2:$AJ498)</f>
        <v>497</v>
      </c>
    </row>
    <row r="499" spans="1:37">
      <c r="A499" t="s">
        <v>1471</v>
      </c>
      <c r="B499" t="s">
        <v>1577</v>
      </c>
      <c r="C499" t="s">
        <v>1578</v>
      </c>
      <c r="D499">
        <v>35300</v>
      </c>
      <c r="E499" t="s">
        <v>1579</v>
      </c>
      <c r="F499">
        <v>13566</v>
      </c>
      <c r="G499">
        <v>0</v>
      </c>
      <c r="I499">
        <v>5362</v>
      </c>
      <c r="J499">
        <v>0</v>
      </c>
      <c r="K499">
        <v>0</v>
      </c>
      <c r="L499">
        <v>0</v>
      </c>
      <c r="M499">
        <v>0</v>
      </c>
      <c r="N499">
        <v>9558</v>
      </c>
      <c r="O499">
        <v>8941</v>
      </c>
      <c r="P499">
        <v>0</v>
      </c>
      <c r="R499">
        <v>0</v>
      </c>
      <c r="S499">
        <v>0</v>
      </c>
      <c r="T499" t="s">
        <v>358</v>
      </c>
      <c r="U499">
        <v>6</v>
      </c>
      <c r="V499" t="s">
        <v>87</v>
      </c>
      <c r="W499" t="s">
        <v>94</v>
      </c>
      <c r="X499" t="s">
        <v>154</v>
      </c>
      <c r="Y499" t="s">
        <v>89</v>
      </c>
      <c r="Z499">
        <v>1</v>
      </c>
      <c r="AA499">
        <f>IF(AND(D499&gt;=配装计算器!$I$29,D499&lt;=配装计算器!$I$30),1,0)</f>
        <v>1</v>
      </c>
      <c r="AB499">
        <f t="shared" si="182"/>
        <v>0</v>
      </c>
      <c r="AC499">
        <f t="shared" si="183"/>
        <v>0</v>
      </c>
      <c r="AD499">
        <f t="shared" si="184"/>
        <v>0</v>
      </c>
      <c r="AE499">
        <f t="shared" si="185"/>
        <v>0</v>
      </c>
      <c r="AF499">
        <f t="shared" si="186"/>
        <v>1</v>
      </c>
      <c r="AG499">
        <f t="shared" si="187"/>
        <v>1</v>
      </c>
      <c r="AH499">
        <f t="shared" si="188"/>
        <v>0</v>
      </c>
      <c r="AI499">
        <f t="shared" si="189"/>
        <v>1</v>
      </c>
      <c r="AJ499">
        <f t="shared" si="190"/>
        <v>1</v>
      </c>
      <c r="AK499">
        <f>SUM(AJ$2:$AJ499)</f>
        <v>498</v>
      </c>
    </row>
    <row r="500" spans="1:37">
      <c r="A500" t="s">
        <v>1471</v>
      </c>
      <c r="B500" t="s">
        <v>1580</v>
      </c>
      <c r="C500" t="s">
        <v>1581</v>
      </c>
      <c r="D500">
        <v>35300</v>
      </c>
      <c r="E500" t="s">
        <v>1582</v>
      </c>
      <c r="F500">
        <v>13566</v>
      </c>
      <c r="G500">
        <v>0</v>
      </c>
      <c r="I500">
        <v>1676</v>
      </c>
      <c r="J500">
        <v>0</v>
      </c>
      <c r="K500">
        <v>0</v>
      </c>
      <c r="L500">
        <v>24048</v>
      </c>
      <c r="M500">
        <v>0</v>
      </c>
      <c r="N500">
        <v>7400</v>
      </c>
      <c r="O500">
        <v>0</v>
      </c>
      <c r="P500">
        <v>0</v>
      </c>
      <c r="R500">
        <v>0</v>
      </c>
      <c r="S500">
        <v>0</v>
      </c>
      <c r="T500" t="s">
        <v>153</v>
      </c>
      <c r="U500">
        <v>6</v>
      </c>
      <c r="V500" t="s">
        <v>87</v>
      </c>
      <c r="W500" t="s">
        <v>135</v>
      </c>
      <c r="X500" t="s">
        <v>123</v>
      </c>
      <c r="Y500" t="s">
        <v>89</v>
      </c>
      <c r="Z500">
        <v>1</v>
      </c>
      <c r="AA500">
        <f>IF(AND(D500&gt;=配装计算器!$I$29,D500&lt;=配装计算器!$I$30),1,0)</f>
        <v>1</v>
      </c>
      <c r="AB500">
        <f t="shared" si="182"/>
        <v>0</v>
      </c>
      <c r="AC500">
        <f t="shared" si="183"/>
        <v>0</v>
      </c>
      <c r="AD500">
        <f t="shared" si="184"/>
        <v>1</v>
      </c>
      <c r="AE500">
        <f t="shared" si="185"/>
        <v>0</v>
      </c>
      <c r="AF500">
        <f t="shared" si="186"/>
        <v>1</v>
      </c>
      <c r="AG500">
        <f t="shared" si="187"/>
        <v>0</v>
      </c>
      <c r="AH500">
        <f t="shared" si="188"/>
        <v>0</v>
      </c>
      <c r="AI500">
        <f t="shared" si="189"/>
        <v>1</v>
      </c>
      <c r="AJ500">
        <f t="shared" si="190"/>
        <v>1</v>
      </c>
      <c r="AK500">
        <f>SUM(AJ$2:$AJ500)</f>
        <v>499</v>
      </c>
    </row>
    <row r="501" spans="1:37">
      <c r="A501" t="s">
        <v>1471</v>
      </c>
      <c r="B501" t="s">
        <v>1583</v>
      </c>
      <c r="C501" t="s">
        <v>1584</v>
      </c>
      <c r="D501">
        <v>35300</v>
      </c>
      <c r="E501" t="s">
        <v>1585</v>
      </c>
      <c r="F501">
        <v>13566</v>
      </c>
      <c r="G501">
        <v>0</v>
      </c>
      <c r="I501">
        <v>4860</v>
      </c>
      <c r="J501">
        <v>0</v>
      </c>
      <c r="K501">
        <v>0</v>
      </c>
      <c r="L501">
        <v>9249</v>
      </c>
      <c r="M501">
        <v>0</v>
      </c>
      <c r="N501">
        <v>0</v>
      </c>
      <c r="O501">
        <v>0</v>
      </c>
      <c r="P501">
        <v>0</v>
      </c>
      <c r="R501">
        <v>0</v>
      </c>
      <c r="S501">
        <v>0</v>
      </c>
      <c r="T501" t="s">
        <v>719</v>
      </c>
      <c r="U501">
        <v>6</v>
      </c>
      <c r="V501" t="s">
        <v>87</v>
      </c>
      <c r="W501" t="s">
        <v>135</v>
      </c>
      <c r="X501" t="s">
        <v>108</v>
      </c>
      <c r="Y501" t="s">
        <v>89</v>
      </c>
      <c r="Z501">
        <v>1</v>
      </c>
      <c r="AA501">
        <f>IF(AND(D501&gt;=配装计算器!$I$29,D501&lt;=配装计算器!$I$30),1,0)</f>
        <v>1</v>
      </c>
      <c r="AB501">
        <f t="shared" si="182"/>
        <v>0</v>
      </c>
      <c r="AC501">
        <f t="shared" si="183"/>
        <v>0</v>
      </c>
      <c r="AD501">
        <f t="shared" si="184"/>
        <v>1</v>
      </c>
      <c r="AE501">
        <f t="shared" si="185"/>
        <v>0</v>
      </c>
      <c r="AF501">
        <f t="shared" si="186"/>
        <v>0</v>
      </c>
      <c r="AG501">
        <f t="shared" si="187"/>
        <v>0</v>
      </c>
      <c r="AH501">
        <f t="shared" si="188"/>
        <v>0</v>
      </c>
      <c r="AI501">
        <f t="shared" si="189"/>
        <v>1</v>
      </c>
      <c r="AJ501">
        <f t="shared" si="190"/>
        <v>1</v>
      </c>
      <c r="AK501">
        <f>SUM(AJ$2:$AJ501)</f>
        <v>500</v>
      </c>
    </row>
    <row r="502" spans="1:37">
      <c r="A502" t="s">
        <v>1471</v>
      </c>
      <c r="B502" t="s">
        <v>1586</v>
      </c>
      <c r="C502" t="s">
        <v>1587</v>
      </c>
      <c r="D502">
        <v>35300</v>
      </c>
      <c r="E502" t="s">
        <v>1588</v>
      </c>
      <c r="F502">
        <v>13566</v>
      </c>
      <c r="G502">
        <v>0</v>
      </c>
      <c r="I502">
        <v>3938</v>
      </c>
      <c r="J502">
        <v>6166</v>
      </c>
      <c r="K502">
        <v>0</v>
      </c>
      <c r="L502">
        <v>6166</v>
      </c>
      <c r="M502">
        <v>6166</v>
      </c>
      <c r="N502">
        <v>6166</v>
      </c>
      <c r="O502">
        <v>0</v>
      </c>
      <c r="P502">
        <v>0</v>
      </c>
      <c r="R502">
        <v>0</v>
      </c>
      <c r="S502">
        <v>0</v>
      </c>
      <c r="T502" t="s">
        <v>504</v>
      </c>
      <c r="U502">
        <v>6</v>
      </c>
      <c r="V502" t="s">
        <v>87</v>
      </c>
      <c r="W502" t="s">
        <v>94</v>
      </c>
      <c r="X502" t="s">
        <v>154</v>
      </c>
      <c r="Y502" t="s">
        <v>89</v>
      </c>
      <c r="Z502">
        <v>1</v>
      </c>
      <c r="AA502">
        <f>IF(AND(D502&gt;=配装计算器!$I$29,D502&lt;=配装计算器!$I$30),1,0)</f>
        <v>1</v>
      </c>
      <c r="AB502">
        <f t="shared" si="182"/>
        <v>1</v>
      </c>
      <c r="AC502">
        <f t="shared" si="183"/>
        <v>0</v>
      </c>
      <c r="AD502">
        <f t="shared" si="184"/>
        <v>1</v>
      </c>
      <c r="AE502">
        <f t="shared" si="185"/>
        <v>1</v>
      </c>
      <c r="AF502">
        <f t="shared" si="186"/>
        <v>1</v>
      </c>
      <c r="AG502">
        <f t="shared" si="187"/>
        <v>0</v>
      </c>
      <c r="AH502">
        <f t="shared" si="188"/>
        <v>0</v>
      </c>
      <c r="AI502">
        <f t="shared" si="189"/>
        <v>1</v>
      </c>
      <c r="AJ502">
        <f t="shared" si="190"/>
        <v>1</v>
      </c>
      <c r="AK502">
        <f>SUM(AJ$2:$AJ502)</f>
        <v>501</v>
      </c>
    </row>
    <row r="503" spans="1:37">
      <c r="A503" t="s">
        <v>1471</v>
      </c>
      <c r="B503" t="s">
        <v>1589</v>
      </c>
      <c r="C503" t="s">
        <v>1590</v>
      </c>
      <c r="D503">
        <v>35300</v>
      </c>
      <c r="E503" t="s">
        <v>1591</v>
      </c>
      <c r="F503">
        <v>13566</v>
      </c>
      <c r="G503">
        <v>0</v>
      </c>
      <c r="I503">
        <v>1676</v>
      </c>
      <c r="J503">
        <v>24048</v>
      </c>
      <c r="K503">
        <v>0</v>
      </c>
      <c r="L503">
        <v>0</v>
      </c>
      <c r="M503">
        <v>0</v>
      </c>
      <c r="N503">
        <v>7400</v>
      </c>
      <c r="O503">
        <v>0</v>
      </c>
      <c r="P503">
        <v>0</v>
      </c>
      <c r="R503">
        <v>0</v>
      </c>
      <c r="S503">
        <v>0</v>
      </c>
      <c r="T503" t="s">
        <v>184</v>
      </c>
      <c r="U503">
        <v>6</v>
      </c>
      <c r="V503" t="s">
        <v>87</v>
      </c>
      <c r="W503" t="s">
        <v>123</v>
      </c>
      <c r="X503" t="s">
        <v>108</v>
      </c>
      <c r="Y503" t="s">
        <v>89</v>
      </c>
      <c r="Z503">
        <v>1</v>
      </c>
      <c r="AA503">
        <f>IF(AND(D503&gt;=配装计算器!$I$29,D503&lt;=配装计算器!$I$30),1,0)</f>
        <v>1</v>
      </c>
      <c r="AB503">
        <f t="shared" si="182"/>
        <v>1</v>
      </c>
      <c r="AC503">
        <f t="shared" si="183"/>
        <v>0</v>
      </c>
      <c r="AD503">
        <f t="shared" si="184"/>
        <v>0</v>
      </c>
      <c r="AE503">
        <f t="shared" si="185"/>
        <v>0</v>
      </c>
      <c r="AF503">
        <f t="shared" si="186"/>
        <v>1</v>
      </c>
      <c r="AG503">
        <f t="shared" si="187"/>
        <v>0</v>
      </c>
      <c r="AH503">
        <f t="shared" si="188"/>
        <v>0</v>
      </c>
      <c r="AI503">
        <f t="shared" si="189"/>
        <v>1</v>
      </c>
      <c r="AJ503">
        <f t="shared" si="190"/>
        <v>1</v>
      </c>
      <c r="AK503">
        <f>SUM(AJ$2:$AJ503)</f>
        <v>502</v>
      </c>
    </row>
    <row r="504" spans="1:37">
      <c r="A504" t="s">
        <v>1471</v>
      </c>
      <c r="B504" t="s">
        <v>1592</v>
      </c>
      <c r="C504" t="s">
        <v>1593</v>
      </c>
      <c r="D504">
        <v>35300</v>
      </c>
      <c r="E504" t="s">
        <v>1594</v>
      </c>
      <c r="F504">
        <v>13566</v>
      </c>
      <c r="G504">
        <v>0</v>
      </c>
      <c r="I504">
        <v>4860</v>
      </c>
      <c r="J504">
        <v>9249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R504">
        <v>0</v>
      </c>
      <c r="S504">
        <v>0</v>
      </c>
      <c r="T504" t="s">
        <v>729</v>
      </c>
      <c r="U504">
        <v>6</v>
      </c>
      <c r="V504" t="s">
        <v>87</v>
      </c>
      <c r="W504" t="s">
        <v>185</v>
      </c>
      <c r="X504" t="s">
        <v>108</v>
      </c>
      <c r="Y504" t="s">
        <v>89</v>
      </c>
      <c r="Z504">
        <v>1</v>
      </c>
      <c r="AA504">
        <f>IF(AND(D504&gt;=配装计算器!$I$29,D504&lt;=配装计算器!$I$30),1,0)</f>
        <v>1</v>
      </c>
      <c r="AB504">
        <f t="shared" si="182"/>
        <v>1</v>
      </c>
      <c r="AC504">
        <f t="shared" si="183"/>
        <v>0</v>
      </c>
      <c r="AD504">
        <f t="shared" si="184"/>
        <v>0</v>
      </c>
      <c r="AE504">
        <f t="shared" si="185"/>
        <v>0</v>
      </c>
      <c r="AF504">
        <f t="shared" si="186"/>
        <v>0</v>
      </c>
      <c r="AG504">
        <f t="shared" si="187"/>
        <v>0</v>
      </c>
      <c r="AH504">
        <f t="shared" si="188"/>
        <v>0</v>
      </c>
      <c r="AI504">
        <f t="shared" si="189"/>
        <v>1</v>
      </c>
      <c r="AJ504">
        <f t="shared" si="190"/>
        <v>1</v>
      </c>
      <c r="AK504">
        <f>SUM(AJ$2:$AJ504)</f>
        <v>503</v>
      </c>
    </row>
    <row r="505" spans="1:37">
      <c r="A505" t="s">
        <v>1471</v>
      </c>
      <c r="B505" t="s">
        <v>1595</v>
      </c>
      <c r="C505" t="s">
        <v>1596</v>
      </c>
      <c r="D505">
        <v>35300</v>
      </c>
      <c r="E505" t="s">
        <v>1597</v>
      </c>
      <c r="F505">
        <v>13566</v>
      </c>
      <c r="G505">
        <v>0</v>
      </c>
      <c r="I505">
        <v>3351</v>
      </c>
      <c r="J505">
        <v>0</v>
      </c>
      <c r="K505">
        <v>0</v>
      </c>
      <c r="L505">
        <v>0</v>
      </c>
      <c r="M505">
        <v>16957</v>
      </c>
      <c r="N505">
        <v>9249</v>
      </c>
      <c r="O505">
        <v>0</v>
      </c>
      <c r="P505">
        <v>0</v>
      </c>
      <c r="R505">
        <v>0</v>
      </c>
      <c r="S505">
        <v>0</v>
      </c>
      <c r="T505" t="s">
        <v>292</v>
      </c>
      <c r="U505">
        <v>6</v>
      </c>
      <c r="V505" t="s">
        <v>87</v>
      </c>
      <c r="W505" t="s">
        <v>154</v>
      </c>
      <c r="X505" t="s">
        <v>108</v>
      </c>
      <c r="Y505" t="s">
        <v>89</v>
      </c>
      <c r="Z505">
        <v>1</v>
      </c>
      <c r="AA505">
        <f>IF(AND(D505&gt;=配装计算器!$I$29,D505&lt;=配装计算器!$I$30),1,0)</f>
        <v>1</v>
      </c>
      <c r="AB505">
        <f t="shared" si="182"/>
        <v>0</v>
      </c>
      <c r="AC505">
        <f t="shared" si="183"/>
        <v>0</v>
      </c>
      <c r="AD505">
        <f t="shared" si="184"/>
        <v>0</v>
      </c>
      <c r="AE505">
        <f t="shared" si="185"/>
        <v>1</v>
      </c>
      <c r="AF505">
        <f t="shared" si="186"/>
        <v>1</v>
      </c>
      <c r="AG505">
        <f t="shared" si="187"/>
        <v>0</v>
      </c>
      <c r="AH505">
        <f t="shared" si="188"/>
        <v>0</v>
      </c>
      <c r="AI505">
        <f t="shared" si="189"/>
        <v>1</v>
      </c>
      <c r="AJ505">
        <f t="shared" si="190"/>
        <v>1</v>
      </c>
      <c r="AK505">
        <f>SUM(AJ$2:$AJ505)</f>
        <v>504</v>
      </c>
    </row>
    <row r="506" spans="1:37">
      <c r="A506" t="s">
        <v>1471</v>
      </c>
      <c r="B506" t="s">
        <v>1598</v>
      </c>
      <c r="C506" t="s">
        <v>1599</v>
      </c>
      <c r="D506">
        <v>35300</v>
      </c>
      <c r="E506" t="s">
        <v>1600</v>
      </c>
      <c r="F506">
        <v>13566</v>
      </c>
      <c r="G506">
        <v>0</v>
      </c>
      <c r="I506">
        <v>4860</v>
      </c>
      <c r="J506">
        <v>0</v>
      </c>
      <c r="K506">
        <v>0</v>
      </c>
      <c r="L506">
        <v>6783</v>
      </c>
      <c r="M506">
        <v>6783</v>
      </c>
      <c r="N506">
        <v>6783</v>
      </c>
      <c r="O506">
        <v>0</v>
      </c>
      <c r="P506">
        <v>0</v>
      </c>
      <c r="R506">
        <v>0</v>
      </c>
      <c r="S506">
        <v>0</v>
      </c>
      <c r="T506" t="s">
        <v>296</v>
      </c>
      <c r="U506">
        <v>6</v>
      </c>
      <c r="V506" t="s">
        <v>87</v>
      </c>
      <c r="W506" t="s">
        <v>135</v>
      </c>
      <c r="X506" t="s">
        <v>108</v>
      </c>
      <c r="Y506" t="s">
        <v>89</v>
      </c>
      <c r="Z506">
        <v>1</v>
      </c>
      <c r="AA506">
        <f>IF(AND(D506&gt;=配装计算器!$I$29,D506&lt;=配装计算器!$I$30),1,0)</f>
        <v>1</v>
      </c>
      <c r="AB506">
        <f t="shared" si="182"/>
        <v>0</v>
      </c>
      <c r="AC506">
        <f t="shared" si="183"/>
        <v>0</v>
      </c>
      <c r="AD506">
        <f t="shared" si="184"/>
        <v>1</v>
      </c>
      <c r="AE506">
        <f t="shared" si="185"/>
        <v>1</v>
      </c>
      <c r="AF506">
        <f t="shared" si="186"/>
        <v>1</v>
      </c>
      <c r="AG506">
        <f t="shared" si="187"/>
        <v>0</v>
      </c>
      <c r="AH506">
        <f t="shared" si="188"/>
        <v>0</v>
      </c>
      <c r="AI506">
        <f t="shared" si="189"/>
        <v>1</v>
      </c>
      <c r="AJ506">
        <f t="shared" si="190"/>
        <v>1</v>
      </c>
      <c r="AK506">
        <f>SUM(AJ$2:$AJ506)</f>
        <v>505</v>
      </c>
    </row>
    <row r="507" spans="1:37">
      <c r="A507" t="s">
        <v>1471</v>
      </c>
      <c r="B507" t="s">
        <v>1601</v>
      </c>
      <c r="C507" t="s">
        <v>1602</v>
      </c>
      <c r="D507">
        <v>35300</v>
      </c>
      <c r="E507" t="s">
        <v>1603</v>
      </c>
      <c r="F507">
        <v>13566</v>
      </c>
      <c r="G507">
        <v>0</v>
      </c>
      <c r="I507">
        <v>5697</v>
      </c>
      <c r="J507">
        <v>0</v>
      </c>
      <c r="K507">
        <v>0</v>
      </c>
      <c r="L507">
        <v>0</v>
      </c>
      <c r="M507">
        <v>0</v>
      </c>
      <c r="N507">
        <v>16032</v>
      </c>
      <c r="O507">
        <v>0</v>
      </c>
      <c r="P507">
        <v>0</v>
      </c>
      <c r="R507">
        <v>0</v>
      </c>
      <c r="S507">
        <v>0</v>
      </c>
      <c r="T507" t="s">
        <v>300</v>
      </c>
      <c r="U507">
        <v>6</v>
      </c>
      <c r="V507" t="s">
        <v>87</v>
      </c>
      <c r="W507" t="s">
        <v>135</v>
      </c>
      <c r="X507" t="s">
        <v>108</v>
      </c>
      <c r="Y507" t="s">
        <v>89</v>
      </c>
      <c r="Z507">
        <v>1</v>
      </c>
      <c r="AA507">
        <f>IF(AND(D507&gt;=配装计算器!$I$29,D507&lt;=配装计算器!$I$30),1,0)</f>
        <v>1</v>
      </c>
      <c r="AB507">
        <f t="shared" si="182"/>
        <v>0</v>
      </c>
      <c r="AC507">
        <f t="shared" si="183"/>
        <v>0</v>
      </c>
      <c r="AD507">
        <f t="shared" si="184"/>
        <v>0</v>
      </c>
      <c r="AE507">
        <f t="shared" si="185"/>
        <v>0</v>
      </c>
      <c r="AF507">
        <f t="shared" si="186"/>
        <v>1</v>
      </c>
      <c r="AG507">
        <f t="shared" si="187"/>
        <v>0</v>
      </c>
      <c r="AH507">
        <f t="shared" si="188"/>
        <v>0</v>
      </c>
      <c r="AI507">
        <f t="shared" si="189"/>
        <v>1</v>
      </c>
      <c r="AJ507">
        <f t="shared" si="190"/>
        <v>1</v>
      </c>
      <c r="AK507">
        <f>SUM(AJ$2:$AJ507)</f>
        <v>506</v>
      </c>
    </row>
    <row r="508" spans="1:37">
      <c r="A508" t="s">
        <v>1471</v>
      </c>
      <c r="B508" t="s">
        <v>1604</v>
      </c>
      <c r="C508" t="s">
        <v>1605</v>
      </c>
      <c r="D508">
        <v>35300</v>
      </c>
      <c r="E508" t="s">
        <v>1606</v>
      </c>
      <c r="F508">
        <v>13566</v>
      </c>
      <c r="G508">
        <v>0</v>
      </c>
      <c r="I508">
        <v>5362</v>
      </c>
      <c r="J508">
        <v>0</v>
      </c>
      <c r="K508">
        <v>0</v>
      </c>
      <c r="L508">
        <v>0</v>
      </c>
      <c r="M508">
        <v>0</v>
      </c>
      <c r="N508">
        <v>9558</v>
      </c>
      <c r="O508">
        <v>8941</v>
      </c>
      <c r="P508">
        <v>0</v>
      </c>
      <c r="R508">
        <v>0</v>
      </c>
      <c r="S508">
        <v>0</v>
      </c>
      <c r="T508" t="s">
        <v>304</v>
      </c>
      <c r="U508">
        <v>6</v>
      </c>
      <c r="V508" t="s">
        <v>87</v>
      </c>
      <c r="W508" t="s">
        <v>94</v>
      </c>
      <c r="X508" t="s">
        <v>154</v>
      </c>
      <c r="Y508" t="s">
        <v>89</v>
      </c>
      <c r="Z508">
        <v>1</v>
      </c>
      <c r="AA508">
        <f>IF(AND(D508&gt;=配装计算器!$I$29,D508&lt;=配装计算器!$I$30),1,0)</f>
        <v>1</v>
      </c>
      <c r="AB508">
        <f t="shared" si="182"/>
        <v>0</v>
      </c>
      <c r="AC508">
        <f t="shared" si="183"/>
        <v>0</v>
      </c>
      <c r="AD508">
        <f t="shared" si="184"/>
        <v>0</v>
      </c>
      <c r="AE508">
        <f t="shared" si="185"/>
        <v>0</v>
      </c>
      <c r="AF508">
        <f t="shared" si="186"/>
        <v>1</v>
      </c>
      <c r="AG508">
        <f t="shared" si="187"/>
        <v>1</v>
      </c>
      <c r="AH508">
        <f t="shared" si="188"/>
        <v>0</v>
      </c>
      <c r="AI508">
        <f t="shared" si="189"/>
        <v>1</v>
      </c>
      <c r="AJ508">
        <f t="shared" si="190"/>
        <v>1</v>
      </c>
      <c r="AK508">
        <f>SUM(AJ$2:$AJ508)</f>
        <v>507</v>
      </c>
    </row>
    <row r="509" spans="1:37">
      <c r="A509" t="s">
        <v>1471</v>
      </c>
      <c r="B509" t="s">
        <v>1607</v>
      </c>
      <c r="C509" t="s">
        <v>1608</v>
      </c>
      <c r="D509">
        <v>35300</v>
      </c>
      <c r="E509" t="s">
        <v>1609</v>
      </c>
      <c r="F509">
        <v>13566</v>
      </c>
      <c r="G509">
        <v>0</v>
      </c>
      <c r="I509">
        <v>4022</v>
      </c>
      <c r="J509">
        <v>0</v>
      </c>
      <c r="K509">
        <v>0</v>
      </c>
      <c r="L509">
        <v>8633</v>
      </c>
      <c r="M509">
        <v>0</v>
      </c>
      <c r="N509">
        <v>13566</v>
      </c>
      <c r="O509">
        <v>0</v>
      </c>
      <c r="P509">
        <v>0</v>
      </c>
      <c r="R509">
        <v>0</v>
      </c>
      <c r="S509">
        <v>0</v>
      </c>
      <c r="T509" t="s">
        <v>308</v>
      </c>
      <c r="U509">
        <v>6</v>
      </c>
      <c r="V509" t="s">
        <v>87</v>
      </c>
      <c r="W509" t="s">
        <v>135</v>
      </c>
      <c r="X509" t="s">
        <v>123</v>
      </c>
      <c r="Y509" t="s">
        <v>89</v>
      </c>
      <c r="Z509">
        <v>1</v>
      </c>
      <c r="AA509">
        <f>IF(AND(D509&gt;=配装计算器!$I$29,D509&lt;=配装计算器!$I$30),1,0)</f>
        <v>1</v>
      </c>
      <c r="AB509">
        <f t="shared" si="182"/>
        <v>0</v>
      </c>
      <c r="AC509">
        <f t="shared" si="183"/>
        <v>0</v>
      </c>
      <c r="AD509">
        <f t="shared" si="184"/>
        <v>1</v>
      </c>
      <c r="AE509">
        <f t="shared" si="185"/>
        <v>0</v>
      </c>
      <c r="AF509">
        <f t="shared" si="186"/>
        <v>1</v>
      </c>
      <c r="AG509">
        <f t="shared" si="187"/>
        <v>0</v>
      </c>
      <c r="AH509">
        <f t="shared" si="188"/>
        <v>0</v>
      </c>
      <c r="AI509">
        <f t="shared" si="189"/>
        <v>1</v>
      </c>
      <c r="AJ509">
        <f t="shared" si="190"/>
        <v>1</v>
      </c>
      <c r="AK509">
        <f>SUM(AJ$2:$AJ509)</f>
        <v>508</v>
      </c>
    </row>
    <row r="510" spans="1:37">
      <c r="A510" t="s">
        <v>1471</v>
      </c>
      <c r="B510" t="s">
        <v>1610</v>
      </c>
      <c r="C510" t="s">
        <v>1611</v>
      </c>
      <c r="D510">
        <v>35300</v>
      </c>
      <c r="E510" t="s">
        <v>1612</v>
      </c>
      <c r="F510">
        <v>13566</v>
      </c>
      <c r="G510">
        <v>0</v>
      </c>
      <c r="I510">
        <v>4860</v>
      </c>
      <c r="J510">
        <v>6783</v>
      </c>
      <c r="K510">
        <v>0</v>
      </c>
      <c r="L510">
        <v>0</v>
      </c>
      <c r="M510">
        <v>6783</v>
      </c>
      <c r="N510">
        <v>6783</v>
      </c>
      <c r="O510">
        <v>0</v>
      </c>
      <c r="P510">
        <v>0</v>
      </c>
      <c r="R510">
        <v>0</v>
      </c>
      <c r="S510">
        <v>0</v>
      </c>
      <c r="T510" t="s">
        <v>312</v>
      </c>
      <c r="U510">
        <v>6</v>
      </c>
      <c r="V510" t="s">
        <v>87</v>
      </c>
      <c r="W510" t="s">
        <v>94</v>
      </c>
      <c r="X510" t="s">
        <v>108</v>
      </c>
      <c r="Y510" t="s">
        <v>89</v>
      </c>
      <c r="Z510">
        <v>1</v>
      </c>
      <c r="AA510">
        <f>IF(AND(D510&gt;=配装计算器!$I$29,D510&lt;=配装计算器!$I$30),1,0)</f>
        <v>1</v>
      </c>
      <c r="AB510">
        <f t="shared" si="182"/>
        <v>1</v>
      </c>
      <c r="AC510">
        <f t="shared" si="183"/>
        <v>0</v>
      </c>
      <c r="AD510">
        <f t="shared" si="184"/>
        <v>0</v>
      </c>
      <c r="AE510">
        <f t="shared" si="185"/>
        <v>1</v>
      </c>
      <c r="AF510">
        <f t="shared" si="186"/>
        <v>1</v>
      </c>
      <c r="AG510">
        <f t="shared" si="187"/>
        <v>0</v>
      </c>
      <c r="AH510">
        <f t="shared" si="188"/>
        <v>0</v>
      </c>
      <c r="AI510">
        <f t="shared" si="189"/>
        <v>1</v>
      </c>
      <c r="AJ510">
        <f t="shared" si="190"/>
        <v>1</v>
      </c>
      <c r="AK510">
        <f>SUM(AJ$2:$AJ510)</f>
        <v>509</v>
      </c>
    </row>
    <row r="511" spans="1:37">
      <c r="A511" t="s">
        <v>1471</v>
      </c>
      <c r="B511" t="s">
        <v>1613</v>
      </c>
      <c r="C511" t="s">
        <v>1614</v>
      </c>
      <c r="D511">
        <v>35300</v>
      </c>
      <c r="E511" t="s">
        <v>1615</v>
      </c>
      <c r="F511">
        <v>13566</v>
      </c>
      <c r="G511">
        <v>0</v>
      </c>
      <c r="I511">
        <v>4022</v>
      </c>
      <c r="J511">
        <v>8633</v>
      </c>
      <c r="K511">
        <v>0</v>
      </c>
      <c r="L511">
        <v>0</v>
      </c>
      <c r="M511">
        <v>0</v>
      </c>
      <c r="N511">
        <v>13566</v>
      </c>
      <c r="O511">
        <v>0</v>
      </c>
      <c r="P511">
        <v>0</v>
      </c>
      <c r="R511">
        <v>0</v>
      </c>
      <c r="S511">
        <v>0</v>
      </c>
      <c r="T511" t="s">
        <v>316</v>
      </c>
      <c r="U511">
        <v>6</v>
      </c>
      <c r="V511" t="s">
        <v>87</v>
      </c>
      <c r="W511" t="s">
        <v>123</v>
      </c>
      <c r="X511" t="s">
        <v>108</v>
      </c>
      <c r="Y511" t="s">
        <v>89</v>
      </c>
      <c r="Z511">
        <v>1</v>
      </c>
      <c r="AA511">
        <f>IF(AND(D511&gt;=配装计算器!$I$29,D511&lt;=配装计算器!$I$30),1,0)</f>
        <v>1</v>
      </c>
      <c r="AB511">
        <f t="shared" si="182"/>
        <v>1</v>
      </c>
      <c r="AC511">
        <f t="shared" si="183"/>
        <v>0</v>
      </c>
      <c r="AD511">
        <f t="shared" si="184"/>
        <v>0</v>
      </c>
      <c r="AE511">
        <f t="shared" si="185"/>
        <v>0</v>
      </c>
      <c r="AF511">
        <f t="shared" si="186"/>
        <v>1</v>
      </c>
      <c r="AG511">
        <f t="shared" si="187"/>
        <v>0</v>
      </c>
      <c r="AH511">
        <f t="shared" si="188"/>
        <v>0</v>
      </c>
      <c r="AI511">
        <f t="shared" si="189"/>
        <v>1</v>
      </c>
      <c r="AJ511">
        <f t="shared" si="190"/>
        <v>1</v>
      </c>
      <c r="AK511">
        <f>SUM(AJ$2:$AJ511)</f>
        <v>510</v>
      </c>
    </row>
    <row r="512" spans="1:37">
      <c r="A512" t="s">
        <v>1471</v>
      </c>
      <c r="B512" t="s">
        <v>1616</v>
      </c>
      <c r="C512" t="s">
        <v>1617</v>
      </c>
      <c r="D512">
        <v>35300</v>
      </c>
      <c r="E512" t="s">
        <v>1618</v>
      </c>
      <c r="F512">
        <v>13566</v>
      </c>
      <c r="G512">
        <v>0</v>
      </c>
      <c r="I512">
        <v>4860</v>
      </c>
      <c r="J512">
        <v>6783</v>
      </c>
      <c r="K512">
        <v>0</v>
      </c>
      <c r="L512">
        <v>6783</v>
      </c>
      <c r="M512">
        <v>0</v>
      </c>
      <c r="N512">
        <v>6783</v>
      </c>
      <c r="O512">
        <v>0</v>
      </c>
      <c r="P512">
        <v>0</v>
      </c>
      <c r="R512">
        <v>0</v>
      </c>
      <c r="S512">
        <v>0</v>
      </c>
      <c r="T512" t="s">
        <v>320</v>
      </c>
      <c r="U512">
        <v>6</v>
      </c>
      <c r="V512" t="s">
        <v>87</v>
      </c>
      <c r="W512" t="s">
        <v>185</v>
      </c>
      <c r="X512" t="s">
        <v>123</v>
      </c>
      <c r="Y512" t="s">
        <v>89</v>
      </c>
      <c r="Z512">
        <v>1</v>
      </c>
      <c r="AA512">
        <f>IF(AND(D512&gt;=配装计算器!$I$29,D512&lt;=配装计算器!$I$30),1,0)</f>
        <v>1</v>
      </c>
      <c r="AB512">
        <f t="shared" si="182"/>
        <v>1</v>
      </c>
      <c r="AC512">
        <f t="shared" si="183"/>
        <v>0</v>
      </c>
      <c r="AD512">
        <f t="shared" si="184"/>
        <v>1</v>
      </c>
      <c r="AE512">
        <f t="shared" si="185"/>
        <v>0</v>
      </c>
      <c r="AF512">
        <f t="shared" si="186"/>
        <v>1</v>
      </c>
      <c r="AG512">
        <f t="shared" si="187"/>
        <v>0</v>
      </c>
      <c r="AH512">
        <f t="shared" si="188"/>
        <v>0</v>
      </c>
      <c r="AI512">
        <f t="shared" si="189"/>
        <v>1</v>
      </c>
      <c r="AJ512">
        <f t="shared" si="190"/>
        <v>1</v>
      </c>
      <c r="AK512">
        <f>SUM(AJ$2:$AJ512)</f>
        <v>511</v>
      </c>
    </row>
    <row r="513" spans="1:37">
      <c r="A513" t="s">
        <v>1471</v>
      </c>
      <c r="B513" t="s">
        <v>1619</v>
      </c>
      <c r="C513" t="s">
        <v>1620</v>
      </c>
      <c r="D513">
        <v>35900</v>
      </c>
      <c r="E513" t="s">
        <v>1621</v>
      </c>
      <c r="F513">
        <v>13796</v>
      </c>
      <c r="G513">
        <v>1126</v>
      </c>
      <c r="I513">
        <v>2556</v>
      </c>
      <c r="J513">
        <v>9407</v>
      </c>
      <c r="K513">
        <v>0</v>
      </c>
      <c r="L513">
        <v>0</v>
      </c>
      <c r="M513">
        <v>0</v>
      </c>
      <c r="N513">
        <v>7525</v>
      </c>
      <c r="O513">
        <v>0</v>
      </c>
      <c r="P513">
        <v>0</v>
      </c>
      <c r="R513">
        <v>0</v>
      </c>
      <c r="S513">
        <v>0</v>
      </c>
      <c r="T513" t="s">
        <v>102</v>
      </c>
      <c r="U513">
        <v>6</v>
      </c>
      <c r="V513" t="s">
        <v>327</v>
      </c>
      <c r="W513" t="s">
        <v>94</v>
      </c>
      <c r="X513" t="s">
        <v>123</v>
      </c>
      <c r="Y513" t="s">
        <v>89</v>
      </c>
      <c r="Z513">
        <v>1</v>
      </c>
      <c r="AA513">
        <f>IF(AND(D513&gt;=配装计算器!$I$29,D513&lt;=配装计算器!$I$30),1,0)</f>
        <v>1</v>
      </c>
      <c r="AB513">
        <f t="shared" si="182"/>
        <v>1</v>
      </c>
      <c r="AC513">
        <f t="shared" si="183"/>
        <v>0</v>
      </c>
      <c r="AD513">
        <f t="shared" si="184"/>
        <v>0</v>
      </c>
      <c r="AE513">
        <f t="shared" si="185"/>
        <v>0</v>
      </c>
      <c r="AF513">
        <f t="shared" si="186"/>
        <v>1</v>
      </c>
      <c r="AG513">
        <f t="shared" si="187"/>
        <v>0</v>
      </c>
      <c r="AH513">
        <f t="shared" si="188"/>
        <v>0</v>
      </c>
      <c r="AI513">
        <f t="shared" si="189"/>
        <v>0</v>
      </c>
      <c r="AJ513">
        <f t="shared" si="190"/>
        <v>1</v>
      </c>
      <c r="AK513">
        <f>SUM(AJ$2:$AJ513)</f>
        <v>512</v>
      </c>
    </row>
    <row r="514" spans="1:37">
      <c r="A514" t="s">
        <v>1471</v>
      </c>
      <c r="B514" t="s">
        <v>1622</v>
      </c>
      <c r="C514" t="s">
        <v>1623</v>
      </c>
      <c r="D514">
        <v>36200</v>
      </c>
      <c r="E514" t="s">
        <v>1624</v>
      </c>
      <c r="F514">
        <v>13912</v>
      </c>
      <c r="G514">
        <v>1054</v>
      </c>
      <c r="I514">
        <v>1718</v>
      </c>
      <c r="J514">
        <v>9485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3794</v>
      </c>
      <c r="R514">
        <v>0</v>
      </c>
      <c r="S514">
        <v>0</v>
      </c>
      <c r="T514" t="s">
        <v>93</v>
      </c>
      <c r="U514">
        <v>6</v>
      </c>
      <c r="V514" t="s">
        <v>145</v>
      </c>
      <c r="W514" t="s">
        <v>88</v>
      </c>
      <c r="X514" t="s">
        <v>233</v>
      </c>
      <c r="Y514" t="s">
        <v>89</v>
      </c>
      <c r="Z514">
        <v>2</v>
      </c>
      <c r="AA514">
        <f>IF(AND(D514&gt;=配装计算器!$I$29,D514&lt;=配装计算器!$I$30),1,0)</f>
        <v>1</v>
      </c>
      <c r="AB514">
        <f t="shared" si="182"/>
        <v>1</v>
      </c>
      <c r="AC514">
        <f t="shared" si="183"/>
        <v>0</v>
      </c>
      <c r="AD514">
        <f t="shared" si="184"/>
        <v>0</v>
      </c>
      <c r="AE514">
        <f t="shared" si="185"/>
        <v>0</v>
      </c>
      <c r="AF514">
        <f t="shared" si="186"/>
        <v>0</v>
      </c>
      <c r="AG514">
        <f t="shared" si="187"/>
        <v>0</v>
      </c>
      <c r="AH514">
        <f t="shared" si="188"/>
        <v>1</v>
      </c>
      <c r="AI514">
        <f t="shared" si="189"/>
        <v>0</v>
      </c>
      <c r="AJ514">
        <f t="shared" si="190"/>
        <v>1</v>
      </c>
      <c r="AK514">
        <f>SUM(AJ$2:$AJ514)</f>
        <v>513</v>
      </c>
    </row>
    <row r="515" spans="1:37">
      <c r="A515" t="s">
        <v>1471</v>
      </c>
      <c r="B515" t="s">
        <v>1625</v>
      </c>
      <c r="C515" t="s">
        <v>1626</v>
      </c>
      <c r="D515">
        <v>41400</v>
      </c>
      <c r="E515" t="s">
        <v>1627</v>
      </c>
      <c r="F515">
        <v>15910</v>
      </c>
      <c r="G515">
        <v>1298</v>
      </c>
      <c r="I515">
        <v>2948</v>
      </c>
      <c r="J515">
        <v>10848</v>
      </c>
      <c r="K515">
        <v>0</v>
      </c>
      <c r="L515">
        <v>0</v>
      </c>
      <c r="M515">
        <v>0</v>
      </c>
      <c r="N515">
        <v>8678</v>
      </c>
      <c r="O515">
        <v>0</v>
      </c>
      <c r="P515">
        <v>0</v>
      </c>
      <c r="R515">
        <v>0</v>
      </c>
      <c r="S515">
        <v>0</v>
      </c>
      <c r="T515" t="s">
        <v>102</v>
      </c>
      <c r="U515">
        <v>6</v>
      </c>
      <c r="V515" t="s">
        <v>240</v>
      </c>
      <c r="W515" t="s">
        <v>94</v>
      </c>
      <c r="X515" t="s">
        <v>123</v>
      </c>
      <c r="Y515" t="s">
        <v>89</v>
      </c>
      <c r="Z515">
        <v>1</v>
      </c>
      <c r="AA515">
        <f>IF(AND(D515&gt;=配装计算器!$I$29,D515&lt;=配装计算器!$I$30),1,0)</f>
        <v>1</v>
      </c>
      <c r="AB515">
        <f t="shared" si="182"/>
        <v>1</v>
      </c>
      <c r="AC515">
        <f t="shared" si="183"/>
        <v>0</v>
      </c>
      <c r="AD515">
        <f t="shared" si="184"/>
        <v>0</v>
      </c>
      <c r="AE515">
        <f t="shared" si="185"/>
        <v>0</v>
      </c>
      <c r="AF515">
        <f t="shared" si="186"/>
        <v>1</v>
      </c>
      <c r="AG515">
        <f t="shared" si="187"/>
        <v>0</v>
      </c>
      <c r="AH515">
        <f t="shared" si="188"/>
        <v>0</v>
      </c>
      <c r="AI515">
        <f t="shared" si="189"/>
        <v>0</v>
      </c>
      <c r="AJ515">
        <f t="shared" si="190"/>
        <v>1</v>
      </c>
      <c r="AK515">
        <f>SUM(AJ$2:$AJ515)</f>
        <v>514</v>
      </c>
    </row>
    <row r="516" spans="1:37">
      <c r="A516" t="s">
        <v>1471</v>
      </c>
      <c r="B516" t="s">
        <v>1628</v>
      </c>
      <c r="C516" t="s">
        <v>1629</v>
      </c>
      <c r="D516">
        <v>41400</v>
      </c>
      <c r="E516" t="s">
        <v>1630</v>
      </c>
      <c r="F516">
        <v>15910</v>
      </c>
      <c r="G516">
        <v>1298</v>
      </c>
      <c r="I516">
        <v>2948</v>
      </c>
      <c r="J516">
        <v>0</v>
      </c>
      <c r="K516">
        <v>0</v>
      </c>
      <c r="L516">
        <v>0</v>
      </c>
      <c r="M516">
        <v>0</v>
      </c>
      <c r="N516">
        <v>8678</v>
      </c>
      <c r="O516">
        <v>10848</v>
      </c>
      <c r="P516">
        <v>0</v>
      </c>
      <c r="R516">
        <v>0</v>
      </c>
      <c r="S516">
        <v>0</v>
      </c>
      <c r="T516" t="s">
        <v>115</v>
      </c>
      <c r="U516">
        <v>6</v>
      </c>
      <c r="V516" t="s">
        <v>87</v>
      </c>
      <c r="W516" t="s">
        <v>123</v>
      </c>
      <c r="X516" t="s">
        <v>88</v>
      </c>
      <c r="Y516" t="s">
        <v>89</v>
      </c>
      <c r="Z516">
        <v>1</v>
      </c>
      <c r="AA516">
        <f>IF(AND(D516&gt;=配装计算器!$I$29,D516&lt;=配装计算器!$I$30),1,0)</f>
        <v>1</v>
      </c>
      <c r="AB516">
        <f t="shared" si="182"/>
        <v>0</v>
      </c>
      <c r="AC516">
        <f t="shared" si="183"/>
        <v>0</v>
      </c>
      <c r="AD516">
        <f t="shared" si="184"/>
        <v>0</v>
      </c>
      <c r="AE516">
        <f t="shared" si="185"/>
        <v>0</v>
      </c>
      <c r="AF516">
        <f t="shared" si="186"/>
        <v>1</v>
      </c>
      <c r="AG516">
        <f t="shared" si="187"/>
        <v>1</v>
      </c>
      <c r="AH516">
        <f t="shared" si="188"/>
        <v>0</v>
      </c>
      <c r="AI516">
        <f t="shared" si="189"/>
        <v>0</v>
      </c>
      <c r="AJ516">
        <f t="shared" si="190"/>
        <v>1</v>
      </c>
      <c r="AK516">
        <f>SUM(AJ$2:$AJ516)</f>
        <v>515</v>
      </c>
    </row>
    <row r="517" spans="1:37">
      <c r="A517" t="s">
        <v>1471</v>
      </c>
      <c r="B517" t="s">
        <v>1631</v>
      </c>
      <c r="C517" t="s">
        <v>1632</v>
      </c>
      <c r="D517">
        <v>41400</v>
      </c>
      <c r="E517" t="s">
        <v>1633</v>
      </c>
      <c r="F517">
        <v>15910</v>
      </c>
      <c r="G517">
        <v>1298</v>
      </c>
      <c r="I517">
        <v>2948</v>
      </c>
      <c r="J517">
        <v>0</v>
      </c>
      <c r="K517">
        <v>0</v>
      </c>
      <c r="L517">
        <v>10848</v>
      </c>
      <c r="M517">
        <v>0</v>
      </c>
      <c r="N517">
        <v>8678</v>
      </c>
      <c r="O517">
        <v>0</v>
      </c>
      <c r="P517">
        <v>0</v>
      </c>
      <c r="R517">
        <v>0</v>
      </c>
      <c r="S517">
        <v>0</v>
      </c>
      <c r="T517" t="s">
        <v>122</v>
      </c>
      <c r="U517">
        <v>6</v>
      </c>
      <c r="V517" t="s">
        <v>87</v>
      </c>
      <c r="W517" t="s">
        <v>108</v>
      </c>
      <c r="X517" t="s">
        <v>94</v>
      </c>
      <c r="Y517" t="s">
        <v>89</v>
      </c>
      <c r="Z517">
        <v>1</v>
      </c>
      <c r="AA517">
        <f>IF(AND(D517&gt;=配装计算器!$I$29,D517&lt;=配装计算器!$I$30),1,0)</f>
        <v>1</v>
      </c>
      <c r="AB517">
        <f t="shared" si="182"/>
        <v>0</v>
      </c>
      <c r="AC517">
        <f t="shared" si="183"/>
        <v>0</v>
      </c>
      <c r="AD517">
        <f t="shared" si="184"/>
        <v>1</v>
      </c>
      <c r="AE517">
        <f t="shared" si="185"/>
        <v>0</v>
      </c>
      <c r="AF517">
        <f t="shared" si="186"/>
        <v>1</v>
      </c>
      <c r="AG517">
        <f t="shared" si="187"/>
        <v>0</v>
      </c>
      <c r="AH517">
        <f t="shared" si="188"/>
        <v>0</v>
      </c>
      <c r="AI517">
        <f t="shared" si="189"/>
        <v>0</v>
      </c>
      <c r="AJ517">
        <f t="shared" si="190"/>
        <v>1</v>
      </c>
      <c r="AK517">
        <f>SUM(AJ$2:$AJ517)</f>
        <v>516</v>
      </c>
    </row>
    <row r="518" spans="1:37">
      <c r="A518" t="s">
        <v>1471</v>
      </c>
      <c r="B518" t="s">
        <v>1634</v>
      </c>
      <c r="C518" t="s">
        <v>1635</v>
      </c>
      <c r="D518">
        <v>41400</v>
      </c>
      <c r="E518" t="s">
        <v>1636</v>
      </c>
      <c r="F518">
        <v>15910</v>
      </c>
      <c r="G518">
        <v>1298</v>
      </c>
      <c r="I518">
        <v>2948</v>
      </c>
      <c r="J518">
        <v>0</v>
      </c>
      <c r="K518">
        <v>0</v>
      </c>
      <c r="L518">
        <v>10848</v>
      </c>
      <c r="M518">
        <v>0</v>
      </c>
      <c r="N518">
        <v>8678</v>
      </c>
      <c r="O518">
        <v>0</v>
      </c>
      <c r="P518">
        <v>0</v>
      </c>
      <c r="R518">
        <v>0</v>
      </c>
      <c r="S518">
        <v>0</v>
      </c>
      <c r="T518" t="s">
        <v>122</v>
      </c>
      <c r="U518">
        <v>6</v>
      </c>
      <c r="V518" t="s">
        <v>130</v>
      </c>
      <c r="W518" t="s">
        <v>108</v>
      </c>
      <c r="X518" t="s">
        <v>94</v>
      </c>
      <c r="Y518" t="s">
        <v>89</v>
      </c>
      <c r="Z518">
        <v>1</v>
      </c>
      <c r="AA518">
        <f>IF(AND(D518&gt;=配装计算器!$I$29,D518&lt;=配装计算器!$I$30),1,0)</f>
        <v>1</v>
      </c>
      <c r="AB518">
        <f t="shared" si="182"/>
        <v>0</v>
      </c>
      <c r="AC518">
        <f t="shared" si="183"/>
        <v>0</v>
      </c>
      <c r="AD518">
        <f t="shared" si="184"/>
        <v>1</v>
      </c>
      <c r="AE518">
        <f t="shared" si="185"/>
        <v>0</v>
      </c>
      <c r="AF518">
        <f t="shared" si="186"/>
        <v>1</v>
      </c>
      <c r="AG518">
        <f t="shared" si="187"/>
        <v>0</v>
      </c>
      <c r="AH518">
        <f t="shared" si="188"/>
        <v>0</v>
      </c>
      <c r="AI518">
        <f t="shared" si="189"/>
        <v>0</v>
      </c>
      <c r="AJ518">
        <f t="shared" si="190"/>
        <v>1</v>
      </c>
      <c r="AK518">
        <f>SUM(AJ$2:$AJ518)</f>
        <v>517</v>
      </c>
    </row>
    <row r="519" spans="1:37">
      <c r="A519" t="s">
        <v>1471</v>
      </c>
      <c r="B519" t="s">
        <v>1637</v>
      </c>
      <c r="C519" t="s">
        <v>1638</v>
      </c>
      <c r="D519">
        <v>41400</v>
      </c>
      <c r="E519" t="s">
        <v>1639</v>
      </c>
      <c r="F519">
        <v>15910</v>
      </c>
      <c r="G519">
        <v>0</v>
      </c>
      <c r="I519">
        <v>5503</v>
      </c>
      <c r="J519">
        <v>0</v>
      </c>
      <c r="K519">
        <v>0</v>
      </c>
      <c r="L519">
        <v>0</v>
      </c>
      <c r="M519">
        <v>22419</v>
      </c>
      <c r="N519">
        <v>0</v>
      </c>
      <c r="O519">
        <v>0</v>
      </c>
      <c r="P519">
        <v>0</v>
      </c>
      <c r="R519">
        <v>0</v>
      </c>
      <c r="S519">
        <v>0</v>
      </c>
      <c r="T519" t="s">
        <v>276</v>
      </c>
      <c r="U519">
        <v>6</v>
      </c>
      <c r="V519" t="s">
        <v>87</v>
      </c>
      <c r="W519" t="s">
        <v>94</v>
      </c>
      <c r="X519" t="s">
        <v>154</v>
      </c>
      <c r="Y519" t="s">
        <v>89</v>
      </c>
      <c r="Z519">
        <v>1</v>
      </c>
      <c r="AA519">
        <f>IF(AND(D519&gt;=配装计算器!$I$29,D519&lt;=配装计算器!$I$30),1,0)</f>
        <v>1</v>
      </c>
      <c r="AB519">
        <f t="shared" si="182"/>
        <v>0</v>
      </c>
      <c r="AC519">
        <f t="shared" si="183"/>
        <v>0</v>
      </c>
      <c r="AD519">
        <f t="shared" si="184"/>
        <v>0</v>
      </c>
      <c r="AE519">
        <f t="shared" si="185"/>
        <v>1</v>
      </c>
      <c r="AF519">
        <f t="shared" si="186"/>
        <v>0</v>
      </c>
      <c r="AG519">
        <f t="shared" si="187"/>
        <v>0</v>
      </c>
      <c r="AH519">
        <f t="shared" si="188"/>
        <v>0</v>
      </c>
      <c r="AI519">
        <f t="shared" si="189"/>
        <v>1</v>
      </c>
      <c r="AJ519">
        <f t="shared" si="190"/>
        <v>1</v>
      </c>
      <c r="AK519">
        <f>SUM(AJ$2:$AJ519)</f>
        <v>518</v>
      </c>
    </row>
    <row r="520" spans="1:37">
      <c r="A520" t="s">
        <v>1471</v>
      </c>
      <c r="B520" t="s">
        <v>1640</v>
      </c>
      <c r="C520" t="s">
        <v>1641</v>
      </c>
      <c r="D520">
        <v>41400</v>
      </c>
      <c r="E520" t="s">
        <v>1642</v>
      </c>
      <c r="F520">
        <v>15910</v>
      </c>
      <c r="G520">
        <v>0</v>
      </c>
      <c r="I520">
        <v>6702</v>
      </c>
      <c r="J520">
        <v>0</v>
      </c>
      <c r="K520">
        <v>0</v>
      </c>
      <c r="L520">
        <v>0</v>
      </c>
      <c r="M520">
        <v>0</v>
      </c>
      <c r="N520">
        <v>11209</v>
      </c>
      <c r="O520">
        <v>8967</v>
      </c>
      <c r="P520">
        <v>0</v>
      </c>
      <c r="R520">
        <v>0</v>
      </c>
      <c r="S520">
        <v>0</v>
      </c>
      <c r="T520" t="s">
        <v>358</v>
      </c>
      <c r="U520">
        <v>6</v>
      </c>
      <c r="V520" t="s">
        <v>87</v>
      </c>
      <c r="W520" t="s">
        <v>94</v>
      </c>
      <c r="X520" t="s">
        <v>154</v>
      </c>
      <c r="Y520" t="s">
        <v>89</v>
      </c>
      <c r="Z520">
        <v>1</v>
      </c>
      <c r="AA520">
        <f>IF(AND(D520&gt;=配装计算器!$I$29,D520&lt;=配装计算器!$I$30),1,0)</f>
        <v>1</v>
      </c>
      <c r="AB520">
        <f t="shared" si="182"/>
        <v>0</v>
      </c>
      <c r="AC520">
        <f t="shared" si="183"/>
        <v>0</v>
      </c>
      <c r="AD520">
        <f t="shared" si="184"/>
        <v>0</v>
      </c>
      <c r="AE520">
        <f t="shared" si="185"/>
        <v>0</v>
      </c>
      <c r="AF520">
        <f t="shared" si="186"/>
        <v>1</v>
      </c>
      <c r="AG520">
        <f t="shared" si="187"/>
        <v>1</v>
      </c>
      <c r="AH520">
        <f t="shared" si="188"/>
        <v>0</v>
      </c>
      <c r="AI520">
        <f t="shared" si="189"/>
        <v>1</v>
      </c>
      <c r="AJ520">
        <f t="shared" si="190"/>
        <v>1</v>
      </c>
      <c r="AK520">
        <f>SUM(AJ$2:$AJ520)</f>
        <v>519</v>
      </c>
    </row>
    <row r="521" spans="1:37">
      <c r="A521" t="s">
        <v>1471</v>
      </c>
      <c r="B521" t="s">
        <v>1643</v>
      </c>
      <c r="C521" t="s">
        <v>1644</v>
      </c>
      <c r="D521">
        <v>41400</v>
      </c>
      <c r="E521" t="s">
        <v>1645</v>
      </c>
      <c r="F521">
        <v>15910</v>
      </c>
      <c r="G521">
        <v>0</v>
      </c>
      <c r="I521">
        <v>1965</v>
      </c>
      <c r="J521">
        <v>0</v>
      </c>
      <c r="K521">
        <v>0</v>
      </c>
      <c r="L521">
        <v>28204</v>
      </c>
      <c r="M521">
        <v>0</v>
      </c>
      <c r="N521">
        <v>8678</v>
      </c>
      <c r="O521">
        <v>0</v>
      </c>
      <c r="P521">
        <v>0</v>
      </c>
      <c r="R521">
        <v>0</v>
      </c>
      <c r="S521">
        <v>0</v>
      </c>
      <c r="T521" t="s">
        <v>153</v>
      </c>
      <c r="U521">
        <v>6</v>
      </c>
      <c r="V521" t="s">
        <v>87</v>
      </c>
      <c r="W521" t="s">
        <v>135</v>
      </c>
      <c r="X521" t="s">
        <v>123</v>
      </c>
      <c r="Y521" t="s">
        <v>89</v>
      </c>
      <c r="Z521">
        <v>1</v>
      </c>
      <c r="AA521">
        <f>IF(AND(D521&gt;=配装计算器!$I$29,D521&lt;=配装计算器!$I$30),1,0)</f>
        <v>1</v>
      </c>
      <c r="AB521">
        <f t="shared" si="182"/>
        <v>0</v>
      </c>
      <c r="AC521">
        <f t="shared" si="183"/>
        <v>0</v>
      </c>
      <c r="AD521">
        <f t="shared" si="184"/>
        <v>1</v>
      </c>
      <c r="AE521">
        <f t="shared" si="185"/>
        <v>0</v>
      </c>
      <c r="AF521">
        <f t="shared" si="186"/>
        <v>1</v>
      </c>
      <c r="AG521">
        <f t="shared" si="187"/>
        <v>0</v>
      </c>
      <c r="AH521">
        <f t="shared" si="188"/>
        <v>0</v>
      </c>
      <c r="AI521">
        <f t="shared" si="189"/>
        <v>1</v>
      </c>
      <c r="AJ521">
        <f t="shared" si="190"/>
        <v>1</v>
      </c>
      <c r="AK521">
        <f>SUM(AJ$2:$AJ521)</f>
        <v>520</v>
      </c>
    </row>
    <row r="522" spans="1:37">
      <c r="A522" t="s">
        <v>1471</v>
      </c>
      <c r="B522" t="s">
        <v>1646</v>
      </c>
      <c r="C522" t="s">
        <v>1647</v>
      </c>
      <c r="D522">
        <v>41400</v>
      </c>
      <c r="E522" t="s">
        <v>1648</v>
      </c>
      <c r="F522">
        <v>15910</v>
      </c>
      <c r="G522">
        <v>0</v>
      </c>
      <c r="I522">
        <v>5699</v>
      </c>
      <c r="J522">
        <v>0</v>
      </c>
      <c r="K522">
        <v>0</v>
      </c>
      <c r="L522">
        <v>10848</v>
      </c>
      <c r="M522">
        <v>0</v>
      </c>
      <c r="N522">
        <v>0</v>
      </c>
      <c r="O522">
        <v>0</v>
      </c>
      <c r="P522">
        <v>0</v>
      </c>
      <c r="R522">
        <v>0</v>
      </c>
      <c r="S522">
        <v>0</v>
      </c>
      <c r="T522" t="s">
        <v>719</v>
      </c>
      <c r="U522">
        <v>6</v>
      </c>
      <c r="V522" t="s">
        <v>87</v>
      </c>
      <c r="W522" t="s">
        <v>135</v>
      </c>
      <c r="X522" t="s">
        <v>108</v>
      </c>
      <c r="Y522" t="s">
        <v>89</v>
      </c>
      <c r="Z522">
        <v>1</v>
      </c>
      <c r="AA522">
        <f>IF(AND(D522&gt;=配装计算器!$I$29,D522&lt;=配装计算器!$I$30),1,0)</f>
        <v>1</v>
      </c>
      <c r="AB522">
        <f t="shared" si="182"/>
        <v>0</v>
      </c>
      <c r="AC522">
        <f t="shared" si="183"/>
        <v>0</v>
      </c>
      <c r="AD522">
        <f t="shared" si="184"/>
        <v>1</v>
      </c>
      <c r="AE522">
        <f t="shared" si="185"/>
        <v>0</v>
      </c>
      <c r="AF522">
        <f t="shared" si="186"/>
        <v>0</v>
      </c>
      <c r="AG522">
        <f t="shared" si="187"/>
        <v>0</v>
      </c>
      <c r="AH522">
        <f t="shared" si="188"/>
        <v>0</v>
      </c>
      <c r="AI522">
        <f t="shared" si="189"/>
        <v>1</v>
      </c>
      <c r="AJ522">
        <f t="shared" si="190"/>
        <v>1</v>
      </c>
      <c r="AK522">
        <f>SUM(AJ$2:$AJ522)</f>
        <v>521</v>
      </c>
    </row>
    <row r="523" spans="1:37">
      <c r="A523" t="s">
        <v>1471</v>
      </c>
      <c r="B523" t="s">
        <v>1649</v>
      </c>
      <c r="C523" t="s">
        <v>1650</v>
      </c>
      <c r="D523">
        <v>41400</v>
      </c>
      <c r="E523" t="s">
        <v>1651</v>
      </c>
      <c r="F523">
        <v>15910</v>
      </c>
      <c r="G523">
        <v>0</v>
      </c>
      <c r="I523">
        <v>4618</v>
      </c>
      <c r="J523">
        <v>7232</v>
      </c>
      <c r="K523">
        <v>0</v>
      </c>
      <c r="L523">
        <v>7232</v>
      </c>
      <c r="M523">
        <v>7232</v>
      </c>
      <c r="N523">
        <v>7232</v>
      </c>
      <c r="O523">
        <v>0</v>
      </c>
      <c r="P523">
        <v>0</v>
      </c>
      <c r="R523">
        <v>0</v>
      </c>
      <c r="S523">
        <v>0</v>
      </c>
      <c r="T523" t="s">
        <v>504</v>
      </c>
      <c r="U523">
        <v>6</v>
      </c>
      <c r="V523" t="s">
        <v>87</v>
      </c>
      <c r="W523" t="s">
        <v>94</v>
      </c>
      <c r="X523" t="s">
        <v>154</v>
      </c>
      <c r="Y523" t="s">
        <v>89</v>
      </c>
      <c r="Z523">
        <v>1</v>
      </c>
      <c r="AA523">
        <f>IF(AND(D523&gt;=配装计算器!$I$29,D523&lt;=配装计算器!$I$30),1,0)</f>
        <v>1</v>
      </c>
      <c r="AB523">
        <f t="shared" si="182"/>
        <v>1</v>
      </c>
      <c r="AC523">
        <f t="shared" si="183"/>
        <v>0</v>
      </c>
      <c r="AD523">
        <f t="shared" si="184"/>
        <v>1</v>
      </c>
      <c r="AE523">
        <f t="shared" si="185"/>
        <v>1</v>
      </c>
      <c r="AF523">
        <f t="shared" si="186"/>
        <v>1</v>
      </c>
      <c r="AG523">
        <f t="shared" si="187"/>
        <v>0</v>
      </c>
      <c r="AH523">
        <f t="shared" si="188"/>
        <v>0</v>
      </c>
      <c r="AI523">
        <f t="shared" si="189"/>
        <v>1</v>
      </c>
      <c r="AJ523">
        <f t="shared" si="190"/>
        <v>1</v>
      </c>
      <c r="AK523">
        <f>SUM(AJ$2:$AJ523)</f>
        <v>522</v>
      </c>
    </row>
    <row r="524" spans="1:37">
      <c r="A524" t="s">
        <v>1471</v>
      </c>
      <c r="B524" t="s">
        <v>1652</v>
      </c>
      <c r="C524" t="s">
        <v>1653</v>
      </c>
      <c r="D524">
        <v>41400</v>
      </c>
      <c r="E524" t="s">
        <v>1654</v>
      </c>
      <c r="F524">
        <v>15910</v>
      </c>
      <c r="G524">
        <v>0</v>
      </c>
      <c r="I524">
        <v>1965</v>
      </c>
      <c r="J524">
        <v>28204</v>
      </c>
      <c r="K524">
        <v>0</v>
      </c>
      <c r="L524">
        <v>0</v>
      </c>
      <c r="M524">
        <v>0</v>
      </c>
      <c r="N524">
        <v>8678</v>
      </c>
      <c r="O524">
        <v>0</v>
      </c>
      <c r="P524">
        <v>0</v>
      </c>
      <c r="R524">
        <v>0</v>
      </c>
      <c r="S524">
        <v>0</v>
      </c>
      <c r="T524" t="s">
        <v>184</v>
      </c>
      <c r="U524">
        <v>6</v>
      </c>
      <c r="V524" t="s">
        <v>87</v>
      </c>
      <c r="W524" t="s">
        <v>123</v>
      </c>
      <c r="X524" t="s">
        <v>108</v>
      </c>
      <c r="Y524" t="s">
        <v>89</v>
      </c>
      <c r="Z524">
        <v>1</v>
      </c>
      <c r="AA524">
        <f>IF(AND(D524&gt;=配装计算器!$I$29,D524&lt;=配装计算器!$I$30),1,0)</f>
        <v>1</v>
      </c>
      <c r="AB524">
        <f t="shared" si="182"/>
        <v>1</v>
      </c>
      <c r="AC524">
        <f t="shared" si="183"/>
        <v>0</v>
      </c>
      <c r="AD524">
        <f t="shared" si="184"/>
        <v>0</v>
      </c>
      <c r="AE524">
        <f t="shared" si="185"/>
        <v>0</v>
      </c>
      <c r="AF524">
        <f t="shared" si="186"/>
        <v>1</v>
      </c>
      <c r="AG524">
        <f t="shared" si="187"/>
        <v>0</v>
      </c>
      <c r="AH524">
        <f t="shared" si="188"/>
        <v>0</v>
      </c>
      <c r="AI524">
        <f t="shared" si="189"/>
        <v>1</v>
      </c>
      <c r="AJ524">
        <f t="shared" si="190"/>
        <v>1</v>
      </c>
      <c r="AK524">
        <f>SUM(AJ$2:$AJ524)</f>
        <v>523</v>
      </c>
    </row>
    <row r="525" spans="1:37">
      <c r="A525" t="s">
        <v>1471</v>
      </c>
      <c r="B525" t="s">
        <v>1655</v>
      </c>
      <c r="C525" t="s">
        <v>1656</v>
      </c>
      <c r="D525">
        <v>41400</v>
      </c>
      <c r="E525" t="s">
        <v>1657</v>
      </c>
      <c r="F525">
        <v>15910</v>
      </c>
      <c r="G525">
        <v>0</v>
      </c>
      <c r="I525">
        <v>5699</v>
      </c>
      <c r="J525">
        <v>10848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R525">
        <v>0</v>
      </c>
      <c r="S525">
        <v>0</v>
      </c>
      <c r="T525" t="s">
        <v>729</v>
      </c>
      <c r="U525">
        <v>6</v>
      </c>
      <c r="V525" t="s">
        <v>87</v>
      </c>
      <c r="W525" t="s">
        <v>185</v>
      </c>
      <c r="X525" t="s">
        <v>108</v>
      </c>
      <c r="Y525" t="s">
        <v>89</v>
      </c>
      <c r="Z525">
        <v>1</v>
      </c>
      <c r="AA525">
        <f>IF(AND(D525&gt;=配装计算器!$I$29,D525&lt;=配装计算器!$I$30),1,0)</f>
        <v>1</v>
      </c>
      <c r="AB525">
        <f t="shared" si="182"/>
        <v>1</v>
      </c>
      <c r="AC525">
        <f t="shared" si="183"/>
        <v>0</v>
      </c>
      <c r="AD525">
        <f t="shared" si="184"/>
        <v>0</v>
      </c>
      <c r="AE525">
        <f t="shared" si="185"/>
        <v>0</v>
      </c>
      <c r="AF525">
        <f t="shared" si="186"/>
        <v>0</v>
      </c>
      <c r="AG525">
        <f t="shared" si="187"/>
        <v>0</v>
      </c>
      <c r="AH525">
        <f t="shared" si="188"/>
        <v>0</v>
      </c>
      <c r="AI525">
        <f t="shared" si="189"/>
        <v>1</v>
      </c>
      <c r="AJ525">
        <f t="shared" si="190"/>
        <v>1</v>
      </c>
      <c r="AK525">
        <f>SUM(AJ$2:$AJ525)</f>
        <v>524</v>
      </c>
    </row>
    <row r="526" spans="1:37">
      <c r="A526" t="s">
        <v>1471</v>
      </c>
      <c r="B526" t="s">
        <v>1658</v>
      </c>
      <c r="C526" t="s">
        <v>1659</v>
      </c>
      <c r="D526">
        <v>41400</v>
      </c>
      <c r="E526" t="s">
        <v>1660</v>
      </c>
      <c r="F526">
        <v>15910</v>
      </c>
      <c r="G526">
        <v>0</v>
      </c>
      <c r="I526">
        <v>3931</v>
      </c>
      <c r="J526">
        <v>0</v>
      </c>
      <c r="K526">
        <v>0</v>
      </c>
      <c r="L526">
        <v>0</v>
      </c>
      <c r="M526">
        <v>20611</v>
      </c>
      <c r="N526">
        <v>10848</v>
      </c>
      <c r="O526">
        <v>0</v>
      </c>
      <c r="P526">
        <v>0</v>
      </c>
      <c r="R526">
        <v>0</v>
      </c>
      <c r="S526">
        <v>0</v>
      </c>
      <c r="T526" t="s">
        <v>292</v>
      </c>
      <c r="U526">
        <v>6</v>
      </c>
      <c r="V526" t="s">
        <v>87</v>
      </c>
      <c r="W526" t="s">
        <v>154</v>
      </c>
      <c r="X526" t="s">
        <v>108</v>
      </c>
      <c r="Y526" t="s">
        <v>89</v>
      </c>
      <c r="Z526">
        <v>1</v>
      </c>
      <c r="AA526">
        <f>IF(AND(D526&gt;=配装计算器!$I$29,D526&lt;=配装计算器!$I$30),1,0)</f>
        <v>1</v>
      </c>
      <c r="AB526">
        <f t="shared" si="182"/>
        <v>0</v>
      </c>
      <c r="AC526">
        <f t="shared" si="183"/>
        <v>0</v>
      </c>
      <c r="AD526">
        <f t="shared" si="184"/>
        <v>0</v>
      </c>
      <c r="AE526">
        <f t="shared" si="185"/>
        <v>1</v>
      </c>
      <c r="AF526">
        <f t="shared" si="186"/>
        <v>1</v>
      </c>
      <c r="AG526">
        <f t="shared" si="187"/>
        <v>0</v>
      </c>
      <c r="AH526">
        <f t="shared" si="188"/>
        <v>0</v>
      </c>
      <c r="AI526">
        <f t="shared" si="189"/>
        <v>1</v>
      </c>
      <c r="AJ526">
        <f t="shared" si="190"/>
        <v>1</v>
      </c>
      <c r="AK526">
        <f>SUM(AJ$2:$AJ526)</f>
        <v>525</v>
      </c>
    </row>
    <row r="527" spans="1:37">
      <c r="A527" t="s">
        <v>1471</v>
      </c>
      <c r="B527" t="s">
        <v>1661</v>
      </c>
      <c r="C527" t="s">
        <v>1662</v>
      </c>
      <c r="D527">
        <v>41400</v>
      </c>
      <c r="E527" t="s">
        <v>1663</v>
      </c>
      <c r="F527">
        <v>15910</v>
      </c>
      <c r="G527">
        <v>0</v>
      </c>
      <c r="I527">
        <v>5699</v>
      </c>
      <c r="J527">
        <v>0</v>
      </c>
      <c r="K527">
        <v>0</v>
      </c>
      <c r="L527">
        <v>7955</v>
      </c>
      <c r="M527">
        <v>7955</v>
      </c>
      <c r="N527">
        <v>7955</v>
      </c>
      <c r="O527">
        <v>0</v>
      </c>
      <c r="P527">
        <v>0</v>
      </c>
      <c r="R527">
        <v>0</v>
      </c>
      <c r="S527">
        <v>0</v>
      </c>
      <c r="T527" t="s">
        <v>296</v>
      </c>
      <c r="U527">
        <v>6</v>
      </c>
      <c r="V527" t="s">
        <v>87</v>
      </c>
      <c r="W527" t="s">
        <v>135</v>
      </c>
      <c r="X527" t="s">
        <v>108</v>
      </c>
      <c r="Y527" t="s">
        <v>89</v>
      </c>
      <c r="Z527">
        <v>1</v>
      </c>
      <c r="AA527">
        <f>IF(AND(D527&gt;=配装计算器!$I$29,D527&lt;=配装计算器!$I$30),1,0)</f>
        <v>1</v>
      </c>
      <c r="AB527">
        <f t="shared" si="182"/>
        <v>0</v>
      </c>
      <c r="AC527">
        <f t="shared" si="183"/>
        <v>0</v>
      </c>
      <c r="AD527">
        <f t="shared" si="184"/>
        <v>1</v>
      </c>
      <c r="AE527">
        <f t="shared" si="185"/>
        <v>1</v>
      </c>
      <c r="AF527">
        <f t="shared" si="186"/>
        <v>1</v>
      </c>
      <c r="AG527">
        <f t="shared" si="187"/>
        <v>0</v>
      </c>
      <c r="AH527">
        <f t="shared" si="188"/>
        <v>0</v>
      </c>
      <c r="AI527">
        <f t="shared" si="189"/>
        <v>1</v>
      </c>
      <c r="AJ527">
        <f t="shared" si="190"/>
        <v>1</v>
      </c>
      <c r="AK527">
        <f>SUM(AJ$2:$AJ527)</f>
        <v>526</v>
      </c>
    </row>
    <row r="528" spans="1:37">
      <c r="A528" t="s">
        <v>1471</v>
      </c>
      <c r="B528" t="s">
        <v>1664</v>
      </c>
      <c r="C528" t="s">
        <v>1665</v>
      </c>
      <c r="D528">
        <v>41400</v>
      </c>
      <c r="E528" t="s">
        <v>1666</v>
      </c>
      <c r="F528">
        <v>15910</v>
      </c>
      <c r="G528">
        <v>0</v>
      </c>
      <c r="I528">
        <v>6682</v>
      </c>
      <c r="J528">
        <v>0</v>
      </c>
      <c r="K528">
        <v>0</v>
      </c>
      <c r="L528">
        <v>0</v>
      </c>
      <c r="M528">
        <v>0</v>
      </c>
      <c r="N528">
        <v>18803</v>
      </c>
      <c r="O528">
        <v>0</v>
      </c>
      <c r="P528">
        <v>0</v>
      </c>
      <c r="R528">
        <v>0</v>
      </c>
      <c r="S528">
        <v>0</v>
      </c>
      <c r="T528" t="s">
        <v>300</v>
      </c>
      <c r="U528">
        <v>6</v>
      </c>
      <c r="V528" t="s">
        <v>87</v>
      </c>
      <c r="W528" t="s">
        <v>135</v>
      </c>
      <c r="X528" t="s">
        <v>108</v>
      </c>
      <c r="Y528" t="s">
        <v>89</v>
      </c>
      <c r="Z528">
        <v>1</v>
      </c>
      <c r="AA528">
        <f>IF(AND(D528&gt;=配装计算器!$I$29,D528&lt;=配装计算器!$I$30),1,0)</f>
        <v>1</v>
      </c>
      <c r="AB528">
        <f t="shared" si="182"/>
        <v>0</v>
      </c>
      <c r="AC528">
        <f t="shared" si="183"/>
        <v>0</v>
      </c>
      <c r="AD528">
        <f t="shared" si="184"/>
        <v>0</v>
      </c>
      <c r="AE528">
        <f t="shared" si="185"/>
        <v>0</v>
      </c>
      <c r="AF528">
        <f t="shared" si="186"/>
        <v>1</v>
      </c>
      <c r="AG528">
        <f t="shared" si="187"/>
        <v>0</v>
      </c>
      <c r="AH528">
        <f t="shared" si="188"/>
        <v>0</v>
      </c>
      <c r="AI528">
        <f t="shared" si="189"/>
        <v>1</v>
      </c>
      <c r="AJ528">
        <f t="shared" si="190"/>
        <v>1</v>
      </c>
      <c r="AK528">
        <f>SUM(AJ$2:$AJ528)</f>
        <v>527</v>
      </c>
    </row>
    <row r="529" spans="1:37">
      <c r="A529" t="s">
        <v>1471</v>
      </c>
      <c r="B529" t="s">
        <v>1667</v>
      </c>
      <c r="C529" t="s">
        <v>1668</v>
      </c>
      <c r="D529">
        <v>41400</v>
      </c>
      <c r="E529" t="s">
        <v>1669</v>
      </c>
      <c r="F529">
        <v>15910</v>
      </c>
      <c r="G529">
        <v>0</v>
      </c>
      <c r="I529">
        <v>6702</v>
      </c>
      <c r="J529">
        <v>0</v>
      </c>
      <c r="K529">
        <v>0</v>
      </c>
      <c r="L529">
        <v>0</v>
      </c>
      <c r="M529">
        <v>0</v>
      </c>
      <c r="N529">
        <v>11209</v>
      </c>
      <c r="O529">
        <v>8967</v>
      </c>
      <c r="P529">
        <v>0</v>
      </c>
      <c r="R529">
        <v>0</v>
      </c>
      <c r="S529">
        <v>0</v>
      </c>
      <c r="T529" t="s">
        <v>304</v>
      </c>
      <c r="U529">
        <v>6</v>
      </c>
      <c r="V529" t="s">
        <v>87</v>
      </c>
      <c r="W529" t="s">
        <v>94</v>
      </c>
      <c r="X529" t="s">
        <v>154</v>
      </c>
      <c r="Y529" t="s">
        <v>89</v>
      </c>
      <c r="Z529">
        <v>1</v>
      </c>
      <c r="AA529">
        <f>IF(AND(D529&gt;=配装计算器!$I$29,D529&lt;=配装计算器!$I$30),1,0)</f>
        <v>1</v>
      </c>
      <c r="AB529">
        <f t="shared" si="182"/>
        <v>0</v>
      </c>
      <c r="AC529">
        <f t="shared" si="183"/>
        <v>0</v>
      </c>
      <c r="AD529">
        <f t="shared" si="184"/>
        <v>0</v>
      </c>
      <c r="AE529">
        <f t="shared" si="185"/>
        <v>0</v>
      </c>
      <c r="AF529">
        <f t="shared" si="186"/>
        <v>1</v>
      </c>
      <c r="AG529">
        <f t="shared" si="187"/>
        <v>1</v>
      </c>
      <c r="AH529">
        <f t="shared" si="188"/>
        <v>0</v>
      </c>
      <c r="AI529">
        <f t="shared" si="189"/>
        <v>1</v>
      </c>
      <c r="AJ529">
        <f t="shared" si="190"/>
        <v>1</v>
      </c>
      <c r="AK529">
        <f>SUM(AJ$2:$AJ529)</f>
        <v>528</v>
      </c>
    </row>
    <row r="530" spans="1:37">
      <c r="A530" t="s">
        <v>1471</v>
      </c>
      <c r="B530" t="s">
        <v>1670</v>
      </c>
      <c r="C530" t="s">
        <v>1671</v>
      </c>
      <c r="D530">
        <v>41400</v>
      </c>
      <c r="E530" t="s">
        <v>1672</v>
      </c>
      <c r="F530">
        <v>15910</v>
      </c>
      <c r="G530">
        <v>0</v>
      </c>
      <c r="I530">
        <v>4717</v>
      </c>
      <c r="J530">
        <v>0</v>
      </c>
      <c r="K530">
        <v>0</v>
      </c>
      <c r="L530">
        <v>10125</v>
      </c>
      <c r="M530">
        <v>0</v>
      </c>
      <c r="N530">
        <v>15910</v>
      </c>
      <c r="O530">
        <v>0</v>
      </c>
      <c r="P530">
        <v>0</v>
      </c>
      <c r="R530">
        <v>0</v>
      </c>
      <c r="S530">
        <v>0</v>
      </c>
      <c r="T530" t="s">
        <v>308</v>
      </c>
      <c r="U530">
        <v>6</v>
      </c>
      <c r="V530" t="s">
        <v>87</v>
      </c>
      <c r="W530" t="s">
        <v>135</v>
      </c>
      <c r="X530" t="s">
        <v>123</v>
      </c>
      <c r="Y530" t="s">
        <v>89</v>
      </c>
      <c r="Z530">
        <v>1</v>
      </c>
      <c r="AA530">
        <f>IF(AND(D530&gt;=配装计算器!$I$29,D530&lt;=配装计算器!$I$30),1,0)</f>
        <v>1</v>
      </c>
      <c r="AB530">
        <f t="shared" si="182"/>
        <v>0</v>
      </c>
      <c r="AC530">
        <f t="shared" si="183"/>
        <v>0</v>
      </c>
      <c r="AD530">
        <f t="shared" si="184"/>
        <v>1</v>
      </c>
      <c r="AE530">
        <f t="shared" si="185"/>
        <v>0</v>
      </c>
      <c r="AF530">
        <f t="shared" si="186"/>
        <v>1</v>
      </c>
      <c r="AG530">
        <f t="shared" si="187"/>
        <v>0</v>
      </c>
      <c r="AH530">
        <f t="shared" si="188"/>
        <v>0</v>
      </c>
      <c r="AI530">
        <f t="shared" si="189"/>
        <v>1</v>
      </c>
      <c r="AJ530">
        <f t="shared" si="190"/>
        <v>1</v>
      </c>
      <c r="AK530">
        <f>SUM(AJ$2:$AJ530)</f>
        <v>529</v>
      </c>
    </row>
    <row r="531" spans="1:37">
      <c r="A531" t="s">
        <v>1471</v>
      </c>
      <c r="B531" t="s">
        <v>1673</v>
      </c>
      <c r="C531" t="s">
        <v>1674</v>
      </c>
      <c r="D531">
        <v>41400</v>
      </c>
      <c r="E531" t="s">
        <v>1675</v>
      </c>
      <c r="F531">
        <v>15910</v>
      </c>
      <c r="G531">
        <v>0</v>
      </c>
      <c r="I531">
        <v>5699</v>
      </c>
      <c r="J531">
        <v>7955</v>
      </c>
      <c r="K531">
        <v>0</v>
      </c>
      <c r="L531">
        <v>0</v>
      </c>
      <c r="M531">
        <v>7955</v>
      </c>
      <c r="N531">
        <v>7955</v>
      </c>
      <c r="O531">
        <v>0</v>
      </c>
      <c r="P531">
        <v>0</v>
      </c>
      <c r="R531">
        <v>0</v>
      </c>
      <c r="S531">
        <v>0</v>
      </c>
      <c r="T531" t="s">
        <v>312</v>
      </c>
      <c r="U531">
        <v>6</v>
      </c>
      <c r="V531" t="s">
        <v>87</v>
      </c>
      <c r="W531" t="s">
        <v>94</v>
      </c>
      <c r="X531" t="s">
        <v>108</v>
      </c>
      <c r="Y531" t="s">
        <v>89</v>
      </c>
      <c r="Z531">
        <v>1</v>
      </c>
      <c r="AA531">
        <f>IF(AND(D531&gt;=配装计算器!$I$29,D531&lt;=配装计算器!$I$30),1,0)</f>
        <v>1</v>
      </c>
      <c r="AB531">
        <f t="shared" si="182"/>
        <v>1</v>
      </c>
      <c r="AC531">
        <f t="shared" si="183"/>
        <v>0</v>
      </c>
      <c r="AD531">
        <f t="shared" si="184"/>
        <v>0</v>
      </c>
      <c r="AE531">
        <f t="shared" si="185"/>
        <v>1</v>
      </c>
      <c r="AF531">
        <f t="shared" si="186"/>
        <v>1</v>
      </c>
      <c r="AG531">
        <f t="shared" si="187"/>
        <v>0</v>
      </c>
      <c r="AH531">
        <f t="shared" si="188"/>
        <v>0</v>
      </c>
      <c r="AI531">
        <f t="shared" si="189"/>
        <v>1</v>
      </c>
      <c r="AJ531">
        <f t="shared" si="190"/>
        <v>1</v>
      </c>
      <c r="AK531">
        <f>SUM(AJ$2:$AJ531)</f>
        <v>530</v>
      </c>
    </row>
    <row r="532" spans="1:37">
      <c r="A532" t="s">
        <v>1471</v>
      </c>
      <c r="B532" t="s">
        <v>1676</v>
      </c>
      <c r="C532" t="s">
        <v>1677</v>
      </c>
      <c r="D532">
        <v>41400</v>
      </c>
      <c r="E532" t="s">
        <v>1678</v>
      </c>
      <c r="F532">
        <v>15910</v>
      </c>
      <c r="G532">
        <v>0</v>
      </c>
      <c r="I532">
        <v>4717</v>
      </c>
      <c r="J532">
        <v>10125</v>
      </c>
      <c r="K532">
        <v>0</v>
      </c>
      <c r="L532">
        <v>0</v>
      </c>
      <c r="M532">
        <v>0</v>
      </c>
      <c r="N532">
        <v>15910</v>
      </c>
      <c r="O532">
        <v>0</v>
      </c>
      <c r="P532">
        <v>0</v>
      </c>
      <c r="R532">
        <v>0</v>
      </c>
      <c r="S532">
        <v>0</v>
      </c>
      <c r="T532" t="s">
        <v>316</v>
      </c>
      <c r="U532">
        <v>6</v>
      </c>
      <c r="V532" t="s">
        <v>87</v>
      </c>
      <c r="W532" t="s">
        <v>123</v>
      </c>
      <c r="X532" t="s">
        <v>108</v>
      </c>
      <c r="Y532" t="s">
        <v>89</v>
      </c>
      <c r="Z532">
        <v>1</v>
      </c>
      <c r="AA532">
        <f>IF(AND(D532&gt;=配装计算器!$I$29,D532&lt;=配装计算器!$I$30),1,0)</f>
        <v>1</v>
      </c>
      <c r="AB532">
        <f t="shared" si="182"/>
        <v>1</v>
      </c>
      <c r="AC532">
        <f t="shared" si="183"/>
        <v>0</v>
      </c>
      <c r="AD532">
        <f t="shared" si="184"/>
        <v>0</v>
      </c>
      <c r="AE532">
        <f t="shared" si="185"/>
        <v>0</v>
      </c>
      <c r="AF532">
        <f t="shared" si="186"/>
        <v>1</v>
      </c>
      <c r="AG532">
        <f t="shared" si="187"/>
        <v>0</v>
      </c>
      <c r="AH532">
        <f t="shared" si="188"/>
        <v>0</v>
      </c>
      <c r="AI532">
        <f t="shared" si="189"/>
        <v>1</v>
      </c>
      <c r="AJ532">
        <f t="shared" si="190"/>
        <v>1</v>
      </c>
      <c r="AK532">
        <f>SUM(AJ$2:$AJ532)</f>
        <v>531</v>
      </c>
    </row>
    <row r="533" spans="1:37">
      <c r="A533" t="s">
        <v>1471</v>
      </c>
      <c r="B533" t="s">
        <v>1679</v>
      </c>
      <c r="C533" t="s">
        <v>1680</v>
      </c>
      <c r="D533">
        <v>41400</v>
      </c>
      <c r="E533" t="s">
        <v>1681</v>
      </c>
      <c r="F533">
        <v>15910</v>
      </c>
      <c r="G533">
        <v>0</v>
      </c>
      <c r="I533">
        <v>5699</v>
      </c>
      <c r="J533">
        <v>7955</v>
      </c>
      <c r="K533">
        <v>0</v>
      </c>
      <c r="L533">
        <v>7955</v>
      </c>
      <c r="M533">
        <v>0</v>
      </c>
      <c r="N533">
        <v>7955</v>
      </c>
      <c r="O533">
        <v>0</v>
      </c>
      <c r="P533">
        <v>0</v>
      </c>
      <c r="R533">
        <v>0</v>
      </c>
      <c r="S533">
        <v>0</v>
      </c>
      <c r="T533" t="s">
        <v>320</v>
      </c>
      <c r="U533">
        <v>6</v>
      </c>
      <c r="V533" t="s">
        <v>87</v>
      </c>
      <c r="W533" t="s">
        <v>185</v>
      </c>
      <c r="X533" t="s">
        <v>123</v>
      </c>
      <c r="Y533" t="s">
        <v>89</v>
      </c>
      <c r="Z533">
        <v>1</v>
      </c>
      <c r="AA533">
        <f>IF(AND(D533&gt;=配装计算器!$I$29,D533&lt;=配装计算器!$I$30),1,0)</f>
        <v>1</v>
      </c>
      <c r="AB533">
        <f t="shared" si="182"/>
        <v>1</v>
      </c>
      <c r="AC533">
        <f t="shared" si="183"/>
        <v>0</v>
      </c>
      <c r="AD533">
        <f t="shared" si="184"/>
        <v>1</v>
      </c>
      <c r="AE533">
        <f t="shared" si="185"/>
        <v>0</v>
      </c>
      <c r="AF533">
        <f t="shared" si="186"/>
        <v>1</v>
      </c>
      <c r="AG533">
        <f t="shared" si="187"/>
        <v>0</v>
      </c>
      <c r="AH533">
        <f t="shared" si="188"/>
        <v>0</v>
      </c>
      <c r="AI533">
        <f t="shared" si="189"/>
        <v>1</v>
      </c>
      <c r="AJ533">
        <f t="shared" si="190"/>
        <v>1</v>
      </c>
      <c r="AK533">
        <f>SUM(AJ$2:$AJ533)</f>
        <v>532</v>
      </c>
    </row>
    <row r="534" spans="1:37">
      <c r="A534" t="s">
        <v>1471</v>
      </c>
      <c r="B534" t="s">
        <v>1682</v>
      </c>
      <c r="C534" t="s">
        <v>1683</v>
      </c>
      <c r="D534">
        <v>42100</v>
      </c>
      <c r="E534" t="s">
        <v>1684</v>
      </c>
      <c r="F534">
        <v>16179</v>
      </c>
      <c r="G534">
        <v>1320</v>
      </c>
      <c r="I534">
        <v>2998</v>
      </c>
      <c r="J534">
        <v>11031</v>
      </c>
      <c r="K534">
        <v>0</v>
      </c>
      <c r="L534">
        <v>0</v>
      </c>
      <c r="M534">
        <v>0</v>
      </c>
      <c r="N534">
        <v>8825</v>
      </c>
      <c r="O534">
        <v>0</v>
      </c>
      <c r="P534">
        <v>0</v>
      </c>
      <c r="R534">
        <v>0</v>
      </c>
      <c r="S534">
        <v>0</v>
      </c>
      <c r="T534" t="s">
        <v>102</v>
      </c>
      <c r="U534">
        <v>6</v>
      </c>
      <c r="V534" t="s">
        <v>327</v>
      </c>
      <c r="W534" t="s">
        <v>94</v>
      </c>
      <c r="X534" t="s">
        <v>123</v>
      </c>
      <c r="Y534" t="s">
        <v>89</v>
      </c>
      <c r="Z534">
        <v>1</v>
      </c>
      <c r="AA534">
        <f>IF(AND(D534&gt;=配装计算器!$I$29,D534&lt;=配装计算器!$I$30),1,0)</f>
        <v>1</v>
      </c>
      <c r="AB534">
        <f t="shared" si="182"/>
        <v>1</v>
      </c>
      <c r="AC534">
        <f t="shared" si="183"/>
        <v>0</v>
      </c>
      <c r="AD534">
        <f t="shared" si="184"/>
        <v>0</v>
      </c>
      <c r="AE534">
        <f t="shared" si="185"/>
        <v>0</v>
      </c>
      <c r="AF534">
        <f t="shared" si="186"/>
        <v>1</v>
      </c>
      <c r="AG534">
        <f t="shared" si="187"/>
        <v>0</v>
      </c>
      <c r="AH534">
        <f t="shared" si="188"/>
        <v>0</v>
      </c>
      <c r="AI534">
        <f t="shared" si="189"/>
        <v>0</v>
      </c>
      <c r="AJ534">
        <f t="shared" si="190"/>
        <v>1</v>
      </c>
      <c r="AK534">
        <f>SUM(AJ$2:$AJ534)</f>
        <v>533</v>
      </c>
    </row>
    <row r="535" spans="1:37">
      <c r="A535" t="s">
        <v>1471</v>
      </c>
      <c r="B535" t="s">
        <v>1685</v>
      </c>
      <c r="C535" t="s">
        <v>1686</v>
      </c>
      <c r="D535">
        <v>42400</v>
      </c>
      <c r="E535" t="s">
        <v>1687</v>
      </c>
      <c r="F535">
        <v>16294</v>
      </c>
      <c r="G535">
        <v>1234</v>
      </c>
      <c r="I535">
        <v>2013</v>
      </c>
      <c r="J535">
        <v>11110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4444</v>
      </c>
      <c r="R535">
        <v>0</v>
      </c>
      <c r="S535">
        <v>0</v>
      </c>
      <c r="T535" t="s">
        <v>93</v>
      </c>
      <c r="U535">
        <v>6</v>
      </c>
      <c r="V535" t="s">
        <v>145</v>
      </c>
      <c r="W535" t="s">
        <v>88</v>
      </c>
      <c r="X535" t="s">
        <v>233</v>
      </c>
      <c r="Y535" t="s">
        <v>89</v>
      </c>
      <c r="Z535">
        <v>2</v>
      </c>
      <c r="AA535">
        <f>IF(AND(D535&gt;=配装计算器!$I$29,D535&lt;=配装计算器!$I$30),1,0)</f>
        <v>1</v>
      </c>
      <c r="AB535">
        <f t="shared" si="182"/>
        <v>1</v>
      </c>
      <c r="AC535">
        <f t="shared" si="183"/>
        <v>0</v>
      </c>
      <c r="AD535">
        <f t="shared" si="184"/>
        <v>0</v>
      </c>
      <c r="AE535">
        <f t="shared" si="185"/>
        <v>0</v>
      </c>
      <c r="AF535">
        <f t="shared" si="186"/>
        <v>0</v>
      </c>
      <c r="AG535">
        <f t="shared" si="187"/>
        <v>0</v>
      </c>
      <c r="AH535">
        <f t="shared" si="188"/>
        <v>1</v>
      </c>
      <c r="AI535">
        <f t="shared" si="189"/>
        <v>0</v>
      </c>
      <c r="AJ535">
        <f t="shared" si="190"/>
        <v>1</v>
      </c>
      <c r="AK535">
        <f>SUM(AJ$2:$AJ535)</f>
        <v>534</v>
      </c>
    </row>
    <row r="536" spans="1:37">
      <c r="A536" t="s">
        <v>1688</v>
      </c>
      <c r="B536" t="s">
        <v>1689</v>
      </c>
      <c r="C536" t="s">
        <v>1690</v>
      </c>
      <c r="D536">
        <v>30200</v>
      </c>
      <c r="E536" t="s">
        <v>1691</v>
      </c>
      <c r="F536">
        <v>8290</v>
      </c>
      <c r="G536">
        <v>628</v>
      </c>
      <c r="I536">
        <v>1024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5652</v>
      </c>
      <c r="P536">
        <v>2261</v>
      </c>
      <c r="R536">
        <v>0</v>
      </c>
      <c r="S536">
        <v>0</v>
      </c>
      <c r="T536" t="s">
        <v>228</v>
      </c>
      <c r="U536">
        <v>6</v>
      </c>
      <c r="V536" t="s">
        <v>87</v>
      </c>
      <c r="W536" t="s">
        <v>233</v>
      </c>
      <c r="X536" t="s">
        <v>233</v>
      </c>
      <c r="Y536" t="s">
        <v>89</v>
      </c>
      <c r="Z536">
        <v>2</v>
      </c>
      <c r="AA536">
        <f>IF(AND(D536&gt;=配装计算器!$I$29,D536&lt;=配装计算器!$I$30),1,0)</f>
        <v>1</v>
      </c>
      <c r="AB536">
        <f t="shared" si="182"/>
        <v>0</v>
      </c>
      <c r="AC536">
        <f t="shared" si="183"/>
        <v>0</v>
      </c>
      <c r="AD536">
        <f t="shared" si="184"/>
        <v>0</v>
      </c>
      <c r="AE536">
        <f t="shared" si="185"/>
        <v>0</v>
      </c>
      <c r="AF536">
        <f t="shared" si="186"/>
        <v>0</v>
      </c>
      <c r="AG536">
        <f t="shared" si="187"/>
        <v>1</v>
      </c>
      <c r="AH536">
        <f t="shared" si="188"/>
        <v>1</v>
      </c>
      <c r="AI536">
        <f t="shared" si="189"/>
        <v>0</v>
      </c>
      <c r="AJ536">
        <f t="shared" si="190"/>
        <v>1</v>
      </c>
      <c r="AK536">
        <f>SUM(AJ$2:$AJ536)</f>
        <v>535</v>
      </c>
    </row>
    <row r="537" spans="1:37">
      <c r="A537" t="s">
        <v>1688</v>
      </c>
      <c r="B537" t="s">
        <v>1692</v>
      </c>
      <c r="C537" t="s">
        <v>1693</v>
      </c>
      <c r="D537">
        <v>30200</v>
      </c>
      <c r="E537" t="s">
        <v>1694</v>
      </c>
      <c r="F537">
        <v>8290</v>
      </c>
      <c r="G537">
        <v>628</v>
      </c>
      <c r="I537">
        <v>1024</v>
      </c>
      <c r="J537">
        <v>5652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2261</v>
      </c>
      <c r="R537">
        <v>0</v>
      </c>
      <c r="S537">
        <v>0</v>
      </c>
      <c r="T537" t="s">
        <v>93</v>
      </c>
      <c r="U537">
        <v>6</v>
      </c>
      <c r="V537" t="s">
        <v>87</v>
      </c>
      <c r="W537" t="s">
        <v>233</v>
      </c>
      <c r="X537" t="s">
        <v>233</v>
      </c>
      <c r="Y537" t="s">
        <v>89</v>
      </c>
      <c r="Z537">
        <v>2</v>
      </c>
      <c r="AA537">
        <f>IF(AND(D537&gt;=配装计算器!$I$29,D537&lt;=配装计算器!$I$30),1,0)</f>
        <v>1</v>
      </c>
      <c r="AB537">
        <f t="shared" si="182"/>
        <v>1</v>
      </c>
      <c r="AC537">
        <f t="shared" si="183"/>
        <v>0</v>
      </c>
      <c r="AD537">
        <f t="shared" si="184"/>
        <v>0</v>
      </c>
      <c r="AE537">
        <f t="shared" si="185"/>
        <v>0</v>
      </c>
      <c r="AF537">
        <f t="shared" si="186"/>
        <v>0</v>
      </c>
      <c r="AG537">
        <f t="shared" si="187"/>
        <v>0</v>
      </c>
      <c r="AH537">
        <f t="shared" si="188"/>
        <v>1</v>
      </c>
      <c r="AI537">
        <f t="shared" si="189"/>
        <v>0</v>
      </c>
      <c r="AJ537">
        <f t="shared" si="190"/>
        <v>1</v>
      </c>
      <c r="AK537">
        <f>SUM(AJ$2:$AJ537)</f>
        <v>536</v>
      </c>
    </row>
    <row r="538" spans="1:37">
      <c r="A538" t="s">
        <v>1688</v>
      </c>
      <c r="B538" t="s">
        <v>1695</v>
      </c>
      <c r="C538" t="s">
        <v>1696</v>
      </c>
      <c r="D538">
        <v>30200</v>
      </c>
      <c r="E538" t="s">
        <v>1697</v>
      </c>
      <c r="F538">
        <v>8290</v>
      </c>
      <c r="G538">
        <v>628</v>
      </c>
      <c r="I538">
        <v>1024</v>
      </c>
      <c r="J538">
        <v>0</v>
      </c>
      <c r="K538">
        <v>0</v>
      </c>
      <c r="L538">
        <v>5652</v>
      </c>
      <c r="M538">
        <v>0</v>
      </c>
      <c r="N538">
        <v>0</v>
      </c>
      <c r="O538">
        <v>0</v>
      </c>
      <c r="P538">
        <v>2261</v>
      </c>
      <c r="R538">
        <v>0</v>
      </c>
      <c r="S538">
        <v>0</v>
      </c>
      <c r="T538" t="s">
        <v>86</v>
      </c>
      <c r="U538">
        <v>6</v>
      </c>
      <c r="V538" t="s">
        <v>98</v>
      </c>
      <c r="W538" t="s">
        <v>233</v>
      </c>
      <c r="X538" t="s">
        <v>233</v>
      </c>
      <c r="Y538" t="s">
        <v>89</v>
      </c>
      <c r="Z538">
        <v>2</v>
      </c>
      <c r="AA538">
        <f>IF(AND(D538&gt;=配装计算器!$I$29,D538&lt;=配装计算器!$I$30),1,0)</f>
        <v>1</v>
      </c>
      <c r="AB538">
        <f t="shared" si="182"/>
        <v>0</v>
      </c>
      <c r="AC538">
        <f t="shared" si="183"/>
        <v>0</v>
      </c>
      <c r="AD538">
        <f t="shared" si="184"/>
        <v>1</v>
      </c>
      <c r="AE538">
        <f t="shared" si="185"/>
        <v>0</v>
      </c>
      <c r="AF538">
        <f t="shared" si="186"/>
        <v>0</v>
      </c>
      <c r="AG538">
        <f t="shared" si="187"/>
        <v>0</v>
      </c>
      <c r="AH538">
        <f t="shared" si="188"/>
        <v>1</v>
      </c>
      <c r="AI538">
        <f t="shared" si="189"/>
        <v>0</v>
      </c>
      <c r="AJ538">
        <f t="shared" si="190"/>
        <v>1</v>
      </c>
      <c r="AK538">
        <f>SUM(AJ$2:$AJ538)</f>
        <v>537</v>
      </c>
    </row>
    <row r="539" spans="1:37">
      <c r="A539" t="s">
        <v>1688</v>
      </c>
      <c r="B539" t="s">
        <v>1698</v>
      </c>
      <c r="C539" t="s">
        <v>1699</v>
      </c>
      <c r="D539">
        <v>30200</v>
      </c>
      <c r="E539" t="s">
        <v>1700</v>
      </c>
      <c r="F539">
        <v>8290</v>
      </c>
      <c r="G539">
        <v>676</v>
      </c>
      <c r="I539">
        <v>1536</v>
      </c>
      <c r="J539">
        <v>0</v>
      </c>
      <c r="K539">
        <v>0</v>
      </c>
      <c r="L539">
        <v>0</v>
      </c>
      <c r="M539">
        <v>5652</v>
      </c>
      <c r="N539">
        <v>4522</v>
      </c>
      <c r="O539">
        <v>0</v>
      </c>
      <c r="P539">
        <v>0</v>
      </c>
      <c r="R539">
        <v>0</v>
      </c>
      <c r="S539">
        <v>0</v>
      </c>
      <c r="T539" t="s">
        <v>107</v>
      </c>
      <c r="U539">
        <v>6</v>
      </c>
      <c r="V539" t="s">
        <v>87</v>
      </c>
      <c r="W539" t="s">
        <v>185</v>
      </c>
      <c r="X539" t="s">
        <v>185</v>
      </c>
      <c r="Y539" t="s">
        <v>89</v>
      </c>
      <c r="Z539">
        <v>1</v>
      </c>
      <c r="AA539">
        <f>IF(AND(D539&gt;=配装计算器!$I$29,D539&lt;=配装计算器!$I$30),1,0)</f>
        <v>1</v>
      </c>
      <c r="AB539">
        <f t="shared" si="182"/>
        <v>0</v>
      </c>
      <c r="AC539">
        <f t="shared" si="183"/>
        <v>0</v>
      </c>
      <c r="AD539">
        <f t="shared" si="184"/>
        <v>0</v>
      </c>
      <c r="AE539">
        <f t="shared" si="185"/>
        <v>1</v>
      </c>
      <c r="AF539">
        <f t="shared" si="186"/>
        <v>1</v>
      </c>
      <c r="AG539">
        <f t="shared" si="187"/>
        <v>0</v>
      </c>
      <c r="AH539">
        <f t="shared" si="188"/>
        <v>0</v>
      </c>
      <c r="AI539">
        <f t="shared" si="189"/>
        <v>0</v>
      </c>
      <c r="AJ539">
        <f t="shared" si="190"/>
        <v>1</v>
      </c>
      <c r="AK539">
        <f>SUM(AJ$2:$AJ539)</f>
        <v>538</v>
      </c>
    </row>
    <row r="540" spans="1:37">
      <c r="A540" t="s">
        <v>1688</v>
      </c>
      <c r="B540" t="s">
        <v>1701</v>
      </c>
      <c r="C540" t="s">
        <v>1702</v>
      </c>
      <c r="D540">
        <v>30200</v>
      </c>
      <c r="E540" t="s">
        <v>1703</v>
      </c>
      <c r="F540">
        <v>8290</v>
      </c>
      <c r="G540">
        <v>676</v>
      </c>
      <c r="I540">
        <v>1536</v>
      </c>
      <c r="J540">
        <v>0</v>
      </c>
      <c r="K540">
        <v>0</v>
      </c>
      <c r="L540">
        <v>5652</v>
      </c>
      <c r="M540">
        <v>0</v>
      </c>
      <c r="N540">
        <v>4522</v>
      </c>
      <c r="O540">
        <v>0</v>
      </c>
      <c r="P540">
        <v>0</v>
      </c>
      <c r="R540">
        <v>0</v>
      </c>
      <c r="S540">
        <v>0</v>
      </c>
      <c r="T540" t="s">
        <v>1071</v>
      </c>
      <c r="U540">
        <v>6</v>
      </c>
      <c r="V540" t="s">
        <v>87</v>
      </c>
      <c r="W540" t="s">
        <v>135</v>
      </c>
      <c r="X540" t="s">
        <v>135</v>
      </c>
      <c r="Y540" t="s">
        <v>89</v>
      </c>
      <c r="Z540">
        <v>1</v>
      </c>
      <c r="AA540">
        <f>IF(AND(D540&gt;=配装计算器!$I$29,D540&lt;=配装计算器!$I$30),1,0)</f>
        <v>1</v>
      </c>
      <c r="AB540">
        <f t="shared" si="182"/>
        <v>0</v>
      </c>
      <c r="AC540">
        <f t="shared" si="183"/>
        <v>0</v>
      </c>
      <c r="AD540">
        <f t="shared" si="184"/>
        <v>1</v>
      </c>
      <c r="AE540">
        <f t="shared" si="185"/>
        <v>0</v>
      </c>
      <c r="AF540">
        <f t="shared" si="186"/>
        <v>1</v>
      </c>
      <c r="AG540">
        <f t="shared" si="187"/>
        <v>0</v>
      </c>
      <c r="AH540">
        <f t="shared" si="188"/>
        <v>0</v>
      </c>
      <c r="AI540">
        <f t="shared" si="189"/>
        <v>0</v>
      </c>
      <c r="AJ540">
        <f t="shared" si="190"/>
        <v>1</v>
      </c>
      <c r="AK540">
        <f>SUM(AJ$2:$AJ540)</f>
        <v>539</v>
      </c>
    </row>
    <row r="541" spans="1:37">
      <c r="A541" t="s">
        <v>1688</v>
      </c>
      <c r="B541" t="s">
        <v>1704</v>
      </c>
      <c r="C541" t="s">
        <v>1705</v>
      </c>
      <c r="D541">
        <v>30200</v>
      </c>
      <c r="E541" t="s">
        <v>1706</v>
      </c>
      <c r="F541">
        <v>8290</v>
      </c>
      <c r="G541">
        <v>676</v>
      </c>
      <c r="I541">
        <v>1536</v>
      </c>
      <c r="J541">
        <v>0</v>
      </c>
      <c r="K541">
        <v>0</v>
      </c>
      <c r="L541">
        <v>0</v>
      </c>
      <c r="M541">
        <v>0</v>
      </c>
      <c r="N541">
        <v>4522</v>
      </c>
      <c r="O541">
        <v>5652</v>
      </c>
      <c r="P541">
        <v>0</v>
      </c>
      <c r="R541">
        <v>0</v>
      </c>
      <c r="S541">
        <v>0</v>
      </c>
      <c r="T541" t="s">
        <v>115</v>
      </c>
      <c r="U541">
        <v>6</v>
      </c>
      <c r="V541" t="s">
        <v>87</v>
      </c>
      <c r="W541" t="s">
        <v>88</v>
      </c>
      <c r="X541" t="s">
        <v>88</v>
      </c>
      <c r="Y541" t="s">
        <v>89</v>
      </c>
      <c r="Z541">
        <v>1</v>
      </c>
      <c r="AA541">
        <f>IF(AND(D541&gt;=配装计算器!$I$29,D541&lt;=配装计算器!$I$30),1,0)</f>
        <v>1</v>
      </c>
      <c r="AB541">
        <f t="shared" si="182"/>
        <v>0</v>
      </c>
      <c r="AC541">
        <f t="shared" si="183"/>
        <v>0</v>
      </c>
      <c r="AD541">
        <f t="shared" si="184"/>
        <v>0</v>
      </c>
      <c r="AE541">
        <f t="shared" si="185"/>
        <v>0</v>
      </c>
      <c r="AF541">
        <f t="shared" si="186"/>
        <v>1</v>
      </c>
      <c r="AG541">
        <f t="shared" si="187"/>
        <v>1</v>
      </c>
      <c r="AH541">
        <f t="shared" si="188"/>
        <v>0</v>
      </c>
      <c r="AI541">
        <f t="shared" si="189"/>
        <v>0</v>
      </c>
      <c r="AJ541">
        <f t="shared" si="190"/>
        <v>1</v>
      </c>
      <c r="AK541">
        <f>SUM(AJ$2:$AJ541)</f>
        <v>540</v>
      </c>
    </row>
    <row r="542" spans="1:37">
      <c r="A542" t="s">
        <v>1688</v>
      </c>
      <c r="B542" t="s">
        <v>1707</v>
      </c>
      <c r="C542" t="s">
        <v>1708</v>
      </c>
      <c r="D542">
        <v>30200</v>
      </c>
      <c r="E542" t="s">
        <v>1709</v>
      </c>
      <c r="F542">
        <v>8290</v>
      </c>
      <c r="G542">
        <v>676</v>
      </c>
      <c r="I542">
        <v>1536</v>
      </c>
      <c r="J542">
        <v>0</v>
      </c>
      <c r="K542">
        <v>0</v>
      </c>
      <c r="L542">
        <v>0</v>
      </c>
      <c r="M542">
        <v>0</v>
      </c>
      <c r="N542">
        <v>4522</v>
      </c>
      <c r="O542">
        <v>5652</v>
      </c>
      <c r="P542">
        <v>0</v>
      </c>
      <c r="R542">
        <v>0</v>
      </c>
      <c r="S542">
        <v>0</v>
      </c>
      <c r="T542" t="s">
        <v>115</v>
      </c>
      <c r="U542">
        <v>6</v>
      </c>
      <c r="V542" t="s">
        <v>87</v>
      </c>
      <c r="W542" t="s">
        <v>88</v>
      </c>
      <c r="X542" t="s">
        <v>88</v>
      </c>
      <c r="Y542" t="s">
        <v>89</v>
      </c>
      <c r="Z542">
        <v>1</v>
      </c>
      <c r="AA542">
        <f>IF(AND(D542&gt;=配装计算器!$I$29,D542&lt;=配装计算器!$I$30),1,0)</f>
        <v>1</v>
      </c>
      <c r="AB542">
        <f t="shared" si="182"/>
        <v>0</v>
      </c>
      <c r="AC542">
        <f t="shared" si="183"/>
        <v>0</v>
      </c>
      <c r="AD542">
        <f t="shared" si="184"/>
        <v>0</v>
      </c>
      <c r="AE542">
        <f t="shared" si="185"/>
        <v>0</v>
      </c>
      <c r="AF542">
        <f t="shared" si="186"/>
        <v>1</v>
      </c>
      <c r="AG542">
        <f t="shared" si="187"/>
        <v>1</v>
      </c>
      <c r="AH542">
        <f t="shared" si="188"/>
        <v>0</v>
      </c>
      <c r="AI542">
        <f t="shared" si="189"/>
        <v>0</v>
      </c>
      <c r="AJ542">
        <f t="shared" si="190"/>
        <v>1</v>
      </c>
      <c r="AK542">
        <f>SUM(AJ$2:$AJ542)</f>
        <v>541</v>
      </c>
    </row>
    <row r="543" spans="1:37">
      <c r="A543" t="s">
        <v>1688</v>
      </c>
      <c r="B543" t="s">
        <v>1710</v>
      </c>
      <c r="C543" t="s">
        <v>1711</v>
      </c>
      <c r="D543">
        <v>30200</v>
      </c>
      <c r="E543" t="s">
        <v>1712</v>
      </c>
      <c r="F543">
        <v>8290</v>
      </c>
      <c r="G543">
        <v>676</v>
      </c>
      <c r="I543">
        <v>1536</v>
      </c>
      <c r="J543">
        <v>5652</v>
      </c>
      <c r="K543">
        <v>0</v>
      </c>
      <c r="L543">
        <v>0</v>
      </c>
      <c r="M543">
        <v>0</v>
      </c>
      <c r="N543">
        <v>4522</v>
      </c>
      <c r="O543">
        <v>0</v>
      </c>
      <c r="P543">
        <v>0</v>
      </c>
      <c r="R543">
        <v>0</v>
      </c>
      <c r="S543">
        <v>0</v>
      </c>
      <c r="T543" t="s">
        <v>102</v>
      </c>
      <c r="U543">
        <v>6</v>
      </c>
      <c r="V543" t="s">
        <v>87</v>
      </c>
      <c r="W543" t="s">
        <v>108</v>
      </c>
      <c r="X543" t="s">
        <v>108</v>
      </c>
      <c r="Y543" t="s">
        <v>89</v>
      </c>
      <c r="Z543">
        <v>1</v>
      </c>
      <c r="AA543">
        <f>IF(AND(D543&gt;=配装计算器!$I$29,D543&lt;=配装计算器!$I$30),1,0)</f>
        <v>1</v>
      </c>
      <c r="AB543">
        <f t="shared" si="182"/>
        <v>1</v>
      </c>
      <c r="AC543">
        <f t="shared" si="183"/>
        <v>0</v>
      </c>
      <c r="AD543">
        <f t="shared" si="184"/>
        <v>0</v>
      </c>
      <c r="AE543">
        <f t="shared" si="185"/>
        <v>0</v>
      </c>
      <c r="AF543">
        <f t="shared" si="186"/>
        <v>1</v>
      </c>
      <c r="AG543">
        <f t="shared" si="187"/>
        <v>0</v>
      </c>
      <c r="AH543">
        <f t="shared" si="188"/>
        <v>0</v>
      </c>
      <c r="AI543">
        <f t="shared" si="189"/>
        <v>0</v>
      </c>
      <c r="AJ543">
        <f t="shared" si="190"/>
        <v>1</v>
      </c>
      <c r="AK543">
        <f>SUM(AJ$2:$AJ543)</f>
        <v>542</v>
      </c>
    </row>
    <row r="544" spans="1:37">
      <c r="A544" t="s">
        <v>1688</v>
      </c>
      <c r="B544" t="s">
        <v>1713</v>
      </c>
      <c r="C544" t="s">
        <v>1714</v>
      </c>
      <c r="D544">
        <v>30200</v>
      </c>
      <c r="E544" t="s">
        <v>1715</v>
      </c>
      <c r="F544">
        <v>8290</v>
      </c>
      <c r="G544">
        <v>676</v>
      </c>
      <c r="I544">
        <v>1536</v>
      </c>
      <c r="J544">
        <v>5652</v>
      </c>
      <c r="K544">
        <v>0</v>
      </c>
      <c r="L544">
        <v>0</v>
      </c>
      <c r="M544">
        <v>0</v>
      </c>
      <c r="N544">
        <v>4522</v>
      </c>
      <c r="O544">
        <v>0</v>
      </c>
      <c r="P544">
        <v>0</v>
      </c>
      <c r="R544">
        <v>0</v>
      </c>
      <c r="S544">
        <v>0</v>
      </c>
      <c r="T544" t="s">
        <v>102</v>
      </c>
      <c r="U544">
        <v>6</v>
      </c>
      <c r="V544" t="s">
        <v>1033</v>
      </c>
      <c r="W544" t="s">
        <v>108</v>
      </c>
      <c r="X544" t="s">
        <v>108</v>
      </c>
      <c r="Y544" t="s">
        <v>89</v>
      </c>
      <c r="Z544">
        <v>1</v>
      </c>
      <c r="AA544">
        <f>IF(AND(D544&gt;=配装计算器!$I$29,D544&lt;=配装计算器!$I$30),1,0)</f>
        <v>1</v>
      </c>
      <c r="AB544">
        <f t="shared" si="182"/>
        <v>1</v>
      </c>
      <c r="AC544">
        <f t="shared" si="183"/>
        <v>0</v>
      </c>
      <c r="AD544">
        <f t="shared" si="184"/>
        <v>0</v>
      </c>
      <c r="AE544">
        <f t="shared" si="185"/>
        <v>0</v>
      </c>
      <c r="AF544">
        <f t="shared" si="186"/>
        <v>1</v>
      </c>
      <c r="AG544">
        <f t="shared" si="187"/>
        <v>0</v>
      </c>
      <c r="AH544">
        <f t="shared" si="188"/>
        <v>0</v>
      </c>
      <c r="AI544">
        <f t="shared" si="189"/>
        <v>0</v>
      </c>
      <c r="AJ544">
        <f t="shared" si="190"/>
        <v>1</v>
      </c>
      <c r="AK544">
        <f>SUM(AJ$2:$AJ544)</f>
        <v>543</v>
      </c>
    </row>
    <row r="545" spans="1:37">
      <c r="A545" t="s">
        <v>1688</v>
      </c>
      <c r="B545" t="s">
        <v>1716</v>
      </c>
      <c r="C545" t="s">
        <v>1717</v>
      </c>
      <c r="D545">
        <v>30300</v>
      </c>
      <c r="E545" t="s">
        <v>1718</v>
      </c>
      <c r="F545">
        <v>8317</v>
      </c>
      <c r="G545">
        <v>679</v>
      </c>
      <c r="I545">
        <v>1541</v>
      </c>
      <c r="J545">
        <v>5671</v>
      </c>
      <c r="K545">
        <v>0</v>
      </c>
      <c r="L545">
        <v>0</v>
      </c>
      <c r="M545">
        <v>0</v>
      </c>
      <c r="N545">
        <v>4537</v>
      </c>
      <c r="O545">
        <v>0</v>
      </c>
      <c r="P545">
        <v>0</v>
      </c>
      <c r="R545">
        <v>0</v>
      </c>
      <c r="S545">
        <v>0</v>
      </c>
      <c r="T545" t="s">
        <v>102</v>
      </c>
      <c r="U545">
        <v>6</v>
      </c>
      <c r="V545" t="s">
        <v>1283</v>
      </c>
      <c r="W545" t="s">
        <v>108</v>
      </c>
      <c r="X545" t="s">
        <v>108</v>
      </c>
      <c r="Y545" t="s">
        <v>89</v>
      </c>
      <c r="Z545">
        <v>1</v>
      </c>
      <c r="AA545">
        <f>IF(AND(D545&gt;=配装计算器!$I$29,D545&lt;=配装计算器!$I$30),1,0)</f>
        <v>1</v>
      </c>
      <c r="AB545">
        <f t="shared" si="182"/>
        <v>1</v>
      </c>
      <c r="AC545">
        <f t="shared" si="183"/>
        <v>0</v>
      </c>
      <c r="AD545">
        <f t="shared" si="184"/>
        <v>0</v>
      </c>
      <c r="AE545">
        <f t="shared" si="185"/>
        <v>0</v>
      </c>
      <c r="AF545">
        <f t="shared" si="186"/>
        <v>1</v>
      </c>
      <c r="AG545">
        <f t="shared" si="187"/>
        <v>0</v>
      </c>
      <c r="AH545">
        <f t="shared" si="188"/>
        <v>0</v>
      </c>
      <c r="AI545">
        <f t="shared" si="189"/>
        <v>0</v>
      </c>
      <c r="AJ545">
        <f t="shared" si="190"/>
        <v>1</v>
      </c>
      <c r="AK545">
        <f>SUM(AJ$2:$AJ545)</f>
        <v>544</v>
      </c>
    </row>
    <row r="546" spans="1:37">
      <c r="A546" t="s">
        <v>1688</v>
      </c>
      <c r="B546" t="s">
        <v>1719</v>
      </c>
      <c r="C546" t="s">
        <v>1720</v>
      </c>
      <c r="D546">
        <v>30700</v>
      </c>
      <c r="E546" t="s">
        <v>1721</v>
      </c>
      <c r="F546">
        <v>8427</v>
      </c>
      <c r="G546">
        <v>638</v>
      </c>
      <c r="I546">
        <v>1041</v>
      </c>
      <c r="J546">
        <v>5746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2298</v>
      </c>
      <c r="R546">
        <v>0</v>
      </c>
      <c r="S546">
        <v>0</v>
      </c>
      <c r="T546" t="s">
        <v>93</v>
      </c>
      <c r="U546">
        <v>6</v>
      </c>
      <c r="V546" t="s">
        <v>145</v>
      </c>
      <c r="W546" t="s">
        <v>233</v>
      </c>
      <c r="X546" t="s">
        <v>233</v>
      </c>
      <c r="Y546" t="s">
        <v>89</v>
      </c>
      <c r="Z546">
        <v>2</v>
      </c>
      <c r="AA546">
        <f>IF(AND(D546&gt;=配装计算器!$I$29,D546&lt;=配装计算器!$I$30),1,0)</f>
        <v>1</v>
      </c>
      <c r="AB546">
        <f t="shared" si="182"/>
        <v>1</v>
      </c>
      <c r="AC546">
        <f t="shared" si="183"/>
        <v>0</v>
      </c>
      <c r="AD546">
        <f t="shared" si="184"/>
        <v>0</v>
      </c>
      <c r="AE546">
        <f t="shared" si="185"/>
        <v>0</v>
      </c>
      <c r="AF546">
        <f t="shared" si="186"/>
        <v>0</v>
      </c>
      <c r="AG546">
        <f t="shared" si="187"/>
        <v>0</v>
      </c>
      <c r="AH546">
        <f t="shared" si="188"/>
        <v>1</v>
      </c>
      <c r="AI546">
        <f t="shared" si="189"/>
        <v>0</v>
      </c>
      <c r="AJ546">
        <f t="shared" si="190"/>
        <v>1</v>
      </c>
      <c r="AK546">
        <f>SUM(AJ$2:$AJ546)</f>
        <v>545</v>
      </c>
    </row>
    <row r="547" spans="1:37">
      <c r="A547" t="s">
        <v>1688</v>
      </c>
      <c r="B547" t="s">
        <v>1722</v>
      </c>
      <c r="C547" t="s">
        <v>1723</v>
      </c>
      <c r="D547">
        <v>30700</v>
      </c>
      <c r="E547" t="s">
        <v>1724</v>
      </c>
      <c r="F547">
        <v>8427</v>
      </c>
      <c r="G547">
        <v>688</v>
      </c>
      <c r="I547">
        <v>1561</v>
      </c>
      <c r="J547">
        <v>5746</v>
      </c>
      <c r="K547">
        <v>0</v>
      </c>
      <c r="L547">
        <v>0</v>
      </c>
      <c r="M547">
        <v>0</v>
      </c>
      <c r="N547">
        <v>4597</v>
      </c>
      <c r="O547">
        <v>0</v>
      </c>
      <c r="P547">
        <v>0</v>
      </c>
      <c r="R547">
        <v>0</v>
      </c>
      <c r="S547">
        <v>0</v>
      </c>
      <c r="T547" t="s">
        <v>102</v>
      </c>
      <c r="U547">
        <v>6</v>
      </c>
      <c r="V547" t="s">
        <v>1283</v>
      </c>
      <c r="W547" t="s">
        <v>108</v>
      </c>
      <c r="X547" t="s">
        <v>108</v>
      </c>
      <c r="Y547" t="s">
        <v>89</v>
      </c>
      <c r="Z547">
        <v>1</v>
      </c>
      <c r="AA547">
        <f>IF(AND(D547&gt;=配装计算器!$I$29,D547&lt;=配装计算器!$I$30),1,0)</f>
        <v>1</v>
      </c>
      <c r="AB547">
        <f t="shared" si="182"/>
        <v>1</v>
      </c>
      <c r="AC547">
        <f t="shared" si="183"/>
        <v>0</v>
      </c>
      <c r="AD547">
        <f t="shared" si="184"/>
        <v>0</v>
      </c>
      <c r="AE547">
        <f t="shared" si="185"/>
        <v>0</v>
      </c>
      <c r="AF547">
        <f t="shared" si="186"/>
        <v>1</v>
      </c>
      <c r="AG547">
        <f t="shared" si="187"/>
        <v>0</v>
      </c>
      <c r="AH547">
        <f t="shared" si="188"/>
        <v>0</v>
      </c>
      <c r="AI547">
        <f t="shared" si="189"/>
        <v>0</v>
      </c>
      <c r="AJ547">
        <f t="shared" si="190"/>
        <v>1</v>
      </c>
      <c r="AK547">
        <f>SUM(AJ$2:$AJ547)</f>
        <v>546</v>
      </c>
    </row>
    <row r="548" spans="1:37">
      <c r="A548" t="s">
        <v>1688</v>
      </c>
      <c r="B548" t="s">
        <v>1725</v>
      </c>
      <c r="C548" t="s">
        <v>1726</v>
      </c>
      <c r="D548">
        <v>32200</v>
      </c>
      <c r="E548" t="s">
        <v>1727</v>
      </c>
      <c r="F548">
        <v>8839</v>
      </c>
      <c r="G548">
        <v>721</v>
      </c>
      <c r="I548">
        <v>1638</v>
      </c>
      <c r="J548">
        <v>6027</v>
      </c>
      <c r="K548">
        <v>0</v>
      </c>
      <c r="L548">
        <v>0</v>
      </c>
      <c r="M548">
        <v>0</v>
      </c>
      <c r="N548">
        <v>4821</v>
      </c>
      <c r="O548">
        <v>0</v>
      </c>
      <c r="P548">
        <v>0</v>
      </c>
      <c r="R548">
        <v>0</v>
      </c>
      <c r="S548">
        <v>0</v>
      </c>
      <c r="T548" t="s">
        <v>102</v>
      </c>
      <c r="U548">
        <v>6</v>
      </c>
      <c r="V548" t="s">
        <v>1283</v>
      </c>
      <c r="W548" t="s">
        <v>108</v>
      </c>
      <c r="X548" t="s">
        <v>108</v>
      </c>
      <c r="Y548" t="s">
        <v>89</v>
      </c>
      <c r="Z548">
        <v>1</v>
      </c>
      <c r="AA548">
        <f>IF(AND(D548&gt;=配装计算器!$I$29,D548&lt;=配装计算器!$I$30),1,0)</f>
        <v>1</v>
      </c>
      <c r="AB548">
        <f t="shared" si="182"/>
        <v>1</v>
      </c>
      <c r="AC548">
        <f t="shared" si="183"/>
        <v>0</v>
      </c>
      <c r="AD548">
        <f t="shared" si="184"/>
        <v>0</v>
      </c>
      <c r="AE548">
        <f t="shared" si="185"/>
        <v>0</v>
      </c>
      <c r="AF548">
        <f t="shared" si="186"/>
        <v>1</v>
      </c>
      <c r="AG548">
        <f t="shared" si="187"/>
        <v>0</v>
      </c>
      <c r="AH548">
        <f t="shared" si="188"/>
        <v>0</v>
      </c>
      <c r="AI548">
        <f t="shared" si="189"/>
        <v>0</v>
      </c>
      <c r="AJ548">
        <f t="shared" si="190"/>
        <v>1</v>
      </c>
      <c r="AK548">
        <f>SUM(AJ$2:$AJ548)</f>
        <v>547</v>
      </c>
    </row>
    <row r="549" spans="1:37">
      <c r="A549" t="s">
        <v>1688</v>
      </c>
      <c r="B549" t="s">
        <v>1728</v>
      </c>
      <c r="C549" t="s">
        <v>1729</v>
      </c>
      <c r="D549">
        <v>32300</v>
      </c>
      <c r="E549" t="s">
        <v>1730</v>
      </c>
      <c r="F549">
        <v>9851</v>
      </c>
      <c r="G549">
        <v>804</v>
      </c>
      <c r="I549">
        <v>1825</v>
      </c>
      <c r="J549">
        <v>0</v>
      </c>
      <c r="K549">
        <v>0</v>
      </c>
      <c r="L549">
        <v>0</v>
      </c>
      <c r="M549">
        <v>6717</v>
      </c>
      <c r="N549">
        <v>5374</v>
      </c>
      <c r="O549">
        <v>0</v>
      </c>
      <c r="P549">
        <v>0</v>
      </c>
      <c r="R549">
        <v>0</v>
      </c>
      <c r="S549">
        <v>0</v>
      </c>
      <c r="T549" t="s">
        <v>1731</v>
      </c>
      <c r="U549">
        <v>8</v>
      </c>
      <c r="V549" t="s">
        <v>87</v>
      </c>
      <c r="W549" t="s">
        <v>185</v>
      </c>
      <c r="X549" t="s">
        <v>185</v>
      </c>
      <c r="Y549" t="s">
        <v>89</v>
      </c>
      <c r="Z549">
        <v>1</v>
      </c>
      <c r="AA549">
        <f>IF(AND(D549&gt;=配装计算器!$I$29,D549&lt;=配装计算器!$I$30),1,0)</f>
        <v>1</v>
      </c>
      <c r="AB549">
        <f t="shared" si="182"/>
        <v>0</v>
      </c>
      <c r="AC549">
        <f t="shared" si="183"/>
        <v>0</v>
      </c>
      <c r="AD549">
        <f t="shared" si="184"/>
        <v>0</v>
      </c>
      <c r="AE549">
        <f t="shared" si="185"/>
        <v>1</v>
      </c>
      <c r="AF549">
        <f t="shared" si="186"/>
        <v>1</v>
      </c>
      <c r="AG549">
        <f t="shared" si="187"/>
        <v>0</v>
      </c>
      <c r="AH549">
        <f t="shared" si="188"/>
        <v>0</v>
      </c>
      <c r="AI549">
        <f t="shared" si="189"/>
        <v>0</v>
      </c>
      <c r="AJ549">
        <f t="shared" si="190"/>
        <v>1</v>
      </c>
      <c r="AK549">
        <f>SUM(AJ$2:$AJ549)</f>
        <v>548</v>
      </c>
    </row>
    <row r="550" spans="1:37">
      <c r="A550" t="s">
        <v>1688</v>
      </c>
      <c r="B550" t="s">
        <v>1732</v>
      </c>
      <c r="C550" t="s">
        <v>1733</v>
      </c>
      <c r="D550">
        <v>32300</v>
      </c>
      <c r="E550" t="s">
        <v>1734</v>
      </c>
      <c r="F550">
        <v>9851</v>
      </c>
      <c r="G550">
        <v>804</v>
      </c>
      <c r="I550">
        <v>1825</v>
      </c>
      <c r="J550">
        <v>0</v>
      </c>
      <c r="K550">
        <v>0</v>
      </c>
      <c r="L550">
        <v>6717</v>
      </c>
      <c r="M550">
        <v>0</v>
      </c>
      <c r="N550">
        <v>5374</v>
      </c>
      <c r="O550">
        <v>0</v>
      </c>
      <c r="P550">
        <v>0</v>
      </c>
      <c r="R550">
        <v>0</v>
      </c>
      <c r="S550">
        <v>0</v>
      </c>
      <c r="T550" t="s">
        <v>1735</v>
      </c>
      <c r="U550">
        <v>8</v>
      </c>
      <c r="V550" t="s">
        <v>87</v>
      </c>
      <c r="W550" t="s">
        <v>135</v>
      </c>
      <c r="X550" t="s">
        <v>135</v>
      </c>
      <c r="Y550" t="s">
        <v>89</v>
      </c>
      <c r="Z550">
        <v>1</v>
      </c>
      <c r="AA550">
        <f>IF(AND(D550&gt;=配装计算器!$I$29,D550&lt;=配装计算器!$I$30),1,0)</f>
        <v>1</v>
      </c>
      <c r="AB550">
        <f t="shared" si="182"/>
        <v>0</v>
      </c>
      <c r="AC550">
        <f t="shared" si="183"/>
        <v>0</v>
      </c>
      <c r="AD550">
        <f t="shared" si="184"/>
        <v>1</v>
      </c>
      <c r="AE550">
        <f t="shared" si="185"/>
        <v>0</v>
      </c>
      <c r="AF550">
        <f t="shared" si="186"/>
        <v>1</v>
      </c>
      <c r="AG550">
        <f t="shared" si="187"/>
        <v>0</v>
      </c>
      <c r="AH550">
        <f t="shared" si="188"/>
        <v>0</v>
      </c>
      <c r="AI550">
        <f t="shared" si="189"/>
        <v>0</v>
      </c>
      <c r="AJ550">
        <f t="shared" si="190"/>
        <v>1</v>
      </c>
      <c r="AK550">
        <f>SUM(AJ$2:$AJ550)</f>
        <v>549</v>
      </c>
    </row>
    <row r="551" spans="1:37">
      <c r="A551" t="s">
        <v>1688</v>
      </c>
      <c r="B551" t="s">
        <v>1736</v>
      </c>
      <c r="C551" t="s">
        <v>1737</v>
      </c>
      <c r="D551">
        <v>32300</v>
      </c>
      <c r="E551" t="s">
        <v>1738</v>
      </c>
      <c r="F551">
        <v>9851</v>
      </c>
      <c r="G551">
        <v>804</v>
      </c>
      <c r="I551">
        <v>1825</v>
      </c>
      <c r="J551">
        <v>0</v>
      </c>
      <c r="K551">
        <v>0</v>
      </c>
      <c r="L551">
        <v>0</v>
      </c>
      <c r="M551">
        <v>0</v>
      </c>
      <c r="N551">
        <v>5374</v>
      </c>
      <c r="O551">
        <v>6717</v>
      </c>
      <c r="P551">
        <v>0</v>
      </c>
      <c r="R551">
        <v>0</v>
      </c>
      <c r="S551">
        <v>0</v>
      </c>
      <c r="T551" t="s">
        <v>1739</v>
      </c>
      <c r="U551">
        <v>8</v>
      </c>
      <c r="V551" t="s">
        <v>87</v>
      </c>
      <c r="W551" t="s">
        <v>88</v>
      </c>
      <c r="X551" t="s">
        <v>88</v>
      </c>
      <c r="Y551" t="s">
        <v>89</v>
      </c>
      <c r="Z551">
        <v>1</v>
      </c>
      <c r="AA551">
        <f>IF(AND(D551&gt;=配装计算器!$I$29,D551&lt;=配装计算器!$I$30),1,0)</f>
        <v>1</v>
      </c>
      <c r="AB551">
        <f t="shared" si="182"/>
        <v>0</v>
      </c>
      <c r="AC551">
        <f t="shared" si="183"/>
        <v>0</v>
      </c>
      <c r="AD551">
        <f t="shared" si="184"/>
        <v>0</v>
      </c>
      <c r="AE551">
        <f t="shared" si="185"/>
        <v>0</v>
      </c>
      <c r="AF551">
        <f t="shared" si="186"/>
        <v>1</v>
      </c>
      <c r="AG551">
        <f t="shared" si="187"/>
        <v>1</v>
      </c>
      <c r="AH551">
        <f t="shared" si="188"/>
        <v>0</v>
      </c>
      <c r="AI551">
        <f t="shared" si="189"/>
        <v>0</v>
      </c>
      <c r="AJ551">
        <f t="shared" si="190"/>
        <v>1</v>
      </c>
      <c r="AK551">
        <f>SUM(AJ$2:$AJ551)</f>
        <v>550</v>
      </c>
    </row>
    <row r="552" spans="1:37">
      <c r="A552" t="s">
        <v>1688</v>
      </c>
      <c r="B552" t="s">
        <v>1740</v>
      </c>
      <c r="C552" t="s">
        <v>1741</v>
      </c>
      <c r="D552">
        <v>32300</v>
      </c>
      <c r="E552" t="s">
        <v>1742</v>
      </c>
      <c r="F552">
        <v>9851</v>
      </c>
      <c r="G552">
        <v>0</v>
      </c>
      <c r="I552">
        <v>2921</v>
      </c>
      <c r="J552">
        <v>10299</v>
      </c>
      <c r="K552">
        <v>0</v>
      </c>
      <c r="L552">
        <v>0</v>
      </c>
      <c r="M552">
        <v>0</v>
      </c>
      <c r="N552">
        <v>5374</v>
      </c>
      <c r="O552">
        <v>0</v>
      </c>
      <c r="P552">
        <v>0</v>
      </c>
      <c r="R552">
        <v>0</v>
      </c>
      <c r="S552">
        <v>0</v>
      </c>
      <c r="T552" t="s">
        <v>1743</v>
      </c>
      <c r="U552">
        <v>8</v>
      </c>
      <c r="V552" t="s">
        <v>98</v>
      </c>
      <c r="W552" t="s">
        <v>185</v>
      </c>
      <c r="X552" t="s">
        <v>185</v>
      </c>
      <c r="Y552" t="s">
        <v>89</v>
      </c>
      <c r="Z552">
        <v>1</v>
      </c>
      <c r="AA552">
        <f>IF(AND(D552&gt;=配装计算器!$I$29,D552&lt;=配装计算器!$I$30),1,0)</f>
        <v>1</v>
      </c>
      <c r="AB552">
        <f t="shared" si="182"/>
        <v>1</v>
      </c>
      <c r="AC552">
        <f t="shared" si="183"/>
        <v>0</v>
      </c>
      <c r="AD552">
        <f t="shared" si="184"/>
        <v>0</v>
      </c>
      <c r="AE552">
        <f t="shared" si="185"/>
        <v>0</v>
      </c>
      <c r="AF552">
        <f t="shared" si="186"/>
        <v>1</v>
      </c>
      <c r="AG552">
        <f t="shared" si="187"/>
        <v>0</v>
      </c>
      <c r="AH552">
        <f t="shared" si="188"/>
        <v>0</v>
      </c>
      <c r="AI552">
        <f t="shared" si="189"/>
        <v>1</v>
      </c>
      <c r="AJ552">
        <f t="shared" si="190"/>
        <v>1</v>
      </c>
      <c r="AK552">
        <f>SUM(AJ$2:$AJ552)</f>
        <v>551</v>
      </c>
    </row>
    <row r="553" spans="1:37">
      <c r="A553" t="s">
        <v>1688</v>
      </c>
      <c r="B553" t="s">
        <v>1744</v>
      </c>
      <c r="C553" t="s">
        <v>1741</v>
      </c>
      <c r="D553">
        <v>32300</v>
      </c>
      <c r="E553" t="s">
        <v>1745</v>
      </c>
      <c r="F553">
        <v>9851</v>
      </c>
      <c r="G553">
        <v>0</v>
      </c>
      <c r="I553">
        <v>3529</v>
      </c>
      <c r="J553">
        <v>4478</v>
      </c>
      <c r="K553">
        <v>0</v>
      </c>
      <c r="L553">
        <v>4478</v>
      </c>
      <c r="M553">
        <v>0</v>
      </c>
      <c r="N553">
        <v>4478</v>
      </c>
      <c r="O553">
        <v>0</v>
      </c>
      <c r="P553">
        <v>0</v>
      </c>
      <c r="R553">
        <v>0</v>
      </c>
      <c r="S553">
        <v>0</v>
      </c>
      <c r="T553" t="s">
        <v>1746</v>
      </c>
      <c r="U553">
        <v>8</v>
      </c>
      <c r="V553" t="s">
        <v>98</v>
      </c>
      <c r="W553" t="s">
        <v>185</v>
      </c>
      <c r="X553" t="s">
        <v>185</v>
      </c>
      <c r="Y553" t="s">
        <v>89</v>
      </c>
      <c r="Z553">
        <v>1</v>
      </c>
      <c r="AA553">
        <f>IF(AND(D553&gt;=配装计算器!$I$29,D553&lt;=配装计算器!$I$30),1,0)</f>
        <v>1</v>
      </c>
      <c r="AB553">
        <f t="shared" si="182"/>
        <v>1</v>
      </c>
      <c r="AC553">
        <f t="shared" si="183"/>
        <v>0</v>
      </c>
      <c r="AD553">
        <f t="shared" si="184"/>
        <v>1</v>
      </c>
      <c r="AE553">
        <f t="shared" si="185"/>
        <v>0</v>
      </c>
      <c r="AF553">
        <f t="shared" si="186"/>
        <v>1</v>
      </c>
      <c r="AG553">
        <f t="shared" si="187"/>
        <v>0</v>
      </c>
      <c r="AH553">
        <f t="shared" si="188"/>
        <v>0</v>
      </c>
      <c r="AI553">
        <f t="shared" si="189"/>
        <v>1</v>
      </c>
      <c r="AJ553">
        <f t="shared" si="190"/>
        <v>1</v>
      </c>
      <c r="AK553">
        <f>SUM(AJ$2:$AJ553)</f>
        <v>552</v>
      </c>
    </row>
    <row r="554" spans="1:37">
      <c r="A554" t="s">
        <v>1688</v>
      </c>
      <c r="B554" t="s">
        <v>1747</v>
      </c>
      <c r="C554" t="s">
        <v>1741</v>
      </c>
      <c r="D554">
        <v>32300</v>
      </c>
      <c r="E554" t="s">
        <v>1748</v>
      </c>
      <c r="F554">
        <v>9851</v>
      </c>
      <c r="G554">
        <v>0</v>
      </c>
      <c r="I554">
        <v>3529</v>
      </c>
      <c r="J554">
        <v>6717</v>
      </c>
      <c r="K554">
        <v>3358</v>
      </c>
      <c r="L554">
        <v>0</v>
      </c>
      <c r="M554">
        <v>0</v>
      </c>
      <c r="N554">
        <v>3358</v>
      </c>
      <c r="O554">
        <v>0</v>
      </c>
      <c r="P554">
        <v>0</v>
      </c>
      <c r="R554">
        <v>0</v>
      </c>
      <c r="S554">
        <v>0</v>
      </c>
      <c r="T554" t="s">
        <v>1749</v>
      </c>
      <c r="U554">
        <v>8</v>
      </c>
      <c r="V554" t="s">
        <v>98</v>
      </c>
      <c r="W554" t="s">
        <v>135</v>
      </c>
      <c r="X554" t="s">
        <v>135</v>
      </c>
      <c r="Y554" t="s">
        <v>89</v>
      </c>
      <c r="Z554">
        <v>1</v>
      </c>
      <c r="AA554">
        <f>IF(AND(D554&gt;=配装计算器!$I$29,D554&lt;=配装计算器!$I$30),1,0)</f>
        <v>1</v>
      </c>
      <c r="AB554">
        <f t="shared" si="182"/>
        <v>1</v>
      </c>
      <c r="AC554">
        <f t="shared" si="183"/>
        <v>1</v>
      </c>
      <c r="AD554">
        <f t="shared" si="184"/>
        <v>0</v>
      </c>
      <c r="AE554">
        <f t="shared" si="185"/>
        <v>0</v>
      </c>
      <c r="AF554">
        <f t="shared" si="186"/>
        <v>1</v>
      </c>
      <c r="AG554">
        <f t="shared" si="187"/>
        <v>0</v>
      </c>
      <c r="AH554">
        <f t="shared" si="188"/>
        <v>0</v>
      </c>
      <c r="AI554">
        <f t="shared" si="189"/>
        <v>1</v>
      </c>
      <c r="AJ554">
        <f t="shared" si="190"/>
        <v>1</v>
      </c>
      <c r="AK554">
        <f>SUM(AJ$2:$AJ554)</f>
        <v>553</v>
      </c>
    </row>
    <row r="555" spans="1:37">
      <c r="A555" t="s">
        <v>1688</v>
      </c>
      <c r="B555" t="s">
        <v>1750</v>
      </c>
      <c r="C555" t="s">
        <v>1741</v>
      </c>
      <c r="D555">
        <v>32500</v>
      </c>
      <c r="E555" t="s">
        <v>1751</v>
      </c>
      <c r="F555">
        <v>8921</v>
      </c>
      <c r="G555">
        <v>0</v>
      </c>
      <c r="I555">
        <v>3196</v>
      </c>
      <c r="J555">
        <v>0</v>
      </c>
      <c r="K555">
        <v>0</v>
      </c>
      <c r="L555">
        <v>4055</v>
      </c>
      <c r="M555">
        <v>4055</v>
      </c>
      <c r="N555">
        <v>4055</v>
      </c>
      <c r="O555">
        <v>0</v>
      </c>
      <c r="P555">
        <v>0</v>
      </c>
      <c r="R555">
        <v>0</v>
      </c>
      <c r="S555">
        <v>0</v>
      </c>
      <c r="T555" t="s">
        <v>181</v>
      </c>
      <c r="U555">
        <v>6</v>
      </c>
      <c r="V555" t="s">
        <v>98</v>
      </c>
      <c r="W555" t="s">
        <v>94</v>
      </c>
      <c r="X555" t="s">
        <v>94</v>
      </c>
      <c r="Y555" t="s">
        <v>89</v>
      </c>
      <c r="Z555">
        <v>1</v>
      </c>
      <c r="AA555">
        <f>IF(AND(D555&gt;=配装计算器!$I$29,D555&lt;=配装计算器!$I$30),1,0)</f>
        <v>1</v>
      </c>
      <c r="AB555">
        <f t="shared" si="182"/>
        <v>0</v>
      </c>
      <c r="AC555">
        <f t="shared" si="183"/>
        <v>0</v>
      </c>
      <c r="AD555">
        <f t="shared" si="184"/>
        <v>1</v>
      </c>
      <c r="AE555">
        <f t="shared" si="185"/>
        <v>1</v>
      </c>
      <c r="AF555">
        <f t="shared" si="186"/>
        <v>1</v>
      </c>
      <c r="AG555">
        <f t="shared" si="187"/>
        <v>0</v>
      </c>
      <c r="AH555">
        <f t="shared" si="188"/>
        <v>0</v>
      </c>
      <c r="AI555">
        <f t="shared" si="189"/>
        <v>1</v>
      </c>
      <c r="AJ555">
        <f t="shared" si="190"/>
        <v>1</v>
      </c>
      <c r="AK555">
        <f>SUM(AJ$2:$AJ555)</f>
        <v>554</v>
      </c>
    </row>
    <row r="556" spans="1:37">
      <c r="A556" t="s">
        <v>1688</v>
      </c>
      <c r="B556" t="s">
        <v>1752</v>
      </c>
      <c r="C556" t="s">
        <v>1741</v>
      </c>
      <c r="D556">
        <v>32500</v>
      </c>
      <c r="E556" t="s">
        <v>1753</v>
      </c>
      <c r="F556">
        <v>8921</v>
      </c>
      <c r="G556">
        <v>0</v>
      </c>
      <c r="I556">
        <v>3747</v>
      </c>
      <c r="J556">
        <v>0</v>
      </c>
      <c r="K556">
        <v>0</v>
      </c>
      <c r="L556">
        <v>0</v>
      </c>
      <c r="M556">
        <v>0</v>
      </c>
      <c r="N556">
        <v>8921</v>
      </c>
      <c r="O556">
        <v>0</v>
      </c>
      <c r="P556">
        <v>0</v>
      </c>
      <c r="R556">
        <v>0</v>
      </c>
      <c r="S556">
        <v>0</v>
      </c>
      <c r="T556" t="s">
        <v>134</v>
      </c>
      <c r="U556">
        <v>6</v>
      </c>
      <c r="V556" t="s">
        <v>98</v>
      </c>
      <c r="W556" t="s">
        <v>135</v>
      </c>
      <c r="X556" t="s">
        <v>135</v>
      </c>
      <c r="Y556" t="s">
        <v>89</v>
      </c>
      <c r="Z556">
        <v>1</v>
      </c>
      <c r="AA556">
        <f>IF(AND(D556&gt;=配装计算器!$I$29,D556&lt;=配装计算器!$I$30),1,0)</f>
        <v>1</v>
      </c>
      <c r="AB556">
        <f t="shared" si="182"/>
        <v>0</v>
      </c>
      <c r="AC556">
        <f t="shared" si="183"/>
        <v>0</v>
      </c>
      <c r="AD556">
        <f t="shared" si="184"/>
        <v>0</v>
      </c>
      <c r="AE556">
        <f t="shared" si="185"/>
        <v>0</v>
      </c>
      <c r="AF556">
        <f t="shared" si="186"/>
        <v>1</v>
      </c>
      <c r="AG556">
        <f t="shared" si="187"/>
        <v>0</v>
      </c>
      <c r="AH556">
        <f t="shared" si="188"/>
        <v>0</v>
      </c>
      <c r="AI556">
        <f t="shared" si="189"/>
        <v>1</v>
      </c>
      <c r="AJ556">
        <f t="shared" si="190"/>
        <v>1</v>
      </c>
      <c r="AK556">
        <f>SUM(AJ$2:$AJ556)</f>
        <v>555</v>
      </c>
    </row>
    <row r="557" spans="1:37">
      <c r="A557" t="s">
        <v>1688</v>
      </c>
      <c r="B557" t="s">
        <v>1754</v>
      </c>
      <c r="C557" t="s">
        <v>1741</v>
      </c>
      <c r="D557">
        <v>32500</v>
      </c>
      <c r="E557" t="s">
        <v>1755</v>
      </c>
      <c r="F557">
        <v>8921</v>
      </c>
      <c r="G557">
        <v>0</v>
      </c>
      <c r="I557">
        <v>3196</v>
      </c>
      <c r="J557">
        <v>6083</v>
      </c>
      <c r="K557">
        <v>3041</v>
      </c>
      <c r="L557">
        <v>0</v>
      </c>
      <c r="M557">
        <v>0</v>
      </c>
      <c r="N557">
        <v>3041</v>
      </c>
      <c r="O557">
        <v>0</v>
      </c>
      <c r="P557">
        <v>0</v>
      </c>
      <c r="R557">
        <v>0</v>
      </c>
      <c r="S557">
        <v>0</v>
      </c>
      <c r="T557" t="s">
        <v>141</v>
      </c>
      <c r="U557">
        <v>6</v>
      </c>
      <c r="V557" t="s">
        <v>98</v>
      </c>
      <c r="W557" t="s">
        <v>135</v>
      </c>
      <c r="X557" t="s">
        <v>135</v>
      </c>
      <c r="Y557" t="s">
        <v>89</v>
      </c>
      <c r="Z557">
        <v>1</v>
      </c>
      <c r="AA557">
        <f>IF(AND(D557&gt;=配装计算器!$I$29,D557&lt;=配装计算器!$I$30),1,0)</f>
        <v>1</v>
      </c>
      <c r="AB557">
        <f t="shared" si="182"/>
        <v>1</v>
      </c>
      <c r="AC557">
        <f t="shared" si="183"/>
        <v>1</v>
      </c>
      <c r="AD557">
        <f t="shared" si="184"/>
        <v>0</v>
      </c>
      <c r="AE557">
        <f t="shared" si="185"/>
        <v>0</v>
      </c>
      <c r="AF557">
        <f t="shared" si="186"/>
        <v>1</v>
      </c>
      <c r="AG557">
        <f t="shared" si="187"/>
        <v>0</v>
      </c>
      <c r="AH557">
        <f t="shared" si="188"/>
        <v>0</v>
      </c>
      <c r="AI557">
        <f t="shared" si="189"/>
        <v>1</v>
      </c>
      <c r="AJ557">
        <f t="shared" si="190"/>
        <v>1</v>
      </c>
      <c r="AK557">
        <f>SUM(AJ$2:$AJ557)</f>
        <v>556</v>
      </c>
    </row>
    <row r="558" spans="1:37">
      <c r="A558" t="s">
        <v>1688</v>
      </c>
      <c r="B558" t="s">
        <v>1756</v>
      </c>
      <c r="C558" t="s">
        <v>1717</v>
      </c>
      <c r="D558">
        <v>32800</v>
      </c>
      <c r="E558" t="s">
        <v>1757</v>
      </c>
      <c r="F558">
        <v>10004</v>
      </c>
      <c r="G558">
        <v>816</v>
      </c>
      <c r="I558">
        <v>1854</v>
      </c>
      <c r="J558">
        <v>6821</v>
      </c>
      <c r="K558">
        <v>0</v>
      </c>
      <c r="L558">
        <v>0</v>
      </c>
      <c r="M558">
        <v>0</v>
      </c>
      <c r="N558">
        <v>5457</v>
      </c>
      <c r="O558">
        <v>0</v>
      </c>
      <c r="P558">
        <v>0</v>
      </c>
      <c r="R558">
        <v>0</v>
      </c>
      <c r="S558">
        <v>0</v>
      </c>
      <c r="T558" t="s">
        <v>1758</v>
      </c>
      <c r="U558">
        <v>8</v>
      </c>
      <c r="V558" t="s">
        <v>1283</v>
      </c>
      <c r="W558" t="s">
        <v>108</v>
      </c>
      <c r="X558" t="s">
        <v>108</v>
      </c>
      <c r="Y558" t="s">
        <v>89</v>
      </c>
      <c r="Z558">
        <v>1</v>
      </c>
      <c r="AA558">
        <f>IF(AND(D558&gt;=配装计算器!$I$29,D558&lt;=配装计算器!$I$30),1,0)</f>
        <v>1</v>
      </c>
      <c r="AB558">
        <f t="shared" si="182"/>
        <v>1</v>
      </c>
      <c r="AC558">
        <f t="shared" si="183"/>
        <v>0</v>
      </c>
      <c r="AD558">
        <f t="shared" si="184"/>
        <v>0</v>
      </c>
      <c r="AE558">
        <f t="shared" si="185"/>
        <v>0</v>
      </c>
      <c r="AF558">
        <f t="shared" si="186"/>
        <v>1</v>
      </c>
      <c r="AG558">
        <f t="shared" si="187"/>
        <v>0</v>
      </c>
      <c r="AH558">
        <f t="shared" si="188"/>
        <v>0</v>
      </c>
      <c r="AI558">
        <f t="shared" si="189"/>
        <v>0</v>
      </c>
      <c r="AJ558">
        <f t="shared" si="190"/>
        <v>1</v>
      </c>
      <c r="AK558">
        <f>SUM(AJ$2:$AJ558)</f>
        <v>557</v>
      </c>
    </row>
    <row r="559" spans="1:37">
      <c r="A559" t="s">
        <v>1688</v>
      </c>
      <c r="B559" t="s">
        <v>1759</v>
      </c>
      <c r="C559" t="s">
        <v>1717</v>
      </c>
      <c r="D559">
        <v>33000</v>
      </c>
      <c r="E559" t="s">
        <v>1760</v>
      </c>
      <c r="F559">
        <v>9059</v>
      </c>
      <c r="G559">
        <v>739</v>
      </c>
      <c r="I559">
        <v>1678</v>
      </c>
      <c r="J559">
        <v>6176</v>
      </c>
      <c r="K559">
        <v>0</v>
      </c>
      <c r="L559">
        <v>0</v>
      </c>
      <c r="M559">
        <v>0</v>
      </c>
      <c r="N559">
        <v>4941</v>
      </c>
      <c r="O559">
        <v>0</v>
      </c>
      <c r="P559">
        <v>0</v>
      </c>
      <c r="R559">
        <v>0</v>
      </c>
      <c r="S559">
        <v>0</v>
      </c>
      <c r="T559" t="s">
        <v>102</v>
      </c>
      <c r="U559">
        <v>6</v>
      </c>
      <c r="V559" t="s">
        <v>1283</v>
      </c>
      <c r="W559" t="s">
        <v>108</v>
      </c>
      <c r="X559" t="s">
        <v>108</v>
      </c>
      <c r="Y559" t="s">
        <v>89</v>
      </c>
      <c r="Z559">
        <v>1</v>
      </c>
      <c r="AA559">
        <f>IF(AND(D559&gt;=配装计算器!$I$29,D559&lt;=配装计算器!$I$30),1,0)</f>
        <v>1</v>
      </c>
      <c r="AB559">
        <f t="shared" si="182"/>
        <v>1</v>
      </c>
      <c r="AC559">
        <f t="shared" si="183"/>
        <v>0</v>
      </c>
      <c r="AD559">
        <f t="shared" si="184"/>
        <v>0</v>
      </c>
      <c r="AE559">
        <f t="shared" si="185"/>
        <v>0</v>
      </c>
      <c r="AF559">
        <f t="shared" si="186"/>
        <v>1</v>
      </c>
      <c r="AG559">
        <f t="shared" si="187"/>
        <v>0</v>
      </c>
      <c r="AH559">
        <f t="shared" si="188"/>
        <v>0</v>
      </c>
      <c r="AI559">
        <f t="shared" si="189"/>
        <v>0</v>
      </c>
      <c r="AJ559">
        <f t="shared" si="190"/>
        <v>1</v>
      </c>
      <c r="AK559">
        <f>SUM(AJ$2:$AJ559)</f>
        <v>558</v>
      </c>
    </row>
    <row r="560" spans="1:37">
      <c r="A560" t="s">
        <v>1688</v>
      </c>
      <c r="B560" t="s">
        <v>1761</v>
      </c>
      <c r="C560" t="s">
        <v>1729</v>
      </c>
      <c r="D560">
        <v>35300</v>
      </c>
      <c r="E560" t="s">
        <v>1762</v>
      </c>
      <c r="F560">
        <v>9690</v>
      </c>
      <c r="G560">
        <v>791</v>
      </c>
      <c r="I560">
        <v>1795</v>
      </c>
      <c r="J560">
        <v>0</v>
      </c>
      <c r="K560">
        <v>0</v>
      </c>
      <c r="L560">
        <v>0</v>
      </c>
      <c r="M560">
        <v>6607</v>
      </c>
      <c r="N560">
        <v>5285</v>
      </c>
      <c r="O560">
        <v>0</v>
      </c>
      <c r="P560">
        <v>0</v>
      </c>
      <c r="R560">
        <v>0</v>
      </c>
      <c r="S560">
        <v>0</v>
      </c>
      <c r="T560" t="s">
        <v>107</v>
      </c>
      <c r="U560">
        <v>6</v>
      </c>
      <c r="V560" t="s">
        <v>87</v>
      </c>
      <c r="W560" t="s">
        <v>185</v>
      </c>
      <c r="X560" t="s">
        <v>185</v>
      </c>
      <c r="Y560" t="s">
        <v>89</v>
      </c>
      <c r="Z560">
        <v>1</v>
      </c>
      <c r="AA560">
        <f>IF(AND(D560&gt;=配装计算器!$I$29,D560&lt;=配装计算器!$I$30),1,0)</f>
        <v>1</v>
      </c>
      <c r="AB560">
        <f t="shared" si="182"/>
        <v>0</v>
      </c>
      <c r="AC560">
        <f t="shared" si="183"/>
        <v>0</v>
      </c>
      <c r="AD560">
        <f t="shared" si="184"/>
        <v>0</v>
      </c>
      <c r="AE560">
        <f t="shared" si="185"/>
        <v>1</v>
      </c>
      <c r="AF560">
        <f t="shared" si="186"/>
        <v>1</v>
      </c>
      <c r="AG560">
        <f t="shared" si="187"/>
        <v>0</v>
      </c>
      <c r="AH560">
        <f t="shared" si="188"/>
        <v>0</v>
      </c>
      <c r="AI560">
        <f t="shared" si="189"/>
        <v>0</v>
      </c>
      <c r="AJ560">
        <f t="shared" si="190"/>
        <v>1</v>
      </c>
      <c r="AK560">
        <f>SUM(AJ$2:$AJ560)</f>
        <v>559</v>
      </c>
    </row>
    <row r="561" spans="1:37">
      <c r="A561" t="s">
        <v>1688</v>
      </c>
      <c r="B561" t="s">
        <v>1763</v>
      </c>
      <c r="C561" t="s">
        <v>1733</v>
      </c>
      <c r="D561">
        <v>35300</v>
      </c>
      <c r="E561" t="s">
        <v>1764</v>
      </c>
      <c r="F561">
        <v>9690</v>
      </c>
      <c r="G561">
        <v>791</v>
      </c>
      <c r="I561">
        <v>1795</v>
      </c>
      <c r="J561">
        <v>0</v>
      </c>
      <c r="K561">
        <v>0</v>
      </c>
      <c r="L561">
        <v>6607</v>
      </c>
      <c r="M561">
        <v>0</v>
      </c>
      <c r="N561">
        <v>5285</v>
      </c>
      <c r="O561">
        <v>0</v>
      </c>
      <c r="P561">
        <v>0</v>
      </c>
      <c r="R561">
        <v>0</v>
      </c>
      <c r="S561">
        <v>0</v>
      </c>
      <c r="T561" t="s">
        <v>1071</v>
      </c>
      <c r="U561">
        <v>6</v>
      </c>
      <c r="V561" t="s">
        <v>87</v>
      </c>
      <c r="W561" t="s">
        <v>135</v>
      </c>
      <c r="X561" t="s">
        <v>135</v>
      </c>
      <c r="Y561" t="s">
        <v>89</v>
      </c>
      <c r="Z561">
        <v>1</v>
      </c>
      <c r="AA561">
        <f>IF(AND(D561&gt;=配装计算器!$I$29,D561&lt;=配装计算器!$I$30),1,0)</f>
        <v>1</v>
      </c>
      <c r="AB561">
        <f t="shared" ref="AB561:AB566" si="191">IF(J561&gt;0,1,0)</f>
        <v>0</v>
      </c>
      <c r="AC561">
        <f t="shared" ref="AC561:AC566" si="192">IF(K561&gt;0,1,0)</f>
        <v>0</v>
      </c>
      <c r="AD561">
        <f t="shared" ref="AD561:AD566" si="193">IF(L561&gt;0,1,0)</f>
        <v>1</v>
      </c>
      <c r="AE561">
        <f t="shared" ref="AE561:AE566" si="194">IF(M561&gt;0,1,0)</f>
        <v>0</v>
      </c>
      <c r="AF561">
        <f t="shared" ref="AF561:AF566" si="195">IF(N561&gt;0,1,0)</f>
        <v>1</v>
      </c>
      <c r="AG561">
        <f t="shared" ref="AG561:AG566" si="196">IF(O561&gt;0,1,0)</f>
        <v>0</v>
      </c>
      <c r="AH561">
        <f t="shared" ref="AH561:AH566" si="197">IF(P561&gt;0,1,0)</f>
        <v>0</v>
      </c>
      <c r="AI561">
        <f t="shared" ref="AI561:AI566" si="198">IF(COUNTIF(T561,"*"&amp;"精简"&amp;"*")&gt;0,1,0)</f>
        <v>0</v>
      </c>
      <c r="AJ561">
        <f t="shared" ref="AJ561:AJ566" si="199">MIN(1,AA561*($AY$2+IF(AND(AB561&gt;=$AQ$3,AC561&gt;=$AR$3,AD561&gt;=$AS$3,AE561&gt;=$AT$3,AF561&gt;=$AU$3,AG561&gt;=$AV$3,AH561&gt;=$AW$3,AI561&gt;=$AX$3),1,0)))</f>
        <v>1</v>
      </c>
      <c r="AK561">
        <f>SUM(AJ$2:$AJ561)</f>
        <v>560</v>
      </c>
    </row>
    <row r="562" spans="1:37">
      <c r="A562" t="s">
        <v>1688</v>
      </c>
      <c r="B562" t="s">
        <v>1765</v>
      </c>
      <c r="C562" t="s">
        <v>1737</v>
      </c>
      <c r="D562">
        <v>35300</v>
      </c>
      <c r="E562" t="s">
        <v>1766</v>
      </c>
      <c r="F562">
        <v>9690</v>
      </c>
      <c r="G562">
        <v>791</v>
      </c>
      <c r="I562">
        <v>1795</v>
      </c>
      <c r="J562">
        <v>0</v>
      </c>
      <c r="K562">
        <v>0</v>
      </c>
      <c r="L562">
        <v>0</v>
      </c>
      <c r="M562">
        <v>0</v>
      </c>
      <c r="N562">
        <v>5285</v>
      </c>
      <c r="O562">
        <v>6607</v>
      </c>
      <c r="P562">
        <v>0</v>
      </c>
      <c r="R562">
        <v>0</v>
      </c>
      <c r="S562">
        <v>0</v>
      </c>
      <c r="T562" t="s">
        <v>115</v>
      </c>
      <c r="U562">
        <v>6</v>
      </c>
      <c r="V562" t="s">
        <v>87</v>
      </c>
      <c r="W562" t="s">
        <v>88</v>
      </c>
      <c r="X562" t="s">
        <v>88</v>
      </c>
      <c r="Y562" t="s">
        <v>89</v>
      </c>
      <c r="Z562">
        <v>1</v>
      </c>
      <c r="AA562">
        <f>IF(AND(D562&gt;=配装计算器!$I$29,D562&lt;=配装计算器!$I$30),1,0)</f>
        <v>1</v>
      </c>
      <c r="AB562">
        <f t="shared" si="191"/>
        <v>0</v>
      </c>
      <c r="AC562">
        <f t="shared" si="192"/>
        <v>0</v>
      </c>
      <c r="AD562">
        <f t="shared" si="193"/>
        <v>0</v>
      </c>
      <c r="AE562">
        <f t="shared" si="194"/>
        <v>0</v>
      </c>
      <c r="AF562">
        <f t="shared" si="195"/>
        <v>1</v>
      </c>
      <c r="AG562">
        <f t="shared" si="196"/>
        <v>1</v>
      </c>
      <c r="AH562">
        <f t="shared" si="197"/>
        <v>0</v>
      </c>
      <c r="AI562">
        <f t="shared" si="198"/>
        <v>0</v>
      </c>
      <c r="AJ562">
        <f t="shared" si="199"/>
        <v>1</v>
      </c>
      <c r="AK562">
        <f>SUM(AJ$2:$AJ562)</f>
        <v>561</v>
      </c>
    </row>
    <row r="563" spans="1:37">
      <c r="A563" t="s">
        <v>1688</v>
      </c>
      <c r="B563" t="s">
        <v>1767</v>
      </c>
      <c r="C563" t="s">
        <v>1741</v>
      </c>
      <c r="D563">
        <v>35300</v>
      </c>
      <c r="E563" t="s">
        <v>1768</v>
      </c>
      <c r="F563">
        <v>9690</v>
      </c>
      <c r="G563">
        <v>0</v>
      </c>
      <c r="I563">
        <v>2873</v>
      </c>
      <c r="J563">
        <v>10130</v>
      </c>
      <c r="K563">
        <v>0</v>
      </c>
      <c r="L563">
        <v>0</v>
      </c>
      <c r="M563">
        <v>0</v>
      </c>
      <c r="N563">
        <v>5285</v>
      </c>
      <c r="O563">
        <v>0</v>
      </c>
      <c r="P563">
        <v>0</v>
      </c>
      <c r="R563">
        <v>0</v>
      </c>
      <c r="S563">
        <v>0</v>
      </c>
      <c r="T563" t="s">
        <v>184</v>
      </c>
      <c r="U563">
        <v>6</v>
      </c>
      <c r="V563" t="s">
        <v>98</v>
      </c>
      <c r="W563" t="s">
        <v>185</v>
      </c>
      <c r="X563" t="s">
        <v>185</v>
      </c>
      <c r="Y563" t="s">
        <v>89</v>
      </c>
      <c r="Z563">
        <v>1</v>
      </c>
      <c r="AA563">
        <f>IF(AND(D563&gt;=配装计算器!$I$29,D563&lt;=配装计算器!$I$30),1,0)</f>
        <v>1</v>
      </c>
      <c r="AB563">
        <f t="shared" si="191"/>
        <v>1</v>
      </c>
      <c r="AC563">
        <f t="shared" si="192"/>
        <v>0</v>
      </c>
      <c r="AD563">
        <f t="shared" si="193"/>
        <v>0</v>
      </c>
      <c r="AE563">
        <f t="shared" si="194"/>
        <v>0</v>
      </c>
      <c r="AF563">
        <f t="shared" si="195"/>
        <v>1</v>
      </c>
      <c r="AG563">
        <f t="shared" si="196"/>
        <v>0</v>
      </c>
      <c r="AH563">
        <f t="shared" si="197"/>
        <v>0</v>
      </c>
      <c r="AI563">
        <f t="shared" si="198"/>
        <v>1</v>
      </c>
      <c r="AJ563">
        <f t="shared" si="199"/>
        <v>1</v>
      </c>
      <c r="AK563">
        <f>SUM(AJ$2:$AJ563)</f>
        <v>562</v>
      </c>
    </row>
    <row r="564" spans="1:37">
      <c r="A564" t="s">
        <v>1688</v>
      </c>
      <c r="B564" t="s">
        <v>1769</v>
      </c>
      <c r="C564" t="s">
        <v>1741</v>
      </c>
      <c r="D564">
        <v>35300</v>
      </c>
      <c r="E564" t="s">
        <v>1770</v>
      </c>
      <c r="F564">
        <v>9690</v>
      </c>
      <c r="G564">
        <v>0</v>
      </c>
      <c r="I564">
        <v>3471</v>
      </c>
      <c r="J564">
        <v>4404</v>
      </c>
      <c r="K564">
        <v>0</v>
      </c>
      <c r="L564">
        <v>4404</v>
      </c>
      <c r="M564">
        <v>0</v>
      </c>
      <c r="N564">
        <v>4404</v>
      </c>
      <c r="O564">
        <v>0</v>
      </c>
      <c r="P564">
        <v>0</v>
      </c>
      <c r="R564">
        <v>0</v>
      </c>
      <c r="S564">
        <v>0</v>
      </c>
      <c r="T564" t="s">
        <v>188</v>
      </c>
      <c r="U564">
        <v>6</v>
      </c>
      <c r="V564" t="s">
        <v>98</v>
      </c>
      <c r="W564" t="s">
        <v>185</v>
      </c>
      <c r="X564" t="s">
        <v>185</v>
      </c>
      <c r="Y564" t="s">
        <v>89</v>
      </c>
      <c r="Z564">
        <v>1</v>
      </c>
      <c r="AA564">
        <f>IF(AND(D564&gt;=配装计算器!$I$29,D564&lt;=配装计算器!$I$30),1,0)</f>
        <v>1</v>
      </c>
      <c r="AB564">
        <f t="shared" si="191"/>
        <v>1</v>
      </c>
      <c r="AC564">
        <f t="shared" si="192"/>
        <v>0</v>
      </c>
      <c r="AD564">
        <f t="shared" si="193"/>
        <v>1</v>
      </c>
      <c r="AE564">
        <f t="shared" si="194"/>
        <v>0</v>
      </c>
      <c r="AF564">
        <f t="shared" si="195"/>
        <v>1</v>
      </c>
      <c r="AG564">
        <f t="shared" si="196"/>
        <v>0</v>
      </c>
      <c r="AH564">
        <f t="shared" si="197"/>
        <v>0</v>
      </c>
      <c r="AI564">
        <f t="shared" si="198"/>
        <v>1</v>
      </c>
      <c r="AJ564">
        <f t="shared" si="199"/>
        <v>1</v>
      </c>
      <c r="AK564">
        <f>SUM(AJ$2:$AJ564)</f>
        <v>563</v>
      </c>
    </row>
    <row r="565" spans="1:37">
      <c r="A565" t="s">
        <v>1688</v>
      </c>
      <c r="B565" t="s">
        <v>1771</v>
      </c>
      <c r="C565" t="s">
        <v>1741</v>
      </c>
      <c r="D565">
        <v>35300</v>
      </c>
      <c r="E565" t="s">
        <v>1772</v>
      </c>
      <c r="F565">
        <v>9690</v>
      </c>
      <c r="G565">
        <v>0</v>
      </c>
      <c r="I565">
        <v>3471</v>
      </c>
      <c r="J565">
        <v>6607</v>
      </c>
      <c r="K565">
        <v>3303</v>
      </c>
      <c r="L565">
        <v>0</v>
      </c>
      <c r="M565">
        <v>0</v>
      </c>
      <c r="N565">
        <v>3303</v>
      </c>
      <c r="O565">
        <v>0</v>
      </c>
      <c r="P565">
        <v>0</v>
      </c>
      <c r="R565">
        <v>0</v>
      </c>
      <c r="S565">
        <v>0</v>
      </c>
      <c r="T565" t="s">
        <v>141</v>
      </c>
      <c r="U565">
        <v>6</v>
      </c>
      <c r="V565" t="s">
        <v>98</v>
      </c>
      <c r="W565" t="s">
        <v>135</v>
      </c>
      <c r="X565" t="s">
        <v>135</v>
      </c>
      <c r="Y565" t="s">
        <v>89</v>
      </c>
      <c r="Z565">
        <v>1</v>
      </c>
      <c r="AA565">
        <f>IF(AND(D565&gt;=配装计算器!$I$29,D565&lt;=配装计算器!$I$30),1,0)</f>
        <v>1</v>
      </c>
      <c r="AB565">
        <f t="shared" si="191"/>
        <v>1</v>
      </c>
      <c r="AC565">
        <f t="shared" si="192"/>
        <v>1</v>
      </c>
      <c r="AD565">
        <f t="shared" si="193"/>
        <v>0</v>
      </c>
      <c r="AE565">
        <f t="shared" si="194"/>
        <v>0</v>
      </c>
      <c r="AF565">
        <f t="shared" si="195"/>
        <v>1</v>
      </c>
      <c r="AG565">
        <f t="shared" si="196"/>
        <v>0</v>
      </c>
      <c r="AH565">
        <f t="shared" si="197"/>
        <v>0</v>
      </c>
      <c r="AI565">
        <f t="shared" si="198"/>
        <v>1</v>
      </c>
      <c r="AJ565">
        <f t="shared" si="199"/>
        <v>1</v>
      </c>
      <c r="AK565">
        <f>SUM(AJ$2:$AJ565)</f>
        <v>564</v>
      </c>
    </row>
    <row r="566" spans="1:37">
      <c r="A566" t="s">
        <v>1688</v>
      </c>
      <c r="B566" t="s">
        <v>1773</v>
      </c>
      <c r="C566" t="s">
        <v>1726</v>
      </c>
      <c r="D566">
        <v>35500</v>
      </c>
      <c r="E566" t="s">
        <v>1774</v>
      </c>
      <c r="F566">
        <v>9745</v>
      </c>
      <c r="G566">
        <v>795</v>
      </c>
      <c r="I566">
        <v>1806</v>
      </c>
      <c r="J566">
        <v>6644</v>
      </c>
      <c r="K566">
        <v>0</v>
      </c>
      <c r="L566">
        <v>0</v>
      </c>
      <c r="M566">
        <v>0</v>
      </c>
      <c r="N566">
        <v>5315</v>
      </c>
      <c r="O566">
        <v>0</v>
      </c>
      <c r="P566">
        <v>0</v>
      </c>
      <c r="R566">
        <v>0</v>
      </c>
      <c r="S566">
        <v>0</v>
      </c>
      <c r="T566" t="s">
        <v>102</v>
      </c>
      <c r="U566">
        <v>6</v>
      </c>
      <c r="V566" t="s">
        <v>1283</v>
      </c>
      <c r="W566" t="s">
        <v>108</v>
      </c>
      <c r="X566" t="s">
        <v>108</v>
      </c>
      <c r="Y566" t="s">
        <v>89</v>
      </c>
      <c r="Z566">
        <v>1</v>
      </c>
      <c r="AA566">
        <f>IF(AND(D566&gt;=配装计算器!$I$29,D566&lt;=配装计算器!$I$30),1,0)</f>
        <v>1</v>
      </c>
      <c r="AB566">
        <f t="shared" si="191"/>
        <v>1</v>
      </c>
      <c r="AC566">
        <f t="shared" si="192"/>
        <v>0</v>
      </c>
      <c r="AD566">
        <f t="shared" si="193"/>
        <v>0</v>
      </c>
      <c r="AE566">
        <f t="shared" si="194"/>
        <v>0</v>
      </c>
      <c r="AF566">
        <f t="shared" si="195"/>
        <v>1</v>
      </c>
      <c r="AG566">
        <f t="shared" si="196"/>
        <v>0</v>
      </c>
      <c r="AH566">
        <f t="shared" si="197"/>
        <v>0</v>
      </c>
      <c r="AI566">
        <f t="shared" si="198"/>
        <v>0</v>
      </c>
      <c r="AJ566">
        <f t="shared" si="199"/>
        <v>1</v>
      </c>
      <c r="AK566">
        <f>SUM(AJ$2:$AJ566)</f>
        <v>565</v>
      </c>
    </row>
    <row r="567" spans="1:37">
      <c r="A567" t="s">
        <v>1688</v>
      </c>
      <c r="B567" t="s">
        <v>1775</v>
      </c>
      <c r="C567" t="s">
        <v>1717</v>
      </c>
      <c r="D567">
        <v>35900</v>
      </c>
      <c r="E567" t="s">
        <v>1776</v>
      </c>
      <c r="F567">
        <v>9855</v>
      </c>
      <c r="G567">
        <v>804</v>
      </c>
      <c r="I567">
        <v>1826</v>
      </c>
      <c r="J567">
        <v>6719</v>
      </c>
      <c r="K567">
        <v>0</v>
      </c>
      <c r="L567">
        <v>0</v>
      </c>
      <c r="M567">
        <v>0</v>
      </c>
      <c r="N567">
        <v>5375</v>
      </c>
      <c r="O567">
        <v>0</v>
      </c>
      <c r="P567">
        <v>0</v>
      </c>
      <c r="R567">
        <v>0</v>
      </c>
      <c r="S567">
        <v>0</v>
      </c>
      <c r="T567" t="s">
        <v>102</v>
      </c>
      <c r="U567">
        <v>6</v>
      </c>
      <c r="V567" t="s">
        <v>1283</v>
      </c>
      <c r="W567" t="s">
        <v>108</v>
      </c>
      <c r="X567" t="s">
        <v>108</v>
      </c>
      <c r="Y567" t="s">
        <v>89</v>
      </c>
      <c r="Z567">
        <v>1</v>
      </c>
      <c r="AA567">
        <f>IF(AND(D567&gt;=配装计算器!$I$29,D567&lt;=配装计算器!$I$30),1,0)</f>
        <v>1</v>
      </c>
      <c r="AB567">
        <f t="shared" ref="AB567:AB598" si="200">IF(J567&gt;0,1,0)</f>
        <v>1</v>
      </c>
      <c r="AC567">
        <f t="shared" ref="AC567:AC598" si="201">IF(K567&gt;0,1,0)</f>
        <v>0</v>
      </c>
      <c r="AD567">
        <f t="shared" ref="AD567:AD598" si="202">IF(L567&gt;0,1,0)</f>
        <v>0</v>
      </c>
      <c r="AE567">
        <f t="shared" ref="AE567:AE598" si="203">IF(M567&gt;0,1,0)</f>
        <v>0</v>
      </c>
      <c r="AF567">
        <f t="shared" ref="AF567:AF598" si="204">IF(N567&gt;0,1,0)</f>
        <v>1</v>
      </c>
      <c r="AG567">
        <f t="shared" ref="AG567:AG598" si="205">IF(O567&gt;0,1,0)</f>
        <v>0</v>
      </c>
      <c r="AH567">
        <f t="shared" ref="AH567:AH598" si="206">IF(P567&gt;0,1,0)</f>
        <v>0</v>
      </c>
      <c r="AI567">
        <f t="shared" ref="AI567:AI598" si="207">IF(COUNTIF(T567,"*"&amp;"精简"&amp;"*")&gt;0,1,0)</f>
        <v>0</v>
      </c>
      <c r="AJ567">
        <f t="shared" ref="AJ567:AJ598" si="208">MIN(1,AA567*($AY$2+IF(AND(AB567&gt;=$AQ$3,AC567&gt;=$AR$3,AD567&gt;=$AS$3,AE567&gt;=$AT$3,AF567&gt;=$AU$3,AG567&gt;=$AV$3,AH567&gt;=$AW$3,AI567&gt;=$AX$3),1,0)))</f>
        <v>1</v>
      </c>
      <c r="AK567">
        <f>SUM(AJ$2:$AJ567)</f>
        <v>566</v>
      </c>
    </row>
    <row r="568" spans="1:37">
      <c r="A568" t="s">
        <v>1688</v>
      </c>
      <c r="B568" t="s">
        <v>1777</v>
      </c>
      <c r="C568" t="s">
        <v>1778</v>
      </c>
      <c r="D568">
        <v>36200</v>
      </c>
      <c r="E568" t="s">
        <v>1779</v>
      </c>
      <c r="F568">
        <v>9937</v>
      </c>
      <c r="G568">
        <v>753</v>
      </c>
      <c r="I568">
        <v>1227</v>
      </c>
      <c r="J568">
        <v>6775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2710</v>
      </c>
      <c r="R568">
        <v>0</v>
      </c>
      <c r="S568">
        <v>0</v>
      </c>
      <c r="T568" t="s">
        <v>93</v>
      </c>
      <c r="U568">
        <v>6</v>
      </c>
      <c r="V568" t="s">
        <v>145</v>
      </c>
      <c r="W568" t="s">
        <v>233</v>
      </c>
      <c r="X568" t="s">
        <v>233</v>
      </c>
      <c r="Y568" t="s">
        <v>89</v>
      </c>
      <c r="Z568">
        <v>2</v>
      </c>
      <c r="AA568">
        <f>IF(AND(D568&gt;=配装计算器!$I$29,D568&lt;=配装计算器!$I$30),1,0)</f>
        <v>1</v>
      </c>
      <c r="AB568">
        <f t="shared" si="200"/>
        <v>1</v>
      </c>
      <c r="AC568">
        <f t="shared" si="201"/>
        <v>0</v>
      </c>
      <c r="AD568">
        <f t="shared" si="202"/>
        <v>0</v>
      </c>
      <c r="AE568">
        <f t="shared" si="203"/>
        <v>0</v>
      </c>
      <c r="AF568">
        <f t="shared" si="204"/>
        <v>0</v>
      </c>
      <c r="AG568">
        <f t="shared" si="205"/>
        <v>0</v>
      </c>
      <c r="AH568">
        <f t="shared" si="206"/>
        <v>1</v>
      </c>
      <c r="AI568">
        <f t="shared" si="207"/>
        <v>0</v>
      </c>
      <c r="AJ568">
        <f t="shared" si="208"/>
        <v>1</v>
      </c>
      <c r="AK568">
        <f>SUM(AJ$2:$AJ568)</f>
        <v>567</v>
      </c>
    </row>
    <row r="569" spans="1:37">
      <c r="A569" t="s">
        <v>1688</v>
      </c>
      <c r="B569" t="s">
        <v>1780</v>
      </c>
      <c r="C569" t="s">
        <v>1781</v>
      </c>
      <c r="D569">
        <v>37900</v>
      </c>
      <c r="E569" t="s">
        <v>1782</v>
      </c>
      <c r="F569">
        <v>11559</v>
      </c>
      <c r="G569">
        <v>943</v>
      </c>
      <c r="I569">
        <v>2142</v>
      </c>
      <c r="J569">
        <v>0</v>
      </c>
      <c r="K569">
        <v>0</v>
      </c>
      <c r="L569">
        <v>0</v>
      </c>
      <c r="M569">
        <v>7881</v>
      </c>
      <c r="N569">
        <v>6305</v>
      </c>
      <c r="O569">
        <v>0</v>
      </c>
      <c r="P569">
        <v>0</v>
      </c>
      <c r="R569">
        <v>0</v>
      </c>
      <c r="S569">
        <v>0</v>
      </c>
      <c r="T569" t="s">
        <v>1731</v>
      </c>
      <c r="U569">
        <v>8</v>
      </c>
      <c r="V569" t="s">
        <v>87</v>
      </c>
      <c r="W569" t="s">
        <v>185</v>
      </c>
      <c r="X569" t="s">
        <v>185</v>
      </c>
      <c r="Y569" t="s">
        <v>89</v>
      </c>
      <c r="Z569">
        <v>1</v>
      </c>
      <c r="AA569">
        <f>IF(AND(D569&gt;=配装计算器!$I$29,D569&lt;=配装计算器!$I$30),1,0)</f>
        <v>1</v>
      </c>
      <c r="AB569">
        <f t="shared" si="200"/>
        <v>0</v>
      </c>
      <c r="AC569">
        <f t="shared" si="201"/>
        <v>0</v>
      </c>
      <c r="AD569">
        <f t="shared" si="202"/>
        <v>0</v>
      </c>
      <c r="AE569">
        <f t="shared" si="203"/>
        <v>1</v>
      </c>
      <c r="AF569">
        <f t="shared" si="204"/>
        <v>1</v>
      </c>
      <c r="AG569">
        <f t="shared" si="205"/>
        <v>0</v>
      </c>
      <c r="AH569">
        <f t="shared" si="206"/>
        <v>0</v>
      </c>
      <c r="AI569">
        <f t="shared" si="207"/>
        <v>0</v>
      </c>
      <c r="AJ569">
        <f t="shared" si="208"/>
        <v>1</v>
      </c>
      <c r="AK569">
        <f>SUM(AJ$2:$AJ569)</f>
        <v>568</v>
      </c>
    </row>
    <row r="570" spans="1:37">
      <c r="A570" t="s">
        <v>1688</v>
      </c>
      <c r="B570" t="s">
        <v>1783</v>
      </c>
      <c r="C570" t="s">
        <v>1784</v>
      </c>
      <c r="D570">
        <v>37900</v>
      </c>
      <c r="E570" t="s">
        <v>1785</v>
      </c>
      <c r="F570">
        <v>11559</v>
      </c>
      <c r="G570">
        <v>943</v>
      </c>
      <c r="I570">
        <v>2142</v>
      </c>
      <c r="J570">
        <v>0</v>
      </c>
      <c r="K570">
        <v>0</v>
      </c>
      <c r="L570">
        <v>7881</v>
      </c>
      <c r="M570">
        <v>0</v>
      </c>
      <c r="N570">
        <v>6305</v>
      </c>
      <c r="O570">
        <v>0</v>
      </c>
      <c r="P570">
        <v>0</v>
      </c>
      <c r="R570">
        <v>0</v>
      </c>
      <c r="S570">
        <v>0</v>
      </c>
      <c r="T570" t="s">
        <v>1735</v>
      </c>
      <c r="U570">
        <v>8</v>
      </c>
      <c r="V570" t="s">
        <v>87</v>
      </c>
      <c r="W570" t="s">
        <v>135</v>
      </c>
      <c r="X570" t="s">
        <v>135</v>
      </c>
      <c r="Y570" t="s">
        <v>89</v>
      </c>
      <c r="Z570">
        <v>1</v>
      </c>
      <c r="AA570">
        <f>IF(AND(D570&gt;=配装计算器!$I$29,D570&lt;=配装计算器!$I$30),1,0)</f>
        <v>1</v>
      </c>
      <c r="AB570">
        <f t="shared" si="200"/>
        <v>0</v>
      </c>
      <c r="AC570">
        <f t="shared" si="201"/>
        <v>0</v>
      </c>
      <c r="AD570">
        <f t="shared" si="202"/>
        <v>1</v>
      </c>
      <c r="AE570">
        <f t="shared" si="203"/>
        <v>0</v>
      </c>
      <c r="AF570">
        <f t="shared" si="204"/>
        <v>1</v>
      </c>
      <c r="AG570">
        <f t="shared" si="205"/>
        <v>0</v>
      </c>
      <c r="AH570">
        <f t="shared" si="206"/>
        <v>0</v>
      </c>
      <c r="AI570">
        <f t="shared" si="207"/>
        <v>0</v>
      </c>
      <c r="AJ570">
        <f t="shared" si="208"/>
        <v>1</v>
      </c>
      <c r="AK570">
        <f>SUM(AJ$2:$AJ570)</f>
        <v>569</v>
      </c>
    </row>
    <row r="571" spans="1:37">
      <c r="A571" t="s">
        <v>1688</v>
      </c>
      <c r="B571" t="s">
        <v>1786</v>
      </c>
      <c r="C571" t="s">
        <v>1787</v>
      </c>
      <c r="D571">
        <v>37900</v>
      </c>
      <c r="E571" t="s">
        <v>1788</v>
      </c>
      <c r="F571">
        <v>11559</v>
      </c>
      <c r="G571">
        <v>943</v>
      </c>
      <c r="I571">
        <v>2142</v>
      </c>
      <c r="J571">
        <v>0</v>
      </c>
      <c r="K571">
        <v>0</v>
      </c>
      <c r="L571">
        <v>0</v>
      </c>
      <c r="M571">
        <v>0</v>
      </c>
      <c r="N571">
        <v>6305</v>
      </c>
      <c r="O571">
        <v>7881</v>
      </c>
      <c r="P571">
        <v>0</v>
      </c>
      <c r="R571">
        <v>0</v>
      </c>
      <c r="S571">
        <v>0</v>
      </c>
      <c r="T571" t="s">
        <v>1739</v>
      </c>
      <c r="U571">
        <v>8</v>
      </c>
      <c r="V571" t="s">
        <v>87</v>
      </c>
      <c r="W571" t="s">
        <v>88</v>
      </c>
      <c r="X571" t="s">
        <v>88</v>
      </c>
      <c r="Y571" t="s">
        <v>89</v>
      </c>
      <c r="Z571">
        <v>1</v>
      </c>
      <c r="AA571">
        <f>IF(AND(D571&gt;=配装计算器!$I$29,D571&lt;=配装计算器!$I$30),1,0)</f>
        <v>1</v>
      </c>
      <c r="AB571">
        <f t="shared" si="200"/>
        <v>0</v>
      </c>
      <c r="AC571">
        <f t="shared" si="201"/>
        <v>0</v>
      </c>
      <c r="AD571">
        <f t="shared" si="202"/>
        <v>0</v>
      </c>
      <c r="AE571">
        <f t="shared" si="203"/>
        <v>0</v>
      </c>
      <c r="AF571">
        <f t="shared" si="204"/>
        <v>1</v>
      </c>
      <c r="AG571">
        <f t="shared" si="205"/>
        <v>1</v>
      </c>
      <c r="AH571">
        <f t="shared" si="206"/>
        <v>0</v>
      </c>
      <c r="AI571">
        <f t="shared" si="207"/>
        <v>0</v>
      </c>
      <c r="AJ571">
        <f t="shared" si="208"/>
        <v>1</v>
      </c>
      <c r="AK571">
        <f>SUM(AJ$2:$AJ571)</f>
        <v>570</v>
      </c>
    </row>
    <row r="572" spans="1:37">
      <c r="A572" t="s">
        <v>1688</v>
      </c>
      <c r="B572" t="s">
        <v>1789</v>
      </c>
      <c r="C572" t="s">
        <v>1790</v>
      </c>
      <c r="D572">
        <v>37900</v>
      </c>
      <c r="E572" t="s">
        <v>1791</v>
      </c>
      <c r="F572">
        <v>11559</v>
      </c>
      <c r="G572">
        <v>0</v>
      </c>
      <c r="I572">
        <v>1428</v>
      </c>
      <c r="J572">
        <v>0</v>
      </c>
      <c r="K572">
        <v>0</v>
      </c>
      <c r="L572">
        <v>0</v>
      </c>
      <c r="M572">
        <v>21017</v>
      </c>
      <c r="N572">
        <v>6305</v>
      </c>
      <c r="O572">
        <v>0</v>
      </c>
      <c r="P572">
        <v>0</v>
      </c>
      <c r="R572">
        <v>0</v>
      </c>
      <c r="S572">
        <v>0</v>
      </c>
      <c r="T572" t="s">
        <v>1792</v>
      </c>
      <c r="U572">
        <v>8</v>
      </c>
      <c r="V572" t="s">
        <v>98</v>
      </c>
      <c r="W572" t="s">
        <v>154</v>
      </c>
      <c r="X572" t="s">
        <v>154</v>
      </c>
      <c r="Y572" t="s">
        <v>89</v>
      </c>
      <c r="Z572">
        <v>1</v>
      </c>
      <c r="AA572">
        <f>IF(AND(D572&gt;=配装计算器!$I$29,D572&lt;=配装计算器!$I$30),1,0)</f>
        <v>1</v>
      </c>
      <c r="AB572">
        <f t="shared" si="200"/>
        <v>0</v>
      </c>
      <c r="AC572">
        <f t="shared" si="201"/>
        <v>0</v>
      </c>
      <c r="AD572">
        <f t="shared" si="202"/>
        <v>0</v>
      </c>
      <c r="AE572">
        <f t="shared" si="203"/>
        <v>1</v>
      </c>
      <c r="AF572">
        <f t="shared" si="204"/>
        <v>1</v>
      </c>
      <c r="AG572">
        <f t="shared" si="205"/>
        <v>0</v>
      </c>
      <c r="AH572">
        <f t="shared" si="206"/>
        <v>0</v>
      </c>
      <c r="AI572">
        <f t="shared" si="207"/>
        <v>1</v>
      </c>
      <c r="AJ572">
        <f t="shared" si="208"/>
        <v>1</v>
      </c>
      <c r="AK572">
        <f>SUM(AJ$2:$AJ572)</f>
        <v>571</v>
      </c>
    </row>
    <row r="573" spans="1:37">
      <c r="A573" t="s">
        <v>1688</v>
      </c>
      <c r="B573" t="s">
        <v>1793</v>
      </c>
      <c r="C573" t="s">
        <v>1790</v>
      </c>
      <c r="D573">
        <v>37900</v>
      </c>
      <c r="E573" t="s">
        <v>1794</v>
      </c>
      <c r="F573">
        <v>11559</v>
      </c>
      <c r="G573">
        <v>0</v>
      </c>
      <c r="I573">
        <v>1428</v>
      </c>
      <c r="J573">
        <v>0</v>
      </c>
      <c r="K573">
        <v>0</v>
      </c>
      <c r="L573">
        <v>20492</v>
      </c>
      <c r="M573">
        <v>0</v>
      </c>
      <c r="N573">
        <v>6305</v>
      </c>
      <c r="O573">
        <v>0</v>
      </c>
      <c r="P573">
        <v>0</v>
      </c>
      <c r="R573">
        <v>0</v>
      </c>
      <c r="S573">
        <v>0</v>
      </c>
      <c r="T573" t="s">
        <v>1795</v>
      </c>
      <c r="U573">
        <v>8</v>
      </c>
      <c r="V573" t="s">
        <v>98</v>
      </c>
      <c r="W573" t="s">
        <v>135</v>
      </c>
      <c r="X573" t="s">
        <v>135</v>
      </c>
      <c r="Y573" t="s">
        <v>89</v>
      </c>
      <c r="Z573">
        <v>1</v>
      </c>
      <c r="AA573">
        <f>IF(AND(D573&gt;=配装计算器!$I$29,D573&lt;=配装计算器!$I$30),1,0)</f>
        <v>1</v>
      </c>
      <c r="AB573">
        <f t="shared" si="200"/>
        <v>0</v>
      </c>
      <c r="AC573">
        <f t="shared" si="201"/>
        <v>0</v>
      </c>
      <c r="AD573">
        <f t="shared" si="202"/>
        <v>1</v>
      </c>
      <c r="AE573">
        <f t="shared" si="203"/>
        <v>0</v>
      </c>
      <c r="AF573">
        <f t="shared" si="204"/>
        <v>1</v>
      </c>
      <c r="AG573">
        <f t="shared" si="205"/>
        <v>0</v>
      </c>
      <c r="AH573">
        <f t="shared" si="206"/>
        <v>0</v>
      </c>
      <c r="AI573">
        <f t="shared" si="207"/>
        <v>1</v>
      </c>
      <c r="AJ573">
        <f t="shared" si="208"/>
        <v>1</v>
      </c>
      <c r="AK573">
        <f>SUM(AJ$2:$AJ573)</f>
        <v>572</v>
      </c>
    </row>
    <row r="574" spans="1:37">
      <c r="A574" t="s">
        <v>1688</v>
      </c>
      <c r="B574" t="s">
        <v>1796</v>
      </c>
      <c r="C574" t="s">
        <v>1790</v>
      </c>
      <c r="D574">
        <v>37900</v>
      </c>
      <c r="E574" t="s">
        <v>1797</v>
      </c>
      <c r="F574">
        <v>11559</v>
      </c>
      <c r="G574">
        <v>0</v>
      </c>
      <c r="I574">
        <v>1428</v>
      </c>
      <c r="J574">
        <v>20492</v>
      </c>
      <c r="K574">
        <v>0</v>
      </c>
      <c r="L574">
        <v>0</v>
      </c>
      <c r="M574">
        <v>0</v>
      </c>
      <c r="N574">
        <v>6305</v>
      </c>
      <c r="O574">
        <v>0</v>
      </c>
      <c r="P574">
        <v>0</v>
      </c>
      <c r="R574">
        <v>0</v>
      </c>
      <c r="S574">
        <v>0</v>
      </c>
      <c r="T574" t="s">
        <v>1743</v>
      </c>
      <c r="U574">
        <v>8</v>
      </c>
      <c r="V574" t="s">
        <v>98</v>
      </c>
      <c r="W574" t="s">
        <v>123</v>
      </c>
      <c r="X574" t="s">
        <v>123</v>
      </c>
      <c r="Y574" t="s">
        <v>89</v>
      </c>
      <c r="Z574">
        <v>1</v>
      </c>
      <c r="AA574">
        <f>IF(AND(D574&gt;=配装计算器!$I$29,D574&lt;=配装计算器!$I$30),1,0)</f>
        <v>1</v>
      </c>
      <c r="AB574">
        <f t="shared" si="200"/>
        <v>1</v>
      </c>
      <c r="AC574">
        <f t="shared" si="201"/>
        <v>0</v>
      </c>
      <c r="AD574">
        <f t="shared" si="202"/>
        <v>0</v>
      </c>
      <c r="AE574">
        <f t="shared" si="203"/>
        <v>0</v>
      </c>
      <c r="AF574">
        <f t="shared" si="204"/>
        <v>1</v>
      </c>
      <c r="AG574">
        <f t="shared" si="205"/>
        <v>0</v>
      </c>
      <c r="AH574">
        <f t="shared" si="206"/>
        <v>0</v>
      </c>
      <c r="AI574">
        <f t="shared" si="207"/>
        <v>1</v>
      </c>
      <c r="AJ574">
        <f t="shared" si="208"/>
        <v>1</v>
      </c>
      <c r="AK574">
        <f>SUM(AJ$2:$AJ574)</f>
        <v>573</v>
      </c>
    </row>
    <row r="575" spans="1:37">
      <c r="A575" t="s">
        <v>1688</v>
      </c>
      <c r="B575" t="s">
        <v>1798</v>
      </c>
      <c r="C575" t="s">
        <v>1790</v>
      </c>
      <c r="D575">
        <v>38100</v>
      </c>
      <c r="E575" t="s">
        <v>1799</v>
      </c>
      <c r="F575">
        <v>10458</v>
      </c>
      <c r="G575">
        <v>0</v>
      </c>
      <c r="I575">
        <v>3036</v>
      </c>
      <c r="J575">
        <v>4754</v>
      </c>
      <c r="K575">
        <v>0</v>
      </c>
      <c r="L575">
        <v>4754</v>
      </c>
      <c r="M575">
        <v>4754</v>
      </c>
      <c r="N575">
        <v>4754</v>
      </c>
      <c r="O575">
        <v>0</v>
      </c>
      <c r="P575">
        <v>0</v>
      </c>
      <c r="R575">
        <v>0</v>
      </c>
      <c r="S575">
        <v>0</v>
      </c>
      <c r="T575" t="s">
        <v>504</v>
      </c>
      <c r="U575">
        <v>6</v>
      </c>
      <c r="V575" t="s">
        <v>98</v>
      </c>
      <c r="W575" t="s">
        <v>94</v>
      </c>
      <c r="X575" t="s">
        <v>94</v>
      </c>
      <c r="Y575" t="s">
        <v>89</v>
      </c>
      <c r="Z575">
        <v>1</v>
      </c>
      <c r="AA575">
        <f>IF(AND(D575&gt;=配装计算器!$I$29,D575&lt;=配装计算器!$I$30),1,0)</f>
        <v>1</v>
      </c>
      <c r="AB575">
        <f t="shared" si="200"/>
        <v>1</v>
      </c>
      <c r="AC575">
        <f t="shared" si="201"/>
        <v>0</v>
      </c>
      <c r="AD575">
        <f t="shared" si="202"/>
        <v>1</v>
      </c>
      <c r="AE575">
        <f t="shared" si="203"/>
        <v>1</v>
      </c>
      <c r="AF575">
        <f t="shared" si="204"/>
        <v>1</v>
      </c>
      <c r="AG575">
        <f t="shared" si="205"/>
        <v>0</v>
      </c>
      <c r="AH575">
        <f t="shared" si="206"/>
        <v>0</v>
      </c>
      <c r="AI575">
        <f t="shared" si="207"/>
        <v>1</v>
      </c>
      <c r="AJ575">
        <f t="shared" si="208"/>
        <v>1</v>
      </c>
      <c r="AK575">
        <f>SUM(AJ$2:$AJ575)</f>
        <v>574</v>
      </c>
    </row>
    <row r="576" spans="1:37">
      <c r="A576" t="s">
        <v>1688</v>
      </c>
      <c r="B576" t="s">
        <v>1800</v>
      </c>
      <c r="C576" t="s">
        <v>1790</v>
      </c>
      <c r="D576">
        <v>38100</v>
      </c>
      <c r="E576" t="s">
        <v>1801</v>
      </c>
      <c r="F576">
        <v>10458</v>
      </c>
      <c r="G576">
        <v>0</v>
      </c>
      <c r="I576">
        <v>3746</v>
      </c>
      <c r="J576">
        <v>8557</v>
      </c>
      <c r="K576">
        <v>3565</v>
      </c>
      <c r="L576">
        <v>0</v>
      </c>
      <c r="M576">
        <v>3565</v>
      </c>
      <c r="N576">
        <v>0</v>
      </c>
      <c r="O576">
        <v>0</v>
      </c>
      <c r="P576">
        <v>0</v>
      </c>
      <c r="R576">
        <v>0</v>
      </c>
      <c r="S576">
        <v>0</v>
      </c>
      <c r="T576" t="s">
        <v>157</v>
      </c>
      <c r="U576">
        <v>6</v>
      </c>
      <c r="V576" t="s">
        <v>98</v>
      </c>
      <c r="W576" t="s">
        <v>135</v>
      </c>
      <c r="X576" t="s">
        <v>135</v>
      </c>
      <c r="Y576" t="s">
        <v>89</v>
      </c>
      <c r="Z576">
        <v>1</v>
      </c>
      <c r="AA576">
        <f>IF(AND(D576&gt;=配装计算器!$I$29,D576&lt;=配装计算器!$I$30),1,0)</f>
        <v>1</v>
      </c>
      <c r="AB576">
        <f t="shared" si="200"/>
        <v>1</v>
      </c>
      <c r="AC576">
        <f t="shared" si="201"/>
        <v>1</v>
      </c>
      <c r="AD576">
        <f t="shared" si="202"/>
        <v>0</v>
      </c>
      <c r="AE576">
        <f t="shared" si="203"/>
        <v>1</v>
      </c>
      <c r="AF576">
        <f t="shared" si="204"/>
        <v>0</v>
      </c>
      <c r="AG576">
        <f t="shared" si="205"/>
        <v>0</v>
      </c>
      <c r="AH576">
        <f t="shared" si="206"/>
        <v>0</v>
      </c>
      <c r="AI576">
        <f t="shared" si="207"/>
        <v>1</v>
      </c>
      <c r="AJ576">
        <f t="shared" si="208"/>
        <v>1</v>
      </c>
      <c r="AK576">
        <f>SUM(AJ$2:$AJ576)</f>
        <v>575</v>
      </c>
    </row>
    <row r="577" spans="1:37">
      <c r="A577" t="s">
        <v>1688</v>
      </c>
      <c r="B577" t="s">
        <v>1802</v>
      </c>
      <c r="C577" t="s">
        <v>1790</v>
      </c>
      <c r="D577">
        <v>38100</v>
      </c>
      <c r="E577" t="s">
        <v>1803</v>
      </c>
      <c r="F577">
        <v>10458</v>
      </c>
      <c r="G577">
        <v>0</v>
      </c>
      <c r="I577">
        <v>3746</v>
      </c>
      <c r="J577">
        <v>8557</v>
      </c>
      <c r="K577">
        <v>3565</v>
      </c>
      <c r="L577">
        <v>0</v>
      </c>
      <c r="M577">
        <v>0</v>
      </c>
      <c r="N577">
        <v>3565</v>
      </c>
      <c r="O577">
        <v>0</v>
      </c>
      <c r="P577">
        <v>0</v>
      </c>
      <c r="R577">
        <v>0</v>
      </c>
      <c r="S577">
        <v>0</v>
      </c>
      <c r="T577" t="s">
        <v>141</v>
      </c>
      <c r="U577">
        <v>6</v>
      </c>
      <c r="V577" t="s">
        <v>98</v>
      </c>
      <c r="W577" t="s">
        <v>135</v>
      </c>
      <c r="X577" t="s">
        <v>135</v>
      </c>
      <c r="Y577" t="s">
        <v>89</v>
      </c>
      <c r="Z577">
        <v>1</v>
      </c>
      <c r="AA577">
        <f>IF(AND(D577&gt;=配装计算器!$I$29,D577&lt;=配装计算器!$I$30),1,0)</f>
        <v>1</v>
      </c>
      <c r="AB577">
        <f t="shared" si="200"/>
        <v>1</v>
      </c>
      <c r="AC577">
        <f t="shared" si="201"/>
        <v>1</v>
      </c>
      <c r="AD577">
        <f t="shared" si="202"/>
        <v>0</v>
      </c>
      <c r="AE577">
        <f t="shared" si="203"/>
        <v>0</v>
      </c>
      <c r="AF577">
        <f t="shared" si="204"/>
        <v>1</v>
      </c>
      <c r="AG577">
        <f t="shared" si="205"/>
        <v>0</v>
      </c>
      <c r="AH577">
        <f t="shared" si="206"/>
        <v>0</v>
      </c>
      <c r="AI577">
        <f t="shared" si="207"/>
        <v>1</v>
      </c>
      <c r="AJ577">
        <f t="shared" si="208"/>
        <v>1</v>
      </c>
      <c r="AK577">
        <f>SUM(AJ$2:$AJ577)</f>
        <v>576</v>
      </c>
    </row>
    <row r="578" spans="1:37">
      <c r="A578" t="s">
        <v>1688</v>
      </c>
      <c r="B578" t="s">
        <v>1804</v>
      </c>
      <c r="C578" t="s">
        <v>1726</v>
      </c>
      <c r="D578">
        <v>38500</v>
      </c>
      <c r="E578" t="s">
        <v>1805</v>
      </c>
      <c r="F578">
        <v>11743</v>
      </c>
      <c r="G578">
        <v>958</v>
      </c>
      <c r="I578">
        <v>2176</v>
      </c>
      <c r="J578">
        <v>8006</v>
      </c>
      <c r="K578">
        <v>0</v>
      </c>
      <c r="L578">
        <v>0</v>
      </c>
      <c r="M578">
        <v>0</v>
      </c>
      <c r="N578">
        <v>6405</v>
      </c>
      <c r="O578">
        <v>0</v>
      </c>
      <c r="P578">
        <v>0</v>
      </c>
      <c r="R578">
        <v>0</v>
      </c>
      <c r="S578">
        <v>0</v>
      </c>
      <c r="T578" t="s">
        <v>1758</v>
      </c>
      <c r="U578">
        <v>8</v>
      </c>
      <c r="V578" t="s">
        <v>1283</v>
      </c>
      <c r="W578" t="s">
        <v>108</v>
      </c>
      <c r="X578" t="s">
        <v>108</v>
      </c>
      <c r="Y578" t="s">
        <v>89</v>
      </c>
      <c r="Z578">
        <v>1</v>
      </c>
      <c r="AA578">
        <f>IF(AND(D578&gt;=配装计算器!$I$29,D578&lt;=配装计算器!$I$30),1,0)</f>
        <v>1</v>
      </c>
      <c r="AB578">
        <f t="shared" si="200"/>
        <v>1</v>
      </c>
      <c r="AC578">
        <f t="shared" si="201"/>
        <v>0</v>
      </c>
      <c r="AD578">
        <f t="shared" si="202"/>
        <v>0</v>
      </c>
      <c r="AE578">
        <f t="shared" si="203"/>
        <v>0</v>
      </c>
      <c r="AF578">
        <f t="shared" si="204"/>
        <v>1</v>
      </c>
      <c r="AG578">
        <f t="shared" si="205"/>
        <v>0</v>
      </c>
      <c r="AH578">
        <f t="shared" si="206"/>
        <v>0</v>
      </c>
      <c r="AI578">
        <f t="shared" si="207"/>
        <v>0</v>
      </c>
      <c r="AJ578">
        <f t="shared" si="208"/>
        <v>1</v>
      </c>
      <c r="AK578">
        <f>SUM(AJ$2:$AJ578)</f>
        <v>577</v>
      </c>
    </row>
    <row r="579" spans="1:37">
      <c r="A579" t="s">
        <v>1688</v>
      </c>
      <c r="B579" t="s">
        <v>1806</v>
      </c>
      <c r="C579" t="s">
        <v>1726</v>
      </c>
      <c r="D579">
        <v>38800</v>
      </c>
      <c r="E579" t="s">
        <v>1807</v>
      </c>
      <c r="F579">
        <v>10651</v>
      </c>
      <c r="G579">
        <v>869</v>
      </c>
      <c r="I579">
        <v>1973</v>
      </c>
      <c r="J579">
        <v>7262</v>
      </c>
      <c r="K579">
        <v>0</v>
      </c>
      <c r="L579">
        <v>0</v>
      </c>
      <c r="M579">
        <v>0</v>
      </c>
      <c r="N579">
        <v>5809</v>
      </c>
      <c r="O579">
        <v>0</v>
      </c>
      <c r="P579">
        <v>0</v>
      </c>
      <c r="R579">
        <v>0</v>
      </c>
      <c r="S579">
        <v>0</v>
      </c>
      <c r="T579" t="s">
        <v>102</v>
      </c>
      <c r="U579">
        <v>6</v>
      </c>
      <c r="V579" t="s">
        <v>1283</v>
      </c>
      <c r="W579" t="s">
        <v>108</v>
      </c>
      <c r="X579" t="s">
        <v>108</v>
      </c>
      <c r="Y579" t="s">
        <v>89</v>
      </c>
      <c r="Z579">
        <v>1</v>
      </c>
      <c r="AA579">
        <f>IF(AND(D579&gt;=配装计算器!$I$29,D579&lt;=配装计算器!$I$30),1,0)</f>
        <v>1</v>
      </c>
      <c r="AB579">
        <f t="shared" si="200"/>
        <v>1</v>
      </c>
      <c r="AC579">
        <f t="shared" si="201"/>
        <v>0</v>
      </c>
      <c r="AD579">
        <f t="shared" si="202"/>
        <v>0</v>
      </c>
      <c r="AE579">
        <f t="shared" si="203"/>
        <v>0</v>
      </c>
      <c r="AF579">
        <f t="shared" si="204"/>
        <v>1</v>
      </c>
      <c r="AG579">
        <f t="shared" si="205"/>
        <v>0</v>
      </c>
      <c r="AH579">
        <f t="shared" si="206"/>
        <v>0</v>
      </c>
      <c r="AI579">
        <f t="shared" si="207"/>
        <v>0</v>
      </c>
      <c r="AJ579">
        <f t="shared" si="208"/>
        <v>1</v>
      </c>
      <c r="AK579">
        <f>SUM(AJ$2:$AJ579)</f>
        <v>578</v>
      </c>
    </row>
    <row r="580" spans="1:37">
      <c r="A580" t="s">
        <v>1688</v>
      </c>
      <c r="B580" t="s">
        <v>1808</v>
      </c>
      <c r="C580" t="s">
        <v>1781</v>
      </c>
      <c r="D580">
        <v>41400</v>
      </c>
      <c r="E580" t="s">
        <v>1809</v>
      </c>
      <c r="F580">
        <v>11364</v>
      </c>
      <c r="G580">
        <v>927</v>
      </c>
      <c r="I580">
        <v>2106</v>
      </c>
      <c r="J580">
        <v>0</v>
      </c>
      <c r="K580">
        <v>0</v>
      </c>
      <c r="L580">
        <v>0</v>
      </c>
      <c r="M580">
        <v>7748</v>
      </c>
      <c r="N580">
        <v>6199</v>
      </c>
      <c r="O580">
        <v>0</v>
      </c>
      <c r="P580">
        <v>0</v>
      </c>
      <c r="R580">
        <v>0</v>
      </c>
      <c r="S580">
        <v>0</v>
      </c>
      <c r="T580" t="s">
        <v>107</v>
      </c>
      <c r="U580">
        <v>6</v>
      </c>
      <c r="V580" t="s">
        <v>87</v>
      </c>
      <c r="W580" t="s">
        <v>185</v>
      </c>
      <c r="X580" t="s">
        <v>185</v>
      </c>
      <c r="Y580" t="s">
        <v>89</v>
      </c>
      <c r="Z580">
        <v>1</v>
      </c>
      <c r="AA580">
        <f>IF(AND(D580&gt;=配装计算器!$I$29,D580&lt;=配装计算器!$I$30),1,0)</f>
        <v>1</v>
      </c>
      <c r="AB580">
        <f t="shared" si="200"/>
        <v>0</v>
      </c>
      <c r="AC580">
        <f t="shared" si="201"/>
        <v>0</v>
      </c>
      <c r="AD580">
        <f t="shared" si="202"/>
        <v>0</v>
      </c>
      <c r="AE580">
        <f t="shared" si="203"/>
        <v>1</v>
      </c>
      <c r="AF580">
        <f t="shared" si="204"/>
        <v>1</v>
      </c>
      <c r="AG580">
        <f t="shared" si="205"/>
        <v>0</v>
      </c>
      <c r="AH580">
        <f t="shared" si="206"/>
        <v>0</v>
      </c>
      <c r="AI580">
        <f t="shared" si="207"/>
        <v>0</v>
      </c>
      <c r="AJ580">
        <f t="shared" si="208"/>
        <v>1</v>
      </c>
      <c r="AK580">
        <f>SUM(AJ$2:$AJ580)</f>
        <v>579</v>
      </c>
    </row>
    <row r="581" spans="1:37">
      <c r="A581" t="s">
        <v>1688</v>
      </c>
      <c r="B581" t="s">
        <v>1810</v>
      </c>
      <c r="C581" t="s">
        <v>1784</v>
      </c>
      <c r="D581">
        <v>41400</v>
      </c>
      <c r="E581" t="s">
        <v>1811</v>
      </c>
      <c r="F581">
        <v>11364</v>
      </c>
      <c r="G581">
        <v>927</v>
      </c>
      <c r="I581">
        <v>2106</v>
      </c>
      <c r="J581">
        <v>0</v>
      </c>
      <c r="K581">
        <v>0</v>
      </c>
      <c r="L581">
        <v>7748</v>
      </c>
      <c r="M581">
        <v>0</v>
      </c>
      <c r="N581">
        <v>6199</v>
      </c>
      <c r="O581">
        <v>0</v>
      </c>
      <c r="P581">
        <v>0</v>
      </c>
      <c r="R581">
        <v>0</v>
      </c>
      <c r="S581">
        <v>0</v>
      </c>
      <c r="T581" t="s">
        <v>1071</v>
      </c>
      <c r="U581">
        <v>6</v>
      </c>
      <c r="V581" t="s">
        <v>87</v>
      </c>
      <c r="W581" t="s">
        <v>135</v>
      </c>
      <c r="X581" t="s">
        <v>135</v>
      </c>
      <c r="Y581" t="s">
        <v>89</v>
      </c>
      <c r="Z581">
        <v>1</v>
      </c>
      <c r="AA581">
        <f>IF(AND(D581&gt;=配装计算器!$I$29,D581&lt;=配装计算器!$I$30),1,0)</f>
        <v>1</v>
      </c>
      <c r="AB581">
        <f t="shared" si="200"/>
        <v>0</v>
      </c>
      <c r="AC581">
        <f t="shared" si="201"/>
        <v>0</v>
      </c>
      <c r="AD581">
        <f t="shared" si="202"/>
        <v>1</v>
      </c>
      <c r="AE581">
        <f t="shared" si="203"/>
        <v>0</v>
      </c>
      <c r="AF581">
        <f t="shared" si="204"/>
        <v>1</v>
      </c>
      <c r="AG581">
        <f t="shared" si="205"/>
        <v>0</v>
      </c>
      <c r="AH581">
        <f t="shared" si="206"/>
        <v>0</v>
      </c>
      <c r="AI581">
        <f t="shared" si="207"/>
        <v>0</v>
      </c>
      <c r="AJ581">
        <f t="shared" si="208"/>
        <v>1</v>
      </c>
      <c r="AK581">
        <f>SUM(AJ$2:$AJ581)</f>
        <v>580</v>
      </c>
    </row>
    <row r="582" spans="1:37">
      <c r="A582" t="s">
        <v>1688</v>
      </c>
      <c r="B582" t="s">
        <v>1812</v>
      </c>
      <c r="C582" t="s">
        <v>1787</v>
      </c>
      <c r="D582">
        <v>41400</v>
      </c>
      <c r="E582" t="s">
        <v>1813</v>
      </c>
      <c r="F582">
        <v>11364</v>
      </c>
      <c r="G582">
        <v>927</v>
      </c>
      <c r="I582">
        <v>2106</v>
      </c>
      <c r="J582">
        <v>0</v>
      </c>
      <c r="K582">
        <v>0</v>
      </c>
      <c r="L582">
        <v>0</v>
      </c>
      <c r="M582">
        <v>0</v>
      </c>
      <c r="N582">
        <v>6199</v>
      </c>
      <c r="O582">
        <v>7748</v>
      </c>
      <c r="P582">
        <v>0</v>
      </c>
      <c r="R582">
        <v>0</v>
      </c>
      <c r="S582">
        <v>0</v>
      </c>
      <c r="T582" t="s">
        <v>115</v>
      </c>
      <c r="U582">
        <v>6</v>
      </c>
      <c r="V582" t="s">
        <v>87</v>
      </c>
      <c r="W582" t="s">
        <v>88</v>
      </c>
      <c r="X582" t="s">
        <v>88</v>
      </c>
      <c r="Y582" t="s">
        <v>89</v>
      </c>
      <c r="Z582">
        <v>1</v>
      </c>
      <c r="AA582">
        <f>IF(AND(D582&gt;=配装计算器!$I$29,D582&lt;=配装计算器!$I$30),1,0)</f>
        <v>1</v>
      </c>
      <c r="AB582">
        <f t="shared" si="200"/>
        <v>0</v>
      </c>
      <c r="AC582">
        <f t="shared" si="201"/>
        <v>0</v>
      </c>
      <c r="AD582">
        <f t="shared" si="202"/>
        <v>0</v>
      </c>
      <c r="AE582">
        <f t="shared" si="203"/>
        <v>0</v>
      </c>
      <c r="AF582">
        <f t="shared" si="204"/>
        <v>1</v>
      </c>
      <c r="AG582">
        <f t="shared" si="205"/>
        <v>1</v>
      </c>
      <c r="AH582">
        <f t="shared" si="206"/>
        <v>0</v>
      </c>
      <c r="AI582">
        <f t="shared" si="207"/>
        <v>0</v>
      </c>
      <c r="AJ582">
        <f t="shared" si="208"/>
        <v>1</v>
      </c>
      <c r="AK582">
        <f>SUM(AJ$2:$AJ582)</f>
        <v>581</v>
      </c>
    </row>
    <row r="583" spans="1:37">
      <c r="A583" t="s">
        <v>1688</v>
      </c>
      <c r="B583" t="s">
        <v>1814</v>
      </c>
      <c r="C583" t="s">
        <v>1790</v>
      </c>
      <c r="D583">
        <v>41400</v>
      </c>
      <c r="E583" t="s">
        <v>1815</v>
      </c>
      <c r="F583">
        <v>11364</v>
      </c>
      <c r="G583">
        <v>0</v>
      </c>
      <c r="I583">
        <v>1404</v>
      </c>
      <c r="J583">
        <v>0</v>
      </c>
      <c r="K583">
        <v>0</v>
      </c>
      <c r="L583">
        <v>0</v>
      </c>
      <c r="M583">
        <v>20662</v>
      </c>
      <c r="N583">
        <v>6199</v>
      </c>
      <c r="O583">
        <v>0</v>
      </c>
      <c r="P583">
        <v>0</v>
      </c>
      <c r="R583">
        <v>0</v>
      </c>
      <c r="S583">
        <v>0</v>
      </c>
      <c r="T583" t="s">
        <v>198</v>
      </c>
      <c r="U583">
        <v>6</v>
      </c>
      <c r="V583" t="s">
        <v>98</v>
      </c>
      <c r="W583" t="s">
        <v>154</v>
      </c>
      <c r="X583" t="s">
        <v>154</v>
      </c>
      <c r="Y583" t="s">
        <v>89</v>
      </c>
      <c r="Z583">
        <v>1</v>
      </c>
      <c r="AA583">
        <f>IF(AND(D583&gt;=配装计算器!$I$29,D583&lt;=配装计算器!$I$30),1,0)</f>
        <v>1</v>
      </c>
      <c r="AB583">
        <f t="shared" si="200"/>
        <v>0</v>
      </c>
      <c r="AC583">
        <f t="shared" si="201"/>
        <v>0</v>
      </c>
      <c r="AD583">
        <f t="shared" si="202"/>
        <v>0</v>
      </c>
      <c r="AE583">
        <f t="shared" si="203"/>
        <v>1</v>
      </c>
      <c r="AF583">
        <f t="shared" si="204"/>
        <v>1</v>
      </c>
      <c r="AG583">
        <f t="shared" si="205"/>
        <v>0</v>
      </c>
      <c r="AH583">
        <f t="shared" si="206"/>
        <v>0</v>
      </c>
      <c r="AI583">
        <f t="shared" si="207"/>
        <v>1</v>
      </c>
      <c r="AJ583">
        <f t="shared" si="208"/>
        <v>1</v>
      </c>
      <c r="AK583">
        <f>SUM(AJ$2:$AJ583)</f>
        <v>582</v>
      </c>
    </row>
    <row r="584" spans="1:37">
      <c r="A584" t="s">
        <v>1688</v>
      </c>
      <c r="B584" t="s">
        <v>1816</v>
      </c>
      <c r="C584" t="s">
        <v>1790</v>
      </c>
      <c r="D584">
        <v>41400</v>
      </c>
      <c r="E584" t="s">
        <v>1817</v>
      </c>
      <c r="F584">
        <v>11364</v>
      </c>
      <c r="G584">
        <v>0</v>
      </c>
      <c r="I584">
        <v>1404</v>
      </c>
      <c r="J584">
        <v>0</v>
      </c>
      <c r="K584">
        <v>0</v>
      </c>
      <c r="L584">
        <v>20146</v>
      </c>
      <c r="M584">
        <v>0</v>
      </c>
      <c r="N584">
        <v>6199</v>
      </c>
      <c r="O584">
        <v>0</v>
      </c>
      <c r="P584">
        <v>0</v>
      </c>
      <c r="R584">
        <v>0</v>
      </c>
      <c r="S584">
        <v>0</v>
      </c>
      <c r="T584" t="s">
        <v>153</v>
      </c>
      <c r="U584">
        <v>6</v>
      </c>
      <c r="V584" t="s">
        <v>98</v>
      </c>
      <c r="W584" t="s">
        <v>135</v>
      </c>
      <c r="X584" t="s">
        <v>135</v>
      </c>
      <c r="Y584" t="s">
        <v>89</v>
      </c>
      <c r="Z584">
        <v>1</v>
      </c>
      <c r="AA584">
        <f>IF(AND(D584&gt;=配装计算器!$I$29,D584&lt;=配装计算器!$I$30),1,0)</f>
        <v>1</v>
      </c>
      <c r="AB584">
        <f t="shared" si="200"/>
        <v>0</v>
      </c>
      <c r="AC584">
        <f t="shared" si="201"/>
        <v>0</v>
      </c>
      <c r="AD584">
        <f t="shared" si="202"/>
        <v>1</v>
      </c>
      <c r="AE584">
        <f t="shared" si="203"/>
        <v>0</v>
      </c>
      <c r="AF584">
        <f t="shared" si="204"/>
        <v>1</v>
      </c>
      <c r="AG584">
        <f t="shared" si="205"/>
        <v>0</v>
      </c>
      <c r="AH584">
        <f t="shared" si="206"/>
        <v>0</v>
      </c>
      <c r="AI584">
        <f t="shared" si="207"/>
        <v>1</v>
      </c>
      <c r="AJ584">
        <f t="shared" si="208"/>
        <v>1</v>
      </c>
      <c r="AK584">
        <f>SUM(AJ$2:$AJ584)</f>
        <v>583</v>
      </c>
    </row>
    <row r="585" spans="1:37">
      <c r="A585" t="s">
        <v>1688</v>
      </c>
      <c r="B585" t="s">
        <v>1818</v>
      </c>
      <c r="C585" t="s">
        <v>1790</v>
      </c>
      <c r="D585">
        <v>41400</v>
      </c>
      <c r="E585" t="s">
        <v>1819</v>
      </c>
      <c r="F585">
        <v>11364</v>
      </c>
      <c r="G585">
        <v>0</v>
      </c>
      <c r="I585">
        <v>1404</v>
      </c>
      <c r="J585">
        <v>20146</v>
      </c>
      <c r="K585">
        <v>0</v>
      </c>
      <c r="L585">
        <v>0</v>
      </c>
      <c r="M585">
        <v>0</v>
      </c>
      <c r="N585">
        <v>6199</v>
      </c>
      <c r="O585">
        <v>0</v>
      </c>
      <c r="P585">
        <v>0</v>
      </c>
      <c r="R585">
        <v>0</v>
      </c>
      <c r="S585">
        <v>0</v>
      </c>
      <c r="T585" t="s">
        <v>184</v>
      </c>
      <c r="U585">
        <v>6</v>
      </c>
      <c r="V585" t="s">
        <v>98</v>
      </c>
      <c r="W585" t="s">
        <v>123</v>
      </c>
      <c r="X585" t="s">
        <v>123</v>
      </c>
      <c r="Y585" t="s">
        <v>89</v>
      </c>
      <c r="Z585">
        <v>1</v>
      </c>
      <c r="AA585">
        <f>IF(AND(D585&gt;=配装计算器!$I$29,D585&lt;=配装计算器!$I$30),1,0)</f>
        <v>1</v>
      </c>
      <c r="AB585">
        <f t="shared" si="200"/>
        <v>1</v>
      </c>
      <c r="AC585">
        <f t="shared" si="201"/>
        <v>0</v>
      </c>
      <c r="AD585">
        <f t="shared" si="202"/>
        <v>0</v>
      </c>
      <c r="AE585">
        <f t="shared" si="203"/>
        <v>0</v>
      </c>
      <c r="AF585">
        <f t="shared" si="204"/>
        <v>1</v>
      </c>
      <c r="AG585">
        <f t="shared" si="205"/>
        <v>0</v>
      </c>
      <c r="AH585">
        <f t="shared" si="206"/>
        <v>0</v>
      </c>
      <c r="AI585">
        <f t="shared" si="207"/>
        <v>1</v>
      </c>
      <c r="AJ585">
        <f t="shared" si="208"/>
        <v>1</v>
      </c>
      <c r="AK585">
        <f>SUM(AJ$2:$AJ585)</f>
        <v>584</v>
      </c>
    </row>
    <row r="586" spans="1:37">
      <c r="A586" t="s">
        <v>1688</v>
      </c>
      <c r="B586" t="s">
        <v>1820</v>
      </c>
      <c r="C586" t="s">
        <v>1726</v>
      </c>
      <c r="D586">
        <v>42100</v>
      </c>
      <c r="E586" t="s">
        <v>1821</v>
      </c>
      <c r="F586">
        <v>11556</v>
      </c>
      <c r="G586">
        <v>943</v>
      </c>
      <c r="I586">
        <v>2141</v>
      </c>
      <c r="J586">
        <v>7879</v>
      </c>
      <c r="K586">
        <v>0</v>
      </c>
      <c r="L586">
        <v>0</v>
      </c>
      <c r="M586">
        <v>0</v>
      </c>
      <c r="N586">
        <v>6304</v>
      </c>
      <c r="O586">
        <v>0</v>
      </c>
      <c r="P586">
        <v>0</v>
      </c>
      <c r="R586">
        <v>0</v>
      </c>
      <c r="S586">
        <v>0</v>
      </c>
      <c r="T586" t="s">
        <v>102</v>
      </c>
      <c r="U586">
        <v>6</v>
      </c>
      <c r="V586" t="s">
        <v>1283</v>
      </c>
      <c r="W586" t="s">
        <v>108</v>
      </c>
      <c r="X586" t="s">
        <v>108</v>
      </c>
      <c r="Y586" t="s">
        <v>89</v>
      </c>
      <c r="Z586">
        <v>1</v>
      </c>
      <c r="AA586">
        <f>IF(AND(D586&gt;=配装计算器!$I$29,D586&lt;=配装计算器!$I$30),1,0)</f>
        <v>1</v>
      </c>
      <c r="AB586">
        <f t="shared" si="200"/>
        <v>1</v>
      </c>
      <c r="AC586">
        <f t="shared" si="201"/>
        <v>0</v>
      </c>
      <c r="AD586">
        <f t="shared" si="202"/>
        <v>0</v>
      </c>
      <c r="AE586">
        <f t="shared" si="203"/>
        <v>0</v>
      </c>
      <c r="AF586">
        <f t="shared" si="204"/>
        <v>1</v>
      </c>
      <c r="AG586">
        <f t="shared" si="205"/>
        <v>0</v>
      </c>
      <c r="AH586">
        <f t="shared" si="206"/>
        <v>0</v>
      </c>
      <c r="AI586">
        <f t="shared" si="207"/>
        <v>0</v>
      </c>
      <c r="AJ586">
        <f t="shared" si="208"/>
        <v>1</v>
      </c>
      <c r="AK586">
        <f>SUM(AJ$2:$AJ586)</f>
        <v>585</v>
      </c>
    </row>
    <row r="587" spans="1:37">
      <c r="A587" t="s">
        <v>1688</v>
      </c>
      <c r="B587" t="s">
        <v>1822</v>
      </c>
      <c r="C587" t="s">
        <v>1823</v>
      </c>
      <c r="D587">
        <v>42400</v>
      </c>
      <c r="E587" t="s">
        <v>1824</v>
      </c>
      <c r="F587">
        <v>11639</v>
      </c>
      <c r="G587">
        <v>882</v>
      </c>
      <c r="I587">
        <v>1438</v>
      </c>
      <c r="J587">
        <v>7936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3174</v>
      </c>
      <c r="R587">
        <v>0</v>
      </c>
      <c r="S587">
        <v>0</v>
      </c>
      <c r="T587" t="s">
        <v>93</v>
      </c>
      <c r="U587">
        <v>6</v>
      </c>
      <c r="V587" t="s">
        <v>145</v>
      </c>
      <c r="W587" t="s">
        <v>233</v>
      </c>
      <c r="X587" t="s">
        <v>233</v>
      </c>
      <c r="Y587" t="s">
        <v>89</v>
      </c>
      <c r="Z587">
        <v>2</v>
      </c>
      <c r="AA587">
        <f>IF(AND(D587&gt;=配装计算器!$I$29,D587&lt;=配装计算器!$I$30),1,0)</f>
        <v>1</v>
      </c>
      <c r="AB587">
        <f t="shared" si="200"/>
        <v>1</v>
      </c>
      <c r="AC587">
        <f t="shared" si="201"/>
        <v>0</v>
      </c>
      <c r="AD587">
        <f t="shared" si="202"/>
        <v>0</v>
      </c>
      <c r="AE587">
        <f t="shared" si="203"/>
        <v>0</v>
      </c>
      <c r="AF587">
        <f t="shared" si="204"/>
        <v>0</v>
      </c>
      <c r="AG587">
        <f t="shared" si="205"/>
        <v>0</v>
      </c>
      <c r="AH587">
        <f t="shared" si="206"/>
        <v>1</v>
      </c>
      <c r="AI587">
        <f t="shared" si="207"/>
        <v>0</v>
      </c>
      <c r="AJ587">
        <f t="shared" si="208"/>
        <v>1</v>
      </c>
      <c r="AK587">
        <f>SUM(AJ$2:$AJ587)</f>
        <v>586</v>
      </c>
    </row>
    <row r="588" spans="1:37">
      <c r="A588" t="s">
        <v>1825</v>
      </c>
      <c r="B588" t="s">
        <v>1826</v>
      </c>
      <c r="C588" t="s">
        <v>1827</v>
      </c>
      <c r="D588">
        <v>21375</v>
      </c>
      <c r="E588" t="s">
        <v>1828</v>
      </c>
      <c r="F588">
        <v>15647</v>
      </c>
      <c r="G588">
        <v>1277</v>
      </c>
      <c r="I588">
        <v>6191</v>
      </c>
      <c r="J588">
        <v>9246</v>
      </c>
      <c r="K588">
        <v>0</v>
      </c>
      <c r="L588">
        <v>7112</v>
      </c>
      <c r="M588">
        <v>0</v>
      </c>
      <c r="N588">
        <v>0</v>
      </c>
      <c r="O588">
        <v>3556</v>
      </c>
      <c r="P588">
        <v>0</v>
      </c>
      <c r="R588">
        <v>7366</v>
      </c>
      <c r="S588">
        <v>12277</v>
      </c>
      <c r="T588" t="s">
        <v>1032</v>
      </c>
      <c r="U588">
        <v>8</v>
      </c>
      <c r="V588" t="s">
        <v>1033</v>
      </c>
      <c r="W588" t="s">
        <v>123</v>
      </c>
      <c r="X588" t="s">
        <v>88</v>
      </c>
      <c r="Y588" t="s">
        <v>135</v>
      </c>
      <c r="Z588">
        <v>3</v>
      </c>
      <c r="AA588">
        <f>IF(AND(D588&gt;=配装计算器!$I$29,D588&lt;=配装计算器!$I$30),1,0)</f>
        <v>1</v>
      </c>
      <c r="AB588">
        <f t="shared" si="200"/>
        <v>1</v>
      </c>
      <c r="AC588">
        <f t="shared" si="201"/>
        <v>0</v>
      </c>
      <c r="AD588">
        <f t="shared" si="202"/>
        <v>1</v>
      </c>
      <c r="AE588">
        <f t="shared" si="203"/>
        <v>0</v>
      </c>
      <c r="AF588">
        <f t="shared" si="204"/>
        <v>0</v>
      </c>
      <c r="AG588">
        <f t="shared" si="205"/>
        <v>1</v>
      </c>
      <c r="AH588">
        <f t="shared" si="206"/>
        <v>0</v>
      </c>
      <c r="AI588">
        <f t="shared" si="207"/>
        <v>0</v>
      </c>
      <c r="AJ588">
        <f t="shared" si="208"/>
        <v>1</v>
      </c>
      <c r="AK588">
        <f>SUM(AJ$2:$AJ588)</f>
        <v>587</v>
      </c>
    </row>
    <row r="589" spans="1:37">
      <c r="A589" t="s">
        <v>1825</v>
      </c>
      <c r="B589" t="s">
        <v>1829</v>
      </c>
      <c r="C589" t="s">
        <v>1827</v>
      </c>
      <c r="D589">
        <v>22875</v>
      </c>
      <c r="E589" t="s">
        <v>1830</v>
      </c>
      <c r="F589">
        <v>16744</v>
      </c>
      <c r="G589">
        <v>1366</v>
      </c>
      <c r="I589">
        <v>6626</v>
      </c>
      <c r="J589">
        <v>9894</v>
      </c>
      <c r="K589">
        <v>0</v>
      </c>
      <c r="L589">
        <v>7611</v>
      </c>
      <c r="M589">
        <v>0</v>
      </c>
      <c r="N589">
        <v>0</v>
      </c>
      <c r="O589">
        <v>3806</v>
      </c>
      <c r="P589">
        <v>0</v>
      </c>
      <c r="R589">
        <v>7883</v>
      </c>
      <c r="S589">
        <v>13139</v>
      </c>
      <c r="T589" t="s">
        <v>1032</v>
      </c>
      <c r="U589">
        <v>8</v>
      </c>
      <c r="V589" t="s">
        <v>1033</v>
      </c>
      <c r="W589" t="s">
        <v>123</v>
      </c>
      <c r="X589" t="s">
        <v>88</v>
      </c>
      <c r="Y589" t="s">
        <v>135</v>
      </c>
      <c r="Z589">
        <v>3</v>
      </c>
      <c r="AA589">
        <f>IF(AND(D589&gt;=配装计算器!$I$29,D589&lt;=配装计算器!$I$30),1,0)</f>
        <v>1</v>
      </c>
      <c r="AB589">
        <f t="shared" si="200"/>
        <v>1</v>
      </c>
      <c r="AC589">
        <f t="shared" si="201"/>
        <v>0</v>
      </c>
      <c r="AD589">
        <f t="shared" si="202"/>
        <v>1</v>
      </c>
      <c r="AE589">
        <f t="shared" si="203"/>
        <v>0</v>
      </c>
      <c r="AF589">
        <f t="shared" si="204"/>
        <v>0</v>
      </c>
      <c r="AG589">
        <f t="shared" si="205"/>
        <v>1</v>
      </c>
      <c r="AH589">
        <f t="shared" si="206"/>
        <v>0</v>
      </c>
      <c r="AI589">
        <f t="shared" si="207"/>
        <v>0</v>
      </c>
      <c r="AJ589">
        <f t="shared" si="208"/>
        <v>1</v>
      </c>
      <c r="AK589">
        <f>SUM(AJ$2:$AJ589)</f>
        <v>588</v>
      </c>
    </row>
    <row r="590" spans="1:37">
      <c r="A590" t="s">
        <v>1825</v>
      </c>
      <c r="B590" t="s">
        <v>1831</v>
      </c>
      <c r="C590" t="s">
        <v>1827</v>
      </c>
      <c r="D590">
        <v>24375</v>
      </c>
      <c r="E590" t="s">
        <v>1832</v>
      </c>
      <c r="F590">
        <v>17843</v>
      </c>
      <c r="G590">
        <v>1456</v>
      </c>
      <c r="I590">
        <v>7060</v>
      </c>
      <c r="J590">
        <v>10543</v>
      </c>
      <c r="K590">
        <v>0</v>
      </c>
      <c r="L590">
        <v>8110</v>
      </c>
      <c r="M590">
        <v>0</v>
      </c>
      <c r="N590">
        <v>0</v>
      </c>
      <c r="O590">
        <v>4055</v>
      </c>
      <c r="P590">
        <v>0</v>
      </c>
      <c r="R590">
        <v>8400</v>
      </c>
      <c r="S590">
        <v>14000</v>
      </c>
      <c r="T590" t="s">
        <v>1032</v>
      </c>
      <c r="U590">
        <v>8</v>
      </c>
      <c r="V590" t="s">
        <v>1033</v>
      </c>
      <c r="W590" t="s">
        <v>123</v>
      </c>
      <c r="X590" t="s">
        <v>88</v>
      </c>
      <c r="Y590" t="s">
        <v>135</v>
      </c>
      <c r="Z590">
        <v>3</v>
      </c>
      <c r="AA590">
        <f>IF(AND(D590&gt;=配装计算器!$I$29,D590&lt;=配装计算器!$I$30),1,0)</f>
        <v>1</v>
      </c>
      <c r="AB590">
        <f t="shared" si="200"/>
        <v>1</v>
      </c>
      <c r="AC590">
        <f t="shared" si="201"/>
        <v>0</v>
      </c>
      <c r="AD590">
        <f t="shared" si="202"/>
        <v>1</v>
      </c>
      <c r="AE590">
        <f t="shared" si="203"/>
        <v>0</v>
      </c>
      <c r="AF590">
        <f t="shared" si="204"/>
        <v>0</v>
      </c>
      <c r="AG590">
        <f t="shared" si="205"/>
        <v>1</v>
      </c>
      <c r="AH590">
        <f t="shared" si="206"/>
        <v>0</v>
      </c>
      <c r="AI590">
        <f t="shared" si="207"/>
        <v>0</v>
      </c>
      <c r="AJ590">
        <f t="shared" si="208"/>
        <v>1</v>
      </c>
      <c r="AK590">
        <f>SUM(AJ$2:$AJ590)</f>
        <v>589</v>
      </c>
    </row>
    <row r="591" spans="1:37">
      <c r="A591" t="s">
        <v>1825</v>
      </c>
      <c r="B591" t="s">
        <v>1833</v>
      </c>
      <c r="C591" t="s">
        <v>1834</v>
      </c>
      <c r="D591">
        <v>24500</v>
      </c>
      <c r="E591" t="s">
        <v>1835</v>
      </c>
      <c r="F591">
        <v>17934</v>
      </c>
      <c r="G591">
        <v>1463</v>
      </c>
      <c r="I591">
        <v>7096</v>
      </c>
      <c r="J591">
        <v>10597</v>
      </c>
      <c r="K591">
        <v>0</v>
      </c>
      <c r="L591">
        <v>8152</v>
      </c>
      <c r="M591">
        <v>0</v>
      </c>
      <c r="N591">
        <v>0</v>
      </c>
      <c r="O591">
        <v>4076</v>
      </c>
      <c r="P591">
        <v>0</v>
      </c>
      <c r="R591">
        <v>8443</v>
      </c>
      <c r="S591">
        <v>14072</v>
      </c>
      <c r="T591" t="s">
        <v>1041</v>
      </c>
      <c r="U591">
        <v>8</v>
      </c>
      <c r="V591" t="s">
        <v>1042</v>
      </c>
      <c r="W591" t="s">
        <v>123</v>
      </c>
      <c r="X591" t="s">
        <v>88</v>
      </c>
      <c r="Y591" t="s">
        <v>135</v>
      </c>
      <c r="Z591">
        <v>3</v>
      </c>
      <c r="AA591">
        <f>IF(AND(D591&gt;=配装计算器!$I$29,D591&lt;=配装计算器!$I$30),1,0)</f>
        <v>1</v>
      </c>
      <c r="AB591">
        <f t="shared" si="200"/>
        <v>1</v>
      </c>
      <c r="AC591">
        <f t="shared" si="201"/>
        <v>0</v>
      </c>
      <c r="AD591">
        <f t="shared" si="202"/>
        <v>1</v>
      </c>
      <c r="AE591">
        <f t="shared" si="203"/>
        <v>0</v>
      </c>
      <c r="AF591">
        <f t="shared" si="204"/>
        <v>0</v>
      </c>
      <c r="AG591">
        <f t="shared" si="205"/>
        <v>1</v>
      </c>
      <c r="AH591">
        <f t="shared" si="206"/>
        <v>0</v>
      </c>
      <c r="AI591">
        <f t="shared" si="207"/>
        <v>0</v>
      </c>
      <c r="AJ591">
        <f t="shared" si="208"/>
        <v>1</v>
      </c>
      <c r="AK591">
        <f>SUM(AJ$2:$AJ591)</f>
        <v>590</v>
      </c>
    </row>
    <row r="592" spans="1:37">
      <c r="A592" t="s">
        <v>1825</v>
      </c>
      <c r="B592" t="s">
        <v>1836</v>
      </c>
      <c r="C592" t="s">
        <v>1827</v>
      </c>
      <c r="D592">
        <v>25940</v>
      </c>
      <c r="E592" t="s">
        <v>1837</v>
      </c>
      <c r="F592">
        <v>18988</v>
      </c>
      <c r="G592">
        <v>1549</v>
      </c>
      <c r="I592">
        <v>7513</v>
      </c>
      <c r="J592">
        <v>11220</v>
      </c>
      <c r="K592">
        <v>0</v>
      </c>
      <c r="L592">
        <v>8631</v>
      </c>
      <c r="M592">
        <v>0</v>
      </c>
      <c r="N592">
        <v>0</v>
      </c>
      <c r="O592">
        <v>4315</v>
      </c>
      <c r="P592">
        <v>0</v>
      </c>
      <c r="R592">
        <v>8940</v>
      </c>
      <c r="S592">
        <v>14900</v>
      </c>
      <c r="T592" t="s">
        <v>1032</v>
      </c>
      <c r="U592">
        <v>8</v>
      </c>
      <c r="V592" t="s">
        <v>1033</v>
      </c>
      <c r="W592" t="s">
        <v>123</v>
      </c>
      <c r="X592" t="s">
        <v>88</v>
      </c>
      <c r="Y592" t="s">
        <v>135</v>
      </c>
      <c r="Z592">
        <v>3</v>
      </c>
      <c r="AA592">
        <f>IF(AND(D592&gt;=配装计算器!$I$29,D592&lt;=配装计算器!$I$30),1,0)</f>
        <v>1</v>
      </c>
      <c r="AB592">
        <f t="shared" si="200"/>
        <v>1</v>
      </c>
      <c r="AC592">
        <f t="shared" si="201"/>
        <v>0</v>
      </c>
      <c r="AD592">
        <f t="shared" si="202"/>
        <v>1</v>
      </c>
      <c r="AE592">
        <f t="shared" si="203"/>
        <v>0</v>
      </c>
      <c r="AF592">
        <f t="shared" si="204"/>
        <v>0</v>
      </c>
      <c r="AG592">
        <f t="shared" si="205"/>
        <v>1</v>
      </c>
      <c r="AH592">
        <f t="shared" si="206"/>
        <v>0</v>
      </c>
      <c r="AI592">
        <f t="shared" si="207"/>
        <v>0</v>
      </c>
      <c r="AJ592">
        <f t="shared" si="208"/>
        <v>1</v>
      </c>
      <c r="AK592">
        <f>SUM(AJ$2:$AJ592)</f>
        <v>591</v>
      </c>
    </row>
    <row r="593" spans="1:37">
      <c r="A593" t="s">
        <v>1825</v>
      </c>
      <c r="B593" t="s">
        <v>1838</v>
      </c>
      <c r="C593" t="s">
        <v>1834</v>
      </c>
      <c r="D593">
        <v>27000</v>
      </c>
      <c r="E593" t="s">
        <v>1839</v>
      </c>
      <c r="F593">
        <v>19764</v>
      </c>
      <c r="G593">
        <v>1612</v>
      </c>
      <c r="I593">
        <v>7820</v>
      </c>
      <c r="J593">
        <v>11679</v>
      </c>
      <c r="K593">
        <v>0</v>
      </c>
      <c r="L593">
        <v>8984</v>
      </c>
      <c r="M593">
        <v>0</v>
      </c>
      <c r="N593">
        <v>0</v>
      </c>
      <c r="O593">
        <v>4492</v>
      </c>
      <c r="P593">
        <v>0</v>
      </c>
      <c r="R593">
        <v>9305</v>
      </c>
      <c r="S593">
        <v>15508</v>
      </c>
      <c r="T593" t="s">
        <v>1041</v>
      </c>
      <c r="U593">
        <v>8</v>
      </c>
      <c r="V593" t="s">
        <v>1042</v>
      </c>
      <c r="W593" t="s">
        <v>123</v>
      </c>
      <c r="X593" t="s">
        <v>88</v>
      </c>
      <c r="Y593" t="s">
        <v>135</v>
      </c>
      <c r="Z593">
        <v>3</v>
      </c>
      <c r="AA593">
        <f>IF(AND(D593&gt;=配装计算器!$I$29,D593&lt;=配装计算器!$I$30),1,0)</f>
        <v>1</v>
      </c>
      <c r="AB593">
        <f t="shared" si="200"/>
        <v>1</v>
      </c>
      <c r="AC593">
        <f t="shared" si="201"/>
        <v>0</v>
      </c>
      <c r="AD593">
        <f t="shared" si="202"/>
        <v>1</v>
      </c>
      <c r="AE593">
        <f t="shared" si="203"/>
        <v>0</v>
      </c>
      <c r="AF593">
        <f t="shared" si="204"/>
        <v>0</v>
      </c>
      <c r="AG593">
        <f t="shared" si="205"/>
        <v>1</v>
      </c>
      <c r="AH593">
        <f t="shared" si="206"/>
        <v>0</v>
      </c>
      <c r="AI593">
        <f t="shared" si="207"/>
        <v>0</v>
      </c>
      <c r="AJ593">
        <f t="shared" si="208"/>
        <v>1</v>
      </c>
      <c r="AK593">
        <f>SUM(AJ$2:$AJ593)</f>
        <v>592</v>
      </c>
    </row>
    <row r="594" spans="1:37">
      <c r="A594" t="s">
        <v>1825</v>
      </c>
      <c r="B594" t="s">
        <v>1840</v>
      </c>
      <c r="C594" t="s">
        <v>1827</v>
      </c>
      <c r="D594">
        <v>27500</v>
      </c>
      <c r="E594" t="s">
        <v>1841</v>
      </c>
      <c r="F594">
        <v>20130</v>
      </c>
      <c r="G594">
        <v>1642</v>
      </c>
      <c r="I594">
        <v>7965</v>
      </c>
      <c r="J594">
        <v>11895</v>
      </c>
      <c r="K594">
        <v>0</v>
      </c>
      <c r="L594">
        <v>9150</v>
      </c>
      <c r="M594">
        <v>0</v>
      </c>
      <c r="N594">
        <v>0</v>
      </c>
      <c r="O594">
        <v>4575</v>
      </c>
      <c r="P594">
        <v>0</v>
      </c>
      <c r="R594">
        <v>9478</v>
      </c>
      <c r="S594">
        <v>15796</v>
      </c>
      <c r="T594" t="s">
        <v>1032</v>
      </c>
      <c r="U594">
        <v>8</v>
      </c>
      <c r="V594" t="s">
        <v>1033</v>
      </c>
      <c r="W594" t="s">
        <v>123</v>
      </c>
      <c r="X594" t="s">
        <v>88</v>
      </c>
      <c r="Y594" t="s">
        <v>135</v>
      </c>
      <c r="Z594">
        <v>3</v>
      </c>
      <c r="AA594">
        <f>IF(AND(D594&gt;=配装计算器!$I$29,D594&lt;=配装计算器!$I$30),1,0)</f>
        <v>1</v>
      </c>
      <c r="AB594">
        <f t="shared" si="200"/>
        <v>1</v>
      </c>
      <c r="AC594">
        <f t="shared" si="201"/>
        <v>0</v>
      </c>
      <c r="AD594">
        <f t="shared" si="202"/>
        <v>1</v>
      </c>
      <c r="AE594">
        <f t="shared" si="203"/>
        <v>0</v>
      </c>
      <c r="AF594">
        <f t="shared" si="204"/>
        <v>0</v>
      </c>
      <c r="AG594">
        <f t="shared" si="205"/>
        <v>1</v>
      </c>
      <c r="AH594">
        <f t="shared" si="206"/>
        <v>0</v>
      </c>
      <c r="AI594">
        <f t="shared" si="207"/>
        <v>0</v>
      </c>
      <c r="AJ594">
        <f t="shared" si="208"/>
        <v>1</v>
      </c>
      <c r="AK594">
        <f>SUM(AJ$2:$AJ594)</f>
        <v>593</v>
      </c>
    </row>
    <row r="595" spans="1:37">
      <c r="A595" t="s">
        <v>1825</v>
      </c>
      <c r="B595" t="s">
        <v>1842</v>
      </c>
      <c r="C595" t="s">
        <v>1834</v>
      </c>
      <c r="D595">
        <v>29500</v>
      </c>
      <c r="E595" t="s">
        <v>1843</v>
      </c>
      <c r="F595">
        <v>21594</v>
      </c>
      <c r="G595">
        <v>1762</v>
      </c>
      <c r="I595">
        <v>8544</v>
      </c>
      <c r="J595">
        <v>12760</v>
      </c>
      <c r="K595">
        <v>0</v>
      </c>
      <c r="L595">
        <v>9815</v>
      </c>
      <c r="M595">
        <v>0</v>
      </c>
      <c r="N595">
        <v>0</v>
      </c>
      <c r="O595">
        <v>4908</v>
      </c>
      <c r="P595">
        <v>0</v>
      </c>
      <c r="R595">
        <v>10167</v>
      </c>
      <c r="S595">
        <v>16945</v>
      </c>
      <c r="T595" t="s">
        <v>1041</v>
      </c>
      <c r="U595">
        <v>8</v>
      </c>
      <c r="V595" t="s">
        <v>1042</v>
      </c>
      <c r="W595" t="s">
        <v>123</v>
      </c>
      <c r="X595" t="s">
        <v>88</v>
      </c>
      <c r="Y595" t="s">
        <v>135</v>
      </c>
      <c r="Z595">
        <v>3</v>
      </c>
      <c r="AA595">
        <f>IF(AND(D595&gt;=配装计算器!$I$29,D595&lt;=配装计算器!$I$30),1,0)</f>
        <v>1</v>
      </c>
      <c r="AB595">
        <f t="shared" si="200"/>
        <v>1</v>
      </c>
      <c r="AC595">
        <f t="shared" si="201"/>
        <v>0</v>
      </c>
      <c r="AD595">
        <f t="shared" si="202"/>
        <v>1</v>
      </c>
      <c r="AE595">
        <f t="shared" si="203"/>
        <v>0</v>
      </c>
      <c r="AF595">
        <f t="shared" si="204"/>
        <v>0</v>
      </c>
      <c r="AG595">
        <f t="shared" si="205"/>
        <v>1</v>
      </c>
      <c r="AH595">
        <f t="shared" si="206"/>
        <v>0</v>
      </c>
      <c r="AI595">
        <f t="shared" si="207"/>
        <v>0</v>
      </c>
      <c r="AJ595">
        <f t="shared" si="208"/>
        <v>1</v>
      </c>
      <c r="AK595">
        <f>SUM(AJ$2:$AJ595)</f>
        <v>594</v>
      </c>
    </row>
    <row r="596" spans="1:37">
      <c r="A596" t="s">
        <v>1825</v>
      </c>
      <c r="B596" t="s">
        <v>1844</v>
      </c>
      <c r="C596" t="s">
        <v>1827</v>
      </c>
      <c r="D596">
        <v>29575</v>
      </c>
      <c r="E596" t="s">
        <v>1845</v>
      </c>
      <c r="F596">
        <v>21649</v>
      </c>
      <c r="G596">
        <v>1766</v>
      </c>
      <c r="I596">
        <v>8566</v>
      </c>
      <c r="J596">
        <v>12793</v>
      </c>
      <c r="K596">
        <v>0</v>
      </c>
      <c r="L596">
        <v>9840</v>
      </c>
      <c r="M596">
        <v>0</v>
      </c>
      <c r="N596">
        <v>0</v>
      </c>
      <c r="O596">
        <v>4920</v>
      </c>
      <c r="P596">
        <v>0</v>
      </c>
      <c r="R596">
        <v>10193</v>
      </c>
      <c r="S596">
        <v>16988</v>
      </c>
      <c r="T596" t="s">
        <v>1032</v>
      </c>
      <c r="U596">
        <v>8</v>
      </c>
      <c r="V596" t="s">
        <v>1033</v>
      </c>
      <c r="W596" t="s">
        <v>123</v>
      </c>
      <c r="X596" t="s">
        <v>88</v>
      </c>
      <c r="Y596" t="s">
        <v>135</v>
      </c>
      <c r="Z596">
        <v>3</v>
      </c>
      <c r="AA596">
        <f>IF(AND(D596&gt;=配装计算器!$I$29,D596&lt;=配装计算器!$I$30),1,0)</f>
        <v>1</v>
      </c>
      <c r="AB596">
        <f t="shared" si="200"/>
        <v>1</v>
      </c>
      <c r="AC596">
        <f t="shared" si="201"/>
        <v>0</v>
      </c>
      <c r="AD596">
        <f t="shared" si="202"/>
        <v>1</v>
      </c>
      <c r="AE596">
        <f t="shared" si="203"/>
        <v>0</v>
      </c>
      <c r="AF596">
        <f t="shared" si="204"/>
        <v>0</v>
      </c>
      <c r="AG596">
        <f t="shared" si="205"/>
        <v>1</v>
      </c>
      <c r="AH596">
        <f t="shared" si="206"/>
        <v>0</v>
      </c>
      <c r="AI596">
        <f t="shared" si="207"/>
        <v>0</v>
      </c>
      <c r="AJ596">
        <f t="shared" si="208"/>
        <v>1</v>
      </c>
      <c r="AK596">
        <f>SUM(AJ$2:$AJ596)</f>
        <v>595</v>
      </c>
    </row>
    <row r="597" spans="1:37">
      <c r="A597" t="s">
        <v>1825</v>
      </c>
      <c r="B597" t="s">
        <v>1846</v>
      </c>
      <c r="C597" t="s">
        <v>1847</v>
      </c>
      <c r="D597">
        <v>30200</v>
      </c>
      <c r="E597" t="s">
        <v>1848</v>
      </c>
      <c r="F597">
        <v>19896</v>
      </c>
      <c r="G597">
        <v>1507</v>
      </c>
      <c r="I597">
        <v>6889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13565</v>
      </c>
      <c r="P597">
        <v>5426</v>
      </c>
      <c r="R597">
        <v>9367</v>
      </c>
      <c r="S597">
        <v>15612</v>
      </c>
      <c r="T597" t="s">
        <v>228</v>
      </c>
      <c r="U597">
        <v>6</v>
      </c>
      <c r="V597" t="s">
        <v>87</v>
      </c>
      <c r="W597" t="s">
        <v>135</v>
      </c>
      <c r="X597" t="s">
        <v>123</v>
      </c>
      <c r="Y597" t="s">
        <v>233</v>
      </c>
      <c r="Z597">
        <v>2</v>
      </c>
      <c r="AA597">
        <f>IF(AND(D597&gt;=配装计算器!$I$29,D597&lt;=配装计算器!$I$30),1,0)</f>
        <v>1</v>
      </c>
      <c r="AB597">
        <f t="shared" si="200"/>
        <v>0</v>
      </c>
      <c r="AC597">
        <f t="shared" si="201"/>
        <v>0</v>
      </c>
      <c r="AD597">
        <f t="shared" si="202"/>
        <v>0</v>
      </c>
      <c r="AE597">
        <f t="shared" si="203"/>
        <v>0</v>
      </c>
      <c r="AF597">
        <f t="shared" si="204"/>
        <v>0</v>
      </c>
      <c r="AG597">
        <f t="shared" si="205"/>
        <v>1</v>
      </c>
      <c r="AH597">
        <f t="shared" si="206"/>
        <v>1</v>
      </c>
      <c r="AI597">
        <f t="shared" si="207"/>
        <v>0</v>
      </c>
      <c r="AJ597">
        <f t="shared" si="208"/>
        <v>1</v>
      </c>
      <c r="AK597">
        <f>SUM(AJ$2:$AJ597)</f>
        <v>596</v>
      </c>
    </row>
    <row r="598" spans="1:37">
      <c r="A598" t="s">
        <v>1825</v>
      </c>
      <c r="B598" t="s">
        <v>1849</v>
      </c>
      <c r="C598" t="s">
        <v>1850</v>
      </c>
      <c r="D598">
        <v>30200</v>
      </c>
      <c r="E598" t="s">
        <v>1851</v>
      </c>
      <c r="F598">
        <v>19896</v>
      </c>
      <c r="G598">
        <v>1507</v>
      </c>
      <c r="I598">
        <v>6889</v>
      </c>
      <c r="J598">
        <v>0</v>
      </c>
      <c r="K598">
        <v>0</v>
      </c>
      <c r="L598">
        <v>13565</v>
      </c>
      <c r="M598">
        <v>0</v>
      </c>
      <c r="N598">
        <v>0</v>
      </c>
      <c r="O598">
        <v>0</v>
      </c>
      <c r="P598">
        <v>5426</v>
      </c>
      <c r="R598">
        <v>9367</v>
      </c>
      <c r="S598">
        <v>15612</v>
      </c>
      <c r="T598" t="s">
        <v>86</v>
      </c>
      <c r="U598">
        <v>6</v>
      </c>
      <c r="V598" t="s">
        <v>87</v>
      </c>
      <c r="W598" t="s">
        <v>88</v>
      </c>
      <c r="X598" t="s">
        <v>135</v>
      </c>
      <c r="Y598" t="s">
        <v>233</v>
      </c>
      <c r="Z598">
        <v>2</v>
      </c>
      <c r="AA598">
        <f>IF(AND(D598&gt;=配装计算器!$I$29,D598&lt;=配装计算器!$I$30),1,0)</f>
        <v>1</v>
      </c>
      <c r="AB598">
        <f t="shared" si="200"/>
        <v>0</v>
      </c>
      <c r="AC598">
        <f t="shared" si="201"/>
        <v>0</v>
      </c>
      <c r="AD598">
        <f t="shared" si="202"/>
        <v>1</v>
      </c>
      <c r="AE598">
        <f t="shared" si="203"/>
        <v>0</v>
      </c>
      <c r="AF598">
        <f t="shared" si="204"/>
        <v>0</v>
      </c>
      <c r="AG598">
        <f t="shared" si="205"/>
        <v>0</v>
      </c>
      <c r="AH598">
        <f t="shared" si="206"/>
        <v>1</v>
      </c>
      <c r="AI598">
        <f t="shared" si="207"/>
        <v>0</v>
      </c>
      <c r="AJ598">
        <f t="shared" si="208"/>
        <v>1</v>
      </c>
      <c r="AK598">
        <f>SUM(AJ$2:$AJ598)</f>
        <v>597</v>
      </c>
    </row>
    <row r="599" spans="1:37">
      <c r="A599" t="s">
        <v>1825</v>
      </c>
      <c r="B599" t="s">
        <v>1852</v>
      </c>
      <c r="C599" t="s">
        <v>1853</v>
      </c>
      <c r="D599">
        <v>30200</v>
      </c>
      <c r="E599" t="s">
        <v>1854</v>
      </c>
      <c r="F599">
        <v>19896</v>
      </c>
      <c r="G599">
        <v>1507</v>
      </c>
      <c r="I599">
        <v>6889</v>
      </c>
      <c r="J599">
        <v>0</v>
      </c>
      <c r="K599">
        <v>0</v>
      </c>
      <c r="L599">
        <v>13565</v>
      </c>
      <c r="M599">
        <v>0</v>
      </c>
      <c r="N599">
        <v>0</v>
      </c>
      <c r="O599">
        <v>0</v>
      </c>
      <c r="P599">
        <v>5426</v>
      </c>
      <c r="R599">
        <v>9367</v>
      </c>
      <c r="S599">
        <v>15612</v>
      </c>
      <c r="T599" t="s">
        <v>86</v>
      </c>
      <c r="U599">
        <v>6</v>
      </c>
      <c r="V599" t="s">
        <v>98</v>
      </c>
      <c r="W599" t="s">
        <v>88</v>
      </c>
      <c r="X599" t="s">
        <v>135</v>
      </c>
      <c r="Y599" t="s">
        <v>233</v>
      </c>
      <c r="Z599">
        <v>2</v>
      </c>
      <c r="AA599">
        <f>IF(AND(D599&gt;=配装计算器!$I$29,D599&lt;=配装计算器!$I$30),1,0)</f>
        <v>1</v>
      </c>
      <c r="AB599">
        <f t="shared" ref="AB599:AB603" si="209">IF(J599&gt;0,1,0)</f>
        <v>0</v>
      </c>
      <c r="AC599">
        <f t="shared" ref="AC599:AC603" si="210">IF(K599&gt;0,1,0)</f>
        <v>0</v>
      </c>
      <c r="AD599">
        <f t="shared" ref="AD599:AD603" si="211">IF(L599&gt;0,1,0)</f>
        <v>1</v>
      </c>
      <c r="AE599">
        <f t="shared" ref="AE599:AE603" si="212">IF(M599&gt;0,1,0)</f>
        <v>0</v>
      </c>
      <c r="AF599">
        <f t="shared" ref="AF599:AF603" si="213">IF(N599&gt;0,1,0)</f>
        <v>0</v>
      </c>
      <c r="AG599">
        <f t="shared" ref="AG599:AG603" si="214">IF(O599&gt;0,1,0)</f>
        <v>0</v>
      </c>
      <c r="AH599">
        <f t="shared" ref="AH599:AH603" si="215">IF(P599&gt;0,1,0)</f>
        <v>1</v>
      </c>
      <c r="AI599">
        <f t="shared" ref="AI599:AI603" si="216">IF(COUNTIF(T599,"*"&amp;"精简"&amp;"*")&gt;0,1,0)</f>
        <v>0</v>
      </c>
      <c r="AJ599">
        <f t="shared" ref="AJ599:AJ603" si="217">MIN(1,AA599*($AY$2+IF(AND(AB599&gt;=$AQ$3,AC599&gt;=$AR$3,AD599&gt;=$AS$3,AE599&gt;=$AT$3,AF599&gt;=$AU$3,AG599&gt;=$AV$3,AH599&gt;=$AW$3,AI599&gt;=$AX$3),1,0)))</f>
        <v>1</v>
      </c>
      <c r="AK599">
        <f>SUM(AJ$2:$AJ599)</f>
        <v>598</v>
      </c>
    </row>
    <row r="600" spans="1:37">
      <c r="A600" t="s">
        <v>1825</v>
      </c>
      <c r="B600" t="s">
        <v>1855</v>
      </c>
      <c r="C600" t="s">
        <v>1856</v>
      </c>
      <c r="D600">
        <v>30200</v>
      </c>
      <c r="E600" t="s">
        <v>1857</v>
      </c>
      <c r="F600">
        <v>19896</v>
      </c>
      <c r="G600">
        <v>1623</v>
      </c>
      <c r="I600">
        <v>8118</v>
      </c>
      <c r="J600">
        <v>0</v>
      </c>
      <c r="K600">
        <v>0</v>
      </c>
      <c r="L600">
        <v>13565</v>
      </c>
      <c r="M600">
        <v>0</v>
      </c>
      <c r="N600">
        <v>13113</v>
      </c>
      <c r="O600">
        <v>0</v>
      </c>
      <c r="P600">
        <v>0</v>
      </c>
      <c r="R600">
        <v>9367</v>
      </c>
      <c r="S600">
        <v>15612</v>
      </c>
      <c r="T600" t="s">
        <v>122</v>
      </c>
      <c r="U600">
        <v>6</v>
      </c>
      <c r="V600" t="s">
        <v>103</v>
      </c>
      <c r="W600" t="s">
        <v>123</v>
      </c>
      <c r="X600" t="s">
        <v>88</v>
      </c>
      <c r="Y600" t="s">
        <v>135</v>
      </c>
      <c r="Z600">
        <v>1</v>
      </c>
      <c r="AA600">
        <f>IF(AND(D600&gt;=配装计算器!$I$29,D600&lt;=配装计算器!$I$30),1,0)</f>
        <v>1</v>
      </c>
      <c r="AB600">
        <f t="shared" si="209"/>
        <v>0</v>
      </c>
      <c r="AC600">
        <f t="shared" si="210"/>
        <v>0</v>
      </c>
      <c r="AD600">
        <f t="shared" si="211"/>
        <v>1</v>
      </c>
      <c r="AE600">
        <f t="shared" si="212"/>
        <v>0</v>
      </c>
      <c r="AF600">
        <f t="shared" si="213"/>
        <v>1</v>
      </c>
      <c r="AG600">
        <f t="shared" si="214"/>
        <v>0</v>
      </c>
      <c r="AH600">
        <f t="shared" si="215"/>
        <v>0</v>
      </c>
      <c r="AI600">
        <f t="shared" si="216"/>
        <v>0</v>
      </c>
      <c r="AJ600">
        <f t="shared" si="217"/>
        <v>1</v>
      </c>
      <c r="AK600">
        <f>SUM(AJ$2:$AJ600)</f>
        <v>599</v>
      </c>
    </row>
    <row r="601" spans="1:37">
      <c r="A601" t="s">
        <v>1825</v>
      </c>
      <c r="B601" t="s">
        <v>1858</v>
      </c>
      <c r="C601" t="s">
        <v>1859</v>
      </c>
      <c r="D601">
        <v>30200</v>
      </c>
      <c r="E601" t="s">
        <v>1860</v>
      </c>
      <c r="F601">
        <v>19896</v>
      </c>
      <c r="G601">
        <v>1623</v>
      </c>
      <c r="I601">
        <v>8118</v>
      </c>
      <c r="J601">
        <v>0</v>
      </c>
      <c r="K601">
        <v>0</v>
      </c>
      <c r="L601">
        <v>0</v>
      </c>
      <c r="M601">
        <v>13565</v>
      </c>
      <c r="N601">
        <v>13113</v>
      </c>
      <c r="O601">
        <v>0</v>
      </c>
      <c r="P601">
        <v>0</v>
      </c>
      <c r="R601">
        <v>9367</v>
      </c>
      <c r="S601">
        <v>15612</v>
      </c>
      <c r="T601" t="s">
        <v>107</v>
      </c>
      <c r="U601">
        <v>6</v>
      </c>
      <c r="V601" t="s">
        <v>87</v>
      </c>
      <c r="W601" t="s">
        <v>123</v>
      </c>
      <c r="X601" t="s">
        <v>88</v>
      </c>
      <c r="Y601" t="s">
        <v>135</v>
      </c>
      <c r="Z601">
        <v>1</v>
      </c>
      <c r="AA601">
        <f>IF(AND(D601&gt;=配装计算器!$I$29,D601&lt;=配装计算器!$I$30),1,0)</f>
        <v>1</v>
      </c>
      <c r="AB601">
        <f t="shared" si="209"/>
        <v>0</v>
      </c>
      <c r="AC601">
        <f t="shared" si="210"/>
        <v>0</v>
      </c>
      <c r="AD601">
        <f t="shared" si="211"/>
        <v>0</v>
      </c>
      <c r="AE601">
        <f t="shared" si="212"/>
        <v>1</v>
      </c>
      <c r="AF601">
        <f t="shared" si="213"/>
        <v>1</v>
      </c>
      <c r="AG601">
        <f t="shared" si="214"/>
        <v>0</v>
      </c>
      <c r="AH601">
        <f t="shared" si="215"/>
        <v>0</v>
      </c>
      <c r="AI601">
        <f t="shared" si="216"/>
        <v>0</v>
      </c>
      <c r="AJ601">
        <f t="shared" si="217"/>
        <v>1</v>
      </c>
      <c r="AK601">
        <f>SUM(AJ$2:$AJ601)</f>
        <v>600</v>
      </c>
    </row>
    <row r="602" spans="1:37">
      <c r="A602" t="s">
        <v>1825</v>
      </c>
      <c r="B602" t="s">
        <v>1861</v>
      </c>
      <c r="C602" t="s">
        <v>1862</v>
      </c>
      <c r="D602">
        <v>30200</v>
      </c>
      <c r="E602" t="s">
        <v>1863</v>
      </c>
      <c r="F602">
        <v>19896</v>
      </c>
      <c r="G602">
        <v>1623</v>
      </c>
      <c r="I602">
        <v>8118</v>
      </c>
      <c r="J602">
        <v>0</v>
      </c>
      <c r="K602">
        <v>0</v>
      </c>
      <c r="L602">
        <v>13565</v>
      </c>
      <c r="M602">
        <v>0</v>
      </c>
      <c r="N602">
        <v>13113</v>
      </c>
      <c r="O602">
        <v>0</v>
      </c>
      <c r="P602">
        <v>0</v>
      </c>
      <c r="R602">
        <v>9367</v>
      </c>
      <c r="S602">
        <v>15612</v>
      </c>
      <c r="T602" t="s">
        <v>1071</v>
      </c>
      <c r="U602">
        <v>6</v>
      </c>
      <c r="V602" t="s">
        <v>87</v>
      </c>
      <c r="W602" t="s">
        <v>123</v>
      </c>
      <c r="X602" t="s">
        <v>88</v>
      </c>
      <c r="Y602" t="s">
        <v>135</v>
      </c>
      <c r="Z602">
        <v>1</v>
      </c>
      <c r="AA602">
        <f>IF(AND(D602&gt;=配装计算器!$I$29,D602&lt;=配装计算器!$I$30),1,0)</f>
        <v>1</v>
      </c>
      <c r="AB602">
        <f t="shared" si="209"/>
        <v>0</v>
      </c>
      <c r="AC602">
        <f t="shared" si="210"/>
        <v>0</v>
      </c>
      <c r="AD602">
        <f t="shared" si="211"/>
        <v>1</v>
      </c>
      <c r="AE602">
        <f t="shared" si="212"/>
        <v>0</v>
      </c>
      <c r="AF602">
        <f t="shared" si="213"/>
        <v>1</v>
      </c>
      <c r="AG602">
        <f t="shared" si="214"/>
        <v>0</v>
      </c>
      <c r="AH602">
        <f t="shared" si="215"/>
        <v>0</v>
      </c>
      <c r="AI602">
        <f t="shared" si="216"/>
        <v>0</v>
      </c>
      <c r="AJ602">
        <f t="shared" si="217"/>
        <v>1</v>
      </c>
      <c r="AK602">
        <f>SUM(AJ$2:$AJ602)</f>
        <v>601</v>
      </c>
    </row>
    <row r="603" spans="1:37">
      <c r="A603" t="s">
        <v>1825</v>
      </c>
      <c r="B603" t="s">
        <v>1864</v>
      </c>
      <c r="C603" t="s">
        <v>1865</v>
      </c>
      <c r="D603">
        <v>30200</v>
      </c>
      <c r="E603" t="s">
        <v>1866</v>
      </c>
      <c r="F603">
        <v>19896</v>
      </c>
      <c r="G603">
        <v>1623</v>
      </c>
      <c r="I603">
        <v>8118</v>
      </c>
      <c r="J603">
        <v>0</v>
      </c>
      <c r="K603">
        <v>0</v>
      </c>
      <c r="L603">
        <v>0</v>
      </c>
      <c r="M603">
        <v>0</v>
      </c>
      <c r="N603">
        <v>13113</v>
      </c>
      <c r="O603">
        <v>13565</v>
      </c>
      <c r="P603">
        <v>0</v>
      </c>
      <c r="R603">
        <v>9367</v>
      </c>
      <c r="S603">
        <v>15612</v>
      </c>
      <c r="T603" t="s">
        <v>115</v>
      </c>
      <c r="U603">
        <v>6</v>
      </c>
      <c r="V603" t="s">
        <v>87</v>
      </c>
      <c r="W603" t="s">
        <v>88</v>
      </c>
      <c r="X603" t="s">
        <v>123</v>
      </c>
      <c r="Y603" t="s">
        <v>94</v>
      </c>
      <c r="Z603">
        <v>1</v>
      </c>
      <c r="AA603">
        <f>IF(AND(D603&gt;=配装计算器!$I$29,D603&lt;=配装计算器!$I$30),1,0)</f>
        <v>1</v>
      </c>
      <c r="AB603">
        <f t="shared" si="209"/>
        <v>0</v>
      </c>
      <c r="AC603">
        <f t="shared" si="210"/>
        <v>0</v>
      </c>
      <c r="AD603">
        <f t="shared" si="211"/>
        <v>0</v>
      </c>
      <c r="AE603">
        <f t="shared" si="212"/>
        <v>0</v>
      </c>
      <c r="AF603">
        <f t="shared" si="213"/>
        <v>1</v>
      </c>
      <c r="AG603">
        <f t="shared" si="214"/>
        <v>1</v>
      </c>
      <c r="AH603">
        <f t="shared" si="215"/>
        <v>0</v>
      </c>
      <c r="AI603">
        <f t="shared" si="216"/>
        <v>0</v>
      </c>
      <c r="AJ603">
        <f t="shared" si="217"/>
        <v>1</v>
      </c>
      <c r="AK603">
        <f>SUM(AJ$2:$AJ603)</f>
        <v>602</v>
      </c>
    </row>
    <row r="604" spans="1:37">
      <c r="A604" t="s">
        <v>1825</v>
      </c>
      <c r="B604" t="s">
        <v>1867</v>
      </c>
      <c r="C604" t="s">
        <v>1868</v>
      </c>
      <c r="D604">
        <v>30200</v>
      </c>
      <c r="E604" t="s">
        <v>1869</v>
      </c>
      <c r="F604">
        <v>19896</v>
      </c>
      <c r="G604">
        <v>1623</v>
      </c>
      <c r="I604">
        <v>8118</v>
      </c>
      <c r="J604">
        <v>0</v>
      </c>
      <c r="K604">
        <v>0</v>
      </c>
      <c r="L604">
        <v>13565</v>
      </c>
      <c r="M604">
        <v>0</v>
      </c>
      <c r="N604">
        <v>13113</v>
      </c>
      <c r="O604">
        <v>0</v>
      </c>
      <c r="P604">
        <v>0</v>
      </c>
      <c r="R604">
        <v>9367</v>
      </c>
      <c r="S604">
        <v>15612</v>
      </c>
      <c r="T604" t="s">
        <v>122</v>
      </c>
      <c r="U604">
        <v>6</v>
      </c>
      <c r="V604" t="s">
        <v>87</v>
      </c>
      <c r="W604" t="s">
        <v>123</v>
      </c>
      <c r="X604" t="s">
        <v>88</v>
      </c>
      <c r="Y604" t="s">
        <v>135</v>
      </c>
      <c r="Z604">
        <v>1</v>
      </c>
      <c r="AA604">
        <f>IF(AND(D604&gt;=配装计算器!$I$29,D604&lt;=配装计算器!$I$30),1,0)</f>
        <v>1</v>
      </c>
      <c r="AB604">
        <f t="shared" ref="AB604:AB636" si="218">IF(J604&gt;0,1,0)</f>
        <v>0</v>
      </c>
      <c r="AC604">
        <f t="shared" ref="AC604:AC636" si="219">IF(K604&gt;0,1,0)</f>
        <v>0</v>
      </c>
      <c r="AD604">
        <f t="shared" ref="AD604:AD636" si="220">IF(L604&gt;0,1,0)</f>
        <v>1</v>
      </c>
      <c r="AE604">
        <f t="shared" ref="AE604:AE636" si="221">IF(M604&gt;0,1,0)</f>
        <v>0</v>
      </c>
      <c r="AF604">
        <f t="shared" ref="AF604:AF636" si="222">IF(N604&gt;0,1,0)</f>
        <v>1</v>
      </c>
      <c r="AG604">
        <f t="shared" ref="AG604:AG636" si="223">IF(O604&gt;0,1,0)</f>
        <v>0</v>
      </c>
      <c r="AH604">
        <f t="shared" ref="AH604:AH636" si="224">IF(P604&gt;0,1,0)</f>
        <v>0</v>
      </c>
      <c r="AI604">
        <f t="shared" ref="AI604:AI636" si="225">IF(COUNTIF(T604,"*"&amp;"精简"&amp;"*")&gt;0,1,0)</f>
        <v>0</v>
      </c>
      <c r="AJ604">
        <f t="shared" ref="AJ604:AJ636" si="226">MIN(1,AA604*($AY$2+IF(AND(AB604&gt;=$AQ$3,AC604&gt;=$AR$3,AD604&gt;=$AS$3,AE604&gt;=$AT$3,AF604&gt;=$AU$3,AG604&gt;=$AV$3,AH604&gt;=$AW$3,AI604&gt;=$AX$3),1,0)))</f>
        <v>1</v>
      </c>
      <c r="AK604">
        <f>SUM(AJ$2:$AJ604)</f>
        <v>603</v>
      </c>
    </row>
    <row r="605" spans="1:37">
      <c r="A605" t="s">
        <v>1825</v>
      </c>
      <c r="B605" t="s">
        <v>1870</v>
      </c>
      <c r="C605" t="s">
        <v>1871</v>
      </c>
      <c r="D605">
        <v>30200</v>
      </c>
      <c r="E605" t="s">
        <v>1872</v>
      </c>
      <c r="F605">
        <v>19896</v>
      </c>
      <c r="G605">
        <v>1623</v>
      </c>
      <c r="I605">
        <v>8118</v>
      </c>
      <c r="J605">
        <v>13565</v>
      </c>
      <c r="K605">
        <v>0</v>
      </c>
      <c r="L605">
        <v>0</v>
      </c>
      <c r="M605">
        <v>0</v>
      </c>
      <c r="N605">
        <v>13113</v>
      </c>
      <c r="O605">
        <v>0</v>
      </c>
      <c r="P605">
        <v>0</v>
      </c>
      <c r="R605">
        <v>9367</v>
      </c>
      <c r="S605">
        <v>15612</v>
      </c>
      <c r="T605" t="s">
        <v>102</v>
      </c>
      <c r="U605">
        <v>6</v>
      </c>
      <c r="V605" t="s">
        <v>87</v>
      </c>
      <c r="W605" t="s">
        <v>185</v>
      </c>
      <c r="X605" t="s">
        <v>94</v>
      </c>
      <c r="Y605" t="s">
        <v>88</v>
      </c>
      <c r="Z605">
        <v>1</v>
      </c>
      <c r="AA605">
        <f>IF(AND(D605&gt;=配装计算器!$I$29,D605&lt;=配装计算器!$I$30),1,0)</f>
        <v>1</v>
      </c>
      <c r="AB605">
        <f t="shared" si="218"/>
        <v>1</v>
      </c>
      <c r="AC605">
        <f t="shared" si="219"/>
        <v>0</v>
      </c>
      <c r="AD605">
        <f t="shared" si="220"/>
        <v>0</v>
      </c>
      <c r="AE605">
        <f t="shared" si="221"/>
        <v>0</v>
      </c>
      <c r="AF605">
        <f t="shared" si="222"/>
        <v>1</v>
      </c>
      <c r="AG605">
        <f t="shared" si="223"/>
        <v>0</v>
      </c>
      <c r="AH605">
        <f t="shared" si="224"/>
        <v>0</v>
      </c>
      <c r="AI605">
        <f t="shared" si="225"/>
        <v>0</v>
      </c>
      <c r="AJ605">
        <f t="shared" si="226"/>
        <v>1</v>
      </c>
      <c r="AK605">
        <f>SUM(AJ$2:$AJ605)</f>
        <v>604</v>
      </c>
    </row>
    <row r="606" spans="1:37">
      <c r="A606" t="s">
        <v>1825</v>
      </c>
      <c r="B606" t="s">
        <v>1873</v>
      </c>
      <c r="C606" t="s">
        <v>1874</v>
      </c>
      <c r="D606">
        <v>30200</v>
      </c>
      <c r="E606" t="s">
        <v>1875</v>
      </c>
      <c r="F606">
        <v>19896</v>
      </c>
      <c r="G606">
        <v>1623</v>
      </c>
      <c r="I606">
        <v>8118</v>
      </c>
      <c r="J606">
        <v>13565</v>
      </c>
      <c r="K606">
        <v>0</v>
      </c>
      <c r="L606">
        <v>0</v>
      </c>
      <c r="M606">
        <v>0</v>
      </c>
      <c r="N606">
        <v>13113</v>
      </c>
      <c r="O606">
        <v>0</v>
      </c>
      <c r="P606">
        <v>0</v>
      </c>
      <c r="R606">
        <v>9367</v>
      </c>
      <c r="S606">
        <v>15612</v>
      </c>
      <c r="T606" t="s">
        <v>102</v>
      </c>
      <c r="U606">
        <v>6</v>
      </c>
      <c r="V606" t="s">
        <v>87</v>
      </c>
      <c r="W606" t="s">
        <v>185</v>
      </c>
      <c r="X606" t="s">
        <v>94</v>
      </c>
      <c r="Y606" t="s">
        <v>88</v>
      </c>
      <c r="Z606">
        <v>1</v>
      </c>
      <c r="AA606">
        <f>IF(AND(D606&gt;=配装计算器!$I$29,D606&lt;=配装计算器!$I$30),1,0)</f>
        <v>1</v>
      </c>
      <c r="AB606">
        <f t="shared" si="218"/>
        <v>1</v>
      </c>
      <c r="AC606">
        <f t="shared" si="219"/>
        <v>0</v>
      </c>
      <c r="AD606">
        <f t="shared" si="220"/>
        <v>0</v>
      </c>
      <c r="AE606">
        <f t="shared" si="221"/>
        <v>0</v>
      </c>
      <c r="AF606">
        <f t="shared" si="222"/>
        <v>1</v>
      </c>
      <c r="AG606">
        <f t="shared" si="223"/>
        <v>0</v>
      </c>
      <c r="AH606">
        <f t="shared" si="224"/>
        <v>0</v>
      </c>
      <c r="AI606">
        <f t="shared" si="225"/>
        <v>0</v>
      </c>
      <c r="AJ606">
        <f t="shared" si="226"/>
        <v>1</v>
      </c>
      <c r="AK606">
        <f>SUM(AJ$2:$AJ606)</f>
        <v>605</v>
      </c>
    </row>
    <row r="607" spans="1:37">
      <c r="A607" t="s">
        <v>1825</v>
      </c>
      <c r="B607" t="s">
        <v>1876</v>
      </c>
      <c r="C607" t="s">
        <v>1877</v>
      </c>
      <c r="D607">
        <v>30200</v>
      </c>
      <c r="E607" t="s">
        <v>1878</v>
      </c>
      <c r="F607">
        <v>19896</v>
      </c>
      <c r="G607">
        <v>1623</v>
      </c>
      <c r="I607">
        <v>8118</v>
      </c>
      <c r="J607">
        <v>0</v>
      </c>
      <c r="K607">
        <v>0</v>
      </c>
      <c r="L607">
        <v>0</v>
      </c>
      <c r="M607">
        <v>13565</v>
      </c>
      <c r="N607">
        <v>13113</v>
      </c>
      <c r="O607">
        <v>0</v>
      </c>
      <c r="P607">
        <v>0</v>
      </c>
      <c r="R607">
        <v>9367</v>
      </c>
      <c r="S607">
        <v>15612</v>
      </c>
      <c r="T607" t="s">
        <v>107</v>
      </c>
      <c r="U607">
        <v>6</v>
      </c>
      <c r="V607" t="s">
        <v>130</v>
      </c>
      <c r="W607" t="s">
        <v>123</v>
      </c>
      <c r="X607" t="s">
        <v>88</v>
      </c>
      <c r="Y607" t="s">
        <v>135</v>
      </c>
      <c r="Z607">
        <v>1</v>
      </c>
      <c r="AA607">
        <f>IF(AND(D607&gt;=配装计算器!$I$29,D607&lt;=配装计算器!$I$30),1,0)</f>
        <v>1</v>
      </c>
      <c r="AB607">
        <f t="shared" si="218"/>
        <v>0</v>
      </c>
      <c r="AC607">
        <f t="shared" si="219"/>
        <v>0</v>
      </c>
      <c r="AD607">
        <f t="shared" si="220"/>
        <v>0</v>
      </c>
      <c r="AE607">
        <f t="shared" si="221"/>
        <v>1</v>
      </c>
      <c r="AF607">
        <f t="shared" si="222"/>
        <v>1</v>
      </c>
      <c r="AG607">
        <f t="shared" si="223"/>
        <v>0</v>
      </c>
      <c r="AH607">
        <f t="shared" si="224"/>
        <v>0</v>
      </c>
      <c r="AI607">
        <f t="shared" si="225"/>
        <v>0</v>
      </c>
      <c r="AJ607">
        <f t="shared" si="226"/>
        <v>1</v>
      </c>
      <c r="AK607">
        <f>SUM(AJ$2:$AJ607)</f>
        <v>606</v>
      </c>
    </row>
    <row r="608" spans="1:37">
      <c r="A608" t="s">
        <v>1825</v>
      </c>
      <c r="B608" t="s">
        <v>1879</v>
      </c>
      <c r="C608" t="s">
        <v>1880</v>
      </c>
      <c r="D608">
        <v>30200</v>
      </c>
      <c r="E608" t="s">
        <v>1881</v>
      </c>
      <c r="F608">
        <v>19896</v>
      </c>
      <c r="G608">
        <v>1623</v>
      </c>
      <c r="I608">
        <v>8118</v>
      </c>
      <c r="J608">
        <v>0</v>
      </c>
      <c r="K608">
        <v>0</v>
      </c>
      <c r="L608">
        <v>0</v>
      </c>
      <c r="M608">
        <v>13565</v>
      </c>
      <c r="N608">
        <v>13113</v>
      </c>
      <c r="O608">
        <v>0</v>
      </c>
      <c r="P608">
        <v>0</v>
      </c>
      <c r="R608">
        <v>9367</v>
      </c>
      <c r="S608">
        <v>15612</v>
      </c>
      <c r="T608" t="s">
        <v>107</v>
      </c>
      <c r="U608">
        <v>6</v>
      </c>
      <c r="V608" t="s">
        <v>269</v>
      </c>
      <c r="W608" t="s">
        <v>123</v>
      </c>
      <c r="X608" t="s">
        <v>88</v>
      </c>
      <c r="Y608" t="s">
        <v>135</v>
      </c>
      <c r="Z608">
        <v>1</v>
      </c>
      <c r="AA608">
        <f>IF(AND(D608&gt;=配装计算器!$I$29,D608&lt;=配装计算器!$I$30),1,0)</f>
        <v>1</v>
      </c>
      <c r="AB608">
        <f t="shared" si="218"/>
        <v>0</v>
      </c>
      <c r="AC608">
        <f t="shared" si="219"/>
        <v>0</v>
      </c>
      <c r="AD608">
        <f t="shared" si="220"/>
        <v>0</v>
      </c>
      <c r="AE608">
        <f t="shared" si="221"/>
        <v>1</v>
      </c>
      <c r="AF608">
        <f t="shared" si="222"/>
        <v>1</v>
      </c>
      <c r="AG608">
        <f t="shared" si="223"/>
        <v>0</v>
      </c>
      <c r="AH608">
        <f t="shared" si="224"/>
        <v>0</v>
      </c>
      <c r="AI608">
        <f t="shared" si="225"/>
        <v>0</v>
      </c>
      <c r="AJ608">
        <f t="shared" si="226"/>
        <v>1</v>
      </c>
      <c r="AK608">
        <f>SUM(AJ$2:$AJ608)</f>
        <v>607</v>
      </c>
    </row>
    <row r="609" spans="1:37">
      <c r="A609" t="s">
        <v>1825</v>
      </c>
      <c r="B609" t="s">
        <v>1882</v>
      </c>
      <c r="C609" t="s">
        <v>1883</v>
      </c>
      <c r="D609">
        <v>30700</v>
      </c>
      <c r="E609" t="s">
        <v>1884</v>
      </c>
      <c r="F609">
        <v>20225</v>
      </c>
      <c r="G609">
        <v>1532</v>
      </c>
      <c r="I609">
        <v>7003</v>
      </c>
      <c r="J609">
        <v>0</v>
      </c>
      <c r="K609">
        <v>0</v>
      </c>
      <c r="L609">
        <v>13790</v>
      </c>
      <c r="M609">
        <v>0</v>
      </c>
      <c r="N609">
        <v>0</v>
      </c>
      <c r="O609">
        <v>0</v>
      </c>
      <c r="P609">
        <v>5516</v>
      </c>
      <c r="R609">
        <v>9523</v>
      </c>
      <c r="S609">
        <v>15871</v>
      </c>
      <c r="T609" t="s">
        <v>86</v>
      </c>
      <c r="U609">
        <v>6</v>
      </c>
      <c r="V609" t="s">
        <v>145</v>
      </c>
      <c r="W609" t="s">
        <v>88</v>
      </c>
      <c r="X609" t="s">
        <v>135</v>
      </c>
      <c r="Y609" t="s">
        <v>233</v>
      </c>
      <c r="Z609">
        <v>2</v>
      </c>
      <c r="AA609">
        <f>IF(AND(D609&gt;=配装计算器!$I$29,D609&lt;=配装计算器!$I$30),1,0)</f>
        <v>1</v>
      </c>
      <c r="AB609">
        <f t="shared" si="218"/>
        <v>0</v>
      </c>
      <c r="AC609">
        <f t="shared" si="219"/>
        <v>0</v>
      </c>
      <c r="AD609">
        <f t="shared" si="220"/>
        <v>1</v>
      </c>
      <c r="AE609">
        <f t="shared" si="221"/>
        <v>0</v>
      </c>
      <c r="AF609">
        <f t="shared" si="222"/>
        <v>0</v>
      </c>
      <c r="AG609">
        <f t="shared" si="223"/>
        <v>0</v>
      </c>
      <c r="AH609">
        <f t="shared" si="224"/>
        <v>1</v>
      </c>
      <c r="AI609">
        <f t="shared" si="225"/>
        <v>0</v>
      </c>
      <c r="AJ609">
        <f t="shared" si="226"/>
        <v>1</v>
      </c>
      <c r="AK609">
        <f>SUM(AJ$2:$AJ609)</f>
        <v>608</v>
      </c>
    </row>
    <row r="610" spans="1:37">
      <c r="A610" t="s">
        <v>1825</v>
      </c>
      <c r="B610" t="s">
        <v>1885</v>
      </c>
      <c r="C610" t="s">
        <v>1886</v>
      </c>
      <c r="D610">
        <v>30700</v>
      </c>
      <c r="E610" t="s">
        <v>1887</v>
      </c>
      <c r="F610">
        <v>20225</v>
      </c>
      <c r="G610">
        <v>1650</v>
      </c>
      <c r="I610">
        <v>8253</v>
      </c>
      <c r="J610">
        <v>13790</v>
      </c>
      <c r="K610">
        <v>0</v>
      </c>
      <c r="L610">
        <v>0</v>
      </c>
      <c r="M610">
        <v>0</v>
      </c>
      <c r="N610">
        <v>13330</v>
      </c>
      <c r="O610">
        <v>0</v>
      </c>
      <c r="P610">
        <v>0</v>
      </c>
      <c r="R610">
        <v>9523</v>
      </c>
      <c r="S610">
        <v>15871</v>
      </c>
      <c r="T610" t="s">
        <v>1888</v>
      </c>
      <c r="U610">
        <v>6</v>
      </c>
      <c r="V610" t="s">
        <v>87</v>
      </c>
      <c r="W610" t="s">
        <v>185</v>
      </c>
      <c r="X610" t="s">
        <v>94</v>
      </c>
      <c r="Y610" t="s">
        <v>88</v>
      </c>
      <c r="Z610">
        <v>1</v>
      </c>
      <c r="AA610">
        <f>IF(AND(D610&gt;=配装计算器!$I$29,D610&lt;=配装计算器!$I$30),1,0)</f>
        <v>1</v>
      </c>
      <c r="AB610">
        <f t="shared" si="218"/>
        <v>1</v>
      </c>
      <c r="AC610">
        <f t="shared" si="219"/>
        <v>0</v>
      </c>
      <c r="AD610">
        <f t="shared" si="220"/>
        <v>0</v>
      </c>
      <c r="AE610">
        <f t="shared" si="221"/>
        <v>0</v>
      </c>
      <c r="AF610">
        <f t="shared" si="222"/>
        <v>1</v>
      </c>
      <c r="AG610">
        <f t="shared" si="223"/>
        <v>0</v>
      </c>
      <c r="AH610">
        <f t="shared" si="224"/>
        <v>0</v>
      </c>
      <c r="AI610">
        <f t="shared" si="225"/>
        <v>0</v>
      </c>
      <c r="AJ610">
        <f t="shared" si="226"/>
        <v>1</v>
      </c>
      <c r="AK610">
        <f>SUM(AJ$2:$AJ610)</f>
        <v>609</v>
      </c>
    </row>
    <row r="611" spans="1:37">
      <c r="A611" t="s">
        <v>1825</v>
      </c>
      <c r="B611" t="s">
        <v>1889</v>
      </c>
      <c r="C611" t="s">
        <v>1890</v>
      </c>
      <c r="D611">
        <v>30700</v>
      </c>
      <c r="E611" t="s">
        <v>1891</v>
      </c>
      <c r="F611">
        <v>20225</v>
      </c>
      <c r="G611">
        <v>1650</v>
      </c>
      <c r="I611">
        <v>8253</v>
      </c>
      <c r="J611">
        <v>13790</v>
      </c>
      <c r="K611">
        <v>0</v>
      </c>
      <c r="L611">
        <v>0</v>
      </c>
      <c r="M611">
        <v>0</v>
      </c>
      <c r="N611">
        <v>13330</v>
      </c>
      <c r="O611">
        <v>0</v>
      </c>
      <c r="P611">
        <v>0</v>
      </c>
      <c r="R611">
        <v>9523</v>
      </c>
      <c r="S611">
        <v>15871</v>
      </c>
      <c r="T611" t="s">
        <v>102</v>
      </c>
      <c r="U611">
        <v>6</v>
      </c>
      <c r="V611" t="s">
        <v>327</v>
      </c>
      <c r="W611" t="s">
        <v>185</v>
      </c>
      <c r="X611" t="s">
        <v>94</v>
      </c>
      <c r="Y611" t="s">
        <v>88</v>
      </c>
      <c r="Z611">
        <v>1</v>
      </c>
      <c r="AA611">
        <f>IF(AND(D611&gt;=配装计算器!$I$29,D611&lt;=配装计算器!$I$30),1,0)</f>
        <v>1</v>
      </c>
      <c r="AB611">
        <f t="shared" si="218"/>
        <v>1</v>
      </c>
      <c r="AC611">
        <f t="shared" si="219"/>
        <v>0</v>
      </c>
      <c r="AD611">
        <f t="shared" si="220"/>
        <v>0</v>
      </c>
      <c r="AE611">
        <f t="shared" si="221"/>
        <v>0</v>
      </c>
      <c r="AF611">
        <f t="shared" si="222"/>
        <v>1</v>
      </c>
      <c r="AG611">
        <f t="shared" si="223"/>
        <v>0</v>
      </c>
      <c r="AH611">
        <f t="shared" si="224"/>
        <v>0</v>
      </c>
      <c r="AI611">
        <f t="shared" si="225"/>
        <v>0</v>
      </c>
      <c r="AJ611">
        <f t="shared" si="226"/>
        <v>1</v>
      </c>
      <c r="AK611">
        <f>SUM(AJ$2:$AJ611)</f>
        <v>610</v>
      </c>
    </row>
    <row r="612" spans="1:37">
      <c r="A612" t="s">
        <v>1825</v>
      </c>
      <c r="B612" t="s">
        <v>1892</v>
      </c>
      <c r="C612" t="s">
        <v>1827</v>
      </c>
      <c r="D612">
        <v>31625</v>
      </c>
      <c r="E612" t="s">
        <v>1893</v>
      </c>
      <c r="F612">
        <v>23150</v>
      </c>
      <c r="G612">
        <v>1889</v>
      </c>
      <c r="I612">
        <v>9160</v>
      </c>
      <c r="J612">
        <v>13679</v>
      </c>
      <c r="K612">
        <v>0</v>
      </c>
      <c r="L612">
        <v>10523</v>
      </c>
      <c r="M612">
        <v>0</v>
      </c>
      <c r="N612">
        <v>0</v>
      </c>
      <c r="O612">
        <v>5261</v>
      </c>
      <c r="P612">
        <v>0</v>
      </c>
      <c r="R612">
        <v>10899</v>
      </c>
      <c r="S612">
        <v>18165</v>
      </c>
      <c r="T612" t="s">
        <v>1032</v>
      </c>
      <c r="U612">
        <v>8</v>
      </c>
      <c r="V612" t="s">
        <v>1033</v>
      </c>
      <c r="W612" t="s">
        <v>123</v>
      </c>
      <c r="X612" t="s">
        <v>88</v>
      </c>
      <c r="Y612" t="s">
        <v>135</v>
      </c>
      <c r="Z612">
        <v>3</v>
      </c>
      <c r="AA612">
        <f>IF(AND(D612&gt;=配装计算器!$I$29,D612&lt;=配装计算器!$I$30),1,0)</f>
        <v>1</v>
      </c>
      <c r="AB612">
        <f t="shared" si="218"/>
        <v>1</v>
      </c>
      <c r="AC612">
        <f t="shared" si="219"/>
        <v>0</v>
      </c>
      <c r="AD612">
        <f t="shared" si="220"/>
        <v>1</v>
      </c>
      <c r="AE612">
        <f t="shared" si="221"/>
        <v>0</v>
      </c>
      <c r="AF612">
        <f t="shared" si="222"/>
        <v>0</v>
      </c>
      <c r="AG612">
        <f t="shared" si="223"/>
        <v>1</v>
      </c>
      <c r="AH612">
        <f t="shared" si="224"/>
        <v>0</v>
      </c>
      <c r="AI612">
        <f t="shared" si="225"/>
        <v>0</v>
      </c>
      <c r="AJ612">
        <f t="shared" si="226"/>
        <v>1</v>
      </c>
      <c r="AK612">
        <f>SUM(AJ$2:$AJ612)</f>
        <v>611</v>
      </c>
    </row>
    <row r="613" spans="1:37">
      <c r="A613" t="s">
        <v>1825</v>
      </c>
      <c r="B613" t="s">
        <v>1894</v>
      </c>
      <c r="C613" t="s">
        <v>1834</v>
      </c>
      <c r="D613">
        <v>32000</v>
      </c>
      <c r="E613" t="s">
        <v>1895</v>
      </c>
      <c r="F613">
        <v>23424</v>
      </c>
      <c r="G613">
        <v>1911</v>
      </c>
      <c r="I613">
        <v>9268</v>
      </c>
      <c r="J613">
        <v>13841</v>
      </c>
      <c r="K613">
        <v>0</v>
      </c>
      <c r="L613">
        <v>10647</v>
      </c>
      <c r="M613">
        <v>0</v>
      </c>
      <c r="N613">
        <v>0</v>
      </c>
      <c r="O613">
        <v>5324</v>
      </c>
      <c r="P613">
        <v>0</v>
      </c>
      <c r="R613">
        <v>11028</v>
      </c>
      <c r="S613">
        <v>18380</v>
      </c>
      <c r="T613" t="s">
        <v>1041</v>
      </c>
      <c r="U613">
        <v>8</v>
      </c>
      <c r="V613" t="s">
        <v>1042</v>
      </c>
      <c r="W613" t="s">
        <v>123</v>
      </c>
      <c r="X613" t="s">
        <v>88</v>
      </c>
      <c r="Y613" t="s">
        <v>135</v>
      </c>
      <c r="Z613">
        <v>3</v>
      </c>
      <c r="AA613">
        <f>IF(AND(D613&gt;=配装计算器!$I$29,D613&lt;=配装计算器!$I$30),1,0)</f>
        <v>1</v>
      </c>
      <c r="AB613">
        <f t="shared" si="218"/>
        <v>1</v>
      </c>
      <c r="AC613">
        <f t="shared" si="219"/>
        <v>0</v>
      </c>
      <c r="AD613">
        <f t="shared" si="220"/>
        <v>1</v>
      </c>
      <c r="AE613">
        <f t="shared" si="221"/>
        <v>0</v>
      </c>
      <c r="AF613">
        <f t="shared" si="222"/>
        <v>0</v>
      </c>
      <c r="AG613">
        <f t="shared" si="223"/>
        <v>1</v>
      </c>
      <c r="AH613">
        <f t="shared" si="224"/>
        <v>0</v>
      </c>
      <c r="AI613">
        <f t="shared" si="225"/>
        <v>0</v>
      </c>
      <c r="AJ613">
        <f t="shared" si="226"/>
        <v>1</v>
      </c>
      <c r="AK613">
        <f>SUM(AJ$2:$AJ613)</f>
        <v>612</v>
      </c>
    </row>
    <row r="614" spans="1:37">
      <c r="A614" t="s">
        <v>1825</v>
      </c>
      <c r="B614" t="s">
        <v>1896</v>
      </c>
      <c r="C614" t="s">
        <v>1897</v>
      </c>
      <c r="D614">
        <v>32500</v>
      </c>
      <c r="E614" t="s">
        <v>1898</v>
      </c>
      <c r="F614">
        <v>21411</v>
      </c>
      <c r="G614">
        <v>1747</v>
      </c>
      <c r="I614">
        <v>8736</v>
      </c>
      <c r="J614">
        <v>14598</v>
      </c>
      <c r="K614">
        <v>0</v>
      </c>
      <c r="L614">
        <v>0</v>
      </c>
      <c r="M614">
        <v>0</v>
      </c>
      <c r="N614">
        <v>14112</v>
      </c>
      <c r="O614">
        <v>0</v>
      </c>
      <c r="P614">
        <v>0</v>
      </c>
      <c r="R614">
        <v>10081</v>
      </c>
      <c r="S614">
        <v>16802</v>
      </c>
      <c r="T614" t="s">
        <v>102</v>
      </c>
      <c r="U614">
        <v>6</v>
      </c>
      <c r="V614" t="s">
        <v>149</v>
      </c>
      <c r="W614" t="s">
        <v>185</v>
      </c>
      <c r="X614" t="s">
        <v>94</v>
      </c>
      <c r="Y614" t="s">
        <v>88</v>
      </c>
      <c r="Z614">
        <v>1</v>
      </c>
      <c r="AA614">
        <f>IF(AND(D614&gt;=配装计算器!$I$29,D614&lt;=配装计算器!$I$30),1,0)</f>
        <v>1</v>
      </c>
      <c r="AB614">
        <f t="shared" si="218"/>
        <v>1</v>
      </c>
      <c r="AC614">
        <f t="shared" si="219"/>
        <v>0</v>
      </c>
      <c r="AD614">
        <f t="shared" si="220"/>
        <v>0</v>
      </c>
      <c r="AE614">
        <f t="shared" si="221"/>
        <v>0</v>
      </c>
      <c r="AF614">
        <f t="shared" si="222"/>
        <v>1</v>
      </c>
      <c r="AG614">
        <f t="shared" si="223"/>
        <v>0</v>
      </c>
      <c r="AH614">
        <f t="shared" si="224"/>
        <v>0</v>
      </c>
      <c r="AI614">
        <f t="shared" si="225"/>
        <v>0</v>
      </c>
      <c r="AJ614">
        <f t="shared" si="226"/>
        <v>1</v>
      </c>
      <c r="AK614">
        <f>SUM(AJ$2:$AJ614)</f>
        <v>613</v>
      </c>
    </row>
    <row r="615" spans="1:37">
      <c r="A615" t="s">
        <v>1825</v>
      </c>
      <c r="B615" t="s">
        <v>1899</v>
      </c>
      <c r="C615" t="s">
        <v>1900</v>
      </c>
      <c r="D615">
        <v>33400</v>
      </c>
      <c r="E615" t="s">
        <v>1901</v>
      </c>
      <c r="F615">
        <v>22004</v>
      </c>
      <c r="G615">
        <v>1795</v>
      </c>
      <c r="I615">
        <v>8978</v>
      </c>
      <c r="J615">
        <v>0</v>
      </c>
      <c r="K615">
        <v>0</v>
      </c>
      <c r="L615">
        <v>0</v>
      </c>
      <c r="M615">
        <v>15003</v>
      </c>
      <c r="N615">
        <v>14503</v>
      </c>
      <c r="O615">
        <v>0</v>
      </c>
      <c r="P615">
        <v>0</v>
      </c>
      <c r="R615">
        <v>10360</v>
      </c>
      <c r="S615">
        <v>17267</v>
      </c>
      <c r="T615" t="s">
        <v>1109</v>
      </c>
      <c r="U615">
        <v>6</v>
      </c>
      <c r="V615" t="s">
        <v>87</v>
      </c>
      <c r="W615" t="s">
        <v>123</v>
      </c>
      <c r="X615" t="s">
        <v>88</v>
      </c>
      <c r="Y615" t="s">
        <v>135</v>
      </c>
      <c r="Z615">
        <v>1</v>
      </c>
      <c r="AA615">
        <f>IF(AND(D615&gt;=配装计算器!$I$29,D615&lt;=配装计算器!$I$30),1,0)</f>
        <v>1</v>
      </c>
      <c r="AB615">
        <f t="shared" si="218"/>
        <v>0</v>
      </c>
      <c r="AC615">
        <f t="shared" si="219"/>
        <v>0</v>
      </c>
      <c r="AD615">
        <f t="shared" si="220"/>
        <v>0</v>
      </c>
      <c r="AE615">
        <f t="shared" si="221"/>
        <v>1</v>
      </c>
      <c r="AF615">
        <f t="shared" si="222"/>
        <v>1</v>
      </c>
      <c r="AG615">
        <f t="shared" si="223"/>
        <v>0</v>
      </c>
      <c r="AH615">
        <f t="shared" si="224"/>
        <v>0</v>
      </c>
      <c r="AI615">
        <f t="shared" si="225"/>
        <v>0</v>
      </c>
      <c r="AJ615">
        <f t="shared" si="226"/>
        <v>1</v>
      </c>
      <c r="AK615">
        <f>SUM(AJ$2:$AJ615)</f>
        <v>614</v>
      </c>
    </row>
    <row r="616" spans="1:37">
      <c r="A616" t="s">
        <v>1825</v>
      </c>
      <c r="B616" t="s">
        <v>1902</v>
      </c>
      <c r="C616" t="s">
        <v>1827</v>
      </c>
      <c r="D616">
        <v>34375</v>
      </c>
      <c r="E616" t="s">
        <v>1903</v>
      </c>
      <c r="F616">
        <v>25163</v>
      </c>
      <c r="G616">
        <v>2053</v>
      </c>
      <c r="I616">
        <v>9956</v>
      </c>
      <c r="J616">
        <v>14869</v>
      </c>
      <c r="K616">
        <v>0</v>
      </c>
      <c r="L616">
        <v>11438</v>
      </c>
      <c r="M616">
        <v>0</v>
      </c>
      <c r="N616">
        <v>0</v>
      </c>
      <c r="O616">
        <v>5719</v>
      </c>
      <c r="P616">
        <v>0</v>
      </c>
      <c r="R616">
        <v>11847</v>
      </c>
      <c r="S616">
        <v>19745</v>
      </c>
      <c r="T616" t="s">
        <v>1032</v>
      </c>
      <c r="U616">
        <v>8</v>
      </c>
      <c r="V616" t="s">
        <v>1033</v>
      </c>
      <c r="W616" t="s">
        <v>123</v>
      </c>
      <c r="X616" t="s">
        <v>88</v>
      </c>
      <c r="Y616" t="s">
        <v>135</v>
      </c>
      <c r="Z616">
        <v>3</v>
      </c>
      <c r="AA616">
        <f>IF(AND(D616&gt;=配装计算器!$I$29,D616&lt;=配装计算器!$I$30),1,0)</f>
        <v>1</v>
      </c>
      <c r="AB616">
        <f t="shared" si="218"/>
        <v>1</v>
      </c>
      <c r="AC616">
        <f t="shared" si="219"/>
        <v>0</v>
      </c>
      <c r="AD616">
        <f t="shared" si="220"/>
        <v>1</v>
      </c>
      <c r="AE616">
        <f t="shared" si="221"/>
        <v>0</v>
      </c>
      <c r="AF616">
        <f t="shared" si="222"/>
        <v>0</v>
      </c>
      <c r="AG616">
        <f t="shared" si="223"/>
        <v>1</v>
      </c>
      <c r="AH616">
        <f t="shared" si="224"/>
        <v>0</v>
      </c>
      <c r="AI616">
        <f t="shared" si="225"/>
        <v>0</v>
      </c>
      <c r="AJ616">
        <f t="shared" si="226"/>
        <v>1</v>
      </c>
      <c r="AK616">
        <f>SUM(AJ$2:$AJ616)</f>
        <v>615</v>
      </c>
    </row>
    <row r="617" spans="1:37">
      <c r="A617" t="s">
        <v>1825</v>
      </c>
      <c r="B617" t="s">
        <v>1904</v>
      </c>
      <c r="C617" t="s">
        <v>1834</v>
      </c>
      <c r="D617">
        <v>35000</v>
      </c>
      <c r="E617" t="s">
        <v>1905</v>
      </c>
      <c r="F617">
        <v>25620</v>
      </c>
      <c r="G617">
        <v>2090</v>
      </c>
      <c r="I617">
        <v>10137</v>
      </c>
      <c r="J617">
        <v>15139</v>
      </c>
      <c r="K617">
        <v>0</v>
      </c>
      <c r="L617">
        <v>11645</v>
      </c>
      <c r="M617">
        <v>0</v>
      </c>
      <c r="N617">
        <v>0</v>
      </c>
      <c r="O617">
        <v>5823</v>
      </c>
      <c r="P617">
        <v>0</v>
      </c>
      <c r="R617">
        <v>12062</v>
      </c>
      <c r="S617">
        <v>20104</v>
      </c>
      <c r="T617" t="s">
        <v>1041</v>
      </c>
      <c r="U617">
        <v>8</v>
      </c>
      <c r="V617" t="s">
        <v>1042</v>
      </c>
      <c r="W617" t="s">
        <v>123</v>
      </c>
      <c r="X617" t="s">
        <v>88</v>
      </c>
      <c r="Y617" t="s">
        <v>135</v>
      </c>
      <c r="Z617">
        <v>3</v>
      </c>
      <c r="AA617">
        <f>IF(AND(D617&gt;=配装计算器!$I$29,D617&lt;=配装计算器!$I$30),1,0)</f>
        <v>1</v>
      </c>
      <c r="AB617">
        <f t="shared" si="218"/>
        <v>1</v>
      </c>
      <c r="AC617">
        <f t="shared" si="219"/>
        <v>0</v>
      </c>
      <c r="AD617">
        <f t="shared" si="220"/>
        <v>1</v>
      </c>
      <c r="AE617">
        <f t="shared" si="221"/>
        <v>0</v>
      </c>
      <c r="AF617">
        <f t="shared" si="222"/>
        <v>0</v>
      </c>
      <c r="AG617">
        <f t="shared" si="223"/>
        <v>1</v>
      </c>
      <c r="AH617">
        <f t="shared" si="224"/>
        <v>0</v>
      </c>
      <c r="AI617">
        <f t="shared" si="225"/>
        <v>0</v>
      </c>
      <c r="AJ617">
        <f t="shared" si="226"/>
        <v>1</v>
      </c>
      <c r="AK617">
        <f>SUM(AJ$2:$AJ617)</f>
        <v>616</v>
      </c>
    </row>
    <row r="618" spans="1:37">
      <c r="A618" t="s">
        <v>1825</v>
      </c>
      <c r="B618" t="s">
        <v>1906</v>
      </c>
      <c r="C618" t="s">
        <v>1907</v>
      </c>
      <c r="D618">
        <v>35300</v>
      </c>
      <c r="E618" t="s">
        <v>1908</v>
      </c>
      <c r="F618">
        <v>23256</v>
      </c>
      <c r="G618">
        <v>1897</v>
      </c>
      <c r="I618">
        <v>9489</v>
      </c>
      <c r="J618">
        <v>0</v>
      </c>
      <c r="K618">
        <v>0</v>
      </c>
      <c r="L618">
        <v>15856</v>
      </c>
      <c r="M618">
        <v>0</v>
      </c>
      <c r="N618">
        <v>15328</v>
      </c>
      <c r="O618">
        <v>0</v>
      </c>
      <c r="P618">
        <v>0</v>
      </c>
      <c r="R618">
        <v>10950</v>
      </c>
      <c r="S618">
        <v>18250</v>
      </c>
      <c r="T618" t="s">
        <v>122</v>
      </c>
      <c r="U618">
        <v>6</v>
      </c>
      <c r="V618" t="s">
        <v>103</v>
      </c>
      <c r="W618" t="s">
        <v>123</v>
      </c>
      <c r="X618" t="s">
        <v>88</v>
      </c>
      <c r="Y618" t="s">
        <v>135</v>
      </c>
      <c r="Z618">
        <v>1</v>
      </c>
      <c r="AA618">
        <f>IF(AND(D618&gt;=配装计算器!$I$29,D618&lt;=配装计算器!$I$30),1,0)</f>
        <v>1</v>
      </c>
      <c r="AB618">
        <f t="shared" si="218"/>
        <v>0</v>
      </c>
      <c r="AC618">
        <f t="shared" si="219"/>
        <v>0</v>
      </c>
      <c r="AD618">
        <f t="shared" si="220"/>
        <v>1</v>
      </c>
      <c r="AE618">
        <f t="shared" si="221"/>
        <v>0</v>
      </c>
      <c r="AF618">
        <f t="shared" si="222"/>
        <v>1</v>
      </c>
      <c r="AG618">
        <f t="shared" si="223"/>
        <v>0</v>
      </c>
      <c r="AH618">
        <f t="shared" si="224"/>
        <v>0</v>
      </c>
      <c r="AI618">
        <f t="shared" si="225"/>
        <v>0</v>
      </c>
      <c r="AJ618">
        <f t="shared" si="226"/>
        <v>1</v>
      </c>
      <c r="AK618">
        <f>SUM(AJ$2:$AJ618)</f>
        <v>617</v>
      </c>
    </row>
    <row r="619" spans="1:37">
      <c r="A619" t="s">
        <v>1825</v>
      </c>
      <c r="B619" t="s">
        <v>1909</v>
      </c>
      <c r="C619" t="s">
        <v>1910</v>
      </c>
      <c r="D619">
        <v>35300</v>
      </c>
      <c r="E619" t="s">
        <v>1911</v>
      </c>
      <c r="F619">
        <v>23256</v>
      </c>
      <c r="G619">
        <v>1897</v>
      </c>
      <c r="I619">
        <v>9489</v>
      </c>
      <c r="J619">
        <v>0</v>
      </c>
      <c r="K619">
        <v>0</v>
      </c>
      <c r="L619">
        <v>0</v>
      </c>
      <c r="M619">
        <v>15856</v>
      </c>
      <c r="N619">
        <v>15328</v>
      </c>
      <c r="O619">
        <v>0</v>
      </c>
      <c r="P619">
        <v>0</v>
      </c>
      <c r="R619">
        <v>10950</v>
      </c>
      <c r="S619">
        <v>18250</v>
      </c>
      <c r="T619" t="s">
        <v>107</v>
      </c>
      <c r="U619">
        <v>6</v>
      </c>
      <c r="V619" t="s">
        <v>87</v>
      </c>
      <c r="W619" t="s">
        <v>123</v>
      </c>
      <c r="X619" t="s">
        <v>88</v>
      </c>
      <c r="Y619" t="s">
        <v>135</v>
      </c>
      <c r="Z619">
        <v>1</v>
      </c>
      <c r="AA619">
        <f>IF(AND(D619&gt;=配装计算器!$I$29,D619&lt;=配装计算器!$I$30),1,0)</f>
        <v>1</v>
      </c>
      <c r="AB619">
        <f t="shared" si="218"/>
        <v>0</v>
      </c>
      <c r="AC619">
        <f t="shared" si="219"/>
        <v>0</v>
      </c>
      <c r="AD619">
        <f t="shared" si="220"/>
        <v>0</v>
      </c>
      <c r="AE619">
        <f t="shared" si="221"/>
        <v>1</v>
      </c>
      <c r="AF619">
        <f t="shared" si="222"/>
        <v>1</v>
      </c>
      <c r="AG619">
        <f t="shared" si="223"/>
        <v>0</v>
      </c>
      <c r="AH619">
        <f t="shared" si="224"/>
        <v>0</v>
      </c>
      <c r="AI619">
        <f t="shared" si="225"/>
        <v>0</v>
      </c>
      <c r="AJ619">
        <f t="shared" si="226"/>
        <v>1</v>
      </c>
      <c r="AK619">
        <f>SUM(AJ$2:$AJ619)</f>
        <v>618</v>
      </c>
    </row>
    <row r="620" spans="1:37">
      <c r="A620" t="s">
        <v>1825</v>
      </c>
      <c r="B620" t="s">
        <v>1912</v>
      </c>
      <c r="C620" t="s">
        <v>1913</v>
      </c>
      <c r="D620">
        <v>35300</v>
      </c>
      <c r="E620" t="s">
        <v>1914</v>
      </c>
      <c r="F620">
        <v>23256</v>
      </c>
      <c r="G620">
        <v>1897</v>
      </c>
      <c r="I620">
        <v>9489</v>
      </c>
      <c r="J620">
        <v>0</v>
      </c>
      <c r="K620">
        <v>0</v>
      </c>
      <c r="L620">
        <v>15856</v>
      </c>
      <c r="M620">
        <v>0</v>
      </c>
      <c r="N620">
        <v>15328</v>
      </c>
      <c r="O620">
        <v>0</v>
      </c>
      <c r="P620">
        <v>0</v>
      </c>
      <c r="R620">
        <v>10950</v>
      </c>
      <c r="S620">
        <v>18250</v>
      </c>
      <c r="T620" t="s">
        <v>1071</v>
      </c>
      <c r="U620">
        <v>6</v>
      </c>
      <c r="V620" t="s">
        <v>87</v>
      </c>
      <c r="W620" t="s">
        <v>123</v>
      </c>
      <c r="X620" t="s">
        <v>88</v>
      </c>
      <c r="Y620" t="s">
        <v>135</v>
      </c>
      <c r="Z620">
        <v>1</v>
      </c>
      <c r="AA620">
        <f>IF(AND(D620&gt;=配装计算器!$I$29,D620&lt;=配装计算器!$I$30),1,0)</f>
        <v>1</v>
      </c>
      <c r="AB620">
        <f t="shared" si="218"/>
        <v>0</v>
      </c>
      <c r="AC620">
        <f t="shared" si="219"/>
        <v>0</v>
      </c>
      <c r="AD620">
        <f t="shared" si="220"/>
        <v>1</v>
      </c>
      <c r="AE620">
        <f t="shared" si="221"/>
        <v>0</v>
      </c>
      <c r="AF620">
        <f t="shared" si="222"/>
        <v>1</v>
      </c>
      <c r="AG620">
        <f t="shared" si="223"/>
        <v>0</v>
      </c>
      <c r="AH620">
        <f t="shared" si="224"/>
        <v>0</v>
      </c>
      <c r="AI620">
        <f t="shared" si="225"/>
        <v>0</v>
      </c>
      <c r="AJ620">
        <f t="shared" si="226"/>
        <v>1</v>
      </c>
      <c r="AK620">
        <f>SUM(AJ$2:$AJ620)</f>
        <v>619</v>
      </c>
    </row>
    <row r="621" spans="1:37">
      <c r="A621" t="s">
        <v>1825</v>
      </c>
      <c r="B621" t="s">
        <v>1915</v>
      </c>
      <c r="C621" t="s">
        <v>1916</v>
      </c>
      <c r="D621">
        <v>35300</v>
      </c>
      <c r="E621" t="s">
        <v>1917</v>
      </c>
      <c r="F621">
        <v>23256</v>
      </c>
      <c r="G621">
        <v>1897</v>
      </c>
      <c r="I621">
        <v>9489</v>
      </c>
      <c r="J621">
        <v>15856</v>
      </c>
      <c r="K621">
        <v>0</v>
      </c>
      <c r="L621">
        <v>0</v>
      </c>
      <c r="M621">
        <v>0</v>
      </c>
      <c r="N621">
        <v>15328</v>
      </c>
      <c r="O621">
        <v>0</v>
      </c>
      <c r="P621">
        <v>0</v>
      </c>
      <c r="R621">
        <v>10950</v>
      </c>
      <c r="S621">
        <v>18250</v>
      </c>
      <c r="T621" t="s">
        <v>102</v>
      </c>
      <c r="U621">
        <v>6</v>
      </c>
      <c r="V621" t="s">
        <v>87</v>
      </c>
      <c r="W621" t="s">
        <v>185</v>
      </c>
      <c r="X621" t="s">
        <v>94</v>
      </c>
      <c r="Y621" t="s">
        <v>88</v>
      </c>
      <c r="Z621">
        <v>1</v>
      </c>
      <c r="AA621">
        <f>IF(AND(D621&gt;=配装计算器!$I$29,D621&lt;=配装计算器!$I$30),1,0)</f>
        <v>1</v>
      </c>
      <c r="AB621">
        <f t="shared" si="218"/>
        <v>1</v>
      </c>
      <c r="AC621">
        <f t="shared" si="219"/>
        <v>0</v>
      </c>
      <c r="AD621">
        <f t="shared" si="220"/>
        <v>0</v>
      </c>
      <c r="AE621">
        <f t="shared" si="221"/>
        <v>0</v>
      </c>
      <c r="AF621">
        <f t="shared" si="222"/>
        <v>1</v>
      </c>
      <c r="AG621">
        <f t="shared" si="223"/>
        <v>0</v>
      </c>
      <c r="AH621">
        <f t="shared" si="224"/>
        <v>0</v>
      </c>
      <c r="AI621">
        <f t="shared" si="225"/>
        <v>0</v>
      </c>
      <c r="AJ621">
        <f t="shared" si="226"/>
        <v>1</v>
      </c>
      <c r="AK621">
        <f>SUM(AJ$2:$AJ621)</f>
        <v>620</v>
      </c>
    </row>
    <row r="622" spans="1:37">
      <c r="A622" t="s">
        <v>1825</v>
      </c>
      <c r="B622" t="s">
        <v>1918</v>
      </c>
      <c r="C622" t="s">
        <v>1919</v>
      </c>
      <c r="D622">
        <v>35300</v>
      </c>
      <c r="E622" t="s">
        <v>1920</v>
      </c>
      <c r="F622">
        <v>23256</v>
      </c>
      <c r="G622">
        <v>1897</v>
      </c>
      <c r="I622">
        <v>9489</v>
      </c>
      <c r="J622">
        <v>0</v>
      </c>
      <c r="K622">
        <v>0</v>
      </c>
      <c r="L622">
        <v>0</v>
      </c>
      <c r="M622">
        <v>15856</v>
      </c>
      <c r="N622">
        <v>15328</v>
      </c>
      <c r="O622">
        <v>0</v>
      </c>
      <c r="P622">
        <v>0</v>
      </c>
      <c r="R622">
        <v>10950</v>
      </c>
      <c r="S622">
        <v>18250</v>
      </c>
      <c r="T622" t="s">
        <v>107</v>
      </c>
      <c r="U622">
        <v>6</v>
      </c>
      <c r="V622" t="s">
        <v>130</v>
      </c>
      <c r="W622" t="s">
        <v>123</v>
      </c>
      <c r="X622" t="s">
        <v>88</v>
      </c>
      <c r="Y622" t="s">
        <v>135</v>
      </c>
      <c r="Z622">
        <v>1</v>
      </c>
      <c r="AA622">
        <f>IF(AND(D622&gt;=配装计算器!$I$29,D622&lt;=配装计算器!$I$30),1,0)</f>
        <v>1</v>
      </c>
      <c r="AB622">
        <f t="shared" si="218"/>
        <v>0</v>
      </c>
      <c r="AC622">
        <f t="shared" si="219"/>
        <v>0</v>
      </c>
      <c r="AD622">
        <f t="shared" si="220"/>
        <v>0</v>
      </c>
      <c r="AE622">
        <f t="shared" si="221"/>
        <v>1</v>
      </c>
      <c r="AF622">
        <f t="shared" si="222"/>
        <v>1</v>
      </c>
      <c r="AG622">
        <f t="shared" si="223"/>
        <v>0</v>
      </c>
      <c r="AH622">
        <f t="shared" si="224"/>
        <v>0</v>
      </c>
      <c r="AI622">
        <f t="shared" si="225"/>
        <v>0</v>
      </c>
      <c r="AJ622">
        <f t="shared" si="226"/>
        <v>1</v>
      </c>
      <c r="AK622">
        <f>SUM(AJ$2:$AJ622)</f>
        <v>621</v>
      </c>
    </row>
    <row r="623" spans="1:37">
      <c r="A623" t="s">
        <v>1825</v>
      </c>
      <c r="B623" t="s">
        <v>1921</v>
      </c>
      <c r="C623" t="s">
        <v>1922</v>
      </c>
      <c r="D623">
        <v>35300</v>
      </c>
      <c r="E623" t="s">
        <v>1923</v>
      </c>
      <c r="F623">
        <v>23256</v>
      </c>
      <c r="G623">
        <v>1897</v>
      </c>
      <c r="I623">
        <v>9489</v>
      </c>
      <c r="J623">
        <v>0</v>
      </c>
      <c r="K623">
        <v>0</v>
      </c>
      <c r="L623">
        <v>0</v>
      </c>
      <c r="M623">
        <v>15856</v>
      </c>
      <c r="N623">
        <v>15328</v>
      </c>
      <c r="O623">
        <v>0</v>
      </c>
      <c r="P623">
        <v>0</v>
      </c>
      <c r="R623">
        <v>10950</v>
      </c>
      <c r="S623">
        <v>18250</v>
      </c>
      <c r="T623" t="s">
        <v>107</v>
      </c>
      <c r="U623">
        <v>6</v>
      </c>
      <c r="V623" t="s">
        <v>269</v>
      </c>
      <c r="W623" t="s">
        <v>123</v>
      </c>
      <c r="X623" t="s">
        <v>88</v>
      </c>
      <c r="Y623" t="s">
        <v>135</v>
      </c>
      <c r="Z623">
        <v>1</v>
      </c>
      <c r="AA623">
        <f>IF(AND(D623&gt;=配装计算器!$I$29,D623&lt;=配装计算器!$I$30),1,0)</f>
        <v>1</v>
      </c>
      <c r="AB623">
        <f t="shared" si="218"/>
        <v>0</v>
      </c>
      <c r="AC623">
        <f t="shared" si="219"/>
        <v>0</v>
      </c>
      <c r="AD623">
        <f t="shared" si="220"/>
        <v>0</v>
      </c>
      <c r="AE623">
        <f t="shared" si="221"/>
        <v>1</v>
      </c>
      <c r="AF623">
        <f t="shared" si="222"/>
        <v>1</v>
      </c>
      <c r="AG623">
        <f t="shared" si="223"/>
        <v>0</v>
      </c>
      <c r="AH623">
        <f t="shared" si="224"/>
        <v>0</v>
      </c>
      <c r="AI623">
        <f t="shared" si="225"/>
        <v>0</v>
      </c>
      <c r="AJ623">
        <f t="shared" si="226"/>
        <v>1</v>
      </c>
      <c r="AK623">
        <f>SUM(AJ$2:$AJ623)</f>
        <v>622</v>
      </c>
    </row>
    <row r="624" spans="1:37">
      <c r="A624" t="s">
        <v>1825</v>
      </c>
      <c r="B624" t="s">
        <v>1924</v>
      </c>
      <c r="C624" t="s">
        <v>1925</v>
      </c>
      <c r="D624">
        <v>35900</v>
      </c>
      <c r="E624" t="s">
        <v>1926</v>
      </c>
      <c r="F624">
        <v>23651</v>
      </c>
      <c r="G624">
        <v>1930</v>
      </c>
      <c r="I624">
        <v>9650</v>
      </c>
      <c r="J624">
        <v>16126</v>
      </c>
      <c r="K624">
        <v>0</v>
      </c>
      <c r="L624">
        <v>0</v>
      </c>
      <c r="M624">
        <v>0</v>
      </c>
      <c r="N624">
        <v>15588</v>
      </c>
      <c r="O624">
        <v>0</v>
      </c>
      <c r="P624">
        <v>0</v>
      </c>
      <c r="R624">
        <v>11136</v>
      </c>
      <c r="S624">
        <v>18560</v>
      </c>
      <c r="T624" t="s">
        <v>102</v>
      </c>
      <c r="U624">
        <v>6</v>
      </c>
      <c r="V624" t="s">
        <v>327</v>
      </c>
      <c r="W624" t="s">
        <v>185</v>
      </c>
      <c r="X624" t="s">
        <v>94</v>
      </c>
      <c r="Y624" t="s">
        <v>88</v>
      </c>
      <c r="Z624">
        <v>1</v>
      </c>
      <c r="AA624">
        <f>IF(AND(D624&gt;=配装计算器!$I$29,D624&lt;=配装计算器!$I$30),1,0)</f>
        <v>1</v>
      </c>
      <c r="AB624">
        <f t="shared" si="218"/>
        <v>1</v>
      </c>
      <c r="AC624">
        <f t="shared" si="219"/>
        <v>0</v>
      </c>
      <c r="AD624">
        <f t="shared" si="220"/>
        <v>0</v>
      </c>
      <c r="AE624">
        <f t="shared" si="221"/>
        <v>0</v>
      </c>
      <c r="AF624">
        <f t="shared" si="222"/>
        <v>1</v>
      </c>
      <c r="AG624">
        <f t="shared" si="223"/>
        <v>0</v>
      </c>
      <c r="AH624">
        <f t="shared" si="224"/>
        <v>0</v>
      </c>
      <c r="AI624">
        <f t="shared" si="225"/>
        <v>0</v>
      </c>
      <c r="AJ624">
        <f t="shared" si="226"/>
        <v>1</v>
      </c>
      <c r="AK624">
        <f>SUM(AJ$2:$AJ624)</f>
        <v>623</v>
      </c>
    </row>
    <row r="625" spans="1:37">
      <c r="A625" t="s">
        <v>1825</v>
      </c>
      <c r="B625" t="s">
        <v>1927</v>
      </c>
      <c r="C625" t="s">
        <v>1928</v>
      </c>
      <c r="D625">
        <v>36200</v>
      </c>
      <c r="E625" t="s">
        <v>1929</v>
      </c>
      <c r="F625">
        <v>23849</v>
      </c>
      <c r="G625">
        <v>1807</v>
      </c>
      <c r="I625">
        <v>8258</v>
      </c>
      <c r="J625">
        <v>0</v>
      </c>
      <c r="K625">
        <v>0</v>
      </c>
      <c r="L625">
        <v>16260</v>
      </c>
      <c r="M625">
        <v>0</v>
      </c>
      <c r="N625">
        <v>0</v>
      </c>
      <c r="O625">
        <v>0</v>
      </c>
      <c r="P625">
        <v>6504</v>
      </c>
      <c r="R625">
        <v>11229</v>
      </c>
      <c r="S625">
        <v>18715</v>
      </c>
      <c r="T625" t="s">
        <v>86</v>
      </c>
      <c r="U625">
        <v>6</v>
      </c>
      <c r="V625" t="s">
        <v>145</v>
      </c>
      <c r="W625" t="s">
        <v>88</v>
      </c>
      <c r="X625" t="s">
        <v>135</v>
      </c>
      <c r="Y625" t="s">
        <v>233</v>
      </c>
      <c r="Z625">
        <v>2</v>
      </c>
      <c r="AA625">
        <f>IF(AND(D625&gt;=配装计算器!$I$29,D625&lt;=配装计算器!$I$30),1,0)</f>
        <v>1</v>
      </c>
      <c r="AB625">
        <f t="shared" si="218"/>
        <v>0</v>
      </c>
      <c r="AC625">
        <f t="shared" si="219"/>
        <v>0</v>
      </c>
      <c r="AD625">
        <f t="shared" si="220"/>
        <v>1</v>
      </c>
      <c r="AE625">
        <f t="shared" si="221"/>
        <v>0</v>
      </c>
      <c r="AF625">
        <f t="shared" si="222"/>
        <v>0</v>
      </c>
      <c r="AG625">
        <f t="shared" si="223"/>
        <v>0</v>
      </c>
      <c r="AH625">
        <f t="shared" si="224"/>
        <v>1</v>
      </c>
      <c r="AI625">
        <f t="shared" si="225"/>
        <v>0</v>
      </c>
      <c r="AJ625">
        <f t="shared" si="226"/>
        <v>1</v>
      </c>
      <c r="AK625">
        <f>SUM(AJ$2:$AJ625)</f>
        <v>624</v>
      </c>
    </row>
    <row r="626" spans="1:37">
      <c r="A626" t="s">
        <v>1825</v>
      </c>
      <c r="B626" t="s">
        <v>1930</v>
      </c>
      <c r="C626" t="s">
        <v>1827</v>
      </c>
      <c r="D626">
        <v>37125</v>
      </c>
      <c r="E626" t="s">
        <v>1931</v>
      </c>
      <c r="F626">
        <v>27176</v>
      </c>
      <c r="G626">
        <v>2217</v>
      </c>
      <c r="I626">
        <v>10753</v>
      </c>
      <c r="J626">
        <v>16058</v>
      </c>
      <c r="K626">
        <v>0</v>
      </c>
      <c r="L626">
        <v>12353</v>
      </c>
      <c r="M626">
        <v>0</v>
      </c>
      <c r="N626">
        <v>0</v>
      </c>
      <c r="O626">
        <v>6176</v>
      </c>
      <c r="P626">
        <v>0</v>
      </c>
      <c r="R626">
        <v>12795</v>
      </c>
      <c r="S626">
        <v>21325</v>
      </c>
      <c r="T626" t="s">
        <v>1032</v>
      </c>
      <c r="U626">
        <v>8</v>
      </c>
      <c r="V626" t="s">
        <v>1033</v>
      </c>
      <c r="W626" t="s">
        <v>123</v>
      </c>
      <c r="X626" t="s">
        <v>88</v>
      </c>
      <c r="Y626" t="s">
        <v>135</v>
      </c>
      <c r="Z626">
        <v>3</v>
      </c>
      <c r="AA626">
        <f>IF(AND(D626&gt;=配装计算器!$I$29,D626&lt;=配装计算器!$I$30),1,0)</f>
        <v>1</v>
      </c>
      <c r="AB626">
        <f t="shared" si="218"/>
        <v>1</v>
      </c>
      <c r="AC626">
        <f t="shared" si="219"/>
        <v>0</v>
      </c>
      <c r="AD626">
        <f t="shared" si="220"/>
        <v>1</v>
      </c>
      <c r="AE626">
        <f t="shared" si="221"/>
        <v>0</v>
      </c>
      <c r="AF626">
        <f t="shared" si="222"/>
        <v>0</v>
      </c>
      <c r="AG626">
        <f t="shared" si="223"/>
        <v>1</v>
      </c>
      <c r="AH626">
        <f t="shared" si="224"/>
        <v>0</v>
      </c>
      <c r="AI626">
        <f t="shared" si="225"/>
        <v>0</v>
      </c>
      <c r="AJ626">
        <f t="shared" si="226"/>
        <v>1</v>
      </c>
      <c r="AK626">
        <f>SUM(AJ$2:$AJ626)</f>
        <v>625</v>
      </c>
    </row>
    <row r="627" spans="1:37">
      <c r="A627" t="s">
        <v>1825</v>
      </c>
      <c r="B627" t="s">
        <v>1932</v>
      </c>
      <c r="C627" t="s">
        <v>1933</v>
      </c>
      <c r="D627">
        <v>38100</v>
      </c>
      <c r="E627" t="s">
        <v>1934</v>
      </c>
      <c r="F627">
        <v>25100</v>
      </c>
      <c r="G627">
        <v>2048</v>
      </c>
      <c r="I627">
        <v>10242</v>
      </c>
      <c r="J627">
        <v>17114</v>
      </c>
      <c r="K627">
        <v>0</v>
      </c>
      <c r="L627">
        <v>0</v>
      </c>
      <c r="M627">
        <v>0</v>
      </c>
      <c r="N627">
        <v>16543</v>
      </c>
      <c r="O627">
        <v>0</v>
      </c>
      <c r="P627">
        <v>0</v>
      </c>
      <c r="R627">
        <v>11818</v>
      </c>
      <c r="S627">
        <v>19697</v>
      </c>
      <c r="T627" t="s">
        <v>102</v>
      </c>
      <c r="U627">
        <v>6</v>
      </c>
      <c r="V627" t="s">
        <v>149</v>
      </c>
      <c r="W627" t="s">
        <v>185</v>
      </c>
      <c r="X627" t="s">
        <v>94</v>
      </c>
      <c r="Y627" t="s">
        <v>88</v>
      </c>
      <c r="Z627">
        <v>1</v>
      </c>
      <c r="AA627">
        <f>IF(AND(D627&gt;=配装计算器!$I$29,D627&lt;=配装计算器!$I$30),1,0)</f>
        <v>1</v>
      </c>
      <c r="AB627">
        <f t="shared" si="218"/>
        <v>1</v>
      </c>
      <c r="AC627">
        <f t="shared" si="219"/>
        <v>0</v>
      </c>
      <c r="AD627">
        <f t="shared" si="220"/>
        <v>0</v>
      </c>
      <c r="AE627">
        <f t="shared" si="221"/>
        <v>0</v>
      </c>
      <c r="AF627">
        <f t="shared" si="222"/>
        <v>1</v>
      </c>
      <c r="AG627">
        <f t="shared" si="223"/>
        <v>0</v>
      </c>
      <c r="AH627">
        <f t="shared" si="224"/>
        <v>0</v>
      </c>
      <c r="AI627">
        <f t="shared" si="225"/>
        <v>0</v>
      </c>
      <c r="AJ627">
        <f t="shared" si="226"/>
        <v>1</v>
      </c>
      <c r="AK627">
        <f>SUM(AJ$2:$AJ627)</f>
        <v>626</v>
      </c>
    </row>
    <row r="628" spans="1:37">
      <c r="A628" t="s">
        <v>1825</v>
      </c>
      <c r="B628" t="s">
        <v>1935</v>
      </c>
      <c r="C628" t="s">
        <v>1834</v>
      </c>
      <c r="D628">
        <v>39750</v>
      </c>
      <c r="E628" t="s">
        <v>1936</v>
      </c>
      <c r="F628">
        <v>29097</v>
      </c>
      <c r="G628">
        <v>2374</v>
      </c>
      <c r="I628">
        <v>11513</v>
      </c>
      <c r="J628">
        <v>17194</v>
      </c>
      <c r="K628">
        <v>0</v>
      </c>
      <c r="L628">
        <v>13226</v>
      </c>
      <c r="M628">
        <v>0</v>
      </c>
      <c r="N628">
        <v>0</v>
      </c>
      <c r="O628">
        <v>6613</v>
      </c>
      <c r="P628">
        <v>0</v>
      </c>
      <c r="R628">
        <v>13700</v>
      </c>
      <c r="S628">
        <v>22833</v>
      </c>
      <c r="T628" t="s">
        <v>1041</v>
      </c>
      <c r="U628">
        <v>8</v>
      </c>
      <c r="V628" t="s">
        <v>1042</v>
      </c>
      <c r="W628" t="s">
        <v>123</v>
      </c>
      <c r="X628" t="s">
        <v>88</v>
      </c>
      <c r="Y628" t="s">
        <v>135</v>
      </c>
      <c r="Z628">
        <v>3</v>
      </c>
      <c r="AA628">
        <f>IF(AND(D628&gt;=配装计算器!$I$29,D628&lt;=配装计算器!$I$30),1,0)</f>
        <v>1</v>
      </c>
      <c r="AB628">
        <f t="shared" si="218"/>
        <v>1</v>
      </c>
      <c r="AC628">
        <f t="shared" si="219"/>
        <v>0</v>
      </c>
      <c r="AD628">
        <f t="shared" si="220"/>
        <v>1</v>
      </c>
      <c r="AE628">
        <f t="shared" si="221"/>
        <v>0</v>
      </c>
      <c r="AF628">
        <f t="shared" si="222"/>
        <v>0</v>
      </c>
      <c r="AG628">
        <f t="shared" si="223"/>
        <v>1</v>
      </c>
      <c r="AH628">
        <f t="shared" si="224"/>
        <v>0</v>
      </c>
      <c r="AI628">
        <f t="shared" si="225"/>
        <v>0</v>
      </c>
      <c r="AJ628">
        <f t="shared" si="226"/>
        <v>1</v>
      </c>
      <c r="AK628">
        <f>SUM(AJ$2:$AJ628)</f>
        <v>627</v>
      </c>
    </row>
    <row r="629" spans="1:37">
      <c r="A629" t="s">
        <v>1825</v>
      </c>
      <c r="B629" t="s">
        <v>1937</v>
      </c>
      <c r="C629" t="s">
        <v>1827</v>
      </c>
      <c r="D629">
        <v>40500</v>
      </c>
      <c r="E629" t="s">
        <v>1938</v>
      </c>
      <c r="F629">
        <v>29646</v>
      </c>
      <c r="G629">
        <v>2419</v>
      </c>
      <c r="I629">
        <v>11730</v>
      </c>
      <c r="J629">
        <v>17518</v>
      </c>
      <c r="K629">
        <v>0</v>
      </c>
      <c r="L629">
        <v>13475</v>
      </c>
      <c r="M629">
        <v>0</v>
      </c>
      <c r="N629">
        <v>0</v>
      </c>
      <c r="O629">
        <v>6738</v>
      </c>
      <c r="P629">
        <v>0</v>
      </c>
      <c r="R629">
        <v>13959</v>
      </c>
      <c r="S629">
        <v>23265</v>
      </c>
      <c r="T629" t="s">
        <v>1032</v>
      </c>
      <c r="U629">
        <v>8</v>
      </c>
      <c r="V629" t="s">
        <v>1033</v>
      </c>
      <c r="W629" t="s">
        <v>123</v>
      </c>
      <c r="X629" t="s">
        <v>88</v>
      </c>
      <c r="Y629" t="s">
        <v>135</v>
      </c>
      <c r="Z629">
        <v>3</v>
      </c>
      <c r="AA629">
        <f>IF(AND(D629&gt;=配装计算器!$I$29,D629&lt;=配装计算器!$I$30),1,0)</f>
        <v>1</v>
      </c>
      <c r="AB629">
        <f t="shared" si="218"/>
        <v>1</v>
      </c>
      <c r="AC629">
        <f t="shared" si="219"/>
        <v>0</v>
      </c>
      <c r="AD629">
        <f t="shared" si="220"/>
        <v>1</v>
      </c>
      <c r="AE629">
        <f t="shared" si="221"/>
        <v>0</v>
      </c>
      <c r="AF629">
        <f t="shared" si="222"/>
        <v>0</v>
      </c>
      <c r="AG629">
        <f t="shared" si="223"/>
        <v>1</v>
      </c>
      <c r="AH629">
        <f t="shared" si="224"/>
        <v>0</v>
      </c>
      <c r="AI629">
        <f t="shared" si="225"/>
        <v>0</v>
      </c>
      <c r="AJ629">
        <f t="shared" si="226"/>
        <v>1</v>
      </c>
      <c r="AK629">
        <f>SUM(AJ$2:$AJ629)</f>
        <v>628</v>
      </c>
    </row>
    <row r="630" spans="1:37">
      <c r="A630" t="s">
        <v>1825</v>
      </c>
      <c r="B630" t="s">
        <v>1939</v>
      </c>
      <c r="C630" t="s">
        <v>1940</v>
      </c>
      <c r="D630">
        <v>41400</v>
      </c>
      <c r="E630" t="s">
        <v>1941</v>
      </c>
      <c r="F630">
        <v>27274</v>
      </c>
      <c r="G630">
        <v>2225</v>
      </c>
      <c r="I630">
        <v>11129</v>
      </c>
      <c r="J630">
        <v>0</v>
      </c>
      <c r="K630">
        <v>0</v>
      </c>
      <c r="L630">
        <v>0</v>
      </c>
      <c r="M630">
        <v>18596</v>
      </c>
      <c r="N630">
        <v>17976</v>
      </c>
      <c r="O630">
        <v>0</v>
      </c>
      <c r="P630">
        <v>0</v>
      </c>
      <c r="R630">
        <v>12842</v>
      </c>
      <c r="S630">
        <v>21403</v>
      </c>
      <c r="T630" t="s">
        <v>107</v>
      </c>
      <c r="U630">
        <v>6</v>
      </c>
      <c r="V630" t="s">
        <v>87</v>
      </c>
      <c r="W630" t="s">
        <v>123</v>
      </c>
      <c r="X630" t="s">
        <v>88</v>
      </c>
      <c r="Y630" t="s">
        <v>135</v>
      </c>
      <c r="Z630">
        <v>1</v>
      </c>
      <c r="AA630">
        <f>IF(AND(D630&gt;=配装计算器!$I$29,D630&lt;=配装计算器!$I$30),1,0)</f>
        <v>1</v>
      </c>
      <c r="AB630">
        <f t="shared" si="218"/>
        <v>0</v>
      </c>
      <c r="AC630">
        <f t="shared" si="219"/>
        <v>0</v>
      </c>
      <c r="AD630">
        <f t="shared" si="220"/>
        <v>0</v>
      </c>
      <c r="AE630">
        <f t="shared" si="221"/>
        <v>1</v>
      </c>
      <c r="AF630">
        <f t="shared" si="222"/>
        <v>1</v>
      </c>
      <c r="AG630">
        <f t="shared" si="223"/>
        <v>0</v>
      </c>
      <c r="AH630">
        <f t="shared" si="224"/>
        <v>0</v>
      </c>
      <c r="AI630">
        <f t="shared" si="225"/>
        <v>0</v>
      </c>
      <c r="AJ630">
        <f t="shared" si="226"/>
        <v>1</v>
      </c>
      <c r="AK630">
        <f>SUM(AJ$2:$AJ630)</f>
        <v>629</v>
      </c>
    </row>
    <row r="631" spans="1:37">
      <c r="A631" t="s">
        <v>1825</v>
      </c>
      <c r="B631" t="s">
        <v>1942</v>
      </c>
      <c r="C631" t="s">
        <v>1943</v>
      </c>
      <c r="D631">
        <v>41400</v>
      </c>
      <c r="E631" t="s">
        <v>1944</v>
      </c>
      <c r="F631">
        <v>27274</v>
      </c>
      <c r="G631">
        <v>2225</v>
      </c>
      <c r="I631">
        <v>11129</v>
      </c>
      <c r="J631">
        <v>0</v>
      </c>
      <c r="K631">
        <v>0</v>
      </c>
      <c r="L631">
        <v>18596</v>
      </c>
      <c r="M631">
        <v>0</v>
      </c>
      <c r="N631">
        <v>17976</v>
      </c>
      <c r="O631">
        <v>0</v>
      </c>
      <c r="P631">
        <v>0</v>
      </c>
      <c r="R631">
        <v>12842</v>
      </c>
      <c r="S631">
        <v>21403</v>
      </c>
      <c r="T631" t="s">
        <v>1071</v>
      </c>
      <c r="U631">
        <v>6</v>
      </c>
      <c r="V631" t="s">
        <v>87</v>
      </c>
      <c r="W631" t="s">
        <v>123</v>
      </c>
      <c r="X631" t="s">
        <v>88</v>
      </c>
      <c r="Y631" t="s">
        <v>135</v>
      </c>
      <c r="Z631">
        <v>1</v>
      </c>
      <c r="AA631">
        <f>IF(AND(D631&gt;=配装计算器!$I$29,D631&lt;=配装计算器!$I$30),1,0)</f>
        <v>1</v>
      </c>
      <c r="AB631">
        <f t="shared" si="218"/>
        <v>0</v>
      </c>
      <c r="AC631">
        <f t="shared" si="219"/>
        <v>0</v>
      </c>
      <c r="AD631">
        <f t="shared" si="220"/>
        <v>1</v>
      </c>
      <c r="AE631">
        <f t="shared" si="221"/>
        <v>0</v>
      </c>
      <c r="AF631">
        <f t="shared" si="222"/>
        <v>1</v>
      </c>
      <c r="AG631">
        <f t="shared" si="223"/>
        <v>0</v>
      </c>
      <c r="AH631">
        <f t="shared" si="224"/>
        <v>0</v>
      </c>
      <c r="AI631">
        <f t="shared" si="225"/>
        <v>0</v>
      </c>
      <c r="AJ631">
        <f t="shared" si="226"/>
        <v>1</v>
      </c>
      <c r="AK631">
        <f>SUM(AJ$2:$AJ631)</f>
        <v>630</v>
      </c>
    </row>
    <row r="632" spans="1:37">
      <c r="A632" t="s">
        <v>1825</v>
      </c>
      <c r="B632" t="s">
        <v>1945</v>
      </c>
      <c r="C632" t="s">
        <v>1946</v>
      </c>
      <c r="D632">
        <v>41400</v>
      </c>
      <c r="E632" t="s">
        <v>1947</v>
      </c>
      <c r="F632">
        <v>27274</v>
      </c>
      <c r="G632">
        <v>2225</v>
      </c>
      <c r="I632">
        <v>11129</v>
      </c>
      <c r="J632">
        <v>18596</v>
      </c>
      <c r="K632">
        <v>0</v>
      </c>
      <c r="L632">
        <v>0</v>
      </c>
      <c r="M632">
        <v>0</v>
      </c>
      <c r="N632">
        <v>17976</v>
      </c>
      <c r="O632">
        <v>0</v>
      </c>
      <c r="P632">
        <v>0</v>
      </c>
      <c r="R632">
        <v>12842</v>
      </c>
      <c r="S632">
        <v>21403</v>
      </c>
      <c r="T632" t="s">
        <v>102</v>
      </c>
      <c r="U632">
        <v>6</v>
      </c>
      <c r="V632" t="s">
        <v>87</v>
      </c>
      <c r="W632" t="s">
        <v>185</v>
      </c>
      <c r="X632" t="s">
        <v>94</v>
      </c>
      <c r="Y632" t="s">
        <v>88</v>
      </c>
      <c r="Z632">
        <v>1</v>
      </c>
      <c r="AA632">
        <f>IF(AND(D632&gt;=配装计算器!$I$29,D632&lt;=配装计算器!$I$30),1,0)</f>
        <v>1</v>
      </c>
      <c r="AB632">
        <f t="shared" si="218"/>
        <v>1</v>
      </c>
      <c r="AC632">
        <f t="shared" si="219"/>
        <v>0</v>
      </c>
      <c r="AD632">
        <f t="shared" si="220"/>
        <v>0</v>
      </c>
      <c r="AE632">
        <f t="shared" si="221"/>
        <v>0</v>
      </c>
      <c r="AF632">
        <f t="shared" si="222"/>
        <v>1</v>
      </c>
      <c r="AG632">
        <f t="shared" si="223"/>
        <v>0</v>
      </c>
      <c r="AH632">
        <f t="shared" si="224"/>
        <v>0</v>
      </c>
      <c r="AI632">
        <f t="shared" si="225"/>
        <v>0</v>
      </c>
      <c r="AJ632">
        <f t="shared" si="226"/>
        <v>1</v>
      </c>
      <c r="AK632">
        <f>SUM(AJ$2:$AJ632)</f>
        <v>631</v>
      </c>
    </row>
    <row r="633" spans="1:37">
      <c r="A633" t="s">
        <v>1825</v>
      </c>
      <c r="B633" t="s">
        <v>1948</v>
      </c>
      <c r="C633" t="s">
        <v>1949</v>
      </c>
      <c r="D633">
        <v>41400</v>
      </c>
      <c r="E633" t="s">
        <v>1950</v>
      </c>
      <c r="F633">
        <v>27274</v>
      </c>
      <c r="G633">
        <v>2225</v>
      </c>
      <c r="I633">
        <v>11129</v>
      </c>
      <c r="J633">
        <v>0</v>
      </c>
      <c r="K633">
        <v>0</v>
      </c>
      <c r="L633">
        <v>0</v>
      </c>
      <c r="M633">
        <v>18596</v>
      </c>
      <c r="N633">
        <v>17976</v>
      </c>
      <c r="O633">
        <v>0</v>
      </c>
      <c r="P633">
        <v>0</v>
      </c>
      <c r="R633">
        <v>12842</v>
      </c>
      <c r="S633">
        <v>21403</v>
      </c>
      <c r="T633" t="s">
        <v>107</v>
      </c>
      <c r="U633">
        <v>6</v>
      </c>
      <c r="V633" t="s">
        <v>130</v>
      </c>
      <c r="W633" t="s">
        <v>123</v>
      </c>
      <c r="X633" t="s">
        <v>88</v>
      </c>
      <c r="Y633" t="s">
        <v>135</v>
      </c>
      <c r="Z633">
        <v>1</v>
      </c>
      <c r="AA633">
        <f>IF(AND(D633&gt;=配装计算器!$I$29,D633&lt;=配装计算器!$I$30),1,0)</f>
        <v>1</v>
      </c>
      <c r="AB633">
        <f t="shared" si="218"/>
        <v>0</v>
      </c>
      <c r="AC633">
        <f t="shared" si="219"/>
        <v>0</v>
      </c>
      <c r="AD633">
        <f t="shared" si="220"/>
        <v>0</v>
      </c>
      <c r="AE633">
        <f t="shared" si="221"/>
        <v>1</v>
      </c>
      <c r="AF633">
        <f t="shared" si="222"/>
        <v>1</v>
      </c>
      <c r="AG633">
        <f t="shared" si="223"/>
        <v>0</v>
      </c>
      <c r="AH633">
        <f t="shared" si="224"/>
        <v>0</v>
      </c>
      <c r="AI633">
        <f t="shared" si="225"/>
        <v>0</v>
      </c>
      <c r="AJ633">
        <f t="shared" si="226"/>
        <v>1</v>
      </c>
      <c r="AK633">
        <f>SUM(AJ$2:$AJ633)</f>
        <v>632</v>
      </c>
    </row>
    <row r="634" spans="1:37">
      <c r="A634" t="s">
        <v>1825</v>
      </c>
      <c r="B634" t="s">
        <v>1951</v>
      </c>
      <c r="C634" t="s">
        <v>1952</v>
      </c>
      <c r="D634">
        <v>42100</v>
      </c>
      <c r="E634" t="s">
        <v>1953</v>
      </c>
      <c r="F634">
        <v>27735</v>
      </c>
      <c r="G634">
        <v>2263</v>
      </c>
      <c r="I634">
        <v>11317</v>
      </c>
      <c r="J634">
        <v>18911</v>
      </c>
      <c r="K634">
        <v>0</v>
      </c>
      <c r="L634">
        <v>0</v>
      </c>
      <c r="M634">
        <v>0</v>
      </c>
      <c r="N634">
        <v>18280</v>
      </c>
      <c r="O634">
        <v>0</v>
      </c>
      <c r="P634">
        <v>0</v>
      </c>
      <c r="R634">
        <v>13059</v>
      </c>
      <c r="S634">
        <v>21765</v>
      </c>
      <c r="T634" t="s">
        <v>102</v>
      </c>
      <c r="U634">
        <v>6</v>
      </c>
      <c r="V634" t="s">
        <v>327</v>
      </c>
      <c r="W634" t="s">
        <v>185</v>
      </c>
      <c r="X634" t="s">
        <v>94</v>
      </c>
      <c r="Y634" t="s">
        <v>88</v>
      </c>
      <c r="Z634">
        <v>1</v>
      </c>
      <c r="AA634">
        <f>IF(AND(D634&gt;=配装计算器!$I$29,D634&lt;=配装计算器!$I$30),1,0)</f>
        <v>1</v>
      </c>
      <c r="AB634">
        <f t="shared" si="218"/>
        <v>1</v>
      </c>
      <c r="AC634">
        <f t="shared" si="219"/>
        <v>0</v>
      </c>
      <c r="AD634">
        <f t="shared" si="220"/>
        <v>0</v>
      </c>
      <c r="AE634">
        <f t="shared" si="221"/>
        <v>0</v>
      </c>
      <c r="AF634">
        <f t="shared" si="222"/>
        <v>1</v>
      </c>
      <c r="AG634">
        <f t="shared" si="223"/>
        <v>0</v>
      </c>
      <c r="AH634">
        <f t="shared" si="224"/>
        <v>0</v>
      </c>
      <c r="AI634">
        <f t="shared" si="225"/>
        <v>0</v>
      </c>
      <c r="AJ634">
        <f t="shared" si="226"/>
        <v>1</v>
      </c>
      <c r="AK634">
        <f>SUM(AJ$2:$AJ634)</f>
        <v>633</v>
      </c>
    </row>
    <row r="635" spans="1:37">
      <c r="A635" t="s">
        <v>1825</v>
      </c>
      <c r="B635" t="s">
        <v>1954</v>
      </c>
      <c r="C635" t="s">
        <v>1955</v>
      </c>
      <c r="D635">
        <v>42400</v>
      </c>
      <c r="E635" t="s">
        <v>1956</v>
      </c>
      <c r="F635">
        <v>30472</v>
      </c>
      <c r="G635">
        <v>2116</v>
      </c>
      <c r="I635">
        <v>11398</v>
      </c>
      <c r="J635">
        <v>0</v>
      </c>
      <c r="K635">
        <v>0</v>
      </c>
      <c r="L635">
        <v>19045</v>
      </c>
      <c r="M635">
        <v>0</v>
      </c>
      <c r="N635">
        <v>0</v>
      </c>
      <c r="O635">
        <v>0</v>
      </c>
      <c r="P635">
        <v>1270</v>
      </c>
      <c r="R635">
        <v>13152</v>
      </c>
      <c r="S635">
        <v>21920</v>
      </c>
      <c r="T635" t="s">
        <v>86</v>
      </c>
      <c r="U635">
        <v>6</v>
      </c>
      <c r="V635" t="s">
        <v>145</v>
      </c>
      <c r="W635" t="s">
        <v>88</v>
      </c>
      <c r="X635" t="s">
        <v>135</v>
      </c>
      <c r="Y635" t="s">
        <v>233</v>
      </c>
      <c r="Z635">
        <v>2</v>
      </c>
      <c r="AA635">
        <f>IF(AND(D635&gt;=配装计算器!$I$29,D635&lt;=配装计算器!$I$30),1,0)</f>
        <v>1</v>
      </c>
      <c r="AB635">
        <f t="shared" si="218"/>
        <v>0</v>
      </c>
      <c r="AC635">
        <f t="shared" si="219"/>
        <v>0</v>
      </c>
      <c r="AD635">
        <f t="shared" si="220"/>
        <v>1</v>
      </c>
      <c r="AE635">
        <f t="shared" si="221"/>
        <v>0</v>
      </c>
      <c r="AF635">
        <f t="shared" si="222"/>
        <v>0</v>
      </c>
      <c r="AG635">
        <f t="shared" si="223"/>
        <v>0</v>
      </c>
      <c r="AH635">
        <f t="shared" si="224"/>
        <v>1</v>
      </c>
      <c r="AI635">
        <f t="shared" si="225"/>
        <v>0</v>
      </c>
      <c r="AJ635">
        <f t="shared" si="226"/>
        <v>1</v>
      </c>
      <c r="AK635">
        <f>SUM(AJ$2:$AJ635)</f>
        <v>634</v>
      </c>
    </row>
    <row r="636" spans="1:37">
      <c r="A636" t="s">
        <v>1825</v>
      </c>
      <c r="B636" t="s">
        <v>1957</v>
      </c>
      <c r="C636" t="s">
        <v>1827</v>
      </c>
      <c r="D636">
        <v>42500</v>
      </c>
      <c r="E636" t="s">
        <v>1958</v>
      </c>
      <c r="F636">
        <v>31110</v>
      </c>
      <c r="G636">
        <v>2538</v>
      </c>
      <c r="I636">
        <v>12310</v>
      </c>
      <c r="J636">
        <v>18383</v>
      </c>
      <c r="K636">
        <v>0</v>
      </c>
      <c r="L636">
        <v>14141</v>
      </c>
      <c r="M636">
        <v>0</v>
      </c>
      <c r="N636">
        <v>0</v>
      </c>
      <c r="O636">
        <v>7070</v>
      </c>
      <c r="P636">
        <v>0</v>
      </c>
      <c r="R636">
        <v>14648</v>
      </c>
      <c r="S636">
        <v>24413</v>
      </c>
      <c r="T636" t="s">
        <v>1032</v>
      </c>
      <c r="U636">
        <v>8</v>
      </c>
      <c r="V636" t="s">
        <v>1033</v>
      </c>
      <c r="W636" t="s">
        <v>123</v>
      </c>
      <c r="X636" t="s">
        <v>88</v>
      </c>
      <c r="Y636" t="s">
        <v>135</v>
      </c>
      <c r="Z636">
        <v>3</v>
      </c>
      <c r="AA636">
        <f>IF(AND(D636&gt;=配装计算器!$I$29,D636&lt;=配装计算器!$I$30),1,0)</f>
        <v>1</v>
      </c>
      <c r="AB636">
        <f t="shared" si="218"/>
        <v>1</v>
      </c>
      <c r="AC636">
        <f t="shared" si="219"/>
        <v>0</v>
      </c>
      <c r="AD636">
        <f t="shared" si="220"/>
        <v>1</v>
      </c>
      <c r="AE636">
        <f t="shared" si="221"/>
        <v>0</v>
      </c>
      <c r="AF636">
        <f t="shared" si="222"/>
        <v>0</v>
      </c>
      <c r="AG636">
        <f t="shared" si="223"/>
        <v>1</v>
      </c>
      <c r="AH636">
        <f t="shared" si="224"/>
        <v>0</v>
      </c>
      <c r="AI636">
        <f t="shared" si="225"/>
        <v>0</v>
      </c>
      <c r="AJ636">
        <f t="shared" si="226"/>
        <v>1</v>
      </c>
      <c r="AK636">
        <f>SUM(AJ$2:$AJ636)</f>
        <v>635</v>
      </c>
    </row>
  </sheetData>
  <autoFilter xmlns:etc="http://www.wps.cn/officeDocument/2017/etCustomData" ref="A1:AY740" etc:filterBottomFollowUsedRange="0">
    <extLst/>
  </autoFilter>
  <customSheetViews>
    <customSheetView guid="{8E53DF33-FD66-42DA-A21D-B11FBF5F6988}" topLeftCell="S549">
      <selection activeCell="AD90" sqref="AD90"/>
      <pageMargins left="0.7" right="0.7" top="0.75" bottom="0.75" header="0.3" footer="0.3"/>
      <headerFooter/>
    </customSheetView>
  </customSheetViews>
  <conditionalFormatting sqref="E1:E636">
    <cfRule type="duplicateValues" dxfId="0" priority="1"/>
  </conditionalFormatting>
  <conditionalFormatting sqref="E637:E740">
    <cfRule type="duplicateValues" dxfId="0" priority="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001"/>
  <sheetViews>
    <sheetView topLeftCell="AU1" workbookViewId="0">
      <selection activeCell="I17" sqref="I17:K17"/>
    </sheetView>
  </sheetViews>
  <sheetFormatPr defaultColWidth="9" defaultRowHeight="16.8"/>
  <cols>
    <col min="3" max="3" width="43.875" customWidth="1"/>
    <col min="14" max="14" width="43.875" customWidth="1"/>
    <col min="16" max="17" width="13" customWidth="1"/>
    <col min="18" max="21" width="7.125" customWidth="1"/>
    <col min="22" max="22" width="6.5" customWidth="1"/>
    <col min="23" max="23" width="5.5" customWidth="1"/>
    <col min="24" max="24" width="5.25" customWidth="1"/>
    <col min="25" max="25" width="5.5" customWidth="1"/>
    <col min="26" max="26" width="6.5" customWidth="1"/>
    <col min="27" max="27" width="5.25" customWidth="1"/>
    <col min="28" max="28" width="6.5" customWidth="1"/>
    <col min="29" max="29" width="5.25" customWidth="1"/>
    <col min="30" max="30" width="6.5" customWidth="1"/>
    <col min="31" max="31" width="5.5" customWidth="1"/>
    <col min="32" max="33" width="5.25" customWidth="1"/>
    <col min="34" max="34" width="9" customWidth="1"/>
    <col min="35" max="35" width="10" customWidth="1"/>
    <col min="36" max="47" width="9" customWidth="1"/>
    <col min="59" max="59" width="9" hidden="1" customWidth="1"/>
    <col min="60" max="60" width="13" customWidth="1"/>
    <col min="61" max="61" width="14.125" customWidth="1"/>
    <col min="63" max="64" width="9" style="167"/>
  </cols>
  <sheetData>
    <row r="1" spans="1:71">
      <c r="A1" t="s">
        <v>58</v>
      </c>
      <c r="B1" t="s">
        <v>59</v>
      </c>
      <c r="C1" t="s">
        <v>62</v>
      </c>
      <c r="E1" s="160">
        <v>0</v>
      </c>
      <c r="G1" s="160">
        <f t="shared" ref="G1:G13" si="0">ROW()</f>
        <v>1</v>
      </c>
      <c r="H1" s="161" t="s">
        <v>82</v>
      </c>
      <c r="I1" s="161">
        <f>MATCH(H1,$A$2:$A$2001,0)</f>
        <v>1</v>
      </c>
      <c r="J1" s="161">
        <f>COUNTIF($A$2:$A$2665,H1)</f>
        <v>41</v>
      </c>
      <c r="M1" s="160" t="s">
        <v>58</v>
      </c>
      <c r="N1" s="160" t="s">
        <v>1959</v>
      </c>
      <c r="O1" s="160" t="s">
        <v>1960</v>
      </c>
      <c r="P1" s="160" t="s">
        <v>1961</v>
      </c>
      <c r="Q1" s="160" t="s">
        <v>1962</v>
      </c>
      <c r="R1" s="160" t="s">
        <v>74</v>
      </c>
      <c r="S1" s="160" t="s">
        <v>75</v>
      </c>
      <c r="T1" s="160" t="s">
        <v>76</v>
      </c>
      <c r="U1" s="160" t="s">
        <v>1963</v>
      </c>
      <c r="V1" s="160" t="s">
        <v>63</v>
      </c>
      <c r="W1" s="160" t="s">
        <v>64</v>
      </c>
      <c r="X1" s="160" t="s">
        <v>65</v>
      </c>
      <c r="Y1" s="160" t="s">
        <v>66</v>
      </c>
      <c r="Z1" s="160" t="s">
        <v>7</v>
      </c>
      <c r="AA1" s="160" t="s">
        <v>9</v>
      </c>
      <c r="AB1" s="160" t="s">
        <v>28</v>
      </c>
      <c r="AC1" s="160" t="s">
        <v>34</v>
      </c>
      <c r="AD1" s="160" t="s">
        <v>21</v>
      </c>
      <c r="AE1" s="160" t="s">
        <v>67</v>
      </c>
      <c r="AF1" s="160" t="s">
        <v>68</v>
      </c>
      <c r="AG1" s="160" t="s">
        <v>11</v>
      </c>
      <c r="AH1" s="160" t="s">
        <v>69</v>
      </c>
      <c r="AI1" s="160" t="s">
        <v>70</v>
      </c>
      <c r="AJ1" s="160" t="s">
        <v>1964</v>
      </c>
      <c r="AK1" s="160" t="s">
        <v>1965</v>
      </c>
      <c r="AL1" s="160" t="s">
        <v>1966</v>
      </c>
      <c r="AM1" s="160" t="s">
        <v>1967</v>
      </c>
      <c r="AN1" s="160" t="s">
        <v>1968</v>
      </c>
      <c r="AO1" s="160" t="s">
        <v>1969</v>
      </c>
      <c r="AP1" s="160" t="s">
        <v>1970</v>
      </c>
      <c r="AQ1" s="160" t="s">
        <v>1971</v>
      </c>
      <c r="AR1" s="160" t="s">
        <v>1972</v>
      </c>
      <c r="AS1" s="160" t="s">
        <v>1973</v>
      </c>
      <c r="AT1" s="160" t="s">
        <v>1974</v>
      </c>
      <c r="AU1" s="160" t="s">
        <v>1975</v>
      </c>
      <c r="AV1" s="160" t="str">
        <f>"最终"&amp;V1</f>
        <v>最终体质</v>
      </c>
      <c r="AW1" s="160" t="str">
        <f t="shared" ref="AW1:BI1" si="1">"最终"&amp;W1</f>
        <v>最终身法</v>
      </c>
      <c r="AX1" s="160" t="str">
        <f t="shared" si="1"/>
        <v>最终力道</v>
      </c>
      <c r="AY1" s="160" t="str">
        <f t="shared" si="1"/>
        <v>最终攻击</v>
      </c>
      <c r="AZ1" s="160" t="str">
        <f t="shared" si="1"/>
        <v>最终会心</v>
      </c>
      <c r="BA1" s="160" t="str">
        <f t="shared" si="1"/>
        <v>最终会效</v>
      </c>
      <c r="BB1" s="160" t="str">
        <f t="shared" si="1"/>
        <v>最终破防</v>
      </c>
      <c r="BC1" s="160" t="str">
        <f t="shared" si="1"/>
        <v>最终破招</v>
      </c>
      <c r="BD1" s="160" t="str">
        <f t="shared" si="1"/>
        <v>最终无双</v>
      </c>
      <c r="BE1" s="160" t="str">
        <f t="shared" si="1"/>
        <v>最终加速</v>
      </c>
      <c r="BF1" s="160" t="str">
        <f t="shared" si="1"/>
        <v>最终全能</v>
      </c>
      <c r="BG1" s="160" t="str">
        <f t="shared" si="1"/>
        <v>最终御劲</v>
      </c>
      <c r="BH1" s="160" t="str">
        <f t="shared" si="1"/>
        <v>最终武器伤害</v>
      </c>
      <c r="BI1" s="160" t="str">
        <f t="shared" si="1"/>
        <v>最终武器伤害2</v>
      </c>
      <c r="BJ1" s="161" t="s">
        <v>61</v>
      </c>
      <c r="BK1" s="160" t="s">
        <v>1976</v>
      </c>
      <c r="BL1" s="160" t="s">
        <v>1977</v>
      </c>
      <c r="BM1" s="161" t="s">
        <v>1978</v>
      </c>
      <c r="BN1" s="161" t="s">
        <v>1979</v>
      </c>
    </row>
    <row r="2" spans="1:71">
      <c r="A2" t="str">
        <f>IFERROR(INDEX(装备库!$A$2:$E$2022,MATCH(ROW()-1,装备库!$AK$2:$AK$2022,0),COLUMN()),"")</f>
        <v>暗器</v>
      </c>
      <c r="B2" t="str">
        <f>IFERROR(INDEX(装备库!$A$2:$E$2022,MATCH(ROW()-1,装备库!$AK$2:$AK$2022,0),COLUMN()),"")</f>
        <v>6_43603</v>
      </c>
      <c r="C2" t="str">
        <f>IFERROR(INDEX(装备库!$A$2:$E$2022,MATCH(ROW()-1,装备库!$AK$2:$AK$2022,0),5),"")</f>
        <v>智渊囊(30200破全)</v>
      </c>
      <c r="E2" s="160">
        <v>1</v>
      </c>
      <c r="G2" s="160">
        <f t="shared" si="0"/>
        <v>2</v>
      </c>
      <c r="H2" s="161" t="s">
        <v>224</v>
      </c>
      <c r="I2" s="161">
        <f>IFERROR(MATCH(H2,$A$2:$A$2000,0),I1)</f>
        <v>42</v>
      </c>
      <c r="J2" s="161">
        <f t="shared" ref="J2:J12" si="2">COUNTIF($A$2:$A$2665,H2)</f>
        <v>75</v>
      </c>
      <c r="M2" s="160" t="s">
        <v>901</v>
      </c>
      <c r="N2" s="160" t="str">
        <f>配装计算器!C2</f>
        <v>无修冠·外·天(41400特效精简会无)</v>
      </c>
      <c r="O2" s="160">
        <f>IFERROR(1*$N$20,配装计算器!C3)</f>
        <v>6</v>
      </c>
      <c r="P2" s="160">
        <f>IFERROR(INDEX(装备库!$A$1:$Z$2022,MATCH($N2,装备库!$E$1:$E$2022,0),COLUMN(装备库!$U$1)),0)</f>
        <v>6</v>
      </c>
      <c r="Q2" s="160">
        <f>MIN(O2,P2)</f>
        <v>6</v>
      </c>
      <c r="R2" s="160" t="str">
        <f>IF(IFERROR(INDEX(装备库!$A$1:$Z$2022,MATCH($N2,装备库!$E$1:$E$2022,0),COLUMN(装备库!W$1)),"")=0,"",IFERROR(INDEX(装备库!$A$1:$Z$2022,MATCH($N2,装备库!$E$1:$E$2022,0),COLUMN(装备库!W$1)),""))</f>
        <v>攻击孔</v>
      </c>
      <c r="S2" s="160" t="str">
        <f>IF(IFERROR(INDEX(装备库!$A$1:$Z$2022,MATCH($N2,装备库!$E$1:$E$2022,0),COLUMN(装备库!X$1)),"")=0,"",IFERROR(INDEX(装备库!$A$1:$Z$2022,MATCH($N2,装备库!$E$1:$E$2022,0),COLUMN(装备库!X$1)),""))</f>
        <v>无双孔</v>
      </c>
      <c r="T2" s="160" t="str">
        <f>IF(IFERROR(INDEX(装备库!$A$1:$Z$2022,MATCH($N2,装备库!$E$1:$E$2022,0),COLUMN(装备库!Y$1)),"")=0,"",IFERROR(INDEX(装备库!$A$1:$Z$2022,MATCH($N2,装备库!$E$1:$E$2022,0),COLUMN(装备库!Y$1)),""))</f>
        <v/>
      </c>
      <c r="U2" s="160" t="str">
        <f>IFERROR(INDEX(装备库!$A$1:$Z$2022,MATCH($N2,装备库!$E$1:$E$2022,0),COLUMN(装备库!$V$1)),"")</f>
        <v>活动</v>
      </c>
      <c r="V2" s="160">
        <f>IFERROR(INDEX(装备库!$A$1:$Z$2022,MATCH($N2,装备库!$E$1:$E$2022,0),COLUMN(装备库!F$1)),0)</f>
        <v>20456</v>
      </c>
      <c r="W2" s="160">
        <f>IFERROR(INDEX(装备库!$A$1:$Z$2022,MATCH($N2,装备库!$E$1:$E$2022,0),COLUMN(装备库!G$1)),0)</f>
        <v>0</v>
      </c>
      <c r="X2" s="160">
        <f>IFERROR(INDEX(装备库!$A$1:$Z$2022,MATCH($N2,装备库!$E$1:$E$2022,0),COLUMN(装备库!H$1)),0)</f>
        <v>0</v>
      </c>
      <c r="Y2" s="160">
        <f>IFERROR(INDEX(装备库!$A$1:$Z$2022,MATCH($N2,装备库!$E$1:$E$2022,0),COLUMN(装备库!I$1)),0)</f>
        <v>2527</v>
      </c>
      <c r="Z2" s="160">
        <f>IFERROR(INDEX(装备库!$A$1:$Z$2022,MATCH($N2,装备库!$E$1:$E$2022,0),COLUMN(装备库!J$1)),0)</f>
        <v>36262</v>
      </c>
      <c r="AA2" s="160">
        <f>IFERROR(INDEX(装备库!$A$1:$Z$2022,MATCH($N2,装备库!$E$1:$E$2022,0),COLUMN(装备库!K$1)),0)</f>
        <v>0</v>
      </c>
      <c r="AB2" s="160">
        <f>IFERROR(INDEX(装备库!$A$1:$Z$2022,MATCH($N2,装备库!$E$1:$E$2022,0),COLUMN(装备库!L$1)),0)</f>
        <v>0</v>
      </c>
      <c r="AC2" s="160">
        <f>IFERROR(INDEX(装备库!$A$1:$Z$2022,MATCH($N2,装备库!$E$1:$E$2022,0),COLUMN(装备库!M$1)),0)</f>
        <v>0</v>
      </c>
      <c r="AD2" s="160">
        <f>IFERROR(INDEX(装备库!$A$1:$Z$2022,MATCH($N2,装备库!$E$1:$E$2022,0),COLUMN(装备库!N$1)),0)</f>
        <v>11158</v>
      </c>
      <c r="AE2" s="160">
        <f>IFERROR(INDEX(装备库!$A$1:$Z$2022,MATCH($N2,装备库!$E$1:$E$2022,0),COLUMN(装备库!O$1)),0)</f>
        <v>0</v>
      </c>
      <c r="AF2" s="160">
        <f>IFERROR(INDEX(装备库!$A$1:$Z$2022,MATCH($N2,装备库!$E$1:$E$2022,0),COLUMN(装备库!P$1)),0)</f>
        <v>0</v>
      </c>
      <c r="AG2" s="160">
        <f>IFERROR(INDEX(装备库!$A$1:$Z$2022,MATCH($N2,装备库!$E$1:$E$2022,0),COLUMN(装备库!Q$1)),0)</f>
        <v>0</v>
      </c>
      <c r="AH2" s="160">
        <f>IFERROR(INDEX(装备库!$A$1:$Z$2022,MATCH($N2,装备库!$E$1:$E$2022,0),COLUMN(装备库!R$1)),0)</f>
        <v>0</v>
      </c>
      <c r="AI2" s="160">
        <f>IFERROR(INDEX(装备库!$A$1:$Z$2022,MATCH($N2,装备库!$E$1:$E$2022,0),COLUMN(装备库!S$1)),0)</f>
        <v>0</v>
      </c>
      <c r="AJ2" s="160">
        <f>ROUND(V2*(CHOOSE($Q2+1,1,1.005,1.013,1.024,1.038,1.055,1.075,1.098,1.124)-1),0)</f>
        <v>1534</v>
      </c>
      <c r="AK2" s="160">
        <f t="shared" ref="AK2:AU2" si="3">ROUND(W2*(CHOOSE($Q2+1,1,1.005,1.013,1.024,1.038,1.055,1.075,1.098,1.124)-1),0)</f>
        <v>0</v>
      </c>
      <c r="AL2" s="160">
        <f t="shared" si="3"/>
        <v>0</v>
      </c>
      <c r="AM2" s="160">
        <f t="shared" si="3"/>
        <v>190</v>
      </c>
      <c r="AN2" s="160">
        <f t="shared" si="3"/>
        <v>2720</v>
      </c>
      <c r="AO2" s="160">
        <f t="shared" si="3"/>
        <v>0</v>
      </c>
      <c r="AP2" s="160">
        <f t="shared" si="3"/>
        <v>0</v>
      </c>
      <c r="AQ2" s="160">
        <f t="shared" si="3"/>
        <v>0</v>
      </c>
      <c r="AR2" s="160">
        <f t="shared" si="3"/>
        <v>837</v>
      </c>
      <c r="AS2" s="160">
        <f t="shared" si="3"/>
        <v>0</v>
      </c>
      <c r="AT2" s="160">
        <f t="shared" si="3"/>
        <v>0</v>
      </c>
      <c r="AU2" s="160">
        <f t="shared" si="3"/>
        <v>0</v>
      </c>
      <c r="AV2" s="160">
        <f>AJ2+V2</f>
        <v>21990</v>
      </c>
      <c r="AW2" s="160">
        <f t="shared" ref="AW2:BG2" si="4">AK2+W2</f>
        <v>0</v>
      </c>
      <c r="AX2" s="160">
        <f t="shared" si="4"/>
        <v>0</v>
      </c>
      <c r="AY2" s="160">
        <f t="shared" si="4"/>
        <v>2717</v>
      </c>
      <c r="AZ2" s="160">
        <f t="shared" si="4"/>
        <v>38982</v>
      </c>
      <c r="BA2" s="160">
        <f t="shared" si="4"/>
        <v>0</v>
      </c>
      <c r="BB2" s="160">
        <f t="shared" si="4"/>
        <v>0</v>
      </c>
      <c r="BC2" s="160">
        <f t="shared" si="4"/>
        <v>0</v>
      </c>
      <c r="BD2" s="160">
        <f t="shared" si="4"/>
        <v>11995</v>
      </c>
      <c r="BE2" s="160">
        <f t="shared" si="4"/>
        <v>0</v>
      </c>
      <c r="BF2" s="160">
        <f t="shared" si="4"/>
        <v>0</v>
      </c>
      <c r="BG2" s="160">
        <f t="shared" si="4"/>
        <v>0</v>
      </c>
      <c r="BH2" s="160">
        <f>AH2</f>
        <v>0</v>
      </c>
      <c r="BI2" s="160">
        <f>AI2</f>
        <v>0</v>
      </c>
      <c r="BJ2" s="160">
        <f>IFERROR(INDEX(装备库!$A$1:$Z$2022,MATCH($N2,装备库!$E$1:$E$2022,0),COLUMN(装备库!$D$1)),0)</f>
        <v>41400</v>
      </c>
      <c r="BK2" s="160">
        <f>IF(P2=8,2,1.8)</f>
        <v>1.8</v>
      </c>
      <c r="BL2" s="160">
        <v>0.9</v>
      </c>
      <c r="BM2" s="160">
        <f>ROUND(BJ2*BK2*BL2,0)</f>
        <v>67068</v>
      </c>
      <c r="BN2" s="161">
        <f>ROUND(BM2*(CHOOSE($Q2+1,1,1.005,1.013,1.024,1.038,1.055,1.075,1.098,1.124)-1),0)</f>
        <v>5030</v>
      </c>
    </row>
    <row r="3" spans="1:71">
      <c r="A3" t="str">
        <f>IFERROR(INDEX(装备库!$A$2:$E$2022,MATCH(ROW()-1,装备库!$AK$2:$AK$2022,0),COLUMN()),"")</f>
        <v>暗器</v>
      </c>
      <c r="B3" t="str">
        <f>IFERROR(INDEX(装备库!$A$2:$E$2022,MATCH(ROW()-1,装备库!$AK$2:$AK$2022,0),COLUMN()),"")</f>
        <v>6_43641</v>
      </c>
      <c r="C3" t="str">
        <f>IFERROR(INDEX(装备库!$A$2:$E$2022,MATCH(ROW()-1,装备库!$AK$2:$AK$2022,0),5),"")</f>
        <v>镂云囊(30200会全)</v>
      </c>
      <c r="E3" s="160">
        <v>2</v>
      </c>
      <c r="G3" s="160">
        <f t="shared" si="0"/>
        <v>3</v>
      </c>
      <c r="H3" s="161" t="s">
        <v>467</v>
      </c>
      <c r="I3" s="161">
        <f t="shared" ref="I3:I12" si="5">IFERROR(MATCH(H3,$A$2:$A$2000,0),I2)</f>
        <v>117</v>
      </c>
      <c r="J3" s="161">
        <f t="shared" si="2"/>
        <v>67</v>
      </c>
      <c r="M3" s="160" t="s">
        <v>1167</v>
      </c>
      <c r="N3" s="160" t="str">
        <f>配装计算器!C7</f>
        <v>【门派套装】玄阙·燃炼衣(41400会无)</v>
      </c>
      <c r="O3" s="160">
        <f>IFERROR(1*$N$20,配装计算器!C8)</f>
        <v>6</v>
      </c>
      <c r="P3" s="160">
        <f>IFERROR(INDEX(装备库!$A$1:$Z$2022,MATCH($N3,装备库!$E$1:$E$2022,0),COLUMN(装备库!$U$1)),0)</f>
        <v>6</v>
      </c>
      <c r="Q3" s="160">
        <f t="shared" ref="Q3:Q14" si="6">MIN(O3,P3)</f>
        <v>6</v>
      </c>
      <c r="R3" s="160" t="str">
        <f>IF(IFERROR(INDEX(装备库!$A$1:$Z$2022,MATCH($N3,装备库!$E$1:$E$2022,0),COLUMN(装备库!W$1)),"")=0,"",IFERROR(INDEX(装备库!$A$1:$Z$2022,MATCH($N3,装备库!$E$1:$E$2022,0),COLUMN(装备库!W$1)),""))</f>
        <v>会心孔</v>
      </c>
      <c r="S3" s="160" t="str">
        <f>IF(IFERROR(INDEX(装备库!$A$1:$Z$2022,MATCH($N3,装备库!$E$1:$E$2022,0),COLUMN(装备库!X$1)),"")=0,"",IFERROR(INDEX(装备库!$A$1:$Z$2022,MATCH($N3,装备库!$E$1:$E$2022,0),COLUMN(装备库!X$1)),""))</f>
        <v>会效孔</v>
      </c>
      <c r="T3" s="160" t="str">
        <f>IF(IFERROR(INDEX(装备库!$A$1:$Z$2022,MATCH($N3,装备库!$E$1:$E$2022,0),COLUMN(装备库!Y$1)),"")=0,"",IFERROR(INDEX(装备库!$A$1:$Z$2022,MATCH($N3,装备库!$E$1:$E$2022,0),COLUMN(装备库!Y$1)),""))</f>
        <v/>
      </c>
      <c r="U3" s="160" t="str">
        <f>IFERROR(INDEX(装备库!$A$1:$Z$2022,MATCH($N3,装备库!$E$1:$E$2022,0),COLUMN(装备库!$V$1)),"")</f>
        <v>兑换牌</v>
      </c>
      <c r="V3" s="160">
        <f>IFERROR(INDEX(装备库!$A$1:$Z$2022,MATCH($N3,装备库!$E$1:$E$2022,0),COLUMN(装备库!F$1)),0)</f>
        <v>22729</v>
      </c>
      <c r="W3" s="160">
        <f>IFERROR(INDEX(装备库!$A$1:$Z$2022,MATCH($N3,装备库!$E$1:$E$2022,0),COLUMN(装备库!G$1)),0)</f>
        <v>1854</v>
      </c>
      <c r="X3" s="160">
        <f>IFERROR(INDEX(装备库!$A$1:$Z$2022,MATCH($N3,装备库!$E$1:$E$2022,0),COLUMN(装备库!H$1)),0)</f>
        <v>0</v>
      </c>
      <c r="Y3" s="160">
        <f>IFERROR(INDEX(装备库!$A$1:$Z$2022,MATCH($N3,装备库!$E$1:$E$2022,0),COLUMN(装备库!I$1)),0)</f>
        <v>4211</v>
      </c>
      <c r="Z3" s="160">
        <f>IFERROR(INDEX(装备库!$A$1:$Z$2022,MATCH($N3,装备库!$E$1:$E$2022,0),COLUMN(装备库!J$1)),0)</f>
        <v>15497</v>
      </c>
      <c r="AA3" s="160">
        <f>IFERROR(INDEX(装备库!$A$1:$Z$2022,MATCH($N3,装备库!$E$1:$E$2022,0),COLUMN(装备库!K$1)),0)</f>
        <v>0</v>
      </c>
      <c r="AB3" s="160">
        <f>IFERROR(INDEX(装备库!$A$1:$Z$2022,MATCH($N3,装备库!$E$1:$E$2022,0),COLUMN(装备库!L$1)),0)</f>
        <v>0</v>
      </c>
      <c r="AC3" s="160">
        <f>IFERROR(INDEX(装备库!$A$1:$Z$2022,MATCH($N3,装备库!$E$1:$E$2022,0),COLUMN(装备库!M$1)),0)</f>
        <v>0</v>
      </c>
      <c r="AD3" s="160">
        <f>IFERROR(INDEX(装备库!$A$1:$Z$2022,MATCH($N3,装备库!$E$1:$E$2022,0),COLUMN(装备库!N$1)),0)</f>
        <v>12397</v>
      </c>
      <c r="AE3" s="160">
        <f>IFERROR(INDEX(装备库!$A$1:$Z$2022,MATCH($N3,装备库!$E$1:$E$2022,0),COLUMN(装备库!O$1)),0)</f>
        <v>0</v>
      </c>
      <c r="AF3" s="160">
        <f>IFERROR(INDEX(装备库!$A$1:$Z$2022,MATCH($N3,装备库!$E$1:$E$2022,0),COLUMN(装备库!P$1)),0)</f>
        <v>0</v>
      </c>
      <c r="AG3" s="160">
        <f>IFERROR(INDEX(装备库!$A$1:$Z$2022,MATCH($N3,装备库!$E$1:$E$2022,0),COLUMN(装备库!Q$1)),0)</f>
        <v>0</v>
      </c>
      <c r="AH3" s="160">
        <f>IFERROR(INDEX(装备库!$A$1:$Z$2022,MATCH($N3,装备库!$E$1:$E$2022,0),COLUMN(装备库!R$1)),0)</f>
        <v>0</v>
      </c>
      <c r="AI3" s="160">
        <f>IFERROR(INDEX(装备库!$A$1:$Z$2022,MATCH($N3,装备库!$E$1:$E$2022,0),COLUMN(装备库!S$1)),0)</f>
        <v>0</v>
      </c>
      <c r="AJ3" s="160">
        <f t="shared" ref="AJ3:AJ14" si="7">ROUND(V3*(CHOOSE($Q3+1,1,1.005,1.013,1.024,1.038,1.055,1.075,1.098,1.124)-1),0)</f>
        <v>1705</v>
      </c>
      <c r="AK3" s="160">
        <f t="shared" ref="AK3:AK14" si="8">ROUND(W3*(CHOOSE($Q3+1,1,1.005,1.013,1.024,1.038,1.055,1.075,1.098,1.124)-1),0)</f>
        <v>139</v>
      </c>
      <c r="AL3" s="160">
        <f t="shared" ref="AL3:AL14" si="9">ROUND(X3*(CHOOSE($Q3+1,1,1.005,1.013,1.024,1.038,1.055,1.075,1.098,1.124)-1),0)</f>
        <v>0</v>
      </c>
      <c r="AM3" s="160">
        <f t="shared" ref="AM3:AM14" si="10">ROUND(Y3*(CHOOSE($Q3+1,1,1.005,1.013,1.024,1.038,1.055,1.075,1.098,1.124)-1),0)</f>
        <v>316</v>
      </c>
      <c r="AN3" s="160">
        <f t="shared" ref="AN3:AN14" si="11">ROUND(Z3*(CHOOSE($Q3+1,1,1.005,1.013,1.024,1.038,1.055,1.075,1.098,1.124)-1),0)</f>
        <v>1162</v>
      </c>
      <c r="AO3" s="160">
        <f t="shared" ref="AO3:AO14" si="12">ROUND(AA3*(CHOOSE($Q3+1,1,1.005,1.013,1.024,1.038,1.055,1.075,1.098,1.124)-1),0)</f>
        <v>0</v>
      </c>
      <c r="AP3" s="160">
        <f t="shared" ref="AP3:AP14" si="13">ROUND(AB3*(CHOOSE($Q3+1,1,1.005,1.013,1.024,1.038,1.055,1.075,1.098,1.124)-1),0)</f>
        <v>0</v>
      </c>
      <c r="AQ3" s="160">
        <f t="shared" ref="AQ3:AQ14" si="14">ROUND(AC3*(CHOOSE($Q3+1,1,1.005,1.013,1.024,1.038,1.055,1.075,1.098,1.124)-1),0)</f>
        <v>0</v>
      </c>
      <c r="AR3" s="160">
        <f t="shared" ref="AR3:AR14" si="15">ROUND(AD3*(CHOOSE($Q3+1,1,1.005,1.013,1.024,1.038,1.055,1.075,1.098,1.124)-1),0)</f>
        <v>930</v>
      </c>
      <c r="AS3" s="160">
        <f t="shared" ref="AS3:AS14" si="16">ROUND(AE3*(CHOOSE($Q3+1,1,1.005,1.013,1.024,1.038,1.055,1.075,1.098,1.124)-1),0)</f>
        <v>0</v>
      </c>
      <c r="AT3" s="160">
        <f t="shared" ref="AT3:AT14" si="17">ROUND(AF3*(CHOOSE($Q3+1,1,1.005,1.013,1.024,1.038,1.055,1.075,1.098,1.124)-1),0)</f>
        <v>0</v>
      </c>
      <c r="AU3" s="160">
        <f t="shared" ref="AU3:AU14" si="18">ROUND(AG3*(CHOOSE($Q3+1,1,1.005,1.013,1.024,1.038,1.055,1.075,1.098,1.124)-1),0)</f>
        <v>0</v>
      </c>
      <c r="AV3" s="160">
        <f t="shared" ref="AV3:AV14" si="19">AJ3+V3</f>
        <v>24434</v>
      </c>
      <c r="AW3" s="160">
        <f t="shared" ref="AW3:AW14" si="20">AK3+W3</f>
        <v>1993</v>
      </c>
      <c r="AX3" s="160">
        <f t="shared" ref="AX3:AX14" si="21">AL3+X3</f>
        <v>0</v>
      </c>
      <c r="AY3" s="160">
        <f t="shared" ref="AY3:AY14" si="22">AM3+Y3</f>
        <v>4527</v>
      </c>
      <c r="AZ3" s="160">
        <f t="shared" ref="AZ3:AZ14" si="23">AN3+Z3</f>
        <v>16659</v>
      </c>
      <c r="BA3" s="160">
        <f t="shared" ref="BA3:BA14" si="24">AO3+AA3</f>
        <v>0</v>
      </c>
      <c r="BB3" s="160">
        <f t="shared" ref="BB3:BB14" si="25">AP3+AB3</f>
        <v>0</v>
      </c>
      <c r="BC3" s="160">
        <f t="shared" ref="BC3:BC14" si="26">AQ3+AC3</f>
        <v>0</v>
      </c>
      <c r="BD3" s="160">
        <f t="shared" ref="BD3:BD14" si="27">AR3+AD3</f>
        <v>13327</v>
      </c>
      <c r="BE3" s="160">
        <f t="shared" ref="BE3:BE14" si="28">AS3+AE3</f>
        <v>0</v>
      </c>
      <c r="BF3" s="160">
        <f t="shared" ref="BF3:BF14" si="29">AT3+AF3</f>
        <v>0</v>
      </c>
      <c r="BG3" s="160">
        <f t="shared" ref="BG3:BG14" si="30">AU3+AG3</f>
        <v>0</v>
      </c>
      <c r="BH3" s="160">
        <f t="shared" ref="BH3:BH14" si="31">AH3</f>
        <v>0</v>
      </c>
      <c r="BI3" s="160">
        <f t="shared" ref="BI3:BI14" si="32">AI3</f>
        <v>0</v>
      </c>
      <c r="BJ3" s="160">
        <f>IFERROR(INDEX(装备库!$A$1:$Z$2022,MATCH($N3,装备库!$E$1:$E$2022,0),COLUMN(装备库!$D$1)),0)</f>
        <v>41400</v>
      </c>
      <c r="BK3" s="160">
        <f t="shared" ref="BK3:BK14" si="33">IF(P3=8,2,1.8)</f>
        <v>1.8</v>
      </c>
      <c r="BL3" s="160">
        <v>1</v>
      </c>
      <c r="BM3" s="160">
        <f t="shared" ref="BM3:BM14" si="34">ROUND(BJ3*BK3*BL3,0)</f>
        <v>74520</v>
      </c>
      <c r="BN3" s="161">
        <f t="shared" ref="BN3:BN14" si="35">ROUND(BM3*(CHOOSE($Q3+1,1,1.005,1.013,1.024,1.038,1.055,1.075,1.098,1.124)-1),0)</f>
        <v>5589</v>
      </c>
    </row>
    <row r="4" spans="1:71">
      <c r="A4" t="str">
        <f>IFERROR(INDEX(装备库!$A$2:$E$2022,MATCH(ROW()-1,装备库!$AK$2:$AK$2022,0),COLUMN()),"")</f>
        <v>暗器</v>
      </c>
      <c r="B4" t="str">
        <f>IFERROR(INDEX(装备库!$A$2:$E$2022,MATCH(ROW()-1,装备库!$AK$2:$AK$2022,0),COLUMN()),"")</f>
        <v>6_45633</v>
      </c>
      <c r="C4" t="str">
        <f>IFERROR(INDEX(装备库!$A$2:$E$2022,MATCH(ROW()-1,装备库!$AK$2:$AK$2022,0),5),"")</f>
        <v>臻泽囊(30200会全)</v>
      </c>
      <c r="E4" s="160">
        <v>3</v>
      </c>
      <c r="G4" s="160">
        <f t="shared" si="0"/>
        <v>4</v>
      </c>
      <c r="H4" s="161" t="s">
        <v>672</v>
      </c>
      <c r="I4" s="161">
        <f t="shared" si="5"/>
        <v>184</v>
      </c>
      <c r="J4" s="161">
        <f t="shared" si="2"/>
        <v>75</v>
      </c>
      <c r="M4" s="160" t="s">
        <v>1471</v>
      </c>
      <c r="N4" s="160" t="str">
        <f>配装计算器!C12</f>
        <v>凌月游(41400特效精简破无)</v>
      </c>
      <c r="O4" s="160">
        <f>IFERROR(1*$N$20,配装计算器!C13)</f>
        <v>6</v>
      </c>
      <c r="P4" s="160">
        <f>IFERROR(INDEX(装备库!$A$1:$Z$2022,MATCH($N4,装备库!$E$1:$E$2022,0),COLUMN(装备库!$U$1)),0)</f>
        <v>6</v>
      </c>
      <c r="Q4" s="160">
        <f t="shared" si="6"/>
        <v>6</v>
      </c>
      <c r="R4" s="160" t="str">
        <f>IF(IFERROR(INDEX(装备库!$A$1:$Z$2022,MATCH($N4,装备库!$E$1:$E$2022,0),COLUMN(装备库!W$1)),"")=0,"",IFERROR(INDEX(装备库!$A$1:$Z$2022,MATCH($N4,装备库!$E$1:$E$2022,0),COLUMN(装备库!W$1)),""))</f>
        <v>破防孔</v>
      </c>
      <c r="S4" s="160" t="str">
        <f>IF(IFERROR(INDEX(装备库!$A$1:$Z$2022,MATCH($N4,装备库!$E$1:$E$2022,0),COLUMN(装备库!X$1)),"")=0,"",IFERROR(INDEX(装备库!$A$1:$Z$2022,MATCH($N4,装备库!$E$1:$E$2022,0),COLUMN(装备库!X$1)),""))</f>
        <v>攻击孔</v>
      </c>
      <c r="T4" s="160" t="str">
        <f>IF(IFERROR(INDEX(装备库!$A$1:$Z$2022,MATCH($N4,装备库!$E$1:$E$2022,0),COLUMN(装备库!Y$1)),"")=0,"",IFERROR(INDEX(装备库!$A$1:$Z$2022,MATCH($N4,装备库!$E$1:$E$2022,0),COLUMN(装备库!Y$1)),""))</f>
        <v/>
      </c>
      <c r="U4" s="160" t="str">
        <f>IFERROR(INDEX(装备库!$A$1:$Z$2022,MATCH($N4,装备库!$E$1:$E$2022,0),COLUMN(装备库!$V$1)),"")</f>
        <v>副本</v>
      </c>
      <c r="V4" s="160">
        <f>IFERROR(INDEX(装备库!$A$1:$Z$2022,MATCH($N4,装备库!$E$1:$E$2022,0),COLUMN(装备库!F$1)),0)</f>
        <v>15910</v>
      </c>
      <c r="W4" s="160">
        <f>IFERROR(INDEX(装备库!$A$1:$Z$2022,MATCH($N4,装备库!$E$1:$E$2022,0),COLUMN(装备库!G$1)),0)</f>
        <v>0</v>
      </c>
      <c r="X4" s="160">
        <f>IFERROR(INDEX(装备库!$A$1:$Z$2022,MATCH($N4,装备库!$E$1:$E$2022,0),COLUMN(装备库!H$1)),0)</f>
        <v>0</v>
      </c>
      <c r="Y4" s="160">
        <f>IFERROR(INDEX(装备库!$A$1:$Z$2022,MATCH($N4,装备库!$E$1:$E$2022,0),COLUMN(装备库!I$1)),0)</f>
        <v>1965</v>
      </c>
      <c r="Z4" s="160">
        <f>IFERROR(INDEX(装备库!$A$1:$Z$2022,MATCH($N4,装备库!$E$1:$E$2022,0),COLUMN(装备库!J$1)),0)</f>
        <v>0</v>
      </c>
      <c r="AA4" s="160">
        <f>IFERROR(INDEX(装备库!$A$1:$Z$2022,MATCH($N4,装备库!$E$1:$E$2022,0),COLUMN(装备库!K$1)),0)</f>
        <v>0</v>
      </c>
      <c r="AB4" s="160">
        <f>IFERROR(INDEX(装备库!$A$1:$Z$2022,MATCH($N4,装备库!$E$1:$E$2022,0),COLUMN(装备库!L$1)),0)</f>
        <v>28204</v>
      </c>
      <c r="AC4" s="160">
        <f>IFERROR(INDEX(装备库!$A$1:$Z$2022,MATCH($N4,装备库!$E$1:$E$2022,0),COLUMN(装备库!M$1)),0)</f>
        <v>0</v>
      </c>
      <c r="AD4" s="160">
        <f>IFERROR(INDEX(装备库!$A$1:$Z$2022,MATCH($N4,装备库!$E$1:$E$2022,0),COLUMN(装备库!N$1)),0)</f>
        <v>8678</v>
      </c>
      <c r="AE4" s="160">
        <f>IFERROR(INDEX(装备库!$A$1:$Z$2022,MATCH($N4,装备库!$E$1:$E$2022,0),COLUMN(装备库!O$1)),0)</f>
        <v>0</v>
      </c>
      <c r="AF4" s="160">
        <f>IFERROR(INDEX(装备库!$A$1:$Z$2022,MATCH($N4,装备库!$E$1:$E$2022,0),COLUMN(装备库!P$1)),0)</f>
        <v>0</v>
      </c>
      <c r="AG4" s="160">
        <f>IFERROR(INDEX(装备库!$A$1:$Z$2022,MATCH($N4,装备库!$E$1:$E$2022,0),COLUMN(装备库!Q$1)),0)</f>
        <v>0</v>
      </c>
      <c r="AH4" s="160">
        <f>IFERROR(INDEX(装备库!$A$1:$Z$2022,MATCH($N4,装备库!$E$1:$E$2022,0),COLUMN(装备库!R$1)),0)</f>
        <v>0</v>
      </c>
      <c r="AI4" s="160">
        <f>IFERROR(INDEX(装备库!$A$1:$Z$2022,MATCH($N4,装备库!$E$1:$E$2022,0),COLUMN(装备库!S$1)),0)</f>
        <v>0</v>
      </c>
      <c r="AJ4" s="160">
        <f t="shared" si="7"/>
        <v>1193</v>
      </c>
      <c r="AK4" s="160">
        <f t="shared" si="8"/>
        <v>0</v>
      </c>
      <c r="AL4" s="160">
        <f t="shared" si="9"/>
        <v>0</v>
      </c>
      <c r="AM4" s="160">
        <f t="shared" si="10"/>
        <v>147</v>
      </c>
      <c r="AN4" s="160">
        <f t="shared" si="11"/>
        <v>0</v>
      </c>
      <c r="AO4" s="160">
        <f t="shared" si="12"/>
        <v>0</v>
      </c>
      <c r="AP4" s="160">
        <f t="shared" si="13"/>
        <v>2115</v>
      </c>
      <c r="AQ4" s="160">
        <f t="shared" si="14"/>
        <v>0</v>
      </c>
      <c r="AR4" s="160">
        <f t="shared" si="15"/>
        <v>651</v>
      </c>
      <c r="AS4" s="160">
        <f t="shared" si="16"/>
        <v>0</v>
      </c>
      <c r="AT4" s="160">
        <f t="shared" si="17"/>
        <v>0</v>
      </c>
      <c r="AU4" s="160">
        <f t="shared" si="18"/>
        <v>0</v>
      </c>
      <c r="AV4" s="160">
        <f t="shared" si="19"/>
        <v>17103</v>
      </c>
      <c r="AW4" s="160">
        <f t="shared" si="20"/>
        <v>0</v>
      </c>
      <c r="AX4" s="160">
        <f t="shared" si="21"/>
        <v>0</v>
      </c>
      <c r="AY4" s="160">
        <f t="shared" si="22"/>
        <v>2112</v>
      </c>
      <c r="AZ4" s="160">
        <f t="shared" si="23"/>
        <v>0</v>
      </c>
      <c r="BA4" s="160">
        <f t="shared" si="24"/>
        <v>0</v>
      </c>
      <c r="BB4" s="160">
        <f t="shared" si="25"/>
        <v>30319</v>
      </c>
      <c r="BC4" s="160">
        <f t="shared" si="26"/>
        <v>0</v>
      </c>
      <c r="BD4" s="160">
        <f t="shared" si="27"/>
        <v>9329</v>
      </c>
      <c r="BE4" s="160">
        <f t="shared" si="28"/>
        <v>0</v>
      </c>
      <c r="BF4" s="160">
        <f t="shared" si="29"/>
        <v>0</v>
      </c>
      <c r="BG4" s="160">
        <f t="shared" si="30"/>
        <v>0</v>
      </c>
      <c r="BH4" s="160">
        <f t="shared" si="31"/>
        <v>0</v>
      </c>
      <c r="BI4" s="160">
        <f t="shared" si="32"/>
        <v>0</v>
      </c>
      <c r="BJ4" s="160">
        <f>IFERROR(INDEX(装备库!$A$1:$Z$2022,MATCH($N4,装备库!$E$1:$E$2022,0),COLUMN(装备库!$D$1)),0)</f>
        <v>41400</v>
      </c>
      <c r="BK4" s="160">
        <f t="shared" si="33"/>
        <v>1.8</v>
      </c>
      <c r="BL4" s="160">
        <v>0.7</v>
      </c>
      <c r="BM4" s="160">
        <f t="shared" si="34"/>
        <v>52164</v>
      </c>
      <c r="BN4" s="161">
        <f t="shared" si="35"/>
        <v>3912</v>
      </c>
    </row>
    <row r="5" spans="1:71">
      <c r="A5" t="str">
        <f>IFERROR(INDEX(装备库!$A$2:$E$2022,MATCH(ROW()-1,装备库!$AK$2:$AK$2022,0),COLUMN()),"")</f>
        <v>暗器</v>
      </c>
      <c r="B5" t="str">
        <f>IFERROR(INDEX(装备库!$A$2:$E$2022,MATCH(ROW()-1,装备库!$AK$2:$AK$2022,0),COLUMN()),"")</f>
        <v>6_43372</v>
      </c>
      <c r="C5" t="str">
        <f>IFERROR(INDEX(装备库!$A$2:$E$2022,MATCH(ROW()-1,装备库!$AK$2:$AK$2022,0),5),"")</f>
        <v>孤城惊梦·迷烟囊(30200会无)</v>
      </c>
      <c r="E5" s="160">
        <v>4</v>
      </c>
      <c r="G5" s="160">
        <f t="shared" si="0"/>
        <v>5</v>
      </c>
      <c r="H5" s="161" t="s">
        <v>901</v>
      </c>
      <c r="I5" s="161">
        <f t="shared" si="5"/>
        <v>259</v>
      </c>
      <c r="J5" s="161">
        <f t="shared" si="2"/>
        <v>46</v>
      </c>
      <c r="M5" s="160" t="s">
        <v>224</v>
      </c>
      <c r="N5" s="160" t="str">
        <f>配装计算器!I2</f>
        <v>野渡护腕·引(41400精简招无)</v>
      </c>
      <c r="O5" s="160">
        <f>IFERROR(1*$N$20,配装计算器!I3)</f>
        <v>6</v>
      </c>
      <c r="P5" s="160">
        <f>IFERROR(INDEX(装备库!$A$1:$Z$2022,MATCH($N5,装备库!$E$1:$E$2022,0),COLUMN(装备库!$U$1)),0)</f>
        <v>6</v>
      </c>
      <c r="Q5" s="160">
        <f t="shared" si="6"/>
        <v>6</v>
      </c>
      <c r="R5" s="160" t="str">
        <f>IF(IFERROR(INDEX(装备库!$A$1:$Z$2022,MATCH($N5,装备库!$E$1:$E$2022,0),COLUMN(装备库!W$1)),"")=0,"",IFERROR(INDEX(装备库!$A$1:$Z$2022,MATCH($N5,装备库!$E$1:$E$2022,0),COLUMN(装备库!W$1)),""))</f>
        <v>破招孔</v>
      </c>
      <c r="S5" s="160" t="str">
        <f>IF(IFERROR(INDEX(装备库!$A$1:$Z$2022,MATCH($N5,装备库!$E$1:$E$2022,0),COLUMN(装备库!X$1)),"")=0,"",IFERROR(INDEX(装备库!$A$1:$Z$2022,MATCH($N5,装备库!$E$1:$E$2022,0),COLUMN(装备库!X$1)),""))</f>
        <v>无双孔</v>
      </c>
      <c r="T5" s="160" t="str">
        <f>IF(IFERROR(INDEX(装备库!$A$1:$Z$2022,MATCH($N5,装备库!$E$1:$E$2022,0),COLUMN(装备库!Y$1)),"")=0,"",IFERROR(INDEX(装备库!$A$1:$Z$2022,MATCH($N5,装备库!$E$1:$E$2022,0),COLUMN(装备库!Y$1)),""))</f>
        <v/>
      </c>
      <c r="U5" s="160" t="str">
        <f>IFERROR(INDEX(装备库!$A$1:$Z$2022,MATCH($N5,装备库!$E$1:$E$2022,0),COLUMN(装备库!$V$1)),"")</f>
        <v>副本</v>
      </c>
      <c r="V5" s="160">
        <f>IFERROR(INDEX(装备库!$A$1:$Z$2022,MATCH($N5,装备库!$E$1:$E$2022,0),COLUMN(装备库!F$1)),0)</f>
        <v>15910</v>
      </c>
      <c r="W5" s="160">
        <f>IFERROR(INDEX(装备库!$A$1:$Z$2022,MATCH($N5,装备库!$E$1:$E$2022,0),COLUMN(装备库!G$1)),0)</f>
        <v>0</v>
      </c>
      <c r="X5" s="160">
        <f>IFERROR(INDEX(装备库!$A$1:$Z$2022,MATCH($N5,装备库!$E$1:$E$2022,0),COLUMN(装备库!H$1)),0)</f>
        <v>0</v>
      </c>
      <c r="Y5" s="160">
        <f>IFERROR(INDEX(装备库!$A$1:$Z$2022,MATCH($N5,装备库!$E$1:$E$2022,0),COLUMN(装备库!I$1)),0)</f>
        <v>3931</v>
      </c>
      <c r="Z5" s="160">
        <f>IFERROR(INDEX(装备库!$A$1:$Z$2022,MATCH($N5,装备库!$E$1:$E$2022,0),COLUMN(装备库!J$1)),0)</f>
        <v>0</v>
      </c>
      <c r="AA5" s="160">
        <f>IFERROR(INDEX(装备库!$A$1:$Z$2022,MATCH($N5,装备库!$E$1:$E$2022,0),COLUMN(装备库!K$1)),0)</f>
        <v>0</v>
      </c>
      <c r="AB5" s="160">
        <f>IFERROR(INDEX(装备库!$A$1:$Z$2022,MATCH($N5,装备库!$E$1:$E$2022,0),COLUMN(装备库!L$1)),0)</f>
        <v>0</v>
      </c>
      <c r="AC5" s="160">
        <f>IFERROR(INDEX(装备库!$A$1:$Z$2022,MATCH($N5,装备库!$E$1:$E$2022,0),COLUMN(装备库!M$1)),0)</f>
        <v>20611</v>
      </c>
      <c r="AD5" s="160">
        <f>IFERROR(INDEX(装备库!$A$1:$Z$2022,MATCH($N5,装备库!$E$1:$E$2022,0),COLUMN(装备库!N$1)),0)</f>
        <v>10848</v>
      </c>
      <c r="AE5" s="160">
        <f>IFERROR(INDEX(装备库!$A$1:$Z$2022,MATCH($N5,装备库!$E$1:$E$2022,0),COLUMN(装备库!O$1)),0)</f>
        <v>0</v>
      </c>
      <c r="AF5" s="160">
        <f>IFERROR(INDEX(装备库!$A$1:$Z$2022,MATCH($N5,装备库!$E$1:$E$2022,0),COLUMN(装备库!P$1)),0)</f>
        <v>0</v>
      </c>
      <c r="AG5" s="160">
        <f>IFERROR(INDEX(装备库!$A$1:$Z$2022,MATCH($N5,装备库!$E$1:$E$2022,0),COLUMN(装备库!Q$1)),0)</f>
        <v>0</v>
      </c>
      <c r="AH5" s="160">
        <f>IFERROR(INDEX(装备库!$A$1:$Z$2022,MATCH($N5,装备库!$E$1:$E$2022,0),COLUMN(装备库!R$1)),0)</f>
        <v>0</v>
      </c>
      <c r="AI5" s="160">
        <f>IFERROR(INDEX(装备库!$A$1:$Z$2022,MATCH($N5,装备库!$E$1:$E$2022,0),COLUMN(装备库!S$1)),0)</f>
        <v>0</v>
      </c>
      <c r="AJ5" s="160">
        <f t="shared" si="7"/>
        <v>1193</v>
      </c>
      <c r="AK5" s="160">
        <f t="shared" si="8"/>
        <v>0</v>
      </c>
      <c r="AL5" s="160">
        <f t="shared" si="9"/>
        <v>0</v>
      </c>
      <c r="AM5" s="160">
        <f t="shared" si="10"/>
        <v>295</v>
      </c>
      <c r="AN5" s="160">
        <f t="shared" si="11"/>
        <v>0</v>
      </c>
      <c r="AO5" s="160">
        <f t="shared" si="12"/>
        <v>0</v>
      </c>
      <c r="AP5" s="160">
        <f t="shared" si="13"/>
        <v>0</v>
      </c>
      <c r="AQ5" s="160">
        <f t="shared" si="14"/>
        <v>1546</v>
      </c>
      <c r="AR5" s="160">
        <f t="shared" si="15"/>
        <v>814</v>
      </c>
      <c r="AS5" s="160">
        <f t="shared" si="16"/>
        <v>0</v>
      </c>
      <c r="AT5" s="160">
        <f t="shared" si="17"/>
        <v>0</v>
      </c>
      <c r="AU5" s="160">
        <f t="shared" si="18"/>
        <v>0</v>
      </c>
      <c r="AV5" s="160">
        <f t="shared" si="19"/>
        <v>17103</v>
      </c>
      <c r="AW5" s="160">
        <f t="shared" si="20"/>
        <v>0</v>
      </c>
      <c r="AX5" s="160">
        <f t="shared" si="21"/>
        <v>0</v>
      </c>
      <c r="AY5" s="160">
        <f t="shared" si="22"/>
        <v>4226</v>
      </c>
      <c r="AZ5" s="160">
        <f t="shared" si="23"/>
        <v>0</v>
      </c>
      <c r="BA5" s="160">
        <f t="shared" si="24"/>
        <v>0</v>
      </c>
      <c r="BB5" s="160">
        <f t="shared" si="25"/>
        <v>0</v>
      </c>
      <c r="BC5" s="160">
        <f t="shared" si="26"/>
        <v>22157</v>
      </c>
      <c r="BD5" s="160">
        <f t="shared" si="27"/>
        <v>11662</v>
      </c>
      <c r="BE5" s="160">
        <f t="shared" si="28"/>
        <v>0</v>
      </c>
      <c r="BF5" s="160">
        <f t="shared" si="29"/>
        <v>0</v>
      </c>
      <c r="BG5" s="160">
        <f t="shared" si="30"/>
        <v>0</v>
      </c>
      <c r="BH5" s="160">
        <f t="shared" si="31"/>
        <v>0</v>
      </c>
      <c r="BI5" s="160">
        <f t="shared" si="32"/>
        <v>0</v>
      </c>
      <c r="BJ5" s="160">
        <f>IFERROR(INDEX(装备库!$A$1:$Z$2022,MATCH($N5,装备库!$E$1:$E$2022,0),COLUMN(装备库!$D$1)),0)</f>
        <v>41400</v>
      </c>
      <c r="BK5" s="160">
        <f t="shared" si="33"/>
        <v>1.8</v>
      </c>
      <c r="BL5" s="160">
        <v>0.7</v>
      </c>
      <c r="BM5" s="160">
        <f t="shared" si="34"/>
        <v>52164</v>
      </c>
      <c r="BN5" s="161">
        <f t="shared" si="35"/>
        <v>3912</v>
      </c>
    </row>
    <row r="6" spans="1:71">
      <c r="A6" t="str">
        <f>IFERROR(INDEX(装备库!$A$2:$E$2022,MATCH(ROW()-1,装备库!$AK$2:$AK$2022,0),COLUMN()),"")</f>
        <v>暗器</v>
      </c>
      <c r="B6" t="str">
        <f>IFERROR(INDEX(装备库!$A$2:$E$2022,MATCH(ROW()-1,装备库!$AK$2:$AK$2022,0),COLUMN()),"")</f>
        <v>6_40579</v>
      </c>
      <c r="C6" t="str">
        <f>IFERROR(INDEX(装备库!$A$2:$E$2022,MATCH(ROW()-1,装备库!$AK$2:$AK$2022,0),5),"")</f>
        <v>羽缀囊(30200招无)</v>
      </c>
      <c r="E6" s="160">
        <v>5</v>
      </c>
      <c r="G6" s="160">
        <f t="shared" si="0"/>
        <v>6</v>
      </c>
      <c r="H6" s="161" t="s">
        <v>1028</v>
      </c>
      <c r="I6" s="161">
        <f t="shared" si="5"/>
        <v>305</v>
      </c>
      <c r="J6" s="211">
        <f t="shared" si="2"/>
        <v>49</v>
      </c>
      <c r="M6" s="160" t="s">
        <v>672</v>
      </c>
      <c r="N6" s="160" t="str">
        <f>配装计算器!I7</f>
        <v>停日裤·明(41400精简会招无)</v>
      </c>
      <c r="O6" s="160">
        <f>IFERROR(1*$N$20,配装计算器!I8)</f>
        <v>6</v>
      </c>
      <c r="P6" s="160">
        <f>IFERROR(INDEX(装备库!$A$1:$Z$2022,MATCH($N6,装备库!$E$1:$E$2022,0),COLUMN(装备库!$U$1)),0)</f>
        <v>6</v>
      </c>
      <c r="Q6" s="160">
        <f t="shared" si="6"/>
        <v>6</v>
      </c>
      <c r="R6" s="160" t="str">
        <f>IF(IFERROR(INDEX(装备库!$A$1:$Z$2022,MATCH($N6,装备库!$E$1:$E$2022,0),COLUMN(装备库!W$1)),"")=0,"",IFERROR(INDEX(装备库!$A$1:$Z$2022,MATCH($N6,装备库!$E$1:$E$2022,0),COLUMN(装备库!W$1)),""))</f>
        <v>会心孔</v>
      </c>
      <c r="S6" s="160" t="str">
        <f>IF(IFERROR(INDEX(装备库!$A$1:$Z$2022,MATCH($N6,装备库!$E$1:$E$2022,0),COLUMN(装备库!X$1)),"")=0,"",IFERROR(INDEX(装备库!$A$1:$Z$2022,MATCH($N6,装备库!$E$1:$E$2022,0),COLUMN(装备库!X$1)),""))</f>
        <v>无双孔</v>
      </c>
      <c r="T6" s="160" t="str">
        <f>IF(IFERROR(INDEX(装备库!$A$1:$Z$2022,MATCH($N6,装备库!$E$1:$E$2022,0),COLUMN(装备库!Y$1)),"")=0,"",IFERROR(INDEX(装备库!$A$1:$Z$2022,MATCH($N6,装备库!$E$1:$E$2022,0),COLUMN(装备库!Y$1)),""))</f>
        <v/>
      </c>
      <c r="U6" s="160" t="str">
        <f>IFERROR(INDEX(装备库!$A$1:$Z$2022,MATCH($N6,装备库!$E$1:$E$2022,0),COLUMN(装备库!$V$1)),"")</f>
        <v>副本</v>
      </c>
      <c r="V6" s="160">
        <f>IFERROR(INDEX(装备库!$A$1:$Z$2022,MATCH($N6,装备库!$E$1:$E$2022,0),COLUMN(装备库!F$1)),0)</f>
        <v>22729</v>
      </c>
      <c r="W6" s="160">
        <f>IFERROR(INDEX(装备库!$A$1:$Z$2022,MATCH($N6,装备库!$E$1:$E$2022,0),COLUMN(装备库!G$1)),0)</f>
        <v>0</v>
      </c>
      <c r="X6" s="160">
        <f>IFERROR(INDEX(装备库!$A$1:$Z$2022,MATCH($N6,装备库!$E$1:$E$2022,0),COLUMN(装备库!H$1)),0)</f>
        <v>0</v>
      </c>
      <c r="Y6" s="160">
        <f>IFERROR(INDEX(装备库!$A$1:$Z$2022,MATCH($N6,装备库!$E$1:$E$2022,0),COLUMN(装备库!I$1)),0)</f>
        <v>8142</v>
      </c>
      <c r="Z6" s="160">
        <f>IFERROR(INDEX(装备库!$A$1:$Z$2022,MATCH($N6,装备库!$E$1:$E$2022,0),COLUMN(装备库!J$1)),0)</f>
        <v>11364</v>
      </c>
      <c r="AA6" s="160">
        <f>IFERROR(INDEX(装备库!$A$1:$Z$2022,MATCH($N6,装备库!$E$1:$E$2022,0),COLUMN(装备库!K$1)),0)</f>
        <v>0</v>
      </c>
      <c r="AB6" s="160">
        <f>IFERROR(INDEX(装备库!$A$1:$Z$2022,MATCH($N6,装备库!$E$1:$E$2022,0),COLUMN(装备库!L$1)),0)</f>
        <v>0</v>
      </c>
      <c r="AC6" s="160">
        <f>IFERROR(INDEX(装备库!$A$1:$Z$2022,MATCH($N6,装备库!$E$1:$E$2022,0),COLUMN(装备库!M$1)),0)</f>
        <v>11364</v>
      </c>
      <c r="AD6" s="160">
        <f>IFERROR(INDEX(装备库!$A$1:$Z$2022,MATCH($N6,装备库!$E$1:$E$2022,0),COLUMN(装备库!N$1)),0)</f>
        <v>11364</v>
      </c>
      <c r="AE6" s="160">
        <f>IFERROR(INDEX(装备库!$A$1:$Z$2022,MATCH($N6,装备库!$E$1:$E$2022,0),COLUMN(装备库!O$1)),0)</f>
        <v>0</v>
      </c>
      <c r="AF6" s="160">
        <f>IFERROR(INDEX(装备库!$A$1:$Z$2022,MATCH($N6,装备库!$E$1:$E$2022,0),COLUMN(装备库!P$1)),0)</f>
        <v>0</v>
      </c>
      <c r="AG6" s="160">
        <f>IFERROR(INDEX(装备库!$A$1:$Z$2022,MATCH($N6,装备库!$E$1:$E$2022,0),COLUMN(装备库!Q$1)),0)</f>
        <v>0</v>
      </c>
      <c r="AH6" s="160">
        <f>IFERROR(INDEX(装备库!$A$1:$Z$2022,MATCH($N6,装备库!$E$1:$E$2022,0),COLUMN(装备库!R$1)),0)</f>
        <v>0</v>
      </c>
      <c r="AI6" s="160">
        <f>IFERROR(INDEX(装备库!$A$1:$Z$2022,MATCH($N6,装备库!$E$1:$E$2022,0),COLUMN(装备库!S$1)),0)</f>
        <v>0</v>
      </c>
      <c r="AJ6" s="160">
        <f t="shared" si="7"/>
        <v>1705</v>
      </c>
      <c r="AK6" s="160">
        <f t="shared" si="8"/>
        <v>0</v>
      </c>
      <c r="AL6" s="160">
        <f t="shared" si="9"/>
        <v>0</v>
      </c>
      <c r="AM6" s="160">
        <f t="shared" si="10"/>
        <v>611</v>
      </c>
      <c r="AN6" s="160">
        <f t="shared" si="11"/>
        <v>852</v>
      </c>
      <c r="AO6" s="160">
        <f t="shared" si="12"/>
        <v>0</v>
      </c>
      <c r="AP6" s="160">
        <f t="shared" si="13"/>
        <v>0</v>
      </c>
      <c r="AQ6" s="160">
        <f t="shared" si="14"/>
        <v>852</v>
      </c>
      <c r="AR6" s="160">
        <f t="shared" si="15"/>
        <v>852</v>
      </c>
      <c r="AS6" s="160">
        <f t="shared" si="16"/>
        <v>0</v>
      </c>
      <c r="AT6" s="160">
        <f t="shared" si="17"/>
        <v>0</v>
      </c>
      <c r="AU6" s="160">
        <f t="shared" si="18"/>
        <v>0</v>
      </c>
      <c r="AV6" s="160">
        <f t="shared" si="19"/>
        <v>24434</v>
      </c>
      <c r="AW6" s="160">
        <f t="shared" si="20"/>
        <v>0</v>
      </c>
      <c r="AX6" s="160">
        <f t="shared" si="21"/>
        <v>0</v>
      </c>
      <c r="AY6" s="160">
        <f t="shared" si="22"/>
        <v>8753</v>
      </c>
      <c r="AZ6" s="160">
        <f t="shared" si="23"/>
        <v>12216</v>
      </c>
      <c r="BA6" s="160">
        <f t="shared" si="24"/>
        <v>0</v>
      </c>
      <c r="BB6" s="160">
        <f t="shared" si="25"/>
        <v>0</v>
      </c>
      <c r="BC6" s="160">
        <f t="shared" si="26"/>
        <v>12216</v>
      </c>
      <c r="BD6" s="160">
        <f t="shared" si="27"/>
        <v>12216</v>
      </c>
      <c r="BE6" s="160">
        <f t="shared" si="28"/>
        <v>0</v>
      </c>
      <c r="BF6" s="160">
        <f t="shared" si="29"/>
        <v>0</v>
      </c>
      <c r="BG6" s="160">
        <f t="shared" si="30"/>
        <v>0</v>
      </c>
      <c r="BH6" s="160">
        <f t="shared" si="31"/>
        <v>0</v>
      </c>
      <c r="BI6" s="160">
        <f t="shared" si="32"/>
        <v>0</v>
      </c>
      <c r="BJ6" s="160">
        <f>IFERROR(INDEX(装备库!$A$1:$Z$2022,MATCH($N6,装备库!$E$1:$E$2022,0),COLUMN(装备库!$D$1)),0)</f>
        <v>41400</v>
      </c>
      <c r="BK6" s="160">
        <f t="shared" si="33"/>
        <v>1.8</v>
      </c>
      <c r="BL6" s="160">
        <v>1</v>
      </c>
      <c r="BM6" s="160">
        <f t="shared" si="34"/>
        <v>74520</v>
      </c>
      <c r="BN6" s="161">
        <f t="shared" si="35"/>
        <v>5589</v>
      </c>
    </row>
    <row r="7" spans="1:71">
      <c r="A7" t="str">
        <f>IFERROR(INDEX(装备库!$A$2:$E$2022,MATCH(ROW()-1,装备库!$AK$2:$AK$2022,0),COLUMN()),"")</f>
        <v>暗器</v>
      </c>
      <c r="B7" t="str">
        <f>IFERROR(INDEX(装备库!$A$2:$E$2022,MATCH(ROW()-1,装备库!$AK$2:$AK$2022,0),COLUMN()),"")</f>
        <v>6_41292</v>
      </c>
      <c r="C7" t="str">
        <f>IFERROR(INDEX(装备库!$A$2:$E$2022,MATCH(ROW()-1,装备库!$AK$2:$AK$2022,0),5),"")</f>
        <v>焚膏继晷(30200招无)</v>
      </c>
      <c r="E7" s="160">
        <v>6</v>
      </c>
      <c r="G7" s="160">
        <f t="shared" si="0"/>
        <v>7</v>
      </c>
      <c r="H7" s="161" t="s">
        <v>1167</v>
      </c>
      <c r="I7" s="161">
        <f t="shared" si="5"/>
        <v>354</v>
      </c>
      <c r="J7" s="161">
        <f t="shared" si="2"/>
        <v>28</v>
      </c>
      <c r="M7" s="160" t="s">
        <v>1353</v>
      </c>
      <c r="N7" s="160" t="str">
        <f>配装计算器!I12</f>
        <v>【门派套装】玄阙·燃炼鞋(41400破无)</v>
      </c>
      <c r="O7" s="160">
        <f>IFERROR(1*$N$20,配装计算器!I13)</f>
        <v>6</v>
      </c>
      <c r="P7" s="160">
        <f>IFERROR(INDEX(装备库!$A$1:$Z$2022,MATCH($N7,装备库!$E$1:$E$2022,0),COLUMN(装备库!$U$1)),0)</f>
        <v>6</v>
      </c>
      <c r="Q7" s="160">
        <f t="shared" si="6"/>
        <v>6</v>
      </c>
      <c r="R7" s="160" t="str">
        <f>IF(IFERROR(INDEX(装备库!$A$1:$Z$2022,MATCH($N7,装备库!$E$1:$E$2022,0),COLUMN(装备库!W$1)),"")=0,"",IFERROR(INDEX(装备库!$A$1:$Z$2022,MATCH($N7,装备库!$E$1:$E$2022,0),COLUMN(装备库!W$1)),""))</f>
        <v>攻击孔</v>
      </c>
      <c r="S7" s="160" t="str">
        <f>IF(IFERROR(INDEX(装备库!$A$1:$Z$2022,MATCH($N7,装备库!$E$1:$E$2022,0),COLUMN(装备库!X$1)),"")=0,"",IFERROR(INDEX(装备库!$A$1:$Z$2022,MATCH($N7,装备库!$E$1:$E$2022,0),COLUMN(装备库!X$1)),""))</f>
        <v>破防孔</v>
      </c>
      <c r="T7" s="160" t="str">
        <f>IF(IFERROR(INDEX(装备库!$A$1:$Z$2022,MATCH($N7,装备库!$E$1:$E$2022,0),COLUMN(装备库!Y$1)),"")=0,"",IFERROR(INDEX(装备库!$A$1:$Z$2022,MATCH($N7,装备库!$E$1:$E$2022,0),COLUMN(装备库!Y$1)),""))</f>
        <v/>
      </c>
      <c r="U7" s="160" t="str">
        <f>IFERROR(INDEX(装备库!$A$1:$Z$2022,MATCH($N7,装备库!$E$1:$E$2022,0),COLUMN(装备库!$V$1)),"")</f>
        <v>兑换牌</v>
      </c>
      <c r="V7" s="160">
        <f>IFERROR(INDEX(装备库!$A$1:$Z$2022,MATCH($N7,装备库!$E$1:$E$2022,0),COLUMN(装备库!F$1)),0)</f>
        <v>15910</v>
      </c>
      <c r="W7" s="160">
        <f>IFERROR(INDEX(装备库!$A$1:$Z$2022,MATCH($N7,装备库!$E$1:$E$2022,0),COLUMN(装备库!G$1)),0)</f>
        <v>1298</v>
      </c>
      <c r="X7" s="160">
        <f>IFERROR(INDEX(装备库!$A$1:$Z$2022,MATCH($N7,装备库!$E$1:$E$2022,0),COLUMN(装备库!H$1)),0)</f>
        <v>0</v>
      </c>
      <c r="Y7" s="160">
        <f>IFERROR(INDEX(装备库!$A$1:$Z$2022,MATCH($N7,装备库!$E$1:$E$2022,0),COLUMN(装备库!I$1)),0)</f>
        <v>2948</v>
      </c>
      <c r="Z7" s="160">
        <f>IFERROR(INDEX(装备库!$A$1:$Z$2022,MATCH($N7,装备库!$E$1:$E$2022,0),COLUMN(装备库!J$1)),0)</f>
        <v>0</v>
      </c>
      <c r="AA7" s="160">
        <f>IFERROR(INDEX(装备库!$A$1:$Z$2022,MATCH($N7,装备库!$E$1:$E$2022,0),COLUMN(装备库!K$1)),0)</f>
        <v>0</v>
      </c>
      <c r="AB7" s="160">
        <f>IFERROR(INDEX(装备库!$A$1:$Z$2022,MATCH($N7,装备库!$E$1:$E$2022,0),COLUMN(装备库!L$1)),0)</f>
        <v>10848</v>
      </c>
      <c r="AC7" s="160">
        <f>IFERROR(INDEX(装备库!$A$1:$Z$2022,MATCH($N7,装备库!$E$1:$E$2022,0),COLUMN(装备库!M$1)),0)</f>
        <v>0</v>
      </c>
      <c r="AD7" s="160">
        <f>IFERROR(INDEX(装备库!$A$1:$Z$2022,MATCH($N7,装备库!$E$1:$E$2022,0),COLUMN(装备库!N$1)),0)</f>
        <v>8678</v>
      </c>
      <c r="AE7" s="160">
        <f>IFERROR(INDEX(装备库!$A$1:$Z$2022,MATCH($N7,装备库!$E$1:$E$2022,0),COLUMN(装备库!O$1)),0)</f>
        <v>0</v>
      </c>
      <c r="AF7" s="160">
        <f>IFERROR(INDEX(装备库!$A$1:$Z$2022,MATCH($N7,装备库!$E$1:$E$2022,0),COLUMN(装备库!P$1)),0)</f>
        <v>0</v>
      </c>
      <c r="AG7" s="160">
        <f>IFERROR(INDEX(装备库!$A$1:$Z$2022,MATCH($N7,装备库!$E$1:$E$2022,0),COLUMN(装备库!Q$1)),0)</f>
        <v>0</v>
      </c>
      <c r="AH7" s="160">
        <f>IFERROR(INDEX(装备库!$A$1:$Z$2022,MATCH($N7,装备库!$E$1:$E$2022,0),COLUMN(装备库!R$1)),0)</f>
        <v>0</v>
      </c>
      <c r="AI7" s="160">
        <f>IFERROR(INDEX(装备库!$A$1:$Z$2022,MATCH($N7,装备库!$E$1:$E$2022,0),COLUMN(装备库!S$1)),0)</f>
        <v>0</v>
      </c>
      <c r="AJ7" s="160">
        <f t="shared" si="7"/>
        <v>1193</v>
      </c>
      <c r="AK7" s="160">
        <f t="shared" si="8"/>
        <v>97</v>
      </c>
      <c r="AL7" s="160">
        <f t="shared" si="9"/>
        <v>0</v>
      </c>
      <c r="AM7" s="160">
        <f t="shared" si="10"/>
        <v>221</v>
      </c>
      <c r="AN7" s="160">
        <f t="shared" si="11"/>
        <v>0</v>
      </c>
      <c r="AO7" s="160">
        <f t="shared" si="12"/>
        <v>0</v>
      </c>
      <c r="AP7" s="160">
        <f t="shared" si="13"/>
        <v>814</v>
      </c>
      <c r="AQ7" s="160">
        <f t="shared" si="14"/>
        <v>0</v>
      </c>
      <c r="AR7" s="160">
        <f t="shared" si="15"/>
        <v>651</v>
      </c>
      <c r="AS7" s="160">
        <f t="shared" si="16"/>
        <v>0</v>
      </c>
      <c r="AT7" s="160">
        <f t="shared" si="17"/>
        <v>0</v>
      </c>
      <c r="AU7" s="160">
        <f t="shared" si="18"/>
        <v>0</v>
      </c>
      <c r="AV7" s="160">
        <f t="shared" si="19"/>
        <v>17103</v>
      </c>
      <c r="AW7" s="160">
        <f t="shared" si="20"/>
        <v>1395</v>
      </c>
      <c r="AX7" s="160">
        <f t="shared" si="21"/>
        <v>0</v>
      </c>
      <c r="AY7" s="160">
        <f t="shared" si="22"/>
        <v>3169</v>
      </c>
      <c r="AZ7" s="160">
        <f t="shared" si="23"/>
        <v>0</v>
      </c>
      <c r="BA7" s="160">
        <f t="shared" si="24"/>
        <v>0</v>
      </c>
      <c r="BB7" s="160">
        <f t="shared" si="25"/>
        <v>11662</v>
      </c>
      <c r="BC7" s="160">
        <f t="shared" si="26"/>
        <v>0</v>
      </c>
      <c r="BD7" s="160">
        <f t="shared" si="27"/>
        <v>9329</v>
      </c>
      <c r="BE7" s="160">
        <f t="shared" si="28"/>
        <v>0</v>
      </c>
      <c r="BF7" s="160">
        <f t="shared" si="29"/>
        <v>0</v>
      </c>
      <c r="BG7" s="160">
        <f t="shared" si="30"/>
        <v>0</v>
      </c>
      <c r="BH7" s="160">
        <f t="shared" si="31"/>
        <v>0</v>
      </c>
      <c r="BI7" s="160">
        <f t="shared" si="32"/>
        <v>0</v>
      </c>
      <c r="BJ7" s="160">
        <f>IFERROR(INDEX(装备库!$A$1:$Z$2022,MATCH($N7,装备库!$E$1:$E$2022,0),COLUMN(装备库!$D$1)),0)</f>
        <v>41400</v>
      </c>
      <c r="BK7" s="160">
        <f t="shared" si="33"/>
        <v>1.8</v>
      </c>
      <c r="BL7" s="160">
        <v>0.7</v>
      </c>
      <c r="BM7" s="160">
        <f t="shared" si="34"/>
        <v>52164</v>
      </c>
      <c r="BN7" s="161">
        <f t="shared" si="35"/>
        <v>3912</v>
      </c>
    </row>
    <row r="8" spans="1:71">
      <c r="A8" t="str">
        <f>IFERROR(INDEX(装备库!$A$2:$E$2022,MATCH(ROW()-1,装备库!$AK$2:$AK$2022,0),COLUMN()),"")</f>
        <v>暗器</v>
      </c>
      <c r="B8" t="str">
        <f>IFERROR(INDEX(装备库!$A$2:$E$2022,MATCH(ROW()-1,装备库!$AK$2:$AK$2022,0),COLUMN()),"")</f>
        <v>6_40933</v>
      </c>
      <c r="C8" t="str">
        <f>IFERROR(INDEX(装备库!$A$2:$E$2022,MATCH(ROW()-1,装备库!$AK$2:$AK$2022,0),5),"")</f>
        <v>润源囊(30200速无)</v>
      </c>
      <c r="E8" s="160">
        <v>7</v>
      </c>
      <c r="G8" s="160">
        <f t="shared" si="0"/>
        <v>8</v>
      </c>
      <c r="H8" s="161" t="s">
        <v>1252</v>
      </c>
      <c r="I8" s="161">
        <f t="shared" si="5"/>
        <v>382</v>
      </c>
      <c r="J8" s="161">
        <f t="shared" si="2"/>
        <v>38</v>
      </c>
      <c r="M8" s="160" t="s">
        <v>1252</v>
      </c>
      <c r="N8" s="160" t="str">
        <f>配装计算器!C17</f>
        <v>无修链·外·地(35300特效精简破无)</v>
      </c>
      <c r="O8" s="160">
        <f>IFERROR(1*$N$20,配装计算器!C18)</f>
        <v>6</v>
      </c>
      <c r="P8" s="160">
        <f>IFERROR(INDEX(装备库!$A$1:$Z$2022,MATCH($N8,装备库!$E$1:$E$2022,0),COLUMN(装备库!$U$1)),0)</f>
        <v>6</v>
      </c>
      <c r="Q8" s="160">
        <f t="shared" si="6"/>
        <v>6</v>
      </c>
      <c r="R8" s="160" t="str">
        <f>IF(IFERROR(INDEX(装备库!$A$1:$Z$2022,MATCH($N8,装备库!$E$1:$E$2022,0),COLUMN(装备库!W$1)),"")=0,"",IFERROR(INDEX(装备库!$A$1:$Z$2022,MATCH($N8,装备库!$E$1:$E$2022,0),COLUMN(装备库!W$1)),""))</f>
        <v>破招孔</v>
      </c>
      <c r="S8" s="160" t="str">
        <f>IF(IFERROR(INDEX(装备库!$A$1:$Z$2022,MATCH($N8,装备库!$E$1:$E$2022,0),COLUMN(装备库!X$1)),"")=0,"",IFERROR(INDEX(装备库!$A$1:$Z$2022,MATCH($N8,装备库!$E$1:$E$2022,0),COLUMN(装备库!X$1)),""))</f>
        <v>破招孔</v>
      </c>
      <c r="T8" s="160" t="str">
        <f>IF(IFERROR(INDEX(装备库!$A$1:$Z$2022,MATCH($N8,装备库!$E$1:$E$2022,0),COLUMN(装备库!Y$1)),"")=0,"",IFERROR(INDEX(装备库!$A$1:$Z$2022,MATCH($N8,装备库!$E$1:$E$2022,0),COLUMN(装备库!Y$1)),""))</f>
        <v/>
      </c>
      <c r="U8" s="160" t="str">
        <f>IFERROR(INDEX(装备库!$A$1:$Z$2022,MATCH($N8,装备库!$E$1:$E$2022,0),COLUMN(装备库!$V$1)),"")</f>
        <v>活动</v>
      </c>
      <c r="V8" s="160">
        <f>IFERROR(INDEX(装备库!$A$1:$Z$2022,MATCH($N8,装备库!$E$1:$E$2022,0),COLUMN(装备库!F$1)),0)</f>
        <v>9690</v>
      </c>
      <c r="W8" s="160">
        <f>IFERROR(INDEX(装备库!$A$1:$Z$2022,MATCH($N8,装备库!$E$1:$E$2022,0),COLUMN(装备库!G$1)),0)</f>
        <v>0</v>
      </c>
      <c r="X8" s="160">
        <f>IFERROR(INDEX(装备库!$A$1:$Z$2022,MATCH($N8,装备库!$E$1:$E$2022,0),COLUMN(装备库!H$1)),0)</f>
        <v>0</v>
      </c>
      <c r="Y8" s="160">
        <f>IFERROR(INDEX(装备库!$A$1:$Z$2022,MATCH($N8,装备库!$E$1:$E$2022,0),COLUMN(装备库!I$1)),0)</f>
        <v>2873</v>
      </c>
      <c r="Z8" s="160">
        <f>IFERROR(INDEX(装备库!$A$1:$Z$2022,MATCH($N8,装备库!$E$1:$E$2022,0),COLUMN(装备库!J$1)),0)</f>
        <v>0</v>
      </c>
      <c r="AA8" s="160">
        <f>IFERROR(INDEX(装备库!$A$1:$Z$2022,MATCH($N8,装备库!$E$1:$E$2022,0),COLUMN(装备库!K$1)),0)</f>
        <v>0</v>
      </c>
      <c r="AB8" s="160">
        <f>IFERROR(INDEX(装备库!$A$1:$Z$2022,MATCH($N8,装备库!$E$1:$E$2022,0),COLUMN(装备库!L$1)),0)</f>
        <v>4845</v>
      </c>
      <c r="AC8" s="160">
        <f>IFERROR(INDEX(装备库!$A$1:$Z$2022,MATCH($N8,装备库!$E$1:$E$2022,0),COLUMN(装备库!M$1)),0)</f>
        <v>0</v>
      </c>
      <c r="AD8" s="160">
        <f>IFERROR(INDEX(装备库!$A$1:$Z$2022,MATCH($N8,装备库!$E$1:$E$2022,0),COLUMN(装备库!N$1)),0)</f>
        <v>9690</v>
      </c>
      <c r="AE8" s="160">
        <f>IFERROR(INDEX(装备库!$A$1:$Z$2022,MATCH($N8,装备库!$E$1:$E$2022,0),COLUMN(装备库!O$1)),0)</f>
        <v>0</v>
      </c>
      <c r="AF8" s="160">
        <f>IFERROR(INDEX(装备库!$A$1:$Z$2022,MATCH($N8,装备库!$E$1:$E$2022,0),COLUMN(装备库!P$1)),0)</f>
        <v>0</v>
      </c>
      <c r="AG8" s="160">
        <f>IFERROR(INDEX(装备库!$A$1:$Z$2022,MATCH($N8,装备库!$E$1:$E$2022,0),COLUMN(装备库!Q$1)),0)</f>
        <v>0</v>
      </c>
      <c r="AH8" s="160">
        <f>IFERROR(INDEX(装备库!$A$1:$Z$2022,MATCH($N8,装备库!$E$1:$E$2022,0),COLUMN(装备库!R$1)),0)</f>
        <v>0</v>
      </c>
      <c r="AI8" s="160">
        <f>IFERROR(INDEX(装备库!$A$1:$Z$2022,MATCH($N8,装备库!$E$1:$E$2022,0),COLUMN(装备库!S$1)),0)</f>
        <v>0</v>
      </c>
      <c r="AJ8" s="160">
        <f t="shared" si="7"/>
        <v>727</v>
      </c>
      <c r="AK8" s="160">
        <f t="shared" si="8"/>
        <v>0</v>
      </c>
      <c r="AL8" s="160">
        <f t="shared" si="9"/>
        <v>0</v>
      </c>
      <c r="AM8" s="160">
        <f t="shared" si="10"/>
        <v>215</v>
      </c>
      <c r="AN8" s="160">
        <f t="shared" si="11"/>
        <v>0</v>
      </c>
      <c r="AO8" s="160">
        <f t="shared" si="12"/>
        <v>0</v>
      </c>
      <c r="AP8" s="160">
        <f t="shared" si="13"/>
        <v>363</v>
      </c>
      <c r="AQ8" s="160">
        <f t="shared" si="14"/>
        <v>0</v>
      </c>
      <c r="AR8" s="160">
        <f t="shared" si="15"/>
        <v>727</v>
      </c>
      <c r="AS8" s="160">
        <f t="shared" si="16"/>
        <v>0</v>
      </c>
      <c r="AT8" s="160">
        <f t="shared" si="17"/>
        <v>0</v>
      </c>
      <c r="AU8" s="160">
        <f t="shared" si="18"/>
        <v>0</v>
      </c>
      <c r="AV8" s="160">
        <f t="shared" si="19"/>
        <v>10417</v>
      </c>
      <c r="AW8" s="160">
        <f t="shared" si="20"/>
        <v>0</v>
      </c>
      <c r="AX8" s="160">
        <f t="shared" si="21"/>
        <v>0</v>
      </c>
      <c r="AY8" s="160">
        <f t="shared" si="22"/>
        <v>3088</v>
      </c>
      <c r="AZ8" s="160">
        <f t="shared" si="23"/>
        <v>0</v>
      </c>
      <c r="BA8" s="160">
        <f t="shared" si="24"/>
        <v>0</v>
      </c>
      <c r="BB8" s="160">
        <f t="shared" si="25"/>
        <v>5208</v>
      </c>
      <c r="BC8" s="160">
        <f t="shared" si="26"/>
        <v>0</v>
      </c>
      <c r="BD8" s="160">
        <f t="shared" si="27"/>
        <v>10417</v>
      </c>
      <c r="BE8" s="160">
        <f t="shared" si="28"/>
        <v>0</v>
      </c>
      <c r="BF8" s="160">
        <f t="shared" si="29"/>
        <v>0</v>
      </c>
      <c r="BG8" s="160">
        <f t="shared" si="30"/>
        <v>0</v>
      </c>
      <c r="BH8" s="160">
        <f t="shared" si="31"/>
        <v>0</v>
      </c>
      <c r="BI8" s="160">
        <f t="shared" si="32"/>
        <v>0</v>
      </c>
      <c r="BJ8" s="160">
        <f>IFERROR(INDEX(装备库!$A$1:$Z$2022,MATCH($N8,装备库!$E$1:$E$2022,0),COLUMN(装备库!$D$1)),0)</f>
        <v>35300</v>
      </c>
      <c r="BK8" s="160">
        <f t="shared" si="33"/>
        <v>1.8</v>
      </c>
      <c r="BL8" s="160">
        <v>0.5</v>
      </c>
      <c r="BM8" s="160">
        <f t="shared" si="34"/>
        <v>31770</v>
      </c>
      <c r="BN8" s="161">
        <f t="shared" si="35"/>
        <v>2383</v>
      </c>
    </row>
    <row r="9" spans="1:71">
      <c r="A9" t="str">
        <f>IFERROR(INDEX(装备库!$A$2:$E$2022,MATCH(ROW()-1,装备库!$AK$2:$AK$2022,0),COLUMN()),"")</f>
        <v>暗器</v>
      </c>
      <c r="B9" t="str">
        <f>IFERROR(INDEX(装备库!$A$2:$E$2022,MATCH(ROW()-1,装备库!$AK$2:$AK$2022,0),COLUMN()),"")</f>
        <v>6_41180</v>
      </c>
      <c r="C9" t="str">
        <f>IFERROR(INDEX(装备库!$A$2:$E$2022,MATCH(ROW()-1,装备库!$AK$2:$AK$2022,0),5),"")</f>
        <v>问殿囊(30200速无)</v>
      </c>
      <c r="E9" s="160">
        <v>8</v>
      </c>
      <c r="G9" s="160">
        <f t="shared" si="0"/>
        <v>9</v>
      </c>
      <c r="H9" s="161" t="s">
        <v>1353</v>
      </c>
      <c r="I9" s="161">
        <f t="shared" si="5"/>
        <v>420</v>
      </c>
      <c r="J9" s="161">
        <f t="shared" si="2"/>
        <v>43</v>
      </c>
      <c r="M9" s="160" t="s">
        <v>1688</v>
      </c>
      <c r="N9" s="160" t="str">
        <f>配装计算器!C21</f>
        <v>掠影凰(37900橙·特效破无)</v>
      </c>
      <c r="O9" s="160">
        <f>IFERROR(1*$N$20,配装计算器!C22)</f>
        <v>8</v>
      </c>
      <c r="P9" s="160">
        <f>IFERROR(INDEX(装备库!$A$1:$Z$2022,MATCH($N9,装备库!$E$1:$E$2022,0),COLUMN(装备库!$U$1)),0)</f>
        <v>8</v>
      </c>
      <c r="Q9" s="160">
        <f t="shared" si="6"/>
        <v>8</v>
      </c>
      <c r="R9" s="160" t="str">
        <f>IF(IFERROR(INDEX(装备库!$A$1:$Z$2022,MATCH($N9,装备库!$E$1:$E$2022,0),COLUMN(装备库!W$1)),"")=0,"",IFERROR(INDEX(装备库!$A$1:$Z$2022,MATCH($N9,装备库!$E$1:$E$2022,0),COLUMN(装备库!W$1)),""))</f>
        <v>破防孔</v>
      </c>
      <c r="S9" s="160" t="str">
        <f>IF(IFERROR(INDEX(装备库!$A$1:$Z$2022,MATCH($N9,装备库!$E$1:$E$2022,0),COLUMN(装备库!X$1)),"")=0,"",IFERROR(INDEX(装备库!$A$1:$Z$2022,MATCH($N9,装备库!$E$1:$E$2022,0),COLUMN(装备库!X$1)),""))</f>
        <v>破防孔</v>
      </c>
      <c r="T9" s="160" t="str">
        <f>IF(IFERROR(INDEX(装备库!$A$1:$Z$2022,MATCH($N9,装备库!$E$1:$E$2022,0),COLUMN(装备库!Y$1)),"")=0,"",IFERROR(INDEX(装备库!$A$1:$Z$2022,MATCH($N9,装备库!$E$1:$E$2022,0),COLUMN(装备库!Y$1)),""))</f>
        <v/>
      </c>
      <c r="U9" s="160" t="str">
        <f>IFERROR(INDEX(装备库!$A$1:$Z$2022,MATCH($N9,装备库!$E$1:$E$2022,0),COLUMN(装备库!$V$1)),"")</f>
        <v>副本</v>
      </c>
      <c r="V9" s="160">
        <f>IFERROR(INDEX(装备库!$A$1:$Z$2022,MATCH($N9,装备库!$E$1:$E$2022,0),COLUMN(装备库!F$1)),0)</f>
        <v>11559</v>
      </c>
      <c r="W9" s="160">
        <f>IFERROR(INDEX(装备库!$A$1:$Z$2022,MATCH($N9,装备库!$E$1:$E$2022,0),COLUMN(装备库!G$1)),0)</f>
        <v>943</v>
      </c>
      <c r="X9" s="160">
        <f>IFERROR(INDEX(装备库!$A$1:$Z$2022,MATCH($N9,装备库!$E$1:$E$2022,0),COLUMN(装备库!H$1)),0)</f>
        <v>0</v>
      </c>
      <c r="Y9" s="160">
        <f>IFERROR(INDEX(装备库!$A$1:$Z$2022,MATCH($N9,装备库!$E$1:$E$2022,0),COLUMN(装备库!I$1)),0)</f>
        <v>2142</v>
      </c>
      <c r="Z9" s="160">
        <f>IFERROR(INDEX(装备库!$A$1:$Z$2022,MATCH($N9,装备库!$E$1:$E$2022,0),COLUMN(装备库!J$1)),0)</f>
        <v>0</v>
      </c>
      <c r="AA9" s="160">
        <f>IFERROR(INDEX(装备库!$A$1:$Z$2022,MATCH($N9,装备库!$E$1:$E$2022,0),COLUMN(装备库!K$1)),0)</f>
        <v>0</v>
      </c>
      <c r="AB9" s="160">
        <f>IFERROR(INDEX(装备库!$A$1:$Z$2022,MATCH($N9,装备库!$E$1:$E$2022,0),COLUMN(装备库!L$1)),0)</f>
        <v>7881</v>
      </c>
      <c r="AC9" s="160">
        <f>IFERROR(INDEX(装备库!$A$1:$Z$2022,MATCH($N9,装备库!$E$1:$E$2022,0),COLUMN(装备库!M$1)),0)</f>
        <v>0</v>
      </c>
      <c r="AD9" s="160">
        <f>IFERROR(INDEX(装备库!$A$1:$Z$2022,MATCH($N9,装备库!$E$1:$E$2022,0),COLUMN(装备库!N$1)),0)</f>
        <v>6305</v>
      </c>
      <c r="AE9" s="160">
        <f>IFERROR(INDEX(装备库!$A$1:$Z$2022,MATCH($N9,装备库!$E$1:$E$2022,0),COLUMN(装备库!O$1)),0)</f>
        <v>0</v>
      </c>
      <c r="AF9" s="160">
        <f>IFERROR(INDEX(装备库!$A$1:$Z$2022,MATCH($N9,装备库!$E$1:$E$2022,0),COLUMN(装备库!P$1)),0)</f>
        <v>0</v>
      </c>
      <c r="AG9" s="160">
        <f>IFERROR(INDEX(装备库!$A$1:$Z$2022,MATCH($N9,装备库!$E$1:$E$2022,0),COLUMN(装备库!Q$1)),0)</f>
        <v>0</v>
      </c>
      <c r="AH9" s="160">
        <f>IFERROR(INDEX(装备库!$A$1:$Z$2022,MATCH($N9,装备库!$E$1:$E$2022,0),COLUMN(装备库!R$1)),0)</f>
        <v>0</v>
      </c>
      <c r="AI9" s="160">
        <f>IFERROR(INDEX(装备库!$A$1:$Z$2022,MATCH($N9,装备库!$E$1:$E$2022,0),COLUMN(装备库!S$1)),0)</f>
        <v>0</v>
      </c>
      <c r="AJ9" s="160">
        <f t="shared" si="7"/>
        <v>1433</v>
      </c>
      <c r="AK9" s="160">
        <f t="shared" si="8"/>
        <v>117</v>
      </c>
      <c r="AL9" s="160">
        <f t="shared" si="9"/>
        <v>0</v>
      </c>
      <c r="AM9" s="160">
        <f t="shared" si="10"/>
        <v>266</v>
      </c>
      <c r="AN9" s="160">
        <f t="shared" si="11"/>
        <v>0</v>
      </c>
      <c r="AO9" s="160">
        <f t="shared" si="12"/>
        <v>0</v>
      </c>
      <c r="AP9" s="160">
        <f t="shared" si="13"/>
        <v>977</v>
      </c>
      <c r="AQ9" s="160">
        <f t="shared" si="14"/>
        <v>0</v>
      </c>
      <c r="AR9" s="160">
        <f t="shared" si="15"/>
        <v>782</v>
      </c>
      <c r="AS9" s="160">
        <f t="shared" si="16"/>
        <v>0</v>
      </c>
      <c r="AT9" s="160">
        <f t="shared" si="17"/>
        <v>0</v>
      </c>
      <c r="AU9" s="160">
        <f t="shared" si="18"/>
        <v>0</v>
      </c>
      <c r="AV9" s="160">
        <f t="shared" si="19"/>
        <v>12992</v>
      </c>
      <c r="AW9" s="160">
        <f t="shared" si="20"/>
        <v>1060</v>
      </c>
      <c r="AX9" s="160">
        <f t="shared" si="21"/>
        <v>0</v>
      </c>
      <c r="AY9" s="160">
        <f t="shared" si="22"/>
        <v>2408</v>
      </c>
      <c r="AZ9" s="160">
        <f t="shared" si="23"/>
        <v>0</v>
      </c>
      <c r="BA9" s="160">
        <f t="shared" si="24"/>
        <v>0</v>
      </c>
      <c r="BB9" s="160">
        <f t="shared" si="25"/>
        <v>8858</v>
      </c>
      <c r="BC9" s="160">
        <f t="shared" si="26"/>
        <v>0</v>
      </c>
      <c r="BD9" s="160">
        <f t="shared" si="27"/>
        <v>7087</v>
      </c>
      <c r="BE9" s="160">
        <f t="shared" si="28"/>
        <v>0</v>
      </c>
      <c r="BF9" s="160">
        <f t="shared" si="29"/>
        <v>0</v>
      </c>
      <c r="BG9" s="160">
        <f t="shared" si="30"/>
        <v>0</v>
      </c>
      <c r="BH9" s="160">
        <f t="shared" si="31"/>
        <v>0</v>
      </c>
      <c r="BI9" s="160">
        <f t="shared" si="32"/>
        <v>0</v>
      </c>
      <c r="BJ9" s="160">
        <f>IFERROR(INDEX(装备库!$A$1:$Z$2022,MATCH($N9,装备库!$E$1:$E$2022,0),COLUMN(装备库!$D$1)),0)</f>
        <v>37900</v>
      </c>
      <c r="BK9" s="160">
        <f t="shared" si="33"/>
        <v>2</v>
      </c>
      <c r="BL9" s="160">
        <v>0.5</v>
      </c>
      <c r="BM9" s="160">
        <f t="shared" si="34"/>
        <v>37900</v>
      </c>
      <c r="BN9" s="161">
        <f t="shared" si="35"/>
        <v>4700</v>
      </c>
    </row>
    <row r="10" spans="1:71">
      <c r="A10" t="str">
        <f>IFERROR(INDEX(装备库!$A$2:$E$2022,MATCH(ROW()-1,装备库!$AK$2:$AK$2022,0),COLUMN()),"")</f>
        <v>暗器</v>
      </c>
      <c r="B10" t="str">
        <f>IFERROR(INDEX(装备库!$A$2:$E$2022,MATCH(ROW()-1,装备库!$AK$2:$AK$2022,0),COLUMN()),"")</f>
        <v>6_40918</v>
      </c>
      <c r="C10" t="str">
        <f>IFERROR(INDEX(装备库!$A$2:$E$2022,MATCH(ROW()-1,装备库!$AK$2:$AK$2022,0),5),"")</f>
        <v>平皋囊(30200破无)</v>
      </c>
      <c r="G10" s="160">
        <f t="shared" si="0"/>
        <v>10</v>
      </c>
      <c r="H10" s="161" t="s">
        <v>1471</v>
      </c>
      <c r="I10" s="161">
        <f t="shared" si="5"/>
        <v>463</v>
      </c>
      <c r="J10" s="161">
        <f t="shared" si="2"/>
        <v>72</v>
      </c>
      <c r="M10" s="160" t="s">
        <v>1980</v>
      </c>
      <c r="N10" s="160" t="str">
        <f>配装计算器!I17</f>
        <v>第一尊(35300特效精简会会招)</v>
      </c>
      <c r="O10" s="160">
        <f>IFERROR(1*$N$20,配装计算器!I18)</f>
        <v>6</v>
      </c>
      <c r="P10" s="160">
        <f>IFERROR(INDEX(装备库!$A$1:$Z$2022,MATCH($N10,装备库!$E$1:$E$2022,0),COLUMN(装备库!$U$1)),0)</f>
        <v>6</v>
      </c>
      <c r="Q10" s="160">
        <f t="shared" si="6"/>
        <v>6</v>
      </c>
      <c r="R10" s="160" t="str">
        <f>IF(IFERROR(INDEX(装备库!$A$1:$Z$2022,MATCH($N10,装备库!$E$1:$E$2022,0),COLUMN(装备库!W$1)),"")=0,"",IFERROR(INDEX(装备库!$A$1:$Z$2022,MATCH($N10,装备库!$E$1:$E$2022,0),COLUMN(装备库!W$1)),""))</f>
        <v/>
      </c>
      <c r="S10" s="160" t="str">
        <f>IF(IFERROR(INDEX(装备库!$A$1:$Z$2022,MATCH($N10,装备库!$E$1:$E$2022,0),COLUMN(装备库!X$1)),"")=0,"",IFERROR(INDEX(装备库!$A$1:$Z$2022,MATCH($N10,装备库!$E$1:$E$2022,0),COLUMN(装备库!X$1)),""))</f>
        <v/>
      </c>
      <c r="T10" s="160" t="str">
        <f>IF(IFERROR(INDEX(装备库!$A$1:$Z$2022,MATCH($N10,装备库!$E$1:$E$2022,0),COLUMN(装备库!Y$1)),"")=0,"",IFERROR(INDEX(装备库!$A$1:$Z$2022,MATCH($N10,装备库!$E$1:$E$2022,0),COLUMN(装备库!Y$1)),""))</f>
        <v/>
      </c>
      <c r="U10" s="160" t="str">
        <f>IFERROR(INDEX(装备库!$A$1:$Z$2022,MATCH($N10,装备库!$E$1:$E$2022,0),COLUMN(装备库!$V$1)),"")</f>
        <v>副本</v>
      </c>
      <c r="V10" s="160">
        <f>IFERROR(INDEX(装备库!$A$1:$Z$2022,MATCH($N10,装备库!$E$1:$E$2022,0),COLUMN(装备库!F$1)),0)</f>
        <v>9690</v>
      </c>
      <c r="W10" s="160">
        <f>IFERROR(INDEX(装备库!$A$1:$Z$2022,MATCH($N10,装备库!$E$1:$E$2022,0),COLUMN(装备库!G$1)),0)</f>
        <v>0</v>
      </c>
      <c r="X10" s="160">
        <f>IFERROR(INDEX(装备库!$A$1:$Z$2022,MATCH($N10,装备库!$E$1:$E$2022,0),COLUMN(装备库!H$1)),0)</f>
        <v>0</v>
      </c>
      <c r="Y10" s="160">
        <f>IFERROR(INDEX(装备库!$A$1:$Z$2022,MATCH($N10,装备库!$E$1:$E$2022,0),COLUMN(装备库!I$1)),0)</f>
        <v>3471</v>
      </c>
      <c r="Z10" s="160">
        <f>IFERROR(INDEX(装备库!$A$1:$Z$2022,MATCH($N10,装备库!$E$1:$E$2022,0),COLUMN(装备库!J$1)),0)</f>
        <v>7928</v>
      </c>
      <c r="AA10" s="160">
        <f>IFERROR(INDEX(装备库!$A$1:$Z$2022,MATCH($N10,装备库!$E$1:$E$2022,0),COLUMN(装备库!K$1)),0)</f>
        <v>3303</v>
      </c>
      <c r="AB10" s="160">
        <f>IFERROR(INDEX(装备库!$A$1:$Z$2022,MATCH($N10,装备库!$E$1:$E$2022,0),COLUMN(装备库!L$1)),0)</f>
        <v>0</v>
      </c>
      <c r="AC10" s="160">
        <f>IFERROR(INDEX(装备库!$A$1:$Z$2022,MATCH($N10,装备库!$E$1:$E$2022,0),COLUMN(装备库!M$1)),0)</f>
        <v>3303</v>
      </c>
      <c r="AD10" s="160">
        <f>IFERROR(INDEX(装备库!$A$1:$Z$2022,MATCH($N10,装备库!$E$1:$E$2022,0),COLUMN(装备库!N$1)),0)</f>
        <v>0</v>
      </c>
      <c r="AE10" s="160">
        <f>IFERROR(INDEX(装备库!$A$1:$Z$2022,MATCH($N10,装备库!$E$1:$E$2022,0),COLUMN(装备库!O$1)),0)</f>
        <v>0</v>
      </c>
      <c r="AF10" s="160">
        <f>IFERROR(INDEX(装备库!$A$1:$Z$2022,MATCH($N10,装备库!$E$1:$E$2022,0),COLUMN(装备库!P$1)),0)</f>
        <v>0</v>
      </c>
      <c r="AG10" s="160">
        <f>IFERROR(INDEX(装备库!$A$1:$Z$2022,MATCH($N10,装备库!$E$1:$E$2022,0),COLUMN(装备库!Q$1)),0)</f>
        <v>0</v>
      </c>
      <c r="AH10" s="160">
        <f>IFERROR(INDEX(装备库!$A$1:$Z$2022,MATCH($N10,装备库!$E$1:$E$2022,0),COLUMN(装备库!R$1)),0)</f>
        <v>0</v>
      </c>
      <c r="AI10" s="160">
        <f>IFERROR(INDEX(装备库!$A$1:$Z$2022,MATCH($N10,装备库!$E$1:$E$2022,0),COLUMN(装备库!S$1)),0)</f>
        <v>0</v>
      </c>
      <c r="AJ10" s="160">
        <f t="shared" si="7"/>
        <v>727</v>
      </c>
      <c r="AK10" s="160">
        <f t="shared" si="8"/>
        <v>0</v>
      </c>
      <c r="AL10" s="160">
        <f t="shared" si="9"/>
        <v>0</v>
      </c>
      <c r="AM10" s="160">
        <f t="shared" si="10"/>
        <v>260</v>
      </c>
      <c r="AN10" s="160">
        <f t="shared" si="11"/>
        <v>595</v>
      </c>
      <c r="AO10" s="160">
        <f t="shared" si="12"/>
        <v>248</v>
      </c>
      <c r="AP10" s="160">
        <f t="shared" si="13"/>
        <v>0</v>
      </c>
      <c r="AQ10" s="160">
        <f t="shared" si="14"/>
        <v>248</v>
      </c>
      <c r="AR10" s="160">
        <f t="shared" si="15"/>
        <v>0</v>
      </c>
      <c r="AS10" s="160">
        <f t="shared" si="16"/>
        <v>0</v>
      </c>
      <c r="AT10" s="160">
        <f t="shared" si="17"/>
        <v>0</v>
      </c>
      <c r="AU10" s="160">
        <f t="shared" si="18"/>
        <v>0</v>
      </c>
      <c r="AV10" s="160">
        <f t="shared" si="19"/>
        <v>10417</v>
      </c>
      <c r="AW10" s="160">
        <f t="shared" si="20"/>
        <v>0</v>
      </c>
      <c r="AX10" s="160">
        <f t="shared" si="21"/>
        <v>0</v>
      </c>
      <c r="AY10" s="160">
        <f t="shared" si="22"/>
        <v>3731</v>
      </c>
      <c r="AZ10" s="160">
        <f t="shared" si="23"/>
        <v>8523</v>
      </c>
      <c r="BA10" s="160">
        <f t="shared" si="24"/>
        <v>3551</v>
      </c>
      <c r="BB10" s="160">
        <f t="shared" si="25"/>
        <v>0</v>
      </c>
      <c r="BC10" s="160">
        <f t="shared" si="26"/>
        <v>3551</v>
      </c>
      <c r="BD10" s="160">
        <f t="shared" si="27"/>
        <v>0</v>
      </c>
      <c r="BE10" s="160">
        <f t="shared" si="28"/>
        <v>0</v>
      </c>
      <c r="BF10" s="160">
        <f t="shared" si="29"/>
        <v>0</v>
      </c>
      <c r="BG10" s="160">
        <f t="shared" si="30"/>
        <v>0</v>
      </c>
      <c r="BH10" s="160">
        <f t="shared" si="31"/>
        <v>0</v>
      </c>
      <c r="BI10" s="160">
        <f t="shared" si="32"/>
        <v>0</v>
      </c>
      <c r="BJ10" s="160">
        <f>IFERROR(INDEX(装备库!$A$1:$Z$2022,MATCH($N10,装备库!$E$1:$E$2022,0),COLUMN(装备库!$D$1)),0)</f>
        <v>35300</v>
      </c>
      <c r="BK10" s="160">
        <f t="shared" si="33"/>
        <v>1.8</v>
      </c>
      <c r="BL10" s="160">
        <v>0.5</v>
      </c>
      <c r="BM10" s="160">
        <f t="shared" si="34"/>
        <v>31770</v>
      </c>
      <c r="BN10" s="161">
        <f t="shared" si="35"/>
        <v>2383</v>
      </c>
    </row>
    <row r="11" spans="1:71">
      <c r="A11" t="str">
        <f>IFERROR(INDEX(装备库!$A$2:$E$2022,MATCH(ROW()-1,装备库!$AK$2:$AK$2022,0),COLUMN()),"")</f>
        <v>暗器</v>
      </c>
      <c r="B11" t="str">
        <f>IFERROR(INDEX(装备库!$A$2:$E$2022,MATCH(ROW()-1,装备库!$AK$2:$AK$2022,0),COLUMN()),"")</f>
        <v>6_41220</v>
      </c>
      <c r="C11" t="str">
        <f>IFERROR(INDEX(装备库!$A$2:$E$2022,MATCH(ROW()-1,装备库!$AK$2:$AK$2022,0),5),"")</f>
        <v>标雁囊(30200会无)</v>
      </c>
      <c r="G11" s="160">
        <f t="shared" si="0"/>
        <v>11</v>
      </c>
      <c r="H11" s="161" t="s">
        <v>1688</v>
      </c>
      <c r="I11" s="161">
        <f t="shared" si="5"/>
        <v>535</v>
      </c>
      <c r="J11" s="161">
        <f t="shared" si="2"/>
        <v>52</v>
      </c>
      <c r="M11" s="160" t="s">
        <v>1981</v>
      </c>
      <c r="N11" s="160" t="str">
        <f>配装计算器!I21</f>
        <v>狂岚戒·明(41400精简会招无)</v>
      </c>
      <c r="O11" s="160">
        <f>IFERROR(1*$N$20,配装计算器!I22)</f>
        <v>6</v>
      </c>
      <c r="P11" s="160">
        <f>IFERROR(INDEX(装备库!$A$1:$Z$2022,MATCH($N11,装备库!$E$1:$E$2022,0),COLUMN(装备库!$U$1)),0)</f>
        <v>6</v>
      </c>
      <c r="Q11" s="160">
        <f t="shared" si="6"/>
        <v>6</v>
      </c>
      <c r="R11" s="160" t="str">
        <f>IF(IFERROR(INDEX(装备库!$A$1:$Z$2022,MATCH($N11,装备库!$E$1:$E$2022,0),COLUMN(装备库!W$1)),"")=0,"",IFERROR(INDEX(装备库!$A$1:$Z$2022,MATCH($N11,装备库!$E$1:$E$2022,0),COLUMN(装备库!W$1)),""))</f>
        <v/>
      </c>
      <c r="S11" s="160" t="str">
        <f>IF(IFERROR(INDEX(装备库!$A$1:$Z$2022,MATCH($N11,装备库!$E$1:$E$2022,0),COLUMN(装备库!X$1)),"")=0,"",IFERROR(INDEX(装备库!$A$1:$Z$2022,MATCH($N11,装备库!$E$1:$E$2022,0),COLUMN(装备库!X$1)),""))</f>
        <v/>
      </c>
      <c r="T11" s="160" t="str">
        <f>IF(IFERROR(INDEX(装备库!$A$1:$Z$2022,MATCH($N11,装备库!$E$1:$E$2022,0),COLUMN(装备库!Y$1)),"")=0,"",IFERROR(INDEX(装备库!$A$1:$Z$2022,MATCH($N11,装备库!$E$1:$E$2022,0),COLUMN(装备库!Y$1)),""))</f>
        <v/>
      </c>
      <c r="U11" s="160" t="str">
        <f>IFERROR(INDEX(装备库!$A$1:$Z$2022,MATCH($N11,装备库!$E$1:$E$2022,0),COLUMN(装备库!$V$1)),"")</f>
        <v>副本</v>
      </c>
      <c r="V11" s="160">
        <f>IFERROR(INDEX(装备库!$A$1:$Z$2022,MATCH($N11,装备库!$E$1:$E$2022,0),COLUMN(装备库!F$1)),0)</f>
        <v>11364</v>
      </c>
      <c r="W11" s="160">
        <f>IFERROR(INDEX(装备库!$A$1:$Z$2022,MATCH($N11,装备库!$E$1:$E$2022,0),COLUMN(装备库!G$1)),0)</f>
        <v>0</v>
      </c>
      <c r="X11" s="160">
        <f>IFERROR(INDEX(装备库!$A$1:$Z$2022,MATCH($N11,装备库!$E$1:$E$2022,0),COLUMN(装备库!H$1)),0)</f>
        <v>0</v>
      </c>
      <c r="Y11" s="160">
        <f>IFERROR(INDEX(装备库!$A$1:$Z$2022,MATCH($N11,装备库!$E$1:$E$2022,0),COLUMN(装备库!I$1)),0)</f>
        <v>4071</v>
      </c>
      <c r="Z11" s="160">
        <f>IFERROR(INDEX(装备库!$A$1:$Z$2022,MATCH($N11,装备库!$E$1:$E$2022,0),COLUMN(装备库!J$1)),0)</f>
        <v>5682</v>
      </c>
      <c r="AA11" s="160">
        <f>IFERROR(INDEX(装备库!$A$1:$Z$2022,MATCH($N11,装备库!$E$1:$E$2022,0),COLUMN(装备库!K$1)),0)</f>
        <v>0</v>
      </c>
      <c r="AB11" s="160">
        <f>IFERROR(INDEX(装备库!$A$1:$Z$2022,MATCH($N11,装备库!$E$1:$E$2022,0),COLUMN(装备库!L$1)),0)</f>
        <v>0</v>
      </c>
      <c r="AC11" s="160">
        <f>IFERROR(INDEX(装备库!$A$1:$Z$2022,MATCH($N11,装备库!$E$1:$E$2022,0),COLUMN(装备库!M$1)),0)</f>
        <v>5682</v>
      </c>
      <c r="AD11" s="160">
        <f>IFERROR(INDEX(装备库!$A$1:$Z$2022,MATCH($N11,装备库!$E$1:$E$2022,0),COLUMN(装备库!N$1)),0)</f>
        <v>5682</v>
      </c>
      <c r="AE11" s="160">
        <f>IFERROR(INDEX(装备库!$A$1:$Z$2022,MATCH($N11,装备库!$E$1:$E$2022,0),COLUMN(装备库!O$1)),0)</f>
        <v>0</v>
      </c>
      <c r="AF11" s="160">
        <f>IFERROR(INDEX(装备库!$A$1:$Z$2022,MATCH($N11,装备库!$E$1:$E$2022,0),COLUMN(装备库!P$1)),0)</f>
        <v>0</v>
      </c>
      <c r="AG11" s="160">
        <f>IFERROR(INDEX(装备库!$A$1:$Z$2022,MATCH($N11,装备库!$E$1:$E$2022,0),COLUMN(装备库!Q$1)),0)</f>
        <v>0</v>
      </c>
      <c r="AH11" s="160">
        <f>IFERROR(INDEX(装备库!$A$1:$Z$2022,MATCH($N11,装备库!$E$1:$E$2022,0),COLUMN(装备库!R$1)),0)</f>
        <v>0</v>
      </c>
      <c r="AI11" s="160">
        <f>IFERROR(INDEX(装备库!$A$1:$Z$2022,MATCH($N11,装备库!$E$1:$E$2022,0),COLUMN(装备库!S$1)),0)</f>
        <v>0</v>
      </c>
      <c r="AJ11" s="160">
        <f t="shared" si="7"/>
        <v>852</v>
      </c>
      <c r="AK11" s="160">
        <f t="shared" si="8"/>
        <v>0</v>
      </c>
      <c r="AL11" s="160">
        <f t="shared" si="9"/>
        <v>0</v>
      </c>
      <c r="AM11" s="160">
        <f t="shared" si="10"/>
        <v>305</v>
      </c>
      <c r="AN11" s="160">
        <f t="shared" si="11"/>
        <v>426</v>
      </c>
      <c r="AO11" s="160">
        <f t="shared" si="12"/>
        <v>0</v>
      </c>
      <c r="AP11" s="160">
        <f t="shared" si="13"/>
        <v>0</v>
      </c>
      <c r="AQ11" s="160">
        <f t="shared" si="14"/>
        <v>426</v>
      </c>
      <c r="AR11" s="160">
        <f t="shared" si="15"/>
        <v>426</v>
      </c>
      <c r="AS11" s="160">
        <f t="shared" si="16"/>
        <v>0</v>
      </c>
      <c r="AT11" s="160">
        <f t="shared" si="17"/>
        <v>0</v>
      </c>
      <c r="AU11" s="160">
        <f t="shared" si="18"/>
        <v>0</v>
      </c>
      <c r="AV11" s="160">
        <f t="shared" si="19"/>
        <v>12216</v>
      </c>
      <c r="AW11" s="160">
        <f t="shared" si="20"/>
        <v>0</v>
      </c>
      <c r="AX11" s="160">
        <f t="shared" si="21"/>
        <v>0</v>
      </c>
      <c r="AY11" s="160">
        <f t="shared" si="22"/>
        <v>4376</v>
      </c>
      <c r="AZ11" s="160">
        <f t="shared" si="23"/>
        <v>6108</v>
      </c>
      <c r="BA11" s="160">
        <f t="shared" si="24"/>
        <v>0</v>
      </c>
      <c r="BB11" s="160">
        <f t="shared" si="25"/>
        <v>0</v>
      </c>
      <c r="BC11" s="160">
        <f t="shared" si="26"/>
        <v>6108</v>
      </c>
      <c r="BD11" s="160">
        <f t="shared" si="27"/>
        <v>6108</v>
      </c>
      <c r="BE11" s="160">
        <f t="shared" si="28"/>
        <v>0</v>
      </c>
      <c r="BF11" s="160">
        <f t="shared" si="29"/>
        <v>0</v>
      </c>
      <c r="BG11" s="160">
        <f t="shared" si="30"/>
        <v>0</v>
      </c>
      <c r="BH11" s="160">
        <f t="shared" si="31"/>
        <v>0</v>
      </c>
      <c r="BI11" s="160">
        <f t="shared" si="32"/>
        <v>0</v>
      </c>
      <c r="BJ11" s="160">
        <f>IFERROR(INDEX(装备库!$A$1:$Z$2022,MATCH($N11,装备库!$E$1:$E$2022,0),COLUMN(装备库!$D$1)),0)</f>
        <v>41400</v>
      </c>
      <c r="BK11" s="160">
        <f t="shared" si="33"/>
        <v>1.8</v>
      </c>
      <c r="BL11" s="160">
        <v>0.5</v>
      </c>
      <c r="BM11" s="160">
        <f t="shared" si="34"/>
        <v>37260</v>
      </c>
      <c r="BN11" s="161">
        <f t="shared" si="35"/>
        <v>2795</v>
      </c>
    </row>
    <row r="12" spans="1:71">
      <c r="A12" t="str">
        <f>IFERROR(INDEX(装备库!$A$2:$E$2022,MATCH(ROW()-1,装备库!$AK$2:$AK$2022,0),COLUMN()),"")</f>
        <v>暗器</v>
      </c>
      <c r="B12" t="str">
        <f>IFERROR(INDEX(装备库!$A$2:$E$2022,MATCH(ROW()-1,装备库!$AK$2:$AK$2022,0),COLUMN()),"")</f>
        <v>6_41354</v>
      </c>
      <c r="C12" t="str">
        <f>IFERROR(INDEX(装备库!$A$2:$E$2022,MATCH(ROW()-1,装备库!$AK$2:$AK$2022,0),5),"")</f>
        <v>坠红囊(30200会无)</v>
      </c>
      <c r="G12" s="160">
        <f t="shared" si="0"/>
        <v>12</v>
      </c>
      <c r="H12" s="161" t="s">
        <v>1825</v>
      </c>
      <c r="I12" s="161">
        <f t="shared" si="5"/>
        <v>587</v>
      </c>
      <c r="J12" s="161">
        <f t="shared" si="2"/>
        <v>49</v>
      </c>
      <c r="M12" s="160" t="s">
        <v>82</v>
      </c>
      <c r="N12" s="160" t="str">
        <f>配装计算器!I25</f>
        <v>无修囊·外·天(38100特效精简招无)</v>
      </c>
      <c r="O12" s="160">
        <f>IFERROR(1*$N$20,配装计算器!I26)</f>
        <v>6</v>
      </c>
      <c r="P12" s="160">
        <f>IFERROR(INDEX(装备库!$A$1:$Z$2022,MATCH($N12,装备库!$E$1:$E$2022,0),COLUMN(装备库!$U$1)),0)</f>
        <v>6</v>
      </c>
      <c r="Q12" s="160">
        <f t="shared" si="6"/>
        <v>6</v>
      </c>
      <c r="R12" s="160" t="str">
        <f>IF(IFERROR(INDEX(装备库!$A$1:$Z$2022,MATCH($N12,装备库!$E$1:$E$2022,0),COLUMN(装备库!W$1)),"")=0,"",IFERROR(INDEX(装备库!$A$1:$Z$2022,MATCH($N12,装备库!$E$1:$E$2022,0),COLUMN(装备库!W$1)),""))</f>
        <v>破招孔</v>
      </c>
      <c r="S12" s="160" t="str">
        <f>IF(IFERROR(INDEX(装备库!$A$1:$Z$2022,MATCH($N12,装备库!$E$1:$E$2022,0),COLUMN(装备库!X$1)),"")=0,"",IFERROR(INDEX(装备库!$A$1:$Z$2022,MATCH($N12,装备库!$E$1:$E$2022,0),COLUMN(装备库!X$1)),""))</f>
        <v/>
      </c>
      <c r="T12" s="160" t="str">
        <f>IF(IFERROR(INDEX(装备库!$A$1:$Z$2022,MATCH($N12,装备库!$E$1:$E$2022,0),COLUMN(装备库!Y$1)),"")=0,"",IFERROR(INDEX(装备库!$A$1:$Z$2022,MATCH($N12,装备库!$E$1:$E$2022,0),COLUMN(装备库!Y$1)),""))</f>
        <v/>
      </c>
      <c r="U12" s="160" t="str">
        <f>IFERROR(INDEX(装备库!$A$1:$Z$2022,MATCH($N12,装备库!$E$1:$E$2022,0),COLUMN(装备库!$V$1)),"")</f>
        <v>活动</v>
      </c>
      <c r="V12" s="160">
        <f>IFERROR(INDEX(装备库!$A$1:$Z$2022,MATCH($N12,装备库!$E$1:$E$2022,0),COLUMN(装备库!F$1)),0)</f>
        <v>12550</v>
      </c>
      <c r="W12" s="160">
        <f>IFERROR(INDEX(装备库!$A$1:$Z$2022,MATCH($N12,装备库!$E$1:$E$2022,0),COLUMN(装备库!G$1)),0)</f>
        <v>0</v>
      </c>
      <c r="X12" s="160">
        <f>IFERROR(INDEX(装备库!$A$1:$Z$2022,MATCH($N12,装备库!$E$1:$E$2022,0),COLUMN(装备库!H$1)),0)</f>
        <v>0</v>
      </c>
      <c r="Y12" s="160">
        <f>IFERROR(INDEX(装备库!$A$1:$Z$2022,MATCH($N12,装备库!$E$1:$E$2022,0),COLUMN(装备库!I$1)),0)</f>
        <v>1550</v>
      </c>
      <c r="Z12" s="160">
        <f>IFERROR(INDEX(装备库!$A$1:$Z$2022,MATCH($N12,装备库!$E$1:$E$2022,0),COLUMN(装备库!J$1)),0)</f>
        <v>0</v>
      </c>
      <c r="AA12" s="160">
        <f>IFERROR(INDEX(装备库!$A$1:$Z$2022,MATCH($N12,装备库!$E$1:$E$2022,0),COLUMN(装备库!K$1)),0)</f>
        <v>0</v>
      </c>
      <c r="AB12" s="160">
        <f>IFERROR(INDEX(装备库!$A$1:$Z$2022,MATCH($N12,装备库!$E$1:$E$2022,0),COLUMN(装备库!L$1)),0)</f>
        <v>0</v>
      </c>
      <c r="AC12" s="160">
        <f>IFERROR(INDEX(装备库!$A$1:$Z$2022,MATCH($N12,装备库!$E$1:$E$2022,0),COLUMN(装备库!M$1)),0)</f>
        <v>22818</v>
      </c>
      <c r="AD12" s="160">
        <f>IFERROR(INDEX(装备库!$A$1:$Z$2022,MATCH($N12,装备库!$E$1:$E$2022,0),COLUMN(装备库!N$1)),0)</f>
        <v>6846</v>
      </c>
      <c r="AE12" s="160">
        <f>IFERROR(INDEX(装备库!$A$1:$Z$2022,MATCH($N12,装备库!$E$1:$E$2022,0),COLUMN(装备库!O$1)),0)</f>
        <v>0</v>
      </c>
      <c r="AF12" s="160">
        <f>IFERROR(INDEX(装备库!$A$1:$Z$2022,MATCH($N12,装备库!$E$1:$E$2022,0),COLUMN(装备库!P$1)),0)</f>
        <v>0</v>
      </c>
      <c r="AG12" s="160">
        <f>IFERROR(INDEX(装备库!$A$1:$Z$2022,MATCH($N12,装备库!$E$1:$E$2022,0),COLUMN(装备库!Q$1)),0)</f>
        <v>0</v>
      </c>
      <c r="AH12" s="160">
        <f>IFERROR(INDEX(装备库!$A$1:$Z$2022,MATCH($N12,装备库!$E$1:$E$2022,0),COLUMN(装备库!R$1)),0)</f>
        <v>0</v>
      </c>
      <c r="AI12" s="160">
        <f>IFERROR(INDEX(装备库!$A$1:$Z$2022,MATCH($N12,装备库!$E$1:$E$2022,0),COLUMN(装备库!S$1)),0)</f>
        <v>0</v>
      </c>
      <c r="AJ12" s="160">
        <f t="shared" si="7"/>
        <v>941</v>
      </c>
      <c r="AK12" s="160">
        <f t="shared" si="8"/>
        <v>0</v>
      </c>
      <c r="AL12" s="160">
        <f t="shared" si="9"/>
        <v>0</v>
      </c>
      <c r="AM12" s="160">
        <f t="shared" si="10"/>
        <v>116</v>
      </c>
      <c r="AN12" s="160">
        <f t="shared" si="11"/>
        <v>0</v>
      </c>
      <c r="AO12" s="160">
        <f t="shared" si="12"/>
        <v>0</v>
      </c>
      <c r="AP12" s="160">
        <f t="shared" si="13"/>
        <v>0</v>
      </c>
      <c r="AQ12" s="160">
        <f t="shared" si="14"/>
        <v>1711</v>
      </c>
      <c r="AR12" s="160">
        <f t="shared" si="15"/>
        <v>513</v>
      </c>
      <c r="AS12" s="160">
        <f t="shared" si="16"/>
        <v>0</v>
      </c>
      <c r="AT12" s="160">
        <f t="shared" si="17"/>
        <v>0</v>
      </c>
      <c r="AU12" s="160">
        <f t="shared" si="18"/>
        <v>0</v>
      </c>
      <c r="AV12" s="160">
        <f t="shared" si="19"/>
        <v>13491</v>
      </c>
      <c r="AW12" s="160">
        <f t="shared" si="20"/>
        <v>0</v>
      </c>
      <c r="AX12" s="160">
        <f t="shared" si="21"/>
        <v>0</v>
      </c>
      <c r="AY12" s="160">
        <f t="shared" si="22"/>
        <v>1666</v>
      </c>
      <c r="AZ12" s="160">
        <f t="shared" si="23"/>
        <v>0</v>
      </c>
      <c r="BA12" s="160">
        <f t="shared" si="24"/>
        <v>0</v>
      </c>
      <c r="BB12" s="160">
        <f t="shared" si="25"/>
        <v>0</v>
      </c>
      <c r="BC12" s="160">
        <f t="shared" si="26"/>
        <v>24529</v>
      </c>
      <c r="BD12" s="160">
        <f t="shared" si="27"/>
        <v>7359</v>
      </c>
      <c r="BE12" s="160">
        <f t="shared" si="28"/>
        <v>0</v>
      </c>
      <c r="BF12" s="160">
        <f t="shared" si="29"/>
        <v>0</v>
      </c>
      <c r="BG12" s="160">
        <f t="shared" si="30"/>
        <v>0</v>
      </c>
      <c r="BH12" s="160">
        <f t="shared" si="31"/>
        <v>0</v>
      </c>
      <c r="BI12" s="160">
        <f t="shared" si="32"/>
        <v>0</v>
      </c>
      <c r="BJ12" s="160">
        <f>IFERROR(INDEX(装备库!$A$1:$Z$2022,MATCH($N12,装备库!$E$1:$E$2022,0),COLUMN(装备库!$D$1)),0)</f>
        <v>38100</v>
      </c>
      <c r="BK12" s="160">
        <f t="shared" si="33"/>
        <v>1.8</v>
      </c>
      <c r="BL12" s="160">
        <v>0.6</v>
      </c>
      <c r="BM12" s="160">
        <f t="shared" si="34"/>
        <v>41148</v>
      </c>
      <c r="BN12" s="161">
        <f t="shared" si="35"/>
        <v>3086</v>
      </c>
    </row>
    <row r="13" spans="1:71">
      <c r="A13" t="str">
        <f>IFERROR(INDEX(装备库!$A$2:$E$2022,MATCH(ROW()-1,装备库!$AK$2:$AK$2022,0),COLUMN()),"")</f>
        <v>暗器</v>
      </c>
      <c r="B13" t="str">
        <f>IFERROR(INDEX(装备库!$A$2:$E$2022,MATCH(ROW()-1,装备库!$AK$2:$AK$2022,0),COLUMN()),"")</f>
        <v>6_41348</v>
      </c>
      <c r="C13" t="str">
        <f>IFERROR(INDEX(装备库!$A$2:$E$2022,MATCH(ROW()-1,装备库!$AK$2:$AK$2022,0),5),"")</f>
        <v>无修囊·外·玄(30200特效精简无)</v>
      </c>
      <c r="G13" s="160">
        <f t="shared" si="0"/>
        <v>13</v>
      </c>
      <c r="H13" s="197" t="s">
        <v>1982</v>
      </c>
      <c r="I13" s="161">
        <f>MATCH("",$A$2:$A$2000,0)+1</f>
        <v>637</v>
      </c>
      <c r="J13" s="161"/>
      <c r="M13" s="160" t="s">
        <v>1028</v>
      </c>
      <c r="N13" s="160" t="str">
        <f>配装计算器!C25</f>
        <v>伏魔悲音(42500大橙武)</v>
      </c>
      <c r="O13" s="160">
        <f>IFERROR(1*$N$20,配装计算器!C27)</f>
        <v>8</v>
      </c>
      <c r="P13" s="160">
        <f>IFERROR(INDEX(装备库!$A$1:$Z$2022,MATCH($N13,装备库!$E$1:$E$2022,0),COLUMN(装备库!$U$1)),0)</f>
        <v>8</v>
      </c>
      <c r="Q13" s="160">
        <f t="shared" si="6"/>
        <v>8</v>
      </c>
      <c r="R13" s="160" t="str">
        <f>IF(IFERROR(INDEX(装备库!$A$1:$Z$2022,MATCH($N13,装备库!$E$1:$E$2022,0),COLUMN(装备库!W$1)),"")=0,"",IFERROR(INDEX(装备库!$A$1:$Z$2022,MATCH($N13,装备库!$E$1:$E$2022,0),COLUMN(装备库!W$1)),""))</f>
        <v>攻击孔</v>
      </c>
      <c r="S13" s="160" t="str">
        <f>IF(IFERROR(INDEX(装备库!$A$1:$Z$2022,MATCH($N13,装备库!$E$1:$E$2022,0),COLUMN(装备库!X$1)),"")=0,"",IFERROR(INDEX(装备库!$A$1:$Z$2022,MATCH($N13,装备库!$E$1:$E$2022,0),COLUMN(装备库!X$1)),""))</f>
        <v>身法孔</v>
      </c>
      <c r="T13" s="160" t="str">
        <f>IF(IFERROR(INDEX(装备库!$A$1:$Z$2022,MATCH($N13,装备库!$E$1:$E$2022,0),COLUMN(装备库!Y$1)),"")=0,"",IFERROR(INDEX(装备库!$A$1:$Z$2022,MATCH($N13,装备库!$E$1:$E$2022,0),COLUMN(装备库!Y$1)),""))</f>
        <v>破防孔</v>
      </c>
      <c r="U13" s="160" t="str">
        <f>IFERROR(INDEX(装备库!$A$1:$Z$2022,MATCH($N13,装备库!$E$1:$E$2022,0),COLUMN(装备库!$V$1)),"")</f>
        <v>任务</v>
      </c>
      <c r="V13" s="160">
        <f>IFERROR(INDEX(装备库!$A$1:$Z$2022,MATCH($N13,装备库!$E$1:$E$2022,0),COLUMN(装备库!F$1)),0)</f>
        <v>31110</v>
      </c>
      <c r="W13" s="160">
        <f>IFERROR(INDEX(装备库!$A$1:$Z$2022,MATCH($N13,装备库!$E$1:$E$2022,0),COLUMN(装备库!G$1)),0)</f>
        <v>2538</v>
      </c>
      <c r="X13" s="160">
        <f>IFERROR(INDEX(装备库!$A$1:$Z$2022,MATCH($N13,装备库!$E$1:$E$2022,0),COLUMN(装备库!H$1)),0)</f>
        <v>0</v>
      </c>
      <c r="Y13" s="160">
        <f>IFERROR(INDEX(装备库!$A$1:$Z$2022,MATCH($N13,装备库!$E$1:$E$2022,0),COLUMN(装备库!I$1)),0)</f>
        <v>12310</v>
      </c>
      <c r="Z13" s="160">
        <f>IFERROR(INDEX(装备库!$A$1:$Z$2022,MATCH($N13,装备库!$E$1:$E$2022,0),COLUMN(装备库!J$1)),0)</f>
        <v>18383</v>
      </c>
      <c r="AA13" s="160">
        <f>IFERROR(INDEX(装备库!$A$1:$Z$2022,MATCH($N13,装备库!$E$1:$E$2022,0),COLUMN(装备库!K$1)),0)</f>
        <v>0</v>
      </c>
      <c r="AB13" s="160">
        <f>IFERROR(INDEX(装备库!$A$1:$Z$2022,MATCH($N13,装备库!$E$1:$E$2022,0),COLUMN(装备库!L$1)),0)</f>
        <v>14141</v>
      </c>
      <c r="AC13" s="160">
        <f>IFERROR(INDEX(装备库!$A$1:$Z$2022,MATCH($N13,装备库!$E$1:$E$2022,0),COLUMN(装备库!M$1)),0)</f>
        <v>0</v>
      </c>
      <c r="AD13" s="160">
        <f>IFERROR(INDEX(装备库!$A$1:$Z$2022,MATCH($N13,装备库!$E$1:$E$2022,0),COLUMN(装备库!N$1)),0)</f>
        <v>0</v>
      </c>
      <c r="AE13" s="160">
        <f>IFERROR(INDEX(装备库!$A$1:$Z$2022,MATCH($N13,装备库!$E$1:$E$2022,0),COLUMN(装备库!O$1)),0)</f>
        <v>7070</v>
      </c>
      <c r="AF13" s="160">
        <f>IFERROR(INDEX(装备库!$A$1:$Z$2022,MATCH($N13,装备库!$E$1:$E$2022,0),COLUMN(装备库!P$1)),0)</f>
        <v>0</v>
      </c>
      <c r="AG13" s="160">
        <f>IFERROR(INDEX(装备库!$A$1:$Z$2022,MATCH($N13,装备库!$E$1:$E$2022,0),COLUMN(装备库!Q$1)),0)</f>
        <v>0</v>
      </c>
      <c r="AH13" s="160">
        <f>IFERROR(INDEX(装备库!$A$1:$Z$2022,MATCH($N13,装备库!$E$1:$E$2022,0),COLUMN(装备库!R$1)),0)</f>
        <v>9521</v>
      </c>
      <c r="AI13" s="160">
        <f>IFERROR(INDEX(装备库!$A$1:$Z$2022,MATCH($N13,装备库!$E$1:$E$2022,0),COLUMN(装备库!S$1)),0)</f>
        <v>15868</v>
      </c>
      <c r="AJ13" s="160">
        <f t="shared" si="7"/>
        <v>3858</v>
      </c>
      <c r="AK13" s="160">
        <f t="shared" si="8"/>
        <v>315</v>
      </c>
      <c r="AL13" s="160">
        <f t="shared" si="9"/>
        <v>0</v>
      </c>
      <c r="AM13" s="160">
        <f t="shared" si="10"/>
        <v>1526</v>
      </c>
      <c r="AN13" s="160">
        <f t="shared" si="11"/>
        <v>2279</v>
      </c>
      <c r="AO13" s="160">
        <f t="shared" si="12"/>
        <v>0</v>
      </c>
      <c r="AP13" s="160">
        <f t="shared" si="13"/>
        <v>1753</v>
      </c>
      <c r="AQ13" s="160">
        <f t="shared" si="14"/>
        <v>0</v>
      </c>
      <c r="AR13" s="160">
        <f t="shared" si="15"/>
        <v>0</v>
      </c>
      <c r="AS13" s="160">
        <f t="shared" si="16"/>
        <v>877</v>
      </c>
      <c r="AT13" s="160">
        <f t="shared" si="17"/>
        <v>0</v>
      </c>
      <c r="AU13" s="160">
        <f t="shared" si="18"/>
        <v>0</v>
      </c>
      <c r="AV13" s="160">
        <f t="shared" si="19"/>
        <v>34968</v>
      </c>
      <c r="AW13" s="160">
        <f t="shared" si="20"/>
        <v>2853</v>
      </c>
      <c r="AX13" s="160">
        <f t="shared" si="21"/>
        <v>0</v>
      </c>
      <c r="AY13" s="160">
        <f t="shared" si="22"/>
        <v>13836</v>
      </c>
      <c r="AZ13" s="160">
        <f t="shared" si="23"/>
        <v>20662</v>
      </c>
      <c r="BA13" s="160">
        <f t="shared" si="24"/>
        <v>0</v>
      </c>
      <c r="BB13" s="160">
        <f t="shared" si="25"/>
        <v>15894</v>
      </c>
      <c r="BC13" s="160">
        <f t="shared" si="26"/>
        <v>0</v>
      </c>
      <c r="BD13" s="160">
        <f t="shared" si="27"/>
        <v>0</v>
      </c>
      <c r="BE13" s="160">
        <f t="shared" si="28"/>
        <v>7947</v>
      </c>
      <c r="BF13" s="160">
        <f t="shared" si="29"/>
        <v>0</v>
      </c>
      <c r="BG13" s="160">
        <f t="shared" si="30"/>
        <v>0</v>
      </c>
      <c r="BH13" s="160">
        <f t="shared" si="31"/>
        <v>9521</v>
      </c>
      <c r="BI13" s="160">
        <f t="shared" si="32"/>
        <v>15868</v>
      </c>
      <c r="BJ13" s="160">
        <f>IFERROR(INDEX(装备库!$A$1:$Z$2022,MATCH($N13,装备库!$E$1:$E$2022,0),COLUMN(装备库!$D$1)),0)</f>
        <v>42500</v>
      </c>
      <c r="BK13" s="160">
        <f t="shared" si="33"/>
        <v>2</v>
      </c>
      <c r="BL13" s="160">
        <v>1.2</v>
      </c>
      <c r="BM13" s="160">
        <f t="shared" si="34"/>
        <v>102000</v>
      </c>
      <c r="BN13" s="161">
        <f t="shared" si="35"/>
        <v>12648</v>
      </c>
      <c r="BP13" t="s">
        <v>1978</v>
      </c>
      <c r="BQ13" t="s">
        <v>1979</v>
      </c>
      <c r="BR13" t="s">
        <v>1983</v>
      </c>
      <c r="BS13" t="s">
        <v>1984</v>
      </c>
    </row>
    <row r="14" spans="1:71">
      <c r="A14" t="str">
        <f>IFERROR(INDEX(装备库!$A$2:$E$2022,MATCH(ROW()-1,装备库!$AK$2:$AK$2022,0),COLUMN()),"")</f>
        <v>暗器</v>
      </c>
      <c r="B14" t="str">
        <f>IFERROR(INDEX(装备库!$A$2:$E$2022,MATCH(ROW()-1,装备库!$AK$2:$AK$2022,0),COLUMN()),"")</f>
        <v>6_41349</v>
      </c>
      <c r="C14" t="str">
        <f>IFERROR(INDEX(装备库!$A$2:$E$2022,MATCH(ROW()-1,装备库!$AK$2:$AK$2022,0),5),"")</f>
        <v>无修囊·外·玄(30200特效精简会招无)</v>
      </c>
      <c r="M14" s="160" t="s">
        <v>1825</v>
      </c>
      <c r="N14" s="160" t="str">
        <f>配装计算器!C26</f>
        <v>寂夜听雷(42500大橙武)</v>
      </c>
      <c r="O14" s="160">
        <f>IFERROR(1*$N$20,配装计算器!C27)</f>
        <v>8</v>
      </c>
      <c r="P14" s="160">
        <f>IFERROR(INDEX(装备库!$A$1:$Z$2022,MATCH($N14,装备库!$E$1:$E$2022,0),COLUMN(装备库!$U$1)),0)</f>
        <v>8</v>
      </c>
      <c r="Q14" s="160">
        <f t="shared" si="6"/>
        <v>8</v>
      </c>
      <c r="R14" s="160" t="str">
        <f>IF(IFERROR(INDEX(装备库!$A$1:$Z$2022,MATCH($N14,装备库!$E$1:$E$2022,0),COLUMN(装备库!W$1)),"")=0,"",IFERROR(INDEX(装备库!$A$1:$Z$2022,MATCH($N14,装备库!$E$1:$E$2022,0),COLUMN(装备库!W$1)),""))</f>
        <v>攻击孔</v>
      </c>
      <c r="S14" s="160" t="str">
        <f>IF(IFERROR(INDEX(装备库!$A$1:$Z$2022,MATCH($N14,装备库!$E$1:$E$2022,0),COLUMN(装备库!X$1)),"")=0,"",IFERROR(INDEX(装备库!$A$1:$Z$2022,MATCH($N14,装备库!$E$1:$E$2022,0),COLUMN(装备库!X$1)),""))</f>
        <v>身法孔</v>
      </c>
      <c r="T14" s="160" t="str">
        <f>IF(IFERROR(INDEX(装备库!$A$1:$Z$2022,MATCH($N14,装备库!$E$1:$E$2022,0),COLUMN(装备库!Y$1)),"")=0,"",IFERROR(INDEX(装备库!$A$1:$Z$2022,MATCH($N14,装备库!$E$1:$E$2022,0),COLUMN(装备库!Y$1)),""))</f>
        <v>破防孔</v>
      </c>
      <c r="U14" s="160" t="str">
        <f>IFERROR(INDEX(装备库!$A$1:$Z$2022,MATCH($N14,装备库!$E$1:$E$2022,0),COLUMN(装备库!$V$1)),"")</f>
        <v>任务</v>
      </c>
      <c r="V14" s="160">
        <f>IFERROR(INDEX(装备库!$A$1:$Z$2022,MATCH($N14,装备库!$E$1:$E$2022,0),COLUMN(装备库!F$1)),0)</f>
        <v>31110</v>
      </c>
      <c r="W14" s="160">
        <f>IFERROR(INDEX(装备库!$A$1:$Z$2022,MATCH($N14,装备库!$E$1:$E$2022,0),COLUMN(装备库!G$1)),0)</f>
        <v>2538</v>
      </c>
      <c r="X14" s="160">
        <f>IFERROR(INDEX(装备库!$A$1:$Z$2022,MATCH($N14,装备库!$E$1:$E$2022,0),COLUMN(装备库!H$1)),0)</f>
        <v>0</v>
      </c>
      <c r="Y14" s="160">
        <f>IFERROR(INDEX(装备库!$A$1:$Z$2022,MATCH($N14,装备库!$E$1:$E$2022,0),COLUMN(装备库!I$1)),0)</f>
        <v>12310</v>
      </c>
      <c r="Z14" s="160">
        <f>IFERROR(INDEX(装备库!$A$1:$Z$2022,MATCH($N14,装备库!$E$1:$E$2022,0),COLUMN(装备库!J$1)),0)</f>
        <v>18383</v>
      </c>
      <c r="AA14" s="160">
        <f>IFERROR(INDEX(装备库!$A$1:$Z$2022,MATCH($N14,装备库!$E$1:$E$2022,0),COLUMN(装备库!K$1)),0)</f>
        <v>0</v>
      </c>
      <c r="AB14" s="160">
        <f>IFERROR(INDEX(装备库!$A$1:$Z$2022,MATCH($N14,装备库!$E$1:$E$2022,0),COLUMN(装备库!L$1)),0)</f>
        <v>14141</v>
      </c>
      <c r="AC14" s="160">
        <f>IFERROR(INDEX(装备库!$A$1:$Z$2022,MATCH($N14,装备库!$E$1:$E$2022,0),COLUMN(装备库!M$1)),0)</f>
        <v>0</v>
      </c>
      <c r="AD14" s="160">
        <f>IFERROR(INDEX(装备库!$A$1:$Z$2022,MATCH($N14,装备库!$E$1:$E$2022,0),COLUMN(装备库!N$1)),0)</f>
        <v>0</v>
      </c>
      <c r="AE14" s="160">
        <f>IFERROR(INDEX(装备库!$A$1:$Z$2022,MATCH($N14,装备库!$E$1:$E$2022,0),COLUMN(装备库!O$1)),0)</f>
        <v>7070</v>
      </c>
      <c r="AF14" s="160">
        <f>IFERROR(INDEX(装备库!$A$1:$Z$2022,MATCH($N14,装备库!$E$1:$E$2022,0),COLUMN(装备库!P$1)),0)</f>
        <v>0</v>
      </c>
      <c r="AG14" s="160">
        <f>IFERROR(INDEX(装备库!$A$1:$Z$2022,MATCH($N14,装备库!$E$1:$E$2022,0),COLUMN(装备库!Q$1)),0)</f>
        <v>0</v>
      </c>
      <c r="AH14" s="160">
        <f>IFERROR(INDEX(装备库!$A$1:$Z$2022,MATCH($N14,装备库!$E$1:$E$2022,0),COLUMN(装备库!R$1)),0)</f>
        <v>14648</v>
      </c>
      <c r="AI14" s="160">
        <f>IFERROR(INDEX(装备库!$A$1:$Z$2022,MATCH($N14,装备库!$E$1:$E$2022,0),COLUMN(装备库!S$1)),0)</f>
        <v>24413</v>
      </c>
      <c r="AJ14" s="160">
        <f t="shared" si="7"/>
        <v>3858</v>
      </c>
      <c r="AK14" s="160">
        <f t="shared" si="8"/>
        <v>315</v>
      </c>
      <c r="AL14" s="160">
        <f t="shared" si="9"/>
        <v>0</v>
      </c>
      <c r="AM14" s="160">
        <f t="shared" si="10"/>
        <v>1526</v>
      </c>
      <c r="AN14" s="160">
        <f t="shared" si="11"/>
        <v>2279</v>
      </c>
      <c r="AO14" s="160">
        <f t="shared" si="12"/>
        <v>0</v>
      </c>
      <c r="AP14" s="160">
        <f t="shared" si="13"/>
        <v>1753</v>
      </c>
      <c r="AQ14" s="160">
        <f t="shared" si="14"/>
        <v>0</v>
      </c>
      <c r="AR14" s="160">
        <f t="shared" si="15"/>
        <v>0</v>
      </c>
      <c r="AS14" s="160">
        <f t="shared" si="16"/>
        <v>877</v>
      </c>
      <c r="AT14" s="160">
        <f t="shared" si="17"/>
        <v>0</v>
      </c>
      <c r="AU14" s="160">
        <f t="shared" si="18"/>
        <v>0</v>
      </c>
      <c r="AV14" s="160">
        <f t="shared" si="19"/>
        <v>34968</v>
      </c>
      <c r="AW14" s="160">
        <f t="shared" si="20"/>
        <v>2853</v>
      </c>
      <c r="AX14" s="160">
        <f t="shared" si="21"/>
        <v>0</v>
      </c>
      <c r="AY14" s="160">
        <f t="shared" si="22"/>
        <v>13836</v>
      </c>
      <c r="AZ14" s="160">
        <f t="shared" si="23"/>
        <v>20662</v>
      </c>
      <c r="BA14" s="160">
        <f t="shared" si="24"/>
        <v>0</v>
      </c>
      <c r="BB14" s="160">
        <f t="shared" si="25"/>
        <v>15894</v>
      </c>
      <c r="BC14" s="160">
        <f t="shared" si="26"/>
        <v>0</v>
      </c>
      <c r="BD14" s="160">
        <f t="shared" si="27"/>
        <v>0</v>
      </c>
      <c r="BE14" s="160">
        <f t="shared" si="28"/>
        <v>7947</v>
      </c>
      <c r="BF14" s="160">
        <f t="shared" si="29"/>
        <v>0</v>
      </c>
      <c r="BG14" s="160">
        <f t="shared" si="30"/>
        <v>0</v>
      </c>
      <c r="BH14" s="160">
        <f t="shared" si="31"/>
        <v>14648</v>
      </c>
      <c r="BI14" s="160">
        <f t="shared" si="32"/>
        <v>24413</v>
      </c>
      <c r="BJ14" s="160">
        <f>IFERROR(INDEX(装备库!$A$1:$Z$2022,MATCH($N14,装备库!$E$1:$E$2022,0),COLUMN(装备库!$D$1)),0)</f>
        <v>42500</v>
      </c>
      <c r="BK14" s="160">
        <f t="shared" si="33"/>
        <v>2</v>
      </c>
      <c r="BL14" s="160">
        <v>1.2</v>
      </c>
      <c r="BM14" s="160">
        <f t="shared" si="34"/>
        <v>102000</v>
      </c>
      <c r="BN14" s="161">
        <f t="shared" si="35"/>
        <v>12648</v>
      </c>
      <c r="BP14">
        <f>SUM(BM2:BM12)+INT((BM13+BM14)/2)</f>
        <v>654448</v>
      </c>
      <c r="BQ14">
        <f>SUM(BN2:BN12)+INT((BN13+BN14)/2)</f>
        <v>55939</v>
      </c>
      <c r="BR14">
        <f>附魔库!AB17+镶嵌库!Z13+镶嵌库!Z14</f>
        <v>88244</v>
      </c>
      <c r="BS14">
        <f>BP14+BQ14+BR14</f>
        <v>798631</v>
      </c>
    </row>
    <row r="15" spans="1:71">
      <c r="A15" t="str">
        <f>IFERROR(INDEX(装备库!$A$2:$E$2022,MATCH(ROW()-1,装备库!$AK$2:$AK$2022,0),COLUMN()),"")</f>
        <v>暗器</v>
      </c>
      <c r="B15" t="str">
        <f>IFERROR(INDEX(装备库!$A$2:$E$2022,MATCH(ROW()-1,装备库!$AK$2:$AK$2022,0),COLUMN()),"")</f>
        <v>6_41350</v>
      </c>
      <c r="C15" t="str">
        <f>IFERROR(INDEX(装备库!$A$2:$E$2022,MATCH(ROW()-1,装备库!$AK$2:$AK$2022,0),5),"")</f>
        <v>无修囊·外·玄(30200特效精简会会无)</v>
      </c>
    </row>
    <row r="16" spans="1:71">
      <c r="A16" t="str">
        <f>IFERROR(INDEX(装备库!$A$2:$E$2022,MATCH(ROW()-1,装备库!$AK$2:$AK$2022,0),COLUMN()),"")</f>
        <v>暗器</v>
      </c>
      <c r="B16" t="str">
        <f>IFERROR(INDEX(装备库!$A$2:$E$2022,MATCH(ROW()-1,装备库!$AK$2:$AK$2022,0),COLUMN()),"")</f>
        <v>6_42063</v>
      </c>
      <c r="C16" t="str">
        <f>IFERROR(INDEX(装备库!$A$2:$E$2022,MATCH(ROW()-1,装备库!$AK$2:$AK$2022,0),5),"")</f>
        <v>陶然意·谧秋囊(30700破全)</v>
      </c>
    </row>
    <row r="17" spans="1:16">
      <c r="A17" t="str">
        <f>IFERROR(INDEX(装备库!$A$2:$E$2022,MATCH(ROW()-1,装备库!$AK$2:$AK$2022,0),COLUMN()),"")</f>
        <v>暗器</v>
      </c>
      <c r="B17" t="str">
        <f>IFERROR(INDEX(装备库!$A$2:$E$2022,MATCH(ROW()-1,装备库!$AK$2:$AK$2022,0),COLUMN()),"")</f>
        <v>6_43768</v>
      </c>
      <c r="C17" t="str">
        <f>IFERROR(INDEX(装备库!$A$2:$E$2022,MATCH(ROW()-1,装备库!$AK$2:$AK$2022,0),5),"")</f>
        <v>娄锋囊(32500招无)</v>
      </c>
    </row>
    <row r="18" spans="1:16">
      <c r="A18" t="str">
        <f>IFERROR(INDEX(装备库!$A$2:$E$2022,MATCH(ROW()-1,装备库!$AK$2:$AK$2022,0),COLUMN()),"")</f>
        <v>暗器</v>
      </c>
      <c r="B18" t="str">
        <f>IFERROR(INDEX(装备库!$A$2:$E$2022,MATCH(ROW()-1,装备库!$AK$2:$AK$2022,0),COLUMN()),"")</f>
        <v>6_42795</v>
      </c>
      <c r="C18" t="str">
        <f>IFERROR(INDEX(装备库!$A$2:$E$2022,MATCH(ROW()-1,装备库!$AK$2:$AK$2022,0),5),"")</f>
        <v>无修囊·外·地(32500特效精简破无)</v>
      </c>
    </row>
    <row r="19" spans="1:16">
      <c r="A19" t="str">
        <f>IFERROR(INDEX(装备库!$A$2:$E$2022,MATCH(ROW()-1,装备库!$AK$2:$AK$2022,0),COLUMN()),"")</f>
        <v>暗器</v>
      </c>
      <c r="B19" t="str">
        <f>IFERROR(INDEX(装备库!$A$2:$E$2022,MATCH(ROW()-1,装备库!$AK$2:$AK$2022,0),COLUMN()),"")</f>
        <v>6_42797</v>
      </c>
      <c r="C19" t="str">
        <f>IFERROR(INDEX(装备库!$A$2:$E$2022,MATCH(ROW()-1,装备库!$AK$2:$AK$2022,0),5),"")</f>
        <v>无修囊·外·地(32500特效精简会会招)</v>
      </c>
      <c r="N19" t="s">
        <v>1985</v>
      </c>
    </row>
    <row r="20" spans="1:16">
      <c r="A20" t="str">
        <f>IFERROR(INDEX(装备库!$A$2:$E$2022,MATCH(ROW()-1,装备库!$AK$2:$AK$2022,0),COLUMN()),"")</f>
        <v>暗器</v>
      </c>
      <c r="B20" t="str">
        <f>IFERROR(INDEX(装备库!$A$2:$E$2022,MATCH(ROW()-1,装备库!$AK$2:$AK$2022,0),COLUMN()),"")</f>
        <v>6_42796</v>
      </c>
      <c r="C20" t="str">
        <f>IFERROR(INDEX(装备库!$A$2:$E$2022,MATCH(ROW()-1,装备库!$AK$2:$AK$2022,0),5),"")</f>
        <v>无修囊·外·地(32500特效精简会会无)</v>
      </c>
      <c r="N20" t="str">
        <f>IF(配装计算器!$K$33="不使用","",配装计算器!$K$33)</f>
        <v/>
      </c>
      <c r="O20" t="s">
        <v>58</v>
      </c>
      <c r="P20" t="s">
        <v>1986</v>
      </c>
    </row>
    <row r="21" ht="20.25" customHeight="1" spans="1:16">
      <c r="A21" t="str">
        <f>IFERROR(INDEX(装备库!$A$2:$E$2022,MATCH(ROW()-1,装备库!$AK$2:$AK$2022,0),COLUMN()),"")</f>
        <v>暗器</v>
      </c>
      <c r="B21" t="str">
        <f>IFERROR(INDEX(装备库!$A$2:$E$2022,MATCH(ROW()-1,装备库!$AK$2:$AK$2022,0),COLUMN()),"")</f>
        <v>6_44325</v>
      </c>
      <c r="C21" t="str">
        <f>IFERROR(INDEX(装备库!$A$2:$E$2022,MATCH(ROW()-1,装备库!$AK$2:$AK$2022,0),5),"")</f>
        <v>千机劫·迷城(34100破无)</v>
      </c>
      <c r="O21" s="160" t="s">
        <v>901</v>
      </c>
      <c r="P21" s="223" t="str">
        <f>IF(配装计算器!$K$33="不使用","",$Q2)</f>
        <v/>
      </c>
    </row>
    <row r="22" ht="20.25" customHeight="1" spans="1:16">
      <c r="A22" t="str">
        <f>IFERROR(INDEX(装备库!$A$2:$E$2022,MATCH(ROW()-1,装备库!$AK$2:$AK$2022,0),COLUMN()),"")</f>
        <v>暗器</v>
      </c>
      <c r="B22" t="str">
        <f>IFERROR(INDEX(装备库!$A$2:$E$2022,MATCH(ROW()-1,装备库!$AK$2:$AK$2022,0),COLUMN()),"")</f>
        <v>6_45107</v>
      </c>
      <c r="C22" t="str">
        <f>IFERROR(INDEX(装备库!$A$2:$E$2022,MATCH(ROW()-1,装备库!$AK$2:$AK$2022,0),5),"")</f>
        <v>幽墟荡秽·迅鸿囊(35300会无)</v>
      </c>
      <c r="O22" s="160" t="s">
        <v>1167</v>
      </c>
      <c r="P22" s="223" t="str">
        <f>IF(配装计算器!$K$33="不使用","",$Q3)</f>
        <v/>
      </c>
    </row>
    <row r="23" ht="20.25" customHeight="1" spans="1:16">
      <c r="A23" t="str">
        <f>IFERROR(INDEX(装备库!$A$2:$E$2022,MATCH(ROW()-1,装备库!$AK$2:$AK$2022,0),COLUMN()),"")</f>
        <v>暗器</v>
      </c>
      <c r="B23" t="str">
        <f>IFERROR(INDEX(装备库!$A$2:$E$2022,MATCH(ROW()-1,装备库!$AK$2:$AK$2022,0),COLUMN()),"")</f>
        <v>6_42744</v>
      </c>
      <c r="C23" t="str">
        <f>IFERROR(INDEX(装备库!$A$2:$E$2022,MATCH(ROW()-1,装备库!$AK$2:$AK$2022,0),5),"")</f>
        <v>烟岚云岫(35300招无)</v>
      </c>
      <c r="O23" s="160" t="s">
        <v>1471</v>
      </c>
      <c r="P23" s="223" t="str">
        <f>IF(配装计算器!$K$33="不使用","",$Q4)</f>
        <v/>
      </c>
    </row>
    <row r="24" ht="20.25" customHeight="1" spans="1:16">
      <c r="A24" t="str">
        <f>IFERROR(INDEX(装备库!$A$2:$E$2022,MATCH(ROW()-1,装备库!$AK$2:$AK$2022,0),COLUMN()),"")</f>
        <v>暗器</v>
      </c>
      <c r="B24" t="str">
        <f>IFERROR(INDEX(装备库!$A$2:$E$2022,MATCH(ROW()-1,装备库!$AK$2:$AK$2022,0),COLUMN()),"")</f>
        <v>6_42629</v>
      </c>
      <c r="C24" t="str">
        <f>IFERROR(INDEX(装备库!$A$2:$E$2022,MATCH(ROW()-1,装备库!$AK$2:$AK$2022,0),5),"")</f>
        <v>天风囊(35300速无)</v>
      </c>
      <c r="O24" s="160" t="s">
        <v>224</v>
      </c>
      <c r="P24" s="223" t="str">
        <f>IF(配装计算器!$K$33="不使用","",$Q5)</f>
        <v/>
      </c>
    </row>
    <row r="25" ht="20.25" customHeight="1" spans="1:16">
      <c r="A25" t="str">
        <f>IFERROR(INDEX(装备库!$A$2:$E$2022,MATCH(ROW()-1,装备库!$AK$2:$AK$2022,0),COLUMN()),"")</f>
        <v>暗器</v>
      </c>
      <c r="B25" t="str">
        <f>IFERROR(INDEX(装备库!$A$2:$E$2022,MATCH(ROW()-1,装备库!$AK$2:$AK$2022,0),COLUMN()),"")</f>
        <v>6_42670</v>
      </c>
      <c r="C25" t="str">
        <f>IFERROR(INDEX(装备库!$A$2:$E$2022,MATCH(ROW()-1,装备库!$AK$2:$AK$2022,0),5),"")</f>
        <v>晚风囊(35300会无)</v>
      </c>
      <c r="O25" s="160" t="s">
        <v>672</v>
      </c>
      <c r="P25" s="223" t="str">
        <f>IF(配装计算器!$K$33="不使用","",$Q6)</f>
        <v/>
      </c>
    </row>
    <row r="26" ht="20.25" customHeight="1" spans="1:16">
      <c r="A26" t="str">
        <f>IFERROR(INDEX(装备库!$A$2:$E$2022,MATCH(ROW()-1,装备库!$AK$2:$AK$2022,0),COLUMN()),"")</f>
        <v>暗器</v>
      </c>
      <c r="B26" t="str">
        <f>IFERROR(INDEX(装备库!$A$2:$E$2022,MATCH(ROW()-1,装备库!$AK$2:$AK$2022,0),COLUMN()),"")</f>
        <v>6_42807</v>
      </c>
      <c r="C26" t="str">
        <f>IFERROR(INDEX(装备库!$A$2:$E$2022,MATCH(ROW()-1,装备库!$AK$2:$AK$2022,0),5),"")</f>
        <v>蒙鸠囊(35300会无)</v>
      </c>
      <c r="O26" s="160" t="s">
        <v>1353</v>
      </c>
      <c r="P26" s="223" t="str">
        <f>IF(配装计算器!$K$33="不使用","",$Q7)</f>
        <v/>
      </c>
    </row>
    <row r="27" ht="20.25" customHeight="1" spans="1:16">
      <c r="A27" t="str">
        <f>IFERROR(INDEX(装备库!$A$2:$E$2022,MATCH(ROW()-1,装备库!$AK$2:$AK$2022,0),COLUMN()),"")</f>
        <v>暗器</v>
      </c>
      <c r="B27" t="str">
        <f>IFERROR(INDEX(装备库!$A$2:$E$2022,MATCH(ROW()-1,装备库!$AK$2:$AK$2022,0),COLUMN()),"")</f>
        <v>6_42802</v>
      </c>
      <c r="C27" t="str">
        <f>IFERROR(INDEX(装备库!$A$2:$E$2022,MATCH(ROW()-1,装备库!$AK$2:$AK$2022,0),5),"")</f>
        <v>无修囊·外·地(35300特效精简招破无)</v>
      </c>
      <c r="O27" s="160" t="s">
        <v>1252</v>
      </c>
      <c r="P27" s="223" t="str">
        <f>IF(配装计算器!$K$33="不使用","",$Q8)</f>
        <v/>
      </c>
    </row>
    <row r="28" ht="20.25" customHeight="1" spans="1:16">
      <c r="A28" t="str">
        <f>IFERROR(INDEX(装备库!$A$2:$E$2022,MATCH(ROW()-1,装备库!$AK$2:$AK$2022,0),COLUMN()),"")</f>
        <v>暗器</v>
      </c>
      <c r="B28" t="str">
        <f>IFERROR(INDEX(装备库!$A$2:$E$2022,MATCH(ROW()-1,装备库!$AK$2:$AK$2022,0),COLUMN()),"")</f>
        <v>6_42801</v>
      </c>
      <c r="C28" t="str">
        <f>IFERROR(INDEX(装备库!$A$2:$E$2022,MATCH(ROW()-1,装备库!$AK$2:$AK$2022,0),5),"")</f>
        <v>无修囊·外·地(35300特效精简会无)</v>
      </c>
      <c r="O28" s="160" t="s">
        <v>1688</v>
      </c>
      <c r="P28" s="223" t="str">
        <f>IF(配装计算器!$K$33="不使用","",$Q9)</f>
        <v/>
      </c>
    </row>
    <row r="29" ht="20.25" customHeight="1" spans="1:16">
      <c r="A29" t="str">
        <f>IFERROR(INDEX(装备库!$A$2:$E$2022,MATCH(ROW()-1,装备库!$AK$2:$AK$2022,0),COLUMN()),"")</f>
        <v>暗器</v>
      </c>
      <c r="B29" t="str">
        <f>IFERROR(INDEX(装备库!$A$2:$E$2022,MATCH(ROW()-1,装备库!$AK$2:$AK$2022,0),COLUMN()),"")</f>
        <v>6_42803</v>
      </c>
      <c r="C29" t="str">
        <f>IFERROR(INDEX(装备库!$A$2:$E$2022,MATCH(ROW()-1,装备库!$AK$2:$AK$2022,0),5),"")</f>
        <v>无修囊·外·地(35300特效精简会破无)</v>
      </c>
      <c r="O29" s="160" t="s">
        <v>1980</v>
      </c>
      <c r="P29" s="223" t="str">
        <f>IF(配装计算器!$K$33="不使用","",$Q10)</f>
        <v/>
      </c>
    </row>
    <row r="30" ht="20.25" customHeight="1" spans="1:16">
      <c r="A30" t="str">
        <f>IFERROR(INDEX(装备库!$A$2:$E$2022,MATCH(ROW()-1,装备库!$AK$2:$AK$2022,0),COLUMN()),"")</f>
        <v>暗器</v>
      </c>
      <c r="B30" t="str">
        <f>IFERROR(INDEX(装备库!$A$2:$E$2022,MATCH(ROW()-1,装备库!$AK$2:$AK$2022,0),COLUMN()),"")</f>
        <v>6_43489</v>
      </c>
      <c r="C30" t="str">
        <f>IFERROR(INDEX(装备库!$A$2:$E$2022,MATCH(ROW()-1,装备库!$AK$2:$AK$2022,0),5),"")</f>
        <v>陶然意·折柳囊(36200破全)</v>
      </c>
      <c r="O30" s="160" t="s">
        <v>1981</v>
      </c>
      <c r="P30" s="223" t="str">
        <f>IF(配装计算器!$K$33="不使用","",$Q11)</f>
        <v/>
      </c>
    </row>
    <row r="31" ht="20.25" customHeight="1" spans="1:16">
      <c r="A31" t="str">
        <f>IFERROR(INDEX(装备库!$A$2:$E$2022,MATCH(ROW()-1,装备库!$AK$2:$AK$2022,0),COLUMN()),"")</f>
        <v>暗器</v>
      </c>
      <c r="B31" t="str">
        <f>IFERROR(INDEX(装备库!$A$2:$E$2022,MATCH(ROW()-1,装备库!$AK$2:$AK$2022,0),COLUMN()),"")</f>
        <v>6_45480</v>
      </c>
      <c r="C31" t="str">
        <f>IFERROR(INDEX(装备库!$A$2:$E$2022,MATCH(ROW()-1,装备库!$AK$2:$AK$2022,0),5),"")</f>
        <v>胃霆囊(38100招无)</v>
      </c>
      <c r="O31" s="160" t="s">
        <v>82</v>
      </c>
      <c r="P31" s="223" t="str">
        <f>IF(配装计算器!$K$33="不使用","",$Q12)</f>
        <v/>
      </c>
    </row>
    <row r="32" ht="20.25" customHeight="1" spans="1:16">
      <c r="A32" t="str">
        <f>IFERROR(INDEX(装备库!$A$2:$E$2022,MATCH(ROW()-1,装备库!$AK$2:$AK$2022,0),COLUMN()),"")</f>
        <v>暗器</v>
      </c>
      <c r="B32" t="str">
        <f>IFERROR(INDEX(装备库!$A$2:$E$2022,MATCH(ROW()-1,装备库!$AK$2:$AK$2022,0),COLUMN()),"")</f>
        <v>6_44530</v>
      </c>
      <c r="C32" t="str">
        <f>IFERROR(INDEX(装备库!$A$2:$E$2022,MATCH(ROW()-1,装备库!$AK$2:$AK$2022,0),5),"")</f>
        <v>无修囊·外·天(38100特效精简招无)</v>
      </c>
      <c r="O32" s="160" t="s">
        <v>1987</v>
      </c>
      <c r="P32" s="223" t="str">
        <f>IF(配装计算器!$K$33="不使用","",MAX($Q14,$Q13))</f>
        <v/>
      </c>
    </row>
    <row r="33" ht="20.25" customHeight="1" spans="1:16">
      <c r="A33" t="str">
        <f>IFERROR(INDEX(装备库!$A$2:$E$2022,MATCH(ROW()-1,装备库!$AK$2:$AK$2022,0),COLUMN()),"")</f>
        <v>暗器</v>
      </c>
      <c r="B33" t="str">
        <f>IFERROR(INDEX(装备库!$A$2:$E$2022,MATCH(ROW()-1,装备库!$AK$2:$AK$2022,0),COLUMN()),"")</f>
        <v>6_44531</v>
      </c>
      <c r="C33" t="str">
        <f>IFERROR(INDEX(装备库!$A$2:$E$2022,MATCH(ROW()-1,装备库!$AK$2:$AK$2022,0),5),"")</f>
        <v>无修囊·外·天(38100特效精简破无)</v>
      </c>
      <c r="O33" s="167"/>
      <c r="P33" s="223"/>
    </row>
    <row r="34" spans="1:16">
      <c r="A34" t="str">
        <f>IFERROR(INDEX(装备库!$A$2:$E$2022,MATCH(ROW()-1,装备库!$AK$2:$AK$2022,0),COLUMN()),"")</f>
        <v>暗器</v>
      </c>
      <c r="B34" t="str">
        <f>IFERROR(INDEX(装备库!$A$2:$E$2022,MATCH(ROW()-1,装备库!$AK$2:$AK$2022,0),COLUMN()),"")</f>
        <v>6_44532</v>
      </c>
      <c r="C34" t="str">
        <f>IFERROR(INDEX(装备库!$A$2:$E$2022,MATCH(ROW()-1,装备库!$AK$2:$AK$2022,0),5),"")</f>
        <v>无修囊·外·天(38100特效精简会无)</v>
      </c>
    </row>
    <row r="35" spans="1:16">
      <c r="A35" t="str">
        <f>IFERROR(INDEX(装备库!$A$2:$E$2022,MATCH(ROW()-1,装备库!$AK$2:$AK$2022,0),COLUMN()),"")</f>
        <v>暗器</v>
      </c>
      <c r="B35" t="str">
        <f>IFERROR(INDEX(装备库!$A$2:$E$2022,MATCH(ROW()-1,装备库!$AK$2:$AK$2022,0),COLUMN()),"")</f>
        <v>6_44479</v>
      </c>
      <c r="C35" t="str">
        <f>IFERROR(INDEX(装备库!$A$2:$E$2022,MATCH(ROW()-1,装备库!$AK$2:$AK$2022,0),5),"")</f>
        <v>浮云渡(41400招无)</v>
      </c>
    </row>
    <row r="36" spans="1:16">
      <c r="A36" t="str">
        <f>IFERROR(INDEX(装备库!$A$2:$E$2022,MATCH(ROW()-1,装备库!$AK$2:$AK$2022,0),COLUMN()),"")</f>
        <v>暗器</v>
      </c>
      <c r="B36" t="str">
        <f>IFERROR(INDEX(装备库!$A$2:$E$2022,MATCH(ROW()-1,装备库!$AK$2:$AK$2022,0),COLUMN()),"")</f>
        <v>6_44364</v>
      </c>
      <c r="C36" t="str">
        <f>IFERROR(INDEX(装备库!$A$2:$E$2022,MATCH(ROW()-1,装备库!$AK$2:$AK$2022,0),5),"")</f>
        <v>尘隐囊(41400速无)</v>
      </c>
    </row>
    <row r="37" spans="1:16">
      <c r="A37" t="str">
        <f>IFERROR(INDEX(装备库!$A$2:$E$2022,MATCH(ROW()-1,装备库!$AK$2:$AK$2022,0),COLUMN()),"")</f>
        <v>暗器</v>
      </c>
      <c r="B37" t="str">
        <f>IFERROR(INDEX(装备库!$A$2:$E$2022,MATCH(ROW()-1,装备库!$AK$2:$AK$2022,0),COLUMN()),"")</f>
        <v>6_44405</v>
      </c>
      <c r="C37" t="str">
        <f>IFERROR(INDEX(装备库!$A$2:$E$2022,MATCH(ROW()-1,装备库!$AK$2:$AK$2022,0),5),"")</f>
        <v>流漓囊(41400会无)</v>
      </c>
    </row>
    <row r="38" spans="1:16">
      <c r="A38" t="str">
        <f>IFERROR(INDEX(装备库!$A$2:$E$2022,MATCH(ROW()-1,装备库!$AK$2:$AK$2022,0),COLUMN()),"")</f>
        <v>暗器</v>
      </c>
      <c r="B38" t="str">
        <f>IFERROR(INDEX(装备库!$A$2:$E$2022,MATCH(ROW()-1,装备库!$AK$2:$AK$2022,0),COLUMN()),"")</f>
        <v>6_44542</v>
      </c>
      <c r="C38" t="str">
        <f>IFERROR(INDEX(装备库!$A$2:$E$2022,MATCH(ROW()-1,装备库!$AK$2:$AK$2022,0),5),"")</f>
        <v>曜影囊(41400会无)</v>
      </c>
    </row>
    <row r="39" spans="1:16">
      <c r="A39" t="str">
        <f>IFERROR(INDEX(装备库!$A$2:$E$2022,MATCH(ROW()-1,装备库!$AK$2:$AK$2022,0),COLUMN()),"")</f>
        <v>暗器</v>
      </c>
      <c r="B39" t="str">
        <f>IFERROR(INDEX(装备库!$A$2:$E$2022,MATCH(ROW()-1,装备库!$AK$2:$AK$2022,0),COLUMN()),"")</f>
        <v>6_44536</v>
      </c>
      <c r="C39" t="str">
        <f>IFERROR(INDEX(装备库!$A$2:$E$2022,MATCH(ROW()-1,装备库!$AK$2:$AK$2022,0),5),"")</f>
        <v>无修囊·外·天(41400特效精简破无)</v>
      </c>
    </row>
    <row r="40" spans="1:16">
      <c r="A40" t="str">
        <f>IFERROR(INDEX(装备库!$A$2:$E$2022,MATCH(ROW()-1,装备库!$AK$2:$AK$2022,0),COLUMN()),"")</f>
        <v>暗器</v>
      </c>
      <c r="B40" t="str">
        <f>IFERROR(INDEX(装备库!$A$2:$E$2022,MATCH(ROW()-1,装备库!$AK$2:$AK$2022,0),COLUMN()),"")</f>
        <v>6_44537</v>
      </c>
      <c r="C40" t="str">
        <f>IFERROR(INDEX(装备库!$A$2:$E$2022,MATCH(ROW()-1,装备库!$AK$2:$AK$2022,0),5),"")</f>
        <v>无修囊·外·天(41400特效精简会会招)</v>
      </c>
    </row>
    <row r="41" spans="1:16">
      <c r="A41" t="str">
        <f>IFERROR(INDEX(装备库!$A$2:$E$2022,MATCH(ROW()-1,装备库!$AK$2:$AK$2022,0),COLUMN()),"")</f>
        <v>暗器</v>
      </c>
      <c r="B41" t="str">
        <f>IFERROR(INDEX(装备库!$A$2:$E$2022,MATCH(ROW()-1,装备库!$AK$2:$AK$2022,0),COLUMN()),"")</f>
        <v>6_44538</v>
      </c>
      <c r="C41" t="str">
        <f>IFERROR(INDEX(装备库!$A$2:$E$2022,MATCH(ROW()-1,装备库!$AK$2:$AK$2022,0),5),"")</f>
        <v>无修囊·外·天(41400特效精简会会无)</v>
      </c>
    </row>
    <row r="42" spans="1:16">
      <c r="A42" t="str">
        <f>IFERROR(INDEX(装备库!$A$2:$E$2022,MATCH(ROW()-1,装备库!$AK$2:$AK$2022,0),COLUMN()),"")</f>
        <v>暗器</v>
      </c>
      <c r="B42" t="str">
        <f>IFERROR(INDEX(装备库!$A$2:$E$2022,MATCH(ROW()-1,装备库!$AK$2:$AK$2022,0),COLUMN()),"")</f>
        <v>6_45223</v>
      </c>
      <c r="C42" t="str">
        <f>IFERROR(INDEX(装备库!$A$2:$E$2022,MATCH(ROW()-1,装备库!$AK$2:$AK$2022,0),5),"")</f>
        <v>陶然意·烟峦囊(42400破全)</v>
      </c>
    </row>
    <row r="43" spans="1:16">
      <c r="A43" t="str">
        <f>IFERROR(INDEX(装备库!$A$2:$E$2022,MATCH(ROW()-1,装备库!$AK$2:$AK$2022,0),COLUMN()),"")</f>
        <v>护手</v>
      </c>
      <c r="B43" t="str">
        <f>IFERROR(INDEX(装备库!$A$2:$E$2022,MATCH(ROW()-1,装备库!$AK$2:$AK$2022,0),COLUMN()),"")</f>
        <v>7_108485</v>
      </c>
      <c r="C43" t="str">
        <f>IFERROR(INDEX(装备库!$A$2:$E$2022,MATCH(ROW()-1,装备库!$AK$2:$AK$2022,0),5),"")</f>
        <v>智渊袖(30200速全)</v>
      </c>
    </row>
    <row r="44" spans="1:16">
      <c r="A44" t="str">
        <f>IFERROR(INDEX(装备库!$A$2:$E$2022,MATCH(ROW()-1,装备库!$AK$2:$AK$2022,0),COLUMN()),"")</f>
        <v>护手</v>
      </c>
      <c r="B44" t="str">
        <f>IFERROR(INDEX(装备库!$A$2:$E$2022,MATCH(ROW()-1,装备库!$AK$2:$AK$2022,0),COLUMN()),"")</f>
        <v>7_108521</v>
      </c>
      <c r="C44" t="str">
        <f>IFERROR(INDEX(装备库!$A$2:$E$2022,MATCH(ROW()-1,装备库!$AK$2:$AK$2022,0),5),"")</f>
        <v>镂云袖(30200会全)</v>
      </c>
    </row>
    <row r="45" spans="1:16">
      <c r="A45" t="str">
        <f>IFERROR(INDEX(装备库!$A$2:$E$2022,MATCH(ROW()-1,装备库!$AK$2:$AK$2022,0),COLUMN()),"")</f>
        <v>护手</v>
      </c>
      <c r="B45" t="str">
        <f>IFERROR(INDEX(装备库!$A$2:$E$2022,MATCH(ROW()-1,装备库!$AK$2:$AK$2022,0),COLUMN()),"")</f>
        <v>7_110982</v>
      </c>
      <c r="C45" t="str">
        <f>IFERROR(INDEX(装备库!$A$2:$E$2022,MATCH(ROW()-1,装备库!$AK$2:$AK$2022,0),5),"")</f>
        <v>臻泽袖(30200会全)</v>
      </c>
    </row>
    <row r="46" spans="1:16">
      <c r="A46" t="str">
        <f>IFERROR(INDEX(装备库!$A$2:$E$2022,MATCH(ROW()-1,装备库!$AK$2:$AK$2022,0),COLUMN()),"")</f>
        <v>护手</v>
      </c>
      <c r="B46" t="str">
        <f>IFERROR(INDEX(装备库!$A$2:$E$2022,MATCH(ROW()-1,装备库!$AK$2:$AK$2022,0),COLUMN()),"")</f>
        <v>7_104665</v>
      </c>
      <c r="C46" t="str">
        <f>IFERROR(INDEX(装备库!$A$2:$E$2022,MATCH(ROW()-1,装备库!$AK$2:$AK$2022,0),5),"")</f>
        <v>【门派套装】天极·听荷护手(30200招无)</v>
      </c>
    </row>
    <row r="47" spans="1:16">
      <c r="A47" t="str">
        <f>IFERROR(INDEX(装备库!$A$2:$E$2022,MATCH(ROW()-1,装备库!$AK$2:$AK$2022,0),COLUMN()),"")</f>
        <v>护手</v>
      </c>
      <c r="B47" t="str">
        <f>IFERROR(INDEX(装备库!$A$2:$E$2022,MATCH(ROW()-1,装备库!$AK$2:$AK$2022,0),COLUMN()),"")</f>
        <v>7_108221</v>
      </c>
      <c r="C47" t="str">
        <f>IFERROR(INDEX(装备库!$A$2:$E$2022,MATCH(ROW()-1,装备库!$AK$2:$AK$2022,0),5),"")</f>
        <v>孤城惊梦·迷烟护腕(30200招无)</v>
      </c>
    </row>
    <row r="48" spans="1:16">
      <c r="A48" t="str">
        <f>IFERROR(INDEX(装备库!$A$2:$E$2022,MATCH(ROW()-1,装备库!$AK$2:$AK$2022,0),COLUMN()),"")</f>
        <v>护手</v>
      </c>
      <c r="B48" t="str">
        <f>IFERROR(INDEX(装备库!$A$2:$E$2022,MATCH(ROW()-1,装备库!$AK$2:$AK$2022,0),COLUMN()),"")</f>
        <v>7_104503</v>
      </c>
      <c r="C48" t="str">
        <f>IFERROR(INDEX(装备库!$A$2:$E$2022,MATCH(ROW()-1,装备库!$AK$2:$AK$2022,0),5),"")</f>
        <v>润源袖(30200招无)</v>
      </c>
    </row>
    <row r="49" spans="1:3">
      <c r="A49" t="str">
        <f>IFERROR(INDEX(装备库!$A$2:$E$2022,MATCH(ROW()-1,装备库!$AK$2:$AK$2022,0),COLUMN()),"")</f>
        <v>护手</v>
      </c>
      <c r="B49" t="str">
        <f>IFERROR(INDEX(装备库!$A$2:$E$2022,MATCH(ROW()-1,装备库!$AK$2:$AK$2022,0),COLUMN()),"")</f>
        <v>7_104457</v>
      </c>
      <c r="C49" t="str">
        <f>IFERROR(INDEX(装备库!$A$2:$E$2022,MATCH(ROW()-1,装备库!$AK$2:$AK$2022,0),5),"")</f>
        <v>羽缀护手(30200速无)</v>
      </c>
    </row>
    <row r="50" spans="1:3">
      <c r="A50" t="str">
        <f>IFERROR(INDEX(装备库!$A$2:$E$2022,MATCH(ROW()-1,装备库!$AK$2:$AK$2022,0),COLUMN()),"")</f>
        <v>护手</v>
      </c>
      <c r="B50" t="str">
        <f>IFERROR(INDEX(装备库!$A$2:$E$2022,MATCH(ROW()-1,装备库!$AK$2:$AK$2022,0),COLUMN()),"")</f>
        <v>7_104809</v>
      </c>
      <c r="C50" t="str">
        <f>IFERROR(INDEX(装备库!$A$2:$E$2022,MATCH(ROW()-1,装备库!$AK$2:$AK$2022,0),5),"")</f>
        <v>问殿护手(30200速无)</v>
      </c>
    </row>
    <row r="51" spans="1:3">
      <c r="A51" t="str">
        <f>IFERROR(INDEX(装备库!$A$2:$E$2022,MATCH(ROW()-1,装备库!$AK$2:$AK$2022,0),COLUMN()),"")</f>
        <v>护手</v>
      </c>
      <c r="B51" t="str">
        <f>IFERROR(INDEX(装备库!$A$2:$E$2022,MATCH(ROW()-1,装备库!$AK$2:$AK$2022,0),COLUMN()),"")</f>
        <v>7_104114</v>
      </c>
      <c r="C51" t="str">
        <f>IFERROR(INDEX(装备库!$A$2:$E$2022,MATCH(ROW()-1,装备库!$AK$2:$AK$2022,0),5),"")</f>
        <v>平皋袖(30200破无)</v>
      </c>
    </row>
    <row r="52" spans="1:3">
      <c r="A52" t="str">
        <f>IFERROR(INDEX(装备库!$A$2:$E$2022,MATCH(ROW()-1,装备库!$AK$2:$AK$2022,0),COLUMN()),"")</f>
        <v>护手</v>
      </c>
      <c r="B52" t="str">
        <f>IFERROR(INDEX(装备库!$A$2:$E$2022,MATCH(ROW()-1,装备库!$AK$2:$AK$2022,0),COLUMN()),"")</f>
        <v>7_104845</v>
      </c>
      <c r="C52" t="str">
        <f>IFERROR(INDEX(装备库!$A$2:$E$2022,MATCH(ROW()-1,装备库!$AK$2:$AK$2022,0),5),"")</f>
        <v>标雁护手(30200破无)</v>
      </c>
    </row>
    <row r="53" spans="1:3">
      <c r="A53" t="str">
        <f>IFERROR(INDEX(装备库!$A$2:$E$2022,MATCH(ROW()-1,装备库!$AK$2:$AK$2022,0),COLUMN()),"")</f>
        <v>护手</v>
      </c>
      <c r="B53" t="str">
        <f>IFERROR(INDEX(装备库!$A$2:$E$2022,MATCH(ROW()-1,装备库!$AK$2:$AK$2022,0),COLUMN()),"")</f>
        <v>7_105007</v>
      </c>
      <c r="C53" t="str">
        <f>IFERROR(INDEX(装备库!$A$2:$E$2022,MATCH(ROW()-1,装备库!$AK$2:$AK$2022,0),5),"")</f>
        <v>客行江湖·日斜袖(30200会无)</v>
      </c>
    </row>
    <row r="54" spans="1:3">
      <c r="A54" t="str">
        <f>IFERROR(INDEX(装备库!$A$2:$E$2022,MATCH(ROW()-1,装备库!$AK$2:$AK$2022,0),COLUMN()),"")</f>
        <v>护手</v>
      </c>
      <c r="B54" t="str">
        <f>IFERROR(INDEX(装备库!$A$2:$E$2022,MATCH(ROW()-1,装备库!$AK$2:$AK$2022,0),COLUMN()),"")</f>
        <v>7_105073</v>
      </c>
      <c r="C54" t="str">
        <f>IFERROR(INDEX(装备库!$A$2:$E$2022,MATCH(ROW()-1,装备库!$AK$2:$AK$2022,0),5),"")</f>
        <v>坠红袖(30200会无)</v>
      </c>
    </row>
    <row r="55" spans="1:3">
      <c r="A55" t="str">
        <f>IFERROR(INDEX(装备库!$A$2:$E$2022,MATCH(ROW()-1,装备库!$AK$2:$AK$2022,0),COLUMN()),"")</f>
        <v>护手</v>
      </c>
      <c r="B55" t="str">
        <f>IFERROR(INDEX(装备库!$A$2:$E$2022,MATCH(ROW()-1,装备库!$AK$2:$AK$2022,0),COLUMN()),"")</f>
        <v>7_106642</v>
      </c>
      <c r="C55" t="str">
        <f>IFERROR(INDEX(装备库!$A$2:$E$2022,MATCH(ROW()-1,装备库!$AK$2:$AK$2022,0),5),"")</f>
        <v>寻踪觅宝·逸群护手(30200招无)</v>
      </c>
    </row>
    <row r="56" spans="1:3">
      <c r="A56" t="str">
        <f>IFERROR(INDEX(装备库!$A$2:$E$2022,MATCH(ROW()-1,装备库!$AK$2:$AK$2022,0),COLUMN()),"")</f>
        <v>护手</v>
      </c>
      <c r="B56" t="str">
        <f>IFERROR(INDEX(装备库!$A$2:$E$2022,MATCH(ROW()-1,装备库!$AK$2:$AK$2022,0),COLUMN()),"")</f>
        <v>7_104938</v>
      </c>
      <c r="C56" t="str">
        <f>IFERROR(INDEX(装备库!$A$2:$E$2022,MATCH(ROW()-1,装备库!$AK$2:$AK$2022,0),5),"")</f>
        <v>夜森谒(30200特效精简招无)</v>
      </c>
    </row>
    <row r="57" spans="1:3">
      <c r="A57" t="str">
        <f>IFERROR(INDEX(装备库!$A$2:$E$2022,MATCH(ROW()-1,装备库!$AK$2:$AK$2022,0),COLUMN()),"")</f>
        <v>护手</v>
      </c>
      <c r="B57" t="str">
        <f>IFERROR(INDEX(装备库!$A$2:$E$2022,MATCH(ROW()-1,装备库!$AK$2:$AK$2022,0),COLUMN()),"")</f>
        <v>7_104939</v>
      </c>
      <c r="C57" t="str">
        <f>IFERROR(INDEX(装备库!$A$2:$E$2022,MATCH(ROW()-1,装备库!$AK$2:$AK$2022,0),5),"")</f>
        <v>归沉寂(30200特效精简招)</v>
      </c>
    </row>
    <row r="58" spans="1:3">
      <c r="A58" t="str">
        <f>IFERROR(INDEX(装备库!$A$2:$E$2022,MATCH(ROW()-1,装备库!$AK$2:$AK$2022,0),COLUMN()),"")</f>
        <v>护手</v>
      </c>
      <c r="B58" t="str">
        <f>IFERROR(INDEX(装备库!$A$2:$E$2022,MATCH(ROW()-1,装备库!$AK$2:$AK$2022,0),COLUMN()),"")</f>
        <v>7_104937</v>
      </c>
      <c r="C58" t="str">
        <f>IFERROR(INDEX(装备库!$A$2:$E$2022,MATCH(ROW()-1,装备库!$AK$2:$AK$2022,0),5),"")</f>
        <v>摧千木(30200特效精简破无)</v>
      </c>
    </row>
    <row r="59" spans="1:3">
      <c r="A59" t="str">
        <f>IFERROR(INDEX(装备库!$A$2:$E$2022,MATCH(ROW()-1,装备库!$AK$2:$AK$2022,0),COLUMN()),"")</f>
        <v>护手</v>
      </c>
      <c r="B59" t="str">
        <f>IFERROR(INDEX(装备库!$A$2:$E$2022,MATCH(ROW()-1,装备库!$AK$2:$AK$2022,0),COLUMN()),"")</f>
        <v>7_104936</v>
      </c>
      <c r="C59" t="str">
        <f>IFERROR(INDEX(装备库!$A$2:$E$2022,MATCH(ROW()-1,装备库!$AK$2:$AK$2022,0),5),"")</f>
        <v>立嵯峨(30200特效精简会无)</v>
      </c>
    </row>
    <row r="60" spans="1:3">
      <c r="A60" t="str">
        <f>IFERROR(INDEX(装备库!$A$2:$E$2022,MATCH(ROW()-1,装备库!$AK$2:$AK$2022,0),COLUMN()),"")</f>
        <v>护手</v>
      </c>
      <c r="B60" t="str">
        <f>IFERROR(INDEX(装备库!$A$2:$E$2022,MATCH(ROW()-1,装备库!$AK$2:$AK$2022,0),COLUMN()),"")</f>
        <v>7_104934</v>
      </c>
      <c r="C60" t="str">
        <f>IFERROR(INDEX(装备库!$A$2:$E$2022,MATCH(ROW()-1,装备库!$AK$2:$AK$2022,0),5),"")</f>
        <v>雾海谜(30200特效精简会会招)</v>
      </c>
    </row>
    <row r="61" spans="1:3">
      <c r="A61" t="str">
        <f>IFERROR(INDEX(装备库!$A$2:$E$2022,MATCH(ROW()-1,装备库!$AK$2:$AK$2022,0),COLUMN()),"")</f>
        <v>护手</v>
      </c>
      <c r="B61" t="str">
        <f>IFERROR(INDEX(装备库!$A$2:$E$2022,MATCH(ROW()-1,装备库!$AK$2:$AK$2022,0),COLUMN()),"")</f>
        <v>7_104935</v>
      </c>
      <c r="C61" t="str">
        <f>IFERROR(INDEX(装备库!$A$2:$E$2022,MATCH(ROW()-1,装备库!$AK$2:$AK$2022,0),5),"")</f>
        <v>向天歌(30200特效精简会会无)</v>
      </c>
    </row>
    <row r="62" spans="1:3">
      <c r="A62" t="str">
        <f>IFERROR(INDEX(装备库!$A$2:$E$2022,MATCH(ROW()-1,装备库!$AK$2:$AK$2022,0),COLUMN()),"")</f>
        <v>护手</v>
      </c>
      <c r="B62" t="str">
        <f>IFERROR(INDEX(装备库!$A$2:$E$2022,MATCH(ROW()-1,装备库!$AK$2:$AK$2022,0),COLUMN()),"")</f>
        <v>7_104929</v>
      </c>
      <c r="C62" t="str">
        <f>IFERROR(INDEX(装备库!$A$2:$E$2022,MATCH(ROW()-1,装备库!$AK$2:$AK$2022,0),5),"")</f>
        <v>山华护腕·引(30200精简招无)</v>
      </c>
    </row>
    <row r="63" spans="1:3">
      <c r="A63" t="str">
        <f>IFERROR(INDEX(装备库!$A$2:$E$2022,MATCH(ROW()-1,装备库!$AK$2:$AK$2022,0),COLUMN()),"")</f>
        <v>护手</v>
      </c>
      <c r="B63" t="str">
        <f>IFERROR(INDEX(装备库!$A$2:$E$2022,MATCH(ROW()-1,装备库!$AK$2:$AK$2022,0),COLUMN()),"")</f>
        <v>7_104932</v>
      </c>
      <c r="C63" t="str">
        <f>IFERROR(INDEX(装备库!$A$2:$E$2022,MATCH(ROW()-1,装备库!$AK$2:$AK$2022,0),5),"")</f>
        <v>岳鸿护腕·绝(30200精简招破无)</v>
      </c>
    </row>
    <row r="64" spans="1:3">
      <c r="A64" t="str">
        <f>IFERROR(INDEX(装备库!$A$2:$E$2022,MATCH(ROW()-1,装备库!$AK$2:$AK$2022,0),COLUMN()),"")</f>
        <v>护手</v>
      </c>
      <c r="B64" t="str">
        <f>IFERROR(INDEX(装备库!$A$2:$E$2022,MATCH(ROW()-1,装备库!$AK$2:$AK$2022,0),COLUMN()),"")</f>
        <v>7_104926</v>
      </c>
      <c r="C64" t="str">
        <f>IFERROR(INDEX(装备库!$A$2:$E$2022,MATCH(ROW()-1,装备库!$AK$2:$AK$2022,0),5),"")</f>
        <v>风追护腕·尊(30200精简无)</v>
      </c>
    </row>
    <row r="65" spans="1:3">
      <c r="A65" t="str">
        <f>IFERROR(INDEX(装备库!$A$2:$E$2022,MATCH(ROW()-1,装备库!$AK$2:$AK$2022,0),COLUMN()),"")</f>
        <v>护手</v>
      </c>
      <c r="B65" t="str">
        <f>IFERROR(INDEX(装备库!$A$2:$E$2022,MATCH(ROW()-1,装备库!$AK$2:$AK$2022,0),COLUMN()),"")</f>
        <v>7_104933</v>
      </c>
      <c r="C65" t="str">
        <f>IFERROR(INDEX(装备库!$A$2:$E$2022,MATCH(ROW()-1,装备库!$AK$2:$AK$2022,0),5),"")</f>
        <v>苍絮护腕·迅(30200精简速无)</v>
      </c>
    </row>
    <row r="66" spans="1:3">
      <c r="A66" t="str">
        <f>IFERROR(INDEX(装备库!$A$2:$E$2022,MATCH(ROW()-1,装备库!$AK$2:$AK$2022,0),COLUMN()),"")</f>
        <v>护手</v>
      </c>
      <c r="B66" t="str">
        <f>IFERROR(INDEX(装备库!$A$2:$E$2022,MATCH(ROW()-1,装备库!$AK$2:$AK$2022,0),COLUMN()),"")</f>
        <v>7_104928</v>
      </c>
      <c r="C66" t="str">
        <f>IFERROR(INDEX(装备库!$A$2:$E$2022,MATCH(ROW()-1,装备库!$AK$2:$AK$2022,0),5),"")</f>
        <v>水逝护腕·破(30200精简破无)</v>
      </c>
    </row>
    <row r="67" spans="1:3">
      <c r="A67" t="str">
        <f>IFERROR(INDEX(装备库!$A$2:$E$2022,MATCH(ROW()-1,装备库!$AK$2:$AK$2022,0),COLUMN()),"")</f>
        <v>护手</v>
      </c>
      <c r="B67" t="str">
        <f>IFERROR(INDEX(装备库!$A$2:$E$2022,MATCH(ROW()-1,装备库!$AK$2:$AK$2022,0),COLUMN()),"")</f>
        <v>7_104931</v>
      </c>
      <c r="C67" t="str">
        <f>IFERROR(INDEX(装备库!$A$2:$E$2022,MATCH(ROW()-1,装备库!$AK$2:$AK$2022,0),5),"")</f>
        <v>怒影护腕·明(30200精简会招无)</v>
      </c>
    </row>
    <row r="68" spans="1:3">
      <c r="A68" t="str">
        <f>IFERROR(INDEX(装备库!$A$2:$E$2022,MATCH(ROW()-1,装备库!$AK$2:$AK$2022,0),COLUMN()),"")</f>
        <v>护手</v>
      </c>
      <c r="B68" t="str">
        <f>IFERROR(INDEX(装备库!$A$2:$E$2022,MATCH(ROW()-1,装备库!$AK$2:$AK$2022,0),COLUMN()),"")</f>
        <v>7_104927</v>
      </c>
      <c r="C68" t="str">
        <f>IFERROR(INDEX(装备库!$A$2:$E$2022,MATCH(ROW()-1,装备库!$AK$2:$AK$2022,0),5),"")</f>
        <v>云幻护腕·悟(30200精简会无)</v>
      </c>
    </row>
    <row r="69" spans="1:3">
      <c r="A69" t="str">
        <f>IFERROR(INDEX(装备库!$A$2:$E$2022,MATCH(ROW()-1,装备库!$AK$2:$AK$2022,0),COLUMN()),"")</f>
        <v>护手</v>
      </c>
      <c r="B69" t="str">
        <f>IFERROR(INDEX(装备库!$A$2:$E$2022,MATCH(ROW()-1,装备库!$AK$2:$AK$2022,0),COLUMN()),"")</f>
        <v>7_104930</v>
      </c>
      <c r="C69" t="str">
        <f>IFERROR(INDEX(装备库!$A$2:$E$2022,MATCH(ROW()-1,装备库!$AK$2:$AK$2022,0),5),"")</f>
        <v>川涌护腕·觉(30200精简会破无)</v>
      </c>
    </row>
    <row r="70" spans="1:3">
      <c r="A70" t="str">
        <f>IFERROR(INDEX(装备库!$A$2:$E$2022,MATCH(ROW()-1,装备库!$AK$2:$AK$2022,0),COLUMN()),"")</f>
        <v>护手</v>
      </c>
      <c r="B70" t="str">
        <f>IFERROR(INDEX(装备库!$A$2:$E$2022,MATCH(ROW()-1,装备库!$AK$2:$AK$2022,0),COLUMN()),"")</f>
        <v>7_106393</v>
      </c>
      <c r="C70" t="str">
        <f>IFERROR(INDEX(装备库!$A$2:$E$2022,MATCH(ROW()-1,装备库!$AK$2:$AK$2022,0),5),"")</f>
        <v>陶然意·谧秋袖(30700破全)</v>
      </c>
    </row>
    <row r="71" spans="1:3">
      <c r="A71" t="str">
        <f>IFERROR(INDEX(装备库!$A$2:$E$2022,MATCH(ROW()-1,装备库!$AK$2:$AK$2022,0),COLUMN()),"")</f>
        <v>护手</v>
      </c>
      <c r="B71" t="str">
        <f>IFERROR(INDEX(装备库!$A$2:$E$2022,MATCH(ROW()-1,装备库!$AK$2:$AK$2022,0),COLUMN()),"")</f>
        <v>7_104971</v>
      </c>
      <c r="C71" t="str">
        <f>IFERROR(INDEX(装备库!$A$2:$E$2022,MATCH(ROW()-1,装备库!$AK$2:$AK$2022,0),5),"")</f>
        <v>月霭袖(30700破无)</v>
      </c>
    </row>
    <row r="72" spans="1:3">
      <c r="A72" t="str">
        <f>IFERROR(INDEX(装备库!$A$2:$E$2022,MATCH(ROW()-1,装备库!$AK$2:$AK$2022,0),COLUMN()),"")</f>
        <v>护手</v>
      </c>
      <c r="B72" t="str">
        <f>IFERROR(INDEX(装备库!$A$2:$E$2022,MATCH(ROW()-1,装备库!$AK$2:$AK$2022,0),COLUMN()),"")</f>
        <v>7_106683</v>
      </c>
      <c r="C72" t="str">
        <f>IFERROR(INDEX(装备库!$A$2:$E$2022,MATCH(ROW()-1,装备库!$AK$2:$AK$2022,0),5),"")</f>
        <v>【门派套装】牧川·拂梅护手(35300招无)</v>
      </c>
    </row>
    <row r="73" spans="1:3">
      <c r="A73" t="str">
        <f>IFERROR(INDEX(装备库!$A$2:$E$2022,MATCH(ROW()-1,装备库!$AK$2:$AK$2022,0),COLUMN()),"")</f>
        <v>护手</v>
      </c>
      <c r="B73" t="str">
        <f>IFERROR(INDEX(装备库!$A$2:$E$2022,MATCH(ROW()-1,装备库!$AK$2:$AK$2022,0),COLUMN()),"")</f>
        <v>7_110682</v>
      </c>
      <c r="C73" t="str">
        <f>IFERROR(INDEX(装备库!$A$2:$E$2022,MATCH(ROW()-1,装备库!$AK$2:$AK$2022,0),5),"")</f>
        <v>幽墟荡秽·迅鸿护手(35300招无)</v>
      </c>
    </row>
    <row r="74" spans="1:3">
      <c r="A74" t="str">
        <f>IFERROR(INDEX(装备库!$A$2:$E$2022,MATCH(ROW()-1,装备库!$AK$2:$AK$2022,0),COLUMN()),"")</f>
        <v>护手</v>
      </c>
      <c r="B74" t="str">
        <f>IFERROR(INDEX(装备库!$A$2:$E$2022,MATCH(ROW()-1,装备库!$AK$2:$AK$2022,0),COLUMN()),"")</f>
        <v>7_106832</v>
      </c>
      <c r="C74" t="str">
        <f>IFERROR(INDEX(装备库!$A$2:$E$2022,MATCH(ROW()-1,装备库!$AK$2:$AK$2022,0),5),"")</f>
        <v>天风护手(35300速无)</v>
      </c>
    </row>
    <row r="75" spans="1:3">
      <c r="A75" t="str">
        <f>IFERROR(INDEX(装备库!$A$2:$E$2022,MATCH(ROW()-1,装备库!$AK$2:$AK$2022,0),COLUMN()),"")</f>
        <v>护手</v>
      </c>
      <c r="B75" t="str">
        <f>IFERROR(INDEX(装备库!$A$2:$E$2022,MATCH(ROW()-1,装备库!$AK$2:$AK$2022,0),COLUMN()),"")</f>
        <v>7_106868</v>
      </c>
      <c r="C75" t="str">
        <f>IFERROR(INDEX(装备库!$A$2:$E$2022,MATCH(ROW()-1,装备库!$AK$2:$AK$2022,0),5),"")</f>
        <v>晚风护手(35300破无)</v>
      </c>
    </row>
    <row r="76" spans="1:3">
      <c r="A76" t="str">
        <f>IFERROR(INDEX(装备库!$A$2:$E$2022,MATCH(ROW()-1,装备库!$AK$2:$AK$2022,0),COLUMN()),"")</f>
        <v>护手</v>
      </c>
      <c r="B76" t="str">
        <f>IFERROR(INDEX(装备库!$A$2:$E$2022,MATCH(ROW()-1,装备库!$AK$2:$AK$2022,0),COLUMN()),"")</f>
        <v>7_107051</v>
      </c>
      <c r="C76" t="str">
        <f>IFERROR(INDEX(装备库!$A$2:$E$2022,MATCH(ROW()-1,装备库!$AK$2:$AK$2022,0),5),"")</f>
        <v>客行江湖·离帆护腕(35300会无)</v>
      </c>
    </row>
    <row r="77" spans="1:3">
      <c r="A77" t="str">
        <f>IFERROR(INDEX(装备库!$A$2:$E$2022,MATCH(ROW()-1,装备库!$AK$2:$AK$2022,0),COLUMN()),"")</f>
        <v>护手</v>
      </c>
      <c r="B77" t="str">
        <f>IFERROR(INDEX(装备库!$A$2:$E$2022,MATCH(ROW()-1,装备库!$AK$2:$AK$2022,0),COLUMN()),"")</f>
        <v>7_107117</v>
      </c>
      <c r="C77" t="str">
        <f>IFERROR(INDEX(装备库!$A$2:$E$2022,MATCH(ROW()-1,装备库!$AK$2:$AK$2022,0),5),"")</f>
        <v>蒙鸠护腕(35300会无)</v>
      </c>
    </row>
    <row r="78" spans="1:3">
      <c r="A78" t="str">
        <f>IFERROR(INDEX(装备库!$A$2:$E$2022,MATCH(ROW()-1,装备库!$AK$2:$AK$2022,0),COLUMN()),"")</f>
        <v>护手</v>
      </c>
      <c r="B78" t="str">
        <f>IFERROR(INDEX(装备库!$A$2:$E$2022,MATCH(ROW()-1,装备库!$AK$2:$AK$2022,0),COLUMN()),"")</f>
        <v>7_109103</v>
      </c>
      <c r="C78" t="str">
        <f>IFERROR(INDEX(装备库!$A$2:$E$2022,MATCH(ROW()-1,装备库!$AK$2:$AK$2022,0),5),"")</f>
        <v>寻踪觅宝·凌英护手(35300招无)</v>
      </c>
    </row>
    <row r="79" spans="1:3">
      <c r="A79" t="str">
        <f>IFERROR(INDEX(装备库!$A$2:$E$2022,MATCH(ROW()-1,装备库!$AK$2:$AK$2022,0),COLUMN()),"")</f>
        <v>护手</v>
      </c>
      <c r="B79" t="str">
        <f>IFERROR(INDEX(装备库!$A$2:$E$2022,MATCH(ROW()-1,装备库!$AK$2:$AK$2022,0),COLUMN()),"")</f>
        <v>7_106961</v>
      </c>
      <c r="C79" t="str">
        <f>IFERROR(INDEX(装备库!$A$2:$E$2022,MATCH(ROW()-1,装备库!$AK$2:$AK$2022,0),5),"")</f>
        <v>潇潇秋江(35300特效精简招无)</v>
      </c>
    </row>
    <row r="80" spans="1:3">
      <c r="A80" t="str">
        <f>IFERROR(INDEX(装备库!$A$2:$E$2022,MATCH(ROW()-1,装备库!$AK$2:$AK$2022,0),COLUMN()),"")</f>
        <v>护手</v>
      </c>
      <c r="B80" t="str">
        <f>IFERROR(INDEX(装备库!$A$2:$E$2022,MATCH(ROW()-1,装备库!$AK$2:$AK$2022,0),COLUMN()),"")</f>
        <v>7_106962</v>
      </c>
      <c r="C80" t="str">
        <f>IFERROR(INDEX(装备库!$A$2:$E$2022,MATCH(ROW()-1,装备库!$AK$2:$AK$2022,0),5),"")</f>
        <v>水色天容(35300特效精简招)</v>
      </c>
    </row>
    <row r="81" spans="1:3">
      <c r="A81" t="str">
        <f>IFERROR(INDEX(装备库!$A$2:$E$2022,MATCH(ROW()-1,装备库!$AK$2:$AK$2022,0),COLUMN()),"")</f>
        <v>护手</v>
      </c>
      <c r="B81" t="str">
        <f>IFERROR(INDEX(装备库!$A$2:$E$2022,MATCH(ROW()-1,装备库!$AK$2:$AK$2022,0),COLUMN()),"")</f>
        <v>7_108668</v>
      </c>
      <c r="C81" t="str">
        <f>IFERROR(INDEX(装备库!$A$2:$E$2022,MATCH(ROW()-1,装备库!$AK$2:$AK$2022,0),5),"")</f>
        <v>三更静月(35300特效精简速无)</v>
      </c>
    </row>
    <row r="82" spans="1:3">
      <c r="A82" t="str">
        <f>IFERROR(INDEX(装备库!$A$2:$E$2022,MATCH(ROW()-1,装备库!$AK$2:$AK$2022,0),COLUMN()),"")</f>
        <v>护手</v>
      </c>
      <c r="B82" t="str">
        <f>IFERROR(INDEX(装备库!$A$2:$E$2022,MATCH(ROW()-1,装备库!$AK$2:$AK$2022,0),COLUMN()),"")</f>
        <v>7_106960</v>
      </c>
      <c r="C82" t="str">
        <f>IFERROR(INDEX(装备库!$A$2:$E$2022,MATCH(ROW()-1,装备库!$AK$2:$AK$2022,0),5),"")</f>
        <v>玉人金缕(35300特效精简破无)</v>
      </c>
    </row>
    <row r="83" spans="1:3">
      <c r="A83" t="str">
        <f>IFERROR(INDEX(装备库!$A$2:$E$2022,MATCH(ROW()-1,装备库!$AK$2:$AK$2022,0),COLUMN()),"")</f>
        <v>护手</v>
      </c>
      <c r="B83" t="str">
        <f>IFERROR(INDEX(装备库!$A$2:$E$2022,MATCH(ROW()-1,装备库!$AK$2:$AK$2022,0),COLUMN()),"")</f>
        <v>7_106959</v>
      </c>
      <c r="C83" t="str">
        <f>IFERROR(INDEX(装备库!$A$2:$E$2022,MATCH(ROW()-1,装备库!$AK$2:$AK$2022,0),5),"")</f>
        <v>浸月轮(35300特效精简会无)</v>
      </c>
    </row>
    <row r="84" spans="1:3">
      <c r="A84" t="str">
        <f>IFERROR(INDEX(装备库!$A$2:$E$2022,MATCH(ROW()-1,装备库!$AK$2:$AK$2022,0),COLUMN()),"")</f>
        <v>护手</v>
      </c>
      <c r="B84" t="str">
        <f>IFERROR(INDEX(装备库!$A$2:$E$2022,MATCH(ROW()-1,装备库!$AK$2:$AK$2022,0),COLUMN()),"")</f>
        <v>7_106957</v>
      </c>
      <c r="C84" t="str">
        <f>IFERROR(INDEX(装备库!$A$2:$E$2022,MATCH(ROW()-1,装备库!$AK$2:$AK$2022,0),5),"")</f>
        <v>青山夕照(35300特效精简会会招)</v>
      </c>
    </row>
    <row r="85" spans="1:3">
      <c r="A85" t="str">
        <f>IFERROR(INDEX(装备库!$A$2:$E$2022,MATCH(ROW()-1,装备库!$AK$2:$AK$2022,0),COLUMN()),"")</f>
        <v>护手</v>
      </c>
      <c r="B85" t="str">
        <f>IFERROR(INDEX(装备库!$A$2:$E$2022,MATCH(ROW()-1,装备库!$AK$2:$AK$2022,0),COLUMN()),"")</f>
        <v>7_106958</v>
      </c>
      <c r="C85" t="str">
        <f>IFERROR(INDEX(装备库!$A$2:$E$2022,MATCH(ROW()-1,装备库!$AK$2:$AK$2022,0),5),"")</f>
        <v>万里云山(35300特效精简会会无)</v>
      </c>
    </row>
    <row r="86" spans="1:3">
      <c r="A86" t="str">
        <f>IFERROR(INDEX(装备库!$A$2:$E$2022,MATCH(ROW()-1,装备库!$AK$2:$AK$2022,0),COLUMN()),"")</f>
        <v>护手</v>
      </c>
      <c r="B86" t="str">
        <f>IFERROR(INDEX(装备库!$A$2:$E$2022,MATCH(ROW()-1,装备库!$AK$2:$AK$2022,0),COLUMN()),"")</f>
        <v>7_106952</v>
      </c>
      <c r="C86" t="str">
        <f>IFERROR(INDEX(装备库!$A$2:$E$2022,MATCH(ROW()-1,装备库!$AK$2:$AK$2022,0),5),"")</f>
        <v>角弓护腕·引(35300精简招无)</v>
      </c>
    </row>
    <row r="87" spans="1:3">
      <c r="A87" t="str">
        <f>IFERROR(INDEX(装备库!$A$2:$E$2022,MATCH(ROW()-1,装备库!$AK$2:$AK$2022,0),COLUMN()),"")</f>
        <v>护手</v>
      </c>
      <c r="B87" t="str">
        <f>IFERROR(INDEX(装备库!$A$2:$E$2022,MATCH(ROW()-1,装备库!$AK$2:$AK$2022,0),COLUMN()),"")</f>
        <v>7_106955</v>
      </c>
      <c r="C87" t="str">
        <f>IFERROR(INDEX(装备库!$A$2:$E$2022,MATCH(ROW()-1,装备库!$AK$2:$AK$2022,0),5),"")</f>
        <v>萧关护腕·绝(35300精简招破无)</v>
      </c>
    </row>
    <row r="88" spans="1:3">
      <c r="A88" t="str">
        <f>IFERROR(INDEX(装备库!$A$2:$E$2022,MATCH(ROW()-1,装备库!$AK$2:$AK$2022,0),COLUMN()),"")</f>
        <v>护手</v>
      </c>
      <c r="B88" t="str">
        <f>IFERROR(INDEX(装备库!$A$2:$E$2022,MATCH(ROW()-1,装备库!$AK$2:$AK$2022,0),COLUMN()),"")</f>
        <v>7_106949</v>
      </c>
      <c r="C88" t="str">
        <f>IFERROR(INDEX(装备库!$A$2:$E$2022,MATCH(ROW()-1,装备库!$AK$2:$AK$2022,0),5),"")</f>
        <v>江皋护腕·尊(35300精简无)</v>
      </c>
    </row>
    <row r="89" spans="1:3">
      <c r="A89" t="str">
        <f>IFERROR(INDEX(装备库!$A$2:$E$2022,MATCH(ROW()-1,装备库!$AK$2:$AK$2022,0),COLUMN()),"")</f>
        <v>护手</v>
      </c>
      <c r="B89" t="str">
        <f>IFERROR(INDEX(装备库!$A$2:$E$2022,MATCH(ROW()-1,装备库!$AK$2:$AK$2022,0),COLUMN()),"")</f>
        <v>7_106956</v>
      </c>
      <c r="C89" t="str">
        <f>IFERROR(INDEX(装备库!$A$2:$E$2022,MATCH(ROW()-1,装备库!$AK$2:$AK$2022,0),5),"")</f>
        <v>舂黍护腕·迅(35300精简速无)</v>
      </c>
    </row>
    <row r="90" spans="1:3">
      <c r="A90" t="str">
        <f>IFERROR(INDEX(装备库!$A$2:$E$2022,MATCH(ROW()-1,装备库!$AK$2:$AK$2022,0),COLUMN()),"")</f>
        <v>护手</v>
      </c>
      <c r="B90" t="str">
        <f>IFERROR(INDEX(装备库!$A$2:$E$2022,MATCH(ROW()-1,装备库!$AK$2:$AK$2022,0),COLUMN()),"")</f>
        <v>7_106951</v>
      </c>
      <c r="C90" t="str">
        <f>IFERROR(INDEX(装备库!$A$2:$E$2022,MATCH(ROW()-1,装备库!$AK$2:$AK$2022,0),5),"")</f>
        <v>云汉护腕·破(35300精简破无)</v>
      </c>
    </row>
    <row r="91" spans="1:3">
      <c r="A91" t="str">
        <f>IFERROR(INDEX(装备库!$A$2:$E$2022,MATCH(ROW()-1,装备库!$AK$2:$AK$2022,0),COLUMN()),"")</f>
        <v>护手</v>
      </c>
      <c r="B91" t="str">
        <f>IFERROR(INDEX(装备库!$A$2:$E$2022,MATCH(ROW()-1,装备库!$AK$2:$AK$2022,0),COLUMN()),"")</f>
        <v>7_106954</v>
      </c>
      <c r="C91" t="str">
        <f>IFERROR(INDEX(装备库!$A$2:$E$2022,MATCH(ROW()-1,装备库!$AK$2:$AK$2022,0),5),"")</f>
        <v>晴川护腕·明(35300精简会招无)</v>
      </c>
    </row>
    <row r="92" spans="1:3">
      <c r="A92" t="str">
        <f>IFERROR(INDEX(装备库!$A$2:$E$2022,MATCH(ROW()-1,装备库!$AK$2:$AK$2022,0),COLUMN()),"")</f>
        <v>护手</v>
      </c>
      <c r="B92" t="str">
        <f>IFERROR(INDEX(装备库!$A$2:$E$2022,MATCH(ROW()-1,装备库!$AK$2:$AK$2022,0),COLUMN()),"")</f>
        <v>7_106950</v>
      </c>
      <c r="C92" t="str">
        <f>IFERROR(INDEX(装备库!$A$2:$E$2022,MATCH(ROW()-1,装备库!$AK$2:$AK$2022,0),5),"")</f>
        <v>列缺护腕·悟(35300精简会无)</v>
      </c>
    </row>
    <row r="93" spans="1:3">
      <c r="A93" t="str">
        <f>IFERROR(INDEX(装备库!$A$2:$E$2022,MATCH(ROW()-1,装备库!$AK$2:$AK$2022,0),COLUMN()),"")</f>
        <v>护手</v>
      </c>
      <c r="B93" t="str">
        <f>IFERROR(INDEX(装备库!$A$2:$E$2022,MATCH(ROW()-1,装备库!$AK$2:$AK$2022,0),COLUMN()),"")</f>
        <v>7_106953</v>
      </c>
      <c r="C93" t="str">
        <f>IFERROR(INDEX(装备库!$A$2:$E$2022,MATCH(ROW()-1,装备库!$AK$2:$AK$2022,0),5),"")</f>
        <v>沉舟护腕·觉(35300精简会破无)</v>
      </c>
    </row>
    <row r="94" spans="1:3">
      <c r="A94" t="str">
        <f>IFERROR(INDEX(装备库!$A$2:$E$2022,MATCH(ROW()-1,装备库!$AK$2:$AK$2022,0),COLUMN()),"")</f>
        <v>护手</v>
      </c>
      <c r="B94" t="str">
        <f>IFERROR(INDEX(装备库!$A$2:$E$2022,MATCH(ROW()-1,装备库!$AK$2:$AK$2022,0),COLUMN()),"")</f>
        <v>7_107015</v>
      </c>
      <c r="C94" t="str">
        <f>IFERROR(INDEX(装备库!$A$2:$E$2022,MATCH(ROW()-1,装备库!$AK$2:$AK$2022,0),5),"")</f>
        <v>江舟护腕(35900破无)</v>
      </c>
    </row>
    <row r="95" spans="1:3">
      <c r="A95" t="str">
        <f>IFERROR(INDEX(装备库!$A$2:$E$2022,MATCH(ROW()-1,装备库!$AK$2:$AK$2022,0),COLUMN()),"")</f>
        <v>护手</v>
      </c>
      <c r="B95" t="str">
        <f>IFERROR(INDEX(装备库!$A$2:$E$2022,MATCH(ROW()-1,装备库!$AK$2:$AK$2022,0),COLUMN()),"")</f>
        <v>7_108326</v>
      </c>
      <c r="C95" t="str">
        <f>IFERROR(INDEX(装备库!$A$2:$E$2022,MATCH(ROW()-1,装备库!$AK$2:$AK$2022,0),5),"")</f>
        <v>陶然意·折柳护腕(36200破全)</v>
      </c>
    </row>
    <row r="96" spans="1:3">
      <c r="A96" t="str">
        <f>IFERROR(INDEX(装备库!$A$2:$E$2022,MATCH(ROW()-1,装备库!$AK$2:$AK$2022,0),COLUMN()),"")</f>
        <v>护手</v>
      </c>
      <c r="B96" t="str">
        <f>IFERROR(INDEX(装备库!$A$2:$E$2022,MATCH(ROW()-1,装备库!$AK$2:$AK$2022,0),COLUMN()),"")</f>
        <v>7_109144</v>
      </c>
      <c r="C96" t="str">
        <f>IFERROR(INDEX(装备库!$A$2:$E$2022,MATCH(ROW()-1,装备库!$AK$2:$AK$2022,0),5),"")</f>
        <v>【门派套装】玄阙·燃炼护腕(41400招无)</v>
      </c>
    </row>
    <row r="97" spans="1:3">
      <c r="A97" t="str">
        <f>IFERROR(INDEX(装备库!$A$2:$E$2022,MATCH(ROW()-1,装备库!$AK$2:$AK$2022,0),COLUMN()),"")</f>
        <v>护手</v>
      </c>
      <c r="B97" t="str">
        <f>IFERROR(INDEX(装备库!$A$2:$E$2022,MATCH(ROW()-1,装备库!$AK$2:$AK$2022,0),COLUMN()),"")</f>
        <v>7_109293</v>
      </c>
      <c r="C97" t="str">
        <f>IFERROR(INDEX(装备库!$A$2:$E$2022,MATCH(ROW()-1,装备库!$AK$2:$AK$2022,0),5),"")</f>
        <v>尘隐袖(41400速无)</v>
      </c>
    </row>
    <row r="98" spans="1:3">
      <c r="A98" t="str">
        <f>IFERROR(INDEX(装备库!$A$2:$E$2022,MATCH(ROW()-1,装备库!$AK$2:$AK$2022,0),COLUMN()),"")</f>
        <v>护手</v>
      </c>
      <c r="B98" t="str">
        <f>IFERROR(INDEX(装备库!$A$2:$E$2022,MATCH(ROW()-1,装备库!$AK$2:$AK$2022,0),COLUMN()),"")</f>
        <v>7_109329</v>
      </c>
      <c r="C98" t="str">
        <f>IFERROR(INDEX(装备库!$A$2:$E$2022,MATCH(ROW()-1,装备库!$AK$2:$AK$2022,0),5),"")</f>
        <v>流漓袖(41400破无)</v>
      </c>
    </row>
    <row r="99" spans="1:3">
      <c r="A99" t="str">
        <f>IFERROR(INDEX(装备库!$A$2:$E$2022,MATCH(ROW()-1,装备库!$AK$2:$AK$2022,0),COLUMN()),"")</f>
        <v>护手</v>
      </c>
      <c r="B99" t="str">
        <f>IFERROR(INDEX(装备库!$A$2:$E$2022,MATCH(ROW()-1,装备库!$AK$2:$AK$2022,0),COLUMN()),"")</f>
        <v>7_109512</v>
      </c>
      <c r="C99" t="str">
        <f>IFERROR(INDEX(装备库!$A$2:$E$2022,MATCH(ROW()-1,装备库!$AK$2:$AK$2022,0),5),"")</f>
        <v>客行江湖·霁影护手(41400会无)</v>
      </c>
    </row>
    <row r="100" spans="1:3">
      <c r="A100" t="str">
        <f>IFERROR(INDEX(装备库!$A$2:$E$2022,MATCH(ROW()-1,装备库!$AK$2:$AK$2022,0),COLUMN()),"")</f>
        <v>护手</v>
      </c>
      <c r="B100" t="str">
        <f>IFERROR(INDEX(装备库!$A$2:$E$2022,MATCH(ROW()-1,装备库!$AK$2:$AK$2022,0),COLUMN()),"")</f>
        <v>7_109578</v>
      </c>
      <c r="C100" t="str">
        <f>IFERROR(INDEX(装备库!$A$2:$E$2022,MATCH(ROW()-1,装备库!$AK$2:$AK$2022,0),5),"")</f>
        <v>曜影护手(41400会无)</v>
      </c>
    </row>
    <row r="101" spans="1:3">
      <c r="A101" t="str">
        <f>IFERROR(INDEX(装备库!$A$2:$E$2022,MATCH(ROW()-1,装备库!$AK$2:$AK$2022,0),COLUMN()),"")</f>
        <v>护手</v>
      </c>
      <c r="B101" t="str">
        <f>IFERROR(INDEX(装备库!$A$2:$E$2022,MATCH(ROW()-1,装备库!$AK$2:$AK$2022,0),COLUMN()),"")</f>
        <v>7_109422</v>
      </c>
      <c r="C101" t="str">
        <f>IFERROR(INDEX(装备库!$A$2:$E$2022,MATCH(ROW()-1,装备库!$AK$2:$AK$2022,0),5),"")</f>
        <v>残月如钩(41400特效精简招无)</v>
      </c>
    </row>
    <row r="102" spans="1:3">
      <c r="A102" t="str">
        <f>IFERROR(INDEX(装备库!$A$2:$E$2022,MATCH(ROW()-1,装备库!$AK$2:$AK$2022,0),COLUMN()),"")</f>
        <v>护手</v>
      </c>
      <c r="B102" t="str">
        <f>IFERROR(INDEX(装备库!$A$2:$E$2022,MATCH(ROW()-1,装备库!$AK$2:$AK$2022,0),COLUMN()),"")</f>
        <v>7_109423</v>
      </c>
      <c r="C102" t="str">
        <f>IFERROR(INDEX(装备库!$A$2:$E$2022,MATCH(ROW()-1,装备库!$AK$2:$AK$2022,0),5),"")</f>
        <v>千里无鸦(41400特效精简招)</v>
      </c>
    </row>
    <row r="103" spans="1:3">
      <c r="A103" t="str">
        <f>IFERROR(INDEX(装备库!$A$2:$E$2022,MATCH(ROW()-1,装备库!$AK$2:$AK$2022,0),COLUMN()),"")</f>
        <v>护手</v>
      </c>
      <c r="B103" t="str">
        <f>IFERROR(INDEX(装备库!$A$2:$E$2022,MATCH(ROW()-1,装备库!$AK$2:$AK$2022,0),COLUMN()),"")</f>
        <v>7_110946</v>
      </c>
      <c r="C103" t="str">
        <f>IFERROR(INDEX(装备库!$A$2:$E$2022,MATCH(ROW()-1,装备库!$AK$2:$AK$2022,0),5),"")</f>
        <v>枯叶知秋(41400特效精简速无)</v>
      </c>
    </row>
    <row r="104" spans="1:3">
      <c r="A104" t="str">
        <f>IFERROR(INDEX(装备库!$A$2:$E$2022,MATCH(ROW()-1,装备库!$AK$2:$AK$2022,0),COLUMN()),"")</f>
        <v>护手</v>
      </c>
      <c r="B104" t="str">
        <f>IFERROR(INDEX(装备库!$A$2:$E$2022,MATCH(ROW()-1,装备库!$AK$2:$AK$2022,0),COLUMN()),"")</f>
        <v>7_109421</v>
      </c>
      <c r="C104" t="str">
        <f>IFERROR(INDEX(装备库!$A$2:$E$2022,MATCH(ROW()-1,装备库!$AK$2:$AK$2022,0),5),"")</f>
        <v>断魂无迹(41400特效精简破无)</v>
      </c>
    </row>
    <row r="105" spans="1:3">
      <c r="A105" t="str">
        <f>IFERROR(INDEX(装备库!$A$2:$E$2022,MATCH(ROW()-1,装备库!$AK$2:$AK$2022,0),COLUMN()),"")</f>
        <v>护手</v>
      </c>
      <c r="B105" t="str">
        <f>IFERROR(INDEX(装备库!$A$2:$E$2022,MATCH(ROW()-1,装备库!$AK$2:$AK$2022,0),COLUMN()),"")</f>
        <v>7_109420</v>
      </c>
      <c r="C105" t="str">
        <f>IFERROR(INDEX(装备库!$A$2:$E$2022,MATCH(ROW()-1,装备库!$AK$2:$AK$2022,0),5),"")</f>
        <v>蛇行影没(41400特效精简会无)</v>
      </c>
    </row>
    <row r="106" spans="1:3">
      <c r="A106" t="str">
        <f>IFERROR(INDEX(装备库!$A$2:$E$2022,MATCH(ROW()-1,装备库!$AK$2:$AK$2022,0),COLUMN()),"")</f>
        <v>护手</v>
      </c>
      <c r="B106" t="str">
        <f>IFERROR(INDEX(装备库!$A$2:$E$2022,MATCH(ROW()-1,装备库!$AK$2:$AK$2022,0),COLUMN()),"")</f>
        <v>7_109418</v>
      </c>
      <c r="C106" t="str">
        <f>IFERROR(INDEX(装备库!$A$2:$E$2022,MATCH(ROW()-1,装备库!$AK$2:$AK$2022,0),5),"")</f>
        <v>孤灯灭处(41400特效精简会会招)</v>
      </c>
    </row>
    <row r="107" spans="1:3">
      <c r="A107" t="str">
        <f>IFERROR(INDEX(装备库!$A$2:$E$2022,MATCH(ROW()-1,装备库!$AK$2:$AK$2022,0),COLUMN()),"")</f>
        <v>护手</v>
      </c>
      <c r="B107" t="str">
        <f>IFERROR(INDEX(装备库!$A$2:$E$2022,MATCH(ROW()-1,装备库!$AK$2:$AK$2022,0),COLUMN()),"")</f>
        <v>7_109419</v>
      </c>
      <c r="C107" t="str">
        <f>IFERROR(INDEX(装备库!$A$2:$E$2022,MATCH(ROW()-1,装备库!$AK$2:$AK$2022,0),5),"")</f>
        <v>白骨成霜(41400特效精简会会无)</v>
      </c>
    </row>
    <row r="108" spans="1:3">
      <c r="A108" t="str">
        <f>IFERROR(INDEX(装备库!$A$2:$E$2022,MATCH(ROW()-1,装备库!$AK$2:$AK$2022,0),COLUMN()),"")</f>
        <v>护手</v>
      </c>
      <c r="B108" t="str">
        <f>IFERROR(INDEX(装备库!$A$2:$E$2022,MATCH(ROW()-1,装备库!$AK$2:$AK$2022,0),COLUMN()),"")</f>
        <v>7_109413</v>
      </c>
      <c r="C108" t="str">
        <f>IFERROR(INDEX(装备库!$A$2:$E$2022,MATCH(ROW()-1,装备库!$AK$2:$AK$2022,0),5),"")</f>
        <v>野渡护腕·引(41400精简招无)</v>
      </c>
    </row>
    <row r="109" spans="1:3">
      <c r="A109" t="str">
        <f>IFERROR(INDEX(装备库!$A$2:$E$2022,MATCH(ROW()-1,装备库!$AK$2:$AK$2022,0),COLUMN()),"")</f>
        <v>护手</v>
      </c>
      <c r="B109" t="str">
        <f>IFERROR(INDEX(装备库!$A$2:$E$2022,MATCH(ROW()-1,装备库!$AK$2:$AK$2022,0),COLUMN()),"")</f>
        <v>7_109416</v>
      </c>
      <c r="C109" t="str">
        <f>IFERROR(INDEX(装备库!$A$2:$E$2022,MATCH(ROW()-1,装备库!$AK$2:$AK$2022,0),5),"")</f>
        <v>斜空护腕·绝(41400精简招破无)</v>
      </c>
    </row>
    <row r="110" spans="1:3">
      <c r="A110" t="str">
        <f>IFERROR(INDEX(装备库!$A$2:$E$2022,MATCH(ROW()-1,装备库!$AK$2:$AK$2022,0),COLUMN()),"")</f>
        <v>护手</v>
      </c>
      <c r="B110" t="str">
        <f>IFERROR(INDEX(装备库!$A$2:$E$2022,MATCH(ROW()-1,装备库!$AK$2:$AK$2022,0),COLUMN()),"")</f>
        <v>7_109410</v>
      </c>
      <c r="C110" t="str">
        <f>IFERROR(INDEX(装备库!$A$2:$E$2022,MATCH(ROW()-1,装备库!$AK$2:$AK$2022,0),5),"")</f>
        <v>寒戾护腕·尊(41400精简无)</v>
      </c>
    </row>
    <row r="111" spans="1:3">
      <c r="A111" t="str">
        <f>IFERROR(INDEX(装备库!$A$2:$E$2022,MATCH(ROW()-1,装备库!$AK$2:$AK$2022,0),COLUMN()),"")</f>
        <v>护手</v>
      </c>
      <c r="B111" t="str">
        <f>IFERROR(INDEX(装备库!$A$2:$E$2022,MATCH(ROW()-1,装备库!$AK$2:$AK$2022,0),COLUMN()),"")</f>
        <v>7_109417</v>
      </c>
      <c r="C111" t="str">
        <f>IFERROR(INDEX(装备库!$A$2:$E$2022,MATCH(ROW()-1,装备库!$AK$2:$AK$2022,0),5),"")</f>
        <v>吹霞护腕·迅(41400精简速无)</v>
      </c>
    </row>
    <row r="112" spans="1:3">
      <c r="A112" t="str">
        <f>IFERROR(INDEX(装备库!$A$2:$E$2022,MATCH(ROW()-1,装备库!$AK$2:$AK$2022,0),COLUMN()),"")</f>
        <v>护手</v>
      </c>
      <c r="B112" t="str">
        <f>IFERROR(INDEX(装备库!$A$2:$E$2022,MATCH(ROW()-1,装备库!$AK$2:$AK$2022,0),COLUMN()),"")</f>
        <v>7_109412</v>
      </c>
      <c r="C112" t="str">
        <f>IFERROR(INDEX(装备库!$A$2:$E$2022,MATCH(ROW()-1,装备库!$AK$2:$AK$2022,0),5),"")</f>
        <v>苍刃护腕·破(41400精简破无)</v>
      </c>
    </row>
    <row r="113" spans="1:3">
      <c r="A113" t="str">
        <f>IFERROR(INDEX(装备库!$A$2:$E$2022,MATCH(ROW()-1,装备库!$AK$2:$AK$2022,0),COLUMN()),"")</f>
        <v>护手</v>
      </c>
      <c r="B113" t="str">
        <f>IFERROR(INDEX(装备库!$A$2:$E$2022,MATCH(ROW()-1,装备库!$AK$2:$AK$2022,0),COLUMN()),"")</f>
        <v>7_109415</v>
      </c>
      <c r="C113" t="str">
        <f>IFERROR(INDEX(装备库!$A$2:$E$2022,MATCH(ROW()-1,装备库!$AK$2:$AK$2022,0),5),"")</f>
        <v>肃寒护腕·明(41400精简会招无)</v>
      </c>
    </row>
    <row r="114" spans="1:3">
      <c r="A114" t="str">
        <f>IFERROR(INDEX(装备库!$A$2:$E$2022,MATCH(ROW()-1,装备库!$AK$2:$AK$2022,0),COLUMN()),"")</f>
        <v>护手</v>
      </c>
      <c r="B114" t="str">
        <f>IFERROR(INDEX(装备库!$A$2:$E$2022,MATCH(ROW()-1,装备库!$AK$2:$AK$2022,0),COLUMN()),"")</f>
        <v>7_109411</v>
      </c>
      <c r="C114" t="str">
        <f>IFERROR(INDEX(装备库!$A$2:$E$2022,MATCH(ROW()-1,装备库!$AK$2:$AK$2022,0),5),"")</f>
        <v>孤煞护腕·悟(41400精简会无)</v>
      </c>
    </row>
    <row r="115" spans="1:3">
      <c r="A115" t="str">
        <f>IFERROR(INDEX(装备库!$A$2:$E$2022,MATCH(ROW()-1,装备库!$AK$2:$AK$2022,0),COLUMN()),"")</f>
        <v>护手</v>
      </c>
      <c r="B115" t="str">
        <f>IFERROR(INDEX(装备库!$A$2:$E$2022,MATCH(ROW()-1,装备库!$AK$2:$AK$2022,0),COLUMN()),"")</f>
        <v>7_109414</v>
      </c>
      <c r="C115" t="str">
        <f>IFERROR(INDEX(装备库!$A$2:$E$2022,MATCH(ROW()-1,装备库!$AK$2:$AK$2022,0),5),"")</f>
        <v>荒泽护腕·觉(41400精简会破无)</v>
      </c>
    </row>
    <row r="116" spans="1:3">
      <c r="A116" t="str">
        <f>IFERROR(INDEX(装备库!$A$2:$E$2022,MATCH(ROW()-1,装备库!$AK$2:$AK$2022,0),COLUMN()),"")</f>
        <v>护手</v>
      </c>
      <c r="B116" t="str">
        <f>IFERROR(INDEX(装备库!$A$2:$E$2022,MATCH(ROW()-1,装备库!$AK$2:$AK$2022,0),COLUMN()),"")</f>
        <v>7_109476</v>
      </c>
      <c r="C116" t="str">
        <f>IFERROR(INDEX(装备库!$A$2:$E$2022,MATCH(ROW()-1,装备库!$AK$2:$AK$2022,0),5),"")</f>
        <v>尧影护腕(42100破无)</v>
      </c>
    </row>
    <row r="117" spans="1:3">
      <c r="A117" t="str">
        <f>IFERROR(INDEX(装备库!$A$2:$E$2022,MATCH(ROW()-1,装备库!$AK$2:$AK$2022,0),COLUMN()),"")</f>
        <v>护手</v>
      </c>
      <c r="B117" t="str">
        <f>IFERROR(INDEX(装备库!$A$2:$E$2022,MATCH(ROW()-1,装备库!$AK$2:$AK$2022,0),COLUMN()),"")</f>
        <v>7_110787</v>
      </c>
      <c r="C117" t="str">
        <f>IFERROR(INDEX(装备库!$A$2:$E$2022,MATCH(ROW()-1,装备库!$AK$2:$AK$2022,0),5),"")</f>
        <v>陶然意·烟峦护手(42400破全)</v>
      </c>
    </row>
    <row r="118" spans="1:3">
      <c r="A118" t="str">
        <f>IFERROR(INDEX(装备库!$A$2:$E$2022,MATCH(ROW()-1,装备库!$AK$2:$AK$2022,0),COLUMN()),"")</f>
        <v>戒指</v>
      </c>
      <c r="B118" t="str">
        <f>IFERROR(INDEX(装备库!$A$2:$E$2022,MATCH(ROW()-1,装备库!$AK$2:$AK$2022,0),COLUMN()),"")</f>
        <v>8_45509</v>
      </c>
      <c r="C118" t="str">
        <f>IFERROR(INDEX(装备库!$A$2:$E$2022,MATCH(ROW()-1,装备库!$AK$2:$AK$2022,0),5),"")</f>
        <v>镂云戒(30200速全)</v>
      </c>
    </row>
    <row r="119" spans="1:3">
      <c r="A119" t="str">
        <f>IFERROR(INDEX(装备库!$A$2:$E$2022,MATCH(ROW()-1,装备库!$AK$2:$AK$2022,0),COLUMN()),"")</f>
        <v>戒指</v>
      </c>
      <c r="B119" t="str">
        <f>IFERROR(INDEX(装备库!$A$2:$E$2022,MATCH(ROW()-1,装备库!$AK$2:$AK$2022,0),COLUMN()),"")</f>
        <v>8_45491</v>
      </c>
      <c r="C119" t="str">
        <f>IFERROR(INDEX(装备库!$A$2:$E$2022,MATCH(ROW()-1,装备库!$AK$2:$AK$2022,0),5),"")</f>
        <v>智渊戒(30200破全)</v>
      </c>
    </row>
    <row r="120" spans="1:3">
      <c r="A120" t="str">
        <f>IFERROR(INDEX(装备库!$A$2:$E$2022,MATCH(ROW()-1,装备库!$AK$2:$AK$2022,0),COLUMN()),"")</f>
        <v>戒指</v>
      </c>
      <c r="B120" t="str">
        <f>IFERROR(INDEX(装备库!$A$2:$E$2022,MATCH(ROW()-1,装备库!$AK$2:$AK$2022,0),COLUMN()),"")</f>
        <v>8_49355</v>
      </c>
      <c r="C120" t="str">
        <f>IFERROR(INDEX(装备库!$A$2:$E$2022,MATCH(ROW()-1,装备库!$AK$2:$AK$2022,0),5),"")</f>
        <v>臻泽戒(30200会全)</v>
      </c>
    </row>
    <row r="121" spans="1:3">
      <c r="A121" t="str">
        <f>IFERROR(INDEX(装备库!$A$2:$E$2022,MATCH(ROW()-1,装备库!$AK$2:$AK$2022,0),COLUMN()),"")</f>
        <v>戒指</v>
      </c>
      <c r="B121" t="str">
        <f>IFERROR(INDEX(装备库!$A$2:$E$2022,MATCH(ROW()-1,装备库!$AK$2:$AK$2022,0),COLUMN()),"")</f>
        <v>8_42860</v>
      </c>
      <c r="C121" t="str">
        <f>IFERROR(INDEX(装备库!$A$2:$E$2022,MATCH(ROW()-1,装备库!$AK$2:$AK$2022,0),5),"")</f>
        <v>羽缀戒(30200招无)</v>
      </c>
    </row>
    <row r="122" spans="1:3">
      <c r="A122" t="str">
        <f>IFERROR(INDEX(装备库!$A$2:$E$2022,MATCH(ROW()-1,装备库!$AK$2:$AK$2022,0),COLUMN()),"")</f>
        <v>戒指</v>
      </c>
      <c r="B122" t="str">
        <f>IFERROR(INDEX(装备库!$A$2:$E$2022,MATCH(ROW()-1,装备库!$AK$2:$AK$2022,0),COLUMN()),"")</f>
        <v>8_42954</v>
      </c>
      <c r="C122" t="str">
        <f>IFERROR(INDEX(装备库!$A$2:$E$2022,MATCH(ROW()-1,装备库!$AK$2:$AK$2022,0),5),"")</f>
        <v>问殿指环(30200招无)</v>
      </c>
    </row>
    <row r="123" spans="1:3">
      <c r="A123" t="str">
        <f>IFERROR(INDEX(装备库!$A$2:$E$2022,MATCH(ROW()-1,装备库!$AK$2:$AK$2022,0),COLUMN()),"")</f>
        <v>戒指</v>
      </c>
      <c r="B123" t="str">
        <f>IFERROR(INDEX(装备库!$A$2:$E$2022,MATCH(ROW()-1,装备库!$AK$2:$AK$2022,0),COLUMN()),"")</f>
        <v>8_42984</v>
      </c>
      <c r="C123" t="str">
        <f>IFERROR(INDEX(装备库!$A$2:$E$2022,MATCH(ROW()-1,装备库!$AK$2:$AK$2022,0),5),"")</f>
        <v>衔月戒(30200速无)</v>
      </c>
    </row>
    <row r="124" spans="1:3">
      <c r="A124" t="str">
        <f>IFERROR(INDEX(装备库!$A$2:$E$2022,MATCH(ROW()-1,装备库!$AK$2:$AK$2022,0),COLUMN()),"")</f>
        <v>戒指</v>
      </c>
      <c r="B124" t="str">
        <f>IFERROR(INDEX(装备库!$A$2:$E$2022,MATCH(ROW()-1,装备库!$AK$2:$AK$2022,0),COLUMN()),"")</f>
        <v>8_42879</v>
      </c>
      <c r="C124" t="str">
        <f>IFERROR(INDEX(装备库!$A$2:$E$2022,MATCH(ROW()-1,装备库!$AK$2:$AK$2022,0),5),"")</f>
        <v>润源戒(30200会无)</v>
      </c>
    </row>
    <row r="125" spans="1:3">
      <c r="A125" t="str">
        <f>IFERROR(INDEX(装备库!$A$2:$E$2022,MATCH(ROW()-1,装备库!$AK$2:$AK$2022,0),COLUMN()),"")</f>
        <v>戒指</v>
      </c>
      <c r="B125" t="str">
        <f>IFERROR(INDEX(装备库!$A$2:$E$2022,MATCH(ROW()-1,装备库!$AK$2:$AK$2022,0),COLUMN()),"")</f>
        <v>8_42972</v>
      </c>
      <c r="C125" t="str">
        <f>IFERROR(INDEX(装备库!$A$2:$E$2022,MATCH(ROW()-1,装备库!$AK$2:$AK$2022,0),5),"")</f>
        <v>标雁戒(30200会无)</v>
      </c>
    </row>
    <row r="126" spans="1:3">
      <c r="A126" t="str">
        <f>IFERROR(INDEX(装备库!$A$2:$E$2022,MATCH(ROW()-1,装备库!$AK$2:$AK$2022,0),COLUMN()),"")</f>
        <v>戒指</v>
      </c>
      <c r="B126" t="str">
        <f>IFERROR(INDEX(装备库!$A$2:$E$2022,MATCH(ROW()-1,装备库!$AK$2:$AK$2022,0),COLUMN()),"")</f>
        <v>8_43072</v>
      </c>
      <c r="C126" t="str">
        <f>IFERROR(INDEX(装备库!$A$2:$E$2022,MATCH(ROW()-1,装备库!$AK$2:$AK$2022,0),5),"")</f>
        <v>客行江湖·日斜指环(30200破无)</v>
      </c>
    </row>
    <row r="127" spans="1:3">
      <c r="A127" t="str">
        <f>IFERROR(INDEX(装备库!$A$2:$E$2022,MATCH(ROW()-1,装备库!$AK$2:$AK$2022,0),COLUMN()),"")</f>
        <v>戒指</v>
      </c>
      <c r="B127" t="str">
        <f>IFERROR(INDEX(装备库!$A$2:$E$2022,MATCH(ROW()-1,装备库!$AK$2:$AK$2022,0),COLUMN()),"")</f>
        <v>8_43020</v>
      </c>
      <c r="C127" t="str">
        <f>IFERROR(INDEX(装备库!$A$2:$E$2022,MATCH(ROW()-1,装备库!$AK$2:$AK$2022,0),5),"")</f>
        <v>溪畔行(30200特效精简招无)</v>
      </c>
    </row>
    <row r="128" spans="1:3">
      <c r="A128" t="str">
        <f>IFERROR(INDEX(装备库!$A$2:$E$2022,MATCH(ROW()-1,装备库!$AK$2:$AK$2022,0),COLUMN()),"")</f>
        <v>戒指</v>
      </c>
      <c r="B128" t="str">
        <f>IFERROR(INDEX(装备库!$A$2:$E$2022,MATCH(ROW()-1,装备库!$AK$2:$AK$2022,0),COLUMN()),"")</f>
        <v>8_43019</v>
      </c>
      <c r="C128" t="str">
        <f>IFERROR(INDEX(装备库!$A$2:$E$2022,MATCH(ROW()-1,装备库!$AK$2:$AK$2022,0),5),"")</f>
        <v>芳洲曲(30200特效精简破无)</v>
      </c>
    </row>
    <row r="129" spans="1:3">
      <c r="A129" t="str">
        <f>IFERROR(INDEX(装备库!$A$2:$E$2022,MATCH(ROW()-1,装备库!$AK$2:$AK$2022,0),COLUMN()),"")</f>
        <v>戒指</v>
      </c>
      <c r="B129" t="str">
        <f>IFERROR(INDEX(装备库!$A$2:$E$2022,MATCH(ROW()-1,装备库!$AK$2:$AK$2022,0),COLUMN()),"")</f>
        <v>8_43017</v>
      </c>
      <c r="C129" t="str">
        <f>IFERROR(INDEX(装备库!$A$2:$E$2022,MATCH(ROW()-1,装备库!$AK$2:$AK$2022,0),5),"")</f>
        <v>万壑歌(30200特效精简会招破无)</v>
      </c>
    </row>
    <row r="130" spans="1:3">
      <c r="A130" t="str">
        <f>IFERROR(INDEX(装备库!$A$2:$E$2022,MATCH(ROW()-1,装备库!$AK$2:$AK$2022,0),COLUMN()),"")</f>
        <v>戒指</v>
      </c>
      <c r="B130" t="str">
        <f>IFERROR(INDEX(装备库!$A$2:$E$2022,MATCH(ROW()-1,装备库!$AK$2:$AK$2022,0),COLUMN()),"")</f>
        <v>8_43018</v>
      </c>
      <c r="C130" t="str">
        <f>IFERROR(INDEX(装备库!$A$2:$E$2022,MATCH(ROW()-1,装备库!$AK$2:$AK$2022,0),5),"")</f>
        <v>忘蹉跎(30200特效精简会无)</v>
      </c>
    </row>
    <row r="131" spans="1:3">
      <c r="A131" t="str">
        <f>IFERROR(INDEX(装备库!$A$2:$E$2022,MATCH(ROW()-1,装备库!$AK$2:$AK$2022,0),COLUMN()),"")</f>
        <v>戒指</v>
      </c>
      <c r="B131" t="str">
        <f>IFERROR(INDEX(装备库!$A$2:$E$2022,MATCH(ROW()-1,装备库!$AK$2:$AK$2022,0),COLUMN()),"")</f>
        <v>8_43015</v>
      </c>
      <c r="C131" t="str">
        <f>IFERROR(INDEX(装备库!$A$2:$E$2022,MATCH(ROW()-1,装备库!$AK$2:$AK$2022,0),5),"")</f>
        <v>川泽极(30200特效精简会会招)</v>
      </c>
    </row>
    <row r="132" spans="1:3">
      <c r="A132" t="str">
        <f>IFERROR(INDEX(装备库!$A$2:$E$2022,MATCH(ROW()-1,装备库!$AK$2:$AK$2022,0),COLUMN()),"")</f>
        <v>戒指</v>
      </c>
      <c r="B132" t="str">
        <f>IFERROR(INDEX(装备库!$A$2:$E$2022,MATCH(ROW()-1,装备库!$AK$2:$AK$2022,0),COLUMN()),"")</f>
        <v>8_43016</v>
      </c>
      <c r="C132" t="str">
        <f>IFERROR(INDEX(装备库!$A$2:$E$2022,MATCH(ROW()-1,装备库!$AK$2:$AK$2022,0),5),"")</f>
        <v>千帆竞(30200特效精简会会无)</v>
      </c>
    </row>
    <row r="133" spans="1:3">
      <c r="A133" t="str">
        <f>IFERROR(INDEX(装备库!$A$2:$E$2022,MATCH(ROW()-1,装备库!$AK$2:$AK$2022,0),COLUMN()),"")</f>
        <v>戒指</v>
      </c>
      <c r="B133" t="str">
        <f>IFERROR(INDEX(装备库!$A$2:$E$2022,MATCH(ROW()-1,装备库!$AK$2:$AK$2022,0),COLUMN()),"")</f>
        <v>8_43010</v>
      </c>
      <c r="C133" t="str">
        <f>IFERROR(INDEX(装备库!$A$2:$E$2022,MATCH(ROW()-1,装备库!$AK$2:$AK$2022,0),5),"")</f>
        <v>石径戒·引(30200精简招无)</v>
      </c>
    </row>
    <row r="134" spans="1:3">
      <c r="A134" t="str">
        <f>IFERROR(INDEX(装备库!$A$2:$E$2022,MATCH(ROW()-1,装备库!$AK$2:$AK$2022,0),COLUMN()),"")</f>
        <v>戒指</v>
      </c>
      <c r="B134" t="str">
        <f>IFERROR(INDEX(装备库!$A$2:$E$2022,MATCH(ROW()-1,装备库!$AK$2:$AK$2022,0),COLUMN()),"")</f>
        <v>8_43013</v>
      </c>
      <c r="C134" t="str">
        <f>IFERROR(INDEX(装备库!$A$2:$E$2022,MATCH(ROW()-1,装备库!$AK$2:$AK$2022,0),5),"")</f>
        <v>秦楼戒·绝(30200精简招破无)</v>
      </c>
    </row>
    <row r="135" spans="1:3">
      <c r="A135" t="str">
        <f>IFERROR(INDEX(装备库!$A$2:$E$2022,MATCH(ROW()-1,装备库!$AK$2:$AK$2022,0),COLUMN()),"")</f>
        <v>戒指</v>
      </c>
      <c r="B135" t="str">
        <f>IFERROR(INDEX(装备库!$A$2:$E$2022,MATCH(ROW()-1,装备库!$AK$2:$AK$2022,0),COLUMN()),"")</f>
        <v>8_43007</v>
      </c>
      <c r="C135" t="str">
        <f>IFERROR(INDEX(装备库!$A$2:$E$2022,MATCH(ROW()-1,装备库!$AK$2:$AK$2022,0),5),"")</f>
        <v>雁行戒·尊(30200精简无)</v>
      </c>
    </row>
    <row r="136" spans="1:3">
      <c r="A136" t="str">
        <f>IFERROR(INDEX(装备库!$A$2:$E$2022,MATCH(ROW()-1,装备库!$AK$2:$AK$2022,0),COLUMN()),"")</f>
        <v>戒指</v>
      </c>
      <c r="B136" t="str">
        <f>IFERROR(INDEX(装备库!$A$2:$E$2022,MATCH(ROW()-1,装备库!$AK$2:$AK$2022,0),COLUMN()),"")</f>
        <v>8_43014</v>
      </c>
      <c r="C136" t="str">
        <f>IFERROR(INDEX(装备库!$A$2:$E$2022,MATCH(ROW()-1,装备库!$AK$2:$AK$2022,0),5),"")</f>
        <v>蝉鸣戒·迅(30200精简速)</v>
      </c>
    </row>
    <row r="137" spans="1:3">
      <c r="A137" t="str">
        <f>IFERROR(INDEX(装备库!$A$2:$E$2022,MATCH(ROW()-1,装备库!$AK$2:$AK$2022,0),COLUMN()),"")</f>
        <v>戒指</v>
      </c>
      <c r="B137" t="str">
        <f>IFERROR(INDEX(装备库!$A$2:$E$2022,MATCH(ROW()-1,装备库!$AK$2:$AK$2022,0),COLUMN()),"")</f>
        <v>8_43009</v>
      </c>
      <c r="C137" t="str">
        <f>IFERROR(INDEX(装备库!$A$2:$E$2022,MATCH(ROW()-1,装备库!$AK$2:$AK$2022,0),5),"")</f>
        <v>孤蓬戒·破(30200精简破无)</v>
      </c>
    </row>
    <row r="138" spans="1:3">
      <c r="A138" t="str">
        <f>IFERROR(INDEX(装备库!$A$2:$E$2022,MATCH(ROW()-1,装备库!$AK$2:$AK$2022,0),COLUMN()),"")</f>
        <v>戒指</v>
      </c>
      <c r="B138" t="str">
        <f>IFERROR(INDEX(装备库!$A$2:$E$2022,MATCH(ROW()-1,装备库!$AK$2:$AK$2022,0),COLUMN()),"")</f>
        <v>8_43012</v>
      </c>
      <c r="C138" t="str">
        <f>IFERROR(INDEX(装备库!$A$2:$E$2022,MATCH(ROW()-1,装备库!$AK$2:$AK$2022,0),5),"")</f>
        <v>空翠戒·明(30200精简会招无)</v>
      </c>
    </row>
    <row r="139" spans="1:3">
      <c r="A139" t="str">
        <f>IFERROR(INDEX(装备库!$A$2:$E$2022,MATCH(ROW()-1,装备库!$AK$2:$AK$2022,0),COLUMN()),"")</f>
        <v>戒指</v>
      </c>
      <c r="B139" t="str">
        <f>IFERROR(INDEX(装备库!$A$2:$E$2022,MATCH(ROW()-1,装备库!$AK$2:$AK$2022,0),COLUMN()),"")</f>
        <v>8_43008</v>
      </c>
      <c r="C139" t="str">
        <f>IFERROR(INDEX(装备库!$A$2:$E$2022,MATCH(ROW()-1,装备库!$AK$2:$AK$2022,0),5),"")</f>
        <v>湘流戒·悟(30200精简会无)</v>
      </c>
    </row>
    <row r="140" spans="1:3">
      <c r="A140" t="str">
        <f>IFERROR(INDEX(装备库!$A$2:$E$2022,MATCH(ROW()-1,装备库!$AK$2:$AK$2022,0),COLUMN()),"")</f>
        <v>戒指</v>
      </c>
      <c r="B140" t="str">
        <f>IFERROR(INDEX(装备库!$A$2:$E$2022,MATCH(ROW()-1,装备库!$AK$2:$AK$2022,0),COLUMN()),"")</f>
        <v>8_43011</v>
      </c>
      <c r="C140" t="str">
        <f>IFERROR(INDEX(装备库!$A$2:$E$2022,MATCH(ROW()-1,装备库!$AK$2:$AK$2022,0),5),"")</f>
        <v>醉客戒·觉(30200精简会破无)</v>
      </c>
    </row>
    <row r="141" spans="1:3">
      <c r="A141" t="str">
        <f>IFERROR(INDEX(装备库!$A$2:$E$2022,MATCH(ROW()-1,装备库!$AK$2:$AK$2022,0),COLUMN()),"")</f>
        <v>戒指</v>
      </c>
      <c r="B141" t="str">
        <f>IFERROR(INDEX(装备库!$A$2:$E$2022,MATCH(ROW()-1,装备库!$AK$2:$AK$2022,0),COLUMN()),"")</f>
        <v>8_43932</v>
      </c>
      <c r="C141" t="str">
        <f>IFERROR(INDEX(装备库!$A$2:$E$2022,MATCH(ROW()-1,装备库!$AK$2:$AK$2022,0),5),"")</f>
        <v>陶然意·谧秋戒(30700破全)</v>
      </c>
    </row>
    <row r="142" spans="1:3">
      <c r="A142" t="str">
        <f>IFERROR(INDEX(装备库!$A$2:$E$2022,MATCH(ROW()-1,装备库!$AK$2:$AK$2022,0),COLUMN()),"")</f>
        <v>戒指</v>
      </c>
      <c r="B142" t="str">
        <f>IFERROR(INDEX(装备库!$A$2:$E$2022,MATCH(ROW()-1,装备库!$AK$2:$AK$2022,0),COLUMN()),"")</f>
        <v>8_45574</v>
      </c>
      <c r="C142" t="str">
        <f>IFERROR(INDEX(装备库!$A$2:$E$2022,MATCH(ROW()-1,装备库!$AK$2:$AK$2022,0),5),"")</f>
        <v>娄锋指环(32500破无)</v>
      </c>
    </row>
    <row r="143" spans="1:3">
      <c r="A143" t="str">
        <f>IFERROR(INDEX(装备库!$A$2:$E$2022,MATCH(ROW()-1,装备库!$AK$2:$AK$2022,0),COLUMN()),"")</f>
        <v>戒指</v>
      </c>
      <c r="B143" t="str">
        <f>IFERROR(INDEX(装备库!$A$2:$E$2022,MATCH(ROW()-1,装备库!$AK$2:$AK$2022,0),COLUMN()),"")</f>
        <v>8_47862</v>
      </c>
      <c r="C143" t="str">
        <f>IFERROR(INDEX(装备库!$A$2:$E$2022,MATCH(ROW()-1,装备库!$AK$2:$AK$2022,0),5),"")</f>
        <v>暮雨玉(34100会无)</v>
      </c>
    </row>
    <row r="144" spans="1:3">
      <c r="A144" t="str">
        <f>IFERROR(INDEX(装备库!$A$2:$E$2022,MATCH(ROW()-1,装备库!$AK$2:$AK$2022,0),COLUMN()),"")</f>
        <v>戒指</v>
      </c>
      <c r="B144" t="str">
        <f>IFERROR(INDEX(装备库!$A$2:$E$2022,MATCH(ROW()-1,装备库!$AK$2:$AK$2022,0),COLUMN()),"")</f>
        <v>8_44302</v>
      </c>
      <c r="C144" t="str">
        <f>IFERROR(INDEX(装备库!$A$2:$E$2022,MATCH(ROW()-1,装备库!$AK$2:$AK$2022,0),5),"")</f>
        <v>天风指环(35300招无)</v>
      </c>
    </row>
    <row r="145" spans="1:3">
      <c r="A145" t="str">
        <f>IFERROR(INDEX(装备库!$A$2:$E$2022,MATCH(ROW()-1,装备库!$AK$2:$AK$2022,0),COLUMN()),"")</f>
        <v>戒指</v>
      </c>
      <c r="B145" t="str">
        <f>IFERROR(INDEX(装备库!$A$2:$E$2022,MATCH(ROW()-1,装备库!$AK$2:$AK$2022,0),COLUMN()),"")</f>
        <v>8_44332</v>
      </c>
      <c r="C145" t="str">
        <f>IFERROR(INDEX(装备库!$A$2:$E$2022,MATCH(ROW()-1,装备库!$AK$2:$AK$2022,0),5),"")</f>
        <v>临坻指环(35300速无)</v>
      </c>
    </row>
    <row r="146" spans="1:3">
      <c r="A146" t="str">
        <f>IFERROR(INDEX(装备库!$A$2:$E$2022,MATCH(ROW()-1,装备库!$AK$2:$AK$2022,0),COLUMN()),"")</f>
        <v>戒指</v>
      </c>
      <c r="B146" t="str">
        <f>IFERROR(INDEX(装备库!$A$2:$E$2022,MATCH(ROW()-1,装备库!$AK$2:$AK$2022,0),COLUMN()),"")</f>
        <v>8_44320</v>
      </c>
      <c r="C146" t="str">
        <f>IFERROR(INDEX(装备库!$A$2:$E$2022,MATCH(ROW()-1,装备库!$AK$2:$AK$2022,0),5),"")</f>
        <v>晚风指环(35300会无)</v>
      </c>
    </row>
    <row r="147" spans="1:3">
      <c r="A147" t="str">
        <f>IFERROR(INDEX(装备库!$A$2:$E$2022,MATCH(ROW()-1,装备库!$AK$2:$AK$2022,0),COLUMN()),"")</f>
        <v>戒指</v>
      </c>
      <c r="B147" t="str">
        <f>IFERROR(INDEX(装备库!$A$2:$E$2022,MATCH(ROW()-1,装备库!$AK$2:$AK$2022,0),COLUMN()),"")</f>
        <v>8_44427</v>
      </c>
      <c r="C147" t="str">
        <f>IFERROR(INDEX(装备库!$A$2:$E$2022,MATCH(ROW()-1,装备库!$AK$2:$AK$2022,0),5),"")</f>
        <v>客行江湖·离帆指环(35300破无)</v>
      </c>
    </row>
    <row r="148" spans="1:3">
      <c r="A148" t="str">
        <f>IFERROR(INDEX(装备库!$A$2:$E$2022,MATCH(ROW()-1,装备库!$AK$2:$AK$2022,0),COLUMN()),"")</f>
        <v>戒指</v>
      </c>
      <c r="B148" t="str">
        <f>IFERROR(INDEX(装备库!$A$2:$E$2022,MATCH(ROW()-1,装备库!$AK$2:$AK$2022,0),COLUMN()),"")</f>
        <v>8_44368</v>
      </c>
      <c r="C148" t="str">
        <f>IFERROR(INDEX(装备库!$A$2:$E$2022,MATCH(ROW()-1,装备库!$AK$2:$AK$2022,0),5),"")</f>
        <v>天开月影(35300特效精简招无)</v>
      </c>
    </row>
    <row r="149" spans="1:3">
      <c r="A149" t="str">
        <f>IFERROR(INDEX(装备库!$A$2:$E$2022,MATCH(ROW()-1,装备库!$AK$2:$AK$2022,0),COLUMN()),"")</f>
        <v>戒指</v>
      </c>
      <c r="B149" t="str">
        <f>IFERROR(INDEX(装备库!$A$2:$E$2022,MATCH(ROW()-1,装备库!$AK$2:$AK$2022,0),COLUMN()),"")</f>
        <v>8_45578</v>
      </c>
      <c r="C149" t="str">
        <f>IFERROR(INDEX(装备库!$A$2:$E$2022,MATCH(ROW()-1,装备库!$AK$2:$AK$2022,0),5),"")</f>
        <v>千嶂飞云(35300特效精简速)</v>
      </c>
    </row>
    <row r="150" spans="1:3">
      <c r="A150" t="str">
        <f>IFERROR(INDEX(装备库!$A$2:$E$2022,MATCH(ROW()-1,装备库!$AK$2:$AK$2022,0),COLUMN()),"")</f>
        <v>戒指</v>
      </c>
      <c r="B150" t="str">
        <f>IFERROR(INDEX(装备库!$A$2:$E$2022,MATCH(ROW()-1,装备库!$AK$2:$AK$2022,0),COLUMN()),"")</f>
        <v>8_44367</v>
      </c>
      <c r="C150" t="str">
        <f>IFERROR(INDEX(装备库!$A$2:$E$2022,MATCH(ROW()-1,装备库!$AK$2:$AK$2022,0),5),"")</f>
        <v>岁寒时(35300特效精简破无)</v>
      </c>
    </row>
    <row r="151" spans="1:3">
      <c r="A151" t="str">
        <f>IFERROR(INDEX(装备库!$A$2:$E$2022,MATCH(ROW()-1,装备库!$AK$2:$AK$2022,0),COLUMN()),"")</f>
        <v>戒指</v>
      </c>
      <c r="B151" t="str">
        <f>IFERROR(INDEX(装备库!$A$2:$E$2022,MATCH(ROW()-1,装备库!$AK$2:$AK$2022,0),COLUMN()),"")</f>
        <v>8_44365</v>
      </c>
      <c r="C151" t="str">
        <f>IFERROR(INDEX(装备库!$A$2:$E$2022,MATCH(ROW()-1,装备库!$AK$2:$AK$2022,0),5),"")</f>
        <v>淡云微月(35300特效精简会招破无)</v>
      </c>
    </row>
    <row r="152" spans="1:3">
      <c r="A152" t="str">
        <f>IFERROR(INDEX(装备库!$A$2:$E$2022,MATCH(ROW()-1,装备库!$AK$2:$AK$2022,0),COLUMN()),"")</f>
        <v>戒指</v>
      </c>
      <c r="B152" t="str">
        <f>IFERROR(INDEX(装备库!$A$2:$E$2022,MATCH(ROW()-1,装备库!$AK$2:$AK$2022,0),COLUMN()),"")</f>
        <v>8_44366</v>
      </c>
      <c r="C152" t="str">
        <f>IFERROR(INDEX(装备库!$A$2:$E$2022,MATCH(ROW()-1,装备库!$AK$2:$AK$2022,0),5),"")</f>
        <v>一渔蓑(35300特效精简会无)</v>
      </c>
    </row>
    <row r="153" spans="1:3">
      <c r="A153" t="str">
        <f>IFERROR(INDEX(装备库!$A$2:$E$2022,MATCH(ROW()-1,装备库!$AK$2:$AK$2022,0),COLUMN()),"")</f>
        <v>戒指</v>
      </c>
      <c r="B153" t="str">
        <f>IFERROR(INDEX(装备库!$A$2:$E$2022,MATCH(ROW()-1,装备库!$AK$2:$AK$2022,0),COLUMN()),"")</f>
        <v>8_44363</v>
      </c>
      <c r="C153" t="str">
        <f>IFERROR(INDEX(装备库!$A$2:$E$2022,MATCH(ROW()-1,装备库!$AK$2:$AK$2022,0),5),"")</f>
        <v>第一尊(35300特效精简会会招)</v>
      </c>
    </row>
    <row r="154" spans="1:3">
      <c r="A154" t="str">
        <f>IFERROR(INDEX(装备库!$A$2:$E$2022,MATCH(ROW()-1,装备库!$AK$2:$AK$2022,0),COLUMN()),"")</f>
        <v>戒指</v>
      </c>
      <c r="B154" t="str">
        <f>IFERROR(INDEX(装备库!$A$2:$E$2022,MATCH(ROW()-1,装备库!$AK$2:$AK$2022,0),COLUMN()),"")</f>
        <v>8_44364</v>
      </c>
      <c r="C154" t="str">
        <f>IFERROR(INDEX(装备库!$A$2:$E$2022,MATCH(ROW()-1,装备库!$AK$2:$AK$2022,0),5),"")</f>
        <v>水接天门(35300特效精简会会无)</v>
      </c>
    </row>
    <row r="155" spans="1:3">
      <c r="A155" t="str">
        <f>IFERROR(INDEX(装备库!$A$2:$E$2022,MATCH(ROW()-1,装备库!$AK$2:$AK$2022,0),COLUMN()),"")</f>
        <v>戒指</v>
      </c>
      <c r="B155" t="str">
        <f>IFERROR(INDEX(装备库!$A$2:$E$2022,MATCH(ROW()-1,装备库!$AK$2:$AK$2022,0),COLUMN()),"")</f>
        <v>8_44358</v>
      </c>
      <c r="C155" t="str">
        <f>IFERROR(INDEX(装备库!$A$2:$E$2022,MATCH(ROW()-1,装备库!$AK$2:$AK$2022,0),5),"")</f>
        <v>云涛戒·引(35300精简招无)</v>
      </c>
    </row>
    <row r="156" spans="1:3">
      <c r="A156" t="str">
        <f>IFERROR(INDEX(装备库!$A$2:$E$2022,MATCH(ROW()-1,装备库!$AK$2:$AK$2022,0),COLUMN()),"")</f>
        <v>戒指</v>
      </c>
      <c r="B156" t="str">
        <f>IFERROR(INDEX(装备库!$A$2:$E$2022,MATCH(ROW()-1,装备库!$AK$2:$AK$2022,0),COLUMN()),"")</f>
        <v>8_44361</v>
      </c>
      <c r="C156" t="str">
        <f>IFERROR(INDEX(装备库!$A$2:$E$2022,MATCH(ROW()-1,装备库!$AK$2:$AK$2022,0),5),"")</f>
        <v>颠陨戒·绝(35300精简招破无)</v>
      </c>
    </row>
    <row r="157" spans="1:3">
      <c r="A157" t="str">
        <f>IFERROR(INDEX(装备库!$A$2:$E$2022,MATCH(ROW()-1,装备库!$AK$2:$AK$2022,0),COLUMN()),"")</f>
        <v>戒指</v>
      </c>
      <c r="B157" t="str">
        <f>IFERROR(INDEX(装备库!$A$2:$E$2022,MATCH(ROW()-1,装备库!$AK$2:$AK$2022,0),COLUMN()),"")</f>
        <v>8_44355</v>
      </c>
      <c r="C157" t="str">
        <f>IFERROR(INDEX(装备库!$A$2:$E$2022,MATCH(ROW()-1,装备库!$AK$2:$AK$2022,0),5),"")</f>
        <v>都护戒·尊(35300精简无)</v>
      </c>
    </row>
    <row r="158" spans="1:3">
      <c r="A158" t="str">
        <f>IFERROR(INDEX(装备库!$A$2:$E$2022,MATCH(ROW()-1,装备库!$AK$2:$AK$2022,0),COLUMN()),"")</f>
        <v>戒指</v>
      </c>
      <c r="B158" t="str">
        <f>IFERROR(INDEX(装备库!$A$2:$E$2022,MATCH(ROW()-1,装备库!$AK$2:$AK$2022,0),COLUMN()),"")</f>
        <v>8_44362</v>
      </c>
      <c r="C158" t="str">
        <f>IFERROR(INDEX(装备库!$A$2:$E$2022,MATCH(ROW()-1,装备库!$AK$2:$AK$2022,0),5),"")</f>
        <v>客愁戒·迅(35300精简速)</v>
      </c>
    </row>
    <row r="159" spans="1:3">
      <c r="A159" t="str">
        <f>IFERROR(INDEX(装备库!$A$2:$E$2022,MATCH(ROW()-1,装备库!$AK$2:$AK$2022,0),COLUMN()),"")</f>
        <v>戒指</v>
      </c>
      <c r="B159" t="str">
        <f>IFERROR(INDEX(装备库!$A$2:$E$2022,MATCH(ROW()-1,装备库!$AK$2:$AK$2022,0),COLUMN()),"")</f>
        <v>8_44357</v>
      </c>
      <c r="C159" t="str">
        <f>IFERROR(INDEX(装备库!$A$2:$E$2022,MATCH(ROW()-1,装备库!$AK$2:$AK$2022,0),5),"")</f>
        <v>玉宇戒·破(35300精简破无)</v>
      </c>
    </row>
    <row r="160" spans="1:3">
      <c r="A160" t="str">
        <f>IFERROR(INDEX(装备库!$A$2:$E$2022,MATCH(ROW()-1,装备库!$AK$2:$AK$2022,0),COLUMN()),"")</f>
        <v>戒指</v>
      </c>
      <c r="B160" t="str">
        <f>IFERROR(INDEX(装备库!$A$2:$E$2022,MATCH(ROW()-1,装备库!$AK$2:$AK$2022,0),COLUMN()),"")</f>
        <v>8_44360</v>
      </c>
      <c r="C160" t="str">
        <f>IFERROR(INDEX(装备库!$A$2:$E$2022,MATCH(ROW()-1,装备库!$AK$2:$AK$2022,0),5),"")</f>
        <v>箫鼓戒·明(35300精简会招无)</v>
      </c>
    </row>
    <row r="161" spans="1:3">
      <c r="A161" t="str">
        <f>IFERROR(INDEX(装备库!$A$2:$E$2022,MATCH(ROW()-1,装备库!$AK$2:$AK$2022,0),COLUMN()),"")</f>
        <v>戒指</v>
      </c>
      <c r="B161" t="str">
        <f>IFERROR(INDEX(装备库!$A$2:$E$2022,MATCH(ROW()-1,装备库!$AK$2:$AK$2022,0),COLUMN()),"")</f>
        <v>8_44356</v>
      </c>
      <c r="C161" t="str">
        <f>IFERROR(INDEX(装备库!$A$2:$E$2022,MATCH(ROW()-1,装备库!$AK$2:$AK$2022,0),5),"")</f>
        <v>蓬舟戒·悟(35300精简会无)</v>
      </c>
    </row>
    <row r="162" spans="1:3">
      <c r="A162" t="str">
        <f>IFERROR(INDEX(装备库!$A$2:$E$2022,MATCH(ROW()-1,装备库!$AK$2:$AK$2022,0),COLUMN()),"")</f>
        <v>戒指</v>
      </c>
      <c r="B162" t="str">
        <f>IFERROR(INDEX(装备库!$A$2:$E$2022,MATCH(ROW()-1,装备库!$AK$2:$AK$2022,0),COLUMN()),"")</f>
        <v>8_44359</v>
      </c>
      <c r="C162" t="str">
        <f>IFERROR(INDEX(装备库!$A$2:$E$2022,MATCH(ROW()-1,装备库!$AK$2:$AK$2022,0),5),"")</f>
        <v>高牙戒·觉(35300精简会破无)</v>
      </c>
    </row>
    <row r="163" spans="1:3">
      <c r="A163" t="str">
        <f>IFERROR(INDEX(装备库!$A$2:$E$2022,MATCH(ROW()-1,装备库!$AK$2:$AK$2022,0),COLUMN()),"")</f>
        <v>戒指</v>
      </c>
      <c r="B163" t="str">
        <f>IFERROR(INDEX(装备库!$A$2:$E$2022,MATCH(ROW()-1,装备库!$AK$2:$AK$2022,0),COLUMN()),"")</f>
        <v>8_45460</v>
      </c>
      <c r="C163" t="str">
        <f>IFERROR(INDEX(装备库!$A$2:$E$2022,MATCH(ROW()-1,装备库!$AK$2:$AK$2022,0),5),"")</f>
        <v>陶然意·折柳指环(36200破全)</v>
      </c>
    </row>
    <row r="164" spans="1:3">
      <c r="A164" t="str">
        <f>IFERROR(INDEX(装备库!$A$2:$E$2022,MATCH(ROW()-1,装备库!$AK$2:$AK$2022,0),COLUMN()),"")</f>
        <v>戒指</v>
      </c>
      <c r="B164" t="str">
        <f>IFERROR(INDEX(装备库!$A$2:$E$2022,MATCH(ROW()-1,装备库!$AK$2:$AK$2022,0),COLUMN()),"")</f>
        <v>8_49095</v>
      </c>
      <c r="C164" t="str">
        <f>IFERROR(INDEX(装备库!$A$2:$E$2022,MATCH(ROW()-1,装备库!$AK$2:$AK$2022,0),5),"")</f>
        <v>胃霆指环(38100破无)</v>
      </c>
    </row>
    <row r="165" spans="1:3">
      <c r="A165" t="str">
        <f>IFERROR(INDEX(装备库!$A$2:$E$2022,MATCH(ROW()-1,装备库!$AK$2:$AK$2022,0),COLUMN()),"")</f>
        <v>戒指</v>
      </c>
      <c r="B165" t="str">
        <f>IFERROR(INDEX(装备库!$A$2:$E$2022,MATCH(ROW()-1,装备库!$AK$2:$AK$2022,0),COLUMN()),"")</f>
        <v>8_47880</v>
      </c>
      <c r="C165" t="str">
        <f>IFERROR(INDEX(装备库!$A$2:$E$2022,MATCH(ROW()-1,装备库!$AK$2:$AK$2022,0),5),"")</f>
        <v>尘隐指环(41400招无)</v>
      </c>
    </row>
    <row r="166" spans="1:3">
      <c r="A166" t="str">
        <f>IFERROR(INDEX(装备库!$A$2:$E$2022,MATCH(ROW()-1,装备库!$AK$2:$AK$2022,0),COLUMN()),"")</f>
        <v>戒指</v>
      </c>
      <c r="B166" t="str">
        <f>IFERROR(INDEX(装备库!$A$2:$E$2022,MATCH(ROW()-1,装备库!$AK$2:$AK$2022,0),COLUMN()),"")</f>
        <v>8_47910</v>
      </c>
      <c r="C166" t="str">
        <f>IFERROR(INDEX(装备库!$A$2:$E$2022,MATCH(ROW()-1,装备库!$AK$2:$AK$2022,0),5),"")</f>
        <v>虎帐指环(41400速无)</v>
      </c>
    </row>
    <row r="167" spans="1:3">
      <c r="A167" t="str">
        <f>IFERROR(INDEX(装备库!$A$2:$E$2022,MATCH(ROW()-1,装备库!$AK$2:$AK$2022,0),COLUMN()),"")</f>
        <v>戒指</v>
      </c>
      <c r="B167" t="str">
        <f>IFERROR(INDEX(装备库!$A$2:$E$2022,MATCH(ROW()-1,装备库!$AK$2:$AK$2022,0),COLUMN()),"")</f>
        <v>8_47898</v>
      </c>
      <c r="C167" t="str">
        <f>IFERROR(INDEX(装备库!$A$2:$E$2022,MATCH(ROW()-1,装备库!$AK$2:$AK$2022,0),5),"")</f>
        <v>流漓指环(41400会无)</v>
      </c>
    </row>
    <row r="168" spans="1:3">
      <c r="A168" t="str">
        <f>IFERROR(INDEX(装备库!$A$2:$E$2022,MATCH(ROW()-1,装备库!$AK$2:$AK$2022,0),COLUMN()),"")</f>
        <v>戒指</v>
      </c>
      <c r="B168" t="str">
        <f>IFERROR(INDEX(装备库!$A$2:$E$2022,MATCH(ROW()-1,装备库!$AK$2:$AK$2022,0),COLUMN()),"")</f>
        <v>8_48005</v>
      </c>
      <c r="C168" t="str">
        <f>IFERROR(INDEX(装备库!$A$2:$E$2022,MATCH(ROW()-1,装备库!$AK$2:$AK$2022,0),5),"")</f>
        <v>客行江湖·霁影指环(41400破无)</v>
      </c>
    </row>
    <row r="169" spans="1:3">
      <c r="A169" t="str">
        <f>IFERROR(INDEX(装备库!$A$2:$E$2022,MATCH(ROW()-1,装备库!$AK$2:$AK$2022,0),COLUMN()),"")</f>
        <v>戒指</v>
      </c>
      <c r="B169" t="str">
        <f>IFERROR(INDEX(装备库!$A$2:$E$2022,MATCH(ROW()-1,装备库!$AK$2:$AK$2022,0),COLUMN()),"")</f>
        <v>8_47946</v>
      </c>
      <c r="C169" t="str">
        <f>IFERROR(INDEX(装备库!$A$2:$E$2022,MATCH(ROW()-1,装备库!$AK$2:$AK$2022,0),5),"")</f>
        <v>碧海听(41400特效精简招无)</v>
      </c>
    </row>
    <row r="170" spans="1:3">
      <c r="A170" t="str">
        <f>IFERROR(INDEX(装备库!$A$2:$E$2022,MATCH(ROW()-1,装备库!$AK$2:$AK$2022,0),COLUMN()),"")</f>
        <v>戒指</v>
      </c>
      <c r="B170" t="str">
        <f>IFERROR(INDEX(装备库!$A$2:$E$2022,MATCH(ROW()-1,装备库!$AK$2:$AK$2022,0),COLUMN()),"")</f>
        <v>8_49055</v>
      </c>
      <c r="C170" t="str">
        <f>IFERROR(INDEX(装备库!$A$2:$E$2022,MATCH(ROW()-1,装备库!$AK$2:$AK$2022,0),5),"")</f>
        <v>凤来吟(41400特效精简速)</v>
      </c>
    </row>
    <row r="171" spans="1:3">
      <c r="A171" t="str">
        <f>IFERROR(INDEX(装备库!$A$2:$E$2022,MATCH(ROW()-1,装备库!$AK$2:$AK$2022,0),COLUMN()),"")</f>
        <v>戒指</v>
      </c>
      <c r="B171" t="str">
        <f>IFERROR(INDEX(装备库!$A$2:$E$2022,MATCH(ROW()-1,装备库!$AK$2:$AK$2022,0),COLUMN()),"")</f>
        <v>8_47945</v>
      </c>
      <c r="C171" t="str">
        <f>IFERROR(INDEX(装备库!$A$2:$E$2022,MATCH(ROW()-1,装备库!$AK$2:$AK$2022,0),5),"")</f>
        <v>血魄寒(41400特效精简破无)</v>
      </c>
    </row>
    <row r="172" spans="1:3">
      <c r="A172" t="str">
        <f>IFERROR(INDEX(装备库!$A$2:$E$2022,MATCH(ROW()-1,装备库!$AK$2:$AK$2022,0),COLUMN()),"")</f>
        <v>戒指</v>
      </c>
      <c r="B172" t="str">
        <f>IFERROR(INDEX(装备库!$A$2:$E$2022,MATCH(ROW()-1,装备库!$AK$2:$AK$2022,0),COLUMN()),"")</f>
        <v>8_47943</v>
      </c>
      <c r="C172" t="str">
        <f>IFERROR(INDEX(装备库!$A$2:$E$2022,MATCH(ROW()-1,装备库!$AK$2:$AK$2022,0),5),"")</f>
        <v>鹤声遥(41400特效精简会招破无)</v>
      </c>
    </row>
    <row r="173" spans="1:3">
      <c r="A173" t="str">
        <f>IFERROR(INDEX(装备库!$A$2:$E$2022,MATCH(ROW()-1,装备库!$AK$2:$AK$2022,0),COLUMN()),"")</f>
        <v>戒指</v>
      </c>
      <c r="B173" t="str">
        <f>IFERROR(INDEX(装备库!$A$2:$E$2022,MATCH(ROW()-1,装备库!$AK$2:$AK$2022,0),COLUMN()),"")</f>
        <v>8_47944</v>
      </c>
      <c r="C173" t="str">
        <f>IFERROR(INDEX(装备库!$A$2:$E$2022,MATCH(ROW()-1,装备库!$AK$2:$AK$2022,0),5),"")</f>
        <v>孤雁回(41400特效精简会无)</v>
      </c>
    </row>
    <row r="174" spans="1:3">
      <c r="A174" t="str">
        <f>IFERROR(INDEX(装备库!$A$2:$E$2022,MATCH(ROW()-1,装备库!$AK$2:$AK$2022,0),COLUMN()),"")</f>
        <v>戒指</v>
      </c>
      <c r="B174" t="str">
        <f>IFERROR(INDEX(装备库!$A$2:$E$2022,MATCH(ROW()-1,装备库!$AK$2:$AK$2022,0),COLUMN()),"")</f>
        <v>8_47941</v>
      </c>
      <c r="C174" t="str">
        <f>IFERROR(INDEX(装备库!$A$2:$E$2022,MATCH(ROW()-1,装备库!$AK$2:$AK$2022,0),5),"")</f>
        <v>孤叶沉(41400特效精简会会招)</v>
      </c>
    </row>
    <row r="175" spans="1:3">
      <c r="A175" t="str">
        <f>IFERROR(INDEX(装备库!$A$2:$E$2022,MATCH(ROW()-1,装备库!$AK$2:$AK$2022,0),COLUMN()),"")</f>
        <v>戒指</v>
      </c>
      <c r="B175" t="str">
        <f>IFERROR(INDEX(装备库!$A$2:$E$2022,MATCH(ROW()-1,装备库!$AK$2:$AK$2022,0),COLUMN()),"")</f>
        <v>8_47942</v>
      </c>
      <c r="C175" t="str">
        <f>IFERROR(INDEX(装备库!$A$2:$E$2022,MATCH(ROW()-1,装备库!$AK$2:$AK$2022,0),5),"")</f>
        <v>雪封光(41400特效精简会会无)</v>
      </c>
    </row>
    <row r="176" spans="1:3">
      <c r="A176" t="str">
        <f>IFERROR(INDEX(装备库!$A$2:$E$2022,MATCH(ROW()-1,装备库!$AK$2:$AK$2022,0),COLUMN()),"")</f>
        <v>戒指</v>
      </c>
      <c r="B176" t="str">
        <f>IFERROR(INDEX(装备库!$A$2:$E$2022,MATCH(ROW()-1,装备库!$AK$2:$AK$2022,0),COLUMN()),"")</f>
        <v>8_47936</v>
      </c>
      <c r="C176" t="str">
        <f>IFERROR(INDEX(装备库!$A$2:$E$2022,MATCH(ROW()-1,装备库!$AK$2:$AK$2022,0),5),"")</f>
        <v>枕流戒·引(41400精简招无)</v>
      </c>
    </row>
    <row r="177" spans="1:3">
      <c r="A177" t="str">
        <f>IFERROR(INDEX(装备库!$A$2:$E$2022,MATCH(ROW()-1,装备库!$AK$2:$AK$2022,0),COLUMN()),"")</f>
        <v>戒指</v>
      </c>
      <c r="B177" t="str">
        <f>IFERROR(INDEX(装备库!$A$2:$E$2022,MATCH(ROW()-1,装备库!$AK$2:$AK$2022,0),COLUMN()),"")</f>
        <v>8_47939</v>
      </c>
      <c r="C177" t="str">
        <f>IFERROR(INDEX(装备库!$A$2:$E$2022,MATCH(ROW()-1,装备库!$AK$2:$AK$2022,0),5),"")</f>
        <v>霸魄戒·绝(41400精简招破无)</v>
      </c>
    </row>
    <row r="178" spans="1:3">
      <c r="A178" t="str">
        <f>IFERROR(INDEX(装备库!$A$2:$E$2022,MATCH(ROW()-1,装备库!$AK$2:$AK$2022,0),COLUMN()),"")</f>
        <v>戒指</v>
      </c>
      <c r="B178" t="str">
        <f>IFERROR(INDEX(装备库!$A$2:$E$2022,MATCH(ROW()-1,装备库!$AK$2:$AK$2022,0),COLUMN()),"")</f>
        <v>8_47933</v>
      </c>
      <c r="C178" t="str">
        <f>IFERROR(INDEX(装备库!$A$2:$E$2022,MATCH(ROW()-1,装备库!$AK$2:$AK$2022,0),5),"")</f>
        <v>菁雨戒·尊(41400精简无)</v>
      </c>
    </row>
    <row r="179" spans="1:3">
      <c r="A179" t="str">
        <f>IFERROR(INDEX(装备库!$A$2:$E$2022,MATCH(ROW()-1,装备库!$AK$2:$AK$2022,0),COLUMN()),"")</f>
        <v>戒指</v>
      </c>
      <c r="B179" t="str">
        <f>IFERROR(INDEX(装备库!$A$2:$E$2022,MATCH(ROW()-1,装备库!$AK$2:$AK$2022,0),COLUMN()),"")</f>
        <v>8_47940</v>
      </c>
      <c r="C179" t="str">
        <f>IFERROR(INDEX(装备库!$A$2:$E$2022,MATCH(ROW()-1,装备库!$AK$2:$AK$2022,0),5),"")</f>
        <v>逐电戒·迅(41400精简速)</v>
      </c>
    </row>
    <row r="180" spans="1:3">
      <c r="A180" t="str">
        <f>IFERROR(INDEX(装备库!$A$2:$E$2022,MATCH(ROW()-1,装备库!$AK$2:$AK$2022,0),COLUMN()),"")</f>
        <v>戒指</v>
      </c>
      <c r="B180" t="str">
        <f>IFERROR(INDEX(装备库!$A$2:$E$2022,MATCH(ROW()-1,装备库!$AK$2:$AK$2022,0),COLUMN()),"")</f>
        <v>8_47935</v>
      </c>
      <c r="C180" t="str">
        <f>IFERROR(INDEX(装备库!$A$2:$E$2022,MATCH(ROW()-1,装备库!$AK$2:$AK$2022,0),5),"")</f>
        <v>漱岩戒·破(41400精简破无)</v>
      </c>
    </row>
    <row r="181" spans="1:3">
      <c r="A181" t="str">
        <f>IFERROR(INDEX(装备库!$A$2:$E$2022,MATCH(ROW()-1,装备库!$AK$2:$AK$2022,0),COLUMN()),"")</f>
        <v>戒指</v>
      </c>
      <c r="B181" t="str">
        <f>IFERROR(INDEX(装备库!$A$2:$E$2022,MATCH(ROW()-1,装备库!$AK$2:$AK$2022,0),COLUMN()),"")</f>
        <v>8_47938</v>
      </c>
      <c r="C181" t="str">
        <f>IFERROR(INDEX(装备库!$A$2:$E$2022,MATCH(ROW()-1,装备库!$AK$2:$AK$2022,0),5),"")</f>
        <v>狂岚戒·明(41400精简会招无)</v>
      </c>
    </row>
    <row r="182" spans="1:3">
      <c r="A182" t="str">
        <f>IFERROR(INDEX(装备库!$A$2:$E$2022,MATCH(ROW()-1,装备库!$AK$2:$AK$2022,0),COLUMN()),"")</f>
        <v>戒指</v>
      </c>
      <c r="B182" t="str">
        <f>IFERROR(INDEX(装备库!$A$2:$E$2022,MATCH(ROW()-1,装备库!$AK$2:$AK$2022,0),COLUMN()),"")</f>
        <v>8_47934</v>
      </c>
      <c r="C182" t="str">
        <f>IFERROR(INDEX(装备库!$A$2:$E$2022,MATCH(ROW()-1,装备库!$AK$2:$AK$2022,0),5),"")</f>
        <v>熊咆戒·悟(41400精简会无)</v>
      </c>
    </row>
    <row r="183" spans="1:3">
      <c r="A183" t="str">
        <f>IFERROR(INDEX(装备库!$A$2:$E$2022,MATCH(ROW()-1,装备库!$AK$2:$AK$2022,0),COLUMN()),"")</f>
        <v>戒指</v>
      </c>
      <c r="B183" t="str">
        <f>IFERROR(INDEX(装备库!$A$2:$E$2022,MATCH(ROW()-1,装备库!$AK$2:$AK$2022,0),COLUMN()),"")</f>
        <v>8_47937</v>
      </c>
      <c r="C183" t="str">
        <f>IFERROR(INDEX(装备库!$A$2:$E$2022,MATCH(ROW()-1,装备库!$AK$2:$AK$2022,0),5),"")</f>
        <v>裂锋戒·觉(41400精简会破无)</v>
      </c>
    </row>
    <row r="184" spans="1:3">
      <c r="A184" t="str">
        <f>IFERROR(INDEX(装备库!$A$2:$E$2022,MATCH(ROW()-1,装备库!$AK$2:$AK$2022,0),COLUMN()),"")</f>
        <v>戒指</v>
      </c>
      <c r="B184" t="str">
        <f>IFERROR(INDEX(装备库!$A$2:$E$2022,MATCH(ROW()-1,装备库!$AK$2:$AK$2022,0),COLUMN()),"")</f>
        <v>8_49038</v>
      </c>
      <c r="C184" t="str">
        <f>IFERROR(INDEX(装备库!$A$2:$E$2022,MATCH(ROW()-1,装备库!$AK$2:$AK$2022,0),5),"")</f>
        <v>陶然意·烟峦戒(42400破全)</v>
      </c>
    </row>
    <row r="185" spans="1:3">
      <c r="A185" t="str">
        <f>IFERROR(INDEX(装备库!$A$2:$E$2022,MATCH(ROW()-1,装备库!$AK$2:$AK$2022,0),COLUMN()),"")</f>
        <v>裤子</v>
      </c>
      <c r="B185" t="str">
        <f>IFERROR(INDEX(装备库!$A$2:$E$2022,MATCH(ROW()-1,装备库!$AK$2:$AK$2022,0),COLUMN()),"")</f>
        <v>7_108503</v>
      </c>
      <c r="C185" t="str">
        <f>IFERROR(INDEX(装备库!$A$2:$E$2022,MATCH(ROW()-1,装备库!$AK$2:$AK$2022,0),5),"")</f>
        <v>智渊裤(30200速全)</v>
      </c>
    </row>
    <row r="186" spans="1:3">
      <c r="A186" t="str">
        <f>IFERROR(INDEX(装备库!$A$2:$E$2022,MATCH(ROW()-1,装备库!$AK$2:$AK$2022,0),COLUMN()),"")</f>
        <v>裤子</v>
      </c>
      <c r="B186" t="str">
        <f>IFERROR(INDEX(装备库!$A$2:$E$2022,MATCH(ROW()-1,装备库!$AK$2:$AK$2022,0),COLUMN()),"")</f>
        <v>7_108539</v>
      </c>
      <c r="C186" t="str">
        <f>IFERROR(INDEX(装备库!$A$2:$E$2022,MATCH(ROW()-1,装备库!$AK$2:$AK$2022,0),5),"")</f>
        <v>镂云裤(30200破全)</v>
      </c>
    </row>
    <row r="187" spans="1:3">
      <c r="A187" t="str">
        <f>IFERROR(INDEX(装备库!$A$2:$E$2022,MATCH(ROW()-1,装备库!$AK$2:$AK$2022,0),COLUMN()),"")</f>
        <v>裤子</v>
      </c>
      <c r="B187" t="str">
        <f>IFERROR(INDEX(装备库!$A$2:$E$2022,MATCH(ROW()-1,装备库!$AK$2:$AK$2022,0),COLUMN()),"")</f>
        <v>7_111000</v>
      </c>
      <c r="C187" t="str">
        <f>IFERROR(INDEX(装备库!$A$2:$E$2022,MATCH(ROW()-1,装备库!$AK$2:$AK$2022,0),5),"")</f>
        <v>臻泽裤(30200破全)</v>
      </c>
    </row>
    <row r="188" spans="1:3">
      <c r="A188" t="str">
        <f>IFERROR(INDEX(装备库!$A$2:$E$2022,MATCH(ROW()-1,装备库!$AK$2:$AK$2022,0),COLUMN()),"")</f>
        <v>裤子</v>
      </c>
      <c r="B188" t="str">
        <f>IFERROR(INDEX(装备库!$A$2:$E$2022,MATCH(ROW()-1,装备库!$AK$2:$AK$2022,0),COLUMN()),"")</f>
        <v>7_108239</v>
      </c>
      <c r="C188" t="str">
        <f>IFERROR(INDEX(装备库!$A$2:$E$2022,MATCH(ROW()-1,装备库!$AK$2:$AK$2022,0),5),"")</f>
        <v>孤城惊梦·迷烟下裳(30200破无)</v>
      </c>
    </row>
    <row r="189" spans="1:3">
      <c r="A189" t="str">
        <f>IFERROR(INDEX(装备库!$A$2:$E$2022,MATCH(ROW()-1,装备库!$AK$2:$AK$2022,0),COLUMN()),"")</f>
        <v>裤子</v>
      </c>
      <c r="B189" t="str">
        <f>IFERROR(INDEX(装备库!$A$2:$E$2022,MATCH(ROW()-1,装备库!$AK$2:$AK$2022,0),COLUMN()),"")</f>
        <v>7_104488</v>
      </c>
      <c r="C189" t="str">
        <f>IFERROR(INDEX(装备库!$A$2:$E$2022,MATCH(ROW()-1,装备库!$AK$2:$AK$2022,0),5),"")</f>
        <v>平皋裤(30200招无)</v>
      </c>
    </row>
    <row r="190" spans="1:3">
      <c r="A190" t="str">
        <f>IFERROR(INDEX(装备库!$A$2:$E$2022,MATCH(ROW()-1,装备库!$AK$2:$AK$2022,0),COLUMN()),"")</f>
        <v>裤子</v>
      </c>
      <c r="B190" t="str">
        <f>IFERROR(INDEX(装备库!$A$2:$E$2022,MATCH(ROW()-1,装备库!$AK$2:$AK$2022,0),COLUMN()),"")</f>
        <v>7_104881</v>
      </c>
      <c r="C190" t="str">
        <f>IFERROR(INDEX(装备库!$A$2:$E$2022,MATCH(ROW()-1,装备库!$AK$2:$AK$2022,0),5),"")</f>
        <v>衔月裤(30200招无)</v>
      </c>
    </row>
    <row r="191" spans="1:3">
      <c r="A191" t="str">
        <f>IFERROR(INDEX(装备库!$A$2:$E$2022,MATCH(ROW()-1,装备库!$AK$2:$AK$2022,0),COLUMN()),"")</f>
        <v>裤子</v>
      </c>
      <c r="B191" t="str">
        <f>IFERROR(INDEX(装备库!$A$2:$E$2022,MATCH(ROW()-1,装备库!$AK$2:$AK$2022,0),COLUMN()),"")</f>
        <v>7_104827</v>
      </c>
      <c r="C191" t="str">
        <f>IFERROR(INDEX(装备库!$A$2:$E$2022,MATCH(ROW()-1,装备库!$AK$2:$AK$2022,0),5),"")</f>
        <v>问殿下裳(30200速无)</v>
      </c>
    </row>
    <row r="192" spans="1:3">
      <c r="A192" t="str">
        <f>IFERROR(INDEX(装备库!$A$2:$E$2022,MATCH(ROW()-1,装备库!$AK$2:$AK$2022,0),COLUMN()),"")</f>
        <v>裤子</v>
      </c>
      <c r="B192" t="str">
        <f>IFERROR(INDEX(装备库!$A$2:$E$2022,MATCH(ROW()-1,装备库!$AK$2:$AK$2022,0),COLUMN()),"")</f>
        <v>7_104132</v>
      </c>
      <c r="C192" t="str">
        <f>IFERROR(INDEX(装备库!$A$2:$E$2022,MATCH(ROW()-1,装备库!$AK$2:$AK$2022,0),5),"")</f>
        <v>羽缀裤(30200破无)</v>
      </c>
    </row>
    <row r="193" spans="1:3">
      <c r="A193" t="str">
        <f>IFERROR(INDEX(装备库!$A$2:$E$2022,MATCH(ROW()-1,装备库!$AK$2:$AK$2022,0),COLUMN()),"")</f>
        <v>裤子</v>
      </c>
      <c r="B193" t="str">
        <f>IFERROR(INDEX(装备库!$A$2:$E$2022,MATCH(ROW()-1,装备库!$AK$2:$AK$2022,0),COLUMN()),"")</f>
        <v>7_104520</v>
      </c>
      <c r="C193" t="str">
        <f>IFERROR(INDEX(装备库!$A$2:$E$2022,MATCH(ROW()-1,装备库!$AK$2:$AK$2022,0),5),"")</f>
        <v>润源裤(30200会无)</v>
      </c>
    </row>
    <row r="194" spans="1:3">
      <c r="A194" t="str">
        <f>IFERROR(INDEX(装备库!$A$2:$E$2022,MATCH(ROW()-1,装备库!$AK$2:$AK$2022,0),COLUMN()),"")</f>
        <v>裤子</v>
      </c>
      <c r="B194" t="str">
        <f>IFERROR(INDEX(装备库!$A$2:$E$2022,MATCH(ROW()-1,装备库!$AK$2:$AK$2022,0),COLUMN()),"")</f>
        <v>7_104863</v>
      </c>
      <c r="C194" t="str">
        <f>IFERROR(INDEX(装备库!$A$2:$E$2022,MATCH(ROW()-1,装备库!$AK$2:$AK$2022,0),5),"")</f>
        <v>标雁下裳(30200会无)</v>
      </c>
    </row>
    <row r="195" spans="1:3">
      <c r="A195" t="str">
        <f>IFERROR(INDEX(装备库!$A$2:$E$2022,MATCH(ROW()-1,装备库!$AK$2:$AK$2022,0),COLUMN()),"")</f>
        <v>裤子</v>
      </c>
      <c r="B195" t="str">
        <f>IFERROR(INDEX(装备库!$A$2:$E$2022,MATCH(ROW()-1,装备库!$AK$2:$AK$2022,0),COLUMN()),"")</f>
        <v>7_105013</v>
      </c>
      <c r="C195" t="str">
        <f>IFERROR(INDEX(装备库!$A$2:$E$2022,MATCH(ROW()-1,装备库!$AK$2:$AK$2022,0),5),"")</f>
        <v>客行江湖·日斜下裳(30200破无)</v>
      </c>
    </row>
    <row r="196" spans="1:3">
      <c r="A196" t="str">
        <f>IFERROR(INDEX(装备库!$A$2:$E$2022,MATCH(ROW()-1,装备库!$AK$2:$AK$2022,0),COLUMN()),"")</f>
        <v>裤子</v>
      </c>
      <c r="B196" t="str">
        <f>IFERROR(INDEX(装备库!$A$2:$E$2022,MATCH(ROW()-1,装备库!$AK$2:$AK$2022,0),COLUMN()),"")</f>
        <v>7_105091</v>
      </c>
      <c r="C196" t="str">
        <f>IFERROR(INDEX(装备库!$A$2:$E$2022,MATCH(ROW()-1,装备库!$AK$2:$AK$2022,0),5),"")</f>
        <v>坠红裤(30200招无)</v>
      </c>
    </row>
    <row r="197" spans="1:3">
      <c r="A197" t="str">
        <f>IFERROR(INDEX(装备库!$A$2:$E$2022,MATCH(ROW()-1,装备库!$AK$2:$AK$2022,0),COLUMN()),"")</f>
        <v>裤子</v>
      </c>
      <c r="B197" t="str">
        <f>IFERROR(INDEX(装备库!$A$2:$E$2022,MATCH(ROW()-1,装备库!$AK$2:$AK$2022,0),COLUMN()),"")</f>
        <v>7_104965</v>
      </c>
      <c r="C197" t="str">
        <f>IFERROR(INDEX(装备库!$A$2:$E$2022,MATCH(ROW()-1,装备库!$AK$2:$AK$2022,0),5),"")</f>
        <v>夏荷谣(30200特效精简招无)</v>
      </c>
    </row>
    <row r="198" spans="1:3">
      <c r="A198" t="str">
        <f>IFERROR(INDEX(装备库!$A$2:$E$2022,MATCH(ROW()-1,装备库!$AK$2:$AK$2022,0),COLUMN()),"")</f>
        <v>裤子</v>
      </c>
      <c r="B198" t="str">
        <f>IFERROR(INDEX(装备库!$A$2:$E$2022,MATCH(ROW()-1,装备库!$AK$2:$AK$2022,0),COLUMN()),"")</f>
        <v>7_104964</v>
      </c>
      <c r="C198" t="str">
        <f>IFERROR(INDEX(装备库!$A$2:$E$2022,MATCH(ROW()-1,装备库!$AK$2:$AK$2022,0),5),"")</f>
        <v>醉芙蓉(30200特效精简破无)</v>
      </c>
    </row>
    <row r="199" spans="1:3">
      <c r="A199" t="str">
        <f>IFERROR(INDEX(装备库!$A$2:$E$2022,MATCH(ROW()-1,装备库!$AK$2:$AK$2022,0),COLUMN()),"")</f>
        <v>裤子</v>
      </c>
      <c r="B199" t="str">
        <f>IFERROR(INDEX(装备库!$A$2:$E$2022,MATCH(ROW()-1,装备库!$AK$2:$AK$2022,0),COLUMN()),"")</f>
        <v>7_104967</v>
      </c>
      <c r="C199" t="str">
        <f>IFERROR(INDEX(装备库!$A$2:$E$2022,MATCH(ROW()-1,装备库!$AK$2:$AK$2022,0),5),"")</f>
        <v>舞金銮(30200特效精简破)</v>
      </c>
    </row>
    <row r="200" spans="1:3">
      <c r="A200" t="str">
        <f>IFERROR(INDEX(装备库!$A$2:$E$2022,MATCH(ROW()-1,装备库!$AK$2:$AK$2022,0),COLUMN()),"")</f>
        <v>裤子</v>
      </c>
      <c r="B200" t="str">
        <f>IFERROR(INDEX(装备库!$A$2:$E$2022,MATCH(ROW()-1,装备库!$AK$2:$AK$2022,0),COLUMN()),"")</f>
        <v>7_104962</v>
      </c>
      <c r="C200" t="str">
        <f>IFERROR(INDEX(装备库!$A$2:$E$2022,MATCH(ROW()-1,装备库!$AK$2:$AK$2022,0),5),"")</f>
        <v>朔风雪(30200特效精简会招破无)</v>
      </c>
    </row>
    <row r="201" spans="1:3">
      <c r="A201" t="str">
        <f>IFERROR(INDEX(装备库!$A$2:$E$2022,MATCH(ROW()-1,装备库!$AK$2:$AK$2022,0),COLUMN()),"")</f>
        <v>裤子</v>
      </c>
      <c r="B201" t="str">
        <f>IFERROR(INDEX(装备库!$A$2:$E$2022,MATCH(ROW()-1,装备库!$AK$2:$AK$2022,0),COLUMN()),"")</f>
        <v>7_104963</v>
      </c>
      <c r="C201" t="str">
        <f>IFERROR(INDEX(装备库!$A$2:$E$2022,MATCH(ROW()-1,装备库!$AK$2:$AK$2022,0),5),"")</f>
        <v>送寒宵(30200特效精简会无)</v>
      </c>
    </row>
    <row r="202" spans="1:3">
      <c r="A202" t="str">
        <f>IFERROR(INDEX(装备库!$A$2:$E$2022,MATCH(ROW()-1,装备库!$AK$2:$AK$2022,0),COLUMN()),"")</f>
        <v>裤子</v>
      </c>
      <c r="B202" t="str">
        <f>IFERROR(INDEX(装备库!$A$2:$E$2022,MATCH(ROW()-1,装备库!$AK$2:$AK$2022,0),COLUMN()),"")</f>
        <v>7_104966</v>
      </c>
      <c r="C202" t="str">
        <f>IFERROR(INDEX(装备库!$A$2:$E$2022,MATCH(ROW()-1,装备库!$AK$2:$AK$2022,0),5),"")</f>
        <v>春晨韵(30200特效精简会)</v>
      </c>
    </row>
    <row r="203" spans="1:3">
      <c r="A203" t="str">
        <f>IFERROR(INDEX(装备库!$A$2:$E$2022,MATCH(ROW()-1,装备库!$AK$2:$AK$2022,0),COLUMN()),"")</f>
        <v>裤子</v>
      </c>
      <c r="B203" t="str">
        <f>IFERROR(INDEX(装备库!$A$2:$E$2022,MATCH(ROW()-1,装备库!$AK$2:$AK$2022,0),COLUMN()),"")</f>
        <v>7_104957</v>
      </c>
      <c r="C203" t="str">
        <f>IFERROR(INDEX(装备库!$A$2:$E$2022,MATCH(ROW()-1,装备库!$AK$2:$AK$2022,0),5),"")</f>
        <v>裂巽裤·引(30200精简招无)</v>
      </c>
    </row>
    <row r="204" spans="1:3">
      <c r="A204" t="str">
        <f>IFERROR(INDEX(装备库!$A$2:$E$2022,MATCH(ROW()-1,装备库!$AK$2:$AK$2022,0),COLUMN()),"")</f>
        <v>裤子</v>
      </c>
      <c r="B204" t="str">
        <f>IFERROR(INDEX(装备库!$A$2:$E$2022,MATCH(ROW()-1,装备库!$AK$2:$AK$2022,0),COLUMN()),"")</f>
        <v>7_104960</v>
      </c>
      <c r="C204" t="str">
        <f>IFERROR(INDEX(装备库!$A$2:$E$2022,MATCH(ROW()-1,装备库!$AK$2:$AK$2022,0),5),"")</f>
        <v>苍劲裤·绝(30200精简招破无)</v>
      </c>
    </row>
    <row r="205" spans="1:3">
      <c r="A205" t="str">
        <f>IFERROR(INDEX(装备库!$A$2:$E$2022,MATCH(ROW()-1,装备库!$AK$2:$AK$2022,0),COLUMN()),"")</f>
        <v>裤子</v>
      </c>
      <c r="B205" t="str">
        <f>IFERROR(INDEX(装备库!$A$2:$E$2022,MATCH(ROW()-1,装备库!$AK$2:$AK$2022,0),COLUMN()),"")</f>
        <v>7_104954</v>
      </c>
      <c r="C205" t="str">
        <f>IFERROR(INDEX(装备库!$A$2:$E$2022,MATCH(ROW()-1,装备库!$AK$2:$AK$2022,0),5),"")</f>
        <v>破浪裤·尊(30200精简无)</v>
      </c>
    </row>
    <row r="206" spans="1:3">
      <c r="A206" t="str">
        <f>IFERROR(INDEX(装备库!$A$2:$E$2022,MATCH(ROW()-1,装备库!$AK$2:$AK$2022,0),COLUMN()),"")</f>
        <v>裤子</v>
      </c>
      <c r="B206" t="str">
        <f>IFERROR(INDEX(装备库!$A$2:$E$2022,MATCH(ROW()-1,装备库!$AK$2:$AK$2022,0),COLUMN()),"")</f>
        <v>7_104961</v>
      </c>
      <c r="C206" t="str">
        <f>IFERROR(INDEX(装备库!$A$2:$E$2022,MATCH(ROW()-1,装备库!$AK$2:$AK$2022,0),5),"")</f>
        <v>虹碎裤·迅(30200精简速)</v>
      </c>
    </row>
    <row r="207" spans="1:3">
      <c r="A207" t="str">
        <f>IFERROR(INDEX(装备库!$A$2:$E$2022,MATCH(ROW()-1,装备库!$AK$2:$AK$2022,0),COLUMN()),"")</f>
        <v>裤子</v>
      </c>
      <c r="B207" t="str">
        <f>IFERROR(INDEX(装备库!$A$2:$E$2022,MATCH(ROW()-1,装备库!$AK$2:$AK$2022,0),COLUMN()),"")</f>
        <v>7_104956</v>
      </c>
      <c r="C207" t="str">
        <f>IFERROR(INDEX(装备库!$A$2:$E$2022,MATCH(ROW()-1,装备库!$AK$2:$AK$2022,0),5),"")</f>
        <v>风擂裤·破(30200精简破无)</v>
      </c>
    </row>
    <row r="208" spans="1:3">
      <c r="A208" t="str">
        <f>IFERROR(INDEX(装备库!$A$2:$E$2022,MATCH(ROW()-1,装备库!$AK$2:$AK$2022,0),COLUMN()),"")</f>
        <v>裤子</v>
      </c>
      <c r="B208" t="str">
        <f>IFERROR(INDEX(装备库!$A$2:$E$2022,MATCH(ROW()-1,装备库!$AK$2:$AK$2022,0),COLUMN()),"")</f>
        <v>7_104959</v>
      </c>
      <c r="C208" t="str">
        <f>IFERROR(INDEX(装备库!$A$2:$E$2022,MATCH(ROW()-1,装备库!$AK$2:$AK$2022,0),5),"")</f>
        <v>霆击裤·明(30200精简会招无)</v>
      </c>
    </row>
    <row r="209" spans="1:3">
      <c r="A209" t="str">
        <f>IFERROR(INDEX(装备库!$A$2:$E$2022,MATCH(ROW()-1,装备库!$AK$2:$AK$2022,0),COLUMN()),"")</f>
        <v>裤子</v>
      </c>
      <c r="B209" t="str">
        <f>IFERROR(INDEX(装备库!$A$2:$E$2022,MATCH(ROW()-1,装备库!$AK$2:$AK$2022,0),COLUMN()),"")</f>
        <v>7_104955</v>
      </c>
      <c r="C209" t="str">
        <f>IFERROR(INDEX(装备库!$A$2:$E$2022,MATCH(ROW()-1,装备库!$AK$2:$AK$2022,0),5),"")</f>
        <v>飞电裤·悟(30200精简会无)</v>
      </c>
    </row>
    <row r="210" spans="1:3">
      <c r="A210" t="str">
        <f>IFERROR(INDEX(装备库!$A$2:$E$2022,MATCH(ROW()-1,装备库!$AK$2:$AK$2022,0),COLUMN()),"")</f>
        <v>裤子</v>
      </c>
      <c r="B210" t="str">
        <f>IFERROR(INDEX(装备库!$A$2:$E$2022,MATCH(ROW()-1,装备库!$AK$2:$AK$2022,0),COLUMN()),"")</f>
        <v>7_104958</v>
      </c>
      <c r="C210" t="str">
        <f>IFERROR(INDEX(装备库!$A$2:$E$2022,MATCH(ROW()-1,装备库!$AK$2:$AK$2022,0),5),"")</f>
        <v>星锐裤·觉(30200精简会破无)</v>
      </c>
    </row>
    <row r="211" spans="1:3">
      <c r="A211" t="str">
        <f>IFERROR(INDEX(装备库!$A$2:$E$2022,MATCH(ROW()-1,装备库!$AK$2:$AK$2022,0),COLUMN()),"")</f>
        <v>裤子</v>
      </c>
      <c r="B211" t="str">
        <f>IFERROR(INDEX(装备库!$A$2:$E$2022,MATCH(ROW()-1,装备库!$AK$2:$AK$2022,0),COLUMN()),"")</f>
        <v>7_106459</v>
      </c>
      <c r="C211" t="str">
        <f>IFERROR(INDEX(装备库!$A$2:$E$2022,MATCH(ROW()-1,装备库!$AK$2:$AK$2022,0),5),"")</f>
        <v>陶然意·谧秋裤(30700会全)</v>
      </c>
    </row>
    <row r="212" spans="1:3">
      <c r="A212" t="str">
        <f>IFERROR(INDEX(装备库!$A$2:$E$2022,MATCH(ROW()-1,装备库!$AK$2:$AK$2022,0),COLUMN()),"")</f>
        <v>裤子</v>
      </c>
      <c r="B212" t="str">
        <f>IFERROR(INDEX(装备库!$A$2:$E$2022,MATCH(ROW()-1,装备库!$AK$2:$AK$2022,0),COLUMN()),"")</f>
        <v>7_104989</v>
      </c>
      <c r="C212" t="str">
        <f>IFERROR(INDEX(装备库!$A$2:$E$2022,MATCH(ROW()-1,装备库!$AK$2:$AK$2022,0),5),"")</f>
        <v>月霭下裳(30700会无)</v>
      </c>
    </row>
    <row r="213" spans="1:3">
      <c r="A213" t="str">
        <f>IFERROR(INDEX(装备库!$A$2:$E$2022,MATCH(ROW()-1,装备库!$AK$2:$AK$2022,0),COLUMN()),"")</f>
        <v>裤子</v>
      </c>
      <c r="B213" t="str">
        <f>IFERROR(INDEX(装备库!$A$2:$E$2022,MATCH(ROW()-1,装备库!$AK$2:$AK$2022,0),COLUMN()),"")</f>
        <v>7_108662</v>
      </c>
      <c r="C213" t="str">
        <f>IFERROR(INDEX(装备库!$A$2:$E$2022,MATCH(ROW()-1,装备库!$AK$2:$AK$2022,0),5),"")</f>
        <v>娄锋下裳(32500会无)</v>
      </c>
    </row>
    <row r="214" spans="1:3">
      <c r="A214" t="str">
        <f>IFERROR(INDEX(装备库!$A$2:$E$2022,MATCH(ROW()-1,装备库!$AK$2:$AK$2022,0),COLUMN()),"")</f>
        <v>裤子</v>
      </c>
      <c r="B214" t="str">
        <f>IFERROR(INDEX(装备库!$A$2:$E$2022,MATCH(ROW()-1,装备库!$AK$2:$AK$2022,0),COLUMN()),"")</f>
        <v>7_110700</v>
      </c>
      <c r="C214" t="str">
        <f>IFERROR(INDEX(装备库!$A$2:$E$2022,MATCH(ROW()-1,装备库!$AK$2:$AK$2022,0),5),"")</f>
        <v>幽墟荡秽·迅鸿下裳(35300破无)</v>
      </c>
    </row>
    <row r="215" spans="1:3">
      <c r="A215" t="str">
        <f>IFERROR(INDEX(装备库!$A$2:$E$2022,MATCH(ROW()-1,装备库!$AK$2:$AK$2022,0),COLUMN()),"")</f>
        <v>裤子</v>
      </c>
      <c r="B215" t="str">
        <f>IFERROR(INDEX(装备库!$A$2:$E$2022,MATCH(ROW()-1,装备库!$AK$2:$AK$2022,0),COLUMN()),"")</f>
        <v>7_106904</v>
      </c>
      <c r="C215" t="str">
        <f>IFERROR(INDEX(装备库!$A$2:$E$2022,MATCH(ROW()-1,装备库!$AK$2:$AK$2022,0),5),"")</f>
        <v>临坻裤(35300招无)</v>
      </c>
    </row>
    <row r="216" spans="1:3">
      <c r="A216" t="str">
        <f>IFERROR(INDEX(装备库!$A$2:$E$2022,MATCH(ROW()-1,装备库!$AK$2:$AK$2022,0),COLUMN()),"")</f>
        <v>裤子</v>
      </c>
      <c r="B216" t="str">
        <f>IFERROR(INDEX(装备库!$A$2:$E$2022,MATCH(ROW()-1,装备库!$AK$2:$AK$2022,0),COLUMN()),"")</f>
        <v>7_106850</v>
      </c>
      <c r="C216" t="str">
        <f>IFERROR(INDEX(装备库!$A$2:$E$2022,MATCH(ROW()-1,装备库!$AK$2:$AK$2022,0),5),"")</f>
        <v>天风裤(35300速无)</v>
      </c>
    </row>
    <row r="217" spans="1:3">
      <c r="A217" t="str">
        <f>IFERROR(INDEX(装备库!$A$2:$E$2022,MATCH(ROW()-1,装备库!$AK$2:$AK$2022,0),COLUMN()),"")</f>
        <v>裤子</v>
      </c>
      <c r="B217" t="str">
        <f>IFERROR(INDEX(装备库!$A$2:$E$2022,MATCH(ROW()-1,装备库!$AK$2:$AK$2022,0),COLUMN()),"")</f>
        <v>7_106886</v>
      </c>
      <c r="C217" t="str">
        <f>IFERROR(INDEX(装备库!$A$2:$E$2022,MATCH(ROW()-1,装备库!$AK$2:$AK$2022,0),5),"")</f>
        <v>晚风裤(35300会无)</v>
      </c>
    </row>
    <row r="218" spans="1:3">
      <c r="A218" t="str">
        <f>IFERROR(INDEX(装备库!$A$2:$E$2022,MATCH(ROW()-1,装备库!$AK$2:$AK$2022,0),COLUMN()),"")</f>
        <v>裤子</v>
      </c>
      <c r="B218" t="str">
        <f>IFERROR(INDEX(装备库!$A$2:$E$2022,MATCH(ROW()-1,装备库!$AK$2:$AK$2022,0),COLUMN()),"")</f>
        <v>7_107057</v>
      </c>
      <c r="C218" t="str">
        <f>IFERROR(INDEX(装备库!$A$2:$E$2022,MATCH(ROW()-1,装备库!$AK$2:$AK$2022,0),5),"")</f>
        <v>客行江湖·离帆下裳(35300破无)</v>
      </c>
    </row>
    <row r="219" spans="1:3">
      <c r="A219" t="str">
        <f>IFERROR(INDEX(装备库!$A$2:$E$2022,MATCH(ROW()-1,装备库!$AK$2:$AK$2022,0),COLUMN()),"")</f>
        <v>裤子</v>
      </c>
      <c r="B219" t="str">
        <f>IFERROR(INDEX(装备库!$A$2:$E$2022,MATCH(ROW()-1,装备库!$AK$2:$AK$2022,0),COLUMN()),"")</f>
        <v>7_107135</v>
      </c>
      <c r="C219" t="str">
        <f>IFERROR(INDEX(装备库!$A$2:$E$2022,MATCH(ROW()-1,装备库!$AK$2:$AK$2022,0),5),"")</f>
        <v>蒙鸠下裳(35300招无)</v>
      </c>
    </row>
    <row r="220" spans="1:3">
      <c r="A220" t="str">
        <f>IFERROR(INDEX(装备库!$A$2:$E$2022,MATCH(ROW()-1,装备库!$AK$2:$AK$2022,0),COLUMN()),"")</f>
        <v>裤子</v>
      </c>
      <c r="B220" t="str">
        <f>IFERROR(INDEX(装备库!$A$2:$E$2022,MATCH(ROW()-1,装备库!$AK$2:$AK$2022,0),COLUMN()),"")</f>
        <v>7_106988</v>
      </c>
      <c r="C220" t="str">
        <f>IFERROR(INDEX(装备库!$A$2:$E$2022,MATCH(ROW()-1,装备库!$AK$2:$AK$2022,0),5),"")</f>
        <v>雪风高穹(35300特效精简招无)</v>
      </c>
    </row>
    <row r="221" spans="1:3">
      <c r="A221" t="str">
        <f>IFERROR(INDEX(装备库!$A$2:$E$2022,MATCH(ROW()-1,装备库!$AK$2:$AK$2022,0),COLUMN()),"")</f>
        <v>裤子</v>
      </c>
      <c r="B221" t="str">
        <f>IFERROR(INDEX(装备库!$A$2:$E$2022,MATCH(ROW()-1,装备库!$AK$2:$AK$2022,0),COLUMN()),"")</f>
        <v>7_108670</v>
      </c>
      <c r="C221" t="str">
        <f>IFERROR(INDEX(装备库!$A$2:$E$2022,MATCH(ROW()-1,装备库!$AK$2:$AK$2022,0),5),"")</f>
        <v>愁断春江(35300特效精简速)</v>
      </c>
    </row>
    <row r="222" spans="1:3">
      <c r="A222" t="str">
        <f>IFERROR(INDEX(装备库!$A$2:$E$2022,MATCH(ROW()-1,装备库!$AK$2:$AK$2022,0),COLUMN()),"")</f>
        <v>裤子</v>
      </c>
      <c r="B222" t="str">
        <f>IFERROR(INDEX(装备库!$A$2:$E$2022,MATCH(ROW()-1,装备库!$AK$2:$AK$2022,0),COLUMN()),"")</f>
        <v>7_106987</v>
      </c>
      <c r="C222" t="str">
        <f>IFERROR(INDEX(装备库!$A$2:$E$2022,MATCH(ROW()-1,装备库!$AK$2:$AK$2022,0),5),"")</f>
        <v>云树愁(35300特效精简破无)</v>
      </c>
    </row>
    <row r="223" spans="1:3">
      <c r="A223" t="str">
        <f>IFERROR(INDEX(装备库!$A$2:$E$2022,MATCH(ROW()-1,装备库!$AK$2:$AK$2022,0),COLUMN()),"")</f>
        <v>裤子</v>
      </c>
      <c r="B223" t="str">
        <f>IFERROR(INDEX(装备库!$A$2:$E$2022,MATCH(ROW()-1,装备库!$AK$2:$AK$2022,0),COLUMN()),"")</f>
        <v>7_106990</v>
      </c>
      <c r="C223" t="str">
        <f>IFERROR(INDEX(装备库!$A$2:$E$2022,MATCH(ROW()-1,装备库!$AK$2:$AK$2022,0),5),"")</f>
        <v>一片烟波(35300特效精简破)</v>
      </c>
    </row>
    <row r="224" spans="1:3">
      <c r="A224" t="str">
        <f>IFERROR(INDEX(装备库!$A$2:$E$2022,MATCH(ROW()-1,装备库!$AK$2:$AK$2022,0),COLUMN()),"")</f>
        <v>裤子</v>
      </c>
      <c r="B224" t="str">
        <f>IFERROR(INDEX(装备库!$A$2:$E$2022,MATCH(ROW()-1,装备库!$AK$2:$AK$2022,0),COLUMN()),"")</f>
        <v>7_106985</v>
      </c>
      <c r="C224" t="str">
        <f>IFERROR(INDEX(装备库!$A$2:$E$2022,MATCH(ROW()-1,装备库!$AK$2:$AK$2022,0),5),"")</f>
        <v>清阴独咏(35300特效精简会招破无)</v>
      </c>
    </row>
    <row r="225" spans="1:3">
      <c r="A225" t="str">
        <f>IFERROR(INDEX(装备库!$A$2:$E$2022,MATCH(ROW()-1,装备库!$AK$2:$AK$2022,0),COLUMN()),"")</f>
        <v>裤子</v>
      </c>
      <c r="B225" t="str">
        <f>IFERROR(INDEX(装备库!$A$2:$E$2022,MATCH(ROW()-1,装备库!$AK$2:$AK$2022,0),COLUMN()),"")</f>
        <v>7_106986</v>
      </c>
      <c r="C225" t="str">
        <f>IFERROR(INDEX(装备库!$A$2:$E$2022,MATCH(ROW()-1,装备库!$AK$2:$AK$2022,0),5),"")</f>
        <v>林梢晚晴(35300特效精简会无)</v>
      </c>
    </row>
    <row r="226" spans="1:3">
      <c r="A226" t="str">
        <f>IFERROR(INDEX(装备库!$A$2:$E$2022,MATCH(ROW()-1,装备库!$AK$2:$AK$2022,0),COLUMN()),"")</f>
        <v>裤子</v>
      </c>
      <c r="B226" t="str">
        <f>IFERROR(INDEX(装备库!$A$2:$E$2022,MATCH(ROW()-1,装备库!$AK$2:$AK$2022,0),COLUMN()),"")</f>
        <v>7_106989</v>
      </c>
      <c r="C226" t="str">
        <f>IFERROR(INDEX(装备库!$A$2:$E$2022,MATCH(ROW()-1,装备库!$AK$2:$AK$2022,0),5),"")</f>
        <v>曾驻行台(35300特效精简会)</v>
      </c>
    </row>
    <row r="227" spans="1:3">
      <c r="A227" t="str">
        <f>IFERROR(INDEX(装备库!$A$2:$E$2022,MATCH(ROW()-1,装备库!$AK$2:$AK$2022,0),COLUMN()),"")</f>
        <v>裤子</v>
      </c>
      <c r="B227" t="str">
        <f>IFERROR(INDEX(装备库!$A$2:$E$2022,MATCH(ROW()-1,装备库!$AK$2:$AK$2022,0),COLUMN()),"")</f>
        <v>7_106980</v>
      </c>
      <c r="C227" t="str">
        <f>IFERROR(INDEX(装备库!$A$2:$E$2022,MATCH(ROW()-1,装备库!$AK$2:$AK$2022,0),5),"")</f>
        <v>踵武裤·引(35300精简招无)</v>
      </c>
    </row>
    <row r="228" spans="1:3">
      <c r="A228" t="str">
        <f>IFERROR(INDEX(装备库!$A$2:$E$2022,MATCH(ROW()-1,装备库!$AK$2:$AK$2022,0),COLUMN()),"")</f>
        <v>裤子</v>
      </c>
      <c r="B228" t="str">
        <f>IFERROR(INDEX(装备库!$A$2:$E$2022,MATCH(ROW()-1,装备库!$AK$2:$AK$2022,0),COLUMN()),"")</f>
        <v>7_106983</v>
      </c>
      <c r="C228" t="str">
        <f>IFERROR(INDEX(装备库!$A$2:$E$2022,MATCH(ROW()-1,装备库!$AK$2:$AK$2022,0),5),"")</f>
        <v>千嶂裤·绝(35300精简招破无)</v>
      </c>
    </row>
    <row r="229" spans="1:3">
      <c r="A229" t="str">
        <f>IFERROR(INDEX(装备库!$A$2:$E$2022,MATCH(ROW()-1,装备库!$AK$2:$AK$2022,0),COLUMN()),"")</f>
        <v>裤子</v>
      </c>
      <c r="B229" t="str">
        <f>IFERROR(INDEX(装备库!$A$2:$E$2022,MATCH(ROW()-1,装备库!$AK$2:$AK$2022,0),COLUMN()),"")</f>
        <v>7_106977</v>
      </c>
      <c r="C229" t="str">
        <f>IFERROR(INDEX(装备库!$A$2:$E$2022,MATCH(ROW()-1,装备库!$AK$2:$AK$2022,0),5),"")</f>
        <v>飞湍裤·尊(35300精简无)</v>
      </c>
    </row>
    <row r="230" spans="1:3">
      <c r="A230" t="str">
        <f>IFERROR(INDEX(装备库!$A$2:$E$2022,MATCH(ROW()-1,装备库!$AK$2:$AK$2022,0),COLUMN()),"")</f>
        <v>裤子</v>
      </c>
      <c r="B230" t="str">
        <f>IFERROR(INDEX(装备库!$A$2:$E$2022,MATCH(ROW()-1,装备库!$AK$2:$AK$2022,0),COLUMN()),"")</f>
        <v>7_106984</v>
      </c>
      <c r="C230" t="str">
        <f>IFERROR(INDEX(装备库!$A$2:$E$2022,MATCH(ROW()-1,装备库!$AK$2:$AK$2022,0),5),"")</f>
        <v>长烟裤·迅(35300精简速)</v>
      </c>
    </row>
    <row r="231" spans="1:3">
      <c r="A231" t="str">
        <f>IFERROR(INDEX(装备库!$A$2:$E$2022,MATCH(ROW()-1,装备库!$AK$2:$AK$2022,0),COLUMN()),"")</f>
        <v>裤子</v>
      </c>
      <c r="B231" t="str">
        <f>IFERROR(INDEX(装备库!$A$2:$E$2022,MATCH(ROW()-1,装备库!$AK$2:$AK$2022,0),COLUMN()),"")</f>
        <v>7_106979</v>
      </c>
      <c r="C231" t="str">
        <f>IFERROR(INDEX(装备库!$A$2:$E$2022,MATCH(ROW()-1,装备库!$AK$2:$AK$2022,0),5),"")</f>
        <v>长亭裤·破(35300精简破无)</v>
      </c>
    </row>
    <row r="232" spans="1:3">
      <c r="A232" t="str">
        <f>IFERROR(INDEX(装备库!$A$2:$E$2022,MATCH(ROW()-1,装备库!$AK$2:$AK$2022,0),COLUMN()),"")</f>
        <v>裤子</v>
      </c>
      <c r="B232" t="str">
        <f>IFERROR(INDEX(装备库!$A$2:$E$2022,MATCH(ROW()-1,装备库!$AK$2:$AK$2022,0),COLUMN()),"")</f>
        <v>7_106982</v>
      </c>
      <c r="C232" t="str">
        <f>IFERROR(INDEX(装备库!$A$2:$E$2022,MATCH(ROW()-1,装备库!$AK$2:$AK$2022,0),5),"")</f>
        <v>疏桐裤·明(35300精简会招无)</v>
      </c>
    </row>
    <row r="233" spans="1:3">
      <c r="A233" t="str">
        <f>IFERROR(INDEX(装备库!$A$2:$E$2022,MATCH(ROW()-1,装备库!$AK$2:$AK$2022,0),COLUMN()),"")</f>
        <v>裤子</v>
      </c>
      <c r="B233" t="str">
        <f>IFERROR(INDEX(装备库!$A$2:$E$2022,MATCH(ROW()-1,装备库!$AK$2:$AK$2022,0),COLUMN()),"")</f>
        <v>7_106978</v>
      </c>
      <c r="C233" t="str">
        <f>IFERROR(INDEX(装备库!$A$2:$E$2022,MATCH(ROW()-1,装备库!$AK$2:$AK$2022,0),5),"")</f>
        <v>故垒裤·悟(35300精简会无)</v>
      </c>
    </row>
    <row r="234" spans="1:3">
      <c r="A234" t="str">
        <f>IFERROR(INDEX(装备库!$A$2:$E$2022,MATCH(ROW()-1,装备库!$AK$2:$AK$2022,0),COLUMN()),"")</f>
        <v>裤子</v>
      </c>
      <c r="B234" t="str">
        <f>IFERROR(INDEX(装备库!$A$2:$E$2022,MATCH(ROW()-1,装备库!$AK$2:$AK$2022,0),COLUMN()),"")</f>
        <v>7_106981</v>
      </c>
      <c r="C234" t="str">
        <f>IFERROR(INDEX(装备库!$A$2:$E$2022,MATCH(ROW()-1,装备库!$AK$2:$AK$2022,0),5),"")</f>
        <v>霜天裤·觉(35300精简会破无)</v>
      </c>
    </row>
    <row r="235" spans="1:3">
      <c r="A235" t="str">
        <f>IFERROR(INDEX(装备库!$A$2:$E$2022,MATCH(ROW()-1,装备库!$AK$2:$AK$2022,0),COLUMN()),"")</f>
        <v>裤子</v>
      </c>
      <c r="B235" t="str">
        <f>IFERROR(INDEX(装备库!$A$2:$E$2022,MATCH(ROW()-1,装备库!$AK$2:$AK$2022,0),COLUMN()),"")</f>
        <v>7_107033</v>
      </c>
      <c r="C235" t="str">
        <f>IFERROR(INDEX(装备库!$A$2:$E$2022,MATCH(ROW()-1,装备库!$AK$2:$AK$2022,0),5),"")</f>
        <v>江舟下裳(35900会无)</v>
      </c>
    </row>
    <row r="236" spans="1:3">
      <c r="A236" t="str">
        <f>IFERROR(INDEX(装备库!$A$2:$E$2022,MATCH(ROW()-1,装备库!$AK$2:$AK$2022,0),COLUMN()),"")</f>
        <v>裤子</v>
      </c>
      <c r="B236" t="str">
        <f>IFERROR(INDEX(装备库!$A$2:$E$2022,MATCH(ROW()-1,装备库!$AK$2:$AK$2022,0),COLUMN()),"")</f>
        <v>7_108410</v>
      </c>
      <c r="C236" t="str">
        <f>IFERROR(INDEX(装备库!$A$2:$E$2022,MATCH(ROW()-1,装备库!$AK$2:$AK$2022,0),5),"")</f>
        <v>陶然意·折柳裤(36200会全)</v>
      </c>
    </row>
    <row r="237" spans="1:3">
      <c r="A237" t="str">
        <f>IFERROR(INDEX(装备库!$A$2:$E$2022,MATCH(ROW()-1,装备库!$AK$2:$AK$2022,0),COLUMN()),"")</f>
        <v>裤子</v>
      </c>
      <c r="B237" t="str">
        <f>IFERROR(INDEX(装备库!$A$2:$E$2022,MATCH(ROW()-1,装备库!$AK$2:$AK$2022,0),COLUMN()),"")</f>
        <v>7_110952</v>
      </c>
      <c r="C237" t="str">
        <f>IFERROR(INDEX(装备库!$A$2:$E$2022,MATCH(ROW()-1,装备库!$AK$2:$AK$2022,0),5),"")</f>
        <v>胃霆裤(38100会无)</v>
      </c>
    </row>
    <row r="238" spans="1:3">
      <c r="A238" t="str">
        <f>IFERROR(INDEX(装备库!$A$2:$E$2022,MATCH(ROW()-1,装备库!$AK$2:$AK$2022,0),COLUMN()),"")</f>
        <v>裤子</v>
      </c>
      <c r="B238" t="str">
        <f>IFERROR(INDEX(装备库!$A$2:$E$2022,MATCH(ROW()-1,装备库!$AK$2:$AK$2022,0),COLUMN()),"")</f>
        <v>7_109365</v>
      </c>
      <c r="C238" t="str">
        <f>IFERROR(INDEX(装备库!$A$2:$E$2022,MATCH(ROW()-1,装备库!$AK$2:$AK$2022,0),5),"")</f>
        <v>虎帐裤(41400招无)</v>
      </c>
    </row>
    <row r="239" spans="1:3">
      <c r="A239" t="str">
        <f>IFERROR(INDEX(装备库!$A$2:$E$2022,MATCH(ROW()-1,装备库!$AK$2:$AK$2022,0),COLUMN()),"")</f>
        <v>裤子</v>
      </c>
      <c r="B239" t="str">
        <f>IFERROR(INDEX(装备库!$A$2:$E$2022,MATCH(ROW()-1,装备库!$AK$2:$AK$2022,0),COLUMN()),"")</f>
        <v>7_109311</v>
      </c>
      <c r="C239" t="str">
        <f>IFERROR(INDEX(装备库!$A$2:$E$2022,MATCH(ROW()-1,装备库!$AK$2:$AK$2022,0),5),"")</f>
        <v>尘隐裤(41400速无)</v>
      </c>
    </row>
    <row r="240" spans="1:3">
      <c r="A240" t="str">
        <f>IFERROR(INDEX(装备库!$A$2:$E$2022,MATCH(ROW()-1,装备库!$AK$2:$AK$2022,0),COLUMN()),"")</f>
        <v>裤子</v>
      </c>
      <c r="B240" t="str">
        <f>IFERROR(INDEX(装备库!$A$2:$E$2022,MATCH(ROW()-1,装备库!$AK$2:$AK$2022,0),COLUMN()),"")</f>
        <v>7_109347</v>
      </c>
      <c r="C240" t="str">
        <f>IFERROR(INDEX(装备库!$A$2:$E$2022,MATCH(ROW()-1,装备库!$AK$2:$AK$2022,0),5),"")</f>
        <v>流漓裤(41400会无)</v>
      </c>
    </row>
    <row r="241" spans="1:3">
      <c r="A241" t="str">
        <f>IFERROR(INDEX(装备库!$A$2:$E$2022,MATCH(ROW()-1,装备库!$AK$2:$AK$2022,0),COLUMN()),"")</f>
        <v>裤子</v>
      </c>
      <c r="B241" t="str">
        <f>IFERROR(INDEX(装备库!$A$2:$E$2022,MATCH(ROW()-1,装备库!$AK$2:$AK$2022,0),COLUMN()),"")</f>
        <v>7_109518</v>
      </c>
      <c r="C241" t="str">
        <f>IFERROR(INDEX(装备库!$A$2:$E$2022,MATCH(ROW()-1,装备库!$AK$2:$AK$2022,0),5),"")</f>
        <v>客行江湖·霁影下裳(41400破无)</v>
      </c>
    </row>
    <row r="242" spans="1:3">
      <c r="A242" t="str">
        <f>IFERROR(INDEX(装备库!$A$2:$E$2022,MATCH(ROW()-1,装备库!$AK$2:$AK$2022,0),COLUMN()),"")</f>
        <v>裤子</v>
      </c>
      <c r="B242" t="str">
        <f>IFERROR(INDEX(装备库!$A$2:$E$2022,MATCH(ROW()-1,装备库!$AK$2:$AK$2022,0),COLUMN()),"")</f>
        <v>7_109596</v>
      </c>
      <c r="C242" t="str">
        <f>IFERROR(INDEX(装备库!$A$2:$E$2022,MATCH(ROW()-1,装备库!$AK$2:$AK$2022,0),5),"")</f>
        <v>曜影下裳(41400招无)</v>
      </c>
    </row>
    <row r="243" spans="1:3">
      <c r="A243" t="str">
        <f>IFERROR(INDEX(装备库!$A$2:$E$2022,MATCH(ROW()-1,装备库!$AK$2:$AK$2022,0),COLUMN()),"")</f>
        <v>裤子</v>
      </c>
      <c r="B243" t="str">
        <f>IFERROR(INDEX(装备库!$A$2:$E$2022,MATCH(ROW()-1,装备库!$AK$2:$AK$2022,0),COLUMN()),"")</f>
        <v>7_109449</v>
      </c>
      <c r="C243" t="str">
        <f>IFERROR(INDEX(装备库!$A$2:$E$2022,MATCH(ROW()-1,装备库!$AK$2:$AK$2022,0),5),"")</f>
        <v>一剑边城(41400特效精简招无)</v>
      </c>
    </row>
    <row r="244" spans="1:3">
      <c r="A244" t="str">
        <f>IFERROR(INDEX(装备库!$A$2:$E$2022,MATCH(ROW()-1,装备库!$AK$2:$AK$2022,0),COLUMN()),"")</f>
        <v>裤子</v>
      </c>
      <c r="B244" t="str">
        <f>IFERROR(INDEX(装备库!$A$2:$E$2022,MATCH(ROW()-1,装备库!$AK$2:$AK$2022,0),COLUMN()),"")</f>
        <v>7_110948</v>
      </c>
      <c r="C244" t="str">
        <f>IFERROR(INDEX(装备库!$A$2:$E$2022,MATCH(ROW()-1,装备库!$AK$2:$AK$2022,0),5),"")</f>
        <v>转星河(41400特效精简速)</v>
      </c>
    </row>
    <row r="245" spans="1:3">
      <c r="A245" t="str">
        <f>IFERROR(INDEX(装备库!$A$2:$E$2022,MATCH(ROW()-1,装备库!$AK$2:$AK$2022,0),COLUMN()),"")</f>
        <v>裤子</v>
      </c>
      <c r="B245" t="str">
        <f>IFERROR(INDEX(装备库!$A$2:$E$2022,MATCH(ROW()-1,装备库!$AK$2:$AK$2022,0),COLUMN()),"")</f>
        <v>7_109448</v>
      </c>
      <c r="C245" t="str">
        <f>IFERROR(INDEX(装备库!$A$2:$E$2022,MATCH(ROW()-1,装备库!$AK$2:$AK$2022,0),5),"")</f>
        <v>浮沉客(41400特效精简破无)</v>
      </c>
    </row>
    <row r="246" spans="1:3">
      <c r="A246" t="str">
        <f>IFERROR(INDEX(装备库!$A$2:$E$2022,MATCH(ROW()-1,装备库!$AK$2:$AK$2022,0),COLUMN()),"")</f>
        <v>裤子</v>
      </c>
      <c r="B246" t="str">
        <f>IFERROR(INDEX(装备库!$A$2:$E$2022,MATCH(ROW()-1,装备库!$AK$2:$AK$2022,0),COLUMN()),"")</f>
        <v>7_109451</v>
      </c>
      <c r="C246" t="str">
        <f>IFERROR(INDEX(装备库!$A$2:$E$2022,MATCH(ROW()-1,装备库!$AK$2:$AK$2022,0),5),"")</f>
        <v>归江湖(41400特效精简破)</v>
      </c>
    </row>
    <row r="247" spans="1:3">
      <c r="A247" t="str">
        <f>IFERROR(INDEX(装备库!$A$2:$E$2022,MATCH(ROW()-1,装备库!$AK$2:$AK$2022,0),COLUMN()),"")</f>
        <v>裤子</v>
      </c>
      <c r="B247" t="str">
        <f>IFERROR(INDEX(装备库!$A$2:$E$2022,MATCH(ROW()-1,装备库!$AK$2:$AK$2022,0),COLUMN()),"")</f>
        <v>7_109446</v>
      </c>
      <c r="C247" t="str">
        <f>IFERROR(INDEX(装备库!$A$2:$E$2022,MATCH(ROW()-1,装备库!$AK$2:$AK$2022,0),5),"")</f>
        <v>风入城(41400特效精简会招破无)</v>
      </c>
    </row>
    <row r="248" spans="1:3">
      <c r="A248" t="str">
        <f>IFERROR(INDEX(装备库!$A$2:$E$2022,MATCH(ROW()-1,装备库!$AK$2:$AK$2022,0),COLUMN()),"")</f>
        <v>裤子</v>
      </c>
      <c r="B248" t="str">
        <f>IFERROR(INDEX(装备库!$A$2:$E$2022,MATCH(ROW()-1,装备库!$AK$2:$AK$2022,0),COLUMN()),"")</f>
        <v>7_109447</v>
      </c>
      <c r="C248" t="str">
        <f>IFERROR(INDEX(装备库!$A$2:$E$2022,MATCH(ROW()-1,装备库!$AK$2:$AK$2022,0),5),"")</f>
        <v>明月归人(41400特效精简会无)</v>
      </c>
    </row>
    <row r="249" spans="1:3">
      <c r="A249" t="str">
        <f>IFERROR(INDEX(装备库!$A$2:$E$2022,MATCH(ROW()-1,装备库!$AK$2:$AK$2022,0),COLUMN()),"")</f>
        <v>裤子</v>
      </c>
      <c r="B249" t="str">
        <f>IFERROR(INDEX(装备库!$A$2:$E$2022,MATCH(ROW()-1,装备库!$AK$2:$AK$2022,0),COLUMN()),"")</f>
        <v>7_109450</v>
      </c>
      <c r="C249" t="str">
        <f>IFERROR(INDEX(装备库!$A$2:$E$2022,MATCH(ROW()-1,装备库!$AK$2:$AK$2022,0),5),"")</f>
        <v>远近游(41400特效精简会)</v>
      </c>
    </row>
    <row r="250" spans="1:3">
      <c r="A250" t="str">
        <f>IFERROR(INDEX(装备库!$A$2:$E$2022,MATCH(ROW()-1,装备库!$AK$2:$AK$2022,0),COLUMN()),"")</f>
        <v>裤子</v>
      </c>
      <c r="B250" t="str">
        <f>IFERROR(INDEX(装备库!$A$2:$E$2022,MATCH(ROW()-1,装备库!$AK$2:$AK$2022,0),COLUMN()),"")</f>
        <v>7_109441</v>
      </c>
      <c r="C250" t="str">
        <f>IFERROR(INDEX(装备库!$A$2:$E$2022,MATCH(ROW()-1,装备库!$AK$2:$AK$2022,0),5),"")</f>
        <v>乱烟裤·引(41400精简招无)</v>
      </c>
    </row>
    <row r="251" spans="1:3">
      <c r="A251" t="str">
        <f>IFERROR(INDEX(装备库!$A$2:$E$2022,MATCH(ROW()-1,装备库!$AK$2:$AK$2022,0),COLUMN()),"")</f>
        <v>裤子</v>
      </c>
      <c r="B251" t="str">
        <f>IFERROR(INDEX(装备库!$A$2:$E$2022,MATCH(ROW()-1,装备库!$AK$2:$AK$2022,0),COLUMN()),"")</f>
        <v>7_109444</v>
      </c>
      <c r="C251" t="str">
        <f>IFERROR(INDEX(装备库!$A$2:$E$2022,MATCH(ROW()-1,装备库!$AK$2:$AK$2022,0),5),"")</f>
        <v>花杀裤·绝(41400精简招破无)</v>
      </c>
    </row>
    <row r="252" spans="1:3">
      <c r="A252" t="str">
        <f>IFERROR(INDEX(装备库!$A$2:$E$2022,MATCH(ROW()-1,装备库!$AK$2:$AK$2022,0),COLUMN()),"")</f>
        <v>裤子</v>
      </c>
      <c r="B252" t="str">
        <f>IFERROR(INDEX(装备库!$A$2:$E$2022,MATCH(ROW()-1,装备库!$AK$2:$AK$2022,0),COLUMN()),"")</f>
        <v>7_109438</v>
      </c>
      <c r="C252" t="str">
        <f>IFERROR(INDEX(装备库!$A$2:$E$2022,MATCH(ROW()-1,装备库!$AK$2:$AK$2022,0),5),"")</f>
        <v>休莫裤·尊(41400精简无)</v>
      </c>
    </row>
    <row r="253" spans="1:3">
      <c r="A253" t="str">
        <f>IFERROR(INDEX(装备库!$A$2:$E$2022,MATCH(ROW()-1,装备库!$AK$2:$AK$2022,0),COLUMN()),"")</f>
        <v>裤子</v>
      </c>
      <c r="B253" t="str">
        <f>IFERROR(INDEX(装备库!$A$2:$E$2022,MATCH(ROW()-1,装备库!$AK$2:$AK$2022,0),COLUMN()),"")</f>
        <v>7_109445</v>
      </c>
      <c r="C253" t="str">
        <f>IFERROR(INDEX(装备库!$A$2:$E$2022,MATCH(ROW()-1,装备库!$AK$2:$AK$2022,0),5),"")</f>
        <v>识狂裤·迅(41400精简速)</v>
      </c>
    </row>
    <row r="254" spans="1:3">
      <c r="A254" t="str">
        <f>IFERROR(INDEX(装备库!$A$2:$E$2022,MATCH(ROW()-1,装备库!$AK$2:$AK$2022,0),COLUMN()),"")</f>
        <v>裤子</v>
      </c>
      <c r="B254" t="str">
        <f>IFERROR(INDEX(装备库!$A$2:$E$2022,MATCH(ROW()-1,装备库!$AK$2:$AK$2022,0),COLUMN()),"")</f>
        <v>7_109440</v>
      </c>
      <c r="C254" t="str">
        <f>IFERROR(INDEX(装备库!$A$2:$E$2022,MATCH(ROW()-1,装备库!$AK$2:$AK$2022,0),5),"")</f>
        <v>破霭裤·破(41400精简破无)</v>
      </c>
    </row>
    <row r="255" spans="1:3">
      <c r="A255" t="str">
        <f>IFERROR(INDEX(装备库!$A$2:$E$2022,MATCH(ROW()-1,装备库!$AK$2:$AK$2022,0),COLUMN()),"")</f>
        <v>裤子</v>
      </c>
      <c r="B255" t="str">
        <f>IFERROR(INDEX(装备库!$A$2:$E$2022,MATCH(ROW()-1,装备库!$AK$2:$AK$2022,0),COLUMN()),"")</f>
        <v>7_109443</v>
      </c>
      <c r="C255" t="str">
        <f>IFERROR(INDEX(装备库!$A$2:$E$2022,MATCH(ROW()-1,装备库!$AK$2:$AK$2022,0),5),"")</f>
        <v>停日裤·明(41400精简会招无)</v>
      </c>
    </row>
    <row r="256" spans="1:3">
      <c r="A256" t="str">
        <f>IFERROR(INDEX(装备库!$A$2:$E$2022,MATCH(ROW()-1,装备库!$AK$2:$AK$2022,0),COLUMN()),"")</f>
        <v>裤子</v>
      </c>
      <c r="B256" t="str">
        <f>IFERROR(INDEX(装备库!$A$2:$E$2022,MATCH(ROW()-1,装备库!$AK$2:$AK$2022,0),COLUMN()),"")</f>
        <v>7_109439</v>
      </c>
      <c r="C256" t="str">
        <f>IFERROR(INDEX(装备库!$A$2:$E$2022,MATCH(ROW()-1,装备库!$AK$2:$AK$2022,0),5),"")</f>
        <v>分霄裤·悟(41400精简会无)</v>
      </c>
    </row>
    <row r="257" spans="1:3">
      <c r="A257" t="str">
        <f>IFERROR(INDEX(装备库!$A$2:$E$2022,MATCH(ROW()-1,装备库!$AK$2:$AK$2022,0),COLUMN()),"")</f>
        <v>裤子</v>
      </c>
      <c r="B257" t="str">
        <f>IFERROR(INDEX(装备库!$A$2:$E$2022,MATCH(ROW()-1,装备库!$AK$2:$AK$2022,0),COLUMN()),"")</f>
        <v>7_109442</v>
      </c>
      <c r="C257" t="str">
        <f>IFERROR(INDEX(装备库!$A$2:$E$2022,MATCH(ROW()-1,装备库!$AK$2:$AK$2022,0),5),"")</f>
        <v>风歇裤·觉(41400精简会破无)</v>
      </c>
    </row>
    <row r="258" spans="1:3">
      <c r="A258" t="str">
        <f>IFERROR(INDEX(装备库!$A$2:$E$2022,MATCH(ROW()-1,装备库!$AK$2:$AK$2022,0),COLUMN()),"")</f>
        <v>裤子</v>
      </c>
      <c r="B258" t="str">
        <f>IFERROR(INDEX(装备库!$A$2:$E$2022,MATCH(ROW()-1,装备库!$AK$2:$AK$2022,0),COLUMN()),"")</f>
        <v>7_109494</v>
      </c>
      <c r="C258" t="str">
        <f>IFERROR(INDEX(装备库!$A$2:$E$2022,MATCH(ROW()-1,装备库!$AK$2:$AK$2022,0),5),"")</f>
        <v>尧影裤(42100会无)</v>
      </c>
    </row>
    <row r="259" spans="1:3">
      <c r="A259" t="str">
        <f>IFERROR(INDEX(装备库!$A$2:$E$2022,MATCH(ROW()-1,装备库!$AK$2:$AK$2022,0),COLUMN()),"")</f>
        <v>裤子</v>
      </c>
      <c r="B259" t="str">
        <f>IFERROR(INDEX(装备库!$A$2:$E$2022,MATCH(ROW()-1,装备库!$AK$2:$AK$2022,0),COLUMN()),"")</f>
        <v>7_110871</v>
      </c>
      <c r="C259" t="str">
        <f>IFERROR(INDEX(装备库!$A$2:$E$2022,MATCH(ROW()-1,装备库!$AK$2:$AK$2022,0),5),"")</f>
        <v>陶然意·烟峦裤(42400会全)</v>
      </c>
    </row>
    <row r="260" spans="1:3">
      <c r="A260" t="str">
        <f>IFERROR(INDEX(装备库!$A$2:$E$2022,MATCH(ROW()-1,装备库!$AK$2:$AK$2022,0),COLUMN()),"")</f>
        <v>帽子</v>
      </c>
      <c r="B260" t="str">
        <f>IFERROR(INDEX(装备库!$A$2:$E$2022,MATCH(ROW()-1,装备库!$AK$2:$AK$2022,0),COLUMN()),"")</f>
        <v>7_108545</v>
      </c>
      <c r="C260" t="str">
        <f>IFERROR(INDEX(装备库!$A$2:$E$2022,MATCH(ROW()-1,装备库!$AK$2:$AK$2022,0),5),"")</f>
        <v>镂云帽(30200速全)</v>
      </c>
    </row>
    <row r="261" spans="1:3">
      <c r="A261" t="str">
        <f>IFERROR(INDEX(装备库!$A$2:$E$2022,MATCH(ROW()-1,装备库!$AK$2:$AK$2022,0),COLUMN()),"")</f>
        <v>帽子</v>
      </c>
      <c r="B261" t="str">
        <f>IFERROR(INDEX(装备库!$A$2:$E$2022,MATCH(ROW()-1,装备库!$AK$2:$AK$2022,0),COLUMN()),"")</f>
        <v>7_108509</v>
      </c>
      <c r="C261" t="str">
        <f>IFERROR(INDEX(装备库!$A$2:$E$2022,MATCH(ROW()-1,装备库!$AK$2:$AK$2022,0),5),"")</f>
        <v>智渊帽(30200会全)</v>
      </c>
    </row>
    <row r="262" spans="1:3">
      <c r="A262" t="str">
        <f>IFERROR(INDEX(装备库!$A$2:$E$2022,MATCH(ROW()-1,装备库!$AK$2:$AK$2022,0),COLUMN()),"")</f>
        <v>帽子</v>
      </c>
      <c r="B262" t="str">
        <f>IFERROR(INDEX(装备库!$A$2:$E$2022,MATCH(ROW()-1,装备库!$AK$2:$AK$2022,0),COLUMN()),"")</f>
        <v>7_111006</v>
      </c>
      <c r="C262" t="str">
        <f>IFERROR(INDEX(装备库!$A$2:$E$2022,MATCH(ROW()-1,装备库!$AK$2:$AK$2022,0),5),"")</f>
        <v>臻泽帽(30200速全)</v>
      </c>
    </row>
    <row r="263" spans="1:3">
      <c r="A263" t="str">
        <f>IFERROR(INDEX(装备库!$A$2:$E$2022,MATCH(ROW()-1,装备库!$AK$2:$AK$2022,0),COLUMN()),"")</f>
        <v>帽子</v>
      </c>
      <c r="B263" t="str">
        <f>IFERROR(INDEX(装备库!$A$2:$E$2022,MATCH(ROW()-1,装备库!$AK$2:$AK$2022,0),COLUMN()),"")</f>
        <v>7_104758</v>
      </c>
      <c r="C263" t="str">
        <f>IFERROR(INDEX(装备库!$A$2:$E$2022,MATCH(ROW()-1,装备库!$AK$2:$AK$2022,0),5),"")</f>
        <v>【门派套装】天极·听荷冠(30200破无)</v>
      </c>
    </row>
    <row r="264" spans="1:3">
      <c r="A264" t="str">
        <f>IFERROR(INDEX(装备库!$A$2:$E$2022,MATCH(ROW()-1,装备库!$AK$2:$AK$2022,0),COLUMN()),"")</f>
        <v>帽子</v>
      </c>
      <c r="B264" t="str">
        <f>IFERROR(INDEX(装备库!$A$2:$E$2022,MATCH(ROW()-1,装备库!$AK$2:$AK$2022,0),COLUMN()),"")</f>
        <v>7_108245</v>
      </c>
      <c r="C264" t="str">
        <f>IFERROR(INDEX(装备库!$A$2:$E$2022,MATCH(ROW()-1,装备库!$AK$2:$AK$2022,0),5),"")</f>
        <v>孤城惊梦·迷烟帽(30200会无)</v>
      </c>
    </row>
    <row r="265" spans="1:3">
      <c r="A265" t="str">
        <f>IFERROR(INDEX(装备库!$A$2:$E$2022,MATCH(ROW()-1,装备库!$AK$2:$AK$2022,0),COLUMN()),"")</f>
        <v>帽子</v>
      </c>
      <c r="B265" t="str">
        <f>IFERROR(INDEX(装备库!$A$2:$E$2022,MATCH(ROW()-1,装备库!$AK$2:$AK$2022,0),COLUMN()),"")</f>
        <v>7_104138</v>
      </c>
      <c r="C265" t="str">
        <f>IFERROR(INDEX(装备库!$A$2:$E$2022,MATCH(ROW()-1,装备库!$AK$2:$AK$2022,0),5),"")</f>
        <v>润源冠(30200招无)</v>
      </c>
    </row>
    <row r="266" spans="1:3">
      <c r="A266" t="str">
        <f>IFERROR(INDEX(装备库!$A$2:$E$2022,MATCH(ROW()-1,装备库!$AK$2:$AK$2022,0),COLUMN()),"")</f>
        <v>帽子</v>
      </c>
      <c r="B266" t="str">
        <f>IFERROR(INDEX(装备库!$A$2:$E$2022,MATCH(ROW()-1,装备库!$AK$2:$AK$2022,0),COLUMN()),"")</f>
        <v>7_104494</v>
      </c>
      <c r="C266" t="str">
        <f>IFERROR(INDEX(装备库!$A$2:$E$2022,MATCH(ROW()-1,装备库!$AK$2:$AK$2022,0),5),"")</f>
        <v>平皋冠(30200速无)</v>
      </c>
    </row>
    <row r="267" spans="1:3">
      <c r="A267" t="str">
        <f>IFERROR(INDEX(装备库!$A$2:$E$2022,MATCH(ROW()-1,装备库!$AK$2:$AK$2022,0),COLUMN()),"")</f>
        <v>帽子</v>
      </c>
      <c r="B267" t="str">
        <f>IFERROR(INDEX(装备库!$A$2:$E$2022,MATCH(ROW()-1,装备库!$AK$2:$AK$2022,0),COLUMN()),"")</f>
        <v>7_104869</v>
      </c>
      <c r="C267" t="str">
        <f>IFERROR(INDEX(装备库!$A$2:$E$2022,MATCH(ROW()-1,装备库!$AK$2:$AK$2022,0),5),"")</f>
        <v>标雁冠(30200速无)</v>
      </c>
    </row>
    <row r="268" spans="1:3">
      <c r="A268" t="str">
        <f>IFERROR(INDEX(装备库!$A$2:$E$2022,MATCH(ROW()-1,装备库!$AK$2:$AK$2022,0),COLUMN()),"")</f>
        <v>帽子</v>
      </c>
      <c r="B268" t="str">
        <f>IFERROR(INDEX(装备库!$A$2:$E$2022,MATCH(ROW()-1,装备库!$AK$2:$AK$2022,0),COLUMN()),"")</f>
        <v>7_104466</v>
      </c>
      <c r="C268" t="str">
        <f>IFERROR(INDEX(装备库!$A$2:$E$2022,MATCH(ROW()-1,装备库!$AK$2:$AK$2022,0),5),"")</f>
        <v>羽缀冠(30200会无)</v>
      </c>
    </row>
    <row r="269" spans="1:3">
      <c r="A269" t="str">
        <f>IFERROR(INDEX(装备库!$A$2:$E$2022,MATCH(ROW()-1,装备库!$AK$2:$AK$2022,0),COLUMN()),"")</f>
        <v>帽子</v>
      </c>
      <c r="B269" t="str">
        <f>IFERROR(INDEX(装备库!$A$2:$E$2022,MATCH(ROW()-1,装备库!$AK$2:$AK$2022,0),COLUMN()),"")</f>
        <v>7_104833</v>
      </c>
      <c r="C269" t="str">
        <f>IFERROR(INDEX(装备库!$A$2:$E$2022,MATCH(ROW()-1,装备库!$AK$2:$AK$2022,0),5),"")</f>
        <v>问殿冠(30200会无)</v>
      </c>
    </row>
    <row r="270" spans="1:3">
      <c r="A270" t="str">
        <f>IFERROR(INDEX(装备库!$A$2:$E$2022,MATCH(ROW()-1,装备库!$AK$2:$AK$2022,0),COLUMN()),"")</f>
        <v>帽子</v>
      </c>
      <c r="B270" t="str">
        <f>IFERROR(INDEX(装备库!$A$2:$E$2022,MATCH(ROW()-1,装备库!$AK$2:$AK$2022,0),COLUMN()),"")</f>
        <v>7_105019</v>
      </c>
      <c r="C270" t="str">
        <f>IFERROR(INDEX(装备库!$A$2:$E$2022,MATCH(ROW()-1,装备库!$AK$2:$AK$2022,0),5),"")</f>
        <v>客行江湖·日斜冠(30200招无)</v>
      </c>
    </row>
    <row r="271" spans="1:3">
      <c r="A271" t="str">
        <f>IFERROR(INDEX(装备库!$A$2:$E$2022,MATCH(ROW()-1,装备库!$AK$2:$AK$2022,0),COLUMN()),"")</f>
        <v>帽子</v>
      </c>
      <c r="B271" t="str">
        <f>IFERROR(INDEX(装备库!$A$2:$E$2022,MATCH(ROW()-1,装备库!$AK$2:$AK$2022,0),COLUMN()),"")</f>
        <v>7_105097</v>
      </c>
      <c r="C271" t="str">
        <f>IFERROR(INDEX(装备库!$A$2:$E$2022,MATCH(ROW()-1,装备库!$AK$2:$AK$2022,0),5),"")</f>
        <v>坠红帽(30200招无)</v>
      </c>
    </row>
    <row r="272" spans="1:3">
      <c r="A272" t="str">
        <f>IFERROR(INDEX(装备库!$A$2:$E$2022,MATCH(ROW()-1,装备库!$AK$2:$AK$2022,0),COLUMN()),"")</f>
        <v>帽子</v>
      </c>
      <c r="B272" t="str">
        <f>IFERROR(INDEX(装备库!$A$2:$E$2022,MATCH(ROW()-1,装备库!$AK$2:$AK$2022,0),COLUMN()),"")</f>
        <v>7_106660</v>
      </c>
      <c r="C272" t="str">
        <f>IFERROR(INDEX(装备库!$A$2:$E$2022,MATCH(ROW()-1,装备库!$AK$2:$AK$2022,0),5),"")</f>
        <v>寻踪觅宝·逸群冠(30200会无)</v>
      </c>
    </row>
    <row r="273" spans="1:3">
      <c r="A273" t="str">
        <f>IFERROR(INDEX(装备库!$A$2:$E$2022,MATCH(ROW()-1,装备库!$AK$2:$AK$2022,0),COLUMN()),"")</f>
        <v>帽子</v>
      </c>
      <c r="B273" t="str">
        <f>IFERROR(INDEX(装备库!$A$2:$E$2022,MATCH(ROW()-1,装备库!$AK$2:$AK$2022,0),COLUMN()),"")</f>
        <v>7_105061</v>
      </c>
      <c r="C273" t="str">
        <f>IFERROR(INDEX(装备库!$A$2:$E$2022,MATCH(ROW()-1,装备库!$AK$2:$AK$2022,0),5),"")</f>
        <v>无修冠·外·玄(30200特效精简破无)</v>
      </c>
    </row>
    <row r="274" spans="1:3">
      <c r="A274" t="str">
        <f>IFERROR(INDEX(装备库!$A$2:$E$2022,MATCH(ROW()-1,装备库!$AK$2:$AK$2022,0),COLUMN()),"")</f>
        <v>帽子</v>
      </c>
      <c r="B274" t="str">
        <f>IFERROR(INDEX(装备库!$A$2:$E$2022,MATCH(ROW()-1,装备库!$AK$2:$AK$2022,0),COLUMN()),"")</f>
        <v>7_105063</v>
      </c>
      <c r="C274" t="str">
        <f>IFERROR(INDEX(装备库!$A$2:$E$2022,MATCH(ROW()-1,装备库!$AK$2:$AK$2022,0),5),"")</f>
        <v>无修冠·外·玄(30200特效精简会招无)</v>
      </c>
    </row>
    <row r="275" spans="1:3">
      <c r="A275" t="str">
        <f>IFERROR(INDEX(装备库!$A$2:$E$2022,MATCH(ROW()-1,装备库!$AK$2:$AK$2022,0),COLUMN()),"")</f>
        <v>帽子</v>
      </c>
      <c r="B275" t="str">
        <f>IFERROR(INDEX(装备库!$A$2:$E$2022,MATCH(ROW()-1,装备库!$AK$2:$AK$2022,0),COLUMN()),"")</f>
        <v>7_105062</v>
      </c>
      <c r="C275" t="str">
        <f>IFERROR(INDEX(装备库!$A$2:$E$2022,MATCH(ROW()-1,装备库!$AK$2:$AK$2022,0),5),"")</f>
        <v>无修冠·外·玄(30200特效精简会会无)</v>
      </c>
    </row>
    <row r="276" spans="1:3">
      <c r="A276" t="str">
        <f>IFERROR(INDEX(装备库!$A$2:$E$2022,MATCH(ROW()-1,装备库!$AK$2:$AK$2022,0),COLUMN()),"")</f>
        <v>帽子</v>
      </c>
      <c r="B276" t="str">
        <f>IFERROR(INDEX(装备库!$A$2:$E$2022,MATCH(ROW()-1,装备库!$AK$2:$AK$2022,0),COLUMN()),"")</f>
        <v>7_106481</v>
      </c>
      <c r="C276" t="str">
        <f>IFERROR(INDEX(装备库!$A$2:$E$2022,MATCH(ROW()-1,装备库!$AK$2:$AK$2022,0),5),"")</f>
        <v>陶然意·谧秋冠(30700会全)</v>
      </c>
    </row>
    <row r="277" spans="1:3">
      <c r="A277" t="str">
        <f>IFERROR(INDEX(装备库!$A$2:$E$2022,MATCH(ROW()-1,装备库!$AK$2:$AK$2022,0),COLUMN()),"")</f>
        <v>帽子</v>
      </c>
      <c r="B277" t="str">
        <f>IFERROR(INDEX(装备库!$A$2:$E$2022,MATCH(ROW()-1,装备库!$AK$2:$AK$2022,0),COLUMN()),"")</f>
        <v>7_104995</v>
      </c>
      <c r="C277" t="str">
        <f>IFERROR(INDEX(装备库!$A$2:$E$2022,MATCH(ROW()-1,装备库!$AK$2:$AK$2022,0),5),"")</f>
        <v>月霭冠(30700招无)</v>
      </c>
    </row>
    <row r="278" spans="1:3">
      <c r="A278" t="str">
        <f>IFERROR(INDEX(装备库!$A$2:$E$2022,MATCH(ROW()-1,装备库!$AK$2:$AK$2022,0),COLUMN()),"")</f>
        <v>帽子</v>
      </c>
      <c r="B278" t="str">
        <f>IFERROR(INDEX(装备库!$A$2:$E$2022,MATCH(ROW()-1,装备库!$AK$2:$AK$2022,0),COLUMN()),"")</f>
        <v>7_107093</v>
      </c>
      <c r="C278" t="str">
        <f>IFERROR(INDEX(装备库!$A$2:$E$2022,MATCH(ROW()-1,装备库!$AK$2:$AK$2022,0),5),"")</f>
        <v>无修冠·外·地(32500特效精简无)</v>
      </c>
    </row>
    <row r="279" spans="1:3">
      <c r="A279" t="str">
        <f>IFERROR(INDEX(装备库!$A$2:$E$2022,MATCH(ROW()-1,装备库!$AK$2:$AK$2022,0),COLUMN()),"")</f>
        <v>帽子</v>
      </c>
      <c r="B279" t="str">
        <f>IFERROR(INDEX(装备库!$A$2:$E$2022,MATCH(ROW()-1,装备库!$AK$2:$AK$2022,0),COLUMN()),"")</f>
        <v>7_107094</v>
      </c>
      <c r="C279" t="str">
        <f>IFERROR(INDEX(装备库!$A$2:$E$2022,MATCH(ROW()-1,装备库!$AK$2:$AK$2022,0),5),"")</f>
        <v>无修冠·外·地(32500特效精简会无)</v>
      </c>
    </row>
    <row r="280" spans="1:3">
      <c r="A280" t="str">
        <f>IFERROR(INDEX(装备库!$A$2:$E$2022,MATCH(ROW()-1,装备库!$AK$2:$AK$2022,0),COLUMN()),"")</f>
        <v>帽子</v>
      </c>
      <c r="B280" t="str">
        <f>IFERROR(INDEX(装备库!$A$2:$E$2022,MATCH(ROW()-1,装备库!$AK$2:$AK$2022,0),COLUMN()),"")</f>
        <v>7_107095</v>
      </c>
      <c r="C280" t="str">
        <f>IFERROR(INDEX(装备库!$A$2:$E$2022,MATCH(ROW()-1,装备库!$AK$2:$AK$2022,0),5),"")</f>
        <v>无修冠·外·地(32500特效精简会破无)</v>
      </c>
    </row>
    <row r="281" spans="1:3">
      <c r="A281" t="str">
        <f>IFERROR(INDEX(装备库!$A$2:$E$2022,MATCH(ROW()-1,装备库!$AK$2:$AK$2022,0),COLUMN()),"")</f>
        <v>帽子</v>
      </c>
      <c r="B281" t="str">
        <f>IFERROR(INDEX(装备库!$A$2:$E$2022,MATCH(ROW()-1,装备库!$AK$2:$AK$2022,0),COLUMN()),"")</f>
        <v>7_106779</v>
      </c>
      <c r="C281" t="str">
        <f>IFERROR(INDEX(装备库!$A$2:$E$2022,MATCH(ROW()-1,装备库!$AK$2:$AK$2022,0),5),"")</f>
        <v>【门派套装】牧川·拂梅冠(35300破无)</v>
      </c>
    </row>
    <row r="282" spans="1:3">
      <c r="A282" t="str">
        <f>IFERROR(INDEX(装备库!$A$2:$E$2022,MATCH(ROW()-1,装备库!$AK$2:$AK$2022,0),COLUMN()),"")</f>
        <v>帽子</v>
      </c>
      <c r="B282" t="str">
        <f>IFERROR(INDEX(装备库!$A$2:$E$2022,MATCH(ROW()-1,装备库!$AK$2:$AK$2022,0),COLUMN()),"")</f>
        <v>7_110706</v>
      </c>
      <c r="C282" t="str">
        <f>IFERROR(INDEX(装备库!$A$2:$E$2022,MATCH(ROW()-1,装备库!$AK$2:$AK$2022,0),5),"")</f>
        <v>幽墟荡秽·迅鸿冠(35300会无)</v>
      </c>
    </row>
    <row r="283" spans="1:3">
      <c r="A283" t="str">
        <f>IFERROR(INDEX(装备库!$A$2:$E$2022,MATCH(ROW()-1,装备库!$AK$2:$AK$2022,0),COLUMN()),"")</f>
        <v>帽子</v>
      </c>
      <c r="B283" t="str">
        <f>IFERROR(INDEX(装备库!$A$2:$E$2022,MATCH(ROW()-1,装备库!$AK$2:$AK$2022,0),COLUMN()),"")</f>
        <v>7_106892</v>
      </c>
      <c r="C283" t="str">
        <f>IFERROR(INDEX(装备库!$A$2:$E$2022,MATCH(ROW()-1,装备库!$AK$2:$AK$2022,0),5),"")</f>
        <v>晚风冠(35300速无)</v>
      </c>
    </row>
    <row r="284" spans="1:3">
      <c r="A284" t="str">
        <f>IFERROR(INDEX(装备库!$A$2:$E$2022,MATCH(ROW()-1,装备库!$AK$2:$AK$2022,0),COLUMN()),"")</f>
        <v>帽子</v>
      </c>
      <c r="B284" t="str">
        <f>IFERROR(INDEX(装备库!$A$2:$E$2022,MATCH(ROW()-1,装备库!$AK$2:$AK$2022,0),COLUMN()),"")</f>
        <v>7_106856</v>
      </c>
      <c r="C284" t="str">
        <f>IFERROR(INDEX(装备库!$A$2:$E$2022,MATCH(ROW()-1,装备库!$AK$2:$AK$2022,0),5),"")</f>
        <v>天风冠(35300会无)</v>
      </c>
    </row>
    <row r="285" spans="1:3">
      <c r="A285" t="str">
        <f>IFERROR(INDEX(装备库!$A$2:$E$2022,MATCH(ROW()-1,装备库!$AK$2:$AK$2022,0),COLUMN()),"")</f>
        <v>帽子</v>
      </c>
      <c r="B285" t="str">
        <f>IFERROR(INDEX(装备库!$A$2:$E$2022,MATCH(ROW()-1,装备库!$AK$2:$AK$2022,0),COLUMN()),"")</f>
        <v>7_107063</v>
      </c>
      <c r="C285" t="str">
        <f>IFERROR(INDEX(装备库!$A$2:$E$2022,MATCH(ROW()-1,装备库!$AK$2:$AK$2022,0),5),"")</f>
        <v>客行江湖·离帆帽(35300招无)</v>
      </c>
    </row>
    <row r="286" spans="1:3">
      <c r="A286" t="str">
        <f>IFERROR(INDEX(装备库!$A$2:$E$2022,MATCH(ROW()-1,装备库!$AK$2:$AK$2022,0),COLUMN()),"")</f>
        <v>帽子</v>
      </c>
      <c r="B286" t="str">
        <f>IFERROR(INDEX(装备库!$A$2:$E$2022,MATCH(ROW()-1,装备库!$AK$2:$AK$2022,0),COLUMN()),"")</f>
        <v>7_107141</v>
      </c>
      <c r="C286" t="str">
        <f>IFERROR(INDEX(装备库!$A$2:$E$2022,MATCH(ROW()-1,装备库!$AK$2:$AK$2022,0),5),"")</f>
        <v>蒙鸠帽(35300招无)</v>
      </c>
    </row>
    <row r="287" spans="1:3">
      <c r="A287" t="str">
        <f>IFERROR(INDEX(装备库!$A$2:$E$2022,MATCH(ROW()-1,装备库!$AK$2:$AK$2022,0),COLUMN()),"")</f>
        <v>帽子</v>
      </c>
      <c r="B287" t="str">
        <f>IFERROR(INDEX(装备库!$A$2:$E$2022,MATCH(ROW()-1,装备库!$AK$2:$AK$2022,0),COLUMN()),"")</f>
        <v>7_109121</v>
      </c>
      <c r="C287" t="str">
        <f>IFERROR(INDEX(装备库!$A$2:$E$2022,MATCH(ROW()-1,装备库!$AK$2:$AK$2022,0),5),"")</f>
        <v>寻踪觅宝·凌英冠(35300会无)</v>
      </c>
    </row>
    <row r="288" spans="1:3">
      <c r="A288" t="str">
        <f>IFERROR(INDEX(装备库!$A$2:$E$2022,MATCH(ROW()-1,装备库!$AK$2:$AK$2022,0),COLUMN()),"")</f>
        <v>帽子</v>
      </c>
      <c r="B288" t="str">
        <f>IFERROR(INDEX(装备库!$A$2:$E$2022,MATCH(ROW()-1,装备库!$AK$2:$AK$2022,0),COLUMN()),"")</f>
        <v>7_107106</v>
      </c>
      <c r="C288" t="str">
        <f>IFERROR(INDEX(装备库!$A$2:$E$2022,MATCH(ROW()-1,装备库!$AK$2:$AK$2022,0),5),"")</f>
        <v>无修冠·外·地(35300特效精简会招无)</v>
      </c>
    </row>
    <row r="289" spans="1:3">
      <c r="A289" t="str">
        <f>IFERROR(INDEX(装备库!$A$2:$E$2022,MATCH(ROW()-1,装备库!$AK$2:$AK$2022,0),COLUMN()),"")</f>
        <v>帽子</v>
      </c>
      <c r="B289" t="str">
        <f>IFERROR(INDEX(装备库!$A$2:$E$2022,MATCH(ROW()-1,装备库!$AK$2:$AK$2022,0),COLUMN()),"")</f>
        <v>7_107105</v>
      </c>
      <c r="C289" t="str">
        <f>IFERROR(INDEX(装备库!$A$2:$E$2022,MATCH(ROW()-1,装备库!$AK$2:$AK$2022,0),5),"")</f>
        <v>无修冠·外·地(35300特效精简会无)</v>
      </c>
    </row>
    <row r="290" spans="1:3">
      <c r="A290" t="str">
        <f>IFERROR(INDEX(装备库!$A$2:$E$2022,MATCH(ROW()-1,装备库!$AK$2:$AK$2022,0),COLUMN()),"")</f>
        <v>帽子</v>
      </c>
      <c r="B290" t="str">
        <f>IFERROR(INDEX(装备库!$A$2:$E$2022,MATCH(ROW()-1,装备库!$AK$2:$AK$2022,0),COLUMN()),"")</f>
        <v>7_107107</v>
      </c>
      <c r="C290" t="str">
        <f>IFERROR(INDEX(装备库!$A$2:$E$2022,MATCH(ROW()-1,装备库!$AK$2:$AK$2022,0),5),"")</f>
        <v>无修冠·外·地(35300特效精简会破无)</v>
      </c>
    </row>
    <row r="291" spans="1:3">
      <c r="A291" t="str">
        <f>IFERROR(INDEX(装备库!$A$2:$E$2022,MATCH(ROW()-1,装备库!$AK$2:$AK$2022,0),COLUMN()),"")</f>
        <v>帽子</v>
      </c>
      <c r="B291" t="str">
        <f>IFERROR(INDEX(装备库!$A$2:$E$2022,MATCH(ROW()-1,装备库!$AK$2:$AK$2022,0),COLUMN()),"")</f>
        <v>7_107039</v>
      </c>
      <c r="C291" t="str">
        <f>IFERROR(INDEX(装备库!$A$2:$E$2022,MATCH(ROW()-1,装备库!$AK$2:$AK$2022,0),5),"")</f>
        <v>江舟帽(35900招无)</v>
      </c>
    </row>
    <row r="292" spans="1:3">
      <c r="A292" t="str">
        <f>IFERROR(INDEX(装备库!$A$2:$E$2022,MATCH(ROW()-1,装备库!$AK$2:$AK$2022,0),COLUMN()),"")</f>
        <v>帽子</v>
      </c>
      <c r="B292" t="str">
        <f>IFERROR(INDEX(装备库!$A$2:$E$2022,MATCH(ROW()-1,装备库!$AK$2:$AK$2022,0),COLUMN()),"")</f>
        <v>7_108438</v>
      </c>
      <c r="C292" t="str">
        <f>IFERROR(INDEX(装备库!$A$2:$E$2022,MATCH(ROW()-1,装备库!$AK$2:$AK$2022,0),5),"")</f>
        <v>陶然意·折柳帽(36200会全)</v>
      </c>
    </row>
    <row r="293" spans="1:3">
      <c r="A293" t="str">
        <f>IFERROR(INDEX(装备库!$A$2:$E$2022,MATCH(ROW()-1,装备库!$AK$2:$AK$2022,0),COLUMN()),"")</f>
        <v>帽子</v>
      </c>
      <c r="B293" t="str">
        <f>IFERROR(INDEX(装备库!$A$2:$E$2022,MATCH(ROW()-1,装备库!$AK$2:$AK$2022,0),COLUMN()),"")</f>
        <v>7_109556</v>
      </c>
      <c r="C293" t="str">
        <f>IFERROR(INDEX(装备库!$A$2:$E$2022,MATCH(ROW()-1,装备库!$AK$2:$AK$2022,0),5),"")</f>
        <v>无修冠·外·天(38100特效精简招无)</v>
      </c>
    </row>
    <row r="294" spans="1:3">
      <c r="A294" t="str">
        <f>IFERROR(INDEX(装备库!$A$2:$E$2022,MATCH(ROW()-1,装备库!$AK$2:$AK$2022,0),COLUMN()),"")</f>
        <v>帽子</v>
      </c>
      <c r="B294" t="str">
        <f>IFERROR(INDEX(装备库!$A$2:$E$2022,MATCH(ROW()-1,装备库!$AK$2:$AK$2022,0),COLUMN()),"")</f>
        <v>7_109554</v>
      </c>
      <c r="C294" t="str">
        <f>IFERROR(INDEX(装备库!$A$2:$E$2022,MATCH(ROW()-1,装备库!$AK$2:$AK$2022,0),5),"")</f>
        <v>无修冠·外·天(38100特效精简破无)</v>
      </c>
    </row>
    <row r="295" spans="1:3">
      <c r="A295" t="str">
        <f>IFERROR(INDEX(装备库!$A$2:$E$2022,MATCH(ROW()-1,装备库!$AK$2:$AK$2022,0),COLUMN()),"")</f>
        <v>帽子</v>
      </c>
      <c r="B295" t="str">
        <f>IFERROR(INDEX(装备库!$A$2:$E$2022,MATCH(ROW()-1,装备库!$AK$2:$AK$2022,0),COLUMN()),"")</f>
        <v>7_109555</v>
      </c>
      <c r="C295" t="str">
        <f>IFERROR(INDEX(装备库!$A$2:$E$2022,MATCH(ROW()-1,装备库!$AK$2:$AK$2022,0),5),"")</f>
        <v>无修冠·外·天(38100特效精简会会无)</v>
      </c>
    </row>
    <row r="296" spans="1:3">
      <c r="A296" t="str">
        <f>IFERROR(INDEX(装备库!$A$2:$E$2022,MATCH(ROW()-1,装备库!$AK$2:$AK$2022,0),COLUMN()),"")</f>
        <v>帽子</v>
      </c>
      <c r="B296" t="str">
        <f>IFERROR(INDEX(装备库!$A$2:$E$2022,MATCH(ROW()-1,装备库!$AK$2:$AK$2022,0),COLUMN()),"")</f>
        <v>7_109240</v>
      </c>
      <c r="C296" t="str">
        <f>IFERROR(INDEX(装备库!$A$2:$E$2022,MATCH(ROW()-1,装备库!$AK$2:$AK$2022,0),5),"")</f>
        <v>【门派套装】玄阙·燃炼冠(41400破无)</v>
      </c>
    </row>
    <row r="297" spans="1:3">
      <c r="A297" t="str">
        <f>IFERROR(INDEX(装备库!$A$2:$E$2022,MATCH(ROW()-1,装备库!$AK$2:$AK$2022,0),COLUMN()),"")</f>
        <v>帽子</v>
      </c>
      <c r="B297" t="str">
        <f>IFERROR(INDEX(装备库!$A$2:$E$2022,MATCH(ROW()-1,装备库!$AK$2:$AK$2022,0),COLUMN()),"")</f>
        <v>7_109353</v>
      </c>
      <c r="C297" t="str">
        <f>IFERROR(INDEX(装备库!$A$2:$E$2022,MATCH(ROW()-1,装备库!$AK$2:$AK$2022,0),5),"")</f>
        <v>流漓冠(41400速无)</v>
      </c>
    </row>
    <row r="298" spans="1:3">
      <c r="A298" t="str">
        <f>IFERROR(INDEX(装备库!$A$2:$E$2022,MATCH(ROW()-1,装备库!$AK$2:$AK$2022,0),COLUMN()),"")</f>
        <v>帽子</v>
      </c>
      <c r="B298" t="str">
        <f>IFERROR(INDEX(装备库!$A$2:$E$2022,MATCH(ROW()-1,装备库!$AK$2:$AK$2022,0),COLUMN()),"")</f>
        <v>7_109317</v>
      </c>
      <c r="C298" t="str">
        <f>IFERROR(INDEX(装备库!$A$2:$E$2022,MATCH(ROW()-1,装备库!$AK$2:$AK$2022,0),5),"")</f>
        <v>尘隐冠(41400会无)</v>
      </c>
    </row>
    <row r="299" spans="1:3">
      <c r="A299" t="str">
        <f>IFERROR(INDEX(装备库!$A$2:$E$2022,MATCH(ROW()-1,装备库!$AK$2:$AK$2022,0),COLUMN()),"")</f>
        <v>帽子</v>
      </c>
      <c r="B299" t="str">
        <f>IFERROR(INDEX(装备库!$A$2:$E$2022,MATCH(ROW()-1,装备库!$AK$2:$AK$2022,0),COLUMN()),"")</f>
        <v>7_109524</v>
      </c>
      <c r="C299" t="str">
        <f>IFERROR(INDEX(装备库!$A$2:$E$2022,MATCH(ROW()-1,装备库!$AK$2:$AK$2022,0),5),"")</f>
        <v>客行江湖·霁影冠(41400招无)</v>
      </c>
    </row>
    <row r="300" spans="1:3">
      <c r="A300" t="str">
        <f>IFERROR(INDEX(装备库!$A$2:$E$2022,MATCH(ROW()-1,装备库!$AK$2:$AK$2022,0),COLUMN()),"")</f>
        <v>帽子</v>
      </c>
      <c r="B300" t="str">
        <f>IFERROR(INDEX(装备库!$A$2:$E$2022,MATCH(ROW()-1,装备库!$AK$2:$AK$2022,0),COLUMN()),"")</f>
        <v>7_109602</v>
      </c>
      <c r="C300" t="str">
        <f>IFERROR(INDEX(装备库!$A$2:$E$2022,MATCH(ROW()-1,装备库!$AK$2:$AK$2022,0),5),"")</f>
        <v>曜影冠(41400招无)</v>
      </c>
    </row>
    <row r="301" spans="1:3">
      <c r="A301" t="str">
        <f>IFERROR(INDEX(装备库!$A$2:$E$2022,MATCH(ROW()-1,装备库!$AK$2:$AK$2022,0),COLUMN()),"")</f>
        <v>帽子</v>
      </c>
      <c r="B301" t="str">
        <f>IFERROR(INDEX(装备库!$A$2:$E$2022,MATCH(ROW()-1,装备库!$AK$2:$AK$2022,0),COLUMN()),"")</f>
        <v>7_109567</v>
      </c>
      <c r="C301" t="str">
        <f>IFERROR(INDEX(装备库!$A$2:$E$2022,MATCH(ROW()-1,装备库!$AK$2:$AK$2022,0),5),"")</f>
        <v>无修冠·外·天(41400特效精简会招破无)</v>
      </c>
    </row>
    <row r="302" spans="1:3">
      <c r="A302" t="str">
        <f>IFERROR(INDEX(装备库!$A$2:$E$2022,MATCH(ROW()-1,装备库!$AK$2:$AK$2022,0),COLUMN()),"")</f>
        <v>帽子</v>
      </c>
      <c r="B302" t="str">
        <f>IFERROR(INDEX(装备库!$A$2:$E$2022,MATCH(ROW()-1,装备库!$AK$2:$AK$2022,0),COLUMN()),"")</f>
        <v>7_109566</v>
      </c>
      <c r="C302" t="str">
        <f>IFERROR(INDEX(装备库!$A$2:$E$2022,MATCH(ROW()-1,装备库!$AK$2:$AK$2022,0),5),"")</f>
        <v>无修冠·外·天(41400特效精简会无)</v>
      </c>
    </row>
    <row r="303" spans="1:3">
      <c r="A303" t="str">
        <f>IFERROR(INDEX(装备库!$A$2:$E$2022,MATCH(ROW()-1,装备库!$AK$2:$AK$2022,0),COLUMN()),"")</f>
        <v>帽子</v>
      </c>
      <c r="B303" t="str">
        <f>IFERROR(INDEX(装备库!$A$2:$E$2022,MATCH(ROW()-1,装备库!$AK$2:$AK$2022,0),COLUMN()),"")</f>
        <v>7_109568</v>
      </c>
      <c r="C303" t="str">
        <f>IFERROR(INDEX(装备库!$A$2:$E$2022,MATCH(ROW()-1,装备库!$AK$2:$AK$2022,0),5),"")</f>
        <v>无修冠·外·天(41400特效精简会会招)</v>
      </c>
    </row>
    <row r="304" spans="1:3">
      <c r="A304" t="str">
        <f>IFERROR(INDEX(装备库!$A$2:$E$2022,MATCH(ROW()-1,装备库!$AK$2:$AK$2022,0),COLUMN()),"")</f>
        <v>帽子</v>
      </c>
      <c r="B304" t="str">
        <f>IFERROR(INDEX(装备库!$A$2:$E$2022,MATCH(ROW()-1,装备库!$AK$2:$AK$2022,0),COLUMN()),"")</f>
        <v>7_109500</v>
      </c>
      <c r="C304" t="str">
        <f>IFERROR(INDEX(装备库!$A$2:$E$2022,MATCH(ROW()-1,装备库!$AK$2:$AK$2022,0),5),"")</f>
        <v>尧影帽(42100招无)</v>
      </c>
    </row>
    <row r="305" spans="1:3">
      <c r="A305" t="str">
        <f>IFERROR(INDEX(装备库!$A$2:$E$2022,MATCH(ROW()-1,装备库!$AK$2:$AK$2022,0),COLUMN()),"")</f>
        <v>帽子</v>
      </c>
      <c r="B305" t="str">
        <f>IFERROR(INDEX(装备库!$A$2:$E$2022,MATCH(ROW()-1,装备库!$AK$2:$AK$2022,0),COLUMN()),"")</f>
        <v>7_110899</v>
      </c>
      <c r="C305" t="str">
        <f>IFERROR(INDEX(装备库!$A$2:$E$2022,MATCH(ROW()-1,装备库!$AK$2:$AK$2022,0),5),"")</f>
        <v>陶然意·烟峦帽(42400会全)</v>
      </c>
    </row>
    <row r="306" spans="1:3">
      <c r="A306" t="str">
        <f>IFERROR(INDEX(装备库!$A$2:$E$2022,MATCH(ROW()-1,装备库!$AK$2:$AK$2022,0),COLUMN()),"")</f>
        <v>轻剑</v>
      </c>
      <c r="B306" t="str">
        <f>IFERROR(INDEX(装备库!$A$2:$E$2022,MATCH(ROW()-1,装备库!$AK$2:$AK$2022,0),COLUMN()),"")</f>
        <v>6_40176</v>
      </c>
      <c r="C306" t="str">
        <f>IFERROR(INDEX(装备库!$A$2:$E$2022,MATCH(ROW()-1,装备库!$AK$2:$AK$2022,0),5),"")</f>
        <v>伏魔悲音(21375大橙武)</v>
      </c>
    </row>
    <row r="307" spans="1:3">
      <c r="A307" t="str">
        <f>IFERROR(INDEX(装备库!$A$2:$E$2022,MATCH(ROW()-1,装备库!$AK$2:$AK$2022,0),COLUMN()),"")</f>
        <v>轻剑</v>
      </c>
      <c r="B307" t="str">
        <f>IFERROR(INDEX(装备库!$A$2:$E$2022,MATCH(ROW()-1,装备库!$AK$2:$AK$2022,0),COLUMN()),"")</f>
        <v>6_40208</v>
      </c>
      <c r="C307" t="str">
        <f>IFERROR(INDEX(装备库!$A$2:$E$2022,MATCH(ROW()-1,装备库!$AK$2:$AK$2022,0),5),"")</f>
        <v>伏魔悲音(22875大橙武)</v>
      </c>
    </row>
    <row r="308" spans="1:3">
      <c r="A308" t="str">
        <f>IFERROR(INDEX(装备库!$A$2:$E$2022,MATCH(ROW()-1,装备库!$AK$2:$AK$2022,0),COLUMN()),"")</f>
        <v>轻剑</v>
      </c>
      <c r="B308" t="str">
        <f>IFERROR(INDEX(装备库!$A$2:$E$2022,MATCH(ROW()-1,装备库!$AK$2:$AK$2022,0),COLUMN()),"")</f>
        <v>6_40240</v>
      </c>
      <c r="C308" t="str">
        <f>IFERROR(INDEX(装备库!$A$2:$E$2022,MATCH(ROW()-1,装备库!$AK$2:$AK$2022,0),5),"")</f>
        <v>伏魔悲音(24375大橙武)</v>
      </c>
    </row>
    <row r="309" spans="1:3">
      <c r="A309" t="str">
        <f>IFERROR(INDEX(装备库!$A$2:$E$2022,MATCH(ROW()-1,装备库!$AK$2:$AK$2022,0),COLUMN()),"")</f>
        <v>轻剑</v>
      </c>
      <c r="B309" t="str">
        <f>IFERROR(INDEX(装备库!$A$2:$E$2022,MATCH(ROW()-1,装备库!$AK$2:$AK$2022,0),COLUMN()),"")</f>
        <v>6_44116</v>
      </c>
      <c r="C309" t="str">
        <f>IFERROR(INDEX(装备库!$A$2:$E$2022,MATCH(ROW()-1,装备库!$AK$2:$AK$2022,0),5),"")</f>
        <v>白夜火·行(24500小橙武)</v>
      </c>
    </row>
    <row r="310" spans="1:3">
      <c r="A310" t="str">
        <f>IFERROR(INDEX(装备库!$A$2:$E$2022,MATCH(ROW()-1,装备库!$AK$2:$AK$2022,0),COLUMN()),"")</f>
        <v>轻剑</v>
      </c>
      <c r="B310" t="str">
        <f>IFERROR(INDEX(装备库!$A$2:$E$2022,MATCH(ROW()-1,装备库!$AK$2:$AK$2022,0),COLUMN()),"")</f>
        <v>6_40272</v>
      </c>
      <c r="C310" t="str">
        <f>IFERROR(INDEX(装备库!$A$2:$E$2022,MATCH(ROW()-1,装备库!$AK$2:$AK$2022,0),5),"")</f>
        <v>伏魔悲音(25940大橙武)</v>
      </c>
    </row>
    <row r="311" spans="1:3">
      <c r="A311" t="str">
        <f>IFERROR(INDEX(装备库!$A$2:$E$2022,MATCH(ROW()-1,装备库!$AK$2:$AK$2022,0),COLUMN()),"")</f>
        <v>轻剑</v>
      </c>
      <c r="B311" t="str">
        <f>IFERROR(INDEX(装备库!$A$2:$E$2022,MATCH(ROW()-1,装备库!$AK$2:$AK$2022,0),COLUMN()),"")</f>
        <v>6_44149</v>
      </c>
      <c r="C311" t="str">
        <f>IFERROR(INDEX(装备库!$A$2:$E$2022,MATCH(ROW()-1,装备库!$AK$2:$AK$2022,0),5),"")</f>
        <v>白夜火·行(27000小橙武)</v>
      </c>
    </row>
    <row r="312" spans="1:3">
      <c r="A312" t="str">
        <f>IFERROR(INDEX(装备库!$A$2:$E$2022,MATCH(ROW()-1,装备库!$AK$2:$AK$2022,0),COLUMN()),"")</f>
        <v>轻剑</v>
      </c>
      <c r="B312" t="str">
        <f>IFERROR(INDEX(装备库!$A$2:$E$2022,MATCH(ROW()-1,装备库!$AK$2:$AK$2022,0),COLUMN()),"")</f>
        <v>6_40304</v>
      </c>
      <c r="C312" t="str">
        <f>IFERROR(INDEX(装备库!$A$2:$E$2022,MATCH(ROW()-1,装备库!$AK$2:$AK$2022,0),5),"")</f>
        <v>伏魔悲音(27500大橙武)</v>
      </c>
    </row>
    <row r="313" spans="1:3">
      <c r="A313" t="str">
        <f>IFERROR(INDEX(装备库!$A$2:$E$2022,MATCH(ROW()-1,装备库!$AK$2:$AK$2022,0),COLUMN()),"")</f>
        <v>轻剑</v>
      </c>
      <c r="B313" t="str">
        <f>IFERROR(INDEX(装备库!$A$2:$E$2022,MATCH(ROW()-1,装备库!$AK$2:$AK$2022,0),COLUMN()),"")</f>
        <v>6_44182</v>
      </c>
      <c r="C313" t="str">
        <f>IFERROR(INDEX(装备库!$A$2:$E$2022,MATCH(ROW()-1,装备库!$AK$2:$AK$2022,0),5),"")</f>
        <v>白夜火·行(29500小橙武)</v>
      </c>
    </row>
    <row r="314" spans="1:3">
      <c r="A314" t="str">
        <f>IFERROR(INDEX(装备库!$A$2:$E$2022,MATCH(ROW()-1,装备库!$AK$2:$AK$2022,0),COLUMN()),"")</f>
        <v>轻剑</v>
      </c>
      <c r="B314" t="str">
        <f>IFERROR(INDEX(装备库!$A$2:$E$2022,MATCH(ROW()-1,装备库!$AK$2:$AK$2022,0),COLUMN()),"")</f>
        <v>6_42123</v>
      </c>
      <c r="C314" t="str">
        <f>IFERROR(INDEX(装备库!$A$2:$E$2022,MATCH(ROW()-1,装备库!$AK$2:$AK$2022,0),5),"")</f>
        <v>伏魔悲音(29575大橙武)</v>
      </c>
    </row>
    <row r="315" spans="1:3">
      <c r="A315" t="str">
        <f>IFERROR(INDEX(装备库!$A$2:$E$2022,MATCH(ROW()-1,装备库!$AK$2:$AK$2022,0),COLUMN()),"")</f>
        <v>轻剑</v>
      </c>
      <c r="B315" t="str">
        <f>IFERROR(INDEX(装备库!$A$2:$E$2022,MATCH(ROW()-1,装备库!$AK$2:$AK$2022,0),COLUMN()),"")</f>
        <v>6_43658</v>
      </c>
      <c r="C315" t="str">
        <f>IFERROR(INDEX(装备库!$A$2:$E$2022,MATCH(ROW()-1,装备库!$AK$2:$AK$2022,0),5),"")</f>
        <v>初长轻剑(30200速全)</v>
      </c>
    </row>
    <row r="316" spans="1:3">
      <c r="A316" t="str">
        <f>IFERROR(INDEX(装备库!$A$2:$E$2022,MATCH(ROW()-1,装备库!$AK$2:$AK$2022,0),COLUMN()),"")</f>
        <v>轻剑</v>
      </c>
      <c r="B316" t="str">
        <f>IFERROR(INDEX(装备库!$A$2:$E$2022,MATCH(ROW()-1,装备库!$AK$2:$AK$2022,0),COLUMN()),"")</f>
        <v>6_43620</v>
      </c>
      <c r="C316" t="str">
        <f>IFERROR(INDEX(装备库!$A$2:$E$2022,MATCH(ROW()-1,装备库!$AK$2:$AK$2022,0),5),"")</f>
        <v>惜涯轻剑(30200破全)</v>
      </c>
    </row>
    <row r="317" spans="1:3">
      <c r="A317" t="str">
        <f>IFERROR(INDEX(装备库!$A$2:$E$2022,MATCH(ROW()-1,装备库!$AK$2:$AK$2022,0),COLUMN()),"")</f>
        <v>轻剑</v>
      </c>
      <c r="B317" t="str">
        <f>IFERROR(INDEX(装备库!$A$2:$E$2022,MATCH(ROW()-1,装备库!$AK$2:$AK$2022,0),COLUMN()),"")</f>
        <v>6_45650</v>
      </c>
      <c r="C317" t="str">
        <f>IFERROR(INDEX(装备库!$A$2:$E$2022,MATCH(ROW()-1,装备库!$AK$2:$AK$2022,0),5),"")</f>
        <v>臻泽轻剑·外(30200破全)</v>
      </c>
    </row>
    <row r="318" spans="1:3">
      <c r="A318" t="str">
        <f>IFERROR(INDEX(装备库!$A$2:$E$2022,MATCH(ROW()-1,装备库!$AK$2:$AK$2022,0),COLUMN()),"")</f>
        <v>轻剑</v>
      </c>
      <c r="B318" t="str">
        <f>IFERROR(INDEX(装备库!$A$2:$E$2022,MATCH(ROW()-1,装备库!$AK$2:$AK$2022,0),COLUMN()),"")</f>
        <v>6_43389</v>
      </c>
      <c r="C318" t="str">
        <f>IFERROR(INDEX(装备库!$A$2:$E$2022,MATCH(ROW()-1,装备库!$AK$2:$AK$2022,0),5),"")</f>
        <v>孤城惊梦·寄锋轻剑(30200破无)</v>
      </c>
    </row>
    <row r="319" spans="1:3">
      <c r="A319" t="str">
        <f>IFERROR(INDEX(装备库!$A$2:$E$2022,MATCH(ROW()-1,装备库!$AK$2:$AK$2022,0),COLUMN()),"")</f>
        <v>轻剑</v>
      </c>
      <c r="B319" t="str">
        <f>IFERROR(INDEX(装备库!$A$2:$E$2022,MATCH(ROW()-1,装备库!$AK$2:$AK$2022,0),COLUMN()),"")</f>
        <v>6_41255</v>
      </c>
      <c r="C319" t="str">
        <f>IFERROR(INDEX(装备库!$A$2:$E$2022,MATCH(ROW()-1,装备库!$AK$2:$AK$2022,0),5),"")</f>
        <v>穆如轻剑(30200招无)</v>
      </c>
    </row>
    <row r="320" spans="1:3">
      <c r="A320" t="str">
        <f>IFERROR(INDEX(装备库!$A$2:$E$2022,MATCH(ROW()-1,装备库!$AK$2:$AK$2022,0),COLUMN()),"")</f>
        <v>轻剑</v>
      </c>
      <c r="B320" t="str">
        <f>IFERROR(INDEX(装备库!$A$2:$E$2022,MATCH(ROW()-1,装备库!$AK$2:$AK$2022,0),COLUMN()),"")</f>
        <v>6_41271</v>
      </c>
      <c r="C320" t="str">
        <f>IFERROR(INDEX(装备库!$A$2:$E$2022,MATCH(ROW()-1,装备库!$AK$2:$AK$2022,0),5),"")</f>
        <v>孤山梅(30200特效破无)</v>
      </c>
    </row>
    <row r="321" spans="1:3">
      <c r="A321" t="str">
        <f>IFERROR(INDEX(装备库!$A$2:$E$2022,MATCH(ROW()-1,装备库!$AK$2:$AK$2022,0),COLUMN()),"")</f>
        <v>轻剑</v>
      </c>
      <c r="B321" t="str">
        <f>IFERROR(INDEX(装备库!$A$2:$E$2022,MATCH(ROW()-1,装备库!$AK$2:$AK$2022,0),COLUMN()),"")</f>
        <v>6_40945</v>
      </c>
      <c r="C321" t="str">
        <f>IFERROR(INDEX(装备库!$A$2:$E$2022,MATCH(ROW()-1,装备库!$AK$2:$AK$2022,0),5),"")</f>
        <v>甘风剑(30200速无)</v>
      </c>
    </row>
    <row r="322" spans="1:3">
      <c r="A322" t="str">
        <f>IFERROR(INDEX(装备库!$A$2:$E$2022,MATCH(ROW()-1,装备库!$AK$2:$AK$2022,0),COLUMN()),"")</f>
        <v>轻剑</v>
      </c>
      <c r="B322" t="str">
        <f>IFERROR(INDEX(装备库!$A$2:$E$2022,MATCH(ROW()-1,装备库!$AK$2:$AK$2022,0),COLUMN()),"")</f>
        <v>6_40899</v>
      </c>
      <c r="C322" t="str">
        <f>IFERROR(INDEX(装备库!$A$2:$E$2022,MATCH(ROW()-1,装备库!$AK$2:$AK$2022,0),5),"")</f>
        <v>延陵剑(30200破无)</v>
      </c>
    </row>
    <row r="323" spans="1:3">
      <c r="A323" t="str">
        <f>IFERROR(INDEX(装备库!$A$2:$E$2022,MATCH(ROW()-1,装备库!$AK$2:$AK$2022,0),COLUMN()),"")</f>
        <v>轻剑</v>
      </c>
      <c r="B323" t="str">
        <f>IFERROR(INDEX(装备库!$A$2:$E$2022,MATCH(ROW()-1,装备库!$AK$2:$AK$2022,0),COLUMN()),"")</f>
        <v>6_40596</v>
      </c>
      <c r="C323" t="str">
        <f>IFERROR(INDEX(装备库!$A$2:$E$2022,MATCH(ROW()-1,装备库!$AK$2:$AK$2022,0),5),"")</f>
        <v>明祥剑(30200会无)</v>
      </c>
    </row>
    <row r="324" spans="1:3">
      <c r="A324" t="str">
        <f>IFERROR(INDEX(装备库!$A$2:$E$2022,MATCH(ROW()-1,装备库!$AK$2:$AK$2022,0),COLUMN()),"")</f>
        <v>轻剑</v>
      </c>
      <c r="B324" t="str">
        <f>IFERROR(INDEX(装备库!$A$2:$E$2022,MATCH(ROW()-1,装备库!$AK$2:$AK$2022,0),COLUMN()),"")</f>
        <v>6_41215</v>
      </c>
      <c r="C324" t="str">
        <f>IFERROR(INDEX(装备库!$A$2:$E$2022,MATCH(ROW()-1,装备库!$AK$2:$AK$2022,0),5),"")</f>
        <v>夕岚轻剑(30200会无)</v>
      </c>
    </row>
    <row r="325" spans="1:3">
      <c r="A325" t="str">
        <f>IFERROR(INDEX(装备库!$A$2:$E$2022,MATCH(ROW()-1,装备库!$AK$2:$AK$2022,0),COLUMN()),"")</f>
        <v>轻剑</v>
      </c>
      <c r="B325" t="str">
        <f>IFERROR(INDEX(装备库!$A$2:$E$2022,MATCH(ROW()-1,装备库!$AK$2:$AK$2022,0),COLUMN()),"")</f>
        <v>6_41371</v>
      </c>
      <c r="C325" t="str">
        <f>IFERROR(INDEX(装备库!$A$2:$E$2022,MATCH(ROW()-1,装备库!$AK$2:$AK$2022,0),5),"")</f>
        <v>玉涧(30200招无)</v>
      </c>
    </row>
    <row r="326" spans="1:3">
      <c r="A326" t="str">
        <f>IFERROR(INDEX(装备库!$A$2:$E$2022,MATCH(ROW()-1,装备库!$AK$2:$AK$2022,0),COLUMN()),"")</f>
        <v>轻剑</v>
      </c>
      <c r="B326" t="str">
        <f>IFERROR(INDEX(装备库!$A$2:$E$2022,MATCH(ROW()-1,装备库!$AK$2:$AK$2022,0),COLUMN()),"")</f>
        <v>6_42607</v>
      </c>
      <c r="C326" t="str">
        <f>IFERROR(INDEX(装备库!$A$2:$E$2022,MATCH(ROW()-1,装备库!$AK$2:$AK$2022,0),5),"")</f>
        <v>寻踪觅宝·曲柳轻剑(30200招无)</v>
      </c>
    </row>
    <row r="327" spans="1:3">
      <c r="A327" t="str">
        <f>IFERROR(INDEX(装备库!$A$2:$E$2022,MATCH(ROW()-1,装备库!$AK$2:$AK$2022,0),COLUMN()),"")</f>
        <v>轻剑</v>
      </c>
      <c r="B327" t="str">
        <f>IFERROR(INDEX(装备库!$A$2:$E$2022,MATCH(ROW()-1,装备库!$AK$2:$AK$2022,0),COLUMN()),"")</f>
        <v>6_42085</v>
      </c>
      <c r="C327" t="str">
        <f>IFERROR(INDEX(装备库!$A$2:$E$2022,MATCH(ROW()-1,装备库!$AK$2:$AK$2022,0),5),"")</f>
        <v>陶然意·谧秋轻剑(30700破全)</v>
      </c>
    </row>
    <row r="328" spans="1:3">
      <c r="A328" t="str">
        <f>IFERROR(INDEX(装备库!$A$2:$E$2022,MATCH(ROW()-1,装备库!$AK$2:$AK$2022,0),COLUMN()),"")</f>
        <v>轻剑</v>
      </c>
      <c r="B328" t="str">
        <f>IFERROR(INDEX(装备库!$A$2:$E$2022,MATCH(ROW()-1,装备库!$AK$2:$AK$2022,0),COLUMN()),"")</f>
        <v>6_42500</v>
      </c>
      <c r="C328" t="str">
        <f>IFERROR(INDEX(装备库!$A$2:$E$2022,MATCH(ROW()-1,装备库!$AK$2:$AK$2022,0),5),"")</f>
        <v>苌弘化碧(30700会无)</v>
      </c>
    </row>
    <row r="329" spans="1:3">
      <c r="A329" t="str">
        <f>IFERROR(INDEX(装备库!$A$2:$E$2022,MATCH(ROW()-1,装备库!$AK$2:$AK$2022,0),COLUMN()),"")</f>
        <v>轻剑</v>
      </c>
      <c r="B329" t="str">
        <f>IFERROR(INDEX(装备库!$A$2:$E$2022,MATCH(ROW()-1,装备库!$AK$2:$AK$2022,0),COLUMN()),"")</f>
        <v>6_41309</v>
      </c>
      <c r="C329" t="str">
        <f>IFERROR(INDEX(装备库!$A$2:$E$2022,MATCH(ROW()-1,装备库!$AK$2:$AK$2022,0),5),"")</f>
        <v>风动松涛(30700会无)</v>
      </c>
    </row>
    <row r="330" spans="1:3">
      <c r="A330" t="str">
        <f>IFERROR(INDEX(装备库!$A$2:$E$2022,MATCH(ROW()-1,装备库!$AK$2:$AK$2022,0),COLUMN()),"")</f>
        <v>轻剑</v>
      </c>
      <c r="B330" t="str">
        <f>IFERROR(INDEX(装备库!$A$2:$E$2022,MATCH(ROW()-1,装备库!$AK$2:$AK$2022,0),COLUMN()),"")</f>
        <v>6_42155</v>
      </c>
      <c r="C330" t="str">
        <f>IFERROR(INDEX(装备库!$A$2:$E$2022,MATCH(ROW()-1,装备库!$AK$2:$AK$2022,0),5),"")</f>
        <v>伏魔悲音(31625大橙武)</v>
      </c>
    </row>
    <row r="331" spans="1:3">
      <c r="A331" t="str">
        <f>IFERROR(INDEX(装备库!$A$2:$E$2022,MATCH(ROW()-1,装备库!$AK$2:$AK$2022,0),COLUMN()),"")</f>
        <v>轻剑</v>
      </c>
      <c r="B331" t="str">
        <f>IFERROR(INDEX(装备库!$A$2:$E$2022,MATCH(ROW()-1,装备库!$AK$2:$AK$2022,0),COLUMN()),"")</f>
        <v>6_44215</v>
      </c>
      <c r="C331" t="str">
        <f>IFERROR(INDEX(装备库!$A$2:$E$2022,MATCH(ROW()-1,装备库!$AK$2:$AK$2022,0),5),"")</f>
        <v>白夜火·行(32000小橙武)</v>
      </c>
    </row>
    <row r="332" spans="1:3">
      <c r="A332" t="str">
        <f>IFERROR(INDEX(装备库!$A$2:$E$2022,MATCH(ROW()-1,装备库!$AK$2:$AK$2022,0),COLUMN()),"")</f>
        <v>轻剑</v>
      </c>
      <c r="B332" t="str">
        <f>IFERROR(INDEX(装备库!$A$2:$E$2022,MATCH(ROW()-1,装备库!$AK$2:$AK$2022,0),COLUMN()),"")</f>
        <v>6_43785</v>
      </c>
      <c r="C332" t="str">
        <f>IFERROR(INDEX(装备库!$A$2:$E$2022,MATCH(ROW()-1,装备库!$AK$2:$AK$2022,0),5),"")</f>
        <v>娄泉轻剑(32500会无)</v>
      </c>
    </row>
    <row r="333" spans="1:3">
      <c r="A333" t="str">
        <f>IFERROR(INDEX(装备库!$A$2:$E$2022,MATCH(ROW()-1,装备库!$AK$2:$AK$2022,0),COLUMN()),"")</f>
        <v>轻剑</v>
      </c>
      <c r="B333" t="str">
        <f>IFERROR(INDEX(装备库!$A$2:$E$2022,MATCH(ROW()-1,装备库!$AK$2:$AK$2022,0),COLUMN()),"")</f>
        <v>6_44083</v>
      </c>
      <c r="C333" t="str">
        <f>IFERROR(INDEX(装备库!$A$2:$E$2022,MATCH(ROW()-1,装备库!$AK$2:$AK$2022,0),5),"")</f>
        <v>青衣子母剑·轻(33400特效招无)</v>
      </c>
    </row>
    <row r="334" spans="1:3">
      <c r="A334" t="str">
        <f>IFERROR(INDEX(装备库!$A$2:$E$2022,MATCH(ROW()-1,装备库!$AK$2:$AK$2022,0),COLUMN()),"")</f>
        <v>轻剑</v>
      </c>
      <c r="B334" t="str">
        <f>IFERROR(INDEX(装备库!$A$2:$E$2022,MATCH(ROW()-1,装备库!$AK$2:$AK$2022,0),COLUMN()),"")</f>
        <v>6_43548</v>
      </c>
      <c r="C334" t="str">
        <f>IFERROR(INDEX(装备库!$A$2:$E$2022,MATCH(ROW()-1,装备库!$AK$2:$AK$2022,0),5),"")</f>
        <v>伏魔悲音(34375大橙武)</v>
      </c>
    </row>
    <row r="335" spans="1:3">
      <c r="A335" t="str">
        <f>IFERROR(INDEX(装备库!$A$2:$E$2022,MATCH(ROW()-1,装备库!$AK$2:$AK$2022,0),COLUMN()),"")</f>
        <v>轻剑</v>
      </c>
      <c r="B335" t="str">
        <f>IFERROR(INDEX(装备库!$A$2:$E$2022,MATCH(ROW()-1,装备库!$AK$2:$AK$2022,0),COLUMN()),"")</f>
        <v>6_44248</v>
      </c>
      <c r="C335" t="str">
        <f>IFERROR(INDEX(装备库!$A$2:$E$2022,MATCH(ROW()-1,装备库!$AK$2:$AK$2022,0),5),"")</f>
        <v>白夜火·行(35000小橙武)</v>
      </c>
    </row>
    <row r="336" spans="1:3">
      <c r="A336" t="str">
        <f>IFERROR(INDEX(装备库!$A$2:$E$2022,MATCH(ROW()-1,装备库!$AK$2:$AK$2022,0),COLUMN()),"")</f>
        <v>轻剑</v>
      </c>
      <c r="B336" t="str">
        <f>IFERROR(INDEX(装备库!$A$2:$E$2022,MATCH(ROW()-1,装备库!$AK$2:$AK$2022,0),COLUMN()),"")</f>
        <v>6_45124</v>
      </c>
      <c r="C336" t="str">
        <f>IFERROR(INDEX(装备库!$A$2:$E$2022,MATCH(ROW()-1,装备库!$AK$2:$AK$2022,0),5),"")</f>
        <v>幽墟荡秽·居虹轻剑(35300破无)</v>
      </c>
    </row>
    <row r="337" spans="1:3">
      <c r="A337" t="str">
        <f>IFERROR(INDEX(装备库!$A$2:$E$2022,MATCH(ROW()-1,装备库!$AK$2:$AK$2022,0),COLUMN()),"")</f>
        <v>轻剑</v>
      </c>
      <c r="B337" t="str">
        <f>IFERROR(INDEX(装备库!$A$2:$E$2022,MATCH(ROW()-1,装备库!$AK$2:$AK$2022,0),COLUMN()),"")</f>
        <v>6_42706</v>
      </c>
      <c r="C337" t="str">
        <f>IFERROR(INDEX(装备库!$A$2:$E$2022,MATCH(ROW()-1,装备库!$AK$2:$AK$2022,0),5),"")</f>
        <v>断桥轻剑(35300招无)</v>
      </c>
    </row>
    <row r="338" spans="1:3">
      <c r="A338" t="str">
        <f>IFERROR(INDEX(装备库!$A$2:$E$2022,MATCH(ROW()-1,装备库!$AK$2:$AK$2022,0),COLUMN()),"")</f>
        <v>轻剑</v>
      </c>
      <c r="B338" t="str">
        <f>IFERROR(INDEX(装备库!$A$2:$E$2022,MATCH(ROW()-1,装备库!$AK$2:$AK$2022,0),COLUMN()),"")</f>
        <v>6_42722</v>
      </c>
      <c r="C338" t="str">
        <f>IFERROR(INDEX(装备库!$A$2:$E$2022,MATCH(ROW()-1,装备库!$AK$2:$AK$2022,0),5),"")</f>
        <v>泉飞涧底(35300特效破无)</v>
      </c>
    </row>
    <row r="339" spans="1:3">
      <c r="A339" t="str">
        <f>IFERROR(INDEX(装备库!$A$2:$E$2022,MATCH(ROW()-1,装备库!$AK$2:$AK$2022,0),COLUMN()),"")</f>
        <v>轻剑</v>
      </c>
      <c r="B339" t="str">
        <f>IFERROR(INDEX(装备库!$A$2:$E$2022,MATCH(ROW()-1,装备库!$AK$2:$AK$2022,0),COLUMN()),"")</f>
        <v>6_42665</v>
      </c>
      <c r="C339" t="str">
        <f>IFERROR(INDEX(装备库!$A$2:$E$2022,MATCH(ROW()-1,装备库!$AK$2:$AK$2022,0),5),"")</f>
        <v>流泉轻剑(35300会无)</v>
      </c>
    </row>
    <row r="340" spans="1:3">
      <c r="A340" t="str">
        <f>IFERROR(INDEX(装备库!$A$2:$E$2022,MATCH(ROW()-1,装备库!$AK$2:$AK$2022,0),COLUMN()),"")</f>
        <v>轻剑</v>
      </c>
      <c r="B340" t="str">
        <f>IFERROR(INDEX(装备库!$A$2:$E$2022,MATCH(ROW()-1,装备库!$AK$2:$AK$2022,0),COLUMN()),"")</f>
        <v>6_42824</v>
      </c>
      <c r="C340" t="str">
        <f>IFERROR(INDEX(装备库!$A$2:$E$2022,MATCH(ROW()-1,装备库!$AK$2:$AK$2022,0),5),"")</f>
        <v>月明渔火(35300招无)</v>
      </c>
    </row>
    <row r="341" spans="1:3">
      <c r="A341" t="str">
        <f>IFERROR(INDEX(装备库!$A$2:$E$2022,MATCH(ROW()-1,装备库!$AK$2:$AK$2022,0),COLUMN()),"")</f>
        <v>轻剑</v>
      </c>
      <c r="B341" t="str">
        <f>IFERROR(INDEX(装备库!$A$2:$E$2022,MATCH(ROW()-1,装备库!$AK$2:$AK$2022,0),COLUMN()),"")</f>
        <v>6_44342</v>
      </c>
      <c r="C341" t="str">
        <f>IFERROR(INDEX(装备库!$A$2:$E$2022,MATCH(ROW()-1,装备库!$AK$2:$AK$2022,0),5),"")</f>
        <v>寻踪觅宝·常雨轻剑(35300招无)</v>
      </c>
    </row>
    <row r="342" spans="1:3">
      <c r="A342" t="str">
        <f>IFERROR(INDEX(装备库!$A$2:$E$2022,MATCH(ROW()-1,装备库!$AK$2:$AK$2022,0),COLUMN()),"")</f>
        <v>轻剑</v>
      </c>
      <c r="B342" t="str">
        <f>IFERROR(INDEX(装备库!$A$2:$E$2022,MATCH(ROW()-1,装备库!$AK$2:$AK$2022,0),COLUMN()),"")</f>
        <v>6_42761</v>
      </c>
      <c r="C342" t="str">
        <f>IFERROR(INDEX(装备库!$A$2:$E$2022,MATCH(ROW()-1,装备库!$AK$2:$AK$2022,0),5),"")</f>
        <v>遥瞻奇峰(35900会无)</v>
      </c>
    </row>
    <row r="343" spans="1:3">
      <c r="A343" t="str">
        <f>IFERROR(INDEX(装备库!$A$2:$E$2022,MATCH(ROW()-1,装备库!$AK$2:$AK$2022,0),COLUMN()),"")</f>
        <v>轻剑</v>
      </c>
      <c r="B343" t="str">
        <f>IFERROR(INDEX(装备库!$A$2:$E$2022,MATCH(ROW()-1,装备库!$AK$2:$AK$2022,0),COLUMN()),"")</f>
        <v>6_43517</v>
      </c>
      <c r="C343" t="str">
        <f>IFERROR(INDEX(装备库!$A$2:$E$2022,MATCH(ROW()-1,装备库!$AK$2:$AK$2022,0),5),"")</f>
        <v>陶然意·折柳轻剑(36200破全)</v>
      </c>
    </row>
    <row r="344" spans="1:3">
      <c r="A344" t="str">
        <f>IFERROR(INDEX(装备库!$A$2:$E$2022,MATCH(ROW()-1,装备库!$AK$2:$AK$2022,0),COLUMN()),"")</f>
        <v>轻剑</v>
      </c>
      <c r="B344" t="str">
        <f>IFERROR(INDEX(装备库!$A$2:$E$2022,MATCH(ROW()-1,装备库!$AK$2:$AK$2022,0),COLUMN()),"")</f>
        <v>6_43581</v>
      </c>
      <c r="C344" t="str">
        <f>IFERROR(INDEX(装备库!$A$2:$E$2022,MATCH(ROW()-1,装备库!$AK$2:$AK$2022,0),5),"")</f>
        <v>伏魔悲音(37125大橙武)</v>
      </c>
    </row>
    <row r="345" spans="1:3">
      <c r="A345" t="str">
        <f>IFERROR(INDEX(装备库!$A$2:$E$2022,MATCH(ROW()-1,装备库!$AK$2:$AK$2022,0),COLUMN()),"")</f>
        <v>轻剑</v>
      </c>
      <c r="B345" t="str">
        <f>IFERROR(INDEX(装备库!$A$2:$E$2022,MATCH(ROW()-1,装备库!$AK$2:$AK$2022,0),COLUMN()),"")</f>
        <v>6_45497</v>
      </c>
      <c r="C345" t="str">
        <f>IFERROR(INDEX(装备库!$A$2:$E$2022,MATCH(ROW()-1,装备库!$AK$2:$AK$2022,0),5),"")</f>
        <v>胃玄轻剑(38100会无)</v>
      </c>
    </row>
    <row r="346" spans="1:3">
      <c r="A346" t="str">
        <f>IFERROR(INDEX(装备库!$A$2:$E$2022,MATCH(ROW()-1,装备库!$AK$2:$AK$2022,0),COLUMN()),"")</f>
        <v>轻剑</v>
      </c>
      <c r="B346" t="str">
        <f>IFERROR(INDEX(装备库!$A$2:$E$2022,MATCH(ROW()-1,装备库!$AK$2:$AK$2022,0),COLUMN()),"")</f>
        <v>6_44281</v>
      </c>
      <c r="C346" t="str">
        <f>IFERROR(INDEX(装备库!$A$2:$E$2022,MATCH(ROW()-1,装备库!$AK$2:$AK$2022,0),5),"")</f>
        <v>白夜火·行(39750小橙武)</v>
      </c>
    </row>
    <row r="347" spans="1:3">
      <c r="A347" t="str">
        <f>IFERROR(INDEX(装备库!$A$2:$E$2022,MATCH(ROW()-1,装备库!$AK$2:$AK$2022,0),COLUMN()),"")</f>
        <v>轻剑</v>
      </c>
      <c r="B347" t="str">
        <f>IFERROR(INDEX(装备库!$A$2:$E$2022,MATCH(ROW()-1,装备库!$AK$2:$AK$2022,0),COLUMN()),"")</f>
        <v>6_45282</v>
      </c>
      <c r="C347" t="str">
        <f>IFERROR(INDEX(装备库!$A$2:$E$2022,MATCH(ROW()-1,装备库!$AK$2:$AK$2022,0),5),"")</f>
        <v>伏魔悲音(40500大橙武)</v>
      </c>
    </row>
    <row r="348" spans="1:3">
      <c r="A348" t="str">
        <f>IFERROR(INDEX(装备库!$A$2:$E$2022,MATCH(ROW()-1,装备库!$AK$2:$AK$2022,0),COLUMN()),"")</f>
        <v>轻剑</v>
      </c>
      <c r="B348" t="str">
        <f>IFERROR(INDEX(装备库!$A$2:$E$2022,MATCH(ROW()-1,装备库!$AK$2:$AK$2022,0),COLUMN()),"")</f>
        <v>6_44441</v>
      </c>
      <c r="C348" t="str">
        <f>IFERROR(INDEX(装备库!$A$2:$E$2022,MATCH(ROW()-1,装备库!$AK$2:$AK$2022,0),5),"")</f>
        <v>金铮轻剑(41400招无)</v>
      </c>
    </row>
    <row r="349" spans="1:3">
      <c r="A349" t="str">
        <f>IFERROR(INDEX(装备库!$A$2:$E$2022,MATCH(ROW()-1,装备库!$AK$2:$AK$2022,0),COLUMN()),"")</f>
        <v>轻剑</v>
      </c>
      <c r="B349" t="str">
        <f>IFERROR(INDEX(装备库!$A$2:$E$2022,MATCH(ROW()-1,装备库!$AK$2:$AK$2022,0),COLUMN()),"")</f>
        <v>6_44457</v>
      </c>
      <c r="C349" t="str">
        <f>IFERROR(INDEX(装备库!$A$2:$E$2022,MATCH(ROW()-1,装备库!$AK$2:$AK$2022,0),5),"")</f>
        <v>星痕动(41400特效破无)</v>
      </c>
    </row>
    <row r="350" spans="1:3">
      <c r="A350" t="str">
        <f>IFERROR(INDEX(装备库!$A$2:$E$2022,MATCH(ROW()-1,装备库!$AK$2:$AK$2022,0),COLUMN()),"")</f>
        <v>轻剑</v>
      </c>
      <c r="B350" t="str">
        <f>IFERROR(INDEX(装备库!$A$2:$E$2022,MATCH(ROW()-1,装备库!$AK$2:$AK$2022,0),COLUMN()),"")</f>
        <v>6_44400</v>
      </c>
      <c r="C350" t="str">
        <f>IFERROR(INDEX(装备库!$A$2:$E$2022,MATCH(ROW()-1,装备库!$AK$2:$AK$2022,0),5),"")</f>
        <v>驰荒轻剑(41400会无)</v>
      </c>
    </row>
    <row r="351" spans="1:3">
      <c r="A351" t="str">
        <f>IFERROR(INDEX(装备库!$A$2:$E$2022,MATCH(ROW()-1,装备库!$AK$2:$AK$2022,0),COLUMN()),"")</f>
        <v>轻剑</v>
      </c>
      <c r="B351" t="str">
        <f>IFERROR(INDEX(装备库!$A$2:$E$2022,MATCH(ROW()-1,装备库!$AK$2:$AK$2022,0),COLUMN()),"")</f>
        <v>6_44559</v>
      </c>
      <c r="C351" t="str">
        <f>IFERROR(INDEX(装备库!$A$2:$E$2022,MATCH(ROW()-1,装备库!$AK$2:$AK$2022,0),5),"")</f>
        <v>流光影(41400招无)</v>
      </c>
    </row>
    <row r="352" spans="1:3">
      <c r="A352" t="str">
        <f>IFERROR(INDEX(装备库!$A$2:$E$2022,MATCH(ROW()-1,装备库!$AK$2:$AK$2022,0),COLUMN()),"")</f>
        <v>轻剑</v>
      </c>
      <c r="B352" t="str">
        <f>IFERROR(INDEX(装备库!$A$2:$E$2022,MATCH(ROW()-1,装备库!$AK$2:$AK$2022,0),COLUMN()),"")</f>
        <v>6_44496</v>
      </c>
      <c r="C352" t="str">
        <f>IFERROR(INDEX(装备库!$A$2:$E$2022,MATCH(ROW()-1,装备库!$AK$2:$AK$2022,0),5),"")</f>
        <v>埋骨月(42100会无)</v>
      </c>
    </row>
    <row r="353" spans="1:3">
      <c r="A353" t="str">
        <f>IFERROR(INDEX(装备库!$A$2:$E$2022,MATCH(ROW()-1,装备库!$AK$2:$AK$2022,0),COLUMN()),"")</f>
        <v>轻剑</v>
      </c>
      <c r="B353" t="str">
        <f>IFERROR(INDEX(装备库!$A$2:$E$2022,MATCH(ROW()-1,装备库!$AK$2:$AK$2022,0),COLUMN()),"")</f>
        <v>6_45251</v>
      </c>
      <c r="C353" t="str">
        <f>IFERROR(INDEX(装备库!$A$2:$E$2022,MATCH(ROW()-1,装备库!$AK$2:$AK$2022,0),5),"")</f>
        <v>陶然意·烟峦轻剑(42400破全)</v>
      </c>
    </row>
    <row r="354" spans="1:3">
      <c r="A354" t="str">
        <f>IFERROR(INDEX(装备库!$A$2:$E$2022,MATCH(ROW()-1,装备库!$AK$2:$AK$2022,0),COLUMN()),"")</f>
        <v>轻剑</v>
      </c>
      <c r="B354" t="str">
        <f>IFERROR(INDEX(装备库!$A$2:$E$2022,MATCH(ROW()-1,装备库!$AK$2:$AK$2022,0),COLUMN()),"")</f>
        <v>6_45315</v>
      </c>
      <c r="C354" t="str">
        <f>IFERROR(INDEX(装备库!$A$2:$E$2022,MATCH(ROW()-1,装备库!$AK$2:$AK$2022,0),5),"")</f>
        <v>伏魔悲音(42500大橙武)</v>
      </c>
    </row>
    <row r="355" spans="1:3">
      <c r="A355" t="str">
        <f>IFERROR(INDEX(装备库!$A$2:$E$2022,MATCH(ROW()-1,装备库!$AK$2:$AK$2022,0),COLUMN()),"")</f>
        <v>上衣</v>
      </c>
      <c r="B355" t="str">
        <f>IFERROR(INDEX(装备库!$A$2:$E$2022,MATCH(ROW()-1,装备库!$AK$2:$AK$2022,0),COLUMN()),"")</f>
        <v>7_108551</v>
      </c>
      <c r="C355" t="str">
        <f>IFERROR(INDEX(装备库!$A$2:$E$2022,MATCH(ROW()-1,装备库!$AK$2:$AK$2022,0),5),"")</f>
        <v>镂云衫(30200速全)</v>
      </c>
    </row>
    <row r="356" spans="1:3">
      <c r="A356" t="str">
        <f>IFERROR(INDEX(装备库!$A$2:$E$2022,MATCH(ROW()-1,装备库!$AK$2:$AK$2022,0),COLUMN()),"")</f>
        <v>上衣</v>
      </c>
      <c r="B356" t="str">
        <f>IFERROR(INDEX(装备库!$A$2:$E$2022,MATCH(ROW()-1,装备库!$AK$2:$AK$2022,0),COLUMN()),"")</f>
        <v>7_108515</v>
      </c>
      <c r="C356" t="str">
        <f>IFERROR(INDEX(装备库!$A$2:$E$2022,MATCH(ROW()-1,装备库!$AK$2:$AK$2022,0),5),"")</f>
        <v>智渊衫(30200会全)</v>
      </c>
    </row>
    <row r="357" spans="1:3">
      <c r="A357" t="str">
        <f>IFERROR(INDEX(装备库!$A$2:$E$2022,MATCH(ROW()-1,装备库!$AK$2:$AK$2022,0),COLUMN()),"")</f>
        <v>上衣</v>
      </c>
      <c r="B357" t="str">
        <f>IFERROR(INDEX(装备库!$A$2:$E$2022,MATCH(ROW()-1,装备库!$AK$2:$AK$2022,0),COLUMN()),"")</f>
        <v>7_111012</v>
      </c>
      <c r="C357" t="str">
        <f>IFERROR(INDEX(装备库!$A$2:$E$2022,MATCH(ROW()-1,装备库!$AK$2:$AK$2022,0),5),"")</f>
        <v>臻泽衫(30200破全)</v>
      </c>
    </row>
    <row r="358" spans="1:3">
      <c r="A358" t="str">
        <f>IFERROR(INDEX(装备库!$A$2:$E$2022,MATCH(ROW()-1,装备库!$AK$2:$AK$2022,0),COLUMN()),"")</f>
        <v>上衣</v>
      </c>
      <c r="B358" t="str">
        <f>IFERROR(INDEX(装备库!$A$2:$E$2022,MATCH(ROW()-1,装备库!$AK$2:$AK$2022,0),COLUMN()),"")</f>
        <v>7_104789</v>
      </c>
      <c r="C358" t="str">
        <f>IFERROR(INDEX(装备库!$A$2:$E$2022,MATCH(ROW()-1,装备库!$AK$2:$AK$2022,0),5),"")</f>
        <v>【门派套装】天极·听荷衣(30200会无)</v>
      </c>
    </row>
    <row r="359" spans="1:3">
      <c r="A359" t="str">
        <f>IFERROR(INDEX(装备库!$A$2:$E$2022,MATCH(ROW()-1,装备库!$AK$2:$AK$2022,0),COLUMN()),"")</f>
        <v>上衣</v>
      </c>
      <c r="B359" t="str">
        <f>IFERROR(INDEX(装备库!$A$2:$E$2022,MATCH(ROW()-1,装备库!$AK$2:$AK$2022,0),COLUMN()),"")</f>
        <v>7_108251</v>
      </c>
      <c r="C359" t="str">
        <f>IFERROR(INDEX(装备库!$A$2:$E$2022,MATCH(ROW()-1,装备库!$AK$2:$AK$2022,0),5),"")</f>
        <v>孤城惊梦·迷烟衫(30200招无)</v>
      </c>
    </row>
    <row r="360" spans="1:3">
      <c r="A360" t="str">
        <f>IFERROR(INDEX(装备库!$A$2:$E$2022,MATCH(ROW()-1,装备库!$AK$2:$AK$2022,0),COLUMN()),"")</f>
        <v>上衣</v>
      </c>
      <c r="B360" t="str">
        <f>IFERROR(INDEX(装备库!$A$2:$E$2022,MATCH(ROW()-1,装备库!$AK$2:$AK$2022,0),COLUMN()),"")</f>
        <v>7_104499</v>
      </c>
      <c r="C360" t="str">
        <f>IFERROR(INDEX(装备库!$A$2:$E$2022,MATCH(ROW()-1,装备库!$AK$2:$AK$2022,0),5),"")</f>
        <v>平皋衣(30200招无)</v>
      </c>
    </row>
    <row r="361" spans="1:3">
      <c r="A361" t="str">
        <f>IFERROR(INDEX(装备库!$A$2:$E$2022,MATCH(ROW()-1,装备库!$AK$2:$AK$2022,0),COLUMN()),"")</f>
        <v>上衣</v>
      </c>
      <c r="B361" t="str">
        <f>IFERROR(INDEX(装备库!$A$2:$E$2022,MATCH(ROW()-1,装备库!$AK$2:$AK$2022,0),COLUMN()),"")</f>
        <v>7_104875</v>
      </c>
      <c r="C361" t="str">
        <f>IFERROR(INDEX(装备库!$A$2:$E$2022,MATCH(ROW()-1,装备库!$AK$2:$AK$2022,0),5),"")</f>
        <v>标雁衣(30200招无)</v>
      </c>
    </row>
    <row r="362" spans="1:3">
      <c r="A362" t="str">
        <f>IFERROR(INDEX(装备库!$A$2:$E$2022,MATCH(ROW()-1,装备库!$AK$2:$AK$2022,0),COLUMN()),"")</f>
        <v>上衣</v>
      </c>
      <c r="B362" t="str">
        <f>IFERROR(INDEX(装备库!$A$2:$E$2022,MATCH(ROW()-1,装备库!$AK$2:$AK$2022,0),COLUMN()),"")</f>
        <v>7_104144</v>
      </c>
      <c r="C362" t="str">
        <f>IFERROR(INDEX(装备库!$A$2:$E$2022,MATCH(ROW()-1,装备库!$AK$2:$AK$2022,0),5),"")</f>
        <v>润源衣(30200速无)</v>
      </c>
    </row>
    <row r="363" spans="1:3">
      <c r="A363" t="str">
        <f>IFERROR(INDEX(装备库!$A$2:$E$2022,MATCH(ROW()-1,装备库!$AK$2:$AK$2022,0),COLUMN()),"")</f>
        <v>上衣</v>
      </c>
      <c r="B363" t="str">
        <f>IFERROR(INDEX(装备库!$A$2:$E$2022,MATCH(ROW()-1,装备库!$AK$2:$AK$2022,0),COLUMN()),"")</f>
        <v>7_104839</v>
      </c>
      <c r="C363" t="str">
        <f>IFERROR(INDEX(装备库!$A$2:$E$2022,MATCH(ROW()-1,装备库!$AK$2:$AK$2022,0),5),"")</f>
        <v>问殿衣(30200速无)</v>
      </c>
    </row>
    <row r="364" spans="1:3">
      <c r="A364" t="str">
        <f>IFERROR(INDEX(装备库!$A$2:$E$2022,MATCH(ROW()-1,装备库!$AK$2:$AK$2022,0),COLUMN()),"")</f>
        <v>上衣</v>
      </c>
      <c r="B364" t="str">
        <f>IFERROR(INDEX(装备库!$A$2:$E$2022,MATCH(ROW()-1,装备库!$AK$2:$AK$2022,0),COLUMN()),"")</f>
        <v>7_104472</v>
      </c>
      <c r="C364" t="str">
        <f>IFERROR(INDEX(装备库!$A$2:$E$2022,MATCH(ROW()-1,装备库!$AK$2:$AK$2022,0),5),"")</f>
        <v>羽缀衣(30200破无)</v>
      </c>
    </row>
    <row r="365" spans="1:3">
      <c r="A365" t="str">
        <f>IFERROR(INDEX(装备库!$A$2:$E$2022,MATCH(ROW()-1,装备库!$AK$2:$AK$2022,0),COLUMN()),"")</f>
        <v>上衣</v>
      </c>
      <c r="B365" t="str">
        <f>IFERROR(INDEX(装备库!$A$2:$E$2022,MATCH(ROW()-1,装备库!$AK$2:$AK$2022,0),COLUMN()),"")</f>
        <v>7_105103</v>
      </c>
      <c r="C365" t="str">
        <f>IFERROR(INDEX(装备库!$A$2:$E$2022,MATCH(ROW()-1,装备库!$AK$2:$AK$2022,0),5),"")</f>
        <v>坠红衫(30200会无)</v>
      </c>
    </row>
    <row r="366" spans="1:3">
      <c r="A366" t="str">
        <f>IFERROR(INDEX(装备库!$A$2:$E$2022,MATCH(ROW()-1,装备库!$AK$2:$AK$2022,0),COLUMN()),"")</f>
        <v>上衣</v>
      </c>
      <c r="B366" t="str">
        <f>IFERROR(INDEX(装备库!$A$2:$E$2022,MATCH(ROW()-1,装备库!$AK$2:$AK$2022,0),COLUMN()),"")</f>
        <v>7_106666</v>
      </c>
      <c r="C366" t="str">
        <f>IFERROR(INDEX(装备库!$A$2:$E$2022,MATCH(ROW()-1,装备库!$AK$2:$AK$2022,0),5),"")</f>
        <v>寻踪觅宝·逸群衣(30200速无)</v>
      </c>
    </row>
    <row r="367" spans="1:3">
      <c r="A367" t="str">
        <f>IFERROR(INDEX(装备库!$A$2:$E$2022,MATCH(ROW()-1,装备库!$AK$2:$AK$2022,0),COLUMN()),"")</f>
        <v>上衣</v>
      </c>
      <c r="B367" t="str">
        <f>IFERROR(INDEX(装备库!$A$2:$E$2022,MATCH(ROW()-1,装备库!$AK$2:$AK$2022,0),COLUMN()),"")</f>
        <v>7_106503</v>
      </c>
      <c r="C367" t="str">
        <f>IFERROR(INDEX(装备库!$A$2:$E$2022,MATCH(ROW()-1,装备库!$AK$2:$AK$2022,0),5),"")</f>
        <v>陶然意·谧秋衣(30700破全)</v>
      </c>
    </row>
    <row r="368" spans="1:3">
      <c r="A368" t="str">
        <f>IFERROR(INDEX(装备库!$A$2:$E$2022,MATCH(ROW()-1,装备库!$AK$2:$AK$2022,0),COLUMN()),"")</f>
        <v>上衣</v>
      </c>
      <c r="B368" t="str">
        <f>IFERROR(INDEX(装备库!$A$2:$E$2022,MATCH(ROW()-1,装备库!$AK$2:$AK$2022,0),COLUMN()),"")</f>
        <v>7_105001</v>
      </c>
      <c r="C368" t="str">
        <f>IFERROR(INDEX(装备库!$A$2:$E$2022,MATCH(ROW()-1,装备库!$AK$2:$AK$2022,0),5),"")</f>
        <v>月霭衣(30700破无)</v>
      </c>
    </row>
    <row r="369" spans="1:3">
      <c r="A369" t="str">
        <f>IFERROR(INDEX(装备库!$A$2:$E$2022,MATCH(ROW()-1,装备库!$AK$2:$AK$2022,0),COLUMN()),"")</f>
        <v>上衣</v>
      </c>
      <c r="B369" t="str">
        <f>IFERROR(INDEX(装备库!$A$2:$E$2022,MATCH(ROW()-1,装备库!$AK$2:$AK$2022,0),COLUMN()),"")</f>
        <v>7_106811</v>
      </c>
      <c r="C369" t="str">
        <f>IFERROR(INDEX(装备库!$A$2:$E$2022,MATCH(ROW()-1,装备库!$AK$2:$AK$2022,0),5),"")</f>
        <v>【门派套装】牧川·拂梅衣(35300会无)</v>
      </c>
    </row>
    <row r="370" spans="1:3">
      <c r="A370" t="str">
        <f>IFERROR(INDEX(装备库!$A$2:$E$2022,MATCH(ROW()-1,装备库!$AK$2:$AK$2022,0),COLUMN()),"")</f>
        <v>上衣</v>
      </c>
      <c r="B370" t="str">
        <f>IFERROR(INDEX(装备库!$A$2:$E$2022,MATCH(ROW()-1,装备库!$AK$2:$AK$2022,0),COLUMN()),"")</f>
        <v>7_110712</v>
      </c>
      <c r="C370" t="str">
        <f>IFERROR(INDEX(装备库!$A$2:$E$2022,MATCH(ROW()-1,装备库!$AK$2:$AK$2022,0),5),"")</f>
        <v>幽墟荡秽·迅鸿衫(35300招无)</v>
      </c>
    </row>
    <row r="371" spans="1:3">
      <c r="A371" t="str">
        <f>IFERROR(INDEX(装备库!$A$2:$E$2022,MATCH(ROW()-1,装备库!$AK$2:$AK$2022,0),COLUMN()),"")</f>
        <v>上衣</v>
      </c>
      <c r="B371" t="str">
        <f>IFERROR(INDEX(装备库!$A$2:$E$2022,MATCH(ROW()-1,装备库!$AK$2:$AK$2022,0),COLUMN()),"")</f>
        <v>7_106898</v>
      </c>
      <c r="C371" t="str">
        <f>IFERROR(INDEX(装备库!$A$2:$E$2022,MATCH(ROW()-1,装备库!$AK$2:$AK$2022,0),5),"")</f>
        <v>晚风衣(35300招无)</v>
      </c>
    </row>
    <row r="372" spans="1:3">
      <c r="A372" t="str">
        <f>IFERROR(INDEX(装备库!$A$2:$E$2022,MATCH(ROW()-1,装备库!$AK$2:$AK$2022,0),COLUMN()),"")</f>
        <v>上衣</v>
      </c>
      <c r="B372" t="str">
        <f>IFERROR(INDEX(装备库!$A$2:$E$2022,MATCH(ROW()-1,装备库!$AK$2:$AK$2022,0),COLUMN()),"")</f>
        <v>7_106862</v>
      </c>
      <c r="C372" t="str">
        <f>IFERROR(INDEX(装备库!$A$2:$E$2022,MATCH(ROW()-1,装备库!$AK$2:$AK$2022,0),5),"")</f>
        <v>天风衣(35300速无)</v>
      </c>
    </row>
    <row r="373" spans="1:3">
      <c r="A373" t="str">
        <f>IFERROR(INDEX(装备库!$A$2:$E$2022,MATCH(ROW()-1,装备库!$AK$2:$AK$2022,0),COLUMN()),"")</f>
        <v>上衣</v>
      </c>
      <c r="B373" t="str">
        <f>IFERROR(INDEX(装备库!$A$2:$E$2022,MATCH(ROW()-1,装备库!$AK$2:$AK$2022,0),COLUMN()),"")</f>
        <v>7_107147</v>
      </c>
      <c r="C373" t="str">
        <f>IFERROR(INDEX(装备库!$A$2:$E$2022,MATCH(ROW()-1,装备库!$AK$2:$AK$2022,0),5),"")</f>
        <v>蒙鸠衫(35300会无)</v>
      </c>
    </row>
    <row r="374" spans="1:3">
      <c r="A374" t="str">
        <f>IFERROR(INDEX(装备库!$A$2:$E$2022,MATCH(ROW()-1,装备库!$AK$2:$AK$2022,0),COLUMN()),"")</f>
        <v>上衣</v>
      </c>
      <c r="B374" t="str">
        <f>IFERROR(INDEX(装备库!$A$2:$E$2022,MATCH(ROW()-1,装备库!$AK$2:$AK$2022,0),COLUMN()),"")</f>
        <v>7_109127</v>
      </c>
      <c r="C374" t="str">
        <f>IFERROR(INDEX(装备库!$A$2:$E$2022,MATCH(ROW()-1,装备库!$AK$2:$AK$2022,0),5),"")</f>
        <v>寻踪觅宝·凌英衣(35300速无)</v>
      </c>
    </row>
    <row r="375" spans="1:3">
      <c r="A375" t="str">
        <f>IFERROR(INDEX(装备库!$A$2:$E$2022,MATCH(ROW()-1,装备库!$AK$2:$AK$2022,0),COLUMN()),"")</f>
        <v>上衣</v>
      </c>
      <c r="B375" t="str">
        <f>IFERROR(INDEX(装备库!$A$2:$E$2022,MATCH(ROW()-1,装备库!$AK$2:$AK$2022,0),COLUMN()),"")</f>
        <v>7_107045</v>
      </c>
      <c r="C375" t="str">
        <f>IFERROR(INDEX(装备库!$A$2:$E$2022,MATCH(ROW()-1,装备库!$AK$2:$AK$2022,0),5),"")</f>
        <v>江舟衫(35900破无)</v>
      </c>
    </row>
    <row r="376" spans="1:3">
      <c r="A376" t="str">
        <f>IFERROR(INDEX(装备库!$A$2:$E$2022,MATCH(ROW()-1,装备库!$AK$2:$AK$2022,0),COLUMN()),"")</f>
        <v>上衣</v>
      </c>
      <c r="B376" t="str">
        <f>IFERROR(INDEX(装备库!$A$2:$E$2022,MATCH(ROW()-1,装备库!$AK$2:$AK$2022,0),COLUMN()),"")</f>
        <v>7_108466</v>
      </c>
      <c r="C376" t="str">
        <f>IFERROR(INDEX(装备库!$A$2:$E$2022,MATCH(ROW()-1,装备库!$AK$2:$AK$2022,0),5),"")</f>
        <v>陶然意·折柳衫(36200破全)</v>
      </c>
    </row>
    <row r="377" spans="1:3">
      <c r="A377" t="str">
        <f>IFERROR(INDEX(装备库!$A$2:$E$2022,MATCH(ROW()-1,装备库!$AK$2:$AK$2022,0),COLUMN()),"")</f>
        <v>上衣</v>
      </c>
      <c r="B377" t="str">
        <f>IFERROR(INDEX(装备库!$A$2:$E$2022,MATCH(ROW()-1,装备库!$AK$2:$AK$2022,0),COLUMN()),"")</f>
        <v>7_109272</v>
      </c>
      <c r="C377" t="str">
        <f>IFERROR(INDEX(装备库!$A$2:$E$2022,MATCH(ROW()-1,装备库!$AK$2:$AK$2022,0),5),"")</f>
        <v>【门派套装】玄阙·燃炼衣(41400会无)</v>
      </c>
    </row>
    <row r="378" spans="1:3">
      <c r="A378" t="str">
        <f>IFERROR(INDEX(装备库!$A$2:$E$2022,MATCH(ROW()-1,装备库!$AK$2:$AK$2022,0),COLUMN()),"")</f>
        <v>上衣</v>
      </c>
      <c r="B378" t="str">
        <f>IFERROR(INDEX(装备库!$A$2:$E$2022,MATCH(ROW()-1,装备库!$AK$2:$AK$2022,0),COLUMN()),"")</f>
        <v>7_109359</v>
      </c>
      <c r="C378" t="str">
        <f>IFERROR(INDEX(装备库!$A$2:$E$2022,MATCH(ROW()-1,装备库!$AK$2:$AK$2022,0),5),"")</f>
        <v>流漓衣(41400招无)</v>
      </c>
    </row>
    <row r="379" spans="1:3">
      <c r="A379" t="str">
        <f>IFERROR(INDEX(装备库!$A$2:$E$2022,MATCH(ROW()-1,装备库!$AK$2:$AK$2022,0),COLUMN()),"")</f>
        <v>上衣</v>
      </c>
      <c r="B379" t="str">
        <f>IFERROR(INDEX(装备库!$A$2:$E$2022,MATCH(ROW()-1,装备库!$AK$2:$AK$2022,0),COLUMN()),"")</f>
        <v>7_109323</v>
      </c>
      <c r="C379" t="str">
        <f>IFERROR(INDEX(装备库!$A$2:$E$2022,MATCH(ROW()-1,装备库!$AK$2:$AK$2022,0),5),"")</f>
        <v>尘隐衣(41400速无)</v>
      </c>
    </row>
    <row r="380" spans="1:3">
      <c r="A380" t="str">
        <f>IFERROR(INDEX(装备库!$A$2:$E$2022,MATCH(ROW()-1,装备库!$AK$2:$AK$2022,0),COLUMN()),"")</f>
        <v>上衣</v>
      </c>
      <c r="B380" t="str">
        <f>IFERROR(INDEX(装备库!$A$2:$E$2022,MATCH(ROW()-1,装备库!$AK$2:$AK$2022,0),COLUMN()),"")</f>
        <v>7_109608</v>
      </c>
      <c r="C380" t="str">
        <f>IFERROR(INDEX(装备库!$A$2:$E$2022,MATCH(ROW()-1,装备库!$AK$2:$AK$2022,0),5),"")</f>
        <v>曜影衫(41400会无)</v>
      </c>
    </row>
    <row r="381" spans="1:3">
      <c r="A381" t="str">
        <f>IFERROR(INDEX(装备库!$A$2:$E$2022,MATCH(ROW()-1,装备库!$AK$2:$AK$2022,0),COLUMN()),"")</f>
        <v>上衣</v>
      </c>
      <c r="B381" t="str">
        <f>IFERROR(INDEX(装备库!$A$2:$E$2022,MATCH(ROW()-1,装备库!$AK$2:$AK$2022,0),COLUMN()),"")</f>
        <v>7_109506</v>
      </c>
      <c r="C381" t="str">
        <f>IFERROR(INDEX(装备库!$A$2:$E$2022,MATCH(ROW()-1,装备库!$AK$2:$AK$2022,0),5),"")</f>
        <v>尧影衫(42100破无)</v>
      </c>
    </row>
    <row r="382" spans="1:3">
      <c r="A382" t="str">
        <f>IFERROR(INDEX(装备库!$A$2:$E$2022,MATCH(ROW()-1,装备库!$AK$2:$AK$2022,0),COLUMN()),"")</f>
        <v>上衣</v>
      </c>
      <c r="B382" t="str">
        <f>IFERROR(INDEX(装备库!$A$2:$E$2022,MATCH(ROW()-1,装备库!$AK$2:$AK$2022,0),COLUMN()),"")</f>
        <v>7_110927</v>
      </c>
      <c r="C382" t="str">
        <f>IFERROR(INDEX(装备库!$A$2:$E$2022,MATCH(ROW()-1,装备库!$AK$2:$AK$2022,0),5),"")</f>
        <v>陶然意·烟峦衫(42400破全)</v>
      </c>
    </row>
    <row r="383" spans="1:3">
      <c r="A383" t="str">
        <f>IFERROR(INDEX(装备库!$A$2:$E$2022,MATCH(ROW()-1,装备库!$AK$2:$AK$2022,0),COLUMN()),"")</f>
        <v>项链</v>
      </c>
      <c r="B383" t="str">
        <f>IFERROR(INDEX(装备库!$A$2:$E$2022,MATCH(ROW()-1,装备库!$AK$2:$AK$2022,0),COLUMN()),"")</f>
        <v>8_45497</v>
      </c>
      <c r="C383" t="str">
        <f>IFERROR(INDEX(装备库!$A$2:$E$2022,MATCH(ROW()-1,装备库!$AK$2:$AK$2022,0),5),"")</f>
        <v>镂云链(30200破全)</v>
      </c>
    </row>
    <row r="384" spans="1:3">
      <c r="A384" t="str">
        <f>IFERROR(INDEX(装备库!$A$2:$E$2022,MATCH(ROW()-1,装备库!$AK$2:$AK$2022,0),COLUMN()),"")</f>
        <v>项链</v>
      </c>
      <c r="B384" t="str">
        <f>IFERROR(INDEX(装备库!$A$2:$E$2022,MATCH(ROW()-1,装备库!$AK$2:$AK$2022,0),COLUMN()),"")</f>
        <v>8_45479</v>
      </c>
      <c r="C384" t="str">
        <f>IFERROR(INDEX(装备库!$A$2:$E$2022,MATCH(ROW()-1,装备库!$AK$2:$AK$2022,0),5),"")</f>
        <v>智渊链(30200会全)</v>
      </c>
    </row>
    <row r="385" spans="1:3">
      <c r="A385" t="str">
        <f>IFERROR(INDEX(装备库!$A$2:$E$2022,MATCH(ROW()-1,装备库!$AK$2:$AK$2022,0),COLUMN()),"")</f>
        <v>项链</v>
      </c>
      <c r="B385" t="str">
        <f>IFERROR(INDEX(装备库!$A$2:$E$2022,MATCH(ROW()-1,装备库!$AK$2:$AK$2022,0),COLUMN()),"")</f>
        <v>8_49343</v>
      </c>
      <c r="C385" t="str">
        <f>IFERROR(INDEX(装备库!$A$2:$E$2022,MATCH(ROW()-1,装备库!$AK$2:$AK$2022,0),5),"")</f>
        <v>臻泽链(30200破全)</v>
      </c>
    </row>
    <row r="386" spans="1:3">
      <c r="A386" t="str">
        <f>IFERROR(INDEX(装备库!$A$2:$E$2022,MATCH(ROW()-1,装备库!$AK$2:$AK$2022,0),COLUMN()),"")</f>
        <v>项链</v>
      </c>
      <c r="B386" t="str">
        <f>IFERROR(INDEX(装备库!$A$2:$E$2022,MATCH(ROW()-1,装备库!$AK$2:$AK$2022,0),COLUMN()),"")</f>
        <v>8_42848</v>
      </c>
      <c r="C386" t="str">
        <f>IFERROR(INDEX(装备库!$A$2:$E$2022,MATCH(ROW()-1,装备库!$AK$2:$AK$2022,0),5),"")</f>
        <v>羽缀链(30200速无)</v>
      </c>
    </row>
    <row r="387" spans="1:3">
      <c r="A387" t="str">
        <f>IFERROR(INDEX(装备库!$A$2:$E$2022,MATCH(ROW()-1,装备库!$AK$2:$AK$2022,0),COLUMN()),"")</f>
        <v>项链</v>
      </c>
      <c r="B387" t="str">
        <f>IFERROR(INDEX(装备库!$A$2:$E$2022,MATCH(ROW()-1,装备库!$AK$2:$AK$2022,0),COLUMN()),"")</f>
        <v>8_42978</v>
      </c>
      <c r="C387" t="str">
        <f>IFERROR(INDEX(装备库!$A$2:$E$2022,MATCH(ROW()-1,装备库!$AK$2:$AK$2022,0),5),"")</f>
        <v>衔月链(30200速无)</v>
      </c>
    </row>
    <row r="388" spans="1:3">
      <c r="A388" t="str">
        <f>IFERROR(INDEX(装备库!$A$2:$E$2022,MATCH(ROW()-1,装备库!$AK$2:$AK$2022,0),COLUMN()),"")</f>
        <v>项链</v>
      </c>
      <c r="B388" t="str">
        <f>IFERROR(INDEX(装备库!$A$2:$E$2022,MATCH(ROW()-1,装备库!$AK$2:$AK$2022,0),COLUMN()),"")</f>
        <v>8_42866</v>
      </c>
      <c r="C388" t="str">
        <f>IFERROR(INDEX(装备库!$A$2:$E$2022,MATCH(ROW()-1,装备库!$AK$2:$AK$2022,0),5),"")</f>
        <v>平皋链(30200破无)</v>
      </c>
    </row>
    <row r="389" spans="1:3">
      <c r="A389" t="str">
        <f>IFERROR(INDEX(装备库!$A$2:$E$2022,MATCH(ROW()-1,装备库!$AK$2:$AK$2022,0),COLUMN()),"")</f>
        <v>项链</v>
      </c>
      <c r="B389" t="str">
        <f>IFERROR(INDEX(装备库!$A$2:$E$2022,MATCH(ROW()-1,装备库!$AK$2:$AK$2022,0),COLUMN()),"")</f>
        <v>8_42942</v>
      </c>
      <c r="C389" t="str">
        <f>IFERROR(INDEX(装备库!$A$2:$E$2022,MATCH(ROW()-1,装备库!$AK$2:$AK$2022,0),5),"")</f>
        <v>问殿链(30200破无)</v>
      </c>
    </row>
    <row r="390" spans="1:3">
      <c r="A390" t="str">
        <f>IFERROR(INDEX(装备库!$A$2:$E$2022,MATCH(ROW()-1,装备库!$AK$2:$AK$2022,0),COLUMN()),"")</f>
        <v>项链</v>
      </c>
      <c r="B390" t="str">
        <f>IFERROR(INDEX(装备库!$A$2:$E$2022,MATCH(ROW()-1,装备库!$AK$2:$AK$2022,0),COLUMN()),"")</f>
        <v>8_42960</v>
      </c>
      <c r="C390" t="str">
        <f>IFERROR(INDEX(装备库!$A$2:$E$2022,MATCH(ROW()-1,装备库!$AK$2:$AK$2022,0),5),"")</f>
        <v>标雁项饰(30200会无)</v>
      </c>
    </row>
    <row r="391" spans="1:3">
      <c r="A391" t="str">
        <f>IFERROR(INDEX(装备库!$A$2:$E$2022,MATCH(ROW()-1,装备库!$AK$2:$AK$2022,0),COLUMN()),"")</f>
        <v>项链</v>
      </c>
      <c r="B391" t="str">
        <f>IFERROR(INDEX(装备库!$A$2:$E$2022,MATCH(ROW()-1,装备库!$AK$2:$AK$2022,0),COLUMN()),"")</f>
        <v>8_42736</v>
      </c>
      <c r="C391" t="str">
        <f>IFERROR(INDEX(装备库!$A$2:$E$2022,MATCH(ROW()-1,装备库!$AK$2:$AK$2022,0),5),"")</f>
        <v>灵空·风行链(30200破无)</v>
      </c>
    </row>
    <row r="392" spans="1:3">
      <c r="A392" t="str">
        <f>IFERROR(INDEX(装备库!$A$2:$E$2022,MATCH(ROW()-1,装备库!$AK$2:$AK$2022,0),COLUMN()),"")</f>
        <v>项链</v>
      </c>
      <c r="B392" t="str">
        <f>IFERROR(INDEX(装备库!$A$2:$E$2022,MATCH(ROW()-1,装备库!$AK$2:$AK$2022,0),COLUMN()),"")</f>
        <v>8_44391</v>
      </c>
      <c r="C392" t="str">
        <f>IFERROR(INDEX(装备库!$A$2:$E$2022,MATCH(ROW()-1,装备库!$AK$2:$AK$2022,0),5),"")</f>
        <v>斜月链(30300招无)</v>
      </c>
    </row>
    <row r="393" spans="1:3">
      <c r="A393" t="str">
        <f>IFERROR(INDEX(装备库!$A$2:$E$2022,MATCH(ROW()-1,装备库!$AK$2:$AK$2022,0),COLUMN()),"")</f>
        <v>项链</v>
      </c>
      <c r="B393" t="str">
        <f>IFERROR(INDEX(装备库!$A$2:$E$2022,MATCH(ROW()-1,装备库!$AK$2:$AK$2022,0),COLUMN()),"")</f>
        <v>8_43888</v>
      </c>
      <c r="C393" t="str">
        <f>IFERROR(INDEX(装备库!$A$2:$E$2022,MATCH(ROW()-1,装备库!$AK$2:$AK$2022,0),5),"")</f>
        <v>陶然意·谧秋项饰(30700会全)</v>
      </c>
    </row>
    <row r="394" spans="1:3">
      <c r="A394" t="str">
        <f>IFERROR(INDEX(装备库!$A$2:$E$2022,MATCH(ROW()-1,装备库!$AK$2:$AK$2022,0),COLUMN()),"")</f>
        <v>项链</v>
      </c>
      <c r="B394" t="str">
        <f>IFERROR(INDEX(装备库!$A$2:$E$2022,MATCH(ROW()-1,装备库!$AK$2:$AK$2022,0),COLUMN()),"")</f>
        <v>8_43060</v>
      </c>
      <c r="C394" t="str">
        <f>IFERROR(INDEX(装备库!$A$2:$E$2022,MATCH(ROW()-1,装备库!$AK$2:$AK$2022,0),5),"")</f>
        <v>载周链(30700招无)</v>
      </c>
    </row>
    <row r="395" spans="1:3">
      <c r="A395" t="str">
        <f>IFERROR(INDEX(装备库!$A$2:$E$2022,MATCH(ROW()-1,装备库!$AK$2:$AK$2022,0),COLUMN()),"")</f>
        <v>项链</v>
      </c>
      <c r="B395" t="str">
        <f>IFERROR(INDEX(装备库!$A$2:$E$2022,MATCH(ROW()-1,装备库!$AK$2:$AK$2022,0),COLUMN()),"")</f>
        <v>8_47957</v>
      </c>
      <c r="C395" t="str">
        <f>IFERROR(INDEX(装备库!$A$2:$E$2022,MATCH(ROW()-1,装备库!$AK$2:$AK$2022,0),5),"")</f>
        <v>腾掠链(32200招无)</v>
      </c>
    </row>
    <row r="396" spans="1:3">
      <c r="A396" t="str">
        <f>IFERROR(INDEX(装备库!$A$2:$E$2022,MATCH(ROW()-1,装备库!$AK$2:$AK$2022,0),COLUMN()),"")</f>
        <v>项链</v>
      </c>
      <c r="B396" t="str">
        <f>IFERROR(INDEX(装备库!$A$2:$E$2022,MATCH(ROW()-1,装备库!$AK$2:$AK$2022,0),COLUMN()),"")</f>
        <v>8_44459</v>
      </c>
      <c r="C396" t="str">
        <f>IFERROR(INDEX(装备库!$A$2:$E$2022,MATCH(ROW()-1,装备库!$AK$2:$AK$2022,0),5),"")</f>
        <v>无修链·外·地(32500特效精简招破无)</v>
      </c>
    </row>
    <row r="397" spans="1:3">
      <c r="A397" t="str">
        <f>IFERROR(INDEX(装备库!$A$2:$E$2022,MATCH(ROW()-1,装备库!$AK$2:$AK$2022,0),COLUMN()),"")</f>
        <v>项链</v>
      </c>
      <c r="B397" t="str">
        <f>IFERROR(INDEX(装备库!$A$2:$E$2022,MATCH(ROW()-1,装备库!$AK$2:$AK$2022,0),COLUMN()),"")</f>
        <v>8_44457</v>
      </c>
      <c r="C397" t="str">
        <f>IFERROR(INDEX(装备库!$A$2:$E$2022,MATCH(ROW()-1,装备库!$AK$2:$AK$2022,0),5),"")</f>
        <v>无修链·外·地(32500特效精简破无)</v>
      </c>
    </row>
    <row r="398" spans="1:3">
      <c r="A398" t="str">
        <f>IFERROR(INDEX(装备库!$A$2:$E$2022,MATCH(ROW()-1,装备库!$AK$2:$AK$2022,0),COLUMN()),"")</f>
        <v>项链</v>
      </c>
      <c r="B398" t="str">
        <f>IFERROR(INDEX(装备库!$A$2:$E$2022,MATCH(ROW()-1,装备库!$AK$2:$AK$2022,0),COLUMN()),"")</f>
        <v>8_44458</v>
      </c>
      <c r="C398" t="str">
        <f>IFERROR(INDEX(装备库!$A$2:$E$2022,MATCH(ROW()-1,装备库!$AK$2:$AK$2022,0),5),"")</f>
        <v>无修链·外·地(32500特效精简会招无)</v>
      </c>
    </row>
    <row r="399" spans="1:3">
      <c r="A399" t="str">
        <f>IFERROR(INDEX(装备库!$A$2:$E$2022,MATCH(ROW()-1,装备库!$AK$2:$AK$2022,0),COLUMN()),"")</f>
        <v>项链</v>
      </c>
      <c r="B399" t="str">
        <f>IFERROR(INDEX(装备库!$A$2:$E$2022,MATCH(ROW()-1,装备库!$AK$2:$AK$2022,0),COLUMN()),"")</f>
        <v>8_44403</v>
      </c>
      <c r="C399" t="str">
        <f>IFERROR(INDEX(装备库!$A$2:$E$2022,MATCH(ROW()-1,装备库!$AK$2:$AK$2022,0),5),"")</f>
        <v>斜月链(33000招无)</v>
      </c>
    </row>
    <row r="400" spans="1:3">
      <c r="A400" t="str">
        <f>IFERROR(INDEX(装备库!$A$2:$E$2022,MATCH(ROW()-1,装备库!$AK$2:$AK$2022,0),COLUMN()),"")</f>
        <v>项链</v>
      </c>
      <c r="B400" t="str">
        <f>IFERROR(INDEX(装备库!$A$2:$E$2022,MATCH(ROW()-1,装备库!$AK$2:$AK$2022,0),COLUMN()),"")</f>
        <v>8_44326</v>
      </c>
      <c r="C400" t="str">
        <f>IFERROR(INDEX(装备库!$A$2:$E$2022,MATCH(ROW()-1,装备库!$AK$2:$AK$2022,0),5),"")</f>
        <v>临坻链(35300速无)</v>
      </c>
    </row>
    <row r="401" spans="1:3">
      <c r="A401" t="str">
        <f>IFERROR(INDEX(装备库!$A$2:$E$2022,MATCH(ROW()-1,装备库!$AK$2:$AK$2022,0),COLUMN()),"")</f>
        <v>项链</v>
      </c>
      <c r="B401" t="str">
        <f>IFERROR(INDEX(装备库!$A$2:$E$2022,MATCH(ROW()-1,装备库!$AK$2:$AK$2022,0),COLUMN()),"")</f>
        <v>8_44290</v>
      </c>
      <c r="C401" t="str">
        <f>IFERROR(INDEX(装备库!$A$2:$E$2022,MATCH(ROW()-1,装备库!$AK$2:$AK$2022,0),5),"")</f>
        <v>天风链(35300破无)</v>
      </c>
    </row>
    <row r="402" spans="1:3">
      <c r="A402" t="str">
        <f>IFERROR(INDEX(装备库!$A$2:$E$2022,MATCH(ROW()-1,装备库!$AK$2:$AK$2022,0),COLUMN()),"")</f>
        <v>项链</v>
      </c>
      <c r="B402" t="str">
        <f>IFERROR(INDEX(装备库!$A$2:$E$2022,MATCH(ROW()-1,装备库!$AK$2:$AK$2022,0),COLUMN()),"")</f>
        <v>8_44308</v>
      </c>
      <c r="C402" t="str">
        <f>IFERROR(INDEX(装备库!$A$2:$E$2022,MATCH(ROW()-1,装备库!$AK$2:$AK$2022,0),5),"")</f>
        <v>晚风链(35300会无)</v>
      </c>
    </row>
    <row r="403" spans="1:3">
      <c r="A403" t="str">
        <f>IFERROR(INDEX(装备库!$A$2:$E$2022,MATCH(ROW()-1,装备库!$AK$2:$AK$2022,0),COLUMN()),"")</f>
        <v>项链</v>
      </c>
      <c r="B403" t="str">
        <f>IFERROR(INDEX(装备库!$A$2:$E$2022,MATCH(ROW()-1,装备库!$AK$2:$AK$2022,0),COLUMN()),"")</f>
        <v>8_44469</v>
      </c>
      <c r="C403" t="str">
        <f>IFERROR(INDEX(装备库!$A$2:$E$2022,MATCH(ROW()-1,装备库!$AK$2:$AK$2022,0),5),"")</f>
        <v>无修链·外·地(35300特效精简无)</v>
      </c>
    </row>
    <row r="404" spans="1:3">
      <c r="A404" t="str">
        <f>IFERROR(INDEX(装备库!$A$2:$E$2022,MATCH(ROW()-1,装备库!$AK$2:$AK$2022,0),COLUMN()),"")</f>
        <v>项链</v>
      </c>
      <c r="B404" t="str">
        <f>IFERROR(INDEX(装备库!$A$2:$E$2022,MATCH(ROW()-1,装备库!$AK$2:$AK$2022,0),COLUMN()),"")</f>
        <v>8_44470</v>
      </c>
      <c r="C404" t="str">
        <f>IFERROR(INDEX(装备库!$A$2:$E$2022,MATCH(ROW()-1,装备库!$AK$2:$AK$2022,0),5),"")</f>
        <v>无修链·外·地(35300特效精简破无)</v>
      </c>
    </row>
    <row r="405" spans="1:3">
      <c r="A405" t="str">
        <f>IFERROR(INDEX(装备库!$A$2:$E$2022,MATCH(ROW()-1,装备库!$AK$2:$AK$2022,0),COLUMN()),"")</f>
        <v>项链</v>
      </c>
      <c r="B405" t="str">
        <f>IFERROR(INDEX(装备库!$A$2:$E$2022,MATCH(ROW()-1,装备库!$AK$2:$AK$2022,0),COLUMN()),"")</f>
        <v>8_44471</v>
      </c>
      <c r="C405" t="str">
        <f>IFERROR(INDEX(装备库!$A$2:$E$2022,MATCH(ROW()-1,装备库!$AK$2:$AK$2022,0),5),"")</f>
        <v>无修链·外·地(35300特效精简会招无)</v>
      </c>
    </row>
    <row r="406" spans="1:3">
      <c r="A406" t="str">
        <f>IFERROR(INDEX(装备库!$A$2:$E$2022,MATCH(ROW()-1,装备库!$AK$2:$AK$2022,0),COLUMN()),"")</f>
        <v>项链</v>
      </c>
      <c r="B406" t="str">
        <f>IFERROR(INDEX(装备库!$A$2:$E$2022,MATCH(ROW()-1,装备库!$AK$2:$AK$2022,0),COLUMN()),"")</f>
        <v>8_47969</v>
      </c>
      <c r="C406" t="str">
        <f>IFERROR(INDEX(装备库!$A$2:$E$2022,MATCH(ROW()-1,装备库!$AK$2:$AK$2022,0),5),"")</f>
        <v>腾掠链(35500招无)</v>
      </c>
    </row>
    <row r="407" spans="1:3">
      <c r="A407" t="str">
        <f>IFERROR(INDEX(装备库!$A$2:$E$2022,MATCH(ROW()-1,装备库!$AK$2:$AK$2022,0),COLUMN()),"")</f>
        <v>项链</v>
      </c>
      <c r="B407" t="str">
        <f>IFERROR(INDEX(装备库!$A$2:$E$2022,MATCH(ROW()-1,装备库!$AK$2:$AK$2022,0),COLUMN()),"")</f>
        <v>8_44415</v>
      </c>
      <c r="C407" t="str">
        <f>IFERROR(INDEX(装备库!$A$2:$E$2022,MATCH(ROW()-1,装备库!$AK$2:$AK$2022,0),5),"")</f>
        <v>斜月链(35900招无)</v>
      </c>
    </row>
    <row r="408" spans="1:3">
      <c r="A408" t="str">
        <f>IFERROR(INDEX(装备库!$A$2:$E$2022,MATCH(ROW()-1,装备库!$AK$2:$AK$2022,0),COLUMN()),"")</f>
        <v>项链</v>
      </c>
      <c r="B408" t="str">
        <f>IFERROR(INDEX(装备库!$A$2:$E$2022,MATCH(ROW()-1,装备库!$AK$2:$AK$2022,0),COLUMN()),"")</f>
        <v>8_45404</v>
      </c>
      <c r="C408" t="str">
        <f>IFERROR(INDEX(装备库!$A$2:$E$2022,MATCH(ROW()-1,装备库!$AK$2:$AK$2022,0),5),"")</f>
        <v>陶然意·折柳链(36200会全)</v>
      </c>
    </row>
    <row r="409" spans="1:3">
      <c r="A409" t="str">
        <f>IFERROR(INDEX(装备库!$A$2:$E$2022,MATCH(ROW()-1,装备库!$AK$2:$AK$2022,0),COLUMN()),"")</f>
        <v>项链</v>
      </c>
      <c r="B409" t="str">
        <f>IFERROR(INDEX(装备库!$A$2:$E$2022,MATCH(ROW()-1,装备库!$AK$2:$AK$2022,0),COLUMN()),"")</f>
        <v>8_48036</v>
      </c>
      <c r="C409" t="str">
        <f>IFERROR(INDEX(装备库!$A$2:$E$2022,MATCH(ROW()-1,装备库!$AK$2:$AK$2022,0),5),"")</f>
        <v>无修链·外·天(38100特效精简招)</v>
      </c>
    </row>
    <row r="410" spans="1:3">
      <c r="A410" t="str">
        <f>IFERROR(INDEX(装备库!$A$2:$E$2022,MATCH(ROW()-1,装备库!$AK$2:$AK$2022,0),COLUMN()),"")</f>
        <v>项链</v>
      </c>
      <c r="B410" t="str">
        <f>IFERROR(INDEX(装备库!$A$2:$E$2022,MATCH(ROW()-1,装备库!$AK$2:$AK$2022,0),COLUMN()),"")</f>
        <v>8_48035</v>
      </c>
      <c r="C410" t="str">
        <f>IFERROR(INDEX(装备库!$A$2:$E$2022,MATCH(ROW()-1,装备库!$AK$2:$AK$2022,0),5),"")</f>
        <v>无修链·外·天(38100特效精简会招破无)</v>
      </c>
    </row>
    <row r="411" spans="1:3">
      <c r="A411" t="str">
        <f>IFERROR(INDEX(装备库!$A$2:$E$2022,MATCH(ROW()-1,装备库!$AK$2:$AK$2022,0),COLUMN()),"")</f>
        <v>项链</v>
      </c>
      <c r="B411" t="str">
        <f>IFERROR(INDEX(装备库!$A$2:$E$2022,MATCH(ROW()-1,装备库!$AK$2:$AK$2022,0),COLUMN()),"")</f>
        <v>8_48037</v>
      </c>
      <c r="C411" t="str">
        <f>IFERROR(INDEX(装备库!$A$2:$E$2022,MATCH(ROW()-1,装备库!$AK$2:$AK$2022,0),5),"")</f>
        <v>无修链·外·天(38100特效精简会会招)</v>
      </c>
    </row>
    <row r="412" spans="1:3">
      <c r="A412" t="str">
        <f>IFERROR(INDEX(装备库!$A$2:$E$2022,MATCH(ROW()-1,装备库!$AK$2:$AK$2022,0),COLUMN()),"")</f>
        <v>项链</v>
      </c>
      <c r="B412" t="str">
        <f>IFERROR(INDEX(装备库!$A$2:$E$2022,MATCH(ROW()-1,装备库!$AK$2:$AK$2022,0),COLUMN()),"")</f>
        <v>8_47981</v>
      </c>
      <c r="C412" t="str">
        <f>IFERROR(INDEX(装备库!$A$2:$E$2022,MATCH(ROW()-1,装备库!$AK$2:$AK$2022,0),5),"")</f>
        <v>腾掠链(38800招无)</v>
      </c>
    </row>
    <row r="413" spans="1:3">
      <c r="A413" t="str">
        <f>IFERROR(INDEX(装备库!$A$2:$E$2022,MATCH(ROW()-1,装备库!$AK$2:$AK$2022,0),COLUMN()),"")</f>
        <v>项链</v>
      </c>
      <c r="B413" t="str">
        <f>IFERROR(INDEX(装备库!$A$2:$E$2022,MATCH(ROW()-1,装备库!$AK$2:$AK$2022,0),COLUMN()),"")</f>
        <v>8_47904</v>
      </c>
      <c r="C413" t="str">
        <f>IFERROR(INDEX(装备库!$A$2:$E$2022,MATCH(ROW()-1,装备库!$AK$2:$AK$2022,0),5),"")</f>
        <v>虎帐链(41400速无)</v>
      </c>
    </row>
    <row r="414" spans="1:3">
      <c r="A414" t="str">
        <f>IFERROR(INDEX(装备库!$A$2:$E$2022,MATCH(ROW()-1,装备库!$AK$2:$AK$2022,0),COLUMN()),"")</f>
        <v>项链</v>
      </c>
      <c r="B414" t="str">
        <f>IFERROR(INDEX(装备库!$A$2:$E$2022,MATCH(ROW()-1,装备库!$AK$2:$AK$2022,0),COLUMN()),"")</f>
        <v>8_47868</v>
      </c>
      <c r="C414" t="str">
        <f>IFERROR(INDEX(装备库!$A$2:$E$2022,MATCH(ROW()-1,装备库!$AK$2:$AK$2022,0),5),"")</f>
        <v>尘隐链(41400破无)</v>
      </c>
    </row>
    <row r="415" spans="1:3">
      <c r="A415" t="str">
        <f>IFERROR(INDEX(装备库!$A$2:$E$2022,MATCH(ROW()-1,装备库!$AK$2:$AK$2022,0),COLUMN()),"")</f>
        <v>项链</v>
      </c>
      <c r="B415" t="str">
        <f>IFERROR(INDEX(装备库!$A$2:$E$2022,MATCH(ROW()-1,装备库!$AK$2:$AK$2022,0),COLUMN()),"")</f>
        <v>8_47886</v>
      </c>
      <c r="C415" t="str">
        <f>IFERROR(INDEX(装备库!$A$2:$E$2022,MATCH(ROW()-1,装备库!$AK$2:$AK$2022,0),5),"")</f>
        <v>流漓链(41400会无)</v>
      </c>
    </row>
    <row r="416" spans="1:3">
      <c r="A416" t="str">
        <f>IFERROR(INDEX(装备库!$A$2:$E$2022,MATCH(ROW()-1,装备库!$AK$2:$AK$2022,0),COLUMN()),"")</f>
        <v>项链</v>
      </c>
      <c r="B416" t="str">
        <f>IFERROR(INDEX(装备库!$A$2:$E$2022,MATCH(ROW()-1,装备库!$AK$2:$AK$2022,0),COLUMN()),"")</f>
        <v>8_48048</v>
      </c>
      <c r="C416" t="str">
        <f>IFERROR(INDEX(装备库!$A$2:$E$2022,MATCH(ROW()-1,装备库!$AK$2:$AK$2022,0),5),"")</f>
        <v>无修链·外·天(41400特效精简招无)</v>
      </c>
    </row>
    <row r="417" spans="1:3">
      <c r="A417" t="str">
        <f>IFERROR(INDEX(装备库!$A$2:$E$2022,MATCH(ROW()-1,装备库!$AK$2:$AK$2022,0),COLUMN()),"")</f>
        <v>项链</v>
      </c>
      <c r="B417" t="str">
        <f>IFERROR(INDEX(装备库!$A$2:$E$2022,MATCH(ROW()-1,装备库!$AK$2:$AK$2022,0),COLUMN()),"")</f>
        <v>8_48047</v>
      </c>
      <c r="C417" t="str">
        <f>IFERROR(INDEX(装备库!$A$2:$E$2022,MATCH(ROW()-1,装备库!$AK$2:$AK$2022,0),5),"")</f>
        <v>无修链·外·天(41400特效精简破无)</v>
      </c>
    </row>
    <row r="418" spans="1:3">
      <c r="A418" t="str">
        <f>IFERROR(INDEX(装备库!$A$2:$E$2022,MATCH(ROW()-1,装备库!$AK$2:$AK$2022,0),COLUMN()),"")</f>
        <v>项链</v>
      </c>
      <c r="B418" t="str">
        <f>IFERROR(INDEX(装备库!$A$2:$E$2022,MATCH(ROW()-1,装备库!$AK$2:$AK$2022,0),COLUMN()),"")</f>
        <v>8_48049</v>
      </c>
      <c r="C418" t="str">
        <f>IFERROR(INDEX(装备库!$A$2:$E$2022,MATCH(ROW()-1,装备库!$AK$2:$AK$2022,0),5),"")</f>
        <v>无修链·外·天(41400特效精简会无)</v>
      </c>
    </row>
    <row r="419" spans="1:3">
      <c r="A419" t="str">
        <f>IFERROR(INDEX(装备库!$A$2:$E$2022,MATCH(ROW()-1,装备库!$AK$2:$AK$2022,0),COLUMN()),"")</f>
        <v>项链</v>
      </c>
      <c r="B419" t="str">
        <f>IFERROR(INDEX(装备库!$A$2:$E$2022,MATCH(ROW()-1,装备库!$AK$2:$AK$2022,0),COLUMN()),"")</f>
        <v>8_47993</v>
      </c>
      <c r="C419" t="str">
        <f>IFERROR(INDEX(装备库!$A$2:$E$2022,MATCH(ROW()-1,装备库!$AK$2:$AK$2022,0),5),"")</f>
        <v>腾掠链(42100招无)</v>
      </c>
    </row>
    <row r="420" spans="1:3">
      <c r="A420" t="str">
        <f>IFERROR(INDEX(装备库!$A$2:$E$2022,MATCH(ROW()-1,装备库!$AK$2:$AK$2022,0),COLUMN()),"")</f>
        <v>项链</v>
      </c>
      <c r="B420" t="str">
        <f>IFERROR(INDEX(装备库!$A$2:$E$2022,MATCH(ROW()-1,装备库!$AK$2:$AK$2022,0),COLUMN()),"")</f>
        <v>8_48982</v>
      </c>
      <c r="C420" t="str">
        <f>IFERROR(INDEX(装备库!$A$2:$E$2022,MATCH(ROW()-1,装备库!$AK$2:$AK$2022,0),5),"")</f>
        <v>陶然意·烟峦项饰(42400会全)</v>
      </c>
    </row>
    <row r="421" spans="1:3">
      <c r="A421" t="str">
        <f>IFERROR(INDEX(装备库!$A$2:$E$2022,MATCH(ROW()-1,装备库!$AK$2:$AK$2022,0),COLUMN()),"")</f>
        <v>鞋子</v>
      </c>
      <c r="B421" t="str">
        <f>IFERROR(INDEX(装备库!$A$2:$E$2022,MATCH(ROW()-1,装备库!$AK$2:$AK$2022,0),COLUMN()),"")</f>
        <v>7_108497</v>
      </c>
      <c r="C421" t="str">
        <f>IFERROR(INDEX(装备库!$A$2:$E$2022,MATCH(ROW()-1,装备库!$AK$2:$AK$2022,0),5),"")</f>
        <v>智渊履(30200速全)</v>
      </c>
    </row>
    <row r="422" spans="1:3">
      <c r="A422" t="str">
        <f>IFERROR(INDEX(装备库!$A$2:$E$2022,MATCH(ROW()-1,装备库!$AK$2:$AK$2022,0),COLUMN()),"")</f>
        <v>鞋子</v>
      </c>
      <c r="B422" t="str">
        <f>IFERROR(INDEX(装备库!$A$2:$E$2022,MATCH(ROW()-1,装备库!$AK$2:$AK$2022,0),COLUMN()),"")</f>
        <v>7_108533</v>
      </c>
      <c r="C422" t="str">
        <f>IFERROR(INDEX(装备库!$A$2:$E$2022,MATCH(ROW()-1,装备库!$AK$2:$AK$2022,0),5),"")</f>
        <v>镂云靴(30200破全)</v>
      </c>
    </row>
    <row r="423" spans="1:3">
      <c r="A423" t="str">
        <f>IFERROR(INDEX(装备库!$A$2:$E$2022,MATCH(ROW()-1,装备库!$AK$2:$AK$2022,0),COLUMN()),"")</f>
        <v>鞋子</v>
      </c>
      <c r="B423" t="str">
        <f>IFERROR(INDEX(装备库!$A$2:$E$2022,MATCH(ROW()-1,装备库!$AK$2:$AK$2022,0),COLUMN()),"")</f>
        <v>7_110994</v>
      </c>
      <c r="C423" t="str">
        <f>IFERROR(INDEX(装备库!$A$2:$E$2022,MATCH(ROW()-1,装备库!$AK$2:$AK$2022,0),5),"")</f>
        <v>臻泽靴(30200破全)</v>
      </c>
    </row>
    <row r="424" spans="1:3">
      <c r="A424" t="str">
        <f>IFERROR(INDEX(装备库!$A$2:$E$2022,MATCH(ROW()-1,装备库!$AK$2:$AK$2022,0),COLUMN()),"")</f>
        <v>鞋子</v>
      </c>
      <c r="B424" t="str">
        <f>IFERROR(INDEX(装备库!$A$2:$E$2022,MATCH(ROW()-1,装备库!$AK$2:$AK$2022,0),COLUMN()),"")</f>
        <v>7_104727</v>
      </c>
      <c r="C424" t="str">
        <f>IFERROR(INDEX(装备库!$A$2:$E$2022,MATCH(ROW()-1,装备库!$AK$2:$AK$2022,0),5),"")</f>
        <v>【门派套装】天极·听荷靴(30200破无)</v>
      </c>
    </row>
    <row r="425" spans="1:3">
      <c r="A425" t="str">
        <f>IFERROR(INDEX(装备库!$A$2:$E$2022,MATCH(ROW()-1,装备库!$AK$2:$AK$2022,0),COLUMN()),"")</f>
        <v>鞋子</v>
      </c>
      <c r="B425" t="str">
        <f>IFERROR(INDEX(装备库!$A$2:$E$2022,MATCH(ROW()-1,装备库!$AK$2:$AK$2022,0),COLUMN()),"")</f>
        <v>7_108233</v>
      </c>
      <c r="C425" t="str">
        <f>IFERROR(INDEX(装备库!$A$2:$E$2022,MATCH(ROW()-1,装备库!$AK$2:$AK$2022,0),5),"")</f>
        <v>孤城惊梦·迷烟靴(30200会无)</v>
      </c>
    </row>
    <row r="426" spans="1:3">
      <c r="A426" t="str">
        <f>IFERROR(INDEX(装备库!$A$2:$E$2022,MATCH(ROW()-1,装备库!$AK$2:$AK$2022,0),COLUMN()),"")</f>
        <v>鞋子</v>
      </c>
      <c r="B426" t="str">
        <f>IFERROR(INDEX(装备库!$A$2:$E$2022,MATCH(ROW()-1,装备库!$AK$2:$AK$2022,0),COLUMN()),"")</f>
        <v>7_104514</v>
      </c>
      <c r="C426" t="str">
        <f>IFERROR(INDEX(装备库!$A$2:$E$2022,MATCH(ROW()-1,装备库!$AK$2:$AK$2022,0),5),"")</f>
        <v>润源靴(30200招无)</v>
      </c>
    </row>
    <row r="427" spans="1:3">
      <c r="A427" t="str">
        <f>IFERROR(INDEX(装备库!$A$2:$E$2022,MATCH(ROW()-1,装备库!$AK$2:$AK$2022,0),COLUMN()),"")</f>
        <v>鞋子</v>
      </c>
      <c r="B427" t="str">
        <f>IFERROR(INDEX(装备库!$A$2:$E$2022,MATCH(ROW()-1,装备库!$AK$2:$AK$2022,0),COLUMN()),"")</f>
        <v>7_104482</v>
      </c>
      <c r="C427" t="str">
        <f>IFERROR(INDEX(装备库!$A$2:$E$2022,MATCH(ROW()-1,装备库!$AK$2:$AK$2022,0),5),"")</f>
        <v>平皋靴(30200速无)</v>
      </c>
    </row>
    <row r="428" spans="1:3">
      <c r="A428" t="str">
        <f>IFERROR(INDEX(装备库!$A$2:$E$2022,MATCH(ROW()-1,装备库!$AK$2:$AK$2022,0),COLUMN()),"")</f>
        <v>鞋子</v>
      </c>
      <c r="B428" t="str">
        <f>IFERROR(INDEX(装备库!$A$2:$E$2022,MATCH(ROW()-1,装备库!$AK$2:$AK$2022,0),COLUMN()),"")</f>
        <v>7_104821</v>
      </c>
      <c r="C428" t="str">
        <f>IFERROR(INDEX(装备库!$A$2:$E$2022,MATCH(ROW()-1,装备库!$AK$2:$AK$2022,0),5),"")</f>
        <v>问殿靴(30200速无)</v>
      </c>
    </row>
    <row r="429" spans="1:3">
      <c r="A429" t="str">
        <f>IFERROR(INDEX(装备库!$A$2:$E$2022,MATCH(ROW()-1,装备库!$AK$2:$AK$2022,0),COLUMN()),"")</f>
        <v>鞋子</v>
      </c>
      <c r="B429" t="str">
        <f>IFERROR(INDEX(装备库!$A$2:$E$2022,MATCH(ROW()-1,装备库!$AK$2:$AK$2022,0),COLUMN()),"")</f>
        <v>7_104126</v>
      </c>
      <c r="C429" t="str">
        <f>IFERROR(INDEX(装备库!$A$2:$E$2022,MATCH(ROW()-1,装备库!$AK$2:$AK$2022,0),5),"")</f>
        <v>羽缀靴(30200会无)</v>
      </c>
    </row>
    <row r="430" spans="1:3">
      <c r="A430" t="str">
        <f>IFERROR(INDEX(装备库!$A$2:$E$2022,MATCH(ROW()-1,装备库!$AK$2:$AK$2022,0),COLUMN()),"")</f>
        <v>鞋子</v>
      </c>
      <c r="B430" t="str">
        <f>IFERROR(INDEX(装备库!$A$2:$E$2022,MATCH(ROW()-1,装备库!$AK$2:$AK$2022,0),COLUMN()),"")</f>
        <v>7_104857</v>
      </c>
      <c r="C430" t="str">
        <f>IFERROR(INDEX(装备库!$A$2:$E$2022,MATCH(ROW()-1,装备库!$AK$2:$AK$2022,0),5),"")</f>
        <v>标雁鞋(30200会无)</v>
      </c>
    </row>
    <row r="431" spans="1:3">
      <c r="A431" t="str">
        <f>IFERROR(INDEX(装备库!$A$2:$E$2022,MATCH(ROW()-1,装备库!$AK$2:$AK$2022,0),COLUMN()),"")</f>
        <v>鞋子</v>
      </c>
      <c r="B431" t="str">
        <f>IFERROR(INDEX(装备库!$A$2:$E$2022,MATCH(ROW()-1,装备库!$AK$2:$AK$2022,0),COLUMN()),"")</f>
        <v>7_105085</v>
      </c>
      <c r="C431" t="str">
        <f>IFERROR(INDEX(装备库!$A$2:$E$2022,MATCH(ROW()-1,装备库!$AK$2:$AK$2022,0),5),"")</f>
        <v>坠红靴(30200会无)</v>
      </c>
    </row>
    <row r="432" spans="1:3">
      <c r="A432" t="str">
        <f>IFERROR(INDEX(装备库!$A$2:$E$2022,MATCH(ROW()-1,装备库!$AK$2:$AK$2022,0),COLUMN()),"")</f>
        <v>鞋子</v>
      </c>
      <c r="B432" t="str">
        <f>IFERROR(INDEX(装备库!$A$2:$E$2022,MATCH(ROW()-1,装备库!$AK$2:$AK$2022,0),COLUMN()),"")</f>
        <v>7_106654</v>
      </c>
      <c r="C432" t="str">
        <f>IFERROR(INDEX(装备库!$A$2:$E$2022,MATCH(ROW()-1,装备库!$AK$2:$AK$2022,0),5),"")</f>
        <v>寻踪觅宝·逸群靴(30200会无)</v>
      </c>
    </row>
    <row r="433" spans="1:3">
      <c r="A433" t="str">
        <f>IFERROR(INDEX(装备库!$A$2:$E$2022,MATCH(ROW()-1,装备库!$AK$2:$AK$2022,0),COLUMN()),"")</f>
        <v>鞋子</v>
      </c>
      <c r="B433" t="str">
        <f>IFERROR(INDEX(装备库!$A$2:$E$2022,MATCH(ROW()-1,装备库!$AK$2:$AK$2022,0),COLUMN()),"")</f>
        <v>7_105069</v>
      </c>
      <c r="C433" t="str">
        <f>IFERROR(INDEX(装备库!$A$2:$E$2022,MATCH(ROW()-1,装备库!$AK$2:$AK$2022,0),5),"")</f>
        <v>无修鞋·外·玄(30200特效精简招破无)</v>
      </c>
    </row>
    <row r="434" spans="1:3">
      <c r="A434" t="str">
        <f>IFERROR(INDEX(装备库!$A$2:$E$2022,MATCH(ROW()-1,装备库!$AK$2:$AK$2022,0),COLUMN()),"")</f>
        <v>鞋子</v>
      </c>
      <c r="B434" t="str">
        <f>IFERROR(INDEX(装备库!$A$2:$E$2022,MATCH(ROW()-1,装备库!$AK$2:$AK$2022,0),COLUMN()),"")</f>
        <v>7_105067</v>
      </c>
      <c r="C434" t="str">
        <f>IFERROR(INDEX(装备库!$A$2:$E$2022,MATCH(ROW()-1,装备库!$AK$2:$AK$2022,0),5),"")</f>
        <v>无修鞋·外·玄(30200特效精简会无)</v>
      </c>
    </row>
    <row r="435" spans="1:3">
      <c r="A435" t="str">
        <f>IFERROR(INDEX(装备库!$A$2:$E$2022,MATCH(ROW()-1,装备库!$AK$2:$AK$2022,0),COLUMN()),"")</f>
        <v>鞋子</v>
      </c>
      <c r="B435" t="str">
        <f>IFERROR(INDEX(装备库!$A$2:$E$2022,MATCH(ROW()-1,装备库!$AK$2:$AK$2022,0),COLUMN()),"")</f>
        <v>7_105068</v>
      </c>
      <c r="C435" t="str">
        <f>IFERROR(INDEX(装备库!$A$2:$E$2022,MATCH(ROW()-1,装备库!$AK$2:$AK$2022,0),5),"")</f>
        <v>无修鞋·外·玄(30200特效精简会破无)</v>
      </c>
    </row>
    <row r="436" spans="1:3">
      <c r="A436" t="str">
        <f>IFERROR(INDEX(装备库!$A$2:$E$2022,MATCH(ROW()-1,装备库!$AK$2:$AK$2022,0),COLUMN()),"")</f>
        <v>鞋子</v>
      </c>
      <c r="B436" t="str">
        <f>IFERROR(INDEX(装备库!$A$2:$E$2022,MATCH(ROW()-1,装备库!$AK$2:$AK$2022,0),COLUMN()),"")</f>
        <v>7_106437</v>
      </c>
      <c r="C436" t="str">
        <f>IFERROR(INDEX(装备库!$A$2:$E$2022,MATCH(ROW()-1,装备库!$AK$2:$AK$2022,0),5),"")</f>
        <v>陶然意·谧秋履(30700破全)</v>
      </c>
    </row>
    <row r="437" spans="1:3">
      <c r="A437" t="str">
        <f>IFERROR(INDEX(装备库!$A$2:$E$2022,MATCH(ROW()-1,装备库!$AK$2:$AK$2022,0),COLUMN()),"")</f>
        <v>鞋子</v>
      </c>
      <c r="B437" t="str">
        <f>IFERROR(INDEX(装备库!$A$2:$E$2022,MATCH(ROW()-1,装备库!$AK$2:$AK$2022,0),COLUMN()),"")</f>
        <v>7_104983</v>
      </c>
      <c r="C437" t="str">
        <f>IFERROR(INDEX(装备库!$A$2:$E$2022,MATCH(ROW()-1,装备库!$AK$2:$AK$2022,0),5),"")</f>
        <v>月霭履(30700招无)</v>
      </c>
    </row>
    <row r="438" spans="1:3">
      <c r="A438" t="str">
        <f>IFERROR(INDEX(装备库!$A$2:$E$2022,MATCH(ROW()-1,装备库!$AK$2:$AK$2022,0),COLUMN()),"")</f>
        <v>鞋子</v>
      </c>
      <c r="B438" t="str">
        <f>IFERROR(INDEX(装备库!$A$2:$E$2022,MATCH(ROW()-1,装备库!$AK$2:$AK$2022,0),COLUMN()),"")</f>
        <v>7_107099</v>
      </c>
      <c r="C438" t="str">
        <f>IFERROR(INDEX(装备库!$A$2:$E$2022,MATCH(ROW()-1,装备库!$AK$2:$AK$2022,0),5),"")</f>
        <v>无修鞋·外·地(32500特效精简无)</v>
      </c>
    </row>
    <row r="439" spans="1:3">
      <c r="A439" t="str">
        <f>IFERROR(INDEX(装备库!$A$2:$E$2022,MATCH(ROW()-1,装备库!$AK$2:$AK$2022,0),COLUMN()),"")</f>
        <v>鞋子</v>
      </c>
      <c r="B439" t="str">
        <f>IFERROR(INDEX(装备库!$A$2:$E$2022,MATCH(ROW()-1,装备库!$AK$2:$AK$2022,0),COLUMN()),"")</f>
        <v>7_107100</v>
      </c>
      <c r="C439" t="str">
        <f>IFERROR(INDEX(装备库!$A$2:$E$2022,MATCH(ROW()-1,装备库!$AK$2:$AK$2022,0),5),"")</f>
        <v>无修鞋·外·地(32500特效精简破无)</v>
      </c>
    </row>
    <row r="440" spans="1:3">
      <c r="A440" t="str">
        <f>IFERROR(INDEX(装备库!$A$2:$E$2022,MATCH(ROW()-1,装备库!$AK$2:$AK$2022,0),COLUMN()),"")</f>
        <v>鞋子</v>
      </c>
      <c r="B440" t="str">
        <f>IFERROR(INDEX(装备库!$A$2:$E$2022,MATCH(ROW()-1,装备库!$AK$2:$AK$2022,0),COLUMN()),"")</f>
        <v>7_107101</v>
      </c>
      <c r="C440" t="str">
        <f>IFERROR(INDEX(装备库!$A$2:$E$2022,MATCH(ROW()-1,装备库!$AK$2:$AK$2022,0),5),"")</f>
        <v>无修鞋·外·地(32500特效精简会招无)</v>
      </c>
    </row>
    <row r="441" spans="1:3">
      <c r="A441" t="str">
        <f>IFERROR(INDEX(装备库!$A$2:$E$2022,MATCH(ROW()-1,装备库!$AK$2:$AK$2022,0),COLUMN()),"")</f>
        <v>鞋子</v>
      </c>
      <c r="B441" t="str">
        <f>IFERROR(INDEX(装备库!$A$2:$E$2022,MATCH(ROW()-1,装备库!$AK$2:$AK$2022,0),COLUMN()),"")</f>
        <v>7_106747</v>
      </c>
      <c r="C441" t="str">
        <f>IFERROR(INDEX(装备库!$A$2:$E$2022,MATCH(ROW()-1,装备库!$AK$2:$AK$2022,0),5),"")</f>
        <v>【门派套装】牧川·拂梅靴(35300破无)</v>
      </c>
    </row>
    <row r="442" spans="1:3">
      <c r="A442" t="str">
        <f>IFERROR(INDEX(装备库!$A$2:$E$2022,MATCH(ROW()-1,装备库!$AK$2:$AK$2022,0),COLUMN()),"")</f>
        <v>鞋子</v>
      </c>
      <c r="B442" t="str">
        <f>IFERROR(INDEX(装备库!$A$2:$E$2022,MATCH(ROW()-1,装备库!$AK$2:$AK$2022,0),COLUMN()),"")</f>
        <v>7_110694</v>
      </c>
      <c r="C442" t="str">
        <f>IFERROR(INDEX(装备库!$A$2:$E$2022,MATCH(ROW()-1,装备库!$AK$2:$AK$2022,0),5),"")</f>
        <v>幽墟荡秽·迅鸿靴(35300会无)</v>
      </c>
    </row>
    <row r="443" spans="1:3">
      <c r="A443" t="str">
        <f>IFERROR(INDEX(装备库!$A$2:$E$2022,MATCH(ROW()-1,装备库!$AK$2:$AK$2022,0),COLUMN()),"")</f>
        <v>鞋子</v>
      </c>
      <c r="B443" t="str">
        <f>IFERROR(INDEX(装备库!$A$2:$E$2022,MATCH(ROW()-1,装备库!$AK$2:$AK$2022,0),COLUMN()),"")</f>
        <v>7_106844</v>
      </c>
      <c r="C443" t="str">
        <f>IFERROR(INDEX(装备库!$A$2:$E$2022,MATCH(ROW()-1,装备库!$AK$2:$AK$2022,0),5),"")</f>
        <v>天风靴(35300速无)</v>
      </c>
    </row>
    <row r="444" spans="1:3">
      <c r="A444" t="str">
        <f>IFERROR(INDEX(装备库!$A$2:$E$2022,MATCH(ROW()-1,装备库!$AK$2:$AK$2022,0),COLUMN()),"")</f>
        <v>鞋子</v>
      </c>
      <c r="B444" t="str">
        <f>IFERROR(INDEX(装备库!$A$2:$E$2022,MATCH(ROW()-1,装备库!$AK$2:$AK$2022,0),COLUMN()),"")</f>
        <v>7_106880</v>
      </c>
      <c r="C444" t="str">
        <f>IFERROR(INDEX(装备库!$A$2:$E$2022,MATCH(ROW()-1,装备库!$AK$2:$AK$2022,0),5),"")</f>
        <v>晚风靴(35300会无)</v>
      </c>
    </row>
    <row r="445" spans="1:3">
      <c r="A445" t="str">
        <f>IFERROR(INDEX(装备库!$A$2:$E$2022,MATCH(ROW()-1,装备库!$AK$2:$AK$2022,0),COLUMN()),"")</f>
        <v>鞋子</v>
      </c>
      <c r="B445" t="str">
        <f>IFERROR(INDEX(装备库!$A$2:$E$2022,MATCH(ROW()-1,装备库!$AK$2:$AK$2022,0),COLUMN()),"")</f>
        <v>7_107129</v>
      </c>
      <c r="C445" t="str">
        <f>IFERROR(INDEX(装备库!$A$2:$E$2022,MATCH(ROW()-1,装备库!$AK$2:$AK$2022,0),5),"")</f>
        <v>蒙鸠靴(35300会无)</v>
      </c>
    </row>
    <row r="446" spans="1:3">
      <c r="A446" t="str">
        <f>IFERROR(INDEX(装备库!$A$2:$E$2022,MATCH(ROW()-1,装备库!$AK$2:$AK$2022,0),COLUMN()),"")</f>
        <v>鞋子</v>
      </c>
      <c r="B446" t="str">
        <f>IFERROR(INDEX(装备库!$A$2:$E$2022,MATCH(ROW()-1,装备库!$AK$2:$AK$2022,0),COLUMN()),"")</f>
        <v>7_109115</v>
      </c>
      <c r="C446" t="str">
        <f>IFERROR(INDEX(装备库!$A$2:$E$2022,MATCH(ROW()-1,装备库!$AK$2:$AK$2022,0),5),"")</f>
        <v>寻踪觅宝·凌英靴(35300会无)</v>
      </c>
    </row>
    <row r="447" spans="1:3">
      <c r="A447" t="str">
        <f>IFERROR(INDEX(装备库!$A$2:$E$2022,MATCH(ROW()-1,装备库!$AK$2:$AK$2022,0),COLUMN()),"")</f>
        <v>鞋子</v>
      </c>
      <c r="B447" t="str">
        <f>IFERROR(INDEX(装备库!$A$2:$E$2022,MATCH(ROW()-1,装备库!$AK$2:$AK$2022,0),COLUMN()),"")</f>
        <v>7_107112</v>
      </c>
      <c r="C447" t="str">
        <f>IFERROR(INDEX(装备库!$A$2:$E$2022,MATCH(ROW()-1,装备库!$AK$2:$AK$2022,0),5),"")</f>
        <v>无修鞋·外·地(35300特效精简招无)</v>
      </c>
    </row>
    <row r="448" spans="1:3">
      <c r="A448" t="str">
        <f>IFERROR(INDEX(装备库!$A$2:$E$2022,MATCH(ROW()-1,装备库!$AK$2:$AK$2022,0),COLUMN()),"")</f>
        <v>鞋子</v>
      </c>
      <c r="B448" t="str">
        <f>IFERROR(INDEX(装备库!$A$2:$E$2022,MATCH(ROW()-1,装备库!$AK$2:$AK$2022,0),COLUMN()),"")</f>
        <v>7_107111</v>
      </c>
      <c r="C448" t="str">
        <f>IFERROR(INDEX(装备库!$A$2:$E$2022,MATCH(ROW()-1,装备库!$AK$2:$AK$2022,0),5),"")</f>
        <v>无修鞋·外·地(35300特效精简破无)</v>
      </c>
    </row>
    <row r="449" spans="1:3">
      <c r="A449" t="str">
        <f>IFERROR(INDEX(装备库!$A$2:$E$2022,MATCH(ROW()-1,装备库!$AK$2:$AK$2022,0),COLUMN()),"")</f>
        <v>鞋子</v>
      </c>
      <c r="B449" t="str">
        <f>IFERROR(INDEX(装备库!$A$2:$E$2022,MATCH(ROW()-1,装备库!$AK$2:$AK$2022,0),COLUMN()),"")</f>
        <v>7_107113</v>
      </c>
      <c r="C449" t="str">
        <f>IFERROR(INDEX(装备库!$A$2:$E$2022,MATCH(ROW()-1,装备库!$AK$2:$AK$2022,0),5),"")</f>
        <v>无修鞋·外·地(35300特效精简会会无)</v>
      </c>
    </row>
    <row r="450" spans="1:3">
      <c r="A450" t="str">
        <f>IFERROR(INDEX(装备库!$A$2:$E$2022,MATCH(ROW()-1,装备库!$AK$2:$AK$2022,0),COLUMN()),"")</f>
        <v>鞋子</v>
      </c>
      <c r="B450" t="str">
        <f>IFERROR(INDEX(装备库!$A$2:$E$2022,MATCH(ROW()-1,装备库!$AK$2:$AK$2022,0),COLUMN()),"")</f>
        <v>7_107027</v>
      </c>
      <c r="C450" t="str">
        <f>IFERROR(INDEX(装备库!$A$2:$E$2022,MATCH(ROW()-1,装备库!$AK$2:$AK$2022,0),5),"")</f>
        <v>江舟靴(35900招无)</v>
      </c>
    </row>
    <row r="451" spans="1:3">
      <c r="A451" t="str">
        <f>IFERROR(INDEX(装备库!$A$2:$E$2022,MATCH(ROW()-1,装备库!$AK$2:$AK$2022,0),COLUMN()),"")</f>
        <v>鞋子</v>
      </c>
      <c r="B451" t="str">
        <f>IFERROR(INDEX(装备库!$A$2:$E$2022,MATCH(ROW()-1,装备库!$AK$2:$AK$2022,0),COLUMN()),"")</f>
        <v>7_108382</v>
      </c>
      <c r="C451" t="str">
        <f>IFERROR(INDEX(装备库!$A$2:$E$2022,MATCH(ROW()-1,装备库!$AK$2:$AK$2022,0),5),"")</f>
        <v>陶然意·折柳靴(36200破全)</v>
      </c>
    </row>
    <row r="452" spans="1:3">
      <c r="A452" t="str">
        <f>IFERROR(INDEX(装备库!$A$2:$E$2022,MATCH(ROW()-1,装备库!$AK$2:$AK$2022,0),COLUMN()),"")</f>
        <v>鞋子</v>
      </c>
      <c r="B452" t="str">
        <f>IFERROR(INDEX(装备库!$A$2:$E$2022,MATCH(ROW()-1,装备库!$AK$2:$AK$2022,0),COLUMN()),"")</f>
        <v>7_109560</v>
      </c>
      <c r="C452" t="str">
        <f>IFERROR(INDEX(装备库!$A$2:$E$2022,MATCH(ROW()-1,装备库!$AK$2:$AK$2022,0),5),"")</f>
        <v>无修鞋·外·天(38100特效精简破无)</v>
      </c>
    </row>
    <row r="453" spans="1:3">
      <c r="A453" t="str">
        <f>IFERROR(INDEX(装备库!$A$2:$E$2022,MATCH(ROW()-1,装备库!$AK$2:$AK$2022,0),COLUMN()),"")</f>
        <v>鞋子</v>
      </c>
      <c r="B453" t="str">
        <f>IFERROR(INDEX(装备库!$A$2:$E$2022,MATCH(ROW()-1,装备库!$AK$2:$AK$2022,0),COLUMN()),"")</f>
        <v>7_109562</v>
      </c>
      <c r="C453" t="str">
        <f>IFERROR(INDEX(装备库!$A$2:$E$2022,MATCH(ROW()-1,装备库!$AK$2:$AK$2022,0),5),"")</f>
        <v>无修鞋·外·天(38100特效精简会无)</v>
      </c>
    </row>
    <row r="454" spans="1:3">
      <c r="A454" t="str">
        <f>IFERROR(INDEX(装备库!$A$2:$E$2022,MATCH(ROW()-1,装备库!$AK$2:$AK$2022,0),COLUMN()),"")</f>
        <v>鞋子</v>
      </c>
      <c r="B454" t="str">
        <f>IFERROR(INDEX(装备库!$A$2:$E$2022,MATCH(ROW()-1,装备库!$AK$2:$AK$2022,0),COLUMN()),"")</f>
        <v>7_109561</v>
      </c>
      <c r="C454" t="str">
        <f>IFERROR(INDEX(装备库!$A$2:$E$2022,MATCH(ROW()-1,装备库!$AK$2:$AK$2022,0),5),"")</f>
        <v>无修鞋·外·天(38100特效精简会会招)</v>
      </c>
    </row>
    <row r="455" spans="1:3">
      <c r="A455" t="str">
        <f>IFERROR(INDEX(装备库!$A$2:$E$2022,MATCH(ROW()-1,装备库!$AK$2:$AK$2022,0),COLUMN()),"")</f>
        <v>鞋子</v>
      </c>
      <c r="B455" t="str">
        <f>IFERROR(INDEX(装备库!$A$2:$E$2022,MATCH(ROW()-1,装备库!$AK$2:$AK$2022,0),COLUMN()),"")</f>
        <v>7_109208</v>
      </c>
      <c r="C455" t="str">
        <f>IFERROR(INDEX(装备库!$A$2:$E$2022,MATCH(ROW()-1,装备库!$AK$2:$AK$2022,0),5),"")</f>
        <v>【门派套装】玄阙·燃炼鞋(41400破无)</v>
      </c>
    </row>
    <row r="456" spans="1:3">
      <c r="A456" t="str">
        <f>IFERROR(INDEX(装备库!$A$2:$E$2022,MATCH(ROW()-1,装备库!$AK$2:$AK$2022,0),COLUMN()),"")</f>
        <v>鞋子</v>
      </c>
      <c r="B456" t="str">
        <f>IFERROR(INDEX(装备库!$A$2:$E$2022,MATCH(ROW()-1,装备库!$AK$2:$AK$2022,0),COLUMN()),"")</f>
        <v>7_109305</v>
      </c>
      <c r="C456" t="str">
        <f>IFERROR(INDEX(装备库!$A$2:$E$2022,MATCH(ROW()-1,装备库!$AK$2:$AK$2022,0),5),"")</f>
        <v>尘隐鞋(41400速无)</v>
      </c>
    </row>
    <row r="457" spans="1:3">
      <c r="A457" t="str">
        <f>IFERROR(INDEX(装备库!$A$2:$E$2022,MATCH(ROW()-1,装备库!$AK$2:$AK$2022,0),COLUMN()),"")</f>
        <v>鞋子</v>
      </c>
      <c r="B457" t="str">
        <f>IFERROR(INDEX(装备库!$A$2:$E$2022,MATCH(ROW()-1,装备库!$AK$2:$AK$2022,0),COLUMN()),"")</f>
        <v>7_109341</v>
      </c>
      <c r="C457" t="str">
        <f>IFERROR(INDEX(装备库!$A$2:$E$2022,MATCH(ROW()-1,装备库!$AK$2:$AK$2022,0),5),"")</f>
        <v>流漓鞋(41400会无)</v>
      </c>
    </row>
    <row r="458" spans="1:3">
      <c r="A458" t="str">
        <f>IFERROR(INDEX(装备库!$A$2:$E$2022,MATCH(ROW()-1,装备库!$AK$2:$AK$2022,0),COLUMN()),"")</f>
        <v>鞋子</v>
      </c>
      <c r="B458" t="str">
        <f>IFERROR(INDEX(装备库!$A$2:$E$2022,MATCH(ROW()-1,装备库!$AK$2:$AK$2022,0),COLUMN()),"")</f>
        <v>7_109590</v>
      </c>
      <c r="C458" t="str">
        <f>IFERROR(INDEX(装备库!$A$2:$E$2022,MATCH(ROW()-1,装备库!$AK$2:$AK$2022,0),5),"")</f>
        <v>曜影鞋(41400会无)</v>
      </c>
    </row>
    <row r="459" spans="1:3">
      <c r="A459" t="str">
        <f>IFERROR(INDEX(装备库!$A$2:$E$2022,MATCH(ROW()-1,装备库!$AK$2:$AK$2022,0),COLUMN()),"")</f>
        <v>鞋子</v>
      </c>
      <c r="B459" t="str">
        <f>IFERROR(INDEX(装备库!$A$2:$E$2022,MATCH(ROW()-1,装备库!$AK$2:$AK$2022,0),COLUMN()),"")</f>
        <v>7_109573</v>
      </c>
      <c r="C459" t="str">
        <f>IFERROR(INDEX(装备库!$A$2:$E$2022,MATCH(ROW()-1,装备库!$AK$2:$AK$2022,0),5),"")</f>
        <v>无修鞋·外·天(41400特效精简破无)</v>
      </c>
    </row>
    <row r="460" spans="1:3">
      <c r="A460" t="str">
        <f>IFERROR(INDEX(装备库!$A$2:$E$2022,MATCH(ROW()-1,装备库!$AK$2:$AK$2022,0),COLUMN()),"")</f>
        <v>鞋子</v>
      </c>
      <c r="B460" t="str">
        <f>IFERROR(INDEX(装备库!$A$2:$E$2022,MATCH(ROW()-1,装备库!$AK$2:$AK$2022,0),COLUMN()),"")</f>
        <v>7_109572</v>
      </c>
      <c r="C460" t="str">
        <f>IFERROR(INDEX(装备库!$A$2:$E$2022,MATCH(ROW()-1,装备库!$AK$2:$AK$2022,0),5),"")</f>
        <v>无修鞋·外·天(41400特效精简会招破无)</v>
      </c>
    </row>
    <row r="461" spans="1:3">
      <c r="A461" t="str">
        <f>IFERROR(INDEX(装备库!$A$2:$E$2022,MATCH(ROW()-1,装备库!$AK$2:$AK$2022,0),COLUMN()),"")</f>
        <v>鞋子</v>
      </c>
      <c r="B461" t="str">
        <f>IFERROR(INDEX(装备库!$A$2:$E$2022,MATCH(ROW()-1,装备库!$AK$2:$AK$2022,0),COLUMN()),"")</f>
        <v>7_109574</v>
      </c>
      <c r="C461" t="str">
        <f>IFERROR(INDEX(装备库!$A$2:$E$2022,MATCH(ROW()-1,装备库!$AK$2:$AK$2022,0),5),"")</f>
        <v>无修鞋·外·天(41400特效精简会会无)</v>
      </c>
    </row>
    <row r="462" spans="1:3">
      <c r="A462" t="str">
        <f>IFERROR(INDEX(装备库!$A$2:$E$2022,MATCH(ROW()-1,装备库!$AK$2:$AK$2022,0),COLUMN()),"")</f>
        <v>鞋子</v>
      </c>
      <c r="B462" t="str">
        <f>IFERROR(INDEX(装备库!$A$2:$E$2022,MATCH(ROW()-1,装备库!$AK$2:$AK$2022,0),COLUMN()),"")</f>
        <v>7_109488</v>
      </c>
      <c r="C462" t="str">
        <f>IFERROR(INDEX(装备库!$A$2:$E$2022,MATCH(ROW()-1,装备库!$AK$2:$AK$2022,0),5),"")</f>
        <v>尧影鞋(42100招无)</v>
      </c>
    </row>
    <row r="463" spans="1:3">
      <c r="A463" t="str">
        <f>IFERROR(INDEX(装备库!$A$2:$E$2022,MATCH(ROW()-1,装备库!$AK$2:$AK$2022,0),COLUMN()),"")</f>
        <v>鞋子</v>
      </c>
      <c r="B463" t="str">
        <f>IFERROR(INDEX(装备库!$A$2:$E$2022,MATCH(ROW()-1,装备库!$AK$2:$AK$2022,0),COLUMN()),"")</f>
        <v>7_110843</v>
      </c>
      <c r="C463" t="str">
        <f>IFERROR(INDEX(装备库!$A$2:$E$2022,MATCH(ROW()-1,装备库!$AK$2:$AK$2022,0),5),"")</f>
        <v>陶然意·烟峦履(42400破全)</v>
      </c>
    </row>
    <row r="464" spans="1:3">
      <c r="A464" t="str">
        <f>IFERROR(INDEX(装备库!$A$2:$E$2022,MATCH(ROW()-1,装备库!$AK$2:$AK$2022,0),COLUMN()),"")</f>
        <v>腰带</v>
      </c>
      <c r="B464" t="str">
        <f>IFERROR(INDEX(装备库!$A$2:$E$2022,MATCH(ROW()-1,装备库!$AK$2:$AK$2022,0),COLUMN()),"")</f>
        <v>7_108527</v>
      </c>
      <c r="C464" t="str">
        <f>IFERROR(INDEX(装备库!$A$2:$E$2022,MATCH(ROW()-1,装备库!$AK$2:$AK$2022,0),5),"")</f>
        <v>镂云带(30200破全)</v>
      </c>
    </row>
    <row r="465" spans="1:3">
      <c r="A465" t="str">
        <f>IFERROR(INDEX(装备库!$A$2:$E$2022,MATCH(ROW()-1,装备库!$AK$2:$AK$2022,0),COLUMN()),"")</f>
        <v>腰带</v>
      </c>
      <c r="B465" t="str">
        <f>IFERROR(INDEX(装备库!$A$2:$E$2022,MATCH(ROW()-1,装备库!$AK$2:$AK$2022,0),COLUMN()),"")</f>
        <v>7_108491</v>
      </c>
      <c r="C465" t="str">
        <f>IFERROR(INDEX(装备库!$A$2:$E$2022,MATCH(ROW()-1,装备库!$AK$2:$AK$2022,0),5),"")</f>
        <v>智渊带(30200会全)</v>
      </c>
    </row>
    <row r="466" spans="1:3">
      <c r="A466" t="str">
        <f>IFERROR(INDEX(装备库!$A$2:$E$2022,MATCH(ROW()-1,装备库!$AK$2:$AK$2022,0),COLUMN()),"")</f>
        <v>腰带</v>
      </c>
      <c r="B466" t="str">
        <f>IFERROR(INDEX(装备库!$A$2:$E$2022,MATCH(ROW()-1,装备库!$AK$2:$AK$2022,0),COLUMN()),"")</f>
        <v>7_110988</v>
      </c>
      <c r="C466" t="str">
        <f>IFERROR(INDEX(装备库!$A$2:$E$2022,MATCH(ROW()-1,装备库!$AK$2:$AK$2022,0),5),"")</f>
        <v>臻泽带(30200破全)</v>
      </c>
    </row>
    <row r="467" spans="1:3">
      <c r="A467" t="str">
        <f>IFERROR(INDEX(装备库!$A$2:$E$2022,MATCH(ROW()-1,装备库!$AK$2:$AK$2022,0),COLUMN()),"")</f>
        <v>腰带</v>
      </c>
      <c r="B467" t="str">
        <f>IFERROR(INDEX(装备库!$A$2:$E$2022,MATCH(ROW()-1,装备库!$AK$2:$AK$2022,0),COLUMN()),"")</f>
        <v>7_104696</v>
      </c>
      <c r="C467" t="str">
        <f>IFERROR(INDEX(装备库!$A$2:$E$2022,MATCH(ROW()-1,装备库!$AK$2:$AK$2022,0),5),"")</f>
        <v>【门派套装】天极·听荷腰带(30200会无)</v>
      </c>
    </row>
    <row r="468" spans="1:3">
      <c r="A468" t="str">
        <f>IFERROR(INDEX(装备库!$A$2:$E$2022,MATCH(ROW()-1,装备库!$AK$2:$AK$2022,0),COLUMN()),"")</f>
        <v>腰带</v>
      </c>
      <c r="B468" t="str">
        <f>IFERROR(INDEX(装备库!$A$2:$E$2022,MATCH(ROW()-1,装备库!$AK$2:$AK$2022,0),COLUMN()),"")</f>
        <v>7_108227</v>
      </c>
      <c r="C468" t="str">
        <f>IFERROR(INDEX(装备库!$A$2:$E$2022,MATCH(ROW()-1,装备库!$AK$2:$AK$2022,0),5),"")</f>
        <v>孤城惊梦·迷烟护腰(30200破无)</v>
      </c>
    </row>
    <row r="469" spans="1:3">
      <c r="A469" t="str">
        <f>IFERROR(INDEX(装备库!$A$2:$E$2022,MATCH(ROW()-1,装备库!$AK$2:$AK$2022,0),COLUMN()),"")</f>
        <v>腰带</v>
      </c>
      <c r="B469" t="str">
        <f>IFERROR(INDEX(装备库!$A$2:$E$2022,MATCH(ROW()-1,装备库!$AK$2:$AK$2022,0),COLUMN()),"")</f>
        <v>7_104120</v>
      </c>
      <c r="C469" t="str">
        <f>IFERROR(INDEX(装备库!$A$2:$E$2022,MATCH(ROW()-1,装备库!$AK$2:$AK$2022,0),5),"")</f>
        <v>平皋腰带(30200招无)</v>
      </c>
    </row>
    <row r="470" spans="1:3">
      <c r="A470" t="str">
        <f>IFERROR(INDEX(装备库!$A$2:$E$2022,MATCH(ROW()-1,装备库!$AK$2:$AK$2022,0),COLUMN()),"")</f>
        <v>腰带</v>
      </c>
      <c r="B470" t="str">
        <f>IFERROR(INDEX(装备库!$A$2:$E$2022,MATCH(ROW()-1,装备库!$AK$2:$AK$2022,0),COLUMN()),"")</f>
        <v>7_104851</v>
      </c>
      <c r="C470" t="str">
        <f>IFERROR(INDEX(装备库!$A$2:$E$2022,MATCH(ROW()-1,装备库!$AK$2:$AK$2022,0),5),"")</f>
        <v>标雁护腰(30200速无)</v>
      </c>
    </row>
    <row r="471" spans="1:3">
      <c r="A471" t="str">
        <f>IFERROR(INDEX(装备库!$A$2:$E$2022,MATCH(ROW()-1,装备库!$AK$2:$AK$2022,0),COLUMN()),"")</f>
        <v>腰带</v>
      </c>
      <c r="B471" t="str">
        <f>IFERROR(INDEX(装备库!$A$2:$E$2022,MATCH(ROW()-1,装备库!$AK$2:$AK$2022,0),COLUMN()),"")</f>
        <v>7_104508</v>
      </c>
      <c r="C471" t="str">
        <f>IFERROR(INDEX(装备库!$A$2:$E$2022,MATCH(ROW()-1,装备库!$AK$2:$AK$2022,0),5),"")</f>
        <v>润源腰带(30200破无)</v>
      </c>
    </row>
    <row r="472" spans="1:3">
      <c r="A472" t="str">
        <f>IFERROR(INDEX(装备库!$A$2:$E$2022,MATCH(ROW()-1,装备库!$AK$2:$AK$2022,0),COLUMN()),"")</f>
        <v>腰带</v>
      </c>
      <c r="B472" t="str">
        <f>IFERROR(INDEX(装备库!$A$2:$E$2022,MATCH(ROW()-1,装备库!$AK$2:$AK$2022,0),COLUMN()),"")</f>
        <v>7_104815</v>
      </c>
      <c r="C472" t="str">
        <f>IFERROR(INDEX(装备库!$A$2:$E$2022,MATCH(ROW()-1,装备库!$AK$2:$AK$2022,0),5),"")</f>
        <v>问殿腰带(30200破无)</v>
      </c>
    </row>
    <row r="473" spans="1:3">
      <c r="A473" t="str">
        <f>IFERROR(INDEX(装备库!$A$2:$E$2022,MATCH(ROW()-1,装备库!$AK$2:$AK$2022,0),COLUMN()),"")</f>
        <v>腰带</v>
      </c>
      <c r="B473" t="str">
        <f>IFERROR(INDEX(装备库!$A$2:$E$2022,MATCH(ROW()-1,装备库!$AK$2:$AK$2022,0),COLUMN()),"")</f>
        <v>7_104462</v>
      </c>
      <c r="C473" t="str">
        <f>IFERROR(INDEX(装备库!$A$2:$E$2022,MATCH(ROW()-1,装备库!$AK$2:$AK$2022,0),5),"")</f>
        <v>羽缀腰带(30200会无)</v>
      </c>
    </row>
    <row r="474" spans="1:3">
      <c r="A474" t="str">
        <f>IFERROR(INDEX(装备库!$A$2:$E$2022,MATCH(ROW()-1,装备库!$AK$2:$AK$2022,0),COLUMN()),"")</f>
        <v>腰带</v>
      </c>
      <c r="B474" t="str">
        <f>IFERROR(INDEX(装备库!$A$2:$E$2022,MATCH(ROW()-1,装备库!$AK$2:$AK$2022,0),COLUMN()),"")</f>
        <v>7_105079</v>
      </c>
      <c r="C474" t="str">
        <f>IFERROR(INDEX(装备库!$A$2:$E$2022,MATCH(ROW()-1,装备库!$AK$2:$AK$2022,0),5),"")</f>
        <v>坠红护腰(30200破无)</v>
      </c>
    </row>
    <row r="475" spans="1:3">
      <c r="A475" t="str">
        <f>IFERROR(INDEX(装备库!$A$2:$E$2022,MATCH(ROW()-1,装备库!$AK$2:$AK$2022,0),COLUMN()),"")</f>
        <v>腰带</v>
      </c>
      <c r="B475" t="str">
        <f>IFERROR(INDEX(装备库!$A$2:$E$2022,MATCH(ROW()-1,装备库!$AK$2:$AK$2022,0),COLUMN()),"")</f>
        <v>7_106648</v>
      </c>
      <c r="C475" t="str">
        <f>IFERROR(INDEX(装备库!$A$2:$E$2022,MATCH(ROW()-1,装备库!$AK$2:$AK$2022,0),5),"")</f>
        <v>寻踪觅宝·逸群护腰(30200速无)</v>
      </c>
    </row>
    <row r="476" spans="1:3">
      <c r="A476" t="str">
        <f>IFERROR(INDEX(装备库!$A$2:$E$2022,MATCH(ROW()-1,装备库!$AK$2:$AK$2022,0),COLUMN()),"")</f>
        <v>腰带</v>
      </c>
      <c r="B476" t="str">
        <f>IFERROR(INDEX(装备库!$A$2:$E$2022,MATCH(ROW()-1,装备库!$AK$2:$AK$2022,0),COLUMN()),"")</f>
        <v>7_104907</v>
      </c>
      <c r="C476" t="str">
        <f>IFERROR(INDEX(装备库!$A$2:$E$2022,MATCH(ROW()-1,装备库!$AK$2:$AK$2022,0),5),"")</f>
        <v>誓无归(30200特效精简招)</v>
      </c>
    </row>
    <row r="477" spans="1:3">
      <c r="A477" t="str">
        <f>IFERROR(INDEX(装备库!$A$2:$E$2022,MATCH(ROW()-1,装备库!$AK$2:$AK$2022,0),COLUMN()),"")</f>
        <v>腰带</v>
      </c>
      <c r="B477" t="str">
        <f>IFERROR(INDEX(装备库!$A$2:$E$2022,MATCH(ROW()-1,装备库!$AK$2:$AK$2022,0),COLUMN()),"")</f>
        <v>7_104909</v>
      </c>
      <c r="C477" t="str">
        <f>IFERROR(INDEX(装备库!$A$2:$E$2022,MATCH(ROW()-1,装备库!$AK$2:$AK$2022,0),5),"")</f>
        <v>寻故乡(30200特效精简破无)</v>
      </c>
    </row>
    <row r="478" spans="1:3">
      <c r="A478" t="str">
        <f>IFERROR(INDEX(装备库!$A$2:$E$2022,MATCH(ROW()-1,装备库!$AK$2:$AK$2022,0),COLUMN()),"")</f>
        <v>腰带</v>
      </c>
      <c r="B478" t="str">
        <f>IFERROR(INDEX(装备库!$A$2:$E$2022,MATCH(ROW()-1,装备库!$AK$2:$AK$2022,0),COLUMN()),"")</f>
        <v>7_104911</v>
      </c>
      <c r="C478" t="str">
        <f>IFERROR(INDEX(装备库!$A$2:$E$2022,MATCH(ROW()-1,装备库!$AK$2:$AK$2022,0),5),"")</f>
        <v>诉征程(30200特效精简破)</v>
      </c>
    </row>
    <row r="479" spans="1:3">
      <c r="A479" t="str">
        <f>IFERROR(INDEX(装备库!$A$2:$E$2022,MATCH(ROW()-1,装备库!$AK$2:$AK$2022,0),COLUMN()),"")</f>
        <v>腰带</v>
      </c>
      <c r="B479" t="str">
        <f>IFERROR(INDEX(装备库!$A$2:$E$2022,MATCH(ROW()-1,装备库!$AK$2:$AK$2022,0),COLUMN()),"")</f>
        <v>7_104906</v>
      </c>
      <c r="C479" t="str">
        <f>IFERROR(INDEX(装备库!$A$2:$E$2022,MATCH(ROW()-1,装备库!$AK$2:$AK$2022,0),5),"")</f>
        <v>战寒风(30200特效精简会招破无)</v>
      </c>
    </row>
    <row r="480" spans="1:3">
      <c r="A480" t="str">
        <f>IFERROR(INDEX(装备库!$A$2:$E$2022,MATCH(ROW()-1,装备库!$AK$2:$AK$2022,0),COLUMN()),"")</f>
        <v>腰带</v>
      </c>
      <c r="B480" t="str">
        <f>IFERROR(INDEX(装备库!$A$2:$E$2022,MATCH(ROW()-1,装备库!$AK$2:$AK$2022,0),COLUMN()),"")</f>
        <v>7_104908</v>
      </c>
      <c r="C480" t="str">
        <f>IFERROR(INDEX(装备库!$A$2:$E$2022,MATCH(ROW()-1,装备库!$AK$2:$AK$2022,0),5),"")</f>
        <v>征途远(30200特效精简会无)</v>
      </c>
    </row>
    <row r="481" spans="1:3">
      <c r="A481" t="str">
        <f>IFERROR(INDEX(装备库!$A$2:$E$2022,MATCH(ROW()-1,装备库!$AK$2:$AK$2022,0),COLUMN()),"")</f>
        <v>腰带</v>
      </c>
      <c r="B481" t="str">
        <f>IFERROR(INDEX(装备库!$A$2:$E$2022,MATCH(ROW()-1,装备库!$AK$2:$AK$2022,0),COLUMN()),"")</f>
        <v>7_104910</v>
      </c>
      <c r="C481" t="str">
        <f>IFERROR(INDEX(装备库!$A$2:$E$2022,MATCH(ROW()-1,装备库!$AK$2:$AK$2022,0),5),"")</f>
        <v>悲笳泣(30200特效精简会)</v>
      </c>
    </row>
    <row r="482" spans="1:3">
      <c r="A482" t="str">
        <f>IFERROR(INDEX(装备库!$A$2:$E$2022,MATCH(ROW()-1,装备库!$AK$2:$AK$2022,0),COLUMN()),"")</f>
        <v>腰带</v>
      </c>
      <c r="B482" t="str">
        <f>IFERROR(INDEX(装备库!$A$2:$E$2022,MATCH(ROW()-1,装备库!$AK$2:$AK$2022,0),COLUMN()),"")</f>
        <v>7_104901</v>
      </c>
      <c r="C482" t="str">
        <f>IFERROR(INDEX(装备库!$A$2:$E$2022,MATCH(ROW()-1,装备库!$AK$2:$AK$2022,0),5),"")</f>
        <v>晴容护腰·引(30200精简招无)</v>
      </c>
    </row>
    <row r="483" spans="1:3">
      <c r="A483" t="str">
        <f>IFERROR(INDEX(装备库!$A$2:$E$2022,MATCH(ROW()-1,装备库!$AK$2:$AK$2022,0),COLUMN()),"")</f>
        <v>腰带</v>
      </c>
      <c r="B483" t="str">
        <f>IFERROR(INDEX(装备库!$A$2:$E$2022,MATCH(ROW()-1,装备库!$AK$2:$AK$2022,0),COLUMN()),"")</f>
        <v>7_104904</v>
      </c>
      <c r="C483" t="str">
        <f>IFERROR(INDEX(装备库!$A$2:$E$2022,MATCH(ROW()-1,装备库!$AK$2:$AK$2022,0),5),"")</f>
        <v>石行护腰·绝(30200精简招破无)</v>
      </c>
    </row>
    <row r="484" spans="1:3">
      <c r="A484" t="str">
        <f>IFERROR(INDEX(装备库!$A$2:$E$2022,MATCH(ROW()-1,装备库!$AK$2:$AK$2022,0),COLUMN()),"")</f>
        <v>腰带</v>
      </c>
      <c r="B484" t="str">
        <f>IFERROR(INDEX(装备库!$A$2:$E$2022,MATCH(ROW()-1,装备库!$AK$2:$AK$2022,0),COLUMN()),"")</f>
        <v>7_104898</v>
      </c>
      <c r="C484" t="str">
        <f>IFERROR(INDEX(装备库!$A$2:$E$2022,MATCH(ROW()-1,装备库!$AK$2:$AK$2022,0),5),"")</f>
        <v>光意护腰·尊(30200精简无)</v>
      </c>
    </row>
    <row r="485" spans="1:3">
      <c r="A485" t="str">
        <f>IFERROR(INDEX(装备库!$A$2:$E$2022,MATCH(ROW()-1,装备库!$AK$2:$AK$2022,0),COLUMN()),"")</f>
        <v>腰带</v>
      </c>
      <c r="B485" t="str">
        <f>IFERROR(INDEX(装备库!$A$2:$E$2022,MATCH(ROW()-1,装备库!$AK$2:$AK$2022,0),COLUMN()),"")</f>
        <v>7_104905</v>
      </c>
      <c r="C485" t="str">
        <f>IFERROR(INDEX(装备库!$A$2:$E$2022,MATCH(ROW()-1,装备库!$AK$2:$AK$2022,0),5),"")</f>
        <v>对江护腰·迅(30200精简速无)</v>
      </c>
    </row>
    <row r="486" spans="1:3">
      <c r="A486" t="str">
        <f>IFERROR(INDEX(装备库!$A$2:$E$2022,MATCH(ROW()-1,装备库!$AK$2:$AK$2022,0),COLUMN()),"")</f>
        <v>腰带</v>
      </c>
      <c r="B486" t="str">
        <f>IFERROR(INDEX(装备库!$A$2:$E$2022,MATCH(ROW()-1,装备库!$AK$2:$AK$2022,0),COLUMN()),"")</f>
        <v>7_104900</v>
      </c>
      <c r="C486" t="str">
        <f>IFERROR(INDEX(装备库!$A$2:$E$2022,MATCH(ROW()-1,装备库!$AK$2:$AK$2022,0),5),"")</f>
        <v>分雨护腰·破(30200精简破无)</v>
      </c>
    </row>
    <row r="487" spans="1:3">
      <c r="A487" t="str">
        <f>IFERROR(INDEX(装备库!$A$2:$E$2022,MATCH(ROW()-1,装备库!$AK$2:$AK$2022,0),COLUMN()),"")</f>
        <v>腰带</v>
      </c>
      <c r="B487" t="str">
        <f>IFERROR(INDEX(装备库!$A$2:$E$2022,MATCH(ROW()-1,装备库!$AK$2:$AK$2022,0),COLUMN()),"")</f>
        <v>7_104903</v>
      </c>
      <c r="C487" t="str">
        <f>IFERROR(INDEX(装备库!$A$2:$E$2022,MATCH(ROW()-1,装备库!$AK$2:$AK$2022,0),5),"")</f>
        <v>舲风护腰·明(30200精简会招无)</v>
      </c>
    </row>
    <row r="488" spans="1:3">
      <c r="A488" t="str">
        <f>IFERROR(INDEX(装备库!$A$2:$E$2022,MATCH(ROW()-1,装备库!$AK$2:$AK$2022,0),COLUMN()),"")</f>
        <v>腰带</v>
      </c>
      <c r="B488" t="str">
        <f>IFERROR(INDEX(装备库!$A$2:$E$2022,MATCH(ROW()-1,装备库!$AK$2:$AK$2022,0),COLUMN()),"")</f>
        <v>7_104899</v>
      </c>
      <c r="C488" t="str">
        <f>IFERROR(INDEX(装备库!$A$2:$E$2022,MATCH(ROW()-1,装备库!$AK$2:$AK$2022,0),5),"")</f>
        <v>灵作护腰·悟(30200精简会无)</v>
      </c>
    </row>
    <row r="489" spans="1:3">
      <c r="A489" t="str">
        <f>IFERROR(INDEX(装备库!$A$2:$E$2022,MATCH(ROW()-1,装备库!$AK$2:$AK$2022,0),COLUMN()),"")</f>
        <v>腰带</v>
      </c>
      <c r="B489" t="str">
        <f>IFERROR(INDEX(装备库!$A$2:$E$2022,MATCH(ROW()-1,装备库!$AK$2:$AK$2022,0),COLUMN()),"")</f>
        <v>7_104902</v>
      </c>
      <c r="C489" t="str">
        <f>IFERROR(INDEX(装备库!$A$2:$E$2022,MATCH(ROW()-1,装备库!$AK$2:$AK$2022,0),5),"")</f>
        <v>惊眠护腰·觉(30200精简会破无)</v>
      </c>
    </row>
    <row r="490" spans="1:3">
      <c r="A490" t="str">
        <f>IFERROR(INDEX(装备库!$A$2:$E$2022,MATCH(ROW()-1,装备库!$AK$2:$AK$2022,0),COLUMN()),"")</f>
        <v>腰带</v>
      </c>
      <c r="B490" t="str">
        <f>IFERROR(INDEX(装备库!$A$2:$E$2022,MATCH(ROW()-1,装备库!$AK$2:$AK$2022,0),COLUMN()),"")</f>
        <v>7_106415</v>
      </c>
      <c r="C490" t="str">
        <f>IFERROR(INDEX(装备库!$A$2:$E$2022,MATCH(ROW()-1,装备库!$AK$2:$AK$2022,0),5),"")</f>
        <v>陶然意·谧秋护腰(30700会全)</v>
      </c>
    </row>
    <row r="491" spans="1:3">
      <c r="A491" t="str">
        <f>IFERROR(INDEX(装备库!$A$2:$E$2022,MATCH(ROW()-1,装备库!$AK$2:$AK$2022,0),COLUMN()),"")</f>
        <v>腰带</v>
      </c>
      <c r="B491" t="str">
        <f>IFERROR(INDEX(装备库!$A$2:$E$2022,MATCH(ROW()-1,装备库!$AK$2:$AK$2022,0),COLUMN()),"")</f>
        <v>7_104977</v>
      </c>
      <c r="C491" t="str">
        <f>IFERROR(INDEX(装备库!$A$2:$E$2022,MATCH(ROW()-1,装备库!$AK$2:$AK$2022,0),5),"")</f>
        <v>月霭护腰(30700会无)</v>
      </c>
    </row>
    <row r="492" spans="1:3">
      <c r="A492" t="str">
        <f>IFERROR(INDEX(装备库!$A$2:$E$2022,MATCH(ROW()-1,装备库!$AK$2:$AK$2022,0),COLUMN()),"")</f>
        <v>腰带</v>
      </c>
      <c r="B492" t="str">
        <f>IFERROR(INDEX(装备库!$A$2:$E$2022,MATCH(ROW()-1,装备库!$AK$2:$AK$2022,0),COLUMN()),"")</f>
        <v>7_106715</v>
      </c>
      <c r="C492" t="str">
        <f>IFERROR(INDEX(装备库!$A$2:$E$2022,MATCH(ROW()-1,装备库!$AK$2:$AK$2022,0),5),"")</f>
        <v>【门派套装】牧川·拂梅护腰(35300会无)</v>
      </c>
    </row>
    <row r="493" spans="1:3">
      <c r="A493" t="str">
        <f>IFERROR(INDEX(装备库!$A$2:$E$2022,MATCH(ROW()-1,装备库!$AK$2:$AK$2022,0),COLUMN()),"")</f>
        <v>腰带</v>
      </c>
      <c r="B493" t="str">
        <f>IFERROR(INDEX(装备库!$A$2:$E$2022,MATCH(ROW()-1,装备库!$AK$2:$AK$2022,0),COLUMN()),"")</f>
        <v>7_110688</v>
      </c>
      <c r="C493" t="str">
        <f>IFERROR(INDEX(装备库!$A$2:$E$2022,MATCH(ROW()-1,装备库!$AK$2:$AK$2022,0),5),"")</f>
        <v>幽墟荡秽·迅鸿护腰(35300破无)</v>
      </c>
    </row>
    <row r="494" spans="1:3">
      <c r="A494" t="str">
        <f>IFERROR(INDEX(装备库!$A$2:$E$2022,MATCH(ROW()-1,装备库!$AK$2:$AK$2022,0),COLUMN()),"")</f>
        <v>腰带</v>
      </c>
      <c r="B494" t="str">
        <f>IFERROR(INDEX(装备库!$A$2:$E$2022,MATCH(ROW()-1,装备库!$AK$2:$AK$2022,0),COLUMN()),"")</f>
        <v>7_106874</v>
      </c>
      <c r="C494" t="str">
        <f>IFERROR(INDEX(装备库!$A$2:$E$2022,MATCH(ROW()-1,装备库!$AK$2:$AK$2022,0),5),"")</f>
        <v>晚风护腰(35300速无)</v>
      </c>
    </row>
    <row r="495" spans="1:3">
      <c r="A495" t="str">
        <f>IFERROR(INDEX(装备库!$A$2:$E$2022,MATCH(ROW()-1,装备库!$AK$2:$AK$2022,0),COLUMN()),"")</f>
        <v>腰带</v>
      </c>
      <c r="B495" t="str">
        <f>IFERROR(INDEX(装备库!$A$2:$E$2022,MATCH(ROW()-1,装备库!$AK$2:$AK$2022,0),COLUMN()),"")</f>
        <v>7_106838</v>
      </c>
      <c r="C495" t="str">
        <f>IFERROR(INDEX(装备库!$A$2:$E$2022,MATCH(ROW()-1,装备库!$AK$2:$AK$2022,0),5),"")</f>
        <v>天风护腰(35300破无)</v>
      </c>
    </row>
    <row r="496" spans="1:3">
      <c r="A496" t="str">
        <f>IFERROR(INDEX(装备库!$A$2:$E$2022,MATCH(ROW()-1,装备库!$AK$2:$AK$2022,0),COLUMN()),"")</f>
        <v>腰带</v>
      </c>
      <c r="B496" t="str">
        <f>IFERROR(INDEX(装备库!$A$2:$E$2022,MATCH(ROW()-1,装备库!$AK$2:$AK$2022,0),COLUMN()),"")</f>
        <v>7_107123</v>
      </c>
      <c r="C496" t="str">
        <f>IFERROR(INDEX(装备库!$A$2:$E$2022,MATCH(ROW()-1,装备库!$AK$2:$AK$2022,0),5),"")</f>
        <v>蒙鸠护腰(35300破无)</v>
      </c>
    </row>
    <row r="497" spans="1:3">
      <c r="A497" t="str">
        <f>IFERROR(INDEX(装备库!$A$2:$E$2022,MATCH(ROW()-1,装备库!$AK$2:$AK$2022,0),COLUMN()),"")</f>
        <v>腰带</v>
      </c>
      <c r="B497" t="str">
        <f>IFERROR(INDEX(装备库!$A$2:$E$2022,MATCH(ROW()-1,装备库!$AK$2:$AK$2022,0),COLUMN()),"")</f>
        <v>7_109109</v>
      </c>
      <c r="C497" t="str">
        <f>IFERROR(INDEX(装备库!$A$2:$E$2022,MATCH(ROW()-1,装备库!$AK$2:$AK$2022,0),5),"")</f>
        <v>寻踪觅宝·凌英护腰(35300速无)</v>
      </c>
    </row>
    <row r="498" spans="1:3">
      <c r="A498" t="str">
        <f>IFERROR(INDEX(装备库!$A$2:$E$2022,MATCH(ROW()-1,装备库!$AK$2:$AK$2022,0),COLUMN()),"")</f>
        <v>腰带</v>
      </c>
      <c r="B498" t="str">
        <f>IFERROR(INDEX(装备库!$A$2:$E$2022,MATCH(ROW()-1,装备库!$AK$2:$AK$2022,0),COLUMN()),"")</f>
        <v>7_106930</v>
      </c>
      <c r="C498" t="str">
        <f>IFERROR(INDEX(装备库!$A$2:$E$2022,MATCH(ROW()-1,装备库!$AK$2:$AK$2022,0),5),"")</f>
        <v>寒声动(35300特效精简招)</v>
      </c>
    </row>
    <row r="499" spans="1:3">
      <c r="A499" t="str">
        <f>IFERROR(INDEX(装备库!$A$2:$E$2022,MATCH(ROW()-1,装备库!$AK$2:$AK$2022,0),COLUMN()),"")</f>
        <v>腰带</v>
      </c>
      <c r="B499" t="str">
        <f>IFERROR(INDEX(装备库!$A$2:$E$2022,MATCH(ROW()-1,装备库!$AK$2:$AK$2022,0),COLUMN()),"")</f>
        <v>7_108666</v>
      </c>
      <c r="C499" t="str">
        <f>IFERROR(INDEX(装备库!$A$2:$E$2022,MATCH(ROW()-1,装备库!$AK$2:$AK$2022,0),5),"")</f>
        <v>雨打芭蕉(35300特效精简速无)</v>
      </c>
    </row>
    <row r="500" spans="1:3">
      <c r="A500" t="str">
        <f>IFERROR(INDEX(装备库!$A$2:$E$2022,MATCH(ROW()-1,装备库!$AK$2:$AK$2022,0),COLUMN()),"")</f>
        <v>腰带</v>
      </c>
      <c r="B500" t="str">
        <f>IFERROR(INDEX(装备库!$A$2:$E$2022,MATCH(ROW()-1,装备库!$AK$2:$AK$2022,0),COLUMN()),"")</f>
        <v>7_106932</v>
      </c>
      <c r="C500" t="str">
        <f>IFERROR(INDEX(装备库!$A$2:$E$2022,MATCH(ROW()-1,装备库!$AK$2:$AK$2022,0),5),"")</f>
        <v>问往还(35300特效精简破无)</v>
      </c>
    </row>
    <row r="501" spans="1:3">
      <c r="A501" t="str">
        <f>IFERROR(INDEX(装备库!$A$2:$E$2022,MATCH(ROW()-1,装备库!$AK$2:$AK$2022,0),COLUMN()),"")</f>
        <v>腰带</v>
      </c>
      <c r="B501" t="str">
        <f>IFERROR(INDEX(装备库!$A$2:$E$2022,MATCH(ROW()-1,装备库!$AK$2:$AK$2022,0),COLUMN()),"")</f>
        <v>7_106934</v>
      </c>
      <c r="C501" t="str">
        <f>IFERROR(INDEX(装备库!$A$2:$E$2022,MATCH(ROW()-1,装备库!$AK$2:$AK$2022,0),5),"")</f>
        <v>野塘烟水(35300特效精简破)</v>
      </c>
    </row>
    <row r="502" spans="1:3">
      <c r="A502" t="str">
        <f>IFERROR(INDEX(装备库!$A$2:$E$2022,MATCH(ROW()-1,装备库!$AK$2:$AK$2022,0),COLUMN()),"")</f>
        <v>腰带</v>
      </c>
      <c r="B502" t="str">
        <f>IFERROR(INDEX(装备库!$A$2:$E$2022,MATCH(ROW()-1,装备库!$AK$2:$AK$2022,0),COLUMN()),"")</f>
        <v>7_106929</v>
      </c>
      <c r="C502" t="str">
        <f>IFERROR(INDEX(装备库!$A$2:$E$2022,MATCH(ROW()-1,装备库!$AK$2:$AK$2022,0),5),"")</f>
        <v>看尽云舒(35300特效精简会招破无)</v>
      </c>
    </row>
    <row r="503" spans="1:3">
      <c r="A503" t="str">
        <f>IFERROR(INDEX(装备库!$A$2:$E$2022,MATCH(ROW()-1,装备库!$AK$2:$AK$2022,0),COLUMN()),"")</f>
        <v>腰带</v>
      </c>
      <c r="B503" t="str">
        <f>IFERROR(INDEX(装备库!$A$2:$E$2022,MATCH(ROW()-1,装备库!$AK$2:$AK$2022,0),COLUMN()),"")</f>
        <v>7_106931</v>
      </c>
      <c r="C503" t="str">
        <f>IFERROR(INDEX(装备库!$A$2:$E$2022,MATCH(ROW()-1,装备库!$AK$2:$AK$2022,0),5),"")</f>
        <v>侠骨英风(35300特效精简会无)</v>
      </c>
    </row>
    <row r="504" spans="1:3">
      <c r="A504" t="str">
        <f>IFERROR(INDEX(装备库!$A$2:$E$2022,MATCH(ROW()-1,装备库!$AK$2:$AK$2022,0),COLUMN()),"")</f>
        <v>腰带</v>
      </c>
      <c r="B504" t="str">
        <f>IFERROR(INDEX(装备库!$A$2:$E$2022,MATCH(ROW()-1,装备库!$AK$2:$AK$2022,0),COLUMN()),"")</f>
        <v>7_106933</v>
      </c>
      <c r="C504" t="str">
        <f>IFERROR(INDEX(装备库!$A$2:$E$2022,MATCH(ROW()-1,装备库!$AK$2:$AK$2022,0),5),"")</f>
        <v>何处玉箫(35300特效精简会)</v>
      </c>
    </row>
    <row r="505" spans="1:3">
      <c r="A505" t="str">
        <f>IFERROR(INDEX(装备库!$A$2:$E$2022,MATCH(ROW()-1,装备库!$AK$2:$AK$2022,0),COLUMN()),"")</f>
        <v>腰带</v>
      </c>
      <c r="B505" t="str">
        <f>IFERROR(INDEX(装备库!$A$2:$E$2022,MATCH(ROW()-1,装备库!$AK$2:$AK$2022,0),COLUMN()),"")</f>
        <v>7_106924</v>
      </c>
      <c r="C505" t="str">
        <f>IFERROR(INDEX(装备库!$A$2:$E$2022,MATCH(ROW()-1,装备库!$AK$2:$AK$2022,0),5),"")</f>
        <v>赤水护腰·引(35300精简招无)</v>
      </c>
    </row>
    <row r="506" spans="1:3">
      <c r="A506" t="str">
        <f>IFERROR(INDEX(装备库!$A$2:$E$2022,MATCH(ROW()-1,装备库!$AK$2:$AK$2022,0),COLUMN()),"")</f>
        <v>腰带</v>
      </c>
      <c r="B506" t="str">
        <f>IFERROR(INDEX(装备库!$A$2:$E$2022,MATCH(ROW()-1,装备库!$AK$2:$AK$2022,0),COLUMN()),"")</f>
        <v>7_106927</v>
      </c>
      <c r="C506" t="str">
        <f>IFERROR(INDEX(装备库!$A$2:$E$2022,MATCH(ROW()-1,装备库!$AK$2:$AK$2022,0),5),"")</f>
        <v>巉岩护腰·绝(35300精简招破无)</v>
      </c>
    </row>
    <row r="507" spans="1:3">
      <c r="A507" t="str">
        <f>IFERROR(INDEX(装备库!$A$2:$E$2022,MATCH(ROW()-1,装备库!$AK$2:$AK$2022,0),COLUMN()),"")</f>
        <v>腰带</v>
      </c>
      <c r="B507" t="str">
        <f>IFERROR(INDEX(装备库!$A$2:$E$2022,MATCH(ROW()-1,装备库!$AK$2:$AK$2022,0),COLUMN()),"")</f>
        <v>7_106921</v>
      </c>
      <c r="C507" t="str">
        <f>IFERROR(INDEX(装备库!$A$2:$E$2022,MATCH(ROW()-1,装备库!$AK$2:$AK$2022,0),5),"")</f>
        <v>飞廉护腰·尊(35300精简无)</v>
      </c>
    </row>
    <row r="508" spans="1:3">
      <c r="A508" t="str">
        <f>IFERROR(INDEX(装备库!$A$2:$E$2022,MATCH(ROW()-1,装备库!$AK$2:$AK$2022,0),COLUMN()),"")</f>
        <v>腰带</v>
      </c>
      <c r="B508" t="str">
        <f>IFERROR(INDEX(装备库!$A$2:$E$2022,MATCH(ROW()-1,装备库!$AK$2:$AK$2022,0),COLUMN()),"")</f>
        <v>7_106928</v>
      </c>
      <c r="C508" t="str">
        <f>IFERROR(INDEX(装备库!$A$2:$E$2022,MATCH(ROW()-1,装备库!$AK$2:$AK$2022,0),5),"")</f>
        <v>逸兴护腰·迅(35300精简速无)</v>
      </c>
    </row>
    <row r="509" spans="1:3">
      <c r="A509" t="str">
        <f>IFERROR(INDEX(装备库!$A$2:$E$2022,MATCH(ROW()-1,装备库!$AK$2:$AK$2022,0),COLUMN()),"")</f>
        <v>腰带</v>
      </c>
      <c r="B509" t="str">
        <f>IFERROR(INDEX(装备库!$A$2:$E$2022,MATCH(ROW()-1,装备库!$AK$2:$AK$2022,0),COLUMN()),"")</f>
        <v>7_106923</v>
      </c>
      <c r="C509" t="str">
        <f>IFERROR(INDEX(装备库!$A$2:$E$2022,MATCH(ROW()-1,装备库!$AK$2:$AK$2022,0),5),"")</f>
        <v>周流护腰·破(35300精简破无)</v>
      </c>
    </row>
    <row r="510" spans="1:3">
      <c r="A510" t="str">
        <f>IFERROR(INDEX(装备库!$A$2:$E$2022,MATCH(ROW()-1,装备库!$AK$2:$AK$2022,0),COLUMN()),"")</f>
        <v>腰带</v>
      </c>
      <c r="B510" t="str">
        <f>IFERROR(INDEX(装备库!$A$2:$E$2022,MATCH(ROW()-1,装备库!$AK$2:$AK$2022,0),COLUMN()),"")</f>
        <v>7_106926</v>
      </c>
      <c r="C510" t="str">
        <f>IFERROR(INDEX(装备库!$A$2:$E$2022,MATCH(ROW()-1,装备库!$AK$2:$AK$2022,0),5),"")</f>
        <v>未落护腰·明(35300精简会招无)</v>
      </c>
    </row>
    <row r="511" spans="1:3">
      <c r="A511" t="str">
        <f>IFERROR(INDEX(装备库!$A$2:$E$2022,MATCH(ROW()-1,装备库!$AK$2:$AK$2022,0),COLUMN()),"")</f>
        <v>腰带</v>
      </c>
      <c r="B511" t="str">
        <f>IFERROR(INDEX(装备库!$A$2:$E$2022,MATCH(ROW()-1,装备库!$AK$2:$AK$2022,0),COLUMN()),"")</f>
        <v>7_106922</v>
      </c>
      <c r="C511" t="str">
        <f>IFERROR(INDEX(装备库!$A$2:$E$2022,MATCH(ROW()-1,装备库!$AK$2:$AK$2022,0),5),"")</f>
        <v>疏篁护腰·悟(35300精简会无)</v>
      </c>
    </row>
    <row r="512" spans="1:3">
      <c r="A512" t="str">
        <f>IFERROR(INDEX(装备库!$A$2:$E$2022,MATCH(ROW()-1,装备库!$AK$2:$AK$2022,0),COLUMN()),"")</f>
        <v>腰带</v>
      </c>
      <c r="B512" t="str">
        <f>IFERROR(INDEX(装备库!$A$2:$E$2022,MATCH(ROW()-1,装备库!$AK$2:$AK$2022,0),COLUMN()),"")</f>
        <v>7_106925</v>
      </c>
      <c r="C512" t="str">
        <f>IFERROR(INDEX(装备库!$A$2:$E$2022,MATCH(ROW()-1,装备库!$AK$2:$AK$2022,0),5),"")</f>
        <v>云旗护腰·觉(35300精简会破无)</v>
      </c>
    </row>
    <row r="513" spans="1:3">
      <c r="A513" t="str">
        <f>IFERROR(INDEX(装备库!$A$2:$E$2022,MATCH(ROW()-1,装备库!$AK$2:$AK$2022,0),COLUMN()),"")</f>
        <v>腰带</v>
      </c>
      <c r="B513" t="str">
        <f>IFERROR(INDEX(装备库!$A$2:$E$2022,MATCH(ROW()-1,装备库!$AK$2:$AK$2022,0),COLUMN()),"")</f>
        <v>7_107021</v>
      </c>
      <c r="C513" t="str">
        <f>IFERROR(INDEX(装备库!$A$2:$E$2022,MATCH(ROW()-1,装备库!$AK$2:$AK$2022,0),5),"")</f>
        <v>江舟护腰(35900会无)</v>
      </c>
    </row>
    <row r="514" spans="1:3">
      <c r="A514" t="str">
        <f>IFERROR(INDEX(装备库!$A$2:$E$2022,MATCH(ROW()-1,装备库!$AK$2:$AK$2022,0),COLUMN()),"")</f>
        <v>腰带</v>
      </c>
      <c r="B514" t="str">
        <f>IFERROR(INDEX(装备库!$A$2:$E$2022,MATCH(ROW()-1,装备库!$AK$2:$AK$2022,0),COLUMN()),"")</f>
        <v>7_108354</v>
      </c>
      <c r="C514" t="str">
        <f>IFERROR(INDEX(装备库!$A$2:$E$2022,MATCH(ROW()-1,装备库!$AK$2:$AK$2022,0),5),"")</f>
        <v>陶然意·折柳护腰(36200会全)</v>
      </c>
    </row>
    <row r="515" spans="1:3">
      <c r="A515" t="str">
        <f>IFERROR(INDEX(装备库!$A$2:$E$2022,MATCH(ROW()-1,装备库!$AK$2:$AK$2022,0),COLUMN()),"")</f>
        <v>腰带</v>
      </c>
      <c r="B515" t="str">
        <f>IFERROR(INDEX(装备库!$A$2:$E$2022,MATCH(ROW()-1,装备库!$AK$2:$AK$2022,0),COLUMN()),"")</f>
        <v>7_109176</v>
      </c>
      <c r="C515" t="str">
        <f>IFERROR(INDEX(装备库!$A$2:$E$2022,MATCH(ROW()-1,装备库!$AK$2:$AK$2022,0),5),"")</f>
        <v>【门派套装】玄阙·燃炼腰带(41400会无)</v>
      </c>
    </row>
    <row r="516" spans="1:3">
      <c r="A516" t="str">
        <f>IFERROR(INDEX(装备库!$A$2:$E$2022,MATCH(ROW()-1,装备库!$AK$2:$AK$2022,0),COLUMN()),"")</f>
        <v>腰带</v>
      </c>
      <c r="B516" t="str">
        <f>IFERROR(INDEX(装备库!$A$2:$E$2022,MATCH(ROW()-1,装备库!$AK$2:$AK$2022,0),COLUMN()),"")</f>
        <v>7_109335</v>
      </c>
      <c r="C516" t="str">
        <f>IFERROR(INDEX(装备库!$A$2:$E$2022,MATCH(ROW()-1,装备库!$AK$2:$AK$2022,0),5),"")</f>
        <v>流漓腰带(41400速无)</v>
      </c>
    </row>
    <row r="517" spans="1:3">
      <c r="A517" t="str">
        <f>IFERROR(INDEX(装备库!$A$2:$E$2022,MATCH(ROW()-1,装备库!$AK$2:$AK$2022,0),COLUMN()),"")</f>
        <v>腰带</v>
      </c>
      <c r="B517" t="str">
        <f>IFERROR(INDEX(装备库!$A$2:$E$2022,MATCH(ROW()-1,装备库!$AK$2:$AK$2022,0),COLUMN()),"")</f>
        <v>7_109299</v>
      </c>
      <c r="C517" t="str">
        <f>IFERROR(INDEX(装备库!$A$2:$E$2022,MATCH(ROW()-1,装备库!$AK$2:$AK$2022,0),5),"")</f>
        <v>尘隐腰带(41400破无)</v>
      </c>
    </row>
    <row r="518" spans="1:3">
      <c r="A518" t="str">
        <f>IFERROR(INDEX(装备库!$A$2:$E$2022,MATCH(ROW()-1,装备库!$AK$2:$AK$2022,0),COLUMN()),"")</f>
        <v>腰带</v>
      </c>
      <c r="B518" t="str">
        <f>IFERROR(INDEX(装备库!$A$2:$E$2022,MATCH(ROW()-1,装备库!$AK$2:$AK$2022,0),COLUMN()),"")</f>
        <v>7_109584</v>
      </c>
      <c r="C518" t="str">
        <f>IFERROR(INDEX(装备库!$A$2:$E$2022,MATCH(ROW()-1,装备库!$AK$2:$AK$2022,0),5),"")</f>
        <v>曜影护腰(41400破无)</v>
      </c>
    </row>
    <row r="519" spans="1:3">
      <c r="A519" t="str">
        <f>IFERROR(INDEX(装备库!$A$2:$E$2022,MATCH(ROW()-1,装备库!$AK$2:$AK$2022,0),COLUMN()),"")</f>
        <v>腰带</v>
      </c>
      <c r="B519" t="str">
        <f>IFERROR(INDEX(装备库!$A$2:$E$2022,MATCH(ROW()-1,装备库!$AK$2:$AK$2022,0),COLUMN()),"")</f>
        <v>7_109391</v>
      </c>
      <c r="C519" t="str">
        <f>IFERROR(INDEX(装备库!$A$2:$E$2022,MATCH(ROW()-1,装备库!$AK$2:$AK$2022,0),5),"")</f>
        <v>孤寒劲(41400特效精简招)</v>
      </c>
    </row>
    <row r="520" spans="1:3">
      <c r="A520" t="str">
        <f>IFERROR(INDEX(装备库!$A$2:$E$2022,MATCH(ROW()-1,装备库!$AK$2:$AK$2022,0),COLUMN()),"")</f>
        <v>腰带</v>
      </c>
      <c r="B520" t="str">
        <f>IFERROR(INDEX(装备库!$A$2:$E$2022,MATCH(ROW()-1,装备库!$AK$2:$AK$2022,0),COLUMN()),"")</f>
        <v>7_110944</v>
      </c>
      <c r="C520" t="str">
        <f>IFERROR(INDEX(装备库!$A$2:$E$2022,MATCH(ROW()-1,装备库!$AK$2:$AK$2022,0),5),"")</f>
        <v>尽苍茫(41400特效精简速无)</v>
      </c>
    </row>
    <row r="521" spans="1:3">
      <c r="A521" t="str">
        <f>IFERROR(INDEX(装备库!$A$2:$E$2022,MATCH(ROW()-1,装备库!$AK$2:$AK$2022,0),COLUMN()),"")</f>
        <v>腰带</v>
      </c>
      <c r="B521" t="str">
        <f>IFERROR(INDEX(装备库!$A$2:$E$2022,MATCH(ROW()-1,装备库!$AK$2:$AK$2022,0),COLUMN()),"")</f>
        <v>7_109393</v>
      </c>
      <c r="C521" t="str">
        <f>IFERROR(INDEX(装备库!$A$2:$E$2022,MATCH(ROW()-1,装备库!$AK$2:$AK$2022,0),5),"")</f>
        <v>凌月游(41400特效精简破无)</v>
      </c>
    </row>
    <row r="522" spans="1:3">
      <c r="A522" t="str">
        <f>IFERROR(INDEX(装备库!$A$2:$E$2022,MATCH(ROW()-1,装备库!$AK$2:$AK$2022,0),COLUMN()),"")</f>
        <v>腰带</v>
      </c>
      <c r="B522" t="str">
        <f>IFERROR(INDEX(装备库!$A$2:$E$2022,MATCH(ROW()-1,装备库!$AK$2:$AK$2022,0),COLUMN()),"")</f>
        <v>7_109395</v>
      </c>
      <c r="C522" t="str">
        <f>IFERROR(INDEX(装备库!$A$2:$E$2022,MATCH(ROW()-1,装备库!$AK$2:$AK$2022,0),5),"")</f>
        <v>锁千秋(41400特效精简破)</v>
      </c>
    </row>
    <row r="523" spans="1:3">
      <c r="A523" t="str">
        <f>IFERROR(INDEX(装备库!$A$2:$E$2022,MATCH(ROW()-1,装备库!$AK$2:$AK$2022,0),COLUMN()),"")</f>
        <v>腰带</v>
      </c>
      <c r="B523" t="str">
        <f>IFERROR(INDEX(装备库!$A$2:$E$2022,MATCH(ROW()-1,装备库!$AK$2:$AK$2022,0),COLUMN()),"")</f>
        <v>7_109390</v>
      </c>
      <c r="C523" t="str">
        <f>IFERROR(INDEX(装备库!$A$2:$E$2022,MATCH(ROW()-1,装备库!$AK$2:$AK$2022,0),5),"")</f>
        <v>贯日虹(41400特效精简会招破无)</v>
      </c>
    </row>
    <row r="524" spans="1:3">
      <c r="A524" t="str">
        <f>IFERROR(INDEX(装备库!$A$2:$E$2022,MATCH(ROW()-1,装备库!$AK$2:$AK$2022,0),COLUMN()),"")</f>
        <v>腰带</v>
      </c>
      <c r="B524" t="str">
        <f>IFERROR(INDEX(装备库!$A$2:$E$2022,MATCH(ROW()-1,装备库!$AK$2:$AK$2022,0),COLUMN()),"")</f>
        <v>7_109392</v>
      </c>
      <c r="C524" t="str">
        <f>IFERROR(INDEX(装备库!$A$2:$E$2022,MATCH(ROW()-1,装备库!$AK$2:$AK$2022,0),5),"")</f>
        <v>碧落谣(41400特效精简会无)</v>
      </c>
    </row>
    <row r="525" spans="1:3">
      <c r="A525" t="str">
        <f>IFERROR(INDEX(装备库!$A$2:$E$2022,MATCH(ROW()-1,装备库!$AK$2:$AK$2022,0),COLUMN()),"")</f>
        <v>腰带</v>
      </c>
      <c r="B525" t="str">
        <f>IFERROR(INDEX(装备库!$A$2:$E$2022,MATCH(ROW()-1,装备库!$AK$2:$AK$2022,0),COLUMN()),"")</f>
        <v>7_109394</v>
      </c>
      <c r="C525" t="str">
        <f>IFERROR(INDEX(装备库!$A$2:$E$2022,MATCH(ROW()-1,装备库!$AK$2:$AK$2022,0),5),"")</f>
        <v>世外身(41400特效精简会)</v>
      </c>
    </row>
    <row r="526" spans="1:3">
      <c r="A526" t="str">
        <f>IFERROR(INDEX(装备库!$A$2:$E$2022,MATCH(ROW()-1,装备库!$AK$2:$AK$2022,0),COLUMN()),"")</f>
        <v>腰带</v>
      </c>
      <c r="B526" t="str">
        <f>IFERROR(INDEX(装备库!$A$2:$E$2022,MATCH(ROW()-1,装备库!$AK$2:$AK$2022,0),COLUMN()),"")</f>
        <v>7_109385</v>
      </c>
      <c r="C526" t="str">
        <f>IFERROR(INDEX(装备库!$A$2:$E$2022,MATCH(ROW()-1,装备库!$AK$2:$AK$2022,0),5),"")</f>
        <v>寒霄护腰·引(41400精简招无)</v>
      </c>
    </row>
    <row r="527" spans="1:3">
      <c r="A527" t="str">
        <f>IFERROR(INDEX(装备库!$A$2:$E$2022,MATCH(ROW()-1,装备库!$AK$2:$AK$2022,0),COLUMN()),"")</f>
        <v>腰带</v>
      </c>
      <c r="B527" t="str">
        <f>IFERROR(INDEX(装备库!$A$2:$E$2022,MATCH(ROW()-1,装备库!$AK$2:$AK$2022,0),COLUMN()),"")</f>
        <v>7_109388</v>
      </c>
      <c r="C527" t="str">
        <f>IFERROR(INDEX(装备库!$A$2:$E$2022,MATCH(ROW()-1,装备库!$AK$2:$AK$2022,0),5),"")</f>
        <v>鸢啼护腰·绝(41400精简招破无)</v>
      </c>
    </row>
    <row r="528" spans="1:3">
      <c r="A528" t="str">
        <f>IFERROR(INDEX(装备库!$A$2:$E$2022,MATCH(ROW()-1,装备库!$AK$2:$AK$2022,0),COLUMN()),"")</f>
        <v>腰带</v>
      </c>
      <c r="B528" t="str">
        <f>IFERROR(INDEX(装备库!$A$2:$E$2022,MATCH(ROW()-1,装备库!$AK$2:$AK$2022,0),COLUMN()),"")</f>
        <v>7_109382</v>
      </c>
      <c r="C528" t="str">
        <f>IFERROR(INDEX(装备库!$A$2:$E$2022,MATCH(ROW()-1,装备库!$AK$2:$AK$2022,0),5),"")</f>
        <v>棨戟护腰·尊(41400精简无)</v>
      </c>
    </row>
    <row r="529" spans="1:3">
      <c r="A529" t="str">
        <f>IFERROR(INDEX(装备库!$A$2:$E$2022,MATCH(ROW()-1,装备库!$AK$2:$AK$2022,0),COLUMN()),"")</f>
        <v>腰带</v>
      </c>
      <c r="B529" t="str">
        <f>IFERROR(INDEX(装备库!$A$2:$E$2022,MATCH(ROW()-1,装备库!$AK$2:$AK$2022,0),COLUMN()),"")</f>
        <v>7_109389</v>
      </c>
      <c r="C529" t="str">
        <f>IFERROR(INDEX(装备库!$A$2:$E$2022,MATCH(ROW()-1,装备库!$AK$2:$AK$2022,0),5),"")</f>
        <v>映霭护腰·迅(41400精简速无)</v>
      </c>
    </row>
    <row r="530" spans="1:3">
      <c r="A530" t="str">
        <f>IFERROR(INDEX(装备库!$A$2:$E$2022,MATCH(ROW()-1,装备库!$AK$2:$AK$2022,0),COLUMN()),"")</f>
        <v>腰带</v>
      </c>
      <c r="B530" t="str">
        <f>IFERROR(INDEX(装备库!$A$2:$E$2022,MATCH(ROW()-1,装备库!$AK$2:$AK$2022,0),COLUMN()),"")</f>
        <v>7_109384</v>
      </c>
      <c r="C530" t="str">
        <f>IFERROR(INDEX(装备库!$A$2:$E$2022,MATCH(ROW()-1,装备库!$AK$2:$AK$2022,0),5),"")</f>
        <v>岷峨护腰·破(41400精简破无)</v>
      </c>
    </row>
    <row r="531" spans="1:3">
      <c r="A531" t="str">
        <f>IFERROR(INDEX(装备库!$A$2:$E$2022,MATCH(ROW()-1,装备库!$AK$2:$AK$2022,0),COLUMN()),"")</f>
        <v>腰带</v>
      </c>
      <c r="B531" t="str">
        <f>IFERROR(INDEX(装备库!$A$2:$E$2022,MATCH(ROW()-1,装备库!$AK$2:$AK$2022,0),COLUMN()),"")</f>
        <v>7_109387</v>
      </c>
      <c r="C531" t="str">
        <f>IFERROR(INDEX(装备库!$A$2:$E$2022,MATCH(ROW()-1,装备库!$AK$2:$AK$2022,0),5),"")</f>
        <v>鸾旌护腰·明(41400精简会招无)</v>
      </c>
    </row>
    <row r="532" spans="1:3">
      <c r="A532" t="str">
        <f>IFERROR(INDEX(装备库!$A$2:$E$2022,MATCH(ROW()-1,装备库!$AK$2:$AK$2022,0),COLUMN()),"")</f>
        <v>腰带</v>
      </c>
      <c r="B532" t="str">
        <f>IFERROR(INDEX(装备库!$A$2:$E$2022,MATCH(ROW()-1,装备库!$AK$2:$AK$2022,0),COLUMN()),"")</f>
        <v>7_109383</v>
      </c>
      <c r="C532" t="str">
        <f>IFERROR(INDEX(装备库!$A$2:$E$2022,MATCH(ROW()-1,装备库!$AK$2:$AK$2022,0),5),"")</f>
        <v>瞿如护腰·悟(41400精简会无)</v>
      </c>
    </row>
    <row r="533" spans="1:3">
      <c r="A533" t="str">
        <f>IFERROR(INDEX(装备库!$A$2:$E$2022,MATCH(ROW()-1,装备库!$AK$2:$AK$2022,0),COLUMN()),"")</f>
        <v>腰带</v>
      </c>
      <c r="B533" t="str">
        <f>IFERROR(INDEX(装备库!$A$2:$E$2022,MATCH(ROW()-1,装备库!$AK$2:$AK$2022,0),COLUMN()),"")</f>
        <v>7_109386</v>
      </c>
      <c r="C533" t="str">
        <f>IFERROR(INDEX(装备库!$A$2:$E$2022,MATCH(ROW()-1,装备库!$AK$2:$AK$2022,0),5),"")</f>
        <v>沧陵护腰·觉(41400精简会破无)</v>
      </c>
    </row>
    <row r="534" spans="1:3">
      <c r="A534" t="str">
        <f>IFERROR(INDEX(装备库!$A$2:$E$2022,MATCH(ROW()-1,装备库!$AK$2:$AK$2022,0),COLUMN()),"")</f>
        <v>腰带</v>
      </c>
      <c r="B534" t="str">
        <f>IFERROR(INDEX(装备库!$A$2:$E$2022,MATCH(ROW()-1,装备库!$AK$2:$AK$2022,0),COLUMN()),"")</f>
        <v>7_109482</v>
      </c>
      <c r="C534" t="str">
        <f>IFERROR(INDEX(装备库!$A$2:$E$2022,MATCH(ROW()-1,装备库!$AK$2:$AK$2022,0),5),"")</f>
        <v>尧影护腰(42100会无)</v>
      </c>
    </row>
    <row r="535" spans="1:3">
      <c r="A535" t="str">
        <f>IFERROR(INDEX(装备库!$A$2:$E$2022,MATCH(ROW()-1,装备库!$AK$2:$AK$2022,0),COLUMN()),"")</f>
        <v>腰带</v>
      </c>
      <c r="B535" t="str">
        <f>IFERROR(INDEX(装备库!$A$2:$E$2022,MATCH(ROW()-1,装备库!$AK$2:$AK$2022,0),COLUMN()),"")</f>
        <v>7_110815</v>
      </c>
      <c r="C535" t="str">
        <f>IFERROR(INDEX(装备库!$A$2:$E$2022,MATCH(ROW()-1,装备库!$AK$2:$AK$2022,0),5),"")</f>
        <v>陶然意·烟峦腰带(42400会全)</v>
      </c>
    </row>
    <row r="536" spans="1:3">
      <c r="A536" t="str">
        <f>IFERROR(INDEX(装备库!$A$2:$E$2022,MATCH(ROW()-1,装备库!$AK$2:$AK$2022,0),COLUMN()),"")</f>
        <v>腰坠</v>
      </c>
      <c r="B536" t="str">
        <f>IFERROR(INDEX(装备库!$A$2:$E$2022,MATCH(ROW()-1,装备库!$AK$2:$AK$2022,0),COLUMN()),"")</f>
        <v>8_45503</v>
      </c>
      <c r="C536" t="str">
        <f>IFERROR(INDEX(装备库!$A$2:$E$2022,MATCH(ROW()-1,装备库!$AK$2:$AK$2022,0),5),"")</f>
        <v>镂云佩(30200速全)</v>
      </c>
    </row>
    <row r="537" spans="1:3">
      <c r="A537" t="str">
        <f>IFERROR(INDEX(装备库!$A$2:$E$2022,MATCH(ROW()-1,装备库!$AK$2:$AK$2022,0),COLUMN()),"")</f>
        <v>腰坠</v>
      </c>
      <c r="B537" t="str">
        <f>IFERROR(INDEX(装备库!$A$2:$E$2022,MATCH(ROW()-1,装备库!$AK$2:$AK$2022,0),COLUMN()),"")</f>
        <v>8_45485</v>
      </c>
      <c r="C537" t="str">
        <f>IFERROR(INDEX(装备库!$A$2:$E$2022,MATCH(ROW()-1,装备库!$AK$2:$AK$2022,0),5),"")</f>
        <v>智渊佩(30200会全)</v>
      </c>
    </row>
    <row r="538" spans="1:3">
      <c r="A538" t="str">
        <f>IFERROR(INDEX(装备库!$A$2:$E$2022,MATCH(ROW()-1,装备库!$AK$2:$AK$2022,0),COLUMN()),"")</f>
        <v>腰坠</v>
      </c>
      <c r="B538" t="str">
        <f>IFERROR(INDEX(装备库!$A$2:$E$2022,MATCH(ROW()-1,装备库!$AK$2:$AK$2022,0),COLUMN()),"")</f>
        <v>8_49349</v>
      </c>
      <c r="C538" t="str">
        <f>IFERROR(INDEX(装备库!$A$2:$E$2022,MATCH(ROW()-1,装备库!$AK$2:$AK$2022,0),5),"")</f>
        <v>臻泽佩(30200破全)</v>
      </c>
    </row>
    <row r="539" spans="1:3">
      <c r="A539" t="str">
        <f>IFERROR(INDEX(装备库!$A$2:$E$2022,MATCH(ROW()-1,装备库!$AK$2:$AK$2022,0),COLUMN()),"")</f>
        <v>腰坠</v>
      </c>
      <c r="B539" t="str">
        <f>IFERROR(INDEX(装备库!$A$2:$E$2022,MATCH(ROW()-1,装备库!$AK$2:$AK$2022,0),COLUMN()),"")</f>
        <v>8_42966</v>
      </c>
      <c r="C539" t="str">
        <f>IFERROR(INDEX(装备库!$A$2:$E$2022,MATCH(ROW()-1,装备库!$AK$2:$AK$2022,0),5),"")</f>
        <v>标雁坠(30200招无)</v>
      </c>
    </row>
    <row r="540" spans="1:3">
      <c r="A540" t="str">
        <f>IFERROR(INDEX(装备库!$A$2:$E$2022,MATCH(ROW()-1,装备库!$AK$2:$AK$2022,0),COLUMN()),"")</f>
        <v>腰坠</v>
      </c>
      <c r="B540" t="str">
        <f>IFERROR(INDEX(装备库!$A$2:$E$2022,MATCH(ROW()-1,装备库!$AK$2:$AK$2022,0),COLUMN()),"")</f>
        <v>8_42990</v>
      </c>
      <c r="C540" t="str">
        <f>IFERROR(INDEX(装备库!$A$2:$E$2022,MATCH(ROW()-1,装备库!$AK$2:$AK$2022,0),5),"")</f>
        <v>奉君命(30200特效破无)</v>
      </c>
    </row>
    <row r="541" spans="1:3">
      <c r="A541" t="str">
        <f>IFERROR(INDEX(装备库!$A$2:$E$2022,MATCH(ROW()-1,装备库!$AK$2:$AK$2022,0),COLUMN()),"")</f>
        <v>腰坠</v>
      </c>
      <c r="B541" t="str">
        <f>IFERROR(INDEX(装备库!$A$2:$E$2022,MATCH(ROW()-1,装备库!$AK$2:$AK$2022,0),COLUMN()),"")</f>
        <v>8_42854</v>
      </c>
      <c r="C541" t="str">
        <f>IFERROR(INDEX(装备库!$A$2:$E$2022,MATCH(ROW()-1,装备库!$AK$2:$AK$2022,0),5),"")</f>
        <v>羽缀坠(30200速无)</v>
      </c>
    </row>
    <row r="542" spans="1:3">
      <c r="A542" t="str">
        <f>IFERROR(INDEX(装备库!$A$2:$E$2022,MATCH(ROW()-1,装备库!$AK$2:$AK$2022,0),COLUMN()),"")</f>
        <v>腰坠</v>
      </c>
      <c r="B542" t="str">
        <f>IFERROR(INDEX(装备库!$A$2:$E$2022,MATCH(ROW()-1,装备库!$AK$2:$AK$2022,0),COLUMN()),"")</f>
        <v>8_42948</v>
      </c>
      <c r="C542" t="str">
        <f>IFERROR(INDEX(装备库!$A$2:$E$2022,MATCH(ROW()-1,装备库!$AK$2:$AK$2022,0),5),"")</f>
        <v>问殿佩(30200速无)</v>
      </c>
    </row>
    <row r="543" spans="1:3">
      <c r="A543" t="str">
        <f>IFERROR(INDEX(装备库!$A$2:$E$2022,MATCH(ROW()-1,装备库!$AK$2:$AK$2022,0),COLUMN()),"")</f>
        <v>腰坠</v>
      </c>
      <c r="B543" t="str">
        <f>IFERROR(INDEX(装备库!$A$2:$E$2022,MATCH(ROW()-1,装备库!$AK$2:$AK$2022,0),COLUMN()),"")</f>
        <v>8_42870</v>
      </c>
      <c r="C543" t="str">
        <f>IFERROR(INDEX(装备库!$A$2:$E$2022,MATCH(ROW()-1,装备库!$AK$2:$AK$2022,0),5),"")</f>
        <v>平皋坠(30200会无)</v>
      </c>
    </row>
    <row r="544" spans="1:3">
      <c r="A544" t="str">
        <f>IFERROR(INDEX(装备库!$A$2:$E$2022,MATCH(ROW()-1,装备库!$AK$2:$AK$2022,0),COLUMN()),"")</f>
        <v>腰坠</v>
      </c>
      <c r="B544" t="str">
        <f>IFERROR(INDEX(装备库!$A$2:$E$2022,MATCH(ROW()-1,装备库!$AK$2:$AK$2022,0),COLUMN()),"")</f>
        <v>8_42742</v>
      </c>
      <c r="C544" t="str">
        <f>IFERROR(INDEX(装备库!$A$2:$E$2022,MATCH(ROW()-1,装备库!$AK$2:$AK$2022,0),5),"")</f>
        <v>灵空·风行坠(30200会无)</v>
      </c>
    </row>
    <row r="545" spans="1:3">
      <c r="A545" t="str">
        <f>IFERROR(INDEX(装备库!$A$2:$E$2022,MATCH(ROW()-1,装备库!$AK$2:$AK$2022,0),COLUMN()),"")</f>
        <v>腰坠</v>
      </c>
      <c r="B545" t="str">
        <f>IFERROR(INDEX(装备库!$A$2:$E$2022,MATCH(ROW()-1,装备库!$AK$2:$AK$2022,0),COLUMN()),"")</f>
        <v>8_44397</v>
      </c>
      <c r="C545" t="str">
        <f>IFERROR(INDEX(装备库!$A$2:$E$2022,MATCH(ROW()-1,装备库!$AK$2:$AK$2022,0),5),"")</f>
        <v>崔错坠(30300会无)</v>
      </c>
    </row>
    <row r="546" spans="1:3">
      <c r="A546" t="str">
        <f>IFERROR(INDEX(装备库!$A$2:$E$2022,MATCH(ROW()-1,装备库!$AK$2:$AK$2022,0),COLUMN()),"")</f>
        <v>腰坠</v>
      </c>
      <c r="B546" t="str">
        <f>IFERROR(INDEX(装备库!$A$2:$E$2022,MATCH(ROW()-1,装备库!$AK$2:$AK$2022,0),COLUMN()),"")</f>
        <v>8_43910</v>
      </c>
      <c r="C546" t="str">
        <f>IFERROR(INDEX(装备库!$A$2:$E$2022,MATCH(ROW()-1,装备库!$AK$2:$AK$2022,0),5),"")</f>
        <v>陶然意·谧秋坠(30700会全)</v>
      </c>
    </row>
    <row r="547" spans="1:3">
      <c r="A547" t="str">
        <f>IFERROR(INDEX(装备库!$A$2:$E$2022,MATCH(ROW()-1,装备库!$AK$2:$AK$2022,0),COLUMN()),"")</f>
        <v>腰坠</v>
      </c>
      <c r="B547" t="str">
        <f>IFERROR(INDEX(装备库!$A$2:$E$2022,MATCH(ROW()-1,装备库!$AK$2:$AK$2022,0),COLUMN()),"")</f>
        <v>8_43066</v>
      </c>
      <c r="C547" t="str">
        <f>IFERROR(INDEX(装备库!$A$2:$E$2022,MATCH(ROW()-1,装备库!$AK$2:$AK$2022,0),5),"")</f>
        <v>载周坠(30700会无)</v>
      </c>
    </row>
    <row r="548" spans="1:3">
      <c r="A548" t="str">
        <f>IFERROR(INDEX(装备库!$A$2:$E$2022,MATCH(ROW()-1,装备库!$AK$2:$AK$2022,0),COLUMN()),"")</f>
        <v>腰坠</v>
      </c>
      <c r="B548" t="str">
        <f>IFERROR(INDEX(装备库!$A$2:$E$2022,MATCH(ROW()-1,装备库!$AK$2:$AK$2022,0),COLUMN()),"")</f>
        <v>8_47963</v>
      </c>
      <c r="C548" t="str">
        <f>IFERROR(INDEX(装备库!$A$2:$E$2022,MATCH(ROW()-1,装备库!$AK$2:$AK$2022,0),5),"")</f>
        <v>洄浏佩(32200会无)</v>
      </c>
    </row>
    <row r="549" spans="1:3">
      <c r="A549" t="str">
        <f>IFERROR(INDEX(装备库!$A$2:$E$2022,MATCH(ROW()-1,装备库!$AK$2:$AK$2022,0),COLUMN()),"")</f>
        <v>腰坠</v>
      </c>
      <c r="B549" t="str">
        <f>IFERROR(INDEX(装备库!$A$2:$E$2022,MATCH(ROW()-1,装备库!$AK$2:$AK$2022,0),COLUMN()),"")</f>
        <v>8_47800</v>
      </c>
      <c r="C549" t="str">
        <f>IFERROR(INDEX(装备库!$A$2:$E$2022,MATCH(ROW()-1,装备库!$AK$2:$AK$2022,0),5),"")</f>
        <v>晚风佩(32300橙·招无)</v>
      </c>
    </row>
    <row r="550" spans="1:3">
      <c r="A550" t="str">
        <f>IFERROR(INDEX(装备库!$A$2:$E$2022,MATCH(ROW()-1,装备库!$AK$2:$AK$2022,0),COLUMN()),"")</f>
        <v>腰坠</v>
      </c>
      <c r="B550" t="str">
        <f>IFERROR(INDEX(装备库!$A$2:$E$2022,MATCH(ROW()-1,装备库!$AK$2:$AK$2022,0),COLUMN()),"")</f>
        <v>8_47806</v>
      </c>
      <c r="C550" t="str">
        <f>IFERROR(INDEX(装备库!$A$2:$E$2022,MATCH(ROW()-1,装备库!$AK$2:$AK$2022,0),5),"")</f>
        <v>九衢交驰(32300橙·特效破无)</v>
      </c>
    </row>
    <row r="551" spans="1:3">
      <c r="A551" t="str">
        <f>IFERROR(INDEX(装备库!$A$2:$E$2022,MATCH(ROW()-1,装备库!$AK$2:$AK$2022,0),COLUMN()),"")</f>
        <v>腰坠</v>
      </c>
      <c r="B551" t="str">
        <f>IFERROR(INDEX(装备库!$A$2:$E$2022,MATCH(ROW()-1,装备库!$AK$2:$AK$2022,0),COLUMN()),"")</f>
        <v>8_47794</v>
      </c>
      <c r="C551" t="str">
        <f>IFERROR(INDEX(装备库!$A$2:$E$2022,MATCH(ROW()-1,装备库!$AK$2:$AK$2022,0),5),"")</f>
        <v>天风佩(32300橙·速无)</v>
      </c>
    </row>
    <row r="552" spans="1:3">
      <c r="A552" t="str">
        <f>IFERROR(INDEX(装备库!$A$2:$E$2022,MATCH(ROW()-1,装备库!$AK$2:$AK$2022,0),COLUMN()),"")</f>
        <v>腰坠</v>
      </c>
      <c r="B552" t="str">
        <f>IFERROR(INDEX(装备库!$A$2:$E$2022,MATCH(ROW()-1,装备库!$AK$2:$AK$2022,0),COLUMN()),"")</f>
        <v>8_47824</v>
      </c>
      <c r="C552" t="str">
        <f>IFERROR(INDEX(装备库!$A$2:$E$2022,MATCH(ROW()-1,装备库!$AK$2:$AK$2022,0),5),"")</f>
        <v>无修坠·外·地(32300橙·特效精简会无)</v>
      </c>
    </row>
    <row r="553" spans="1:3">
      <c r="A553" t="str">
        <f>IFERROR(INDEX(装备库!$A$2:$E$2022,MATCH(ROW()-1,装备库!$AK$2:$AK$2022,0),COLUMN()),"")</f>
        <v>腰坠</v>
      </c>
      <c r="B553" t="str">
        <f>IFERROR(INDEX(装备库!$A$2:$E$2022,MATCH(ROW()-1,装备库!$AK$2:$AK$2022,0),COLUMN()),"")</f>
        <v>8_47825</v>
      </c>
      <c r="C553" t="str">
        <f>IFERROR(INDEX(装备库!$A$2:$E$2022,MATCH(ROW()-1,装备库!$AK$2:$AK$2022,0),5),"")</f>
        <v>无修坠·外·地(32300橙·特效精简会破无)</v>
      </c>
    </row>
    <row r="554" spans="1:3">
      <c r="A554" t="str">
        <f>IFERROR(INDEX(装备库!$A$2:$E$2022,MATCH(ROW()-1,装备库!$AK$2:$AK$2022,0),COLUMN()),"")</f>
        <v>腰坠</v>
      </c>
      <c r="B554" t="str">
        <f>IFERROR(INDEX(装备库!$A$2:$E$2022,MATCH(ROW()-1,装备库!$AK$2:$AK$2022,0),COLUMN()),"")</f>
        <v>8_47826</v>
      </c>
      <c r="C554" t="str">
        <f>IFERROR(INDEX(装备库!$A$2:$E$2022,MATCH(ROW()-1,装备库!$AK$2:$AK$2022,0),5),"")</f>
        <v>无修坠·外·地(32300橙·特效精简会会无)</v>
      </c>
    </row>
    <row r="555" spans="1:3">
      <c r="A555" t="str">
        <f>IFERROR(INDEX(装备库!$A$2:$E$2022,MATCH(ROW()-1,装备库!$AK$2:$AK$2022,0),COLUMN()),"")</f>
        <v>腰坠</v>
      </c>
      <c r="B555" t="str">
        <f>IFERROR(INDEX(装备库!$A$2:$E$2022,MATCH(ROW()-1,装备库!$AK$2:$AK$2022,0),COLUMN()),"")</f>
        <v>8_44464</v>
      </c>
      <c r="C555" t="str">
        <f>IFERROR(INDEX(装备库!$A$2:$E$2022,MATCH(ROW()-1,装备库!$AK$2:$AK$2022,0),5),"")</f>
        <v>无修坠·外·地(32500特效精简招破无)</v>
      </c>
    </row>
    <row r="556" spans="1:3">
      <c r="A556" t="str">
        <f>IFERROR(INDEX(装备库!$A$2:$E$2022,MATCH(ROW()-1,装备库!$AK$2:$AK$2022,0),COLUMN()),"")</f>
        <v>腰坠</v>
      </c>
      <c r="B556" t="str">
        <f>IFERROR(INDEX(装备库!$A$2:$E$2022,MATCH(ROW()-1,装备库!$AK$2:$AK$2022,0),COLUMN()),"")</f>
        <v>8_44463</v>
      </c>
      <c r="C556" t="str">
        <f>IFERROR(INDEX(装备库!$A$2:$E$2022,MATCH(ROW()-1,装备库!$AK$2:$AK$2022,0),5),"")</f>
        <v>无修坠·外·地(32500特效精简无)</v>
      </c>
    </row>
    <row r="557" spans="1:3">
      <c r="A557" t="str">
        <f>IFERROR(INDEX(装备库!$A$2:$E$2022,MATCH(ROW()-1,装备库!$AK$2:$AK$2022,0),COLUMN()),"")</f>
        <v>腰坠</v>
      </c>
      <c r="B557" t="str">
        <f>IFERROR(INDEX(装备库!$A$2:$E$2022,MATCH(ROW()-1,装备库!$AK$2:$AK$2022,0),COLUMN()),"")</f>
        <v>8_44465</v>
      </c>
      <c r="C557" t="str">
        <f>IFERROR(INDEX(装备库!$A$2:$E$2022,MATCH(ROW()-1,装备库!$AK$2:$AK$2022,0),5),"")</f>
        <v>无修坠·外·地(32500特效精简会会无)</v>
      </c>
    </row>
    <row r="558" spans="1:3">
      <c r="A558" t="str">
        <f>IFERROR(INDEX(装备库!$A$2:$E$2022,MATCH(ROW()-1,装备库!$AK$2:$AK$2022,0),COLUMN()),"")</f>
        <v>腰坠</v>
      </c>
      <c r="B558" t="str">
        <f>IFERROR(INDEX(装备库!$A$2:$E$2022,MATCH(ROW()-1,装备库!$AK$2:$AK$2022,0),COLUMN()),"")</f>
        <v>8_47812</v>
      </c>
      <c r="C558" t="str">
        <f>IFERROR(INDEX(装备库!$A$2:$E$2022,MATCH(ROW()-1,装备库!$AK$2:$AK$2022,0),5),"")</f>
        <v>崔错坠(32800橙·会无)</v>
      </c>
    </row>
    <row r="559" spans="1:3">
      <c r="A559" t="str">
        <f>IFERROR(INDEX(装备库!$A$2:$E$2022,MATCH(ROW()-1,装备库!$AK$2:$AK$2022,0),COLUMN()),"")</f>
        <v>腰坠</v>
      </c>
      <c r="B559" t="str">
        <f>IFERROR(INDEX(装备库!$A$2:$E$2022,MATCH(ROW()-1,装备库!$AK$2:$AK$2022,0),COLUMN()),"")</f>
        <v>8_44409</v>
      </c>
      <c r="C559" t="str">
        <f>IFERROR(INDEX(装备库!$A$2:$E$2022,MATCH(ROW()-1,装备库!$AK$2:$AK$2022,0),5),"")</f>
        <v>崔错坠(33000会无)</v>
      </c>
    </row>
    <row r="560" spans="1:3">
      <c r="A560" t="str">
        <f>IFERROR(INDEX(装备库!$A$2:$E$2022,MATCH(ROW()-1,装备库!$AK$2:$AK$2022,0),COLUMN()),"")</f>
        <v>腰坠</v>
      </c>
      <c r="B560" t="str">
        <f>IFERROR(INDEX(装备库!$A$2:$E$2022,MATCH(ROW()-1,装备库!$AK$2:$AK$2022,0),COLUMN()),"")</f>
        <v>8_44314</v>
      </c>
      <c r="C560" t="str">
        <f>IFERROR(INDEX(装备库!$A$2:$E$2022,MATCH(ROW()-1,装备库!$AK$2:$AK$2022,0),5),"")</f>
        <v>晚风佩(35300招无)</v>
      </c>
    </row>
    <row r="561" spans="1:3">
      <c r="A561" t="str">
        <f>IFERROR(INDEX(装备库!$A$2:$E$2022,MATCH(ROW()-1,装备库!$AK$2:$AK$2022,0),COLUMN()),"")</f>
        <v>腰坠</v>
      </c>
      <c r="B561" t="str">
        <f>IFERROR(INDEX(装备库!$A$2:$E$2022,MATCH(ROW()-1,装备库!$AK$2:$AK$2022,0),COLUMN()),"")</f>
        <v>8_44338</v>
      </c>
      <c r="C561" t="str">
        <f>IFERROR(INDEX(装备库!$A$2:$E$2022,MATCH(ROW()-1,装备库!$AK$2:$AK$2022,0),5),"")</f>
        <v>九衢交驰(35300特效破无)</v>
      </c>
    </row>
    <row r="562" spans="1:3">
      <c r="A562" t="str">
        <f>IFERROR(INDEX(装备库!$A$2:$E$2022,MATCH(ROW()-1,装备库!$AK$2:$AK$2022,0),COLUMN()),"")</f>
        <v>腰坠</v>
      </c>
      <c r="B562" t="str">
        <f>IFERROR(INDEX(装备库!$A$2:$E$2022,MATCH(ROW()-1,装备库!$AK$2:$AK$2022,0),COLUMN()),"")</f>
        <v>8_44296</v>
      </c>
      <c r="C562" t="str">
        <f>IFERROR(INDEX(装备库!$A$2:$E$2022,MATCH(ROW()-1,装备库!$AK$2:$AK$2022,0),5),"")</f>
        <v>天风佩(35300速无)</v>
      </c>
    </row>
    <row r="563" spans="1:3">
      <c r="A563" t="str">
        <f>IFERROR(INDEX(装备库!$A$2:$E$2022,MATCH(ROW()-1,装备库!$AK$2:$AK$2022,0),COLUMN()),"")</f>
        <v>腰坠</v>
      </c>
      <c r="B563" t="str">
        <f>IFERROR(INDEX(装备库!$A$2:$E$2022,MATCH(ROW()-1,装备库!$AK$2:$AK$2022,0),COLUMN()),"")</f>
        <v>8_44475</v>
      </c>
      <c r="C563" t="str">
        <f>IFERROR(INDEX(装备库!$A$2:$E$2022,MATCH(ROW()-1,装备库!$AK$2:$AK$2022,0),5),"")</f>
        <v>无修坠·外·地(35300特效精简会无)</v>
      </c>
    </row>
    <row r="564" spans="1:3">
      <c r="A564" t="str">
        <f>IFERROR(INDEX(装备库!$A$2:$E$2022,MATCH(ROW()-1,装备库!$AK$2:$AK$2022,0),COLUMN()),"")</f>
        <v>腰坠</v>
      </c>
      <c r="B564" t="str">
        <f>IFERROR(INDEX(装备库!$A$2:$E$2022,MATCH(ROW()-1,装备库!$AK$2:$AK$2022,0),COLUMN()),"")</f>
        <v>8_44476</v>
      </c>
      <c r="C564" t="str">
        <f>IFERROR(INDEX(装备库!$A$2:$E$2022,MATCH(ROW()-1,装备库!$AK$2:$AK$2022,0),5),"")</f>
        <v>无修坠·外·地(35300特效精简会破无)</v>
      </c>
    </row>
    <row r="565" spans="1:3">
      <c r="A565" t="str">
        <f>IFERROR(INDEX(装备库!$A$2:$E$2022,MATCH(ROW()-1,装备库!$AK$2:$AK$2022,0),COLUMN()),"")</f>
        <v>腰坠</v>
      </c>
      <c r="B565" t="str">
        <f>IFERROR(INDEX(装备库!$A$2:$E$2022,MATCH(ROW()-1,装备库!$AK$2:$AK$2022,0),COLUMN()),"")</f>
        <v>8_44477</v>
      </c>
      <c r="C565" t="str">
        <f>IFERROR(INDEX(装备库!$A$2:$E$2022,MATCH(ROW()-1,装备库!$AK$2:$AK$2022,0),5),"")</f>
        <v>无修坠·外·地(35300特效精简会会无)</v>
      </c>
    </row>
    <row r="566" spans="1:3">
      <c r="A566" t="str">
        <f>IFERROR(INDEX(装备库!$A$2:$E$2022,MATCH(ROW()-1,装备库!$AK$2:$AK$2022,0),COLUMN()),"")</f>
        <v>腰坠</v>
      </c>
      <c r="B566" t="str">
        <f>IFERROR(INDEX(装备库!$A$2:$E$2022,MATCH(ROW()-1,装备库!$AK$2:$AK$2022,0),COLUMN()),"")</f>
        <v>8_47975</v>
      </c>
      <c r="C566" t="str">
        <f>IFERROR(INDEX(装备库!$A$2:$E$2022,MATCH(ROW()-1,装备库!$AK$2:$AK$2022,0),5),"")</f>
        <v>洄浏佩(35500会无)</v>
      </c>
    </row>
    <row r="567" spans="1:3">
      <c r="A567" t="str">
        <f>IFERROR(INDEX(装备库!$A$2:$E$2022,MATCH(ROW()-1,装备库!$AK$2:$AK$2022,0),COLUMN()),"")</f>
        <v>腰坠</v>
      </c>
      <c r="B567" t="str">
        <f>IFERROR(INDEX(装备库!$A$2:$E$2022,MATCH(ROW()-1,装备库!$AK$2:$AK$2022,0),COLUMN()),"")</f>
        <v>8_44421</v>
      </c>
      <c r="C567" t="str">
        <f>IFERROR(INDEX(装备库!$A$2:$E$2022,MATCH(ROW()-1,装备库!$AK$2:$AK$2022,0),5),"")</f>
        <v>崔错坠(35900会无)</v>
      </c>
    </row>
    <row r="568" spans="1:3">
      <c r="A568" t="str">
        <f>IFERROR(INDEX(装备库!$A$2:$E$2022,MATCH(ROW()-1,装备库!$AK$2:$AK$2022,0),COLUMN()),"")</f>
        <v>腰坠</v>
      </c>
      <c r="B568" t="str">
        <f>IFERROR(INDEX(装备库!$A$2:$E$2022,MATCH(ROW()-1,装备库!$AK$2:$AK$2022,0),COLUMN()),"")</f>
        <v>8_45432</v>
      </c>
      <c r="C568" t="str">
        <f>IFERROR(INDEX(装备库!$A$2:$E$2022,MATCH(ROW()-1,装备库!$AK$2:$AK$2022,0),5),"")</f>
        <v>陶然意·折柳坠(36200会全)</v>
      </c>
    </row>
    <row r="569" spans="1:3">
      <c r="A569" t="str">
        <f>IFERROR(INDEX(装备库!$A$2:$E$2022,MATCH(ROW()-1,装备库!$AK$2:$AK$2022,0),COLUMN()),"")</f>
        <v>腰坠</v>
      </c>
      <c r="B569" t="str">
        <f>IFERROR(INDEX(装备库!$A$2:$E$2022,MATCH(ROW()-1,装备库!$AK$2:$AK$2022,0),COLUMN()),"")</f>
        <v>8_49065</v>
      </c>
      <c r="C569" t="str">
        <f>IFERROR(INDEX(装备库!$A$2:$E$2022,MATCH(ROW()-1,装备库!$AK$2:$AK$2022,0),5),"")</f>
        <v>流漓佩(37900橙·招无)</v>
      </c>
    </row>
    <row r="570" spans="1:3">
      <c r="A570" t="str">
        <f>IFERROR(INDEX(装备库!$A$2:$E$2022,MATCH(ROW()-1,装备库!$AK$2:$AK$2022,0),COLUMN()),"")</f>
        <v>腰坠</v>
      </c>
      <c r="B570" t="str">
        <f>IFERROR(INDEX(装备库!$A$2:$E$2022,MATCH(ROW()-1,装备库!$AK$2:$AK$2022,0),COLUMN()),"")</f>
        <v>8_49071</v>
      </c>
      <c r="C570" t="str">
        <f>IFERROR(INDEX(装备库!$A$2:$E$2022,MATCH(ROW()-1,装备库!$AK$2:$AK$2022,0),5),"")</f>
        <v>掠影凰(37900橙·特效破无)</v>
      </c>
    </row>
    <row r="571" spans="1:3">
      <c r="A571" t="str">
        <f>IFERROR(INDEX(装备库!$A$2:$E$2022,MATCH(ROW()-1,装备库!$AK$2:$AK$2022,0),COLUMN()),"")</f>
        <v>腰坠</v>
      </c>
      <c r="B571" t="str">
        <f>IFERROR(INDEX(装备库!$A$2:$E$2022,MATCH(ROW()-1,装备库!$AK$2:$AK$2022,0),COLUMN()),"")</f>
        <v>8_49059</v>
      </c>
      <c r="C571" t="str">
        <f>IFERROR(INDEX(装备库!$A$2:$E$2022,MATCH(ROW()-1,装备库!$AK$2:$AK$2022,0),5),"")</f>
        <v>尘隐佩(37900橙·速无)</v>
      </c>
    </row>
    <row r="572" spans="1:3">
      <c r="A572" t="str">
        <f>IFERROR(INDEX(装备库!$A$2:$E$2022,MATCH(ROW()-1,装备库!$AK$2:$AK$2022,0),COLUMN()),"")</f>
        <v>腰坠</v>
      </c>
      <c r="B572" t="str">
        <f>IFERROR(INDEX(装备库!$A$2:$E$2022,MATCH(ROW()-1,装备库!$AK$2:$AK$2022,0),COLUMN()),"")</f>
        <v>8_49090</v>
      </c>
      <c r="C572" t="str">
        <f>IFERROR(INDEX(装备库!$A$2:$E$2022,MATCH(ROW()-1,装备库!$AK$2:$AK$2022,0),5),"")</f>
        <v>无修坠·外·天(37900橙·特效精简招无)</v>
      </c>
    </row>
    <row r="573" spans="1:3">
      <c r="A573" t="str">
        <f>IFERROR(INDEX(装备库!$A$2:$E$2022,MATCH(ROW()-1,装备库!$AK$2:$AK$2022,0),COLUMN()),"")</f>
        <v>腰坠</v>
      </c>
      <c r="B573" t="str">
        <f>IFERROR(INDEX(装备库!$A$2:$E$2022,MATCH(ROW()-1,装备库!$AK$2:$AK$2022,0),COLUMN()),"")</f>
        <v>8_49089</v>
      </c>
      <c r="C573" t="str">
        <f>IFERROR(INDEX(装备库!$A$2:$E$2022,MATCH(ROW()-1,装备库!$AK$2:$AK$2022,0),5),"")</f>
        <v>无修坠·外·天(37900橙·特效精简破无)</v>
      </c>
    </row>
    <row r="574" spans="1:3">
      <c r="A574" t="str">
        <f>IFERROR(INDEX(装备库!$A$2:$E$2022,MATCH(ROW()-1,装备库!$AK$2:$AK$2022,0),COLUMN()),"")</f>
        <v>腰坠</v>
      </c>
      <c r="B574" t="str">
        <f>IFERROR(INDEX(装备库!$A$2:$E$2022,MATCH(ROW()-1,装备库!$AK$2:$AK$2022,0),COLUMN()),"")</f>
        <v>8_49091</v>
      </c>
      <c r="C574" t="str">
        <f>IFERROR(INDEX(装备库!$A$2:$E$2022,MATCH(ROW()-1,装备库!$AK$2:$AK$2022,0),5),"")</f>
        <v>无修坠·外·天(37900橙·特效精简会无)</v>
      </c>
    </row>
    <row r="575" spans="1:3">
      <c r="A575" t="str">
        <f>IFERROR(INDEX(装备库!$A$2:$E$2022,MATCH(ROW()-1,装备库!$AK$2:$AK$2022,0),COLUMN()),"")</f>
        <v>腰坠</v>
      </c>
      <c r="B575" t="str">
        <f>IFERROR(INDEX(装备库!$A$2:$E$2022,MATCH(ROW()-1,装备库!$AK$2:$AK$2022,0),COLUMN()),"")</f>
        <v>8_48043</v>
      </c>
      <c r="C575" t="str">
        <f>IFERROR(INDEX(装备库!$A$2:$E$2022,MATCH(ROW()-1,装备库!$AK$2:$AK$2022,0),5),"")</f>
        <v>无修坠·外·天(38100特效精简会招破无)</v>
      </c>
    </row>
    <row r="576" spans="1:3">
      <c r="A576" t="str">
        <f>IFERROR(INDEX(装备库!$A$2:$E$2022,MATCH(ROW()-1,装备库!$AK$2:$AK$2022,0),COLUMN()),"")</f>
        <v>腰坠</v>
      </c>
      <c r="B576" t="str">
        <f>IFERROR(INDEX(装备库!$A$2:$E$2022,MATCH(ROW()-1,装备库!$AK$2:$AK$2022,0),COLUMN()),"")</f>
        <v>8_48042</v>
      </c>
      <c r="C576" t="str">
        <f>IFERROR(INDEX(装备库!$A$2:$E$2022,MATCH(ROW()-1,装备库!$AK$2:$AK$2022,0),5),"")</f>
        <v>无修坠·外·天(38100特效精简会会招)</v>
      </c>
    </row>
    <row r="577" spans="1:3">
      <c r="A577" t="str">
        <f>IFERROR(INDEX(装备库!$A$2:$E$2022,MATCH(ROW()-1,装备库!$AK$2:$AK$2022,0),COLUMN()),"")</f>
        <v>腰坠</v>
      </c>
      <c r="B577" t="str">
        <f>IFERROR(INDEX(装备库!$A$2:$E$2022,MATCH(ROW()-1,装备库!$AK$2:$AK$2022,0),COLUMN()),"")</f>
        <v>8_48041</v>
      </c>
      <c r="C577" t="str">
        <f>IFERROR(INDEX(装备库!$A$2:$E$2022,MATCH(ROW()-1,装备库!$AK$2:$AK$2022,0),5),"")</f>
        <v>无修坠·外·天(38100特效精简会会无)</v>
      </c>
    </row>
    <row r="578" spans="1:3">
      <c r="A578" t="str">
        <f>IFERROR(INDEX(装备库!$A$2:$E$2022,MATCH(ROW()-1,装备库!$AK$2:$AK$2022,0),COLUMN()),"")</f>
        <v>腰坠</v>
      </c>
      <c r="B578" t="str">
        <f>IFERROR(INDEX(装备库!$A$2:$E$2022,MATCH(ROW()-1,装备库!$AK$2:$AK$2022,0),COLUMN()),"")</f>
        <v>8_49077</v>
      </c>
      <c r="C578" t="str">
        <f>IFERROR(INDEX(装备库!$A$2:$E$2022,MATCH(ROW()-1,装备库!$AK$2:$AK$2022,0),5),"")</f>
        <v>洄浏佩(38500橙·会无)</v>
      </c>
    </row>
    <row r="579" spans="1:3">
      <c r="A579" t="str">
        <f>IFERROR(INDEX(装备库!$A$2:$E$2022,MATCH(ROW()-1,装备库!$AK$2:$AK$2022,0),COLUMN()),"")</f>
        <v>腰坠</v>
      </c>
      <c r="B579" t="str">
        <f>IFERROR(INDEX(装备库!$A$2:$E$2022,MATCH(ROW()-1,装备库!$AK$2:$AK$2022,0),COLUMN()),"")</f>
        <v>8_47987</v>
      </c>
      <c r="C579" t="str">
        <f>IFERROR(INDEX(装备库!$A$2:$E$2022,MATCH(ROW()-1,装备库!$AK$2:$AK$2022,0),5),"")</f>
        <v>洄浏佩(38800会无)</v>
      </c>
    </row>
    <row r="580" spans="1:3">
      <c r="A580" t="str">
        <f>IFERROR(INDEX(装备库!$A$2:$E$2022,MATCH(ROW()-1,装备库!$AK$2:$AK$2022,0),COLUMN()),"")</f>
        <v>腰坠</v>
      </c>
      <c r="B580" t="str">
        <f>IFERROR(INDEX(装备库!$A$2:$E$2022,MATCH(ROW()-1,装备库!$AK$2:$AK$2022,0),COLUMN()),"")</f>
        <v>8_47892</v>
      </c>
      <c r="C580" t="str">
        <f>IFERROR(INDEX(装备库!$A$2:$E$2022,MATCH(ROW()-1,装备库!$AK$2:$AK$2022,0),5),"")</f>
        <v>流漓佩(41400招无)</v>
      </c>
    </row>
    <row r="581" spans="1:3">
      <c r="A581" t="str">
        <f>IFERROR(INDEX(装备库!$A$2:$E$2022,MATCH(ROW()-1,装备库!$AK$2:$AK$2022,0),COLUMN()),"")</f>
        <v>腰坠</v>
      </c>
      <c r="B581" t="str">
        <f>IFERROR(INDEX(装备库!$A$2:$E$2022,MATCH(ROW()-1,装备库!$AK$2:$AK$2022,0),COLUMN()),"")</f>
        <v>8_47916</v>
      </c>
      <c r="C581" t="str">
        <f>IFERROR(INDEX(装备库!$A$2:$E$2022,MATCH(ROW()-1,装备库!$AK$2:$AK$2022,0),5),"")</f>
        <v>掠影凰(41400特效破无)</v>
      </c>
    </row>
    <row r="582" spans="1:3">
      <c r="A582" t="str">
        <f>IFERROR(INDEX(装备库!$A$2:$E$2022,MATCH(ROW()-1,装备库!$AK$2:$AK$2022,0),COLUMN()),"")</f>
        <v>腰坠</v>
      </c>
      <c r="B582" t="str">
        <f>IFERROR(INDEX(装备库!$A$2:$E$2022,MATCH(ROW()-1,装备库!$AK$2:$AK$2022,0),COLUMN()),"")</f>
        <v>8_47874</v>
      </c>
      <c r="C582" t="str">
        <f>IFERROR(INDEX(装备库!$A$2:$E$2022,MATCH(ROW()-1,装备库!$AK$2:$AK$2022,0),5),"")</f>
        <v>尘隐佩(41400速无)</v>
      </c>
    </row>
    <row r="583" spans="1:3">
      <c r="A583" t="str">
        <f>IFERROR(INDEX(装备库!$A$2:$E$2022,MATCH(ROW()-1,装备库!$AK$2:$AK$2022,0),COLUMN()),"")</f>
        <v>腰坠</v>
      </c>
      <c r="B583" t="str">
        <f>IFERROR(INDEX(装备库!$A$2:$E$2022,MATCH(ROW()-1,装备库!$AK$2:$AK$2022,0),COLUMN()),"")</f>
        <v>8_48054</v>
      </c>
      <c r="C583" t="str">
        <f>IFERROR(INDEX(装备库!$A$2:$E$2022,MATCH(ROW()-1,装备库!$AK$2:$AK$2022,0),5),"")</f>
        <v>无修坠·外·天(41400特效精简招无)</v>
      </c>
    </row>
    <row r="584" spans="1:3">
      <c r="A584" t="str">
        <f>IFERROR(INDEX(装备库!$A$2:$E$2022,MATCH(ROW()-1,装备库!$AK$2:$AK$2022,0),COLUMN()),"")</f>
        <v>腰坠</v>
      </c>
      <c r="B584" t="str">
        <f>IFERROR(INDEX(装备库!$A$2:$E$2022,MATCH(ROW()-1,装备库!$AK$2:$AK$2022,0),COLUMN()),"")</f>
        <v>8_48053</v>
      </c>
      <c r="C584" t="str">
        <f>IFERROR(INDEX(装备库!$A$2:$E$2022,MATCH(ROW()-1,装备库!$AK$2:$AK$2022,0),5),"")</f>
        <v>无修坠·外·天(41400特效精简破无)</v>
      </c>
    </row>
    <row r="585" spans="1:3">
      <c r="A585" t="str">
        <f>IFERROR(INDEX(装备库!$A$2:$E$2022,MATCH(ROW()-1,装备库!$AK$2:$AK$2022,0),COLUMN()),"")</f>
        <v>腰坠</v>
      </c>
      <c r="B585" t="str">
        <f>IFERROR(INDEX(装备库!$A$2:$E$2022,MATCH(ROW()-1,装备库!$AK$2:$AK$2022,0),COLUMN()),"")</f>
        <v>8_48055</v>
      </c>
      <c r="C585" t="str">
        <f>IFERROR(INDEX(装备库!$A$2:$E$2022,MATCH(ROW()-1,装备库!$AK$2:$AK$2022,0),5),"")</f>
        <v>无修坠·外·天(41400特效精简会无)</v>
      </c>
    </row>
    <row r="586" spans="1:3">
      <c r="A586" t="str">
        <f>IFERROR(INDEX(装备库!$A$2:$E$2022,MATCH(ROW()-1,装备库!$AK$2:$AK$2022,0),COLUMN()),"")</f>
        <v>腰坠</v>
      </c>
      <c r="B586" t="str">
        <f>IFERROR(INDEX(装备库!$A$2:$E$2022,MATCH(ROW()-1,装备库!$AK$2:$AK$2022,0),COLUMN()),"")</f>
        <v>8_47999</v>
      </c>
      <c r="C586" t="str">
        <f>IFERROR(INDEX(装备库!$A$2:$E$2022,MATCH(ROW()-1,装备库!$AK$2:$AK$2022,0),5),"")</f>
        <v>洄浏佩(42100会无)</v>
      </c>
    </row>
    <row r="587" spans="1:3">
      <c r="A587" t="str">
        <f>IFERROR(INDEX(装备库!$A$2:$E$2022,MATCH(ROW()-1,装备库!$AK$2:$AK$2022,0),COLUMN()),"")</f>
        <v>腰坠</v>
      </c>
      <c r="B587" t="str">
        <f>IFERROR(INDEX(装备库!$A$2:$E$2022,MATCH(ROW()-1,装备库!$AK$2:$AK$2022,0),COLUMN()),"")</f>
        <v>8_49010</v>
      </c>
      <c r="C587" t="str">
        <f>IFERROR(INDEX(装备库!$A$2:$E$2022,MATCH(ROW()-1,装备库!$AK$2:$AK$2022,0),5),"")</f>
        <v>陶然意·烟峦佩(42400会全)</v>
      </c>
    </row>
    <row r="588" spans="1:3">
      <c r="A588" t="str">
        <f>IFERROR(INDEX(装备库!$A$2:$E$2022,MATCH(ROW()-1,装备库!$AK$2:$AK$2022,0),COLUMN()),"")</f>
        <v>重剑</v>
      </c>
      <c r="B588" t="str">
        <f>IFERROR(INDEX(装备库!$A$2:$E$2022,MATCH(ROW()-1,装备库!$AK$2:$AK$2022,0),COLUMN()),"")</f>
        <v>6_40177</v>
      </c>
      <c r="C588" t="str">
        <f>IFERROR(INDEX(装备库!$A$2:$E$2022,MATCH(ROW()-1,装备库!$AK$2:$AK$2022,0),5),"")</f>
        <v>寂夜听雷(21375大橙武)</v>
      </c>
    </row>
    <row r="589" spans="1:3">
      <c r="A589" t="str">
        <f>IFERROR(INDEX(装备库!$A$2:$E$2022,MATCH(ROW()-1,装备库!$AK$2:$AK$2022,0),COLUMN()),"")</f>
        <v>重剑</v>
      </c>
      <c r="B589" t="str">
        <f>IFERROR(INDEX(装备库!$A$2:$E$2022,MATCH(ROW()-1,装备库!$AK$2:$AK$2022,0),COLUMN()),"")</f>
        <v>6_40209</v>
      </c>
      <c r="C589" t="str">
        <f>IFERROR(INDEX(装备库!$A$2:$E$2022,MATCH(ROW()-1,装备库!$AK$2:$AK$2022,0),5),"")</f>
        <v>寂夜听雷(22875大橙武)</v>
      </c>
    </row>
    <row r="590" spans="1:3">
      <c r="A590" t="str">
        <f>IFERROR(INDEX(装备库!$A$2:$E$2022,MATCH(ROW()-1,装备库!$AK$2:$AK$2022,0),COLUMN()),"")</f>
        <v>重剑</v>
      </c>
      <c r="B590" t="str">
        <f>IFERROR(INDEX(装备库!$A$2:$E$2022,MATCH(ROW()-1,装备库!$AK$2:$AK$2022,0),COLUMN()),"")</f>
        <v>6_40241</v>
      </c>
      <c r="C590" t="str">
        <f>IFERROR(INDEX(装备库!$A$2:$E$2022,MATCH(ROW()-1,装备库!$AK$2:$AK$2022,0),5),"")</f>
        <v>寂夜听雷(24375大橙武)</v>
      </c>
    </row>
    <row r="591" spans="1:3">
      <c r="A591" t="str">
        <f>IFERROR(INDEX(装备库!$A$2:$E$2022,MATCH(ROW()-1,装备库!$AK$2:$AK$2022,0),COLUMN()),"")</f>
        <v>重剑</v>
      </c>
      <c r="B591" t="str">
        <f>IFERROR(INDEX(装备库!$A$2:$E$2022,MATCH(ROW()-1,装备库!$AK$2:$AK$2022,0),COLUMN()),"")</f>
        <v>6_44117</v>
      </c>
      <c r="C591" t="str">
        <f>IFERROR(INDEX(装备库!$A$2:$E$2022,MATCH(ROW()-1,装备库!$AK$2:$AK$2022,0),5),"")</f>
        <v>白夜火·归(24500小橙武)</v>
      </c>
    </row>
    <row r="592" spans="1:3">
      <c r="A592" t="str">
        <f>IFERROR(INDEX(装备库!$A$2:$E$2022,MATCH(ROW()-1,装备库!$AK$2:$AK$2022,0),COLUMN()),"")</f>
        <v>重剑</v>
      </c>
      <c r="B592" t="str">
        <f>IFERROR(INDEX(装备库!$A$2:$E$2022,MATCH(ROW()-1,装备库!$AK$2:$AK$2022,0),COLUMN()),"")</f>
        <v>6_40273</v>
      </c>
      <c r="C592" t="str">
        <f>IFERROR(INDEX(装备库!$A$2:$E$2022,MATCH(ROW()-1,装备库!$AK$2:$AK$2022,0),5),"")</f>
        <v>寂夜听雷(25940大橙武)</v>
      </c>
    </row>
    <row r="593" spans="1:3">
      <c r="A593" t="str">
        <f>IFERROR(INDEX(装备库!$A$2:$E$2022,MATCH(ROW()-1,装备库!$AK$2:$AK$2022,0),COLUMN()),"")</f>
        <v>重剑</v>
      </c>
      <c r="B593" t="str">
        <f>IFERROR(INDEX(装备库!$A$2:$E$2022,MATCH(ROW()-1,装备库!$AK$2:$AK$2022,0),COLUMN()),"")</f>
        <v>6_44150</v>
      </c>
      <c r="C593" t="str">
        <f>IFERROR(INDEX(装备库!$A$2:$E$2022,MATCH(ROW()-1,装备库!$AK$2:$AK$2022,0),5),"")</f>
        <v>白夜火·归(27000小橙武)</v>
      </c>
    </row>
    <row r="594" spans="1:3">
      <c r="A594" t="str">
        <f>IFERROR(INDEX(装备库!$A$2:$E$2022,MATCH(ROW()-1,装备库!$AK$2:$AK$2022,0),COLUMN()),"")</f>
        <v>重剑</v>
      </c>
      <c r="B594" t="str">
        <f>IFERROR(INDEX(装备库!$A$2:$E$2022,MATCH(ROW()-1,装备库!$AK$2:$AK$2022,0),COLUMN()),"")</f>
        <v>6_40305</v>
      </c>
      <c r="C594" t="str">
        <f>IFERROR(INDEX(装备库!$A$2:$E$2022,MATCH(ROW()-1,装备库!$AK$2:$AK$2022,0),5),"")</f>
        <v>寂夜听雷(27500大橙武)</v>
      </c>
    </row>
    <row r="595" spans="1:3">
      <c r="A595" t="str">
        <f>IFERROR(INDEX(装备库!$A$2:$E$2022,MATCH(ROW()-1,装备库!$AK$2:$AK$2022,0),COLUMN()),"")</f>
        <v>重剑</v>
      </c>
      <c r="B595" t="str">
        <f>IFERROR(INDEX(装备库!$A$2:$E$2022,MATCH(ROW()-1,装备库!$AK$2:$AK$2022,0),COLUMN()),"")</f>
        <v>6_44183</v>
      </c>
      <c r="C595" t="str">
        <f>IFERROR(INDEX(装备库!$A$2:$E$2022,MATCH(ROW()-1,装备库!$AK$2:$AK$2022,0),5),"")</f>
        <v>白夜火·归(29500小橙武)</v>
      </c>
    </row>
    <row r="596" spans="1:3">
      <c r="A596" t="str">
        <f>IFERROR(INDEX(装备库!$A$2:$E$2022,MATCH(ROW()-1,装备库!$AK$2:$AK$2022,0),COLUMN()),"")</f>
        <v>重剑</v>
      </c>
      <c r="B596" t="str">
        <f>IFERROR(INDEX(装备库!$A$2:$E$2022,MATCH(ROW()-1,装备库!$AK$2:$AK$2022,0),COLUMN()),"")</f>
        <v>6_42124</v>
      </c>
      <c r="C596" t="str">
        <f>IFERROR(INDEX(装备库!$A$2:$E$2022,MATCH(ROW()-1,装备库!$AK$2:$AK$2022,0),5),"")</f>
        <v>寂夜听雷(29575大橙武)</v>
      </c>
    </row>
    <row r="597" spans="1:3">
      <c r="A597" t="str">
        <f>IFERROR(INDEX(装备库!$A$2:$E$2022,MATCH(ROW()-1,装备库!$AK$2:$AK$2022,0),COLUMN()),"")</f>
        <v>重剑</v>
      </c>
      <c r="B597" t="str">
        <f>IFERROR(INDEX(装备库!$A$2:$E$2022,MATCH(ROW()-1,装备库!$AK$2:$AK$2022,0),COLUMN()),"")</f>
        <v>6_43659</v>
      </c>
      <c r="C597" t="str">
        <f>IFERROR(INDEX(装备库!$A$2:$E$2022,MATCH(ROW()-1,装备库!$AK$2:$AK$2022,0),5),"")</f>
        <v>别意重剑(30200速全)</v>
      </c>
    </row>
    <row r="598" spans="1:3">
      <c r="A598" t="str">
        <f>IFERROR(INDEX(装备库!$A$2:$E$2022,MATCH(ROW()-1,装备库!$AK$2:$AK$2022,0),COLUMN()),"")</f>
        <v>重剑</v>
      </c>
      <c r="B598" t="str">
        <f>IFERROR(INDEX(装备库!$A$2:$E$2022,MATCH(ROW()-1,装备库!$AK$2:$AK$2022,0),COLUMN()),"")</f>
        <v>6_43621</v>
      </c>
      <c r="C598" t="str">
        <f>IFERROR(INDEX(装备库!$A$2:$E$2022,MATCH(ROW()-1,装备库!$AK$2:$AK$2022,0),5),"")</f>
        <v>揽尽重剑(30200破全)</v>
      </c>
    </row>
    <row r="599" spans="1:3">
      <c r="A599" t="str">
        <f>IFERROR(INDEX(装备库!$A$2:$E$2022,MATCH(ROW()-1,装备库!$AK$2:$AK$2022,0),COLUMN()),"")</f>
        <v>重剑</v>
      </c>
      <c r="B599" t="str">
        <f>IFERROR(INDEX(装备库!$A$2:$E$2022,MATCH(ROW()-1,装备库!$AK$2:$AK$2022,0),COLUMN()),"")</f>
        <v>6_45651</v>
      </c>
      <c r="C599" t="str">
        <f>IFERROR(INDEX(装备库!$A$2:$E$2022,MATCH(ROW()-1,装备库!$AK$2:$AK$2022,0),5),"")</f>
        <v>臻泽重剑·外(30200破全)</v>
      </c>
    </row>
    <row r="600" spans="1:3">
      <c r="A600" t="str">
        <f>IFERROR(INDEX(装备库!$A$2:$E$2022,MATCH(ROW()-1,装备库!$AK$2:$AK$2022,0),COLUMN()),"")</f>
        <v>重剑</v>
      </c>
      <c r="B600" t="str">
        <f>IFERROR(INDEX(装备库!$A$2:$E$2022,MATCH(ROW()-1,装备库!$AK$2:$AK$2022,0),COLUMN()),"")</f>
        <v>6_43390</v>
      </c>
      <c r="C600" t="str">
        <f>IFERROR(INDEX(装备库!$A$2:$E$2022,MATCH(ROW()-1,装备库!$AK$2:$AK$2022,0),5),"")</f>
        <v>孤城惊梦·寄锋重剑(30200破无)</v>
      </c>
    </row>
    <row r="601" spans="1:3">
      <c r="A601" t="str">
        <f>IFERROR(INDEX(装备库!$A$2:$E$2022,MATCH(ROW()-1,装备库!$AK$2:$AK$2022,0),COLUMN()),"")</f>
        <v>重剑</v>
      </c>
      <c r="B601" t="str">
        <f>IFERROR(INDEX(装备库!$A$2:$E$2022,MATCH(ROW()-1,装备库!$AK$2:$AK$2022,0),COLUMN()),"")</f>
        <v>6_41256</v>
      </c>
      <c r="C601" t="str">
        <f>IFERROR(INDEX(装备库!$A$2:$E$2022,MATCH(ROW()-1,装备库!$AK$2:$AK$2022,0),5),"")</f>
        <v>穆如重剑(30200招无)</v>
      </c>
    </row>
    <row r="602" spans="1:3">
      <c r="A602" t="str">
        <f>IFERROR(INDEX(装备库!$A$2:$E$2022,MATCH(ROW()-1,装备库!$AK$2:$AK$2022,0),COLUMN()),"")</f>
        <v>重剑</v>
      </c>
      <c r="B602" t="str">
        <f>IFERROR(INDEX(装备库!$A$2:$E$2022,MATCH(ROW()-1,装备库!$AK$2:$AK$2022,0),COLUMN()),"")</f>
        <v>6_41272</v>
      </c>
      <c r="C602" t="str">
        <f>IFERROR(INDEX(装备库!$A$2:$E$2022,MATCH(ROW()-1,装备库!$AK$2:$AK$2022,0),5),"")</f>
        <v>烟雨淬锋(30200特效破无)</v>
      </c>
    </row>
    <row r="603" spans="1:3">
      <c r="A603" t="str">
        <f>IFERROR(INDEX(装备库!$A$2:$E$2022,MATCH(ROW()-1,装备库!$AK$2:$AK$2022,0),COLUMN()),"")</f>
        <v>重剑</v>
      </c>
      <c r="B603" t="str">
        <f>IFERROR(INDEX(装备库!$A$2:$E$2022,MATCH(ROW()-1,装备库!$AK$2:$AK$2022,0),COLUMN()),"")</f>
        <v>6_40946</v>
      </c>
      <c r="C603" t="str">
        <f>IFERROR(INDEX(装备库!$A$2:$E$2022,MATCH(ROW()-1,装备库!$AK$2:$AK$2022,0),5),"")</f>
        <v>隐华重剑(30200速无)</v>
      </c>
    </row>
    <row r="604" spans="1:3">
      <c r="A604" t="str">
        <f>IFERROR(INDEX(装备库!$A$2:$E$2022,MATCH(ROW()-1,装备库!$AK$2:$AK$2022,0),COLUMN()),"")</f>
        <v>重剑</v>
      </c>
      <c r="B604" t="str">
        <f>IFERROR(INDEX(装备库!$A$2:$E$2022,MATCH(ROW()-1,装备库!$AK$2:$AK$2022,0),COLUMN()),"")</f>
        <v>6_40900</v>
      </c>
      <c r="C604" t="str">
        <f>IFERROR(INDEX(装备库!$A$2:$E$2022,MATCH(ROW()-1,装备库!$AK$2:$AK$2022,0),5),"")</f>
        <v>流安重剑(30200破无)</v>
      </c>
    </row>
    <row r="605" spans="1:3">
      <c r="A605" t="str">
        <f>IFERROR(INDEX(装备库!$A$2:$E$2022,MATCH(ROW()-1,装备库!$AK$2:$AK$2022,0),COLUMN()),"")</f>
        <v>重剑</v>
      </c>
      <c r="B605" t="str">
        <f>IFERROR(INDEX(装备库!$A$2:$E$2022,MATCH(ROW()-1,装备库!$AK$2:$AK$2022,0),COLUMN()),"")</f>
        <v>6_40597</v>
      </c>
      <c r="C605" t="str">
        <f>IFERROR(INDEX(装备库!$A$2:$E$2022,MATCH(ROW()-1,装备库!$AK$2:$AK$2022,0),5),"")</f>
        <v>华烛重剑(30200会无)</v>
      </c>
    </row>
    <row r="606" spans="1:3">
      <c r="A606" t="str">
        <f>IFERROR(INDEX(装备库!$A$2:$E$2022,MATCH(ROW()-1,装备库!$AK$2:$AK$2022,0),COLUMN()),"")</f>
        <v>重剑</v>
      </c>
      <c r="B606" t="str">
        <f>IFERROR(INDEX(装备库!$A$2:$E$2022,MATCH(ROW()-1,装备库!$AK$2:$AK$2022,0),COLUMN()),"")</f>
        <v>6_41216</v>
      </c>
      <c r="C606" t="str">
        <f>IFERROR(INDEX(装备库!$A$2:$E$2022,MATCH(ROW()-1,装备库!$AK$2:$AK$2022,0),5),"")</f>
        <v>夕岚重剑(30200会无)</v>
      </c>
    </row>
    <row r="607" spans="1:3">
      <c r="A607" t="str">
        <f>IFERROR(INDEX(装备库!$A$2:$E$2022,MATCH(ROW()-1,装备库!$AK$2:$AK$2022,0),COLUMN()),"")</f>
        <v>重剑</v>
      </c>
      <c r="B607" t="str">
        <f>IFERROR(INDEX(装备库!$A$2:$E$2022,MATCH(ROW()-1,装备库!$AK$2:$AK$2022,0),COLUMN()),"")</f>
        <v>6_41372</v>
      </c>
      <c r="C607" t="str">
        <f>IFERROR(INDEX(装备库!$A$2:$E$2022,MATCH(ROW()-1,装备库!$AK$2:$AK$2022,0),5),"")</f>
        <v>金泉(30200招无)</v>
      </c>
    </row>
    <row r="608" spans="1:3">
      <c r="A608" t="str">
        <f>IFERROR(INDEX(装备库!$A$2:$E$2022,MATCH(ROW()-1,装备库!$AK$2:$AK$2022,0),COLUMN()),"")</f>
        <v>重剑</v>
      </c>
      <c r="B608" t="str">
        <f>IFERROR(INDEX(装备库!$A$2:$E$2022,MATCH(ROW()-1,装备库!$AK$2:$AK$2022,0),COLUMN()),"")</f>
        <v>6_42608</v>
      </c>
      <c r="C608" t="str">
        <f>IFERROR(INDEX(装备库!$A$2:$E$2022,MATCH(ROW()-1,装备库!$AK$2:$AK$2022,0),5),"")</f>
        <v>寻踪觅宝·重泉重剑(30200招无)</v>
      </c>
    </row>
    <row r="609" spans="1:3">
      <c r="A609" t="str">
        <f>IFERROR(INDEX(装备库!$A$2:$E$2022,MATCH(ROW()-1,装备库!$AK$2:$AK$2022,0),COLUMN()),"")</f>
        <v>重剑</v>
      </c>
      <c r="B609" t="str">
        <f>IFERROR(INDEX(装备库!$A$2:$E$2022,MATCH(ROW()-1,装备库!$AK$2:$AK$2022,0),COLUMN()),"")</f>
        <v>6_42086</v>
      </c>
      <c r="C609" t="str">
        <f>IFERROR(INDEX(装备库!$A$2:$E$2022,MATCH(ROW()-1,装备库!$AK$2:$AK$2022,0),5),"")</f>
        <v>陶然意·谧秋重剑(30700破全)</v>
      </c>
    </row>
    <row r="610" spans="1:3">
      <c r="A610" t="str">
        <f>IFERROR(INDEX(装备库!$A$2:$E$2022,MATCH(ROW()-1,装备库!$AK$2:$AK$2022,0),COLUMN()),"")</f>
        <v>重剑</v>
      </c>
      <c r="B610" t="str">
        <f>IFERROR(INDEX(装备库!$A$2:$E$2022,MATCH(ROW()-1,装备库!$AK$2:$AK$2022,0),COLUMN()),"")</f>
        <v>6_42501</v>
      </c>
      <c r="C610" t="str">
        <f>IFERROR(INDEX(装备库!$A$2:$E$2022,MATCH(ROW()-1,装备库!$AK$2:$AK$2022,0),5),"")</f>
        <v>岚尘金蛇(30700特效会无)</v>
      </c>
    </row>
    <row r="611" spans="1:3">
      <c r="A611" t="str">
        <f>IFERROR(INDEX(装备库!$A$2:$E$2022,MATCH(ROW()-1,装备库!$AK$2:$AK$2022,0),COLUMN()),"")</f>
        <v>重剑</v>
      </c>
      <c r="B611" t="str">
        <f>IFERROR(INDEX(装备库!$A$2:$E$2022,MATCH(ROW()-1,装备库!$AK$2:$AK$2022,0),COLUMN()),"")</f>
        <v>6_41310</v>
      </c>
      <c r="C611" t="str">
        <f>IFERROR(INDEX(装备库!$A$2:$E$2022,MATCH(ROW()-1,装备库!$AK$2:$AK$2022,0),5),"")</f>
        <v>云作雪(30700会无)</v>
      </c>
    </row>
    <row r="612" spans="1:3">
      <c r="A612" t="str">
        <f>IFERROR(INDEX(装备库!$A$2:$E$2022,MATCH(ROW()-1,装备库!$AK$2:$AK$2022,0),COLUMN()),"")</f>
        <v>重剑</v>
      </c>
      <c r="B612" t="str">
        <f>IFERROR(INDEX(装备库!$A$2:$E$2022,MATCH(ROW()-1,装备库!$AK$2:$AK$2022,0),COLUMN()),"")</f>
        <v>6_42156</v>
      </c>
      <c r="C612" t="str">
        <f>IFERROR(INDEX(装备库!$A$2:$E$2022,MATCH(ROW()-1,装备库!$AK$2:$AK$2022,0),5),"")</f>
        <v>寂夜听雷(31625大橙武)</v>
      </c>
    </row>
    <row r="613" spans="1:3">
      <c r="A613" t="str">
        <f>IFERROR(INDEX(装备库!$A$2:$E$2022,MATCH(ROW()-1,装备库!$AK$2:$AK$2022,0),COLUMN()),"")</f>
        <v>重剑</v>
      </c>
      <c r="B613" t="str">
        <f>IFERROR(INDEX(装备库!$A$2:$E$2022,MATCH(ROW()-1,装备库!$AK$2:$AK$2022,0),COLUMN()),"")</f>
        <v>6_44216</v>
      </c>
      <c r="C613" t="str">
        <f>IFERROR(INDEX(装备库!$A$2:$E$2022,MATCH(ROW()-1,装备库!$AK$2:$AK$2022,0),5),"")</f>
        <v>白夜火·归(32000小橙武)</v>
      </c>
    </row>
    <row r="614" spans="1:3">
      <c r="A614" t="str">
        <f>IFERROR(INDEX(装备库!$A$2:$E$2022,MATCH(ROW()-1,装备库!$AK$2:$AK$2022,0),COLUMN()),"")</f>
        <v>重剑</v>
      </c>
      <c r="B614" t="str">
        <f>IFERROR(INDEX(装备库!$A$2:$E$2022,MATCH(ROW()-1,装备库!$AK$2:$AK$2022,0),COLUMN()),"")</f>
        <v>6_43786</v>
      </c>
      <c r="C614" t="str">
        <f>IFERROR(INDEX(装备库!$A$2:$E$2022,MATCH(ROW()-1,装备库!$AK$2:$AK$2022,0),5),"")</f>
        <v>娄泉重剑(32500会无)</v>
      </c>
    </row>
    <row r="615" spans="1:3">
      <c r="A615" t="str">
        <f>IFERROR(INDEX(装备库!$A$2:$E$2022,MATCH(ROW()-1,装备库!$AK$2:$AK$2022,0),COLUMN()),"")</f>
        <v>重剑</v>
      </c>
      <c r="B615" t="str">
        <f>IFERROR(INDEX(装备库!$A$2:$E$2022,MATCH(ROW()-1,装备库!$AK$2:$AK$2022,0),COLUMN()),"")</f>
        <v>6_44084</v>
      </c>
      <c r="C615" t="str">
        <f>IFERROR(INDEX(装备库!$A$2:$E$2022,MATCH(ROW()-1,装备库!$AK$2:$AK$2022,0),5),"")</f>
        <v>青衣子母剑·重(33400特效招无)</v>
      </c>
    </row>
    <row r="616" spans="1:3">
      <c r="A616" t="str">
        <f>IFERROR(INDEX(装备库!$A$2:$E$2022,MATCH(ROW()-1,装备库!$AK$2:$AK$2022,0),COLUMN()),"")</f>
        <v>重剑</v>
      </c>
      <c r="B616" t="str">
        <f>IFERROR(INDEX(装备库!$A$2:$E$2022,MATCH(ROW()-1,装备库!$AK$2:$AK$2022,0),COLUMN()),"")</f>
        <v>6_43549</v>
      </c>
      <c r="C616" t="str">
        <f>IFERROR(INDEX(装备库!$A$2:$E$2022,MATCH(ROW()-1,装备库!$AK$2:$AK$2022,0),5),"")</f>
        <v>寂夜听雷(34375大橙武)</v>
      </c>
    </row>
    <row r="617" spans="1:3">
      <c r="A617" t="str">
        <f>IFERROR(INDEX(装备库!$A$2:$E$2022,MATCH(ROW()-1,装备库!$AK$2:$AK$2022,0),COLUMN()),"")</f>
        <v>重剑</v>
      </c>
      <c r="B617" t="str">
        <f>IFERROR(INDEX(装备库!$A$2:$E$2022,MATCH(ROW()-1,装备库!$AK$2:$AK$2022,0),COLUMN()),"")</f>
        <v>6_44249</v>
      </c>
      <c r="C617" t="str">
        <f>IFERROR(INDEX(装备库!$A$2:$E$2022,MATCH(ROW()-1,装备库!$AK$2:$AK$2022,0),5),"")</f>
        <v>白夜火·归(35000小橙武)</v>
      </c>
    </row>
    <row r="618" spans="1:3">
      <c r="A618" t="str">
        <f>IFERROR(INDEX(装备库!$A$2:$E$2022,MATCH(ROW()-1,装备库!$AK$2:$AK$2022,0),COLUMN()),"")</f>
        <v>重剑</v>
      </c>
      <c r="B618" t="str">
        <f>IFERROR(INDEX(装备库!$A$2:$E$2022,MATCH(ROW()-1,装备库!$AK$2:$AK$2022,0),COLUMN()),"")</f>
        <v>6_45125</v>
      </c>
      <c r="C618" t="str">
        <f>IFERROR(INDEX(装备库!$A$2:$E$2022,MATCH(ROW()-1,装备库!$AK$2:$AK$2022,0),5),"")</f>
        <v>幽墟荡秽·居虹重剑(35300破无)</v>
      </c>
    </row>
    <row r="619" spans="1:3">
      <c r="A619" t="str">
        <f>IFERROR(INDEX(装备库!$A$2:$E$2022,MATCH(ROW()-1,装备库!$AK$2:$AK$2022,0),COLUMN()),"")</f>
        <v>重剑</v>
      </c>
      <c r="B619" t="str">
        <f>IFERROR(INDEX(装备库!$A$2:$E$2022,MATCH(ROW()-1,装备库!$AK$2:$AK$2022,0),COLUMN()),"")</f>
        <v>6_42707</v>
      </c>
      <c r="C619" t="str">
        <f>IFERROR(INDEX(装备库!$A$2:$E$2022,MATCH(ROW()-1,装备库!$AK$2:$AK$2022,0),5),"")</f>
        <v>断桥重剑(35300招无)</v>
      </c>
    </row>
    <row r="620" spans="1:3">
      <c r="A620" t="str">
        <f>IFERROR(INDEX(装备库!$A$2:$E$2022,MATCH(ROW()-1,装备库!$AK$2:$AK$2022,0),COLUMN()),"")</f>
        <v>重剑</v>
      </c>
      <c r="B620" t="str">
        <f>IFERROR(INDEX(装备库!$A$2:$E$2022,MATCH(ROW()-1,装备库!$AK$2:$AK$2022,0),COLUMN()),"")</f>
        <v>6_42723</v>
      </c>
      <c r="C620" t="str">
        <f>IFERROR(INDEX(装备库!$A$2:$E$2022,MATCH(ROW()-1,装备库!$AK$2:$AK$2022,0),5),"")</f>
        <v>西陵江月(35300特效破无)</v>
      </c>
    </row>
    <row r="621" spans="1:3">
      <c r="A621" t="str">
        <f>IFERROR(INDEX(装备库!$A$2:$E$2022,MATCH(ROW()-1,装备库!$AK$2:$AK$2022,0),COLUMN()),"")</f>
        <v>重剑</v>
      </c>
      <c r="B621" t="str">
        <f>IFERROR(INDEX(装备库!$A$2:$E$2022,MATCH(ROW()-1,装备库!$AK$2:$AK$2022,0),COLUMN()),"")</f>
        <v>6_42666</v>
      </c>
      <c r="C621" t="str">
        <f>IFERROR(INDEX(装备库!$A$2:$E$2022,MATCH(ROW()-1,装备库!$AK$2:$AK$2022,0),5),"")</f>
        <v>流泉重剑(35300会无)</v>
      </c>
    </row>
    <row r="622" spans="1:3">
      <c r="A622" t="str">
        <f>IFERROR(INDEX(装备库!$A$2:$E$2022,MATCH(ROW()-1,装备库!$AK$2:$AK$2022,0),COLUMN()),"")</f>
        <v>重剑</v>
      </c>
      <c r="B622" t="str">
        <f>IFERROR(INDEX(装备库!$A$2:$E$2022,MATCH(ROW()-1,装备库!$AK$2:$AK$2022,0),COLUMN()),"")</f>
        <v>6_42825</v>
      </c>
      <c r="C622" t="str">
        <f>IFERROR(INDEX(装备库!$A$2:$E$2022,MATCH(ROW()-1,装备库!$AK$2:$AK$2022,0),5),"")</f>
        <v>波光浮槛(35300招无)</v>
      </c>
    </row>
    <row r="623" spans="1:3">
      <c r="A623" t="str">
        <f>IFERROR(INDEX(装备库!$A$2:$E$2022,MATCH(ROW()-1,装备库!$AK$2:$AK$2022,0),COLUMN()),"")</f>
        <v>重剑</v>
      </c>
      <c r="B623" t="str">
        <f>IFERROR(INDEX(装备库!$A$2:$E$2022,MATCH(ROW()-1,装备库!$AK$2:$AK$2022,0),COLUMN()),"")</f>
        <v>6_44343</v>
      </c>
      <c r="C623" t="str">
        <f>IFERROR(INDEX(装备库!$A$2:$E$2022,MATCH(ROW()-1,装备库!$AK$2:$AK$2022,0),5),"")</f>
        <v>寻踪觅宝·时雷重剑(35300招无)</v>
      </c>
    </row>
    <row r="624" spans="1:3">
      <c r="A624" t="str">
        <f>IFERROR(INDEX(装备库!$A$2:$E$2022,MATCH(ROW()-1,装备库!$AK$2:$AK$2022,0),COLUMN()),"")</f>
        <v>重剑</v>
      </c>
      <c r="B624" t="str">
        <f>IFERROR(INDEX(装备库!$A$2:$E$2022,MATCH(ROW()-1,装备库!$AK$2:$AK$2022,0),COLUMN()),"")</f>
        <v>6_42762</v>
      </c>
      <c r="C624" t="str">
        <f>IFERROR(INDEX(装备库!$A$2:$E$2022,MATCH(ROW()-1,装备库!$AK$2:$AK$2022,0),5),"")</f>
        <v>俯眺曲水(35900会无)</v>
      </c>
    </row>
    <row r="625" spans="1:3">
      <c r="A625" t="str">
        <f>IFERROR(INDEX(装备库!$A$2:$E$2022,MATCH(ROW()-1,装备库!$AK$2:$AK$2022,0),COLUMN()),"")</f>
        <v>重剑</v>
      </c>
      <c r="B625" t="str">
        <f>IFERROR(INDEX(装备库!$A$2:$E$2022,MATCH(ROW()-1,装备库!$AK$2:$AK$2022,0),COLUMN()),"")</f>
        <v>6_43518</v>
      </c>
      <c r="C625" t="str">
        <f>IFERROR(INDEX(装备库!$A$2:$E$2022,MATCH(ROW()-1,装备库!$AK$2:$AK$2022,0),5),"")</f>
        <v>陶然意·折柳重剑(36200破全)</v>
      </c>
    </row>
    <row r="626" spans="1:3">
      <c r="A626" t="str">
        <f>IFERROR(INDEX(装备库!$A$2:$E$2022,MATCH(ROW()-1,装备库!$AK$2:$AK$2022,0),COLUMN()),"")</f>
        <v>重剑</v>
      </c>
      <c r="B626" t="str">
        <f>IFERROR(INDEX(装备库!$A$2:$E$2022,MATCH(ROW()-1,装备库!$AK$2:$AK$2022,0),COLUMN()),"")</f>
        <v>6_43582</v>
      </c>
      <c r="C626" t="str">
        <f>IFERROR(INDEX(装备库!$A$2:$E$2022,MATCH(ROW()-1,装备库!$AK$2:$AK$2022,0),5),"")</f>
        <v>寂夜听雷(37125大橙武)</v>
      </c>
    </row>
    <row r="627" spans="1:3">
      <c r="A627" t="str">
        <f>IFERROR(INDEX(装备库!$A$2:$E$2022,MATCH(ROW()-1,装备库!$AK$2:$AK$2022,0),COLUMN()),"")</f>
        <v>重剑</v>
      </c>
      <c r="B627" t="str">
        <f>IFERROR(INDEX(装备库!$A$2:$E$2022,MATCH(ROW()-1,装备库!$AK$2:$AK$2022,0),COLUMN()),"")</f>
        <v>6_45498</v>
      </c>
      <c r="C627" t="str">
        <f>IFERROR(INDEX(装备库!$A$2:$E$2022,MATCH(ROW()-1,装备库!$AK$2:$AK$2022,0),5),"")</f>
        <v>胃玄重剑(38100会无)</v>
      </c>
    </row>
    <row r="628" spans="1:3">
      <c r="A628" t="str">
        <f>IFERROR(INDEX(装备库!$A$2:$E$2022,MATCH(ROW()-1,装备库!$AK$2:$AK$2022,0),COLUMN()),"")</f>
        <v>重剑</v>
      </c>
      <c r="B628" t="str">
        <f>IFERROR(INDEX(装备库!$A$2:$E$2022,MATCH(ROW()-1,装备库!$AK$2:$AK$2022,0),COLUMN()),"")</f>
        <v>6_44282</v>
      </c>
      <c r="C628" t="str">
        <f>IFERROR(INDEX(装备库!$A$2:$E$2022,MATCH(ROW()-1,装备库!$AK$2:$AK$2022,0),5),"")</f>
        <v>白夜火·归(39750小橙武)</v>
      </c>
    </row>
    <row r="629" spans="1:3">
      <c r="A629" t="str">
        <f>IFERROR(INDEX(装备库!$A$2:$E$2022,MATCH(ROW()-1,装备库!$AK$2:$AK$2022,0),COLUMN()),"")</f>
        <v>重剑</v>
      </c>
      <c r="B629" t="str">
        <f>IFERROR(INDEX(装备库!$A$2:$E$2022,MATCH(ROW()-1,装备库!$AK$2:$AK$2022,0),COLUMN()),"")</f>
        <v>6_45283</v>
      </c>
      <c r="C629" t="str">
        <f>IFERROR(INDEX(装备库!$A$2:$E$2022,MATCH(ROW()-1,装备库!$AK$2:$AK$2022,0),5),"")</f>
        <v>寂夜听雷(40500大橙武)</v>
      </c>
    </row>
    <row r="630" spans="1:3">
      <c r="A630" t="str">
        <f>IFERROR(INDEX(装备库!$A$2:$E$2022,MATCH(ROW()-1,装备库!$AK$2:$AK$2022,0),COLUMN()),"")</f>
        <v>重剑</v>
      </c>
      <c r="B630" t="str">
        <f>IFERROR(INDEX(装备库!$A$2:$E$2022,MATCH(ROW()-1,装备库!$AK$2:$AK$2022,0),COLUMN()),"")</f>
        <v>6_44442</v>
      </c>
      <c r="C630" t="str">
        <f>IFERROR(INDEX(装备库!$A$2:$E$2022,MATCH(ROW()-1,装备库!$AK$2:$AK$2022,0),5),"")</f>
        <v>金铮重剑(41400招无)</v>
      </c>
    </row>
    <row r="631" spans="1:3">
      <c r="A631" t="str">
        <f>IFERROR(INDEX(装备库!$A$2:$E$2022,MATCH(ROW()-1,装备库!$AK$2:$AK$2022,0),COLUMN()),"")</f>
        <v>重剑</v>
      </c>
      <c r="B631" t="str">
        <f>IFERROR(INDEX(装备库!$A$2:$E$2022,MATCH(ROW()-1,装备库!$AK$2:$AK$2022,0),COLUMN()),"")</f>
        <v>6_44458</v>
      </c>
      <c r="C631" t="str">
        <f>IFERROR(INDEX(装备库!$A$2:$E$2022,MATCH(ROW()-1,装备库!$AK$2:$AK$2022,0),5),"")</f>
        <v>半世寒(41400特效破无)</v>
      </c>
    </row>
    <row r="632" spans="1:3">
      <c r="A632" t="str">
        <f>IFERROR(INDEX(装备库!$A$2:$E$2022,MATCH(ROW()-1,装备库!$AK$2:$AK$2022,0),COLUMN()),"")</f>
        <v>重剑</v>
      </c>
      <c r="B632" t="str">
        <f>IFERROR(INDEX(装备库!$A$2:$E$2022,MATCH(ROW()-1,装备库!$AK$2:$AK$2022,0),COLUMN()),"")</f>
        <v>6_44401</v>
      </c>
      <c r="C632" t="str">
        <f>IFERROR(INDEX(装备库!$A$2:$E$2022,MATCH(ROW()-1,装备库!$AK$2:$AK$2022,0),5),"")</f>
        <v>驰荒重剑(41400会无)</v>
      </c>
    </row>
    <row r="633" spans="1:3">
      <c r="A633" t="str">
        <f>IFERROR(INDEX(装备库!$A$2:$E$2022,MATCH(ROW()-1,装备库!$AK$2:$AK$2022,0),COLUMN()),"")</f>
        <v>重剑</v>
      </c>
      <c r="B633" t="str">
        <f>IFERROR(INDEX(装备库!$A$2:$E$2022,MATCH(ROW()-1,装备库!$AK$2:$AK$2022,0),COLUMN()),"")</f>
        <v>6_44560</v>
      </c>
      <c r="C633" t="str">
        <f>IFERROR(INDEX(装备库!$A$2:$E$2022,MATCH(ROW()-1,装备库!$AK$2:$AK$2022,0),5),"")</f>
        <v>金藏锋(41400招无)</v>
      </c>
    </row>
    <row r="634" spans="1:3">
      <c r="A634" t="str">
        <f>IFERROR(INDEX(装备库!$A$2:$E$2022,MATCH(ROW()-1,装备库!$AK$2:$AK$2022,0),COLUMN()),"")</f>
        <v>重剑</v>
      </c>
      <c r="B634" t="str">
        <f>IFERROR(INDEX(装备库!$A$2:$E$2022,MATCH(ROW()-1,装备库!$AK$2:$AK$2022,0),COLUMN()),"")</f>
        <v>6_44497</v>
      </c>
      <c r="C634" t="str">
        <f>IFERROR(INDEX(装备库!$A$2:$E$2022,MATCH(ROW()-1,装备库!$AK$2:$AK$2022,0),5),"")</f>
        <v>征人喑(42100会无)</v>
      </c>
    </row>
    <row r="635" spans="1:3">
      <c r="A635" t="str">
        <f>IFERROR(INDEX(装备库!$A$2:$E$2022,MATCH(ROW()-1,装备库!$AK$2:$AK$2022,0),COLUMN()),"")</f>
        <v>重剑</v>
      </c>
      <c r="B635" t="str">
        <f>IFERROR(INDEX(装备库!$A$2:$E$2022,MATCH(ROW()-1,装备库!$AK$2:$AK$2022,0),COLUMN()),"")</f>
        <v>6_45252</v>
      </c>
      <c r="C635" t="str">
        <f>IFERROR(INDEX(装备库!$A$2:$E$2022,MATCH(ROW()-1,装备库!$AK$2:$AK$2022,0),5),"")</f>
        <v>陶然意·烟峦重剑(42400破全)</v>
      </c>
    </row>
    <row r="636" spans="1:3">
      <c r="A636" t="str">
        <f>IFERROR(INDEX(装备库!$A$2:$E$2022,MATCH(ROW()-1,装备库!$AK$2:$AK$2022,0),COLUMN()),"")</f>
        <v>重剑</v>
      </c>
      <c r="B636" t="str">
        <f>IFERROR(INDEX(装备库!$A$2:$E$2022,MATCH(ROW()-1,装备库!$AK$2:$AK$2022,0),COLUMN()),"")</f>
        <v>6_45316</v>
      </c>
      <c r="C636" t="str">
        <f>IFERROR(INDEX(装备库!$A$2:$E$2022,MATCH(ROW()-1,装备库!$AK$2:$AK$2022,0),5),"")</f>
        <v>寂夜听雷(42500大橙武)</v>
      </c>
    </row>
    <row r="637" spans="1:3">
      <c r="A637" t="str">
        <f>IFERROR(INDEX(装备库!$A$2:$E$2022,MATCH(ROW()-1,装备库!$AK$2:$AK$2022,0),COLUMN()),"")</f>
        <v/>
      </c>
      <c r="B637" t="str">
        <f>IFERROR(INDEX(装备库!$A$2:$E$2022,MATCH(ROW()-1,装备库!$AK$2:$AK$2022,0),COLUMN()),"")</f>
        <v/>
      </c>
      <c r="C637" t="str">
        <f>IFERROR(INDEX(装备库!$A$2:$E$2022,MATCH(ROW()-1,装备库!$AK$2:$AK$2022,0),5),"")</f>
        <v/>
      </c>
    </row>
    <row r="638" spans="1:3">
      <c r="A638" t="str">
        <f>IFERROR(INDEX(装备库!$A$2:$E$2022,MATCH(ROW()-1,装备库!$AK$2:$AK$2022,0),COLUMN()),"")</f>
        <v/>
      </c>
      <c r="B638" t="str">
        <f>IFERROR(INDEX(装备库!$A$2:$E$2022,MATCH(ROW()-1,装备库!$AK$2:$AK$2022,0),COLUMN()),"")</f>
        <v/>
      </c>
      <c r="C638" t="str">
        <f>IFERROR(INDEX(装备库!$A$2:$E$2022,MATCH(ROW()-1,装备库!$AK$2:$AK$2022,0),5),"")</f>
        <v/>
      </c>
    </row>
    <row r="639" spans="1:3">
      <c r="A639" t="str">
        <f>IFERROR(INDEX(装备库!$A$2:$E$2022,MATCH(ROW()-1,装备库!$AK$2:$AK$2022,0),COLUMN()),"")</f>
        <v/>
      </c>
      <c r="B639" t="str">
        <f>IFERROR(INDEX(装备库!$A$2:$E$2022,MATCH(ROW()-1,装备库!$AK$2:$AK$2022,0),COLUMN()),"")</f>
        <v/>
      </c>
      <c r="C639" t="str">
        <f>IFERROR(INDEX(装备库!$A$2:$E$2022,MATCH(ROW()-1,装备库!$AK$2:$AK$2022,0),5),"")</f>
        <v/>
      </c>
    </row>
    <row r="640" spans="1:3">
      <c r="A640" t="str">
        <f>IFERROR(INDEX(装备库!$A$2:$E$2022,MATCH(ROW()-1,装备库!$AK$2:$AK$2022,0),COLUMN()),"")</f>
        <v/>
      </c>
      <c r="B640" t="str">
        <f>IFERROR(INDEX(装备库!$A$2:$E$2022,MATCH(ROW()-1,装备库!$AK$2:$AK$2022,0),COLUMN()),"")</f>
        <v/>
      </c>
      <c r="C640" t="str">
        <f>IFERROR(INDEX(装备库!$A$2:$E$2022,MATCH(ROW()-1,装备库!$AK$2:$AK$2022,0),5),"")</f>
        <v/>
      </c>
    </row>
    <row r="641" spans="1:3">
      <c r="A641" t="str">
        <f>IFERROR(INDEX(装备库!$A$2:$E$2022,MATCH(ROW()-1,装备库!$AK$2:$AK$2022,0),COLUMN()),"")</f>
        <v/>
      </c>
      <c r="B641" t="str">
        <f>IFERROR(INDEX(装备库!$A$2:$E$2022,MATCH(ROW()-1,装备库!$AK$2:$AK$2022,0),COLUMN()),"")</f>
        <v/>
      </c>
      <c r="C641" t="str">
        <f>IFERROR(INDEX(装备库!$A$2:$E$2022,MATCH(ROW()-1,装备库!$AK$2:$AK$2022,0),5),"")</f>
        <v/>
      </c>
    </row>
    <row r="642" spans="1:3">
      <c r="A642" t="str">
        <f>IFERROR(INDEX(装备库!$A$2:$E$2022,MATCH(ROW()-1,装备库!$AK$2:$AK$2022,0),COLUMN()),"")</f>
        <v/>
      </c>
      <c r="B642" t="str">
        <f>IFERROR(INDEX(装备库!$A$2:$E$2022,MATCH(ROW()-1,装备库!$AK$2:$AK$2022,0),COLUMN()),"")</f>
        <v/>
      </c>
      <c r="C642" t="str">
        <f>IFERROR(INDEX(装备库!$A$2:$E$2022,MATCH(ROW()-1,装备库!$AK$2:$AK$2022,0),5),"")</f>
        <v/>
      </c>
    </row>
    <row r="643" spans="1:3">
      <c r="A643" t="str">
        <f>IFERROR(INDEX(装备库!$A$2:$E$2022,MATCH(ROW()-1,装备库!$AK$2:$AK$2022,0),COLUMN()),"")</f>
        <v/>
      </c>
      <c r="B643" t="str">
        <f>IFERROR(INDEX(装备库!$A$2:$E$2022,MATCH(ROW()-1,装备库!$AK$2:$AK$2022,0),COLUMN()),"")</f>
        <v/>
      </c>
      <c r="C643" t="str">
        <f>IFERROR(INDEX(装备库!$A$2:$E$2022,MATCH(ROW()-1,装备库!$AK$2:$AK$2022,0),5),"")</f>
        <v/>
      </c>
    </row>
    <row r="644" spans="1:3">
      <c r="A644" t="str">
        <f>IFERROR(INDEX(装备库!$A$2:$E$2022,MATCH(ROW()-1,装备库!$AK$2:$AK$2022,0),COLUMN()),"")</f>
        <v/>
      </c>
      <c r="B644" t="str">
        <f>IFERROR(INDEX(装备库!$A$2:$E$2022,MATCH(ROW()-1,装备库!$AK$2:$AK$2022,0),COLUMN()),"")</f>
        <v/>
      </c>
      <c r="C644" t="str">
        <f>IFERROR(INDEX(装备库!$A$2:$E$2022,MATCH(ROW()-1,装备库!$AK$2:$AK$2022,0),5),"")</f>
        <v/>
      </c>
    </row>
    <row r="645" spans="1:3">
      <c r="A645" t="str">
        <f>IFERROR(INDEX(装备库!$A$2:$E$2022,MATCH(ROW()-1,装备库!$AK$2:$AK$2022,0),COLUMN()),"")</f>
        <v/>
      </c>
      <c r="B645" t="str">
        <f>IFERROR(INDEX(装备库!$A$2:$E$2022,MATCH(ROW()-1,装备库!$AK$2:$AK$2022,0),COLUMN()),"")</f>
        <v/>
      </c>
      <c r="C645" t="str">
        <f>IFERROR(INDEX(装备库!$A$2:$E$2022,MATCH(ROW()-1,装备库!$AK$2:$AK$2022,0),5),"")</f>
        <v/>
      </c>
    </row>
    <row r="646" spans="1:3">
      <c r="A646" t="str">
        <f>IFERROR(INDEX(装备库!$A$2:$E$2022,MATCH(ROW()-1,装备库!$AK$2:$AK$2022,0),COLUMN()),"")</f>
        <v/>
      </c>
      <c r="B646" t="str">
        <f>IFERROR(INDEX(装备库!$A$2:$E$2022,MATCH(ROW()-1,装备库!$AK$2:$AK$2022,0),COLUMN()),"")</f>
        <v/>
      </c>
      <c r="C646" t="str">
        <f>IFERROR(INDEX(装备库!$A$2:$E$2022,MATCH(ROW()-1,装备库!$AK$2:$AK$2022,0),5),"")</f>
        <v/>
      </c>
    </row>
    <row r="647" spans="1:3">
      <c r="A647" t="str">
        <f>IFERROR(INDEX(装备库!$A$2:$E$2022,MATCH(ROW()-1,装备库!$AK$2:$AK$2022,0),COLUMN()),"")</f>
        <v/>
      </c>
      <c r="B647" t="str">
        <f>IFERROR(INDEX(装备库!$A$2:$E$2022,MATCH(ROW()-1,装备库!$AK$2:$AK$2022,0),COLUMN()),"")</f>
        <v/>
      </c>
      <c r="C647" t="str">
        <f>IFERROR(INDEX(装备库!$A$2:$E$2022,MATCH(ROW()-1,装备库!$AK$2:$AK$2022,0),5),"")</f>
        <v/>
      </c>
    </row>
    <row r="648" spans="1:3">
      <c r="A648" t="str">
        <f>IFERROR(INDEX(装备库!$A$2:$E$2022,MATCH(ROW()-1,装备库!$AK$2:$AK$2022,0),COLUMN()),"")</f>
        <v/>
      </c>
      <c r="B648" t="str">
        <f>IFERROR(INDEX(装备库!$A$2:$E$2022,MATCH(ROW()-1,装备库!$AK$2:$AK$2022,0),COLUMN()),"")</f>
        <v/>
      </c>
      <c r="C648" t="str">
        <f>IFERROR(INDEX(装备库!$A$2:$E$2022,MATCH(ROW()-1,装备库!$AK$2:$AK$2022,0),5),"")</f>
        <v/>
      </c>
    </row>
    <row r="649" spans="1:3">
      <c r="A649" t="str">
        <f>IFERROR(INDEX(装备库!$A$2:$E$2022,MATCH(ROW()-1,装备库!$AK$2:$AK$2022,0),COLUMN()),"")</f>
        <v/>
      </c>
      <c r="B649" t="str">
        <f>IFERROR(INDEX(装备库!$A$2:$E$2022,MATCH(ROW()-1,装备库!$AK$2:$AK$2022,0),COLUMN()),"")</f>
        <v/>
      </c>
      <c r="C649" t="str">
        <f>IFERROR(INDEX(装备库!$A$2:$E$2022,MATCH(ROW()-1,装备库!$AK$2:$AK$2022,0),5),"")</f>
        <v/>
      </c>
    </row>
    <row r="650" spans="1:3">
      <c r="A650" t="str">
        <f>IFERROR(INDEX(装备库!$A$2:$E$2022,MATCH(ROW()-1,装备库!$AK$2:$AK$2022,0),COLUMN()),"")</f>
        <v/>
      </c>
      <c r="B650" t="str">
        <f>IFERROR(INDEX(装备库!$A$2:$E$2022,MATCH(ROW()-1,装备库!$AK$2:$AK$2022,0),COLUMN()),"")</f>
        <v/>
      </c>
      <c r="C650" t="str">
        <f>IFERROR(INDEX(装备库!$A$2:$E$2022,MATCH(ROW()-1,装备库!$AK$2:$AK$2022,0),5),"")</f>
        <v/>
      </c>
    </row>
    <row r="651" spans="1:3">
      <c r="A651" t="str">
        <f>IFERROR(INDEX(装备库!$A$2:$E$2022,MATCH(ROW()-1,装备库!$AK$2:$AK$2022,0),COLUMN()),"")</f>
        <v/>
      </c>
      <c r="B651" t="str">
        <f>IFERROR(INDEX(装备库!$A$2:$E$2022,MATCH(ROW()-1,装备库!$AK$2:$AK$2022,0),COLUMN()),"")</f>
        <v/>
      </c>
      <c r="C651" t="str">
        <f>IFERROR(INDEX(装备库!$A$2:$E$2022,MATCH(ROW()-1,装备库!$AK$2:$AK$2022,0),5),"")</f>
        <v/>
      </c>
    </row>
    <row r="652" spans="1:3">
      <c r="A652" t="str">
        <f>IFERROR(INDEX(装备库!$A$2:$E$2022,MATCH(ROW()-1,装备库!$AK$2:$AK$2022,0),COLUMN()),"")</f>
        <v/>
      </c>
      <c r="B652" t="str">
        <f>IFERROR(INDEX(装备库!$A$2:$E$2022,MATCH(ROW()-1,装备库!$AK$2:$AK$2022,0),COLUMN()),"")</f>
        <v/>
      </c>
      <c r="C652" t="str">
        <f>IFERROR(INDEX(装备库!$A$2:$E$2022,MATCH(ROW()-1,装备库!$AK$2:$AK$2022,0),5),"")</f>
        <v/>
      </c>
    </row>
    <row r="653" spans="1:3">
      <c r="A653" t="str">
        <f>IFERROR(INDEX(装备库!$A$2:$E$2022,MATCH(ROW()-1,装备库!$AK$2:$AK$2022,0),COLUMN()),"")</f>
        <v/>
      </c>
      <c r="B653" t="str">
        <f>IFERROR(INDEX(装备库!$A$2:$E$2022,MATCH(ROW()-1,装备库!$AK$2:$AK$2022,0),COLUMN()),"")</f>
        <v/>
      </c>
      <c r="C653" t="str">
        <f>IFERROR(INDEX(装备库!$A$2:$E$2022,MATCH(ROW()-1,装备库!$AK$2:$AK$2022,0),5),"")</f>
        <v/>
      </c>
    </row>
    <row r="654" spans="1:3">
      <c r="A654" t="str">
        <f>IFERROR(INDEX(装备库!$A$2:$E$2022,MATCH(ROW()-1,装备库!$AK$2:$AK$2022,0),COLUMN()),"")</f>
        <v/>
      </c>
      <c r="B654" t="str">
        <f>IFERROR(INDEX(装备库!$A$2:$E$2022,MATCH(ROW()-1,装备库!$AK$2:$AK$2022,0),COLUMN()),"")</f>
        <v/>
      </c>
      <c r="C654" t="str">
        <f>IFERROR(INDEX(装备库!$A$2:$E$2022,MATCH(ROW()-1,装备库!$AK$2:$AK$2022,0),5),"")</f>
        <v/>
      </c>
    </row>
    <row r="655" spans="1:3">
      <c r="A655" t="str">
        <f>IFERROR(INDEX(装备库!$A$2:$E$2022,MATCH(ROW()-1,装备库!$AK$2:$AK$2022,0),COLUMN()),"")</f>
        <v/>
      </c>
      <c r="B655" t="str">
        <f>IFERROR(INDEX(装备库!$A$2:$E$2022,MATCH(ROW()-1,装备库!$AK$2:$AK$2022,0),COLUMN()),"")</f>
        <v/>
      </c>
      <c r="C655" t="str">
        <f>IFERROR(INDEX(装备库!$A$2:$E$2022,MATCH(ROW()-1,装备库!$AK$2:$AK$2022,0),5),"")</f>
        <v/>
      </c>
    </row>
    <row r="656" spans="1:3">
      <c r="A656" t="str">
        <f>IFERROR(INDEX(装备库!$A$2:$E$2022,MATCH(ROW()-1,装备库!$AK$2:$AK$2022,0),COLUMN()),"")</f>
        <v/>
      </c>
      <c r="B656" t="str">
        <f>IFERROR(INDEX(装备库!$A$2:$E$2022,MATCH(ROW()-1,装备库!$AK$2:$AK$2022,0),COLUMN()),"")</f>
        <v/>
      </c>
      <c r="C656" t="str">
        <f>IFERROR(INDEX(装备库!$A$2:$E$2022,MATCH(ROW()-1,装备库!$AK$2:$AK$2022,0),5),"")</f>
        <v/>
      </c>
    </row>
    <row r="657" spans="1:3">
      <c r="A657" t="str">
        <f>IFERROR(INDEX(装备库!$A$2:$E$2022,MATCH(ROW()-1,装备库!$AK$2:$AK$2022,0),COLUMN()),"")</f>
        <v/>
      </c>
      <c r="B657" t="str">
        <f>IFERROR(INDEX(装备库!$A$2:$E$2022,MATCH(ROW()-1,装备库!$AK$2:$AK$2022,0),COLUMN()),"")</f>
        <v/>
      </c>
      <c r="C657" t="str">
        <f>IFERROR(INDEX(装备库!$A$2:$E$2022,MATCH(ROW()-1,装备库!$AK$2:$AK$2022,0),5),"")</f>
        <v/>
      </c>
    </row>
    <row r="658" spans="1:3">
      <c r="A658" t="str">
        <f>IFERROR(INDEX(装备库!$A$2:$E$2022,MATCH(ROW()-1,装备库!$AK$2:$AK$2022,0),COLUMN()),"")</f>
        <v/>
      </c>
      <c r="B658" t="str">
        <f>IFERROR(INDEX(装备库!$A$2:$E$2022,MATCH(ROW()-1,装备库!$AK$2:$AK$2022,0),COLUMN()),"")</f>
        <v/>
      </c>
      <c r="C658" t="str">
        <f>IFERROR(INDEX(装备库!$A$2:$E$2022,MATCH(ROW()-1,装备库!$AK$2:$AK$2022,0),5),"")</f>
        <v/>
      </c>
    </row>
    <row r="659" spans="1:3">
      <c r="A659" t="str">
        <f>IFERROR(INDEX(装备库!$A$2:$E$2022,MATCH(ROW()-1,装备库!$AK$2:$AK$2022,0),COLUMN()),"")</f>
        <v/>
      </c>
      <c r="B659" t="str">
        <f>IFERROR(INDEX(装备库!$A$2:$E$2022,MATCH(ROW()-1,装备库!$AK$2:$AK$2022,0),COLUMN()),"")</f>
        <v/>
      </c>
      <c r="C659" t="str">
        <f>IFERROR(INDEX(装备库!$A$2:$E$2022,MATCH(ROW()-1,装备库!$AK$2:$AK$2022,0),5),"")</f>
        <v/>
      </c>
    </row>
    <row r="660" spans="1:3">
      <c r="A660" t="str">
        <f>IFERROR(INDEX(装备库!$A$2:$E$2022,MATCH(ROW()-1,装备库!$AK$2:$AK$2022,0),COLUMN()),"")</f>
        <v/>
      </c>
      <c r="B660" t="str">
        <f>IFERROR(INDEX(装备库!$A$2:$E$2022,MATCH(ROW()-1,装备库!$AK$2:$AK$2022,0),COLUMN()),"")</f>
        <v/>
      </c>
      <c r="C660" t="str">
        <f>IFERROR(INDEX(装备库!$A$2:$E$2022,MATCH(ROW()-1,装备库!$AK$2:$AK$2022,0),5),"")</f>
        <v/>
      </c>
    </row>
    <row r="661" spans="1:3">
      <c r="A661" t="str">
        <f>IFERROR(INDEX(装备库!$A$2:$E$2022,MATCH(ROW()-1,装备库!$AK$2:$AK$2022,0),COLUMN()),"")</f>
        <v/>
      </c>
      <c r="B661" t="str">
        <f>IFERROR(INDEX(装备库!$A$2:$E$2022,MATCH(ROW()-1,装备库!$AK$2:$AK$2022,0),COLUMN()),"")</f>
        <v/>
      </c>
      <c r="C661" t="str">
        <f>IFERROR(INDEX(装备库!$A$2:$E$2022,MATCH(ROW()-1,装备库!$AK$2:$AK$2022,0),5),"")</f>
        <v/>
      </c>
    </row>
    <row r="662" spans="1:3">
      <c r="A662" t="str">
        <f>IFERROR(INDEX(装备库!$A$2:$E$2022,MATCH(ROW()-1,装备库!$AK$2:$AK$2022,0),COLUMN()),"")</f>
        <v/>
      </c>
      <c r="B662" t="str">
        <f>IFERROR(INDEX(装备库!$A$2:$E$2022,MATCH(ROW()-1,装备库!$AK$2:$AK$2022,0),COLUMN()),"")</f>
        <v/>
      </c>
      <c r="C662" t="str">
        <f>IFERROR(INDEX(装备库!$A$2:$E$2022,MATCH(ROW()-1,装备库!$AK$2:$AK$2022,0),5),"")</f>
        <v/>
      </c>
    </row>
    <row r="663" spans="1:3">
      <c r="A663" t="str">
        <f>IFERROR(INDEX(装备库!$A$2:$E$2022,MATCH(ROW()-1,装备库!$AK$2:$AK$2022,0),COLUMN()),"")</f>
        <v/>
      </c>
      <c r="B663" t="str">
        <f>IFERROR(INDEX(装备库!$A$2:$E$2022,MATCH(ROW()-1,装备库!$AK$2:$AK$2022,0),COLUMN()),"")</f>
        <v/>
      </c>
      <c r="C663" t="str">
        <f>IFERROR(INDEX(装备库!$A$2:$E$2022,MATCH(ROW()-1,装备库!$AK$2:$AK$2022,0),5),"")</f>
        <v/>
      </c>
    </row>
    <row r="664" spans="1:3">
      <c r="A664" t="str">
        <f>IFERROR(INDEX(装备库!$A$2:$E$2022,MATCH(ROW()-1,装备库!$AK$2:$AK$2022,0),COLUMN()),"")</f>
        <v/>
      </c>
      <c r="B664" t="str">
        <f>IFERROR(INDEX(装备库!$A$2:$E$2022,MATCH(ROW()-1,装备库!$AK$2:$AK$2022,0),COLUMN()),"")</f>
        <v/>
      </c>
      <c r="C664" t="str">
        <f>IFERROR(INDEX(装备库!$A$2:$E$2022,MATCH(ROW()-1,装备库!$AK$2:$AK$2022,0),5),"")</f>
        <v/>
      </c>
    </row>
    <row r="665" spans="1:3">
      <c r="A665" t="str">
        <f>IFERROR(INDEX(装备库!$A$2:$E$2022,MATCH(ROW()-1,装备库!$AK$2:$AK$2022,0),COLUMN()),"")</f>
        <v/>
      </c>
      <c r="B665" t="str">
        <f>IFERROR(INDEX(装备库!$A$2:$E$2022,MATCH(ROW()-1,装备库!$AK$2:$AK$2022,0),COLUMN()),"")</f>
        <v/>
      </c>
      <c r="C665" t="str">
        <f>IFERROR(INDEX(装备库!$A$2:$E$2022,MATCH(ROW()-1,装备库!$AK$2:$AK$2022,0),5),"")</f>
        <v/>
      </c>
    </row>
    <row r="666" spans="1:3">
      <c r="A666" t="str">
        <f>IFERROR(INDEX(装备库!$A$2:$E$2022,MATCH(ROW()-1,装备库!$AK$2:$AK$2022,0),COLUMN()),"")</f>
        <v/>
      </c>
      <c r="B666" t="str">
        <f>IFERROR(INDEX(装备库!$A$2:$E$2022,MATCH(ROW()-1,装备库!$AK$2:$AK$2022,0),COLUMN()),"")</f>
        <v/>
      </c>
      <c r="C666" t="str">
        <f>IFERROR(INDEX(装备库!$A$2:$E$2022,MATCH(ROW()-1,装备库!$AK$2:$AK$2022,0),5),"")</f>
        <v/>
      </c>
    </row>
    <row r="667" spans="1:3">
      <c r="A667" t="str">
        <f>IFERROR(INDEX(装备库!$A$2:$E$2022,MATCH(ROW()-1,装备库!$AK$2:$AK$2022,0),COLUMN()),"")</f>
        <v/>
      </c>
      <c r="B667" t="str">
        <f>IFERROR(INDEX(装备库!$A$2:$E$2022,MATCH(ROW()-1,装备库!$AK$2:$AK$2022,0),COLUMN()),"")</f>
        <v/>
      </c>
      <c r="C667" t="str">
        <f>IFERROR(INDEX(装备库!$A$2:$E$2022,MATCH(ROW()-1,装备库!$AK$2:$AK$2022,0),5),"")</f>
        <v/>
      </c>
    </row>
    <row r="668" spans="1:3">
      <c r="A668" t="str">
        <f>IFERROR(INDEX(装备库!$A$2:$E$2022,MATCH(ROW()-1,装备库!$AK$2:$AK$2022,0),COLUMN()),"")</f>
        <v/>
      </c>
      <c r="B668" t="str">
        <f>IFERROR(INDEX(装备库!$A$2:$E$2022,MATCH(ROW()-1,装备库!$AK$2:$AK$2022,0),COLUMN()),"")</f>
        <v/>
      </c>
      <c r="C668" t="str">
        <f>IFERROR(INDEX(装备库!$A$2:$E$2022,MATCH(ROW()-1,装备库!$AK$2:$AK$2022,0),5),"")</f>
        <v/>
      </c>
    </row>
    <row r="669" spans="1:3">
      <c r="A669" t="str">
        <f>IFERROR(INDEX(装备库!$A$2:$E$2022,MATCH(ROW()-1,装备库!$AK$2:$AK$2022,0),COLUMN()),"")</f>
        <v/>
      </c>
      <c r="B669" t="str">
        <f>IFERROR(INDEX(装备库!$A$2:$E$2022,MATCH(ROW()-1,装备库!$AK$2:$AK$2022,0),COLUMN()),"")</f>
        <v/>
      </c>
      <c r="C669" t="str">
        <f>IFERROR(INDEX(装备库!$A$2:$E$2022,MATCH(ROW()-1,装备库!$AK$2:$AK$2022,0),5),"")</f>
        <v/>
      </c>
    </row>
    <row r="670" spans="1:3">
      <c r="A670" t="str">
        <f>IFERROR(INDEX(装备库!$A$2:$E$2022,MATCH(ROW()-1,装备库!$AK$2:$AK$2022,0),COLUMN()),"")</f>
        <v/>
      </c>
      <c r="B670" t="str">
        <f>IFERROR(INDEX(装备库!$A$2:$E$2022,MATCH(ROW()-1,装备库!$AK$2:$AK$2022,0),COLUMN()),"")</f>
        <v/>
      </c>
      <c r="C670" t="str">
        <f>IFERROR(INDEX(装备库!$A$2:$E$2022,MATCH(ROW()-1,装备库!$AK$2:$AK$2022,0),5),"")</f>
        <v/>
      </c>
    </row>
    <row r="671" spans="1:3">
      <c r="A671" t="str">
        <f>IFERROR(INDEX(装备库!$A$2:$E$2022,MATCH(ROW()-1,装备库!$AK$2:$AK$2022,0),COLUMN()),"")</f>
        <v/>
      </c>
      <c r="B671" t="str">
        <f>IFERROR(INDEX(装备库!$A$2:$E$2022,MATCH(ROW()-1,装备库!$AK$2:$AK$2022,0),COLUMN()),"")</f>
        <v/>
      </c>
      <c r="C671" t="str">
        <f>IFERROR(INDEX(装备库!$A$2:$E$2022,MATCH(ROW()-1,装备库!$AK$2:$AK$2022,0),5),"")</f>
        <v/>
      </c>
    </row>
    <row r="672" spans="1:3">
      <c r="A672" t="str">
        <f>IFERROR(INDEX(装备库!$A$2:$E$2022,MATCH(ROW()-1,装备库!$AK$2:$AK$2022,0),COLUMN()),"")</f>
        <v/>
      </c>
      <c r="B672" t="str">
        <f>IFERROR(INDEX(装备库!$A$2:$E$2022,MATCH(ROW()-1,装备库!$AK$2:$AK$2022,0),COLUMN()),"")</f>
        <v/>
      </c>
      <c r="C672" t="str">
        <f>IFERROR(INDEX(装备库!$A$2:$E$2022,MATCH(ROW()-1,装备库!$AK$2:$AK$2022,0),5),"")</f>
        <v/>
      </c>
    </row>
    <row r="673" spans="1:3">
      <c r="A673" t="str">
        <f>IFERROR(INDEX(装备库!$A$2:$E$2022,MATCH(ROW()-1,装备库!$AK$2:$AK$2022,0),COLUMN()),"")</f>
        <v/>
      </c>
      <c r="B673" t="str">
        <f>IFERROR(INDEX(装备库!$A$2:$E$2022,MATCH(ROW()-1,装备库!$AK$2:$AK$2022,0),COLUMN()),"")</f>
        <v/>
      </c>
      <c r="C673" t="str">
        <f>IFERROR(INDEX(装备库!$A$2:$E$2022,MATCH(ROW()-1,装备库!$AK$2:$AK$2022,0),5),"")</f>
        <v/>
      </c>
    </row>
    <row r="674" spans="1:3">
      <c r="A674" t="str">
        <f>IFERROR(INDEX(装备库!$A$2:$E$2022,MATCH(ROW()-1,装备库!$AK$2:$AK$2022,0),COLUMN()),"")</f>
        <v/>
      </c>
      <c r="B674" t="str">
        <f>IFERROR(INDEX(装备库!$A$2:$E$2022,MATCH(ROW()-1,装备库!$AK$2:$AK$2022,0),COLUMN()),"")</f>
        <v/>
      </c>
      <c r="C674" t="str">
        <f>IFERROR(INDEX(装备库!$A$2:$E$2022,MATCH(ROW()-1,装备库!$AK$2:$AK$2022,0),5),"")</f>
        <v/>
      </c>
    </row>
    <row r="675" spans="1:3">
      <c r="A675" t="str">
        <f>IFERROR(INDEX(装备库!$A$2:$E$2022,MATCH(ROW()-1,装备库!$AK$2:$AK$2022,0),COLUMN()),"")</f>
        <v/>
      </c>
      <c r="B675" t="str">
        <f>IFERROR(INDEX(装备库!$A$2:$E$2022,MATCH(ROW()-1,装备库!$AK$2:$AK$2022,0),COLUMN()),"")</f>
        <v/>
      </c>
      <c r="C675" t="str">
        <f>IFERROR(INDEX(装备库!$A$2:$E$2022,MATCH(ROW()-1,装备库!$AK$2:$AK$2022,0),5),"")</f>
        <v/>
      </c>
    </row>
    <row r="676" spans="1:3">
      <c r="A676" t="str">
        <f>IFERROR(INDEX(装备库!$A$2:$E$2022,MATCH(ROW()-1,装备库!$AK$2:$AK$2022,0),COLUMN()),"")</f>
        <v/>
      </c>
      <c r="B676" t="str">
        <f>IFERROR(INDEX(装备库!$A$2:$E$2022,MATCH(ROW()-1,装备库!$AK$2:$AK$2022,0),COLUMN()),"")</f>
        <v/>
      </c>
      <c r="C676" t="str">
        <f>IFERROR(INDEX(装备库!$A$2:$E$2022,MATCH(ROW()-1,装备库!$AK$2:$AK$2022,0),5),"")</f>
        <v/>
      </c>
    </row>
    <row r="677" spans="1:3">
      <c r="A677" t="str">
        <f>IFERROR(INDEX(装备库!$A$2:$E$2022,MATCH(ROW()-1,装备库!$AK$2:$AK$2022,0),COLUMN()),"")</f>
        <v/>
      </c>
      <c r="B677" t="str">
        <f>IFERROR(INDEX(装备库!$A$2:$E$2022,MATCH(ROW()-1,装备库!$AK$2:$AK$2022,0),COLUMN()),"")</f>
        <v/>
      </c>
      <c r="C677" t="str">
        <f>IFERROR(INDEX(装备库!$A$2:$E$2022,MATCH(ROW()-1,装备库!$AK$2:$AK$2022,0),5),"")</f>
        <v/>
      </c>
    </row>
    <row r="678" spans="1:3">
      <c r="A678" t="str">
        <f>IFERROR(INDEX(装备库!$A$2:$E$2022,MATCH(ROW()-1,装备库!$AK$2:$AK$2022,0),COLUMN()),"")</f>
        <v/>
      </c>
      <c r="B678" t="str">
        <f>IFERROR(INDEX(装备库!$A$2:$E$2022,MATCH(ROW()-1,装备库!$AK$2:$AK$2022,0),COLUMN()),"")</f>
        <v/>
      </c>
      <c r="C678" t="str">
        <f>IFERROR(INDEX(装备库!$A$2:$E$2022,MATCH(ROW()-1,装备库!$AK$2:$AK$2022,0),5),"")</f>
        <v/>
      </c>
    </row>
    <row r="679" spans="1:3">
      <c r="A679" t="str">
        <f>IFERROR(INDEX(装备库!$A$2:$E$2022,MATCH(ROW()-1,装备库!$AK$2:$AK$2022,0),COLUMN()),"")</f>
        <v/>
      </c>
      <c r="B679" t="str">
        <f>IFERROR(INDEX(装备库!$A$2:$E$2022,MATCH(ROW()-1,装备库!$AK$2:$AK$2022,0),COLUMN()),"")</f>
        <v/>
      </c>
      <c r="C679" t="str">
        <f>IFERROR(INDEX(装备库!$A$2:$E$2022,MATCH(ROW()-1,装备库!$AK$2:$AK$2022,0),5),"")</f>
        <v/>
      </c>
    </row>
    <row r="680" spans="1:3">
      <c r="A680" t="str">
        <f>IFERROR(INDEX(装备库!$A$2:$E$2022,MATCH(ROW()-1,装备库!$AK$2:$AK$2022,0),COLUMN()),"")</f>
        <v/>
      </c>
      <c r="B680" t="str">
        <f>IFERROR(INDEX(装备库!$A$2:$E$2022,MATCH(ROW()-1,装备库!$AK$2:$AK$2022,0),COLUMN()),"")</f>
        <v/>
      </c>
      <c r="C680" t="str">
        <f>IFERROR(INDEX(装备库!$A$2:$E$2022,MATCH(ROW()-1,装备库!$AK$2:$AK$2022,0),5),"")</f>
        <v/>
      </c>
    </row>
    <row r="681" spans="1:3">
      <c r="A681" t="str">
        <f>IFERROR(INDEX(装备库!$A$2:$E$2022,MATCH(ROW()-1,装备库!$AK$2:$AK$2022,0),COLUMN()),"")</f>
        <v/>
      </c>
      <c r="B681" t="str">
        <f>IFERROR(INDEX(装备库!$A$2:$E$2022,MATCH(ROW()-1,装备库!$AK$2:$AK$2022,0),COLUMN()),"")</f>
        <v/>
      </c>
      <c r="C681" t="str">
        <f>IFERROR(INDEX(装备库!$A$2:$E$2022,MATCH(ROW()-1,装备库!$AK$2:$AK$2022,0),5),"")</f>
        <v/>
      </c>
    </row>
    <row r="682" spans="1:3">
      <c r="A682" t="str">
        <f>IFERROR(INDEX(装备库!$A$2:$E$2022,MATCH(ROW()-1,装备库!$AK$2:$AK$2022,0),COLUMN()),"")</f>
        <v/>
      </c>
      <c r="B682" t="str">
        <f>IFERROR(INDEX(装备库!$A$2:$E$2022,MATCH(ROW()-1,装备库!$AK$2:$AK$2022,0),COLUMN()),"")</f>
        <v/>
      </c>
      <c r="C682" t="str">
        <f>IFERROR(INDEX(装备库!$A$2:$E$2022,MATCH(ROW()-1,装备库!$AK$2:$AK$2022,0),5),"")</f>
        <v/>
      </c>
    </row>
    <row r="683" spans="1:3">
      <c r="A683" t="str">
        <f>IFERROR(INDEX(装备库!$A$2:$E$2022,MATCH(ROW()-1,装备库!$AK$2:$AK$2022,0),COLUMN()),"")</f>
        <v/>
      </c>
      <c r="B683" t="str">
        <f>IFERROR(INDEX(装备库!$A$2:$E$2022,MATCH(ROW()-1,装备库!$AK$2:$AK$2022,0),COLUMN()),"")</f>
        <v/>
      </c>
      <c r="C683" t="str">
        <f>IFERROR(INDEX(装备库!$A$2:$E$2022,MATCH(ROW()-1,装备库!$AK$2:$AK$2022,0),5),"")</f>
        <v/>
      </c>
    </row>
    <row r="684" spans="1:3">
      <c r="A684" t="str">
        <f>IFERROR(INDEX(装备库!$A$2:$E$2022,MATCH(ROW()-1,装备库!$AK$2:$AK$2022,0),COLUMN()),"")</f>
        <v/>
      </c>
      <c r="B684" t="str">
        <f>IFERROR(INDEX(装备库!$A$2:$E$2022,MATCH(ROW()-1,装备库!$AK$2:$AK$2022,0),COLUMN()),"")</f>
        <v/>
      </c>
      <c r="C684" t="str">
        <f>IFERROR(INDEX(装备库!$A$2:$E$2022,MATCH(ROW()-1,装备库!$AK$2:$AK$2022,0),5),"")</f>
        <v/>
      </c>
    </row>
    <row r="685" spans="1:3">
      <c r="A685" t="str">
        <f>IFERROR(INDEX(装备库!$A$2:$E$2022,MATCH(ROW()-1,装备库!$AK$2:$AK$2022,0),COLUMN()),"")</f>
        <v/>
      </c>
      <c r="B685" t="str">
        <f>IFERROR(INDEX(装备库!$A$2:$E$2022,MATCH(ROW()-1,装备库!$AK$2:$AK$2022,0),COLUMN()),"")</f>
        <v/>
      </c>
      <c r="C685" t="str">
        <f>IFERROR(INDEX(装备库!$A$2:$E$2022,MATCH(ROW()-1,装备库!$AK$2:$AK$2022,0),5),"")</f>
        <v/>
      </c>
    </row>
    <row r="686" spans="1:3">
      <c r="A686" t="str">
        <f>IFERROR(INDEX(装备库!$A$2:$E$2022,MATCH(ROW()-1,装备库!$AK$2:$AK$2022,0),COLUMN()),"")</f>
        <v/>
      </c>
      <c r="B686" t="str">
        <f>IFERROR(INDEX(装备库!$A$2:$E$2022,MATCH(ROW()-1,装备库!$AK$2:$AK$2022,0),COLUMN()),"")</f>
        <v/>
      </c>
      <c r="C686" t="str">
        <f>IFERROR(INDEX(装备库!$A$2:$E$2022,MATCH(ROW()-1,装备库!$AK$2:$AK$2022,0),5),"")</f>
        <v/>
      </c>
    </row>
    <row r="687" spans="1:3">
      <c r="A687" t="str">
        <f>IFERROR(INDEX(装备库!$A$2:$E$2022,MATCH(ROW()-1,装备库!$AK$2:$AK$2022,0),COLUMN()),"")</f>
        <v/>
      </c>
      <c r="B687" t="str">
        <f>IFERROR(INDEX(装备库!$A$2:$E$2022,MATCH(ROW()-1,装备库!$AK$2:$AK$2022,0),COLUMN()),"")</f>
        <v/>
      </c>
      <c r="C687" t="str">
        <f>IFERROR(INDEX(装备库!$A$2:$E$2022,MATCH(ROW()-1,装备库!$AK$2:$AK$2022,0),5),"")</f>
        <v/>
      </c>
    </row>
    <row r="688" spans="1:3">
      <c r="A688" t="str">
        <f>IFERROR(INDEX(装备库!$A$2:$E$2022,MATCH(ROW()-1,装备库!$AK$2:$AK$2022,0),COLUMN()),"")</f>
        <v/>
      </c>
      <c r="B688" t="str">
        <f>IFERROR(INDEX(装备库!$A$2:$E$2022,MATCH(ROW()-1,装备库!$AK$2:$AK$2022,0),COLUMN()),"")</f>
        <v/>
      </c>
      <c r="C688" t="str">
        <f>IFERROR(INDEX(装备库!$A$2:$E$2022,MATCH(ROW()-1,装备库!$AK$2:$AK$2022,0),5),"")</f>
        <v/>
      </c>
    </row>
    <row r="689" spans="1:3">
      <c r="A689" t="str">
        <f>IFERROR(INDEX(装备库!$A$2:$E$2022,MATCH(ROW()-1,装备库!$AK$2:$AK$2022,0),COLUMN()),"")</f>
        <v/>
      </c>
      <c r="B689" t="str">
        <f>IFERROR(INDEX(装备库!$A$2:$E$2022,MATCH(ROW()-1,装备库!$AK$2:$AK$2022,0),COLUMN()),"")</f>
        <v/>
      </c>
      <c r="C689" t="str">
        <f>IFERROR(INDEX(装备库!$A$2:$E$2022,MATCH(ROW()-1,装备库!$AK$2:$AK$2022,0),5),"")</f>
        <v/>
      </c>
    </row>
    <row r="690" spans="1:3">
      <c r="A690" t="str">
        <f>IFERROR(INDEX(装备库!$A$2:$E$2022,MATCH(ROW()-1,装备库!$AK$2:$AK$2022,0),COLUMN()),"")</f>
        <v/>
      </c>
      <c r="B690" t="str">
        <f>IFERROR(INDEX(装备库!$A$2:$E$2022,MATCH(ROW()-1,装备库!$AK$2:$AK$2022,0),COLUMN()),"")</f>
        <v/>
      </c>
      <c r="C690" t="str">
        <f>IFERROR(INDEX(装备库!$A$2:$E$2022,MATCH(ROW()-1,装备库!$AK$2:$AK$2022,0),5),"")</f>
        <v/>
      </c>
    </row>
    <row r="691" spans="1:3">
      <c r="A691" t="str">
        <f>IFERROR(INDEX(装备库!$A$2:$E$2022,MATCH(ROW()-1,装备库!$AK$2:$AK$2022,0),COLUMN()),"")</f>
        <v/>
      </c>
      <c r="B691" t="str">
        <f>IFERROR(INDEX(装备库!$A$2:$E$2022,MATCH(ROW()-1,装备库!$AK$2:$AK$2022,0),COLUMN()),"")</f>
        <v/>
      </c>
      <c r="C691" t="str">
        <f>IFERROR(INDEX(装备库!$A$2:$E$2022,MATCH(ROW()-1,装备库!$AK$2:$AK$2022,0),5),"")</f>
        <v/>
      </c>
    </row>
    <row r="692" spans="1:3">
      <c r="A692" t="str">
        <f>IFERROR(INDEX(装备库!$A$2:$E$2022,MATCH(ROW()-1,装备库!$AK$2:$AK$2022,0),COLUMN()),"")</f>
        <v/>
      </c>
      <c r="B692" t="str">
        <f>IFERROR(INDEX(装备库!$A$2:$E$2022,MATCH(ROW()-1,装备库!$AK$2:$AK$2022,0),COLUMN()),"")</f>
        <v/>
      </c>
      <c r="C692" t="str">
        <f>IFERROR(INDEX(装备库!$A$2:$E$2022,MATCH(ROW()-1,装备库!$AK$2:$AK$2022,0),5),"")</f>
        <v/>
      </c>
    </row>
    <row r="693" spans="1:3">
      <c r="A693" t="str">
        <f>IFERROR(INDEX(装备库!$A$2:$E$2022,MATCH(ROW()-1,装备库!$AK$2:$AK$2022,0),COLUMN()),"")</f>
        <v/>
      </c>
      <c r="B693" t="str">
        <f>IFERROR(INDEX(装备库!$A$2:$E$2022,MATCH(ROW()-1,装备库!$AK$2:$AK$2022,0),COLUMN()),"")</f>
        <v/>
      </c>
      <c r="C693" t="str">
        <f>IFERROR(INDEX(装备库!$A$2:$E$2022,MATCH(ROW()-1,装备库!$AK$2:$AK$2022,0),5),"")</f>
        <v/>
      </c>
    </row>
    <row r="694" spans="1:3">
      <c r="A694" t="str">
        <f>IFERROR(INDEX(装备库!$A$2:$E$2022,MATCH(ROW()-1,装备库!$AK$2:$AK$2022,0),COLUMN()),"")</f>
        <v/>
      </c>
      <c r="B694" t="str">
        <f>IFERROR(INDEX(装备库!$A$2:$E$2022,MATCH(ROW()-1,装备库!$AK$2:$AK$2022,0),COLUMN()),"")</f>
        <v/>
      </c>
      <c r="C694" t="str">
        <f>IFERROR(INDEX(装备库!$A$2:$E$2022,MATCH(ROW()-1,装备库!$AK$2:$AK$2022,0),5),"")</f>
        <v/>
      </c>
    </row>
    <row r="695" spans="1:3">
      <c r="A695" t="str">
        <f>IFERROR(INDEX(装备库!$A$2:$E$2022,MATCH(ROW()-1,装备库!$AK$2:$AK$2022,0),COLUMN()),"")</f>
        <v/>
      </c>
      <c r="B695" t="str">
        <f>IFERROR(INDEX(装备库!$A$2:$E$2022,MATCH(ROW()-1,装备库!$AK$2:$AK$2022,0),COLUMN()),"")</f>
        <v/>
      </c>
      <c r="C695" t="str">
        <f>IFERROR(INDEX(装备库!$A$2:$E$2022,MATCH(ROW()-1,装备库!$AK$2:$AK$2022,0),5),"")</f>
        <v/>
      </c>
    </row>
    <row r="696" spans="1:3">
      <c r="A696" t="str">
        <f>IFERROR(INDEX(装备库!$A$2:$E$2022,MATCH(ROW()-1,装备库!$AK$2:$AK$2022,0),COLUMN()),"")</f>
        <v/>
      </c>
      <c r="B696" t="str">
        <f>IFERROR(INDEX(装备库!$A$2:$E$2022,MATCH(ROW()-1,装备库!$AK$2:$AK$2022,0),COLUMN()),"")</f>
        <v/>
      </c>
      <c r="C696" t="str">
        <f>IFERROR(INDEX(装备库!$A$2:$E$2022,MATCH(ROW()-1,装备库!$AK$2:$AK$2022,0),5),"")</f>
        <v/>
      </c>
    </row>
    <row r="697" spans="1:3">
      <c r="A697" t="str">
        <f>IFERROR(INDEX(装备库!$A$2:$E$2022,MATCH(ROW()-1,装备库!$AK$2:$AK$2022,0),COLUMN()),"")</f>
        <v/>
      </c>
      <c r="B697" t="str">
        <f>IFERROR(INDEX(装备库!$A$2:$E$2022,MATCH(ROW()-1,装备库!$AK$2:$AK$2022,0),COLUMN()),"")</f>
        <v/>
      </c>
      <c r="C697" t="str">
        <f>IFERROR(INDEX(装备库!$A$2:$E$2022,MATCH(ROW()-1,装备库!$AK$2:$AK$2022,0),5),"")</f>
        <v/>
      </c>
    </row>
    <row r="698" spans="1:3">
      <c r="A698" t="str">
        <f>IFERROR(INDEX(装备库!$A$2:$E$2022,MATCH(ROW()-1,装备库!$AK$2:$AK$2022,0),COLUMN()),"")</f>
        <v/>
      </c>
      <c r="B698" t="str">
        <f>IFERROR(INDEX(装备库!$A$2:$E$2022,MATCH(ROW()-1,装备库!$AK$2:$AK$2022,0),COLUMN()),"")</f>
        <v/>
      </c>
      <c r="C698" t="str">
        <f>IFERROR(INDEX(装备库!$A$2:$E$2022,MATCH(ROW()-1,装备库!$AK$2:$AK$2022,0),5),"")</f>
        <v/>
      </c>
    </row>
    <row r="699" spans="1:3">
      <c r="A699" t="str">
        <f>IFERROR(INDEX(装备库!$A$2:$E$2022,MATCH(ROW()-1,装备库!$AK$2:$AK$2022,0),COLUMN()),"")</f>
        <v/>
      </c>
      <c r="B699" t="str">
        <f>IFERROR(INDEX(装备库!$A$2:$E$2022,MATCH(ROW()-1,装备库!$AK$2:$AK$2022,0),COLUMN()),"")</f>
        <v/>
      </c>
      <c r="C699" t="str">
        <f>IFERROR(INDEX(装备库!$A$2:$E$2022,MATCH(ROW()-1,装备库!$AK$2:$AK$2022,0),5),"")</f>
        <v/>
      </c>
    </row>
    <row r="700" spans="1:3">
      <c r="A700" t="str">
        <f>IFERROR(INDEX(装备库!$A$2:$E$2022,MATCH(ROW()-1,装备库!$AK$2:$AK$2022,0),COLUMN()),"")</f>
        <v/>
      </c>
      <c r="B700" t="str">
        <f>IFERROR(INDEX(装备库!$A$2:$E$2022,MATCH(ROW()-1,装备库!$AK$2:$AK$2022,0),COLUMN()),"")</f>
        <v/>
      </c>
      <c r="C700" t="str">
        <f>IFERROR(INDEX(装备库!$A$2:$E$2022,MATCH(ROW()-1,装备库!$AK$2:$AK$2022,0),5),"")</f>
        <v/>
      </c>
    </row>
    <row r="701" spans="1:3">
      <c r="A701" t="str">
        <f>IFERROR(INDEX(装备库!$A$2:$E$2022,MATCH(ROW()-1,装备库!$AK$2:$AK$2022,0),COLUMN()),"")</f>
        <v/>
      </c>
      <c r="B701" t="str">
        <f>IFERROR(INDEX(装备库!$A$2:$E$2022,MATCH(ROW()-1,装备库!$AK$2:$AK$2022,0),COLUMN()),"")</f>
        <v/>
      </c>
      <c r="C701" t="str">
        <f>IFERROR(INDEX(装备库!$A$2:$E$2022,MATCH(ROW()-1,装备库!$AK$2:$AK$2022,0),5),"")</f>
        <v/>
      </c>
    </row>
    <row r="702" spans="1:3">
      <c r="A702" t="str">
        <f>IFERROR(INDEX(装备库!$A$2:$E$2022,MATCH(ROW()-1,装备库!$AK$2:$AK$2022,0),COLUMN()),"")</f>
        <v/>
      </c>
      <c r="B702" t="str">
        <f>IFERROR(INDEX(装备库!$A$2:$E$2022,MATCH(ROW()-1,装备库!$AK$2:$AK$2022,0),COLUMN()),"")</f>
        <v/>
      </c>
      <c r="C702" t="str">
        <f>IFERROR(INDEX(装备库!$A$2:$E$2022,MATCH(ROW()-1,装备库!$AK$2:$AK$2022,0),5),"")</f>
        <v/>
      </c>
    </row>
    <row r="703" spans="1:3">
      <c r="A703" t="str">
        <f>IFERROR(INDEX(装备库!$A$2:$E$2022,MATCH(ROW()-1,装备库!$AK$2:$AK$2022,0),COLUMN()),"")</f>
        <v/>
      </c>
      <c r="B703" t="str">
        <f>IFERROR(INDEX(装备库!$A$2:$E$2022,MATCH(ROW()-1,装备库!$AK$2:$AK$2022,0),COLUMN()),"")</f>
        <v/>
      </c>
      <c r="C703" t="str">
        <f>IFERROR(INDEX(装备库!$A$2:$E$2022,MATCH(ROW()-1,装备库!$AK$2:$AK$2022,0),5),"")</f>
        <v/>
      </c>
    </row>
    <row r="704" spans="1:3">
      <c r="A704" t="str">
        <f>IFERROR(INDEX(装备库!$A$2:$E$2022,MATCH(ROW()-1,装备库!$AK$2:$AK$2022,0),COLUMN()),"")</f>
        <v/>
      </c>
      <c r="B704" t="str">
        <f>IFERROR(INDEX(装备库!$A$2:$E$2022,MATCH(ROW()-1,装备库!$AK$2:$AK$2022,0),COLUMN()),"")</f>
        <v/>
      </c>
      <c r="C704" t="str">
        <f>IFERROR(INDEX(装备库!$A$2:$E$2022,MATCH(ROW()-1,装备库!$AK$2:$AK$2022,0),5),"")</f>
        <v/>
      </c>
    </row>
    <row r="705" spans="1:3">
      <c r="A705" t="str">
        <f>IFERROR(INDEX(装备库!$A$2:$E$2022,MATCH(ROW()-1,装备库!$AK$2:$AK$2022,0),COLUMN()),"")</f>
        <v/>
      </c>
      <c r="B705" t="str">
        <f>IFERROR(INDEX(装备库!$A$2:$E$2022,MATCH(ROW()-1,装备库!$AK$2:$AK$2022,0),COLUMN()),"")</f>
        <v/>
      </c>
      <c r="C705" t="str">
        <f>IFERROR(INDEX(装备库!$A$2:$E$2022,MATCH(ROW()-1,装备库!$AK$2:$AK$2022,0),5),"")</f>
        <v/>
      </c>
    </row>
    <row r="706" spans="1:3">
      <c r="A706" t="str">
        <f>IFERROR(INDEX(装备库!$A$2:$E$2022,MATCH(ROW()-1,装备库!$AK$2:$AK$2022,0),COLUMN()),"")</f>
        <v/>
      </c>
      <c r="B706" t="str">
        <f>IFERROR(INDEX(装备库!$A$2:$E$2022,MATCH(ROW()-1,装备库!$AK$2:$AK$2022,0),COLUMN()),"")</f>
        <v/>
      </c>
      <c r="C706" t="str">
        <f>IFERROR(INDEX(装备库!$A$2:$E$2022,MATCH(ROW()-1,装备库!$AK$2:$AK$2022,0),5),"")</f>
        <v/>
      </c>
    </row>
    <row r="707" spans="1:3">
      <c r="A707" t="str">
        <f>IFERROR(INDEX(装备库!$A$2:$E$2022,MATCH(ROW()-1,装备库!$AK$2:$AK$2022,0),COLUMN()),"")</f>
        <v/>
      </c>
      <c r="B707" t="str">
        <f>IFERROR(INDEX(装备库!$A$2:$E$2022,MATCH(ROW()-1,装备库!$AK$2:$AK$2022,0),COLUMN()),"")</f>
        <v/>
      </c>
      <c r="C707" t="str">
        <f>IFERROR(INDEX(装备库!$A$2:$E$2022,MATCH(ROW()-1,装备库!$AK$2:$AK$2022,0),5),"")</f>
        <v/>
      </c>
    </row>
    <row r="708" spans="1:3">
      <c r="A708" t="str">
        <f>IFERROR(INDEX(装备库!$A$2:$E$2022,MATCH(ROW()-1,装备库!$AK$2:$AK$2022,0),COLUMN()),"")</f>
        <v/>
      </c>
      <c r="B708" t="str">
        <f>IFERROR(INDEX(装备库!$A$2:$E$2022,MATCH(ROW()-1,装备库!$AK$2:$AK$2022,0),COLUMN()),"")</f>
        <v/>
      </c>
      <c r="C708" t="str">
        <f>IFERROR(INDEX(装备库!$A$2:$E$2022,MATCH(ROW()-1,装备库!$AK$2:$AK$2022,0),5),"")</f>
        <v/>
      </c>
    </row>
    <row r="709" spans="1:3">
      <c r="A709" t="str">
        <f>IFERROR(INDEX(装备库!$A$2:$E$2022,MATCH(ROW()-1,装备库!$AK$2:$AK$2022,0),COLUMN()),"")</f>
        <v/>
      </c>
      <c r="B709" t="str">
        <f>IFERROR(INDEX(装备库!$A$2:$E$2022,MATCH(ROW()-1,装备库!$AK$2:$AK$2022,0),COLUMN()),"")</f>
        <v/>
      </c>
      <c r="C709" t="str">
        <f>IFERROR(INDEX(装备库!$A$2:$E$2022,MATCH(ROW()-1,装备库!$AK$2:$AK$2022,0),5),"")</f>
        <v/>
      </c>
    </row>
    <row r="710" spans="1:3">
      <c r="A710" t="str">
        <f>IFERROR(INDEX(装备库!$A$2:$E$2022,MATCH(ROW()-1,装备库!$AK$2:$AK$2022,0),COLUMN()),"")</f>
        <v/>
      </c>
      <c r="B710" t="str">
        <f>IFERROR(INDEX(装备库!$A$2:$E$2022,MATCH(ROW()-1,装备库!$AK$2:$AK$2022,0),COLUMN()),"")</f>
        <v/>
      </c>
      <c r="C710" t="str">
        <f>IFERROR(INDEX(装备库!$A$2:$E$2022,MATCH(ROW()-1,装备库!$AK$2:$AK$2022,0),5),"")</f>
        <v/>
      </c>
    </row>
    <row r="711" spans="1:3">
      <c r="A711" t="str">
        <f>IFERROR(INDEX(装备库!$A$2:$E$2022,MATCH(ROW()-1,装备库!$AK$2:$AK$2022,0),COLUMN()),"")</f>
        <v/>
      </c>
      <c r="B711" t="str">
        <f>IFERROR(INDEX(装备库!$A$2:$E$2022,MATCH(ROW()-1,装备库!$AK$2:$AK$2022,0),COLUMN()),"")</f>
        <v/>
      </c>
      <c r="C711" t="str">
        <f>IFERROR(INDEX(装备库!$A$2:$E$2022,MATCH(ROW()-1,装备库!$AK$2:$AK$2022,0),5),"")</f>
        <v/>
      </c>
    </row>
    <row r="712" spans="1:3">
      <c r="A712" t="str">
        <f>IFERROR(INDEX(装备库!$A$2:$E$2022,MATCH(ROW()-1,装备库!$AK$2:$AK$2022,0),COLUMN()),"")</f>
        <v/>
      </c>
      <c r="B712" t="str">
        <f>IFERROR(INDEX(装备库!$A$2:$E$2022,MATCH(ROW()-1,装备库!$AK$2:$AK$2022,0),COLUMN()),"")</f>
        <v/>
      </c>
      <c r="C712" t="str">
        <f>IFERROR(INDEX(装备库!$A$2:$E$2022,MATCH(ROW()-1,装备库!$AK$2:$AK$2022,0),5),"")</f>
        <v/>
      </c>
    </row>
    <row r="713" spans="1:3">
      <c r="A713" t="str">
        <f>IFERROR(INDEX(装备库!$A$2:$E$2022,MATCH(ROW()-1,装备库!$AK$2:$AK$2022,0),COLUMN()),"")</f>
        <v/>
      </c>
      <c r="B713" t="str">
        <f>IFERROR(INDEX(装备库!$A$2:$E$2022,MATCH(ROW()-1,装备库!$AK$2:$AK$2022,0),COLUMN()),"")</f>
        <v/>
      </c>
      <c r="C713" t="str">
        <f>IFERROR(INDEX(装备库!$A$2:$E$2022,MATCH(ROW()-1,装备库!$AK$2:$AK$2022,0),5),"")</f>
        <v/>
      </c>
    </row>
    <row r="714" spans="1:3">
      <c r="A714" t="str">
        <f>IFERROR(INDEX(装备库!$A$2:$E$2022,MATCH(ROW()-1,装备库!$AK$2:$AK$2022,0),COLUMN()),"")</f>
        <v/>
      </c>
      <c r="B714" t="str">
        <f>IFERROR(INDEX(装备库!$A$2:$E$2022,MATCH(ROW()-1,装备库!$AK$2:$AK$2022,0),COLUMN()),"")</f>
        <v/>
      </c>
      <c r="C714" t="str">
        <f>IFERROR(INDEX(装备库!$A$2:$E$2022,MATCH(ROW()-1,装备库!$AK$2:$AK$2022,0),5),"")</f>
        <v/>
      </c>
    </row>
    <row r="715" spans="1:3">
      <c r="A715" t="str">
        <f>IFERROR(INDEX(装备库!$A$2:$E$2022,MATCH(ROW()-1,装备库!$AK$2:$AK$2022,0),COLUMN()),"")</f>
        <v/>
      </c>
      <c r="B715" t="str">
        <f>IFERROR(INDEX(装备库!$A$2:$E$2022,MATCH(ROW()-1,装备库!$AK$2:$AK$2022,0),COLUMN()),"")</f>
        <v/>
      </c>
      <c r="C715" t="str">
        <f>IFERROR(INDEX(装备库!$A$2:$E$2022,MATCH(ROW()-1,装备库!$AK$2:$AK$2022,0),5),"")</f>
        <v/>
      </c>
    </row>
    <row r="716" spans="1:3">
      <c r="A716" t="str">
        <f>IFERROR(INDEX(装备库!$A$2:$E$2022,MATCH(ROW()-1,装备库!$AK$2:$AK$2022,0),COLUMN()),"")</f>
        <v/>
      </c>
      <c r="B716" t="str">
        <f>IFERROR(INDEX(装备库!$A$2:$E$2022,MATCH(ROW()-1,装备库!$AK$2:$AK$2022,0),COLUMN()),"")</f>
        <v/>
      </c>
      <c r="C716" t="str">
        <f>IFERROR(INDEX(装备库!$A$2:$E$2022,MATCH(ROW()-1,装备库!$AK$2:$AK$2022,0),5),"")</f>
        <v/>
      </c>
    </row>
    <row r="717" spans="1:3">
      <c r="A717" t="str">
        <f>IFERROR(INDEX(装备库!$A$2:$E$2022,MATCH(ROW()-1,装备库!$AK$2:$AK$2022,0),COLUMN()),"")</f>
        <v/>
      </c>
      <c r="B717" t="str">
        <f>IFERROR(INDEX(装备库!$A$2:$E$2022,MATCH(ROW()-1,装备库!$AK$2:$AK$2022,0),COLUMN()),"")</f>
        <v/>
      </c>
      <c r="C717" t="str">
        <f>IFERROR(INDEX(装备库!$A$2:$E$2022,MATCH(ROW()-1,装备库!$AK$2:$AK$2022,0),5),"")</f>
        <v/>
      </c>
    </row>
    <row r="718" spans="1:3">
      <c r="A718" t="str">
        <f>IFERROR(INDEX(装备库!$A$2:$E$2022,MATCH(ROW()-1,装备库!$AK$2:$AK$2022,0),COLUMN()),"")</f>
        <v/>
      </c>
      <c r="B718" t="str">
        <f>IFERROR(INDEX(装备库!$A$2:$E$2022,MATCH(ROW()-1,装备库!$AK$2:$AK$2022,0),COLUMN()),"")</f>
        <v/>
      </c>
      <c r="C718" t="str">
        <f>IFERROR(INDEX(装备库!$A$2:$E$2022,MATCH(ROW()-1,装备库!$AK$2:$AK$2022,0),5),"")</f>
        <v/>
      </c>
    </row>
    <row r="719" spans="1:3">
      <c r="A719" t="str">
        <f>IFERROR(INDEX(装备库!$A$2:$E$2022,MATCH(ROW()-1,装备库!$AK$2:$AK$2022,0),COLUMN()),"")</f>
        <v/>
      </c>
      <c r="B719" t="str">
        <f>IFERROR(INDEX(装备库!$A$2:$E$2022,MATCH(ROW()-1,装备库!$AK$2:$AK$2022,0),COLUMN()),"")</f>
        <v/>
      </c>
      <c r="C719" t="str">
        <f>IFERROR(INDEX(装备库!$A$2:$E$2022,MATCH(ROW()-1,装备库!$AK$2:$AK$2022,0),5),"")</f>
        <v/>
      </c>
    </row>
    <row r="720" spans="1:3">
      <c r="A720" t="str">
        <f>IFERROR(INDEX(装备库!$A$2:$E$2022,MATCH(ROW()-1,装备库!$AK$2:$AK$2022,0),COLUMN()),"")</f>
        <v/>
      </c>
      <c r="B720" t="str">
        <f>IFERROR(INDEX(装备库!$A$2:$E$2022,MATCH(ROW()-1,装备库!$AK$2:$AK$2022,0),COLUMN()),"")</f>
        <v/>
      </c>
      <c r="C720" t="str">
        <f>IFERROR(INDEX(装备库!$A$2:$E$2022,MATCH(ROW()-1,装备库!$AK$2:$AK$2022,0),5),"")</f>
        <v/>
      </c>
    </row>
    <row r="721" spans="1:3">
      <c r="A721" t="str">
        <f>IFERROR(INDEX(装备库!$A$2:$E$2022,MATCH(ROW()-1,装备库!$AK$2:$AK$2022,0),COLUMN()),"")</f>
        <v/>
      </c>
      <c r="B721" t="str">
        <f>IFERROR(INDEX(装备库!$A$2:$E$2022,MATCH(ROW()-1,装备库!$AK$2:$AK$2022,0),COLUMN()),"")</f>
        <v/>
      </c>
      <c r="C721" t="str">
        <f>IFERROR(INDEX(装备库!$A$2:$E$2022,MATCH(ROW()-1,装备库!$AK$2:$AK$2022,0),5),"")</f>
        <v/>
      </c>
    </row>
    <row r="722" spans="1:3">
      <c r="A722" t="str">
        <f>IFERROR(INDEX(装备库!$A$2:$E$2022,MATCH(ROW()-1,装备库!$AK$2:$AK$2022,0),COLUMN()),"")</f>
        <v/>
      </c>
      <c r="B722" t="str">
        <f>IFERROR(INDEX(装备库!$A$2:$E$2022,MATCH(ROW()-1,装备库!$AK$2:$AK$2022,0),COLUMN()),"")</f>
        <v/>
      </c>
      <c r="C722" t="str">
        <f>IFERROR(INDEX(装备库!$A$2:$E$2022,MATCH(ROW()-1,装备库!$AK$2:$AK$2022,0),5),"")</f>
        <v/>
      </c>
    </row>
    <row r="723" spans="1:3">
      <c r="A723" t="str">
        <f>IFERROR(INDEX(装备库!$A$2:$E$2022,MATCH(ROW()-1,装备库!$AK$2:$AK$2022,0),COLUMN()),"")</f>
        <v/>
      </c>
      <c r="B723" t="str">
        <f>IFERROR(INDEX(装备库!$A$2:$E$2022,MATCH(ROW()-1,装备库!$AK$2:$AK$2022,0),COLUMN()),"")</f>
        <v/>
      </c>
      <c r="C723" t="str">
        <f>IFERROR(INDEX(装备库!$A$2:$E$2022,MATCH(ROW()-1,装备库!$AK$2:$AK$2022,0),5),"")</f>
        <v/>
      </c>
    </row>
    <row r="724" spans="1:3">
      <c r="A724" t="str">
        <f>IFERROR(INDEX(装备库!$A$2:$E$2022,MATCH(ROW()-1,装备库!$AK$2:$AK$2022,0),COLUMN()),"")</f>
        <v/>
      </c>
      <c r="B724" t="str">
        <f>IFERROR(INDEX(装备库!$A$2:$E$2022,MATCH(ROW()-1,装备库!$AK$2:$AK$2022,0),COLUMN()),"")</f>
        <v/>
      </c>
      <c r="C724" t="str">
        <f>IFERROR(INDEX(装备库!$A$2:$E$2022,MATCH(ROW()-1,装备库!$AK$2:$AK$2022,0),5),"")</f>
        <v/>
      </c>
    </row>
    <row r="725" spans="1:3">
      <c r="A725" t="str">
        <f>IFERROR(INDEX(装备库!$A$2:$E$2022,MATCH(ROW()-1,装备库!$AK$2:$AK$2022,0),COLUMN()),"")</f>
        <v/>
      </c>
      <c r="B725" t="str">
        <f>IFERROR(INDEX(装备库!$A$2:$E$2022,MATCH(ROW()-1,装备库!$AK$2:$AK$2022,0),COLUMN()),"")</f>
        <v/>
      </c>
      <c r="C725" t="str">
        <f>IFERROR(INDEX(装备库!$A$2:$E$2022,MATCH(ROW()-1,装备库!$AK$2:$AK$2022,0),5),"")</f>
        <v/>
      </c>
    </row>
    <row r="726" spans="1:3">
      <c r="A726" t="str">
        <f>IFERROR(INDEX(装备库!$A$2:$E$2022,MATCH(ROW()-1,装备库!$AK$2:$AK$2022,0),COLUMN()),"")</f>
        <v/>
      </c>
      <c r="B726" t="str">
        <f>IFERROR(INDEX(装备库!$A$2:$E$2022,MATCH(ROW()-1,装备库!$AK$2:$AK$2022,0),COLUMN()),"")</f>
        <v/>
      </c>
      <c r="C726" t="str">
        <f>IFERROR(INDEX(装备库!$A$2:$E$2022,MATCH(ROW()-1,装备库!$AK$2:$AK$2022,0),5),"")</f>
        <v/>
      </c>
    </row>
    <row r="727" spans="1:3">
      <c r="A727" t="str">
        <f>IFERROR(INDEX(装备库!$A$2:$E$2022,MATCH(ROW()-1,装备库!$AK$2:$AK$2022,0),COLUMN()),"")</f>
        <v/>
      </c>
      <c r="B727" t="str">
        <f>IFERROR(INDEX(装备库!$A$2:$E$2022,MATCH(ROW()-1,装备库!$AK$2:$AK$2022,0),COLUMN()),"")</f>
        <v/>
      </c>
      <c r="C727" t="str">
        <f>IFERROR(INDEX(装备库!$A$2:$E$2022,MATCH(ROW()-1,装备库!$AK$2:$AK$2022,0),5),"")</f>
        <v/>
      </c>
    </row>
    <row r="728" spans="1:3">
      <c r="A728" t="str">
        <f>IFERROR(INDEX(装备库!$A$2:$E$2022,MATCH(ROW()-1,装备库!$AK$2:$AK$2022,0),COLUMN()),"")</f>
        <v/>
      </c>
      <c r="B728" t="str">
        <f>IFERROR(INDEX(装备库!$A$2:$E$2022,MATCH(ROW()-1,装备库!$AK$2:$AK$2022,0),COLUMN()),"")</f>
        <v/>
      </c>
      <c r="C728" t="str">
        <f>IFERROR(INDEX(装备库!$A$2:$E$2022,MATCH(ROW()-1,装备库!$AK$2:$AK$2022,0),5),"")</f>
        <v/>
      </c>
    </row>
    <row r="729" spans="1:3">
      <c r="A729" t="str">
        <f>IFERROR(INDEX(装备库!$A$2:$E$2022,MATCH(ROW()-1,装备库!$AK$2:$AK$2022,0),COLUMN()),"")</f>
        <v/>
      </c>
      <c r="B729" t="str">
        <f>IFERROR(INDEX(装备库!$A$2:$E$2022,MATCH(ROW()-1,装备库!$AK$2:$AK$2022,0),COLUMN()),"")</f>
        <v/>
      </c>
      <c r="C729" t="str">
        <f>IFERROR(INDEX(装备库!$A$2:$E$2022,MATCH(ROW()-1,装备库!$AK$2:$AK$2022,0),5),"")</f>
        <v/>
      </c>
    </row>
    <row r="730" spans="1:3">
      <c r="A730" t="str">
        <f>IFERROR(INDEX(装备库!$A$2:$E$2022,MATCH(ROW()-1,装备库!$AK$2:$AK$2022,0),COLUMN()),"")</f>
        <v/>
      </c>
      <c r="B730" t="str">
        <f>IFERROR(INDEX(装备库!$A$2:$E$2022,MATCH(ROW()-1,装备库!$AK$2:$AK$2022,0),COLUMN()),"")</f>
        <v/>
      </c>
      <c r="C730" t="str">
        <f>IFERROR(INDEX(装备库!$A$2:$E$2022,MATCH(ROW()-1,装备库!$AK$2:$AK$2022,0),5),"")</f>
        <v/>
      </c>
    </row>
    <row r="731" spans="1:3">
      <c r="A731" t="str">
        <f>IFERROR(INDEX(装备库!$A$2:$E$2022,MATCH(ROW()-1,装备库!$AK$2:$AK$2022,0),COLUMN()),"")</f>
        <v/>
      </c>
      <c r="B731" t="str">
        <f>IFERROR(INDEX(装备库!$A$2:$E$2022,MATCH(ROW()-1,装备库!$AK$2:$AK$2022,0),COLUMN()),"")</f>
        <v/>
      </c>
      <c r="C731" t="str">
        <f>IFERROR(INDEX(装备库!$A$2:$E$2022,MATCH(ROW()-1,装备库!$AK$2:$AK$2022,0),5),"")</f>
        <v/>
      </c>
    </row>
    <row r="732" spans="1:3">
      <c r="A732" t="str">
        <f>IFERROR(INDEX(装备库!$A$2:$E$2022,MATCH(ROW()-1,装备库!$AK$2:$AK$2022,0),COLUMN()),"")</f>
        <v/>
      </c>
      <c r="B732" t="str">
        <f>IFERROR(INDEX(装备库!$A$2:$E$2022,MATCH(ROW()-1,装备库!$AK$2:$AK$2022,0),COLUMN()),"")</f>
        <v/>
      </c>
      <c r="C732" t="str">
        <f>IFERROR(INDEX(装备库!$A$2:$E$2022,MATCH(ROW()-1,装备库!$AK$2:$AK$2022,0),5),"")</f>
        <v/>
      </c>
    </row>
    <row r="733" spans="1:3">
      <c r="A733" t="str">
        <f>IFERROR(INDEX(装备库!$A$2:$E$2022,MATCH(ROW()-1,装备库!$AK$2:$AK$2022,0),COLUMN()),"")</f>
        <v/>
      </c>
      <c r="B733" t="str">
        <f>IFERROR(INDEX(装备库!$A$2:$E$2022,MATCH(ROW()-1,装备库!$AK$2:$AK$2022,0),COLUMN()),"")</f>
        <v/>
      </c>
      <c r="C733" t="str">
        <f>IFERROR(INDEX(装备库!$A$2:$E$2022,MATCH(ROW()-1,装备库!$AK$2:$AK$2022,0),5),"")</f>
        <v/>
      </c>
    </row>
    <row r="734" spans="1:3">
      <c r="A734" t="str">
        <f>IFERROR(INDEX(装备库!$A$2:$E$2022,MATCH(ROW()-1,装备库!$AK$2:$AK$2022,0),COLUMN()),"")</f>
        <v/>
      </c>
      <c r="B734" t="str">
        <f>IFERROR(INDEX(装备库!$A$2:$E$2022,MATCH(ROW()-1,装备库!$AK$2:$AK$2022,0),COLUMN()),"")</f>
        <v/>
      </c>
      <c r="C734" t="str">
        <f>IFERROR(INDEX(装备库!$A$2:$E$2022,MATCH(ROW()-1,装备库!$AK$2:$AK$2022,0),5),"")</f>
        <v/>
      </c>
    </row>
    <row r="735" spans="1:3">
      <c r="A735" t="str">
        <f>IFERROR(INDEX(装备库!$A$2:$E$2022,MATCH(ROW()-1,装备库!$AK$2:$AK$2022,0),COLUMN()),"")</f>
        <v/>
      </c>
      <c r="B735" t="str">
        <f>IFERROR(INDEX(装备库!$A$2:$E$2022,MATCH(ROW()-1,装备库!$AK$2:$AK$2022,0),COLUMN()),"")</f>
        <v/>
      </c>
      <c r="C735" t="str">
        <f>IFERROR(INDEX(装备库!$A$2:$E$2022,MATCH(ROW()-1,装备库!$AK$2:$AK$2022,0),5),"")</f>
        <v/>
      </c>
    </row>
    <row r="736" spans="1:3">
      <c r="A736" t="str">
        <f>IFERROR(INDEX(装备库!$A$2:$E$2022,MATCH(ROW()-1,装备库!$AK$2:$AK$2022,0),COLUMN()),"")</f>
        <v/>
      </c>
      <c r="B736" t="str">
        <f>IFERROR(INDEX(装备库!$A$2:$E$2022,MATCH(ROW()-1,装备库!$AK$2:$AK$2022,0),COLUMN()),"")</f>
        <v/>
      </c>
      <c r="C736" t="str">
        <f>IFERROR(INDEX(装备库!$A$2:$E$2022,MATCH(ROW()-1,装备库!$AK$2:$AK$2022,0),5),"")</f>
        <v/>
      </c>
    </row>
    <row r="737" spans="1:3">
      <c r="A737" t="str">
        <f>IFERROR(INDEX(装备库!$A$2:$E$2022,MATCH(ROW()-1,装备库!$AK$2:$AK$2022,0),COLUMN()),"")</f>
        <v/>
      </c>
      <c r="B737" t="str">
        <f>IFERROR(INDEX(装备库!$A$2:$E$2022,MATCH(ROW()-1,装备库!$AK$2:$AK$2022,0),COLUMN()),"")</f>
        <v/>
      </c>
      <c r="C737" t="str">
        <f>IFERROR(INDEX(装备库!$A$2:$E$2022,MATCH(ROW()-1,装备库!$AK$2:$AK$2022,0),5),"")</f>
        <v/>
      </c>
    </row>
    <row r="738" spans="1:3">
      <c r="A738" t="str">
        <f>IFERROR(INDEX(装备库!$A$2:$E$2022,MATCH(ROW()-1,装备库!$AK$2:$AK$2022,0),COLUMN()),"")</f>
        <v/>
      </c>
      <c r="B738" t="str">
        <f>IFERROR(INDEX(装备库!$A$2:$E$2022,MATCH(ROW()-1,装备库!$AK$2:$AK$2022,0),COLUMN()),"")</f>
        <v/>
      </c>
      <c r="C738" t="str">
        <f>IFERROR(INDEX(装备库!$A$2:$E$2022,MATCH(ROW()-1,装备库!$AK$2:$AK$2022,0),5),"")</f>
        <v/>
      </c>
    </row>
    <row r="739" spans="1:3">
      <c r="A739" t="str">
        <f>IFERROR(INDEX(装备库!$A$2:$E$2022,MATCH(ROW()-1,装备库!$AK$2:$AK$2022,0),COLUMN()),"")</f>
        <v/>
      </c>
      <c r="B739" t="str">
        <f>IFERROR(INDEX(装备库!$A$2:$E$2022,MATCH(ROW()-1,装备库!$AK$2:$AK$2022,0),COLUMN()),"")</f>
        <v/>
      </c>
      <c r="C739" t="str">
        <f>IFERROR(INDEX(装备库!$A$2:$E$2022,MATCH(ROW()-1,装备库!$AK$2:$AK$2022,0),5),"")</f>
        <v/>
      </c>
    </row>
    <row r="740" spans="1:3">
      <c r="A740" t="str">
        <f>IFERROR(INDEX(装备库!$A$2:$E$2022,MATCH(ROW()-1,装备库!$AK$2:$AK$2022,0),COLUMN()),"")</f>
        <v/>
      </c>
      <c r="B740" t="str">
        <f>IFERROR(INDEX(装备库!$A$2:$E$2022,MATCH(ROW()-1,装备库!$AK$2:$AK$2022,0),COLUMN()),"")</f>
        <v/>
      </c>
      <c r="C740" t="str">
        <f>IFERROR(INDEX(装备库!$A$2:$E$2022,MATCH(ROW()-1,装备库!$AK$2:$AK$2022,0),5),"")</f>
        <v/>
      </c>
    </row>
    <row r="741" spans="1:3">
      <c r="A741" t="str">
        <f>IFERROR(INDEX(装备库!$A$2:$E$2022,MATCH(ROW()-1,装备库!$AK$2:$AK$2022,0),COLUMN()),"")</f>
        <v/>
      </c>
      <c r="B741" t="str">
        <f>IFERROR(INDEX(装备库!$A$2:$E$2022,MATCH(ROW()-1,装备库!$AK$2:$AK$2022,0),COLUMN()),"")</f>
        <v/>
      </c>
      <c r="C741" t="str">
        <f>IFERROR(INDEX(装备库!$A$2:$E$2022,MATCH(ROW()-1,装备库!$AK$2:$AK$2022,0),5),"")</f>
        <v/>
      </c>
    </row>
    <row r="742" spans="1:3">
      <c r="A742" t="str">
        <f>IFERROR(INDEX(装备库!$A$2:$E$2022,MATCH(ROW()-1,装备库!$AK$2:$AK$2022,0),COLUMN()),"")</f>
        <v/>
      </c>
      <c r="B742" t="str">
        <f>IFERROR(INDEX(装备库!$A$2:$E$2022,MATCH(ROW()-1,装备库!$AK$2:$AK$2022,0),COLUMN()),"")</f>
        <v/>
      </c>
      <c r="C742" t="str">
        <f>IFERROR(INDEX(装备库!$A$2:$E$2022,MATCH(ROW()-1,装备库!$AK$2:$AK$2022,0),5),"")</f>
        <v/>
      </c>
    </row>
    <row r="743" spans="1:3">
      <c r="A743" t="str">
        <f>IFERROR(INDEX(装备库!$A$2:$E$2022,MATCH(ROW()-1,装备库!$AK$2:$AK$2022,0),COLUMN()),"")</f>
        <v/>
      </c>
      <c r="B743" t="str">
        <f>IFERROR(INDEX(装备库!$A$2:$E$2022,MATCH(ROW()-1,装备库!$AK$2:$AK$2022,0),COLUMN()),"")</f>
        <v/>
      </c>
      <c r="C743" t="str">
        <f>IFERROR(INDEX(装备库!$A$2:$E$2022,MATCH(ROW()-1,装备库!$AK$2:$AK$2022,0),5),"")</f>
        <v/>
      </c>
    </row>
    <row r="744" spans="1:3">
      <c r="A744" t="str">
        <f>IFERROR(INDEX(装备库!$A$2:$E$2022,MATCH(ROW()-1,装备库!$AK$2:$AK$2022,0),COLUMN()),"")</f>
        <v/>
      </c>
      <c r="B744" t="str">
        <f>IFERROR(INDEX(装备库!$A$2:$E$2022,MATCH(ROW()-1,装备库!$AK$2:$AK$2022,0),COLUMN()),"")</f>
        <v/>
      </c>
      <c r="C744" t="str">
        <f>IFERROR(INDEX(装备库!$A$2:$E$2022,MATCH(ROW()-1,装备库!$AK$2:$AK$2022,0),5),"")</f>
        <v/>
      </c>
    </row>
    <row r="745" spans="1:3">
      <c r="A745" t="str">
        <f>IFERROR(INDEX(装备库!$A$2:$E$2022,MATCH(ROW()-1,装备库!$AK$2:$AK$2022,0),COLUMN()),"")</f>
        <v/>
      </c>
      <c r="B745" t="str">
        <f>IFERROR(INDEX(装备库!$A$2:$E$2022,MATCH(ROW()-1,装备库!$AK$2:$AK$2022,0),COLUMN()),"")</f>
        <v/>
      </c>
      <c r="C745" t="str">
        <f>IFERROR(INDEX(装备库!$A$2:$E$2022,MATCH(ROW()-1,装备库!$AK$2:$AK$2022,0),5),"")</f>
        <v/>
      </c>
    </row>
    <row r="746" spans="1:3">
      <c r="A746" t="str">
        <f>IFERROR(INDEX(装备库!$A$2:$E$2022,MATCH(ROW()-1,装备库!$AK$2:$AK$2022,0),COLUMN()),"")</f>
        <v/>
      </c>
      <c r="B746" t="str">
        <f>IFERROR(INDEX(装备库!$A$2:$E$2022,MATCH(ROW()-1,装备库!$AK$2:$AK$2022,0),COLUMN()),"")</f>
        <v/>
      </c>
      <c r="C746" t="str">
        <f>IFERROR(INDEX(装备库!$A$2:$E$2022,MATCH(ROW()-1,装备库!$AK$2:$AK$2022,0),5),"")</f>
        <v/>
      </c>
    </row>
    <row r="747" spans="1:3">
      <c r="A747" t="str">
        <f>IFERROR(INDEX(装备库!$A$2:$E$2022,MATCH(ROW()-1,装备库!$AK$2:$AK$2022,0),COLUMN()),"")</f>
        <v/>
      </c>
      <c r="B747" t="str">
        <f>IFERROR(INDEX(装备库!$A$2:$E$2022,MATCH(ROW()-1,装备库!$AK$2:$AK$2022,0),COLUMN()),"")</f>
        <v/>
      </c>
      <c r="C747" t="str">
        <f>IFERROR(INDEX(装备库!$A$2:$E$2022,MATCH(ROW()-1,装备库!$AK$2:$AK$2022,0),5),"")</f>
        <v/>
      </c>
    </row>
    <row r="748" spans="1:3">
      <c r="A748" t="str">
        <f>IFERROR(INDEX(装备库!$A$2:$E$2022,MATCH(ROW()-1,装备库!$AK$2:$AK$2022,0),COLUMN()),"")</f>
        <v/>
      </c>
      <c r="B748" t="str">
        <f>IFERROR(INDEX(装备库!$A$2:$E$2022,MATCH(ROW()-1,装备库!$AK$2:$AK$2022,0),COLUMN()),"")</f>
        <v/>
      </c>
      <c r="C748" t="str">
        <f>IFERROR(INDEX(装备库!$A$2:$E$2022,MATCH(ROW()-1,装备库!$AK$2:$AK$2022,0),5),"")</f>
        <v/>
      </c>
    </row>
    <row r="749" spans="1:3">
      <c r="A749" t="str">
        <f>IFERROR(INDEX(装备库!$A$2:$E$2022,MATCH(ROW()-1,装备库!$AK$2:$AK$2022,0),COLUMN()),"")</f>
        <v/>
      </c>
      <c r="B749" t="str">
        <f>IFERROR(INDEX(装备库!$A$2:$E$2022,MATCH(ROW()-1,装备库!$AK$2:$AK$2022,0),COLUMN()),"")</f>
        <v/>
      </c>
      <c r="C749" t="str">
        <f>IFERROR(INDEX(装备库!$A$2:$E$2022,MATCH(ROW()-1,装备库!$AK$2:$AK$2022,0),5),"")</f>
        <v/>
      </c>
    </row>
    <row r="750" spans="1:3">
      <c r="A750" t="str">
        <f>IFERROR(INDEX(装备库!$A$2:$E$2022,MATCH(ROW()-1,装备库!$AK$2:$AK$2022,0),COLUMN()),"")</f>
        <v/>
      </c>
      <c r="B750" t="str">
        <f>IFERROR(INDEX(装备库!$A$2:$E$2022,MATCH(ROW()-1,装备库!$AK$2:$AK$2022,0),COLUMN()),"")</f>
        <v/>
      </c>
      <c r="C750" t="str">
        <f>IFERROR(INDEX(装备库!$A$2:$E$2022,MATCH(ROW()-1,装备库!$AK$2:$AK$2022,0),5),"")</f>
        <v/>
      </c>
    </row>
    <row r="751" spans="1:3">
      <c r="A751" t="str">
        <f>IFERROR(INDEX(装备库!$A$2:$E$2022,MATCH(ROW()-1,装备库!$AK$2:$AK$2022,0),COLUMN()),"")</f>
        <v/>
      </c>
      <c r="B751" t="str">
        <f>IFERROR(INDEX(装备库!$A$2:$E$2022,MATCH(ROW()-1,装备库!$AK$2:$AK$2022,0),COLUMN()),"")</f>
        <v/>
      </c>
      <c r="C751" t="str">
        <f>IFERROR(INDEX(装备库!$A$2:$E$2022,MATCH(ROW()-1,装备库!$AK$2:$AK$2022,0),5),"")</f>
        <v/>
      </c>
    </row>
    <row r="752" spans="1:3">
      <c r="A752" t="str">
        <f>IFERROR(INDEX(装备库!$A$2:$E$2022,MATCH(ROW()-1,装备库!$AK$2:$AK$2022,0),COLUMN()),"")</f>
        <v/>
      </c>
      <c r="B752" t="str">
        <f>IFERROR(INDEX(装备库!$A$2:$E$2022,MATCH(ROW()-1,装备库!$AK$2:$AK$2022,0),COLUMN()),"")</f>
        <v/>
      </c>
      <c r="C752" t="str">
        <f>IFERROR(INDEX(装备库!$A$2:$E$2022,MATCH(ROW()-1,装备库!$AK$2:$AK$2022,0),5),"")</f>
        <v/>
      </c>
    </row>
    <row r="753" spans="1:3">
      <c r="A753" t="str">
        <f>IFERROR(INDEX(装备库!$A$2:$E$2022,MATCH(ROW()-1,装备库!$AK$2:$AK$2022,0),COLUMN()),"")</f>
        <v/>
      </c>
      <c r="B753" t="str">
        <f>IFERROR(INDEX(装备库!$A$2:$E$2022,MATCH(ROW()-1,装备库!$AK$2:$AK$2022,0),COLUMN()),"")</f>
        <v/>
      </c>
      <c r="C753" t="str">
        <f>IFERROR(INDEX(装备库!$A$2:$E$2022,MATCH(ROW()-1,装备库!$AK$2:$AK$2022,0),5),"")</f>
        <v/>
      </c>
    </row>
    <row r="754" spans="1:3">
      <c r="A754" t="str">
        <f>IFERROR(INDEX(装备库!$A$2:$E$2022,MATCH(ROW()-1,装备库!$AK$2:$AK$2022,0),COLUMN()),"")</f>
        <v/>
      </c>
      <c r="B754" t="str">
        <f>IFERROR(INDEX(装备库!$A$2:$E$2022,MATCH(ROW()-1,装备库!$AK$2:$AK$2022,0),COLUMN()),"")</f>
        <v/>
      </c>
      <c r="C754" t="str">
        <f>IFERROR(INDEX(装备库!$A$2:$E$2022,MATCH(ROW()-1,装备库!$AK$2:$AK$2022,0),5),"")</f>
        <v/>
      </c>
    </row>
    <row r="755" spans="1:3">
      <c r="A755" t="str">
        <f>IFERROR(INDEX(装备库!$A$2:$E$2022,MATCH(ROW()-1,装备库!$AK$2:$AK$2022,0),COLUMN()),"")</f>
        <v/>
      </c>
      <c r="B755" t="str">
        <f>IFERROR(INDEX(装备库!$A$2:$E$2022,MATCH(ROW()-1,装备库!$AK$2:$AK$2022,0),COLUMN()),"")</f>
        <v/>
      </c>
      <c r="C755" t="str">
        <f>IFERROR(INDEX(装备库!$A$2:$E$2022,MATCH(ROW()-1,装备库!$AK$2:$AK$2022,0),5),"")</f>
        <v/>
      </c>
    </row>
    <row r="756" spans="1:3">
      <c r="A756" t="str">
        <f>IFERROR(INDEX(装备库!$A$2:$E$2022,MATCH(ROW()-1,装备库!$AK$2:$AK$2022,0),COLUMN()),"")</f>
        <v/>
      </c>
      <c r="B756" t="str">
        <f>IFERROR(INDEX(装备库!$A$2:$E$2022,MATCH(ROW()-1,装备库!$AK$2:$AK$2022,0),COLUMN()),"")</f>
        <v/>
      </c>
      <c r="C756" t="str">
        <f>IFERROR(INDEX(装备库!$A$2:$E$2022,MATCH(ROW()-1,装备库!$AK$2:$AK$2022,0),5),"")</f>
        <v/>
      </c>
    </row>
    <row r="757" spans="1:3">
      <c r="A757" t="str">
        <f>IFERROR(INDEX(装备库!$A$2:$E$2022,MATCH(ROW()-1,装备库!$AK$2:$AK$2022,0),COLUMN()),"")</f>
        <v/>
      </c>
      <c r="B757" t="str">
        <f>IFERROR(INDEX(装备库!$A$2:$E$2022,MATCH(ROW()-1,装备库!$AK$2:$AK$2022,0),COLUMN()),"")</f>
        <v/>
      </c>
      <c r="C757" t="str">
        <f>IFERROR(INDEX(装备库!$A$2:$E$2022,MATCH(ROW()-1,装备库!$AK$2:$AK$2022,0),5),"")</f>
        <v/>
      </c>
    </row>
    <row r="758" spans="1:3">
      <c r="A758" t="str">
        <f>IFERROR(INDEX(装备库!$A$2:$E$2022,MATCH(ROW()-1,装备库!$AK$2:$AK$2022,0),COLUMN()),"")</f>
        <v/>
      </c>
      <c r="B758" t="str">
        <f>IFERROR(INDEX(装备库!$A$2:$E$2022,MATCH(ROW()-1,装备库!$AK$2:$AK$2022,0),COLUMN()),"")</f>
        <v/>
      </c>
      <c r="C758" t="str">
        <f>IFERROR(INDEX(装备库!$A$2:$E$2022,MATCH(ROW()-1,装备库!$AK$2:$AK$2022,0),5),"")</f>
        <v/>
      </c>
    </row>
    <row r="759" spans="1:3">
      <c r="A759" t="str">
        <f>IFERROR(INDEX(装备库!$A$2:$E$2022,MATCH(ROW()-1,装备库!$AK$2:$AK$2022,0),COLUMN()),"")</f>
        <v/>
      </c>
      <c r="B759" t="str">
        <f>IFERROR(INDEX(装备库!$A$2:$E$2022,MATCH(ROW()-1,装备库!$AK$2:$AK$2022,0),COLUMN()),"")</f>
        <v/>
      </c>
      <c r="C759" t="str">
        <f>IFERROR(INDEX(装备库!$A$2:$E$2022,MATCH(ROW()-1,装备库!$AK$2:$AK$2022,0),5),"")</f>
        <v/>
      </c>
    </row>
    <row r="760" spans="1:3">
      <c r="A760" t="str">
        <f>IFERROR(INDEX(装备库!$A$2:$E$2022,MATCH(ROW()-1,装备库!$AK$2:$AK$2022,0),COLUMN()),"")</f>
        <v/>
      </c>
      <c r="B760" t="str">
        <f>IFERROR(INDEX(装备库!$A$2:$E$2022,MATCH(ROW()-1,装备库!$AK$2:$AK$2022,0),COLUMN()),"")</f>
        <v/>
      </c>
      <c r="C760" t="str">
        <f>IFERROR(INDEX(装备库!$A$2:$E$2022,MATCH(ROW()-1,装备库!$AK$2:$AK$2022,0),5),"")</f>
        <v/>
      </c>
    </row>
    <row r="761" spans="1:3">
      <c r="A761" t="str">
        <f>IFERROR(INDEX(装备库!$A$2:$E$2022,MATCH(ROW()-1,装备库!$AK$2:$AK$2022,0),COLUMN()),"")</f>
        <v/>
      </c>
      <c r="B761" t="str">
        <f>IFERROR(INDEX(装备库!$A$2:$E$2022,MATCH(ROW()-1,装备库!$AK$2:$AK$2022,0),COLUMN()),"")</f>
        <v/>
      </c>
      <c r="C761" t="str">
        <f>IFERROR(INDEX(装备库!$A$2:$E$2022,MATCH(ROW()-1,装备库!$AK$2:$AK$2022,0),5),"")</f>
        <v/>
      </c>
    </row>
    <row r="762" spans="1:3">
      <c r="A762" t="str">
        <f>IFERROR(INDEX(装备库!$A$2:$E$2022,MATCH(ROW()-1,装备库!$AK$2:$AK$2022,0),COLUMN()),"")</f>
        <v/>
      </c>
      <c r="B762" t="str">
        <f>IFERROR(INDEX(装备库!$A$2:$E$2022,MATCH(ROW()-1,装备库!$AK$2:$AK$2022,0),COLUMN()),"")</f>
        <v/>
      </c>
      <c r="C762" t="str">
        <f>IFERROR(INDEX(装备库!$A$2:$E$2022,MATCH(ROW()-1,装备库!$AK$2:$AK$2022,0),5),"")</f>
        <v/>
      </c>
    </row>
    <row r="763" spans="1:3">
      <c r="A763" t="str">
        <f>IFERROR(INDEX(装备库!$A$2:$E$2022,MATCH(ROW()-1,装备库!$AK$2:$AK$2022,0),COLUMN()),"")</f>
        <v/>
      </c>
      <c r="B763" t="str">
        <f>IFERROR(INDEX(装备库!$A$2:$E$2022,MATCH(ROW()-1,装备库!$AK$2:$AK$2022,0),COLUMN()),"")</f>
        <v/>
      </c>
      <c r="C763" t="str">
        <f>IFERROR(INDEX(装备库!$A$2:$E$2022,MATCH(ROW()-1,装备库!$AK$2:$AK$2022,0),5),"")</f>
        <v/>
      </c>
    </row>
    <row r="764" spans="1:3">
      <c r="A764" t="str">
        <f>IFERROR(INDEX(装备库!$A$2:$E$2022,MATCH(ROW()-1,装备库!$AK$2:$AK$2022,0),COLUMN()),"")</f>
        <v/>
      </c>
      <c r="B764" t="str">
        <f>IFERROR(INDEX(装备库!$A$2:$E$2022,MATCH(ROW()-1,装备库!$AK$2:$AK$2022,0),COLUMN()),"")</f>
        <v/>
      </c>
      <c r="C764" t="str">
        <f>IFERROR(INDEX(装备库!$A$2:$E$2022,MATCH(ROW()-1,装备库!$AK$2:$AK$2022,0),5),"")</f>
        <v/>
      </c>
    </row>
    <row r="765" spans="1:3">
      <c r="A765" t="str">
        <f>IFERROR(INDEX(装备库!$A$2:$E$2022,MATCH(ROW()-1,装备库!$AK$2:$AK$2022,0),COLUMN()),"")</f>
        <v/>
      </c>
      <c r="B765" t="str">
        <f>IFERROR(INDEX(装备库!$A$2:$E$2022,MATCH(ROW()-1,装备库!$AK$2:$AK$2022,0),COLUMN()),"")</f>
        <v/>
      </c>
      <c r="C765" t="str">
        <f>IFERROR(INDEX(装备库!$A$2:$E$2022,MATCH(ROW()-1,装备库!$AK$2:$AK$2022,0),5),"")</f>
        <v/>
      </c>
    </row>
    <row r="766" spans="1:3">
      <c r="A766" t="str">
        <f>IFERROR(INDEX(装备库!$A$2:$E$2022,MATCH(ROW()-1,装备库!$AK$2:$AK$2022,0),COLUMN()),"")</f>
        <v/>
      </c>
      <c r="B766" t="str">
        <f>IFERROR(INDEX(装备库!$A$2:$E$2022,MATCH(ROW()-1,装备库!$AK$2:$AK$2022,0),COLUMN()),"")</f>
        <v/>
      </c>
      <c r="C766" t="str">
        <f>IFERROR(INDEX(装备库!$A$2:$E$2022,MATCH(ROW()-1,装备库!$AK$2:$AK$2022,0),5),"")</f>
        <v/>
      </c>
    </row>
    <row r="767" spans="1:3">
      <c r="A767" t="str">
        <f>IFERROR(INDEX(装备库!$A$2:$E$2022,MATCH(ROW()-1,装备库!$AK$2:$AK$2022,0),COLUMN()),"")</f>
        <v/>
      </c>
      <c r="B767" t="str">
        <f>IFERROR(INDEX(装备库!$A$2:$E$2022,MATCH(ROW()-1,装备库!$AK$2:$AK$2022,0),COLUMN()),"")</f>
        <v/>
      </c>
      <c r="C767" t="str">
        <f>IFERROR(INDEX(装备库!$A$2:$E$2022,MATCH(ROW()-1,装备库!$AK$2:$AK$2022,0),5),"")</f>
        <v/>
      </c>
    </row>
    <row r="768" spans="1:3">
      <c r="A768" t="str">
        <f>IFERROR(INDEX(装备库!$A$2:$E$2022,MATCH(ROW()-1,装备库!$AK$2:$AK$2022,0),COLUMN()),"")</f>
        <v/>
      </c>
      <c r="B768" t="str">
        <f>IFERROR(INDEX(装备库!$A$2:$E$2022,MATCH(ROW()-1,装备库!$AK$2:$AK$2022,0),COLUMN()),"")</f>
        <v/>
      </c>
      <c r="C768" t="str">
        <f>IFERROR(INDEX(装备库!$A$2:$E$2022,MATCH(ROW()-1,装备库!$AK$2:$AK$2022,0),5),"")</f>
        <v/>
      </c>
    </row>
    <row r="769" spans="1:3">
      <c r="A769" t="str">
        <f>IFERROR(INDEX(装备库!$A$2:$E$2022,MATCH(ROW()-1,装备库!$AK$2:$AK$2022,0),COLUMN()),"")</f>
        <v/>
      </c>
      <c r="B769" t="str">
        <f>IFERROR(INDEX(装备库!$A$2:$E$2022,MATCH(ROW()-1,装备库!$AK$2:$AK$2022,0),COLUMN()),"")</f>
        <v/>
      </c>
      <c r="C769" t="str">
        <f>IFERROR(INDEX(装备库!$A$2:$E$2022,MATCH(ROW()-1,装备库!$AK$2:$AK$2022,0),5),"")</f>
        <v/>
      </c>
    </row>
    <row r="770" spans="1:3">
      <c r="A770" t="str">
        <f>IFERROR(INDEX(装备库!$A$2:$E$2022,MATCH(ROW()-1,装备库!$AK$2:$AK$2022,0),COLUMN()),"")</f>
        <v/>
      </c>
      <c r="B770" t="str">
        <f>IFERROR(INDEX(装备库!$A$2:$E$2022,MATCH(ROW()-1,装备库!$AK$2:$AK$2022,0),COLUMN()),"")</f>
        <v/>
      </c>
      <c r="C770" t="str">
        <f>IFERROR(INDEX(装备库!$A$2:$E$2022,MATCH(ROW()-1,装备库!$AK$2:$AK$2022,0),5),"")</f>
        <v/>
      </c>
    </row>
    <row r="771" spans="1:3">
      <c r="A771" t="str">
        <f>IFERROR(INDEX(装备库!$A$2:$E$2022,MATCH(ROW()-1,装备库!$AK$2:$AK$2022,0),COLUMN()),"")</f>
        <v/>
      </c>
      <c r="B771" t="str">
        <f>IFERROR(INDEX(装备库!$A$2:$E$2022,MATCH(ROW()-1,装备库!$AK$2:$AK$2022,0),COLUMN()),"")</f>
        <v/>
      </c>
      <c r="C771" t="str">
        <f>IFERROR(INDEX(装备库!$A$2:$E$2022,MATCH(ROW()-1,装备库!$AK$2:$AK$2022,0),5),"")</f>
        <v/>
      </c>
    </row>
    <row r="772" spans="1:3">
      <c r="A772" t="str">
        <f>IFERROR(INDEX(装备库!$A$2:$E$2022,MATCH(ROW()-1,装备库!$AK$2:$AK$2022,0),COLUMN()),"")</f>
        <v/>
      </c>
      <c r="B772" t="str">
        <f>IFERROR(INDEX(装备库!$A$2:$E$2022,MATCH(ROW()-1,装备库!$AK$2:$AK$2022,0),COLUMN()),"")</f>
        <v/>
      </c>
      <c r="C772" t="str">
        <f>IFERROR(INDEX(装备库!$A$2:$E$2022,MATCH(ROW()-1,装备库!$AK$2:$AK$2022,0),5),"")</f>
        <v/>
      </c>
    </row>
    <row r="773" spans="1:3">
      <c r="A773" t="str">
        <f>IFERROR(INDEX(装备库!$A$2:$E$2022,MATCH(ROW()-1,装备库!$AK$2:$AK$2022,0),COLUMN()),"")</f>
        <v/>
      </c>
      <c r="B773" t="str">
        <f>IFERROR(INDEX(装备库!$A$2:$E$2022,MATCH(ROW()-1,装备库!$AK$2:$AK$2022,0),COLUMN()),"")</f>
        <v/>
      </c>
      <c r="C773" t="str">
        <f>IFERROR(INDEX(装备库!$A$2:$E$2022,MATCH(ROW()-1,装备库!$AK$2:$AK$2022,0),5),"")</f>
        <v/>
      </c>
    </row>
    <row r="774" spans="1:3">
      <c r="A774" t="str">
        <f>IFERROR(INDEX(装备库!$A$2:$E$2022,MATCH(ROW()-1,装备库!$AK$2:$AK$2022,0),COLUMN()),"")</f>
        <v/>
      </c>
      <c r="B774" t="str">
        <f>IFERROR(INDEX(装备库!$A$2:$E$2022,MATCH(ROW()-1,装备库!$AK$2:$AK$2022,0),COLUMN()),"")</f>
        <v/>
      </c>
      <c r="C774" t="str">
        <f>IFERROR(INDEX(装备库!$A$2:$E$2022,MATCH(ROW()-1,装备库!$AK$2:$AK$2022,0),5),"")</f>
        <v/>
      </c>
    </row>
    <row r="775" spans="1:3">
      <c r="A775" t="str">
        <f>IFERROR(INDEX(装备库!$A$2:$E$2022,MATCH(ROW()-1,装备库!$AK$2:$AK$2022,0),COLUMN()),"")</f>
        <v/>
      </c>
      <c r="B775" t="str">
        <f>IFERROR(INDEX(装备库!$A$2:$E$2022,MATCH(ROW()-1,装备库!$AK$2:$AK$2022,0),COLUMN()),"")</f>
        <v/>
      </c>
      <c r="C775" t="str">
        <f>IFERROR(INDEX(装备库!$A$2:$E$2022,MATCH(ROW()-1,装备库!$AK$2:$AK$2022,0),5),"")</f>
        <v/>
      </c>
    </row>
    <row r="776" spans="1:3">
      <c r="A776" t="str">
        <f>IFERROR(INDEX(装备库!$A$2:$E$2022,MATCH(ROW()-1,装备库!$AK$2:$AK$2022,0),COLUMN()),"")</f>
        <v/>
      </c>
      <c r="B776" t="str">
        <f>IFERROR(INDEX(装备库!$A$2:$E$2022,MATCH(ROW()-1,装备库!$AK$2:$AK$2022,0),COLUMN()),"")</f>
        <v/>
      </c>
      <c r="C776" t="str">
        <f>IFERROR(INDEX(装备库!$A$2:$E$2022,MATCH(ROW()-1,装备库!$AK$2:$AK$2022,0),5),"")</f>
        <v/>
      </c>
    </row>
    <row r="777" spans="1:3">
      <c r="A777" t="str">
        <f>IFERROR(INDEX(装备库!$A$2:$E$2022,MATCH(ROW()-1,装备库!$AK$2:$AK$2022,0),COLUMN()),"")</f>
        <v/>
      </c>
      <c r="B777" t="str">
        <f>IFERROR(INDEX(装备库!$A$2:$E$2022,MATCH(ROW()-1,装备库!$AK$2:$AK$2022,0),COLUMN()),"")</f>
        <v/>
      </c>
      <c r="C777" t="str">
        <f>IFERROR(INDEX(装备库!$A$2:$E$2022,MATCH(ROW()-1,装备库!$AK$2:$AK$2022,0),5),"")</f>
        <v/>
      </c>
    </row>
    <row r="778" spans="1:3">
      <c r="A778" t="str">
        <f>IFERROR(INDEX(装备库!$A$2:$E$2022,MATCH(ROW()-1,装备库!$AK$2:$AK$2022,0),COLUMN()),"")</f>
        <v/>
      </c>
      <c r="B778" t="str">
        <f>IFERROR(INDEX(装备库!$A$2:$E$2022,MATCH(ROW()-1,装备库!$AK$2:$AK$2022,0),COLUMN()),"")</f>
        <v/>
      </c>
      <c r="C778" t="str">
        <f>IFERROR(INDEX(装备库!$A$2:$E$2022,MATCH(ROW()-1,装备库!$AK$2:$AK$2022,0),5),"")</f>
        <v/>
      </c>
    </row>
    <row r="779" spans="1:3">
      <c r="A779" t="str">
        <f>IFERROR(INDEX(装备库!$A$2:$E$2022,MATCH(ROW()-1,装备库!$AK$2:$AK$2022,0),COLUMN()),"")</f>
        <v/>
      </c>
      <c r="B779" t="str">
        <f>IFERROR(INDEX(装备库!$A$2:$E$2022,MATCH(ROW()-1,装备库!$AK$2:$AK$2022,0),COLUMN()),"")</f>
        <v/>
      </c>
      <c r="C779" t="str">
        <f>IFERROR(INDEX(装备库!$A$2:$E$2022,MATCH(ROW()-1,装备库!$AK$2:$AK$2022,0),5),"")</f>
        <v/>
      </c>
    </row>
    <row r="780" spans="1:3">
      <c r="A780" t="str">
        <f>IFERROR(INDEX(装备库!$A$2:$E$2022,MATCH(ROW()-1,装备库!$AK$2:$AK$2022,0),COLUMN()),"")</f>
        <v/>
      </c>
      <c r="B780" t="str">
        <f>IFERROR(INDEX(装备库!$A$2:$E$2022,MATCH(ROW()-1,装备库!$AK$2:$AK$2022,0),COLUMN()),"")</f>
        <v/>
      </c>
      <c r="C780" t="str">
        <f>IFERROR(INDEX(装备库!$A$2:$E$2022,MATCH(ROW()-1,装备库!$AK$2:$AK$2022,0),5),"")</f>
        <v/>
      </c>
    </row>
    <row r="781" spans="1:3">
      <c r="A781" t="str">
        <f>IFERROR(INDEX(装备库!$A$2:$E$2022,MATCH(ROW()-1,装备库!$AK$2:$AK$2022,0),COLUMN()),"")</f>
        <v/>
      </c>
      <c r="B781" t="str">
        <f>IFERROR(INDEX(装备库!$A$2:$E$2022,MATCH(ROW()-1,装备库!$AK$2:$AK$2022,0),COLUMN()),"")</f>
        <v/>
      </c>
      <c r="C781" t="str">
        <f>IFERROR(INDEX(装备库!$A$2:$E$2022,MATCH(ROW()-1,装备库!$AK$2:$AK$2022,0),5),"")</f>
        <v/>
      </c>
    </row>
    <row r="782" spans="1:3">
      <c r="A782" t="str">
        <f>IFERROR(INDEX(装备库!$A$2:$E$2022,MATCH(ROW()-1,装备库!$AK$2:$AK$2022,0),COLUMN()),"")</f>
        <v/>
      </c>
      <c r="B782" t="str">
        <f>IFERROR(INDEX(装备库!$A$2:$E$2022,MATCH(ROW()-1,装备库!$AK$2:$AK$2022,0),COLUMN()),"")</f>
        <v/>
      </c>
      <c r="C782" t="str">
        <f>IFERROR(INDEX(装备库!$A$2:$E$2022,MATCH(ROW()-1,装备库!$AK$2:$AK$2022,0),5),"")</f>
        <v/>
      </c>
    </row>
    <row r="783" spans="1:3">
      <c r="A783" t="str">
        <f>IFERROR(INDEX(装备库!$A$2:$E$2022,MATCH(ROW()-1,装备库!$AK$2:$AK$2022,0),COLUMN()),"")</f>
        <v/>
      </c>
      <c r="B783" t="str">
        <f>IFERROR(INDEX(装备库!$A$2:$E$2022,MATCH(ROW()-1,装备库!$AK$2:$AK$2022,0),COLUMN()),"")</f>
        <v/>
      </c>
      <c r="C783" t="str">
        <f>IFERROR(INDEX(装备库!$A$2:$E$2022,MATCH(ROW()-1,装备库!$AK$2:$AK$2022,0),5),"")</f>
        <v/>
      </c>
    </row>
    <row r="784" spans="1:3">
      <c r="A784" t="str">
        <f>IFERROR(INDEX(装备库!$A$2:$E$2022,MATCH(ROW()-1,装备库!$AK$2:$AK$2022,0),COLUMN()),"")</f>
        <v/>
      </c>
      <c r="B784" t="str">
        <f>IFERROR(INDEX(装备库!$A$2:$E$2022,MATCH(ROW()-1,装备库!$AK$2:$AK$2022,0),COLUMN()),"")</f>
        <v/>
      </c>
      <c r="C784" t="str">
        <f>IFERROR(INDEX(装备库!$A$2:$E$2022,MATCH(ROW()-1,装备库!$AK$2:$AK$2022,0),5),"")</f>
        <v/>
      </c>
    </row>
    <row r="785" spans="1:3">
      <c r="A785" t="str">
        <f>IFERROR(INDEX(装备库!$A$2:$E$2022,MATCH(ROW()-1,装备库!$AK$2:$AK$2022,0),COLUMN()),"")</f>
        <v/>
      </c>
      <c r="B785" t="str">
        <f>IFERROR(INDEX(装备库!$A$2:$E$2022,MATCH(ROW()-1,装备库!$AK$2:$AK$2022,0),COLUMN()),"")</f>
        <v/>
      </c>
      <c r="C785" t="str">
        <f>IFERROR(INDEX(装备库!$A$2:$E$2022,MATCH(ROW()-1,装备库!$AK$2:$AK$2022,0),5),"")</f>
        <v/>
      </c>
    </row>
    <row r="786" spans="1:3">
      <c r="A786" t="str">
        <f>IFERROR(INDEX(装备库!$A$2:$E$2022,MATCH(ROW()-1,装备库!$AK$2:$AK$2022,0),COLUMN()),"")</f>
        <v/>
      </c>
      <c r="B786" t="str">
        <f>IFERROR(INDEX(装备库!$A$2:$E$2022,MATCH(ROW()-1,装备库!$AK$2:$AK$2022,0),COLUMN()),"")</f>
        <v/>
      </c>
      <c r="C786" t="str">
        <f>IFERROR(INDEX(装备库!$A$2:$E$2022,MATCH(ROW()-1,装备库!$AK$2:$AK$2022,0),5),"")</f>
        <v/>
      </c>
    </row>
    <row r="787" spans="1:3">
      <c r="A787" t="str">
        <f>IFERROR(INDEX(装备库!$A$2:$E$2022,MATCH(ROW()-1,装备库!$AK$2:$AK$2022,0),COLUMN()),"")</f>
        <v/>
      </c>
      <c r="B787" t="str">
        <f>IFERROR(INDEX(装备库!$A$2:$E$2022,MATCH(ROW()-1,装备库!$AK$2:$AK$2022,0),COLUMN()),"")</f>
        <v/>
      </c>
      <c r="C787" t="str">
        <f>IFERROR(INDEX(装备库!$A$2:$E$2022,MATCH(ROW()-1,装备库!$AK$2:$AK$2022,0),5),"")</f>
        <v/>
      </c>
    </row>
    <row r="788" spans="1:3">
      <c r="A788" t="str">
        <f>IFERROR(INDEX(装备库!$A$2:$E$2022,MATCH(ROW()-1,装备库!$AK$2:$AK$2022,0),COLUMN()),"")</f>
        <v/>
      </c>
      <c r="B788" t="str">
        <f>IFERROR(INDEX(装备库!$A$2:$E$2022,MATCH(ROW()-1,装备库!$AK$2:$AK$2022,0),COLUMN()),"")</f>
        <v/>
      </c>
      <c r="C788" t="str">
        <f>IFERROR(INDEX(装备库!$A$2:$E$2022,MATCH(ROW()-1,装备库!$AK$2:$AK$2022,0),5),"")</f>
        <v/>
      </c>
    </row>
    <row r="789" spans="1:3">
      <c r="A789" t="str">
        <f>IFERROR(INDEX(装备库!$A$2:$E$2022,MATCH(ROW()-1,装备库!$AK$2:$AK$2022,0),COLUMN()),"")</f>
        <v/>
      </c>
      <c r="B789" t="str">
        <f>IFERROR(INDEX(装备库!$A$2:$E$2022,MATCH(ROW()-1,装备库!$AK$2:$AK$2022,0),COLUMN()),"")</f>
        <v/>
      </c>
      <c r="C789" t="str">
        <f>IFERROR(INDEX(装备库!$A$2:$E$2022,MATCH(ROW()-1,装备库!$AK$2:$AK$2022,0),5),"")</f>
        <v/>
      </c>
    </row>
    <row r="790" spans="1:3">
      <c r="A790" t="str">
        <f>IFERROR(INDEX(装备库!$A$2:$E$2022,MATCH(ROW()-1,装备库!$AK$2:$AK$2022,0),COLUMN()),"")</f>
        <v/>
      </c>
      <c r="B790" t="str">
        <f>IFERROR(INDEX(装备库!$A$2:$E$2022,MATCH(ROW()-1,装备库!$AK$2:$AK$2022,0),COLUMN()),"")</f>
        <v/>
      </c>
      <c r="C790" t="str">
        <f>IFERROR(INDEX(装备库!$A$2:$E$2022,MATCH(ROW()-1,装备库!$AK$2:$AK$2022,0),5),"")</f>
        <v/>
      </c>
    </row>
    <row r="791" spans="1:3">
      <c r="A791" t="str">
        <f>IFERROR(INDEX(装备库!$A$2:$E$2022,MATCH(ROW()-1,装备库!$AK$2:$AK$2022,0),COLUMN()),"")</f>
        <v/>
      </c>
      <c r="B791" t="str">
        <f>IFERROR(INDEX(装备库!$A$2:$E$2022,MATCH(ROW()-1,装备库!$AK$2:$AK$2022,0),COLUMN()),"")</f>
        <v/>
      </c>
      <c r="C791" t="str">
        <f>IFERROR(INDEX(装备库!$A$2:$E$2022,MATCH(ROW()-1,装备库!$AK$2:$AK$2022,0),5),"")</f>
        <v/>
      </c>
    </row>
    <row r="792" spans="1:3">
      <c r="A792" t="str">
        <f>IFERROR(INDEX(装备库!$A$2:$E$2022,MATCH(ROW()-1,装备库!$AK$2:$AK$2022,0),COLUMN()),"")</f>
        <v/>
      </c>
      <c r="B792" t="str">
        <f>IFERROR(INDEX(装备库!$A$2:$E$2022,MATCH(ROW()-1,装备库!$AK$2:$AK$2022,0),COLUMN()),"")</f>
        <v/>
      </c>
      <c r="C792" t="str">
        <f>IFERROR(INDEX(装备库!$A$2:$E$2022,MATCH(ROW()-1,装备库!$AK$2:$AK$2022,0),5),"")</f>
        <v/>
      </c>
    </row>
    <row r="793" spans="1:3">
      <c r="A793" t="str">
        <f>IFERROR(INDEX(装备库!$A$2:$E$2022,MATCH(ROW()-1,装备库!$AK$2:$AK$2022,0),COLUMN()),"")</f>
        <v/>
      </c>
      <c r="B793" t="str">
        <f>IFERROR(INDEX(装备库!$A$2:$E$2022,MATCH(ROW()-1,装备库!$AK$2:$AK$2022,0),COLUMN()),"")</f>
        <v/>
      </c>
      <c r="C793" t="str">
        <f>IFERROR(INDEX(装备库!$A$2:$E$2022,MATCH(ROW()-1,装备库!$AK$2:$AK$2022,0),5),"")</f>
        <v/>
      </c>
    </row>
    <row r="794" spans="1:3">
      <c r="A794" t="str">
        <f>IFERROR(INDEX(装备库!$A$2:$E$2022,MATCH(ROW()-1,装备库!$AK$2:$AK$2022,0),COLUMN()),"")</f>
        <v/>
      </c>
      <c r="B794" t="str">
        <f>IFERROR(INDEX(装备库!$A$2:$E$2022,MATCH(ROW()-1,装备库!$AK$2:$AK$2022,0),COLUMN()),"")</f>
        <v/>
      </c>
      <c r="C794" t="str">
        <f>IFERROR(INDEX(装备库!$A$2:$E$2022,MATCH(ROW()-1,装备库!$AK$2:$AK$2022,0),5),"")</f>
        <v/>
      </c>
    </row>
    <row r="795" spans="1:3">
      <c r="A795" t="str">
        <f>IFERROR(INDEX(装备库!$A$2:$E$2022,MATCH(ROW()-1,装备库!$AK$2:$AK$2022,0),COLUMN()),"")</f>
        <v/>
      </c>
      <c r="B795" t="str">
        <f>IFERROR(INDEX(装备库!$A$2:$E$2022,MATCH(ROW()-1,装备库!$AK$2:$AK$2022,0),COLUMN()),"")</f>
        <v/>
      </c>
      <c r="C795" t="str">
        <f>IFERROR(INDEX(装备库!$A$2:$E$2022,MATCH(ROW()-1,装备库!$AK$2:$AK$2022,0),5),"")</f>
        <v/>
      </c>
    </row>
    <row r="796" spans="1:3">
      <c r="A796" t="str">
        <f>IFERROR(INDEX(装备库!$A$2:$E$2022,MATCH(ROW()-1,装备库!$AK$2:$AK$2022,0),COLUMN()),"")</f>
        <v/>
      </c>
      <c r="B796" t="str">
        <f>IFERROR(INDEX(装备库!$A$2:$E$2022,MATCH(ROW()-1,装备库!$AK$2:$AK$2022,0),COLUMN()),"")</f>
        <v/>
      </c>
      <c r="C796" t="str">
        <f>IFERROR(INDEX(装备库!$A$2:$E$2022,MATCH(ROW()-1,装备库!$AK$2:$AK$2022,0),5),"")</f>
        <v/>
      </c>
    </row>
    <row r="797" spans="1:3">
      <c r="A797" t="str">
        <f>IFERROR(INDEX(装备库!$A$2:$E$2022,MATCH(ROW()-1,装备库!$AK$2:$AK$2022,0),COLUMN()),"")</f>
        <v/>
      </c>
      <c r="B797" t="str">
        <f>IFERROR(INDEX(装备库!$A$2:$E$2022,MATCH(ROW()-1,装备库!$AK$2:$AK$2022,0),COLUMN()),"")</f>
        <v/>
      </c>
      <c r="C797" t="str">
        <f>IFERROR(INDEX(装备库!$A$2:$E$2022,MATCH(ROW()-1,装备库!$AK$2:$AK$2022,0),5),"")</f>
        <v/>
      </c>
    </row>
    <row r="798" spans="1:3">
      <c r="A798" t="str">
        <f>IFERROR(INDEX(装备库!$A$2:$E$2022,MATCH(ROW()-1,装备库!$AK$2:$AK$2022,0),COLUMN()),"")</f>
        <v/>
      </c>
      <c r="B798" t="str">
        <f>IFERROR(INDEX(装备库!$A$2:$E$2022,MATCH(ROW()-1,装备库!$AK$2:$AK$2022,0),COLUMN()),"")</f>
        <v/>
      </c>
      <c r="C798" t="str">
        <f>IFERROR(INDEX(装备库!$A$2:$E$2022,MATCH(ROW()-1,装备库!$AK$2:$AK$2022,0),5),"")</f>
        <v/>
      </c>
    </row>
    <row r="799" spans="1:3">
      <c r="A799" t="str">
        <f>IFERROR(INDEX(装备库!$A$2:$E$2022,MATCH(ROW()-1,装备库!$AK$2:$AK$2022,0),COLUMN()),"")</f>
        <v/>
      </c>
      <c r="B799" t="str">
        <f>IFERROR(INDEX(装备库!$A$2:$E$2022,MATCH(ROW()-1,装备库!$AK$2:$AK$2022,0),COLUMN()),"")</f>
        <v/>
      </c>
      <c r="C799" t="str">
        <f>IFERROR(INDEX(装备库!$A$2:$E$2022,MATCH(ROW()-1,装备库!$AK$2:$AK$2022,0),5),"")</f>
        <v/>
      </c>
    </row>
    <row r="800" spans="1:3">
      <c r="A800" t="str">
        <f>IFERROR(INDEX(装备库!$A$2:$E$2022,MATCH(ROW()-1,装备库!$AK$2:$AK$2022,0),COLUMN()),"")</f>
        <v/>
      </c>
      <c r="B800" t="str">
        <f>IFERROR(INDEX(装备库!$A$2:$E$2022,MATCH(ROW()-1,装备库!$AK$2:$AK$2022,0),COLUMN()),"")</f>
        <v/>
      </c>
      <c r="C800" t="str">
        <f>IFERROR(INDEX(装备库!$A$2:$E$2022,MATCH(ROW()-1,装备库!$AK$2:$AK$2022,0),5),"")</f>
        <v/>
      </c>
    </row>
    <row r="801" spans="1:3">
      <c r="A801" t="str">
        <f>IFERROR(INDEX(装备库!$A$2:$E$2022,MATCH(ROW()-1,装备库!$AK$2:$AK$2022,0),COLUMN()),"")</f>
        <v/>
      </c>
      <c r="B801" t="str">
        <f>IFERROR(INDEX(装备库!$A$2:$E$2022,MATCH(ROW()-1,装备库!$AK$2:$AK$2022,0),COLUMN()),"")</f>
        <v/>
      </c>
      <c r="C801" t="str">
        <f>IFERROR(INDEX(装备库!$A$2:$E$2022,MATCH(ROW()-1,装备库!$AK$2:$AK$2022,0),5),"")</f>
        <v/>
      </c>
    </row>
    <row r="802" spans="1:3">
      <c r="A802" t="str">
        <f>IFERROR(INDEX(装备库!$A$2:$E$2022,MATCH(ROW()-1,装备库!$AK$2:$AK$2022,0),COLUMN()),"")</f>
        <v/>
      </c>
      <c r="B802" t="str">
        <f>IFERROR(INDEX(装备库!$A$2:$E$2022,MATCH(ROW()-1,装备库!$AK$2:$AK$2022,0),COLUMN()),"")</f>
        <v/>
      </c>
      <c r="C802" t="str">
        <f>IFERROR(INDEX(装备库!$A$2:$E$2022,MATCH(ROW()-1,装备库!$AK$2:$AK$2022,0),5),"")</f>
        <v/>
      </c>
    </row>
    <row r="803" spans="1:3">
      <c r="A803" t="str">
        <f>IFERROR(INDEX(装备库!$A$2:$E$2022,MATCH(ROW()-1,装备库!$AK$2:$AK$2022,0),COLUMN()),"")</f>
        <v/>
      </c>
      <c r="B803" t="str">
        <f>IFERROR(INDEX(装备库!$A$2:$E$2022,MATCH(ROW()-1,装备库!$AK$2:$AK$2022,0),COLUMN()),"")</f>
        <v/>
      </c>
      <c r="C803" t="str">
        <f>IFERROR(INDEX(装备库!$A$2:$E$2022,MATCH(ROW()-1,装备库!$AK$2:$AK$2022,0),5),"")</f>
        <v/>
      </c>
    </row>
    <row r="804" spans="1:3">
      <c r="A804" t="str">
        <f>IFERROR(INDEX(装备库!$A$2:$E$2022,MATCH(ROW()-1,装备库!$AK$2:$AK$2022,0),COLUMN()),"")</f>
        <v/>
      </c>
      <c r="B804" t="str">
        <f>IFERROR(INDEX(装备库!$A$2:$E$2022,MATCH(ROW()-1,装备库!$AK$2:$AK$2022,0),COLUMN()),"")</f>
        <v/>
      </c>
      <c r="C804" t="str">
        <f>IFERROR(INDEX(装备库!$A$2:$E$2022,MATCH(ROW()-1,装备库!$AK$2:$AK$2022,0),5),"")</f>
        <v/>
      </c>
    </row>
    <row r="805" spans="1:3">
      <c r="A805" t="str">
        <f>IFERROR(INDEX(装备库!$A$2:$E$2022,MATCH(ROW()-1,装备库!$AK$2:$AK$2022,0),COLUMN()),"")</f>
        <v/>
      </c>
      <c r="B805" t="str">
        <f>IFERROR(INDEX(装备库!$A$2:$E$2022,MATCH(ROW()-1,装备库!$AK$2:$AK$2022,0),COLUMN()),"")</f>
        <v/>
      </c>
      <c r="C805" t="str">
        <f>IFERROR(INDEX(装备库!$A$2:$E$2022,MATCH(ROW()-1,装备库!$AK$2:$AK$2022,0),5),"")</f>
        <v/>
      </c>
    </row>
    <row r="806" spans="1:3">
      <c r="A806" t="str">
        <f>IFERROR(INDEX(装备库!$A$2:$E$2022,MATCH(ROW()-1,装备库!$AK$2:$AK$2022,0),COLUMN()),"")</f>
        <v/>
      </c>
      <c r="B806" t="str">
        <f>IFERROR(INDEX(装备库!$A$2:$E$2022,MATCH(ROW()-1,装备库!$AK$2:$AK$2022,0),COLUMN()),"")</f>
        <v/>
      </c>
      <c r="C806" t="str">
        <f>IFERROR(INDEX(装备库!$A$2:$E$2022,MATCH(ROW()-1,装备库!$AK$2:$AK$2022,0),5),"")</f>
        <v/>
      </c>
    </row>
    <row r="807" spans="1:3">
      <c r="A807" t="str">
        <f>IFERROR(INDEX(装备库!$A$2:$E$2022,MATCH(ROW()-1,装备库!$AK$2:$AK$2022,0),COLUMN()),"")</f>
        <v/>
      </c>
      <c r="B807" t="str">
        <f>IFERROR(INDEX(装备库!$A$2:$E$2022,MATCH(ROW()-1,装备库!$AK$2:$AK$2022,0),COLUMN()),"")</f>
        <v/>
      </c>
      <c r="C807" t="str">
        <f>IFERROR(INDEX(装备库!$A$2:$E$2022,MATCH(ROW()-1,装备库!$AK$2:$AK$2022,0),5),"")</f>
        <v/>
      </c>
    </row>
    <row r="808" spans="1:3">
      <c r="A808" t="str">
        <f>IFERROR(INDEX(装备库!$A$2:$E$2022,MATCH(ROW()-1,装备库!$AK$2:$AK$2022,0),COLUMN()),"")</f>
        <v/>
      </c>
      <c r="B808" t="str">
        <f>IFERROR(INDEX(装备库!$A$2:$E$2022,MATCH(ROW()-1,装备库!$AK$2:$AK$2022,0),COLUMN()),"")</f>
        <v/>
      </c>
      <c r="C808" t="str">
        <f>IFERROR(INDEX(装备库!$A$2:$E$2022,MATCH(ROW()-1,装备库!$AK$2:$AK$2022,0),5),"")</f>
        <v/>
      </c>
    </row>
    <row r="809" spans="1:3">
      <c r="A809" t="str">
        <f>IFERROR(INDEX(装备库!$A$2:$E$2022,MATCH(ROW()-1,装备库!$AK$2:$AK$2022,0),COLUMN()),"")</f>
        <v/>
      </c>
      <c r="B809" t="str">
        <f>IFERROR(INDEX(装备库!$A$2:$E$2022,MATCH(ROW()-1,装备库!$AK$2:$AK$2022,0),COLUMN()),"")</f>
        <v/>
      </c>
      <c r="C809" t="str">
        <f>IFERROR(INDEX(装备库!$A$2:$E$2022,MATCH(ROW()-1,装备库!$AK$2:$AK$2022,0),5),"")</f>
        <v/>
      </c>
    </row>
    <row r="810" spans="1:3">
      <c r="A810" t="str">
        <f>IFERROR(INDEX(装备库!$A$2:$E$2022,MATCH(ROW()-1,装备库!$AK$2:$AK$2022,0),COLUMN()),"")</f>
        <v/>
      </c>
      <c r="B810" t="str">
        <f>IFERROR(INDEX(装备库!$A$2:$E$2022,MATCH(ROW()-1,装备库!$AK$2:$AK$2022,0),COLUMN()),"")</f>
        <v/>
      </c>
      <c r="C810" t="str">
        <f>IFERROR(INDEX(装备库!$A$2:$E$2022,MATCH(ROW()-1,装备库!$AK$2:$AK$2022,0),5),"")</f>
        <v/>
      </c>
    </row>
    <row r="811" spans="1:3">
      <c r="A811" t="str">
        <f>IFERROR(INDEX(装备库!$A$2:$E$2022,MATCH(ROW()-1,装备库!$AK$2:$AK$2022,0),COLUMN()),"")</f>
        <v/>
      </c>
      <c r="B811" t="str">
        <f>IFERROR(INDEX(装备库!$A$2:$E$2022,MATCH(ROW()-1,装备库!$AK$2:$AK$2022,0),COLUMN()),"")</f>
        <v/>
      </c>
      <c r="C811" t="str">
        <f>IFERROR(INDEX(装备库!$A$2:$E$2022,MATCH(ROW()-1,装备库!$AK$2:$AK$2022,0),5),"")</f>
        <v/>
      </c>
    </row>
    <row r="812" spans="1:3">
      <c r="A812" t="str">
        <f>IFERROR(INDEX(装备库!$A$2:$E$2022,MATCH(ROW()-1,装备库!$AK$2:$AK$2022,0),COLUMN()),"")</f>
        <v/>
      </c>
      <c r="B812" t="str">
        <f>IFERROR(INDEX(装备库!$A$2:$E$2022,MATCH(ROW()-1,装备库!$AK$2:$AK$2022,0),COLUMN()),"")</f>
        <v/>
      </c>
      <c r="C812" t="str">
        <f>IFERROR(INDEX(装备库!$A$2:$E$2022,MATCH(ROW()-1,装备库!$AK$2:$AK$2022,0),5),"")</f>
        <v/>
      </c>
    </row>
    <row r="813" spans="1:3">
      <c r="A813" t="str">
        <f>IFERROR(INDEX(装备库!$A$2:$E$2022,MATCH(ROW()-1,装备库!$AK$2:$AK$2022,0),COLUMN()),"")</f>
        <v/>
      </c>
      <c r="B813" t="str">
        <f>IFERROR(INDEX(装备库!$A$2:$E$2022,MATCH(ROW()-1,装备库!$AK$2:$AK$2022,0),COLUMN()),"")</f>
        <v/>
      </c>
      <c r="C813" t="str">
        <f>IFERROR(INDEX(装备库!$A$2:$E$2022,MATCH(ROW()-1,装备库!$AK$2:$AK$2022,0),5),"")</f>
        <v/>
      </c>
    </row>
    <row r="814" spans="1:3">
      <c r="A814" t="str">
        <f>IFERROR(INDEX(装备库!$A$2:$E$2022,MATCH(ROW()-1,装备库!$AK$2:$AK$2022,0),COLUMN()),"")</f>
        <v/>
      </c>
      <c r="B814" t="str">
        <f>IFERROR(INDEX(装备库!$A$2:$E$2022,MATCH(ROW()-1,装备库!$AK$2:$AK$2022,0),COLUMN()),"")</f>
        <v/>
      </c>
      <c r="C814" t="str">
        <f>IFERROR(INDEX(装备库!$A$2:$E$2022,MATCH(ROW()-1,装备库!$AK$2:$AK$2022,0),5),"")</f>
        <v/>
      </c>
    </row>
    <row r="815" spans="1:3">
      <c r="A815" t="str">
        <f>IFERROR(INDEX(装备库!$A$2:$E$2022,MATCH(ROW()-1,装备库!$AK$2:$AK$2022,0),COLUMN()),"")</f>
        <v/>
      </c>
      <c r="B815" t="str">
        <f>IFERROR(INDEX(装备库!$A$2:$E$2022,MATCH(ROW()-1,装备库!$AK$2:$AK$2022,0),COLUMN()),"")</f>
        <v/>
      </c>
      <c r="C815" t="str">
        <f>IFERROR(INDEX(装备库!$A$2:$E$2022,MATCH(ROW()-1,装备库!$AK$2:$AK$2022,0),5),"")</f>
        <v/>
      </c>
    </row>
    <row r="816" spans="1:3">
      <c r="A816" t="str">
        <f>IFERROR(INDEX(装备库!$A$2:$E$2022,MATCH(ROW()-1,装备库!$AK$2:$AK$2022,0),COLUMN()),"")</f>
        <v/>
      </c>
      <c r="B816" t="str">
        <f>IFERROR(INDEX(装备库!$A$2:$E$2022,MATCH(ROW()-1,装备库!$AK$2:$AK$2022,0),COLUMN()),"")</f>
        <v/>
      </c>
      <c r="C816" t="str">
        <f>IFERROR(INDEX(装备库!$A$2:$E$2022,MATCH(ROW()-1,装备库!$AK$2:$AK$2022,0),5),"")</f>
        <v/>
      </c>
    </row>
    <row r="817" spans="1:3">
      <c r="A817" t="str">
        <f>IFERROR(INDEX(装备库!$A$2:$E$2022,MATCH(ROW()-1,装备库!$AK$2:$AK$2022,0),COLUMN()),"")</f>
        <v/>
      </c>
      <c r="B817" t="str">
        <f>IFERROR(INDEX(装备库!$A$2:$E$2022,MATCH(ROW()-1,装备库!$AK$2:$AK$2022,0),COLUMN()),"")</f>
        <v/>
      </c>
      <c r="C817" t="str">
        <f>IFERROR(INDEX(装备库!$A$2:$E$2022,MATCH(ROW()-1,装备库!$AK$2:$AK$2022,0),5),"")</f>
        <v/>
      </c>
    </row>
    <row r="818" spans="1:3">
      <c r="A818" t="str">
        <f>IFERROR(INDEX(装备库!$A$2:$E$2022,MATCH(ROW()-1,装备库!$AK$2:$AK$2022,0),COLUMN()),"")</f>
        <v/>
      </c>
      <c r="B818" t="str">
        <f>IFERROR(INDEX(装备库!$A$2:$E$2022,MATCH(ROW()-1,装备库!$AK$2:$AK$2022,0),COLUMN()),"")</f>
        <v/>
      </c>
      <c r="C818" t="str">
        <f>IFERROR(INDEX(装备库!$A$2:$E$2022,MATCH(ROW()-1,装备库!$AK$2:$AK$2022,0),5),"")</f>
        <v/>
      </c>
    </row>
    <row r="819" spans="1:3">
      <c r="A819" t="str">
        <f>IFERROR(INDEX(装备库!$A$2:$E$2022,MATCH(ROW()-1,装备库!$AK$2:$AK$2022,0),COLUMN()),"")</f>
        <v/>
      </c>
      <c r="B819" t="str">
        <f>IFERROR(INDEX(装备库!$A$2:$E$2022,MATCH(ROW()-1,装备库!$AK$2:$AK$2022,0),COLUMN()),"")</f>
        <v/>
      </c>
      <c r="C819" t="str">
        <f>IFERROR(INDEX(装备库!$A$2:$E$2022,MATCH(ROW()-1,装备库!$AK$2:$AK$2022,0),5),"")</f>
        <v/>
      </c>
    </row>
    <row r="820" spans="1:3">
      <c r="A820" t="str">
        <f>IFERROR(INDEX(装备库!$A$2:$E$2022,MATCH(ROW()-1,装备库!$AK$2:$AK$2022,0),COLUMN()),"")</f>
        <v/>
      </c>
      <c r="B820" t="str">
        <f>IFERROR(INDEX(装备库!$A$2:$E$2022,MATCH(ROW()-1,装备库!$AK$2:$AK$2022,0),COLUMN()),"")</f>
        <v/>
      </c>
      <c r="C820" t="str">
        <f>IFERROR(INDEX(装备库!$A$2:$E$2022,MATCH(ROW()-1,装备库!$AK$2:$AK$2022,0),5),"")</f>
        <v/>
      </c>
    </row>
    <row r="821" spans="1:3">
      <c r="A821" t="str">
        <f>IFERROR(INDEX(装备库!$A$2:$E$2022,MATCH(ROW()-1,装备库!$AK$2:$AK$2022,0),COLUMN()),"")</f>
        <v/>
      </c>
      <c r="B821" t="str">
        <f>IFERROR(INDEX(装备库!$A$2:$E$2022,MATCH(ROW()-1,装备库!$AK$2:$AK$2022,0),COLUMN()),"")</f>
        <v/>
      </c>
      <c r="C821" t="str">
        <f>IFERROR(INDEX(装备库!$A$2:$E$2022,MATCH(ROW()-1,装备库!$AK$2:$AK$2022,0),5),"")</f>
        <v/>
      </c>
    </row>
    <row r="822" spans="1:3">
      <c r="A822" t="str">
        <f>IFERROR(INDEX(装备库!$A$2:$E$2022,MATCH(ROW()-1,装备库!$AK$2:$AK$2022,0),COLUMN()),"")</f>
        <v/>
      </c>
      <c r="B822" t="str">
        <f>IFERROR(INDEX(装备库!$A$2:$E$2022,MATCH(ROW()-1,装备库!$AK$2:$AK$2022,0),COLUMN()),"")</f>
        <v/>
      </c>
      <c r="C822" t="str">
        <f>IFERROR(INDEX(装备库!$A$2:$E$2022,MATCH(ROW()-1,装备库!$AK$2:$AK$2022,0),5),"")</f>
        <v/>
      </c>
    </row>
    <row r="823" spans="1:3">
      <c r="A823" t="str">
        <f>IFERROR(INDEX(装备库!$A$2:$E$2022,MATCH(ROW()-1,装备库!$AK$2:$AK$2022,0),COLUMN()),"")</f>
        <v/>
      </c>
      <c r="B823" t="str">
        <f>IFERROR(INDEX(装备库!$A$2:$E$2022,MATCH(ROW()-1,装备库!$AK$2:$AK$2022,0),COLUMN()),"")</f>
        <v/>
      </c>
      <c r="C823" t="str">
        <f>IFERROR(INDEX(装备库!$A$2:$E$2022,MATCH(ROW()-1,装备库!$AK$2:$AK$2022,0),5),"")</f>
        <v/>
      </c>
    </row>
    <row r="824" spans="1:3">
      <c r="A824" t="str">
        <f>IFERROR(INDEX(装备库!$A$2:$E$2022,MATCH(ROW()-1,装备库!$AK$2:$AK$2022,0),COLUMN()),"")</f>
        <v/>
      </c>
      <c r="B824" t="str">
        <f>IFERROR(INDEX(装备库!$A$2:$E$2022,MATCH(ROW()-1,装备库!$AK$2:$AK$2022,0),COLUMN()),"")</f>
        <v/>
      </c>
      <c r="C824" t="str">
        <f>IFERROR(INDEX(装备库!$A$2:$E$2022,MATCH(ROW()-1,装备库!$AK$2:$AK$2022,0),5),"")</f>
        <v/>
      </c>
    </row>
    <row r="825" spans="1:3">
      <c r="A825" t="str">
        <f>IFERROR(INDEX(装备库!$A$2:$E$2022,MATCH(ROW()-1,装备库!$AK$2:$AK$2022,0),COLUMN()),"")</f>
        <v/>
      </c>
      <c r="B825" t="str">
        <f>IFERROR(INDEX(装备库!$A$2:$E$2022,MATCH(ROW()-1,装备库!$AK$2:$AK$2022,0),COLUMN()),"")</f>
        <v/>
      </c>
      <c r="C825" t="str">
        <f>IFERROR(INDEX(装备库!$A$2:$E$2022,MATCH(ROW()-1,装备库!$AK$2:$AK$2022,0),5),"")</f>
        <v/>
      </c>
    </row>
    <row r="826" spans="1:3">
      <c r="A826" t="str">
        <f>IFERROR(INDEX(装备库!$A$2:$E$2022,MATCH(ROW()-1,装备库!$AK$2:$AK$2022,0),COLUMN()),"")</f>
        <v/>
      </c>
      <c r="B826" t="str">
        <f>IFERROR(INDEX(装备库!$A$2:$E$2022,MATCH(ROW()-1,装备库!$AK$2:$AK$2022,0),COLUMN()),"")</f>
        <v/>
      </c>
      <c r="C826" t="str">
        <f>IFERROR(INDEX(装备库!$A$2:$E$2022,MATCH(ROW()-1,装备库!$AK$2:$AK$2022,0),5),"")</f>
        <v/>
      </c>
    </row>
    <row r="827" spans="1:3">
      <c r="A827" t="str">
        <f>IFERROR(INDEX(装备库!$A$2:$E$2022,MATCH(ROW()-1,装备库!$AK$2:$AK$2022,0),COLUMN()),"")</f>
        <v/>
      </c>
      <c r="B827" t="str">
        <f>IFERROR(INDEX(装备库!$A$2:$E$2022,MATCH(ROW()-1,装备库!$AK$2:$AK$2022,0),COLUMN()),"")</f>
        <v/>
      </c>
      <c r="C827" t="str">
        <f>IFERROR(INDEX(装备库!$A$2:$E$2022,MATCH(ROW()-1,装备库!$AK$2:$AK$2022,0),5),"")</f>
        <v/>
      </c>
    </row>
    <row r="828" spans="1:3">
      <c r="A828" t="str">
        <f>IFERROR(INDEX(装备库!$A$2:$E$2022,MATCH(ROW()-1,装备库!$AK$2:$AK$2022,0),COLUMN()),"")</f>
        <v/>
      </c>
      <c r="B828" t="str">
        <f>IFERROR(INDEX(装备库!$A$2:$E$2022,MATCH(ROW()-1,装备库!$AK$2:$AK$2022,0),COLUMN()),"")</f>
        <v/>
      </c>
      <c r="C828" t="str">
        <f>IFERROR(INDEX(装备库!$A$2:$E$2022,MATCH(ROW()-1,装备库!$AK$2:$AK$2022,0),5),"")</f>
        <v/>
      </c>
    </row>
    <row r="829" spans="1:3">
      <c r="A829" t="str">
        <f>IFERROR(INDEX(装备库!$A$2:$E$2022,MATCH(ROW()-1,装备库!$AK$2:$AK$2022,0),COLUMN()),"")</f>
        <v/>
      </c>
      <c r="B829" t="str">
        <f>IFERROR(INDEX(装备库!$A$2:$E$2022,MATCH(ROW()-1,装备库!$AK$2:$AK$2022,0),COLUMN()),"")</f>
        <v/>
      </c>
      <c r="C829" t="str">
        <f>IFERROR(INDEX(装备库!$A$2:$E$2022,MATCH(ROW()-1,装备库!$AK$2:$AK$2022,0),5),"")</f>
        <v/>
      </c>
    </row>
    <row r="830" spans="1:3">
      <c r="A830" t="str">
        <f>IFERROR(INDEX(装备库!$A$2:$E$2022,MATCH(ROW()-1,装备库!$AK$2:$AK$2022,0),COLUMN()),"")</f>
        <v/>
      </c>
      <c r="B830" t="str">
        <f>IFERROR(INDEX(装备库!$A$2:$E$2022,MATCH(ROW()-1,装备库!$AK$2:$AK$2022,0),COLUMN()),"")</f>
        <v/>
      </c>
      <c r="C830" t="str">
        <f>IFERROR(INDEX(装备库!$A$2:$E$2022,MATCH(ROW()-1,装备库!$AK$2:$AK$2022,0),5),"")</f>
        <v/>
      </c>
    </row>
    <row r="831" spans="1:3">
      <c r="A831" t="str">
        <f>IFERROR(INDEX(装备库!$A$2:$E$2022,MATCH(ROW()-1,装备库!$AK$2:$AK$2022,0),COLUMN()),"")</f>
        <v/>
      </c>
      <c r="B831" t="str">
        <f>IFERROR(INDEX(装备库!$A$2:$E$2022,MATCH(ROW()-1,装备库!$AK$2:$AK$2022,0),COLUMN()),"")</f>
        <v/>
      </c>
      <c r="C831" t="str">
        <f>IFERROR(INDEX(装备库!$A$2:$E$2022,MATCH(ROW()-1,装备库!$AK$2:$AK$2022,0),5),"")</f>
        <v/>
      </c>
    </row>
    <row r="832" spans="1:3">
      <c r="A832" t="str">
        <f>IFERROR(INDEX(装备库!$A$2:$E$2022,MATCH(ROW()-1,装备库!$AK$2:$AK$2022,0),COLUMN()),"")</f>
        <v/>
      </c>
      <c r="B832" t="str">
        <f>IFERROR(INDEX(装备库!$A$2:$E$2022,MATCH(ROW()-1,装备库!$AK$2:$AK$2022,0),COLUMN()),"")</f>
        <v/>
      </c>
      <c r="C832" t="str">
        <f>IFERROR(INDEX(装备库!$A$2:$E$2022,MATCH(ROW()-1,装备库!$AK$2:$AK$2022,0),5),"")</f>
        <v/>
      </c>
    </row>
    <row r="833" spans="1:3">
      <c r="A833" t="str">
        <f>IFERROR(INDEX(装备库!$A$2:$E$2022,MATCH(ROW()-1,装备库!$AK$2:$AK$2022,0),COLUMN()),"")</f>
        <v/>
      </c>
      <c r="B833" t="str">
        <f>IFERROR(INDEX(装备库!$A$2:$E$2022,MATCH(ROW()-1,装备库!$AK$2:$AK$2022,0),COLUMN()),"")</f>
        <v/>
      </c>
      <c r="C833" t="str">
        <f>IFERROR(INDEX(装备库!$A$2:$E$2022,MATCH(ROW()-1,装备库!$AK$2:$AK$2022,0),5),"")</f>
        <v/>
      </c>
    </row>
    <row r="834" spans="1:3">
      <c r="A834" t="str">
        <f>IFERROR(INDEX(装备库!$A$2:$E$2022,MATCH(ROW()-1,装备库!$AK$2:$AK$2022,0),COLUMN()),"")</f>
        <v/>
      </c>
      <c r="B834" t="str">
        <f>IFERROR(INDEX(装备库!$A$2:$E$2022,MATCH(ROW()-1,装备库!$AK$2:$AK$2022,0),COLUMN()),"")</f>
        <v/>
      </c>
      <c r="C834" t="str">
        <f>IFERROR(INDEX(装备库!$A$2:$E$2022,MATCH(ROW()-1,装备库!$AK$2:$AK$2022,0),5),"")</f>
        <v/>
      </c>
    </row>
    <row r="835" spans="1:3">
      <c r="A835" t="str">
        <f>IFERROR(INDEX(装备库!$A$2:$E$2022,MATCH(ROW()-1,装备库!$AK$2:$AK$2022,0),COLUMN()),"")</f>
        <v/>
      </c>
      <c r="B835" t="str">
        <f>IFERROR(INDEX(装备库!$A$2:$E$2022,MATCH(ROW()-1,装备库!$AK$2:$AK$2022,0),COLUMN()),"")</f>
        <v/>
      </c>
      <c r="C835" t="str">
        <f>IFERROR(INDEX(装备库!$A$2:$E$2022,MATCH(ROW()-1,装备库!$AK$2:$AK$2022,0),5),"")</f>
        <v/>
      </c>
    </row>
    <row r="836" spans="1:3">
      <c r="A836" t="str">
        <f>IFERROR(INDEX(装备库!$A$2:$E$2022,MATCH(ROW()-1,装备库!$AK$2:$AK$2022,0),COLUMN()),"")</f>
        <v/>
      </c>
      <c r="B836" t="str">
        <f>IFERROR(INDEX(装备库!$A$2:$E$2022,MATCH(ROW()-1,装备库!$AK$2:$AK$2022,0),COLUMN()),"")</f>
        <v/>
      </c>
      <c r="C836" t="str">
        <f>IFERROR(INDEX(装备库!$A$2:$E$2022,MATCH(ROW()-1,装备库!$AK$2:$AK$2022,0),5),"")</f>
        <v/>
      </c>
    </row>
    <row r="837" spans="1:3">
      <c r="A837" t="str">
        <f>IFERROR(INDEX(装备库!$A$2:$E$2022,MATCH(ROW()-1,装备库!$AK$2:$AK$2022,0),COLUMN()),"")</f>
        <v/>
      </c>
      <c r="B837" t="str">
        <f>IFERROR(INDEX(装备库!$A$2:$E$2022,MATCH(ROW()-1,装备库!$AK$2:$AK$2022,0),COLUMN()),"")</f>
        <v/>
      </c>
      <c r="C837" t="str">
        <f>IFERROR(INDEX(装备库!$A$2:$E$2022,MATCH(ROW()-1,装备库!$AK$2:$AK$2022,0),5),"")</f>
        <v/>
      </c>
    </row>
    <row r="838" spans="1:3">
      <c r="A838" t="str">
        <f>IFERROR(INDEX(装备库!$A$2:$E$2022,MATCH(ROW()-1,装备库!$AK$2:$AK$2022,0),COLUMN()),"")</f>
        <v/>
      </c>
      <c r="B838" t="str">
        <f>IFERROR(INDEX(装备库!$A$2:$E$2022,MATCH(ROW()-1,装备库!$AK$2:$AK$2022,0),COLUMN()),"")</f>
        <v/>
      </c>
      <c r="C838" t="str">
        <f>IFERROR(INDEX(装备库!$A$2:$E$2022,MATCH(ROW()-1,装备库!$AK$2:$AK$2022,0),5),"")</f>
        <v/>
      </c>
    </row>
    <row r="839" spans="1:3">
      <c r="A839" t="str">
        <f>IFERROR(INDEX(装备库!$A$2:$E$2022,MATCH(ROW()-1,装备库!$AK$2:$AK$2022,0),COLUMN()),"")</f>
        <v/>
      </c>
      <c r="B839" t="str">
        <f>IFERROR(INDEX(装备库!$A$2:$E$2022,MATCH(ROW()-1,装备库!$AK$2:$AK$2022,0),COLUMN()),"")</f>
        <v/>
      </c>
      <c r="C839" t="str">
        <f>IFERROR(INDEX(装备库!$A$2:$E$2022,MATCH(ROW()-1,装备库!$AK$2:$AK$2022,0),5),"")</f>
        <v/>
      </c>
    </row>
    <row r="840" spans="1:3">
      <c r="A840" t="str">
        <f>IFERROR(INDEX(装备库!$A$2:$E$2022,MATCH(ROW()-1,装备库!$AK$2:$AK$2022,0),COLUMN()),"")</f>
        <v/>
      </c>
      <c r="B840" t="str">
        <f>IFERROR(INDEX(装备库!$A$2:$E$2022,MATCH(ROW()-1,装备库!$AK$2:$AK$2022,0),COLUMN()),"")</f>
        <v/>
      </c>
      <c r="C840" t="str">
        <f>IFERROR(INDEX(装备库!$A$2:$E$2022,MATCH(ROW()-1,装备库!$AK$2:$AK$2022,0),5),"")</f>
        <v/>
      </c>
    </row>
    <row r="841" spans="1:3">
      <c r="A841" t="str">
        <f>IFERROR(INDEX(装备库!$A$2:$E$2022,MATCH(ROW()-1,装备库!$AK$2:$AK$2022,0),COLUMN()),"")</f>
        <v/>
      </c>
      <c r="B841" t="str">
        <f>IFERROR(INDEX(装备库!$A$2:$E$2022,MATCH(ROW()-1,装备库!$AK$2:$AK$2022,0),COLUMN()),"")</f>
        <v/>
      </c>
      <c r="C841" t="str">
        <f>IFERROR(INDEX(装备库!$A$2:$E$2022,MATCH(ROW()-1,装备库!$AK$2:$AK$2022,0),5),"")</f>
        <v/>
      </c>
    </row>
    <row r="842" spans="1:3">
      <c r="A842" t="str">
        <f>IFERROR(INDEX(装备库!$A$2:$E$2022,MATCH(ROW()-1,装备库!$AK$2:$AK$2022,0),COLUMN()),"")</f>
        <v/>
      </c>
      <c r="B842" t="str">
        <f>IFERROR(INDEX(装备库!$A$2:$E$2022,MATCH(ROW()-1,装备库!$AK$2:$AK$2022,0),COLUMN()),"")</f>
        <v/>
      </c>
      <c r="C842" t="str">
        <f>IFERROR(INDEX(装备库!$A$2:$E$2022,MATCH(ROW()-1,装备库!$AK$2:$AK$2022,0),5),"")</f>
        <v/>
      </c>
    </row>
    <row r="843" spans="1:3">
      <c r="A843" t="str">
        <f>IFERROR(INDEX(装备库!$A$2:$E$2022,MATCH(ROW()-1,装备库!$AK$2:$AK$2022,0),COLUMN()),"")</f>
        <v/>
      </c>
      <c r="B843" t="str">
        <f>IFERROR(INDEX(装备库!$A$2:$E$2022,MATCH(ROW()-1,装备库!$AK$2:$AK$2022,0),COLUMN()),"")</f>
        <v/>
      </c>
      <c r="C843" t="str">
        <f>IFERROR(INDEX(装备库!$A$2:$E$2022,MATCH(ROW()-1,装备库!$AK$2:$AK$2022,0),5),"")</f>
        <v/>
      </c>
    </row>
    <row r="844" spans="1:3">
      <c r="A844" t="str">
        <f>IFERROR(INDEX(装备库!$A$2:$E$2022,MATCH(ROW()-1,装备库!$AK$2:$AK$2022,0),COLUMN()),"")</f>
        <v/>
      </c>
      <c r="B844" t="str">
        <f>IFERROR(INDEX(装备库!$A$2:$E$2022,MATCH(ROW()-1,装备库!$AK$2:$AK$2022,0),COLUMN()),"")</f>
        <v/>
      </c>
      <c r="C844" t="str">
        <f>IFERROR(INDEX(装备库!$A$2:$E$2022,MATCH(ROW()-1,装备库!$AK$2:$AK$2022,0),5),"")</f>
        <v/>
      </c>
    </row>
    <row r="845" spans="1:3">
      <c r="A845" t="str">
        <f>IFERROR(INDEX(装备库!$A$2:$E$2022,MATCH(ROW()-1,装备库!$AK$2:$AK$2022,0),COLUMN()),"")</f>
        <v/>
      </c>
      <c r="B845" t="str">
        <f>IFERROR(INDEX(装备库!$A$2:$E$2022,MATCH(ROW()-1,装备库!$AK$2:$AK$2022,0),COLUMN()),"")</f>
        <v/>
      </c>
      <c r="C845" t="str">
        <f>IFERROR(INDEX(装备库!$A$2:$E$2022,MATCH(ROW()-1,装备库!$AK$2:$AK$2022,0),5),"")</f>
        <v/>
      </c>
    </row>
    <row r="846" spans="1:3">
      <c r="A846" t="str">
        <f>IFERROR(INDEX(装备库!$A$2:$E$2022,MATCH(ROW()-1,装备库!$AK$2:$AK$2022,0),COLUMN()),"")</f>
        <v/>
      </c>
      <c r="B846" t="str">
        <f>IFERROR(INDEX(装备库!$A$2:$E$2022,MATCH(ROW()-1,装备库!$AK$2:$AK$2022,0),COLUMN()),"")</f>
        <v/>
      </c>
      <c r="C846" t="str">
        <f>IFERROR(INDEX(装备库!$A$2:$E$2022,MATCH(ROW()-1,装备库!$AK$2:$AK$2022,0),5),"")</f>
        <v/>
      </c>
    </row>
    <row r="847" spans="1:3">
      <c r="A847" t="str">
        <f>IFERROR(INDEX(装备库!$A$2:$E$2022,MATCH(ROW()-1,装备库!$AK$2:$AK$2022,0),COLUMN()),"")</f>
        <v/>
      </c>
      <c r="B847" t="str">
        <f>IFERROR(INDEX(装备库!$A$2:$E$2022,MATCH(ROW()-1,装备库!$AK$2:$AK$2022,0),COLUMN()),"")</f>
        <v/>
      </c>
      <c r="C847" t="str">
        <f>IFERROR(INDEX(装备库!$A$2:$E$2022,MATCH(ROW()-1,装备库!$AK$2:$AK$2022,0),5),"")</f>
        <v/>
      </c>
    </row>
    <row r="848" spans="1:3">
      <c r="A848" t="str">
        <f>IFERROR(INDEX(装备库!$A$2:$E$2022,MATCH(ROW()-1,装备库!$AK$2:$AK$2022,0),COLUMN()),"")</f>
        <v/>
      </c>
      <c r="B848" t="str">
        <f>IFERROR(INDEX(装备库!$A$2:$E$2022,MATCH(ROW()-1,装备库!$AK$2:$AK$2022,0),COLUMN()),"")</f>
        <v/>
      </c>
      <c r="C848" t="str">
        <f>IFERROR(INDEX(装备库!$A$2:$E$2022,MATCH(ROW()-1,装备库!$AK$2:$AK$2022,0),5),"")</f>
        <v/>
      </c>
    </row>
    <row r="849" spans="1:3">
      <c r="A849" t="str">
        <f>IFERROR(INDEX(装备库!$A$2:$E$2022,MATCH(ROW()-1,装备库!$AK$2:$AK$2022,0),COLUMN()),"")</f>
        <v/>
      </c>
      <c r="B849" t="str">
        <f>IFERROR(INDEX(装备库!$A$2:$E$2022,MATCH(ROW()-1,装备库!$AK$2:$AK$2022,0),COLUMN()),"")</f>
        <v/>
      </c>
      <c r="C849" t="str">
        <f>IFERROR(INDEX(装备库!$A$2:$E$2022,MATCH(ROW()-1,装备库!$AK$2:$AK$2022,0),5),"")</f>
        <v/>
      </c>
    </row>
    <row r="850" spans="1:3">
      <c r="A850" t="str">
        <f>IFERROR(INDEX(装备库!$A$2:$E$2022,MATCH(ROW()-1,装备库!$AK$2:$AK$2022,0),COLUMN()),"")</f>
        <v/>
      </c>
      <c r="B850" t="str">
        <f>IFERROR(INDEX(装备库!$A$2:$E$2022,MATCH(ROW()-1,装备库!$AK$2:$AK$2022,0),COLUMN()),"")</f>
        <v/>
      </c>
      <c r="C850" t="str">
        <f>IFERROR(INDEX(装备库!$A$2:$E$2022,MATCH(ROW()-1,装备库!$AK$2:$AK$2022,0),5),"")</f>
        <v/>
      </c>
    </row>
    <row r="851" spans="1:3">
      <c r="A851" t="str">
        <f>IFERROR(INDEX(装备库!$A$2:$E$2022,MATCH(ROW()-1,装备库!$AK$2:$AK$2022,0),COLUMN()),"")</f>
        <v/>
      </c>
      <c r="B851" t="str">
        <f>IFERROR(INDEX(装备库!$A$2:$E$2022,MATCH(ROW()-1,装备库!$AK$2:$AK$2022,0),COLUMN()),"")</f>
        <v/>
      </c>
      <c r="C851" t="str">
        <f>IFERROR(INDEX(装备库!$A$2:$E$2022,MATCH(ROW()-1,装备库!$AK$2:$AK$2022,0),5),"")</f>
        <v/>
      </c>
    </row>
    <row r="852" spans="1:3">
      <c r="A852" t="str">
        <f>IFERROR(INDEX(装备库!$A$2:$E$2022,MATCH(ROW()-1,装备库!$AK$2:$AK$2022,0),COLUMN()),"")</f>
        <v/>
      </c>
      <c r="B852" t="str">
        <f>IFERROR(INDEX(装备库!$A$2:$E$2022,MATCH(ROW()-1,装备库!$AK$2:$AK$2022,0),COLUMN()),"")</f>
        <v/>
      </c>
      <c r="C852" t="str">
        <f>IFERROR(INDEX(装备库!$A$2:$E$2022,MATCH(ROW()-1,装备库!$AK$2:$AK$2022,0),5),"")</f>
        <v/>
      </c>
    </row>
    <row r="853" spans="1:3">
      <c r="A853" t="str">
        <f>IFERROR(INDEX(装备库!$A$2:$E$2022,MATCH(ROW()-1,装备库!$AK$2:$AK$2022,0),COLUMN()),"")</f>
        <v/>
      </c>
      <c r="B853" t="str">
        <f>IFERROR(INDEX(装备库!$A$2:$E$2022,MATCH(ROW()-1,装备库!$AK$2:$AK$2022,0),COLUMN()),"")</f>
        <v/>
      </c>
      <c r="C853" t="str">
        <f>IFERROR(INDEX(装备库!$A$2:$E$2022,MATCH(ROW()-1,装备库!$AK$2:$AK$2022,0),5),"")</f>
        <v/>
      </c>
    </row>
    <row r="854" spans="1:3">
      <c r="A854" t="str">
        <f>IFERROR(INDEX(装备库!$A$2:$E$2022,MATCH(ROW()-1,装备库!$AK$2:$AK$2022,0),COLUMN()),"")</f>
        <v/>
      </c>
      <c r="B854" t="str">
        <f>IFERROR(INDEX(装备库!$A$2:$E$2022,MATCH(ROW()-1,装备库!$AK$2:$AK$2022,0),COLUMN()),"")</f>
        <v/>
      </c>
      <c r="C854" t="str">
        <f>IFERROR(INDEX(装备库!$A$2:$E$2022,MATCH(ROW()-1,装备库!$AK$2:$AK$2022,0),5),"")</f>
        <v/>
      </c>
    </row>
    <row r="855" spans="1:3">
      <c r="A855" t="str">
        <f>IFERROR(INDEX(装备库!$A$2:$E$2022,MATCH(ROW()-1,装备库!$AK$2:$AK$2022,0),COLUMN()),"")</f>
        <v/>
      </c>
      <c r="B855" t="str">
        <f>IFERROR(INDEX(装备库!$A$2:$E$2022,MATCH(ROW()-1,装备库!$AK$2:$AK$2022,0),COLUMN()),"")</f>
        <v/>
      </c>
      <c r="C855" t="str">
        <f>IFERROR(INDEX(装备库!$A$2:$E$2022,MATCH(ROW()-1,装备库!$AK$2:$AK$2022,0),5),"")</f>
        <v/>
      </c>
    </row>
    <row r="856" spans="1:3">
      <c r="A856" t="str">
        <f>IFERROR(INDEX(装备库!$A$2:$E$2022,MATCH(ROW()-1,装备库!$AK$2:$AK$2022,0),COLUMN()),"")</f>
        <v/>
      </c>
      <c r="B856" t="str">
        <f>IFERROR(INDEX(装备库!$A$2:$E$2022,MATCH(ROW()-1,装备库!$AK$2:$AK$2022,0),COLUMN()),"")</f>
        <v/>
      </c>
      <c r="C856" t="str">
        <f>IFERROR(INDEX(装备库!$A$2:$E$2022,MATCH(ROW()-1,装备库!$AK$2:$AK$2022,0),5),"")</f>
        <v/>
      </c>
    </row>
    <row r="857" spans="1:3">
      <c r="A857" t="str">
        <f>IFERROR(INDEX(装备库!$A$2:$E$2022,MATCH(ROW()-1,装备库!$AK$2:$AK$2022,0),COLUMN()),"")</f>
        <v/>
      </c>
      <c r="B857" t="str">
        <f>IFERROR(INDEX(装备库!$A$2:$E$2022,MATCH(ROW()-1,装备库!$AK$2:$AK$2022,0),COLUMN()),"")</f>
        <v/>
      </c>
      <c r="C857" t="str">
        <f>IFERROR(INDEX(装备库!$A$2:$E$2022,MATCH(ROW()-1,装备库!$AK$2:$AK$2022,0),5),"")</f>
        <v/>
      </c>
    </row>
    <row r="858" spans="1:3">
      <c r="A858" t="str">
        <f>IFERROR(INDEX(装备库!$A$2:$E$2022,MATCH(ROW()-1,装备库!$AK$2:$AK$2022,0),COLUMN()),"")</f>
        <v/>
      </c>
      <c r="B858" t="str">
        <f>IFERROR(INDEX(装备库!$A$2:$E$2022,MATCH(ROW()-1,装备库!$AK$2:$AK$2022,0),COLUMN()),"")</f>
        <v/>
      </c>
      <c r="C858" t="str">
        <f>IFERROR(INDEX(装备库!$A$2:$E$2022,MATCH(ROW()-1,装备库!$AK$2:$AK$2022,0),5),"")</f>
        <v/>
      </c>
    </row>
    <row r="859" spans="1:3">
      <c r="A859" t="str">
        <f>IFERROR(INDEX(装备库!$A$2:$E$2022,MATCH(ROW()-1,装备库!$AK$2:$AK$2022,0),COLUMN()),"")</f>
        <v/>
      </c>
      <c r="B859" t="str">
        <f>IFERROR(INDEX(装备库!$A$2:$E$2022,MATCH(ROW()-1,装备库!$AK$2:$AK$2022,0),COLUMN()),"")</f>
        <v/>
      </c>
      <c r="C859" t="str">
        <f>IFERROR(INDEX(装备库!$A$2:$E$2022,MATCH(ROW()-1,装备库!$AK$2:$AK$2022,0),5),"")</f>
        <v/>
      </c>
    </row>
    <row r="860" spans="1:3">
      <c r="A860" t="str">
        <f>IFERROR(INDEX(装备库!$A$2:$E$2022,MATCH(ROW()-1,装备库!$AK$2:$AK$2022,0),COLUMN()),"")</f>
        <v/>
      </c>
      <c r="B860" t="str">
        <f>IFERROR(INDEX(装备库!$A$2:$E$2022,MATCH(ROW()-1,装备库!$AK$2:$AK$2022,0),COLUMN()),"")</f>
        <v/>
      </c>
      <c r="C860" t="str">
        <f>IFERROR(INDEX(装备库!$A$2:$E$2022,MATCH(ROW()-1,装备库!$AK$2:$AK$2022,0),5),"")</f>
        <v/>
      </c>
    </row>
    <row r="861" spans="1:3">
      <c r="A861" t="str">
        <f>IFERROR(INDEX(装备库!$A$2:$E$2022,MATCH(ROW()-1,装备库!$AK$2:$AK$2022,0),COLUMN()),"")</f>
        <v/>
      </c>
      <c r="B861" t="str">
        <f>IFERROR(INDEX(装备库!$A$2:$E$2022,MATCH(ROW()-1,装备库!$AK$2:$AK$2022,0),COLUMN()),"")</f>
        <v/>
      </c>
      <c r="C861" t="str">
        <f>IFERROR(INDEX(装备库!$A$2:$E$2022,MATCH(ROW()-1,装备库!$AK$2:$AK$2022,0),5),"")</f>
        <v/>
      </c>
    </row>
    <row r="862" spans="1:3">
      <c r="A862" t="str">
        <f>IFERROR(INDEX(装备库!$A$2:$E$2022,MATCH(ROW()-1,装备库!$AK$2:$AK$2022,0),COLUMN()),"")</f>
        <v/>
      </c>
      <c r="B862" t="str">
        <f>IFERROR(INDEX(装备库!$A$2:$E$2022,MATCH(ROW()-1,装备库!$AK$2:$AK$2022,0),COLUMN()),"")</f>
        <v/>
      </c>
      <c r="C862" t="str">
        <f>IFERROR(INDEX(装备库!$A$2:$E$2022,MATCH(ROW()-1,装备库!$AK$2:$AK$2022,0),5),"")</f>
        <v/>
      </c>
    </row>
    <row r="863" spans="1:3">
      <c r="A863" t="str">
        <f>IFERROR(INDEX(装备库!$A$2:$E$2022,MATCH(ROW()-1,装备库!$AK$2:$AK$2022,0),COLUMN()),"")</f>
        <v/>
      </c>
      <c r="B863" t="str">
        <f>IFERROR(INDEX(装备库!$A$2:$E$2022,MATCH(ROW()-1,装备库!$AK$2:$AK$2022,0),COLUMN()),"")</f>
        <v/>
      </c>
      <c r="C863" t="str">
        <f>IFERROR(INDEX(装备库!$A$2:$E$2022,MATCH(ROW()-1,装备库!$AK$2:$AK$2022,0),5),"")</f>
        <v/>
      </c>
    </row>
    <row r="864" spans="1:3">
      <c r="A864" t="str">
        <f>IFERROR(INDEX(装备库!$A$2:$E$2022,MATCH(ROW()-1,装备库!$AK$2:$AK$2022,0),COLUMN()),"")</f>
        <v/>
      </c>
      <c r="B864" t="str">
        <f>IFERROR(INDEX(装备库!$A$2:$E$2022,MATCH(ROW()-1,装备库!$AK$2:$AK$2022,0),COLUMN()),"")</f>
        <v/>
      </c>
      <c r="C864" t="str">
        <f>IFERROR(INDEX(装备库!$A$2:$E$2022,MATCH(ROW()-1,装备库!$AK$2:$AK$2022,0),5),"")</f>
        <v/>
      </c>
    </row>
    <row r="865" spans="1:3">
      <c r="A865" t="str">
        <f>IFERROR(INDEX(装备库!$A$2:$E$2022,MATCH(ROW()-1,装备库!$AK$2:$AK$2022,0),COLUMN()),"")</f>
        <v/>
      </c>
      <c r="B865" t="str">
        <f>IFERROR(INDEX(装备库!$A$2:$E$2022,MATCH(ROW()-1,装备库!$AK$2:$AK$2022,0),COLUMN()),"")</f>
        <v/>
      </c>
      <c r="C865" t="str">
        <f>IFERROR(INDEX(装备库!$A$2:$E$2022,MATCH(ROW()-1,装备库!$AK$2:$AK$2022,0),5),"")</f>
        <v/>
      </c>
    </row>
    <row r="866" spans="1:3">
      <c r="A866" t="str">
        <f>IFERROR(INDEX(装备库!$A$2:$E$2022,MATCH(ROW()-1,装备库!$AK$2:$AK$2022,0),COLUMN()),"")</f>
        <v/>
      </c>
      <c r="B866" t="str">
        <f>IFERROR(INDEX(装备库!$A$2:$E$2022,MATCH(ROW()-1,装备库!$AK$2:$AK$2022,0),COLUMN()),"")</f>
        <v/>
      </c>
      <c r="C866" t="str">
        <f>IFERROR(INDEX(装备库!$A$2:$E$2022,MATCH(ROW()-1,装备库!$AK$2:$AK$2022,0),5),"")</f>
        <v/>
      </c>
    </row>
    <row r="867" spans="1:3">
      <c r="A867" t="str">
        <f>IFERROR(INDEX(装备库!$A$2:$E$2022,MATCH(ROW()-1,装备库!$AK$2:$AK$2022,0),COLUMN()),"")</f>
        <v/>
      </c>
      <c r="B867" t="str">
        <f>IFERROR(INDEX(装备库!$A$2:$E$2022,MATCH(ROW()-1,装备库!$AK$2:$AK$2022,0),COLUMN()),"")</f>
        <v/>
      </c>
      <c r="C867" t="str">
        <f>IFERROR(INDEX(装备库!$A$2:$E$2022,MATCH(ROW()-1,装备库!$AK$2:$AK$2022,0),5),"")</f>
        <v/>
      </c>
    </row>
    <row r="868" spans="1:3">
      <c r="A868" t="str">
        <f>IFERROR(INDEX(装备库!$A$2:$E$2022,MATCH(ROW()-1,装备库!$AK$2:$AK$2022,0),COLUMN()),"")</f>
        <v/>
      </c>
      <c r="B868" t="str">
        <f>IFERROR(INDEX(装备库!$A$2:$E$2022,MATCH(ROW()-1,装备库!$AK$2:$AK$2022,0),COLUMN()),"")</f>
        <v/>
      </c>
      <c r="C868" t="str">
        <f>IFERROR(INDEX(装备库!$A$2:$E$2022,MATCH(ROW()-1,装备库!$AK$2:$AK$2022,0),5),"")</f>
        <v/>
      </c>
    </row>
    <row r="869" spans="1:3">
      <c r="A869" t="str">
        <f>IFERROR(INDEX(装备库!$A$2:$E$2022,MATCH(ROW()-1,装备库!$AK$2:$AK$2022,0),COLUMN()),"")</f>
        <v/>
      </c>
      <c r="B869" t="str">
        <f>IFERROR(INDEX(装备库!$A$2:$E$2022,MATCH(ROW()-1,装备库!$AK$2:$AK$2022,0),COLUMN()),"")</f>
        <v/>
      </c>
      <c r="C869" t="str">
        <f>IFERROR(INDEX(装备库!$A$2:$E$2022,MATCH(ROW()-1,装备库!$AK$2:$AK$2022,0),5),"")</f>
        <v/>
      </c>
    </row>
    <row r="870" spans="1:3">
      <c r="A870" t="str">
        <f>IFERROR(INDEX(装备库!$A$2:$E$2022,MATCH(ROW()-1,装备库!$AK$2:$AK$2022,0),COLUMN()),"")</f>
        <v/>
      </c>
      <c r="B870" t="str">
        <f>IFERROR(INDEX(装备库!$A$2:$E$2022,MATCH(ROW()-1,装备库!$AK$2:$AK$2022,0),COLUMN()),"")</f>
        <v/>
      </c>
      <c r="C870" t="str">
        <f>IFERROR(INDEX(装备库!$A$2:$E$2022,MATCH(ROW()-1,装备库!$AK$2:$AK$2022,0),5),"")</f>
        <v/>
      </c>
    </row>
    <row r="871" spans="1:3">
      <c r="A871" t="str">
        <f>IFERROR(INDEX(装备库!$A$2:$E$2022,MATCH(ROW()-1,装备库!$AK$2:$AK$2022,0),COLUMN()),"")</f>
        <v/>
      </c>
      <c r="B871" t="str">
        <f>IFERROR(INDEX(装备库!$A$2:$E$2022,MATCH(ROW()-1,装备库!$AK$2:$AK$2022,0),COLUMN()),"")</f>
        <v/>
      </c>
      <c r="C871" t="str">
        <f>IFERROR(INDEX(装备库!$A$2:$E$2022,MATCH(ROW()-1,装备库!$AK$2:$AK$2022,0),5),"")</f>
        <v/>
      </c>
    </row>
    <row r="872" spans="1:3">
      <c r="A872" t="str">
        <f>IFERROR(INDEX(装备库!$A$2:$E$2022,MATCH(ROW()-1,装备库!$AK$2:$AK$2022,0),COLUMN()),"")</f>
        <v/>
      </c>
      <c r="B872" t="str">
        <f>IFERROR(INDEX(装备库!$A$2:$E$2022,MATCH(ROW()-1,装备库!$AK$2:$AK$2022,0),COLUMN()),"")</f>
        <v/>
      </c>
      <c r="C872" t="str">
        <f>IFERROR(INDEX(装备库!$A$2:$E$2022,MATCH(ROW()-1,装备库!$AK$2:$AK$2022,0),5),"")</f>
        <v/>
      </c>
    </row>
    <row r="873" spans="1:3">
      <c r="A873" t="str">
        <f>IFERROR(INDEX(装备库!$A$2:$E$2022,MATCH(ROW()-1,装备库!$AK$2:$AK$2022,0),COLUMN()),"")</f>
        <v/>
      </c>
      <c r="B873" t="str">
        <f>IFERROR(INDEX(装备库!$A$2:$E$2022,MATCH(ROW()-1,装备库!$AK$2:$AK$2022,0),COLUMN()),"")</f>
        <v/>
      </c>
      <c r="C873" t="str">
        <f>IFERROR(INDEX(装备库!$A$2:$E$2022,MATCH(ROW()-1,装备库!$AK$2:$AK$2022,0),5),"")</f>
        <v/>
      </c>
    </row>
    <row r="874" spans="1:3">
      <c r="A874" t="str">
        <f>IFERROR(INDEX(装备库!$A$2:$E$2022,MATCH(ROW()-1,装备库!$AK$2:$AK$2022,0),COLUMN()),"")</f>
        <v/>
      </c>
      <c r="B874" t="str">
        <f>IFERROR(INDEX(装备库!$A$2:$E$2022,MATCH(ROW()-1,装备库!$AK$2:$AK$2022,0),COLUMN()),"")</f>
        <v/>
      </c>
      <c r="C874" t="str">
        <f>IFERROR(INDEX(装备库!$A$2:$E$2022,MATCH(ROW()-1,装备库!$AK$2:$AK$2022,0),5),"")</f>
        <v/>
      </c>
    </row>
    <row r="875" spans="1:3">
      <c r="A875" t="str">
        <f>IFERROR(INDEX(装备库!$A$2:$E$2022,MATCH(ROW()-1,装备库!$AK$2:$AK$2022,0),COLUMN()),"")</f>
        <v/>
      </c>
      <c r="B875" t="str">
        <f>IFERROR(INDEX(装备库!$A$2:$E$2022,MATCH(ROW()-1,装备库!$AK$2:$AK$2022,0),COLUMN()),"")</f>
        <v/>
      </c>
      <c r="C875" t="str">
        <f>IFERROR(INDEX(装备库!$A$2:$E$2022,MATCH(ROW()-1,装备库!$AK$2:$AK$2022,0),5),"")</f>
        <v/>
      </c>
    </row>
    <row r="876" spans="1:3">
      <c r="A876" t="str">
        <f>IFERROR(INDEX(装备库!$A$2:$E$2022,MATCH(ROW()-1,装备库!$AK$2:$AK$2022,0),COLUMN()),"")</f>
        <v/>
      </c>
      <c r="B876" t="str">
        <f>IFERROR(INDEX(装备库!$A$2:$E$2022,MATCH(ROW()-1,装备库!$AK$2:$AK$2022,0),COLUMN()),"")</f>
        <v/>
      </c>
      <c r="C876" t="str">
        <f>IFERROR(INDEX(装备库!$A$2:$E$2022,MATCH(ROW()-1,装备库!$AK$2:$AK$2022,0),5),"")</f>
        <v/>
      </c>
    </row>
    <row r="877" spans="1:3">
      <c r="A877" t="str">
        <f>IFERROR(INDEX(装备库!$A$2:$E$2022,MATCH(ROW()-1,装备库!$AK$2:$AK$2022,0),COLUMN()),"")</f>
        <v/>
      </c>
      <c r="B877" t="str">
        <f>IFERROR(INDEX(装备库!$A$2:$E$2022,MATCH(ROW()-1,装备库!$AK$2:$AK$2022,0),COLUMN()),"")</f>
        <v/>
      </c>
      <c r="C877" t="str">
        <f>IFERROR(INDEX(装备库!$A$2:$E$2022,MATCH(ROW()-1,装备库!$AK$2:$AK$2022,0),5),"")</f>
        <v/>
      </c>
    </row>
    <row r="878" spans="1:3">
      <c r="A878" t="str">
        <f>IFERROR(INDEX(装备库!$A$2:$E$2022,MATCH(ROW()-1,装备库!$AK$2:$AK$2022,0),COLUMN()),"")</f>
        <v/>
      </c>
      <c r="B878" t="str">
        <f>IFERROR(INDEX(装备库!$A$2:$E$2022,MATCH(ROW()-1,装备库!$AK$2:$AK$2022,0),COLUMN()),"")</f>
        <v/>
      </c>
      <c r="C878" t="str">
        <f>IFERROR(INDEX(装备库!$A$2:$E$2022,MATCH(ROW()-1,装备库!$AK$2:$AK$2022,0),5),"")</f>
        <v/>
      </c>
    </row>
    <row r="879" spans="1:3">
      <c r="A879" t="str">
        <f>IFERROR(INDEX(装备库!$A$2:$E$2022,MATCH(ROW()-1,装备库!$AK$2:$AK$2022,0),COLUMN()),"")</f>
        <v/>
      </c>
      <c r="B879" t="str">
        <f>IFERROR(INDEX(装备库!$A$2:$E$2022,MATCH(ROW()-1,装备库!$AK$2:$AK$2022,0),COLUMN()),"")</f>
        <v/>
      </c>
      <c r="C879" t="str">
        <f>IFERROR(INDEX(装备库!$A$2:$E$2022,MATCH(ROW()-1,装备库!$AK$2:$AK$2022,0),5),"")</f>
        <v/>
      </c>
    </row>
    <row r="880" spans="1:3">
      <c r="A880" t="str">
        <f>IFERROR(INDEX(装备库!$A$2:$E$2022,MATCH(ROW()-1,装备库!$AK$2:$AK$2022,0),COLUMN()),"")</f>
        <v/>
      </c>
      <c r="B880" t="str">
        <f>IFERROR(INDEX(装备库!$A$2:$E$2022,MATCH(ROW()-1,装备库!$AK$2:$AK$2022,0),COLUMN()),"")</f>
        <v/>
      </c>
      <c r="C880" t="str">
        <f>IFERROR(INDEX(装备库!$A$2:$E$2022,MATCH(ROW()-1,装备库!$AK$2:$AK$2022,0),5),"")</f>
        <v/>
      </c>
    </row>
    <row r="881" spans="1:3">
      <c r="A881" t="str">
        <f>IFERROR(INDEX(装备库!$A$2:$E$2022,MATCH(ROW()-1,装备库!$AK$2:$AK$2022,0),COLUMN()),"")</f>
        <v/>
      </c>
      <c r="B881" t="str">
        <f>IFERROR(INDEX(装备库!$A$2:$E$2022,MATCH(ROW()-1,装备库!$AK$2:$AK$2022,0),COLUMN()),"")</f>
        <v/>
      </c>
      <c r="C881" t="str">
        <f>IFERROR(INDEX(装备库!$A$2:$E$2022,MATCH(ROW()-1,装备库!$AK$2:$AK$2022,0),5),"")</f>
        <v/>
      </c>
    </row>
    <row r="882" spans="1:3">
      <c r="A882" t="str">
        <f>IFERROR(INDEX(装备库!$A$2:$E$2022,MATCH(ROW()-1,装备库!$AK$2:$AK$2022,0),COLUMN()),"")</f>
        <v/>
      </c>
      <c r="B882" t="str">
        <f>IFERROR(INDEX(装备库!$A$2:$E$2022,MATCH(ROW()-1,装备库!$AK$2:$AK$2022,0),COLUMN()),"")</f>
        <v/>
      </c>
      <c r="C882" t="str">
        <f>IFERROR(INDEX(装备库!$A$2:$E$2022,MATCH(ROW()-1,装备库!$AK$2:$AK$2022,0),5),"")</f>
        <v/>
      </c>
    </row>
    <row r="883" spans="1:3">
      <c r="A883" t="str">
        <f>IFERROR(INDEX(装备库!$A$2:$E$2022,MATCH(ROW()-1,装备库!$AK$2:$AK$2022,0),COLUMN()),"")</f>
        <v/>
      </c>
      <c r="B883" t="str">
        <f>IFERROR(INDEX(装备库!$A$2:$E$2022,MATCH(ROW()-1,装备库!$AK$2:$AK$2022,0),COLUMN()),"")</f>
        <v/>
      </c>
      <c r="C883" t="str">
        <f>IFERROR(INDEX(装备库!$A$2:$E$2022,MATCH(ROW()-1,装备库!$AK$2:$AK$2022,0),5),"")</f>
        <v/>
      </c>
    </row>
    <row r="884" spans="1:3">
      <c r="A884" t="str">
        <f>IFERROR(INDEX(装备库!$A$2:$E$2022,MATCH(ROW()-1,装备库!$AK$2:$AK$2022,0),COLUMN()),"")</f>
        <v/>
      </c>
      <c r="B884" t="str">
        <f>IFERROR(INDEX(装备库!$A$2:$E$2022,MATCH(ROW()-1,装备库!$AK$2:$AK$2022,0),COLUMN()),"")</f>
        <v/>
      </c>
      <c r="C884" t="str">
        <f>IFERROR(INDEX(装备库!$A$2:$E$2022,MATCH(ROW()-1,装备库!$AK$2:$AK$2022,0),5),"")</f>
        <v/>
      </c>
    </row>
    <row r="885" spans="1:3">
      <c r="A885" t="str">
        <f>IFERROR(INDEX(装备库!$A$2:$E$2022,MATCH(ROW()-1,装备库!$AK$2:$AK$2022,0),COLUMN()),"")</f>
        <v/>
      </c>
      <c r="B885" t="str">
        <f>IFERROR(INDEX(装备库!$A$2:$E$2022,MATCH(ROW()-1,装备库!$AK$2:$AK$2022,0),COLUMN()),"")</f>
        <v/>
      </c>
      <c r="C885" t="str">
        <f>IFERROR(INDEX(装备库!$A$2:$E$2022,MATCH(ROW()-1,装备库!$AK$2:$AK$2022,0),5),"")</f>
        <v/>
      </c>
    </row>
    <row r="886" spans="1:3">
      <c r="A886" t="str">
        <f>IFERROR(INDEX(装备库!$A$2:$E$2022,MATCH(ROW()-1,装备库!$AK$2:$AK$2022,0),COLUMN()),"")</f>
        <v/>
      </c>
      <c r="B886" t="str">
        <f>IFERROR(INDEX(装备库!$A$2:$E$2022,MATCH(ROW()-1,装备库!$AK$2:$AK$2022,0),COLUMN()),"")</f>
        <v/>
      </c>
      <c r="C886" t="str">
        <f>IFERROR(INDEX(装备库!$A$2:$E$2022,MATCH(ROW()-1,装备库!$AK$2:$AK$2022,0),5),"")</f>
        <v/>
      </c>
    </row>
    <row r="887" spans="1:3">
      <c r="A887" t="str">
        <f>IFERROR(INDEX(装备库!$A$2:$E$2022,MATCH(ROW()-1,装备库!$AK$2:$AK$2022,0),COLUMN()),"")</f>
        <v/>
      </c>
      <c r="B887" t="str">
        <f>IFERROR(INDEX(装备库!$A$2:$E$2022,MATCH(ROW()-1,装备库!$AK$2:$AK$2022,0),COLUMN()),"")</f>
        <v/>
      </c>
      <c r="C887" t="str">
        <f>IFERROR(INDEX(装备库!$A$2:$E$2022,MATCH(ROW()-1,装备库!$AK$2:$AK$2022,0),5),"")</f>
        <v/>
      </c>
    </row>
    <row r="888" spans="1:3">
      <c r="A888" t="str">
        <f>IFERROR(INDEX(装备库!$A$2:$E$2022,MATCH(ROW()-1,装备库!$AK$2:$AK$2022,0),COLUMN()),"")</f>
        <v/>
      </c>
      <c r="B888" t="str">
        <f>IFERROR(INDEX(装备库!$A$2:$E$2022,MATCH(ROW()-1,装备库!$AK$2:$AK$2022,0),COLUMN()),"")</f>
        <v/>
      </c>
      <c r="C888" t="str">
        <f>IFERROR(INDEX(装备库!$A$2:$E$2022,MATCH(ROW()-1,装备库!$AK$2:$AK$2022,0),5),"")</f>
        <v/>
      </c>
    </row>
    <row r="889" spans="1:3">
      <c r="A889" t="str">
        <f>IFERROR(INDEX(装备库!$A$2:$E$2022,MATCH(ROW()-1,装备库!$AK$2:$AK$2022,0),COLUMN()),"")</f>
        <v/>
      </c>
      <c r="B889" t="str">
        <f>IFERROR(INDEX(装备库!$A$2:$E$2022,MATCH(ROW()-1,装备库!$AK$2:$AK$2022,0),COLUMN()),"")</f>
        <v/>
      </c>
      <c r="C889" t="str">
        <f>IFERROR(INDEX(装备库!$A$2:$E$2022,MATCH(ROW()-1,装备库!$AK$2:$AK$2022,0),5),"")</f>
        <v/>
      </c>
    </row>
    <row r="890" spans="1:3">
      <c r="A890" t="str">
        <f>IFERROR(INDEX(装备库!$A$2:$E$2022,MATCH(ROW()-1,装备库!$AK$2:$AK$2022,0),COLUMN()),"")</f>
        <v/>
      </c>
      <c r="B890" t="str">
        <f>IFERROR(INDEX(装备库!$A$2:$E$2022,MATCH(ROW()-1,装备库!$AK$2:$AK$2022,0),COLUMN()),"")</f>
        <v/>
      </c>
      <c r="C890" t="str">
        <f>IFERROR(INDEX(装备库!$A$2:$E$2022,MATCH(ROW()-1,装备库!$AK$2:$AK$2022,0),5),"")</f>
        <v/>
      </c>
    </row>
    <row r="891" spans="1:3">
      <c r="A891" t="str">
        <f>IFERROR(INDEX(装备库!$A$2:$E$2022,MATCH(ROW()-1,装备库!$AK$2:$AK$2022,0),COLUMN()),"")</f>
        <v/>
      </c>
      <c r="B891" t="str">
        <f>IFERROR(INDEX(装备库!$A$2:$E$2022,MATCH(ROW()-1,装备库!$AK$2:$AK$2022,0),COLUMN()),"")</f>
        <v/>
      </c>
      <c r="C891" t="str">
        <f>IFERROR(INDEX(装备库!$A$2:$E$2022,MATCH(ROW()-1,装备库!$AK$2:$AK$2022,0),5),"")</f>
        <v/>
      </c>
    </row>
    <row r="892" spans="1:3">
      <c r="A892" t="str">
        <f>IFERROR(INDEX(装备库!$A$2:$E$2022,MATCH(ROW()-1,装备库!$AK$2:$AK$2022,0),COLUMN()),"")</f>
        <v/>
      </c>
      <c r="B892" t="str">
        <f>IFERROR(INDEX(装备库!$A$2:$E$2022,MATCH(ROW()-1,装备库!$AK$2:$AK$2022,0),COLUMN()),"")</f>
        <v/>
      </c>
      <c r="C892" t="str">
        <f>IFERROR(INDEX(装备库!$A$2:$E$2022,MATCH(ROW()-1,装备库!$AK$2:$AK$2022,0),5),"")</f>
        <v/>
      </c>
    </row>
    <row r="893" spans="1:3">
      <c r="A893" t="str">
        <f>IFERROR(INDEX(装备库!$A$2:$E$2022,MATCH(ROW()-1,装备库!$AK$2:$AK$2022,0),COLUMN()),"")</f>
        <v/>
      </c>
      <c r="B893" t="str">
        <f>IFERROR(INDEX(装备库!$A$2:$E$2022,MATCH(ROW()-1,装备库!$AK$2:$AK$2022,0),COLUMN()),"")</f>
        <v/>
      </c>
      <c r="C893" t="str">
        <f>IFERROR(INDEX(装备库!$A$2:$E$2022,MATCH(ROW()-1,装备库!$AK$2:$AK$2022,0),5),"")</f>
        <v/>
      </c>
    </row>
    <row r="894" spans="1:3">
      <c r="A894" t="str">
        <f>IFERROR(INDEX(装备库!$A$2:$E$2022,MATCH(ROW()-1,装备库!$AK$2:$AK$2022,0),COLUMN()),"")</f>
        <v/>
      </c>
      <c r="B894" t="str">
        <f>IFERROR(INDEX(装备库!$A$2:$E$2022,MATCH(ROW()-1,装备库!$AK$2:$AK$2022,0),COLUMN()),"")</f>
        <v/>
      </c>
      <c r="C894" t="str">
        <f>IFERROR(INDEX(装备库!$A$2:$E$2022,MATCH(ROW()-1,装备库!$AK$2:$AK$2022,0),5),"")</f>
        <v/>
      </c>
    </row>
    <row r="895" spans="1:3">
      <c r="A895" t="str">
        <f>IFERROR(INDEX(装备库!$A$2:$E$2022,MATCH(ROW()-1,装备库!$AK$2:$AK$2022,0),COLUMN()),"")</f>
        <v/>
      </c>
      <c r="B895" t="str">
        <f>IFERROR(INDEX(装备库!$A$2:$E$2022,MATCH(ROW()-1,装备库!$AK$2:$AK$2022,0),COLUMN()),"")</f>
        <v/>
      </c>
      <c r="C895" t="str">
        <f>IFERROR(INDEX(装备库!$A$2:$E$2022,MATCH(ROW()-1,装备库!$AK$2:$AK$2022,0),5),"")</f>
        <v/>
      </c>
    </row>
    <row r="896" spans="1:3">
      <c r="A896" t="str">
        <f>IFERROR(INDEX(装备库!$A$2:$E$2022,MATCH(ROW()-1,装备库!$AK$2:$AK$2022,0),COLUMN()),"")</f>
        <v/>
      </c>
      <c r="B896" t="str">
        <f>IFERROR(INDEX(装备库!$A$2:$E$2022,MATCH(ROW()-1,装备库!$AK$2:$AK$2022,0),COLUMN()),"")</f>
        <v/>
      </c>
      <c r="C896" t="str">
        <f>IFERROR(INDEX(装备库!$A$2:$E$2022,MATCH(ROW()-1,装备库!$AK$2:$AK$2022,0),5),"")</f>
        <v/>
      </c>
    </row>
    <row r="897" spans="1:3">
      <c r="A897" t="str">
        <f>IFERROR(INDEX(装备库!$A$2:$E$2022,MATCH(ROW()-1,装备库!$AK$2:$AK$2022,0),COLUMN()),"")</f>
        <v/>
      </c>
      <c r="B897" t="str">
        <f>IFERROR(INDEX(装备库!$A$2:$E$2022,MATCH(ROW()-1,装备库!$AK$2:$AK$2022,0),COLUMN()),"")</f>
        <v/>
      </c>
      <c r="C897" t="str">
        <f>IFERROR(INDEX(装备库!$A$2:$E$2022,MATCH(ROW()-1,装备库!$AK$2:$AK$2022,0),5),"")</f>
        <v/>
      </c>
    </row>
    <row r="898" spans="1:3">
      <c r="A898" t="str">
        <f>IFERROR(INDEX(装备库!$A$2:$E$2022,MATCH(ROW()-1,装备库!$AK$2:$AK$2022,0),COLUMN()),"")</f>
        <v/>
      </c>
      <c r="B898" t="str">
        <f>IFERROR(INDEX(装备库!$A$2:$E$2022,MATCH(ROW()-1,装备库!$AK$2:$AK$2022,0),COLUMN()),"")</f>
        <v/>
      </c>
      <c r="C898" t="str">
        <f>IFERROR(INDEX(装备库!$A$2:$E$2022,MATCH(ROW()-1,装备库!$AK$2:$AK$2022,0),5),"")</f>
        <v/>
      </c>
    </row>
    <row r="899" spans="1:3">
      <c r="A899" t="str">
        <f>IFERROR(INDEX(装备库!$A$2:$E$2022,MATCH(ROW()-1,装备库!$AK$2:$AK$2022,0),COLUMN()),"")</f>
        <v/>
      </c>
      <c r="B899" t="str">
        <f>IFERROR(INDEX(装备库!$A$2:$E$2022,MATCH(ROW()-1,装备库!$AK$2:$AK$2022,0),COLUMN()),"")</f>
        <v/>
      </c>
      <c r="C899" t="str">
        <f>IFERROR(INDEX(装备库!$A$2:$E$2022,MATCH(ROW()-1,装备库!$AK$2:$AK$2022,0),5),"")</f>
        <v/>
      </c>
    </row>
    <row r="900" spans="1:3">
      <c r="A900" t="str">
        <f>IFERROR(INDEX(装备库!$A$2:$E$2022,MATCH(ROW()-1,装备库!$AK$2:$AK$2022,0),COLUMN()),"")</f>
        <v/>
      </c>
      <c r="B900" t="str">
        <f>IFERROR(INDEX(装备库!$A$2:$E$2022,MATCH(ROW()-1,装备库!$AK$2:$AK$2022,0),COLUMN()),"")</f>
        <v/>
      </c>
      <c r="C900" t="str">
        <f>IFERROR(INDEX(装备库!$A$2:$E$2022,MATCH(ROW()-1,装备库!$AK$2:$AK$2022,0),5),"")</f>
        <v/>
      </c>
    </row>
    <row r="901" spans="1:3">
      <c r="A901" t="str">
        <f>IFERROR(INDEX(装备库!$A$2:$E$2022,MATCH(ROW()-1,装备库!$AK$2:$AK$2022,0),COLUMN()),"")</f>
        <v/>
      </c>
      <c r="B901" t="str">
        <f>IFERROR(INDEX(装备库!$A$2:$E$2022,MATCH(ROW()-1,装备库!$AK$2:$AK$2022,0),COLUMN()),"")</f>
        <v/>
      </c>
      <c r="C901" t="str">
        <f>IFERROR(INDEX(装备库!$A$2:$E$2022,MATCH(ROW()-1,装备库!$AK$2:$AK$2022,0),5),"")</f>
        <v/>
      </c>
    </row>
    <row r="902" spans="1:3">
      <c r="A902" t="str">
        <f>IFERROR(INDEX(装备库!$A$2:$E$2022,MATCH(ROW()-1,装备库!$AK$2:$AK$2022,0),COLUMN()),"")</f>
        <v/>
      </c>
      <c r="B902" t="str">
        <f>IFERROR(INDEX(装备库!$A$2:$E$2022,MATCH(ROW()-1,装备库!$AK$2:$AK$2022,0),COLUMN()),"")</f>
        <v/>
      </c>
      <c r="C902" t="str">
        <f>IFERROR(INDEX(装备库!$A$2:$E$2022,MATCH(ROW()-1,装备库!$AK$2:$AK$2022,0),5),"")</f>
        <v/>
      </c>
    </row>
    <row r="903" spans="1:3">
      <c r="A903" t="str">
        <f>IFERROR(INDEX(装备库!$A$2:$E$2022,MATCH(ROW()-1,装备库!$AK$2:$AK$2022,0),COLUMN()),"")</f>
        <v/>
      </c>
      <c r="B903" t="str">
        <f>IFERROR(INDEX(装备库!$A$2:$E$2022,MATCH(ROW()-1,装备库!$AK$2:$AK$2022,0),COLUMN()),"")</f>
        <v/>
      </c>
      <c r="C903" t="str">
        <f>IFERROR(INDEX(装备库!$A$2:$E$2022,MATCH(ROW()-1,装备库!$AK$2:$AK$2022,0),5),"")</f>
        <v/>
      </c>
    </row>
    <row r="904" spans="1:3">
      <c r="A904" t="str">
        <f>IFERROR(INDEX(装备库!$A$2:$E$2022,MATCH(ROW()-1,装备库!$AK$2:$AK$2022,0),COLUMN()),"")</f>
        <v/>
      </c>
      <c r="B904" t="str">
        <f>IFERROR(INDEX(装备库!$A$2:$E$2022,MATCH(ROW()-1,装备库!$AK$2:$AK$2022,0),COLUMN()),"")</f>
        <v/>
      </c>
      <c r="C904" t="str">
        <f>IFERROR(INDEX(装备库!$A$2:$E$2022,MATCH(ROW()-1,装备库!$AK$2:$AK$2022,0),5),"")</f>
        <v/>
      </c>
    </row>
    <row r="905" spans="1:3">
      <c r="A905" t="str">
        <f>IFERROR(INDEX(装备库!$A$2:$E$2022,MATCH(ROW()-1,装备库!$AK$2:$AK$2022,0),COLUMN()),"")</f>
        <v/>
      </c>
      <c r="B905" t="str">
        <f>IFERROR(INDEX(装备库!$A$2:$E$2022,MATCH(ROW()-1,装备库!$AK$2:$AK$2022,0),COLUMN()),"")</f>
        <v/>
      </c>
      <c r="C905" t="str">
        <f>IFERROR(INDEX(装备库!$A$2:$E$2022,MATCH(ROW()-1,装备库!$AK$2:$AK$2022,0),5),"")</f>
        <v/>
      </c>
    </row>
    <row r="906" spans="1:3">
      <c r="A906" t="str">
        <f>IFERROR(INDEX(装备库!$A$2:$E$2022,MATCH(ROW()-1,装备库!$AK$2:$AK$2022,0),COLUMN()),"")</f>
        <v/>
      </c>
      <c r="B906" t="str">
        <f>IFERROR(INDEX(装备库!$A$2:$E$2022,MATCH(ROW()-1,装备库!$AK$2:$AK$2022,0),COLUMN()),"")</f>
        <v/>
      </c>
      <c r="C906" t="str">
        <f>IFERROR(INDEX(装备库!$A$2:$E$2022,MATCH(ROW()-1,装备库!$AK$2:$AK$2022,0),5),"")</f>
        <v/>
      </c>
    </row>
    <row r="907" spans="1:3">
      <c r="A907" t="str">
        <f>IFERROR(INDEX(装备库!$A$2:$E$2022,MATCH(ROW()-1,装备库!$AK$2:$AK$2022,0),COLUMN()),"")</f>
        <v/>
      </c>
      <c r="B907" t="str">
        <f>IFERROR(INDEX(装备库!$A$2:$E$2022,MATCH(ROW()-1,装备库!$AK$2:$AK$2022,0),COLUMN()),"")</f>
        <v/>
      </c>
      <c r="C907" t="str">
        <f>IFERROR(INDEX(装备库!$A$2:$E$2022,MATCH(ROW()-1,装备库!$AK$2:$AK$2022,0),5),"")</f>
        <v/>
      </c>
    </row>
    <row r="908" spans="1:3">
      <c r="A908" t="str">
        <f>IFERROR(INDEX(装备库!$A$2:$E$2022,MATCH(ROW()-1,装备库!$AK$2:$AK$2022,0),COLUMN()),"")</f>
        <v/>
      </c>
      <c r="B908" t="str">
        <f>IFERROR(INDEX(装备库!$A$2:$E$2022,MATCH(ROW()-1,装备库!$AK$2:$AK$2022,0),COLUMN()),"")</f>
        <v/>
      </c>
      <c r="C908" t="str">
        <f>IFERROR(INDEX(装备库!$A$2:$E$2022,MATCH(ROW()-1,装备库!$AK$2:$AK$2022,0),5),"")</f>
        <v/>
      </c>
    </row>
    <row r="909" spans="1:3">
      <c r="A909" t="str">
        <f>IFERROR(INDEX(装备库!$A$2:$E$2022,MATCH(ROW()-1,装备库!$AK$2:$AK$2022,0),COLUMN()),"")</f>
        <v/>
      </c>
      <c r="B909" t="str">
        <f>IFERROR(INDEX(装备库!$A$2:$E$2022,MATCH(ROW()-1,装备库!$AK$2:$AK$2022,0),COLUMN()),"")</f>
        <v/>
      </c>
      <c r="C909" t="str">
        <f>IFERROR(INDEX(装备库!$A$2:$E$2022,MATCH(ROW()-1,装备库!$AK$2:$AK$2022,0),5),"")</f>
        <v/>
      </c>
    </row>
    <row r="910" spans="1:3">
      <c r="A910" t="str">
        <f>IFERROR(INDEX(装备库!$A$2:$E$2022,MATCH(ROW()-1,装备库!$AK$2:$AK$2022,0),COLUMN()),"")</f>
        <v/>
      </c>
      <c r="B910" t="str">
        <f>IFERROR(INDEX(装备库!$A$2:$E$2022,MATCH(ROW()-1,装备库!$AK$2:$AK$2022,0),COLUMN()),"")</f>
        <v/>
      </c>
      <c r="C910" t="str">
        <f>IFERROR(INDEX(装备库!$A$2:$E$2022,MATCH(ROW()-1,装备库!$AK$2:$AK$2022,0),5),"")</f>
        <v/>
      </c>
    </row>
    <row r="911" spans="1:3">
      <c r="A911" t="str">
        <f>IFERROR(INDEX(装备库!$A$2:$E$2022,MATCH(ROW()-1,装备库!$AK$2:$AK$2022,0),COLUMN()),"")</f>
        <v/>
      </c>
      <c r="B911" t="str">
        <f>IFERROR(INDEX(装备库!$A$2:$E$2022,MATCH(ROW()-1,装备库!$AK$2:$AK$2022,0),COLUMN()),"")</f>
        <v/>
      </c>
      <c r="C911" t="str">
        <f>IFERROR(INDEX(装备库!$A$2:$E$2022,MATCH(ROW()-1,装备库!$AK$2:$AK$2022,0),5),"")</f>
        <v/>
      </c>
    </row>
    <row r="912" spans="1:3">
      <c r="A912" t="str">
        <f>IFERROR(INDEX(装备库!$A$2:$E$2022,MATCH(ROW()-1,装备库!$AK$2:$AK$2022,0),COLUMN()),"")</f>
        <v/>
      </c>
      <c r="B912" t="str">
        <f>IFERROR(INDEX(装备库!$A$2:$E$2022,MATCH(ROW()-1,装备库!$AK$2:$AK$2022,0),COLUMN()),"")</f>
        <v/>
      </c>
      <c r="C912" t="str">
        <f>IFERROR(INDEX(装备库!$A$2:$E$2022,MATCH(ROW()-1,装备库!$AK$2:$AK$2022,0),5),"")</f>
        <v/>
      </c>
    </row>
    <row r="913" spans="1:3">
      <c r="A913" t="str">
        <f>IFERROR(INDEX(装备库!$A$2:$E$2022,MATCH(ROW()-1,装备库!$AK$2:$AK$2022,0),COLUMN()),"")</f>
        <v/>
      </c>
      <c r="B913" t="str">
        <f>IFERROR(INDEX(装备库!$A$2:$E$2022,MATCH(ROW()-1,装备库!$AK$2:$AK$2022,0),COLUMN()),"")</f>
        <v/>
      </c>
      <c r="C913" t="str">
        <f>IFERROR(INDEX(装备库!$A$2:$E$2022,MATCH(ROW()-1,装备库!$AK$2:$AK$2022,0),5),"")</f>
        <v/>
      </c>
    </row>
    <row r="914" spans="1:3">
      <c r="A914" t="str">
        <f>IFERROR(INDEX(装备库!$A$2:$E$2022,MATCH(ROW()-1,装备库!$AK$2:$AK$2022,0),COLUMN()),"")</f>
        <v/>
      </c>
      <c r="B914" t="str">
        <f>IFERROR(INDEX(装备库!$A$2:$E$2022,MATCH(ROW()-1,装备库!$AK$2:$AK$2022,0),COLUMN()),"")</f>
        <v/>
      </c>
      <c r="C914" t="str">
        <f>IFERROR(INDEX(装备库!$A$2:$E$2022,MATCH(ROW()-1,装备库!$AK$2:$AK$2022,0),5),"")</f>
        <v/>
      </c>
    </row>
    <row r="915" spans="1:3">
      <c r="A915" t="str">
        <f>IFERROR(INDEX(装备库!$A$2:$E$2022,MATCH(ROW()-1,装备库!$AK$2:$AK$2022,0),COLUMN()),"")</f>
        <v/>
      </c>
      <c r="B915" t="str">
        <f>IFERROR(INDEX(装备库!$A$2:$E$2022,MATCH(ROW()-1,装备库!$AK$2:$AK$2022,0),COLUMN()),"")</f>
        <v/>
      </c>
      <c r="C915" t="str">
        <f>IFERROR(INDEX(装备库!$A$2:$E$2022,MATCH(ROW()-1,装备库!$AK$2:$AK$2022,0),5),"")</f>
        <v/>
      </c>
    </row>
    <row r="916" spans="1:3">
      <c r="A916" t="str">
        <f>IFERROR(INDEX(装备库!$A$2:$E$2022,MATCH(ROW()-1,装备库!$AK$2:$AK$2022,0),COLUMN()),"")</f>
        <v/>
      </c>
      <c r="B916" t="str">
        <f>IFERROR(INDEX(装备库!$A$2:$E$2022,MATCH(ROW()-1,装备库!$AK$2:$AK$2022,0),COLUMN()),"")</f>
        <v/>
      </c>
      <c r="C916" t="str">
        <f>IFERROR(INDEX(装备库!$A$2:$E$2022,MATCH(ROW()-1,装备库!$AK$2:$AK$2022,0),5),"")</f>
        <v/>
      </c>
    </row>
    <row r="917" spans="1:3">
      <c r="A917" t="str">
        <f>IFERROR(INDEX(装备库!$A$2:$E$2022,MATCH(ROW()-1,装备库!$AK$2:$AK$2022,0),COLUMN()),"")</f>
        <v/>
      </c>
      <c r="B917" t="str">
        <f>IFERROR(INDEX(装备库!$A$2:$E$2022,MATCH(ROW()-1,装备库!$AK$2:$AK$2022,0),COLUMN()),"")</f>
        <v/>
      </c>
      <c r="C917" t="str">
        <f>IFERROR(INDEX(装备库!$A$2:$E$2022,MATCH(ROW()-1,装备库!$AK$2:$AK$2022,0),5),"")</f>
        <v/>
      </c>
    </row>
    <row r="918" spans="1:3">
      <c r="A918" t="str">
        <f>IFERROR(INDEX(装备库!$A$2:$E$2022,MATCH(ROW()-1,装备库!$AK$2:$AK$2022,0),COLUMN()),"")</f>
        <v/>
      </c>
      <c r="B918" t="str">
        <f>IFERROR(INDEX(装备库!$A$2:$E$2022,MATCH(ROW()-1,装备库!$AK$2:$AK$2022,0),COLUMN()),"")</f>
        <v/>
      </c>
      <c r="C918" t="str">
        <f>IFERROR(INDEX(装备库!$A$2:$E$2022,MATCH(ROW()-1,装备库!$AK$2:$AK$2022,0),5),"")</f>
        <v/>
      </c>
    </row>
    <row r="919" spans="1:3">
      <c r="A919" t="str">
        <f>IFERROR(INDEX(装备库!$A$2:$E$2022,MATCH(ROW()-1,装备库!$AK$2:$AK$2022,0),COLUMN()),"")</f>
        <v/>
      </c>
      <c r="B919" t="str">
        <f>IFERROR(INDEX(装备库!$A$2:$E$2022,MATCH(ROW()-1,装备库!$AK$2:$AK$2022,0),COLUMN()),"")</f>
        <v/>
      </c>
      <c r="C919" t="str">
        <f>IFERROR(INDEX(装备库!$A$2:$E$2022,MATCH(ROW()-1,装备库!$AK$2:$AK$2022,0),5),"")</f>
        <v/>
      </c>
    </row>
    <row r="920" spans="1:3">
      <c r="A920" t="str">
        <f>IFERROR(INDEX(装备库!$A$2:$E$2022,MATCH(ROW()-1,装备库!$AK$2:$AK$2022,0),COLUMN()),"")</f>
        <v/>
      </c>
      <c r="B920" t="str">
        <f>IFERROR(INDEX(装备库!$A$2:$E$2022,MATCH(ROW()-1,装备库!$AK$2:$AK$2022,0),COLUMN()),"")</f>
        <v/>
      </c>
      <c r="C920" t="str">
        <f>IFERROR(INDEX(装备库!$A$2:$E$2022,MATCH(ROW()-1,装备库!$AK$2:$AK$2022,0),5),"")</f>
        <v/>
      </c>
    </row>
    <row r="921" spans="1:3">
      <c r="A921" t="str">
        <f>IFERROR(INDEX(装备库!$A$2:$E$2022,MATCH(ROW()-1,装备库!$AK$2:$AK$2022,0),COLUMN()),"")</f>
        <v/>
      </c>
      <c r="B921" t="str">
        <f>IFERROR(INDEX(装备库!$A$2:$E$2022,MATCH(ROW()-1,装备库!$AK$2:$AK$2022,0),COLUMN()),"")</f>
        <v/>
      </c>
      <c r="C921" t="str">
        <f>IFERROR(INDEX(装备库!$A$2:$E$2022,MATCH(ROW()-1,装备库!$AK$2:$AK$2022,0),5),"")</f>
        <v/>
      </c>
    </row>
    <row r="922" spans="1:3">
      <c r="A922" t="str">
        <f>IFERROR(INDEX(装备库!$A$2:$E$2022,MATCH(ROW()-1,装备库!$AK$2:$AK$2022,0),COLUMN()),"")</f>
        <v/>
      </c>
      <c r="B922" t="str">
        <f>IFERROR(INDEX(装备库!$A$2:$E$2022,MATCH(ROW()-1,装备库!$AK$2:$AK$2022,0),COLUMN()),"")</f>
        <v/>
      </c>
      <c r="C922" t="str">
        <f>IFERROR(INDEX(装备库!$A$2:$E$2022,MATCH(ROW()-1,装备库!$AK$2:$AK$2022,0),5),"")</f>
        <v/>
      </c>
    </row>
    <row r="923" spans="1:3">
      <c r="A923" t="str">
        <f>IFERROR(INDEX(装备库!$A$2:$E$2022,MATCH(ROW()-1,装备库!$AK$2:$AK$2022,0),COLUMN()),"")</f>
        <v/>
      </c>
      <c r="B923" t="str">
        <f>IFERROR(INDEX(装备库!$A$2:$E$2022,MATCH(ROW()-1,装备库!$AK$2:$AK$2022,0),COLUMN()),"")</f>
        <v/>
      </c>
      <c r="C923" t="str">
        <f>IFERROR(INDEX(装备库!$A$2:$E$2022,MATCH(ROW()-1,装备库!$AK$2:$AK$2022,0),5),"")</f>
        <v/>
      </c>
    </row>
    <row r="924" spans="1:3">
      <c r="A924" t="str">
        <f>IFERROR(INDEX(装备库!$A$2:$E$2022,MATCH(ROW()-1,装备库!$AK$2:$AK$2022,0),COLUMN()),"")</f>
        <v/>
      </c>
      <c r="B924" t="str">
        <f>IFERROR(INDEX(装备库!$A$2:$E$2022,MATCH(ROW()-1,装备库!$AK$2:$AK$2022,0),COLUMN()),"")</f>
        <v/>
      </c>
      <c r="C924" t="str">
        <f>IFERROR(INDEX(装备库!$A$2:$E$2022,MATCH(ROW()-1,装备库!$AK$2:$AK$2022,0),5),"")</f>
        <v/>
      </c>
    </row>
    <row r="925" spans="1:3">
      <c r="A925" t="str">
        <f>IFERROR(INDEX(装备库!$A$2:$E$2022,MATCH(ROW()-1,装备库!$AK$2:$AK$2022,0),COLUMN()),"")</f>
        <v/>
      </c>
      <c r="B925" t="str">
        <f>IFERROR(INDEX(装备库!$A$2:$E$2022,MATCH(ROW()-1,装备库!$AK$2:$AK$2022,0),COLUMN()),"")</f>
        <v/>
      </c>
      <c r="C925" t="str">
        <f>IFERROR(INDEX(装备库!$A$2:$E$2022,MATCH(ROW()-1,装备库!$AK$2:$AK$2022,0),5),"")</f>
        <v/>
      </c>
    </row>
    <row r="926" spans="1:3">
      <c r="A926" t="str">
        <f>IFERROR(INDEX(装备库!$A$2:$E$2022,MATCH(ROW()-1,装备库!$AK$2:$AK$2022,0),COLUMN()),"")</f>
        <v/>
      </c>
      <c r="B926" t="str">
        <f>IFERROR(INDEX(装备库!$A$2:$E$2022,MATCH(ROW()-1,装备库!$AK$2:$AK$2022,0),COLUMN()),"")</f>
        <v/>
      </c>
      <c r="C926" t="str">
        <f>IFERROR(INDEX(装备库!$A$2:$E$2022,MATCH(ROW()-1,装备库!$AK$2:$AK$2022,0),5),"")</f>
        <v/>
      </c>
    </row>
    <row r="927" spans="1:3">
      <c r="A927" t="str">
        <f>IFERROR(INDEX(装备库!$A$2:$E$2022,MATCH(ROW()-1,装备库!$AK$2:$AK$2022,0),COLUMN()),"")</f>
        <v/>
      </c>
      <c r="B927" t="str">
        <f>IFERROR(INDEX(装备库!$A$2:$E$2022,MATCH(ROW()-1,装备库!$AK$2:$AK$2022,0),COLUMN()),"")</f>
        <v/>
      </c>
      <c r="C927" t="str">
        <f>IFERROR(INDEX(装备库!$A$2:$E$2022,MATCH(ROW()-1,装备库!$AK$2:$AK$2022,0),5),"")</f>
        <v/>
      </c>
    </row>
    <row r="928" spans="1:3">
      <c r="A928" t="str">
        <f>IFERROR(INDEX(装备库!$A$2:$E$2022,MATCH(ROW()-1,装备库!$AK$2:$AK$2022,0),COLUMN()),"")</f>
        <v/>
      </c>
      <c r="B928" t="str">
        <f>IFERROR(INDEX(装备库!$A$2:$E$2022,MATCH(ROW()-1,装备库!$AK$2:$AK$2022,0),COLUMN()),"")</f>
        <v/>
      </c>
      <c r="C928" t="str">
        <f>IFERROR(INDEX(装备库!$A$2:$E$2022,MATCH(ROW()-1,装备库!$AK$2:$AK$2022,0),5),"")</f>
        <v/>
      </c>
    </row>
    <row r="929" spans="1:3">
      <c r="A929" t="str">
        <f>IFERROR(INDEX(装备库!$A$2:$E$2022,MATCH(ROW()-1,装备库!$AK$2:$AK$2022,0),COLUMN()),"")</f>
        <v/>
      </c>
      <c r="B929" t="str">
        <f>IFERROR(INDEX(装备库!$A$2:$E$2022,MATCH(ROW()-1,装备库!$AK$2:$AK$2022,0),COLUMN()),"")</f>
        <v/>
      </c>
      <c r="C929" t="str">
        <f>IFERROR(INDEX(装备库!$A$2:$E$2022,MATCH(ROW()-1,装备库!$AK$2:$AK$2022,0),5),"")</f>
        <v/>
      </c>
    </row>
    <row r="930" spans="1:3">
      <c r="A930" t="str">
        <f>IFERROR(INDEX(装备库!$A$2:$E$2022,MATCH(ROW()-1,装备库!$AK$2:$AK$2022,0),COLUMN()),"")</f>
        <v/>
      </c>
      <c r="B930" t="str">
        <f>IFERROR(INDEX(装备库!$A$2:$E$2022,MATCH(ROW()-1,装备库!$AK$2:$AK$2022,0),COLUMN()),"")</f>
        <v/>
      </c>
      <c r="C930" t="str">
        <f>IFERROR(INDEX(装备库!$A$2:$E$2022,MATCH(ROW()-1,装备库!$AK$2:$AK$2022,0),5),"")</f>
        <v/>
      </c>
    </row>
    <row r="931" spans="1:3">
      <c r="A931" t="str">
        <f>IFERROR(INDEX(装备库!$A$2:$E$2022,MATCH(ROW()-1,装备库!$AK$2:$AK$2022,0),COLUMN()),"")</f>
        <v/>
      </c>
      <c r="B931" t="str">
        <f>IFERROR(INDEX(装备库!$A$2:$E$2022,MATCH(ROW()-1,装备库!$AK$2:$AK$2022,0),COLUMN()),"")</f>
        <v/>
      </c>
      <c r="C931" t="str">
        <f>IFERROR(INDEX(装备库!$A$2:$E$2022,MATCH(ROW()-1,装备库!$AK$2:$AK$2022,0),5),"")</f>
        <v/>
      </c>
    </row>
    <row r="932" spans="1:3">
      <c r="A932" t="str">
        <f>IFERROR(INDEX(装备库!$A$2:$E$2022,MATCH(ROW()-1,装备库!$AK$2:$AK$2022,0),COLUMN()),"")</f>
        <v/>
      </c>
      <c r="B932" t="str">
        <f>IFERROR(INDEX(装备库!$A$2:$E$2022,MATCH(ROW()-1,装备库!$AK$2:$AK$2022,0),COLUMN()),"")</f>
        <v/>
      </c>
      <c r="C932" t="str">
        <f>IFERROR(INDEX(装备库!$A$2:$E$2022,MATCH(ROW()-1,装备库!$AK$2:$AK$2022,0),5),"")</f>
        <v/>
      </c>
    </row>
    <row r="933" spans="1:3">
      <c r="A933" t="str">
        <f>IFERROR(INDEX(装备库!$A$2:$E$2022,MATCH(ROW()-1,装备库!$AK$2:$AK$2022,0),COLUMN()),"")</f>
        <v/>
      </c>
      <c r="B933" t="str">
        <f>IFERROR(INDEX(装备库!$A$2:$E$2022,MATCH(ROW()-1,装备库!$AK$2:$AK$2022,0),COLUMN()),"")</f>
        <v/>
      </c>
      <c r="C933" t="str">
        <f>IFERROR(INDEX(装备库!$A$2:$E$2022,MATCH(ROW()-1,装备库!$AK$2:$AK$2022,0),5),"")</f>
        <v/>
      </c>
    </row>
    <row r="934" spans="1:3">
      <c r="A934" t="str">
        <f>IFERROR(INDEX(装备库!$A$2:$E$2022,MATCH(ROW()-1,装备库!$AK$2:$AK$2022,0),COLUMN()),"")</f>
        <v/>
      </c>
      <c r="B934" t="str">
        <f>IFERROR(INDEX(装备库!$A$2:$E$2022,MATCH(ROW()-1,装备库!$AK$2:$AK$2022,0),COLUMN()),"")</f>
        <v/>
      </c>
      <c r="C934" t="str">
        <f>IFERROR(INDEX(装备库!$A$2:$E$2022,MATCH(ROW()-1,装备库!$AK$2:$AK$2022,0),5),"")</f>
        <v/>
      </c>
    </row>
    <row r="935" spans="1:3">
      <c r="A935" t="str">
        <f>IFERROR(INDEX(装备库!$A$2:$E$2022,MATCH(ROW()-1,装备库!$AK$2:$AK$2022,0),COLUMN()),"")</f>
        <v/>
      </c>
      <c r="B935" t="str">
        <f>IFERROR(INDEX(装备库!$A$2:$E$2022,MATCH(ROW()-1,装备库!$AK$2:$AK$2022,0),COLUMN()),"")</f>
        <v/>
      </c>
      <c r="C935" t="str">
        <f>IFERROR(INDEX(装备库!$A$2:$E$2022,MATCH(ROW()-1,装备库!$AK$2:$AK$2022,0),5),"")</f>
        <v/>
      </c>
    </row>
    <row r="936" spans="1:3">
      <c r="A936" t="str">
        <f>IFERROR(INDEX(装备库!$A$2:$E$2022,MATCH(ROW()-1,装备库!$AK$2:$AK$2022,0),COLUMN()),"")</f>
        <v/>
      </c>
      <c r="B936" t="str">
        <f>IFERROR(INDEX(装备库!$A$2:$E$2022,MATCH(ROW()-1,装备库!$AK$2:$AK$2022,0),COLUMN()),"")</f>
        <v/>
      </c>
      <c r="C936" t="str">
        <f>IFERROR(INDEX(装备库!$A$2:$E$2022,MATCH(ROW()-1,装备库!$AK$2:$AK$2022,0),5),"")</f>
        <v/>
      </c>
    </row>
    <row r="937" spans="1:3">
      <c r="A937" t="str">
        <f>IFERROR(INDEX(装备库!$A$2:$E$2022,MATCH(ROW()-1,装备库!$AK$2:$AK$2022,0),COLUMN()),"")</f>
        <v/>
      </c>
      <c r="B937" t="str">
        <f>IFERROR(INDEX(装备库!$A$2:$E$2022,MATCH(ROW()-1,装备库!$AK$2:$AK$2022,0),COLUMN()),"")</f>
        <v/>
      </c>
      <c r="C937" t="str">
        <f>IFERROR(INDEX(装备库!$A$2:$E$2022,MATCH(ROW()-1,装备库!$AK$2:$AK$2022,0),5),"")</f>
        <v/>
      </c>
    </row>
    <row r="938" spans="1:3">
      <c r="A938" t="str">
        <f>IFERROR(INDEX(装备库!$A$2:$E$2022,MATCH(ROW()-1,装备库!$AK$2:$AK$2022,0),COLUMN()),"")</f>
        <v/>
      </c>
      <c r="B938" t="str">
        <f>IFERROR(INDEX(装备库!$A$2:$E$2022,MATCH(ROW()-1,装备库!$AK$2:$AK$2022,0),COLUMN()),"")</f>
        <v/>
      </c>
      <c r="C938" t="str">
        <f>IFERROR(INDEX(装备库!$A$2:$E$2022,MATCH(ROW()-1,装备库!$AK$2:$AK$2022,0),5),"")</f>
        <v/>
      </c>
    </row>
    <row r="939" spans="1:3">
      <c r="A939" t="str">
        <f>IFERROR(INDEX(装备库!$A$2:$E$2022,MATCH(ROW()-1,装备库!$AK$2:$AK$2022,0),COLUMN()),"")</f>
        <v/>
      </c>
      <c r="B939" t="str">
        <f>IFERROR(INDEX(装备库!$A$2:$E$2022,MATCH(ROW()-1,装备库!$AK$2:$AK$2022,0),COLUMN()),"")</f>
        <v/>
      </c>
      <c r="C939" t="str">
        <f>IFERROR(INDEX(装备库!$A$2:$E$2022,MATCH(ROW()-1,装备库!$AK$2:$AK$2022,0),5),"")</f>
        <v/>
      </c>
    </row>
    <row r="940" spans="1:3">
      <c r="A940" t="str">
        <f>IFERROR(INDEX(装备库!$A$2:$E$2022,MATCH(ROW()-1,装备库!$AK$2:$AK$2022,0),COLUMN()),"")</f>
        <v/>
      </c>
      <c r="B940" t="str">
        <f>IFERROR(INDEX(装备库!$A$2:$E$2022,MATCH(ROW()-1,装备库!$AK$2:$AK$2022,0),COLUMN()),"")</f>
        <v/>
      </c>
      <c r="C940" t="str">
        <f>IFERROR(INDEX(装备库!$A$2:$E$2022,MATCH(ROW()-1,装备库!$AK$2:$AK$2022,0),5),"")</f>
        <v/>
      </c>
    </row>
    <row r="941" spans="1:3">
      <c r="A941" t="str">
        <f>IFERROR(INDEX(装备库!$A$2:$E$2022,MATCH(ROW()-1,装备库!$AK$2:$AK$2022,0),COLUMN()),"")</f>
        <v/>
      </c>
      <c r="B941" t="str">
        <f>IFERROR(INDEX(装备库!$A$2:$E$2022,MATCH(ROW()-1,装备库!$AK$2:$AK$2022,0),COLUMN()),"")</f>
        <v/>
      </c>
      <c r="C941" t="str">
        <f>IFERROR(INDEX(装备库!$A$2:$E$2022,MATCH(ROW()-1,装备库!$AK$2:$AK$2022,0),5),"")</f>
        <v/>
      </c>
    </row>
    <row r="942" spans="1:3">
      <c r="A942" t="str">
        <f>IFERROR(INDEX(装备库!$A$2:$E$2022,MATCH(ROW()-1,装备库!$AK$2:$AK$2022,0),COLUMN()),"")</f>
        <v/>
      </c>
      <c r="B942" t="str">
        <f>IFERROR(INDEX(装备库!$A$2:$E$2022,MATCH(ROW()-1,装备库!$AK$2:$AK$2022,0),COLUMN()),"")</f>
        <v/>
      </c>
      <c r="C942" t="str">
        <f>IFERROR(INDEX(装备库!$A$2:$E$2022,MATCH(ROW()-1,装备库!$AK$2:$AK$2022,0),5),"")</f>
        <v/>
      </c>
    </row>
    <row r="943" spans="1:3">
      <c r="A943" t="str">
        <f>IFERROR(INDEX(装备库!$A$2:$E$2022,MATCH(ROW()-1,装备库!$AK$2:$AK$2022,0),COLUMN()),"")</f>
        <v/>
      </c>
      <c r="B943" t="str">
        <f>IFERROR(INDEX(装备库!$A$2:$E$2022,MATCH(ROW()-1,装备库!$AK$2:$AK$2022,0),COLUMN()),"")</f>
        <v/>
      </c>
      <c r="C943" t="str">
        <f>IFERROR(INDEX(装备库!$A$2:$E$2022,MATCH(ROW()-1,装备库!$AK$2:$AK$2022,0),5),"")</f>
        <v/>
      </c>
    </row>
    <row r="944" spans="1:3">
      <c r="A944" t="str">
        <f>IFERROR(INDEX(装备库!$A$2:$E$2022,MATCH(ROW()-1,装备库!$AK$2:$AK$2022,0),COLUMN()),"")</f>
        <v/>
      </c>
      <c r="B944" t="str">
        <f>IFERROR(INDEX(装备库!$A$2:$E$2022,MATCH(ROW()-1,装备库!$AK$2:$AK$2022,0),COLUMN()),"")</f>
        <v/>
      </c>
      <c r="C944" t="str">
        <f>IFERROR(INDEX(装备库!$A$2:$E$2022,MATCH(ROW()-1,装备库!$AK$2:$AK$2022,0),5),"")</f>
        <v/>
      </c>
    </row>
    <row r="945" spans="1:3">
      <c r="A945" t="str">
        <f>IFERROR(INDEX(装备库!$A$2:$E$2022,MATCH(ROW()-1,装备库!$AK$2:$AK$2022,0),COLUMN()),"")</f>
        <v/>
      </c>
      <c r="B945" t="str">
        <f>IFERROR(INDEX(装备库!$A$2:$E$2022,MATCH(ROW()-1,装备库!$AK$2:$AK$2022,0),COLUMN()),"")</f>
        <v/>
      </c>
      <c r="C945" t="str">
        <f>IFERROR(INDEX(装备库!$A$2:$E$2022,MATCH(ROW()-1,装备库!$AK$2:$AK$2022,0),5),"")</f>
        <v/>
      </c>
    </row>
    <row r="946" spans="1:3">
      <c r="A946" t="str">
        <f>IFERROR(INDEX(装备库!$A$2:$E$2022,MATCH(ROW()-1,装备库!$AK$2:$AK$2022,0),COLUMN()),"")</f>
        <v/>
      </c>
      <c r="B946" t="str">
        <f>IFERROR(INDEX(装备库!$A$2:$E$2022,MATCH(ROW()-1,装备库!$AK$2:$AK$2022,0),COLUMN()),"")</f>
        <v/>
      </c>
      <c r="C946" t="str">
        <f>IFERROR(INDEX(装备库!$A$2:$E$2022,MATCH(ROW()-1,装备库!$AK$2:$AK$2022,0),5),"")</f>
        <v/>
      </c>
    </row>
    <row r="947" spans="1:3">
      <c r="A947" t="str">
        <f>IFERROR(INDEX(装备库!$A$2:$E$2022,MATCH(ROW()-1,装备库!$AK$2:$AK$2022,0),COLUMN()),"")</f>
        <v/>
      </c>
      <c r="B947" t="str">
        <f>IFERROR(INDEX(装备库!$A$2:$E$2022,MATCH(ROW()-1,装备库!$AK$2:$AK$2022,0),COLUMN()),"")</f>
        <v/>
      </c>
      <c r="C947" t="str">
        <f>IFERROR(INDEX(装备库!$A$2:$E$2022,MATCH(ROW()-1,装备库!$AK$2:$AK$2022,0),5),"")</f>
        <v/>
      </c>
    </row>
    <row r="948" spans="1:3">
      <c r="A948" t="str">
        <f>IFERROR(INDEX(装备库!$A$2:$E$2022,MATCH(ROW()-1,装备库!$AK$2:$AK$2022,0),COLUMN()),"")</f>
        <v/>
      </c>
      <c r="B948" t="str">
        <f>IFERROR(INDEX(装备库!$A$2:$E$2022,MATCH(ROW()-1,装备库!$AK$2:$AK$2022,0),COLUMN()),"")</f>
        <v/>
      </c>
      <c r="C948" t="str">
        <f>IFERROR(INDEX(装备库!$A$2:$E$2022,MATCH(ROW()-1,装备库!$AK$2:$AK$2022,0),5),"")</f>
        <v/>
      </c>
    </row>
    <row r="949" spans="1:3">
      <c r="A949" t="str">
        <f>IFERROR(INDEX(装备库!$A$2:$E$2022,MATCH(ROW()-1,装备库!$AK$2:$AK$2022,0),COLUMN()),"")</f>
        <v/>
      </c>
      <c r="B949" t="str">
        <f>IFERROR(INDEX(装备库!$A$2:$E$2022,MATCH(ROW()-1,装备库!$AK$2:$AK$2022,0),COLUMN()),"")</f>
        <v/>
      </c>
      <c r="C949" t="str">
        <f>IFERROR(INDEX(装备库!$A$2:$E$2022,MATCH(ROW()-1,装备库!$AK$2:$AK$2022,0),5),"")</f>
        <v/>
      </c>
    </row>
    <row r="950" spans="1:3">
      <c r="A950" t="str">
        <f>IFERROR(INDEX(装备库!$A$2:$E$2022,MATCH(ROW()-1,装备库!$AK$2:$AK$2022,0),COLUMN()),"")</f>
        <v/>
      </c>
      <c r="B950" t="str">
        <f>IFERROR(INDEX(装备库!$A$2:$E$2022,MATCH(ROW()-1,装备库!$AK$2:$AK$2022,0),COLUMN()),"")</f>
        <v/>
      </c>
      <c r="C950" t="str">
        <f>IFERROR(INDEX(装备库!$A$2:$E$2022,MATCH(ROW()-1,装备库!$AK$2:$AK$2022,0),5),"")</f>
        <v/>
      </c>
    </row>
    <row r="951" spans="1:3">
      <c r="A951" t="str">
        <f>IFERROR(INDEX(装备库!$A$2:$E$2022,MATCH(ROW()-1,装备库!$AK$2:$AK$2022,0),COLUMN()),"")</f>
        <v/>
      </c>
      <c r="B951" t="str">
        <f>IFERROR(INDEX(装备库!$A$2:$E$2022,MATCH(ROW()-1,装备库!$AK$2:$AK$2022,0),COLUMN()),"")</f>
        <v/>
      </c>
      <c r="C951" t="str">
        <f>IFERROR(INDEX(装备库!$A$2:$E$2022,MATCH(ROW()-1,装备库!$AK$2:$AK$2022,0),5),"")</f>
        <v/>
      </c>
    </row>
    <row r="952" spans="1:3">
      <c r="A952" t="str">
        <f>IFERROR(INDEX(装备库!$A$2:$E$2022,MATCH(ROW()-1,装备库!$AK$2:$AK$2022,0),COLUMN()),"")</f>
        <v/>
      </c>
      <c r="B952" t="str">
        <f>IFERROR(INDEX(装备库!$A$2:$E$2022,MATCH(ROW()-1,装备库!$AK$2:$AK$2022,0),COLUMN()),"")</f>
        <v/>
      </c>
      <c r="C952" t="str">
        <f>IFERROR(INDEX(装备库!$A$2:$E$2022,MATCH(ROW()-1,装备库!$AK$2:$AK$2022,0),5),"")</f>
        <v/>
      </c>
    </row>
    <row r="953" spans="1:3">
      <c r="A953" t="str">
        <f>IFERROR(INDEX(装备库!$A$2:$E$2022,MATCH(ROW()-1,装备库!$AK$2:$AK$2022,0),COLUMN()),"")</f>
        <v/>
      </c>
      <c r="B953" t="str">
        <f>IFERROR(INDEX(装备库!$A$2:$E$2022,MATCH(ROW()-1,装备库!$AK$2:$AK$2022,0),COLUMN()),"")</f>
        <v/>
      </c>
      <c r="C953" t="str">
        <f>IFERROR(INDEX(装备库!$A$2:$E$2022,MATCH(ROW()-1,装备库!$AK$2:$AK$2022,0),5),"")</f>
        <v/>
      </c>
    </row>
    <row r="954" spans="1:3">
      <c r="A954" t="str">
        <f>IFERROR(INDEX(装备库!$A$2:$E$2022,MATCH(ROW()-1,装备库!$AK$2:$AK$2022,0),COLUMN()),"")</f>
        <v/>
      </c>
      <c r="B954" t="str">
        <f>IFERROR(INDEX(装备库!$A$2:$E$2022,MATCH(ROW()-1,装备库!$AK$2:$AK$2022,0),COLUMN()),"")</f>
        <v/>
      </c>
      <c r="C954" t="str">
        <f>IFERROR(INDEX(装备库!$A$2:$E$2022,MATCH(ROW()-1,装备库!$AK$2:$AK$2022,0),5),"")</f>
        <v/>
      </c>
    </row>
    <row r="955" spans="1:3">
      <c r="A955" t="str">
        <f>IFERROR(INDEX(装备库!$A$2:$E$2022,MATCH(ROW()-1,装备库!$AK$2:$AK$2022,0),COLUMN()),"")</f>
        <v/>
      </c>
      <c r="B955" t="str">
        <f>IFERROR(INDEX(装备库!$A$2:$E$2022,MATCH(ROW()-1,装备库!$AK$2:$AK$2022,0),COLUMN()),"")</f>
        <v/>
      </c>
      <c r="C955" t="str">
        <f>IFERROR(INDEX(装备库!$A$2:$E$2022,MATCH(ROW()-1,装备库!$AK$2:$AK$2022,0),5),"")</f>
        <v/>
      </c>
    </row>
    <row r="956" spans="1:3">
      <c r="A956" t="str">
        <f>IFERROR(INDEX(装备库!$A$2:$E$2022,MATCH(ROW()-1,装备库!$AK$2:$AK$2022,0),COLUMN()),"")</f>
        <v/>
      </c>
      <c r="B956" t="str">
        <f>IFERROR(INDEX(装备库!$A$2:$E$2022,MATCH(ROW()-1,装备库!$AK$2:$AK$2022,0),COLUMN()),"")</f>
        <v/>
      </c>
      <c r="C956" t="str">
        <f>IFERROR(INDEX(装备库!$A$2:$E$2022,MATCH(ROW()-1,装备库!$AK$2:$AK$2022,0),5),"")</f>
        <v/>
      </c>
    </row>
    <row r="957" spans="1:3">
      <c r="A957" t="str">
        <f>IFERROR(INDEX(装备库!$A$2:$E$2022,MATCH(ROW()-1,装备库!$AK$2:$AK$2022,0),COLUMN()),"")</f>
        <v/>
      </c>
      <c r="B957" t="str">
        <f>IFERROR(INDEX(装备库!$A$2:$E$2022,MATCH(ROW()-1,装备库!$AK$2:$AK$2022,0),COLUMN()),"")</f>
        <v/>
      </c>
      <c r="C957" t="str">
        <f>IFERROR(INDEX(装备库!$A$2:$E$2022,MATCH(ROW()-1,装备库!$AK$2:$AK$2022,0),5),"")</f>
        <v/>
      </c>
    </row>
    <row r="958" spans="1:3">
      <c r="A958" t="str">
        <f>IFERROR(INDEX(装备库!$A$2:$E$2022,MATCH(ROW()-1,装备库!$AK$2:$AK$2022,0),COLUMN()),"")</f>
        <v/>
      </c>
      <c r="B958" t="str">
        <f>IFERROR(INDEX(装备库!$A$2:$E$2022,MATCH(ROW()-1,装备库!$AK$2:$AK$2022,0),COLUMN()),"")</f>
        <v/>
      </c>
      <c r="C958" t="str">
        <f>IFERROR(INDEX(装备库!$A$2:$E$2022,MATCH(ROW()-1,装备库!$AK$2:$AK$2022,0),5),"")</f>
        <v/>
      </c>
    </row>
    <row r="959" spans="1:3">
      <c r="A959" t="str">
        <f>IFERROR(INDEX(装备库!$A$2:$E$2022,MATCH(ROW()-1,装备库!$AK$2:$AK$2022,0),COLUMN()),"")</f>
        <v/>
      </c>
      <c r="B959" t="str">
        <f>IFERROR(INDEX(装备库!$A$2:$E$2022,MATCH(ROW()-1,装备库!$AK$2:$AK$2022,0),COLUMN()),"")</f>
        <v/>
      </c>
      <c r="C959" t="str">
        <f>IFERROR(INDEX(装备库!$A$2:$E$2022,MATCH(ROW()-1,装备库!$AK$2:$AK$2022,0),5),"")</f>
        <v/>
      </c>
    </row>
    <row r="960" spans="1:3">
      <c r="A960" t="str">
        <f>IFERROR(INDEX(装备库!$A$2:$E$2022,MATCH(ROW()-1,装备库!$AK$2:$AK$2022,0),COLUMN()),"")</f>
        <v/>
      </c>
      <c r="B960" t="str">
        <f>IFERROR(INDEX(装备库!$A$2:$E$2022,MATCH(ROW()-1,装备库!$AK$2:$AK$2022,0),COLUMN()),"")</f>
        <v/>
      </c>
      <c r="C960" t="str">
        <f>IFERROR(INDEX(装备库!$A$2:$E$2022,MATCH(ROW()-1,装备库!$AK$2:$AK$2022,0),5),"")</f>
        <v/>
      </c>
    </row>
    <row r="961" spans="1:3">
      <c r="A961" t="str">
        <f>IFERROR(INDEX(装备库!$A$2:$E$2022,MATCH(ROW()-1,装备库!$AK$2:$AK$2022,0),COLUMN()),"")</f>
        <v/>
      </c>
      <c r="B961" t="str">
        <f>IFERROR(INDEX(装备库!$A$2:$E$2022,MATCH(ROW()-1,装备库!$AK$2:$AK$2022,0),COLUMN()),"")</f>
        <v/>
      </c>
      <c r="C961" t="str">
        <f>IFERROR(INDEX(装备库!$A$2:$E$2022,MATCH(ROW()-1,装备库!$AK$2:$AK$2022,0),5),"")</f>
        <v/>
      </c>
    </row>
    <row r="962" spans="1:3">
      <c r="A962" t="str">
        <f>IFERROR(INDEX(装备库!$A$2:$E$2022,MATCH(ROW()-1,装备库!$AK$2:$AK$2022,0),COLUMN()),"")</f>
        <v/>
      </c>
      <c r="B962" t="str">
        <f>IFERROR(INDEX(装备库!$A$2:$E$2022,MATCH(ROW()-1,装备库!$AK$2:$AK$2022,0),COLUMN()),"")</f>
        <v/>
      </c>
      <c r="C962" t="str">
        <f>IFERROR(INDEX(装备库!$A$2:$E$2022,MATCH(ROW()-1,装备库!$AK$2:$AK$2022,0),5),"")</f>
        <v/>
      </c>
    </row>
    <row r="963" spans="1:3">
      <c r="A963" t="str">
        <f>IFERROR(INDEX(装备库!$A$2:$E$2022,MATCH(ROW()-1,装备库!$AK$2:$AK$2022,0),COLUMN()),"")</f>
        <v/>
      </c>
      <c r="B963" t="str">
        <f>IFERROR(INDEX(装备库!$A$2:$E$2022,MATCH(ROW()-1,装备库!$AK$2:$AK$2022,0),COLUMN()),"")</f>
        <v/>
      </c>
      <c r="C963" t="str">
        <f>IFERROR(INDEX(装备库!$A$2:$E$2022,MATCH(ROW()-1,装备库!$AK$2:$AK$2022,0),5),"")</f>
        <v/>
      </c>
    </row>
    <row r="964" spans="1:3">
      <c r="A964" t="str">
        <f>IFERROR(INDEX(装备库!$A$2:$E$2022,MATCH(ROW()-1,装备库!$AK$2:$AK$2022,0),COLUMN()),"")</f>
        <v/>
      </c>
      <c r="B964" t="str">
        <f>IFERROR(INDEX(装备库!$A$2:$E$2022,MATCH(ROW()-1,装备库!$AK$2:$AK$2022,0),COLUMN()),"")</f>
        <v/>
      </c>
      <c r="C964" t="str">
        <f>IFERROR(INDEX(装备库!$A$2:$E$2022,MATCH(ROW()-1,装备库!$AK$2:$AK$2022,0),5),"")</f>
        <v/>
      </c>
    </row>
    <row r="965" spans="1:3">
      <c r="A965" t="str">
        <f>IFERROR(INDEX(装备库!$A$2:$E$2022,MATCH(ROW()-1,装备库!$AK$2:$AK$2022,0),COLUMN()),"")</f>
        <v/>
      </c>
      <c r="B965" t="str">
        <f>IFERROR(INDEX(装备库!$A$2:$E$2022,MATCH(ROW()-1,装备库!$AK$2:$AK$2022,0),COLUMN()),"")</f>
        <v/>
      </c>
      <c r="C965" t="str">
        <f>IFERROR(INDEX(装备库!$A$2:$E$2022,MATCH(ROW()-1,装备库!$AK$2:$AK$2022,0),5),"")</f>
        <v/>
      </c>
    </row>
    <row r="966" spans="1:3">
      <c r="A966" t="str">
        <f>IFERROR(INDEX(装备库!$A$2:$E$2022,MATCH(ROW()-1,装备库!$AK$2:$AK$2022,0),COLUMN()),"")</f>
        <v/>
      </c>
      <c r="B966" t="str">
        <f>IFERROR(INDEX(装备库!$A$2:$E$2022,MATCH(ROW()-1,装备库!$AK$2:$AK$2022,0),COLUMN()),"")</f>
        <v/>
      </c>
      <c r="C966" t="str">
        <f>IFERROR(INDEX(装备库!$A$2:$E$2022,MATCH(ROW()-1,装备库!$AK$2:$AK$2022,0),5),"")</f>
        <v/>
      </c>
    </row>
    <row r="967" spans="1:3">
      <c r="A967" t="str">
        <f>IFERROR(INDEX(装备库!$A$2:$E$2022,MATCH(ROW()-1,装备库!$AK$2:$AK$2022,0),COLUMN()),"")</f>
        <v/>
      </c>
      <c r="B967" t="str">
        <f>IFERROR(INDEX(装备库!$A$2:$E$2022,MATCH(ROW()-1,装备库!$AK$2:$AK$2022,0),COLUMN()),"")</f>
        <v/>
      </c>
      <c r="C967" t="str">
        <f>IFERROR(INDEX(装备库!$A$2:$E$2022,MATCH(ROW()-1,装备库!$AK$2:$AK$2022,0),5),"")</f>
        <v/>
      </c>
    </row>
    <row r="968" spans="1:3">
      <c r="A968" t="str">
        <f>IFERROR(INDEX(装备库!$A$2:$E$2022,MATCH(ROW()-1,装备库!$AK$2:$AK$2022,0),COLUMN()),"")</f>
        <v/>
      </c>
      <c r="B968" t="str">
        <f>IFERROR(INDEX(装备库!$A$2:$E$2022,MATCH(ROW()-1,装备库!$AK$2:$AK$2022,0),COLUMN()),"")</f>
        <v/>
      </c>
      <c r="C968" t="str">
        <f>IFERROR(INDEX(装备库!$A$2:$E$2022,MATCH(ROW()-1,装备库!$AK$2:$AK$2022,0),5),"")</f>
        <v/>
      </c>
    </row>
    <row r="969" spans="1:3">
      <c r="A969" t="str">
        <f>IFERROR(INDEX(装备库!$A$2:$E$2022,MATCH(ROW()-1,装备库!$AK$2:$AK$2022,0),COLUMN()),"")</f>
        <v/>
      </c>
      <c r="B969" t="str">
        <f>IFERROR(INDEX(装备库!$A$2:$E$2022,MATCH(ROW()-1,装备库!$AK$2:$AK$2022,0),COLUMN()),"")</f>
        <v/>
      </c>
      <c r="C969" t="str">
        <f>IFERROR(INDEX(装备库!$A$2:$E$2022,MATCH(ROW()-1,装备库!$AK$2:$AK$2022,0),5),"")</f>
        <v/>
      </c>
    </row>
    <row r="970" spans="1:3">
      <c r="A970" t="str">
        <f>IFERROR(INDEX(装备库!$A$2:$E$2022,MATCH(ROW()-1,装备库!$AK$2:$AK$2022,0),COLUMN()),"")</f>
        <v/>
      </c>
      <c r="B970" t="str">
        <f>IFERROR(INDEX(装备库!$A$2:$E$2022,MATCH(ROW()-1,装备库!$AK$2:$AK$2022,0),COLUMN()),"")</f>
        <v/>
      </c>
      <c r="C970" t="str">
        <f>IFERROR(INDEX(装备库!$A$2:$E$2022,MATCH(ROW()-1,装备库!$AK$2:$AK$2022,0),5),"")</f>
        <v/>
      </c>
    </row>
    <row r="971" spans="1:3">
      <c r="A971" t="str">
        <f>IFERROR(INDEX(装备库!$A$2:$E$2022,MATCH(ROW()-1,装备库!$AK$2:$AK$2022,0),COLUMN()),"")</f>
        <v/>
      </c>
      <c r="B971" t="str">
        <f>IFERROR(INDEX(装备库!$A$2:$E$2022,MATCH(ROW()-1,装备库!$AK$2:$AK$2022,0),COLUMN()),"")</f>
        <v/>
      </c>
      <c r="C971" t="str">
        <f>IFERROR(INDEX(装备库!$A$2:$E$2022,MATCH(ROW()-1,装备库!$AK$2:$AK$2022,0),5),"")</f>
        <v/>
      </c>
    </row>
    <row r="972" spans="1:3">
      <c r="A972" t="str">
        <f>IFERROR(INDEX(装备库!$A$2:$E$2022,MATCH(ROW()-1,装备库!$AK$2:$AK$2022,0),COLUMN()),"")</f>
        <v/>
      </c>
      <c r="B972" t="str">
        <f>IFERROR(INDEX(装备库!$A$2:$E$2022,MATCH(ROW()-1,装备库!$AK$2:$AK$2022,0),COLUMN()),"")</f>
        <v/>
      </c>
      <c r="C972" t="str">
        <f>IFERROR(INDEX(装备库!$A$2:$E$2022,MATCH(ROW()-1,装备库!$AK$2:$AK$2022,0),5),"")</f>
        <v/>
      </c>
    </row>
    <row r="973" spans="1:3">
      <c r="A973" t="str">
        <f>IFERROR(INDEX(装备库!$A$2:$E$2022,MATCH(ROW()-1,装备库!$AK$2:$AK$2022,0),COLUMN()),"")</f>
        <v/>
      </c>
      <c r="B973" t="str">
        <f>IFERROR(INDEX(装备库!$A$2:$E$2022,MATCH(ROW()-1,装备库!$AK$2:$AK$2022,0),COLUMN()),"")</f>
        <v/>
      </c>
      <c r="C973" t="str">
        <f>IFERROR(INDEX(装备库!$A$2:$E$2022,MATCH(ROW()-1,装备库!$AK$2:$AK$2022,0),5),"")</f>
        <v/>
      </c>
    </row>
    <row r="974" spans="1:3">
      <c r="A974" t="str">
        <f>IFERROR(INDEX(装备库!$A$2:$E$2022,MATCH(ROW()-1,装备库!$AK$2:$AK$2022,0),COLUMN()),"")</f>
        <v/>
      </c>
      <c r="B974" t="str">
        <f>IFERROR(INDEX(装备库!$A$2:$E$2022,MATCH(ROW()-1,装备库!$AK$2:$AK$2022,0),COLUMN()),"")</f>
        <v/>
      </c>
      <c r="C974" t="str">
        <f>IFERROR(INDEX(装备库!$A$2:$E$2022,MATCH(ROW()-1,装备库!$AK$2:$AK$2022,0),5),"")</f>
        <v/>
      </c>
    </row>
    <row r="975" spans="1:3">
      <c r="A975" t="str">
        <f>IFERROR(INDEX(装备库!$A$2:$E$2022,MATCH(ROW()-1,装备库!$AK$2:$AK$2022,0),COLUMN()),"")</f>
        <v/>
      </c>
      <c r="B975" t="str">
        <f>IFERROR(INDEX(装备库!$A$2:$E$2022,MATCH(ROW()-1,装备库!$AK$2:$AK$2022,0),COLUMN()),"")</f>
        <v/>
      </c>
      <c r="C975" t="str">
        <f>IFERROR(INDEX(装备库!$A$2:$E$2022,MATCH(ROW()-1,装备库!$AK$2:$AK$2022,0),5),"")</f>
        <v/>
      </c>
    </row>
    <row r="976" spans="1:3">
      <c r="A976" t="str">
        <f>IFERROR(INDEX(装备库!$A$2:$E$2022,MATCH(ROW()-1,装备库!$AK$2:$AK$2022,0),COLUMN()),"")</f>
        <v/>
      </c>
      <c r="B976" t="str">
        <f>IFERROR(INDEX(装备库!$A$2:$E$2022,MATCH(ROW()-1,装备库!$AK$2:$AK$2022,0),COLUMN()),"")</f>
        <v/>
      </c>
      <c r="C976" t="str">
        <f>IFERROR(INDEX(装备库!$A$2:$E$2022,MATCH(ROW()-1,装备库!$AK$2:$AK$2022,0),5),"")</f>
        <v/>
      </c>
    </row>
    <row r="977" spans="1:3">
      <c r="A977" t="str">
        <f>IFERROR(INDEX(装备库!$A$2:$E$2022,MATCH(ROW()-1,装备库!$AK$2:$AK$2022,0),COLUMN()),"")</f>
        <v/>
      </c>
      <c r="B977" t="str">
        <f>IFERROR(INDEX(装备库!$A$2:$E$2022,MATCH(ROW()-1,装备库!$AK$2:$AK$2022,0),COLUMN()),"")</f>
        <v/>
      </c>
      <c r="C977" t="str">
        <f>IFERROR(INDEX(装备库!$A$2:$E$2022,MATCH(ROW()-1,装备库!$AK$2:$AK$2022,0),5),"")</f>
        <v/>
      </c>
    </row>
    <row r="978" spans="1:3">
      <c r="A978" t="str">
        <f>IFERROR(INDEX(装备库!$A$2:$E$2022,MATCH(ROW()-1,装备库!$AK$2:$AK$2022,0),COLUMN()),"")</f>
        <v/>
      </c>
      <c r="B978" t="str">
        <f>IFERROR(INDEX(装备库!$A$2:$E$2022,MATCH(ROW()-1,装备库!$AK$2:$AK$2022,0),COLUMN()),"")</f>
        <v/>
      </c>
      <c r="C978" t="str">
        <f>IFERROR(INDEX(装备库!$A$2:$E$2022,MATCH(ROW()-1,装备库!$AK$2:$AK$2022,0),5),"")</f>
        <v/>
      </c>
    </row>
    <row r="979" spans="1:3">
      <c r="A979" t="str">
        <f>IFERROR(INDEX(装备库!$A$2:$E$2022,MATCH(ROW()-1,装备库!$AK$2:$AK$2022,0),COLUMN()),"")</f>
        <v/>
      </c>
      <c r="B979" t="str">
        <f>IFERROR(INDEX(装备库!$A$2:$E$2022,MATCH(ROW()-1,装备库!$AK$2:$AK$2022,0),COLUMN()),"")</f>
        <v/>
      </c>
      <c r="C979" t="str">
        <f>IFERROR(INDEX(装备库!$A$2:$E$2022,MATCH(ROW()-1,装备库!$AK$2:$AK$2022,0),5),"")</f>
        <v/>
      </c>
    </row>
    <row r="980" spans="1:3">
      <c r="A980" t="str">
        <f>IFERROR(INDEX(装备库!$A$2:$E$2022,MATCH(ROW()-1,装备库!$AK$2:$AK$2022,0),COLUMN()),"")</f>
        <v/>
      </c>
      <c r="B980" t="str">
        <f>IFERROR(INDEX(装备库!$A$2:$E$2022,MATCH(ROW()-1,装备库!$AK$2:$AK$2022,0),COLUMN()),"")</f>
        <v/>
      </c>
      <c r="C980" t="str">
        <f>IFERROR(INDEX(装备库!$A$2:$E$2022,MATCH(ROW()-1,装备库!$AK$2:$AK$2022,0),5),"")</f>
        <v/>
      </c>
    </row>
    <row r="981" spans="1:3">
      <c r="A981" t="str">
        <f>IFERROR(INDEX(装备库!$A$2:$E$2022,MATCH(ROW()-1,装备库!$AK$2:$AK$2022,0),COLUMN()),"")</f>
        <v/>
      </c>
      <c r="B981" t="str">
        <f>IFERROR(INDEX(装备库!$A$2:$E$2022,MATCH(ROW()-1,装备库!$AK$2:$AK$2022,0),COLUMN()),"")</f>
        <v/>
      </c>
      <c r="C981" t="str">
        <f>IFERROR(INDEX(装备库!$A$2:$E$2022,MATCH(ROW()-1,装备库!$AK$2:$AK$2022,0),5),"")</f>
        <v/>
      </c>
    </row>
    <row r="982" spans="1:3">
      <c r="A982" t="str">
        <f>IFERROR(INDEX(装备库!$A$2:$E$2022,MATCH(ROW()-1,装备库!$AK$2:$AK$2022,0),COLUMN()),"")</f>
        <v/>
      </c>
      <c r="B982" t="str">
        <f>IFERROR(INDEX(装备库!$A$2:$E$2022,MATCH(ROW()-1,装备库!$AK$2:$AK$2022,0),COLUMN()),"")</f>
        <v/>
      </c>
      <c r="C982" t="str">
        <f>IFERROR(INDEX(装备库!$A$2:$E$2022,MATCH(ROW()-1,装备库!$AK$2:$AK$2022,0),5),"")</f>
        <v/>
      </c>
    </row>
    <row r="983" spans="1:3">
      <c r="A983" t="str">
        <f>IFERROR(INDEX(装备库!$A$2:$E$2022,MATCH(ROW()-1,装备库!$AK$2:$AK$2022,0),COLUMN()),"")</f>
        <v/>
      </c>
      <c r="B983" t="str">
        <f>IFERROR(INDEX(装备库!$A$2:$E$2022,MATCH(ROW()-1,装备库!$AK$2:$AK$2022,0),COLUMN()),"")</f>
        <v/>
      </c>
      <c r="C983" t="str">
        <f>IFERROR(INDEX(装备库!$A$2:$E$2022,MATCH(ROW()-1,装备库!$AK$2:$AK$2022,0),5),"")</f>
        <v/>
      </c>
    </row>
    <row r="984" spans="1:3">
      <c r="A984" t="str">
        <f>IFERROR(INDEX(装备库!$A$2:$E$2022,MATCH(ROW()-1,装备库!$AK$2:$AK$2022,0),COLUMN()),"")</f>
        <v/>
      </c>
      <c r="B984" t="str">
        <f>IFERROR(INDEX(装备库!$A$2:$E$2022,MATCH(ROW()-1,装备库!$AK$2:$AK$2022,0),COLUMN()),"")</f>
        <v/>
      </c>
      <c r="C984" t="str">
        <f>IFERROR(INDEX(装备库!$A$2:$E$2022,MATCH(ROW()-1,装备库!$AK$2:$AK$2022,0),5),"")</f>
        <v/>
      </c>
    </row>
    <row r="985" spans="1:3">
      <c r="A985" t="str">
        <f>IFERROR(INDEX(装备库!$A$2:$E$2022,MATCH(ROW()-1,装备库!$AK$2:$AK$2022,0),COLUMN()),"")</f>
        <v/>
      </c>
      <c r="B985" t="str">
        <f>IFERROR(INDEX(装备库!$A$2:$E$2022,MATCH(ROW()-1,装备库!$AK$2:$AK$2022,0),COLUMN()),"")</f>
        <v/>
      </c>
      <c r="C985" t="str">
        <f>IFERROR(INDEX(装备库!$A$2:$E$2022,MATCH(ROW()-1,装备库!$AK$2:$AK$2022,0),5),"")</f>
        <v/>
      </c>
    </row>
    <row r="986" spans="1:3">
      <c r="A986" t="str">
        <f>IFERROR(INDEX(装备库!$A$2:$E$2022,MATCH(ROW()-1,装备库!$AK$2:$AK$2022,0),COLUMN()),"")</f>
        <v/>
      </c>
      <c r="B986" t="str">
        <f>IFERROR(INDEX(装备库!$A$2:$E$2022,MATCH(ROW()-1,装备库!$AK$2:$AK$2022,0),COLUMN()),"")</f>
        <v/>
      </c>
      <c r="C986" t="str">
        <f>IFERROR(INDEX(装备库!$A$2:$E$2022,MATCH(ROW()-1,装备库!$AK$2:$AK$2022,0),5),"")</f>
        <v/>
      </c>
    </row>
    <row r="987" spans="1:3">
      <c r="A987" t="str">
        <f>IFERROR(INDEX(装备库!$A$2:$E$2022,MATCH(ROW()-1,装备库!$AK$2:$AK$2022,0),COLUMN()),"")</f>
        <v/>
      </c>
      <c r="B987" t="str">
        <f>IFERROR(INDEX(装备库!$A$2:$E$2022,MATCH(ROW()-1,装备库!$AK$2:$AK$2022,0),COLUMN()),"")</f>
        <v/>
      </c>
      <c r="C987" t="str">
        <f>IFERROR(INDEX(装备库!$A$2:$E$2022,MATCH(ROW()-1,装备库!$AK$2:$AK$2022,0),5),"")</f>
        <v/>
      </c>
    </row>
    <row r="988" spans="1:3">
      <c r="A988" t="str">
        <f>IFERROR(INDEX(装备库!$A$2:$E$2022,MATCH(ROW()-1,装备库!$AK$2:$AK$2022,0),COLUMN()),"")</f>
        <v/>
      </c>
      <c r="B988" t="str">
        <f>IFERROR(INDEX(装备库!$A$2:$E$2022,MATCH(ROW()-1,装备库!$AK$2:$AK$2022,0),COLUMN()),"")</f>
        <v/>
      </c>
      <c r="C988" t="str">
        <f>IFERROR(INDEX(装备库!$A$2:$E$2022,MATCH(ROW()-1,装备库!$AK$2:$AK$2022,0),5),"")</f>
        <v/>
      </c>
    </row>
    <row r="989" spans="1:3">
      <c r="A989" t="str">
        <f>IFERROR(INDEX(装备库!$A$2:$E$2022,MATCH(ROW()-1,装备库!$AK$2:$AK$2022,0),COLUMN()),"")</f>
        <v/>
      </c>
      <c r="B989" t="str">
        <f>IFERROR(INDEX(装备库!$A$2:$E$2022,MATCH(ROW()-1,装备库!$AK$2:$AK$2022,0),COLUMN()),"")</f>
        <v/>
      </c>
      <c r="C989" t="str">
        <f>IFERROR(INDEX(装备库!$A$2:$E$2022,MATCH(ROW()-1,装备库!$AK$2:$AK$2022,0),5),"")</f>
        <v/>
      </c>
    </row>
    <row r="990" spans="1:3">
      <c r="A990" t="str">
        <f>IFERROR(INDEX(装备库!$A$2:$E$2022,MATCH(ROW()-1,装备库!$AK$2:$AK$2022,0),COLUMN()),"")</f>
        <v/>
      </c>
      <c r="B990" t="str">
        <f>IFERROR(INDEX(装备库!$A$2:$E$2022,MATCH(ROW()-1,装备库!$AK$2:$AK$2022,0),COLUMN()),"")</f>
        <v/>
      </c>
      <c r="C990" t="str">
        <f>IFERROR(INDEX(装备库!$A$2:$E$2022,MATCH(ROW()-1,装备库!$AK$2:$AK$2022,0),5),"")</f>
        <v/>
      </c>
    </row>
    <row r="991" spans="1:3">
      <c r="A991" t="str">
        <f>IFERROR(INDEX(装备库!$A$2:$E$2022,MATCH(ROW()-1,装备库!$AK$2:$AK$2022,0),COLUMN()),"")</f>
        <v/>
      </c>
      <c r="B991" t="str">
        <f>IFERROR(INDEX(装备库!$A$2:$E$2022,MATCH(ROW()-1,装备库!$AK$2:$AK$2022,0),COLUMN()),"")</f>
        <v/>
      </c>
      <c r="C991" t="str">
        <f>IFERROR(INDEX(装备库!$A$2:$E$2022,MATCH(ROW()-1,装备库!$AK$2:$AK$2022,0),5),"")</f>
        <v/>
      </c>
    </row>
    <row r="992" spans="1:3">
      <c r="A992" t="str">
        <f>IFERROR(INDEX(装备库!$A$2:$E$2022,MATCH(ROW()-1,装备库!$AK$2:$AK$2022,0),COLUMN()),"")</f>
        <v/>
      </c>
      <c r="B992" t="str">
        <f>IFERROR(INDEX(装备库!$A$2:$E$2022,MATCH(ROW()-1,装备库!$AK$2:$AK$2022,0),COLUMN()),"")</f>
        <v/>
      </c>
      <c r="C992" t="str">
        <f>IFERROR(INDEX(装备库!$A$2:$E$2022,MATCH(ROW()-1,装备库!$AK$2:$AK$2022,0),5),"")</f>
        <v/>
      </c>
    </row>
    <row r="993" spans="1:3">
      <c r="A993" t="str">
        <f>IFERROR(INDEX(装备库!$A$2:$E$2022,MATCH(ROW()-1,装备库!$AK$2:$AK$2022,0),COLUMN()),"")</f>
        <v/>
      </c>
      <c r="B993" t="str">
        <f>IFERROR(INDEX(装备库!$A$2:$E$2022,MATCH(ROW()-1,装备库!$AK$2:$AK$2022,0),COLUMN()),"")</f>
        <v/>
      </c>
      <c r="C993" t="str">
        <f>IFERROR(INDEX(装备库!$A$2:$E$2022,MATCH(ROW()-1,装备库!$AK$2:$AK$2022,0),5),"")</f>
        <v/>
      </c>
    </row>
    <row r="994" spans="1:3">
      <c r="A994" t="str">
        <f>IFERROR(INDEX(装备库!$A$2:$E$2022,MATCH(ROW()-1,装备库!$AK$2:$AK$2022,0),COLUMN()),"")</f>
        <v/>
      </c>
      <c r="B994" t="str">
        <f>IFERROR(INDEX(装备库!$A$2:$E$2022,MATCH(ROW()-1,装备库!$AK$2:$AK$2022,0),COLUMN()),"")</f>
        <v/>
      </c>
      <c r="C994" t="str">
        <f>IFERROR(INDEX(装备库!$A$2:$E$2022,MATCH(ROW()-1,装备库!$AK$2:$AK$2022,0),5),"")</f>
        <v/>
      </c>
    </row>
    <row r="995" spans="1:3">
      <c r="A995" t="str">
        <f>IFERROR(INDEX(装备库!$A$2:$E$2022,MATCH(ROW()-1,装备库!$AK$2:$AK$2022,0),COLUMN()),"")</f>
        <v/>
      </c>
      <c r="B995" t="str">
        <f>IFERROR(INDEX(装备库!$A$2:$E$2022,MATCH(ROW()-1,装备库!$AK$2:$AK$2022,0),COLUMN()),"")</f>
        <v/>
      </c>
      <c r="C995" t="str">
        <f>IFERROR(INDEX(装备库!$A$2:$E$2022,MATCH(ROW()-1,装备库!$AK$2:$AK$2022,0),5),"")</f>
        <v/>
      </c>
    </row>
    <row r="996" spans="1:3">
      <c r="A996" t="str">
        <f>IFERROR(INDEX(装备库!$A$2:$E$2022,MATCH(ROW()-1,装备库!$AK$2:$AK$2022,0),COLUMN()),"")</f>
        <v/>
      </c>
      <c r="B996" t="str">
        <f>IFERROR(INDEX(装备库!$A$2:$E$2022,MATCH(ROW()-1,装备库!$AK$2:$AK$2022,0),COLUMN()),"")</f>
        <v/>
      </c>
      <c r="C996" t="str">
        <f>IFERROR(INDEX(装备库!$A$2:$E$2022,MATCH(ROW()-1,装备库!$AK$2:$AK$2022,0),5),"")</f>
        <v/>
      </c>
    </row>
    <row r="997" spans="1:3">
      <c r="A997" t="str">
        <f>IFERROR(INDEX(装备库!$A$2:$E$2022,MATCH(ROW()-1,装备库!$AK$2:$AK$2022,0),COLUMN()),"")</f>
        <v/>
      </c>
      <c r="B997" t="str">
        <f>IFERROR(INDEX(装备库!$A$2:$E$2022,MATCH(ROW()-1,装备库!$AK$2:$AK$2022,0),COLUMN()),"")</f>
        <v/>
      </c>
      <c r="C997" t="str">
        <f>IFERROR(INDEX(装备库!$A$2:$E$2022,MATCH(ROW()-1,装备库!$AK$2:$AK$2022,0),5),"")</f>
        <v/>
      </c>
    </row>
    <row r="998" spans="1:3">
      <c r="A998" t="str">
        <f>IFERROR(INDEX(装备库!$A$2:$E$2022,MATCH(ROW()-1,装备库!$AK$2:$AK$2022,0),COLUMN()),"")</f>
        <v/>
      </c>
      <c r="B998" t="str">
        <f>IFERROR(INDEX(装备库!$A$2:$E$2022,MATCH(ROW()-1,装备库!$AK$2:$AK$2022,0),COLUMN()),"")</f>
        <v/>
      </c>
      <c r="C998" t="str">
        <f>IFERROR(INDEX(装备库!$A$2:$E$2022,MATCH(ROW()-1,装备库!$AK$2:$AK$2022,0),5),"")</f>
        <v/>
      </c>
    </row>
    <row r="999" spans="1:3">
      <c r="A999" t="str">
        <f>IFERROR(INDEX(装备库!$A$2:$E$2022,MATCH(ROW()-1,装备库!$AK$2:$AK$2022,0),COLUMN()),"")</f>
        <v/>
      </c>
      <c r="B999" t="str">
        <f>IFERROR(INDEX(装备库!$A$2:$E$2022,MATCH(ROW()-1,装备库!$AK$2:$AK$2022,0),COLUMN()),"")</f>
        <v/>
      </c>
      <c r="C999" t="str">
        <f>IFERROR(INDEX(装备库!$A$2:$E$2022,MATCH(ROW()-1,装备库!$AK$2:$AK$2022,0),5),"")</f>
        <v/>
      </c>
    </row>
    <row r="1000" spans="1:3">
      <c r="A1000" t="str">
        <f>IFERROR(INDEX(装备库!$A$2:$E$2022,MATCH(ROW()-1,装备库!$AK$2:$AK$2022,0),COLUMN()),"")</f>
        <v/>
      </c>
      <c r="B1000" t="str">
        <f>IFERROR(INDEX(装备库!$A$2:$E$2022,MATCH(ROW()-1,装备库!$AK$2:$AK$2022,0),COLUMN()),"")</f>
        <v/>
      </c>
      <c r="C1000" t="str">
        <f>IFERROR(INDEX(装备库!$A$2:$E$2022,MATCH(ROW()-1,装备库!$AK$2:$AK$2022,0),5),"")</f>
        <v/>
      </c>
    </row>
    <row r="1001" spans="1:3">
      <c r="A1001" t="str">
        <f>IFERROR(INDEX(装备库!$A$2:$E$2022,MATCH(ROW()-1,装备库!$AK$2:$AK$2022,0),COLUMN()),"")</f>
        <v/>
      </c>
      <c r="B1001" t="str">
        <f>IFERROR(INDEX(装备库!$A$2:$E$2022,MATCH(ROW()-1,装备库!$AK$2:$AK$2022,0),COLUMN()),"")</f>
        <v/>
      </c>
      <c r="C1001" t="str">
        <f>IFERROR(INDEX(装备库!$A$2:$E$2022,MATCH(ROW()-1,装备库!$AK$2:$AK$2022,0),5),"")</f>
        <v/>
      </c>
    </row>
    <row r="1002" spans="1:3">
      <c r="A1002" t="str">
        <f>IFERROR(INDEX(装备库!$A$2:$E$2022,MATCH(ROW()-1,装备库!$AK$2:$AK$2022,0),COLUMN()),"")</f>
        <v/>
      </c>
      <c r="B1002" t="str">
        <f>IFERROR(INDEX(装备库!$A$2:$E$2022,MATCH(ROW()-1,装备库!$AK$2:$AK$2022,0),COLUMN()),"")</f>
        <v/>
      </c>
      <c r="C1002" t="str">
        <f>IFERROR(INDEX(装备库!$A$2:$E$2022,MATCH(ROW()-1,装备库!$AK$2:$AK$2022,0),5),"")</f>
        <v/>
      </c>
    </row>
    <row r="1003" spans="1:3">
      <c r="A1003" t="str">
        <f>IFERROR(INDEX(装备库!$A$2:$E$2022,MATCH(ROW()-1,装备库!$AK$2:$AK$2022,0),COLUMN()),"")</f>
        <v/>
      </c>
      <c r="B1003" t="str">
        <f>IFERROR(INDEX(装备库!$A$2:$E$2022,MATCH(ROW()-1,装备库!$AK$2:$AK$2022,0),COLUMN()),"")</f>
        <v/>
      </c>
      <c r="C1003" t="str">
        <f>IFERROR(INDEX(装备库!$A$2:$E$2022,MATCH(ROW()-1,装备库!$AK$2:$AK$2022,0),5),"")</f>
        <v/>
      </c>
    </row>
    <row r="1004" spans="1:3">
      <c r="A1004" t="str">
        <f>IFERROR(INDEX(装备库!$A$2:$E$2022,MATCH(ROW()-1,装备库!$AK$2:$AK$2022,0),COLUMN()),"")</f>
        <v/>
      </c>
      <c r="B1004" t="str">
        <f>IFERROR(INDEX(装备库!$A$2:$E$2022,MATCH(ROW()-1,装备库!$AK$2:$AK$2022,0),COLUMN()),"")</f>
        <v/>
      </c>
      <c r="C1004" t="str">
        <f>IFERROR(INDEX(装备库!$A$2:$E$2022,MATCH(ROW()-1,装备库!$AK$2:$AK$2022,0),5),"")</f>
        <v/>
      </c>
    </row>
    <row r="1005" spans="1:3">
      <c r="A1005" t="str">
        <f>IFERROR(INDEX(装备库!$A$2:$E$2022,MATCH(ROW()-1,装备库!$AK$2:$AK$2022,0),COLUMN()),"")</f>
        <v/>
      </c>
      <c r="B1005" t="str">
        <f>IFERROR(INDEX(装备库!$A$2:$E$2022,MATCH(ROW()-1,装备库!$AK$2:$AK$2022,0),COLUMN()),"")</f>
        <v/>
      </c>
      <c r="C1005" t="str">
        <f>IFERROR(INDEX(装备库!$A$2:$E$2022,MATCH(ROW()-1,装备库!$AK$2:$AK$2022,0),5),"")</f>
        <v/>
      </c>
    </row>
    <row r="1006" spans="1:3">
      <c r="A1006" t="str">
        <f>IFERROR(INDEX(装备库!$A$2:$E$2022,MATCH(ROW()-1,装备库!$AK$2:$AK$2022,0),COLUMN()),"")</f>
        <v/>
      </c>
      <c r="B1006" t="str">
        <f>IFERROR(INDEX(装备库!$A$2:$E$2022,MATCH(ROW()-1,装备库!$AK$2:$AK$2022,0),COLUMN()),"")</f>
        <v/>
      </c>
      <c r="C1006" t="str">
        <f>IFERROR(INDEX(装备库!$A$2:$E$2022,MATCH(ROW()-1,装备库!$AK$2:$AK$2022,0),5),"")</f>
        <v/>
      </c>
    </row>
    <row r="1007" spans="1:3">
      <c r="A1007" t="str">
        <f>IFERROR(INDEX(装备库!$A$2:$E$2022,MATCH(ROW()-1,装备库!$AK$2:$AK$2022,0),COLUMN()),"")</f>
        <v/>
      </c>
      <c r="B1007" t="str">
        <f>IFERROR(INDEX(装备库!$A$2:$E$2022,MATCH(ROW()-1,装备库!$AK$2:$AK$2022,0),COLUMN()),"")</f>
        <v/>
      </c>
      <c r="C1007" t="str">
        <f>IFERROR(INDEX(装备库!$A$2:$E$2022,MATCH(ROW()-1,装备库!$AK$2:$AK$2022,0),5),"")</f>
        <v/>
      </c>
    </row>
    <row r="1008" spans="1:3">
      <c r="A1008" t="str">
        <f>IFERROR(INDEX(装备库!$A$2:$E$2022,MATCH(ROW()-1,装备库!$AK$2:$AK$2022,0),COLUMN()),"")</f>
        <v/>
      </c>
      <c r="B1008" t="str">
        <f>IFERROR(INDEX(装备库!$A$2:$E$2022,MATCH(ROW()-1,装备库!$AK$2:$AK$2022,0),COLUMN()),"")</f>
        <v/>
      </c>
      <c r="C1008" t="str">
        <f>IFERROR(INDEX(装备库!$A$2:$E$2022,MATCH(ROW()-1,装备库!$AK$2:$AK$2022,0),5),"")</f>
        <v/>
      </c>
    </row>
    <row r="1009" spans="1:3">
      <c r="A1009" t="str">
        <f>IFERROR(INDEX(装备库!$A$2:$E$2022,MATCH(ROW()-1,装备库!$AK$2:$AK$2022,0),COLUMN()),"")</f>
        <v/>
      </c>
      <c r="B1009" t="str">
        <f>IFERROR(INDEX(装备库!$A$2:$E$2022,MATCH(ROW()-1,装备库!$AK$2:$AK$2022,0),COLUMN()),"")</f>
        <v/>
      </c>
      <c r="C1009" t="str">
        <f>IFERROR(INDEX(装备库!$A$2:$E$2022,MATCH(ROW()-1,装备库!$AK$2:$AK$2022,0),5),"")</f>
        <v/>
      </c>
    </row>
    <row r="1010" spans="1:3">
      <c r="A1010" t="str">
        <f>IFERROR(INDEX(装备库!$A$2:$E$2022,MATCH(ROW()-1,装备库!$AK$2:$AK$2022,0),COLUMN()),"")</f>
        <v/>
      </c>
      <c r="B1010" t="str">
        <f>IFERROR(INDEX(装备库!$A$2:$E$2022,MATCH(ROW()-1,装备库!$AK$2:$AK$2022,0),COLUMN()),"")</f>
        <v/>
      </c>
      <c r="C1010" t="str">
        <f>IFERROR(INDEX(装备库!$A$2:$E$2022,MATCH(ROW()-1,装备库!$AK$2:$AK$2022,0),5),"")</f>
        <v/>
      </c>
    </row>
    <row r="1011" spans="1:3">
      <c r="A1011" t="str">
        <f>IFERROR(INDEX(装备库!$A$2:$E$2022,MATCH(ROW()-1,装备库!$AK$2:$AK$2022,0),COLUMN()),"")</f>
        <v/>
      </c>
      <c r="B1011" t="str">
        <f>IFERROR(INDEX(装备库!$A$2:$E$2022,MATCH(ROW()-1,装备库!$AK$2:$AK$2022,0),COLUMN()),"")</f>
        <v/>
      </c>
      <c r="C1011" t="str">
        <f>IFERROR(INDEX(装备库!$A$2:$E$2022,MATCH(ROW()-1,装备库!$AK$2:$AK$2022,0),5),"")</f>
        <v/>
      </c>
    </row>
    <row r="1012" spans="1:3">
      <c r="A1012" t="str">
        <f>IFERROR(INDEX(装备库!$A$2:$E$2022,MATCH(ROW()-1,装备库!$AK$2:$AK$2022,0),COLUMN()),"")</f>
        <v/>
      </c>
      <c r="B1012" t="str">
        <f>IFERROR(INDEX(装备库!$A$2:$E$2022,MATCH(ROW()-1,装备库!$AK$2:$AK$2022,0),COLUMN()),"")</f>
        <v/>
      </c>
      <c r="C1012" t="str">
        <f>IFERROR(INDEX(装备库!$A$2:$E$2022,MATCH(ROW()-1,装备库!$AK$2:$AK$2022,0),5),"")</f>
        <v/>
      </c>
    </row>
    <row r="1013" spans="1:3">
      <c r="A1013" t="str">
        <f>IFERROR(INDEX(装备库!$A$2:$E$2022,MATCH(ROW()-1,装备库!$AK$2:$AK$2022,0),COLUMN()),"")</f>
        <v/>
      </c>
      <c r="B1013" t="str">
        <f>IFERROR(INDEX(装备库!$A$2:$E$2022,MATCH(ROW()-1,装备库!$AK$2:$AK$2022,0),COLUMN()),"")</f>
        <v/>
      </c>
      <c r="C1013" t="str">
        <f>IFERROR(INDEX(装备库!$A$2:$E$2022,MATCH(ROW()-1,装备库!$AK$2:$AK$2022,0),5),"")</f>
        <v/>
      </c>
    </row>
    <row r="1014" spans="1:3">
      <c r="A1014" t="str">
        <f>IFERROR(INDEX(装备库!$A$2:$E$2022,MATCH(ROW()-1,装备库!$AK$2:$AK$2022,0),COLUMN()),"")</f>
        <v/>
      </c>
      <c r="B1014" t="str">
        <f>IFERROR(INDEX(装备库!$A$2:$E$2022,MATCH(ROW()-1,装备库!$AK$2:$AK$2022,0),COLUMN()),"")</f>
        <v/>
      </c>
      <c r="C1014" t="str">
        <f>IFERROR(INDEX(装备库!$A$2:$E$2022,MATCH(ROW()-1,装备库!$AK$2:$AK$2022,0),5),"")</f>
        <v/>
      </c>
    </row>
    <row r="1015" spans="1:3">
      <c r="A1015" t="str">
        <f>IFERROR(INDEX(装备库!$A$2:$E$2022,MATCH(ROW()-1,装备库!$AK$2:$AK$2022,0),COLUMN()),"")</f>
        <v/>
      </c>
      <c r="B1015" t="str">
        <f>IFERROR(INDEX(装备库!$A$2:$E$2022,MATCH(ROW()-1,装备库!$AK$2:$AK$2022,0),COLUMN()),"")</f>
        <v/>
      </c>
      <c r="C1015" t="str">
        <f>IFERROR(INDEX(装备库!$A$2:$E$2022,MATCH(ROW()-1,装备库!$AK$2:$AK$2022,0),5),"")</f>
        <v/>
      </c>
    </row>
    <row r="1016" spans="1:3">
      <c r="A1016" t="str">
        <f>IFERROR(INDEX(装备库!$A$2:$E$2022,MATCH(ROW()-1,装备库!$AK$2:$AK$2022,0),COLUMN()),"")</f>
        <v/>
      </c>
      <c r="B1016" t="str">
        <f>IFERROR(INDEX(装备库!$A$2:$E$2022,MATCH(ROW()-1,装备库!$AK$2:$AK$2022,0),COLUMN()),"")</f>
        <v/>
      </c>
      <c r="C1016" t="str">
        <f>IFERROR(INDEX(装备库!$A$2:$E$2022,MATCH(ROW()-1,装备库!$AK$2:$AK$2022,0),5),"")</f>
        <v/>
      </c>
    </row>
    <row r="1017" spans="1:3">
      <c r="A1017" t="str">
        <f>IFERROR(INDEX(装备库!$A$2:$E$2022,MATCH(ROW()-1,装备库!$AK$2:$AK$2022,0),COLUMN()),"")</f>
        <v/>
      </c>
      <c r="B1017" t="str">
        <f>IFERROR(INDEX(装备库!$A$2:$E$2022,MATCH(ROW()-1,装备库!$AK$2:$AK$2022,0),COLUMN()),"")</f>
        <v/>
      </c>
      <c r="C1017" t="str">
        <f>IFERROR(INDEX(装备库!$A$2:$E$2022,MATCH(ROW()-1,装备库!$AK$2:$AK$2022,0),5),"")</f>
        <v/>
      </c>
    </row>
    <row r="1018" spans="1:3">
      <c r="A1018" t="str">
        <f>IFERROR(INDEX(装备库!$A$2:$E$2022,MATCH(ROW()-1,装备库!$AK$2:$AK$2022,0),COLUMN()),"")</f>
        <v/>
      </c>
      <c r="B1018" t="str">
        <f>IFERROR(INDEX(装备库!$A$2:$E$2022,MATCH(ROW()-1,装备库!$AK$2:$AK$2022,0),COLUMN()),"")</f>
        <v/>
      </c>
      <c r="C1018" t="str">
        <f>IFERROR(INDEX(装备库!$A$2:$E$2022,MATCH(ROW()-1,装备库!$AK$2:$AK$2022,0),5),"")</f>
        <v/>
      </c>
    </row>
    <row r="1019" spans="1:3">
      <c r="A1019" t="str">
        <f>IFERROR(INDEX(装备库!$A$2:$E$2022,MATCH(ROW()-1,装备库!$AK$2:$AK$2022,0),COLUMN()),"")</f>
        <v/>
      </c>
      <c r="B1019" t="str">
        <f>IFERROR(INDEX(装备库!$A$2:$E$2022,MATCH(ROW()-1,装备库!$AK$2:$AK$2022,0),COLUMN()),"")</f>
        <v/>
      </c>
      <c r="C1019" t="str">
        <f>IFERROR(INDEX(装备库!$A$2:$E$2022,MATCH(ROW()-1,装备库!$AK$2:$AK$2022,0),5),"")</f>
        <v/>
      </c>
    </row>
    <row r="1020" spans="1:3">
      <c r="A1020" t="str">
        <f>IFERROR(INDEX(装备库!$A$2:$E$2022,MATCH(ROW()-1,装备库!$AK$2:$AK$2022,0),COLUMN()),"")</f>
        <v/>
      </c>
      <c r="B1020" t="str">
        <f>IFERROR(INDEX(装备库!$A$2:$E$2022,MATCH(ROW()-1,装备库!$AK$2:$AK$2022,0),COLUMN()),"")</f>
        <v/>
      </c>
      <c r="C1020" t="str">
        <f>IFERROR(INDEX(装备库!$A$2:$E$2022,MATCH(ROW()-1,装备库!$AK$2:$AK$2022,0),5),"")</f>
        <v/>
      </c>
    </row>
    <row r="1021" spans="1:3">
      <c r="A1021" t="str">
        <f>IFERROR(INDEX(装备库!$A$2:$E$2022,MATCH(ROW()-1,装备库!$AK$2:$AK$2022,0),COLUMN()),"")</f>
        <v/>
      </c>
      <c r="B1021" t="str">
        <f>IFERROR(INDEX(装备库!$A$2:$E$2022,MATCH(ROW()-1,装备库!$AK$2:$AK$2022,0),COLUMN()),"")</f>
        <v/>
      </c>
      <c r="C1021" t="str">
        <f>IFERROR(INDEX(装备库!$A$2:$E$2022,MATCH(ROW()-1,装备库!$AK$2:$AK$2022,0),5),"")</f>
        <v/>
      </c>
    </row>
    <row r="1022" spans="1:3">
      <c r="A1022" t="str">
        <f>IFERROR(INDEX(装备库!$A$2:$E$2022,MATCH(ROW()-1,装备库!$AK$2:$AK$2022,0),COLUMN()),"")</f>
        <v/>
      </c>
      <c r="B1022" t="str">
        <f>IFERROR(INDEX(装备库!$A$2:$E$2022,MATCH(ROW()-1,装备库!$AK$2:$AK$2022,0),COLUMN()),"")</f>
        <v/>
      </c>
      <c r="C1022" t="str">
        <f>IFERROR(INDEX(装备库!$A$2:$E$2022,MATCH(ROW()-1,装备库!$AK$2:$AK$2022,0),5),"")</f>
        <v/>
      </c>
    </row>
    <row r="1023" spans="1:3">
      <c r="A1023" t="str">
        <f>IFERROR(INDEX(装备库!$A$2:$E$2022,MATCH(ROW()-1,装备库!$AK$2:$AK$2022,0),COLUMN()),"")</f>
        <v/>
      </c>
      <c r="B1023" t="str">
        <f>IFERROR(INDEX(装备库!$A$2:$E$2022,MATCH(ROW()-1,装备库!$AK$2:$AK$2022,0),COLUMN()),"")</f>
        <v/>
      </c>
      <c r="C1023" t="str">
        <f>IFERROR(INDEX(装备库!$A$2:$E$2022,MATCH(ROW()-1,装备库!$AK$2:$AK$2022,0),5),"")</f>
        <v/>
      </c>
    </row>
    <row r="1024" spans="1:3">
      <c r="A1024" t="str">
        <f>IFERROR(INDEX(装备库!$A$2:$E$2022,MATCH(ROW()-1,装备库!$AK$2:$AK$2022,0),COLUMN()),"")</f>
        <v/>
      </c>
      <c r="B1024" t="str">
        <f>IFERROR(INDEX(装备库!$A$2:$E$2022,MATCH(ROW()-1,装备库!$AK$2:$AK$2022,0),COLUMN()),"")</f>
        <v/>
      </c>
      <c r="C1024" t="str">
        <f>IFERROR(INDEX(装备库!$A$2:$E$2022,MATCH(ROW()-1,装备库!$AK$2:$AK$2022,0),5),"")</f>
        <v/>
      </c>
    </row>
    <row r="1025" spans="1:3">
      <c r="A1025" t="str">
        <f>IFERROR(INDEX(装备库!$A$2:$E$2022,MATCH(ROW()-1,装备库!$AK$2:$AK$2022,0),COLUMN()),"")</f>
        <v/>
      </c>
      <c r="B1025" t="str">
        <f>IFERROR(INDEX(装备库!$A$2:$E$2022,MATCH(ROW()-1,装备库!$AK$2:$AK$2022,0),COLUMN()),"")</f>
        <v/>
      </c>
      <c r="C1025" t="str">
        <f>IFERROR(INDEX(装备库!$A$2:$E$2022,MATCH(ROW()-1,装备库!$AK$2:$AK$2022,0),5),"")</f>
        <v/>
      </c>
    </row>
    <row r="1026" spans="1:3">
      <c r="A1026" t="str">
        <f>IFERROR(INDEX(装备库!$A$2:$E$2022,MATCH(ROW()-1,装备库!$AK$2:$AK$2022,0),COLUMN()),"")</f>
        <v/>
      </c>
      <c r="B1026" t="str">
        <f>IFERROR(INDEX(装备库!$A$2:$E$2022,MATCH(ROW()-1,装备库!$AK$2:$AK$2022,0),COLUMN()),"")</f>
        <v/>
      </c>
      <c r="C1026" t="str">
        <f>IFERROR(INDEX(装备库!$A$2:$E$2022,MATCH(ROW()-1,装备库!$AK$2:$AK$2022,0),5),"")</f>
        <v/>
      </c>
    </row>
    <row r="1027" spans="1:3">
      <c r="A1027" t="str">
        <f>IFERROR(INDEX(装备库!$A$2:$E$2022,MATCH(ROW()-1,装备库!$AK$2:$AK$2022,0),COLUMN()),"")</f>
        <v/>
      </c>
      <c r="B1027" t="str">
        <f>IFERROR(INDEX(装备库!$A$2:$E$2022,MATCH(ROW()-1,装备库!$AK$2:$AK$2022,0),COLUMN()),"")</f>
        <v/>
      </c>
      <c r="C1027" t="str">
        <f>IFERROR(INDEX(装备库!$A$2:$E$2022,MATCH(ROW()-1,装备库!$AK$2:$AK$2022,0),5),"")</f>
        <v/>
      </c>
    </row>
    <row r="1028" spans="1:3">
      <c r="A1028" t="str">
        <f>IFERROR(INDEX(装备库!$A$2:$E$2022,MATCH(ROW()-1,装备库!$AK$2:$AK$2022,0),COLUMN()),"")</f>
        <v/>
      </c>
      <c r="B1028" t="str">
        <f>IFERROR(INDEX(装备库!$A$2:$E$2022,MATCH(ROW()-1,装备库!$AK$2:$AK$2022,0),COLUMN()),"")</f>
        <v/>
      </c>
      <c r="C1028" t="str">
        <f>IFERROR(INDEX(装备库!$A$2:$E$2022,MATCH(ROW()-1,装备库!$AK$2:$AK$2022,0),5),"")</f>
        <v/>
      </c>
    </row>
    <row r="1029" spans="1:3">
      <c r="A1029" t="str">
        <f>IFERROR(INDEX(装备库!$A$2:$E$2022,MATCH(ROW()-1,装备库!$AK$2:$AK$2022,0),COLUMN()),"")</f>
        <v/>
      </c>
      <c r="B1029" t="str">
        <f>IFERROR(INDEX(装备库!$A$2:$E$2022,MATCH(ROW()-1,装备库!$AK$2:$AK$2022,0),COLUMN()),"")</f>
        <v/>
      </c>
      <c r="C1029" t="str">
        <f>IFERROR(INDEX(装备库!$A$2:$E$2022,MATCH(ROW()-1,装备库!$AK$2:$AK$2022,0),5),"")</f>
        <v/>
      </c>
    </row>
    <row r="1030" spans="1:3">
      <c r="A1030" t="str">
        <f>IFERROR(INDEX(装备库!$A$2:$E$2022,MATCH(ROW()-1,装备库!$AK$2:$AK$2022,0),COLUMN()),"")</f>
        <v/>
      </c>
      <c r="B1030" t="str">
        <f>IFERROR(INDEX(装备库!$A$2:$E$2022,MATCH(ROW()-1,装备库!$AK$2:$AK$2022,0),COLUMN()),"")</f>
        <v/>
      </c>
      <c r="C1030" t="str">
        <f>IFERROR(INDEX(装备库!$A$2:$E$2022,MATCH(ROW()-1,装备库!$AK$2:$AK$2022,0),5),"")</f>
        <v/>
      </c>
    </row>
    <row r="1031" spans="1:3">
      <c r="A1031" t="str">
        <f>IFERROR(INDEX(装备库!$A$2:$E$2022,MATCH(ROW()-1,装备库!$AK$2:$AK$2022,0),COLUMN()),"")</f>
        <v/>
      </c>
      <c r="B1031" t="str">
        <f>IFERROR(INDEX(装备库!$A$2:$E$2022,MATCH(ROW()-1,装备库!$AK$2:$AK$2022,0),COLUMN()),"")</f>
        <v/>
      </c>
      <c r="C1031" t="str">
        <f>IFERROR(INDEX(装备库!$A$2:$E$2022,MATCH(ROW()-1,装备库!$AK$2:$AK$2022,0),5),"")</f>
        <v/>
      </c>
    </row>
    <row r="1032" spans="1:3">
      <c r="A1032" t="str">
        <f>IFERROR(INDEX(装备库!$A$2:$E$2022,MATCH(ROW()-1,装备库!$AK$2:$AK$2022,0),COLUMN()),"")</f>
        <v/>
      </c>
      <c r="B1032" t="str">
        <f>IFERROR(INDEX(装备库!$A$2:$E$2022,MATCH(ROW()-1,装备库!$AK$2:$AK$2022,0),COLUMN()),"")</f>
        <v/>
      </c>
      <c r="C1032" t="str">
        <f>IFERROR(INDEX(装备库!$A$2:$E$2022,MATCH(ROW()-1,装备库!$AK$2:$AK$2022,0),5),"")</f>
        <v/>
      </c>
    </row>
    <row r="1033" spans="1:3">
      <c r="A1033" t="str">
        <f>IFERROR(INDEX(装备库!$A$2:$E$2022,MATCH(ROW()-1,装备库!$AK$2:$AK$2022,0),COLUMN()),"")</f>
        <v/>
      </c>
      <c r="B1033" t="str">
        <f>IFERROR(INDEX(装备库!$A$2:$E$2022,MATCH(ROW()-1,装备库!$AK$2:$AK$2022,0),COLUMN()),"")</f>
        <v/>
      </c>
      <c r="C1033" t="str">
        <f>IFERROR(INDEX(装备库!$A$2:$E$2022,MATCH(ROW()-1,装备库!$AK$2:$AK$2022,0),5),"")</f>
        <v/>
      </c>
    </row>
    <row r="1034" spans="1:3">
      <c r="A1034" t="str">
        <f>IFERROR(INDEX(装备库!$A$2:$E$2022,MATCH(ROW()-1,装备库!$AK$2:$AK$2022,0),COLUMN()),"")</f>
        <v/>
      </c>
      <c r="B1034" t="str">
        <f>IFERROR(INDEX(装备库!$A$2:$E$2022,MATCH(ROW()-1,装备库!$AK$2:$AK$2022,0),COLUMN()),"")</f>
        <v/>
      </c>
      <c r="C1034" t="str">
        <f>IFERROR(INDEX(装备库!$A$2:$E$2022,MATCH(ROW()-1,装备库!$AK$2:$AK$2022,0),5),"")</f>
        <v/>
      </c>
    </row>
    <row r="1035" spans="1:3">
      <c r="A1035" t="str">
        <f>IFERROR(INDEX(装备库!$A$2:$E$2022,MATCH(ROW()-1,装备库!$AK$2:$AK$2022,0),COLUMN()),"")</f>
        <v/>
      </c>
      <c r="B1035" t="str">
        <f>IFERROR(INDEX(装备库!$A$2:$E$2022,MATCH(ROW()-1,装备库!$AK$2:$AK$2022,0),COLUMN()),"")</f>
        <v/>
      </c>
      <c r="C1035" t="str">
        <f>IFERROR(INDEX(装备库!$A$2:$E$2022,MATCH(ROW()-1,装备库!$AK$2:$AK$2022,0),5),"")</f>
        <v/>
      </c>
    </row>
    <row r="1036" spans="1:3">
      <c r="A1036" t="str">
        <f>IFERROR(INDEX(装备库!$A$2:$E$2022,MATCH(ROW()-1,装备库!$AK$2:$AK$2022,0),COLUMN()),"")</f>
        <v/>
      </c>
      <c r="B1036" t="str">
        <f>IFERROR(INDEX(装备库!$A$2:$E$2022,MATCH(ROW()-1,装备库!$AK$2:$AK$2022,0),COLUMN()),"")</f>
        <v/>
      </c>
      <c r="C1036" t="str">
        <f>IFERROR(INDEX(装备库!$A$2:$E$2022,MATCH(ROW()-1,装备库!$AK$2:$AK$2022,0),5),"")</f>
        <v/>
      </c>
    </row>
    <row r="1037" spans="1:3">
      <c r="A1037" t="str">
        <f>IFERROR(INDEX(装备库!$A$2:$E$2022,MATCH(ROW()-1,装备库!$AK$2:$AK$2022,0),COLUMN()),"")</f>
        <v/>
      </c>
      <c r="B1037" t="str">
        <f>IFERROR(INDEX(装备库!$A$2:$E$2022,MATCH(ROW()-1,装备库!$AK$2:$AK$2022,0),COLUMN()),"")</f>
        <v/>
      </c>
      <c r="C1037" t="str">
        <f>IFERROR(INDEX(装备库!$A$2:$E$2022,MATCH(ROW()-1,装备库!$AK$2:$AK$2022,0),5),"")</f>
        <v/>
      </c>
    </row>
    <row r="1038" spans="1:3">
      <c r="A1038" t="str">
        <f>IFERROR(INDEX(装备库!$A$2:$E$2022,MATCH(ROW()-1,装备库!$AK$2:$AK$2022,0),COLUMN()),"")</f>
        <v/>
      </c>
      <c r="B1038" t="str">
        <f>IFERROR(INDEX(装备库!$A$2:$E$2022,MATCH(ROW()-1,装备库!$AK$2:$AK$2022,0),COLUMN()),"")</f>
        <v/>
      </c>
      <c r="C1038" t="str">
        <f>IFERROR(INDEX(装备库!$A$2:$E$2022,MATCH(ROW()-1,装备库!$AK$2:$AK$2022,0),5),"")</f>
        <v/>
      </c>
    </row>
    <row r="1039" spans="1:3">
      <c r="A1039" t="str">
        <f>IFERROR(INDEX(装备库!$A$2:$E$2022,MATCH(ROW()-1,装备库!$AK$2:$AK$2022,0),COLUMN()),"")</f>
        <v/>
      </c>
      <c r="B1039" t="str">
        <f>IFERROR(INDEX(装备库!$A$2:$E$2022,MATCH(ROW()-1,装备库!$AK$2:$AK$2022,0),COLUMN()),"")</f>
        <v/>
      </c>
      <c r="C1039" t="str">
        <f>IFERROR(INDEX(装备库!$A$2:$E$2022,MATCH(ROW()-1,装备库!$AK$2:$AK$2022,0),5),"")</f>
        <v/>
      </c>
    </row>
    <row r="1040" spans="1:3">
      <c r="A1040" t="str">
        <f>IFERROR(INDEX(装备库!$A$2:$E$2022,MATCH(ROW()-1,装备库!$AK$2:$AK$2022,0),COLUMN()),"")</f>
        <v/>
      </c>
      <c r="B1040" t="str">
        <f>IFERROR(INDEX(装备库!$A$2:$E$2022,MATCH(ROW()-1,装备库!$AK$2:$AK$2022,0),COLUMN()),"")</f>
        <v/>
      </c>
      <c r="C1040" t="str">
        <f>IFERROR(INDEX(装备库!$A$2:$E$2022,MATCH(ROW()-1,装备库!$AK$2:$AK$2022,0),5),"")</f>
        <v/>
      </c>
    </row>
    <row r="1041" spans="1:3">
      <c r="A1041" t="str">
        <f>IFERROR(INDEX(装备库!$A$2:$E$2022,MATCH(ROW()-1,装备库!$AK$2:$AK$2022,0),COLUMN()),"")</f>
        <v/>
      </c>
      <c r="B1041" t="str">
        <f>IFERROR(INDEX(装备库!$A$2:$E$2022,MATCH(ROW()-1,装备库!$AK$2:$AK$2022,0),COLUMN()),"")</f>
        <v/>
      </c>
      <c r="C1041" t="str">
        <f>IFERROR(INDEX(装备库!$A$2:$E$2022,MATCH(ROW()-1,装备库!$AK$2:$AK$2022,0),5),"")</f>
        <v/>
      </c>
    </row>
    <row r="1042" spans="1:3">
      <c r="A1042" t="str">
        <f>IFERROR(INDEX(装备库!$A$2:$E$2022,MATCH(ROW()-1,装备库!$AK$2:$AK$2022,0),COLUMN()),"")</f>
        <v/>
      </c>
      <c r="B1042" t="str">
        <f>IFERROR(INDEX(装备库!$A$2:$E$2022,MATCH(ROW()-1,装备库!$AK$2:$AK$2022,0),COLUMN()),"")</f>
        <v/>
      </c>
      <c r="C1042" t="str">
        <f>IFERROR(INDEX(装备库!$A$2:$E$2022,MATCH(ROW()-1,装备库!$AK$2:$AK$2022,0),5),"")</f>
        <v/>
      </c>
    </row>
    <row r="1043" spans="1:3">
      <c r="A1043" t="str">
        <f>IFERROR(INDEX(装备库!$A$2:$E$2022,MATCH(ROW()-1,装备库!$AK$2:$AK$2022,0),COLUMN()),"")</f>
        <v/>
      </c>
      <c r="B1043" t="str">
        <f>IFERROR(INDEX(装备库!$A$2:$E$2022,MATCH(ROW()-1,装备库!$AK$2:$AK$2022,0),COLUMN()),"")</f>
        <v/>
      </c>
      <c r="C1043" t="str">
        <f>IFERROR(INDEX(装备库!$A$2:$E$2022,MATCH(ROW()-1,装备库!$AK$2:$AK$2022,0),5),"")</f>
        <v/>
      </c>
    </row>
    <row r="1044" spans="1:3">
      <c r="A1044" t="str">
        <f>IFERROR(INDEX(装备库!$A$2:$E$2022,MATCH(ROW()-1,装备库!$AK$2:$AK$2022,0),COLUMN()),"")</f>
        <v/>
      </c>
      <c r="B1044" t="str">
        <f>IFERROR(INDEX(装备库!$A$2:$E$2022,MATCH(ROW()-1,装备库!$AK$2:$AK$2022,0),COLUMN()),"")</f>
        <v/>
      </c>
      <c r="C1044" t="str">
        <f>IFERROR(INDEX(装备库!$A$2:$E$2022,MATCH(ROW()-1,装备库!$AK$2:$AK$2022,0),5),"")</f>
        <v/>
      </c>
    </row>
    <row r="1045" spans="1:3">
      <c r="A1045" t="str">
        <f>IFERROR(INDEX(装备库!$A$2:$E$2022,MATCH(ROW()-1,装备库!$AK$2:$AK$2022,0),COLUMN()),"")</f>
        <v/>
      </c>
      <c r="B1045" t="str">
        <f>IFERROR(INDEX(装备库!$A$2:$E$2022,MATCH(ROW()-1,装备库!$AK$2:$AK$2022,0),COLUMN()),"")</f>
        <v/>
      </c>
      <c r="C1045" t="str">
        <f>IFERROR(INDEX(装备库!$A$2:$E$2022,MATCH(ROW()-1,装备库!$AK$2:$AK$2022,0),5),"")</f>
        <v/>
      </c>
    </row>
    <row r="1046" spans="1:3">
      <c r="A1046" t="str">
        <f>IFERROR(INDEX(装备库!$A$2:$E$2022,MATCH(ROW()-1,装备库!$AK$2:$AK$2022,0),COLUMN()),"")</f>
        <v/>
      </c>
      <c r="B1046" t="str">
        <f>IFERROR(INDEX(装备库!$A$2:$E$2022,MATCH(ROW()-1,装备库!$AK$2:$AK$2022,0),COLUMN()),"")</f>
        <v/>
      </c>
      <c r="C1046" t="str">
        <f>IFERROR(INDEX(装备库!$A$2:$E$2022,MATCH(ROW()-1,装备库!$AK$2:$AK$2022,0),5),"")</f>
        <v/>
      </c>
    </row>
    <row r="1047" spans="1:3">
      <c r="A1047" t="str">
        <f>IFERROR(INDEX(装备库!$A$2:$E$2022,MATCH(ROW()-1,装备库!$AK$2:$AK$2022,0),COLUMN()),"")</f>
        <v/>
      </c>
      <c r="B1047" t="str">
        <f>IFERROR(INDEX(装备库!$A$2:$E$2022,MATCH(ROW()-1,装备库!$AK$2:$AK$2022,0),COLUMN()),"")</f>
        <v/>
      </c>
      <c r="C1047" t="str">
        <f>IFERROR(INDEX(装备库!$A$2:$E$2022,MATCH(ROW()-1,装备库!$AK$2:$AK$2022,0),5),"")</f>
        <v/>
      </c>
    </row>
    <row r="1048" spans="1:3">
      <c r="A1048" t="str">
        <f>IFERROR(INDEX(装备库!$A$2:$E$2022,MATCH(ROW()-1,装备库!$AK$2:$AK$2022,0),COLUMN()),"")</f>
        <v/>
      </c>
      <c r="B1048" t="str">
        <f>IFERROR(INDEX(装备库!$A$2:$E$2022,MATCH(ROW()-1,装备库!$AK$2:$AK$2022,0),COLUMN()),"")</f>
        <v/>
      </c>
      <c r="C1048" t="str">
        <f>IFERROR(INDEX(装备库!$A$2:$E$2022,MATCH(ROW()-1,装备库!$AK$2:$AK$2022,0),5),"")</f>
        <v/>
      </c>
    </row>
    <row r="1049" spans="1:3">
      <c r="A1049" t="str">
        <f>IFERROR(INDEX(装备库!$A$2:$E$2022,MATCH(ROW()-1,装备库!$AK$2:$AK$2022,0),COLUMN()),"")</f>
        <v/>
      </c>
      <c r="B1049" t="str">
        <f>IFERROR(INDEX(装备库!$A$2:$E$2022,MATCH(ROW()-1,装备库!$AK$2:$AK$2022,0),COLUMN()),"")</f>
        <v/>
      </c>
      <c r="C1049" t="str">
        <f>IFERROR(INDEX(装备库!$A$2:$E$2022,MATCH(ROW()-1,装备库!$AK$2:$AK$2022,0),5),"")</f>
        <v/>
      </c>
    </row>
    <row r="1050" spans="1:3">
      <c r="A1050" t="str">
        <f>IFERROR(INDEX(装备库!$A$2:$E$2022,MATCH(ROW()-1,装备库!$AK$2:$AK$2022,0),COLUMN()),"")</f>
        <v/>
      </c>
      <c r="B1050" t="str">
        <f>IFERROR(INDEX(装备库!$A$2:$E$2022,MATCH(ROW()-1,装备库!$AK$2:$AK$2022,0),COLUMN()),"")</f>
        <v/>
      </c>
      <c r="C1050" t="str">
        <f>IFERROR(INDEX(装备库!$A$2:$E$2022,MATCH(ROW()-1,装备库!$AK$2:$AK$2022,0),5),"")</f>
        <v/>
      </c>
    </row>
    <row r="1051" spans="1:3">
      <c r="A1051" t="str">
        <f>IFERROR(INDEX(装备库!$A$2:$E$2022,MATCH(ROW()-1,装备库!$AK$2:$AK$2022,0),COLUMN()),"")</f>
        <v/>
      </c>
      <c r="B1051" t="str">
        <f>IFERROR(INDEX(装备库!$A$2:$E$2022,MATCH(ROW()-1,装备库!$AK$2:$AK$2022,0),COLUMN()),"")</f>
        <v/>
      </c>
      <c r="C1051" t="str">
        <f>IFERROR(INDEX(装备库!$A$2:$E$2022,MATCH(ROW()-1,装备库!$AK$2:$AK$2022,0),5),"")</f>
        <v/>
      </c>
    </row>
    <row r="1052" spans="1:3">
      <c r="A1052" t="str">
        <f>IFERROR(INDEX(装备库!$A$2:$E$2022,MATCH(ROW()-1,装备库!$AK$2:$AK$2022,0),COLUMN()),"")</f>
        <v/>
      </c>
      <c r="B1052" t="str">
        <f>IFERROR(INDEX(装备库!$A$2:$E$2022,MATCH(ROW()-1,装备库!$AK$2:$AK$2022,0),COLUMN()),"")</f>
        <v/>
      </c>
      <c r="C1052" t="str">
        <f>IFERROR(INDEX(装备库!$A$2:$E$2022,MATCH(ROW()-1,装备库!$AK$2:$AK$2022,0),5),"")</f>
        <v/>
      </c>
    </row>
    <row r="1053" spans="1:3">
      <c r="A1053" t="str">
        <f>IFERROR(INDEX(装备库!$A$2:$E$2022,MATCH(ROW()-1,装备库!$AK$2:$AK$2022,0),COLUMN()),"")</f>
        <v/>
      </c>
      <c r="B1053" t="str">
        <f>IFERROR(INDEX(装备库!$A$2:$E$2022,MATCH(ROW()-1,装备库!$AK$2:$AK$2022,0),COLUMN()),"")</f>
        <v/>
      </c>
      <c r="C1053" t="str">
        <f>IFERROR(INDEX(装备库!$A$2:$E$2022,MATCH(ROW()-1,装备库!$AK$2:$AK$2022,0),5),"")</f>
        <v/>
      </c>
    </row>
    <row r="1054" spans="1:3">
      <c r="A1054" t="str">
        <f>IFERROR(INDEX(装备库!$A$2:$E$2022,MATCH(ROW()-1,装备库!$AK$2:$AK$2022,0),COLUMN()),"")</f>
        <v/>
      </c>
      <c r="B1054" t="str">
        <f>IFERROR(INDEX(装备库!$A$2:$E$2022,MATCH(ROW()-1,装备库!$AK$2:$AK$2022,0),COLUMN()),"")</f>
        <v/>
      </c>
      <c r="C1054" t="str">
        <f>IFERROR(INDEX(装备库!$A$2:$E$2022,MATCH(ROW()-1,装备库!$AK$2:$AK$2022,0),5),"")</f>
        <v/>
      </c>
    </row>
    <row r="1055" spans="1:3">
      <c r="A1055" t="str">
        <f>IFERROR(INDEX(装备库!$A$2:$E$2022,MATCH(ROW()-1,装备库!$AK$2:$AK$2022,0),COLUMN()),"")</f>
        <v/>
      </c>
      <c r="B1055" t="str">
        <f>IFERROR(INDEX(装备库!$A$2:$E$2022,MATCH(ROW()-1,装备库!$AK$2:$AK$2022,0),COLUMN()),"")</f>
        <v/>
      </c>
      <c r="C1055" t="str">
        <f>IFERROR(INDEX(装备库!$A$2:$E$2022,MATCH(ROW()-1,装备库!$AK$2:$AK$2022,0),5),"")</f>
        <v/>
      </c>
    </row>
    <row r="1056" spans="1:3">
      <c r="A1056" t="str">
        <f>IFERROR(INDEX(装备库!$A$2:$E$2022,MATCH(ROW()-1,装备库!$AK$2:$AK$2022,0),COLUMN()),"")</f>
        <v/>
      </c>
      <c r="B1056" t="str">
        <f>IFERROR(INDEX(装备库!$A$2:$E$2022,MATCH(ROW()-1,装备库!$AK$2:$AK$2022,0),COLUMN()),"")</f>
        <v/>
      </c>
      <c r="C1056" t="str">
        <f>IFERROR(INDEX(装备库!$A$2:$E$2022,MATCH(ROW()-1,装备库!$AK$2:$AK$2022,0),5),"")</f>
        <v/>
      </c>
    </row>
    <row r="1057" spans="1:3">
      <c r="A1057" t="str">
        <f>IFERROR(INDEX(装备库!$A$2:$E$2022,MATCH(ROW()-1,装备库!$AK$2:$AK$2022,0),COLUMN()),"")</f>
        <v/>
      </c>
      <c r="B1057" t="str">
        <f>IFERROR(INDEX(装备库!$A$2:$E$2022,MATCH(ROW()-1,装备库!$AK$2:$AK$2022,0),COLUMN()),"")</f>
        <v/>
      </c>
      <c r="C1057" t="str">
        <f>IFERROR(INDEX(装备库!$A$2:$E$2022,MATCH(ROW()-1,装备库!$AK$2:$AK$2022,0),5),"")</f>
        <v/>
      </c>
    </row>
    <row r="1058" spans="1:3">
      <c r="A1058" t="str">
        <f>IFERROR(INDEX(装备库!$A$2:$E$2022,MATCH(ROW()-1,装备库!$AK$2:$AK$2022,0),COLUMN()),"")</f>
        <v/>
      </c>
      <c r="B1058" t="str">
        <f>IFERROR(INDEX(装备库!$A$2:$E$2022,MATCH(ROW()-1,装备库!$AK$2:$AK$2022,0),COLUMN()),"")</f>
        <v/>
      </c>
      <c r="C1058" t="str">
        <f>IFERROR(INDEX(装备库!$A$2:$E$2022,MATCH(ROW()-1,装备库!$AK$2:$AK$2022,0),5),"")</f>
        <v/>
      </c>
    </row>
    <row r="1059" spans="1:3">
      <c r="A1059" t="str">
        <f>IFERROR(INDEX(装备库!$A$2:$E$2022,MATCH(ROW()-1,装备库!$AK$2:$AK$2022,0),COLUMN()),"")</f>
        <v/>
      </c>
      <c r="B1059" t="str">
        <f>IFERROR(INDEX(装备库!$A$2:$E$2022,MATCH(ROW()-1,装备库!$AK$2:$AK$2022,0),COLUMN()),"")</f>
        <v/>
      </c>
      <c r="C1059" t="str">
        <f>IFERROR(INDEX(装备库!$A$2:$E$2022,MATCH(ROW()-1,装备库!$AK$2:$AK$2022,0),5),"")</f>
        <v/>
      </c>
    </row>
    <row r="1060" spans="1:3">
      <c r="A1060" t="str">
        <f>IFERROR(INDEX(装备库!$A$2:$E$2022,MATCH(ROW()-1,装备库!$AK$2:$AK$2022,0),COLUMN()),"")</f>
        <v/>
      </c>
      <c r="B1060" t="str">
        <f>IFERROR(INDEX(装备库!$A$2:$E$2022,MATCH(ROW()-1,装备库!$AK$2:$AK$2022,0),COLUMN()),"")</f>
        <v/>
      </c>
      <c r="C1060" t="str">
        <f>IFERROR(INDEX(装备库!$A$2:$E$2022,MATCH(ROW()-1,装备库!$AK$2:$AK$2022,0),5),"")</f>
        <v/>
      </c>
    </row>
    <row r="1061" spans="1:3">
      <c r="A1061" t="str">
        <f>IFERROR(INDEX(装备库!$A$2:$E$2022,MATCH(ROW()-1,装备库!$AK$2:$AK$2022,0),COLUMN()),"")</f>
        <v/>
      </c>
      <c r="B1061" t="str">
        <f>IFERROR(INDEX(装备库!$A$2:$E$2022,MATCH(ROW()-1,装备库!$AK$2:$AK$2022,0),COLUMN()),"")</f>
        <v/>
      </c>
      <c r="C1061" t="str">
        <f>IFERROR(INDEX(装备库!$A$2:$E$2022,MATCH(ROW()-1,装备库!$AK$2:$AK$2022,0),5),"")</f>
        <v/>
      </c>
    </row>
    <row r="1062" spans="1:3">
      <c r="A1062" t="str">
        <f>IFERROR(INDEX(装备库!$A$2:$E$2022,MATCH(ROW()-1,装备库!$AK$2:$AK$2022,0),COLUMN()),"")</f>
        <v/>
      </c>
      <c r="B1062" t="str">
        <f>IFERROR(INDEX(装备库!$A$2:$E$2022,MATCH(ROW()-1,装备库!$AK$2:$AK$2022,0),COLUMN()),"")</f>
        <v/>
      </c>
      <c r="C1062" t="str">
        <f>IFERROR(INDEX(装备库!$A$2:$E$2022,MATCH(ROW()-1,装备库!$AK$2:$AK$2022,0),5),"")</f>
        <v/>
      </c>
    </row>
    <row r="1063" spans="1:3">
      <c r="A1063" t="str">
        <f>IFERROR(INDEX(装备库!$A$2:$E$2022,MATCH(ROW()-1,装备库!$AK$2:$AK$2022,0),COLUMN()),"")</f>
        <v/>
      </c>
      <c r="B1063" t="str">
        <f>IFERROR(INDEX(装备库!$A$2:$E$2022,MATCH(ROW()-1,装备库!$AK$2:$AK$2022,0),COLUMN()),"")</f>
        <v/>
      </c>
      <c r="C1063" t="str">
        <f>IFERROR(INDEX(装备库!$A$2:$E$2022,MATCH(ROW()-1,装备库!$AK$2:$AK$2022,0),5),"")</f>
        <v/>
      </c>
    </row>
    <row r="1064" spans="1:3">
      <c r="A1064" t="str">
        <f>IFERROR(INDEX(装备库!$A$2:$E$2022,MATCH(ROW()-1,装备库!$AK$2:$AK$2022,0),COLUMN()),"")</f>
        <v/>
      </c>
      <c r="B1064" t="str">
        <f>IFERROR(INDEX(装备库!$A$2:$E$2022,MATCH(ROW()-1,装备库!$AK$2:$AK$2022,0),COLUMN()),"")</f>
        <v/>
      </c>
      <c r="C1064" t="str">
        <f>IFERROR(INDEX(装备库!$A$2:$E$2022,MATCH(ROW()-1,装备库!$AK$2:$AK$2022,0),5),"")</f>
        <v/>
      </c>
    </row>
    <row r="1065" spans="1:3">
      <c r="A1065" t="str">
        <f>IFERROR(INDEX(装备库!$A$2:$E$2022,MATCH(ROW()-1,装备库!$AK$2:$AK$2022,0),COLUMN()),"")</f>
        <v/>
      </c>
      <c r="B1065" t="str">
        <f>IFERROR(INDEX(装备库!$A$2:$E$2022,MATCH(ROW()-1,装备库!$AK$2:$AK$2022,0),COLUMN()),"")</f>
        <v/>
      </c>
      <c r="C1065" t="str">
        <f>IFERROR(INDEX(装备库!$A$2:$E$2022,MATCH(ROW()-1,装备库!$AK$2:$AK$2022,0),5),"")</f>
        <v/>
      </c>
    </row>
    <row r="1066" spans="1:3">
      <c r="A1066" t="str">
        <f>IFERROR(INDEX(装备库!$A$2:$E$2022,MATCH(ROW()-1,装备库!$AK$2:$AK$2022,0),COLUMN()),"")</f>
        <v/>
      </c>
      <c r="B1066" t="str">
        <f>IFERROR(INDEX(装备库!$A$2:$E$2022,MATCH(ROW()-1,装备库!$AK$2:$AK$2022,0),COLUMN()),"")</f>
        <v/>
      </c>
      <c r="C1066" t="str">
        <f>IFERROR(INDEX(装备库!$A$2:$E$2022,MATCH(ROW()-1,装备库!$AK$2:$AK$2022,0),5),"")</f>
        <v/>
      </c>
    </row>
    <row r="1067" spans="1:3">
      <c r="A1067" t="str">
        <f>IFERROR(INDEX(装备库!$A$2:$E$2022,MATCH(ROW()-1,装备库!$AK$2:$AK$2022,0),COLUMN()),"")</f>
        <v/>
      </c>
      <c r="B1067" t="str">
        <f>IFERROR(INDEX(装备库!$A$2:$E$2022,MATCH(ROW()-1,装备库!$AK$2:$AK$2022,0),COLUMN()),"")</f>
        <v/>
      </c>
      <c r="C1067" t="str">
        <f>IFERROR(INDEX(装备库!$A$2:$E$2022,MATCH(ROW()-1,装备库!$AK$2:$AK$2022,0),5),"")</f>
        <v/>
      </c>
    </row>
    <row r="1068" spans="1:3">
      <c r="A1068" t="str">
        <f>IFERROR(INDEX(装备库!$A$2:$E$2022,MATCH(ROW()-1,装备库!$AK$2:$AK$2022,0),COLUMN()),"")</f>
        <v/>
      </c>
      <c r="B1068" t="str">
        <f>IFERROR(INDEX(装备库!$A$2:$E$2022,MATCH(ROW()-1,装备库!$AK$2:$AK$2022,0),COLUMN()),"")</f>
        <v/>
      </c>
      <c r="C1068" t="str">
        <f>IFERROR(INDEX(装备库!$A$2:$E$2022,MATCH(ROW()-1,装备库!$AK$2:$AK$2022,0),5),"")</f>
        <v/>
      </c>
    </row>
    <row r="1069" spans="1:3">
      <c r="A1069" t="str">
        <f>IFERROR(INDEX(装备库!$A$2:$E$2022,MATCH(ROW()-1,装备库!$AK$2:$AK$2022,0),COLUMN()),"")</f>
        <v/>
      </c>
      <c r="B1069" t="str">
        <f>IFERROR(INDEX(装备库!$A$2:$E$2022,MATCH(ROW()-1,装备库!$AK$2:$AK$2022,0),COLUMN()),"")</f>
        <v/>
      </c>
      <c r="C1069" t="str">
        <f>IFERROR(INDEX(装备库!$A$2:$E$2022,MATCH(ROW()-1,装备库!$AK$2:$AK$2022,0),5),"")</f>
        <v/>
      </c>
    </row>
    <row r="1070" spans="1:3">
      <c r="A1070" t="str">
        <f>IFERROR(INDEX(装备库!$A$2:$E$2022,MATCH(ROW()-1,装备库!$AK$2:$AK$2022,0),COLUMN()),"")</f>
        <v/>
      </c>
      <c r="B1070" t="str">
        <f>IFERROR(INDEX(装备库!$A$2:$E$2022,MATCH(ROW()-1,装备库!$AK$2:$AK$2022,0),COLUMN()),"")</f>
        <v/>
      </c>
      <c r="C1070" t="str">
        <f>IFERROR(INDEX(装备库!$A$2:$E$2022,MATCH(ROW()-1,装备库!$AK$2:$AK$2022,0),5),"")</f>
        <v/>
      </c>
    </row>
    <row r="1071" spans="1:3">
      <c r="A1071" t="str">
        <f>IFERROR(INDEX(装备库!$A$2:$E$2022,MATCH(ROW()-1,装备库!$AK$2:$AK$2022,0),COLUMN()),"")</f>
        <v/>
      </c>
      <c r="B1071" t="str">
        <f>IFERROR(INDEX(装备库!$A$2:$E$2022,MATCH(ROW()-1,装备库!$AK$2:$AK$2022,0),COLUMN()),"")</f>
        <v/>
      </c>
      <c r="C1071" t="str">
        <f>IFERROR(INDEX(装备库!$A$2:$E$2022,MATCH(ROW()-1,装备库!$AK$2:$AK$2022,0),5),"")</f>
        <v/>
      </c>
    </row>
    <row r="1072" spans="1:3">
      <c r="A1072" t="str">
        <f>IFERROR(INDEX(装备库!$A$2:$E$2022,MATCH(ROW()-1,装备库!$AK$2:$AK$2022,0),COLUMN()),"")</f>
        <v/>
      </c>
      <c r="B1072" t="str">
        <f>IFERROR(INDEX(装备库!$A$2:$E$2022,MATCH(ROW()-1,装备库!$AK$2:$AK$2022,0),COLUMN()),"")</f>
        <v/>
      </c>
      <c r="C1072" t="str">
        <f>IFERROR(INDEX(装备库!$A$2:$E$2022,MATCH(ROW()-1,装备库!$AK$2:$AK$2022,0),5),"")</f>
        <v/>
      </c>
    </row>
    <row r="1073" spans="1:3">
      <c r="A1073" t="str">
        <f>IFERROR(INDEX(装备库!$A$2:$E$2022,MATCH(ROW()-1,装备库!$AK$2:$AK$2022,0),COLUMN()),"")</f>
        <v/>
      </c>
      <c r="B1073" t="str">
        <f>IFERROR(INDEX(装备库!$A$2:$E$2022,MATCH(ROW()-1,装备库!$AK$2:$AK$2022,0),COLUMN()),"")</f>
        <v/>
      </c>
      <c r="C1073" t="str">
        <f>IFERROR(INDEX(装备库!$A$2:$E$2022,MATCH(ROW()-1,装备库!$AK$2:$AK$2022,0),5),"")</f>
        <v/>
      </c>
    </row>
    <row r="1074" spans="1:3">
      <c r="A1074" t="str">
        <f>IFERROR(INDEX(装备库!$A$2:$E$2022,MATCH(ROW()-1,装备库!$AK$2:$AK$2022,0),COLUMN()),"")</f>
        <v/>
      </c>
      <c r="B1074" t="str">
        <f>IFERROR(INDEX(装备库!$A$2:$E$2022,MATCH(ROW()-1,装备库!$AK$2:$AK$2022,0),COLUMN()),"")</f>
        <v/>
      </c>
      <c r="C1074" t="str">
        <f>IFERROR(INDEX(装备库!$A$2:$E$2022,MATCH(ROW()-1,装备库!$AK$2:$AK$2022,0),5),"")</f>
        <v/>
      </c>
    </row>
    <row r="1075" spans="1:3">
      <c r="A1075" t="str">
        <f>IFERROR(INDEX(装备库!$A$2:$E$2022,MATCH(ROW()-1,装备库!$AK$2:$AK$2022,0),COLUMN()),"")</f>
        <v/>
      </c>
      <c r="B1075" t="str">
        <f>IFERROR(INDEX(装备库!$A$2:$E$2022,MATCH(ROW()-1,装备库!$AK$2:$AK$2022,0),COLUMN()),"")</f>
        <v/>
      </c>
      <c r="C1075" t="str">
        <f>IFERROR(INDEX(装备库!$A$2:$E$2022,MATCH(ROW()-1,装备库!$AK$2:$AK$2022,0),5),"")</f>
        <v/>
      </c>
    </row>
    <row r="1076" spans="1:3">
      <c r="A1076" t="str">
        <f>IFERROR(INDEX(装备库!$A$2:$E$2022,MATCH(ROW()-1,装备库!$AK$2:$AK$2022,0),COLUMN()),"")</f>
        <v/>
      </c>
      <c r="B1076" t="str">
        <f>IFERROR(INDEX(装备库!$A$2:$E$2022,MATCH(ROW()-1,装备库!$AK$2:$AK$2022,0),COLUMN()),"")</f>
        <v/>
      </c>
      <c r="C1076" t="str">
        <f>IFERROR(INDEX(装备库!$A$2:$E$2022,MATCH(ROW()-1,装备库!$AK$2:$AK$2022,0),5),"")</f>
        <v/>
      </c>
    </row>
    <row r="1077" spans="1:3">
      <c r="A1077" t="str">
        <f>IFERROR(INDEX(装备库!$A$2:$E$2022,MATCH(ROW()-1,装备库!$AK$2:$AK$2022,0),COLUMN()),"")</f>
        <v/>
      </c>
      <c r="B1077" t="str">
        <f>IFERROR(INDEX(装备库!$A$2:$E$2022,MATCH(ROW()-1,装备库!$AK$2:$AK$2022,0),COLUMN()),"")</f>
        <v/>
      </c>
      <c r="C1077" t="str">
        <f>IFERROR(INDEX(装备库!$A$2:$E$2022,MATCH(ROW()-1,装备库!$AK$2:$AK$2022,0),5),"")</f>
        <v/>
      </c>
    </row>
    <row r="1078" spans="1:3">
      <c r="A1078" t="str">
        <f>IFERROR(INDEX(装备库!$A$2:$E$2022,MATCH(ROW()-1,装备库!$AK$2:$AK$2022,0),COLUMN()),"")</f>
        <v/>
      </c>
      <c r="B1078" t="str">
        <f>IFERROR(INDEX(装备库!$A$2:$E$2022,MATCH(ROW()-1,装备库!$AK$2:$AK$2022,0),COLUMN()),"")</f>
        <v/>
      </c>
      <c r="C1078" t="str">
        <f>IFERROR(INDEX(装备库!$A$2:$E$2022,MATCH(ROW()-1,装备库!$AK$2:$AK$2022,0),5),"")</f>
        <v/>
      </c>
    </row>
    <row r="1079" spans="1:3">
      <c r="A1079" t="str">
        <f>IFERROR(INDEX(装备库!$A$2:$E$2022,MATCH(ROW()-1,装备库!$AK$2:$AK$2022,0),COLUMN()),"")</f>
        <v/>
      </c>
      <c r="B1079" t="str">
        <f>IFERROR(INDEX(装备库!$A$2:$E$2022,MATCH(ROW()-1,装备库!$AK$2:$AK$2022,0),COLUMN()),"")</f>
        <v/>
      </c>
      <c r="C1079" t="str">
        <f>IFERROR(INDEX(装备库!$A$2:$E$2022,MATCH(ROW()-1,装备库!$AK$2:$AK$2022,0),5),"")</f>
        <v/>
      </c>
    </row>
    <row r="1080" spans="1:3">
      <c r="A1080" t="str">
        <f>IFERROR(INDEX(装备库!$A$2:$E$2022,MATCH(ROW()-1,装备库!$AK$2:$AK$2022,0),COLUMN()),"")</f>
        <v/>
      </c>
      <c r="B1080" t="str">
        <f>IFERROR(INDEX(装备库!$A$2:$E$2022,MATCH(ROW()-1,装备库!$AK$2:$AK$2022,0),COLUMN()),"")</f>
        <v/>
      </c>
      <c r="C1080" t="str">
        <f>IFERROR(INDEX(装备库!$A$2:$E$2022,MATCH(ROW()-1,装备库!$AK$2:$AK$2022,0),5),"")</f>
        <v/>
      </c>
    </row>
    <row r="1081" spans="1:3">
      <c r="A1081" t="str">
        <f>IFERROR(INDEX(装备库!$A$2:$E$2022,MATCH(ROW()-1,装备库!$AK$2:$AK$2022,0),COLUMN()),"")</f>
        <v/>
      </c>
      <c r="B1081" t="str">
        <f>IFERROR(INDEX(装备库!$A$2:$E$2022,MATCH(ROW()-1,装备库!$AK$2:$AK$2022,0),COLUMN()),"")</f>
        <v/>
      </c>
      <c r="C1081" t="str">
        <f>IFERROR(INDEX(装备库!$A$2:$E$2022,MATCH(ROW()-1,装备库!$AK$2:$AK$2022,0),5),"")</f>
        <v/>
      </c>
    </row>
    <row r="1082" spans="1:3">
      <c r="A1082" t="str">
        <f>IFERROR(INDEX(装备库!$A$2:$E$2022,MATCH(ROW()-1,装备库!$AK$2:$AK$2022,0),COLUMN()),"")</f>
        <v/>
      </c>
      <c r="B1082" t="str">
        <f>IFERROR(INDEX(装备库!$A$2:$E$2022,MATCH(ROW()-1,装备库!$AK$2:$AK$2022,0),COLUMN()),"")</f>
        <v/>
      </c>
      <c r="C1082" t="str">
        <f>IFERROR(INDEX(装备库!$A$2:$E$2022,MATCH(ROW()-1,装备库!$AK$2:$AK$2022,0),5),"")</f>
        <v/>
      </c>
    </row>
    <row r="1083" spans="1:3">
      <c r="A1083" t="str">
        <f>IFERROR(INDEX(装备库!$A$2:$E$2022,MATCH(ROW()-1,装备库!$AK$2:$AK$2022,0),COLUMN()),"")</f>
        <v/>
      </c>
      <c r="B1083" t="str">
        <f>IFERROR(INDEX(装备库!$A$2:$E$2022,MATCH(ROW()-1,装备库!$AK$2:$AK$2022,0),COLUMN()),"")</f>
        <v/>
      </c>
      <c r="C1083" t="str">
        <f>IFERROR(INDEX(装备库!$A$2:$E$2022,MATCH(ROW()-1,装备库!$AK$2:$AK$2022,0),5),"")</f>
        <v/>
      </c>
    </row>
    <row r="1084" spans="1:3">
      <c r="A1084" t="str">
        <f>IFERROR(INDEX(装备库!$A$2:$E$2022,MATCH(ROW()-1,装备库!$AK$2:$AK$2022,0),COLUMN()),"")</f>
        <v/>
      </c>
      <c r="B1084" t="str">
        <f>IFERROR(INDEX(装备库!$A$2:$E$2022,MATCH(ROW()-1,装备库!$AK$2:$AK$2022,0),COLUMN()),"")</f>
        <v/>
      </c>
      <c r="C1084" t="str">
        <f>IFERROR(INDEX(装备库!$A$2:$E$2022,MATCH(ROW()-1,装备库!$AK$2:$AK$2022,0),5),"")</f>
        <v/>
      </c>
    </row>
    <row r="1085" spans="1:3">
      <c r="A1085" t="str">
        <f>IFERROR(INDEX(装备库!$A$2:$E$2022,MATCH(ROW()-1,装备库!$AK$2:$AK$2022,0),COLUMN()),"")</f>
        <v/>
      </c>
      <c r="B1085" t="str">
        <f>IFERROR(INDEX(装备库!$A$2:$E$2022,MATCH(ROW()-1,装备库!$AK$2:$AK$2022,0),COLUMN()),"")</f>
        <v/>
      </c>
      <c r="C1085" t="str">
        <f>IFERROR(INDEX(装备库!$A$2:$E$2022,MATCH(ROW()-1,装备库!$AK$2:$AK$2022,0),5),"")</f>
        <v/>
      </c>
    </row>
    <row r="1086" spans="1:3">
      <c r="A1086" t="str">
        <f>IFERROR(INDEX(装备库!$A$2:$E$2022,MATCH(ROW()-1,装备库!$AK$2:$AK$2022,0),COLUMN()),"")</f>
        <v/>
      </c>
      <c r="B1086" t="str">
        <f>IFERROR(INDEX(装备库!$A$2:$E$2022,MATCH(ROW()-1,装备库!$AK$2:$AK$2022,0),COLUMN()),"")</f>
        <v/>
      </c>
      <c r="C1086" t="str">
        <f>IFERROR(INDEX(装备库!$A$2:$E$2022,MATCH(ROW()-1,装备库!$AK$2:$AK$2022,0),5),"")</f>
        <v/>
      </c>
    </row>
    <row r="1087" spans="1:3">
      <c r="A1087" t="str">
        <f>IFERROR(INDEX(装备库!$A$2:$E$2022,MATCH(ROW()-1,装备库!$AK$2:$AK$2022,0),COLUMN()),"")</f>
        <v/>
      </c>
      <c r="B1087" t="str">
        <f>IFERROR(INDEX(装备库!$A$2:$E$2022,MATCH(ROW()-1,装备库!$AK$2:$AK$2022,0),COLUMN()),"")</f>
        <v/>
      </c>
      <c r="C1087" t="str">
        <f>IFERROR(INDEX(装备库!$A$2:$E$2022,MATCH(ROW()-1,装备库!$AK$2:$AK$2022,0),5),"")</f>
        <v/>
      </c>
    </row>
    <row r="1088" spans="1:3">
      <c r="A1088" t="str">
        <f>IFERROR(INDEX(装备库!$A$2:$E$2022,MATCH(ROW()-1,装备库!$AK$2:$AK$2022,0),COLUMN()),"")</f>
        <v/>
      </c>
      <c r="B1088" t="str">
        <f>IFERROR(INDEX(装备库!$A$2:$E$2022,MATCH(ROW()-1,装备库!$AK$2:$AK$2022,0),COLUMN()),"")</f>
        <v/>
      </c>
      <c r="C1088" t="str">
        <f>IFERROR(INDEX(装备库!$A$2:$E$2022,MATCH(ROW()-1,装备库!$AK$2:$AK$2022,0),5),"")</f>
        <v/>
      </c>
    </row>
    <row r="1089" spans="1:3">
      <c r="A1089" t="str">
        <f>IFERROR(INDEX(装备库!$A$2:$E$2022,MATCH(ROW()-1,装备库!$AK$2:$AK$2022,0),COLUMN()),"")</f>
        <v/>
      </c>
      <c r="B1089" t="str">
        <f>IFERROR(INDEX(装备库!$A$2:$E$2022,MATCH(ROW()-1,装备库!$AK$2:$AK$2022,0),COLUMN()),"")</f>
        <v/>
      </c>
      <c r="C1089" t="str">
        <f>IFERROR(INDEX(装备库!$A$2:$E$2022,MATCH(ROW()-1,装备库!$AK$2:$AK$2022,0),5),"")</f>
        <v/>
      </c>
    </row>
    <row r="1090" spans="1:3">
      <c r="A1090" t="str">
        <f>IFERROR(INDEX(装备库!$A$2:$E$2022,MATCH(ROW()-1,装备库!$AK$2:$AK$2022,0),COLUMN()),"")</f>
        <v/>
      </c>
      <c r="B1090" t="str">
        <f>IFERROR(INDEX(装备库!$A$2:$E$2022,MATCH(ROW()-1,装备库!$AK$2:$AK$2022,0),COLUMN()),"")</f>
        <v/>
      </c>
      <c r="C1090" t="str">
        <f>IFERROR(INDEX(装备库!$A$2:$E$2022,MATCH(ROW()-1,装备库!$AK$2:$AK$2022,0),5),"")</f>
        <v/>
      </c>
    </row>
    <row r="1091" spans="1:3">
      <c r="A1091" t="str">
        <f>IFERROR(INDEX(装备库!$A$2:$E$2022,MATCH(ROW()-1,装备库!$AK$2:$AK$2022,0),COLUMN()),"")</f>
        <v/>
      </c>
      <c r="B1091" t="str">
        <f>IFERROR(INDEX(装备库!$A$2:$E$2022,MATCH(ROW()-1,装备库!$AK$2:$AK$2022,0),COLUMN()),"")</f>
        <v/>
      </c>
      <c r="C1091" t="str">
        <f>IFERROR(INDEX(装备库!$A$2:$E$2022,MATCH(ROW()-1,装备库!$AK$2:$AK$2022,0),5),"")</f>
        <v/>
      </c>
    </row>
    <row r="1092" spans="1:3">
      <c r="A1092" t="str">
        <f>IFERROR(INDEX(装备库!$A$2:$E$2022,MATCH(ROW()-1,装备库!$AK$2:$AK$2022,0),COLUMN()),"")</f>
        <v/>
      </c>
      <c r="B1092" t="str">
        <f>IFERROR(INDEX(装备库!$A$2:$E$2022,MATCH(ROW()-1,装备库!$AK$2:$AK$2022,0),COLUMN()),"")</f>
        <v/>
      </c>
      <c r="C1092" t="str">
        <f>IFERROR(INDEX(装备库!$A$2:$E$2022,MATCH(ROW()-1,装备库!$AK$2:$AK$2022,0),5),"")</f>
        <v/>
      </c>
    </row>
    <row r="1093" spans="1:3">
      <c r="A1093" t="str">
        <f>IFERROR(INDEX(装备库!$A$2:$E$2022,MATCH(ROW()-1,装备库!$AK$2:$AK$2022,0),COLUMN()),"")</f>
        <v/>
      </c>
      <c r="B1093" t="str">
        <f>IFERROR(INDEX(装备库!$A$2:$E$2022,MATCH(ROW()-1,装备库!$AK$2:$AK$2022,0),COLUMN()),"")</f>
        <v/>
      </c>
      <c r="C1093" t="str">
        <f>IFERROR(INDEX(装备库!$A$2:$E$2022,MATCH(ROW()-1,装备库!$AK$2:$AK$2022,0),5),"")</f>
        <v/>
      </c>
    </row>
    <row r="1094" spans="1:3">
      <c r="A1094" t="str">
        <f>IFERROR(INDEX(装备库!$A$2:$E$2022,MATCH(ROW()-1,装备库!$AK$2:$AK$2022,0),COLUMN()),"")</f>
        <v/>
      </c>
      <c r="B1094" t="str">
        <f>IFERROR(INDEX(装备库!$A$2:$E$2022,MATCH(ROW()-1,装备库!$AK$2:$AK$2022,0),COLUMN()),"")</f>
        <v/>
      </c>
      <c r="C1094" t="str">
        <f>IFERROR(INDEX(装备库!$A$2:$E$2022,MATCH(ROW()-1,装备库!$AK$2:$AK$2022,0),5),"")</f>
        <v/>
      </c>
    </row>
    <row r="1095" spans="1:3">
      <c r="A1095" t="str">
        <f>IFERROR(INDEX(装备库!$A$2:$E$2022,MATCH(ROW()-1,装备库!$AK$2:$AK$2022,0),COLUMN()),"")</f>
        <v/>
      </c>
      <c r="B1095" t="str">
        <f>IFERROR(INDEX(装备库!$A$2:$E$2022,MATCH(ROW()-1,装备库!$AK$2:$AK$2022,0),COLUMN()),"")</f>
        <v/>
      </c>
      <c r="C1095" t="str">
        <f>IFERROR(INDEX(装备库!$A$2:$E$2022,MATCH(ROW()-1,装备库!$AK$2:$AK$2022,0),5),"")</f>
        <v/>
      </c>
    </row>
    <row r="1096" spans="1:3">
      <c r="A1096" t="str">
        <f>IFERROR(INDEX(装备库!$A$2:$E$2022,MATCH(ROW()-1,装备库!$AK$2:$AK$2022,0),COLUMN()),"")</f>
        <v/>
      </c>
      <c r="B1096" t="str">
        <f>IFERROR(INDEX(装备库!$A$2:$E$2022,MATCH(ROW()-1,装备库!$AK$2:$AK$2022,0),COLUMN()),"")</f>
        <v/>
      </c>
      <c r="C1096" t="str">
        <f>IFERROR(INDEX(装备库!$A$2:$E$2022,MATCH(ROW()-1,装备库!$AK$2:$AK$2022,0),5),"")</f>
        <v/>
      </c>
    </row>
    <row r="1097" spans="1:3">
      <c r="A1097" t="str">
        <f>IFERROR(INDEX(装备库!$A$2:$E$2022,MATCH(ROW()-1,装备库!$AK$2:$AK$2022,0),COLUMN()),"")</f>
        <v/>
      </c>
      <c r="B1097" t="str">
        <f>IFERROR(INDEX(装备库!$A$2:$E$2022,MATCH(ROW()-1,装备库!$AK$2:$AK$2022,0),COLUMN()),"")</f>
        <v/>
      </c>
      <c r="C1097" t="str">
        <f>IFERROR(INDEX(装备库!$A$2:$E$2022,MATCH(ROW()-1,装备库!$AK$2:$AK$2022,0),5),"")</f>
        <v/>
      </c>
    </row>
    <row r="1098" spans="1:3">
      <c r="A1098" t="str">
        <f>IFERROR(INDEX(装备库!$A$2:$E$2022,MATCH(ROW()-1,装备库!$AK$2:$AK$2022,0),COLUMN()),"")</f>
        <v/>
      </c>
      <c r="B1098" t="str">
        <f>IFERROR(INDEX(装备库!$A$2:$E$2022,MATCH(ROW()-1,装备库!$AK$2:$AK$2022,0),COLUMN()),"")</f>
        <v/>
      </c>
      <c r="C1098" t="str">
        <f>IFERROR(INDEX(装备库!$A$2:$E$2022,MATCH(ROW()-1,装备库!$AK$2:$AK$2022,0),5),"")</f>
        <v/>
      </c>
    </row>
    <row r="1099" spans="1:3">
      <c r="A1099" t="str">
        <f>IFERROR(INDEX(装备库!$A$2:$E$2022,MATCH(ROW()-1,装备库!$AK$2:$AK$2022,0),COLUMN()),"")</f>
        <v/>
      </c>
      <c r="B1099" t="str">
        <f>IFERROR(INDEX(装备库!$A$2:$E$2022,MATCH(ROW()-1,装备库!$AK$2:$AK$2022,0),COLUMN()),"")</f>
        <v/>
      </c>
      <c r="C1099" t="str">
        <f>IFERROR(INDEX(装备库!$A$2:$E$2022,MATCH(ROW()-1,装备库!$AK$2:$AK$2022,0),5),"")</f>
        <v/>
      </c>
    </row>
    <row r="1100" spans="1:3">
      <c r="A1100" t="str">
        <f>IFERROR(INDEX(装备库!$A$2:$E$2022,MATCH(ROW()-1,装备库!$AK$2:$AK$2022,0),COLUMN()),"")</f>
        <v/>
      </c>
      <c r="B1100" t="str">
        <f>IFERROR(INDEX(装备库!$A$2:$E$2022,MATCH(ROW()-1,装备库!$AK$2:$AK$2022,0),COLUMN()),"")</f>
        <v/>
      </c>
      <c r="C1100" t="str">
        <f>IFERROR(INDEX(装备库!$A$2:$E$2022,MATCH(ROW()-1,装备库!$AK$2:$AK$2022,0),5),"")</f>
        <v/>
      </c>
    </row>
    <row r="1101" spans="1:3">
      <c r="A1101" t="str">
        <f>IFERROR(INDEX(装备库!$A$2:$E$2022,MATCH(ROW()-1,装备库!$AK$2:$AK$2022,0),COLUMN()),"")</f>
        <v/>
      </c>
      <c r="B1101" t="str">
        <f>IFERROR(INDEX(装备库!$A$2:$E$2022,MATCH(ROW()-1,装备库!$AK$2:$AK$2022,0),COLUMN()),"")</f>
        <v/>
      </c>
      <c r="C1101" t="str">
        <f>IFERROR(INDEX(装备库!$A$2:$E$2022,MATCH(ROW()-1,装备库!$AK$2:$AK$2022,0),5),"")</f>
        <v/>
      </c>
    </row>
    <row r="1102" spans="1:3">
      <c r="A1102" t="str">
        <f>IFERROR(INDEX(装备库!$A$2:$E$2022,MATCH(ROW()-1,装备库!$AK$2:$AK$2022,0),COLUMN()),"")</f>
        <v/>
      </c>
      <c r="B1102" t="str">
        <f>IFERROR(INDEX(装备库!$A$2:$E$2022,MATCH(ROW()-1,装备库!$AK$2:$AK$2022,0),COLUMN()),"")</f>
        <v/>
      </c>
      <c r="C1102" t="str">
        <f>IFERROR(INDEX(装备库!$A$2:$E$2022,MATCH(ROW()-1,装备库!$AK$2:$AK$2022,0),5),"")</f>
        <v/>
      </c>
    </row>
    <row r="1103" spans="1:3">
      <c r="A1103" t="str">
        <f>IFERROR(INDEX(装备库!$A$2:$E$2022,MATCH(ROW()-1,装备库!$AK$2:$AK$2022,0),COLUMN()),"")</f>
        <v/>
      </c>
      <c r="B1103" t="str">
        <f>IFERROR(INDEX(装备库!$A$2:$E$2022,MATCH(ROW()-1,装备库!$AK$2:$AK$2022,0),COLUMN()),"")</f>
        <v/>
      </c>
      <c r="C1103" t="str">
        <f>IFERROR(INDEX(装备库!$A$2:$E$2022,MATCH(ROW()-1,装备库!$AK$2:$AK$2022,0),5),"")</f>
        <v/>
      </c>
    </row>
    <row r="1104" spans="1:3">
      <c r="A1104" t="str">
        <f>IFERROR(INDEX(装备库!$A$2:$E$2022,MATCH(ROW()-1,装备库!$AK$2:$AK$2022,0),COLUMN()),"")</f>
        <v/>
      </c>
      <c r="B1104" t="str">
        <f>IFERROR(INDEX(装备库!$A$2:$E$2022,MATCH(ROW()-1,装备库!$AK$2:$AK$2022,0),COLUMN()),"")</f>
        <v/>
      </c>
      <c r="C1104" t="str">
        <f>IFERROR(INDEX(装备库!$A$2:$E$2022,MATCH(ROW()-1,装备库!$AK$2:$AK$2022,0),5),"")</f>
        <v/>
      </c>
    </row>
    <row r="1105" spans="1:3">
      <c r="A1105" t="str">
        <f>IFERROR(INDEX(装备库!$A$2:$E$2022,MATCH(ROW()-1,装备库!$AK$2:$AK$2022,0),COLUMN()),"")</f>
        <v/>
      </c>
      <c r="B1105" t="str">
        <f>IFERROR(INDEX(装备库!$A$2:$E$2022,MATCH(ROW()-1,装备库!$AK$2:$AK$2022,0),COLUMN()),"")</f>
        <v/>
      </c>
      <c r="C1105" t="str">
        <f>IFERROR(INDEX(装备库!$A$2:$E$2022,MATCH(ROW()-1,装备库!$AK$2:$AK$2022,0),5),"")</f>
        <v/>
      </c>
    </row>
    <row r="1106" spans="1:3">
      <c r="A1106" t="str">
        <f>IFERROR(INDEX(装备库!$A$2:$E$2022,MATCH(ROW()-1,装备库!$AK$2:$AK$2022,0),COLUMN()),"")</f>
        <v/>
      </c>
      <c r="B1106" t="str">
        <f>IFERROR(INDEX(装备库!$A$2:$E$2022,MATCH(ROW()-1,装备库!$AK$2:$AK$2022,0),COLUMN()),"")</f>
        <v/>
      </c>
      <c r="C1106" t="str">
        <f>IFERROR(INDEX(装备库!$A$2:$E$2022,MATCH(ROW()-1,装备库!$AK$2:$AK$2022,0),5),"")</f>
        <v/>
      </c>
    </row>
    <row r="1107" spans="1:3">
      <c r="A1107" t="str">
        <f>IFERROR(INDEX(装备库!$A$2:$E$2022,MATCH(ROW()-1,装备库!$AK$2:$AK$2022,0),COLUMN()),"")</f>
        <v/>
      </c>
      <c r="B1107" t="str">
        <f>IFERROR(INDEX(装备库!$A$2:$E$2022,MATCH(ROW()-1,装备库!$AK$2:$AK$2022,0),COLUMN()),"")</f>
        <v/>
      </c>
      <c r="C1107" t="str">
        <f>IFERROR(INDEX(装备库!$A$2:$E$2022,MATCH(ROW()-1,装备库!$AK$2:$AK$2022,0),5),"")</f>
        <v/>
      </c>
    </row>
    <row r="1108" spans="1:3">
      <c r="A1108" t="str">
        <f>IFERROR(INDEX(装备库!$A$2:$E$2022,MATCH(ROW()-1,装备库!$AK$2:$AK$2022,0),COLUMN()),"")</f>
        <v/>
      </c>
      <c r="B1108" t="str">
        <f>IFERROR(INDEX(装备库!$A$2:$E$2022,MATCH(ROW()-1,装备库!$AK$2:$AK$2022,0),COLUMN()),"")</f>
        <v/>
      </c>
      <c r="C1108" t="str">
        <f>IFERROR(INDEX(装备库!$A$2:$E$2022,MATCH(ROW()-1,装备库!$AK$2:$AK$2022,0),5),"")</f>
        <v/>
      </c>
    </row>
    <row r="1109" spans="1:3">
      <c r="A1109" t="str">
        <f>IFERROR(INDEX(装备库!$A$2:$E$2022,MATCH(ROW()-1,装备库!$AK$2:$AK$2022,0),COLUMN()),"")</f>
        <v/>
      </c>
      <c r="B1109" t="str">
        <f>IFERROR(INDEX(装备库!$A$2:$E$2022,MATCH(ROW()-1,装备库!$AK$2:$AK$2022,0),COLUMN()),"")</f>
        <v/>
      </c>
      <c r="C1109" t="str">
        <f>IFERROR(INDEX(装备库!$A$2:$E$2022,MATCH(ROW()-1,装备库!$AK$2:$AK$2022,0),5),"")</f>
        <v/>
      </c>
    </row>
    <row r="1110" spans="1:3">
      <c r="A1110" t="str">
        <f>IFERROR(INDEX(装备库!$A$2:$E$2022,MATCH(ROW()-1,装备库!$AK$2:$AK$2022,0),COLUMN()),"")</f>
        <v/>
      </c>
      <c r="B1110" t="str">
        <f>IFERROR(INDEX(装备库!$A$2:$E$2022,MATCH(ROW()-1,装备库!$AK$2:$AK$2022,0),COLUMN()),"")</f>
        <v/>
      </c>
      <c r="C1110" t="str">
        <f>IFERROR(INDEX(装备库!$A$2:$E$2022,MATCH(ROW()-1,装备库!$AK$2:$AK$2022,0),5),"")</f>
        <v/>
      </c>
    </row>
    <row r="1111" spans="1:3">
      <c r="A1111" t="str">
        <f>IFERROR(INDEX(装备库!$A$2:$E$2022,MATCH(ROW()-1,装备库!$AK$2:$AK$2022,0),COLUMN()),"")</f>
        <v/>
      </c>
      <c r="B1111" t="str">
        <f>IFERROR(INDEX(装备库!$A$2:$E$2022,MATCH(ROW()-1,装备库!$AK$2:$AK$2022,0),COLUMN()),"")</f>
        <v/>
      </c>
      <c r="C1111" t="str">
        <f>IFERROR(INDEX(装备库!$A$2:$E$2022,MATCH(ROW()-1,装备库!$AK$2:$AK$2022,0),5),"")</f>
        <v/>
      </c>
    </row>
    <row r="1112" spans="1:3">
      <c r="A1112" t="str">
        <f>IFERROR(INDEX(装备库!$A$2:$E$2022,MATCH(ROW()-1,装备库!$AK$2:$AK$2022,0),COLUMN()),"")</f>
        <v/>
      </c>
      <c r="B1112" t="str">
        <f>IFERROR(INDEX(装备库!$A$2:$E$2022,MATCH(ROW()-1,装备库!$AK$2:$AK$2022,0),COLUMN()),"")</f>
        <v/>
      </c>
      <c r="C1112" t="str">
        <f>IFERROR(INDEX(装备库!$A$2:$E$2022,MATCH(ROW()-1,装备库!$AK$2:$AK$2022,0),5),"")</f>
        <v/>
      </c>
    </row>
    <row r="1113" spans="1:3">
      <c r="A1113" t="str">
        <f>IFERROR(INDEX(装备库!$A$2:$E$2022,MATCH(ROW()-1,装备库!$AK$2:$AK$2022,0),COLUMN()),"")</f>
        <v/>
      </c>
      <c r="B1113" t="str">
        <f>IFERROR(INDEX(装备库!$A$2:$E$2022,MATCH(ROW()-1,装备库!$AK$2:$AK$2022,0),COLUMN()),"")</f>
        <v/>
      </c>
      <c r="C1113" t="str">
        <f>IFERROR(INDEX(装备库!$A$2:$E$2022,MATCH(ROW()-1,装备库!$AK$2:$AK$2022,0),5),"")</f>
        <v/>
      </c>
    </row>
    <row r="1114" spans="1:3">
      <c r="A1114" t="str">
        <f>IFERROR(INDEX(装备库!$A$2:$E$2022,MATCH(ROW()-1,装备库!$AK$2:$AK$2022,0),COLUMN()),"")</f>
        <v/>
      </c>
      <c r="B1114" t="str">
        <f>IFERROR(INDEX(装备库!$A$2:$E$2022,MATCH(ROW()-1,装备库!$AK$2:$AK$2022,0),COLUMN()),"")</f>
        <v/>
      </c>
      <c r="C1114" t="str">
        <f>IFERROR(INDEX(装备库!$A$2:$E$2022,MATCH(ROW()-1,装备库!$AK$2:$AK$2022,0),5),"")</f>
        <v/>
      </c>
    </row>
    <row r="1115" spans="1:3">
      <c r="A1115" t="str">
        <f>IFERROR(INDEX(装备库!$A$2:$E$2022,MATCH(ROW()-1,装备库!$AK$2:$AK$2022,0),COLUMN()),"")</f>
        <v/>
      </c>
      <c r="B1115" t="str">
        <f>IFERROR(INDEX(装备库!$A$2:$E$2022,MATCH(ROW()-1,装备库!$AK$2:$AK$2022,0),COLUMN()),"")</f>
        <v/>
      </c>
      <c r="C1115" t="str">
        <f>IFERROR(INDEX(装备库!$A$2:$E$2022,MATCH(ROW()-1,装备库!$AK$2:$AK$2022,0),5),"")</f>
        <v/>
      </c>
    </row>
    <row r="1116" spans="1:3">
      <c r="A1116" t="str">
        <f>IFERROR(INDEX(装备库!$A$2:$E$2022,MATCH(ROW()-1,装备库!$AK$2:$AK$2022,0),COLUMN()),"")</f>
        <v/>
      </c>
      <c r="B1116" t="str">
        <f>IFERROR(INDEX(装备库!$A$2:$E$2022,MATCH(ROW()-1,装备库!$AK$2:$AK$2022,0),COLUMN()),"")</f>
        <v/>
      </c>
      <c r="C1116" t="str">
        <f>IFERROR(INDEX(装备库!$A$2:$E$2022,MATCH(ROW()-1,装备库!$AK$2:$AK$2022,0),5),"")</f>
        <v/>
      </c>
    </row>
    <row r="1117" spans="1:3">
      <c r="A1117" t="str">
        <f>IFERROR(INDEX(装备库!$A$2:$E$2022,MATCH(ROW()-1,装备库!$AK$2:$AK$2022,0),COLUMN()),"")</f>
        <v/>
      </c>
      <c r="B1117" t="str">
        <f>IFERROR(INDEX(装备库!$A$2:$E$2022,MATCH(ROW()-1,装备库!$AK$2:$AK$2022,0),COLUMN()),"")</f>
        <v/>
      </c>
      <c r="C1117" t="str">
        <f>IFERROR(INDEX(装备库!$A$2:$E$2022,MATCH(ROW()-1,装备库!$AK$2:$AK$2022,0),5),"")</f>
        <v/>
      </c>
    </row>
    <row r="1118" spans="1:3">
      <c r="A1118" t="str">
        <f>IFERROR(INDEX(装备库!$A$2:$E$2022,MATCH(ROW()-1,装备库!$AK$2:$AK$2022,0),COLUMN()),"")</f>
        <v/>
      </c>
      <c r="B1118" t="str">
        <f>IFERROR(INDEX(装备库!$A$2:$E$2022,MATCH(ROW()-1,装备库!$AK$2:$AK$2022,0),COLUMN()),"")</f>
        <v/>
      </c>
      <c r="C1118" t="str">
        <f>IFERROR(INDEX(装备库!$A$2:$E$2022,MATCH(ROW()-1,装备库!$AK$2:$AK$2022,0),5),"")</f>
        <v/>
      </c>
    </row>
    <row r="1119" spans="1:3">
      <c r="A1119" t="str">
        <f>IFERROR(INDEX(装备库!$A$2:$E$2022,MATCH(ROW()-1,装备库!$AK$2:$AK$2022,0),COLUMN()),"")</f>
        <v/>
      </c>
      <c r="B1119" t="str">
        <f>IFERROR(INDEX(装备库!$A$2:$E$2022,MATCH(ROW()-1,装备库!$AK$2:$AK$2022,0),COLUMN()),"")</f>
        <v/>
      </c>
      <c r="C1119" t="str">
        <f>IFERROR(INDEX(装备库!$A$2:$E$2022,MATCH(ROW()-1,装备库!$AK$2:$AK$2022,0),5),"")</f>
        <v/>
      </c>
    </row>
    <row r="1120" spans="1:3">
      <c r="A1120" t="str">
        <f>IFERROR(INDEX(装备库!$A$2:$E$2022,MATCH(ROW()-1,装备库!$AK$2:$AK$2022,0),COLUMN()),"")</f>
        <v/>
      </c>
      <c r="B1120" t="str">
        <f>IFERROR(INDEX(装备库!$A$2:$E$2022,MATCH(ROW()-1,装备库!$AK$2:$AK$2022,0),COLUMN()),"")</f>
        <v/>
      </c>
      <c r="C1120" t="str">
        <f>IFERROR(INDEX(装备库!$A$2:$E$2022,MATCH(ROW()-1,装备库!$AK$2:$AK$2022,0),5),"")</f>
        <v/>
      </c>
    </row>
    <row r="1121" spans="1:3">
      <c r="A1121" t="str">
        <f>IFERROR(INDEX(装备库!$A$2:$E$2022,MATCH(ROW()-1,装备库!$AK$2:$AK$2022,0),COLUMN()),"")</f>
        <v/>
      </c>
      <c r="B1121" t="str">
        <f>IFERROR(INDEX(装备库!$A$2:$E$2022,MATCH(ROW()-1,装备库!$AK$2:$AK$2022,0),COLUMN()),"")</f>
        <v/>
      </c>
      <c r="C1121" t="str">
        <f>IFERROR(INDEX(装备库!$A$2:$E$2022,MATCH(ROW()-1,装备库!$AK$2:$AK$2022,0),5),"")</f>
        <v/>
      </c>
    </row>
    <row r="1122" spans="1:3">
      <c r="A1122" t="str">
        <f>IFERROR(INDEX(装备库!$A$2:$E$2022,MATCH(ROW()-1,装备库!$AK$2:$AK$2022,0),COLUMN()),"")</f>
        <v/>
      </c>
      <c r="B1122" t="str">
        <f>IFERROR(INDEX(装备库!$A$2:$E$2022,MATCH(ROW()-1,装备库!$AK$2:$AK$2022,0),COLUMN()),"")</f>
        <v/>
      </c>
      <c r="C1122" t="str">
        <f>IFERROR(INDEX(装备库!$A$2:$E$2022,MATCH(ROW()-1,装备库!$AK$2:$AK$2022,0),5),"")</f>
        <v/>
      </c>
    </row>
    <row r="1123" spans="1:3">
      <c r="A1123" t="str">
        <f>IFERROR(INDEX(装备库!$A$2:$E$2022,MATCH(ROW()-1,装备库!$AK$2:$AK$2022,0),COLUMN()),"")</f>
        <v/>
      </c>
      <c r="B1123" t="str">
        <f>IFERROR(INDEX(装备库!$A$2:$E$2022,MATCH(ROW()-1,装备库!$AK$2:$AK$2022,0),COLUMN()),"")</f>
        <v/>
      </c>
      <c r="C1123" t="str">
        <f>IFERROR(INDEX(装备库!$A$2:$E$2022,MATCH(ROW()-1,装备库!$AK$2:$AK$2022,0),5),"")</f>
        <v/>
      </c>
    </row>
    <row r="1124" spans="1:3">
      <c r="A1124" t="str">
        <f>IFERROR(INDEX(装备库!$A$2:$E$2022,MATCH(ROW()-1,装备库!$AK$2:$AK$2022,0),COLUMN()),"")</f>
        <v/>
      </c>
      <c r="B1124" t="str">
        <f>IFERROR(INDEX(装备库!$A$2:$E$2022,MATCH(ROW()-1,装备库!$AK$2:$AK$2022,0),COLUMN()),"")</f>
        <v/>
      </c>
      <c r="C1124" t="str">
        <f>IFERROR(INDEX(装备库!$A$2:$E$2022,MATCH(ROW()-1,装备库!$AK$2:$AK$2022,0),5),"")</f>
        <v/>
      </c>
    </row>
    <row r="1125" spans="1:3">
      <c r="A1125" t="str">
        <f>IFERROR(INDEX(装备库!$A$2:$E$2022,MATCH(ROW()-1,装备库!$AK$2:$AK$2022,0),COLUMN()),"")</f>
        <v/>
      </c>
      <c r="B1125" t="str">
        <f>IFERROR(INDEX(装备库!$A$2:$E$2022,MATCH(ROW()-1,装备库!$AK$2:$AK$2022,0),COLUMN()),"")</f>
        <v/>
      </c>
      <c r="C1125" t="str">
        <f>IFERROR(INDEX(装备库!$A$2:$E$2022,MATCH(ROW()-1,装备库!$AK$2:$AK$2022,0),5),"")</f>
        <v/>
      </c>
    </row>
    <row r="1126" spans="1:3">
      <c r="A1126" t="str">
        <f>IFERROR(INDEX(装备库!$A$2:$E$2022,MATCH(ROW()-1,装备库!$AK$2:$AK$2022,0),COLUMN()),"")</f>
        <v/>
      </c>
      <c r="B1126" t="str">
        <f>IFERROR(INDEX(装备库!$A$2:$E$2022,MATCH(ROW()-1,装备库!$AK$2:$AK$2022,0),COLUMN()),"")</f>
        <v/>
      </c>
      <c r="C1126" t="str">
        <f>IFERROR(INDEX(装备库!$A$2:$E$2022,MATCH(ROW()-1,装备库!$AK$2:$AK$2022,0),5),"")</f>
        <v/>
      </c>
    </row>
    <row r="1127" spans="1:3">
      <c r="A1127" t="str">
        <f>IFERROR(INDEX(装备库!$A$2:$E$2022,MATCH(ROW()-1,装备库!$AK$2:$AK$2022,0),COLUMN()),"")</f>
        <v/>
      </c>
      <c r="B1127" t="str">
        <f>IFERROR(INDEX(装备库!$A$2:$E$2022,MATCH(ROW()-1,装备库!$AK$2:$AK$2022,0),COLUMN()),"")</f>
        <v/>
      </c>
      <c r="C1127" t="str">
        <f>IFERROR(INDEX(装备库!$A$2:$E$2022,MATCH(ROW()-1,装备库!$AK$2:$AK$2022,0),5),"")</f>
        <v/>
      </c>
    </row>
    <row r="1128" spans="1:3">
      <c r="A1128" t="str">
        <f>IFERROR(INDEX(装备库!$A$2:$E$2022,MATCH(ROW()-1,装备库!$AK$2:$AK$2022,0),COLUMN()),"")</f>
        <v/>
      </c>
      <c r="B1128" t="str">
        <f>IFERROR(INDEX(装备库!$A$2:$E$2022,MATCH(ROW()-1,装备库!$AK$2:$AK$2022,0),COLUMN()),"")</f>
        <v/>
      </c>
      <c r="C1128" t="str">
        <f>IFERROR(INDEX(装备库!$A$2:$E$2022,MATCH(ROW()-1,装备库!$AK$2:$AK$2022,0),5),"")</f>
        <v/>
      </c>
    </row>
    <row r="1129" spans="1:3">
      <c r="A1129" t="str">
        <f>IFERROR(INDEX(装备库!$A$2:$E$2022,MATCH(ROW()-1,装备库!$AK$2:$AK$2022,0),COLUMN()),"")</f>
        <v/>
      </c>
      <c r="B1129" t="str">
        <f>IFERROR(INDEX(装备库!$A$2:$E$2022,MATCH(ROW()-1,装备库!$AK$2:$AK$2022,0),COLUMN()),"")</f>
        <v/>
      </c>
      <c r="C1129" t="str">
        <f>IFERROR(INDEX(装备库!$A$2:$E$2022,MATCH(ROW()-1,装备库!$AK$2:$AK$2022,0),5),"")</f>
        <v/>
      </c>
    </row>
    <row r="1130" spans="1:3">
      <c r="A1130" t="str">
        <f>IFERROR(INDEX(装备库!$A$2:$E$2022,MATCH(ROW()-1,装备库!$AK$2:$AK$2022,0),COLUMN()),"")</f>
        <v/>
      </c>
      <c r="B1130" t="str">
        <f>IFERROR(INDEX(装备库!$A$2:$E$2022,MATCH(ROW()-1,装备库!$AK$2:$AK$2022,0),COLUMN()),"")</f>
        <v/>
      </c>
      <c r="C1130" t="str">
        <f>IFERROR(INDEX(装备库!$A$2:$E$2022,MATCH(ROW()-1,装备库!$AK$2:$AK$2022,0),5),"")</f>
        <v/>
      </c>
    </row>
    <row r="1131" spans="1:3">
      <c r="A1131" t="str">
        <f>IFERROR(INDEX(装备库!$A$2:$E$2022,MATCH(ROW()-1,装备库!$AK$2:$AK$2022,0),COLUMN()),"")</f>
        <v/>
      </c>
      <c r="B1131" t="str">
        <f>IFERROR(INDEX(装备库!$A$2:$E$2022,MATCH(ROW()-1,装备库!$AK$2:$AK$2022,0),COLUMN()),"")</f>
        <v/>
      </c>
      <c r="C1131" t="str">
        <f>IFERROR(INDEX(装备库!$A$2:$E$2022,MATCH(ROW()-1,装备库!$AK$2:$AK$2022,0),5),"")</f>
        <v/>
      </c>
    </row>
    <row r="1132" spans="1:3">
      <c r="A1132" t="str">
        <f>IFERROR(INDEX(装备库!$A$2:$E$2022,MATCH(ROW()-1,装备库!$AK$2:$AK$2022,0),COLUMN()),"")</f>
        <v/>
      </c>
      <c r="B1132" t="str">
        <f>IFERROR(INDEX(装备库!$A$2:$E$2022,MATCH(ROW()-1,装备库!$AK$2:$AK$2022,0),COLUMN()),"")</f>
        <v/>
      </c>
      <c r="C1132" t="str">
        <f>IFERROR(INDEX(装备库!$A$2:$E$2022,MATCH(ROW()-1,装备库!$AK$2:$AK$2022,0),5),"")</f>
        <v/>
      </c>
    </row>
    <row r="1133" spans="1:3">
      <c r="A1133" t="str">
        <f>IFERROR(INDEX(装备库!$A$2:$E$2022,MATCH(ROW()-1,装备库!$AK$2:$AK$2022,0),COLUMN()),"")</f>
        <v/>
      </c>
      <c r="B1133" t="str">
        <f>IFERROR(INDEX(装备库!$A$2:$E$2022,MATCH(ROW()-1,装备库!$AK$2:$AK$2022,0),COLUMN()),"")</f>
        <v/>
      </c>
      <c r="C1133" t="str">
        <f>IFERROR(INDEX(装备库!$A$2:$E$2022,MATCH(ROW()-1,装备库!$AK$2:$AK$2022,0),5),"")</f>
        <v/>
      </c>
    </row>
    <row r="1134" spans="1:3">
      <c r="A1134" t="str">
        <f>IFERROR(INDEX(装备库!$A$2:$E$2022,MATCH(ROW()-1,装备库!$AK$2:$AK$2022,0),COLUMN()),"")</f>
        <v/>
      </c>
      <c r="B1134" t="str">
        <f>IFERROR(INDEX(装备库!$A$2:$E$2022,MATCH(ROW()-1,装备库!$AK$2:$AK$2022,0),COLUMN()),"")</f>
        <v/>
      </c>
      <c r="C1134" t="str">
        <f>IFERROR(INDEX(装备库!$A$2:$E$2022,MATCH(ROW()-1,装备库!$AK$2:$AK$2022,0),5),"")</f>
        <v/>
      </c>
    </row>
    <row r="1135" spans="1:3">
      <c r="A1135" t="str">
        <f>IFERROR(INDEX(装备库!$A$2:$E$2022,MATCH(ROW()-1,装备库!$AK$2:$AK$2022,0),COLUMN()),"")</f>
        <v/>
      </c>
      <c r="B1135" t="str">
        <f>IFERROR(INDEX(装备库!$A$2:$E$2022,MATCH(ROW()-1,装备库!$AK$2:$AK$2022,0),COLUMN()),"")</f>
        <v/>
      </c>
      <c r="C1135" t="str">
        <f>IFERROR(INDEX(装备库!$A$2:$E$2022,MATCH(ROW()-1,装备库!$AK$2:$AK$2022,0),5),"")</f>
        <v/>
      </c>
    </row>
    <row r="1136" spans="1:3">
      <c r="A1136" t="str">
        <f>IFERROR(INDEX(装备库!$A$2:$E$2022,MATCH(ROW()-1,装备库!$AK$2:$AK$2022,0),COLUMN()),"")</f>
        <v/>
      </c>
      <c r="B1136" t="str">
        <f>IFERROR(INDEX(装备库!$A$2:$E$2022,MATCH(ROW()-1,装备库!$AK$2:$AK$2022,0),COLUMN()),"")</f>
        <v/>
      </c>
      <c r="C1136" t="str">
        <f>IFERROR(INDEX(装备库!$A$2:$E$2022,MATCH(ROW()-1,装备库!$AK$2:$AK$2022,0),5),"")</f>
        <v/>
      </c>
    </row>
    <row r="1137" spans="1:3">
      <c r="A1137" t="str">
        <f>IFERROR(INDEX(装备库!$A$2:$E$2022,MATCH(ROW()-1,装备库!$AK$2:$AK$2022,0),COLUMN()),"")</f>
        <v/>
      </c>
      <c r="B1137" t="str">
        <f>IFERROR(INDEX(装备库!$A$2:$E$2022,MATCH(ROW()-1,装备库!$AK$2:$AK$2022,0),COLUMN()),"")</f>
        <v/>
      </c>
      <c r="C1137" t="str">
        <f>IFERROR(INDEX(装备库!$A$2:$E$2022,MATCH(ROW()-1,装备库!$AK$2:$AK$2022,0),5),"")</f>
        <v/>
      </c>
    </row>
    <row r="1138" spans="1:3">
      <c r="A1138" t="str">
        <f>IFERROR(INDEX(装备库!$A$2:$E$2022,MATCH(ROW()-1,装备库!$AK$2:$AK$2022,0),COLUMN()),"")</f>
        <v/>
      </c>
      <c r="B1138" t="str">
        <f>IFERROR(INDEX(装备库!$A$2:$E$2022,MATCH(ROW()-1,装备库!$AK$2:$AK$2022,0),COLUMN()),"")</f>
        <v/>
      </c>
      <c r="C1138" t="str">
        <f>IFERROR(INDEX(装备库!$A$2:$E$2022,MATCH(ROW()-1,装备库!$AK$2:$AK$2022,0),5),"")</f>
        <v/>
      </c>
    </row>
    <row r="1139" spans="1:3">
      <c r="A1139" t="str">
        <f>IFERROR(INDEX(装备库!$A$2:$E$2022,MATCH(ROW()-1,装备库!$AK$2:$AK$2022,0),COLUMN()),"")</f>
        <v/>
      </c>
      <c r="B1139" t="str">
        <f>IFERROR(INDEX(装备库!$A$2:$E$2022,MATCH(ROW()-1,装备库!$AK$2:$AK$2022,0),COLUMN()),"")</f>
        <v/>
      </c>
      <c r="C1139" t="str">
        <f>IFERROR(INDEX(装备库!$A$2:$E$2022,MATCH(ROW()-1,装备库!$AK$2:$AK$2022,0),5),"")</f>
        <v/>
      </c>
    </row>
    <row r="1140" spans="1:3">
      <c r="A1140" t="str">
        <f>IFERROR(INDEX(装备库!$A$2:$E$2022,MATCH(ROW()-1,装备库!$AK$2:$AK$2022,0),COLUMN()),"")</f>
        <v/>
      </c>
      <c r="B1140" t="str">
        <f>IFERROR(INDEX(装备库!$A$2:$E$2022,MATCH(ROW()-1,装备库!$AK$2:$AK$2022,0),COLUMN()),"")</f>
        <v/>
      </c>
      <c r="C1140" t="str">
        <f>IFERROR(INDEX(装备库!$A$2:$E$2022,MATCH(ROW()-1,装备库!$AK$2:$AK$2022,0),5),"")</f>
        <v/>
      </c>
    </row>
    <row r="1141" spans="1:3">
      <c r="A1141" t="str">
        <f>IFERROR(INDEX(装备库!$A$2:$E$2022,MATCH(ROW()-1,装备库!$AK$2:$AK$2022,0),COLUMN()),"")</f>
        <v/>
      </c>
      <c r="B1141" t="str">
        <f>IFERROR(INDEX(装备库!$A$2:$E$2022,MATCH(ROW()-1,装备库!$AK$2:$AK$2022,0),COLUMN()),"")</f>
        <v/>
      </c>
      <c r="C1141" t="str">
        <f>IFERROR(INDEX(装备库!$A$2:$E$2022,MATCH(ROW()-1,装备库!$AK$2:$AK$2022,0),5),"")</f>
        <v/>
      </c>
    </row>
    <row r="1142" spans="1:3">
      <c r="A1142" t="str">
        <f>IFERROR(INDEX(装备库!$A$2:$E$2022,MATCH(ROW()-1,装备库!$AK$2:$AK$2022,0),COLUMN()),"")</f>
        <v/>
      </c>
      <c r="B1142" t="str">
        <f>IFERROR(INDEX(装备库!$A$2:$E$2022,MATCH(ROW()-1,装备库!$AK$2:$AK$2022,0),COLUMN()),"")</f>
        <v/>
      </c>
      <c r="C1142" t="str">
        <f>IFERROR(INDEX(装备库!$A$2:$E$2022,MATCH(ROW()-1,装备库!$AK$2:$AK$2022,0),5),"")</f>
        <v/>
      </c>
    </row>
    <row r="1143" spans="1:3">
      <c r="A1143" t="str">
        <f>IFERROR(INDEX(装备库!$A$2:$E$2022,MATCH(ROW()-1,装备库!$AK$2:$AK$2022,0),COLUMN()),"")</f>
        <v/>
      </c>
      <c r="B1143" t="str">
        <f>IFERROR(INDEX(装备库!$A$2:$E$2022,MATCH(ROW()-1,装备库!$AK$2:$AK$2022,0),COLUMN()),"")</f>
        <v/>
      </c>
      <c r="C1143" t="str">
        <f>IFERROR(INDEX(装备库!$A$2:$E$2022,MATCH(ROW()-1,装备库!$AK$2:$AK$2022,0),5),"")</f>
        <v/>
      </c>
    </row>
    <row r="1144" spans="1:3">
      <c r="A1144" t="str">
        <f>IFERROR(INDEX(装备库!$A$2:$E$2022,MATCH(ROW()-1,装备库!$AK$2:$AK$2022,0),COLUMN()),"")</f>
        <v/>
      </c>
      <c r="B1144" t="str">
        <f>IFERROR(INDEX(装备库!$A$2:$E$2022,MATCH(ROW()-1,装备库!$AK$2:$AK$2022,0),COLUMN()),"")</f>
        <v/>
      </c>
      <c r="C1144" t="str">
        <f>IFERROR(INDEX(装备库!$A$2:$E$2022,MATCH(ROW()-1,装备库!$AK$2:$AK$2022,0),5),"")</f>
        <v/>
      </c>
    </row>
    <row r="1145" spans="1:3">
      <c r="A1145" t="str">
        <f>IFERROR(INDEX(装备库!$A$2:$E$2022,MATCH(ROW()-1,装备库!$AK$2:$AK$2022,0),COLUMN()),"")</f>
        <v/>
      </c>
      <c r="B1145" t="str">
        <f>IFERROR(INDEX(装备库!$A$2:$E$2022,MATCH(ROW()-1,装备库!$AK$2:$AK$2022,0),COLUMN()),"")</f>
        <v/>
      </c>
      <c r="C1145" t="str">
        <f>IFERROR(INDEX(装备库!$A$2:$E$2022,MATCH(ROW()-1,装备库!$AK$2:$AK$2022,0),5),"")</f>
        <v/>
      </c>
    </row>
    <row r="1146" spans="1:3">
      <c r="A1146" t="str">
        <f>IFERROR(INDEX(装备库!$A$2:$E$2022,MATCH(ROW()-1,装备库!$AK$2:$AK$2022,0),COLUMN()),"")</f>
        <v/>
      </c>
      <c r="B1146" t="str">
        <f>IFERROR(INDEX(装备库!$A$2:$E$2022,MATCH(ROW()-1,装备库!$AK$2:$AK$2022,0),COLUMN()),"")</f>
        <v/>
      </c>
      <c r="C1146" t="str">
        <f>IFERROR(INDEX(装备库!$A$2:$E$2022,MATCH(ROW()-1,装备库!$AK$2:$AK$2022,0),5),"")</f>
        <v/>
      </c>
    </row>
    <row r="1147" spans="1:3">
      <c r="A1147" t="str">
        <f>IFERROR(INDEX(装备库!$A$2:$E$2022,MATCH(ROW()-1,装备库!$AK$2:$AK$2022,0),COLUMN()),"")</f>
        <v/>
      </c>
      <c r="B1147" t="str">
        <f>IFERROR(INDEX(装备库!$A$2:$E$2022,MATCH(ROW()-1,装备库!$AK$2:$AK$2022,0),COLUMN()),"")</f>
        <v/>
      </c>
      <c r="C1147" t="str">
        <f>IFERROR(INDEX(装备库!$A$2:$E$2022,MATCH(ROW()-1,装备库!$AK$2:$AK$2022,0),5),"")</f>
        <v/>
      </c>
    </row>
    <row r="1148" spans="1:3">
      <c r="A1148" t="str">
        <f>IFERROR(INDEX(装备库!$A$2:$E$2022,MATCH(ROW()-1,装备库!$AK$2:$AK$2022,0),COLUMN()),"")</f>
        <v/>
      </c>
      <c r="B1148" t="str">
        <f>IFERROR(INDEX(装备库!$A$2:$E$2022,MATCH(ROW()-1,装备库!$AK$2:$AK$2022,0),COLUMN()),"")</f>
        <v/>
      </c>
      <c r="C1148" t="str">
        <f>IFERROR(INDEX(装备库!$A$2:$E$2022,MATCH(ROW()-1,装备库!$AK$2:$AK$2022,0),5),"")</f>
        <v/>
      </c>
    </row>
    <row r="1149" spans="1:3">
      <c r="A1149" t="str">
        <f>IFERROR(INDEX(装备库!$A$2:$E$2022,MATCH(ROW()-1,装备库!$AK$2:$AK$2022,0),COLUMN()),"")</f>
        <v/>
      </c>
      <c r="B1149" t="str">
        <f>IFERROR(INDEX(装备库!$A$2:$E$2022,MATCH(ROW()-1,装备库!$AK$2:$AK$2022,0),COLUMN()),"")</f>
        <v/>
      </c>
      <c r="C1149" t="str">
        <f>IFERROR(INDEX(装备库!$A$2:$E$2022,MATCH(ROW()-1,装备库!$AK$2:$AK$2022,0),5),"")</f>
        <v/>
      </c>
    </row>
    <row r="1150" spans="1:3">
      <c r="A1150" t="str">
        <f>IFERROR(INDEX(装备库!$A$2:$E$2022,MATCH(ROW()-1,装备库!$AK$2:$AK$2022,0),COLUMN()),"")</f>
        <v/>
      </c>
      <c r="B1150" t="str">
        <f>IFERROR(INDEX(装备库!$A$2:$E$2022,MATCH(ROW()-1,装备库!$AK$2:$AK$2022,0),COLUMN()),"")</f>
        <v/>
      </c>
      <c r="C1150" t="str">
        <f>IFERROR(INDEX(装备库!$A$2:$E$2022,MATCH(ROW()-1,装备库!$AK$2:$AK$2022,0),5),"")</f>
        <v/>
      </c>
    </row>
    <row r="1151" spans="1:3">
      <c r="A1151" t="str">
        <f>IFERROR(INDEX(装备库!$A$2:$E$2022,MATCH(ROW()-1,装备库!$AK$2:$AK$2022,0),COLUMN()),"")</f>
        <v/>
      </c>
      <c r="B1151" t="str">
        <f>IFERROR(INDEX(装备库!$A$2:$E$2022,MATCH(ROW()-1,装备库!$AK$2:$AK$2022,0),COLUMN()),"")</f>
        <v/>
      </c>
      <c r="C1151" t="str">
        <f>IFERROR(INDEX(装备库!$A$2:$E$2022,MATCH(ROW()-1,装备库!$AK$2:$AK$2022,0),5),"")</f>
        <v/>
      </c>
    </row>
    <row r="1152" spans="1:3">
      <c r="A1152" t="str">
        <f>IFERROR(INDEX(装备库!$A$2:$E$2022,MATCH(ROW()-1,装备库!$AK$2:$AK$2022,0),COLUMN()),"")</f>
        <v/>
      </c>
      <c r="B1152" t="str">
        <f>IFERROR(INDEX(装备库!$A$2:$E$2022,MATCH(ROW()-1,装备库!$AK$2:$AK$2022,0),COLUMN()),"")</f>
        <v/>
      </c>
      <c r="C1152" t="str">
        <f>IFERROR(INDEX(装备库!$A$2:$E$2022,MATCH(ROW()-1,装备库!$AK$2:$AK$2022,0),5),"")</f>
        <v/>
      </c>
    </row>
    <row r="1153" spans="1:3">
      <c r="A1153" t="str">
        <f>IFERROR(INDEX(装备库!$A$2:$E$2022,MATCH(ROW()-1,装备库!$AK$2:$AK$2022,0),COLUMN()),"")</f>
        <v/>
      </c>
      <c r="B1153" t="str">
        <f>IFERROR(INDEX(装备库!$A$2:$E$2022,MATCH(ROW()-1,装备库!$AK$2:$AK$2022,0),COLUMN()),"")</f>
        <v/>
      </c>
      <c r="C1153" t="str">
        <f>IFERROR(INDEX(装备库!$A$2:$E$2022,MATCH(ROW()-1,装备库!$AK$2:$AK$2022,0),5),"")</f>
        <v/>
      </c>
    </row>
    <row r="1154" spans="1:3">
      <c r="A1154" t="str">
        <f>IFERROR(INDEX(装备库!$A$2:$E$2022,MATCH(ROW()-1,装备库!$AK$2:$AK$2022,0),COLUMN()),"")</f>
        <v/>
      </c>
      <c r="B1154" t="str">
        <f>IFERROR(INDEX(装备库!$A$2:$E$2022,MATCH(ROW()-1,装备库!$AK$2:$AK$2022,0),COLUMN()),"")</f>
        <v/>
      </c>
      <c r="C1154" t="str">
        <f>IFERROR(INDEX(装备库!$A$2:$E$2022,MATCH(ROW()-1,装备库!$AK$2:$AK$2022,0),5),"")</f>
        <v/>
      </c>
    </row>
    <row r="1155" spans="1:3">
      <c r="A1155" t="str">
        <f>IFERROR(INDEX(装备库!$A$2:$E$2022,MATCH(ROW()-1,装备库!$AK$2:$AK$2022,0),COLUMN()),"")</f>
        <v/>
      </c>
      <c r="B1155" t="str">
        <f>IFERROR(INDEX(装备库!$A$2:$E$2022,MATCH(ROW()-1,装备库!$AK$2:$AK$2022,0),COLUMN()),"")</f>
        <v/>
      </c>
      <c r="C1155" t="str">
        <f>IFERROR(INDEX(装备库!$A$2:$E$2022,MATCH(ROW()-1,装备库!$AK$2:$AK$2022,0),5),"")</f>
        <v/>
      </c>
    </row>
    <row r="1156" spans="1:3">
      <c r="A1156" t="str">
        <f>IFERROR(INDEX(装备库!$A$2:$E$2022,MATCH(ROW()-1,装备库!$AK$2:$AK$2022,0),COLUMN()),"")</f>
        <v/>
      </c>
      <c r="B1156" t="str">
        <f>IFERROR(INDEX(装备库!$A$2:$E$2022,MATCH(ROW()-1,装备库!$AK$2:$AK$2022,0),COLUMN()),"")</f>
        <v/>
      </c>
      <c r="C1156" t="str">
        <f>IFERROR(INDEX(装备库!$A$2:$E$2022,MATCH(ROW()-1,装备库!$AK$2:$AK$2022,0),5),"")</f>
        <v/>
      </c>
    </row>
    <row r="1157" spans="1:3">
      <c r="A1157" t="str">
        <f>IFERROR(INDEX(装备库!$A$2:$E$2022,MATCH(ROW()-1,装备库!$AK$2:$AK$2022,0),COLUMN()),"")</f>
        <v/>
      </c>
      <c r="B1157" t="str">
        <f>IFERROR(INDEX(装备库!$A$2:$E$2022,MATCH(ROW()-1,装备库!$AK$2:$AK$2022,0),COLUMN()),"")</f>
        <v/>
      </c>
      <c r="C1157" t="str">
        <f>IFERROR(INDEX(装备库!$A$2:$E$2022,MATCH(ROW()-1,装备库!$AK$2:$AK$2022,0),5),"")</f>
        <v/>
      </c>
    </row>
    <row r="1158" spans="1:3">
      <c r="A1158" t="str">
        <f>IFERROR(INDEX(装备库!$A$2:$E$2022,MATCH(ROW()-1,装备库!$AK$2:$AK$2022,0),COLUMN()),"")</f>
        <v/>
      </c>
      <c r="B1158" t="str">
        <f>IFERROR(INDEX(装备库!$A$2:$E$2022,MATCH(ROW()-1,装备库!$AK$2:$AK$2022,0),COLUMN()),"")</f>
        <v/>
      </c>
      <c r="C1158" t="str">
        <f>IFERROR(INDEX(装备库!$A$2:$E$2022,MATCH(ROW()-1,装备库!$AK$2:$AK$2022,0),5),"")</f>
        <v/>
      </c>
    </row>
    <row r="1159" spans="1:3">
      <c r="A1159" t="str">
        <f>IFERROR(INDEX(装备库!$A$2:$E$2022,MATCH(ROW()-1,装备库!$AK$2:$AK$2022,0),COLUMN()),"")</f>
        <v/>
      </c>
      <c r="B1159" t="str">
        <f>IFERROR(INDEX(装备库!$A$2:$E$2022,MATCH(ROW()-1,装备库!$AK$2:$AK$2022,0),COLUMN()),"")</f>
        <v/>
      </c>
      <c r="C1159" t="str">
        <f>IFERROR(INDEX(装备库!$A$2:$E$2022,MATCH(ROW()-1,装备库!$AK$2:$AK$2022,0),5),"")</f>
        <v/>
      </c>
    </row>
    <row r="1160" spans="1:3">
      <c r="A1160" t="str">
        <f>IFERROR(INDEX(装备库!$A$2:$E$2022,MATCH(ROW()-1,装备库!$AK$2:$AK$2022,0),COLUMN()),"")</f>
        <v/>
      </c>
      <c r="B1160" t="str">
        <f>IFERROR(INDEX(装备库!$A$2:$E$2022,MATCH(ROW()-1,装备库!$AK$2:$AK$2022,0),COLUMN()),"")</f>
        <v/>
      </c>
      <c r="C1160" t="str">
        <f>IFERROR(INDEX(装备库!$A$2:$E$2022,MATCH(ROW()-1,装备库!$AK$2:$AK$2022,0),5),"")</f>
        <v/>
      </c>
    </row>
    <row r="1161" spans="1:3">
      <c r="A1161" t="str">
        <f>IFERROR(INDEX(装备库!$A$2:$E$2022,MATCH(ROW()-1,装备库!$AK$2:$AK$2022,0),COLUMN()),"")</f>
        <v/>
      </c>
      <c r="B1161" t="str">
        <f>IFERROR(INDEX(装备库!$A$2:$E$2022,MATCH(ROW()-1,装备库!$AK$2:$AK$2022,0),COLUMN()),"")</f>
        <v/>
      </c>
      <c r="C1161" t="str">
        <f>IFERROR(INDEX(装备库!$A$2:$E$2022,MATCH(ROW()-1,装备库!$AK$2:$AK$2022,0),5),"")</f>
        <v/>
      </c>
    </row>
    <row r="1162" spans="1:3">
      <c r="A1162" t="str">
        <f>IFERROR(INDEX(装备库!$A$2:$E$2022,MATCH(ROW()-1,装备库!$AK$2:$AK$2022,0),COLUMN()),"")</f>
        <v/>
      </c>
      <c r="B1162" t="str">
        <f>IFERROR(INDEX(装备库!$A$2:$E$2022,MATCH(ROW()-1,装备库!$AK$2:$AK$2022,0),COLUMN()),"")</f>
        <v/>
      </c>
      <c r="C1162" t="str">
        <f>IFERROR(INDEX(装备库!$A$2:$E$2022,MATCH(ROW()-1,装备库!$AK$2:$AK$2022,0),5),"")</f>
        <v/>
      </c>
    </row>
    <row r="1163" spans="1:3">
      <c r="A1163" t="str">
        <f>IFERROR(INDEX(装备库!$A$2:$E$2022,MATCH(ROW()-1,装备库!$AK$2:$AK$2022,0),COLUMN()),"")</f>
        <v/>
      </c>
      <c r="B1163" t="str">
        <f>IFERROR(INDEX(装备库!$A$2:$E$2022,MATCH(ROW()-1,装备库!$AK$2:$AK$2022,0),COLUMN()),"")</f>
        <v/>
      </c>
      <c r="C1163" t="str">
        <f>IFERROR(INDEX(装备库!$A$2:$E$2022,MATCH(ROW()-1,装备库!$AK$2:$AK$2022,0),5),"")</f>
        <v/>
      </c>
    </row>
    <row r="1164" spans="1:3">
      <c r="A1164" t="str">
        <f>IFERROR(INDEX(装备库!$A$2:$E$2022,MATCH(ROW()-1,装备库!$AK$2:$AK$2022,0),COLUMN()),"")</f>
        <v/>
      </c>
      <c r="B1164" t="str">
        <f>IFERROR(INDEX(装备库!$A$2:$E$2022,MATCH(ROW()-1,装备库!$AK$2:$AK$2022,0),COLUMN()),"")</f>
        <v/>
      </c>
      <c r="C1164" t="str">
        <f>IFERROR(INDEX(装备库!$A$2:$E$2022,MATCH(ROW()-1,装备库!$AK$2:$AK$2022,0),5),"")</f>
        <v/>
      </c>
    </row>
    <row r="1165" spans="1:3">
      <c r="A1165" t="str">
        <f>IFERROR(INDEX(装备库!$A$2:$E$2022,MATCH(ROW()-1,装备库!$AK$2:$AK$2022,0),COLUMN()),"")</f>
        <v/>
      </c>
      <c r="B1165" t="str">
        <f>IFERROR(INDEX(装备库!$A$2:$E$2022,MATCH(ROW()-1,装备库!$AK$2:$AK$2022,0),COLUMN()),"")</f>
        <v/>
      </c>
      <c r="C1165" t="str">
        <f>IFERROR(INDEX(装备库!$A$2:$E$2022,MATCH(ROW()-1,装备库!$AK$2:$AK$2022,0),5),"")</f>
        <v/>
      </c>
    </row>
    <row r="1166" spans="1:3">
      <c r="A1166" t="str">
        <f>IFERROR(INDEX(装备库!$A$2:$E$2022,MATCH(ROW()-1,装备库!$AK$2:$AK$2022,0),COLUMN()),"")</f>
        <v/>
      </c>
      <c r="B1166" t="str">
        <f>IFERROR(INDEX(装备库!$A$2:$E$2022,MATCH(ROW()-1,装备库!$AK$2:$AK$2022,0),COLUMN()),"")</f>
        <v/>
      </c>
      <c r="C1166" t="str">
        <f>IFERROR(INDEX(装备库!$A$2:$E$2022,MATCH(ROW()-1,装备库!$AK$2:$AK$2022,0),5),"")</f>
        <v/>
      </c>
    </row>
    <row r="1167" spans="1:3">
      <c r="A1167" t="str">
        <f>IFERROR(INDEX(装备库!$A$2:$E$2022,MATCH(ROW()-1,装备库!$AK$2:$AK$2022,0),COLUMN()),"")</f>
        <v/>
      </c>
      <c r="B1167" t="str">
        <f>IFERROR(INDEX(装备库!$A$2:$E$2022,MATCH(ROW()-1,装备库!$AK$2:$AK$2022,0),COLUMN()),"")</f>
        <v/>
      </c>
      <c r="C1167" t="str">
        <f>IFERROR(INDEX(装备库!$A$2:$E$2022,MATCH(ROW()-1,装备库!$AK$2:$AK$2022,0),5),"")</f>
        <v/>
      </c>
    </row>
    <row r="1168" spans="1:3">
      <c r="A1168" t="str">
        <f>IFERROR(INDEX(装备库!$A$2:$E$2022,MATCH(ROW()-1,装备库!$AK$2:$AK$2022,0),COLUMN()),"")</f>
        <v/>
      </c>
      <c r="B1168" t="str">
        <f>IFERROR(INDEX(装备库!$A$2:$E$2022,MATCH(ROW()-1,装备库!$AK$2:$AK$2022,0),COLUMN()),"")</f>
        <v/>
      </c>
      <c r="C1168" t="str">
        <f>IFERROR(INDEX(装备库!$A$2:$E$2022,MATCH(ROW()-1,装备库!$AK$2:$AK$2022,0),5),"")</f>
        <v/>
      </c>
    </row>
    <row r="1169" spans="1:3">
      <c r="A1169" t="str">
        <f>IFERROR(INDEX(装备库!$A$2:$E$2022,MATCH(ROW()-1,装备库!$AK$2:$AK$2022,0),COLUMN()),"")</f>
        <v/>
      </c>
      <c r="B1169" t="str">
        <f>IFERROR(INDEX(装备库!$A$2:$E$2022,MATCH(ROW()-1,装备库!$AK$2:$AK$2022,0),COLUMN()),"")</f>
        <v/>
      </c>
      <c r="C1169" t="str">
        <f>IFERROR(INDEX(装备库!$A$2:$E$2022,MATCH(ROW()-1,装备库!$AK$2:$AK$2022,0),5),"")</f>
        <v/>
      </c>
    </row>
    <row r="1170" spans="1:3">
      <c r="A1170" t="str">
        <f>IFERROR(INDEX(装备库!$A$2:$E$2022,MATCH(ROW()-1,装备库!$AK$2:$AK$2022,0),COLUMN()),"")</f>
        <v/>
      </c>
      <c r="B1170" t="str">
        <f>IFERROR(INDEX(装备库!$A$2:$E$2022,MATCH(ROW()-1,装备库!$AK$2:$AK$2022,0),COLUMN()),"")</f>
        <v/>
      </c>
      <c r="C1170" t="str">
        <f>IFERROR(INDEX(装备库!$A$2:$E$2022,MATCH(ROW()-1,装备库!$AK$2:$AK$2022,0),5),"")</f>
        <v/>
      </c>
    </row>
    <row r="1171" spans="1:3">
      <c r="A1171" t="str">
        <f>IFERROR(INDEX(装备库!$A$2:$E$2022,MATCH(ROW()-1,装备库!$AK$2:$AK$2022,0),COLUMN()),"")</f>
        <v/>
      </c>
      <c r="B1171" t="str">
        <f>IFERROR(INDEX(装备库!$A$2:$E$2022,MATCH(ROW()-1,装备库!$AK$2:$AK$2022,0),COLUMN()),"")</f>
        <v/>
      </c>
      <c r="C1171" t="str">
        <f>IFERROR(INDEX(装备库!$A$2:$E$2022,MATCH(ROW()-1,装备库!$AK$2:$AK$2022,0),5),"")</f>
        <v/>
      </c>
    </row>
    <row r="1172" spans="1:3">
      <c r="A1172" t="str">
        <f>IFERROR(INDEX(装备库!$A$2:$E$2022,MATCH(ROW()-1,装备库!$AK$2:$AK$2022,0),COLUMN()),"")</f>
        <v/>
      </c>
      <c r="B1172" t="str">
        <f>IFERROR(INDEX(装备库!$A$2:$E$2022,MATCH(ROW()-1,装备库!$AK$2:$AK$2022,0),COLUMN()),"")</f>
        <v/>
      </c>
      <c r="C1172" t="str">
        <f>IFERROR(INDEX(装备库!$A$2:$E$2022,MATCH(ROW()-1,装备库!$AK$2:$AK$2022,0),5),"")</f>
        <v/>
      </c>
    </row>
    <row r="1173" spans="1:3">
      <c r="A1173" t="str">
        <f>IFERROR(INDEX(装备库!$A$2:$E$2022,MATCH(ROW()-1,装备库!$AK$2:$AK$2022,0),COLUMN()),"")</f>
        <v/>
      </c>
      <c r="B1173" t="str">
        <f>IFERROR(INDEX(装备库!$A$2:$E$2022,MATCH(ROW()-1,装备库!$AK$2:$AK$2022,0),COLUMN()),"")</f>
        <v/>
      </c>
      <c r="C1173" t="str">
        <f>IFERROR(INDEX(装备库!$A$2:$E$2022,MATCH(ROW()-1,装备库!$AK$2:$AK$2022,0),5),"")</f>
        <v/>
      </c>
    </row>
    <row r="1174" spans="1:3">
      <c r="A1174" t="str">
        <f>IFERROR(INDEX(装备库!$A$2:$E$2022,MATCH(ROW()-1,装备库!$AK$2:$AK$2022,0),COLUMN()),"")</f>
        <v/>
      </c>
      <c r="B1174" t="str">
        <f>IFERROR(INDEX(装备库!$A$2:$E$2022,MATCH(ROW()-1,装备库!$AK$2:$AK$2022,0),COLUMN()),"")</f>
        <v/>
      </c>
      <c r="C1174" t="str">
        <f>IFERROR(INDEX(装备库!$A$2:$E$2022,MATCH(ROW()-1,装备库!$AK$2:$AK$2022,0),5),"")</f>
        <v/>
      </c>
    </row>
    <row r="1175" spans="1:3">
      <c r="A1175" t="str">
        <f>IFERROR(INDEX(装备库!$A$2:$E$2022,MATCH(ROW()-1,装备库!$AK$2:$AK$2022,0),COLUMN()),"")</f>
        <v/>
      </c>
      <c r="B1175" t="str">
        <f>IFERROR(INDEX(装备库!$A$2:$E$2022,MATCH(ROW()-1,装备库!$AK$2:$AK$2022,0),COLUMN()),"")</f>
        <v/>
      </c>
      <c r="C1175" t="str">
        <f>IFERROR(INDEX(装备库!$A$2:$E$2022,MATCH(ROW()-1,装备库!$AK$2:$AK$2022,0),5),"")</f>
        <v/>
      </c>
    </row>
    <row r="1176" spans="1:3">
      <c r="A1176" t="str">
        <f>IFERROR(INDEX(装备库!$A$2:$E$2022,MATCH(ROW()-1,装备库!$AK$2:$AK$2022,0),COLUMN()),"")</f>
        <v/>
      </c>
      <c r="B1176" t="str">
        <f>IFERROR(INDEX(装备库!$A$2:$E$2022,MATCH(ROW()-1,装备库!$AK$2:$AK$2022,0),COLUMN()),"")</f>
        <v/>
      </c>
      <c r="C1176" t="str">
        <f>IFERROR(INDEX(装备库!$A$2:$E$2022,MATCH(ROW()-1,装备库!$AK$2:$AK$2022,0),5),"")</f>
        <v/>
      </c>
    </row>
    <row r="1177" spans="1:3">
      <c r="A1177" t="str">
        <f>IFERROR(INDEX(装备库!$A$2:$E$2022,MATCH(ROW()-1,装备库!$AK$2:$AK$2022,0),COLUMN()),"")</f>
        <v/>
      </c>
      <c r="B1177" t="str">
        <f>IFERROR(INDEX(装备库!$A$2:$E$2022,MATCH(ROW()-1,装备库!$AK$2:$AK$2022,0),COLUMN()),"")</f>
        <v/>
      </c>
      <c r="C1177" t="str">
        <f>IFERROR(INDEX(装备库!$A$2:$E$2022,MATCH(ROW()-1,装备库!$AK$2:$AK$2022,0),5),"")</f>
        <v/>
      </c>
    </row>
    <row r="1178" spans="1:3">
      <c r="A1178" t="str">
        <f>IFERROR(INDEX(装备库!$A$2:$E$2022,MATCH(ROW()-1,装备库!$AK$2:$AK$2022,0),COLUMN()),"")</f>
        <v/>
      </c>
      <c r="B1178" t="str">
        <f>IFERROR(INDEX(装备库!$A$2:$E$2022,MATCH(ROW()-1,装备库!$AK$2:$AK$2022,0),COLUMN()),"")</f>
        <v/>
      </c>
      <c r="C1178" t="str">
        <f>IFERROR(INDEX(装备库!$A$2:$E$2022,MATCH(ROW()-1,装备库!$AK$2:$AK$2022,0),5),"")</f>
        <v/>
      </c>
    </row>
    <row r="1179" spans="1:3">
      <c r="A1179" t="str">
        <f>IFERROR(INDEX(装备库!$A$2:$E$2022,MATCH(ROW()-1,装备库!$AK$2:$AK$2022,0),COLUMN()),"")</f>
        <v/>
      </c>
      <c r="B1179" t="str">
        <f>IFERROR(INDEX(装备库!$A$2:$E$2022,MATCH(ROW()-1,装备库!$AK$2:$AK$2022,0),COLUMN()),"")</f>
        <v/>
      </c>
      <c r="C1179" t="str">
        <f>IFERROR(INDEX(装备库!$A$2:$E$2022,MATCH(ROW()-1,装备库!$AK$2:$AK$2022,0),5),"")</f>
        <v/>
      </c>
    </row>
    <row r="1180" spans="1:3">
      <c r="A1180" t="str">
        <f>IFERROR(INDEX(装备库!$A$2:$E$2022,MATCH(ROW()-1,装备库!$AK$2:$AK$2022,0),COLUMN()),"")</f>
        <v/>
      </c>
      <c r="B1180" t="str">
        <f>IFERROR(INDEX(装备库!$A$2:$E$2022,MATCH(ROW()-1,装备库!$AK$2:$AK$2022,0),COLUMN()),"")</f>
        <v/>
      </c>
      <c r="C1180" t="str">
        <f>IFERROR(INDEX(装备库!$A$2:$E$2022,MATCH(ROW()-1,装备库!$AK$2:$AK$2022,0),5),"")</f>
        <v/>
      </c>
    </row>
    <row r="1181" spans="1:3">
      <c r="A1181" t="str">
        <f>IFERROR(INDEX(装备库!$A$2:$E$2022,MATCH(ROW()-1,装备库!$AK$2:$AK$2022,0),COLUMN()),"")</f>
        <v/>
      </c>
      <c r="B1181" t="str">
        <f>IFERROR(INDEX(装备库!$A$2:$E$2022,MATCH(ROW()-1,装备库!$AK$2:$AK$2022,0),COLUMN()),"")</f>
        <v/>
      </c>
      <c r="C1181" t="str">
        <f>IFERROR(INDEX(装备库!$A$2:$E$2022,MATCH(ROW()-1,装备库!$AK$2:$AK$2022,0),5),"")</f>
        <v/>
      </c>
    </row>
    <row r="1182" spans="1:3">
      <c r="A1182" t="str">
        <f>IFERROR(INDEX(装备库!$A$2:$E$2022,MATCH(ROW()-1,装备库!$AK$2:$AK$2022,0),COLUMN()),"")</f>
        <v/>
      </c>
      <c r="B1182" t="str">
        <f>IFERROR(INDEX(装备库!$A$2:$E$2022,MATCH(ROW()-1,装备库!$AK$2:$AK$2022,0),COLUMN()),"")</f>
        <v/>
      </c>
      <c r="C1182" t="str">
        <f>IFERROR(INDEX(装备库!$A$2:$E$2022,MATCH(ROW()-1,装备库!$AK$2:$AK$2022,0),5),"")</f>
        <v/>
      </c>
    </row>
    <row r="1183" spans="1:3">
      <c r="A1183" t="str">
        <f>IFERROR(INDEX(装备库!$A$2:$E$2022,MATCH(ROW()-1,装备库!$AK$2:$AK$2022,0),COLUMN()),"")</f>
        <v/>
      </c>
      <c r="B1183" t="str">
        <f>IFERROR(INDEX(装备库!$A$2:$E$2022,MATCH(ROW()-1,装备库!$AK$2:$AK$2022,0),COLUMN()),"")</f>
        <v/>
      </c>
      <c r="C1183" t="str">
        <f>IFERROR(INDEX(装备库!$A$2:$E$2022,MATCH(ROW()-1,装备库!$AK$2:$AK$2022,0),5),"")</f>
        <v/>
      </c>
    </row>
    <row r="1184" spans="1:3">
      <c r="A1184" t="str">
        <f>IFERROR(INDEX(装备库!$A$2:$E$2022,MATCH(ROW()-1,装备库!$AK$2:$AK$2022,0),COLUMN()),"")</f>
        <v/>
      </c>
      <c r="B1184" t="str">
        <f>IFERROR(INDEX(装备库!$A$2:$E$2022,MATCH(ROW()-1,装备库!$AK$2:$AK$2022,0),COLUMN()),"")</f>
        <v/>
      </c>
      <c r="C1184" t="str">
        <f>IFERROR(INDEX(装备库!$A$2:$E$2022,MATCH(ROW()-1,装备库!$AK$2:$AK$2022,0),5),"")</f>
        <v/>
      </c>
    </row>
    <row r="1185" spans="1:3">
      <c r="A1185" t="str">
        <f>IFERROR(INDEX(装备库!$A$2:$E$2022,MATCH(ROW()-1,装备库!$AK$2:$AK$2022,0),COLUMN()),"")</f>
        <v/>
      </c>
      <c r="B1185" t="str">
        <f>IFERROR(INDEX(装备库!$A$2:$E$2022,MATCH(ROW()-1,装备库!$AK$2:$AK$2022,0),COLUMN()),"")</f>
        <v/>
      </c>
      <c r="C1185" t="str">
        <f>IFERROR(INDEX(装备库!$A$2:$E$2022,MATCH(ROW()-1,装备库!$AK$2:$AK$2022,0),5),"")</f>
        <v/>
      </c>
    </row>
    <row r="1186" spans="1:3">
      <c r="A1186" t="str">
        <f>IFERROR(INDEX(装备库!$A$2:$E$2022,MATCH(ROW()-1,装备库!$AK$2:$AK$2022,0),COLUMN()),"")</f>
        <v/>
      </c>
      <c r="B1186" t="str">
        <f>IFERROR(INDEX(装备库!$A$2:$E$2022,MATCH(ROW()-1,装备库!$AK$2:$AK$2022,0),COLUMN()),"")</f>
        <v/>
      </c>
      <c r="C1186" t="str">
        <f>IFERROR(INDEX(装备库!$A$2:$E$2022,MATCH(ROW()-1,装备库!$AK$2:$AK$2022,0),5),"")</f>
        <v/>
      </c>
    </row>
    <row r="1187" spans="1:3">
      <c r="A1187" t="str">
        <f>IFERROR(INDEX(装备库!$A$2:$E$2022,MATCH(ROW()-1,装备库!$AK$2:$AK$2022,0),COLUMN()),"")</f>
        <v/>
      </c>
      <c r="B1187" t="str">
        <f>IFERROR(INDEX(装备库!$A$2:$E$2022,MATCH(ROW()-1,装备库!$AK$2:$AK$2022,0),COLUMN()),"")</f>
        <v/>
      </c>
      <c r="C1187" t="str">
        <f>IFERROR(INDEX(装备库!$A$2:$E$2022,MATCH(ROW()-1,装备库!$AK$2:$AK$2022,0),5),"")</f>
        <v/>
      </c>
    </row>
    <row r="1188" spans="1:3">
      <c r="A1188" t="str">
        <f>IFERROR(INDEX(装备库!$A$2:$E$2022,MATCH(ROW()-1,装备库!$AK$2:$AK$2022,0),COLUMN()),"")</f>
        <v/>
      </c>
      <c r="B1188" t="str">
        <f>IFERROR(INDEX(装备库!$A$2:$E$2022,MATCH(ROW()-1,装备库!$AK$2:$AK$2022,0),COLUMN()),"")</f>
        <v/>
      </c>
      <c r="C1188" t="str">
        <f>IFERROR(INDEX(装备库!$A$2:$E$2022,MATCH(ROW()-1,装备库!$AK$2:$AK$2022,0),5),"")</f>
        <v/>
      </c>
    </row>
    <row r="1189" spans="1:3">
      <c r="A1189" t="str">
        <f>IFERROR(INDEX(装备库!$A$2:$E$2022,MATCH(ROW()-1,装备库!$AK$2:$AK$2022,0),COLUMN()),"")</f>
        <v/>
      </c>
      <c r="B1189" t="str">
        <f>IFERROR(INDEX(装备库!$A$2:$E$2022,MATCH(ROW()-1,装备库!$AK$2:$AK$2022,0),COLUMN()),"")</f>
        <v/>
      </c>
      <c r="C1189" t="str">
        <f>IFERROR(INDEX(装备库!$A$2:$E$2022,MATCH(ROW()-1,装备库!$AK$2:$AK$2022,0),5),"")</f>
        <v/>
      </c>
    </row>
    <row r="1190" spans="1:3">
      <c r="A1190" t="str">
        <f>IFERROR(INDEX(装备库!$A$2:$E$2022,MATCH(ROW()-1,装备库!$AK$2:$AK$2022,0),COLUMN()),"")</f>
        <v/>
      </c>
      <c r="B1190" t="str">
        <f>IFERROR(INDEX(装备库!$A$2:$E$2022,MATCH(ROW()-1,装备库!$AK$2:$AK$2022,0),COLUMN()),"")</f>
        <v/>
      </c>
      <c r="C1190" t="str">
        <f>IFERROR(INDEX(装备库!$A$2:$E$2022,MATCH(ROW()-1,装备库!$AK$2:$AK$2022,0),5),"")</f>
        <v/>
      </c>
    </row>
    <row r="1191" spans="1:3">
      <c r="A1191" t="str">
        <f>IFERROR(INDEX(装备库!$A$2:$E$2022,MATCH(ROW()-1,装备库!$AK$2:$AK$2022,0),COLUMN()),"")</f>
        <v/>
      </c>
      <c r="B1191" t="str">
        <f>IFERROR(INDEX(装备库!$A$2:$E$2022,MATCH(ROW()-1,装备库!$AK$2:$AK$2022,0),COLUMN()),"")</f>
        <v/>
      </c>
      <c r="C1191" t="str">
        <f>IFERROR(INDEX(装备库!$A$2:$E$2022,MATCH(ROW()-1,装备库!$AK$2:$AK$2022,0),5),"")</f>
        <v/>
      </c>
    </row>
    <row r="1192" spans="1:3">
      <c r="A1192" t="str">
        <f>IFERROR(INDEX(装备库!$A$2:$E$2022,MATCH(ROW()-1,装备库!$AK$2:$AK$2022,0),COLUMN()),"")</f>
        <v/>
      </c>
      <c r="B1192" t="str">
        <f>IFERROR(INDEX(装备库!$A$2:$E$2022,MATCH(ROW()-1,装备库!$AK$2:$AK$2022,0),COLUMN()),"")</f>
        <v/>
      </c>
      <c r="C1192" t="str">
        <f>IFERROR(INDEX(装备库!$A$2:$E$2022,MATCH(ROW()-1,装备库!$AK$2:$AK$2022,0),5),"")</f>
        <v/>
      </c>
    </row>
    <row r="1193" spans="1:3">
      <c r="A1193" t="str">
        <f>IFERROR(INDEX(装备库!$A$2:$E$2022,MATCH(ROW()-1,装备库!$AK$2:$AK$2022,0),COLUMN()),"")</f>
        <v/>
      </c>
      <c r="B1193" t="str">
        <f>IFERROR(INDEX(装备库!$A$2:$E$2022,MATCH(ROW()-1,装备库!$AK$2:$AK$2022,0),COLUMN()),"")</f>
        <v/>
      </c>
      <c r="C1193" t="str">
        <f>IFERROR(INDEX(装备库!$A$2:$E$2022,MATCH(ROW()-1,装备库!$AK$2:$AK$2022,0),5),"")</f>
        <v/>
      </c>
    </row>
    <row r="1194" spans="1:3">
      <c r="A1194" t="str">
        <f>IFERROR(INDEX(装备库!$A$2:$E$2022,MATCH(ROW()-1,装备库!$AK$2:$AK$2022,0),COLUMN()),"")</f>
        <v/>
      </c>
      <c r="B1194" t="str">
        <f>IFERROR(INDEX(装备库!$A$2:$E$2022,MATCH(ROW()-1,装备库!$AK$2:$AK$2022,0),COLUMN()),"")</f>
        <v/>
      </c>
      <c r="C1194" t="str">
        <f>IFERROR(INDEX(装备库!$A$2:$E$2022,MATCH(ROW()-1,装备库!$AK$2:$AK$2022,0),5),"")</f>
        <v/>
      </c>
    </row>
    <row r="1195" spans="1:3">
      <c r="A1195" t="str">
        <f>IFERROR(INDEX(装备库!$A$2:$E$2022,MATCH(ROW()-1,装备库!$AK$2:$AK$2022,0),COLUMN()),"")</f>
        <v/>
      </c>
      <c r="B1195" t="str">
        <f>IFERROR(INDEX(装备库!$A$2:$E$2022,MATCH(ROW()-1,装备库!$AK$2:$AK$2022,0),COLUMN()),"")</f>
        <v/>
      </c>
      <c r="C1195" t="str">
        <f>IFERROR(INDEX(装备库!$A$2:$E$2022,MATCH(ROW()-1,装备库!$AK$2:$AK$2022,0),5),"")</f>
        <v/>
      </c>
    </row>
    <row r="1196" spans="1:3">
      <c r="A1196" t="str">
        <f>IFERROR(INDEX(装备库!$A$2:$E$2022,MATCH(ROW()-1,装备库!$AK$2:$AK$2022,0),COLUMN()),"")</f>
        <v/>
      </c>
      <c r="B1196" t="str">
        <f>IFERROR(INDEX(装备库!$A$2:$E$2022,MATCH(ROW()-1,装备库!$AK$2:$AK$2022,0),COLUMN()),"")</f>
        <v/>
      </c>
      <c r="C1196" t="str">
        <f>IFERROR(INDEX(装备库!$A$2:$E$2022,MATCH(ROW()-1,装备库!$AK$2:$AK$2022,0),5),"")</f>
        <v/>
      </c>
    </row>
    <row r="1197" spans="1:3">
      <c r="A1197" t="str">
        <f>IFERROR(INDEX(装备库!$A$2:$E$2022,MATCH(ROW()-1,装备库!$AK$2:$AK$2022,0),COLUMN()),"")</f>
        <v/>
      </c>
      <c r="B1197" t="str">
        <f>IFERROR(INDEX(装备库!$A$2:$E$2022,MATCH(ROW()-1,装备库!$AK$2:$AK$2022,0),COLUMN()),"")</f>
        <v/>
      </c>
      <c r="C1197" t="str">
        <f>IFERROR(INDEX(装备库!$A$2:$E$2022,MATCH(ROW()-1,装备库!$AK$2:$AK$2022,0),5),"")</f>
        <v/>
      </c>
    </row>
    <row r="1198" spans="1:3">
      <c r="A1198" t="str">
        <f>IFERROR(INDEX(装备库!$A$2:$E$2022,MATCH(ROW()-1,装备库!$AK$2:$AK$2022,0),COLUMN()),"")</f>
        <v/>
      </c>
      <c r="B1198" t="str">
        <f>IFERROR(INDEX(装备库!$A$2:$E$2022,MATCH(ROW()-1,装备库!$AK$2:$AK$2022,0),COLUMN()),"")</f>
        <v/>
      </c>
      <c r="C1198" t="str">
        <f>IFERROR(INDEX(装备库!$A$2:$E$2022,MATCH(ROW()-1,装备库!$AK$2:$AK$2022,0),5),"")</f>
        <v/>
      </c>
    </row>
    <row r="1199" spans="1:3">
      <c r="A1199" t="str">
        <f>IFERROR(INDEX(装备库!$A$2:$E$2022,MATCH(ROW()-1,装备库!$AK$2:$AK$2022,0),COLUMN()),"")</f>
        <v/>
      </c>
      <c r="B1199" t="str">
        <f>IFERROR(INDEX(装备库!$A$2:$E$2022,MATCH(ROW()-1,装备库!$AK$2:$AK$2022,0),COLUMN()),"")</f>
        <v/>
      </c>
      <c r="C1199" t="str">
        <f>IFERROR(INDEX(装备库!$A$2:$E$2022,MATCH(ROW()-1,装备库!$AK$2:$AK$2022,0),5),"")</f>
        <v/>
      </c>
    </row>
    <row r="1200" spans="1:3">
      <c r="A1200" t="str">
        <f>IFERROR(INDEX(装备库!$A$2:$E$2022,MATCH(ROW()-1,装备库!$AK$2:$AK$2022,0),COLUMN()),"")</f>
        <v/>
      </c>
      <c r="B1200" t="str">
        <f>IFERROR(INDEX(装备库!$A$2:$E$2022,MATCH(ROW()-1,装备库!$AK$2:$AK$2022,0),COLUMN()),"")</f>
        <v/>
      </c>
      <c r="C1200" t="str">
        <f>IFERROR(INDEX(装备库!$A$2:$E$2022,MATCH(ROW()-1,装备库!$AK$2:$AK$2022,0),5),"")</f>
        <v/>
      </c>
    </row>
    <row r="1201" spans="1:3">
      <c r="A1201" t="str">
        <f>IFERROR(INDEX(装备库!$A$2:$E$2022,MATCH(ROW()-1,装备库!$AK$2:$AK$2022,0),COLUMN()),"")</f>
        <v/>
      </c>
      <c r="B1201" t="str">
        <f>IFERROR(INDEX(装备库!$A$2:$E$2022,MATCH(ROW()-1,装备库!$AK$2:$AK$2022,0),COLUMN()),"")</f>
        <v/>
      </c>
      <c r="C1201" t="str">
        <f>IFERROR(INDEX(装备库!$A$2:$E$2022,MATCH(ROW()-1,装备库!$AK$2:$AK$2022,0),5),"")</f>
        <v/>
      </c>
    </row>
    <row r="1202" spans="1:3">
      <c r="A1202" t="str">
        <f>IFERROR(INDEX(装备库!$A$2:$E$2022,MATCH(ROW()-1,装备库!$AK$2:$AK$2022,0),COLUMN()),"")</f>
        <v/>
      </c>
      <c r="B1202" t="str">
        <f>IFERROR(INDEX(装备库!$A$2:$E$2022,MATCH(ROW()-1,装备库!$AK$2:$AK$2022,0),COLUMN()),"")</f>
        <v/>
      </c>
      <c r="C1202" t="str">
        <f>IFERROR(INDEX(装备库!$A$2:$E$2022,MATCH(ROW()-1,装备库!$AK$2:$AK$2022,0),5),"")</f>
        <v/>
      </c>
    </row>
    <row r="1203" spans="1:3">
      <c r="A1203" t="str">
        <f>IFERROR(INDEX(装备库!$A$2:$E$2022,MATCH(ROW()-1,装备库!$AK$2:$AK$2022,0),COLUMN()),"")</f>
        <v/>
      </c>
      <c r="B1203" t="str">
        <f>IFERROR(INDEX(装备库!$A$2:$E$2022,MATCH(ROW()-1,装备库!$AK$2:$AK$2022,0),COLUMN()),"")</f>
        <v/>
      </c>
      <c r="C1203" t="str">
        <f>IFERROR(INDEX(装备库!$A$2:$E$2022,MATCH(ROW()-1,装备库!$AK$2:$AK$2022,0),5),"")</f>
        <v/>
      </c>
    </row>
    <row r="1204" spans="1:3">
      <c r="A1204" t="str">
        <f>IFERROR(INDEX(装备库!$A$2:$E$2022,MATCH(ROW()-1,装备库!$AK$2:$AK$2022,0),COLUMN()),"")</f>
        <v/>
      </c>
      <c r="B1204" t="str">
        <f>IFERROR(INDEX(装备库!$A$2:$E$2022,MATCH(ROW()-1,装备库!$AK$2:$AK$2022,0),COLUMN()),"")</f>
        <v/>
      </c>
      <c r="C1204" t="str">
        <f>IFERROR(INDEX(装备库!$A$2:$E$2022,MATCH(ROW()-1,装备库!$AK$2:$AK$2022,0),5),"")</f>
        <v/>
      </c>
    </row>
    <row r="1205" spans="1:3">
      <c r="A1205" t="str">
        <f>IFERROR(INDEX(装备库!$A$2:$E$2022,MATCH(ROW()-1,装备库!$AK$2:$AK$2022,0),COLUMN()),"")</f>
        <v/>
      </c>
      <c r="B1205" t="str">
        <f>IFERROR(INDEX(装备库!$A$2:$E$2022,MATCH(ROW()-1,装备库!$AK$2:$AK$2022,0),COLUMN()),"")</f>
        <v/>
      </c>
      <c r="C1205" t="str">
        <f>IFERROR(INDEX(装备库!$A$2:$E$2022,MATCH(ROW()-1,装备库!$AK$2:$AK$2022,0),5),"")</f>
        <v/>
      </c>
    </row>
    <row r="1206" spans="1:3">
      <c r="A1206" t="str">
        <f>IFERROR(INDEX(装备库!$A$2:$E$2022,MATCH(ROW()-1,装备库!$AK$2:$AK$2022,0),COLUMN()),"")</f>
        <v/>
      </c>
      <c r="B1206" t="str">
        <f>IFERROR(INDEX(装备库!$A$2:$E$2022,MATCH(ROW()-1,装备库!$AK$2:$AK$2022,0),COLUMN()),"")</f>
        <v/>
      </c>
      <c r="C1206" t="str">
        <f>IFERROR(INDEX(装备库!$A$2:$E$2022,MATCH(ROW()-1,装备库!$AK$2:$AK$2022,0),5),"")</f>
        <v/>
      </c>
    </row>
    <row r="1207" spans="1:3">
      <c r="A1207" t="str">
        <f>IFERROR(INDEX(装备库!$A$2:$E$2022,MATCH(ROW()-1,装备库!$AK$2:$AK$2022,0),COLUMN()),"")</f>
        <v/>
      </c>
      <c r="B1207" t="str">
        <f>IFERROR(INDEX(装备库!$A$2:$E$2022,MATCH(ROW()-1,装备库!$AK$2:$AK$2022,0),COLUMN()),"")</f>
        <v/>
      </c>
      <c r="C1207" t="str">
        <f>IFERROR(INDEX(装备库!$A$2:$E$2022,MATCH(ROW()-1,装备库!$AK$2:$AK$2022,0),5),"")</f>
        <v/>
      </c>
    </row>
    <row r="1208" spans="1:3">
      <c r="A1208" t="str">
        <f>IFERROR(INDEX(装备库!$A$2:$E$2022,MATCH(ROW()-1,装备库!$AK$2:$AK$2022,0),COLUMN()),"")</f>
        <v/>
      </c>
      <c r="B1208" t="str">
        <f>IFERROR(INDEX(装备库!$A$2:$E$2022,MATCH(ROW()-1,装备库!$AK$2:$AK$2022,0),COLUMN()),"")</f>
        <v/>
      </c>
      <c r="C1208" t="str">
        <f>IFERROR(INDEX(装备库!$A$2:$E$2022,MATCH(ROW()-1,装备库!$AK$2:$AK$2022,0),5),"")</f>
        <v/>
      </c>
    </row>
    <row r="1209" spans="1:3">
      <c r="A1209" t="str">
        <f>IFERROR(INDEX(装备库!$A$2:$E$2022,MATCH(ROW()-1,装备库!$AK$2:$AK$2022,0),COLUMN()),"")</f>
        <v/>
      </c>
      <c r="B1209" t="str">
        <f>IFERROR(INDEX(装备库!$A$2:$E$2022,MATCH(ROW()-1,装备库!$AK$2:$AK$2022,0),COLUMN()),"")</f>
        <v/>
      </c>
      <c r="C1209" t="str">
        <f>IFERROR(INDEX(装备库!$A$2:$E$2022,MATCH(ROW()-1,装备库!$AK$2:$AK$2022,0),5),"")</f>
        <v/>
      </c>
    </row>
    <row r="1210" spans="1:3">
      <c r="A1210" t="str">
        <f>IFERROR(INDEX(装备库!$A$2:$E$2022,MATCH(ROW()-1,装备库!$AK$2:$AK$2022,0),COLUMN()),"")</f>
        <v/>
      </c>
      <c r="B1210" t="str">
        <f>IFERROR(INDEX(装备库!$A$2:$E$2022,MATCH(ROW()-1,装备库!$AK$2:$AK$2022,0),COLUMN()),"")</f>
        <v/>
      </c>
      <c r="C1210" t="str">
        <f>IFERROR(INDEX(装备库!$A$2:$E$2022,MATCH(ROW()-1,装备库!$AK$2:$AK$2022,0),5),"")</f>
        <v/>
      </c>
    </row>
    <row r="1211" spans="1:3">
      <c r="A1211" t="str">
        <f>IFERROR(INDEX(装备库!$A$2:$E$2022,MATCH(ROW()-1,装备库!$AK$2:$AK$2022,0),COLUMN()),"")</f>
        <v/>
      </c>
      <c r="B1211" t="str">
        <f>IFERROR(INDEX(装备库!$A$2:$E$2022,MATCH(ROW()-1,装备库!$AK$2:$AK$2022,0),COLUMN()),"")</f>
        <v/>
      </c>
      <c r="C1211" t="str">
        <f>IFERROR(INDEX(装备库!$A$2:$E$2022,MATCH(ROW()-1,装备库!$AK$2:$AK$2022,0),5),"")</f>
        <v/>
      </c>
    </row>
    <row r="1212" spans="1:3">
      <c r="A1212" t="str">
        <f>IFERROR(INDEX(装备库!$A$2:$E$2022,MATCH(ROW()-1,装备库!$AK$2:$AK$2022,0),COLUMN()),"")</f>
        <v/>
      </c>
      <c r="B1212" t="str">
        <f>IFERROR(INDEX(装备库!$A$2:$E$2022,MATCH(ROW()-1,装备库!$AK$2:$AK$2022,0),COLUMN()),"")</f>
        <v/>
      </c>
      <c r="C1212" t="str">
        <f>IFERROR(INDEX(装备库!$A$2:$E$2022,MATCH(ROW()-1,装备库!$AK$2:$AK$2022,0),5),"")</f>
        <v/>
      </c>
    </row>
    <row r="1213" spans="1:3">
      <c r="A1213" t="str">
        <f>IFERROR(INDEX(装备库!$A$2:$E$2022,MATCH(ROW()-1,装备库!$AK$2:$AK$2022,0),COLUMN()),"")</f>
        <v/>
      </c>
      <c r="B1213" t="str">
        <f>IFERROR(INDEX(装备库!$A$2:$E$2022,MATCH(ROW()-1,装备库!$AK$2:$AK$2022,0),COLUMN()),"")</f>
        <v/>
      </c>
      <c r="C1213" t="str">
        <f>IFERROR(INDEX(装备库!$A$2:$E$2022,MATCH(ROW()-1,装备库!$AK$2:$AK$2022,0),5),"")</f>
        <v/>
      </c>
    </row>
    <row r="1214" spans="1:3">
      <c r="A1214" t="str">
        <f>IFERROR(INDEX(装备库!$A$2:$E$2022,MATCH(ROW()-1,装备库!$AK$2:$AK$2022,0),COLUMN()),"")</f>
        <v/>
      </c>
      <c r="B1214" t="str">
        <f>IFERROR(INDEX(装备库!$A$2:$E$2022,MATCH(ROW()-1,装备库!$AK$2:$AK$2022,0),COLUMN()),"")</f>
        <v/>
      </c>
      <c r="C1214" t="str">
        <f>IFERROR(INDEX(装备库!$A$2:$E$2022,MATCH(ROW()-1,装备库!$AK$2:$AK$2022,0),5),"")</f>
        <v/>
      </c>
    </row>
    <row r="1215" spans="1:3">
      <c r="A1215" t="str">
        <f>IFERROR(INDEX(装备库!$A$2:$E$2022,MATCH(ROW()-1,装备库!$AK$2:$AK$2022,0),COLUMN()),"")</f>
        <v/>
      </c>
      <c r="B1215" t="str">
        <f>IFERROR(INDEX(装备库!$A$2:$E$2022,MATCH(ROW()-1,装备库!$AK$2:$AK$2022,0),COLUMN()),"")</f>
        <v/>
      </c>
      <c r="C1215" t="str">
        <f>IFERROR(INDEX(装备库!$A$2:$E$2022,MATCH(ROW()-1,装备库!$AK$2:$AK$2022,0),5),"")</f>
        <v/>
      </c>
    </row>
    <row r="1216" spans="1:3">
      <c r="A1216" t="str">
        <f>IFERROR(INDEX(装备库!$A$2:$E$2022,MATCH(ROW()-1,装备库!$AK$2:$AK$2022,0),COLUMN()),"")</f>
        <v/>
      </c>
      <c r="B1216" t="str">
        <f>IFERROR(INDEX(装备库!$A$2:$E$2022,MATCH(ROW()-1,装备库!$AK$2:$AK$2022,0),COLUMN()),"")</f>
        <v/>
      </c>
      <c r="C1216" t="str">
        <f>IFERROR(INDEX(装备库!$A$2:$E$2022,MATCH(ROW()-1,装备库!$AK$2:$AK$2022,0),5),"")</f>
        <v/>
      </c>
    </row>
    <row r="1217" spans="1:3">
      <c r="A1217" t="str">
        <f>IFERROR(INDEX(装备库!$A$2:$E$2022,MATCH(ROW()-1,装备库!$AK$2:$AK$2022,0),COLUMN()),"")</f>
        <v/>
      </c>
      <c r="B1217" t="str">
        <f>IFERROR(INDEX(装备库!$A$2:$E$2022,MATCH(ROW()-1,装备库!$AK$2:$AK$2022,0),COLUMN()),"")</f>
        <v/>
      </c>
      <c r="C1217" t="str">
        <f>IFERROR(INDEX(装备库!$A$2:$E$2022,MATCH(ROW()-1,装备库!$AK$2:$AK$2022,0),5),"")</f>
        <v/>
      </c>
    </row>
    <row r="1218" spans="1:3">
      <c r="A1218" t="str">
        <f>IFERROR(INDEX(装备库!$A$2:$E$2022,MATCH(ROW()-1,装备库!$AK$2:$AK$2022,0),COLUMN()),"")</f>
        <v/>
      </c>
      <c r="B1218" t="str">
        <f>IFERROR(INDEX(装备库!$A$2:$E$2022,MATCH(ROW()-1,装备库!$AK$2:$AK$2022,0),COLUMN()),"")</f>
        <v/>
      </c>
      <c r="C1218" t="str">
        <f>IFERROR(INDEX(装备库!$A$2:$E$2022,MATCH(ROW()-1,装备库!$AK$2:$AK$2022,0),5),"")</f>
        <v/>
      </c>
    </row>
    <row r="1219" spans="1:3">
      <c r="A1219" t="str">
        <f>IFERROR(INDEX(装备库!$A$2:$E$2022,MATCH(ROW()-1,装备库!$AK$2:$AK$2022,0),COLUMN()),"")</f>
        <v/>
      </c>
      <c r="B1219" t="str">
        <f>IFERROR(INDEX(装备库!$A$2:$E$2022,MATCH(ROW()-1,装备库!$AK$2:$AK$2022,0),COLUMN()),"")</f>
        <v/>
      </c>
      <c r="C1219" t="str">
        <f>IFERROR(INDEX(装备库!$A$2:$E$2022,MATCH(ROW()-1,装备库!$AK$2:$AK$2022,0),5),"")</f>
        <v/>
      </c>
    </row>
    <row r="1220" spans="1:3">
      <c r="A1220" t="str">
        <f>IFERROR(INDEX(装备库!$A$2:$E$2022,MATCH(ROW()-1,装备库!$AK$2:$AK$2022,0),COLUMN()),"")</f>
        <v/>
      </c>
      <c r="B1220" t="str">
        <f>IFERROR(INDEX(装备库!$A$2:$E$2022,MATCH(ROW()-1,装备库!$AK$2:$AK$2022,0),COLUMN()),"")</f>
        <v/>
      </c>
      <c r="C1220" t="str">
        <f>IFERROR(INDEX(装备库!$A$2:$E$2022,MATCH(ROW()-1,装备库!$AK$2:$AK$2022,0),5),"")</f>
        <v/>
      </c>
    </row>
    <row r="1221" spans="1:3">
      <c r="A1221" t="str">
        <f>IFERROR(INDEX(装备库!$A$2:$E$2022,MATCH(ROW()-1,装备库!$AK$2:$AK$2022,0),COLUMN()),"")</f>
        <v/>
      </c>
      <c r="B1221" t="str">
        <f>IFERROR(INDEX(装备库!$A$2:$E$2022,MATCH(ROW()-1,装备库!$AK$2:$AK$2022,0),COLUMN()),"")</f>
        <v/>
      </c>
      <c r="C1221" t="str">
        <f>IFERROR(INDEX(装备库!$A$2:$E$2022,MATCH(ROW()-1,装备库!$AK$2:$AK$2022,0),5),"")</f>
        <v/>
      </c>
    </row>
    <row r="1222" spans="1:3">
      <c r="A1222" t="str">
        <f>IFERROR(INDEX(装备库!$A$2:$E$2022,MATCH(ROW()-1,装备库!$AK$2:$AK$2022,0),COLUMN()),"")</f>
        <v/>
      </c>
      <c r="B1222" t="str">
        <f>IFERROR(INDEX(装备库!$A$2:$E$2022,MATCH(ROW()-1,装备库!$AK$2:$AK$2022,0),COLUMN()),"")</f>
        <v/>
      </c>
      <c r="C1222" t="str">
        <f>IFERROR(INDEX(装备库!$A$2:$E$2022,MATCH(ROW()-1,装备库!$AK$2:$AK$2022,0),5),"")</f>
        <v/>
      </c>
    </row>
    <row r="1223" spans="1:3">
      <c r="A1223" t="str">
        <f>IFERROR(INDEX(装备库!$A$2:$E$2022,MATCH(ROW()-1,装备库!$AK$2:$AK$2022,0),COLUMN()),"")</f>
        <v/>
      </c>
      <c r="B1223" t="str">
        <f>IFERROR(INDEX(装备库!$A$2:$E$2022,MATCH(ROW()-1,装备库!$AK$2:$AK$2022,0),COLUMN()),"")</f>
        <v/>
      </c>
      <c r="C1223" t="str">
        <f>IFERROR(INDEX(装备库!$A$2:$E$2022,MATCH(ROW()-1,装备库!$AK$2:$AK$2022,0),5),"")</f>
        <v/>
      </c>
    </row>
    <row r="1224" spans="1:3">
      <c r="A1224" t="str">
        <f>IFERROR(INDEX(装备库!$A$2:$E$2022,MATCH(ROW()-1,装备库!$AK$2:$AK$2022,0),COLUMN()),"")</f>
        <v/>
      </c>
      <c r="B1224" t="str">
        <f>IFERROR(INDEX(装备库!$A$2:$E$2022,MATCH(ROW()-1,装备库!$AK$2:$AK$2022,0),COLUMN()),"")</f>
        <v/>
      </c>
      <c r="C1224" t="str">
        <f>IFERROR(INDEX(装备库!$A$2:$E$2022,MATCH(ROW()-1,装备库!$AK$2:$AK$2022,0),5),"")</f>
        <v/>
      </c>
    </row>
    <row r="1225" spans="1:3">
      <c r="A1225" t="str">
        <f>IFERROR(INDEX(装备库!$A$2:$E$2022,MATCH(ROW()-1,装备库!$AK$2:$AK$2022,0),COLUMN()),"")</f>
        <v/>
      </c>
      <c r="B1225" t="str">
        <f>IFERROR(INDEX(装备库!$A$2:$E$2022,MATCH(ROW()-1,装备库!$AK$2:$AK$2022,0),COLUMN()),"")</f>
        <v/>
      </c>
      <c r="C1225" t="str">
        <f>IFERROR(INDEX(装备库!$A$2:$E$2022,MATCH(ROW()-1,装备库!$AK$2:$AK$2022,0),5),"")</f>
        <v/>
      </c>
    </row>
    <row r="1226" spans="1:3">
      <c r="A1226" t="str">
        <f>IFERROR(INDEX(装备库!$A$2:$E$2022,MATCH(ROW()-1,装备库!$AK$2:$AK$2022,0),COLUMN()),"")</f>
        <v/>
      </c>
      <c r="B1226" t="str">
        <f>IFERROR(INDEX(装备库!$A$2:$E$2022,MATCH(ROW()-1,装备库!$AK$2:$AK$2022,0),COLUMN()),"")</f>
        <v/>
      </c>
      <c r="C1226" t="str">
        <f>IFERROR(INDEX(装备库!$A$2:$E$2022,MATCH(ROW()-1,装备库!$AK$2:$AK$2022,0),5),"")</f>
        <v/>
      </c>
    </row>
    <row r="1227" spans="1:3">
      <c r="A1227" t="str">
        <f>IFERROR(INDEX(装备库!$A$2:$E$2022,MATCH(ROW()-1,装备库!$AK$2:$AK$2022,0),COLUMN()),"")</f>
        <v/>
      </c>
      <c r="B1227" t="str">
        <f>IFERROR(INDEX(装备库!$A$2:$E$2022,MATCH(ROW()-1,装备库!$AK$2:$AK$2022,0),COLUMN()),"")</f>
        <v/>
      </c>
      <c r="C1227" t="str">
        <f>IFERROR(INDEX(装备库!$A$2:$E$2022,MATCH(ROW()-1,装备库!$AK$2:$AK$2022,0),5),"")</f>
        <v/>
      </c>
    </row>
    <row r="1228" spans="1:3">
      <c r="A1228" t="str">
        <f>IFERROR(INDEX(装备库!$A$2:$E$2022,MATCH(ROW()-1,装备库!$AK$2:$AK$2022,0),COLUMN()),"")</f>
        <v/>
      </c>
      <c r="B1228" t="str">
        <f>IFERROR(INDEX(装备库!$A$2:$E$2022,MATCH(ROW()-1,装备库!$AK$2:$AK$2022,0),COLUMN()),"")</f>
        <v/>
      </c>
      <c r="C1228" t="str">
        <f>IFERROR(INDEX(装备库!$A$2:$E$2022,MATCH(ROW()-1,装备库!$AK$2:$AK$2022,0),5),"")</f>
        <v/>
      </c>
    </row>
    <row r="1229" spans="1:3">
      <c r="A1229" t="str">
        <f>IFERROR(INDEX(装备库!$A$2:$E$2022,MATCH(ROW()-1,装备库!$AK$2:$AK$2022,0),COLUMN()),"")</f>
        <v/>
      </c>
      <c r="B1229" t="str">
        <f>IFERROR(INDEX(装备库!$A$2:$E$2022,MATCH(ROW()-1,装备库!$AK$2:$AK$2022,0),COLUMN()),"")</f>
        <v/>
      </c>
      <c r="C1229" t="str">
        <f>IFERROR(INDEX(装备库!$A$2:$E$2022,MATCH(ROW()-1,装备库!$AK$2:$AK$2022,0),5),"")</f>
        <v/>
      </c>
    </row>
    <row r="1230" spans="1:3">
      <c r="A1230" t="str">
        <f>IFERROR(INDEX(装备库!$A$2:$E$2022,MATCH(ROW()-1,装备库!$AK$2:$AK$2022,0),COLUMN()),"")</f>
        <v/>
      </c>
      <c r="B1230" t="str">
        <f>IFERROR(INDEX(装备库!$A$2:$E$2022,MATCH(ROW()-1,装备库!$AK$2:$AK$2022,0),COLUMN()),"")</f>
        <v/>
      </c>
      <c r="C1230" t="str">
        <f>IFERROR(INDEX(装备库!$A$2:$E$2022,MATCH(ROW()-1,装备库!$AK$2:$AK$2022,0),5),"")</f>
        <v/>
      </c>
    </row>
    <row r="1231" spans="1:3">
      <c r="A1231" t="str">
        <f>IFERROR(INDEX(装备库!$A$2:$E$2022,MATCH(ROW()-1,装备库!$AK$2:$AK$2022,0),COLUMN()),"")</f>
        <v/>
      </c>
      <c r="B1231" t="str">
        <f>IFERROR(INDEX(装备库!$A$2:$E$2022,MATCH(ROW()-1,装备库!$AK$2:$AK$2022,0),COLUMN()),"")</f>
        <v/>
      </c>
      <c r="C1231" t="str">
        <f>IFERROR(INDEX(装备库!$A$2:$E$2022,MATCH(ROW()-1,装备库!$AK$2:$AK$2022,0),5),"")</f>
        <v/>
      </c>
    </row>
    <row r="1232" spans="1:3">
      <c r="A1232" t="str">
        <f>IFERROR(INDEX(装备库!$A$2:$E$2022,MATCH(ROW()-1,装备库!$AK$2:$AK$2022,0),COLUMN()),"")</f>
        <v/>
      </c>
      <c r="B1232" t="str">
        <f>IFERROR(INDEX(装备库!$A$2:$E$2022,MATCH(ROW()-1,装备库!$AK$2:$AK$2022,0),COLUMN()),"")</f>
        <v/>
      </c>
      <c r="C1232" t="str">
        <f>IFERROR(INDEX(装备库!$A$2:$E$2022,MATCH(ROW()-1,装备库!$AK$2:$AK$2022,0),5),"")</f>
        <v/>
      </c>
    </row>
    <row r="1233" spans="1:3">
      <c r="A1233" t="str">
        <f>IFERROR(INDEX(装备库!$A$2:$E$2022,MATCH(ROW()-1,装备库!$AK$2:$AK$2022,0),COLUMN()),"")</f>
        <v/>
      </c>
      <c r="B1233" t="str">
        <f>IFERROR(INDEX(装备库!$A$2:$E$2022,MATCH(ROW()-1,装备库!$AK$2:$AK$2022,0),COLUMN()),"")</f>
        <v/>
      </c>
      <c r="C1233" t="str">
        <f>IFERROR(INDEX(装备库!$A$2:$E$2022,MATCH(ROW()-1,装备库!$AK$2:$AK$2022,0),5),"")</f>
        <v/>
      </c>
    </row>
    <row r="1234" spans="1:3">
      <c r="A1234" t="str">
        <f>IFERROR(INDEX(装备库!$A$2:$E$2022,MATCH(ROW()-1,装备库!$AK$2:$AK$2022,0),COLUMN()),"")</f>
        <v/>
      </c>
      <c r="B1234" t="str">
        <f>IFERROR(INDEX(装备库!$A$2:$E$2022,MATCH(ROW()-1,装备库!$AK$2:$AK$2022,0),COLUMN()),"")</f>
        <v/>
      </c>
      <c r="C1234" t="str">
        <f>IFERROR(INDEX(装备库!$A$2:$E$2022,MATCH(ROW()-1,装备库!$AK$2:$AK$2022,0),5),"")</f>
        <v/>
      </c>
    </row>
    <row r="1235" spans="1:3">
      <c r="A1235" t="str">
        <f>IFERROR(INDEX(装备库!$A$2:$E$2022,MATCH(ROW()-1,装备库!$AK$2:$AK$2022,0),COLUMN()),"")</f>
        <v/>
      </c>
      <c r="B1235" t="str">
        <f>IFERROR(INDEX(装备库!$A$2:$E$2022,MATCH(ROW()-1,装备库!$AK$2:$AK$2022,0),COLUMN()),"")</f>
        <v/>
      </c>
      <c r="C1235" t="str">
        <f>IFERROR(INDEX(装备库!$A$2:$E$2022,MATCH(ROW()-1,装备库!$AK$2:$AK$2022,0),5),"")</f>
        <v/>
      </c>
    </row>
    <row r="1236" spans="1:3">
      <c r="A1236" t="str">
        <f>IFERROR(INDEX(装备库!$A$2:$E$2022,MATCH(ROW()-1,装备库!$AK$2:$AK$2022,0),COLUMN()),"")</f>
        <v/>
      </c>
      <c r="B1236" t="str">
        <f>IFERROR(INDEX(装备库!$A$2:$E$2022,MATCH(ROW()-1,装备库!$AK$2:$AK$2022,0),COLUMN()),"")</f>
        <v/>
      </c>
      <c r="C1236" t="str">
        <f>IFERROR(INDEX(装备库!$A$2:$E$2022,MATCH(ROW()-1,装备库!$AK$2:$AK$2022,0),5),"")</f>
        <v/>
      </c>
    </row>
    <row r="1237" spans="1:3">
      <c r="A1237" t="str">
        <f>IFERROR(INDEX(装备库!$A$2:$E$2022,MATCH(ROW()-1,装备库!$AK$2:$AK$2022,0),COLUMN()),"")</f>
        <v/>
      </c>
      <c r="B1237" t="str">
        <f>IFERROR(INDEX(装备库!$A$2:$E$2022,MATCH(ROW()-1,装备库!$AK$2:$AK$2022,0),COLUMN()),"")</f>
        <v/>
      </c>
      <c r="C1237" t="str">
        <f>IFERROR(INDEX(装备库!$A$2:$E$2022,MATCH(ROW()-1,装备库!$AK$2:$AK$2022,0),5),"")</f>
        <v/>
      </c>
    </row>
    <row r="1238" spans="1:3">
      <c r="A1238" t="str">
        <f>IFERROR(INDEX(装备库!$A$2:$E$2022,MATCH(ROW()-1,装备库!$AK$2:$AK$2022,0),COLUMN()),"")</f>
        <v/>
      </c>
      <c r="B1238" t="str">
        <f>IFERROR(INDEX(装备库!$A$2:$E$2022,MATCH(ROW()-1,装备库!$AK$2:$AK$2022,0),COLUMN()),"")</f>
        <v/>
      </c>
      <c r="C1238" t="str">
        <f>IFERROR(INDEX(装备库!$A$2:$E$2022,MATCH(ROW()-1,装备库!$AK$2:$AK$2022,0),5),"")</f>
        <v/>
      </c>
    </row>
    <row r="1239" spans="1:3">
      <c r="A1239" t="str">
        <f>IFERROR(INDEX(装备库!$A$2:$E$2022,MATCH(ROW()-1,装备库!$AK$2:$AK$2022,0),COLUMN()),"")</f>
        <v/>
      </c>
      <c r="B1239" t="str">
        <f>IFERROR(INDEX(装备库!$A$2:$E$2022,MATCH(ROW()-1,装备库!$AK$2:$AK$2022,0),COLUMN()),"")</f>
        <v/>
      </c>
      <c r="C1239" t="str">
        <f>IFERROR(INDEX(装备库!$A$2:$E$2022,MATCH(ROW()-1,装备库!$AK$2:$AK$2022,0),5),"")</f>
        <v/>
      </c>
    </row>
    <row r="1240" spans="1:3">
      <c r="A1240" t="str">
        <f>IFERROR(INDEX(装备库!$A$2:$E$2022,MATCH(ROW()-1,装备库!$AK$2:$AK$2022,0),COLUMN()),"")</f>
        <v/>
      </c>
      <c r="B1240" t="str">
        <f>IFERROR(INDEX(装备库!$A$2:$E$2022,MATCH(ROW()-1,装备库!$AK$2:$AK$2022,0),COLUMN()),"")</f>
        <v/>
      </c>
      <c r="C1240" t="str">
        <f>IFERROR(INDEX(装备库!$A$2:$E$2022,MATCH(ROW()-1,装备库!$AK$2:$AK$2022,0),5),"")</f>
        <v/>
      </c>
    </row>
    <row r="1241" spans="1:3">
      <c r="A1241" t="str">
        <f>IFERROR(INDEX(装备库!$A$2:$E$2022,MATCH(ROW()-1,装备库!$AK$2:$AK$2022,0),COLUMN()),"")</f>
        <v/>
      </c>
      <c r="B1241" t="str">
        <f>IFERROR(INDEX(装备库!$A$2:$E$2022,MATCH(ROW()-1,装备库!$AK$2:$AK$2022,0),COLUMN()),"")</f>
        <v/>
      </c>
      <c r="C1241" t="str">
        <f>IFERROR(INDEX(装备库!$A$2:$E$2022,MATCH(ROW()-1,装备库!$AK$2:$AK$2022,0),5),"")</f>
        <v/>
      </c>
    </row>
    <row r="1242" spans="1:3">
      <c r="A1242" t="str">
        <f>IFERROR(INDEX(装备库!$A$2:$E$2022,MATCH(ROW()-1,装备库!$AK$2:$AK$2022,0),COLUMN()),"")</f>
        <v/>
      </c>
      <c r="B1242" t="str">
        <f>IFERROR(INDEX(装备库!$A$2:$E$2022,MATCH(ROW()-1,装备库!$AK$2:$AK$2022,0),COLUMN()),"")</f>
        <v/>
      </c>
      <c r="C1242" t="str">
        <f>IFERROR(INDEX(装备库!$A$2:$E$2022,MATCH(ROW()-1,装备库!$AK$2:$AK$2022,0),5),"")</f>
        <v/>
      </c>
    </row>
    <row r="1243" spans="1:3">
      <c r="A1243" t="str">
        <f>IFERROR(INDEX(装备库!$A$2:$E$2022,MATCH(ROW()-1,装备库!$AK$2:$AK$2022,0),COLUMN()),"")</f>
        <v/>
      </c>
      <c r="B1243" t="str">
        <f>IFERROR(INDEX(装备库!$A$2:$E$2022,MATCH(ROW()-1,装备库!$AK$2:$AK$2022,0),COLUMN()),"")</f>
        <v/>
      </c>
      <c r="C1243" t="str">
        <f>IFERROR(INDEX(装备库!$A$2:$E$2022,MATCH(ROW()-1,装备库!$AK$2:$AK$2022,0),5),"")</f>
        <v/>
      </c>
    </row>
    <row r="1244" spans="1:3">
      <c r="A1244" t="str">
        <f>IFERROR(INDEX(装备库!$A$2:$E$2022,MATCH(ROW()-1,装备库!$AK$2:$AK$2022,0),COLUMN()),"")</f>
        <v/>
      </c>
      <c r="B1244" t="str">
        <f>IFERROR(INDEX(装备库!$A$2:$E$2022,MATCH(ROW()-1,装备库!$AK$2:$AK$2022,0),COLUMN()),"")</f>
        <v/>
      </c>
      <c r="C1244" t="str">
        <f>IFERROR(INDEX(装备库!$A$2:$E$2022,MATCH(ROW()-1,装备库!$AK$2:$AK$2022,0),5),"")</f>
        <v/>
      </c>
    </row>
    <row r="1245" spans="1:3">
      <c r="A1245" t="str">
        <f>IFERROR(INDEX(装备库!$A$2:$E$2022,MATCH(ROW()-1,装备库!$AK$2:$AK$2022,0),COLUMN()),"")</f>
        <v/>
      </c>
      <c r="B1245" t="str">
        <f>IFERROR(INDEX(装备库!$A$2:$E$2022,MATCH(ROW()-1,装备库!$AK$2:$AK$2022,0),COLUMN()),"")</f>
        <v/>
      </c>
      <c r="C1245" t="str">
        <f>IFERROR(INDEX(装备库!$A$2:$E$2022,MATCH(ROW()-1,装备库!$AK$2:$AK$2022,0),5),"")</f>
        <v/>
      </c>
    </row>
    <row r="1246" spans="1:3">
      <c r="A1246" t="str">
        <f>IFERROR(INDEX(装备库!$A$2:$E$2022,MATCH(ROW()-1,装备库!$AK$2:$AK$2022,0),COLUMN()),"")</f>
        <v/>
      </c>
      <c r="B1246" t="str">
        <f>IFERROR(INDEX(装备库!$A$2:$E$2022,MATCH(ROW()-1,装备库!$AK$2:$AK$2022,0),COLUMN()),"")</f>
        <v/>
      </c>
      <c r="C1246" t="str">
        <f>IFERROR(INDEX(装备库!$A$2:$E$2022,MATCH(ROW()-1,装备库!$AK$2:$AK$2022,0),5),"")</f>
        <v/>
      </c>
    </row>
    <row r="1247" spans="1:3">
      <c r="A1247" t="str">
        <f>IFERROR(INDEX(装备库!$A$2:$E$2022,MATCH(ROW()-1,装备库!$AK$2:$AK$2022,0),COLUMN()),"")</f>
        <v/>
      </c>
      <c r="B1247" t="str">
        <f>IFERROR(INDEX(装备库!$A$2:$E$2022,MATCH(ROW()-1,装备库!$AK$2:$AK$2022,0),COLUMN()),"")</f>
        <v/>
      </c>
      <c r="C1247" t="str">
        <f>IFERROR(INDEX(装备库!$A$2:$E$2022,MATCH(ROW()-1,装备库!$AK$2:$AK$2022,0),5),"")</f>
        <v/>
      </c>
    </row>
    <row r="1248" spans="1:3">
      <c r="A1248" t="str">
        <f>IFERROR(INDEX(装备库!$A$2:$E$2022,MATCH(ROW()-1,装备库!$AK$2:$AK$2022,0),COLUMN()),"")</f>
        <v/>
      </c>
      <c r="B1248" t="str">
        <f>IFERROR(INDEX(装备库!$A$2:$E$2022,MATCH(ROW()-1,装备库!$AK$2:$AK$2022,0),COLUMN()),"")</f>
        <v/>
      </c>
      <c r="C1248" t="str">
        <f>IFERROR(INDEX(装备库!$A$2:$E$2022,MATCH(ROW()-1,装备库!$AK$2:$AK$2022,0),5),"")</f>
        <v/>
      </c>
    </row>
    <row r="1249" spans="1:3">
      <c r="A1249" t="str">
        <f>IFERROR(INDEX(装备库!$A$2:$E$2022,MATCH(ROW()-1,装备库!$AK$2:$AK$2022,0),COLUMN()),"")</f>
        <v/>
      </c>
      <c r="B1249" t="str">
        <f>IFERROR(INDEX(装备库!$A$2:$E$2022,MATCH(ROW()-1,装备库!$AK$2:$AK$2022,0),COLUMN()),"")</f>
        <v/>
      </c>
      <c r="C1249" t="str">
        <f>IFERROR(INDEX(装备库!$A$2:$E$2022,MATCH(ROW()-1,装备库!$AK$2:$AK$2022,0),5),"")</f>
        <v/>
      </c>
    </row>
    <row r="1250" spans="1:3">
      <c r="A1250" t="str">
        <f>IFERROR(INDEX(装备库!$A$2:$E$2022,MATCH(ROW()-1,装备库!$AK$2:$AK$2022,0),COLUMN()),"")</f>
        <v/>
      </c>
      <c r="B1250" t="str">
        <f>IFERROR(INDEX(装备库!$A$2:$E$2022,MATCH(ROW()-1,装备库!$AK$2:$AK$2022,0),COLUMN()),"")</f>
        <v/>
      </c>
      <c r="C1250" t="str">
        <f>IFERROR(INDEX(装备库!$A$2:$E$2022,MATCH(ROW()-1,装备库!$AK$2:$AK$2022,0),5),"")</f>
        <v/>
      </c>
    </row>
    <row r="1251" spans="1:3">
      <c r="A1251" t="str">
        <f>IFERROR(INDEX(装备库!$A$2:$E$2022,MATCH(ROW()-1,装备库!$AK$2:$AK$2022,0),COLUMN()),"")</f>
        <v/>
      </c>
      <c r="B1251" t="str">
        <f>IFERROR(INDEX(装备库!$A$2:$E$2022,MATCH(ROW()-1,装备库!$AK$2:$AK$2022,0),COLUMN()),"")</f>
        <v/>
      </c>
      <c r="C1251" t="str">
        <f>IFERROR(INDEX(装备库!$A$2:$E$2022,MATCH(ROW()-1,装备库!$AK$2:$AK$2022,0),5),"")</f>
        <v/>
      </c>
    </row>
    <row r="1252" spans="1:3">
      <c r="A1252" t="str">
        <f>IFERROR(INDEX(装备库!$A$2:$E$2022,MATCH(ROW()-1,装备库!$AK$2:$AK$2022,0),COLUMN()),"")</f>
        <v/>
      </c>
      <c r="B1252" t="str">
        <f>IFERROR(INDEX(装备库!$A$2:$E$2022,MATCH(ROW()-1,装备库!$AK$2:$AK$2022,0),COLUMN()),"")</f>
        <v/>
      </c>
      <c r="C1252" t="str">
        <f>IFERROR(INDEX(装备库!$A$2:$E$2022,MATCH(ROW()-1,装备库!$AK$2:$AK$2022,0),5),"")</f>
        <v/>
      </c>
    </row>
    <row r="1253" spans="1:3">
      <c r="A1253" t="str">
        <f>IFERROR(INDEX(装备库!$A$2:$E$2022,MATCH(ROW()-1,装备库!$AK$2:$AK$2022,0),COLUMN()),"")</f>
        <v/>
      </c>
      <c r="B1253" t="str">
        <f>IFERROR(INDEX(装备库!$A$2:$E$2022,MATCH(ROW()-1,装备库!$AK$2:$AK$2022,0),COLUMN()),"")</f>
        <v/>
      </c>
      <c r="C1253" t="str">
        <f>IFERROR(INDEX(装备库!$A$2:$E$2022,MATCH(ROW()-1,装备库!$AK$2:$AK$2022,0),5),"")</f>
        <v/>
      </c>
    </row>
    <row r="1254" spans="1:3">
      <c r="A1254" t="str">
        <f>IFERROR(INDEX(装备库!$A$2:$E$2022,MATCH(ROW()-1,装备库!$AK$2:$AK$2022,0),COLUMN()),"")</f>
        <v/>
      </c>
      <c r="B1254" t="str">
        <f>IFERROR(INDEX(装备库!$A$2:$E$2022,MATCH(ROW()-1,装备库!$AK$2:$AK$2022,0),COLUMN()),"")</f>
        <v/>
      </c>
      <c r="C1254" t="str">
        <f>IFERROR(INDEX(装备库!$A$2:$E$2022,MATCH(ROW()-1,装备库!$AK$2:$AK$2022,0),5),"")</f>
        <v/>
      </c>
    </row>
    <row r="1255" spans="1:3">
      <c r="A1255" t="str">
        <f>IFERROR(INDEX(装备库!$A$2:$E$2022,MATCH(ROW()-1,装备库!$AK$2:$AK$2022,0),COLUMN()),"")</f>
        <v/>
      </c>
      <c r="B1255" t="str">
        <f>IFERROR(INDEX(装备库!$A$2:$E$2022,MATCH(ROW()-1,装备库!$AK$2:$AK$2022,0),COLUMN()),"")</f>
        <v/>
      </c>
      <c r="C1255" t="str">
        <f>IFERROR(INDEX(装备库!$A$2:$E$2022,MATCH(ROW()-1,装备库!$AK$2:$AK$2022,0),5),"")</f>
        <v/>
      </c>
    </row>
    <row r="1256" spans="1:3">
      <c r="A1256" t="str">
        <f>IFERROR(INDEX(装备库!$A$2:$E$2022,MATCH(ROW()-1,装备库!$AK$2:$AK$2022,0),COLUMN()),"")</f>
        <v/>
      </c>
      <c r="B1256" t="str">
        <f>IFERROR(INDEX(装备库!$A$2:$E$2022,MATCH(ROW()-1,装备库!$AK$2:$AK$2022,0),COLUMN()),"")</f>
        <v/>
      </c>
      <c r="C1256" t="str">
        <f>IFERROR(INDEX(装备库!$A$2:$E$2022,MATCH(ROW()-1,装备库!$AK$2:$AK$2022,0),5),"")</f>
        <v/>
      </c>
    </row>
    <row r="1257" spans="1:3">
      <c r="A1257" t="str">
        <f>IFERROR(INDEX(装备库!$A$2:$E$2022,MATCH(ROW()-1,装备库!$AK$2:$AK$2022,0),COLUMN()),"")</f>
        <v/>
      </c>
      <c r="B1257" t="str">
        <f>IFERROR(INDEX(装备库!$A$2:$E$2022,MATCH(ROW()-1,装备库!$AK$2:$AK$2022,0),COLUMN()),"")</f>
        <v/>
      </c>
      <c r="C1257" t="str">
        <f>IFERROR(INDEX(装备库!$A$2:$E$2022,MATCH(ROW()-1,装备库!$AK$2:$AK$2022,0),5),"")</f>
        <v/>
      </c>
    </row>
    <row r="1258" spans="1:3">
      <c r="A1258" t="str">
        <f>IFERROR(INDEX(装备库!$A$2:$E$2022,MATCH(ROW()-1,装备库!$AK$2:$AK$2022,0),COLUMN()),"")</f>
        <v/>
      </c>
      <c r="B1258" t="str">
        <f>IFERROR(INDEX(装备库!$A$2:$E$2022,MATCH(ROW()-1,装备库!$AK$2:$AK$2022,0),COLUMN()),"")</f>
        <v/>
      </c>
      <c r="C1258" t="str">
        <f>IFERROR(INDEX(装备库!$A$2:$E$2022,MATCH(ROW()-1,装备库!$AK$2:$AK$2022,0),5),"")</f>
        <v/>
      </c>
    </row>
    <row r="1259" spans="1:3">
      <c r="A1259" t="str">
        <f>IFERROR(INDEX(装备库!$A$2:$E$2022,MATCH(ROW()-1,装备库!$AK$2:$AK$2022,0),COLUMN()),"")</f>
        <v/>
      </c>
      <c r="B1259" t="str">
        <f>IFERROR(INDEX(装备库!$A$2:$E$2022,MATCH(ROW()-1,装备库!$AK$2:$AK$2022,0),COLUMN()),"")</f>
        <v/>
      </c>
      <c r="C1259" t="str">
        <f>IFERROR(INDEX(装备库!$A$2:$E$2022,MATCH(ROW()-1,装备库!$AK$2:$AK$2022,0),5),"")</f>
        <v/>
      </c>
    </row>
    <row r="1260" spans="1:3">
      <c r="A1260" t="str">
        <f>IFERROR(INDEX(装备库!$A$2:$E$2022,MATCH(ROW()-1,装备库!$AK$2:$AK$2022,0),COLUMN()),"")</f>
        <v/>
      </c>
      <c r="B1260" t="str">
        <f>IFERROR(INDEX(装备库!$A$2:$E$2022,MATCH(ROW()-1,装备库!$AK$2:$AK$2022,0),COLUMN()),"")</f>
        <v/>
      </c>
      <c r="C1260" t="str">
        <f>IFERROR(INDEX(装备库!$A$2:$E$2022,MATCH(ROW()-1,装备库!$AK$2:$AK$2022,0),5),"")</f>
        <v/>
      </c>
    </row>
    <row r="1261" spans="1:3">
      <c r="A1261" t="str">
        <f>IFERROR(INDEX(装备库!$A$2:$E$2022,MATCH(ROW()-1,装备库!$AK$2:$AK$2022,0),COLUMN()),"")</f>
        <v/>
      </c>
      <c r="B1261" t="str">
        <f>IFERROR(INDEX(装备库!$A$2:$E$2022,MATCH(ROW()-1,装备库!$AK$2:$AK$2022,0),COLUMN()),"")</f>
        <v/>
      </c>
      <c r="C1261" t="str">
        <f>IFERROR(INDEX(装备库!$A$2:$E$2022,MATCH(ROW()-1,装备库!$AK$2:$AK$2022,0),5),"")</f>
        <v/>
      </c>
    </row>
    <row r="1262" spans="1:3">
      <c r="A1262" t="str">
        <f>IFERROR(INDEX(装备库!$A$2:$E$2022,MATCH(ROW()-1,装备库!$AK$2:$AK$2022,0),COLUMN()),"")</f>
        <v/>
      </c>
      <c r="B1262" t="str">
        <f>IFERROR(INDEX(装备库!$A$2:$E$2022,MATCH(ROW()-1,装备库!$AK$2:$AK$2022,0),COLUMN()),"")</f>
        <v/>
      </c>
      <c r="C1262" t="str">
        <f>IFERROR(INDEX(装备库!$A$2:$E$2022,MATCH(ROW()-1,装备库!$AK$2:$AK$2022,0),5),"")</f>
        <v/>
      </c>
    </row>
    <row r="1263" spans="1:3">
      <c r="A1263" t="str">
        <f>IFERROR(INDEX(装备库!$A$2:$E$2022,MATCH(ROW()-1,装备库!$AK$2:$AK$2022,0),COLUMN()),"")</f>
        <v/>
      </c>
      <c r="B1263" t="str">
        <f>IFERROR(INDEX(装备库!$A$2:$E$2022,MATCH(ROW()-1,装备库!$AK$2:$AK$2022,0),COLUMN()),"")</f>
        <v/>
      </c>
      <c r="C1263" t="str">
        <f>IFERROR(INDEX(装备库!$A$2:$E$2022,MATCH(ROW()-1,装备库!$AK$2:$AK$2022,0),5),"")</f>
        <v/>
      </c>
    </row>
    <row r="1264" spans="1:3">
      <c r="A1264" t="str">
        <f>IFERROR(INDEX(装备库!$A$2:$E$2022,MATCH(ROW()-1,装备库!$AK$2:$AK$2022,0),COLUMN()),"")</f>
        <v/>
      </c>
      <c r="B1264" t="str">
        <f>IFERROR(INDEX(装备库!$A$2:$E$2022,MATCH(ROW()-1,装备库!$AK$2:$AK$2022,0),COLUMN()),"")</f>
        <v/>
      </c>
      <c r="C1264" t="str">
        <f>IFERROR(INDEX(装备库!$A$2:$E$2022,MATCH(ROW()-1,装备库!$AK$2:$AK$2022,0),5),"")</f>
        <v/>
      </c>
    </row>
    <row r="1265" spans="1:3">
      <c r="A1265" t="str">
        <f>IFERROR(INDEX(装备库!$A$2:$E$2022,MATCH(ROW()-1,装备库!$AK$2:$AK$2022,0),COLUMN()),"")</f>
        <v/>
      </c>
      <c r="B1265" t="str">
        <f>IFERROR(INDEX(装备库!$A$2:$E$2022,MATCH(ROW()-1,装备库!$AK$2:$AK$2022,0),COLUMN()),"")</f>
        <v/>
      </c>
      <c r="C1265" t="str">
        <f>IFERROR(INDEX(装备库!$A$2:$E$2022,MATCH(ROW()-1,装备库!$AK$2:$AK$2022,0),5),"")</f>
        <v/>
      </c>
    </row>
    <row r="1266" spans="1:3">
      <c r="A1266" t="str">
        <f>IFERROR(INDEX(装备库!$A$2:$E$2022,MATCH(ROW()-1,装备库!$AK$2:$AK$2022,0),COLUMN()),"")</f>
        <v/>
      </c>
      <c r="B1266" t="str">
        <f>IFERROR(INDEX(装备库!$A$2:$E$2022,MATCH(ROW()-1,装备库!$AK$2:$AK$2022,0),COLUMN()),"")</f>
        <v/>
      </c>
      <c r="C1266" t="str">
        <f>IFERROR(INDEX(装备库!$A$2:$E$2022,MATCH(ROW()-1,装备库!$AK$2:$AK$2022,0),5),"")</f>
        <v/>
      </c>
    </row>
    <row r="1267" spans="1:3">
      <c r="A1267" t="str">
        <f>IFERROR(INDEX(装备库!$A$2:$E$2022,MATCH(ROW()-1,装备库!$AK$2:$AK$2022,0),COLUMN()),"")</f>
        <v/>
      </c>
      <c r="B1267" t="str">
        <f>IFERROR(INDEX(装备库!$A$2:$E$2022,MATCH(ROW()-1,装备库!$AK$2:$AK$2022,0),COLUMN()),"")</f>
        <v/>
      </c>
      <c r="C1267" t="str">
        <f>IFERROR(INDEX(装备库!$A$2:$E$2022,MATCH(ROW()-1,装备库!$AK$2:$AK$2022,0),5),"")</f>
        <v/>
      </c>
    </row>
    <row r="1268" spans="1:3">
      <c r="A1268" t="str">
        <f>IFERROR(INDEX(装备库!$A$2:$E$2022,MATCH(ROW()-1,装备库!$AK$2:$AK$2022,0),COLUMN()),"")</f>
        <v/>
      </c>
      <c r="B1268" t="str">
        <f>IFERROR(INDEX(装备库!$A$2:$E$2022,MATCH(ROW()-1,装备库!$AK$2:$AK$2022,0),COLUMN()),"")</f>
        <v/>
      </c>
      <c r="C1268" t="str">
        <f>IFERROR(INDEX(装备库!$A$2:$E$2022,MATCH(ROW()-1,装备库!$AK$2:$AK$2022,0),5),"")</f>
        <v/>
      </c>
    </row>
    <row r="1269" spans="1:3">
      <c r="A1269" t="str">
        <f>IFERROR(INDEX(装备库!$A$2:$E$2022,MATCH(ROW()-1,装备库!$AK$2:$AK$2022,0),COLUMN()),"")</f>
        <v/>
      </c>
      <c r="B1269" t="str">
        <f>IFERROR(INDEX(装备库!$A$2:$E$2022,MATCH(ROW()-1,装备库!$AK$2:$AK$2022,0),COLUMN()),"")</f>
        <v/>
      </c>
      <c r="C1269" t="str">
        <f>IFERROR(INDEX(装备库!$A$2:$E$2022,MATCH(ROW()-1,装备库!$AK$2:$AK$2022,0),5),"")</f>
        <v/>
      </c>
    </row>
    <row r="1270" spans="1:3">
      <c r="A1270" t="str">
        <f>IFERROR(INDEX(装备库!$A$2:$E$2022,MATCH(ROW()-1,装备库!$AK$2:$AK$2022,0),COLUMN()),"")</f>
        <v/>
      </c>
      <c r="B1270" t="str">
        <f>IFERROR(INDEX(装备库!$A$2:$E$2022,MATCH(ROW()-1,装备库!$AK$2:$AK$2022,0),COLUMN()),"")</f>
        <v/>
      </c>
      <c r="C1270" t="str">
        <f>IFERROR(INDEX(装备库!$A$2:$E$2022,MATCH(ROW()-1,装备库!$AK$2:$AK$2022,0),5),"")</f>
        <v/>
      </c>
    </row>
    <row r="1271" spans="1:3">
      <c r="A1271" t="str">
        <f>IFERROR(INDEX(装备库!$A$2:$E$2022,MATCH(ROW()-1,装备库!$AK$2:$AK$2022,0),COLUMN()),"")</f>
        <v/>
      </c>
      <c r="B1271" t="str">
        <f>IFERROR(INDEX(装备库!$A$2:$E$2022,MATCH(ROW()-1,装备库!$AK$2:$AK$2022,0),COLUMN()),"")</f>
        <v/>
      </c>
      <c r="C1271" t="str">
        <f>IFERROR(INDEX(装备库!$A$2:$E$2022,MATCH(ROW()-1,装备库!$AK$2:$AK$2022,0),5),"")</f>
        <v/>
      </c>
    </row>
    <row r="1272" spans="1:3">
      <c r="A1272" t="str">
        <f>IFERROR(INDEX(装备库!$A$2:$E$2022,MATCH(ROW()-1,装备库!$AK$2:$AK$2022,0),COLUMN()),"")</f>
        <v/>
      </c>
      <c r="B1272" t="str">
        <f>IFERROR(INDEX(装备库!$A$2:$E$2022,MATCH(ROW()-1,装备库!$AK$2:$AK$2022,0),COLUMN()),"")</f>
        <v/>
      </c>
      <c r="C1272" t="str">
        <f>IFERROR(INDEX(装备库!$A$2:$E$2022,MATCH(ROW()-1,装备库!$AK$2:$AK$2022,0),5),"")</f>
        <v/>
      </c>
    </row>
    <row r="1273" spans="1:3">
      <c r="A1273" t="str">
        <f>IFERROR(INDEX(装备库!$A$2:$E$2022,MATCH(ROW()-1,装备库!$AK$2:$AK$2022,0),COLUMN()),"")</f>
        <v/>
      </c>
      <c r="B1273" t="str">
        <f>IFERROR(INDEX(装备库!$A$2:$E$2022,MATCH(ROW()-1,装备库!$AK$2:$AK$2022,0),COLUMN()),"")</f>
        <v/>
      </c>
      <c r="C1273" t="str">
        <f>IFERROR(INDEX(装备库!$A$2:$E$2022,MATCH(ROW()-1,装备库!$AK$2:$AK$2022,0),5),"")</f>
        <v/>
      </c>
    </row>
    <row r="1274" spans="1:3">
      <c r="A1274" t="str">
        <f>IFERROR(INDEX(装备库!$A$2:$E$2022,MATCH(ROW()-1,装备库!$AK$2:$AK$2022,0),COLUMN()),"")</f>
        <v/>
      </c>
      <c r="B1274" t="str">
        <f>IFERROR(INDEX(装备库!$A$2:$E$2022,MATCH(ROW()-1,装备库!$AK$2:$AK$2022,0),COLUMN()),"")</f>
        <v/>
      </c>
      <c r="C1274" t="str">
        <f>IFERROR(INDEX(装备库!$A$2:$E$2022,MATCH(ROW()-1,装备库!$AK$2:$AK$2022,0),5),"")</f>
        <v/>
      </c>
    </row>
    <row r="1275" spans="1:3">
      <c r="A1275" t="str">
        <f>IFERROR(INDEX(装备库!$A$2:$E$2022,MATCH(ROW()-1,装备库!$AK$2:$AK$2022,0),COLUMN()),"")</f>
        <v/>
      </c>
      <c r="B1275" t="str">
        <f>IFERROR(INDEX(装备库!$A$2:$E$2022,MATCH(ROW()-1,装备库!$AK$2:$AK$2022,0),COLUMN()),"")</f>
        <v/>
      </c>
      <c r="C1275" t="str">
        <f>IFERROR(INDEX(装备库!$A$2:$E$2022,MATCH(ROW()-1,装备库!$AK$2:$AK$2022,0),5),"")</f>
        <v/>
      </c>
    </row>
    <row r="1276" spans="1:3">
      <c r="A1276" t="str">
        <f>IFERROR(INDEX(装备库!$A$2:$E$2022,MATCH(ROW()-1,装备库!$AK$2:$AK$2022,0),COLUMN()),"")</f>
        <v/>
      </c>
      <c r="B1276" t="str">
        <f>IFERROR(INDEX(装备库!$A$2:$E$2022,MATCH(ROW()-1,装备库!$AK$2:$AK$2022,0),COLUMN()),"")</f>
        <v/>
      </c>
      <c r="C1276" t="str">
        <f>IFERROR(INDEX(装备库!$A$2:$E$2022,MATCH(ROW()-1,装备库!$AK$2:$AK$2022,0),5),"")</f>
        <v/>
      </c>
    </row>
    <row r="1277" spans="1:3">
      <c r="A1277" t="str">
        <f>IFERROR(INDEX(装备库!$A$2:$E$2022,MATCH(ROW()-1,装备库!$AK$2:$AK$2022,0),COLUMN()),"")</f>
        <v/>
      </c>
      <c r="B1277" t="str">
        <f>IFERROR(INDEX(装备库!$A$2:$E$2022,MATCH(ROW()-1,装备库!$AK$2:$AK$2022,0),COLUMN()),"")</f>
        <v/>
      </c>
      <c r="C1277" t="str">
        <f>IFERROR(INDEX(装备库!$A$2:$E$2022,MATCH(ROW()-1,装备库!$AK$2:$AK$2022,0),5),"")</f>
        <v/>
      </c>
    </row>
    <row r="1278" spans="1:3">
      <c r="A1278" t="str">
        <f>IFERROR(INDEX(装备库!$A$2:$E$2022,MATCH(ROW()-1,装备库!$AK$2:$AK$2022,0),COLUMN()),"")</f>
        <v/>
      </c>
      <c r="B1278" t="str">
        <f>IFERROR(INDEX(装备库!$A$2:$E$2022,MATCH(ROW()-1,装备库!$AK$2:$AK$2022,0),COLUMN()),"")</f>
        <v/>
      </c>
      <c r="C1278" t="str">
        <f>IFERROR(INDEX(装备库!$A$2:$E$2022,MATCH(ROW()-1,装备库!$AK$2:$AK$2022,0),5),"")</f>
        <v/>
      </c>
    </row>
    <row r="1279" spans="1:3">
      <c r="A1279" t="str">
        <f>IFERROR(INDEX(装备库!$A$2:$E$2022,MATCH(ROW()-1,装备库!$AK$2:$AK$2022,0),COLUMN()),"")</f>
        <v/>
      </c>
      <c r="B1279" t="str">
        <f>IFERROR(INDEX(装备库!$A$2:$E$2022,MATCH(ROW()-1,装备库!$AK$2:$AK$2022,0),COLUMN()),"")</f>
        <v/>
      </c>
      <c r="C1279" t="str">
        <f>IFERROR(INDEX(装备库!$A$2:$E$2022,MATCH(ROW()-1,装备库!$AK$2:$AK$2022,0),5),"")</f>
        <v/>
      </c>
    </row>
    <row r="1280" spans="1:3">
      <c r="A1280" t="str">
        <f>IFERROR(INDEX(装备库!$A$2:$E$2022,MATCH(ROW()-1,装备库!$AK$2:$AK$2022,0),COLUMN()),"")</f>
        <v/>
      </c>
      <c r="B1280" t="str">
        <f>IFERROR(INDEX(装备库!$A$2:$E$2022,MATCH(ROW()-1,装备库!$AK$2:$AK$2022,0),COLUMN()),"")</f>
        <v/>
      </c>
      <c r="C1280" t="str">
        <f>IFERROR(INDEX(装备库!$A$2:$E$2022,MATCH(ROW()-1,装备库!$AK$2:$AK$2022,0),5),"")</f>
        <v/>
      </c>
    </row>
    <row r="1281" spans="1:3">
      <c r="A1281" t="str">
        <f>IFERROR(INDEX(装备库!$A$2:$E$2022,MATCH(ROW()-1,装备库!$AK$2:$AK$2022,0),COLUMN()),"")</f>
        <v/>
      </c>
      <c r="B1281" t="str">
        <f>IFERROR(INDEX(装备库!$A$2:$E$2022,MATCH(ROW()-1,装备库!$AK$2:$AK$2022,0),COLUMN()),"")</f>
        <v/>
      </c>
      <c r="C1281" t="str">
        <f>IFERROR(INDEX(装备库!$A$2:$E$2022,MATCH(ROW()-1,装备库!$AK$2:$AK$2022,0),5),"")</f>
        <v/>
      </c>
    </row>
    <row r="1282" spans="1:3">
      <c r="A1282" t="str">
        <f>IFERROR(INDEX(装备库!$A$2:$E$2022,MATCH(ROW()-1,装备库!$AK$2:$AK$2022,0),COLUMN()),"")</f>
        <v/>
      </c>
      <c r="B1282" t="str">
        <f>IFERROR(INDEX(装备库!$A$2:$E$2022,MATCH(ROW()-1,装备库!$AK$2:$AK$2022,0),COLUMN()),"")</f>
        <v/>
      </c>
      <c r="C1282" t="str">
        <f>IFERROR(INDEX(装备库!$A$2:$E$2022,MATCH(ROW()-1,装备库!$AK$2:$AK$2022,0),5),"")</f>
        <v/>
      </c>
    </row>
    <row r="1283" spans="1:3">
      <c r="A1283" t="str">
        <f>IFERROR(INDEX(装备库!$A$2:$E$2022,MATCH(ROW()-1,装备库!$AK$2:$AK$2022,0),COLUMN()),"")</f>
        <v/>
      </c>
      <c r="B1283" t="str">
        <f>IFERROR(INDEX(装备库!$A$2:$E$2022,MATCH(ROW()-1,装备库!$AK$2:$AK$2022,0),COLUMN()),"")</f>
        <v/>
      </c>
      <c r="C1283" t="str">
        <f>IFERROR(INDEX(装备库!$A$2:$E$2022,MATCH(ROW()-1,装备库!$AK$2:$AK$2022,0),5),"")</f>
        <v/>
      </c>
    </row>
    <row r="1284" spans="1:3">
      <c r="A1284" t="str">
        <f>IFERROR(INDEX(装备库!$A$2:$E$2022,MATCH(ROW()-1,装备库!$AK$2:$AK$2022,0),COLUMN()),"")</f>
        <v/>
      </c>
      <c r="B1284" t="str">
        <f>IFERROR(INDEX(装备库!$A$2:$E$2022,MATCH(ROW()-1,装备库!$AK$2:$AK$2022,0),COLUMN()),"")</f>
        <v/>
      </c>
      <c r="C1284" t="str">
        <f>IFERROR(INDEX(装备库!$A$2:$E$2022,MATCH(ROW()-1,装备库!$AK$2:$AK$2022,0),5),"")</f>
        <v/>
      </c>
    </row>
    <row r="1285" spans="1:3">
      <c r="A1285" t="str">
        <f>IFERROR(INDEX(装备库!$A$2:$E$2022,MATCH(ROW()-1,装备库!$AK$2:$AK$2022,0),COLUMN()),"")</f>
        <v/>
      </c>
      <c r="B1285" t="str">
        <f>IFERROR(INDEX(装备库!$A$2:$E$2022,MATCH(ROW()-1,装备库!$AK$2:$AK$2022,0),COLUMN()),"")</f>
        <v/>
      </c>
      <c r="C1285" t="str">
        <f>IFERROR(INDEX(装备库!$A$2:$E$2022,MATCH(ROW()-1,装备库!$AK$2:$AK$2022,0),5),"")</f>
        <v/>
      </c>
    </row>
    <row r="1286" spans="1:3">
      <c r="A1286" t="str">
        <f>IFERROR(INDEX(装备库!$A$2:$E$2022,MATCH(ROW()-1,装备库!$AK$2:$AK$2022,0),COLUMN()),"")</f>
        <v/>
      </c>
      <c r="B1286" t="str">
        <f>IFERROR(INDEX(装备库!$A$2:$E$2022,MATCH(ROW()-1,装备库!$AK$2:$AK$2022,0),COLUMN()),"")</f>
        <v/>
      </c>
      <c r="C1286" t="str">
        <f>IFERROR(INDEX(装备库!$A$2:$E$2022,MATCH(ROW()-1,装备库!$AK$2:$AK$2022,0),5),"")</f>
        <v/>
      </c>
    </row>
    <row r="1287" spans="1:3">
      <c r="A1287" t="str">
        <f>IFERROR(INDEX(装备库!$A$2:$E$2022,MATCH(ROW()-1,装备库!$AK$2:$AK$2022,0),COLUMN()),"")</f>
        <v/>
      </c>
      <c r="B1287" t="str">
        <f>IFERROR(INDEX(装备库!$A$2:$E$2022,MATCH(ROW()-1,装备库!$AK$2:$AK$2022,0),COLUMN()),"")</f>
        <v/>
      </c>
      <c r="C1287" t="str">
        <f>IFERROR(INDEX(装备库!$A$2:$E$2022,MATCH(ROW()-1,装备库!$AK$2:$AK$2022,0),5),"")</f>
        <v/>
      </c>
    </row>
    <row r="1288" spans="1:3">
      <c r="A1288" t="str">
        <f>IFERROR(INDEX(装备库!$A$2:$E$2022,MATCH(ROW()-1,装备库!$AK$2:$AK$2022,0),COLUMN()),"")</f>
        <v/>
      </c>
      <c r="B1288" t="str">
        <f>IFERROR(INDEX(装备库!$A$2:$E$2022,MATCH(ROW()-1,装备库!$AK$2:$AK$2022,0),COLUMN()),"")</f>
        <v/>
      </c>
      <c r="C1288" t="str">
        <f>IFERROR(INDEX(装备库!$A$2:$E$2022,MATCH(ROW()-1,装备库!$AK$2:$AK$2022,0),5),"")</f>
        <v/>
      </c>
    </row>
    <row r="1289" spans="1:3">
      <c r="A1289" t="str">
        <f>IFERROR(INDEX(装备库!$A$2:$E$2022,MATCH(ROW()-1,装备库!$AK$2:$AK$2022,0),COLUMN()),"")</f>
        <v/>
      </c>
      <c r="B1289" t="str">
        <f>IFERROR(INDEX(装备库!$A$2:$E$2022,MATCH(ROW()-1,装备库!$AK$2:$AK$2022,0),COLUMN()),"")</f>
        <v/>
      </c>
      <c r="C1289" t="str">
        <f>IFERROR(INDEX(装备库!$A$2:$E$2022,MATCH(ROW()-1,装备库!$AK$2:$AK$2022,0),5),"")</f>
        <v/>
      </c>
    </row>
    <row r="1290" spans="1:3">
      <c r="A1290" t="str">
        <f>IFERROR(INDEX(装备库!$A$2:$E$2022,MATCH(ROW()-1,装备库!$AK$2:$AK$2022,0),COLUMN()),"")</f>
        <v/>
      </c>
      <c r="B1290" t="str">
        <f>IFERROR(INDEX(装备库!$A$2:$E$2022,MATCH(ROW()-1,装备库!$AK$2:$AK$2022,0),COLUMN()),"")</f>
        <v/>
      </c>
      <c r="C1290" t="str">
        <f>IFERROR(INDEX(装备库!$A$2:$E$2022,MATCH(ROW()-1,装备库!$AK$2:$AK$2022,0),5),"")</f>
        <v/>
      </c>
    </row>
    <row r="1291" spans="1:3">
      <c r="A1291" t="str">
        <f>IFERROR(INDEX(装备库!$A$2:$E$2022,MATCH(ROW()-1,装备库!$AK$2:$AK$2022,0),COLUMN()),"")</f>
        <v/>
      </c>
      <c r="B1291" t="str">
        <f>IFERROR(INDEX(装备库!$A$2:$E$2022,MATCH(ROW()-1,装备库!$AK$2:$AK$2022,0),COLUMN()),"")</f>
        <v/>
      </c>
      <c r="C1291" t="str">
        <f>IFERROR(INDEX(装备库!$A$2:$E$2022,MATCH(ROW()-1,装备库!$AK$2:$AK$2022,0),5),"")</f>
        <v/>
      </c>
    </row>
    <row r="1292" spans="1:3">
      <c r="A1292" t="str">
        <f>IFERROR(INDEX(装备库!$A$2:$E$2022,MATCH(ROW()-1,装备库!$AK$2:$AK$2022,0),COLUMN()),"")</f>
        <v/>
      </c>
      <c r="B1292" t="str">
        <f>IFERROR(INDEX(装备库!$A$2:$E$2022,MATCH(ROW()-1,装备库!$AK$2:$AK$2022,0),COLUMN()),"")</f>
        <v/>
      </c>
      <c r="C1292" t="str">
        <f>IFERROR(INDEX(装备库!$A$2:$E$2022,MATCH(ROW()-1,装备库!$AK$2:$AK$2022,0),5),"")</f>
        <v/>
      </c>
    </row>
    <row r="1293" spans="1:3">
      <c r="A1293" t="str">
        <f>IFERROR(INDEX(装备库!$A$2:$E$2022,MATCH(ROW()-1,装备库!$AK$2:$AK$2022,0),COLUMN()),"")</f>
        <v/>
      </c>
      <c r="B1293" t="str">
        <f>IFERROR(INDEX(装备库!$A$2:$E$2022,MATCH(ROW()-1,装备库!$AK$2:$AK$2022,0),COLUMN()),"")</f>
        <v/>
      </c>
      <c r="C1293" t="str">
        <f>IFERROR(INDEX(装备库!$A$2:$E$2022,MATCH(ROW()-1,装备库!$AK$2:$AK$2022,0),5),"")</f>
        <v/>
      </c>
    </row>
    <row r="1294" spans="1:3">
      <c r="A1294" t="str">
        <f>IFERROR(INDEX(装备库!$A$2:$E$2022,MATCH(ROW()-1,装备库!$AK$2:$AK$2022,0),COLUMN()),"")</f>
        <v/>
      </c>
      <c r="B1294" t="str">
        <f>IFERROR(INDEX(装备库!$A$2:$E$2022,MATCH(ROW()-1,装备库!$AK$2:$AK$2022,0),COLUMN()),"")</f>
        <v/>
      </c>
      <c r="C1294" t="str">
        <f>IFERROR(INDEX(装备库!$A$2:$E$2022,MATCH(ROW()-1,装备库!$AK$2:$AK$2022,0),5),"")</f>
        <v/>
      </c>
    </row>
    <row r="1295" spans="1:3">
      <c r="A1295" t="str">
        <f>IFERROR(INDEX(装备库!$A$2:$E$2022,MATCH(ROW()-1,装备库!$AK$2:$AK$2022,0),COLUMN()),"")</f>
        <v/>
      </c>
      <c r="B1295" t="str">
        <f>IFERROR(INDEX(装备库!$A$2:$E$2022,MATCH(ROW()-1,装备库!$AK$2:$AK$2022,0),COLUMN()),"")</f>
        <v/>
      </c>
      <c r="C1295" t="str">
        <f>IFERROR(INDEX(装备库!$A$2:$E$2022,MATCH(ROW()-1,装备库!$AK$2:$AK$2022,0),5),"")</f>
        <v/>
      </c>
    </row>
    <row r="1296" spans="1:3">
      <c r="A1296" t="str">
        <f>IFERROR(INDEX(装备库!$A$2:$E$2022,MATCH(ROW()-1,装备库!$AK$2:$AK$2022,0),COLUMN()),"")</f>
        <v/>
      </c>
      <c r="B1296" t="str">
        <f>IFERROR(INDEX(装备库!$A$2:$E$2022,MATCH(ROW()-1,装备库!$AK$2:$AK$2022,0),COLUMN()),"")</f>
        <v/>
      </c>
      <c r="C1296" t="str">
        <f>IFERROR(INDEX(装备库!$A$2:$E$2022,MATCH(ROW()-1,装备库!$AK$2:$AK$2022,0),5),"")</f>
        <v/>
      </c>
    </row>
    <row r="1297" spans="1:3">
      <c r="A1297" t="str">
        <f>IFERROR(INDEX(装备库!$A$2:$E$2022,MATCH(ROW()-1,装备库!$AK$2:$AK$2022,0),COLUMN()),"")</f>
        <v/>
      </c>
      <c r="B1297" t="str">
        <f>IFERROR(INDEX(装备库!$A$2:$E$2022,MATCH(ROW()-1,装备库!$AK$2:$AK$2022,0),COLUMN()),"")</f>
        <v/>
      </c>
      <c r="C1297" t="str">
        <f>IFERROR(INDEX(装备库!$A$2:$E$2022,MATCH(ROW()-1,装备库!$AK$2:$AK$2022,0),5),"")</f>
        <v/>
      </c>
    </row>
    <row r="1298" spans="1:3">
      <c r="A1298" t="str">
        <f>IFERROR(INDEX(装备库!$A$2:$E$2022,MATCH(ROW()-1,装备库!$AK$2:$AK$2022,0),COLUMN()),"")</f>
        <v/>
      </c>
      <c r="B1298" t="str">
        <f>IFERROR(INDEX(装备库!$A$2:$E$2022,MATCH(ROW()-1,装备库!$AK$2:$AK$2022,0),COLUMN()),"")</f>
        <v/>
      </c>
      <c r="C1298" t="str">
        <f>IFERROR(INDEX(装备库!$A$2:$E$2022,MATCH(ROW()-1,装备库!$AK$2:$AK$2022,0),5),"")</f>
        <v/>
      </c>
    </row>
    <row r="1299" spans="1:3">
      <c r="A1299" t="str">
        <f>IFERROR(INDEX(装备库!$A$2:$E$2022,MATCH(ROW()-1,装备库!$AK$2:$AK$2022,0),COLUMN()),"")</f>
        <v/>
      </c>
      <c r="B1299" t="str">
        <f>IFERROR(INDEX(装备库!$A$2:$E$2022,MATCH(ROW()-1,装备库!$AK$2:$AK$2022,0),COLUMN()),"")</f>
        <v/>
      </c>
      <c r="C1299" t="str">
        <f>IFERROR(INDEX(装备库!$A$2:$E$2022,MATCH(ROW()-1,装备库!$AK$2:$AK$2022,0),5),"")</f>
        <v/>
      </c>
    </row>
    <row r="1300" spans="1:3">
      <c r="A1300" t="str">
        <f>IFERROR(INDEX(装备库!$A$2:$E$2022,MATCH(ROW()-1,装备库!$AK$2:$AK$2022,0),COLUMN()),"")</f>
        <v/>
      </c>
      <c r="B1300" t="str">
        <f>IFERROR(INDEX(装备库!$A$2:$E$2022,MATCH(ROW()-1,装备库!$AK$2:$AK$2022,0),COLUMN()),"")</f>
        <v/>
      </c>
      <c r="C1300" t="str">
        <f>IFERROR(INDEX(装备库!$A$2:$E$2022,MATCH(ROW()-1,装备库!$AK$2:$AK$2022,0),5),"")</f>
        <v/>
      </c>
    </row>
    <row r="1301" spans="1:3">
      <c r="A1301" t="str">
        <f>IFERROR(INDEX(装备库!$A$2:$E$2022,MATCH(ROW()-1,装备库!$AK$2:$AK$2022,0),COLUMN()),"")</f>
        <v/>
      </c>
      <c r="B1301" t="str">
        <f>IFERROR(INDEX(装备库!$A$2:$E$2022,MATCH(ROW()-1,装备库!$AK$2:$AK$2022,0),COLUMN()),"")</f>
        <v/>
      </c>
      <c r="C1301" t="str">
        <f>IFERROR(INDEX(装备库!$A$2:$E$2022,MATCH(ROW()-1,装备库!$AK$2:$AK$2022,0),5),"")</f>
        <v/>
      </c>
    </row>
    <row r="1302" spans="1:3">
      <c r="A1302" t="str">
        <f>IFERROR(INDEX(装备库!$A$2:$E$2022,MATCH(ROW()-1,装备库!$AK$2:$AK$2022,0),COLUMN()),"")</f>
        <v/>
      </c>
      <c r="B1302" t="str">
        <f>IFERROR(INDEX(装备库!$A$2:$E$2022,MATCH(ROW()-1,装备库!$AK$2:$AK$2022,0),COLUMN()),"")</f>
        <v/>
      </c>
      <c r="C1302" t="str">
        <f>IFERROR(INDEX(装备库!$A$2:$E$2022,MATCH(ROW()-1,装备库!$AK$2:$AK$2022,0),5),"")</f>
        <v/>
      </c>
    </row>
    <row r="1303" spans="1:3">
      <c r="A1303" t="str">
        <f>IFERROR(INDEX(装备库!$A$2:$E$2022,MATCH(ROW()-1,装备库!$AK$2:$AK$2022,0),COLUMN()),"")</f>
        <v/>
      </c>
      <c r="B1303" t="str">
        <f>IFERROR(INDEX(装备库!$A$2:$E$2022,MATCH(ROW()-1,装备库!$AK$2:$AK$2022,0),COLUMN()),"")</f>
        <v/>
      </c>
      <c r="C1303" t="str">
        <f>IFERROR(INDEX(装备库!$A$2:$E$2022,MATCH(ROW()-1,装备库!$AK$2:$AK$2022,0),5),"")</f>
        <v/>
      </c>
    </row>
    <row r="1304" spans="1:3">
      <c r="A1304" t="str">
        <f>IFERROR(INDEX(装备库!$A$2:$E$2022,MATCH(ROW()-1,装备库!$AK$2:$AK$2022,0),COLUMN()),"")</f>
        <v/>
      </c>
      <c r="B1304" t="str">
        <f>IFERROR(INDEX(装备库!$A$2:$E$2022,MATCH(ROW()-1,装备库!$AK$2:$AK$2022,0),COLUMN()),"")</f>
        <v/>
      </c>
      <c r="C1304" t="str">
        <f>IFERROR(INDEX(装备库!$A$2:$E$2022,MATCH(ROW()-1,装备库!$AK$2:$AK$2022,0),5),"")</f>
        <v/>
      </c>
    </row>
    <row r="1305" spans="1:3">
      <c r="A1305" t="str">
        <f>IFERROR(INDEX(装备库!$A$2:$E$2022,MATCH(ROW()-1,装备库!$AK$2:$AK$2022,0),COLUMN()),"")</f>
        <v/>
      </c>
      <c r="B1305" t="str">
        <f>IFERROR(INDEX(装备库!$A$2:$E$2022,MATCH(ROW()-1,装备库!$AK$2:$AK$2022,0),COLUMN()),"")</f>
        <v/>
      </c>
      <c r="C1305" t="str">
        <f>IFERROR(INDEX(装备库!$A$2:$E$2022,MATCH(ROW()-1,装备库!$AK$2:$AK$2022,0),5),"")</f>
        <v/>
      </c>
    </row>
    <row r="1306" spans="1:3">
      <c r="A1306" t="str">
        <f>IFERROR(INDEX(装备库!$A$2:$E$2022,MATCH(ROW()-1,装备库!$AK$2:$AK$2022,0),COLUMN()),"")</f>
        <v/>
      </c>
      <c r="B1306" t="str">
        <f>IFERROR(INDEX(装备库!$A$2:$E$2022,MATCH(ROW()-1,装备库!$AK$2:$AK$2022,0),COLUMN()),"")</f>
        <v/>
      </c>
      <c r="C1306" t="str">
        <f>IFERROR(INDEX(装备库!$A$2:$E$2022,MATCH(ROW()-1,装备库!$AK$2:$AK$2022,0),5),"")</f>
        <v/>
      </c>
    </row>
    <row r="1307" spans="1:3">
      <c r="A1307" t="str">
        <f>IFERROR(INDEX(装备库!$A$2:$E$2022,MATCH(ROW()-1,装备库!$AK$2:$AK$2022,0),COLUMN()),"")</f>
        <v/>
      </c>
      <c r="B1307" t="str">
        <f>IFERROR(INDEX(装备库!$A$2:$E$2022,MATCH(ROW()-1,装备库!$AK$2:$AK$2022,0),COLUMN()),"")</f>
        <v/>
      </c>
      <c r="C1307" t="str">
        <f>IFERROR(INDEX(装备库!$A$2:$E$2022,MATCH(ROW()-1,装备库!$AK$2:$AK$2022,0),5),"")</f>
        <v/>
      </c>
    </row>
    <row r="1308" spans="1:3">
      <c r="A1308" t="str">
        <f>IFERROR(INDEX(装备库!$A$2:$E$2022,MATCH(ROW()-1,装备库!$AK$2:$AK$2022,0),COLUMN()),"")</f>
        <v/>
      </c>
      <c r="B1308" t="str">
        <f>IFERROR(INDEX(装备库!$A$2:$E$2022,MATCH(ROW()-1,装备库!$AK$2:$AK$2022,0),COLUMN()),"")</f>
        <v/>
      </c>
      <c r="C1308" t="str">
        <f>IFERROR(INDEX(装备库!$A$2:$E$2022,MATCH(ROW()-1,装备库!$AK$2:$AK$2022,0),5),"")</f>
        <v/>
      </c>
    </row>
    <row r="1309" spans="1:3">
      <c r="A1309" t="str">
        <f>IFERROR(INDEX(装备库!$A$2:$E$2022,MATCH(ROW()-1,装备库!$AK$2:$AK$2022,0),COLUMN()),"")</f>
        <v/>
      </c>
      <c r="B1309" t="str">
        <f>IFERROR(INDEX(装备库!$A$2:$E$2022,MATCH(ROW()-1,装备库!$AK$2:$AK$2022,0),COLUMN()),"")</f>
        <v/>
      </c>
      <c r="C1309" t="str">
        <f>IFERROR(INDEX(装备库!$A$2:$E$2022,MATCH(ROW()-1,装备库!$AK$2:$AK$2022,0),5),"")</f>
        <v/>
      </c>
    </row>
    <row r="1310" spans="1:3">
      <c r="A1310" t="str">
        <f>IFERROR(INDEX(装备库!$A$2:$E$2022,MATCH(ROW()-1,装备库!$AK$2:$AK$2022,0),COLUMN()),"")</f>
        <v/>
      </c>
      <c r="B1310" t="str">
        <f>IFERROR(INDEX(装备库!$A$2:$E$2022,MATCH(ROW()-1,装备库!$AK$2:$AK$2022,0),COLUMN()),"")</f>
        <v/>
      </c>
      <c r="C1310" t="str">
        <f>IFERROR(INDEX(装备库!$A$2:$E$2022,MATCH(ROW()-1,装备库!$AK$2:$AK$2022,0),5),"")</f>
        <v/>
      </c>
    </row>
    <row r="1311" spans="1:3">
      <c r="A1311" t="str">
        <f>IFERROR(INDEX(装备库!$A$2:$E$2022,MATCH(ROW()-1,装备库!$AK$2:$AK$2022,0),COLUMN()),"")</f>
        <v/>
      </c>
      <c r="B1311" t="str">
        <f>IFERROR(INDEX(装备库!$A$2:$E$2022,MATCH(ROW()-1,装备库!$AK$2:$AK$2022,0),COLUMN()),"")</f>
        <v/>
      </c>
      <c r="C1311" t="str">
        <f>IFERROR(INDEX(装备库!$A$2:$E$2022,MATCH(ROW()-1,装备库!$AK$2:$AK$2022,0),5),"")</f>
        <v/>
      </c>
    </row>
    <row r="1312" spans="1:3">
      <c r="A1312" t="str">
        <f>IFERROR(INDEX(装备库!$A$2:$E$2022,MATCH(ROW()-1,装备库!$AK$2:$AK$2022,0),COLUMN()),"")</f>
        <v/>
      </c>
      <c r="B1312" t="str">
        <f>IFERROR(INDEX(装备库!$A$2:$E$2022,MATCH(ROW()-1,装备库!$AK$2:$AK$2022,0),COLUMN()),"")</f>
        <v/>
      </c>
      <c r="C1312" t="str">
        <f>IFERROR(INDEX(装备库!$A$2:$E$2022,MATCH(ROW()-1,装备库!$AK$2:$AK$2022,0),5),"")</f>
        <v/>
      </c>
    </row>
    <row r="1313" spans="1:3">
      <c r="A1313" t="str">
        <f>IFERROR(INDEX(装备库!$A$2:$E$2022,MATCH(ROW()-1,装备库!$AK$2:$AK$2022,0),COLUMN()),"")</f>
        <v/>
      </c>
      <c r="B1313" t="str">
        <f>IFERROR(INDEX(装备库!$A$2:$E$2022,MATCH(ROW()-1,装备库!$AK$2:$AK$2022,0),COLUMN()),"")</f>
        <v/>
      </c>
      <c r="C1313" t="str">
        <f>IFERROR(INDEX(装备库!$A$2:$E$2022,MATCH(ROW()-1,装备库!$AK$2:$AK$2022,0),5),"")</f>
        <v/>
      </c>
    </row>
    <row r="1314" spans="1:3">
      <c r="A1314" t="str">
        <f>IFERROR(INDEX(装备库!$A$2:$E$2022,MATCH(ROW()-1,装备库!$AK$2:$AK$2022,0),COLUMN()),"")</f>
        <v/>
      </c>
      <c r="B1314" t="str">
        <f>IFERROR(INDEX(装备库!$A$2:$E$2022,MATCH(ROW()-1,装备库!$AK$2:$AK$2022,0),COLUMN()),"")</f>
        <v/>
      </c>
      <c r="C1314" t="str">
        <f>IFERROR(INDEX(装备库!$A$2:$E$2022,MATCH(ROW()-1,装备库!$AK$2:$AK$2022,0),5),"")</f>
        <v/>
      </c>
    </row>
    <row r="1315" spans="1:3">
      <c r="A1315" t="str">
        <f>IFERROR(INDEX(装备库!$A$2:$E$2022,MATCH(ROW()-1,装备库!$AK$2:$AK$2022,0),COLUMN()),"")</f>
        <v/>
      </c>
      <c r="B1315" t="str">
        <f>IFERROR(INDEX(装备库!$A$2:$E$2022,MATCH(ROW()-1,装备库!$AK$2:$AK$2022,0),COLUMN()),"")</f>
        <v/>
      </c>
      <c r="C1315" t="str">
        <f>IFERROR(INDEX(装备库!$A$2:$E$2022,MATCH(ROW()-1,装备库!$AK$2:$AK$2022,0),5),"")</f>
        <v/>
      </c>
    </row>
    <row r="1316" spans="1:3">
      <c r="A1316" t="str">
        <f>IFERROR(INDEX(装备库!$A$2:$E$2022,MATCH(ROW()-1,装备库!$AK$2:$AK$2022,0),COLUMN()),"")</f>
        <v/>
      </c>
      <c r="B1316" t="str">
        <f>IFERROR(INDEX(装备库!$A$2:$E$2022,MATCH(ROW()-1,装备库!$AK$2:$AK$2022,0),COLUMN()),"")</f>
        <v/>
      </c>
      <c r="C1316" t="str">
        <f>IFERROR(INDEX(装备库!$A$2:$E$2022,MATCH(ROW()-1,装备库!$AK$2:$AK$2022,0),5),"")</f>
        <v/>
      </c>
    </row>
    <row r="1317" spans="1:3">
      <c r="A1317" t="str">
        <f>IFERROR(INDEX(装备库!$A$2:$E$2022,MATCH(ROW()-1,装备库!$AK$2:$AK$2022,0),COLUMN()),"")</f>
        <v/>
      </c>
      <c r="B1317" t="str">
        <f>IFERROR(INDEX(装备库!$A$2:$E$2022,MATCH(ROW()-1,装备库!$AK$2:$AK$2022,0),COLUMN()),"")</f>
        <v/>
      </c>
      <c r="C1317" t="str">
        <f>IFERROR(INDEX(装备库!$A$2:$E$2022,MATCH(ROW()-1,装备库!$AK$2:$AK$2022,0),5),"")</f>
        <v/>
      </c>
    </row>
    <row r="1318" spans="1:3">
      <c r="A1318" t="str">
        <f>IFERROR(INDEX(装备库!$A$2:$E$2022,MATCH(ROW()-1,装备库!$AK$2:$AK$2022,0),COLUMN()),"")</f>
        <v/>
      </c>
      <c r="B1318" t="str">
        <f>IFERROR(INDEX(装备库!$A$2:$E$2022,MATCH(ROW()-1,装备库!$AK$2:$AK$2022,0),COLUMN()),"")</f>
        <v/>
      </c>
      <c r="C1318" t="str">
        <f>IFERROR(INDEX(装备库!$A$2:$E$2022,MATCH(ROW()-1,装备库!$AK$2:$AK$2022,0),5),"")</f>
        <v/>
      </c>
    </row>
    <row r="1319" spans="1:3">
      <c r="A1319" t="str">
        <f>IFERROR(INDEX(装备库!$A$2:$E$2022,MATCH(ROW()-1,装备库!$AK$2:$AK$2022,0),COLUMN()),"")</f>
        <v/>
      </c>
      <c r="B1319" t="str">
        <f>IFERROR(INDEX(装备库!$A$2:$E$2022,MATCH(ROW()-1,装备库!$AK$2:$AK$2022,0),COLUMN()),"")</f>
        <v/>
      </c>
      <c r="C1319" t="str">
        <f>IFERROR(INDEX(装备库!$A$2:$E$2022,MATCH(ROW()-1,装备库!$AK$2:$AK$2022,0),5),"")</f>
        <v/>
      </c>
    </row>
    <row r="1320" spans="1:3">
      <c r="A1320" t="str">
        <f>IFERROR(INDEX(装备库!$A$2:$E$2022,MATCH(ROW()-1,装备库!$AK$2:$AK$2022,0),COLUMN()),"")</f>
        <v/>
      </c>
      <c r="B1320" t="str">
        <f>IFERROR(INDEX(装备库!$A$2:$E$2022,MATCH(ROW()-1,装备库!$AK$2:$AK$2022,0),COLUMN()),"")</f>
        <v/>
      </c>
      <c r="C1320" t="str">
        <f>IFERROR(INDEX(装备库!$A$2:$E$2022,MATCH(ROW()-1,装备库!$AK$2:$AK$2022,0),5),"")</f>
        <v/>
      </c>
    </row>
    <row r="1321" spans="1:3">
      <c r="A1321" t="str">
        <f>IFERROR(INDEX(装备库!$A$2:$E$2022,MATCH(ROW()-1,装备库!$AK$2:$AK$2022,0),COLUMN()),"")</f>
        <v/>
      </c>
      <c r="B1321" t="str">
        <f>IFERROR(INDEX(装备库!$A$2:$E$2022,MATCH(ROW()-1,装备库!$AK$2:$AK$2022,0),COLUMN()),"")</f>
        <v/>
      </c>
      <c r="C1321" t="str">
        <f>IFERROR(INDEX(装备库!$A$2:$E$2022,MATCH(ROW()-1,装备库!$AK$2:$AK$2022,0),5),"")</f>
        <v/>
      </c>
    </row>
    <row r="1322" spans="1:3">
      <c r="A1322" t="str">
        <f>IFERROR(INDEX(装备库!$A$2:$E$2022,MATCH(ROW()-1,装备库!$AK$2:$AK$2022,0),COLUMN()),"")</f>
        <v/>
      </c>
      <c r="B1322" t="str">
        <f>IFERROR(INDEX(装备库!$A$2:$E$2022,MATCH(ROW()-1,装备库!$AK$2:$AK$2022,0),COLUMN()),"")</f>
        <v/>
      </c>
      <c r="C1322" t="str">
        <f>IFERROR(INDEX(装备库!$A$2:$E$2022,MATCH(ROW()-1,装备库!$AK$2:$AK$2022,0),5),"")</f>
        <v/>
      </c>
    </row>
    <row r="1323" spans="1:3">
      <c r="A1323" t="str">
        <f>IFERROR(INDEX(装备库!$A$2:$E$2022,MATCH(ROW()-1,装备库!$AK$2:$AK$2022,0),COLUMN()),"")</f>
        <v/>
      </c>
      <c r="B1323" t="str">
        <f>IFERROR(INDEX(装备库!$A$2:$E$2022,MATCH(ROW()-1,装备库!$AK$2:$AK$2022,0),COLUMN()),"")</f>
        <v/>
      </c>
      <c r="C1323" t="str">
        <f>IFERROR(INDEX(装备库!$A$2:$E$2022,MATCH(ROW()-1,装备库!$AK$2:$AK$2022,0),5),"")</f>
        <v/>
      </c>
    </row>
    <row r="1324" spans="1:3">
      <c r="A1324" t="str">
        <f>IFERROR(INDEX(装备库!$A$2:$E$2022,MATCH(ROW()-1,装备库!$AK$2:$AK$2022,0),COLUMN()),"")</f>
        <v/>
      </c>
      <c r="B1324" t="str">
        <f>IFERROR(INDEX(装备库!$A$2:$E$2022,MATCH(ROW()-1,装备库!$AK$2:$AK$2022,0),COLUMN()),"")</f>
        <v/>
      </c>
      <c r="C1324" t="str">
        <f>IFERROR(INDEX(装备库!$A$2:$E$2022,MATCH(ROW()-1,装备库!$AK$2:$AK$2022,0),5),"")</f>
        <v/>
      </c>
    </row>
    <row r="1325" spans="1:3">
      <c r="A1325" t="str">
        <f>IFERROR(INDEX(装备库!$A$2:$E$2022,MATCH(ROW()-1,装备库!$AK$2:$AK$2022,0),COLUMN()),"")</f>
        <v/>
      </c>
      <c r="B1325" t="str">
        <f>IFERROR(INDEX(装备库!$A$2:$E$2022,MATCH(ROW()-1,装备库!$AK$2:$AK$2022,0),COLUMN()),"")</f>
        <v/>
      </c>
      <c r="C1325" t="str">
        <f>IFERROR(INDEX(装备库!$A$2:$E$2022,MATCH(ROW()-1,装备库!$AK$2:$AK$2022,0),5),"")</f>
        <v/>
      </c>
    </row>
    <row r="1326" spans="1:3">
      <c r="A1326" t="str">
        <f>IFERROR(INDEX(装备库!$A$2:$E$2022,MATCH(ROW()-1,装备库!$AK$2:$AK$2022,0),COLUMN()),"")</f>
        <v/>
      </c>
      <c r="B1326" t="str">
        <f>IFERROR(INDEX(装备库!$A$2:$E$2022,MATCH(ROW()-1,装备库!$AK$2:$AK$2022,0),COLUMN()),"")</f>
        <v/>
      </c>
      <c r="C1326" t="str">
        <f>IFERROR(INDEX(装备库!$A$2:$E$2022,MATCH(ROW()-1,装备库!$AK$2:$AK$2022,0),5),"")</f>
        <v/>
      </c>
    </row>
    <row r="1327" spans="1:3">
      <c r="A1327" t="str">
        <f>IFERROR(INDEX(装备库!$A$2:$E$2022,MATCH(ROW()-1,装备库!$AK$2:$AK$2022,0),COLUMN()),"")</f>
        <v/>
      </c>
      <c r="B1327" t="str">
        <f>IFERROR(INDEX(装备库!$A$2:$E$2022,MATCH(ROW()-1,装备库!$AK$2:$AK$2022,0),COLUMN()),"")</f>
        <v/>
      </c>
      <c r="C1327" t="str">
        <f>IFERROR(INDEX(装备库!$A$2:$E$2022,MATCH(ROW()-1,装备库!$AK$2:$AK$2022,0),5),"")</f>
        <v/>
      </c>
    </row>
    <row r="1328" spans="1:3">
      <c r="A1328" t="str">
        <f>IFERROR(INDEX(装备库!$A$2:$E$2022,MATCH(ROW()-1,装备库!$AK$2:$AK$2022,0),COLUMN()),"")</f>
        <v/>
      </c>
      <c r="B1328" t="str">
        <f>IFERROR(INDEX(装备库!$A$2:$E$2022,MATCH(ROW()-1,装备库!$AK$2:$AK$2022,0),COLUMN()),"")</f>
        <v/>
      </c>
      <c r="C1328" t="str">
        <f>IFERROR(INDEX(装备库!$A$2:$E$2022,MATCH(ROW()-1,装备库!$AK$2:$AK$2022,0),5),"")</f>
        <v/>
      </c>
    </row>
    <row r="1329" spans="1:3">
      <c r="A1329" t="str">
        <f>IFERROR(INDEX(装备库!$A$2:$E$2022,MATCH(ROW()-1,装备库!$AK$2:$AK$2022,0),COLUMN()),"")</f>
        <v/>
      </c>
      <c r="B1329" t="str">
        <f>IFERROR(INDEX(装备库!$A$2:$E$2022,MATCH(ROW()-1,装备库!$AK$2:$AK$2022,0),COLUMN()),"")</f>
        <v/>
      </c>
      <c r="C1329" t="str">
        <f>IFERROR(INDEX(装备库!$A$2:$E$2022,MATCH(ROW()-1,装备库!$AK$2:$AK$2022,0),5),"")</f>
        <v/>
      </c>
    </row>
    <row r="1330" spans="1:3">
      <c r="A1330" t="str">
        <f>IFERROR(INDEX(装备库!$A$2:$E$2022,MATCH(ROW()-1,装备库!$AK$2:$AK$2022,0),COLUMN()),"")</f>
        <v/>
      </c>
      <c r="B1330" t="str">
        <f>IFERROR(INDEX(装备库!$A$2:$E$2022,MATCH(ROW()-1,装备库!$AK$2:$AK$2022,0),COLUMN()),"")</f>
        <v/>
      </c>
      <c r="C1330" t="str">
        <f>IFERROR(INDEX(装备库!$A$2:$E$2022,MATCH(ROW()-1,装备库!$AK$2:$AK$2022,0),5),"")</f>
        <v/>
      </c>
    </row>
    <row r="1331" spans="1:3">
      <c r="A1331" t="str">
        <f>IFERROR(INDEX(装备库!$A$2:$E$2022,MATCH(ROW()-1,装备库!$AK$2:$AK$2022,0),COLUMN()),"")</f>
        <v/>
      </c>
      <c r="B1331" t="str">
        <f>IFERROR(INDEX(装备库!$A$2:$E$2022,MATCH(ROW()-1,装备库!$AK$2:$AK$2022,0),COLUMN()),"")</f>
        <v/>
      </c>
      <c r="C1331" t="str">
        <f>IFERROR(INDEX(装备库!$A$2:$E$2022,MATCH(ROW()-1,装备库!$AK$2:$AK$2022,0),5),"")</f>
        <v/>
      </c>
    </row>
    <row r="1332" spans="1:3">
      <c r="A1332" t="str">
        <f>IFERROR(INDEX(装备库!$A$2:$E$2022,MATCH(ROW()-1,装备库!$AK$2:$AK$2022,0),COLUMN()),"")</f>
        <v/>
      </c>
      <c r="B1332" t="str">
        <f>IFERROR(INDEX(装备库!$A$2:$E$2022,MATCH(ROW()-1,装备库!$AK$2:$AK$2022,0),COLUMN()),"")</f>
        <v/>
      </c>
      <c r="C1332" t="str">
        <f>IFERROR(INDEX(装备库!$A$2:$E$2022,MATCH(ROW()-1,装备库!$AK$2:$AK$2022,0),5),"")</f>
        <v/>
      </c>
    </row>
    <row r="1333" spans="1:3">
      <c r="A1333" t="str">
        <f>IFERROR(INDEX(装备库!$A$2:$E$2022,MATCH(ROW()-1,装备库!$AK$2:$AK$2022,0),COLUMN()),"")</f>
        <v/>
      </c>
      <c r="B1333" t="str">
        <f>IFERROR(INDEX(装备库!$A$2:$E$2022,MATCH(ROW()-1,装备库!$AK$2:$AK$2022,0),COLUMN()),"")</f>
        <v/>
      </c>
      <c r="C1333" t="str">
        <f>IFERROR(INDEX(装备库!$A$2:$E$2022,MATCH(ROW()-1,装备库!$AK$2:$AK$2022,0),5),"")</f>
        <v/>
      </c>
    </row>
    <row r="1334" spans="1:3">
      <c r="A1334" t="str">
        <f>IFERROR(INDEX(装备库!$A$2:$E$2022,MATCH(ROW()-1,装备库!$AK$2:$AK$2022,0),COLUMN()),"")</f>
        <v/>
      </c>
      <c r="B1334" t="str">
        <f>IFERROR(INDEX(装备库!$A$2:$E$2022,MATCH(ROW()-1,装备库!$AK$2:$AK$2022,0),COLUMN()),"")</f>
        <v/>
      </c>
      <c r="C1334" t="str">
        <f>IFERROR(INDEX(装备库!$A$2:$E$2022,MATCH(ROW()-1,装备库!$AK$2:$AK$2022,0),5),"")</f>
        <v/>
      </c>
    </row>
    <row r="1335" spans="1:3">
      <c r="A1335" t="str">
        <f>IFERROR(INDEX(装备库!$A$2:$E$2022,MATCH(ROW()-1,装备库!$AK$2:$AK$2022,0),COLUMN()),"")</f>
        <v/>
      </c>
      <c r="B1335" t="str">
        <f>IFERROR(INDEX(装备库!$A$2:$E$2022,MATCH(ROW()-1,装备库!$AK$2:$AK$2022,0),COLUMN()),"")</f>
        <v/>
      </c>
      <c r="C1335" t="str">
        <f>IFERROR(INDEX(装备库!$A$2:$E$2022,MATCH(ROW()-1,装备库!$AK$2:$AK$2022,0),5),"")</f>
        <v/>
      </c>
    </row>
    <row r="1336" spans="1:3">
      <c r="A1336" t="str">
        <f>IFERROR(INDEX(装备库!$A$2:$E$2022,MATCH(ROW()-1,装备库!$AK$2:$AK$2022,0),COLUMN()),"")</f>
        <v/>
      </c>
      <c r="B1336" t="str">
        <f>IFERROR(INDEX(装备库!$A$2:$E$2022,MATCH(ROW()-1,装备库!$AK$2:$AK$2022,0),COLUMN()),"")</f>
        <v/>
      </c>
      <c r="C1336" t="str">
        <f>IFERROR(INDEX(装备库!$A$2:$E$2022,MATCH(ROW()-1,装备库!$AK$2:$AK$2022,0),5),"")</f>
        <v/>
      </c>
    </row>
    <row r="1337" spans="1:3">
      <c r="A1337" t="str">
        <f>IFERROR(INDEX(装备库!$A$2:$E$2022,MATCH(ROW()-1,装备库!$AK$2:$AK$2022,0),COLUMN()),"")</f>
        <v/>
      </c>
      <c r="B1337" t="str">
        <f>IFERROR(INDEX(装备库!$A$2:$E$2022,MATCH(ROW()-1,装备库!$AK$2:$AK$2022,0),COLUMN()),"")</f>
        <v/>
      </c>
      <c r="C1337" t="str">
        <f>IFERROR(INDEX(装备库!$A$2:$E$2022,MATCH(ROW()-1,装备库!$AK$2:$AK$2022,0),5),"")</f>
        <v/>
      </c>
    </row>
    <row r="1338" spans="1:3">
      <c r="A1338" t="str">
        <f>IFERROR(INDEX(装备库!$A$2:$E$2022,MATCH(ROW()-1,装备库!$AK$2:$AK$2022,0),COLUMN()),"")</f>
        <v/>
      </c>
      <c r="B1338" t="str">
        <f>IFERROR(INDEX(装备库!$A$2:$E$2022,MATCH(ROW()-1,装备库!$AK$2:$AK$2022,0),COLUMN()),"")</f>
        <v/>
      </c>
      <c r="C1338" t="str">
        <f>IFERROR(INDEX(装备库!$A$2:$E$2022,MATCH(ROW()-1,装备库!$AK$2:$AK$2022,0),5),"")</f>
        <v/>
      </c>
    </row>
    <row r="1339" spans="1:3">
      <c r="A1339" t="str">
        <f>IFERROR(INDEX(装备库!$A$2:$E$2022,MATCH(ROW()-1,装备库!$AK$2:$AK$2022,0),COLUMN()),"")</f>
        <v/>
      </c>
      <c r="B1339" t="str">
        <f>IFERROR(INDEX(装备库!$A$2:$E$2022,MATCH(ROW()-1,装备库!$AK$2:$AK$2022,0),COLUMN()),"")</f>
        <v/>
      </c>
      <c r="C1339" t="str">
        <f>IFERROR(INDEX(装备库!$A$2:$E$2022,MATCH(ROW()-1,装备库!$AK$2:$AK$2022,0),5),"")</f>
        <v/>
      </c>
    </row>
    <row r="1340" spans="1:3">
      <c r="A1340" t="str">
        <f>IFERROR(INDEX(装备库!$A$2:$E$2022,MATCH(ROW()-1,装备库!$AK$2:$AK$2022,0),COLUMN()),"")</f>
        <v/>
      </c>
      <c r="B1340" t="str">
        <f>IFERROR(INDEX(装备库!$A$2:$E$2022,MATCH(ROW()-1,装备库!$AK$2:$AK$2022,0),COLUMN()),"")</f>
        <v/>
      </c>
      <c r="C1340" t="str">
        <f>IFERROR(INDEX(装备库!$A$2:$E$2022,MATCH(ROW()-1,装备库!$AK$2:$AK$2022,0),5),"")</f>
        <v/>
      </c>
    </row>
    <row r="1341" spans="1:3">
      <c r="A1341" t="str">
        <f>IFERROR(INDEX(装备库!$A$2:$E$2022,MATCH(ROW()-1,装备库!$AK$2:$AK$2022,0),COLUMN()),"")</f>
        <v/>
      </c>
      <c r="B1341" t="str">
        <f>IFERROR(INDEX(装备库!$A$2:$E$2022,MATCH(ROW()-1,装备库!$AK$2:$AK$2022,0),COLUMN()),"")</f>
        <v/>
      </c>
      <c r="C1341" t="str">
        <f>IFERROR(INDEX(装备库!$A$2:$E$2022,MATCH(ROW()-1,装备库!$AK$2:$AK$2022,0),5),"")</f>
        <v/>
      </c>
    </row>
    <row r="1342" spans="1:3">
      <c r="A1342" t="str">
        <f>IFERROR(INDEX(装备库!$A$2:$E$2022,MATCH(ROW()-1,装备库!$AK$2:$AK$2022,0),COLUMN()),"")</f>
        <v/>
      </c>
      <c r="B1342" t="str">
        <f>IFERROR(INDEX(装备库!$A$2:$E$2022,MATCH(ROW()-1,装备库!$AK$2:$AK$2022,0),COLUMN()),"")</f>
        <v/>
      </c>
      <c r="C1342" t="str">
        <f>IFERROR(INDEX(装备库!$A$2:$E$2022,MATCH(ROW()-1,装备库!$AK$2:$AK$2022,0),5),"")</f>
        <v/>
      </c>
    </row>
    <row r="1343" spans="1:3">
      <c r="A1343" t="str">
        <f>IFERROR(INDEX(装备库!$A$2:$E$2022,MATCH(ROW()-1,装备库!$AK$2:$AK$2022,0),COLUMN()),"")</f>
        <v/>
      </c>
      <c r="B1343" t="str">
        <f>IFERROR(INDEX(装备库!$A$2:$E$2022,MATCH(ROW()-1,装备库!$AK$2:$AK$2022,0),COLUMN()),"")</f>
        <v/>
      </c>
      <c r="C1343" t="str">
        <f>IFERROR(INDEX(装备库!$A$2:$E$2022,MATCH(ROW()-1,装备库!$AK$2:$AK$2022,0),5),"")</f>
        <v/>
      </c>
    </row>
    <row r="1344" spans="1:3">
      <c r="A1344" t="str">
        <f>IFERROR(INDEX(装备库!$A$2:$E$2022,MATCH(ROW()-1,装备库!$AK$2:$AK$2022,0),COLUMN()),"")</f>
        <v/>
      </c>
      <c r="B1344" t="str">
        <f>IFERROR(INDEX(装备库!$A$2:$E$2022,MATCH(ROW()-1,装备库!$AK$2:$AK$2022,0),COLUMN()),"")</f>
        <v/>
      </c>
      <c r="C1344" t="str">
        <f>IFERROR(INDEX(装备库!$A$2:$E$2022,MATCH(ROW()-1,装备库!$AK$2:$AK$2022,0),5),"")</f>
        <v/>
      </c>
    </row>
    <row r="1345" spans="1:3">
      <c r="A1345" t="str">
        <f>IFERROR(INDEX(装备库!$A$2:$E$2022,MATCH(ROW()-1,装备库!$AK$2:$AK$2022,0),COLUMN()),"")</f>
        <v/>
      </c>
      <c r="B1345" t="str">
        <f>IFERROR(INDEX(装备库!$A$2:$E$2022,MATCH(ROW()-1,装备库!$AK$2:$AK$2022,0),COLUMN()),"")</f>
        <v/>
      </c>
      <c r="C1345" t="str">
        <f>IFERROR(INDEX(装备库!$A$2:$E$2022,MATCH(ROW()-1,装备库!$AK$2:$AK$2022,0),5),"")</f>
        <v/>
      </c>
    </row>
    <row r="1346" spans="1:3">
      <c r="A1346" t="str">
        <f>IFERROR(INDEX(装备库!$A$2:$E$2022,MATCH(ROW()-1,装备库!$AK$2:$AK$2022,0),COLUMN()),"")</f>
        <v/>
      </c>
      <c r="B1346" t="str">
        <f>IFERROR(INDEX(装备库!$A$2:$E$2022,MATCH(ROW()-1,装备库!$AK$2:$AK$2022,0),COLUMN()),"")</f>
        <v/>
      </c>
      <c r="C1346" t="str">
        <f>IFERROR(INDEX(装备库!$A$2:$E$2022,MATCH(ROW()-1,装备库!$AK$2:$AK$2022,0),5),"")</f>
        <v/>
      </c>
    </row>
    <row r="1347" spans="1:3">
      <c r="A1347" t="str">
        <f>IFERROR(INDEX(装备库!$A$2:$E$2022,MATCH(ROW()-1,装备库!$AK$2:$AK$2022,0),COLUMN()),"")</f>
        <v/>
      </c>
      <c r="B1347" t="str">
        <f>IFERROR(INDEX(装备库!$A$2:$E$2022,MATCH(ROW()-1,装备库!$AK$2:$AK$2022,0),COLUMN()),"")</f>
        <v/>
      </c>
      <c r="C1347" t="str">
        <f>IFERROR(INDEX(装备库!$A$2:$E$2022,MATCH(ROW()-1,装备库!$AK$2:$AK$2022,0),5),"")</f>
        <v/>
      </c>
    </row>
    <row r="1348" spans="1:3">
      <c r="A1348" t="str">
        <f>IFERROR(INDEX(装备库!$A$2:$E$2022,MATCH(ROW()-1,装备库!$AK$2:$AK$2022,0),COLUMN()),"")</f>
        <v/>
      </c>
      <c r="B1348" t="str">
        <f>IFERROR(INDEX(装备库!$A$2:$E$2022,MATCH(ROW()-1,装备库!$AK$2:$AK$2022,0),COLUMN()),"")</f>
        <v/>
      </c>
      <c r="C1348" t="str">
        <f>IFERROR(INDEX(装备库!$A$2:$E$2022,MATCH(ROW()-1,装备库!$AK$2:$AK$2022,0),5),"")</f>
        <v/>
      </c>
    </row>
    <row r="1349" spans="1:3">
      <c r="A1349" t="str">
        <f>IFERROR(INDEX(装备库!$A$2:$E$2022,MATCH(ROW()-1,装备库!$AK$2:$AK$2022,0),COLUMN()),"")</f>
        <v/>
      </c>
      <c r="B1349" t="str">
        <f>IFERROR(INDEX(装备库!$A$2:$E$2022,MATCH(ROW()-1,装备库!$AK$2:$AK$2022,0),COLUMN()),"")</f>
        <v/>
      </c>
      <c r="C1349" t="str">
        <f>IFERROR(INDEX(装备库!$A$2:$E$2022,MATCH(ROW()-1,装备库!$AK$2:$AK$2022,0),5),"")</f>
        <v/>
      </c>
    </row>
    <row r="1350" spans="1:3">
      <c r="A1350" t="str">
        <f>IFERROR(INDEX(装备库!$A$2:$E$2022,MATCH(ROW()-1,装备库!$AK$2:$AK$2022,0),COLUMN()),"")</f>
        <v/>
      </c>
      <c r="B1350" t="str">
        <f>IFERROR(INDEX(装备库!$A$2:$E$2022,MATCH(ROW()-1,装备库!$AK$2:$AK$2022,0),COLUMN()),"")</f>
        <v/>
      </c>
      <c r="C1350" t="str">
        <f>IFERROR(INDEX(装备库!$A$2:$E$2022,MATCH(ROW()-1,装备库!$AK$2:$AK$2022,0),5),"")</f>
        <v/>
      </c>
    </row>
    <row r="1351" spans="1:3">
      <c r="A1351" t="str">
        <f>IFERROR(INDEX(装备库!$A$2:$E$2022,MATCH(ROW()-1,装备库!$AK$2:$AK$2022,0),COLUMN()),"")</f>
        <v/>
      </c>
      <c r="B1351" t="str">
        <f>IFERROR(INDEX(装备库!$A$2:$E$2022,MATCH(ROW()-1,装备库!$AK$2:$AK$2022,0),COLUMN()),"")</f>
        <v/>
      </c>
      <c r="C1351" t="str">
        <f>IFERROR(INDEX(装备库!$A$2:$E$2022,MATCH(ROW()-1,装备库!$AK$2:$AK$2022,0),5),"")</f>
        <v/>
      </c>
    </row>
    <row r="1352" spans="1:3">
      <c r="A1352" t="str">
        <f>IFERROR(INDEX(装备库!$A$2:$E$2022,MATCH(ROW()-1,装备库!$AK$2:$AK$2022,0),COLUMN()),"")</f>
        <v/>
      </c>
      <c r="B1352" t="str">
        <f>IFERROR(INDEX(装备库!$A$2:$E$2022,MATCH(ROW()-1,装备库!$AK$2:$AK$2022,0),COLUMN()),"")</f>
        <v/>
      </c>
      <c r="C1352" t="str">
        <f>IFERROR(INDEX(装备库!$A$2:$E$2022,MATCH(ROW()-1,装备库!$AK$2:$AK$2022,0),5),"")</f>
        <v/>
      </c>
    </row>
    <row r="1353" spans="1:3">
      <c r="A1353" t="str">
        <f>IFERROR(INDEX(装备库!$A$2:$E$2022,MATCH(ROW()-1,装备库!$AK$2:$AK$2022,0),COLUMN()),"")</f>
        <v/>
      </c>
      <c r="B1353" t="str">
        <f>IFERROR(INDEX(装备库!$A$2:$E$2022,MATCH(ROW()-1,装备库!$AK$2:$AK$2022,0),COLUMN()),"")</f>
        <v/>
      </c>
      <c r="C1353" t="str">
        <f>IFERROR(INDEX(装备库!$A$2:$E$2022,MATCH(ROW()-1,装备库!$AK$2:$AK$2022,0),5),"")</f>
        <v/>
      </c>
    </row>
    <row r="1354" spans="1:3">
      <c r="A1354" t="str">
        <f>IFERROR(INDEX(装备库!$A$2:$E$2022,MATCH(ROW()-1,装备库!$AK$2:$AK$2022,0),COLUMN()),"")</f>
        <v/>
      </c>
      <c r="B1354" t="str">
        <f>IFERROR(INDEX(装备库!$A$2:$E$2022,MATCH(ROW()-1,装备库!$AK$2:$AK$2022,0),COLUMN()),"")</f>
        <v/>
      </c>
      <c r="C1354" t="str">
        <f>IFERROR(INDEX(装备库!$A$2:$E$2022,MATCH(ROW()-1,装备库!$AK$2:$AK$2022,0),5),"")</f>
        <v/>
      </c>
    </row>
    <row r="1355" spans="1:3">
      <c r="A1355" t="str">
        <f>IFERROR(INDEX(装备库!$A$2:$E$2022,MATCH(ROW()-1,装备库!$AK$2:$AK$2022,0),COLUMN()),"")</f>
        <v/>
      </c>
      <c r="B1355" t="str">
        <f>IFERROR(INDEX(装备库!$A$2:$E$2022,MATCH(ROW()-1,装备库!$AK$2:$AK$2022,0),COLUMN()),"")</f>
        <v/>
      </c>
      <c r="C1355" t="str">
        <f>IFERROR(INDEX(装备库!$A$2:$E$2022,MATCH(ROW()-1,装备库!$AK$2:$AK$2022,0),5),"")</f>
        <v/>
      </c>
    </row>
    <row r="1356" spans="1:3">
      <c r="A1356" t="str">
        <f>IFERROR(INDEX(装备库!$A$2:$E$2022,MATCH(ROW()-1,装备库!$AK$2:$AK$2022,0),COLUMN()),"")</f>
        <v/>
      </c>
      <c r="B1356" t="str">
        <f>IFERROR(INDEX(装备库!$A$2:$E$2022,MATCH(ROW()-1,装备库!$AK$2:$AK$2022,0),COLUMN()),"")</f>
        <v/>
      </c>
      <c r="C1356" t="str">
        <f>IFERROR(INDEX(装备库!$A$2:$E$2022,MATCH(ROW()-1,装备库!$AK$2:$AK$2022,0),5),"")</f>
        <v/>
      </c>
    </row>
    <row r="1357" spans="1:3">
      <c r="A1357" t="str">
        <f>IFERROR(INDEX(装备库!$A$2:$E$2022,MATCH(ROW()-1,装备库!$AK$2:$AK$2022,0),COLUMN()),"")</f>
        <v/>
      </c>
      <c r="B1357" t="str">
        <f>IFERROR(INDEX(装备库!$A$2:$E$2022,MATCH(ROW()-1,装备库!$AK$2:$AK$2022,0),COLUMN()),"")</f>
        <v/>
      </c>
      <c r="C1357" t="str">
        <f>IFERROR(INDEX(装备库!$A$2:$E$2022,MATCH(ROW()-1,装备库!$AK$2:$AK$2022,0),5),"")</f>
        <v/>
      </c>
    </row>
    <row r="1358" spans="1:3">
      <c r="A1358" t="str">
        <f>IFERROR(INDEX(装备库!$A$2:$E$2022,MATCH(ROW()-1,装备库!$AK$2:$AK$2022,0),COLUMN()),"")</f>
        <v/>
      </c>
      <c r="B1358" t="str">
        <f>IFERROR(INDEX(装备库!$A$2:$E$2022,MATCH(ROW()-1,装备库!$AK$2:$AK$2022,0),COLUMN()),"")</f>
        <v/>
      </c>
      <c r="C1358" t="str">
        <f>IFERROR(INDEX(装备库!$A$2:$E$2022,MATCH(ROW()-1,装备库!$AK$2:$AK$2022,0),5),"")</f>
        <v/>
      </c>
    </row>
    <row r="1359" spans="1:3">
      <c r="A1359" t="str">
        <f>IFERROR(INDEX(装备库!$A$2:$E$2022,MATCH(ROW()-1,装备库!$AK$2:$AK$2022,0),COLUMN()),"")</f>
        <v/>
      </c>
      <c r="B1359" t="str">
        <f>IFERROR(INDEX(装备库!$A$2:$E$2022,MATCH(ROW()-1,装备库!$AK$2:$AK$2022,0),COLUMN()),"")</f>
        <v/>
      </c>
      <c r="C1359" t="str">
        <f>IFERROR(INDEX(装备库!$A$2:$E$2022,MATCH(ROW()-1,装备库!$AK$2:$AK$2022,0),5),"")</f>
        <v/>
      </c>
    </row>
    <row r="1360" spans="1:3">
      <c r="A1360" t="str">
        <f>IFERROR(INDEX(装备库!$A$2:$E$2022,MATCH(ROW()-1,装备库!$AK$2:$AK$2022,0),COLUMN()),"")</f>
        <v/>
      </c>
      <c r="B1360" t="str">
        <f>IFERROR(INDEX(装备库!$A$2:$E$2022,MATCH(ROW()-1,装备库!$AK$2:$AK$2022,0),COLUMN()),"")</f>
        <v/>
      </c>
      <c r="C1360" t="str">
        <f>IFERROR(INDEX(装备库!$A$2:$E$2022,MATCH(ROW()-1,装备库!$AK$2:$AK$2022,0),5),"")</f>
        <v/>
      </c>
    </row>
    <row r="1361" spans="1:3">
      <c r="A1361" t="str">
        <f>IFERROR(INDEX(装备库!$A$2:$E$2022,MATCH(ROW()-1,装备库!$AK$2:$AK$2022,0),COLUMN()),"")</f>
        <v/>
      </c>
      <c r="B1361" t="str">
        <f>IFERROR(INDEX(装备库!$A$2:$E$2022,MATCH(ROW()-1,装备库!$AK$2:$AK$2022,0),COLUMN()),"")</f>
        <v/>
      </c>
      <c r="C1361" t="str">
        <f>IFERROR(INDEX(装备库!$A$2:$E$2022,MATCH(ROW()-1,装备库!$AK$2:$AK$2022,0),5),"")</f>
        <v/>
      </c>
    </row>
    <row r="1362" spans="1:3">
      <c r="A1362" t="str">
        <f>IFERROR(INDEX(装备库!$A$2:$E$2022,MATCH(ROW()-1,装备库!$AK$2:$AK$2022,0),COLUMN()),"")</f>
        <v/>
      </c>
      <c r="B1362" t="str">
        <f>IFERROR(INDEX(装备库!$A$2:$E$2022,MATCH(ROW()-1,装备库!$AK$2:$AK$2022,0),COLUMN()),"")</f>
        <v/>
      </c>
      <c r="C1362" t="str">
        <f>IFERROR(INDEX(装备库!$A$2:$E$2022,MATCH(ROW()-1,装备库!$AK$2:$AK$2022,0),5),"")</f>
        <v/>
      </c>
    </row>
    <row r="1363" spans="1:3">
      <c r="A1363" t="str">
        <f>IFERROR(INDEX(装备库!$A$2:$E$2022,MATCH(ROW()-1,装备库!$AK$2:$AK$2022,0),COLUMN()),"")</f>
        <v/>
      </c>
      <c r="B1363" t="str">
        <f>IFERROR(INDEX(装备库!$A$2:$E$2022,MATCH(ROW()-1,装备库!$AK$2:$AK$2022,0),COLUMN()),"")</f>
        <v/>
      </c>
      <c r="C1363" t="str">
        <f>IFERROR(INDEX(装备库!$A$2:$E$2022,MATCH(ROW()-1,装备库!$AK$2:$AK$2022,0),5),"")</f>
        <v/>
      </c>
    </row>
    <row r="1364" spans="1:3">
      <c r="A1364" t="str">
        <f>IFERROR(INDEX(装备库!$A$2:$E$2022,MATCH(ROW()-1,装备库!$AK$2:$AK$2022,0),COLUMN()),"")</f>
        <v/>
      </c>
      <c r="B1364" t="str">
        <f>IFERROR(INDEX(装备库!$A$2:$E$2022,MATCH(ROW()-1,装备库!$AK$2:$AK$2022,0),COLUMN()),"")</f>
        <v/>
      </c>
      <c r="C1364" t="str">
        <f>IFERROR(INDEX(装备库!$A$2:$E$2022,MATCH(ROW()-1,装备库!$AK$2:$AK$2022,0),5),"")</f>
        <v/>
      </c>
    </row>
    <row r="1365" spans="1:3">
      <c r="A1365" t="str">
        <f>IFERROR(INDEX(装备库!$A$2:$E$2022,MATCH(ROW()-1,装备库!$AK$2:$AK$2022,0),COLUMN()),"")</f>
        <v/>
      </c>
      <c r="B1365" t="str">
        <f>IFERROR(INDEX(装备库!$A$2:$E$2022,MATCH(ROW()-1,装备库!$AK$2:$AK$2022,0),COLUMN()),"")</f>
        <v/>
      </c>
      <c r="C1365" t="str">
        <f>IFERROR(INDEX(装备库!$A$2:$E$2022,MATCH(ROW()-1,装备库!$AK$2:$AK$2022,0),5),"")</f>
        <v/>
      </c>
    </row>
    <row r="1366" spans="1:3">
      <c r="A1366" t="str">
        <f>IFERROR(INDEX(装备库!$A$2:$E$2022,MATCH(ROW()-1,装备库!$AK$2:$AK$2022,0),COLUMN()),"")</f>
        <v/>
      </c>
      <c r="B1366" t="str">
        <f>IFERROR(INDEX(装备库!$A$2:$E$2022,MATCH(ROW()-1,装备库!$AK$2:$AK$2022,0),COLUMN()),"")</f>
        <v/>
      </c>
      <c r="C1366" t="str">
        <f>IFERROR(INDEX(装备库!$A$2:$E$2022,MATCH(ROW()-1,装备库!$AK$2:$AK$2022,0),5),"")</f>
        <v/>
      </c>
    </row>
    <row r="1367" spans="1:3">
      <c r="A1367" t="str">
        <f>IFERROR(INDEX(装备库!$A$2:$E$2022,MATCH(ROW()-1,装备库!$AK$2:$AK$2022,0),COLUMN()),"")</f>
        <v/>
      </c>
      <c r="B1367" t="str">
        <f>IFERROR(INDEX(装备库!$A$2:$E$2022,MATCH(ROW()-1,装备库!$AK$2:$AK$2022,0),COLUMN()),"")</f>
        <v/>
      </c>
      <c r="C1367" t="str">
        <f>IFERROR(INDEX(装备库!$A$2:$E$2022,MATCH(ROW()-1,装备库!$AK$2:$AK$2022,0),5),"")</f>
        <v/>
      </c>
    </row>
    <row r="1368" spans="1:3">
      <c r="A1368" t="str">
        <f>IFERROR(INDEX(装备库!$A$2:$E$2022,MATCH(ROW()-1,装备库!$AK$2:$AK$2022,0),COLUMN()),"")</f>
        <v/>
      </c>
      <c r="B1368" t="str">
        <f>IFERROR(INDEX(装备库!$A$2:$E$2022,MATCH(ROW()-1,装备库!$AK$2:$AK$2022,0),COLUMN()),"")</f>
        <v/>
      </c>
      <c r="C1368" t="str">
        <f>IFERROR(INDEX(装备库!$A$2:$E$2022,MATCH(ROW()-1,装备库!$AK$2:$AK$2022,0),5),"")</f>
        <v/>
      </c>
    </row>
    <row r="1369" spans="1:3">
      <c r="A1369" t="str">
        <f>IFERROR(INDEX(装备库!$A$2:$E$2022,MATCH(ROW()-1,装备库!$AK$2:$AK$2022,0),COLUMN()),"")</f>
        <v/>
      </c>
      <c r="B1369" t="str">
        <f>IFERROR(INDEX(装备库!$A$2:$E$2022,MATCH(ROW()-1,装备库!$AK$2:$AK$2022,0),COLUMN()),"")</f>
        <v/>
      </c>
      <c r="C1369" t="str">
        <f>IFERROR(INDEX(装备库!$A$2:$E$2022,MATCH(ROW()-1,装备库!$AK$2:$AK$2022,0),5),"")</f>
        <v/>
      </c>
    </row>
    <row r="1370" spans="1:3">
      <c r="A1370" t="str">
        <f>IFERROR(INDEX(装备库!$A$2:$E$2022,MATCH(ROW()-1,装备库!$AK$2:$AK$2022,0),COLUMN()),"")</f>
        <v/>
      </c>
      <c r="B1370" t="str">
        <f>IFERROR(INDEX(装备库!$A$2:$E$2022,MATCH(ROW()-1,装备库!$AK$2:$AK$2022,0),COLUMN()),"")</f>
        <v/>
      </c>
      <c r="C1370" t="str">
        <f>IFERROR(INDEX(装备库!$A$2:$E$2022,MATCH(ROW()-1,装备库!$AK$2:$AK$2022,0),5),"")</f>
        <v/>
      </c>
    </row>
    <row r="1371" spans="1:3">
      <c r="A1371" t="str">
        <f>IFERROR(INDEX(装备库!$A$2:$E$2022,MATCH(ROW()-1,装备库!$AK$2:$AK$2022,0),COLUMN()),"")</f>
        <v/>
      </c>
      <c r="B1371" t="str">
        <f>IFERROR(INDEX(装备库!$A$2:$E$2022,MATCH(ROW()-1,装备库!$AK$2:$AK$2022,0),COLUMN()),"")</f>
        <v/>
      </c>
      <c r="C1371" t="str">
        <f>IFERROR(INDEX(装备库!$A$2:$E$2022,MATCH(ROW()-1,装备库!$AK$2:$AK$2022,0),5),"")</f>
        <v/>
      </c>
    </row>
    <row r="1372" spans="1:3">
      <c r="A1372" t="str">
        <f>IFERROR(INDEX(装备库!$A$2:$E$2022,MATCH(ROW()-1,装备库!$AK$2:$AK$2022,0),COLUMN()),"")</f>
        <v/>
      </c>
      <c r="B1372" t="str">
        <f>IFERROR(INDEX(装备库!$A$2:$E$2022,MATCH(ROW()-1,装备库!$AK$2:$AK$2022,0),COLUMN()),"")</f>
        <v/>
      </c>
      <c r="C1372" t="str">
        <f>IFERROR(INDEX(装备库!$A$2:$E$2022,MATCH(ROW()-1,装备库!$AK$2:$AK$2022,0),5),"")</f>
        <v/>
      </c>
    </row>
    <row r="1373" spans="1:3">
      <c r="A1373" t="str">
        <f>IFERROR(INDEX(装备库!$A$2:$E$2022,MATCH(ROW()-1,装备库!$AK$2:$AK$2022,0),COLUMN()),"")</f>
        <v/>
      </c>
      <c r="B1373" t="str">
        <f>IFERROR(INDEX(装备库!$A$2:$E$2022,MATCH(ROW()-1,装备库!$AK$2:$AK$2022,0),COLUMN()),"")</f>
        <v/>
      </c>
      <c r="C1373" t="str">
        <f>IFERROR(INDEX(装备库!$A$2:$E$2022,MATCH(ROW()-1,装备库!$AK$2:$AK$2022,0),5),"")</f>
        <v/>
      </c>
    </row>
    <row r="1374" spans="1:3">
      <c r="A1374" t="str">
        <f>IFERROR(INDEX(装备库!$A$2:$E$2022,MATCH(ROW()-1,装备库!$AK$2:$AK$2022,0),COLUMN()),"")</f>
        <v/>
      </c>
      <c r="B1374" t="str">
        <f>IFERROR(INDEX(装备库!$A$2:$E$2022,MATCH(ROW()-1,装备库!$AK$2:$AK$2022,0),COLUMN()),"")</f>
        <v/>
      </c>
      <c r="C1374" t="str">
        <f>IFERROR(INDEX(装备库!$A$2:$E$2022,MATCH(ROW()-1,装备库!$AK$2:$AK$2022,0),5),"")</f>
        <v/>
      </c>
    </row>
    <row r="1375" spans="1:3">
      <c r="A1375" t="str">
        <f>IFERROR(INDEX(装备库!$A$2:$E$2022,MATCH(ROW()-1,装备库!$AK$2:$AK$2022,0),COLUMN()),"")</f>
        <v/>
      </c>
      <c r="B1375" t="str">
        <f>IFERROR(INDEX(装备库!$A$2:$E$2022,MATCH(ROW()-1,装备库!$AK$2:$AK$2022,0),COLUMN()),"")</f>
        <v/>
      </c>
      <c r="C1375" t="str">
        <f>IFERROR(INDEX(装备库!$A$2:$E$2022,MATCH(ROW()-1,装备库!$AK$2:$AK$2022,0),5),"")</f>
        <v/>
      </c>
    </row>
    <row r="1376" spans="1:3">
      <c r="A1376" t="str">
        <f>IFERROR(INDEX(装备库!$A$2:$E$2022,MATCH(ROW()-1,装备库!$AK$2:$AK$2022,0),COLUMN()),"")</f>
        <v/>
      </c>
      <c r="B1376" t="str">
        <f>IFERROR(INDEX(装备库!$A$2:$E$2022,MATCH(ROW()-1,装备库!$AK$2:$AK$2022,0),COLUMN()),"")</f>
        <v/>
      </c>
      <c r="C1376" t="str">
        <f>IFERROR(INDEX(装备库!$A$2:$E$2022,MATCH(ROW()-1,装备库!$AK$2:$AK$2022,0),5),"")</f>
        <v/>
      </c>
    </row>
    <row r="1377" spans="1:3">
      <c r="A1377" t="str">
        <f>IFERROR(INDEX(装备库!$A$2:$E$2022,MATCH(ROW()-1,装备库!$AK$2:$AK$2022,0),COLUMN()),"")</f>
        <v/>
      </c>
      <c r="B1377" t="str">
        <f>IFERROR(INDEX(装备库!$A$2:$E$2022,MATCH(ROW()-1,装备库!$AK$2:$AK$2022,0),COLUMN()),"")</f>
        <v/>
      </c>
      <c r="C1377" t="str">
        <f>IFERROR(INDEX(装备库!$A$2:$E$2022,MATCH(ROW()-1,装备库!$AK$2:$AK$2022,0),5),"")</f>
        <v/>
      </c>
    </row>
    <row r="1378" spans="1:3">
      <c r="A1378" t="str">
        <f>IFERROR(INDEX(装备库!$A$2:$E$2022,MATCH(ROW()-1,装备库!$AK$2:$AK$2022,0),COLUMN()),"")</f>
        <v/>
      </c>
      <c r="B1378" t="str">
        <f>IFERROR(INDEX(装备库!$A$2:$E$2022,MATCH(ROW()-1,装备库!$AK$2:$AK$2022,0),COLUMN()),"")</f>
        <v/>
      </c>
      <c r="C1378" t="str">
        <f>IFERROR(INDEX(装备库!$A$2:$E$2022,MATCH(ROW()-1,装备库!$AK$2:$AK$2022,0),5),"")</f>
        <v/>
      </c>
    </row>
    <row r="1379" spans="1:3">
      <c r="A1379" t="str">
        <f>IFERROR(INDEX(装备库!$A$2:$E$2022,MATCH(ROW()-1,装备库!$AK$2:$AK$2022,0),COLUMN()),"")</f>
        <v/>
      </c>
      <c r="B1379" t="str">
        <f>IFERROR(INDEX(装备库!$A$2:$E$2022,MATCH(ROW()-1,装备库!$AK$2:$AK$2022,0),COLUMN()),"")</f>
        <v/>
      </c>
      <c r="C1379" t="str">
        <f>IFERROR(INDEX(装备库!$A$2:$E$2022,MATCH(ROW()-1,装备库!$AK$2:$AK$2022,0),5),"")</f>
        <v/>
      </c>
    </row>
    <row r="1380" spans="1:3">
      <c r="A1380" t="str">
        <f>IFERROR(INDEX(装备库!$A$2:$E$2022,MATCH(ROW()-1,装备库!$AK$2:$AK$2022,0),COLUMN()),"")</f>
        <v/>
      </c>
      <c r="B1380" t="str">
        <f>IFERROR(INDEX(装备库!$A$2:$E$2022,MATCH(ROW()-1,装备库!$AK$2:$AK$2022,0),COLUMN()),"")</f>
        <v/>
      </c>
      <c r="C1380" t="str">
        <f>IFERROR(INDEX(装备库!$A$2:$E$2022,MATCH(ROW()-1,装备库!$AK$2:$AK$2022,0),5),"")</f>
        <v/>
      </c>
    </row>
    <row r="1381" spans="1:3">
      <c r="A1381" t="str">
        <f>IFERROR(INDEX(装备库!$A$2:$E$2022,MATCH(ROW()-1,装备库!$AK$2:$AK$2022,0),COLUMN()),"")</f>
        <v/>
      </c>
      <c r="B1381" t="str">
        <f>IFERROR(INDEX(装备库!$A$2:$E$2022,MATCH(ROW()-1,装备库!$AK$2:$AK$2022,0),COLUMN()),"")</f>
        <v/>
      </c>
      <c r="C1381" t="str">
        <f>IFERROR(INDEX(装备库!$A$2:$E$2022,MATCH(ROW()-1,装备库!$AK$2:$AK$2022,0),5),"")</f>
        <v/>
      </c>
    </row>
    <row r="1382" spans="1:3">
      <c r="A1382" t="str">
        <f>IFERROR(INDEX(装备库!$A$2:$E$2022,MATCH(ROW()-1,装备库!$AK$2:$AK$2022,0),COLUMN()),"")</f>
        <v/>
      </c>
      <c r="B1382" t="str">
        <f>IFERROR(INDEX(装备库!$A$2:$E$2022,MATCH(ROW()-1,装备库!$AK$2:$AK$2022,0),COLUMN()),"")</f>
        <v/>
      </c>
      <c r="C1382" t="str">
        <f>IFERROR(INDEX(装备库!$A$2:$E$2022,MATCH(ROW()-1,装备库!$AK$2:$AK$2022,0),5),"")</f>
        <v/>
      </c>
    </row>
    <row r="1383" spans="1:3">
      <c r="A1383" t="str">
        <f>IFERROR(INDEX(装备库!$A$2:$E$2022,MATCH(ROW()-1,装备库!$AK$2:$AK$2022,0),COLUMN()),"")</f>
        <v/>
      </c>
      <c r="B1383" t="str">
        <f>IFERROR(INDEX(装备库!$A$2:$E$2022,MATCH(ROW()-1,装备库!$AK$2:$AK$2022,0),COLUMN()),"")</f>
        <v/>
      </c>
      <c r="C1383" t="str">
        <f>IFERROR(INDEX(装备库!$A$2:$E$2022,MATCH(ROW()-1,装备库!$AK$2:$AK$2022,0),5),"")</f>
        <v/>
      </c>
    </row>
    <row r="1384" spans="1:3">
      <c r="A1384" t="str">
        <f>IFERROR(INDEX(装备库!$A$2:$E$2022,MATCH(ROW()-1,装备库!$AK$2:$AK$2022,0),COLUMN()),"")</f>
        <v/>
      </c>
      <c r="B1384" t="str">
        <f>IFERROR(INDEX(装备库!$A$2:$E$2022,MATCH(ROW()-1,装备库!$AK$2:$AK$2022,0),COLUMN()),"")</f>
        <v/>
      </c>
      <c r="C1384" t="str">
        <f>IFERROR(INDEX(装备库!$A$2:$E$2022,MATCH(ROW()-1,装备库!$AK$2:$AK$2022,0),5),"")</f>
        <v/>
      </c>
    </row>
    <row r="1385" spans="1:3">
      <c r="A1385" t="str">
        <f>IFERROR(INDEX(装备库!$A$2:$E$2022,MATCH(ROW()-1,装备库!$AK$2:$AK$2022,0),COLUMN()),"")</f>
        <v/>
      </c>
      <c r="B1385" t="str">
        <f>IFERROR(INDEX(装备库!$A$2:$E$2022,MATCH(ROW()-1,装备库!$AK$2:$AK$2022,0),COLUMN()),"")</f>
        <v/>
      </c>
      <c r="C1385" t="str">
        <f>IFERROR(INDEX(装备库!$A$2:$E$2022,MATCH(ROW()-1,装备库!$AK$2:$AK$2022,0),5),"")</f>
        <v/>
      </c>
    </row>
    <row r="1386" spans="1:3">
      <c r="A1386" t="str">
        <f>IFERROR(INDEX(装备库!$A$2:$E$2022,MATCH(ROW()-1,装备库!$AK$2:$AK$2022,0),COLUMN()),"")</f>
        <v/>
      </c>
      <c r="B1386" t="str">
        <f>IFERROR(INDEX(装备库!$A$2:$E$2022,MATCH(ROW()-1,装备库!$AK$2:$AK$2022,0),COLUMN()),"")</f>
        <v/>
      </c>
      <c r="C1386" t="str">
        <f>IFERROR(INDEX(装备库!$A$2:$E$2022,MATCH(ROW()-1,装备库!$AK$2:$AK$2022,0),5),"")</f>
        <v/>
      </c>
    </row>
    <row r="1387" spans="1:3">
      <c r="A1387" t="str">
        <f>IFERROR(INDEX(装备库!$A$2:$E$2022,MATCH(ROW()-1,装备库!$AK$2:$AK$2022,0),COLUMN()),"")</f>
        <v/>
      </c>
      <c r="B1387" t="str">
        <f>IFERROR(INDEX(装备库!$A$2:$E$2022,MATCH(ROW()-1,装备库!$AK$2:$AK$2022,0),COLUMN()),"")</f>
        <v/>
      </c>
      <c r="C1387" t="str">
        <f>IFERROR(INDEX(装备库!$A$2:$E$2022,MATCH(ROW()-1,装备库!$AK$2:$AK$2022,0),5),"")</f>
        <v/>
      </c>
    </row>
    <row r="1388" spans="1:3">
      <c r="A1388" t="str">
        <f>IFERROR(INDEX(装备库!$A$2:$E$2022,MATCH(ROW()-1,装备库!$AK$2:$AK$2022,0),COLUMN()),"")</f>
        <v/>
      </c>
      <c r="B1388" t="str">
        <f>IFERROR(INDEX(装备库!$A$2:$E$2022,MATCH(ROW()-1,装备库!$AK$2:$AK$2022,0),COLUMN()),"")</f>
        <v/>
      </c>
      <c r="C1388" t="str">
        <f>IFERROR(INDEX(装备库!$A$2:$E$2022,MATCH(ROW()-1,装备库!$AK$2:$AK$2022,0),5),"")</f>
        <v/>
      </c>
    </row>
    <row r="1389" spans="1:3">
      <c r="A1389" t="str">
        <f>IFERROR(INDEX(装备库!$A$2:$E$2022,MATCH(ROW()-1,装备库!$AK$2:$AK$2022,0),COLUMN()),"")</f>
        <v/>
      </c>
      <c r="B1389" t="str">
        <f>IFERROR(INDEX(装备库!$A$2:$E$2022,MATCH(ROW()-1,装备库!$AK$2:$AK$2022,0),COLUMN()),"")</f>
        <v/>
      </c>
      <c r="C1389" t="str">
        <f>IFERROR(INDEX(装备库!$A$2:$E$2022,MATCH(ROW()-1,装备库!$AK$2:$AK$2022,0),5),"")</f>
        <v/>
      </c>
    </row>
    <row r="1390" spans="1:3">
      <c r="A1390" t="str">
        <f>IFERROR(INDEX(装备库!$A$2:$E$2022,MATCH(ROW()-1,装备库!$AK$2:$AK$2022,0),COLUMN()),"")</f>
        <v/>
      </c>
      <c r="B1390" t="str">
        <f>IFERROR(INDEX(装备库!$A$2:$E$2022,MATCH(ROW()-1,装备库!$AK$2:$AK$2022,0),COLUMN()),"")</f>
        <v/>
      </c>
      <c r="C1390" t="str">
        <f>IFERROR(INDEX(装备库!$A$2:$E$2022,MATCH(ROW()-1,装备库!$AK$2:$AK$2022,0),5),"")</f>
        <v/>
      </c>
    </row>
    <row r="1391" spans="1:3">
      <c r="A1391" t="str">
        <f>IFERROR(INDEX(装备库!$A$2:$E$2022,MATCH(ROW()-1,装备库!$AK$2:$AK$2022,0),COLUMN()),"")</f>
        <v/>
      </c>
      <c r="B1391" t="str">
        <f>IFERROR(INDEX(装备库!$A$2:$E$2022,MATCH(ROW()-1,装备库!$AK$2:$AK$2022,0),COLUMN()),"")</f>
        <v/>
      </c>
      <c r="C1391" t="str">
        <f>IFERROR(INDEX(装备库!$A$2:$E$2022,MATCH(ROW()-1,装备库!$AK$2:$AK$2022,0),5),"")</f>
        <v/>
      </c>
    </row>
    <row r="1392" spans="1:3">
      <c r="A1392" t="str">
        <f>IFERROR(INDEX(装备库!$A$2:$E$2022,MATCH(ROW()-1,装备库!$AK$2:$AK$2022,0),COLUMN()),"")</f>
        <v/>
      </c>
      <c r="B1392" t="str">
        <f>IFERROR(INDEX(装备库!$A$2:$E$2022,MATCH(ROW()-1,装备库!$AK$2:$AK$2022,0),COLUMN()),"")</f>
        <v/>
      </c>
      <c r="C1392" t="str">
        <f>IFERROR(INDEX(装备库!$A$2:$E$2022,MATCH(ROW()-1,装备库!$AK$2:$AK$2022,0),5),"")</f>
        <v/>
      </c>
    </row>
    <row r="1393" spans="1:3">
      <c r="A1393" t="str">
        <f>IFERROR(INDEX(装备库!$A$2:$E$2022,MATCH(ROW()-1,装备库!$AK$2:$AK$2022,0),COLUMN()),"")</f>
        <v/>
      </c>
      <c r="B1393" t="str">
        <f>IFERROR(INDEX(装备库!$A$2:$E$2022,MATCH(ROW()-1,装备库!$AK$2:$AK$2022,0),COLUMN()),"")</f>
        <v/>
      </c>
      <c r="C1393" t="str">
        <f>IFERROR(INDEX(装备库!$A$2:$E$2022,MATCH(ROW()-1,装备库!$AK$2:$AK$2022,0),5),"")</f>
        <v/>
      </c>
    </row>
    <row r="1394" spans="1:3">
      <c r="A1394" t="str">
        <f>IFERROR(INDEX(装备库!$A$2:$E$2022,MATCH(ROW()-1,装备库!$AK$2:$AK$2022,0),COLUMN()),"")</f>
        <v/>
      </c>
      <c r="B1394" t="str">
        <f>IFERROR(INDEX(装备库!$A$2:$E$2022,MATCH(ROW()-1,装备库!$AK$2:$AK$2022,0),COLUMN()),"")</f>
        <v/>
      </c>
      <c r="C1394" t="str">
        <f>IFERROR(INDEX(装备库!$A$2:$E$2022,MATCH(ROW()-1,装备库!$AK$2:$AK$2022,0),5),"")</f>
        <v/>
      </c>
    </row>
    <row r="1395" spans="1:3">
      <c r="A1395" t="str">
        <f>IFERROR(INDEX(装备库!$A$2:$E$2022,MATCH(ROW()-1,装备库!$AK$2:$AK$2022,0),COLUMN()),"")</f>
        <v/>
      </c>
      <c r="B1395" t="str">
        <f>IFERROR(INDEX(装备库!$A$2:$E$2022,MATCH(ROW()-1,装备库!$AK$2:$AK$2022,0),COLUMN()),"")</f>
        <v/>
      </c>
      <c r="C1395" t="str">
        <f>IFERROR(INDEX(装备库!$A$2:$E$2022,MATCH(ROW()-1,装备库!$AK$2:$AK$2022,0),5),"")</f>
        <v/>
      </c>
    </row>
    <row r="1396" spans="1:3">
      <c r="A1396" t="str">
        <f>IFERROR(INDEX(装备库!$A$2:$E$2022,MATCH(ROW()-1,装备库!$AK$2:$AK$2022,0),COLUMN()),"")</f>
        <v/>
      </c>
      <c r="B1396" t="str">
        <f>IFERROR(INDEX(装备库!$A$2:$E$2022,MATCH(ROW()-1,装备库!$AK$2:$AK$2022,0),COLUMN()),"")</f>
        <v/>
      </c>
      <c r="C1396" t="str">
        <f>IFERROR(INDEX(装备库!$A$2:$E$2022,MATCH(ROW()-1,装备库!$AK$2:$AK$2022,0),5),"")</f>
        <v/>
      </c>
    </row>
    <row r="1397" spans="1:3">
      <c r="A1397" t="str">
        <f>IFERROR(INDEX(装备库!$A$2:$E$2022,MATCH(ROW()-1,装备库!$AK$2:$AK$2022,0),COLUMN()),"")</f>
        <v/>
      </c>
      <c r="B1397" t="str">
        <f>IFERROR(INDEX(装备库!$A$2:$E$2022,MATCH(ROW()-1,装备库!$AK$2:$AK$2022,0),COLUMN()),"")</f>
        <v/>
      </c>
      <c r="C1397" t="str">
        <f>IFERROR(INDEX(装备库!$A$2:$E$2022,MATCH(ROW()-1,装备库!$AK$2:$AK$2022,0),5),"")</f>
        <v/>
      </c>
    </row>
    <row r="1398" spans="1:3">
      <c r="A1398" t="str">
        <f>IFERROR(INDEX(装备库!$A$2:$E$2022,MATCH(ROW()-1,装备库!$AK$2:$AK$2022,0),COLUMN()),"")</f>
        <v/>
      </c>
      <c r="B1398" t="str">
        <f>IFERROR(INDEX(装备库!$A$2:$E$2022,MATCH(ROW()-1,装备库!$AK$2:$AK$2022,0),COLUMN()),"")</f>
        <v/>
      </c>
      <c r="C1398" t="str">
        <f>IFERROR(INDEX(装备库!$A$2:$E$2022,MATCH(ROW()-1,装备库!$AK$2:$AK$2022,0),5),"")</f>
        <v/>
      </c>
    </row>
    <row r="1399" spans="1:3">
      <c r="A1399" t="str">
        <f>IFERROR(INDEX(装备库!$A$2:$E$2022,MATCH(ROW()-1,装备库!$AK$2:$AK$2022,0),COLUMN()),"")</f>
        <v/>
      </c>
      <c r="B1399" t="str">
        <f>IFERROR(INDEX(装备库!$A$2:$E$2022,MATCH(ROW()-1,装备库!$AK$2:$AK$2022,0),COLUMN()),"")</f>
        <v/>
      </c>
      <c r="C1399" t="str">
        <f>IFERROR(INDEX(装备库!$A$2:$E$2022,MATCH(ROW()-1,装备库!$AK$2:$AK$2022,0),5),"")</f>
        <v/>
      </c>
    </row>
    <row r="1400" spans="1:3">
      <c r="A1400" t="str">
        <f>IFERROR(INDEX(装备库!$A$2:$E$2022,MATCH(ROW()-1,装备库!$AK$2:$AK$2022,0),COLUMN()),"")</f>
        <v/>
      </c>
      <c r="B1400" t="str">
        <f>IFERROR(INDEX(装备库!$A$2:$E$2022,MATCH(ROW()-1,装备库!$AK$2:$AK$2022,0),COLUMN()),"")</f>
        <v/>
      </c>
      <c r="C1400" t="str">
        <f>IFERROR(INDEX(装备库!$A$2:$E$2022,MATCH(ROW()-1,装备库!$AK$2:$AK$2022,0),5),"")</f>
        <v/>
      </c>
    </row>
    <row r="1401" spans="1:3">
      <c r="A1401" t="str">
        <f>IFERROR(INDEX(装备库!$A$2:$E$2022,MATCH(ROW()-1,装备库!$AK$2:$AK$2022,0),COLUMN()),"")</f>
        <v/>
      </c>
      <c r="B1401" t="str">
        <f>IFERROR(INDEX(装备库!$A$2:$E$2022,MATCH(ROW()-1,装备库!$AK$2:$AK$2022,0),COLUMN()),"")</f>
        <v/>
      </c>
      <c r="C1401" t="str">
        <f>IFERROR(INDEX(装备库!$A$2:$E$2022,MATCH(ROW()-1,装备库!$AK$2:$AK$2022,0),5),"")</f>
        <v/>
      </c>
    </row>
    <row r="1402" spans="1:3">
      <c r="A1402" t="str">
        <f>IFERROR(INDEX(装备库!$A$2:$E$2022,MATCH(ROW()-1,装备库!$AK$2:$AK$2022,0),COLUMN()),"")</f>
        <v/>
      </c>
      <c r="B1402" t="str">
        <f>IFERROR(INDEX(装备库!$A$2:$E$2022,MATCH(ROW()-1,装备库!$AK$2:$AK$2022,0),COLUMN()),"")</f>
        <v/>
      </c>
      <c r="C1402" t="str">
        <f>IFERROR(INDEX(装备库!$A$2:$E$2022,MATCH(ROW()-1,装备库!$AK$2:$AK$2022,0),5),"")</f>
        <v/>
      </c>
    </row>
    <row r="1403" spans="1:3">
      <c r="A1403" t="str">
        <f>IFERROR(INDEX(装备库!$A$2:$E$2022,MATCH(ROW()-1,装备库!$AK$2:$AK$2022,0),COLUMN()),"")</f>
        <v/>
      </c>
      <c r="B1403" t="str">
        <f>IFERROR(INDEX(装备库!$A$2:$E$2022,MATCH(ROW()-1,装备库!$AK$2:$AK$2022,0),COLUMN()),"")</f>
        <v/>
      </c>
      <c r="C1403" t="str">
        <f>IFERROR(INDEX(装备库!$A$2:$E$2022,MATCH(ROW()-1,装备库!$AK$2:$AK$2022,0),5),"")</f>
        <v/>
      </c>
    </row>
    <row r="1404" spans="1:3">
      <c r="A1404" t="str">
        <f>IFERROR(INDEX(装备库!$A$2:$E$2022,MATCH(ROW()-1,装备库!$AK$2:$AK$2022,0),COLUMN()),"")</f>
        <v/>
      </c>
      <c r="B1404" t="str">
        <f>IFERROR(INDEX(装备库!$A$2:$E$2022,MATCH(ROW()-1,装备库!$AK$2:$AK$2022,0),COLUMN()),"")</f>
        <v/>
      </c>
      <c r="C1404" t="str">
        <f>IFERROR(INDEX(装备库!$A$2:$E$2022,MATCH(ROW()-1,装备库!$AK$2:$AK$2022,0),5),"")</f>
        <v/>
      </c>
    </row>
    <row r="1405" spans="1:3">
      <c r="A1405" t="str">
        <f>IFERROR(INDEX(装备库!$A$2:$E$2022,MATCH(ROW()-1,装备库!$AK$2:$AK$2022,0),COLUMN()),"")</f>
        <v/>
      </c>
      <c r="B1405" t="str">
        <f>IFERROR(INDEX(装备库!$A$2:$E$2022,MATCH(ROW()-1,装备库!$AK$2:$AK$2022,0),COLUMN()),"")</f>
        <v/>
      </c>
      <c r="C1405" t="str">
        <f>IFERROR(INDEX(装备库!$A$2:$E$2022,MATCH(ROW()-1,装备库!$AK$2:$AK$2022,0),5),"")</f>
        <v/>
      </c>
    </row>
    <row r="1406" spans="1:3">
      <c r="A1406" t="str">
        <f>IFERROR(INDEX(装备库!$A$2:$E$2022,MATCH(ROW()-1,装备库!$AK$2:$AK$2022,0),COLUMN()),"")</f>
        <v/>
      </c>
      <c r="B1406" t="str">
        <f>IFERROR(INDEX(装备库!$A$2:$E$2022,MATCH(ROW()-1,装备库!$AK$2:$AK$2022,0),COLUMN()),"")</f>
        <v/>
      </c>
      <c r="C1406" t="str">
        <f>IFERROR(INDEX(装备库!$A$2:$E$2022,MATCH(ROW()-1,装备库!$AK$2:$AK$2022,0),5),"")</f>
        <v/>
      </c>
    </row>
    <row r="1407" spans="1:3">
      <c r="A1407" t="str">
        <f>IFERROR(INDEX(装备库!$A$2:$E$2022,MATCH(ROW()-1,装备库!$AK$2:$AK$2022,0),COLUMN()),"")</f>
        <v/>
      </c>
      <c r="B1407" t="str">
        <f>IFERROR(INDEX(装备库!$A$2:$E$2022,MATCH(ROW()-1,装备库!$AK$2:$AK$2022,0),COLUMN()),"")</f>
        <v/>
      </c>
      <c r="C1407" t="str">
        <f>IFERROR(INDEX(装备库!$A$2:$E$2022,MATCH(ROW()-1,装备库!$AK$2:$AK$2022,0),5),"")</f>
        <v/>
      </c>
    </row>
    <row r="1408" spans="1:3">
      <c r="A1408" t="str">
        <f>IFERROR(INDEX(装备库!$A$2:$E$2022,MATCH(ROW()-1,装备库!$AK$2:$AK$2022,0),COLUMN()),"")</f>
        <v/>
      </c>
      <c r="B1408" t="str">
        <f>IFERROR(INDEX(装备库!$A$2:$E$2022,MATCH(ROW()-1,装备库!$AK$2:$AK$2022,0),COLUMN()),"")</f>
        <v/>
      </c>
      <c r="C1408" t="str">
        <f>IFERROR(INDEX(装备库!$A$2:$E$2022,MATCH(ROW()-1,装备库!$AK$2:$AK$2022,0),5),"")</f>
        <v/>
      </c>
    </row>
    <row r="1409" spans="1:3">
      <c r="A1409" t="str">
        <f>IFERROR(INDEX(装备库!$A$2:$E$2022,MATCH(ROW()-1,装备库!$AK$2:$AK$2022,0),COLUMN()),"")</f>
        <v/>
      </c>
      <c r="B1409" t="str">
        <f>IFERROR(INDEX(装备库!$A$2:$E$2022,MATCH(ROW()-1,装备库!$AK$2:$AK$2022,0),COLUMN()),"")</f>
        <v/>
      </c>
      <c r="C1409" t="str">
        <f>IFERROR(INDEX(装备库!$A$2:$E$2022,MATCH(ROW()-1,装备库!$AK$2:$AK$2022,0),5),"")</f>
        <v/>
      </c>
    </row>
    <row r="1410" spans="1:3">
      <c r="A1410" t="str">
        <f>IFERROR(INDEX(装备库!$A$2:$E$2022,MATCH(ROW()-1,装备库!$AK$2:$AK$2022,0),COLUMN()),"")</f>
        <v/>
      </c>
      <c r="B1410" t="str">
        <f>IFERROR(INDEX(装备库!$A$2:$E$2022,MATCH(ROW()-1,装备库!$AK$2:$AK$2022,0),COLUMN()),"")</f>
        <v/>
      </c>
      <c r="C1410" t="str">
        <f>IFERROR(INDEX(装备库!$A$2:$E$2022,MATCH(ROW()-1,装备库!$AK$2:$AK$2022,0),5),"")</f>
        <v/>
      </c>
    </row>
    <row r="1411" spans="1:3">
      <c r="A1411" t="str">
        <f>IFERROR(INDEX(装备库!$A$2:$E$2022,MATCH(ROW()-1,装备库!$AK$2:$AK$2022,0),COLUMN()),"")</f>
        <v/>
      </c>
      <c r="B1411" t="str">
        <f>IFERROR(INDEX(装备库!$A$2:$E$2022,MATCH(ROW()-1,装备库!$AK$2:$AK$2022,0),COLUMN()),"")</f>
        <v/>
      </c>
      <c r="C1411" t="str">
        <f>IFERROR(INDEX(装备库!$A$2:$E$2022,MATCH(ROW()-1,装备库!$AK$2:$AK$2022,0),5),"")</f>
        <v/>
      </c>
    </row>
    <row r="1412" spans="1:3">
      <c r="A1412" t="str">
        <f>IFERROR(INDEX(装备库!$A$2:$E$2022,MATCH(ROW()-1,装备库!$AK$2:$AK$2022,0),COLUMN()),"")</f>
        <v/>
      </c>
      <c r="B1412" t="str">
        <f>IFERROR(INDEX(装备库!$A$2:$E$2022,MATCH(ROW()-1,装备库!$AK$2:$AK$2022,0),COLUMN()),"")</f>
        <v/>
      </c>
      <c r="C1412" t="str">
        <f>IFERROR(INDEX(装备库!$A$2:$E$2022,MATCH(ROW()-1,装备库!$AK$2:$AK$2022,0),5),"")</f>
        <v/>
      </c>
    </row>
    <row r="1413" spans="1:3">
      <c r="A1413" t="str">
        <f>IFERROR(INDEX(装备库!$A$2:$E$2022,MATCH(ROW()-1,装备库!$AK$2:$AK$2022,0),COLUMN()),"")</f>
        <v/>
      </c>
      <c r="B1413" t="str">
        <f>IFERROR(INDEX(装备库!$A$2:$E$2022,MATCH(ROW()-1,装备库!$AK$2:$AK$2022,0),COLUMN()),"")</f>
        <v/>
      </c>
      <c r="C1413" t="str">
        <f>IFERROR(INDEX(装备库!$A$2:$E$2022,MATCH(ROW()-1,装备库!$AK$2:$AK$2022,0),5),"")</f>
        <v/>
      </c>
    </row>
    <row r="1414" spans="1:3">
      <c r="A1414" t="str">
        <f>IFERROR(INDEX(装备库!$A$2:$E$2022,MATCH(ROW()-1,装备库!$AK$2:$AK$2022,0),COLUMN()),"")</f>
        <v/>
      </c>
      <c r="B1414" t="str">
        <f>IFERROR(INDEX(装备库!$A$2:$E$2022,MATCH(ROW()-1,装备库!$AK$2:$AK$2022,0),COLUMN()),"")</f>
        <v/>
      </c>
      <c r="C1414" t="str">
        <f>IFERROR(INDEX(装备库!$A$2:$E$2022,MATCH(ROW()-1,装备库!$AK$2:$AK$2022,0),5),"")</f>
        <v/>
      </c>
    </row>
    <row r="1415" spans="1:3">
      <c r="A1415" t="str">
        <f>IFERROR(INDEX(装备库!$A$2:$E$2022,MATCH(ROW()-1,装备库!$AK$2:$AK$2022,0),COLUMN()),"")</f>
        <v/>
      </c>
      <c r="B1415" t="str">
        <f>IFERROR(INDEX(装备库!$A$2:$E$2022,MATCH(ROW()-1,装备库!$AK$2:$AK$2022,0),COLUMN()),"")</f>
        <v/>
      </c>
      <c r="C1415" t="str">
        <f>IFERROR(INDEX(装备库!$A$2:$E$2022,MATCH(ROW()-1,装备库!$AK$2:$AK$2022,0),5),"")</f>
        <v/>
      </c>
    </row>
    <row r="1416" spans="1:3">
      <c r="A1416" t="str">
        <f>IFERROR(INDEX(装备库!$A$2:$E$2022,MATCH(ROW()-1,装备库!$AK$2:$AK$2022,0),COLUMN()),"")</f>
        <v/>
      </c>
      <c r="B1416" t="str">
        <f>IFERROR(INDEX(装备库!$A$2:$E$2022,MATCH(ROW()-1,装备库!$AK$2:$AK$2022,0),COLUMN()),"")</f>
        <v/>
      </c>
      <c r="C1416" t="str">
        <f>IFERROR(INDEX(装备库!$A$2:$E$2022,MATCH(ROW()-1,装备库!$AK$2:$AK$2022,0),5),"")</f>
        <v/>
      </c>
    </row>
    <row r="1417" spans="1:3">
      <c r="A1417" t="str">
        <f>IFERROR(INDEX(装备库!$A$2:$E$2022,MATCH(ROW()-1,装备库!$AK$2:$AK$2022,0),COLUMN()),"")</f>
        <v/>
      </c>
      <c r="B1417" t="str">
        <f>IFERROR(INDEX(装备库!$A$2:$E$2022,MATCH(ROW()-1,装备库!$AK$2:$AK$2022,0),COLUMN()),"")</f>
        <v/>
      </c>
      <c r="C1417" t="str">
        <f>IFERROR(INDEX(装备库!$A$2:$E$2022,MATCH(ROW()-1,装备库!$AK$2:$AK$2022,0),5),"")</f>
        <v/>
      </c>
    </row>
    <row r="1418" spans="1:3">
      <c r="A1418" t="str">
        <f>IFERROR(INDEX(装备库!$A$2:$E$2022,MATCH(ROW()-1,装备库!$AK$2:$AK$2022,0),COLUMN()),"")</f>
        <v/>
      </c>
      <c r="B1418" t="str">
        <f>IFERROR(INDEX(装备库!$A$2:$E$2022,MATCH(ROW()-1,装备库!$AK$2:$AK$2022,0),COLUMN()),"")</f>
        <v/>
      </c>
      <c r="C1418" t="str">
        <f>IFERROR(INDEX(装备库!$A$2:$E$2022,MATCH(ROW()-1,装备库!$AK$2:$AK$2022,0),5),"")</f>
        <v/>
      </c>
    </row>
    <row r="1419" spans="1:3">
      <c r="A1419" t="str">
        <f>IFERROR(INDEX(装备库!$A$2:$E$2022,MATCH(ROW()-1,装备库!$AK$2:$AK$2022,0),COLUMN()),"")</f>
        <v/>
      </c>
      <c r="B1419" t="str">
        <f>IFERROR(INDEX(装备库!$A$2:$E$2022,MATCH(ROW()-1,装备库!$AK$2:$AK$2022,0),COLUMN()),"")</f>
        <v/>
      </c>
      <c r="C1419" t="str">
        <f>IFERROR(INDEX(装备库!$A$2:$E$2022,MATCH(ROW()-1,装备库!$AK$2:$AK$2022,0),5),"")</f>
        <v/>
      </c>
    </row>
    <row r="1420" spans="1:3">
      <c r="A1420" t="str">
        <f>IFERROR(INDEX(装备库!$A$2:$E$2022,MATCH(ROW()-1,装备库!$AK$2:$AK$2022,0),COLUMN()),"")</f>
        <v/>
      </c>
      <c r="B1420" t="str">
        <f>IFERROR(INDEX(装备库!$A$2:$E$2022,MATCH(ROW()-1,装备库!$AK$2:$AK$2022,0),COLUMN()),"")</f>
        <v/>
      </c>
      <c r="C1420" t="str">
        <f>IFERROR(INDEX(装备库!$A$2:$E$2022,MATCH(ROW()-1,装备库!$AK$2:$AK$2022,0),5),"")</f>
        <v/>
      </c>
    </row>
    <row r="1421" spans="1:3">
      <c r="A1421" t="str">
        <f>IFERROR(INDEX(装备库!$A$2:$E$2022,MATCH(ROW()-1,装备库!$AK$2:$AK$2022,0),COLUMN()),"")</f>
        <v/>
      </c>
      <c r="B1421" t="str">
        <f>IFERROR(INDEX(装备库!$A$2:$E$2022,MATCH(ROW()-1,装备库!$AK$2:$AK$2022,0),COLUMN()),"")</f>
        <v/>
      </c>
      <c r="C1421" t="str">
        <f>IFERROR(INDEX(装备库!$A$2:$E$2022,MATCH(ROW()-1,装备库!$AK$2:$AK$2022,0),5),"")</f>
        <v/>
      </c>
    </row>
    <row r="1422" spans="1:3">
      <c r="A1422" t="str">
        <f>IFERROR(INDEX(装备库!$A$2:$E$2022,MATCH(ROW()-1,装备库!$AK$2:$AK$2022,0),COLUMN()),"")</f>
        <v/>
      </c>
      <c r="B1422" t="str">
        <f>IFERROR(INDEX(装备库!$A$2:$E$2022,MATCH(ROW()-1,装备库!$AK$2:$AK$2022,0),COLUMN()),"")</f>
        <v/>
      </c>
      <c r="C1422" t="str">
        <f>IFERROR(INDEX(装备库!$A$2:$E$2022,MATCH(ROW()-1,装备库!$AK$2:$AK$2022,0),5),"")</f>
        <v/>
      </c>
    </row>
    <row r="1423" spans="1:3">
      <c r="A1423" t="str">
        <f>IFERROR(INDEX(装备库!$A$2:$E$2022,MATCH(ROW()-1,装备库!$AK$2:$AK$2022,0),COLUMN()),"")</f>
        <v/>
      </c>
      <c r="B1423" t="str">
        <f>IFERROR(INDEX(装备库!$A$2:$E$2022,MATCH(ROW()-1,装备库!$AK$2:$AK$2022,0),COLUMN()),"")</f>
        <v/>
      </c>
      <c r="C1423" t="str">
        <f>IFERROR(INDEX(装备库!$A$2:$E$2022,MATCH(ROW()-1,装备库!$AK$2:$AK$2022,0),5),"")</f>
        <v/>
      </c>
    </row>
    <row r="1424" spans="1:3">
      <c r="A1424" t="str">
        <f>IFERROR(INDEX(装备库!$A$2:$E$2022,MATCH(ROW()-1,装备库!$AK$2:$AK$2022,0),COLUMN()),"")</f>
        <v/>
      </c>
      <c r="B1424" t="str">
        <f>IFERROR(INDEX(装备库!$A$2:$E$2022,MATCH(ROW()-1,装备库!$AK$2:$AK$2022,0),COLUMN()),"")</f>
        <v/>
      </c>
      <c r="C1424" t="str">
        <f>IFERROR(INDEX(装备库!$A$2:$E$2022,MATCH(ROW()-1,装备库!$AK$2:$AK$2022,0),5),"")</f>
        <v/>
      </c>
    </row>
    <row r="1425" spans="1:3">
      <c r="A1425" t="str">
        <f>IFERROR(INDEX(装备库!$A$2:$E$2022,MATCH(ROW()-1,装备库!$AK$2:$AK$2022,0),COLUMN()),"")</f>
        <v/>
      </c>
      <c r="B1425" t="str">
        <f>IFERROR(INDEX(装备库!$A$2:$E$2022,MATCH(ROW()-1,装备库!$AK$2:$AK$2022,0),COLUMN()),"")</f>
        <v/>
      </c>
      <c r="C1425" t="str">
        <f>IFERROR(INDEX(装备库!$A$2:$E$2022,MATCH(ROW()-1,装备库!$AK$2:$AK$2022,0),5),"")</f>
        <v/>
      </c>
    </row>
    <row r="1426" spans="1:3">
      <c r="A1426" t="str">
        <f>IFERROR(INDEX(装备库!$A$2:$E$2022,MATCH(ROW()-1,装备库!$AK$2:$AK$2022,0),COLUMN()),"")</f>
        <v/>
      </c>
      <c r="B1426" t="str">
        <f>IFERROR(INDEX(装备库!$A$2:$E$2022,MATCH(ROW()-1,装备库!$AK$2:$AK$2022,0),COLUMN()),"")</f>
        <v/>
      </c>
      <c r="C1426" t="str">
        <f>IFERROR(INDEX(装备库!$A$2:$E$2022,MATCH(ROW()-1,装备库!$AK$2:$AK$2022,0),5),"")</f>
        <v/>
      </c>
    </row>
    <row r="1427" spans="1:3">
      <c r="A1427" t="str">
        <f>IFERROR(INDEX(装备库!$A$2:$E$2022,MATCH(ROW()-1,装备库!$AK$2:$AK$2022,0),COLUMN()),"")</f>
        <v/>
      </c>
      <c r="B1427" t="str">
        <f>IFERROR(INDEX(装备库!$A$2:$E$2022,MATCH(ROW()-1,装备库!$AK$2:$AK$2022,0),COLUMN()),"")</f>
        <v/>
      </c>
      <c r="C1427" t="str">
        <f>IFERROR(INDEX(装备库!$A$2:$E$2022,MATCH(ROW()-1,装备库!$AK$2:$AK$2022,0),5),"")</f>
        <v/>
      </c>
    </row>
    <row r="1428" spans="1:3">
      <c r="A1428" t="str">
        <f>IFERROR(INDEX(装备库!$A$2:$E$2022,MATCH(ROW()-1,装备库!$AK$2:$AK$2022,0),COLUMN()),"")</f>
        <v/>
      </c>
      <c r="B1428" t="str">
        <f>IFERROR(INDEX(装备库!$A$2:$E$2022,MATCH(ROW()-1,装备库!$AK$2:$AK$2022,0),COLUMN()),"")</f>
        <v/>
      </c>
      <c r="C1428" t="str">
        <f>IFERROR(INDEX(装备库!$A$2:$E$2022,MATCH(ROW()-1,装备库!$AK$2:$AK$2022,0),5),"")</f>
        <v/>
      </c>
    </row>
    <row r="1429" spans="1:3">
      <c r="A1429" t="str">
        <f>IFERROR(INDEX(装备库!$A$2:$E$2022,MATCH(ROW()-1,装备库!$AK$2:$AK$2022,0),COLUMN()),"")</f>
        <v/>
      </c>
      <c r="B1429" t="str">
        <f>IFERROR(INDEX(装备库!$A$2:$E$2022,MATCH(ROW()-1,装备库!$AK$2:$AK$2022,0),COLUMN()),"")</f>
        <v/>
      </c>
      <c r="C1429" t="str">
        <f>IFERROR(INDEX(装备库!$A$2:$E$2022,MATCH(ROW()-1,装备库!$AK$2:$AK$2022,0),5),"")</f>
        <v/>
      </c>
    </row>
    <row r="1430" spans="1:3">
      <c r="A1430" t="str">
        <f>IFERROR(INDEX(装备库!$A$2:$E$2022,MATCH(ROW()-1,装备库!$AK$2:$AK$2022,0),COLUMN()),"")</f>
        <v/>
      </c>
      <c r="B1430" t="str">
        <f>IFERROR(INDEX(装备库!$A$2:$E$2022,MATCH(ROW()-1,装备库!$AK$2:$AK$2022,0),COLUMN()),"")</f>
        <v/>
      </c>
      <c r="C1430" t="str">
        <f>IFERROR(INDEX(装备库!$A$2:$E$2022,MATCH(ROW()-1,装备库!$AK$2:$AK$2022,0),5),"")</f>
        <v/>
      </c>
    </row>
    <row r="1431" spans="1:3">
      <c r="A1431" t="str">
        <f>IFERROR(INDEX(装备库!$A$2:$E$2022,MATCH(ROW()-1,装备库!$AK$2:$AK$2022,0),COLUMN()),"")</f>
        <v/>
      </c>
      <c r="B1431" t="str">
        <f>IFERROR(INDEX(装备库!$A$2:$E$2022,MATCH(ROW()-1,装备库!$AK$2:$AK$2022,0),COLUMN()),"")</f>
        <v/>
      </c>
      <c r="C1431" t="str">
        <f>IFERROR(INDEX(装备库!$A$2:$E$2022,MATCH(ROW()-1,装备库!$AK$2:$AK$2022,0),5),"")</f>
        <v/>
      </c>
    </row>
    <row r="1432" spans="1:3">
      <c r="A1432" t="str">
        <f>IFERROR(INDEX(装备库!$A$2:$E$2022,MATCH(ROW()-1,装备库!$AK$2:$AK$2022,0),COLUMN()),"")</f>
        <v/>
      </c>
      <c r="B1432" t="str">
        <f>IFERROR(INDEX(装备库!$A$2:$E$2022,MATCH(ROW()-1,装备库!$AK$2:$AK$2022,0),COLUMN()),"")</f>
        <v/>
      </c>
      <c r="C1432" t="str">
        <f>IFERROR(INDEX(装备库!$A$2:$E$2022,MATCH(ROW()-1,装备库!$AK$2:$AK$2022,0),5),"")</f>
        <v/>
      </c>
    </row>
    <row r="1433" spans="1:3">
      <c r="A1433" t="str">
        <f>IFERROR(INDEX(装备库!$A$2:$E$2022,MATCH(ROW()-1,装备库!$AK$2:$AK$2022,0),COLUMN()),"")</f>
        <v/>
      </c>
      <c r="B1433" t="str">
        <f>IFERROR(INDEX(装备库!$A$2:$E$2022,MATCH(ROW()-1,装备库!$AK$2:$AK$2022,0),COLUMN()),"")</f>
        <v/>
      </c>
      <c r="C1433" t="str">
        <f>IFERROR(INDEX(装备库!$A$2:$E$2022,MATCH(ROW()-1,装备库!$AK$2:$AK$2022,0),5),"")</f>
        <v/>
      </c>
    </row>
    <row r="1434" spans="1:3">
      <c r="A1434" t="str">
        <f>IFERROR(INDEX(装备库!$A$2:$E$2022,MATCH(ROW()-1,装备库!$AK$2:$AK$2022,0),COLUMN()),"")</f>
        <v/>
      </c>
      <c r="B1434" t="str">
        <f>IFERROR(INDEX(装备库!$A$2:$E$2022,MATCH(ROW()-1,装备库!$AK$2:$AK$2022,0),COLUMN()),"")</f>
        <v/>
      </c>
      <c r="C1434" t="str">
        <f>IFERROR(INDEX(装备库!$A$2:$E$2022,MATCH(ROW()-1,装备库!$AK$2:$AK$2022,0),5),"")</f>
        <v/>
      </c>
    </row>
    <row r="1435" spans="1:3">
      <c r="A1435" t="str">
        <f>IFERROR(INDEX(装备库!$A$2:$E$2022,MATCH(ROW()-1,装备库!$AK$2:$AK$2022,0),COLUMN()),"")</f>
        <v/>
      </c>
      <c r="B1435" t="str">
        <f>IFERROR(INDEX(装备库!$A$2:$E$2022,MATCH(ROW()-1,装备库!$AK$2:$AK$2022,0),COLUMN()),"")</f>
        <v/>
      </c>
      <c r="C1435" t="str">
        <f>IFERROR(INDEX(装备库!$A$2:$E$2022,MATCH(ROW()-1,装备库!$AK$2:$AK$2022,0),5),"")</f>
        <v/>
      </c>
    </row>
    <row r="1436" spans="1:3">
      <c r="A1436" t="str">
        <f>IFERROR(INDEX(装备库!$A$2:$E$2022,MATCH(ROW()-1,装备库!$AK$2:$AK$2022,0),COLUMN()),"")</f>
        <v/>
      </c>
      <c r="B1436" t="str">
        <f>IFERROR(INDEX(装备库!$A$2:$E$2022,MATCH(ROW()-1,装备库!$AK$2:$AK$2022,0),COLUMN()),"")</f>
        <v/>
      </c>
      <c r="C1436" t="str">
        <f>IFERROR(INDEX(装备库!$A$2:$E$2022,MATCH(ROW()-1,装备库!$AK$2:$AK$2022,0),5),"")</f>
        <v/>
      </c>
    </row>
    <row r="1437" spans="1:3">
      <c r="A1437" t="str">
        <f>IFERROR(INDEX(装备库!$A$2:$E$2022,MATCH(ROW()-1,装备库!$AK$2:$AK$2022,0),COLUMN()),"")</f>
        <v/>
      </c>
      <c r="B1437" t="str">
        <f>IFERROR(INDEX(装备库!$A$2:$E$2022,MATCH(ROW()-1,装备库!$AK$2:$AK$2022,0),COLUMN()),"")</f>
        <v/>
      </c>
      <c r="C1437" t="str">
        <f>IFERROR(INDEX(装备库!$A$2:$E$2022,MATCH(ROW()-1,装备库!$AK$2:$AK$2022,0),5),"")</f>
        <v/>
      </c>
    </row>
    <row r="1438" spans="1:3">
      <c r="A1438" t="str">
        <f>IFERROR(INDEX(装备库!$A$2:$E$2022,MATCH(ROW()-1,装备库!$AK$2:$AK$2022,0),COLUMN()),"")</f>
        <v/>
      </c>
      <c r="B1438" t="str">
        <f>IFERROR(INDEX(装备库!$A$2:$E$2022,MATCH(ROW()-1,装备库!$AK$2:$AK$2022,0),COLUMN()),"")</f>
        <v/>
      </c>
      <c r="C1438" t="str">
        <f>IFERROR(INDEX(装备库!$A$2:$E$2022,MATCH(ROW()-1,装备库!$AK$2:$AK$2022,0),5),"")</f>
        <v/>
      </c>
    </row>
    <row r="1439" spans="1:3">
      <c r="A1439" t="str">
        <f>IFERROR(INDEX(装备库!$A$2:$E$2022,MATCH(ROW()-1,装备库!$AK$2:$AK$2022,0),COLUMN()),"")</f>
        <v/>
      </c>
      <c r="B1439" t="str">
        <f>IFERROR(INDEX(装备库!$A$2:$E$2022,MATCH(ROW()-1,装备库!$AK$2:$AK$2022,0),COLUMN()),"")</f>
        <v/>
      </c>
      <c r="C1439" t="str">
        <f>IFERROR(INDEX(装备库!$A$2:$E$2022,MATCH(ROW()-1,装备库!$AK$2:$AK$2022,0),5),"")</f>
        <v/>
      </c>
    </row>
    <row r="1440" spans="1:3">
      <c r="A1440" t="str">
        <f>IFERROR(INDEX(装备库!$A$2:$E$2022,MATCH(ROW()-1,装备库!$AK$2:$AK$2022,0),COLUMN()),"")</f>
        <v/>
      </c>
      <c r="B1440" t="str">
        <f>IFERROR(INDEX(装备库!$A$2:$E$2022,MATCH(ROW()-1,装备库!$AK$2:$AK$2022,0),COLUMN()),"")</f>
        <v/>
      </c>
      <c r="C1440" t="str">
        <f>IFERROR(INDEX(装备库!$A$2:$E$2022,MATCH(ROW()-1,装备库!$AK$2:$AK$2022,0),5),"")</f>
        <v/>
      </c>
    </row>
    <row r="1441" spans="1:3">
      <c r="A1441" t="str">
        <f>IFERROR(INDEX(装备库!$A$2:$E$2022,MATCH(ROW()-1,装备库!$AK$2:$AK$2022,0),COLUMN()),"")</f>
        <v/>
      </c>
      <c r="B1441" t="str">
        <f>IFERROR(INDEX(装备库!$A$2:$E$2022,MATCH(ROW()-1,装备库!$AK$2:$AK$2022,0),COLUMN()),"")</f>
        <v/>
      </c>
      <c r="C1441" t="str">
        <f>IFERROR(INDEX(装备库!$A$2:$E$2022,MATCH(ROW()-1,装备库!$AK$2:$AK$2022,0),5),"")</f>
        <v/>
      </c>
    </row>
    <row r="1442" spans="1:3">
      <c r="A1442" t="str">
        <f>IFERROR(INDEX(装备库!$A$2:$E$2022,MATCH(ROW()-1,装备库!$AK$2:$AK$2022,0),COLUMN()),"")</f>
        <v/>
      </c>
      <c r="B1442" t="str">
        <f>IFERROR(INDEX(装备库!$A$2:$E$2022,MATCH(ROW()-1,装备库!$AK$2:$AK$2022,0),COLUMN()),"")</f>
        <v/>
      </c>
      <c r="C1442" t="str">
        <f>IFERROR(INDEX(装备库!$A$2:$E$2022,MATCH(ROW()-1,装备库!$AK$2:$AK$2022,0),5),"")</f>
        <v/>
      </c>
    </row>
    <row r="1443" spans="1:3">
      <c r="A1443" t="str">
        <f>IFERROR(INDEX(装备库!$A$2:$E$2022,MATCH(ROW()-1,装备库!$AK$2:$AK$2022,0),COLUMN()),"")</f>
        <v/>
      </c>
      <c r="B1443" t="str">
        <f>IFERROR(INDEX(装备库!$A$2:$E$2022,MATCH(ROW()-1,装备库!$AK$2:$AK$2022,0),COLUMN()),"")</f>
        <v/>
      </c>
      <c r="C1443" t="str">
        <f>IFERROR(INDEX(装备库!$A$2:$E$2022,MATCH(ROW()-1,装备库!$AK$2:$AK$2022,0),5),"")</f>
        <v/>
      </c>
    </row>
    <row r="1444" spans="1:3">
      <c r="A1444" t="str">
        <f>IFERROR(INDEX(装备库!$A$2:$E$2022,MATCH(ROW()-1,装备库!$AK$2:$AK$2022,0),COLUMN()),"")</f>
        <v/>
      </c>
      <c r="B1444" t="str">
        <f>IFERROR(INDEX(装备库!$A$2:$E$2022,MATCH(ROW()-1,装备库!$AK$2:$AK$2022,0),COLUMN()),"")</f>
        <v/>
      </c>
      <c r="C1444" t="str">
        <f>IFERROR(INDEX(装备库!$A$2:$E$2022,MATCH(ROW()-1,装备库!$AK$2:$AK$2022,0),5),"")</f>
        <v/>
      </c>
    </row>
    <row r="1445" spans="1:3">
      <c r="A1445" t="str">
        <f>IFERROR(INDEX(装备库!$A$2:$E$2022,MATCH(ROW()-1,装备库!$AK$2:$AK$2022,0),COLUMN()),"")</f>
        <v/>
      </c>
      <c r="B1445" t="str">
        <f>IFERROR(INDEX(装备库!$A$2:$E$2022,MATCH(ROW()-1,装备库!$AK$2:$AK$2022,0),COLUMN()),"")</f>
        <v/>
      </c>
      <c r="C1445" t="str">
        <f>IFERROR(INDEX(装备库!$A$2:$E$2022,MATCH(ROW()-1,装备库!$AK$2:$AK$2022,0),5),"")</f>
        <v/>
      </c>
    </row>
    <row r="1446" spans="1:3">
      <c r="A1446" t="str">
        <f>IFERROR(INDEX(装备库!$A$2:$E$2022,MATCH(ROW()-1,装备库!$AK$2:$AK$2022,0),COLUMN()),"")</f>
        <v/>
      </c>
      <c r="B1446" t="str">
        <f>IFERROR(INDEX(装备库!$A$2:$E$2022,MATCH(ROW()-1,装备库!$AK$2:$AK$2022,0),COLUMN()),"")</f>
        <v/>
      </c>
      <c r="C1446" t="str">
        <f>IFERROR(INDEX(装备库!$A$2:$E$2022,MATCH(ROW()-1,装备库!$AK$2:$AK$2022,0),5),"")</f>
        <v/>
      </c>
    </row>
    <row r="1447" spans="1:3">
      <c r="A1447" t="str">
        <f>IFERROR(INDEX(装备库!$A$2:$E$2022,MATCH(ROW()-1,装备库!$AK$2:$AK$2022,0),COLUMN()),"")</f>
        <v/>
      </c>
      <c r="B1447" t="str">
        <f>IFERROR(INDEX(装备库!$A$2:$E$2022,MATCH(ROW()-1,装备库!$AK$2:$AK$2022,0),COLUMN()),"")</f>
        <v/>
      </c>
      <c r="C1447" t="str">
        <f>IFERROR(INDEX(装备库!$A$2:$E$2022,MATCH(ROW()-1,装备库!$AK$2:$AK$2022,0),5),"")</f>
        <v/>
      </c>
    </row>
    <row r="1448" spans="1:3">
      <c r="A1448" t="str">
        <f>IFERROR(INDEX(装备库!$A$2:$E$2022,MATCH(ROW()-1,装备库!$AK$2:$AK$2022,0),COLUMN()),"")</f>
        <v/>
      </c>
      <c r="B1448" t="str">
        <f>IFERROR(INDEX(装备库!$A$2:$E$2022,MATCH(ROW()-1,装备库!$AK$2:$AK$2022,0),COLUMN()),"")</f>
        <v/>
      </c>
      <c r="C1448" t="str">
        <f>IFERROR(INDEX(装备库!$A$2:$E$2022,MATCH(ROW()-1,装备库!$AK$2:$AK$2022,0),5),"")</f>
        <v/>
      </c>
    </row>
    <row r="1449" spans="1:3">
      <c r="A1449" t="str">
        <f>IFERROR(INDEX(装备库!$A$2:$E$2022,MATCH(ROW()-1,装备库!$AK$2:$AK$2022,0),COLUMN()),"")</f>
        <v/>
      </c>
      <c r="B1449" t="str">
        <f>IFERROR(INDEX(装备库!$A$2:$E$2022,MATCH(ROW()-1,装备库!$AK$2:$AK$2022,0),COLUMN()),"")</f>
        <v/>
      </c>
      <c r="C1449" t="str">
        <f>IFERROR(INDEX(装备库!$A$2:$E$2022,MATCH(ROW()-1,装备库!$AK$2:$AK$2022,0),5),"")</f>
        <v/>
      </c>
    </row>
    <row r="1450" spans="1:3">
      <c r="A1450" t="str">
        <f>IFERROR(INDEX(装备库!$A$2:$E$2022,MATCH(ROW()-1,装备库!$AK$2:$AK$2022,0),COLUMN()),"")</f>
        <v/>
      </c>
      <c r="B1450" t="str">
        <f>IFERROR(INDEX(装备库!$A$2:$E$2022,MATCH(ROW()-1,装备库!$AK$2:$AK$2022,0),COLUMN()),"")</f>
        <v/>
      </c>
      <c r="C1450" t="str">
        <f>IFERROR(INDEX(装备库!$A$2:$E$2022,MATCH(ROW()-1,装备库!$AK$2:$AK$2022,0),5),"")</f>
        <v/>
      </c>
    </row>
    <row r="1451" spans="1:3">
      <c r="A1451" t="str">
        <f>IFERROR(INDEX(装备库!$A$2:$E$2022,MATCH(ROW()-1,装备库!$AK$2:$AK$2022,0),COLUMN()),"")</f>
        <v/>
      </c>
      <c r="B1451" t="str">
        <f>IFERROR(INDEX(装备库!$A$2:$E$2022,MATCH(ROW()-1,装备库!$AK$2:$AK$2022,0),COLUMN()),"")</f>
        <v/>
      </c>
      <c r="C1451" t="str">
        <f>IFERROR(INDEX(装备库!$A$2:$E$2022,MATCH(ROW()-1,装备库!$AK$2:$AK$2022,0),5),"")</f>
        <v/>
      </c>
    </row>
    <row r="1452" spans="1:3">
      <c r="A1452" t="str">
        <f>IFERROR(INDEX(装备库!$A$2:$E$2022,MATCH(ROW()-1,装备库!$AK$2:$AK$2022,0),COLUMN()),"")</f>
        <v/>
      </c>
      <c r="B1452" t="str">
        <f>IFERROR(INDEX(装备库!$A$2:$E$2022,MATCH(ROW()-1,装备库!$AK$2:$AK$2022,0),COLUMN()),"")</f>
        <v/>
      </c>
      <c r="C1452" t="str">
        <f>IFERROR(INDEX(装备库!$A$2:$E$2022,MATCH(ROW()-1,装备库!$AK$2:$AK$2022,0),5),"")</f>
        <v/>
      </c>
    </row>
    <row r="1453" spans="1:3">
      <c r="A1453" t="str">
        <f>IFERROR(INDEX(装备库!$A$2:$E$2022,MATCH(ROW()-1,装备库!$AK$2:$AK$2022,0),COLUMN()),"")</f>
        <v/>
      </c>
      <c r="B1453" t="str">
        <f>IFERROR(INDEX(装备库!$A$2:$E$2022,MATCH(ROW()-1,装备库!$AK$2:$AK$2022,0),COLUMN()),"")</f>
        <v/>
      </c>
      <c r="C1453" t="str">
        <f>IFERROR(INDEX(装备库!$A$2:$E$2022,MATCH(ROW()-1,装备库!$AK$2:$AK$2022,0),5),"")</f>
        <v/>
      </c>
    </row>
    <row r="1454" spans="1:3">
      <c r="A1454" t="str">
        <f>IFERROR(INDEX(装备库!$A$2:$E$2022,MATCH(ROW()-1,装备库!$AK$2:$AK$2022,0),COLUMN()),"")</f>
        <v/>
      </c>
      <c r="B1454" t="str">
        <f>IFERROR(INDEX(装备库!$A$2:$E$2022,MATCH(ROW()-1,装备库!$AK$2:$AK$2022,0),COLUMN()),"")</f>
        <v/>
      </c>
      <c r="C1454" t="str">
        <f>IFERROR(INDEX(装备库!$A$2:$E$2022,MATCH(ROW()-1,装备库!$AK$2:$AK$2022,0),5),"")</f>
        <v/>
      </c>
    </row>
    <row r="1455" spans="1:3">
      <c r="A1455" t="str">
        <f>IFERROR(INDEX(装备库!$A$2:$E$2022,MATCH(ROW()-1,装备库!$AK$2:$AK$2022,0),COLUMN()),"")</f>
        <v/>
      </c>
      <c r="B1455" t="str">
        <f>IFERROR(INDEX(装备库!$A$2:$E$2022,MATCH(ROW()-1,装备库!$AK$2:$AK$2022,0),COLUMN()),"")</f>
        <v/>
      </c>
      <c r="C1455" t="str">
        <f>IFERROR(INDEX(装备库!$A$2:$E$2022,MATCH(ROW()-1,装备库!$AK$2:$AK$2022,0),5),"")</f>
        <v/>
      </c>
    </row>
    <row r="1456" spans="1:3">
      <c r="A1456" t="str">
        <f>IFERROR(INDEX(装备库!$A$2:$E$2022,MATCH(ROW()-1,装备库!$AK$2:$AK$2022,0),COLUMN()),"")</f>
        <v/>
      </c>
      <c r="B1456" t="str">
        <f>IFERROR(INDEX(装备库!$A$2:$E$2022,MATCH(ROW()-1,装备库!$AK$2:$AK$2022,0),COLUMN()),"")</f>
        <v/>
      </c>
      <c r="C1456" t="str">
        <f>IFERROR(INDEX(装备库!$A$2:$E$2022,MATCH(ROW()-1,装备库!$AK$2:$AK$2022,0),5),"")</f>
        <v/>
      </c>
    </row>
    <row r="1457" spans="1:3">
      <c r="A1457" t="str">
        <f>IFERROR(INDEX(装备库!$A$2:$E$2022,MATCH(ROW()-1,装备库!$AK$2:$AK$2022,0),COLUMN()),"")</f>
        <v/>
      </c>
      <c r="B1457" t="str">
        <f>IFERROR(INDEX(装备库!$A$2:$E$2022,MATCH(ROW()-1,装备库!$AK$2:$AK$2022,0),COLUMN()),"")</f>
        <v/>
      </c>
      <c r="C1457" t="str">
        <f>IFERROR(INDEX(装备库!$A$2:$E$2022,MATCH(ROW()-1,装备库!$AK$2:$AK$2022,0),5),"")</f>
        <v/>
      </c>
    </row>
    <row r="1458" spans="1:3">
      <c r="A1458" t="str">
        <f>IFERROR(INDEX(装备库!$A$2:$E$2022,MATCH(ROW()-1,装备库!$AK$2:$AK$2022,0),COLUMN()),"")</f>
        <v/>
      </c>
      <c r="B1458" t="str">
        <f>IFERROR(INDEX(装备库!$A$2:$E$2022,MATCH(ROW()-1,装备库!$AK$2:$AK$2022,0),COLUMN()),"")</f>
        <v/>
      </c>
      <c r="C1458" t="str">
        <f>IFERROR(INDEX(装备库!$A$2:$E$2022,MATCH(ROW()-1,装备库!$AK$2:$AK$2022,0),5),"")</f>
        <v/>
      </c>
    </row>
    <row r="1459" spans="1:3">
      <c r="A1459" t="str">
        <f>IFERROR(INDEX(装备库!$A$2:$E$2022,MATCH(ROW()-1,装备库!$AK$2:$AK$2022,0),COLUMN()),"")</f>
        <v/>
      </c>
      <c r="B1459" t="str">
        <f>IFERROR(INDEX(装备库!$A$2:$E$2022,MATCH(ROW()-1,装备库!$AK$2:$AK$2022,0),COLUMN()),"")</f>
        <v/>
      </c>
      <c r="C1459" t="str">
        <f>IFERROR(INDEX(装备库!$A$2:$E$2022,MATCH(ROW()-1,装备库!$AK$2:$AK$2022,0),5),"")</f>
        <v/>
      </c>
    </row>
    <row r="1460" spans="1:3">
      <c r="A1460" t="str">
        <f>IFERROR(INDEX(装备库!$A$2:$E$2022,MATCH(ROW()-1,装备库!$AK$2:$AK$2022,0),COLUMN()),"")</f>
        <v/>
      </c>
      <c r="B1460" t="str">
        <f>IFERROR(INDEX(装备库!$A$2:$E$2022,MATCH(ROW()-1,装备库!$AK$2:$AK$2022,0),COLUMN()),"")</f>
        <v/>
      </c>
      <c r="C1460" t="str">
        <f>IFERROR(INDEX(装备库!$A$2:$E$2022,MATCH(ROW()-1,装备库!$AK$2:$AK$2022,0),5),"")</f>
        <v/>
      </c>
    </row>
    <row r="1461" spans="1:3">
      <c r="A1461" t="str">
        <f>IFERROR(INDEX(装备库!$A$2:$E$2022,MATCH(ROW()-1,装备库!$AK$2:$AK$2022,0),COLUMN()),"")</f>
        <v/>
      </c>
      <c r="B1461" t="str">
        <f>IFERROR(INDEX(装备库!$A$2:$E$2022,MATCH(ROW()-1,装备库!$AK$2:$AK$2022,0),COLUMN()),"")</f>
        <v/>
      </c>
      <c r="C1461" t="str">
        <f>IFERROR(INDEX(装备库!$A$2:$E$2022,MATCH(ROW()-1,装备库!$AK$2:$AK$2022,0),5),"")</f>
        <v/>
      </c>
    </row>
    <row r="1462" spans="1:3">
      <c r="A1462" t="str">
        <f>IFERROR(INDEX(装备库!$A$2:$E$2022,MATCH(ROW()-1,装备库!$AK$2:$AK$2022,0),COLUMN()),"")</f>
        <v/>
      </c>
      <c r="B1462" t="str">
        <f>IFERROR(INDEX(装备库!$A$2:$E$2022,MATCH(ROW()-1,装备库!$AK$2:$AK$2022,0),COLUMN()),"")</f>
        <v/>
      </c>
      <c r="C1462" t="str">
        <f>IFERROR(INDEX(装备库!$A$2:$E$2022,MATCH(ROW()-1,装备库!$AK$2:$AK$2022,0),5),"")</f>
        <v/>
      </c>
    </row>
    <row r="1463" spans="1:3">
      <c r="A1463" t="str">
        <f>IFERROR(INDEX(装备库!$A$2:$E$2022,MATCH(ROW()-1,装备库!$AK$2:$AK$2022,0),COLUMN()),"")</f>
        <v/>
      </c>
      <c r="B1463" t="str">
        <f>IFERROR(INDEX(装备库!$A$2:$E$2022,MATCH(ROW()-1,装备库!$AK$2:$AK$2022,0),COLUMN()),"")</f>
        <v/>
      </c>
      <c r="C1463" t="str">
        <f>IFERROR(INDEX(装备库!$A$2:$E$2022,MATCH(ROW()-1,装备库!$AK$2:$AK$2022,0),5),"")</f>
        <v/>
      </c>
    </row>
    <row r="1464" spans="1:3">
      <c r="A1464" t="str">
        <f>IFERROR(INDEX(装备库!$A$2:$E$2022,MATCH(ROW()-1,装备库!$AK$2:$AK$2022,0),COLUMN()),"")</f>
        <v/>
      </c>
      <c r="B1464" t="str">
        <f>IFERROR(INDEX(装备库!$A$2:$E$2022,MATCH(ROW()-1,装备库!$AK$2:$AK$2022,0),COLUMN()),"")</f>
        <v/>
      </c>
      <c r="C1464" t="str">
        <f>IFERROR(INDEX(装备库!$A$2:$E$2022,MATCH(ROW()-1,装备库!$AK$2:$AK$2022,0),5),"")</f>
        <v/>
      </c>
    </row>
    <row r="1465" spans="1:3">
      <c r="A1465" t="str">
        <f>IFERROR(INDEX(装备库!$A$2:$E$2022,MATCH(ROW()-1,装备库!$AK$2:$AK$2022,0),COLUMN()),"")</f>
        <v/>
      </c>
      <c r="B1465" t="str">
        <f>IFERROR(INDEX(装备库!$A$2:$E$2022,MATCH(ROW()-1,装备库!$AK$2:$AK$2022,0),COLUMN()),"")</f>
        <v/>
      </c>
      <c r="C1465" t="str">
        <f>IFERROR(INDEX(装备库!$A$2:$E$2022,MATCH(ROW()-1,装备库!$AK$2:$AK$2022,0),5),"")</f>
        <v/>
      </c>
    </row>
    <row r="1466" spans="1:3">
      <c r="A1466" t="str">
        <f>IFERROR(INDEX(装备库!$A$2:$E$2022,MATCH(ROW()-1,装备库!$AK$2:$AK$2022,0),COLUMN()),"")</f>
        <v/>
      </c>
      <c r="B1466" t="str">
        <f>IFERROR(INDEX(装备库!$A$2:$E$2022,MATCH(ROW()-1,装备库!$AK$2:$AK$2022,0),COLUMN()),"")</f>
        <v/>
      </c>
      <c r="C1466" t="str">
        <f>IFERROR(INDEX(装备库!$A$2:$E$2022,MATCH(ROW()-1,装备库!$AK$2:$AK$2022,0),5),"")</f>
        <v/>
      </c>
    </row>
    <row r="1467" spans="1:3">
      <c r="A1467" t="str">
        <f>IFERROR(INDEX(装备库!$A$2:$E$2022,MATCH(ROW()-1,装备库!$AK$2:$AK$2022,0),COLUMN()),"")</f>
        <v/>
      </c>
      <c r="B1467" t="str">
        <f>IFERROR(INDEX(装备库!$A$2:$E$2022,MATCH(ROW()-1,装备库!$AK$2:$AK$2022,0),COLUMN()),"")</f>
        <v/>
      </c>
      <c r="C1467" t="str">
        <f>IFERROR(INDEX(装备库!$A$2:$E$2022,MATCH(ROW()-1,装备库!$AK$2:$AK$2022,0),5),"")</f>
        <v/>
      </c>
    </row>
    <row r="1468" spans="1:3">
      <c r="A1468" t="str">
        <f>IFERROR(INDEX(装备库!$A$2:$E$2022,MATCH(ROW()-1,装备库!$AK$2:$AK$2022,0),COLUMN()),"")</f>
        <v/>
      </c>
      <c r="B1468" t="str">
        <f>IFERROR(INDEX(装备库!$A$2:$E$2022,MATCH(ROW()-1,装备库!$AK$2:$AK$2022,0),COLUMN()),"")</f>
        <v/>
      </c>
      <c r="C1468" t="str">
        <f>IFERROR(INDEX(装备库!$A$2:$E$2022,MATCH(ROW()-1,装备库!$AK$2:$AK$2022,0),5),"")</f>
        <v/>
      </c>
    </row>
    <row r="1469" spans="1:3">
      <c r="A1469" t="str">
        <f>IFERROR(INDEX(装备库!$A$2:$E$2022,MATCH(ROW()-1,装备库!$AK$2:$AK$2022,0),COLUMN()),"")</f>
        <v/>
      </c>
      <c r="B1469" t="str">
        <f>IFERROR(INDEX(装备库!$A$2:$E$2022,MATCH(ROW()-1,装备库!$AK$2:$AK$2022,0),COLUMN()),"")</f>
        <v/>
      </c>
      <c r="C1469" t="str">
        <f>IFERROR(INDEX(装备库!$A$2:$E$2022,MATCH(ROW()-1,装备库!$AK$2:$AK$2022,0),5),"")</f>
        <v/>
      </c>
    </row>
    <row r="1470" spans="1:3">
      <c r="A1470" t="str">
        <f>IFERROR(INDEX(装备库!$A$2:$E$2022,MATCH(ROW()-1,装备库!$AK$2:$AK$2022,0),COLUMN()),"")</f>
        <v/>
      </c>
      <c r="B1470" t="str">
        <f>IFERROR(INDEX(装备库!$A$2:$E$2022,MATCH(ROW()-1,装备库!$AK$2:$AK$2022,0),COLUMN()),"")</f>
        <v/>
      </c>
      <c r="C1470" t="str">
        <f>IFERROR(INDEX(装备库!$A$2:$E$2022,MATCH(ROW()-1,装备库!$AK$2:$AK$2022,0),5),"")</f>
        <v/>
      </c>
    </row>
    <row r="1471" spans="1:3">
      <c r="A1471" t="str">
        <f>IFERROR(INDEX(装备库!$A$2:$E$2022,MATCH(ROW()-1,装备库!$AK$2:$AK$2022,0),COLUMN()),"")</f>
        <v/>
      </c>
      <c r="B1471" t="str">
        <f>IFERROR(INDEX(装备库!$A$2:$E$2022,MATCH(ROW()-1,装备库!$AK$2:$AK$2022,0),COLUMN()),"")</f>
        <v/>
      </c>
      <c r="C1471" t="str">
        <f>IFERROR(INDEX(装备库!$A$2:$E$2022,MATCH(ROW()-1,装备库!$AK$2:$AK$2022,0),5),"")</f>
        <v/>
      </c>
    </row>
    <row r="1472" spans="1:3">
      <c r="A1472" t="str">
        <f>IFERROR(INDEX(装备库!$A$2:$E$2022,MATCH(ROW()-1,装备库!$AK$2:$AK$2022,0),COLUMN()),"")</f>
        <v/>
      </c>
      <c r="B1472" t="str">
        <f>IFERROR(INDEX(装备库!$A$2:$E$2022,MATCH(ROW()-1,装备库!$AK$2:$AK$2022,0),COLUMN()),"")</f>
        <v/>
      </c>
      <c r="C1472" t="str">
        <f>IFERROR(INDEX(装备库!$A$2:$E$2022,MATCH(ROW()-1,装备库!$AK$2:$AK$2022,0),5),"")</f>
        <v/>
      </c>
    </row>
    <row r="1473" spans="1:3">
      <c r="A1473" t="str">
        <f>IFERROR(INDEX(装备库!$A$2:$E$2022,MATCH(ROW()-1,装备库!$AK$2:$AK$2022,0),COLUMN()),"")</f>
        <v/>
      </c>
      <c r="B1473" t="str">
        <f>IFERROR(INDEX(装备库!$A$2:$E$2022,MATCH(ROW()-1,装备库!$AK$2:$AK$2022,0),COLUMN()),"")</f>
        <v/>
      </c>
      <c r="C1473" t="str">
        <f>IFERROR(INDEX(装备库!$A$2:$E$2022,MATCH(ROW()-1,装备库!$AK$2:$AK$2022,0),5),"")</f>
        <v/>
      </c>
    </row>
    <row r="1474" spans="1:3">
      <c r="A1474" t="str">
        <f>IFERROR(INDEX(装备库!$A$2:$E$2022,MATCH(ROW()-1,装备库!$AK$2:$AK$2022,0),COLUMN()),"")</f>
        <v/>
      </c>
      <c r="B1474" t="str">
        <f>IFERROR(INDEX(装备库!$A$2:$E$2022,MATCH(ROW()-1,装备库!$AK$2:$AK$2022,0),COLUMN()),"")</f>
        <v/>
      </c>
      <c r="C1474" t="str">
        <f>IFERROR(INDEX(装备库!$A$2:$E$2022,MATCH(ROW()-1,装备库!$AK$2:$AK$2022,0),5),"")</f>
        <v/>
      </c>
    </row>
    <row r="1475" spans="1:3">
      <c r="A1475" t="str">
        <f>IFERROR(INDEX(装备库!$A$2:$E$2022,MATCH(ROW()-1,装备库!$AK$2:$AK$2022,0),COLUMN()),"")</f>
        <v/>
      </c>
      <c r="B1475" t="str">
        <f>IFERROR(INDEX(装备库!$A$2:$E$2022,MATCH(ROW()-1,装备库!$AK$2:$AK$2022,0),COLUMN()),"")</f>
        <v/>
      </c>
      <c r="C1475" t="str">
        <f>IFERROR(INDEX(装备库!$A$2:$E$2022,MATCH(ROW()-1,装备库!$AK$2:$AK$2022,0),5),"")</f>
        <v/>
      </c>
    </row>
    <row r="1476" spans="1:3">
      <c r="A1476" t="str">
        <f>IFERROR(INDEX(装备库!$A$2:$E$2022,MATCH(ROW()-1,装备库!$AK$2:$AK$2022,0),COLUMN()),"")</f>
        <v/>
      </c>
      <c r="B1476" t="str">
        <f>IFERROR(INDEX(装备库!$A$2:$E$2022,MATCH(ROW()-1,装备库!$AK$2:$AK$2022,0),COLUMN()),"")</f>
        <v/>
      </c>
      <c r="C1476" t="str">
        <f>IFERROR(INDEX(装备库!$A$2:$E$2022,MATCH(ROW()-1,装备库!$AK$2:$AK$2022,0),5),"")</f>
        <v/>
      </c>
    </row>
    <row r="1477" spans="1:3">
      <c r="A1477" t="str">
        <f>IFERROR(INDEX(装备库!$A$2:$E$2022,MATCH(ROW()-1,装备库!$AK$2:$AK$2022,0),COLUMN()),"")</f>
        <v/>
      </c>
      <c r="B1477" t="str">
        <f>IFERROR(INDEX(装备库!$A$2:$E$2022,MATCH(ROW()-1,装备库!$AK$2:$AK$2022,0),COLUMN()),"")</f>
        <v/>
      </c>
      <c r="C1477" t="str">
        <f>IFERROR(INDEX(装备库!$A$2:$E$2022,MATCH(ROW()-1,装备库!$AK$2:$AK$2022,0),5),"")</f>
        <v/>
      </c>
    </row>
    <row r="1478" spans="1:3">
      <c r="A1478" t="str">
        <f>IFERROR(INDEX(装备库!$A$2:$E$2022,MATCH(ROW()-1,装备库!$AK$2:$AK$2022,0),COLUMN()),"")</f>
        <v/>
      </c>
      <c r="B1478" t="str">
        <f>IFERROR(INDEX(装备库!$A$2:$E$2022,MATCH(ROW()-1,装备库!$AK$2:$AK$2022,0),COLUMN()),"")</f>
        <v/>
      </c>
      <c r="C1478" t="str">
        <f>IFERROR(INDEX(装备库!$A$2:$E$2022,MATCH(ROW()-1,装备库!$AK$2:$AK$2022,0),5),"")</f>
        <v/>
      </c>
    </row>
    <row r="1479" spans="1:3">
      <c r="A1479" t="str">
        <f>IFERROR(INDEX(装备库!$A$2:$E$2022,MATCH(ROW()-1,装备库!$AK$2:$AK$2022,0),COLUMN()),"")</f>
        <v/>
      </c>
      <c r="B1479" t="str">
        <f>IFERROR(INDEX(装备库!$A$2:$E$2022,MATCH(ROW()-1,装备库!$AK$2:$AK$2022,0),COLUMN()),"")</f>
        <v/>
      </c>
      <c r="C1479" t="str">
        <f>IFERROR(INDEX(装备库!$A$2:$E$2022,MATCH(ROW()-1,装备库!$AK$2:$AK$2022,0),5),"")</f>
        <v/>
      </c>
    </row>
    <row r="1480" spans="1:3">
      <c r="A1480" t="str">
        <f>IFERROR(INDEX(装备库!$A$2:$E$2022,MATCH(ROW()-1,装备库!$AK$2:$AK$2022,0),COLUMN()),"")</f>
        <v/>
      </c>
      <c r="B1480" t="str">
        <f>IFERROR(INDEX(装备库!$A$2:$E$2022,MATCH(ROW()-1,装备库!$AK$2:$AK$2022,0),COLUMN()),"")</f>
        <v/>
      </c>
      <c r="C1480" t="str">
        <f>IFERROR(INDEX(装备库!$A$2:$E$2022,MATCH(ROW()-1,装备库!$AK$2:$AK$2022,0),5),"")</f>
        <v/>
      </c>
    </row>
    <row r="1481" spans="1:3">
      <c r="A1481" t="str">
        <f>IFERROR(INDEX(装备库!$A$2:$E$2022,MATCH(ROW()-1,装备库!$AK$2:$AK$2022,0),COLUMN()),"")</f>
        <v/>
      </c>
      <c r="B1481" t="str">
        <f>IFERROR(INDEX(装备库!$A$2:$E$2022,MATCH(ROW()-1,装备库!$AK$2:$AK$2022,0),COLUMN()),"")</f>
        <v/>
      </c>
      <c r="C1481" t="str">
        <f>IFERROR(INDEX(装备库!$A$2:$E$2022,MATCH(ROW()-1,装备库!$AK$2:$AK$2022,0),5),"")</f>
        <v/>
      </c>
    </row>
    <row r="1482" spans="1:3">
      <c r="A1482" t="str">
        <f>IFERROR(INDEX(装备库!$A$2:$E$2022,MATCH(ROW()-1,装备库!$AK$2:$AK$2022,0),COLUMN()),"")</f>
        <v/>
      </c>
      <c r="B1482" t="str">
        <f>IFERROR(INDEX(装备库!$A$2:$E$2022,MATCH(ROW()-1,装备库!$AK$2:$AK$2022,0),COLUMN()),"")</f>
        <v/>
      </c>
      <c r="C1482" t="str">
        <f>IFERROR(INDEX(装备库!$A$2:$E$2022,MATCH(ROW()-1,装备库!$AK$2:$AK$2022,0),5),"")</f>
        <v/>
      </c>
    </row>
    <row r="1483" spans="1:3">
      <c r="A1483" t="str">
        <f>IFERROR(INDEX(装备库!$A$2:$E$2022,MATCH(ROW()-1,装备库!$AK$2:$AK$2022,0),COLUMN()),"")</f>
        <v/>
      </c>
      <c r="B1483" t="str">
        <f>IFERROR(INDEX(装备库!$A$2:$E$2022,MATCH(ROW()-1,装备库!$AK$2:$AK$2022,0),COLUMN()),"")</f>
        <v/>
      </c>
      <c r="C1483" t="str">
        <f>IFERROR(INDEX(装备库!$A$2:$E$2022,MATCH(ROW()-1,装备库!$AK$2:$AK$2022,0),5),"")</f>
        <v/>
      </c>
    </row>
    <row r="1484" spans="1:3">
      <c r="A1484" t="str">
        <f>IFERROR(INDEX(装备库!$A$2:$E$2022,MATCH(ROW()-1,装备库!$AK$2:$AK$2022,0),COLUMN()),"")</f>
        <v/>
      </c>
      <c r="B1484" t="str">
        <f>IFERROR(INDEX(装备库!$A$2:$E$2022,MATCH(ROW()-1,装备库!$AK$2:$AK$2022,0),COLUMN()),"")</f>
        <v/>
      </c>
      <c r="C1484" t="str">
        <f>IFERROR(INDEX(装备库!$A$2:$E$2022,MATCH(ROW()-1,装备库!$AK$2:$AK$2022,0),5),"")</f>
        <v/>
      </c>
    </row>
    <row r="1485" spans="1:3">
      <c r="A1485" t="str">
        <f>IFERROR(INDEX(装备库!$A$2:$E$2022,MATCH(ROW()-1,装备库!$AK$2:$AK$2022,0),COLUMN()),"")</f>
        <v/>
      </c>
      <c r="B1485" t="str">
        <f>IFERROR(INDEX(装备库!$A$2:$E$2022,MATCH(ROW()-1,装备库!$AK$2:$AK$2022,0),COLUMN()),"")</f>
        <v/>
      </c>
      <c r="C1485" t="str">
        <f>IFERROR(INDEX(装备库!$A$2:$E$2022,MATCH(ROW()-1,装备库!$AK$2:$AK$2022,0),5),"")</f>
        <v/>
      </c>
    </row>
    <row r="1486" spans="1:3">
      <c r="A1486" t="str">
        <f>IFERROR(INDEX(装备库!$A$2:$E$2022,MATCH(ROW()-1,装备库!$AK$2:$AK$2022,0),COLUMN()),"")</f>
        <v/>
      </c>
      <c r="B1486" t="str">
        <f>IFERROR(INDEX(装备库!$A$2:$E$2022,MATCH(ROW()-1,装备库!$AK$2:$AK$2022,0),COLUMN()),"")</f>
        <v/>
      </c>
      <c r="C1486" t="str">
        <f>IFERROR(INDEX(装备库!$A$2:$E$2022,MATCH(ROW()-1,装备库!$AK$2:$AK$2022,0),5),"")</f>
        <v/>
      </c>
    </row>
    <row r="1487" spans="1:3">
      <c r="A1487" t="str">
        <f>IFERROR(INDEX(装备库!$A$2:$E$2022,MATCH(ROW()-1,装备库!$AK$2:$AK$2022,0),COLUMN()),"")</f>
        <v/>
      </c>
      <c r="B1487" t="str">
        <f>IFERROR(INDEX(装备库!$A$2:$E$2022,MATCH(ROW()-1,装备库!$AK$2:$AK$2022,0),COLUMN()),"")</f>
        <v/>
      </c>
      <c r="C1487" t="str">
        <f>IFERROR(INDEX(装备库!$A$2:$E$2022,MATCH(ROW()-1,装备库!$AK$2:$AK$2022,0),5),"")</f>
        <v/>
      </c>
    </row>
    <row r="1488" spans="1:3">
      <c r="A1488" t="str">
        <f>IFERROR(INDEX(装备库!$A$2:$E$2022,MATCH(ROW()-1,装备库!$AK$2:$AK$2022,0),COLUMN()),"")</f>
        <v/>
      </c>
      <c r="B1488" t="str">
        <f>IFERROR(INDEX(装备库!$A$2:$E$2022,MATCH(ROW()-1,装备库!$AK$2:$AK$2022,0),COLUMN()),"")</f>
        <v/>
      </c>
      <c r="C1488" t="str">
        <f>IFERROR(INDEX(装备库!$A$2:$E$2022,MATCH(ROW()-1,装备库!$AK$2:$AK$2022,0),5),"")</f>
        <v/>
      </c>
    </row>
    <row r="1489" spans="1:3">
      <c r="A1489" t="str">
        <f>IFERROR(INDEX(装备库!$A$2:$E$2022,MATCH(ROW()-1,装备库!$AK$2:$AK$2022,0),COLUMN()),"")</f>
        <v/>
      </c>
      <c r="B1489" t="str">
        <f>IFERROR(INDEX(装备库!$A$2:$E$2022,MATCH(ROW()-1,装备库!$AK$2:$AK$2022,0),COLUMN()),"")</f>
        <v/>
      </c>
      <c r="C1489" t="str">
        <f>IFERROR(INDEX(装备库!$A$2:$E$2022,MATCH(ROW()-1,装备库!$AK$2:$AK$2022,0),5),"")</f>
        <v/>
      </c>
    </row>
    <row r="1490" spans="1:3">
      <c r="A1490" t="str">
        <f>IFERROR(INDEX(装备库!$A$2:$E$2022,MATCH(ROW()-1,装备库!$AK$2:$AK$2022,0),COLUMN()),"")</f>
        <v/>
      </c>
      <c r="B1490" t="str">
        <f>IFERROR(INDEX(装备库!$A$2:$E$2022,MATCH(ROW()-1,装备库!$AK$2:$AK$2022,0),COLUMN()),"")</f>
        <v/>
      </c>
      <c r="C1490" t="str">
        <f>IFERROR(INDEX(装备库!$A$2:$E$2022,MATCH(ROW()-1,装备库!$AK$2:$AK$2022,0),5),"")</f>
        <v/>
      </c>
    </row>
    <row r="1491" spans="1:3">
      <c r="A1491" t="str">
        <f>IFERROR(INDEX(装备库!$A$2:$E$2022,MATCH(ROW()-1,装备库!$AK$2:$AK$2022,0),COLUMN()),"")</f>
        <v/>
      </c>
      <c r="B1491" t="str">
        <f>IFERROR(INDEX(装备库!$A$2:$E$2022,MATCH(ROW()-1,装备库!$AK$2:$AK$2022,0),COLUMN()),"")</f>
        <v/>
      </c>
      <c r="C1491" t="str">
        <f>IFERROR(INDEX(装备库!$A$2:$E$2022,MATCH(ROW()-1,装备库!$AK$2:$AK$2022,0),5),"")</f>
        <v/>
      </c>
    </row>
    <row r="1492" spans="1:3">
      <c r="A1492" t="str">
        <f>IFERROR(INDEX(装备库!$A$2:$E$2022,MATCH(ROW()-1,装备库!$AK$2:$AK$2022,0),COLUMN()),"")</f>
        <v/>
      </c>
      <c r="B1492" t="str">
        <f>IFERROR(INDEX(装备库!$A$2:$E$2022,MATCH(ROW()-1,装备库!$AK$2:$AK$2022,0),COLUMN()),"")</f>
        <v/>
      </c>
      <c r="C1492" t="str">
        <f>IFERROR(INDEX(装备库!$A$2:$E$2022,MATCH(ROW()-1,装备库!$AK$2:$AK$2022,0),5),"")</f>
        <v/>
      </c>
    </row>
    <row r="1493" spans="1:3">
      <c r="A1493" t="str">
        <f>IFERROR(INDEX(装备库!$A$2:$E$2022,MATCH(ROW()-1,装备库!$AK$2:$AK$2022,0),COLUMN()),"")</f>
        <v/>
      </c>
      <c r="B1493" t="str">
        <f>IFERROR(INDEX(装备库!$A$2:$E$2022,MATCH(ROW()-1,装备库!$AK$2:$AK$2022,0),COLUMN()),"")</f>
        <v/>
      </c>
      <c r="C1493" t="str">
        <f>IFERROR(INDEX(装备库!$A$2:$E$2022,MATCH(ROW()-1,装备库!$AK$2:$AK$2022,0),5),"")</f>
        <v/>
      </c>
    </row>
    <row r="1494" spans="1:3">
      <c r="A1494" t="str">
        <f>IFERROR(INDEX(装备库!$A$2:$E$2022,MATCH(ROW()-1,装备库!$AK$2:$AK$2022,0),COLUMN()),"")</f>
        <v/>
      </c>
      <c r="B1494" t="str">
        <f>IFERROR(INDEX(装备库!$A$2:$E$2022,MATCH(ROW()-1,装备库!$AK$2:$AK$2022,0),COLUMN()),"")</f>
        <v/>
      </c>
      <c r="C1494" t="str">
        <f>IFERROR(INDEX(装备库!$A$2:$E$2022,MATCH(ROW()-1,装备库!$AK$2:$AK$2022,0),5),"")</f>
        <v/>
      </c>
    </row>
    <row r="1495" spans="1:3">
      <c r="A1495" t="str">
        <f>IFERROR(INDEX(装备库!$A$2:$E$2022,MATCH(ROW()-1,装备库!$AK$2:$AK$2022,0),COLUMN()),"")</f>
        <v/>
      </c>
      <c r="B1495" t="str">
        <f>IFERROR(INDEX(装备库!$A$2:$E$2022,MATCH(ROW()-1,装备库!$AK$2:$AK$2022,0),COLUMN()),"")</f>
        <v/>
      </c>
      <c r="C1495" t="str">
        <f>IFERROR(INDEX(装备库!$A$2:$E$2022,MATCH(ROW()-1,装备库!$AK$2:$AK$2022,0),5),"")</f>
        <v/>
      </c>
    </row>
    <row r="1496" spans="1:3">
      <c r="A1496" t="str">
        <f>IFERROR(INDEX(装备库!$A$2:$E$2022,MATCH(ROW()-1,装备库!$AK$2:$AK$2022,0),COLUMN()),"")</f>
        <v/>
      </c>
      <c r="B1496" t="str">
        <f>IFERROR(INDEX(装备库!$A$2:$E$2022,MATCH(ROW()-1,装备库!$AK$2:$AK$2022,0),COLUMN()),"")</f>
        <v/>
      </c>
      <c r="C1496" t="str">
        <f>IFERROR(INDEX(装备库!$A$2:$E$2022,MATCH(ROW()-1,装备库!$AK$2:$AK$2022,0),5),"")</f>
        <v/>
      </c>
    </row>
    <row r="1497" spans="1:3">
      <c r="A1497" t="str">
        <f>IFERROR(INDEX(装备库!$A$2:$E$2022,MATCH(ROW()-1,装备库!$AK$2:$AK$2022,0),COLUMN()),"")</f>
        <v/>
      </c>
      <c r="B1497" t="str">
        <f>IFERROR(INDEX(装备库!$A$2:$E$2022,MATCH(ROW()-1,装备库!$AK$2:$AK$2022,0),COLUMN()),"")</f>
        <v/>
      </c>
      <c r="C1497" t="str">
        <f>IFERROR(INDEX(装备库!$A$2:$E$2022,MATCH(ROW()-1,装备库!$AK$2:$AK$2022,0),5),"")</f>
        <v/>
      </c>
    </row>
    <row r="1498" spans="1:3">
      <c r="A1498" t="str">
        <f>IFERROR(INDEX(装备库!$A$2:$E$2022,MATCH(ROW()-1,装备库!$AK$2:$AK$2022,0),COLUMN()),"")</f>
        <v/>
      </c>
      <c r="B1498" t="str">
        <f>IFERROR(INDEX(装备库!$A$2:$E$2022,MATCH(ROW()-1,装备库!$AK$2:$AK$2022,0),COLUMN()),"")</f>
        <v/>
      </c>
      <c r="C1498" t="str">
        <f>IFERROR(INDEX(装备库!$A$2:$E$2022,MATCH(ROW()-1,装备库!$AK$2:$AK$2022,0),5),"")</f>
        <v/>
      </c>
    </row>
    <row r="1499" spans="1:3">
      <c r="A1499" t="str">
        <f>IFERROR(INDEX(装备库!$A$2:$E$2022,MATCH(ROW()-1,装备库!$AK$2:$AK$2022,0),COLUMN()),"")</f>
        <v/>
      </c>
      <c r="B1499" t="str">
        <f>IFERROR(INDEX(装备库!$A$2:$E$2022,MATCH(ROW()-1,装备库!$AK$2:$AK$2022,0),COLUMN()),"")</f>
        <v/>
      </c>
      <c r="C1499" t="str">
        <f>IFERROR(INDEX(装备库!$A$2:$E$2022,MATCH(ROW()-1,装备库!$AK$2:$AK$2022,0),5),"")</f>
        <v/>
      </c>
    </row>
    <row r="1500" spans="1:3">
      <c r="A1500" t="str">
        <f>IFERROR(INDEX(装备库!$A$2:$E$2022,MATCH(ROW()-1,装备库!$AK$2:$AK$2022,0),COLUMN()),"")</f>
        <v/>
      </c>
      <c r="B1500" t="str">
        <f>IFERROR(INDEX(装备库!$A$2:$E$2022,MATCH(ROW()-1,装备库!$AK$2:$AK$2022,0),COLUMN()),"")</f>
        <v/>
      </c>
      <c r="C1500" t="str">
        <f>IFERROR(INDEX(装备库!$A$2:$E$2022,MATCH(ROW()-1,装备库!$AK$2:$AK$2022,0),5),"")</f>
        <v/>
      </c>
    </row>
    <row r="1501" spans="1:3">
      <c r="A1501" t="str">
        <f>IFERROR(INDEX(装备库!$A$2:$E$2022,MATCH(ROW()-1,装备库!$AK$2:$AK$2022,0),COLUMN()),"")</f>
        <v/>
      </c>
      <c r="B1501" t="str">
        <f>IFERROR(INDEX(装备库!$A$2:$E$2022,MATCH(ROW()-1,装备库!$AK$2:$AK$2022,0),COLUMN()),"")</f>
        <v/>
      </c>
      <c r="C1501" t="str">
        <f>IFERROR(INDEX(装备库!$A$2:$E$2022,MATCH(ROW()-1,装备库!$AK$2:$AK$2022,0),5),"")</f>
        <v/>
      </c>
    </row>
    <row r="1502" spans="1:3">
      <c r="A1502" t="str">
        <f>IFERROR(INDEX(装备库!$A$2:$E$2022,MATCH(ROW()-1,装备库!$AK$2:$AK$2022,0),COLUMN()),"")</f>
        <v/>
      </c>
      <c r="B1502" t="str">
        <f>IFERROR(INDEX(装备库!$A$2:$E$2022,MATCH(ROW()-1,装备库!$AK$2:$AK$2022,0),COLUMN()),"")</f>
        <v/>
      </c>
      <c r="C1502" t="str">
        <f>IFERROR(INDEX(装备库!$A$2:$E$2022,MATCH(ROW()-1,装备库!$AK$2:$AK$2022,0),5),"")</f>
        <v/>
      </c>
    </row>
    <row r="1503" spans="1:3">
      <c r="A1503" t="str">
        <f>IFERROR(INDEX(装备库!$A$2:$E$2022,MATCH(ROW()-1,装备库!$AK$2:$AK$2022,0),COLUMN()),"")</f>
        <v/>
      </c>
      <c r="B1503" t="str">
        <f>IFERROR(INDEX(装备库!$A$2:$E$2022,MATCH(ROW()-1,装备库!$AK$2:$AK$2022,0),COLUMN()),"")</f>
        <v/>
      </c>
      <c r="C1503" t="str">
        <f>IFERROR(INDEX(装备库!$A$2:$E$2022,MATCH(ROW()-1,装备库!$AK$2:$AK$2022,0),5),"")</f>
        <v/>
      </c>
    </row>
    <row r="1504" spans="1:3">
      <c r="A1504" t="str">
        <f>IFERROR(INDEX(装备库!$A$2:$E$2022,MATCH(ROW()-1,装备库!$AK$2:$AK$2022,0),COLUMN()),"")</f>
        <v/>
      </c>
      <c r="B1504" t="str">
        <f>IFERROR(INDEX(装备库!$A$2:$E$2022,MATCH(ROW()-1,装备库!$AK$2:$AK$2022,0),COLUMN()),"")</f>
        <v/>
      </c>
      <c r="C1504" t="str">
        <f>IFERROR(INDEX(装备库!$A$2:$E$2022,MATCH(ROW()-1,装备库!$AK$2:$AK$2022,0),5),"")</f>
        <v/>
      </c>
    </row>
    <row r="1505" spans="1:3">
      <c r="A1505" t="str">
        <f>IFERROR(INDEX(装备库!$A$2:$E$2022,MATCH(ROW()-1,装备库!$AK$2:$AK$2022,0),COLUMN()),"")</f>
        <v/>
      </c>
      <c r="B1505" t="str">
        <f>IFERROR(INDEX(装备库!$A$2:$E$2022,MATCH(ROW()-1,装备库!$AK$2:$AK$2022,0),COLUMN()),"")</f>
        <v/>
      </c>
      <c r="C1505" t="str">
        <f>IFERROR(INDEX(装备库!$A$2:$E$2022,MATCH(ROW()-1,装备库!$AK$2:$AK$2022,0),5),"")</f>
        <v/>
      </c>
    </row>
    <row r="1506" spans="1:3">
      <c r="A1506" t="str">
        <f>IFERROR(INDEX(装备库!$A$2:$E$2022,MATCH(ROW()-1,装备库!$AK$2:$AK$2022,0),COLUMN()),"")</f>
        <v/>
      </c>
      <c r="B1506" t="str">
        <f>IFERROR(INDEX(装备库!$A$2:$E$2022,MATCH(ROW()-1,装备库!$AK$2:$AK$2022,0),COLUMN()),"")</f>
        <v/>
      </c>
      <c r="C1506" t="str">
        <f>IFERROR(INDEX(装备库!$A$2:$E$2022,MATCH(ROW()-1,装备库!$AK$2:$AK$2022,0),5),"")</f>
        <v/>
      </c>
    </row>
    <row r="1507" spans="1:3">
      <c r="A1507" t="str">
        <f>IFERROR(INDEX(装备库!$A$2:$E$2022,MATCH(ROW()-1,装备库!$AK$2:$AK$2022,0),COLUMN()),"")</f>
        <v/>
      </c>
      <c r="B1507" t="str">
        <f>IFERROR(INDEX(装备库!$A$2:$E$2022,MATCH(ROW()-1,装备库!$AK$2:$AK$2022,0),COLUMN()),"")</f>
        <v/>
      </c>
      <c r="C1507" t="str">
        <f>IFERROR(INDEX(装备库!$A$2:$E$2022,MATCH(ROW()-1,装备库!$AK$2:$AK$2022,0),5),"")</f>
        <v/>
      </c>
    </row>
    <row r="1508" spans="1:3">
      <c r="A1508" t="str">
        <f>IFERROR(INDEX(装备库!$A$2:$E$2022,MATCH(ROW()-1,装备库!$AK$2:$AK$2022,0),COLUMN()),"")</f>
        <v/>
      </c>
      <c r="B1508" t="str">
        <f>IFERROR(INDEX(装备库!$A$2:$E$2022,MATCH(ROW()-1,装备库!$AK$2:$AK$2022,0),COLUMN()),"")</f>
        <v/>
      </c>
      <c r="C1508" t="str">
        <f>IFERROR(INDEX(装备库!$A$2:$E$2022,MATCH(ROW()-1,装备库!$AK$2:$AK$2022,0),5),"")</f>
        <v/>
      </c>
    </row>
    <row r="1509" spans="1:3">
      <c r="A1509" t="str">
        <f>IFERROR(INDEX(装备库!$A$2:$E$2022,MATCH(ROW()-1,装备库!$AK$2:$AK$2022,0),COLUMN()),"")</f>
        <v/>
      </c>
      <c r="B1509" t="str">
        <f>IFERROR(INDEX(装备库!$A$2:$E$2022,MATCH(ROW()-1,装备库!$AK$2:$AK$2022,0),COLUMN()),"")</f>
        <v/>
      </c>
      <c r="C1509" t="str">
        <f>IFERROR(INDEX(装备库!$A$2:$E$2022,MATCH(ROW()-1,装备库!$AK$2:$AK$2022,0),5),"")</f>
        <v/>
      </c>
    </row>
    <row r="1510" spans="1:3">
      <c r="A1510" t="str">
        <f>IFERROR(INDEX(装备库!$A$2:$E$2022,MATCH(ROW()-1,装备库!$AK$2:$AK$2022,0),COLUMN()),"")</f>
        <v/>
      </c>
      <c r="B1510" t="str">
        <f>IFERROR(INDEX(装备库!$A$2:$E$2022,MATCH(ROW()-1,装备库!$AK$2:$AK$2022,0),COLUMN()),"")</f>
        <v/>
      </c>
      <c r="C1510" t="str">
        <f>IFERROR(INDEX(装备库!$A$2:$E$2022,MATCH(ROW()-1,装备库!$AK$2:$AK$2022,0),5),"")</f>
        <v/>
      </c>
    </row>
    <row r="1511" spans="1:3">
      <c r="A1511" t="str">
        <f>IFERROR(INDEX(装备库!$A$2:$E$2022,MATCH(ROW()-1,装备库!$AK$2:$AK$2022,0),COLUMN()),"")</f>
        <v/>
      </c>
      <c r="B1511" t="str">
        <f>IFERROR(INDEX(装备库!$A$2:$E$2022,MATCH(ROW()-1,装备库!$AK$2:$AK$2022,0),COLUMN()),"")</f>
        <v/>
      </c>
      <c r="C1511" t="str">
        <f>IFERROR(INDEX(装备库!$A$2:$E$2022,MATCH(ROW()-1,装备库!$AK$2:$AK$2022,0),5),"")</f>
        <v/>
      </c>
    </row>
    <row r="1512" spans="1:3">
      <c r="A1512" t="str">
        <f>IFERROR(INDEX(装备库!$A$2:$E$2022,MATCH(ROW()-1,装备库!$AK$2:$AK$2022,0),COLUMN()),"")</f>
        <v/>
      </c>
      <c r="B1512" t="str">
        <f>IFERROR(INDEX(装备库!$A$2:$E$2022,MATCH(ROW()-1,装备库!$AK$2:$AK$2022,0),COLUMN()),"")</f>
        <v/>
      </c>
      <c r="C1512" t="str">
        <f>IFERROR(INDEX(装备库!$A$2:$E$2022,MATCH(ROW()-1,装备库!$AK$2:$AK$2022,0),5),"")</f>
        <v/>
      </c>
    </row>
    <row r="1513" spans="1:3">
      <c r="A1513" t="str">
        <f>IFERROR(INDEX(装备库!$A$2:$E$2022,MATCH(ROW()-1,装备库!$AK$2:$AK$2022,0),COLUMN()),"")</f>
        <v/>
      </c>
      <c r="B1513" t="str">
        <f>IFERROR(INDEX(装备库!$A$2:$E$2022,MATCH(ROW()-1,装备库!$AK$2:$AK$2022,0),COLUMN()),"")</f>
        <v/>
      </c>
      <c r="C1513" t="str">
        <f>IFERROR(INDEX(装备库!$A$2:$E$2022,MATCH(ROW()-1,装备库!$AK$2:$AK$2022,0),5),"")</f>
        <v/>
      </c>
    </row>
    <row r="1514" spans="1:3">
      <c r="A1514" t="str">
        <f>IFERROR(INDEX(装备库!$A$2:$E$2022,MATCH(ROW()-1,装备库!$AK$2:$AK$2022,0),COLUMN()),"")</f>
        <v/>
      </c>
      <c r="B1514" t="str">
        <f>IFERROR(INDEX(装备库!$A$2:$E$2022,MATCH(ROW()-1,装备库!$AK$2:$AK$2022,0),COLUMN()),"")</f>
        <v/>
      </c>
      <c r="C1514" t="str">
        <f>IFERROR(INDEX(装备库!$A$2:$E$2022,MATCH(ROW()-1,装备库!$AK$2:$AK$2022,0),5),"")</f>
        <v/>
      </c>
    </row>
    <row r="1515" spans="1:3">
      <c r="A1515" t="str">
        <f>IFERROR(INDEX(装备库!$A$2:$E$2022,MATCH(ROW()-1,装备库!$AK$2:$AK$2022,0),COLUMN()),"")</f>
        <v/>
      </c>
      <c r="B1515" t="str">
        <f>IFERROR(INDEX(装备库!$A$2:$E$2022,MATCH(ROW()-1,装备库!$AK$2:$AK$2022,0),COLUMN()),"")</f>
        <v/>
      </c>
      <c r="C1515" t="str">
        <f>IFERROR(INDEX(装备库!$A$2:$E$2022,MATCH(ROW()-1,装备库!$AK$2:$AK$2022,0),5),"")</f>
        <v/>
      </c>
    </row>
    <row r="1516" spans="1:3">
      <c r="A1516" t="str">
        <f>IFERROR(INDEX(装备库!$A$2:$E$2022,MATCH(ROW()-1,装备库!$AK$2:$AK$2022,0),COLUMN()),"")</f>
        <v/>
      </c>
      <c r="B1516" t="str">
        <f>IFERROR(INDEX(装备库!$A$2:$E$2022,MATCH(ROW()-1,装备库!$AK$2:$AK$2022,0),COLUMN()),"")</f>
        <v/>
      </c>
      <c r="C1516" t="str">
        <f>IFERROR(INDEX(装备库!$A$2:$E$2022,MATCH(ROW()-1,装备库!$AK$2:$AK$2022,0),5),"")</f>
        <v/>
      </c>
    </row>
    <row r="1517" spans="1:3">
      <c r="A1517" t="str">
        <f>IFERROR(INDEX(装备库!$A$2:$E$2022,MATCH(ROW()-1,装备库!$AK$2:$AK$2022,0),COLUMN()),"")</f>
        <v/>
      </c>
      <c r="B1517" t="str">
        <f>IFERROR(INDEX(装备库!$A$2:$E$2022,MATCH(ROW()-1,装备库!$AK$2:$AK$2022,0),COLUMN()),"")</f>
        <v/>
      </c>
      <c r="C1517" t="str">
        <f>IFERROR(INDEX(装备库!$A$2:$E$2022,MATCH(ROW()-1,装备库!$AK$2:$AK$2022,0),5),"")</f>
        <v/>
      </c>
    </row>
    <row r="1518" spans="1:3">
      <c r="A1518" t="str">
        <f>IFERROR(INDEX(装备库!$A$2:$E$2022,MATCH(ROW()-1,装备库!$AK$2:$AK$2022,0),COLUMN()),"")</f>
        <v/>
      </c>
      <c r="B1518" t="str">
        <f>IFERROR(INDEX(装备库!$A$2:$E$2022,MATCH(ROW()-1,装备库!$AK$2:$AK$2022,0),COLUMN()),"")</f>
        <v/>
      </c>
      <c r="C1518" t="str">
        <f>IFERROR(INDEX(装备库!$A$2:$E$2022,MATCH(ROW()-1,装备库!$AK$2:$AK$2022,0),5),"")</f>
        <v/>
      </c>
    </row>
    <row r="1519" spans="1:3">
      <c r="A1519" t="str">
        <f>IFERROR(INDEX(装备库!$A$2:$E$2022,MATCH(ROW()-1,装备库!$AK$2:$AK$2022,0),COLUMN()),"")</f>
        <v/>
      </c>
      <c r="B1519" t="str">
        <f>IFERROR(INDEX(装备库!$A$2:$E$2022,MATCH(ROW()-1,装备库!$AK$2:$AK$2022,0),COLUMN()),"")</f>
        <v/>
      </c>
      <c r="C1519" t="str">
        <f>IFERROR(INDEX(装备库!$A$2:$E$2022,MATCH(ROW()-1,装备库!$AK$2:$AK$2022,0),5),"")</f>
        <v/>
      </c>
    </row>
    <row r="1520" spans="1:3">
      <c r="A1520" t="str">
        <f>IFERROR(INDEX(装备库!$A$2:$E$2022,MATCH(ROW()-1,装备库!$AK$2:$AK$2022,0),COLUMN()),"")</f>
        <v/>
      </c>
      <c r="B1520" t="str">
        <f>IFERROR(INDEX(装备库!$A$2:$E$2022,MATCH(ROW()-1,装备库!$AK$2:$AK$2022,0),COLUMN()),"")</f>
        <v/>
      </c>
      <c r="C1520" t="str">
        <f>IFERROR(INDEX(装备库!$A$2:$E$2022,MATCH(ROW()-1,装备库!$AK$2:$AK$2022,0),5),"")</f>
        <v/>
      </c>
    </row>
    <row r="1521" spans="1:3">
      <c r="A1521" t="str">
        <f>IFERROR(INDEX(装备库!$A$2:$E$2022,MATCH(ROW()-1,装备库!$AK$2:$AK$2022,0),COLUMN()),"")</f>
        <v/>
      </c>
      <c r="B1521" t="str">
        <f>IFERROR(INDEX(装备库!$A$2:$E$2022,MATCH(ROW()-1,装备库!$AK$2:$AK$2022,0),COLUMN()),"")</f>
        <v/>
      </c>
      <c r="C1521" t="str">
        <f>IFERROR(INDEX(装备库!$A$2:$E$2022,MATCH(ROW()-1,装备库!$AK$2:$AK$2022,0),5),"")</f>
        <v/>
      </c>
    </row>
    <row r="1522" spans="1:3">
      <c r="A1522" t="str">
        <f>IFERROR(INDEX(装备库!$A$2:$E$2022,MATCH(ROW()-1,装备库!$AK$2:$AK$2022,0),COLUMN()),"")</f>
        <v/>
      </c>
      <c r="B1522" t="str">
        <f>IFERROR(INDEX(装备库!$A$2:$E$2022,MATCH(ROW()-1,装备库!$AK$2:$AK$2022,0),COLUMN()),"")</f>
        <v/>
      </c>
      <c r="C1522" t="str">
        <f>IFERROR(INDEX(装备库!$A$2:$E$2022,MATCH(ROW()-1,装备库!$AK$2:$AK$2022,0),5),"")</f>
        <v/>
      </c>
    </row>
    <row r="1523" spans="1:3">
      <c r="A1523" t="str">
        <f>IFERROR(INDEX(装备库!$A$2:$E$2022,MATCH(ROW()-1,装备库!$AK$2:$AK$2022,0),COLUMN()),"")</f>
        <v/>
      </c>
      <c r="B1523" t="str">
        <f>IFERROR(INDEX(装备库!$A$2:$E$2022,MATCH(ROW()-1,装备库!$AK$2:$AK$2022,0),COLUMN()),"")</f>
        <v/>
      </c>
      <c r="C1523" t="str">
        <f>IFERROR(INDEX(装备库!$A$2:$E$2022,MATCH(ROW()-1,装备库!$AK$2:$AK$2022,0),5),"")</f>
        <v/>
      </c>
    </row>
    <row r="1524" spans="1:3">
      <c r="A1524" t="str">
        <f>IFERROR(INDEX(装备库!$A$2:$E$2022,MATCH(ROW()-1,装备库!$AK$2:$AK$2022,0),COLUMN()),"")</f>
        <v/>
      </c>
      <c r="B1524" t="str">
        <f>IFERROR(INDEX(装备库!$A$2:$E$2022,MATCH(ROW()-1,装备库!$AK$2:$AK$2022,0),COLUMN()),"")</f>
        <v/>
      </c>
      <c r="C1524" t="str">
        <f>IFERROR(INDEX(装备库!$A$2:$E$2022,MATCH(ROW()-1,装备库!$AK$2:$AK$2022,0),5),"")</f>
        <v/>
      </c>
    </row>
    <row r="1525" spans="1:3">
      <c r="A1525" t="str">
        <f>IFERROR(INDEX(装备库!$A$2:$E$2022,MATCH(ROW()-1,装备库!$AK$2:$AK$2022,0),COLUMN()),"")</f>
        <v/>
      </c>
      <c r="B1525" t="str">
        <f>IFERROR(INDEX(装备库!$A$2:$E$2022,MATCH(ROW()-1,装备库!$AK$2:$AK$2022,0),COLUMN()),"")</f>
        <v/>
      </c>
      <c r="C1525" t="str">
        <f>IFERROR(INDEX(装备库!$A$2:$E$2022,MATCH(ROW()-1,装备库!$AK$2:$AK$2022,0),5),"")</f>
        <v/>
      </c>
    </row>
    <row r="1526" spans="1:3">
      <c r="A1526" t="str">
        <f>IFERROR(INDEX(装备库!$A$2:$E$2022,MATCH(ROW()-1,装备库!$AK$2:$AK$2022,0),COLUMN()),"")</f>
        <v/>
      </c>
      <c r="B1526" t="str">
        <f>IFERROR(INDEX(装备库!$A$2:$E$2022,MATCH(ROW()-1,装备库!$AK$2:$AK$2022,0),COLUMN()),"")</f>
        <v/>
      </c>
      <c r="C1526" t="str">
        <f>IFERROR(INDEX(装备库!$A$2:$E$2022,MATCH(ROW()-1,装备库!$AK$2:$AK$2022,0),5),"")</f>
        <v/>
      </c>
    </row>
    <row r="1527" spans="1:3">
      <c r="A1527" t="str">
        <f>IFERROR(INDEX(装备库!$A$2:$E$2022,MATCH(ROW()-1,装备库!$AK$2:$AK$2022,0),COLUMN()),"")</f>
        <v/>
      </c>
      <c r="B1527" t="str">
        <f>IFERROR(INDEX(装备库!$A$2:$E$2022,MATCH(ROW()-1,装备库!$AK$2:$AK$2022,0),COLUMN()),"")</f>
        <v/>
      </c>
      <c r="C1527" t="str">
        <f>IFERROR(INDEX(装备库!$A$2:$E$2022,MATCH(ROW()-1,装备库!$AK$2:$AK$2022,0),5),"")</f>
        <v/>
      </c>
    </row>
    <row r="1528" spans="1:3">
      <c r="A1528" t="str">
        <f>IFERROR(INDEX(装备库!$A$2:$E$2022,MATCH(ROW()-1,装备库!$AK$2:$AK$2022,0),COLUMN()),"")</f>
        <v/>
      </c>
      <c r="B1528" t="str">
        <f>IFERROR(INDEX(装备库!$A$2:$E$2022,MATCH(ROW()-1,装备库!$AK$2:$AK$2022,0),COLUMN()),"")</f>
        <v/>
      </c>
      <c r="C1528" t="str">
        <f>IFERROR(INDEX(装备库!$A$2:$E$2022,MATCH(ROW()-1,装备库!$AK$2:$AK$2022,0),5),"")</f>
        <v/>
      </c>
    </row>
    <row r="1529" spans="1:3">
      <c r="A1529" t="str">
        <f>IFERROR(INDEX(装备库!$A$2:$E$2022,MATCH(ROW()-1,装备库!$AK$2:$AK$2022,0),COLUMN()),"")</f>
        <v/>
      </c>
      <c r="B1529" t="str">
        <f>IFERROR(INDEX(装备库!$A$2:$E$2022,MATCH(ROW()-1,装备库!$AK$2:$AK$2022,0),COLUMN()),"")</f>
        <v/>
      </c>
      <c r="C1529" t="str">
        <f>IFERROR(INDEX(装备库!$A$2:$E$2022,MATCH(ROW()-1,装备库!$AK$2:$AK$2022,0),5),"")</f>
        <v/>
      </c>
    </row>
    <row r="1530" spans="1:3">
      <c r="A1530" t="str">
        <f>IFERROR(INDEX(装备库!$A$2:$E$2022,MATCH(ROW()-1,装备库!$AK$2:$AK$2022,0),COLUMN()),"")</f>
        <v/>
      </c>
      <c r="B1530" t="str">
        <f>IFERROR(INDEX(装备库!$A$2:$E$2022,MATCH(ROW()-1,装备库!$AK$2:$AK$2022,0),COLUMN()),"")</f>
        <v/>
      </c>
      <c r="C1530" t="str">
        <f>IFERROR(INDEX(装备库!$A$2:$E$2022,MATCH(ROW()-1,装备库!$AK$2:$AK$2022,0),5),"")</f>
        <v/>
      </c>
    </row>
    <row r="1531" spans="1:3">
      <c r="A1531" t="str">
        <f>IFERROR(INDEX(装备库!$A$2:$E$2022,MATCH(ROW()-1,装备库!$AK$2:$AK$2022,0),COLUMN()),"")</f>
        <v/>
      </c>
      <c r="B1531" t="str">
        <f>IFERROR(INDEX(装备库!$A$2:$E$2022,MATCH(ROW()-1,装备库!$AK$2:$AK$2022,0),COLUMN()),"")</f>
        <v/>
      </c>
      <c r="C1531" t="str">
        <f>IFERROR(INDEX(装备库!$A$2:$E$2022,MATCH(ROW()-1,装备库!$AK$2:$AK$2022,0),5),"")</f>
        <v/>
      </c>
    </row>
    <row r="1532" spans="1:3">
      <c r="A1532" t="str">
        <f>IFERROR(INDEX(装备库!$A$2:$E$2022,MATCH(ROW()-1,装备库!$AK$2:$AK$2022,0),COLUMN()),"")</f>
        <v/>
      </c>
      <c r="B1532" t="str">
        <f>IFERROR(INDEX(装备库!$A$2:$E$2022,MATCH(ROW()-1,装备库!$AK$2:$AK$2022,0),COLUMN()),"")</f>
        <v/>
      </c>
      <c r="C1532" t="str">
        <f>IFERROR(INDEX(装备库!$A$2:$E$2022,MATCH(ROW()-1,装备库!$AK$2:$AK$2022,0),5),"")</f>
        <v/>
      </c>
    </row>
    <row r="1533" spans="1:3">
      <c r="A1533" t="str">
        <f>IFERROR(INDEX(装备库!$A$2:$E$2022,MATCH(ROW()-1,装备库!$AK$2:$AK$2022,0),COLUMN()),"")</f>
        <v/>
      </c>
      <c r="B1533" t="str">
        <f>IFERROR(INDEX(装备库!$A$2:$E$2022,MATCH(ROW()-1,装备库!$AK$2:$AK$2022,0),COLUMN()),"")</f>
        <v/>
      </c>
      <c r="C1533" t="str">
        <f>IFERROR(INDEX(装备库!$A$2:$E$2022,MATCH(ROW()-1,装备库!$AK$2:$AK$2022,0),5),"")</f>
        <v/>
      </c>
    </row>
    <row r="1534" spans="1:3">
      <c r="A1534" t="str">
        <f>IFERROR(INDEX(装备库!$A$2:$E$2022,MATCH(ROW()-1,装备库!$AK$2:$AK$2022,0),COLUMN()),"")</f>
        <v/>
      </c>
      <c r="B1534" t="str">
        <f>IFERROR(INDEX(装备库!$A$2:$E$2022,MATCH(ROW()-1,装备库!$AK$2:$AK$2022,0),COLUMN()),"")</f>
        <v/>
      </c>
      <c r="C1534" t="str">
        <f>IFERROR(INDEX(装备库!$A$2:$E$2022,MATCH(ROW()-1,装备库!$AK$2:$AK$2022,0),5),"")</f>
        <v/>
      </c>
    </row>
    <row r="1535" spans="1:3">
      <c r="A1535" t="str">
        <f>IFERROR(INDEX(装备库!$A$2:$E$2022,MATCH(ROW()-1,装备库!$AK$2:$AK$2022,0),COLUMN()),"")</f>
        <v/>
      </c>
      <c r="B1535" t="str">
        <f>IFERROR(INDEX(装备库!$A$2:$E$2022,MATCH(ROW()-1,装备库!$AK$2:$AK$2022,0),COLUMN()),"")</f>
        <v/>
      </c>
      <c r="C1535" t="str">
        <f>IFERROR(INDEX(装备库!$A$2:$E$2022,MATCH(ROW()-1,装备库!$AK$2:$AK$2022,0),5),"")</f>
        <v/>
      </c>
    </row>
    <row r="1536" spans="1:3">
      <c r="A1536" t="str">
        <f>IFERROR(INDEX(装备库!$A$2:$E$2022,MATCH(ROW()-1,装备库!$AK$2:$AK$2022,0),COLUMN()),"")</f>
        <v/>
      </c>
      <c r="B1536" t="str">
        <f>IFERROR(INDEX(装备库!$A$2:$E$2022,MATCH(ROW()-1,装备库!$AK$2:$AK$2022,0),COLUMN()),"")</f>
        <v/>
      </c>
      <c r="C1536" t="str">
        <f>IFERROR(INDEX(装备库!$A$2:$E$2022,MATCH(ROW()-1,装备库!$AK$2:$AK$2022,0),5),"")</f>
        <v/>
      </c>
    </row>
    <row r="1537" spans="1:3">
      <c r="A1537" t="str">
        <f>IFERROR(INDEX(装备库!$A$2:$E$2022,MATCH(ROW()-1,装备库!$AK$2:$AK$2022,0),COLUMN()),"")</f>
        <v/>
      </c>
      <c r="B1537" t="str">
        <f>IFERROR(INDEX(装备库!$A$2:$E$2022,MATCH(ROW()-1,装备库!$AK$2:$AK$2022,0),COLUMN()),"")</f>
        <v/>
      </c>
      <c r="C1537" t="str">
        <f>IFERROR(INDEX(装备库!$A$2:$E$2022,MATCH(ROW()-1,装备库!$AK$2:$AK$2022,0),5),"")</f>
        <v/>
      </c>
    </row>
    <row r="1538" spans="1:3">
      <c r="A1538" t="str">
        <f>IFERROR(INDEX(装备库!$A$2:$E$2022,MATCH(ROW()-1,装备库!$AK$2:$AK$2022,0),COLUMN()),"")</f>
        <v/>
      </c>
      <c r="B1538" t="str">
        <f>IFERROR(INDEX(装备库!$A$2:$E$2022,MATCH(ROW()-1,装备库!$AK$2:$AK$2022,0),COLUMN()),"")</f>
        <v/>
      </c>
      <c r="C1538" t="str">
        <f>IFERROR(INDEX(装备库!$A$2:$E$2022,MATCH(ROW()-1,装备库!$AK$2:$AK$2022,0),5),"")</f>
        <v/>
      </c>
    </row>
    <row r="1539" spans="1:3">
      <c r="A1539" t="str">
        <f>IFERROR(INDEX(装备库!$A$2:$E$2022,MATCH(ROW()-1,装备库!$AK$2:$AK$2022,0),COLUMN()),"")</f>
        <v/>
      </c>
      <c r="B1539" t="str">
        <f>IFERROR(INDEX(装备库!$A$2:$E$2022,MATCH(ROW()-1,装备库!$AK$2:$AK$2022,0),COLUMN()),"")</f>
        <v/>
      </c>
      <c r="C1539" t="str">
        <f>IFERROR(INDEX(装备库!$A$2:$E$2022,MATCH(ROW()-1,装备库!$AK$2:$AK$2022,0),5),"")</f>
        <v/>
      </c>
    </row>
    <row r="1540" spans="1:3">
      <c r="A1540" t="str">
        <f>IFERROR(INDEX(装备库!$A$2:$E$2022,MATCH(ROW()-1,装备库!$AK$2:$AK$2022,0),COLUMN()),"")</f>
        <v/>
      </c>
      <c r="B1540" t="str">
        <f>IFERROR(INDEX(装备库!$A$2:$E$2022,MATCH(ROW()-1,装备库!$AK$2:$AK$2022,0),COLUMN()),"")</f>
        <v/>
      </c>
      <c r="C1540" t="str">
        <f>IFERROR(INDEX(装备库!$A$2:$E$2022,MATCH(ROW()-1,装备库!$AK$2:$AK$2022,0),5),"")</f>
        <v/>
      </c>
    </row>
    <row r="1541" spans="1:3">
      <c r="A1541" t="str">
        <f>IFERROR(INDEX(装备库!$A$2:$E$2022,MATCH(ROW()-1,装备库!$AK$2:$AK$2022,0),COLUMN()),"")</f>
        <v/>
      </c>
      <c r="B1541" t="str">
        <f>IFERROR(INDEX(装备库!$A$2:$E$2022,MATCH(ROW()-1,装备库!$AK$2:$AK$2022,0),COLUMN()),"")</f>
        <v/>
      </c>
      <c r="C1541" t="str">
        <f>IFERROR(INDEX(装备库!$A$2:$E$2022,MATCH(ROW()-1,装备库!$AK$2:$AK$2022,0),5),"")</f>
        <v/>
      </c>
    </row>
    <row r="1542" spans="1:3">
      <c r="A1542" t="str">
        <f>IFERROR(INDEX(装备库!$A$2:$E$2022,MATCH(ROW()-1,装备库!$AK$2:$AK$2022,0),COLUMN()),"")</f>
        <v/>
      </c>
      <c r="B1542" t="str">
        <f>IFERROR(INDEX(装备库!$A$2:$E$2022,MATCH(ROW()-1,装备库!$AK$2:$AK$2022,0),COLUMN()),"")</f>
        <v/>
      </c>
      <c r="C1542" t="str">
        <f>IFERROR(INDEX(装备库!$A$2:$E$2022,MATCH(ROW()-1,装备库!$AK$2:$AK$2022,0),5),"")</f>
        <v/>
      </c>
    </row>
    <row r="1543" spans="1:3">
      <c r="A1543" t="str">
        <f>IFERROR(INDEX(装备库!$A$2:$E$2022,MATCH(ROW()-1,装备库!$AK$2:$AK$2022,0),COLUMN()),"")</f>
        <v/>
      </c>
      <c r="B1543" t="str">
        <f>IFERROR(INDEX(装备库!$A$2:$E$2022,MATCH(ROW()-1,装备库!$AK$2:$AK$2022,0),COLUMN()),"")</f>
        <v/>
      </c>
      <c r="C1543" t="str">
        <f>IFERROR(INDEX(装备库!$A$2:$E$2022,MATCH(ROW()-1,装备库!$AK$2:$AK$2022,0),5),"")</f>
        <v/>
      </c>
    </row>
    <row r="1544" spans="1:3">
      <c r="A1544" t="str">
        <f>IFERROR(INDEX(装备库!$A$2:$E$2022,MATCH(ROW()-1,装备库!$AK$2:$AK$2022,0),COLUMN()),"")</f>
        <v/>
      </c>
      <c r="B1544" t="str">
        <f>IFERROR(INDEX(装备库!$A$2:$E$2022,MATCH(ROW()-1,装备库!$AK$2:$AK$2022,0),COLUMN()),"")</f>
        <v/>
      </c>
      <c r="C1544" t="str">
        <f>IFERROR(INDEX(装备库!$A$2:$E$2022,MATCH(ROW()-1,装备库!$AK$2:$AK$2022,0),5),"")</f>
        <v/>
      </c>
    </row>
    <row r="1545" spans="1:3">
      <c r="A1545" t="str">
        <f>IFERROR(INDEX(装备库!$A$2:$E$2022,MATCH(ROW()-1,装备库!$AK$2:$AK$2022,0),COLUMN()),"")</f>
        <v/>
      </c>
      <c r="B1545" t="str">
        <f>IFERROR(INDEX(装备库!$A$2:$E$2022,MATCH(ROW()-1,装备库!$AK$2:$AK$2022,0),COLUMN()),"")</f>
        <v/>
      </c>
      <c r="C1545" t="str">
        <f>IFERROR(INDEX(装备库!$A$2:$E$2022,MATCH(ROW()-1,装备库!$AK$2:$AK$2022,0),5),"")</f>
        <v/>
      </c>
    </row>
    <row r="1546" spans="1:3">
      <c r="A1546" t="str">
        <f>IFERROR(INDEX(装备库!$A$2:$E$2022,MATCH(ROW()-1,装备库!$AK$2:$AK$2022,0),COLUMN()),"")</f>
        <v/>
      </c>
      <c r="B1546" t="str">
        <f>IFERROR(INDEX(装备库!$A$2:$E$2022,MATCH(ROW()-1,装备库!$AK$2:$AK$2022,0),COLUMN()),"")</f>
        <v/>
      </c>
      <c r="C1546" t="str">
        <f>IFERROR(INDEX(装备库!$A$2:$E$2022,MATCH(ROW()-1,装备库!$AK$2:$AK$2022,0),5),"")</f>
        <v/>
      </c>
    </row>
    <row r="1547" spans="1:3">
      <c r="A1547" t="str">
        <f>IFERROR(INDEX(装备库!$A$2:$E$2022,MATCH(ROW()-1,装备库!$AK$2:$AK$2022,0),COLUMN()),"")</f>
        <v/>
      </c>
      <c r="B1547" t="str">
        <f>IFERROR(INDEX(装备库!$A$2:$E$2022,MATCH(ROW()-1,装备库!$AK$2:$AK$2022,0),COLUMN()),"")</f>
        <v/>
      </c>
      <c r="C1547" t="str">
        <f>IFERROR(INDEX(装备库!$A$2:$E$2022,MATCH(ROW()-1,装备库!$AK$2:$AK$2022,0),5),"")</f>
        <v/>
      </c>
    </row>
    <row r="1548" spans="1:3">
      <c r="A1548" t="str">
        <f>IFERROR(INDEX(装备库!$A$2:$E$2022,MATCH(ROW()-1,装备库!$AK$2:$AK$2022,0),COLUMN()),"")</f>
        <v/>
      </c>
      <c r="B1548" t="str">
        <f>IFERROR(INDEX(装备库!$A$2:$E$2022,MATCH(ROW()-1,装备库!$AK$2:$AK$2022,0),COLUMN()),"")</f>
        <v/>
      </c>
      <c r="C1548" t="str">
        <f>IFERROR(INDEX(装备库!$A$2:$E$2022,MATCH(ROW()-1,装备库!$AK$2:$AK$2022,0),5),"")</f>
        <v/>
      </c>
    </row>
    <row r="1549" spans="1:3">
      <c r="A1549" t="str">
        <f>IFERROR(INDEX(装备库!$A$2:$E$2022,MATCH(ROW()-1,装备库!$AK$2:$AK$2022,0),COLUMN()),"")</f>
        <v/>
      </c>
      <c r="B1549" t="str">
        <f>IFERROR(INDEX(装备库!$A$2:$E$2022,MATCH(ROW()-1,装备库!$AK$2:$AK$2022,0),COLUMN()),"")</f>
        <v/>
      </c>
      <c r="C1549" t="str">
        <f>IFERROR(INDEX(装备库!$A$2:$E$2022,MATCH(ROW()-1,装备库!$AK$2:$AK$2022,0),5),"")</f>
        <v/>
      </c>
    </row>
    <row r="1550" spans="1:3">
      <c r="A1550" t="str">
        <f>IFERROR(INDEX(装备库!$A$2:$E$2022,MATCH(ROW()-1,装备库!$AK$2:$AK$2022,0),COLUMN()),"")</f>
        <v/>
      </c>
      <c r="B1550" t="str">
        <f>IFERROR(INDEX(装备库!$A$2:$E$2022,MATCH(ROW()-1,装备库!$AK$2:$AK$2022,0),COLUMN()),"")</f>
        <v/>
      </c>
      <c r="C1550" t="str">
        <f>IFERROR(INDEX(装备库!$A$2:$E$2022,MATCH(ROW()-1,装备库!$AK$2:$AK$2022,0),5),"")</f>
        <v/>
      </c>
    </row>
    <row r="1551" spans="1:3">
      <c r="A1551" t="str">
        <f>IFERROR(INDEX(装备库!$A$2:$E$2022,MATCH(ROW()-1,装备库!$AK$2:$AK$2022,0),COLUMN()),"")</f>
        <v/>
      </c>
      <c r="B1551" t="str">
        <f>IFERROR(INDEX(装备库!$A$2:$E$2022,MATCH(ROW()-1,装备库!$AK$2:$AK$2022,0),COLUMN()),"")</f>
        <v/>
      </c>
      <c r="C1551" t="str">
        <f>IFERROR(INDEX(装备库!$A$2:$E$2022,MATCH(ROW()-1,装备库!$AK$2:$AK$2022,0),5),"")</f>
        <v/>
      </c>
    </row>
    <row r="1552" spans="1:3">
      <c r="A1552" t="str">
        <f>IFERROR(INDEX(装备库!$A$2:$E$2022,MATCH(ROW()-1,装备库!$AK$2:$AK$2022,0),COLUMN()),"")</f>
        <v/>
      </c>
      <c r="B1552" t="str">
        <f>IFERROR(INDEX(装备库!$A$2:$E$2022,MATCH(ROW()-1,装备库!$AK$2:$AK$2022,0),COLUMN()),"")</f>
        <v/>
      </c>
      <c r="C1552" t="str">
        <f>IFERROR(INDEX(装备库!$A$2:$E$2022,MATCH(ROW()-1,装备库!$AK$2:$AK$2022,0),5),"")</f>
        <v/>
      </c>
    </row>
    <row r="1553" spans="1:3">
      <c r="A1553" t="str">
        <f>IFERROR(INDEX(装备库!$A$2:$E$2022,MATCH(ROW()-1,装备库!$AK$2:$AK$2022,0),COLUMN()),"")</f>
        <v/>
      </c>
      <c r="B1553" t="str">
        <f>IFERROR(INDEX(装备库!$A$2:$E$2022,MATCH(ROW()-1,装备库!$AK$2:$AK$2022,0),COLUMN()),"")</f>
        <v/>
      </c>
      <c r="C1553" t="str">
        <f>IFERROR(INDEX(装备库!$A$2:$E$2022,MATCH(ROW()-1,装备库!$AK$2:$AK$2022,0),5),"")</f>
        <v/>
      </c>
    </row>
    <row r="1554" spans="1:3">
      <c r="A1554" t="str">
        <f>IFERROR(INDEX(装备库!$A$2:$E$2022,MATCH(ROW()-1,装备库!$AK$2:$AK$2022,0),COLUMN()),"")</f>
        <v/>
      </c>
      <c r="B1554" t="str">
        <f>IFERROR(INDEX(装备库!$A$2:$E$2022,MATCH(ROW()-1,装备库!$AK$2:$AK$2022,0),COLUMN()),"")</f>
        <v/>
      </c>
      <c r="C1554" t="str">
        <f>IFERROR(INDEX(装备库!$A$2:$E$2022,MATCH(ROW()-1,装备库!$AK$2:$AK$2022,0),5),"")</f>
        <v/>
      </c>
    </row>
    <row r="1555" spans="1:3">
      <c r="A1555" t="str">
        <f>IFERROR(INDEX(装备库!$A$2:$E$2022,MATCH(ROW()-1,装备库!$AK$2:$AK$2022,0),COLUMN()),"")</f>
        <v/>
      </c>
      <c r="B1555" t="str">
        <f>IFERROR(INDEX(装备库!$A$2:$E$2022,MATCH(ROW()-1,装备库!$AK$2:$AK$2022,0),COLUMN()),"")</f>
        <v/>
      </c>
      <c r="C1555" t="str">
        <f>IFERROR(INDEX(装备库!$A$2:$E$2022,MATCH(ROW()-1,装备库!$AK$2:$AK$2022,0),5),"")</f>
        <v/>
      </c>
    </row>
    <row r="1556" spans="1:3">
      <c r="A1556" t="str">
        <f>IFERROR(INDEX(装备库!$A$2:$E$2022,MATCH(ROW()-1,装备库!$AK$2:$AK$2022,0),COLUMN()),"")</f>
        <v/>
      </c>
      <c r="B1556" t="str">
        <f>IFERROR(INDEX(装备库!$A$2:$E$2022,MATCH(ROW()-1,装备库!$AK$2:$AK$2022,0),COLUMN()),"")</f>
        <v/>
      </c>
      <c r="C1556" t="str">
        <f>IFERROR(INDEX(装备库!$A$2:$E$2022,MATCH(ROW()-1,装备库!$AK$2:$AK$2022,0),5),"")</f>
        <v/>
      </c>
    </row>
    <row r="1557" spans="1:3">
      <c r="A1557" t="str">
        <f>IFERROR(INDEX(装备库!$A$2:$E$2022,MATCH(ROW()-1,装备库!$AK$2:$AK$2022,0),COLUMN()),"")</f>
        <v/>
      </c>
      <c r="B1557" t="str">
        <f>IFERROR(INDEX(装备库!$A$2:$E$2022,MATCH(ROW()-1,装备库!$AK$2:$AK$2022,0),COLUMN()),"")</f>
        <v/>
      </c>
      <c r="C1557" t="str">
        <f>IFERROR(INDEX(装备库!$A$2:$E$2022,MATCH(ROW()-1,装备库!$AK$2:$AK$2022,0),5),"")</f>
        <v/>
      </c>
    </row>
    <row r="1558" spans="1:3">
      <c r="A1558" t="str">
        <f>IFERROR(INDEX(装备库!$A$2:$E$2022,MATCH(ROW()-1,装备库!$AK$2:$AK$2022,0),COLUMN()),"")</f>
        <v/>
      </c>
      <c r="B1558" t="str">
        <f>IFERROR(INDEX(装备库!$A$2:$E$2022,MATCH(ROW()-1,装备库!$AK$2:$AK$2022,0),COLUMN()),"")</f>
        <v/>
      </c>
      <c r="C1558" t="str">
        <f>IFERROR(INDEX(装备库!$A$2:$E$2022,MATCH(ROW()-1,装备库!$AK$2:$AK$2022,0),5),"")</f>
        <v/>
      </c>
    </row>
    <row r="1559" spans="1:3">
      <c r="A1559" t="str">
        <f>IFERROR(INDEX(装备库!$A$2:$E$2022,MATCH(ROW()-1,装备库!$AK$2:$AK$2022,0),COLUMN()),"")</f>
        <v/>
      </c>
      <c r="B1559" t="str">
        <f>IFERROR(INDEX(装备库!$A$2:$E$2022,MATCH(ROW()-1,装备库!$AK$2:$AK$2022,0),COLUMN()),"")</f>
        <v/>
      </c>
      <c r="C1559" t="str">
        <f>IFERROR(INDEX(装备库!$A$2:$E$2022,MATCH(ROW()-1,装备库!$AK$2:$AK$2022,0),5),"")</f>
        <v/>
      </c>
    </row>
    <row r="1560" spans="1:3">
      <c r="A1560" t="str">
        <f>IFERROR(INDEX(装备库!$A$2:$E$2022,MATCH(ROW()-1,装备库!$AK$2:$AK$2022,0),COLUMN()),"")</f>
        <v/>
      </c>
      <c r="B1560" t="str">
        <f>IFERROR(INDEX(装备库!$A$2:$E$2022,MATCH(ROW()-1,装备库!$AK$2:$AK$2022,0),COLUMN()),"")</f>
        <v/>
      </c>
      <c r="C1560" t="str">
        <f>IFERROR(INDEX(装备库!$A$2:$E$2022,MATCH(ROW()-1,装备库!$AK$2:$AK$2022,0),5),"")</f>
        <v/>
      </c>
    </row>
    <row r="1561" spans="1:3">
      <c r="A1561" t="str">
        <f>IFERROR(INDEX(装备库!$A$2:$E$2022,MATCH(ROW()-1,装备库!$AK$2:$AK$2022,0),COLUMN()),"")</f>
        <v/>
      </c>
      <c r="B1561" t="str">
        <f>IFERROR(INDEX(装备库!$A$2:$E$2022,MATCH(ROW()-1,装备库!$AK$2:$AK$2022,0),COLUMN()),"")</f>
        <v/>
      </c>
      <c r="C1561" t="str">
        <f>IFERROR(INDEX(装备库!$A$2:$E$2022,MATCH(ROW()-1,装备库!$AK$2:$AK$2022,0),5),"")</f>
        <v/>
      </c>
    </row>
    <row r="1562" spans="1:3">
      <c r="A1562" t="str">
        <f>IFERROR(INDEX(装备库!$A$2:$E$2022,MATCH(ROW()-1,装备库!$AK$2:$AK$2022,0),COLUMN()),"")</f>
        <v/>
      </c>
      <c r="B1562" t="str">
        <f>IFERROR(INDEX(装备库!$A$2:$E$2022,MATCH(ROW()-1,装备库!$AK$2:$AK$2022,0),COLUMN()),"")</f>
        <v/>
      </c>
      <c r="C1562" t="str">
        <f>IFERROR(INDEX(装备库!$A$2:$E$2022,MATCH(ROW()-1,装备库!$AK$2:$AK$2022,0),5),"")</f>
        <v/>
      </c>
    </row>
    <row r="1563" spans="1:3">
      <c r="A1563" t="str">
        <f>IFERROR(INDEX(装备库!$A$2:$E$2022,MATCH(ROW()-1,装备库!$AK$2:$AK$2022,0),COLUMN()),"")</f>
        <v/>
      </c>
      <c r="B1563" t="str">
        <f>IFERROR(INDEX(装备库!$A$2:$E$2022,MATCH(ROW()-1,装备库!$AK$2:$AK$2022,0),COLUMN()),"")</f>
        <v/>
      </c>
      <c r="C1563" t="str">
        <f>IFERROR(INDEX(装备库!$A$2:$E$2022,MATCH(ROW()-1,装备库!$AK$2:$AK$2022,0),5),"")</f>
        <v/>
      </c>
    </row>
    <row r="1564" spans="1:3">
      <c r="A1564" t="str">
        <f>IFERROR(INDEX(装备库!$A$2:$E$2022,MATCH(ROW()-1,装备库!$AK$2:$AK$2022,0),COLUMN()),"")</f>
        <v/>
      </c>
      <c r="B1564" t="str">
        <f>IFERROR(INDEX(装备库!$A$2:$E$2022,MATCH(ROW()-1,装备库!$AK$2:$AK$2022,0),COLUMN()),"")</f>
        <v/>
      </c>
      <c r="C1564" t="str">
        <f>IFERROR(INDEX(装备库!$A$2:$E$2022,MATCH(ROW()-1,装备库!$AK$2:$AK$2022,0),5),"")</f>
        <v/>
      </c>
    </row>
    <row r="1565" spans="1:3">
      <c r="A1565" t="str">
        <f>IFERROR(INDEX(装备库!$A$2:$E$2022,MATCH(ROW()-1,装备库!$AK$2:$AK$2022,0),COLUMN()),"")</f>
        <v/>
      </c>
      <c r="B1565" t="str">
        <f>IFERROR(INDEX(装备库!$A$2:$E$2022,MATCH(ROW()-1,装备库!$AK$2:$AK$2022,0),COLUMN()),"")</f>
        <v/>
      </c>
      <c r="C1565" t="str">
        <f>IFERROR(INDEX(装备库!$A$2:$E$2022,MATCH(ROW()-1,装备库!$AK$2:$AK$2022,0),5),"")</f>
        <v/>
      </c>
    </row>
    <row r="1566" spans="1:3">
      <c r="A1566" t="str">
        <f>IFERROR(INDEX(装备库!$A$2:$E$2022,MATCH(ROW()-1,装备库!$AK$2:$AK$2022,0),COLUMN()),"")</f>
        <v/>
      </c>
      <c r="B1566" t="str">
        <f>IFERROR(INDEX(装备库!$A$2:$E$2022,MATCH(ROW()-1,装备库!$AK$2:$AK$2022,0),COLUMN()),"")</f>
        <v/>
      </c>
      <c r="C1566" t="str">
        <f>IFERROR(INDEX(装备库!$A$2:$E$2022,MATCH(ROW()-1,装备库!$AK$2:$AK$2022,0),5),"")</f>
        <v/>
      </c>
    </row>
    <row r="1567" spans="1:3">
      <c r="A1567" t="str">
        <f>IFERROR(INDEX(装备库!$A$2:$E$2022,MATCH(ROW()-1,装备库!$AK$2:$AK$2022,0),COLUMN()),"")</f>
        <v/>
      </c>
      <c r="B1567" t="str">
        <f>IFERROR(INDEX(装备库!$A$2:$E$2022,MATCH(ROW()-1,装备库!$AK$2:$AK$2022,0),COLUMN()),"")</f>
        <v/>
      </c>
      <c r="C1567" t="str">
        <f>IFERROR(INDEX(装备库!$A$2:$E$2022,MATCH(ROW()-1,装备库!$AK$2:$AK$2022,0),5),"")</f>
        <v/>
      </c>
    </row>
    <row r="1568" spans="1:3">
      <c r="A1568" t="str">
        <f>IFERROR(INDEX(装备库!$A$2:$E$2022,MATCH(ROW()-1,装备库!$AK$2:$AK$2022,0),COLUMN()),"")</f>
        <v/>
      </c>
      <c r="B1568" t="str">
        <f>IFERROR(INDEX(装备库!$A$2:$E$2022,MATCH(ROW()-1,装备库!$AK$2:$AK$2022,0),COLUMN()),"")</f>
        <v/>
      </c>
      <c r="C1568" t="str">
        <f>IFERROR(INDEX(装备库!$A$2:$E$2022,MATCH(ROW()-1,装备库!$AK$2:$AK$2022,0),5),"")</f>
        <v/>
      </c>
    </row>
    <row r="1569" spans="1:3">
      <c r="A1569" t="str">
        <f>IFERROR(INDEX(装备库!$A$2:$E$2022,MATCH(ROW()-1,装备库!$AK$2:$AK$2022,0),COLUMN()),"")</f>
        <v/>
      </c>
      <c r="B1569" t="str">
        <f>IFERROR(INDEX(装备库!$A$2:$E$2022,MATCH(ROW()-1,装备库!$AK$2:$AK$2022,0),COLUMN()),"")</f>
        <v/>
      </c>
      <c r="C1569" t="str">
        <f>IFERROR(INDEX(装备库!$A$2:$E$2022,MATCH(ROW()-1,装备库!$AK$2:$AK$2022,0),5),"")</f>
        <v/>
      </c>
    </row>
    <row r="1570" spans="1:3">
      <c r="A1570" t="str">
        <f>IFERROR(INDEX(装备库!$A$2:$E$2022,MATCH(ROW()-1,装备库!$AK$2:$AK$2022,0),COLUMN()),"")</f>
        <v/>
      </c>
      <c r="B1570" t="str">
        <f>IFERROR(INDEX(装备库!$A$2:$E$2022,MATCH(ROW()-1,装备库!$AK$2:$AK$2022,0),COLUMN()),"")</f>
        <v/>
      </c>
      <c r="C1570" t="str">
        <f>IFERROR(INDEX(装备库!$A$2:$E$2022,MATCH(ROW()-1,装备库!$AK$2:$AK$2022,0),5),"")</f>
        <v/>
      </c>
    </row>
    <row r="1571" spans="1:3">
      <c r="A1571" t="str">
        <f>IFERROR(INDEX(装备库!$A$2:$E$2022,MATCH(ROW()-1,装备库!$AK$2:$AK$2022,0),COLUMN()),"")</f>
        <v/>
      </c>
      <c r="B1571" t="str">
        <f>IFERROR(INDEX(装备库!$A$2:$E$2022,MATCH(ROW()-1,装备库!$AK$2:$AK$2022,0),COLUMN()),"")</f>
        <v/>
      </c>
      <c r="C1571" t="str">
        <f>IFERROR(INDEX(装备库!$A$2:$E$2022,MATCH(ROW()-1,装备库!$AK$2:$AK$2022,0),5),"")</f>
        <v/>
      </c>
    </row>
    <row r="1572" spans="1:3">
      <c r="A1572" t="str">
        <f>IFERROR(INDEX(装备库!$A$2:$E$2022,MATCH(ROW()-1,装备库!$AK$2:$AK$2022,0),COLUMN()),"")</f>
        <v/>
      </c>
      <c r="B1572" t="str">
        <f>IFERROR(INDEX(装备库!$A$2:$E$2022,MATCH(ROW()-1,装备库!$AK$2:$AK$2022,0),COLUMN()),"")</f>
        <v/>
      </c>
      <c r="C1572" t="str">
        <f>IFERROR(INDEX(装备库!$A$2:$E$2022,MATCH(ROW()-1,装备库!$AK$2:$AK$2022,0),5),"")</f>
        <v/>
      </c>
    </row>
    <row r="1573" spans="1:3">
      <c r="A1573" t="str">
        <f>IFERROR(INDEX(装备库!$A$2:$E$2022,MATCH(ROW()-1,装备库!$AK$2:$AK$2022,0),COLUMN()),"")</f>
        <v/>
      </c>
      <c r="B1573" t="str">
        <f>IFERROR(INDEX(装备库!$A$2:$E$2022,MATCH(ROW()-1,装备库!$AK$2:$AK$2022,0),COLUMN()),"")</f>
        <v/>
      </c>
      <c r="C1573" t="str">
        <f>IFERROR(INDEX(装备库!$A$2:$E$2022,MATCH(ROW()-1,装备库!$AK$2:$AK$2022,0),5),"")</f>
        <v/>
      </c>
    </row>
    <row r="1574" spans="1:3">
      <c r="A1574" t="str">
        <f>IFERROR(INDEX(装备库!$A$2:$E$2022,MATCH(ROW()-1,装备库!$AK$2:$AK$2022,0),COLUMN()),"")</f>
        <v/>
      </c>
      <c r="B1574" t="str">
        <f>IFERROR(INDEX(装备库!$A$2:$E$2022,MATCH(ROW()-1,装备库!$AK$2:$AK$2022,0),COLUMN()),"")</f>
        <v/>
      </c>
      <c r="C1574" t="str">
        <f>IFERROR(INDEX(装备库!$A$2:$E$2022,MATCH(ROW()-1,装备库!$AK$2:$AK$2022,0),5),"")</f>
        <v/>
      </c>
    </row>
    <row r="1575" spans="1:3">
      <c r="A1575" t="str">
        <f>IFERROR(INDEX(装备库!$A$2:$E$2022,MATCH(ROW()-1,装备库!$AK$2:$AK$2022,0),COLUMN()),"")</f>
        <v/>
      </c>
      <c r="B1575" t="str">
        <f>IFERROR(INDEX(装备库!$A$2:$E$2022,MATCH(ROW()-1,装备库!$AK$2:$AK$2022,0),COLUMN()),"")</f>
        <v/>
      </c>
      <c r="C1575" t="str">
        <f>IFERROR(INDEX(装备库!$A$2:$E$2022,MATCH(ROW()-1,装备库!$AK$2:$AK$2022,0),5),"")</f>
        <v/>
      </c>
    </row>
    <row r="1576" spans="1:3">
      <c r="A1576" t="str">
        <f>IFERROR(INDEX(装备库!$A$2:$E$2022,MATCH(ROW()-1,装备库!$AK$2:$AK$2022,0),COLUMN()),"")</f>
        <v/>
      </c>
      <c r="B1576" t="str">
        <f>IFERROR(INDEX(装备库!$A$2:$E$2022,MATCH(ROW()-1,装备库!$AK$2:$AK$2022,0),COLUMN()),"")</f>
        <v/>
      </c>
      <c r="C1576" t="str">
        <f>IFERROR(INDEX(装备库!$A$2:$E$2022,MATCH(ROW()-1,装备库!$AK$2:$AK$2022,0),5),"")</f>
        <v/>
      </c>
    </row>
    <row r="1577" spans="1:3">
      <c r="A1577" t="str">
        <f>IFERROR(INDEX(装备库!$A$2:$E$2022,MATCH(ROW()-1,装备库!$AK$2:$AK$2022,0),COLUMN()),"")</f>
        <v/>
      </c>
      <c r="B1577" t="str">
        <f>IFERROR(INDEX(装备库!$A$2:$E$2022,MATCH(ROW()-1,装备库!$AK$2:$AK$2022,0),COLUMN()),"")</f>
        <v/>
      </c>
      <c r="C1577" t="str">
        <f>IFERROR(INDEX(装备库!$A$2:$E$2022,MATCH(ROW()-1,装备库!$AK$2:$AK$2022,0),5),"")</f>
        <v/>
      </c>
    </row>
    <row r="1578" spans="1:3">
      <c r="A1578" t="str">
        <f>IFERROR(INDEX(装备库!$A$2:$E$2022,MATCH(ROW()-1,装备库!$AK$2:$AK$2022,0),COLUMN()),"")</f>
        <v/>
      </c>
      <c r="B1578" t="str">
        <f>IFERROR(INDEX(装备库!$A$2:$E$2022,MATCH(ROW()-1,装备库!$AK$2:$AK$2022,0),COLUMN()),"")</f>
        <v/>
      </c>
      <c r="C1578" t="str">
        <f>IFERROR(INDEX(装备库!$A$2:$E$2022,MATCH(ROW()-1,装备库!$AK$2:$AK$2022,0),5),"")</f>
        <v/>
      </c>
    </row>
    <row r="1579" spans="1:3">
      <c r="A1579" t="str">
        <f>IFERROR(INDEX(装备库!$A$2:$E$2022,MATCH(ROW()-1,装备库!$AK$2:$AK$2022,0),COLUMN()),"")</f>
        <v/>
      </c>
      <c r="B1579" t="str">
        <f>IFERROR(INDEX(装备库!$A$2:$E$2022,MATCH(ROW()-1,装备库!$AK$2:$AK$2022,0),COLUMN()),"")</f>
        <v/>
      </c>
      <c r="C1579" t="str">
        <f>IFERROR(INDEX(装备库!$A$2:$E$2022,MATCH(ROW()-1,装备库!$AK$2:$AK$2022,0),5),"")</f>
        <v/>
      </c>
    </row>
    <row r="1580" spans="1:3">
      <c r="A1580" t="str">
        <f>IFERROR(INDEX(装备库!$A$2:$E$2022,MATCH(ROW()-1,装备库!$AK$2:$AK$2022,0),COLUMN()),"")</f>
        <v/>
      </c>
      <c r="B1580" t="str">
        <f>IFERROR(INDEX(装备库!$A$2:$E$2022,MATCH(ROW()-1,装备库!$AK$2:$AK$2022,0),COLUMN()),"")</f>
        <v/>
      </c>
      <c r="C1580" t="str">
        <f>IFERROR(INDEX(装备库!$A$2:$E$2022,MATCH(ROW()-1,装备库!$AK$2:$AK$2022,0),5),"")</f>
        <v/>
      </c>
    </row>
    <row r="1581" spans="1:3">
      <c r="A1581" t="str">
        <f>IFERROR(INDEX(装备库!$A$2:$E$2022,MATCH(ROW()-1,装备库!$AK$2:$AK$2022,0),COLUMN()),"")</f>
        <v/>
      </c>
      <c r="B1581" t="str">
        <f>IFERROR(INDEX(装备库!$A$2:$E$2022,MATCH(ROW()-1,装备库!$AK$2:$AK$2022,0),COLUMN()),"")</f>
        <v/>
      </c>
      <c r="C1581" t="str">
        <f>IFERROR(INDEX(装备库!$A$2:$E$2022,MATCH(ROW()-1,装备库!$AK$2:$AK$2022,0),5),"")</f>
        <v/>
      </c>
    </row>
    <row r="1582" spans="1:3">
      <c r="A1582" t="str">
        <f>IFERROR(INDEX(装备库!$A$2:$E$2022,MATCH(ROW()-1,装备库!$AK$2:$AK$2022,0),COLUMN()),"")</f>
        <v/>
      </c>
      <c r="B1582" t="str">
        <f>IFERROR(INDEX(装备库!$A$2:$E$2022,MATCH(ROW()-1,装备库!$AK$2:$AK$2022,0),COLUMN()),"")</f>
        <v/>
      </c>
      <c r="C1582" t="str">
        <f>IFERROR(INDEX(装备库!$A$2:$E$2022,MATCH(ROW()-1,装备库!$AK$2:$AK$2022,0),5),"")</f>
        <v/>
      </c>
    </row>
    <row r="1583" spans="1:3">
      <c r="A1583" t="str">
        <f>IFERROR(INDEX(装备库!$A$2:$E$2022,MATCH(ROW()-1,装备库!$AK$2:$AK$2022,0),COLUMN()),"")</f>
        <v/>
      </c>
      <c r="B1583" t="str">
        <f>IFERROR(INDEX(装备库!$A$2:$E$2022,MATCH(ROW()-1,装备库!$AK$2:$AK$2022,0),COLUMN()),"")</f>
        <v/>
      </c>
      <c r="C1583" t="str">
        <f>IFERROR(INDEX(装备库!$A$2:$E$2022,MATCH(ROW()-1,装备库!$AK$2:$AK$2022,0),5),"")</f>
        <v/>
      </c>
    </row>
    <row r="1584" spans="1:3">
      <c r="A1584" t="str">
        <f>IFERROR(INDEX(装备库!$A$2:$E$2022,MATCH(ROW()-1,装备库!$AK$2:$AK$2022,0),COLUMN()),"")</f>
        <v/>
      </c>
      <c r="B1584" t="str">
        <f>IFERROR(INDEX(装备库!$A$2:$E$2022,MATCH(ROW()-1,装备库!$AK$2:$AK$2022,0),COLUMN()),"")</f>
        <v/>
      </c>
      <c r="C1584" t="str">
        <f>IFERROR(INDEX(装备库!$A$2:$E$2022,MATCH(ROW()-1,装备库!$AK$2:$AK$2022,0),5),"")</f>
        <v/>
      </c>
    </row>
    <row r="1585" spans="1:3">
      <c r="A1585" t="str">
        <f>IFERROR(INDEX(装备库!$A$2:$E$2022,MATCH(ROW()-1,装备库!$AK$2:$AK$2022,0),COLUMN()),"")</f>
        <v/>
      </c>
      <c r="B1585" t="str">
        <f>IFERROR(INDEX(装备库!$A$2:$E$2022,MATCH(ROW()-1,装备库!$AK$2:$AK$2022,0),COLUMN()),"")</f>
        <v/>
      </c>
      <c r="C1585" t="str">
        <f>IFERROR(INDEX(装备库!$A$2:$E$2022,MATCH(ROW()-1,装备库!$AK$2:$AK$2022,0),5),"")</f>
        <v/>
      </c>
    </row>
    <row r="1586" spans="1:3">
      <c r="A1586" t="str">
        <f>IFERROR(INDEX(装备库!$A$2:$E$2022,MATCH(ROW()-1,装备库!$AK$2:$AK$2022,0),COLUMN()),"")</f>
        <v/>
      </c>
      <c r="B1586" t="str">
        <f>IFERROR(INDEX(装备库!$A$2:$E$2022,MATCH(ROW()-1,装备库!$AK$2:$AK$2022,0),COLUMN()),"")</f>
        <v/>
      </c>
      <c r="C1586" t="str">
        <f>IFERROR(INDEX(装备库!$A$2:$E$2022,MATCH(ROW()-1,装备库!$AK$2:$AK$2022,0),5),"")</f>
        <v/>
      </c>
    </row>
    <row r="1587" spans="1:3">
      <c r="A1587" t="str">
        <f>IFERROR(INDEX(装备库!$A$2:$E$2022,MATCH(ROW()-1,装备库!$AK$2:$AK$2022,0),COLUMN()),"")</f>
        <v/>
      </c>
      <c r="B1587" t="str">
        <f>IFERROR(INDEX(装备库!$A$2:$E$2022,MATCH(ROW()-1,装备库!$AK$2:$AK$2022,0),COLUMN()),"")</f>
        <v/>
      </c>
      <c r="C1587" t="str">
        <f>IFERROR(INDEX(装备库!$A$2:$E$2022,MATCH(ROW()-1,装备库!$AK$2:$AK$2022,0),5),"")</f>
        <v/>
      </c>
    </row>
    <row r="1588" spans="1:3">
      <c r="A1588" t="str">
        <f>IFERROR(INDEX(装备库!$A$2:$E$2022,MATCH(ROW()-1,装备库!$AK$2:$AK$2022,0),COLUMN()),"")</f>
        <v/>
      </c>
      <c r="B1588" t="str">
        <f>IFERROR(INDEX(装备库!$A$2:$E$2022,MATCH(ROW()-1,装备库!$AK$2:$AK$2022,0),COLUMN()),"")</f>
        <v/>
      </c>
      <c r="C1588" t="str">
        <f>IFERROR(INDEX(装备库!$A$2:$E$2022,MATCH(ROW()-1,装备库!$AK$2:$AK$2022,0),5),"")</f>
        <v/>
      </c>
    </row>
    <row r="1589" spans="1:3">
      <c r="A1589" t="str">
        <f>IFERROR(INDEX(装备库!$A$2:$E$2022,MATCH(ROW()-1,装备库!$AK$2:$AK$2022,0),COLUMN()),"")</f>
        <v/>
      </c>
      <c r="B1589" t="str">
        <f>IFERROR(INDEX(装备库!$A$2:$E$2022,MATCH(ROW()-1,装备库!$AK$2:$AK$2022,0),COLUMN()),"")</f>
        <v/>
      </c>
      <c r="C1589" t="str">
        <f>IFERROR(INDEX(装备库!$A$2:$E$2022,MATCH(ROW()-1,装备库!$AK$2:$AK$2022,0),5),"")</f>
        <v/>
      </c>
    </row>
    <row r="1590" spans="1:3">
      <c r="A1590" t="str">
        <f>IFERROR(INDEX(装备库!$A$2:$E$2022,MATCH(ROW()-1,装备库!$AK$2:$AK$2022,0),COLUMN()),"")</f>
        <v/>
      </c>
      <c r="B1590" t="str">
        <f>IFERROR(INDEX(装备库!$A$2:$E$2022,MATCH(ROW()-1,装备库!$AK$2:$AK$2022,0),COLUMN()),"")</f>
        <v/>
      </c>
      <c r="C1590" t="str">
        <f>IFERROR(INDEX(装备库!$A$2:$E$2022,MATCH(ROW()-1,装备库!$AK$2:$AK$2022,0),5),"")</f>
        <v/>
      </c>
    </row>
    <row r="1591" spans="1:3">
      <c r="A1591" t="str">
        <f>IFERROR(INDEX(装备库!$A$2:$E$2022,MATCH(ROW()-1,装备库!$AK$2:$AK$2022,0),COLUMN()),"")</f>
        <v/>
      </c>
      <c r="B1591" t="str">
        <f>IFERROR(INDEX(装备库!$A$2:$E$2022,MATCH(ROW()-1,装备库!$AK$2:$AK$2022,0),COLUMN()),"")</f>
        <v/>
      </c>
      <c r="C1591" t="str">
        <f>IFERROR(INDEX(装备库!$A$2:$E$2022,MATCH(ROW()-1,装备库!$AK$2:$AK$2022,0),5),"")</f>
        <v/>
      </c>
    </row>
    <row r="1592" spans="1:3">
      <c r="A1592" t="str">
        <f>IFERROR(INDEX(装备库!$A$2:$E$2022,MATCH(ROW()-1,装备库!$AK$2:$AK$2022,0),COLUMN()),"")</f>
        <v/>
      </c>
      <c r="B1592" t="str">
        <f>IFERROR(INDEX(装备库!$A$2:$E$2022,MATCH(ROW()-1,装备库!$AK$2:$AK$2022,0),COLUMN()),"")</f>
        <v/>
      </c>
      <c r="C1592" t="str">
        <f>IFERROR(INDEX(装备库!$A$2:$E$2022,MATCH(ROW()-1,装备库!$AK$2:$AK$2022,0),5),"")</f>
        <v/>
      </c>
    </row>
    <row r="1593" spans="1:3">
      <c r="A1593" t="str">
        <f>IFERROR(INDEX(装备库!$A$2:$E$2022,MATCH(ROW()-1,装备库!$AK$2:$AK$2022,0),COLUMN()),"")</f>
        <v/>
      </c>
      <c r="B1593" t="str">
        <f>IFERROR(INDEX(装备库!$A$2:$E$2022,MATCH(ROW()-1,装备库!$AK$2:$AK$2022,0),COLUMN()),"")</f>
        <v/>
      </c>
      <c r="C1593" t="str">
        <f>IFERROR(INDEX(装备库!$A$2:$E$2022,MATCH(ROW()-1,装备库!$AK$2:$AK$2022,0),5),"")</f>
        <v/>
      </c>
    </row>
    <row r="1594" spans="1:3">
      <c r="A1594" t="str">
        <f>IFERROR(INDEX(装备库!$A$2:$E$2022,MATCH(ROW()-1,装备库!$AK$2:$AK$2022,0),COLUMN()),"")</f>
        <v/>
      </c>
      <c r="B1594" t="str">
        <f>IFERROR(INDEX(装备库!$A$2:$E$2022,MATCH(ROW()-1,装备库!$AK$2:$AK$2022,0),COLUMN()),"")</f>
        <v/>
      </c>
      <c r="C1594" t="str">
        <f>IFERROR(INDEX(装备库!$A$2:$E$2022,MATCH(ROW()-1,装备库!$AK$2:$AK$2022,0),5),"")</f>
        <v/>
      </c>
    </row>
    <row r="1595" spans="1:3">
      <c r="A1595" t="str">
        <f>IFERROR(INDEX(装备库!$A$2:$E$2022,MATCH(ROW()-1,装备库!$AK$2:$AK$2022,0),COLUMN()),"")</f>
        <v/>
      </c>
      <c r="B1595" t="str">
        <f>IFERROR(INDEX(装备库!$A$2:$E$2022,MATCH(ROW()-1,装备库!$AK$2:$AK$2022,0),COLUMN()),"")</f>
        <v/>
      </c>
      <c r="C1595" t="str">
        <f>IFERROR(INDEX(装备库!$A$2:$E$2022,MATCH(ROW()-1,装备库!$AK$2:$AK$2022,0),5),"")</f>
        <v/>
      </c>
    </row>
    <row r="1596" spans="1:3">
      <c r="A1596" t="str">
        <f>IFERROR(INDEX(装备库!$A$2:$E$2022,MATCH(ROW()-1,装备库!$AK$2:$AK$2022,0),COLUMN()),"")</f>
        <v/>
      </c>
      <c r="B1596" t="str">
        <f>IFERROR(INDEX(装备库!$A$2:$E$2022,MATCH(ROW()-1,装备库!$AK$2:$AK$2022,0),COLUMN()),"")</f>
        <v/>
      </c>
      <c r="C1596" t="str">
        <f>IFERROR(INDEX(装备库!$A$2:$E$2022,MATCH(ROW()-1,装备库!$AK$2:$AK$2022,0),5),"")</f>
        <v/>
      </c>
    </row>
    <row r="1597" spans="1:3">
      <c r="A1597" t="str">
        <f>IFERROR(INDEX(装备库!$A$2:$E$2022,MATCH(ROW()-1,装备库!$AK$2:$AK$2022,0),COLUMN()),"")</f>
        <v/>
      </c>
      <c r="B1597" t="str">
        <f>IFERROR(INDEX(装备库!$A$2:$E$2022,MATCH(ROW()-1,装备库!$AK$2:$AK$2022,0),COLUMN()),"")</f>
        <v/>
      </c>
      <c r="C1597" t="str">
        <f>IFERROR(INDEX(装备库!$A$2:$E$2022,MATCH(ROW()-1,装备库!$AK$2:$AK$2022,0),5),"")</f>
        <v/>
      </c>
    </row>
    <row r="1598" spans="1:3">
      <c r="A1598" t="str">
        <f>IFERROR(INDEX(装备库!$A$2:$E$2022,MATCH(ROW()-1,装备库!$AK$2:$AK$2022,0),COLUMN()),"")</f>
        <v/>
      </c>
      <c r="B1598" t="str">
        <f>IFERROR(INDEX(装备库!$A$2:$E$2022,MATCH(ROW()-1,装备库!$AK$2:$AK$2022,0),COLUMN()),"")</f>
        <v/>
      </c>
      <c r="C1598" t="str">
        <f>IFERROR(INDEX(装备库!$A$2:$E$2022,MATCH(ROW()-1,装备库!$AK$2:$AK$2022,0),5),"")</f>
        <v/>
      </c>
    </row>
    <row r="1599" spans="1:3">
      <c r="A1599" t="str">
        <f>IFERROR(INDEX(装备库!$A$2:$E$2022,MATCH(ROW()-1,装备库!$AK$2:$AK$2022,0),COLUMN()),"")</f>
        <v/>
      </c>
      <c r="B1599" t="str">
        <f>IFERROR(INDEX(装备库!$A$2:$E$2022,MATCH(ROW()-1,装备库!$AK$2:$AK$2022,0),COLUMN()),"")</f>
        <v/>
      </c>
      <c r="C1599" t="str">
        <f>IFERROR(INDEX(装备库!$A$2:$E$2022,MATCH(ROW()-1,装备库!$AK$2:$AK$2022,0),5),"")</f>
        <v/>
      </c>
    </row>
    <row r="1600" spans="1:3">
      <c r="A1600" t="str">
        <f>IFERROR(INDEX(装备库!$A$2:$E$2022,MATCH(ROW()-1,装备库!$AK$2:$AK$2022,0),COLUMN()),"")</f>
        <v/>
      </c>
      <c r="B1600" t="str">
        <f>IFERROR(INDEX(装备库!$A$2:$E$2022,MATCH(ROW()-1,装备库!$AK$2:$AK$2022,0),COLUMN()),"")</f>
        <v/>
      </c>
      <c r="C1600" t="str">
        <f>IFERROR(INDEX(装备库!$A$2:$E$2022,MATCH(ROW()-1,装备库!$AK$2:$AK$2022,0),5),"")</f>
        <v/>
      </c>
    </row>
    <row r="1601" spans="1:3">
      <c r="A1601" t="str">
        <f>IFERROR(INDEX(装备库!$A$2:$E$2022,MATCH(ROW()-1,装备库!$AK$2:$AK$2022,0),COLUMN()),"")</f>
        <v/>
      </c>
      <c r="B1601" t="str">
        <f>IFERROR(INDEX(装备库!$A$2:$E$2022,MATCH(ROW()-1,装备库!$AK$2:$AK$2022,0),COLUMN()),"")</f>
        <v/>
      </c>
      <c r="C1601" t="str">
        <f>IFERROR(INDEX(装备库!$A$2:$E$2022,MATCH(ROW()-1,装备库!$AK$2:$AK$2022,0),5),"")</f>
        <v/>
      </c>
    </row>
    <row r="1602" spans="1:3">
      <c r="A1602" t="str">
        <f>IFERROR(INDEX(装备库!$A$2:$E$2022,MATCH(ROW()-1,装备库!$AK$2:$AK$2022,0),COLUMN()),"")</f>
        <v/>
      </c>
      <c r="B1602" t="str">
        <f>IFERROR(INDEX(装备库!$A$2:$E$2022,MATCH(ROW()-1,装备库!$AK$2:$AK$2022,0),COLUMN()),"")</f>
        <v/>
      </c>
      <c r="C1602" t="str">
        <f>IFERROR(INDEX(装备库!$A$2:$E$2022,MATCH(ROW()-1,装备库!$AK$2:$AK$2022,0),5),"")</f>
        <v/>
      </c>
    </row>
    <row r="1603" spans="1:3">
      <c r="A1603" t="str">
        <f>IFERROR(INDEX(装备库!$A$2:$E$2022,MATCH(ROW()-1,装备库!$AK$2:$AK$2022,0),COLUMN()),"")</f>
        <v/>
      </c>
      <c r="B1603" t="str">
        <f>IFERROR(INDEX(装备库!$A$2:$E$2022,MATCH(ROW()-1,装备库!$AK$2:$AK$2022,0),COLUMN()),"")</f>
        <v/>
      </c>
      <c r="C1603" t="str">
        <f>IFERROR(INDEX(装备库!$A$2:$E$2022,MATCH(ROW()-1,装备库!$AK$2:$AK$2022,0),5),"")</f>
        <v/>
      </c>
    </row>
    <row r="1604" spans="1:3">
      <c r="A1604" t="str">
        <f>IFERROR(INDEX(装备库!$A$2:$E$2022,MATCH(ROW()-1,装备库!$AK$2:$AK$2022,0),COLUMN()),"")</f>
        <v/>
      </c>
      <c r="B1604" t="str">
        <f>IFERROR(INDEX(装备库!$A$2:$E$2022,MATCH(ROW()-1,装备库!$AK$2:$AK$2022,0),COLUMN()),"")</f>
        <v/>
      </c>
      <c r="C1604" t="str">
        <f>IFERROR(INDEX(装备库!$A$2:$E$2022,MATCH(ROW()-1,装备库!$AK$2:$AK$2022,0),5),"")</f>
        <v/>
      </c>
    </row>
    <row r="1605" spans="1:3">
      <c r="A1605" t="str">
        <f>IFERROR(INDEX(装备库!$A$2:$E$2022,MATCH(ROW()-1,装备库!$AK$2:$AK$2022,0),COLUMN()),"")</f>
        <v/>
      </c>
      <c r="B1605" t="str">
        <f>IFERROR(INDEX(装备库!$A$2:$E$2022,MATCH(ROW()-1,装备库!$AK$2:$AK$2022,0),COLUMN()),"")</f>
        <v/>
      </c>
      <c r="C1605" t="str">
        <f>IFERROR(INDEX(装备库!$A$2:$E$2022,MATCH(ROW()-1,装备库!$AK$2:$AK$2022,0),5),"")</f>
        <v/>
      </c>
    </row>
    <row r="1606" spans="1:3">
      <c r="A1606" t="str">
        <f>IFERROR(INDEX(装备库!$A$2:$E$2022,MATCH(ROW()-1,装备库!$AK$2:$AK$2022,0),COLUMN()),"")</f>
        <v/>
      </c>
      <c r="B1606" t="str">
        <f>IFERROR(INDEX(装备库!$A$2:$E$2022,MATCH(ROW()-1,装备库!$AK$2:$AK$2022,0),COLUMN()),"")</f>
        <v/>
      </c>
      <c r="C1606" t="str">
        <f>IFERROR(INDEX(装备库!$A$2:$E$2022,MATCH(ROW()-1,装备库!$AK$2:$AK$2022,0),5),"")</f>
        <v/>
      </c>
    </row>
    <row r="1607" spans="1:3">
      <c r="A1607" t="str">
        <f>IFERROR(INDEX(装备库!$A$2:$E$2022,MATCH(ROW()-1,装备库!$AK$2:$AK$2022,0),COLUMN()),"")</f>
        <v/>
      </c>
      <c r="B1607" t="str">
        <f>IFERROR(INDEX(装备库!$A$2:$E$2022,MATCH(ROW()-1,装备库!$AK$2:$AK$2022,0),COLUMN()),"")</f>
        <v/>
      </c>
      <c r="C1607" t="str">
        <f>IFERROR(INDEX(装备库!$A$2:$E$2022,MATCH(ROW()-1,装备库!$AK$2:$AK$2022,0),5),"")</f>
        <v/>
      </c>
    </row>
    <row r="1608" spans="1:3">
      <c r="A1608" t="str">
        <f>IFERROR(INDEX(装备库!$A$2:$E$2022,MATCH(ROW()-1,装备库!$AK$2:$AK$2022,0),COLUMN()),"")</f>
        <v/>
      </c>
      <c r="B1608" t="str">
        <f>IFERROR(INDEX(装备库!$A$2:$E$2022,MATCH(ROW()-1,装备库!$AK$2:$AK$2022,0),COLUMN()),"")</f>
        <v/>
      </c>
      <c r="C1608" t="str">
        <f>IFERROR(INDEX(装备库!$A$2:$E$2022,MATCH(ROW()-1,装备库!$AK$2:$AK$2022,0),5),"")</f>
        <v/>
      </c>
    </row>
    <row r="1609" spans="1:3">
      <c r="A1609" t="str">
        <f>IFERROR(INDEX(装备库!$A$2:$E$2022,MATCH(ROW()-1,装备库!$AK$2:$AK$2022,0),COLUMN()),"")</f>
        <v/>
      </c>
      <c r="B1609" t="str">
        <f>IFERROR(INDEX(装备库!$A$2:$E$2022,MATCH(ROW()-1,装备库!$AK$2:$AK$2022,0),COLUMN()),"")</f>
        <v/>
      </c>
      <c r="C1609" t="str">
        <f>IFERROR(INDEX(装备库!$A$2:$E$2022,MATCH(ROW()-1,装备库!$AK$2:$AK$2022,0),5),"")</f>
        <v/>
      </c>
    </row>
    <row r="1610" spans="1:3">
      <c r="A1610" t="str">
        <f>IFERROR(INDEX(装备库!$A$2:$E$2022,MATCH(ROW()-1,装备库!$AK$2:$AK$2022,0),COLUMN()),"")</f>
        <v/>
      </c>
      <c r="B1610" t="str">
        <f>IFERROR(INDEX(装备库!$A$2:$E$2022,MATCH(ROW()-1,装备库!$AK$2:$AK$2022,0),COLUMN()),"")</f>
        <v/>
      </c>
      <c r="C1610" t="str">
        <f>IFERROR(INDEX(装备库!$A$2:$E$2022,MATCH(ROW()-1,装备库!$AK$2:$AK$2022,0),5),"")</f>
        <v/>
      </c>
    </row>
    <row r="1611" spans="1:3">
      <c r="A1611" t="str">
        <f>IFERROR(INDEX(装备库!$A$2:$E$2022,MATCH(ROW()-1,装备库!$AK$2:$AK$2022,0),COLUMN()),"")</f>
        <v/>
      </c>
      <c r="B1611" t="str">
        <f>IFERROR(INDEX(装备库!$A$2:$E$2022,MATCH(ROW()-1,装备库!$AK$2:$AK$2022,0),COLUMN()),"")</f>
        <v/>
      </c>
      <c r="C1611" t="str">
        <f>IFERROR(INDEX(装备库!$A$2:$E$2022,MATCH(ROW()-1,装备库!$AK$2:$AK$2022,0),5),"")</f>
        <v/>
      </c>
    </row>
    <row r="1612" spans="1:3">
      <c r="A1612" t="str">
        <f>IFERROR(INDEX(装备库!$A$2:$E$2022,MATCH(ROW()-1,装备库!$AK$2:$AK$2022,0),COLUMN()),"")</f>
        <v/>
      </c>
      <c r="B1612" t="str">
        <f>IFERROR(INDEX(装备库!$A$2:$E$2022,MATCH(ROW()-1,装备库!$AK$2:$AK$2022,0),COLUMN()),"")</f>
        <v/>
      </c>
      <c r="C1612" t="str">
        <f>IFERROR(INDEX(装备库!$A$2:$E$2022,MATCH(ROW()-1,装备库!$AK$2:$AK$2022,0),5),"")</f>
        <v/>
      </c>
    </row>
    <row r="1613" spans="1:3">
      <c r="A1613" t="str">
        <f>IFERROR(INDEX(装备库!$A$2:$E$2022,MATCH(ROW()-1,装备库!$AK$2:$AK$2022,0),COLUMN()),"")</f>
        <v/>
      </c>
      <c r="B1613" t="str">
        <f>IFERROR(INDEX(装备库!$A$2:$E$2022,MATCH(ROW()-1,装备库!$AK$2:$AK$2022,0),COLUMN()),"")</f>
        <v/>
      </c>
      <c r="C1613" t="str">
        <f>IFERROR(INDEX(装备库!$A$2:$E$2022,MATCH(ROW()-1,装备库!$AK$2:$AK$2022,0),5),"")</f>
        <v/>
      </c>
    </row>
    <row r="1614" spans="1:3">
      <c r="A1614" t="str">
        <f>IFERROR(INDEX(装备库!$A$2:$E$2022,MATCH(ROW()-1,装备库!$AK$2:$AK$2022,0),COLUMN()),"")</f>
        <v/>
      </c>
      <c r="B1614" t="str">
        <f>IFERROR(INDEX(装备库!$A$2:$E$2022,MATCH(ROW()-1,装备库!$AK$2:$AK$2022,0),COLUMN()),"")</f>
        <v/>
      </c>
      <c r="C1614" t="str">
        <f>IFERROR(INDEX(装备库!$A$2:$E$2022,MATCH(ROW()-1,装备库!$AK$2:$AK$2022,0),5),"")</f>
        <v/>
      </c>
    </row>
    <row r="1615" spans="1:3">
      <c r="A1615" t="str">
        <f>IFERROR(INDEX(装备库!$A$2:$E$2022,MATCH(ROW()-1,装备库!$AK$2:$AK$2022,0),COLUMN()),"")</f>
        <v/>
      </c>
      <c r="B1615" t="str">
        <f>IFERROR(INDEX(装备库!$A$2:$E$2022,MATCH(ROW()-1,装备库!$AK$2:$AK$2022,0),COLUMN()),"")</f>
        <v/>
      </c>
      <c r="C1615" t="str">
        <f>IFERROR(INDEX(装备库!$A$2:$E$2022,MATCH(ROW()-1,装备库!$AK$2:$AK$2022,0),5),"")</f>
        <v/>
      </c>
    </row>
    <row r="1616" spans="1:3">
      <c r="A1616" t="str">
        <f>IFERROR(INDEX(装备库!$A$2:$E$2022,MATCH(ROW()-1,装备库!$AK$2:$AK$2022,0),COLUMN()),"")</f>
        <v/>
      </c>
      <c r="B1616" t="str">
        <f>IFERROR(INDEX(装备库!$A$2:$E$2022,MATCH(ROW()-1,装备库!$AK$2:$AK$2022,0),COLUMN()),"")</f>
        <v/>
      </c>
      <c r="C1616" t="str">
        <f>IFERROR(INDEX(装备库!$A$2:$E$2022,MATCH(ROW()-1,装备库!$AK$2:$AK$2022,0),5),"")</f>
        <v/>
      </c>
    </row>
    <row r="1617" spans="1:3">
      <c r="A1617" t="str">
        <f>IFERROR(INDEX(装备库!$A$2:$E$2022,MATCH(ROW()-1,装备库!$AK$2:$AK$2022,0),COLUMN()),"")</f>
        <v/>
      </c>
      <c r="B1617" t="str">
        <f>IFERROR(INDEX(装备库!$A$2:$E$2022,MATCH(ROW()-1,装备库!$AK$2:$AK$2022,0),COLUMN()),"")</f>
        <v/>
      </c>
      <c r="C1617" t="str">
        <f>IFERROR(INDEX(装备库!$A$2:$E$2022,MATCH(ROW()-1,装备库!$AK$2:$AK$2022,0),5),"")</f>
        <v/>
      </c>
    </row>
    <row r="1618" spans="1:3">
      <c r="A1618" t="str">
        <f>IFERROR(INDEX(装备库!$A$2:$E$2022,MATCH(ROW()-1,装备库!$AK$2:$AK$2022,0),COLUMN()),"")</f>
        <v/>
      </c>
      <c r="B1618" t="str">
        <f>IFERROR(INDEX(装备库!$A$2:$E$2022,MATCH(ROW()-1,装备库!$AK$2:$AK$2022,0),COLUMN()),"")</f>
        <v/>
      </c>
      <c r="C1618" t="str">
        <f>IFERROR(INDEX(装备库!$A$2:$E$2022,MATCH(ROW()-1,装备库!$AK$2:$AK$2022,0),5),"")</f>
        <v/>
      </c>
    </row>
    <row r="1619" spans="1:3">
      <c r="A1619" t="str">
        <f>IFERROR(INDEX(装备库!$A$2:$E$2022,MATCH(ROW()-1,装备库!$AK$2:$AK$2022,0),COLUMN()),"")</f>
        <v/>
      </c>
      <c r="B1619" t="str">
        <f>IFERROR(INDEX(装备库!$A$2:$E$2022,MATCH(ROW()-1,装备库!$AK$2:$AK$2022,0),COLUMN()),"")</f>
        <v/>
      </c>
      <c r="C1619" t="str">
        <f>IFERROR(INDEX(装备库!$A$2:$E$2022,MATCH(ROW()-1,装备库!$AK$2:$AK$2022,0),5),"")</f>
        <v/>
      </c>
    </row>
    <row r="1620" spans="1:3">
      <c r="A1620" t="str">
        <f>IFERROR(INDEX(装备库!$A$2:$E$2022,MATCH(ROW()-1,装备库!$AK$2:$AK$2022,0),COLUMN()),"")</f>
        <v/>
      </c>
      <c r="B1620" t="str">
        <f>IFERROR(INDEX(装备库!$A$2:$E$2022,MATCH(ROW()-1,装备库!$AK$2:$AK$2022,0),COLUMN()),"")</f>
        <v/>
      </c>
      <c r="C1620" t="str">
        <f>IFERROR(INDEX(装备库!$A$2:$E$2022,MATCH(ROW()-1,装备库!$AK$2:$AK$2022,0),5),"")</f>
        <v/>
      </c>
    </row>
    <row r="1621" spans="1:3">
      <c r="A1621" t="str">
        <f>IFERROR(INDEX(装备库!$A$2:$E$2022,MATCH(ROW()-1,装备库!$AK$2:$AK$2022,0),COLUMN()),"")</f>
        <v/>
      </c>
      <c r="B1621" t="str">
        <f>IFERROR(INDEX(装备库!$A$2:$E$2022,MATCH(ROW()-1,装备库!$AK$2:$AK$2022,0),COLUMN()),"")</f>
        <v/>
      </c>
      <c r="C1621" t="str">
        <f>IFERROR(INDEX(装备库!$A$2:$E$2022,MATCH(ROW()-1,装备库!$AK$2:$AK$2022,0),5),"")</f>
        <v/>
      </c>
    </row>
    <row r="1622" spans="1:3">
      <c r="A1622" t="str">
        <f>IFERROR(INDEX(装备库!$A$2:$E$2022,MATCH(ROW()-1,装备库!$AK$2:$AK$2022,0),COLUMN()),"")</f>
        <v/>
      </c>
      <c r="B1622" t="str">
        <f>IFERROR(INDEX(装备库!$A$2:$E$2022,MATCH(ROW()-1,装备库!$AK$2:$AK$2022,0),COLUMN()),"")</f>
        <v/>
      </c>
      <c r="C1622" t="str">
        <f>IFERROR(INDEX(装备库!$A$2:$E$2022,MATCH(ROW()-1,装备库!$AK$2:$AK$2022,0),5),"")</f>
        <v/>
      </c>
    </row>
    <row r="1623" spans="1:3">
      <c r="A1623" t="str">
        <f>IFERROR(INDEX(装备库!$A$2:$E$2022,MATCH(ROW()-1,装备库!$AK$2:$AK$2022,0),COLUMN()),"")</f>
        <v/>
      </c>
      <c r="B1623" t="str">
        <f>IFERROR(INDEX(装备库!$A$2:$E$2022,MATCH(ROW()-1,装备库!$AK$2:$AK$2022,0),COLUMN()),"")</f>
        <v/>
      </c>
      <c r="C1623" t="str">
        <f>IFERROR(INDEX(装备库!$A$2:$E$2022,MATCH(ROW()-1,装备库!$AK$2:$AK$2022,0),5),"")</f>
        <v/>
      </c>
    </row>
    <row r="1624" spans="1:3">
      <c r="A1624" t="str">
        <f>IFERROR(INDEX(装备库!$A$2:$E$2022,MATCH(ROW()-1,装备库!$AK$2:$AK$2022,0),COLUMN()),"")</f>
        <v/>
      </c>
      <c r="B1624" t="str">
        <f>IFERROR(INDEX(装备库!$A$2:$E$2022,MATCH(ROW()-1,装备库!$AK$2:$AK$2022,0),COLUMN()),"")</f>
        <v/>
      </c>
      <c r="C1624" t="str">
        <f>IFERROR(INDEX(装备库!$A$2:$E$2022,MATCH(ROW()-1,装备库!$AK$2:$AK$2022,0),5),"")</f>
        <v/>
      </c>
    </row>
    <row r="1625" spans="1:3">
      <c r="A1625" t="str">
        <f>IFERROR(INDEX(装备库!$A$2:$E$2022,MATCH(ROW()-1,装备库!$AK$2:$AK$2022,0),COLUMN()),"")</f>
        <v/>
      </c>
      <c r="B1625" t="str">
        <f>IFERROR(INDEX(装备库!$A$2:$E$2022,MATCH(ROW()-1,装备库!$AK$2:$AK$2022,0),COLUMN()),"")</f>
        <v/>
      </c>
      <c r="C1625" t="str">
        <f>IFERROR(INDEX(装备库!$A$2:$E$2022,MATCH(ROW()-1,装备库!$AK$2:$AK$2022,0),5),"")</f>
        <v/>
      </c>
    </row>
    <row r="1626" spans="1:3">
      <c r="A1626" t="str">
        <f>IFERROR(INDEX(装备库!$A$2:$E$2022,MATCH(ROW()-1,装备库!$AK$2:$AK$2022,0),COLUMN()),"")</f>
        <v/>
      </c>
      <c r="B1626" t="str">
        <f>IFERROR(INDEX(装备库!$A$2:$E$2022,MATCH(ROW()-1,装备库!$AK$2:$AK$2022,0),COLUMN()),"")</f>
        <v/>
      </c>
      <c r="C1626" t="str">
        <f>IFERROR(INDEX(装备库!$A$2:$E$2022,MATCH(ROW()-1,装备库!$AK$2:$AK$2022,0),5),"")</f>
        <v/>
      </c>
    </row>
    <row r="1627" spans="1:3">
      <c r="A1627" t="str">
        <f>IFERROR(INDEX(装备库!$A$2:$E$2022,MATCH(ROW()-1,装备库!$AK$2:$AK$2022,0),COLUMN()),"")</f>
        <v/>
      </c>
      <c r="B1627" t="str">
        <f>IFERROR(INDEX(装备库!$A$2:$E$2022,MATCH(ROW()-1,装备库!$AK$2:$AK$2022,0),COLUMN()),"")</f>
        <v/>
      </c>
      <c r="C1627" t="str">
        <f>IFERROR(INDEX(装备库!$A$2:$E$2022,MATCH(ROW()-1,装备库!$AK$2:$AK$2022,0),5),"")</f>
        <v/>
      </c>
    </row>
    <row r="1628" spans="1:3">
      <c r="A1628" t="str">
        <f>IFERROR(INDEX(装备库!$A$2:$E$2022,MATCH(ROW()-1,装备库!$AK$2:$AK$2022,0),COLUMN()),"")</f>
        <v/>
      </c>
      <c r="B1628" t="str">
        <f>IFERROR(INDEX(装备库!$A$2:$E$2022,MATCH(ROW()-1,装备库!$AK$2:$AK$2022,0),COLUMN()),"")</f>
        <v/>
      </c>
      <c r="C1628" t="str">
        <f>IFERROR(INDEX(装备库!$A$2:$E$2022,MATCH(ROW()-1,装备库!$AK$2:$AK$2022,0),5),"")</f>
        <v/>
      </c>
    </row>
    <row r="1629" spans="1:3">
      <c r="A1629" t="str">
        <f>IFERROR(INDEX(装备库!$A$2:$E$2022,MATCH(ROW()-1,装备库!$AK$2:$AK$2022,0),COLUMN()),"")</f>
        <v/>
      </c>
      <c r="B1629" t="str">
        <f>IFERROR(INDEX(装备库!$A$2:$E$2022,MATCH(ROW()-1,装备库!$AK$2:$AK$2022,0),COLUMN()),"")</f>
        <v/>
      </c>
      <c r="C1629" t="str">
        <f>IFERROR(INDEX(装备库!$A$2:$E$2022,MATCH(ROW()-1,装备库!$AK$2:$AK$2022,0),5),"")</f>
        <v/>
      </c>
    </row>
    <row r="1630" spans="1:3">
      <c r="A1630" t="str">
        <f>IFERROR(INDEX(装备库!$A$2:$E$2022,MATCH(ROW()-1,装备库!$AK$2:$AK$2022,0),COLUMN()),"")</f>
        <v/>
      </c>
      <c r="B1630" t="str">
        <f>IFERROR(INDEX(装备库!$A$2:$E$2022,MATCH(ROW()-1,装备库!$AK$2:$AK$2022,0),COLUMN()),"")</f>
        <v/>
      </c>
      <c r="C1630" t="str">
        <f>IFERROR(INDEX(装备库!$A$2:$E$2022,MATCH(ROW()-1,装备库!$AK$2:$AK$2022,0),5),"")</f>
        <v/>
      </c>
    </row>
    <row r="1631" spans="1:3">
      <c r="A1631" t="str">
        <f>IFERROR(INDEX(装备库!$A$2:$E$2022,MATCH(ROW()-1,装备库!$AK$2:$AK$2022,0),COLUMN()),"")</f>
        <v/>
      </c>
      <c r="B1631" t="str">
        <f>IFERROR(INDEX(装备库!$A$2:$E$2022,MATCH(ROW()-1,装备库!$AK$2:$AK$2022,0),COLUMN()),"")</f>
        <v/>
      </c>
      <c r="C1631" t="str">
        <f>IFERROR(INDEX(装备库!$A$2:$E$2022,MATCH(ROW()-1,装备库!$AK$2:$AK$2022,0),5),"")</f>
        <v/>
      </c>
    </row>
    <row r="1632" spans="1:3">
      <c r="A1632" t="str">
        <f>IFERROR(INDEX(装备库!$A$2:$E$2022,MATCH(ROW()-1,装备库!$AK$2:$AK$2022,0),COLUMN()),"")</f>
        <v/>
      </c>
      <c r="B1632" t="str">
        <f>IFERROR(INDEX(装备库!$A$2:$E$2022,MATCH(ROW()-1,装备库!$AK$2:$AK$2022,0),COLUMN()),"")</f>
        <v/>
      </c>
      <c r="C1632" t="str">
        <f>IFERROR(INDEX(装备库!$A$2:$E$2022,MATCH(ROW()-1,装备库!$AK$2:$AK$2022,0),5),"")</f>
        <v/>
      </c>
    </row>
    <row r="1633" spans="1:3">
      <c r="A1633" t="str">
        <f>IFERROR(INDEX(装备库!$A$2:$E$2022,MATCH(ROW()-1,装备库!$AK$2:$AK$2022,0),COLUMN()),"")</f>
        <v/>
      </c>
      <c r="B1633" t="str">
        <f>IFERROR(INDEX(装备库!$A$2:$E$2022,MATCH(ROW()-1,装备库!$AK$2:$AK$2022,0),COLUMN()),"")</f>
        <v/>
      </c>
      <c r="C1633" t="str">
        <f>IFERROR(INDEX(装备库!$A$2:$E$2022,MATCH(ROW()-1,装备库!$AK$2:$AK$2022,0),5),"")</f>
        <v/>
      </c>
    </row>
    <row r="1634" spans="1:3">
      <c r="A1634" t="str">
        <f>IFERROR(INDEX(装备库!$A$2:$E$2022,MATCH(ROW()-1,装备库!$AK$2:$AK$2022,0),COLUMN()),"")</f>
        <v/>
      </c>
      <c r="B1634" t="str">
        <f>IFERROR(INDEX(装备库!$A$2:$E$2022,MATCH(ROW()-1,装备库!$AK$2:$AK$2022,0),COLUMN()),"")</f>
        <v/>
      </c>
      <c r="C1634" t="str">
        <f>IFERROR(INDEX(装备库!$A$2:$E$2022,MATCH(ROW()-1,装备库!$AK$2:$AK$2022,0),5),"")</f>
        <v/>
      </c>
    </row>
    <row r="1635" spans="1:3">
      <c r="A1635" t="str">
        <f>IFERROR(INDEX(装备库!$A$2:$E$2022,MATCH(ROW()-1,装备库!$AK$2:$AK$2022,0),COLUMN()),"")</f>
        <v/>
      </c>
      <c r="B1635" t="str">
        <f>IFERROR(INDEX(装备库!$A$2:$E$2022,MATCH(ROW()-1,装备库!$AK$2:$AK$2022,0),COLUMN()),"")</f>
        <v/>
      </c>
      <c r="C1635" t="str">
        <f>IFERROR(INDEX(装备库!$A$2:$E$2022,MATCH(ROW()-1,装备库!$AK$2:$AK$2022,0),5),"")</f>
        <v/>
      </c>
    </row>
    <row r="1636" spans="1:3">
      <c r="A1636" t="str">
        <f>IFERROR(INDEX(装备库!$A$2:$E$2022,MATCH(ROW()-1,装备库!$AK$2:$AK$2022,0),COLUMN()),"")</f>
        <v/>
      </c>
      <c r="B1636" t="str">
        <f>IFERROR(INDEX(装备库!$A$2:$E$2022,MATCH(ROW()-1,装备库!$AK$2:$AK$2022,0),COLUMN()),"")</f>
        <v/>
      </c>
      <c r="C1636" t="str">
        <f>IFERROR(INDEX(装备库!$A$2:$E$2022,MATCH(ROW()-1,装备库!$AK$2:$AK$2022,0),5),"")</f>
        <v/>
      </c>
    </row>
    <row r="1637" spans="1:3">
      <c r="A1637" t="str">
        <f>IFERROR(INDEX(装备库!$A$2:$E$2022,MATCH(ROW()-1,装备库!$AK$2:$AK$2022,0),COLUMN()),"")</f>
        <v/>
      </c>
      <c r="B1637" t="str">
        <f>IFERROR(INDEX(装备库!$A$2:$E$2022,MATCH(ROW()-1,装备库!$AK$2:$AK$2022,0),COLUMN()),"")</f>
        <v/>
      </c>
      <c r="C1637" t="str">
        <f>IFERROR(INDEX(装备库!$A$2:$E$2022,MATCH(ROW()-1,装备库!$AK$2:$AK$2022,0),5),"")</f>
        <v/>
      </c>
    </row>
    <row r="1638" spans="1:3">
      <c r="A1638" t="str">
        <f>IFERROR(INDEX(装备库!$A$2:$E$2022,MATCH(ROW()-1,装备库!$AK$2:$AK$2022,0),COLUMN()),"")</f>
        <v/>
      </c>
      <c r="B1638" t="str">
        <f>IFERROR(INDEX(装备库!$A$2:$E$2022,MATCH(ROW()-1,装备库!$AK$2:$AK$2022,0),COLUMN()),"")</f>
        <v/>
      </c>
      <c r="C1638" t="str">
        <f>IFERROR(INDEX(装备库!$A$2:$E$2022,MATCH(ROW()-1,装备库!$AK$2:$AK$2022,0),5),"")</f>
        <v/>
      </c>
    </row>
    <row r="1639" spans="1:3">
      <c r="A1639" t="str">
        <f>IFERROR(INDEX(装备库!$A$2:$E$2022,MATCH(ROW()-1,装备库!$AK$2:$AK$2022,0),COLUMN()),"")</f>
        <v/>
      </c>
      <c r="B1639" t="str">
        <f>IFERROR(INDEX(装备库!$A$2:$E$2022,MATCH(ROW()-1,装备库!$AK$2:$AK$2022,0),COLUMN()),"")</f>
        <v/>
      </c>
      <c r="C1639" t="str">
        <f>IFERROR(INDEX(装备库!$A$2:$E$2022,MATCH(ROW()-1,装备库!$AK$2:$AK$2022,0),5),"")</f>
        <v/>
      </c>
    </row>
    <row r="1640" spans="1:3">
      <c r="A1640" t="str">
        <f>IFERROR(INDEX(装备库!$A$2:$E$2022,MATCH(ROW()-1,装备库!$AK$2:$AK$2022,0),COLUMN()),"")</f>
        <v/>
      </c>
      <c r="B1640" t="str">
        <f>IFERROR(INDEX(装备库!$A$2:$E$2022,MATCH(ROW()-1,装备库!$AK$2:$AK$2022,0),COLUMN()),"")</f>
        <v/>
      </c>
      <c r="C1640" t="str">
        <f>IFERROR(INDEX(装备库!$A$2:$E$2022,MATCH(ROW()-1,装备库!$AK$2:$AK$2022,0),5),"")</f>
        <v/>
      </c>
    </row>
    <row r="1641" spans="1:3">
      <c r="A1641" t="str">
        <f>IFERROR(INDEX(装备库!$A$2:$E$2022,MATCH(ROW()-1,装备库!$AK$2:$AK$2022,0),COLUMN()),"")</f>
        <v/>
      </c>
      <c r="B1641" t="str">
        <f>IFERROR(INDEX(装备库!$A$2:$E$2022,MATCH(ROW()-1,装备库!$AK$2:$AK$2022,0),COLUMN()),"")</f>
        <v/>
      </c>
      <c r="C1641" t="str">
        <f>IFERROR(INDEX(装备库!$A$2:$E$2022,MATCH(ROW()-1,装备库!$AK$2:$AK$2022,0),5),"")</f>
        <v/>
      </c>
    </row>
    <row r="1642" spans="1:3">
      <c r="A1642" t="str">
        <f>IFERROR(INDEX(装备库!$A$2:$E$2022,MATCH(ROW()-1,装备库!$AK$2:$AK$2022,0),COLUMN()),"")</f>
        <v/>
      </c>
      <c r="B1642" t="str">
        <f>IFERROR(INDEX(装备库!$A$2:$E$2022,MATCH(ROW()-1,装备库!$AK$2:$AK$2022,0),COLUMN()),"")</f>
        <v/>
      </c>
      <c r="C1642" t="str">
        <f>IFERROR(INDEX(装备库!$A$2:$E$2022,MATCH(ROW()-1,装备库!$AK$2:$AK$2022,0),5),"")</f>
        <v/>
      </c>
    </row>
    <row r="1643" spans="1:3">
      <c r="A1643" t="str">
        <f>IFERROR(INDEX(装备库!$A$2:$E$2022,MATCH(ROW()-1,装备库!$AK$2:$AK$2022,0),COLUMN()),"")</f>
        <v/>
      </c>
      <c r="B1643" t="str">
        <f>IFERROR(INDEX(装备库!$A$2:$E$2022,MATCH(ROW()-1,装备库!$AK$2:$AK$2022,0),COLUMN()),"")</f>
        <v/>
      </c>
      <c r="C1643" t="str">
        <f>IFERROR(INDEX(装备库!$A$2:$E$2022,MATCH(ROW()-1,装备库!$AK$2:$AK$2022,0),5),"")</f>
        <v/>
      </c>
    </row>
    <row r="1644" spans="1:3">
      <c r="A1644" t="str">
        <f>IFERROR(INDEX(装备库!$A$2:$E$2022,MATCH(ROW()-1,装备库!$AK$2:$AK$2022,0),COLUMN()),"")</f>
        <v/>
      </c>
      <c r="B1644" t="str">
        <f>IFERROR(INDEX(装备库!$A$2:$E$2022,MATCH(ROW()-1,装备库!$AK$2:$AK$2022,0),COLUMN()),"")</f>
        <v/>
      </c>
      <c r="C1644" t="str">
        <f>IFERROR(INDEX(装备库!$A$2:$E$2022,MATCH(ROW()-1,装备库!$AK$2:$AK$2022,0),5),"")</f>
        <v/>
      </c>
    </row>
    <row r="1645" spans="1:3">
      <c r="A1645" t="str">
        <f>IFERROR(INDEX(装备库!$A$2:$E$2022,MATCH(ROW()-1,装备库!$AK$2:$AK$2022,0),COLUMN()),"")</f>
        <v/>
      </c>
      <c r="B1645" t="str">
        <f>IFERROR(INDEX(装备库!$A$2:$E$2022,MATCH(ROW()-1,装备库!$AK$2:$AK$2022,0),COLUMN()),"")</f>
        <v/>
      </c>
      <c r="C1645" t="str">
        <f>IFERROR(INDEX(装备库!$A$2:$E$2022,MATCH(ROW()-1,装备库!$AK$2:$AK$2022,0),5),"")</f>
        <v/>
      </c>
    </row>
    <row r="1646" spans="1:3">
      <c r="A1646" t="str">
        <f>IFERROR(INDEX(装备库!$A$2:$E$2022,MATCH(ROW()-1,装备库!$AK$2:$AK$2022,0),COLUMN()),"")</f>
        <v/>
      </c>
      <c r="B1646" t="str">
        <f>IFERROR(INDEX(装备库!$A$2:$E$2022,MATCH(ROW()-1,装备库!$AK$2:$AK$2022,0),COLUMN()),"")</f>
        <v/>
      </c>
      <c r="C1646" t="str">
        <f>IFERROR(INDEX(装备库!$A$2:$E$2022,MATCH(ROW()-1,装备库!$AK$2:$AK$2022,0),5),"")</f>
        <v/>
      </c>
    </row>
    <row r="1647" spans="1:3">
      <c r="A1647" t="str">
        <f>IFERROR(INDEX(装备库!$A$2:$E$2022,MATCH(ROW()-1,装备库!$AK$2:$AK$2022,0),COLUMN()),"")</f>
        <v/>
      </c>
      <c r="B1647" t="str">
        <f>IFERROR(INDEX(装备库!$A$2:$E$2022,MATCH(ROW()-1,装备库!$AK$2:$AK$2022,0),COLUMN()),"")</f>
        <v/>
      </c>
      <c r="C1647" t="str">
        <f>IFERROR(INDEX(装备库!$A$2:$E$2022,MATCH(ROW()-1,装备库!$AK$2:$AK$2022,0),5),"")</f>
        <v/>
      </c>
    </row>
    <row r="1648" spans="1:3">
      <c r="A1648" t="str">
        <f>IFERROR(INDEX(装备库!$A$2:$E$2022,MATCH(ROW()-1,装备库!$AK$2:$AK$2022,0),COLUMN()),"")</f>
        <v/>
      </c>
      <c r="B1648" t="str">
        <f>IFERROR(INDEX(装备库!$A$2:$E$2022,MATCH(ROW()-1,装备库!$AK$2:$AK$2022,0),COLUMN()),"")</f>
        <v/>
      </c>
      <c r="C1648" t="str">
        <f>IFERROR(INDEX(装备库!$A$2:$E$2022,MATCH(ROW()-1,装备库!$AK$2:$AK$2022,0),5),"")</f>
        <v/>
      </c>
    </row>
    <row r="1649" spans="1:3">
      <c r="A1649" t="str">
        <f>IFERROR(INDEX(装备库!$A$2:$E$2022,MATCH(ROW()-1,装备库!$AK$2:$AK$2022,0),COLUMN()),"")</f>
        <v/>
      </c>
      <c r="B1649" t="str">
        <f>IFERROR(INDEX(装备库!$A$2:$E$2022,MATCH(ROW()-1,装备库!$AK$2:$AK$2022,0),COLUMN()),"")</f>
        <v/>
      </c>
      <c r="C1649" t="str">
        <f>IFERROR(INDEX(装备库!$A$2:$E$2022,MATCH(ROW()-1,装备库!$AK$2:$AK$2022,0),5),"")</f>
        <v/>
      </c>
    </row>
    <row r="1650" spans="1:3">
      <c r="A1650" t="str">
        <f>IFERROR(INDEX(装备库!$A$2:$E$2022,MATCH(ROW()-1,装备库!$AK$2:$AK$2022,0),COLUMN()),"")</f>
        <v/>
      </c>
      <c r="B1650" t="str">
        <f>IFERROR(INDEX(装备库!$A$2:$E$2022,MATCH(ROW()-1,装备库!$AK$2:$AK$2022,0),COLUMN()),"")</f>
        <v/>
      </c>
      <c r="C1650" t="str">
        <f>IFERROR(INDEX(装备库!$A$2:$E$2022,MATCH(ROW()-1,装备库!$AK$2:$AK$2022,0),5),"")</f>
        <v/>
      </c>
    </row>
    <row r="1651" spans="1:3">
      <c r="A1651" t="str">
        <f>IFERROR(INDEX(装备库!$A$2:$E$2022,MATCH(ROW()-1,装备库!$AK$2:$AK$2022,0),COLUMN()),"")</f>
        <v/>
      </c>
      <c r="B1651" t="str">
        <f>IFERROR(INDEX(装备库!$A$2:$E$2022,MATCH(ROW()-1,装备库!$AK$2:$AK$2022,0),COLUMN()),"")</f>
        <v/>
      </c>
      <c r="C1651" t="str">
        <f>IFERROR(INDEX(装备库!$A$2:$E$2022,MATCH(ROW()-1,装备库!$AK$2:$AK$2022,0),5),"")</f>
        <v/>
      </c>
    </row>
    <row r="1652" spans="1:3">
      <c r="A1652" t="str">
        <f>IFERROR(INDEX(装备库!$A$2:$E$2022,MATCH(ROW()-1,装备库!$AK$2:$AK$2022,0),COLUMN()),"")</f>
        <v/>
      </c>
      <c r="B1652" t="str">
        <f>IFERROR(INDEX(装备库!$A$2:$E$2022,MATCH(ROW()-1,装备库!$AK$2:$AK$2022,0),COLUMN()),"")</f>
        <v/>
      </c>
      <c r="C1652" t="str">
        <f>IFERROR(INDEX(装备库!$A$2:$E$2022,MATCH(ROW()-1,装备库!$AK$2:$AK$2022,0),5),"")</f>
        <v/>
      </c>
    </row>
    <row r="1653" spans="1:3">
      <c r="A1653" t="str">
        <f>IFERROR(INDEX(装备库!$A$2:$E$2022,MATCH(ROW()-1,装备库!$AK$2:$AK$2022,0),COLUMN()),"")</f>
        <v/>
      </c>
      <c r="B1653" t="str">
        <f>IFERROR(INDEX(装备库!$A$2:$E$2022,MATCH(ROW()-1,装备库!$AK$2:$AK$2022,0),COLUMN()),"")</f>
        <v/>
      </c>
      <c r="C1653" t="str">
        <f>IFERROR(INDEX(装备库!$A$2:$E$2022,MATCH(ROW()-1,装备库!$AK$2:$AK$2022,0),5),"")</f>
        <v/>
      </c>
    </row>
    <row r="1654" spans="1:3">
      <c r="A1654" t="str">
        <f>IFERROR(INDEX(装备库!$A$2:$E$2022,MATCH(ROW()-1,装备库!$AK$2:$AK$2022,0),COLUMN()),"")</f>
        <v/>
      </c>
      <c r="B1654" t="str">
        <f>IFERROR(INDEX(装备库!$A$2:$E$2022,MATCH(ROW()-1,装备库!$AK$2:$AK$2022,0),COLUMN()),"")</f>
        <v/>
      </c>
      <c r="C1654" t="str">
        <f>IFERROR(INDEX(装备库!$A$2:$E$2022,MATCH(ROW()-1,装备库!$AK$2:$AK$2022,0),5),"")</f>
        <v/>
      </c>
    </row>
    <row r="1655" spans="1:3">
      <c r="A1655" t="str">
        <f>IFERROR(INDEX(装备库!$A$2:$E$2022,MATCH(ROW()-1,装备库!$AK$2:$AK$2022,0),COLUMN()),"")</f>
        <v/>
      </c>
      <c r="B1655" t="str">
        <f>IFERROR(INDEX(装备库!$A$2:$E$2022,MATCH(ROW()-1,装备库!$AK$2:$AK$2022,0),COLUMN()),"")</f>
        <v/>
      </c>
      <c r="C1655" t="str">
        <f>IFERROR(INDEX(装备库!$A$2:$E$2022,MATCH(ROW()-1,装备库!$AK$2:$AK$2022,0),5),"")</f>
        <v/>
      </c>
    </row>
    <row r="1656" spans="1:3">
      <c r="A1656" t="str">
        <f>IFERROR(INDEX(装备库!$A$2:$E$2022,MATCH(ROW()-1,装备库!$AK$2:$AK$2022,0),COLUMN()),"")</f>
        <v/>
      </c>
      <c r="B1656" t="str">
        <f>IFERROR(INDEX(装备库!$A$2:$E$2022,MATCH(ROW()-1,装备库!$AK$2:$AK$2022,0),COLUMN()),"")</f>
        <v/>
      </c>
      <c r="C1656" t="str">
        <f>IFERROR(INDEX(装备库!$A$2:$E$2022,MATCH(ROW()-1,装备库!$AK$2:$AK$2022,0),5),"")</f>
        <v/>
      </c>
    </row>
    <row r="1657" spans="1:3">
      <c r="A1657" t="str">
        <f>IFERROR(INDEX(装备库!$A$2:$E$2022,MATCH(ROW()-1,装备库!$AK$2:$AK$2022,0),COLUMN()),"")</f>
        <v/>
      </c>
      <c r="B1657" t="str">
        <f>IFERROR(INDEX(装备库!$A$2:$E$2022,MATCH(ROW()-1,装备库!$AK$2:$AK$2022,0),COLUMN()),"")</f>
        <v/>
      </c>
      <c r="C1657" t="str">
        <f>IFERROR(INDEX(装备库!$A$2:$E$2022,MATCH(ROW()-1,装备库!$AK$2:$AK$2022,0),5),"")</f>
        <v/>
      </c>
    </row>
    <row r="1658" spans="1:3">
      <c r="A1658" t="str">
        <f>IFERROR(INDEX(装备库!$A$2:$E$2022,MATCH(ROW()-1,装备库!$AK$2:$AK$2022,0),COLUMN()),"")</f>
        <v/>
      </c>
      <c r="B1658" t="str">
        <f>IFERROR(INDEX(装备库!$A$2:$E$2022,MATCH(ROW()-1,装备库!$AK$2:$AK$2022,0),COLUMN()),"")</f>
        <v/>
      </c>
      <c r="C1658" t="str">
        <f>IFERROR(INDEX(装备库!$A$2:$E$2022,MATCH(ROW()-1,装备库!$AK$2:$AK$2022,0),5),"")</f>
        <v/>
      </c>
    </row>
    <row r="1659" spans="1:3">
      <c r="A1659" t="str">
        <f>IFERROR(INDEX(装备库!$A$2:$E$2022,MATCH(ROW()-1,装备库!$AK$2:$AK$2022,0),COLUMN()),"")</f>
        <v/>
      </c>
      <c r="B1659" t="str">
        <f>IFERROR(INDEX(装备库!$A$2:$E$2022,MATCH(ROW()-1,装备库!$AK$2:$AK$2022,0),COLUMN()),"")</f>
        <v/>
      </c>
      <c r="C1659" t="str">
        <f>IFERROR(INDEX(装备库!$A$2:$E$2022,MATCH(ROW()-1,装备库!$AK$2:$AK$2022,0),5),"")</f>
        <v/>
      </c>
    </row>
    <row r="1660" spans="1:3">
      <c r="A1660" t="str">
        <f>IFERROR(INDEX(装备库!$A$2:$E$2022,MATCH(ROW()-1,装备库!$AK$2:$AK$2022,0),COLUMN()),"")</f>
        <v/>
      </c>
      <c r="B1660" t="str">
        <f>IFERROR(INDEX(装备库!$A$2:$E$2022,MATCH(ROW()-1,装备库!$AK$2:$AK$2022,0),COLUMN()),"")</f>
        <v/>
      </c>
      <c r="C1660" t="str">
        <f>IFERROR(INDEX(装备库!$A$2:$E$2022,MATCH(ROW()-1,装备库!$AK$2:$AK$2022,0),5),"")</f>
        <v/>
      </c>
    </row>
    <row r="1661" spans="1:3">
      <c r="A1661" t="str">
        <f>IFERROR(INDEX(装备库!$A$2:$E$2022,MATCH(ROW()-1,装备库!$AK$2:$AK$2022,0),COLUMN()),"")</f>
        <v/>
      </c>
      <c r="B1661" t="str">
        <f>IFERROR(INDEX(装备库!$A$2:$E$2022,MATCH(ROW()-1,装备库!$AK$2:$AK$2022,0),COLUMN()),"")</f>
        <v/>
      </c>
      <c r="C1661" t="str">
        <f>IFERROR(INDEX(装备库!$A$2:$E$2022,MATCH(ROW()-1,装备库!$AK$2:$AK$2022,0),5),"")</f>
        <v/>
      </c>
    </row>
    <row r="1662" spans="1:3">
      <c r="A1662" t="str">
        <f>IFERROR(INDEX(装备库!$A$2:$E$2022,MATCH(ROW()-1,装备库!$AK$2:$AK$2022,0),COLUMN()),"")</f>
        <v/>
      </c>
      <c r="B1662" t="str">
        <f>IFERROR(INDEX(装备库!$A$2:$E$2022,MATCH(ROW()-1,装备库!$AK$2:$AK$2022,0),COLUMN()),"")</f>
        <v/>
      </c>
      <c r="C1662" t="str">
        <f>IFERROR(INDEX(装备库!$A$2:$E$2022,MATCH(ROW()-1,装备库!$AK$2:$AK$2022,0),5),"")</f>
        <v/>
      </c>
    </row>
    <row r="1663" spans="1:3">
      <c r="A1663" t="str">
        <f>IFERROR(INDEX(装备库!$A$2:$E$2022,MATCH(ROW()-1,装备库!$AK$2:$AK$2022,0),COLUMN()),"")</f>
        <v/>
      </c>
      <c r="B1663" t="str">
        <f>IFERROR(INDEX(装备库!$A$2:$E$2022,MATCH(ROW()-1,装备库!$AK$2:$AK$2022,0),COLUMN()),"")</f>
        <v/>
      </c>
      <c r="C1663" t="str">
        <f>IFERROR(INDEX(装备库!$A$2:$E$2022,MATCH(ROW()-1,装备库!$AK$2:$AK$2022,0),5),"")</f>
        <v/>
      </c>
    </row>
    <row r="1664" spans="1:3">
      <c r="A1664" t="str">
        <f>IFERROR(INDEX(装备库!$A$2:$E$2022,MATCH(ROW()-1,装备库!$AK$2:$AK$2022,0),COLUMN()),"")</f>
        <v/>
      </c>
      <c r="B1664" t="str">
        <f>IFERROR(INDEX(装备库!$A$2:$E$2022,MATCH(ROW()-1,装备库!$AK$2:$AK$2022,0),COLUMN()),"")</f>
        <v/>
      </c>
      <c r="C1664" t="str">
        <f>IFERROR(INDEX(装备库!$A$2:$E$2022,MATCH(ROW()-1,装备库!$AK$2:$AK$2022,0),5),"")</f>
        <v/>
      </c>
    </row>
    <row r="1665" spans="1:3">
      <c r="A1665" t="str">
        <f>IFERROR(INDEX(装备库!$A$2:$E$2022,MATCH(ROW()-1,装备库!$AK$2:$AK$2022,0),COLUMN()),"")</f>
        <v/>
      </c>
      <c r="B1665" t="str">
        <f>IFERROR(INDEX(装备库!$A$2:$E$2022,MATCH(ROW()-1,装备库!$AK$2:$AK$2022,0),COLUMN()),"")</f>
        <v/>
      </c>
      <c r="C1665" t="str">
        <f>IFERROR(INDEX(装备库!$A$2:$E$2022,MATCH(ROW()-1,装备库!$AK$2:$AK$2022,0),5),"")</f>
        <v/>
      </c>
    </row>
    <row r="1666" spans="1:3">
      <c r="A1666" t="str">
        <f>IFERROR(INDEX(装备库!$A$2:$E$2022,MATCH(ROW()-1,装备库!$AK$2:$AK$2022,0),COLUMN()),"")</f>
        <v/>
      </c>
      <c r="B1666" t="str">
        <f>IFERROR(INDEX(装备库!$A$2:$E$2022,MATCH(ROW()-1,装备库!$AK$2:$AK$2022,0),COLUMN()),"")</f>
        <v/>
      </c>
      <c r="C1666" t="str">
        <f>IFERROR(INDEX(装备库!$A$2:$E$2022,MATCH(ROW()-1,装备库!$AK$2:$AK$2022,0),5),"")</f>
        <v/>
      </c>
    </row>
    <row r="1667" spans="1:3">
      <c r="A1667" t="str">
        <f>IFERROR(INDEX(装备库!$A$2:$E$2022,MATCH(ROW()-1,装备库!$AK$2:$AK$2022,0),COLUMN()),"")</f>
        <v/>
      </c>
      <c r="B1667" t="str">
        <f>IFERROR(INDEX(装备库!$A$2:$E$2022,MATCH(ROW()-1,装备库!$AK$2:$AK$2022,0),COLUMN()),"")</f>
        <v/>
      </c>
      <c r="C1667" t="str">
        <f>IFERROR(INDEX(装备库!$A$2:$E$2022,MATCH(ROW()-1,装备库!$AK$2:$AK$2022,0),5),"")</f>
        <v/>
      </c>
    </row>
    <row r="1668" spans="1:3">
      <c r="A1668" t="str">
        <f>IFERROR(INDEX(装备库!$A$2:$E$2022,MATCH(ROW()-1,装备库!$AK$2:$AK$2022,0),COLUMN()),"")</f>
        <v/>
      </c>
      <c r="B1668" t="str">
        <f>IFERROR(INDEX(装备库!$A$2:$E$2022,MATCH(ROW()-1,装备库!$AK$2:$AK$2022,0),COLUMN()),"")</f>
        <v/>
      </c>
      <c r="C1668" t="str">
        <f>IFERROR(INDEX(装备库!$A$2:$E$2022,MATCH(ROW()-1,装备库!$AK$2:$AK$2022,0),5),"")</f>
        <v/>
      </c>
    </row>
    <row r="1669" spans="1:3">
      <c r="A1669" t="str">
        <f>IFERROR(INDEX(装备库!$A$2:$E$2022,MATCH(ROW()-1,装备库!$AK$2:$AK$2022,0),COLUMN()),"")</f>
        <v/>
      </c>
      <c r="B1669" t="str">
        <f>IFERROR(INDEX(装备库!$A$2:$E$2022,MATCH(ROW()-1,装备库!$AK$2:$AK$2022,0),COLUMN()),"")</f>
        <v/>
      </c>
      <c r="C1669" t="str">
        <f>IFERROR(INDEX(装备库!$A$2:$E$2022,MATCH(ROW()-1,装备库!$AK$2:$AK$2022,0),5),"")</f>
        <v/>
      </c>
    </row>
    <row r="1670" spans="1:3">
      <c r="A1670" t="str">
        <f>IFERROR(INDEX(装备库!$A$2:$E$2022,MATCH(ROW()-1,装备库!$AK$2:$AK$2022,0),COLUMN()),"")</f>
        <v/>
      </c>
      <c r="B1670" t="str">
        <f>IFERROR(INDEX(装备库!$A$2:$E$2022,MATCH(ROW()-1,装备库!$AK$2:$AK$2022,0),COLUMN()),"")</f>
        <v/>
      </c>
      <c r="C1670" t="str">
        <f>IFERROR(INDEX(装备库!$A$2:$E$2022,MATCH(ROW()-1,装备库!$AK$2:$AK$2022,0),5),"")</f>
        <v/>
      </c>
    </row>
    <row r="1671" spans="1:3">
      <c r="A1671" t="str">
        <f>IFERROR(INDEX(装备库!$A$2:$E$2022,MATCH(ROW()-1,装备库!$AK$2:$AK$2022,0),COLUMN()),"")</f>
        <v/>
      </c>
      <c r="B1671" t="str">
        <f>IFERROR(INDEX(装备库!$A$2:$E$2022,MATCH(ROW()-1,装备库!$AK$2:$AK$2022,0),COLUMN()),"")</f>
        <v/>
      </c>
      <c r="C1671" t="str">
        <f>IFERROR(INDEX(装备库!$A$2:$E$2022,MATCH(ROW()-1,装备库!$AK$2:$AK$2022,0),5),"")</f>
        <v/>
      </c>
    </row>
    <row r="1672" spans="1:3">
      <c r="A1672" t="str">
        <f>IFERROR(INDEX(装备库!$A$2:$E$2022,MATCH(ROW()-1,装备库!$AK$2:$AK$2022,0),COLUMN()),"")</f>
        <v/>
      </c>
      <c r="B1672" t="str">
        <f>IFERROR(INDEX(装备库!$A$2:$E$2022,MATCH(ROW()-1,装备库!$AK$2:$AK$2022,0),COLUMN()),"")</f>
        <v/>
      </c>
      <c r="C1672" t="str">
        <f>IFERROR(INDEX(装备库!$A$2:$E$2022,MATCH(ROW()-1,装备库!$AK$2:$AK$2022,0),5),"")</f>
        <v/>
      </c>
    </row>
    <row r="1673" spans="1:3">
      <c r="A1673" t="str">
        <f>IFERROR(INDEX(装备库!$A$2:$E$2022,MATCH(ROW()-1,装备库!$AK$2:$AK$2022,0),COLUMN()),"")</f>
        <v/>
      </c>
      <c r="B1673" t="str">
        <f>IFERROR(INDEX(装备库!$A$2:$E$2022,MATCH(ROW()-1,装备库!$AK$2:$AK$2022,0),COLUMN()),"")</f>
        <v/>
      </c>
      <c r="C1673" t="str">
        <f>IFERROR(INDEX(装备库!$A$2:$E$2022,MATCH(ROW()-1,装备库!$AK$2:$AK$2022,0),5),"")</f>
        <v/>
      </c>
    </row>
    <row r="1674" spans="1:3">
      <c r="A1674" t="str">
        <f>IFERROR(INDEX(装备库!$A$2:$E$2022,MATCH(ROW()-1,装备库!$AK$2:$AK$2022,0),COLUMN()),"")</f>
        <v/>
      </c>
      <c r="B1674" t="str">
        <f>IFERROR(INDEX(装备库!$A$2:$E$2022,MATCH(ROW()-1,装备库!$AK$2:$AK$2022,0),COLUMN()),"")</f>
        <v/>
      </c>
      <c r="C1674" t="str">
        <f>IFERROR(INDEX(装备库!$A$2:$E$2022,MATCH(ROW()-1,装备库!$AK$2:$AK$2022,0),5),"")</f>
        <v/>
      </c>
    </row>
    <row r="1675" spans="1:3">
      <c r="A1675" t="str">
        <f>IFERROR(INDEX(装备库!$A$2:$E$2022,MATCH(ROW()-1,装备库!$AK$2:$AK$2022,0),COLUMN()),"")</f>
        <v/>
      </c>
      <c r="B1675" t="str">
        <f>IFERROR(INDEX(装备库!$A$2:$E$2022,MATCH(ROW()-1,装备库!$AK$2:$AK$2022,0),COLUMN()),"")</f>
        <v/>
      </c>
      <c r="C1675" t="str">
        <f>IFERROR(INDEX(装备库!$A$2:$E$2022,MATCH(ROW()-1,装备库!$AK$2:$AK$2022,0),5),"")</f>
        <v/>
      </c>
    </row>
    <row r="1676" spans="1:3">
      <c r="A1676" t="str">
        <f>IFERROR(INDEX(装备库!$A$2:$E$2022,MATCH(ROW()-1,装备库!$AK$2:$AK$2022,0),COLUMN()),"")</f>
        <v/>
      </c>
      <c r="B1676" t="str">
        <f>IFERROR(INDEX(装备库!$A$2:$E$2022,MATCH(ROW()-1,装备库!$AK$2:$AK$2022,0),COLUMN()),"")</f>
        <v/>
      </c>
      <c r="C1676" t="str">
        <f>IFERROR(INDEX(装备库!$A$2:$E$2022,MATCH(ROW()-1,装备库!$AK$2:$AK$2022,0),5),"")</f>
        <v/>
      </c>
    </row>
    <row r="1677" spans="1:3">
      <c r="A1677" t="str">
        <f>IFERROR(INDEX(装备库!$A$2:$E$2022,MATCH(ROW()-1,装备库!$AK$2:$AK$2022,0),COLUMN()),"")</f>
        <v/>
      </c>
      <c r="B1677" t="str">
        <f>IFERROR(INDEX(装备库!$A$2:$E$2022,MATCH(ROW()-1,装备库!$AK$2:$AK$2022,0),COLUMN()),"")</f>
        <v/>
      </c>
      <c r="C1677" t="str">
        <f>IFERROR(INDEX(装备库!$A$2:$E$2022,MATCH(ROW()-1,装备库!$AK$2:$AK$2022,0),5),"")</f>
        <v/>
      </c>
    </row>
    <row r="1678" spans="1:3">
      <c r="A1678" t="str">
        <f>IFERROR(INDEX(装备库!$A$2:$E$2022,MATCH(ROW()-1,装备库!$AK$2:$AK$2022,0),COLUMN()),"")</f>
        <v/>
      </c>
      <c r="B1678" t="str">
        <f>IFERROR(INDEX(装备库!$A$2:$E$2022,MATCH(ROW()-1,装备库!$AK$2:$AK$2022,0),COLUMN()),"")</f>
        <v/>
      </c>
      <c r="C1678" t="str">
        <f>IFERROR(INDEX(装备库!$A$2:$E$2022,MATCH(ROW()-1,装备库!$AK$2:$AK$2022,0),5),"")</f>
        <v/>
      </c>
    </row>
    <row r="1679" spans="1:3">
      <c r="A1679" t="str">
        <f>IFERROR(INDEX(装备库!$A$2:$E$2022,MATCH(ROW()-1,装备库!$AK$2:$AK$2022,0),COLUMN()),"")</f>
        <v/>
      </c>
      <c r="B1679" t="str">
        <f>IFERROR(INDEX(装备库!$A$2:$E$2022,MATCH(ROW()-1,装备库!$AK$2:$AK$2022,0),COLUMN()),"")</f>
        <v/>
      </c>
      <c r="C1679" t="str">
        <f>IFERROR(INDEX(装备库!$A$2:$E$2022,MATCH(ROW()-1,装备库!$AK$2:$AK$2022,0),5),"")</f>
        <v/>
      </c>
    </row>
    <row r="1680" spans="1:3">
      <c r="A1680" t="str">
        <f>IFERROR(INDEX(装备库!$A$2:$E$2022,MATCH(ROW()-1,装备库!$AK$2:$AK$2022,0),COLUMN()),"")</f>
        <v/>
      </c>
      <c r="B1680" t="str">
        <f>IFERROR(INDEX(装备库!$A$2:$E$2022,MATCH(ROW()-1,装备库!$AK$2:$AK$2022,0),COLUMN()),"")</f>
        <v/>
      </c>
      <c r="C1680" t="str">
        <f>IFERROR(INDEX(装备库!$A$2:$E$2022,MATCH(ROW()-1,装备库!$AK$2:$AK$2022,0),5),"")</f>
        <v/>
      </c>
    </row>
    <row r="1681" spans="1:3">
      <c r="A1681" t="str">
        <f>IFERROR(INDEX(装备库!$A$2:$E$2022,MATCH(ROW()-1,装备库!$AK$2:$AK$2022,0),COLUMN()),"")</f>
        <v/>
      </c>
      <c r="B1681" t="str">
        <f>IFERROR(INDEX(装备库!$A$2:$E$2022,MATCH(ROW()-1,装备库!$AK$2:$AK$2022,0),COLUMN()),"")</f>
        <v/>
      </c>
      <c r="C1681" t="str">
        <f>IFERROR(INDEX(装备库!$A$2:$E$2022,MATCH(ROW()-1,装备库!$AK$2:$AK$2022,0),5),"")</f>
        <v/>
      </c>
    </row>
    <row r="1682" spans="1:3">
      <c r="A1682" t="str">
        <f>IFERROR(INDEX(装备库!$A$2:$E$2022,MATCH(ROW()-1,装备库!$AK$2:$AK$2022,0),COLUMN()),"")</f>
        <v/>
      </c>
      <c r="B1682" t="str">
        <f>IFERROR(INDEX(装备库!$A$2:$E$2022,MATCH(ROW()-1,装备库!$AK$2:$AK$2022,0),COLUMN()),"")</f>
        <v/>
      </c>
      <c r="C1682" t="str">
        <f>IFERROR(INDEX(装备库!$A$2:$E$2022,MATCH(ROW()-1,装备库!$AK$2:$AK$2022,0),5),"")</f>
        <v/>
      </c>
    </row>
    <row r="1683" spans="1:3">
      <c r="A1683" t="str">
        <f>IFERROR(INDEX(装备库!$A$2:$E$2022,MATCH(ROW()-1,装备库!$AK$2:$AK$2022,0),COLUMN()),"")</f>
        <v/>
      </c>
      <c r="B1683" t="str">
        <f>IFERROR(INDEX(装备库!$A$2:$E$2022,MATCH(ROW()-1,装备库!$AK$2:$AK$2022,0),COLUMN()),"")</f>
        <v/>
      </c>
      <c r="C1683" t="str">
        <f>IFERROR(INDEX(装备库!$A$2:$E$2022,MATCH(ROW()-1,装备库!$AK$2:$AK$2022,0),5),"")</f>
        <v/>
      </c>
    </row>
    <row r="1684" spans="1:3">
      <c r="A1684" t="str">
        <f>IFERROR(INDEX(装备库!$A$2:$E$2022,MATCH(ROW()-1,装备库!$AK$2:$AK$2022,0),COLUMN()),"")</f>
        <v/>
      </c>
      <c r="B1684" t="str">
        <f>IFERROR(INDEX(装备库!$A$2:$E$2022,MATCH(ROW()-1,装备库!$AK$2:$AK$2022,0),COLUMN()),"")</f>
        <v/>
      </c>
      <c r="C1684" t="str">
        <f>IFERROR(INDEX(装备库!$A$2:$E$2022,MATCH(ROW()-1,装备库!$AK$2:$AK$2022,0),5),"")</f>
        <v/>
      </c>
    </row>
    <row r="1685" spans="1:3">
      <c r="A1685" t="str">
        <f>IFERROR(INDEX(装备库!$A$2:$E$2022,MATCH(ROW()-1,装备库!$AK$2:$AK$2022,0),COLUMN()),"")</f>
        <v/>
      </c>
      <c r="B1685" t="str">
        <f>IFERROR(INDEX(装备库!$A$2:$E$2022,MATCH(ROW()-1,装备库!$AK$2:$AK$2022,0),COLUMN()),"")</f>
        <v/>
      </c>
      <c r="C1685" t="str">
        <f>IFERROR(INDEX(装备库!$A$2:$E$2022,MATCH(ROW()-1,装备库!$AK$2:$AK$2022,0),5),"")</f>
        <v/>
      </c>
    </row>
    <row r="1686" spans="1:3">
      <c r="A1686" t="str">
        <f>IFERROR(INDEX(装备库!$A$2:$E$2022,MATCH(ROW()-1,装备库!$AK$2:$AK$2022,0),COLUMN()),"")</f>
        <v/>
      </c>
      <c r="B1686" t="str">
        <f>IFERROR(INDEX(装备库!$A$2:$E$2022,MATCH(ROW()-1,装备库!$AK$2:$AK$2022,0),COLUMN()),"")</f>
        <v/>
      </c>
      <c r="C1686" t="str">
        <f>IFERROR(INDEX(装备库!$A$2:$E$2022,MATCH(ROW()-1,装备库!$AK$2:$AK$2022,0),5),"")</f>
        <v/>
      </c>
    </row>
    <row r="1687" spans="1:3">
      <c r="A1687" t="str">
        <f>IFERROR(INDEX(装备库!$A$2:$E$2022,MATCH(ROW()-1,装备库!$AK$2:$AK$2022,0),COLUMN()),"")</f>
        <v/>
      </c>
      <c r="B1687" t="str">
        <f>IFERROR(INDEX(装备库!$A$2:$E$2022,MATCH(ROW()-1,装备库!$AK$2:$AK$2022,0),COLUMN()),"")</f>
        <v/>
      </c>
      <c r="C1687" t="str">
        <f>IFERROR(INDEX(装备库!$A$2:$E$2022,MATCH(ROW()-1,装备库!$AK$2:$AK$2022,0),5),"")</f>
        <v/>
      </c>
    </row>
    <row r="1688" spans="1:3">
      <c r="A1688" t="str">
        <f>IFERROR(INDEX(装备库!$A$2:$E$2022,MATCH(ROW()-1,装备库!$AK$2:$AK$2022,0),COLUMN()),"")</f>
        <v/>
      </c>
      <c r="B1688" t="str">
        <f>IFERROR(INDEX(装备库!$A$2:$E$2022,MATCH(ROW()-1,装备库!$AK$2:$AK$2022,0),COLUMN()),"")</f>
        <v/>
      </c>
      <c r="C1688" t="str">
        <f>IFERROR(INDEX(装备库!$A$2:$E$2022,MATCH(ROW()-1,装备库!$AK$2:$AK$2022,0),5),"")</f>
        <v/>
      </c>
    </row>
    <row r="1689" spans="1:3">
      <c r="A1689" t="str">
        <f>IFERROR(INDEX(装备库!$A$2:$E$2022,MATCH(ROW()-1,装备库!$AK$2:$AK$2022,0),COLUMN()),"")</f>
        <v/>
      </c>
      <c r="B1689" t="str">
        <f>IFERROR(INDEX(装备库!$A$2:$E$2022,MATCH(ROW()-1,装备库!$AK$2:$AK$2022,0),COLUMN()),"")</f>
        <v/>
      </c>
      <c r="C1689" t="str">
        <f>IFERROR(INDEX(装备库!$A$2:$E$2022,MATCH(ROW()-1,装备库!$AK$2:$AK$2022,0),5),"")</f>
        <v/>
      </c>
    </row>
    <row r="1690" spans="1:3">
      <c r="A1690" t="str">
        <f>IFERROR(INDEX(装备库!$A$2:$E$2022,MATCH(ROW()-1,装备库!$AK$2:$AK$2022,0),COLUMN()),"")</f>
        <v/>
      </c>
      <c r="B1690" t="str">
        <f>IFERROR(INDEX(装备库!$A$2:$E$2022,MATCH(ROW()-1,装备库!$AK$2:$AK$2022,0),COLUMN()),"")</f>
        <v/>
      </c>
      <c r="C1690" t="str">
        <f>IFERROR(INDEX(装备库!$A$2:$E$2022,MATCH(ROW()-1,装备库!$AK$2:$AK$2022,0),5),"")</f>
        <v/>
      </c>
    </row>
    <row r="1691" spans="1:3">
      <c r="A1691" t="str">
        <f>IFERROR(INDEX(装备库!$A$2:$E$2022,MATCH(ROW()-1,装备库!$AK$2:$AK$2022,0),COLUMN()),"")</f>
        <v/>
      </c>
      <c r="B1691" t="str">
        <f>IFERROR(INDEX(装备库!$A$2:$E$2022,MATCH(ROW()-1,装备库!$AK$2:$AK$2022,0),COLUMN()),"")</f>
        <v/>
      </c>
      <c r="C1691" t="str">
        <f>IFERROR(INDEX(装备库!$A$2:$E$2022,MATCH(ROW()-1,装备库!$AK$2:$AK$2022,0),5),"")</f>
        <v/>
      </c>
    </row>
    <row r="1692" spans="1:3">
      <c r="A1692" t="str">
        <f>IFERROR(INDEX(装备库!$A$2:$E$2022,MATCH(ROW()-1,装备库!$AK$2:$AK$2022,0),COLUMN()),"")</f>
        <v/>
      </c>
      <c r="B1692" t="str">
        <f>IFERROR(INDEX(装备库!$A$2:$E$2022,MATCH(ROW()-1,装备库!$AK$2:$AK$2022,0),COLUMN()),"")</f>
        <v/>
      </c>
      <c r="C1692" t="str">
        <f>IFERROR(INDEX(装备库!$A$2:$E$2022,MATCH(ROW()-1,装备库!$AK$2:$AK$2022,0),5),"")</f>
        <v/>
      </c>
    </row>
    <row r="1693" spans="1:3">
      <c r="A1693" t="str">
        <f>IFERROR(INDEX(装备库!$A$2:$E$2022,MATCH(ROW()-1,装备库!$AK$2:$AK$2022,0),COLUMN()),"")</f>
        <v/>
      </c>
      <c r="B1693" t="str">
        <f>IFERROR(INDEX(装备库!$A$2:$E$2022,MATCH(ROW()-1,装备库!$AK$2:$AK$2022,0),COLUMN()),"")</f>
        <v/>
      </c>
      <c r="C1693" t="str">
        <f>IFERROR(INDEX(装备库!$A$2:$E$2022,MATCH(ROW()-1,装备库!$AK$2:$AK$2022,0),5),"")</f>
        <v/>
      </c>
    </row>
    <row r="1694" spans="1:3">
      <c r="A1694" t="str">
        <f>IFERROR(INDEX(装备库!$A$2:$E$2022,MATCH(ROW()-1,装备库!$AK$2:$AK$2022,0),COLUMN()),"")</f>
        <v/>
      </c>
      <c r="B1694" t="str">
        <f>IFERROR(INDEX(装备库!$A$2:$E$2022,MATCH(ROW()-1,装备库!$AK$2:$AK$2022,0),COLUMN()),"")</f>
        <v/>
      </c>
      <c r="C1694" t="str">
        <f>IFERROR(INDEX(装备库!$A$2:$E$2022,MATCH(ROW()-1,装备库!$AK$2:$AK$2022,0),5),"")</f>
        <v/>
      </c>
    </row>
    <row r="1695" spans="1:3">
      <c r="A1695" t="str">
        <f>IFERROR(INDEX(装备库!$A$2:$E$2022,MATCH(ROW()-1,装备库!$AK$2:$AK$2022,0),COLUMN()),"")</f>
        <v/>
      </c>
      <c r="B1695" t="str">
        <f>IFERROR(INDEX(装备库!$A$2:$E$2022,MATCH(ROW()-1,装备库!$AK$2:$AK$2022,0),COLUMN()),"")</f>
        <v/>
      </c>
      <c r="C1695" t="str">
        <f>IFERROR(INDEX(装备库!$A$2:$E$2022,MATCH(ROW()-1,装备库!$AK$2:$AK$2022,0),5),"")</f>
        <v/>
      </c>
    </row>
    <row r="1696" spans="1:3">
      <c r="A1696" t="str">
        <f>IFERROR(INDEX(装备库!$A$2:$E$2022,MATCH(ROW()-1,装备库!$AK$2:$AK$2022,0),COLUMN()),"")</f>
        <v/>
      </c>
      <c r="B1696" t="str">
        <f>IFERROR(INDEX(装备库!$A$2:$E$2022,MATCH(ROW()-1,装备库!$AK$2:$AK$2022,0),COLUMN()),"")</f>
        <v/>
      </c>
      <c r="C1696" t="str">
        <f>IFERROR(INDEX(装备库!$A$2:$E$2022,MATCH(ROW()-1,装备库!$AK$2:$AK$2022,0),5),"")</f>
        <v/>
      </c>
    </row>
    <row r="1697" spans="1:3">
      <c r="A1697" t="str">
        <f>IFERROR(INDEX(装备库!$A$2:$E$2022,MATCH(ROW()-1,装备库!$AK$2:$AK$2022,0),COLUMN()),"")</f>
        <v/>
      </c>
      <c r="B1697" t="str">
        <f>IFERROR(INDEX(装备库!$A$2:$E$2022,MATCH(ROW()-1,装备库!$AK$2:$AK$2022,0),COLUMN()),"")</f>
        <v/>
      </c>
      <c r="C1697" t="str">
        <f>IFERROR(INDEX(装备库!$A$2:$E$2022,MATCH(ROW()-1,装备库!$AK$2:$AK$2022,0),5),"")</f>
        <v/>
      </c>
    </row>
    <row r="1698" spans="1:3">
      <c r="A1698" t="str">
        <f>IFERROR(INDEX(装备库!$A$2:$E$2022,MATCH(ROW()-1,装备库!$AK$2:$AK$2022,0),COLUMN()),"")</f>
        <v/>
      </c>
      <c r="B1698" t="str">
        <f>IFERROR(INDEX(装备库!$A$2:$E$2022,MATCH(ROW()-1,装备库!$AK$2:$AK$2022,0),COLUMN()),"")</f>
        <v/>
      </c>
      <c r="C1698" t="str">
        <f>IFERROR(INDEX(装备库!$A$2:$E$2022,MATCH(ROW()-1,装备库!$AK$2:$AK$2022,0),5),"")</f>
        <v/>
      </c>
    </row>
    <row r="1699" spans="1:3">
      <c r="A1699" t="str">
        <f>IFERROR(INDEX(装备库!$A$2:$E$2022,MATCH(ROW()-1,装备库!$AK$2:$AK$2022,0),COLUMN()),"")</f>
        <v/>
      </c>
      <c r="B1699" t="str">
        <f>IFERROR(INDEX(装备库!$A$2:$E$2022,MATCH(ROW()-1,装备库!$AK$2:$AK$2022,0),COLUMN()),"")</f>
        <v/>
      </c>
      <c r="C1699" t="str">
        <f>IFERROR(INDEX(装备库!$A$2:$E$2022,MATCH(ROW()-1,装备库!$AK$2:$AK$2022,0),5),"")</f>
        <v/>
      </c>
    </row>
    <row r="1700" spans="1:3">
      <c r="A1700" t="str">
        <f>IFERROR(INDEX(装备库!$A$2:$E$2022,MATCH(ROW()-1,装备库!$AK$2:$AK$2022,0),COLUMN()),"")</f>
        <v/>
      </c>
      <c r="B1700" t="str">
        <f>IFERROR(INDEX(装备库!$A$2:$E$2022,MATCH(ROW()-1,装备库!$AK$2:$AK$2022,0),COLUMN()),"")</f>
        <v/>
      </c>
      <c r="C1700" t="str">
        <f>IFERROR(INDEX(装备库!$A$2:$E$2022,MATCH(ROW()-1,装备库!$AK$2:$AK$2022,0),5),"")</f>
        <v/>
      </c>
    </row>
    <row r="1701" spans="1:3">
      <c r="A1701" t="str">
        <f>IFERROR(INDEX(装备库!$A$2:$E$2022,MATCH(ROW()-1,装备库!$AK$2:$AK$2022,0),COLUMN()),"")</f>
        <v/>
      </c>
      <c r="B1701" t="str">
        <f>IFERROR(INDEX(装备库!$A$2:$E$2022,MATCH(ROW()-1,装备库!$AK$2:$AK$2022,0),COLUMN()),"")</f>
        <v/>
      </c>
      <c r="C1701" t="str">
        <f>IFERROR(INDEX(装备库!$A$2:$E$2022,MATCH(ROW()-1,装备库!$AK$2:$AK$2022,0),5),"")</f>
        <v/>
      </c>
    </row>
    <row r="1702" spans="1:3">
      <c r="A1702" t="str">
        <f>IFERROR(INDEX(装备库!$A$2:$E$2022,MATCH(ROW()-1,装备库!$AK$2:$AK$2022,0),COLUMN()),"")</f>
        <v/>
      </c>
      <c r="B1702" t="str">
        <f>IFERROR(INDEX(装备库!$A$2:$E$2022,MATCH(ROW()-1,装备库!$AK$2:$AK$2022,0),COLUMN()),"")</f>
        <v/>
      </c>
      <c r="C1702" t="str">
        <f>IFERROR(INDEX(装备库!$A$2:$E$2022,MATCH(ROW()-1,装备库!$AK$2:$AK$2022,0),5),"")</f>
        <v/>
      </c>
    </row>
    <row r="1703" spans="1:3">
      <c r="A1703" t="str">
        <f>IFERROR(INDEX(装备库!$A$2:$E$2022,MATCH(ROW()-1,装备库!$AK$2:$AK$2022,0),COLUMN()),"")</f>
        <v/>
      </c>
      <c r="B1703" t="str">
        <f>IFERROR(INDEX(装备库!$A$2:$E$2022,MATCH(ROW()-1,装备库!$AK$2:$AK$2022,0),COLUMN()),"")</f>
        <v/>
      </c>
      <c r="C1703" t="str">
        <f>IFERROR(INDEX(装备库!$A$2:$E$2022,MATCH(ROW()-1,装备库!$AK$2:$AK$2022,0),5),"")</f>
        <v/>
      </c>
    </row>
    <row r="1704" spans="1:3">
      <c r="A1704" t="str">
        <f>IFERROR(INDEX(装备库!$A$2:$E$2022,MATCH(ROW()-1,装备库!$AK$2:$AK$2022,0),COLUMN()),"")</f>
        <v/>
      </c>
      <c r="B1704" t="str">
        <f>IFERROR(INDEX(装备库!$A$2:$E$2022,MATCH(ROW()-1,装备库!$AK$2:$AK$2022,0),COLUMN()),"")</f>
        <v/>
      </c>
      <c r="C1704" t="str">
        <f>IFERROR(INDEX(装备库!$A$2:$E$2022,MATCH(ROW()-1,装备库!$AK$2:$AK$2022,0),5),"")</f>
        <v/>
      </c>
    </row>
    <row r="1705" spans="1:3">
      <c r="A1705" t="str">
        <f>IFERROR(INDEX(装备库!$A$2:$E$2022,MATCH(ROW()-1,装备库!$AK$2:$AK$2022,0),COLUMN()),"")</f>
        <v/>
      </c>
      <c r="B1705" t="str">
        <f>IFERROR(INDEX(装备库!$A$2:$E$2022,MATCH(ROW()-1,装备库!$AK$2:$AK$2022,0),COLUMN()),"")</f>
        <v/>
      </c>
      <c r="C1705" t="str">
        <f>IFERROR(INDEX(装备库!$A$2:$E$2022,MATCH(ROW()-1,装备库!$AK$2:$AK$2022,0),5),"")</f>
        <v/>
      </c>
    </row>
    <row r="1706" spans="1:3">
      <c r="A1706" t="str">
        <f>IFERROR(INDEX(装备库!$A$2:$E$2022,MATCH(ROW()-1,装备库!$AK$2:$AK$2022,0),COLUMN()),"")</f>
        <v/>
      </c>
      <c r="B1706" t="str">
        <f>IFERROR(INDEX(装备库!$A$2:$E$2022,MATCH(ROW()-1,装备库!$AK$2:$AK$2022,0),COLUMN()),"")</f>
        <v/>
      </c>
      <c r="C1706" t="str">
        <f>IFERROR(INDEX(装备库!$A$2:$E$2022,MATCH(ROW()-1,装备库!$AK$2:$AK$2022,0),5),"")</f>
        <v/>
      </c>
    </row>
    <row r="1707" spans="1:3">
      <c r="A1707" t="str">
        <f>IFERROR(INDEX(装备库!$A$2:$E$2022,MATCH(ROW()-1,装备库!$AK$2:$AK$2022,0),COLUMN()),"")</f>
        <v/>
      </c>
      <c r="B1707" t="str">
        <f>IFERROR(INDEX(装备库!$A$2:$E$2022,MATCH(ROW()-1,装备库!$AK$2:$AK$2022,0),COLUMN()),"")</f>
        <v/>
      </c>
      <c r="C1707" t="str">
        <f>IFERROR(INDEX(装备库!$A$2:$E$2022,MATCH(ROW()-1,装备库!$AK$2:$AK$2022,0),5),"")</f>
        <v/>
      </c>
    </row>
    <row r="1708" spans="1:3">
      <c r="A1708" t="str">
        <f>IFERROR(INDEX(装备库!$A$2:$E$2022,MATCH(ROW()-1,装备库!$AK$2:$AK$2022,0),COLUMN()),"")</f>
        <v/>
      </c>
      <c r="B1708" t="str">
        <f>IFERROR(INDEX(装备库!$A$2:$E$2022,MATCH(ROW()-1,装备库!$AK$2:$AK$2022,0),COLUMN()),"")</f>
        <v/>
      </c>
      <c r="C1708" t="str">
        <f>IFERROR(INDEX(装备库!$A$2:$E$2022,MATCH(ROW()-1,装备库!$AK$2:$AK$2022,0),5),"")</f>
        <v/>
      </c>
    </row>
    <row r="1709" spans="1:3">
      <c r="A1709" t="str">
        <f>IFERROR(INDEX(装备库!$A$2:$E$2022,MATCH(ROW()-1,装备库!$AK$2:$AK$2022,0),COLUMN()),"")</f>
        <v/>
      </c>
      <c r="B1709" t="str">
        <f>IFERROR(INDEX(装备库!$A$2:$E$2022,MATCH(ROW()-1,装备库!$AK$2:$AK$2022,0),COLUMN()),"")</f>
        <v/>
      </c>
      <c r="C1709" t="str">
        <f>IFERROR(INDEX(装备库!$A$2:$E$2022,MATCH(ROW()-1,装备库!$AK$2:$AK$2022,0),5),"")</f>
        <v/>
      </c>
    </row>
    <row r="1710" spans="1:3">
      <c r="A1710" t="str">
        <f>IFERROR(INDEX(装备库!$A$2:$E$2022,MATCH(ROW()-1,装备库!$AK$2:$AK$2022,0),COLUMN()),"")</f>
        <v/>
      </c>
      <c r="B1710" t="str">
        <f>IFERROR(INDEX(装备库!$A$2:$E$2022,MATCH(ROW()-1,装备库!$AK$2:$AK$2022,0),COLUMN()),"")</f>
        <v/>
      </c>
      <c r="C1710" t="str">
        <f>IFERROR(INDEX(装备库!$A$2:$E$2022,MATCH(ROW()-1,装备库!$AK$2:$AK$2022,0),5),"")</f>
        <v/>
      </c>
    </row>
    <row r="1711" spans="1:3">
      <c r="A1711" t="str">
        <f>IFERROR(INDEX(装备库!$A$2:$E$2022,MATCH(ROW()-1,装备库!$AK$2:$AK$2022,0),COLUMN()),"")</f>
        <v/>
      </c>
      <c r="B1711" t="str">
        <f>IFERROR(INDEX(装备库!$A$2:$E$2022,MATCH(ROW()-1,装备库!$AK$2:$AK$2022,0),COLUMN()),"")</f>
        <v/>
      </c>
      <c r="C1711" t="str">
        <f>IFERROR(INDEX(装备库!$A$2:$E$2022,MATCH(ROW()-1,装备库!$AK$2:$AK$2022,0),5),"")</f>
        <v/>
      </c>
    </row>
    <row r="1712" spans="1:3">
      <c r="A1712" t="str">
        <f>IFERROR(INDEX(装备库!$A$2:$E$2022,MATCH(ROW()-1,装备库!$AK$2:$AK$2022,0),COLUMN()),"")</f>
        <v/>
      </c>
      <c r="B1712" t="str">
        <f>IFERROR(INDEX(装备库!$A$2:$E$2022,MATCH(ROW()-1,装备库!$AK$2:$AK$2022,0),COLUMN()),"")</f>
        <v/>
      </c>
      <c r="C1712" t="str">
        <f>IFERROR(INDEX(装备库!$A$2:$E$2022,MATCH(ROW()-1,装备库!$AK$2:$AK$2022,0),5),"")</f>
        <v/>
      </c>
    </row>
    <row r="1713" spans="1:3">
      <c r="A1713" t="str">
        <f>IFERROR(INDEX(装备库!$A$2:$E$2022,MATCH(ROW()-1,装备库!$AK$2:$AK$2022,0),COLUMN()),"")</f>
        <v/>
      </c>
      <c r="B1713" t="str">
        <f>IFERROR(INDEX(装备库!$A$2:$E$2022,MATCH(ROW()-1,装备库!$AK$2:$AK$2022,0),COLUMN()),"")</f>
        <v/>
      </c>
      <c r="C1713" t="str">
        <f>IFERROR(INDEX(装备库!$A$2:$E$2022,MATCH(ROW()-1,装备库!$AK$2:$AK$2022,0),5),"")</f>
        <v/>
      </c>
    </row>
    <row r="1714" spans="1:3">
      <c r="A1714" t="str">
        <f>IFERROR(INDEX(装备库!$A$2:$E$2022,MATCH(ROW()-1,装备库!$AK$2:$AK$2022,0),COLUMN()),"")</f>
        <v/>
      </c>
      <c r="B1714" t="str">
        <f>IFERROR(INDEX(装备库!$A$2:$E$2022,MATCH(ROW()-1,装备库!$AK$2:$AK$2022,0),COLUMN()),"")</f>
        <v/>
      </c>
      <c r="C1714" t="str">
        <f>IFERROR(INDEX(装备库!$A$2:$E$2022,MATCH(ROW()-1,装备库!$AK$2:$AK$2022,0),5),"")</f>
        <v/>
      </c>
    </row>
    <row r="1715" spans="1:3">
      <c r="A1715" t="str">
        <f>IFERROR(INDEX(装备库!$A$2:$E$2022,MATCH(ROW()-1,装备库!$AK$2:$AK$2022,0),COLUMN()),"")</f>
        <v/>
      </c>
      <c r="B1715" t="str">
        <f>IFERROR(INDEX(装备库!$A$2:$E$2022,MATCH(ROW()-1,装备库!$AK$2:$AK$2022,0),COLUMN()),"")</f>
        <v/>
      </c>
      <c r="C1715" t="str">
        <f>IFERROR(INDEX(装备库!$A$2:$E$2022,MATCH(ROW()-1,装备库!$AK$2:$AK$2022,0),5),"")</f>
        <v/>
      </c>
    </row>
    <row r="1716" spans="1:3">
      <c r="A1716" t="str">
        <f>IFERROR(INDEX(装备库!$A$2:$E$2022,MATCH(ROW()-1,装备库!$AK$2:$AK$2022,0),COLUMN()),"")</f>
        <v/>
      </c>
      <c r="B1716" t="str">
        <f>IFERROR(INDEX(装备库!$A$2:$E$2022,MATCH(ROW()-1,装备库!$AK$2:$AK$2022,0),COLUMN()),"")</f>
        <v/>
      </c>
      <c r="C1716" t="str">
        <f>IFERROR(INDEX(装备库!$A$2:$E$2022,MATCH(ROW()-1,装备库!$AK$2:$AK$2022,0),5),"")</f>
        <v/>
      </c>
    </row>
    <row r="1717" spans="1:3">
      <c r="A1717" t="str">
        <f>IFERROR(INDEX(装备库!$A$2:$E$2022,MATCH(ROW()-1,装备库!$AK$2:$AK$2022,0),COLUMN()),"")</f>
        <v/>
      </c>
      <c r="B1717" t="str">
        <f>IFERROR(INDEX(装备库!$A$2:$E$2022,MATCH(ROW()-1,装备库!$AK$2:$AK$2022,0),COLUMN()),"")</f>
        <v/>
      </c>
      <c r="C1717" t="str">
        <f>IFERROR(INDEX(装备库!$A$2:$E$2022,MATCH(ROW()-1,装备库!$AK$2:$AK$2022,0),5),"")</f>
        <v/>
      </c>
    </row>
    <row r="1718" spans="1:3">
      <c r="A1718" t="str">
        <f>IFERROR(INDEX(装备库!$A$2:$E$2022,MATCH(ROW()-1,装备库!$AK$2:$AK$2022,0),COLUMN()),"")</f>
        <v/>
      </c>
      <c r="B1718" t="str">
        <f>IFERROR(INDEX(装备库!$A$2:$E$2022,MATCH(ROW()-1,装备库!$AK$2:$AK$2022,0),COLUMN()),"")</f>
        <v/>
      </c>
      <c r="C1718" t="str">
        <f>IFERROR(INDEX(装备库!$A$2:$E$2022,MATCH(ROW()-1,装备库!$AK$2:$AK$2022,0),5),"")</f>
        <v/>
      </c>
    </row>
    <row r="1719" spans="1:3">
      <c r="A1719" t="str">
        <f>IFERROR(INDEX(装备库!$A$2:$E$2022,MATCH(ROW()-1,装备库!$AK$2:$AK$2022,0),COLUMN()),"")</f>
        <v/>
      </c>
      <c r="B1719" t="str">
        <f>IFERROR(INDEX(装备库!$A$2:$E$2022,MATCH(ROW()-1,装备库!$AK$2:$AK$2022,0),COLUMN()),"")</f>
        <v/>
      </c>
      <c r="C1719" t="str">
        <f>IFERROR(INDEX(装备库!$A$2:$E$2022,MATCH(ROW()-1,装备库!$AK$2:$AK$2022,0),5),"")</f>
        <v/>
      </c>
    </row>
    <row r="1720" spans="1:3">
      <c r="A1720" t="str">
        <f>IFERROR(INDEX(装备库!$A$2:$E$2022,MATCH(ROW()-1,装备库!$AK$2:$AK$2022,0),COLUMN()),"")</f>
        <v/>
      </c>
      <c r="B1720" t="str">
        <f>IFERROR(INDEX(装备库!$A$2:$E$2022,MATCH(ROW()-1,装备库!$AK$2:$AK$2022,0),COLUMN()),"")</f>
        <v/>
      </c>
      <c r="C1720" t="str">
        <f>IFERROR(INDEX(装备库!$A$2:$E$2022,MATCH(ROW()-1,装备库!$AK$2:$AK$2022,0),5),"")</f>
        <v/>
      </c>
    </row>
    <row r="1721" spans="1:3">
      <c r="A1721" t="str">
        <f>IFERROR(INDEX(装备库!$A$2:$E$2022,MATCH(ROW()-1,装备库!$AK$2:$AK$2022,0),COLUMN()),"")</f>
        <v/>
      </c>
      <c r="B1721" t="str">
        <f>IFERROR(INDEX(装备库!$A$2:$E$2022,MATCH(ROW()-1,装备库!$AK$2:$AK$2022,0),COLUMN()),"")</f>
        <v/>
      </c>
      <c r="C1721" t="str">
        <f>IFERROR(INDEX(装备库!$A$2:$E$2022,MATCH(ROW()-1,装备库!$AK$2:$AK$2022,0),5),"")</f>
        <v/>
      </c>
    </row>
    <row r="1722" spans="1:3">
      <c r="A1722" t="str">
        <f>IFERROR(INDEX(装备库!$A$2:$E$2022,MATCH(ROW()-1,装备库!$AK$2:$AK$2022,0),COLUMN()),"")</f>
        <v/>
      </c>
      <c r="B1722" t="str">
        <f>IFERROR(INDEX(装备库!$A$2:$E$2022,MATCH(ROW()-1,装备库!$AK$2:$AK$2022,0),COLUMN()),"")</f>
        <v/>
      </c>
      <c r="C1722" t="str">
        <f>IFERROR(INDEX(装备库!$A$2:$E$2022,MATCH(ROW()-1,装备库!$AK$2:$AK$2022,0),5),"")</f>
        <v/>
      </c>
    </row>
    <row r="1723" spans="1:3">
      <c r="A1723" t="str">
        <f>IFERROR(INDEX(装备库!$A$2:$E$2022,MATCH(ROW()-1,装备库!$AK$2:$AK$2022,0),COLUMN()),"")</f>
        <v/>
      </c>
      <c r="B1723" t="str">
        <f>IFERROR(INDEX(装备库!$A$2:$E$2022,MATCH(ROW()-1,装备库!$AK$2:$AK$2022,0),COLUMN()),"")</f>
        <v/>
      </c>
      <c r="C1723" t="str">
        <f>IFERROR(INDEX(装备库!$A$2:$E$2022,MATCH(ROW()-1,装备库!$AK$2:$AK$2022,0),5),"")</f>
        <v/>
      </c>
    </row>
    <row r="1724" spans="1:3">
      <c r="A1724" t="str">
        <f>IFERROR(INDEX(装备库!$A$2:$E$2022,MATCH(ROW()-1,装备库!$AK$2:$AK$2022,0),COLUMN()),"")</f>
        <v/>
      </c>
      <c r="B1724" t="str">
        <f>IFERROR(INDEX(装备库!$A$2:$E$2022,MATCH(ROW()-1,装备库!$AK$2:$AK$2022,0),COLUMN()),"")</f>
        <v/>
      </c>
      <c r="C1724" t="str">
        <f>IFERROR(INDEX(装备库!$A$2:$E$2022,MATCH(ROW()-1,装备库!$AK$2:$AK$2022,0),5),"")</f>
        <v/>
      </c>
    </row>
    <row r="1725" spans="1:3">
      <c r="A1725" t="str">
        <f>IFERROR(INDEX(装备库!$A$2:$E$2022,MATCH(ROW()-1,装备库!$AK$2:$AK$2022,0),COLUMN()),"")</f>
        <v/>
      </c>
      <c r="B1725" t="str">
        <f>IFERROR(INDEX(装备库!$A$2:$E$2022,MATCH(ROW()-1,装备库!$AK$2:$AK$2022,0),COLUMN()),"")</f>
        <v/>
      </c>
      <c r="C1725" t="str">
        <f>IFERROR(INDEX(装备库!$A$2:$E$2022,MATCH(ROW()-1,装备库!$AK$2:$AK$2022,0),5),"")</f>
        <v/>
      </c>
    </row>
    <row r="1726" spans="1:3">
      <c r="A1726" t="str">
        <f>IFERROR(INDEX(装备库!$A$2:$E$2022,MATCH(ROW()-1,装备库!$AK$2:$AK$2022,0),COLUMN()),"")</f>
        <v/>
      </c>
      <c r="B1726" t="str">
        <f>IFERROR(INDEX(装备库!$A$2:$E$2022,MATCH(ROW()-1,装备库!$AK$2:$AK$2022,0),COLUMN()),"")</f>
        <v/>
      </c>
      <c r="C1726" t="str">
        <f>IFERROR(INDEX(装备库!$A$2:$E$2022,MATCH(ROW()-1,装备库!$AK$2:$AK$2022,0),5),"")</f>
        <v/>
      </c>
    </row>
    <row r="1727" spans="1:3">
      <c r="A1727" t="str">
        <f>IFERROR(INDEX(装备库!$A$2:$E$2022,MATCH(ROW()-1,装备库!$AK$2:$AK$2022,0),COLUMN()),"")</f>
        <v/>
      </c>
      <c r="B1727" t="str">
        <f>IFERROR(INDEX(装备库!$A$2:$E$2022,MATCH(ROW()-1,装备库!$AK$2:$AK$2022,0),COLUMN()),"")</f>
        <v/>
      </c>
      <c r="C1727" t="str">
        <f>IFERROR(INDEX(装备库!$A$2:$E$2022,MATCH(ROW()-1,装备库!$AK$2:$AK$2022,0),5),"")</f>
        <v/>
      </c>
    </row>
    <row r="1728" spans="1:3">
      <c r="A1728" t="str">
        <f>IFERROR(INDEX(装备库!$A$2:$E$2022,MATCH(ROW()-1,装备库!$AK$2:$AK$2022,0),COLUMN()),"")</f>
        <v/>
      </c>
      <c r="B1728" t="str">
        <f>IFERROR(INDEX(装备库!$A$2:$E$2022,MATCH(ROW()-1,装备库!$AK$2:$AK$2022,0),COLUMN()),"")</f>
        <v/>
      </c>
      <c r="C1728" t="str">
        <f>IFERROR(INDEX(装备库!$A$2:$E$2022,MATCH(ROW()-1,装备库!$AK$2:$AK$2022,0),5),"")</f>
        <v/>
      </c>
    </row>
    <row r="1729" spans="1:3">
      <c r="A1729" t="str">
        <f>IFERROR(INDEX(装备库!$A$2:$E$2022,MATCH(ROW()-1,装备库!$AK$2:$AK$2022,0),COLUMN()),"")</f>
        <v/>
      </c>
      <c r="B1729" t="str">
        <f>IFERROR(INDEX(装备库!$A$2:$E$2022,MATCH(ROW()-1,装备库!$AK$2:$AK$2022,0),COLUMN()),"")</f>
        <v/>
      </c>
      <c r="C1729" t="str">
        <f>IFERROR(INDEX(装备库!$A$2:$E$2022,MATCH(ROW()-1,装备库!$AK$2:$AK$2022,0),5),"")</f>
        <v/>
      </c>
    </row>
    <row r="1730" spans="1:3">
      <c r="A1730" t="str">
        <f>IFERROR(INDEX(装备库!$A$2:$E$2022,MATCH(ROW()-1,装备库!$AK$2:$AK$2022,0),COLUMN()),"")</f>
        <v/>
      </c>
      <c r="B1730" t="str">
        <f>IFERROR(INDEX(装备库!$A$2:$E$2022,MATCH(ROW()-1,装备库!$AK$2:$AK$2022,0),COLUMN()),"")</f>
        <v/>
      </c>
      <c r="C1730" t="str">
        <f>IFERROR(INDEX(装备库!$A$2:$E$2022,MATCH(ROW()-1,装备库!$AK$2:$AK$2022,0),5),"")</f>
        <v/>
      </c>
    </row>
    <row r="1731" spans="1:3">
      <c r="A1731" t="str">
        <f>IFERROR(INDEX(装备库!$A$2:$E$2022,MATCH(ROW()-1,装备库!$AK$2:$AK$2022,0),COLUMN()),"")</f>
        <v/>
      </c>
      <c r="B1731" t="str">
        <f>IFERROR(INDEX(装备库!$A$2:$E$2022,MATCH(ROW()-1,装备库!$AK$2:$AK$2022,0),COLUMN()),"")</f>
        <v/>
      </c>
      <c r="C1731" t="str">
        <f>IFERROR(INDEX(装备库!$A$2:$E$2022,MATCH(ROW()-1,装备库!$AK$2:$AK$2022,0),5),"")</f>
        <v/>
      </c>
    </row>
    <row r="1732" spans="1:3">
      <c r="A1732" t="str">
        <f>IFERROR(INDEX(装备库!$A$2:$E$2022,MATCH(ROW()-1,装备库!$AK$2:$AK$2022,0),COLUMN()),"")</f>
        <v/>
      </c>
      <c r="B1732" t="str">
        <f>IFERROR(INDEX(装备库!$A$2:$E$2022,MATCH(ROW()-1,装备库!$AK$2:$AK$2022,0),COLUMN()),"")</f>
        <v/>
      </c>
      <c r="C1732" t="str">
        <f>IFERROR(INDEX(装备库!$A$2:$E$2022,MATCH(ROW()-1,装备库!$AK$2:$AK$2022,0),5),"")</f>
        <v/>
      </c>
    </row>
    <row r="1733" spans="1:3">
      <c r="A1733" t="str">
        <f>IFERROR(INDEX(装备库!$A$2:$E$2022,MATCH(ROW()-1,装备库!$AK$2:$AK$2022,0),COLUMN()),"")</f>
        <v/>
      </c>
      <c r="B1733" t="str">
        <f>IFERROR(INDEX(装备库!$A$2:$E$2022,MATCH(ROW()-1,装备库!$AK$2:$AK$2022,0),COLUMN()),"")</f>
        <v/>
      </c>
      <c r="C1733" t="str">
        <f>IFERROR(INDEX(装备库!$A$2:$E$2022,MATCH(ROW()-1,装备库!$AK$2:$AK$2022,0),5),"")</f>
        <v/>
      </c>
    </row>
    <row r="1734" spans="1:3">
      <c r="A1734" t="str">
        <f>IFERROR(INDEX(装备库!$A$2:$E$2022,MATCH(ROW()-1,装备库!$AK$2:$AK$2022,0),COLUMN()),"")</f>
        <v/>
      </c>
      <c r="B1734" t="str">
        <f>IFERROR(INDEX(装备库!$A$2:$E$2022,MATCH(ROW()-1,装备库!$AK$2:$AK$2022,0),COLUMN()),"")</f>
        <v/>
      </c>
      <c r="C1734" t="str">
        <f>IFERROR(INDEX(装备库!$A$2:$E$2022,MATCH(ROW()-1,装备库!$AK$2:$AK$2022,0),5),"")</f>
        <v/>
      </c>
    </row>
    <row r="1735" spans="1:3">
      <c r="A1735" t="str">
        <f>IFERROR(INDEX(装备库!$A$2:$E$2022,MATCH(ROW()-1,装备库!$AK$2:$AK$2022,0),COLUMN()),"")</f>
        <v/>
      </c>
      <c r="B1735" t="str">
        <f>IFERROR(INDEX(装备库!$A$2:$E$2022,MATCH(ROW()-1,装备库!$AK$2:$AK$2022,0),COLUMN()),"")</f>
        <v/>
      </c>
      <c r="C1735" t="str">
        <f>IFERROR(INDEX(装备库!$A$2:$E$2022,MATCH(ROW()-1,装备库!$AK$2:$AK$2022,0),5),"")</f>
        <v/>
      </c>
    </row>
    <row r="1736" spans="1:3">
      <c r="A1736" t="str">
        <f>IFERROR(INDEX(装备库!$A$2:$E$2022,MATCH(ROW()-1,装备库!$AK$2:$AK$2022,0),COLUMN()),"")</f>
        <v/>
      </c>
      <c r="B1736" t="str">
        <f>IFERROR(INDEX(装备库!$A$2:$E$2022,MATCH(ROW()-1,装备库!$AK$2:$AK$2022,0),COLUMN()),"")</f>
        <v/>
      </c>
      <c r="C1736" t="str">
        <f>IFERROR(INDEX(装备库!$A$2:$E$2022,MATCH(ROW()-1,装备库!$AK$2:$AK$2022,0),5),"")</f>
        <v/>
      </c>
    </row>
    <row r="1737" spans="1:3">
      <c r="A1737" t="str">
        <f>IFERROR(INDEX(装备库!$A$2:$E$2022,MATCH(ROW()-1,装备库!$AK$2:$AK$2022,0),COLUMN()),"")</f>
        <v/>
      </c>
      <c r="B1737" t="str">
        <f>IFERROR(INDEX(装备库!$A$2:$E$2022,MATCH(ROW()-1,装备库!$AK$2:$AK$2022,0),COLUMN()),"")</f>
        <v/>
      </c>
      <c r="C1737" t="str">
        <f>IFERROR(INDEX(装备库!$A$2:$E$2022,MATCH(ROW()-1,装备库!$AK$2:$AK$2022,0),5),"")</f>
        <v/>
      </c>
    </row>
    <row r="1738" spans="1:3">
      <c r="A1738" t="str">
        <f>IFERROR(INDEX(装备库!$A$2:$E$2022,MATCH(ROW()-1,装备库!$AK$2:$AK$2022,0),COLUMN()),"")</f>
        <v/>
      </c>
      <c r="B1738" t="str">
        <f>IFERROR(INDEX(装备库!$A$2:$E$2022,MATCH(ROW()-1,装备库!$AK$2:$AK$2022,0),COLUMN()),"")</f>
        <v/>
      </c>
      <c r="C1738" t="str">
        <f>IFERROR(INDEX(装备库!$A$2:$E$2022,MATCH(ROW()-1,装备库!$AK$2:$AK$2022,0),5),"")</f>
        <v/>
      </c>
    </row>
    <row r="1739" spans="1:3">
      <c r="A1739" t="str">
        <f>IFERROR(INDEX(装备库!$A$2:$E$2022,MATCH(ROW()-1,装备库!$AK$2:$AK$2022,0),COLUMN()),"")</f>
        <v/>
      </c>
      <c r="B1739" t="str">
        <f>IFERROR(INDEX(装备库!$A$2:$E$2022,MATCH(ROW()-1,装备库!$AK$2:$AK$2022,0),COLUMN()),"")</f>
        <v/>
      </c>
      <c r="C1739" t="str">
        <f>IFERROR(INDEX(装备库!$A$2:$E$2022,MATCH(ROW()-1,装备库!$AK$2:$AK$2022,0),5),"")</f>
        <v/>
      </c>
    </row>
    <row r="1740" spans="1:3">
      <c r="A1740" t="str">
        <f>IFERROR(INDEX(装备库!$A$2:$E$2022,MATCH(ROW()-1,装备库!$AK$2:$AK$2022,0),COLUMN()),"")</f>
        <v/>
      </c>
      <c r="B1740" t="str">
        <f>IFERROR(INDEX(装备库!$A$2:$E$2022,MATCH(ROW()-1,装备库!$AK$2:$AK$2022,0),COLUMN()),"")</f>
        <v/>
      </c>
      <c r="C1740" t="str">
        <f>IFERROR(INDEX(装备库!$A$2:$E$2022,MATCH(ROW()-1,装备库!$AK$2:$AK$2022,0),5),"")</f>
        <v/>
      </c>
    </row>
    <row r="1741" spans="1:3">
      <c r="A1741" t="str">
        <f>IFERROR(INDEX(装备库!$A$2:$E$2022,MATCH(ROW()-1,装备库!$AK$2:$AK$2022,0),COLUMN()),"")</f>
        <v/>
      </c>
      <c r="B1741" t="str">
        <f>IFERROR(INDEX(装备库!$A$2:$E$2022,MATCH(ROW()-1,装备库!$AK$2:$AK$2022,0),COLUMN()),"")</f>
        <v/>
      </c>
      <c r="C1741" t="str">
        <f>IFERROR(INDEX(装备库!$A$2:$E$2022,MATCH(ROW()-1,装备库!$AK$2:$AK$2022,0),5),"")</f>
        <v/>
      </c>
    </row>
    <row r="1742" spans="1:3">
      <c r="A1742" t="str">
        <f>IFERROR(INDEX(装备库!$A$2:$E$2022,MATCH(ROW()-1,装备库!$AK$2:$AK$2022,0),COLUMN()),"")</f>
        <v/>
      </c>
      <c r="B1742" t="str">
        <f>IFERROR(INDEX(装备库!$A$2:$E$2022,MATCH(ROW()-1,装备库!$AK$2:$AK$2022,0),COLUMN()),"")</f>
        <v/>
      </c>
      <c r="C1742" t="str">
        <f>IFERROR(INDEX(装备库!$A$2:$E$2022,MATCH(ROW()-1,装备库!$AK$2:$AK$2022,0),5),"")</f>
        <v/>
      </c>
    </row>
    <row r="1743" spans="1:3">
      <c r="A1743" t="str">
        <f>IFERROR(INDEX(装备库!$A$2:$E$2022,MATCH(ROW()-1,装备库!$AK$2:$AK$2022,0),COLUMN()),"")</f>
        <v/>
      </c>
      <c r="B1743" t="str">
        <f>IFERROR(INDEX(装备库!$A$2:$E$2022,MATCH(ROW()-1,装备库!$AK$2:$AK$2022,0),COLUMN()),"")</f>
        <v/>
      </c>
      <c r="C1743" t="str">
        <f>IFERROR(INDEX(装备库!$A$2:$E$2022,MATCH(ROW()-1,装备库!$AK$2:$AK$2022,0),5),"")</f>
        <v/>
      </c>
    </row>
    <row r="1744" spans="1:3">
      <c r="A1744" t="str">
        <f>IFERROR(INDEX(装备库!$A$2:$E$2022,MATCH(ROW()-1,装备库!$AK$2:$AK$2022,0),COLUMN()),"")</f>
        <v/>
      </c>
      <c r="B1744" t="str">
        <f>IFERROR(INDEX(装备库!$A$2:$E$2022,MATCH(ROW()-1,装备库!$AK$2:$AK$2022,0),COLUMN()),"")</f>
        <v/>
      </c>
      <c r="C1744" t="str">
        <f>IFERROR(INDEX(装备库!$A$2:$E$2022,MATCH(ROW()-1,装备库!$AK$2:$AK$2022,0),5),"")</f>
        <v/>
      </c>
    </row>
    <row r="1745" spans="1:3">
      <c r="A1745" t="str">
        <f>IFERROR(INDEX(装备库!$A$2:$E$2022,MATCH(ROW()-1,装备库!$AK$2:$AK$2022,0),COLUMN()),"")</f>
        <v/>
      </c>
      <c r="B1745" t="str">
        <f>IFERROR(INDEX(装备库!$A$2:$E$2022,MATCH(ROW()-1,装备库!$AK$2:$AK$2022,0),COLUMN()),"")</f>
        <v/>
      </c>
      <c r="C1745" t="str">
        <f>IFERROR(INDEX(装备库!$A$2:$E$2022,MATCH(ROW()-1,装备库!$AK$2:$AK$2022,0),5),"")</f>
        <v/>
      </c>
    </row>
    <row r="1746" spans="1:3">
      <c r="A1746" t="str">
        <f>IFERROR(INDEX(装备库!$A$2:$E$2022,MATCH(ROW()-1,装备库!$AK$2:$AK$2022,0),COLUMN()),"")</f>
        <v/>
      </c>
      <c r="B1746" t="str">
        <f>IFERROR(INDEX(装备库!$A$2:$E$2022,MATCH(ROW()-1,装备库!$AK$2:$AK$2022,0),COLUMN()),"")</f>
        <v/>
      </c>
      <c r="C1746" t="str">
        <f>IFERROR(INDEX(装备库!$A$2:$E$2022,MATCH(ROW()-1,装备库!$AK$2:$AK$2022,0),5),"")</f>
        <v/>
      </c>
    </row>
    <row r="1747" spans="1:3">
      <c r="A1747" t="str">
        <f>IFERROR(INDEX(装备库!$A$2:$E$2022,MATCH(ROW()-1,装备库!$AK$2:$AK$2022,0),COLUMN()),"")</f>
        <v/>
      </c>
      <c r="B1747" t="str">
        <f>IFERROR(INDEX(装备库!$A$2:$E$2022,MATCH(ROW()-1,装备库!$AK$2:$AK$2022,0),COLUMN()),"")</f>
        <v/>
      </c>
      <c r="C1747" t="str">
        <f>IFERROR(INDEX(装备库!$A$2:$E$2022,MATCH(ROW()-1,装备库!$AK$2:$AK$2022,0),5),"")</f>
        <v/>
      </c>
    </row>
    <row r="1748" spans="1:3">
      <c r="A1748" t="str">
        <f>IFERROR(INDEX(装备库!$A$2:$E$2022,MATCH(ROW()-1,装备库!$AK$2:$AK$2022,0),COLUMN()),"")</f>
        <v/>
      </c>
      <c r="B1748" t="str">
        <f>IFERROR(INDEX(装备库!$A$2:$E$2022,MATCH(ROW()-1,装备库!$AK$2:$AK$2022,0),COLUMN()),"")</f>
        <v/>
      </c>
      <c r="C1748" t="str">
        <f>IFERROR(INDEX(装备库!$A$2:$E$2022,MATCH(ROW()-1,装备库!$AK$2:$AK$2022,0),5),"")</f>
        <v/>
      </c>
    </row>
    <row r="1749" spans="1:3">
      <c r="A1749" t="str">
        <f>IFERROR(INDEX(装备库!$A$2:$E$2022,MATCH(ROW()-1,装备库!$AK$2:$AK$2022,0),COLUMN()),"")</f>
        <v/>
      </c>
      <c r="B1749" t="str">
        <f>IFERROR(INDEX(装备库!$A$2:$E$2022,MATCH(ROW()-1,装备库!$AK$2:$AK$2022,0),COLUMN()),"")</f>
        <v/>
      </c>
      <c r="C1749" t="str">
        <f>IFERROR(INDEX(装备库!$A$2:$E$2022,MATCH(ROW()-1,装备库!$AK$2:$AK$2022,0),5),"")</f>
        <v/>
      </c>
    </row>
    <row r="1750" spans="1:3">
      <c r="A1750" t="str">
        <f>IFERROR(INDEX(装备库!$A$2:$E$2022,MATCH(ROW()-1,装备库!$AK$2:$AK$2022,0),COLUMN()),"")</f>
        <v/>
      </c>
      <c r="B1750" t="str">
        <f>IFERROR(INDEX(装备库!$A$2:$E$2022,MATCH(ROW()-1,装备库!$AK$2:$AK$2022,0),COLUMN()),"")</f>
        <v/>
      </c>
      <c r="C1750" t="str">
        <f>IFERROR(INDEX(装备库!$A$2:$E$2022,MATCH(ROW()-1,装备库!$AK$2:$AK$2022,0),5),"")</f>
        <v/>
      </c>
    </row>
    <row r="1751" spans="1:3">
      <c r="A1751" t="str">
        <f>IFERROR(INDEX(装备库!$A$2:$E$2022,MATCH(ROW()-1,装备库!$AK$2:$AK$2022,0),COLUMN()),"")</f>
        <v/>
      </c>
      <c r="B1751" t="str">
        <f>IFERROR(INDEX(装备库!$A$2:$E$2022,MATCH(ROW()-1,装备库!$AK$2:$AK$2022,0),COLUMN()),"")</f>
        <v/>
      </c>
      <c r="C1751" t="str">
        <f>IFERROR(INDEX(装备库!$A$2:$E$2022,MATCH(ROW()-1,装备库!$AK$2:$AK$2022,0),5),"")</f>
        <v/>
      </c>
    </row>
    <row r="1752" spans="1:3">
      <c r="A1752" t="str">
        <f>IFERROR(INDEX(装备库!$A$2:$E$2022,MATCH(ROW()-1,装备库!$AK$2:$AK$2022,0),COLUMN()),"")</f>
        <v/>
      </c>
      <c r="B1752" t="str">
        <f>IFERROR(INDEX(装备库!$A$2:$E$2022,MATCH(ROW()-1,装备库!$AK$2:$AK$2022,0),COLUMN()),"")</f>
        <v/>
      </c>
      <c r="C1752" t="str">
        <f>IFERROR(INDEX(装备库!$A$2:$E$2022,MATCH(ROW()-1,装备库!$AK$2:$AK$2022,0),5),"")</f>
        <v/>
      </c>
    </row>
    <row r="1753" spans="1:3">
      <c r="A1753" t="str">
        <f>IFERROR(INDEX(装备库!$A$2:$E$2022,MATCH(ROW()-1,装备库!$AK$2:$AK$2022,0),COLUMN()),"")</f>
        <v/>
      </c>
      <c r="B1753" t="str">
        <f>IFERROR(INDEX(装备库!$A$2:$E$2022,MATCH(ROW()-1,装备库!$AK$2:$AK$2022,0),COLUMN()),"")</f>
        <v/>
      </c>
      <c r="C1753" t="str">
        <f>IFERROR(INDEX(装备库!$A$2:$E$2022,MATCH(ROW()-1,装备库!$AK$2:$AK$2022,0),5),"")</f>
        <v/>
      </c>
    </row>
    <row r="1754" spans="1:3">
      <c r="A1754" t="str">
        <f>IFERROR(INDEX(装备库!$A$2:$E$2022,MATCH(ROW()-1,装备库!$AK$2:$AK$2022,0),COLUMN()),"")</f>
        <v/>
      </c>
      <c r="B1754" t="str">
        <f>IFERROR(INDEX(装备库!$A$2:$E$2022,MATCH(ROW()-1,装备库!$AK$2:$AK$2022,0),COLUMN()),"")</f>
        <v/>
      </c>
      <c r="C1754" t="str">
        <f>IFERROR(INDEX(装备库!$A$2:$E$2022,MATCH(ROW()-1,装备库!$AK$2:$AK$2022,0),5),"")</f>
        <v/>
      </c>
    </row>
    <row r="1755" spans="1:3">
      <c r="A1755" t="str">
        <f>IFERROR(INDEX(装备库!$A$2:$E$2022,MATCH(ROW()-1,装备库!$AK$2:$AK$2022,0),COLUMN()),"")</f>
        <v/>
      </c>
      <c r="B1755" t="str">
        <f>IFERROR(INDEX(装备库!$A$2:$E$2022,MATCH(ROW()-1,装备库!$AK$2:$AK$2022,0),COLUMN()),"")</f>
        <v/>
      </c>
      <c r="C1755" t="str">
        <f>IFERROR(INDEX(装备库!$A$2:$E$2022,MATCH(ROW()-1,装备库!$AK$2:$AK$2022,0),5),"")</f>
        <v/>
      </c>
    </row>
    <row r="1756" spans="1:3">
      <c r="A1756" t="str">
        <f>IFERROR(INDEX(装备库!$A$2:$E$2022,MATCH(ROW()-1,装备库!$AK$2:$AK$2022,0),COLUMN()),"")</f>
        <v/>
      </c>
      <c r="B1756" t="str">
        <f>IFERROR(INDEX(装备库!$A$2:$E$2022,MATCH(ROW()-1,装备库!$AK$2:$AK$2022,0),COLUMN()),"")</f>
        <v/>
      </c>
      <c r="C1756" t="str">
        <f>IFERROR(INDEX(装备库!$A$2:$E$2022,MATCH(ROW()-1,装备库!$AK$2:$AK$2022,0),5),"")</f>
        <v/>
      </c>
    </row>
    <row r="1757" spans="1:3">
      <c r="A1757" t="str">
        <f>IFERROR(INDEX(装备库!$A$2:$E$2022,MATCH(ROW()-1,装备库!$AK$2:$AK$2022,0),COLUMN()),"")</f>
        <v/>
      </c>
      <c r="B1757" t="str">
        <f>IFERROR(INDEX(装备库!$A$2:$E$2022,MATCH(ROW()-1,装备库!$AK$2:$AK$2022,0),COLUMN()),"")</f>
        <v/>
      </c>
      <c r="C1757" t="str">
        <f>IFERROR(INDEX(装备库!$A$2:$E$2022,MATCH(ROW()-1,装备库!$AK$2:$AK$2022,0),5),"")</f>
        <v/>
      </c>
    </row>
    <row r="1758" spans="1:3">
      <c r="A1758" t="str">
        <f>IFERROR(INDEX(装备库!$A$2:$E$2022,MATCH(ROW()-1,装备库!$AK$2:$AK$2022,0),COLUMN()),"")</f>
        <v/>
      </c>
      <c r="B1758" t="str">
        <f>IFERROR(INDEX(装备库!$A$2:$E$2022,MATCH(ROW()-1,装备库!$AK$2:$AK$2022,0),COLUMN()),"")</f>
        <v/>
      </c>
      <c r="C1758" t="str">
        <f>IFERROR(INDEX(装备库!$A$2:$E$2022,MATCH(ROW()-1,装备库!$AK$2:$AK$2022,0),5),"")</f>
        <v/>
      </c>
    </row>
    <row r="1759" spans="1:3">
      <c r="A1759" t="str">
        <f>IFERROR(INDEX(装备库!$A$2:$E$2022,MATCH(ROW()-1,装备库!$AK$2:$AK$2022,0),COLUMN()),"")</f>
        <v/>
      </c>
      <c r="B1759" t="str">
        <f>IFERROR(INDEX(装备库!$A$2:$E$2022,MATCH(ROW()-1,装备库!$AK$2:$AK$2022,0),COLUMN()),"")</f>
        <v/>
      </c>
      <c r="C1759" t="str">
        <f>IFERROR(INDEX(装备库!$A$2:$E$2022,MATCH(ROW()-1,装备库!$AK$2:$AK$2022,0),5),"")</f>
        <v/>
      </c>
    </row>
    <row r="1760" spans="1:3">
      <c r="A1760" t="str">
        <f>IFERROR(INDEX(装备库!$A$2:$E$2022,MATCH(ROW()-1,装备库!$AK$2:$AK$2022,0),COLUMN()),"")</f>
        <v/>
      </c>
      <c r="B1760" t="str">
        <f>IFERROR(INDEX(装备库!$A$2:$E$2022,MATCH(ROW()-1,装备库!$AK$2:$AK$2022,0),COLUMN()),"")</f>
        <v/>
      </c>
      <c r="C1760" t="str">
        <f>IFERROR(INDEX(装备库!$A$2:$E$2022,MATCH(ROW()-1,装备库!$AK$2:$AK$2022,0),5),"")</f>
        <v/>
      </c>
    </row>
    <row r="1761" spans="1:3">
      <c r="A1761" t="str">
        <f>IFERROR(INDEX(装备库!$A$2:$E$2022,MATCH(ROW()-1,装备库!$AK$2:$AK$2022,0),COLUMN()),"")</f>
        <v/>
      </c>
      <c r="B1761" t="str">
        <f>IFERROR(INDEX(装备库!$A$2:$E$2022,MATCH(ROW()-1,装备库!$AK$2:$AK$2022,0),COLUMN()),"")</f>
        <v/>
      </c>
      <c r="C1761" t="str">
        <f>IFERROR(INDEX(装备库!$A$2:$E$2022,MATCH(ROW()-1,装备库!$AK$2:$AK$2022,0),5),"")</f>
        <v/>
      </c>
    </row>
    <row r="1762" spans="1:3">
      <c r="A1762" t="str">
        <f>IFERROR(INDEX(装备库!$A$2:$E$2022,MATCH(ROW()-1,装备库!$AK$2:$AK$2022,0),COLUMN()),"")</f>
        <v/>
      </c>
      <c r="B1762" t="str">
        <f>IFERROR(INDEX(装备库!$A$2:$E$2022,MATCH(ROW()-1,装备库!$AK$2:$AK$2022,0),COLUMN()),"")</f>
        <v/>
      </c>
      <c r="C1762" t="str">
        <f>IFERROR(INDEX(装备库!$A$2:$E$2022,MATCH(ROW()-1,装备库!$AK$2:$AK$2022,0),5),"")</f>
        <v/>
      </c>
    </row>
    <row r="1763" spans="1:3">
      <c r="A1763" t="str">
        <f>IFERROR(INDEX(装备库!$A$2:$E$2022,MATCH(ROW()-1,装备库!$AK$2:$AK$2022,0),COLUMN()),"")</f>
        <v/>
      </c>
      <c r="B1763" t="str">
        <f>IFERROR(INDEX(装备库!$A$2:$E$2022,MATCH(ROW()-1,装备库!$AK$2:$AK$2022,0),COLUMN()),"")</f>
        <v/>
      </c>
      <c r="C1763" t="str">
        <f>IFERROR(INDEX(装备库!$A$2:$E$2022,MATCH(ROW()-1,装备库!$AK$2:$AK$2022,0),5),"")</f>
        <v/>
      </c>
    </row>
    <row r="1764" spans="1:3">
      <c r="A1764" t="str">
        <f>IFERROR(INDEX(装备库!$A$2:$E$2022,MATCH(ROW()-1,装备库!$AK$2:$AK$2022,0),COLUMN()),"")</f>
        <v/>
      </c>
      <c r="B1764" t="str">
        <f>IFERROR(INDEX(装备库!$A$2:$E$2022,MATCH(ROW()-1,装备库!$AK$2:$AK$2022,0),COLUMN()),"")</f>
        <v/>
      </c>
      <c r="C1764" t="str">
        <f>IFERROR(INDEX(装备库!$A$2:$E$2022,MATCH(ROW()-1,装备库!$AK$2:$AK$2022,0),5),"")</f>
        <v/>
      </c>
    </row>
    <row r="1765" spans="1:3">
      <c r="A1765" t="str">
        <f>IFERROR(INDEX(装备库!$A$2:$E$2022,MATCH(ROW()-1,装备库!$AK$2:$AK$2022,0),COLUMN()),"")</f>
        <v/>
      </c>
      <c r="B1765" t="str">
        <f>IFERROR(INDEX(装备库!$A$2:$E$2022,MATCH(ROW()-1,装备库!$AK$2:$AK$2022,0),COLUMN()),"")</f>
        <v/>
      </c>
      <c r="C1765" t="str">
        <f>IFERROR(INDEX(装备库!$A$2:$E$2022,MATCH(ROW()-1,装备库!$AK$2:$AK$2022,0),5),"")</f>
        <v/>
      </c>
    </row>
    <row r="1766" spans="1:3">
      <c r="A1766" t="str">
        <f>IFERROR(INDEX(装备库!$A$2:$E$2022,MATCH(ROW()-1,装备库!$AK$2:$AK$2022,0),COLUMN()),"")</f>
        <v/>
      </c>
      <c r="B1766" t="str">
        <f>IFERROR(INDEX(装备库!$A$2:$E$2022,MATCH(ROW()-1,装备库!$AK$2:$AK$2022,0),COLUMN()),"")</f>
        <v/>
      </c>
      <c r="C1766" t="str">
        <f>IFERROR(INDEX(装备库!$A$2:$E$2022,MATCH(ROW()-1,装备库!$AK$2:$AK$2022,0),5),"")</f>
        <v/>
      </c>
    </row>
    <row r="1767" spans="1:3">
      <c r="A1767" t="str">
        <f>IFERROR(INDEX(装备库!$A$2:$E$2022,MATCH(ROW()-1,装备库!$AK$2:$AK$2022,0),COLUMN()),"")</f>
        <v/>
      </c>
      <c r="B1767" t="str">
        <f>IFERROR(INDEX(装备库!$A$2:$E$2022,MATCH(ROW()-1,装备库!$AK$2:$AK$2022,0),COLUMN()),"")</f>
        <v/>
      </c>
      <c r="C1767" t="str">
        <f>IFERROR(INDEX(装备库!$A$2:$E$2022,MATCH(ROW()-1,装备库!$AK$2:$AK$2022,0),5),"")</f>
        <v/>
      </c>
    </row>
    <row r="1768" spans="1:3">
      <c r="A1768" t="str">
        <f>IFERROR(INDEX(装备库!$A$2:$E$2022,MATCH(ROW()-1,装备库!$AK$2:$AK$2022,0),COLUMN()),"")</f>
        <v/>
      </c>
      <c r="B1768" t="str">
        <f>IFERROR(INDEX(装备库!$A$2:$E$2022,MATCH(ROW()-1,装备库!$AK$2:$AK$2022,0),COLUMN()),"")</f>
        <v/>
      </c>
      <c r="C1768" t="str">
        <f>IFERROR(INDEX(装备库!$A$2:$E$2022,MATCH(ROW()-1,装备库!$AK$2:$AK$2022,0),5),"")</f>
        <v/>
      </c>
    </row>
    <row r="1769" spans="1:3">
      <c r="A1769" t="str">
        <f>IFERROR(INDEX(装备库!$A$2:$E$2022,MATCH(ROW()-1,装备库!$AK$2:$AK$2022,0),COLUMN()),"")</f>
        <v/>
      </c>
      <c r="B1769" t="str">
        <f>IFERROR(INDEX(装备库!$A$2:$E$2022,MATCH(ROW()-1,装备库!$AK$2:$AK$2022,0),COLUMN()),"")</f>
        <v/>
      </c>
      <c r="C1769" t="str">
        <f>IFERROR(INDEX(装备库!$A$2:$E$2022,MATCH(ROW()-1,装备库!$AK$2:$AK$2022,0),5),"")</f>
        <v/>
      </c>
    </row>
    <row r="1770" spans="1:3">
      <c r="A1770" t="str">
        <f>IFERROR(INDEX(装备库!$A$2:$E$2022,MATCH(ROW()-1,装备库!$AK$2:$AK$2022,0),COLUMN()),"")</f>
        <v/>
      </c>
      <c r="B1770" t="str">
        <f>IFERROR(INDEX(装备库!$A$2:$E$2022,MATCH(ROW()-1,装备库!$AK$2:$AK$2022,0),COLUMN()),"")</f>
        <v/>
      </c>
      <c r="C1770" t="str">
        <f>IFERROR(INDEX(装备库!$A$2:$E$2022,MATCH(ROW()-1,装备库!$AK$2:$AK$2022,0),5),"")</f>
        <v/>
      </c>
    </row>
    <row r="1771" spans="1:3">
      <c r="A1771" t="str">
        <f>IFERROR(INDEX(装备库!$A$2:$E$2022,MATCH(ROW()-1,装备库!$AK$2:$AK$2022,0),COLUMN()),"")</f>
        <v/>
      </c>
      <c r="B1771" t="str">
        <f>IFERROR(INDEX(装备库!$A$2:$E$2022,MATCH(ROW()-1,装备库!$AK$2:$AK$2022,0),COLUMN()),"")</f>
        <v/>
      </c>
      <c r="C1771" t="str">
        <f>IFERROR(INDEX(装备库!$A$2:$E$2022,MATCH(ROW()-1,装备库!$AK$2:$AK$2022,0),5),"")</f>
        <v/>
      </c>
    </row>
    <row r="1772" spans="1:3">
      <c r="A1772" t="str">
        <f>IFERROR(INDEX(装备库!$A$2:$E$2022,MATCH(ROW()-1,装备库!$AK$2:$AK$2022,0),COLUMN()),"")</f>
        <v/>
      </c>
      <c r="B1772" t="str">
        <f>IFERROR(INDEX(装备库!$A$2:$E$2022,MATCH(ROW()-1,装备库!$AK$2:$AK$2022,0),COLUMN()),"")</f>
        <v/>
      </c>
      <c r="C1772" t="str">
        <f>IFERROR(INDEX(装备库!$A$2:$E$2022,MATCH(ROW()-1,装备库!$AK$2:$AK$2022,0),5),"")</f>
        <v/>
      </c>
    </row>
    <row r="1773" spans="1:3">
      <c r="A1773" t="str">
        <f>IFERROR(INDEX(装备库!$A$2:$E$2022,MATCH(ROW()-1,装备库!$AK$2:$AK$2022,0),COLUMN()),"")</f>
        <v/>
      </c>
      <c r="B1773" t="str">
        <f>IFERROR(INDEX(装备库!$A$2:$E$2022,MATCH(ROW()-1,装备库!$AK$2:$AK$2022,0),COLUMN()),"")</f>
        <v/>
      </c>
      <c r="C1773" t="str">
        <f>IFERROR(INDEX(装备库!$A$2:$E$2022,MATCH(ROW()-1,装备库!$AK$2:$AK$2022,0),5),"")</f>
        <v/>
      </c>
    </row>
    <row r="1774" spans="1:3">
      <c r="A1774" t="str">
        <f>IFERROR(INDEX(装备库!$A$2:$E$2022,MATCH(ROW()-1,装备库!$AK$2:$AK$2022,0),COLUMN()),"")</f>
        <v/>
      </c>
      <c r="B1774" t="str">
        <f>IFERROR(INDEX(装备库!$A$2:$E$2022,MATCH(ROW()-1,装备库!$AK$2:$AK$2022,0),COLUMN()),"")</f>
        <v/>
      </c>
      <c r="C1774" t="str">
        <f>IFERROR(INDEX(装备库!$A$2:$E$2022,MATCH(ROW()-1,装备库!$AK$2:$AK$2022,0),5),"")</f>
        <v/>
      </c>
    </row>
    <row r="1775" spans="1:3">
      <c r="A1775" t="str">
        <f>IFERROR(INDEX(装备库!$A$2:$E$2022,MATCH(ROW()-1,装备库!$AK$2:$AK$2022,0),COLUMN()),"")</f>
        <v/>
      </c>
      <c r="B1775" t="str">
        <f>IFERROR(INDEX(装备库!$A$2:$E$2022,MATCH(ROW()-1,装备库!$AK$2:$AK$2022,0),COLUMN()),"")</f>
        <v/>
      </c>
      <c r="C1775" t="str">
        <f>IFERROR(INDEX(装备库!$A$2:$E$2022,MATCH(ROW()-1,装备库!$AK$2:$AK$2022,0),5),"")</f>
        <v/>
      </c>
    </row>
    <row r="1776" spans="1:3">
      <c r="A1776" t="str">
        <f>IFERROR(INDEX(装备库!$A$2:$E$2022,MATCH(ROW()-1,装备库!$AK$2:$AK$2022,0),COLUMN()),"")</f>
        <v/>
      </c>
      <c r="B1776" t="str">
        <f>IFERROR(INDEX(装备库!$A$2:$E$2022,MATCH(ROW()-1,装备库!$AK$2:$AK$2022,0),COLUMN()),"")</f>
        <v/>
      </c>
      <c r="C1776" t="str">
        <f>IFERROR(INDEX(装备库!$A$2:$E$2022,MATCH(ROW()-1,装备库!$AK$2:$AK$2022,0),5),"")</f>
        <v/>
      </c>
    </row>
    <row r="1777" spans="1:3">
      <c r="A1777" t="str">
        <f>IFERROR(INDEX(装备库!$A$2:$E$2022,MATCH(ROW()-1,装备库!$AK$2:$AK$2022,0),COLUMN()),"")</f>
        <v/>
      </c>
      <c r="B1777" t="str">
        <f>IFERROR(INDEX(装备库!$A$2:$E$2022,MATCH(ROW()-1,装备库!$AK$2:$AK$2022,0),COLUMN()),"")</f>
        <v/>
      </c>
      <c r="C1777" t="str">
        <f>IFERROR(INDEX(装备库!$A$2:$E$2022,MATCH(ROW()-1,装备库!$AK$2:$AK$2022,0),5),"")</f>
        <v/>
      </c>
    </row>
    <row r="1778" spans="1:3">
      <c r="A1778" t="str">
        <f>IFERROR(INDEX(装备库!$A$2:$E$2022,MATCH(ROW()-1,装备库!$AK$2:$AK$2022,0),COLUMN()),"")</f>
        <v/>
      </c>
      <c r="B1778" t="str">
        <f>IFERROR(INDEX(装备库!$A$2:$E$2022,MATCH(ROW()-1,装备库!$AK$2:$AK$2022,0),COLUMN()),"")</f>
        <v/>
      </c>
      <c r="C1778" t="str">
        <f>IFERROR(INDEX(装备库!$A$2:$E$2022,MATCH(ROW()-1,装备库!$AK$2:$AK$2022,0),5),"")</f>
        <v/>
      </c>
    </row>
    <row r="1779" spans="1:3">
      <c r="A1779" t="str">
        <f>IFERROR(INDEX(装备库!$A$2:$E$2022,MATCH(ROW()-1,装备库!$AK$2:$AK$2022,0),COLUMN()),"")</f>
        <v/>
      </c>
      <c r="B1779" t="str">
        <f>IFERROR(INDEX(装备库!$A$2:$E$2022,MATCH(ROW()-1,装备库!$AK$2:$AK$2022,0),COLUMN()),"")</f>
        <v/>
      </c>
      <c r="C1779" t="str">
        <f>IFERROR(INDEX(装备库!$A$2:$E$2022,MATCH(ROW()-1,装备库!$AK$2:$AK$2022,0),5),"")</f>
        <v/>
      </c>
    </row>
    <row r="1780" spans="1:3">
      <c r="A1780" t="str">
        <f>IFERROR(INDEX(装备库!$A$2:$E$2022,MATCH(ROW()-1,装备库!$AK$2:$AK$2022,0),COLUMN()),"")</f>
        <v/>
      </c>
      <c r="B1780" t="str">
        <f>IFERROR(INDEX(装备库!$A$2:$E$2022,MATCH(ROW()-1,装备库!$AK$2:$AK$2022,0),COLUMN()),"")</f>
        <v/>
      </c>
      <c r="C1780" t="str">
        <f>IFERROR(INDEX(装备库!$A$2:$E$2022,MATCH(ROW()-1,装备库!$AK$2:$AK$2022,0),5),"")</f>
        <v/>
      </c>
    </row>
    <row r="1781" spans="1:3">
      <c r="A1781" t="str">
        <f>IFERROR(INDEX(装备库!$A$2:$E$2022,MATCH(ROW()-1,装备库!$AK$2:$AK$2022,0),COLUMN()),"")</f>
        <v/>
      </c>
      <c r="B1781" t="str">
        <f>IFERROR(INDEX(装备库!$A$2:$E$2022,MATCH(ROW()-1,装备库!$AK$2:$AK$2022,0),COLUMN()),"")</f>
        <v/>
      </c>
      <c r="C1781" t="str">
        <f>IFERROR(INDEX(装备库!$A$2:$E$2022,MATCH(ROW()-1,装备库!$AK$2:$AK$2022,0),5),"")</f>
        <v/>
      </c>
    </row>
    <row r="1782" spans="1:3">
      <c r="A1782" t="str">
        <f>IFERROR(INDEX(装备库!$A$2:$E$2022,MATCH(ROW()-1,装备库!$AK$2:$AK$2022,0),COLUMN()),"")</f>
        <v/>
      </c>
      <c r="B1782" t="str">
        <f>IFERROR(INDEX(装备库!$A$2:$E$2022,MATCH(ROW()-1,装备库!$AK$2:$AK$2022,0),COLUMN()),"")</f>
        <v/>
      </c>
      <c r="C1782" t="str">
        <f>IFERROR(INDEX(装备库!$A$2:$E$2022,MATCH(ROW()-1,装备库!$AK$2:$AK$2022,0),5),"")</f>
        <v/>
      </c>
    </row>
    <row r="1783" spans="1:3">
      <c r="A1783" t="str">
        <f>IFERROR(INDEX(装备库!$A$2:$E$2022,MATCH(ROW()-1,装备库!$AK$2:$AK$2022,0),COLUMN()),"")</f>
        <v/>
      </c>
      <c r="B1783" t="str">
        <f>IFERROR(INDEX(装备库!$A$2:$E$2022,MATCH(ROW()-1,装备库!$AK$2:$AK$2022,0),COLUMN()),"")</f>
        <v/>
      </c>
      <c r="C1783" t="str">
        <f>IFERROR(INDEX(装备库!$A$2:$E$2022,MATCH(ROW()-1,装备库!$AK$2:$AK$2022,0),5),"")</f>
        <v/>
      </c>
    </row>
    <row r="1784" spans="1:3">
      <c r="A1784" t="str">
        <f>IFERROR(INDEX(装备库!$A$2:$E$2022,MATCH(ROW()-1,装备库!$AK$2:$AK$2022,0),COLUMN()),"")</f>
        <v/>
      </c>
      <c r="B1784" t="str">
        <f>IFERROR(INDEX(装备库!$A$2:$E$2022,MATCH(ROW()-1,装备库!$AK$2:$AK$2022,0),COLUMN()),"")</f>
        <v/>
      </c>
      <c r="C1784" t="str">
        <f>IFERROR(INDEX(装备库!$A$2:$E$2022,MATCH(ROW()-1,装备库!$AK$2:$AK$2022,0),5),"")</f>
        <v/>
      </c>
    </row>
    <row r="1785" spans="1:3">
      <c r="A1785" t="str">
        <f>IFERROR(INDEX(装备库!$A$2:$E$2022,MATCH(ROW()-1,装备库!$AK$2:$AK$2022,0),COLUMN()),"")</f>
        <v/>
      </c>
      <c r="B1785" t="str">
        <f>IFERROR(INDEX(装备库!$A$2:$E$2022,MATCH(ROW()-1,装备库!$AK$2:$AK$2022,0),COLUMN()),"")</f>
        <v/>
      </c>
      <c r="C1785" t="str">
        <f>IFERROR(INDEX(装备库!$A$2:$E$2022,MATCH(ROW()-1,装备库!$AK$2:$AK$2022,0),5),"")</f>
        <v/>
      </c>
    </row>
    <row r="1786" spans="1:3">
      <c r="A1786" t="str">
        <f>IFERROR(INDEX(装备库!$A$2:$E$2022,MATCH(ROW()-1,装备库!$AK$2:$AK$2022,0),COLUMN()),"")</f>
        <v/>
      </c>
      <c r="B1786" t="str">
        <f>IFERROR(INDEX(装备库!$A$2:$E$2022,MATCH(ROW()-1,装备库!$AK$2:$AK$2022,0),COLUMN()),"")</f>
        <v/>
      </c>
      <c r="C1786" t="str">
        <f>IFERROR(INDEX(装备库!$A$2:$E$2022,MATCH(ROW()-1,装备库!$AK$2:$AK$2022,0),5),"")</f>
        <v/>
      </c>
    </row>
    <row r="1787" spans="1:3">
      <c r="A1787" t="str">
        <f>IFERROR(INDEX(装备库!$A$2:$E$2022,MATCH(ROW()-1,装备库!$AK$2:$AK$2022,0),COLUMN()),"")</f>
        <v/>
      </c>
      <c r="B1787" t="str">
        <f>IFERROR(INDEX(装备库!$A$2:$E$2022,MATCH(ROW()-1,装备库!$AK$2:$AK$2022,0),COLUMN()),"")</f>
        <v/>
      </c>
      <c r="C1787" t="str">
        <f>IFERROR(INDEX(装备库!$A$2:$E$2022,MATCH(ROW()-1,装备库!$AK$2:$AK$2022,0),5),"")</f>
        <v/>
      </c>
    </row>
    <row r="1788" spans="1:3">
      <c r="A1788" t="str">
        <f>IFERROR(INDEX(装备库!$A$2:$E$2022,MATCH(ROW()-1,装备库!$AK$2:$AK$2022,0),COLUMN()),"")</f>
        <v/>
      </c>
      <c r="B1788" t="str">
        <f>IFERROR(INDEX(装备库!$A$2:$E$2022,MATCH(ROW()-1,装备库!$AK$2:$AK$2022,0),COLUMN()),"")</f>
        <v/>
      </c>
      <c r="C1788" t="str">
        <f>IFERROR(INDEX(装备库!$A$2:$E$2022,MATCH(ROW()-1,装备库!$AK$2:$AK$2022,0),5),"")</f>
        <v/>
      </c>
    </row>
    <row r="1789" spans="1:3">
      <c r="A1789" t="str">
        <f>IFERROR(INDEX(装备库!$A$2:$E$2022,MATCH(ROW()-1,装备库!$AK$2:$AK$2022,0),COLUMN()),"")</f>
        <v/>
      </c>
      <c r="B1789" t="str">
        <f>IFERROR(INDEX(装备库!$A$2:$E$2022,MATCH(ROW()-1,装备库!$AK$2:$AK$2022,0),COLUMN()),"")</f>
        <v/>
      </c>
      <c r="C1789" t="str">
        <f>IFERROR(INDEX(装备库!$A$2:$E$2022,MATCH(ROW()-1,装备库!$AK$2:$AK$2022,0),5),"")</f>
        <v/>
      </c>
    </row>
    <row r="1790" spans="1:3">
      <c r="A1790" t="str">
        <f>IFERROR(INDEX(装备库!$A$2:$E$2022,MATCH(ROW()-1,装备库!$AK$2:$AK$2022,0),COLUMN()),"")</f>
        <v/>
      </c>
      <c r="B1790" t="str">
        <f>IFERROR(INDEX(装备库!$A$2:$E$2022,MATCH(ROW()-1,装备库!$AK$2:$AK$2022,0),COLUMN()),"")</f>
        <v/>
      </c>
      <c r="C1790" t="str">
        <f>IFERROR(INDEX(装备库!$A$2:$E$2022,MATCH(ROW()-1,装备库!$AK$2:$AK$2022,0),5),"")</f>
        <v/>
      </c>
    </row>
    <row r="1791" spans="1:3">
      <c r="A1791" t="str">
        <f>IFERROR(INDEX(装备库!$A$2:$E$2022,MATCH(ROW()-1,装备库!$AK$2:$AK$2022,0),COLUMN()),"")</f>
        <v/>
      </c>
      <c r="B1791" t="str">
        <f>IFERROR(INDEX(装备库!$A$2:$E$2022,MATCH(ROW()-1,装备库!$AK$2:$AK$2022,0),COLUMN()),"")</f>
        <v/>
      </c>
      <c r="C1791" t="str">
        <f>IFERROR(INDEX(装备库!$A$2:$E$2022,MATCH(ROW()-1,装备库!$AK$2:$AK$2022,0),5),"")</f>
        <v/>
      </c>
    </row>
    <row r="1792" spans="1:3">
      <c r="A1792" t="str">
        <f>IFERROR(INDEX(装备库!$A$2:$E$2022,MATCH(ROW()-1,装备库!$AK$2:$AK$2022,0),COLUMN()),"")</f>
        <v/>
      </c>
      <c r="B1792" t="str">
        <f>IFERROR(INDEX(装备库!$A$2:$E$2022,MATCH(ROW()-1,装备库!$AK$2:$AK$2022,0),COLUMN()),"")</f>
        <v/>
      </c>
      <c r="C1792" t="str">
        <f>IFERROR(INDEX(装备库!$A$2:$E$2022,MATCH(ROW()-1,装备库!$AK$2:$AK$2022,0),5),"")</f>
        <v/>
      </c>
    </row>
    <row r="1793" spans="1:3">
      <c r="A1793" t="str">
        <f>IFERROR(INDEX(装备库!$A$2:$E$2022,MATCH(ROW()-1,装备库!$AK$2:$AK$2022,0),COLUMN()),"")</f>
        <v/>
      </c>
      <c r="B1793" t="str">
        <f>IFERROR(INDEX(装备库!$A$2:$E$2022,MATCH(ROW()-1,装备库!$AK$2:$AK$2022,0),COLUMN()),"")</f>
        <v/>
      </c>
      <c r="C1793" t="str">
        <f>IFERROR(INDEX(装备库!$A$2:$E$2022,MATCH(ROW()-1,装备库!$AK$2:$AK$2022,0),5),"")</f>
        <v/>
      </c>
    </row>
    <row r="1794" spans="1:3">
      <c r="A1794" t="str">
        <f>IFERROR(INDEX(装备库!$A$2:$E$2022,MATCH(ROW()-1,装备库!$AK$2:$AK$2022,0),COLUMN()),"")</f>
        <v/>
      </c>
      <c r="B1794" t="str">
        <f>IFERROR(INDEX(装备库!$A$2:$E$2022,MATCH(ROW()-1,装备库!$AK$2:$AK$2022,0),COLUMN()),"")</f>
        <v/>
      </c>
      <c r="C1794" t="str">
        <f>IFERROR(INDEX(装备库!$A$2:$E$2022,MATCH(ROW()-1,装备库!$AK$2:$AK$2022,0),5),"")</f>
        <v/>
      </c>
    </row>
    <row r="1795" spans="1:3">
      <c r="A1795" t="str">
        <f>IFERROR(INDEX(装备库!$A$2:$E$2022,MATCH(ROW()-1,装备库!$AK$2:$AK$2022,0),COLUMN()),"")</f>
        <v/>
      </c>
      <c r="B1795" t="str">
        <f>IFERROR(INDEX(装备库!$A$2:$E$2022,MATCH(ROW()-1,装备库!$AK$2:$AK$2022,0),COLUMN()),"")</f>
        <v/>
      </c>
      <c r="C1795" t="str">
        <f>IFERROR(INDEX(装备库!$A$2:$E$2022,MATCH(ROW()-1,装备库!$AK$2:$AK$2022,0),5),"")</f>
        <v/>
      </c>
    </row>
    <row r="1796" spans="1:3">
      <c r="A1796" t="str">
        <f>IFERROR(INDEX(装备库!$A$2:$E$2022,MATCH(ROW()-1,装备库!$AK$2:$AK$2022,0),COLUMN()),"")</f>
        <v/>
      </c>
      <c r="B1796" t="str">
        <f>IFERROR(INDEX(装备库!$A$2:$E$2022,MATCH(ROW()-1,装备库!$AK$2:$AK$2022,0),COLUMN()),"")</f>
        <v/>
      </c>
      <c r="C1796" t="str">
        <f>IFERROR(INDEX(装备库!$A$2:$E$2022,MATCH(ROW()-1,装备库!$AK$2:$AK$2022,0),5),"")</f>
        <v/>
      </c>
    </row>
    <row r="1797" spans="1:3">
      <c r="A1797" t="str">
        <f>IFERROR(INDEX(装备库!$A$2:$E$2022,MATCH(ROW()-1,装备库!$AK$2:$AK$2022,0),COLUMN()),"")</f>
        <v/>
      </c>
      <c r="B1797" t="str">
        <f>IFERROR(INDEX(装备库!$A$2:$E$2022,MATCH(ROW()-1,装备库!$AK$2:$AK$2022,0),COLUMN()),"")</f>
        <v/>
      </c>
      <c r="C1797" t="str">
        <f>IFERROR(INDEX(装备库!$A$2:$E$2022,MATCH(ROW()-1,装备库!$AK$2:$AK$2022,0),5),"")</f>
        <v/>
      </c>
    </row>
    <row r="1798" spans="1:3">
      <c r="A1798" t="str">
        <f>IFERROR(INDEX(装备库!$A$2:$E$2022,MATCH(ROW()-1,装备库!$AK$2:$AK$2022,0),COLUMN()),"")</f>
        <v/>
      </c>
      <c r="B1798" t="str">
        <f>IFERROR(INDEX(装备库!$A$2:$E$2022,MATCH(ROW()-1,装备库!$AK$2:$AK$2022,0),COLUMN()),"")</f>
        <v/>
      </c>
      <c r="C1798" t="str">
        <f>IFERROR(INDEX(装备库!$A$2:$E$2022,MATCH(ROW()-1,装备库!$AK$2:$AK$2022,0),5),"")</f>
        <v/>
      </c>
    </row>
    <row r="1799" spans="1:3">
      <c r="A1799" t="str">
        <f>IFERROR(INDEX(装备库!$A$2:$E$2022,MATCH(ROW()-1,装备库!$AK$2:$AK$2022,0),COLUMN()),"")</f>
        <v/>
      </c>
      <c r="B1799" t="str">
        <f>IFERROR(INDEX(装备库!$A$2:$E$2022,MATCH(ROW()-1,装备库!$AK$2:$AK$2022,0),COLUMN()),"")</f>
        <v/>
      </c>
      <c r="C1799" t="str">
        <f>IFERROR(INDEX(装备库!$A$2:$E$2022,MATCH(ROW()-1,装备库!$AK$2:$AK$2022,0),5),"")</f>
        <v/>
      </c>
    </row>
    <row r="1800" spans="1:3">
      <c r="A1800" t="str">
        <f>IFERROR(INDEX(装备库!$A$2:$E$2022,MATCH(ROW()-1,装备库!$AK$2:$AK$2022,0),COLUMN()),"")</f>
        <v/>
      </c>
      <c r="B1800" t="str">
        <f>IFERROR(INDEX(装备库!$A$2:$E$2022,MATCH(ROW()-1,装备库!$AK$2:$AK$2022,0),COLUMN()),"")</f>
        <v/>
      </c>
      <c r="C1800" t="str">
        <f>IFERROR(INDEX(装备库!$A$2:$E$2022,MATCH(ROW()-1,装备库!$AK$2:$AK$2022,0),5),"")</f>
        <v/>
      </c>
    </row>
    <row r="1801" spans="1:3">
      <c r="A1801" t="str">
        <f>IFERROR(INDEX(装备库!$A$2:$E$2022,MATCH(ROW()-1,装备库!$AK$2:$AK$2022,0),COLUMN()),"")</f>
        <v/>
      </c>
      <c r="B1801" t="str">
        <f>IFERROR(INDEX(装备库!$A$2:$E$2022,MATCH(ROW()-1,装备库!$AK$2:$AK$2022,0),COLUMN()),"")</f>
        <v/>
      </c>
      <c r="C1801" t="str">
        <f>IFERROR(INDEX(装备库!$A$2:$E$2022,MATCH(ROW()-1,装备库!$AK$2:$AK$2022,0),5),"")</f>
        <v/>
      </c>
    </row>
    <row r="1802" spans="1:3">
      <c r="A1802" t="str">
        <f>IFERROR(INDEX(装备库!$A$2:$E$2022,MATCH(ROW()-1,装备库!$AK$2:$AK$2022,0),COLUMN()),"")</f>
        <v/>
      </c>
      <c r="B1802" t="str">
        <f>IFERROR(INDEX(装备库!$A$2:$E$2022,MATCH(ROW()-1,装备库!$AK$2:$AK$2022,0),COLUMN()),"")</f>
        <v/>
      </c>
      <c r="C1802" t="str">
        <f>IFERROR(INDEX(装备库!$A$2:$E$2022,MATCH(ROW()-1,装备库!$AK$2:$AK$2022,0),5),"")</f>
        <v/>
      </c>
    </row>
    <row r="1803" spans="1:3">
      <c r="A1803" t="str">
        <f>IFERROR(INDEX(装备库!$A$2:$E$2022,MATCH(ROW()-1,装备库!$AK$2:$AK$2022,0),COLUMN()),"")</f>
        <v/>
      </c>
      <c r="B1803" t="str">
        <f>IFERROR(INDEX(装备库!$A$2:$E$2022,MATCH(ROW()-1,装备库!$AK$2:$AK$2022,0),COLUMN()),"")</f>
        <v/>
      </c>
      <c r="C1803" t="str">
        <f>IFERROR(INDEX(装备库!$A$2:$E$2022,MATCH(ROW()-1,装备库!$AK$2:$AK$2022,0),5),"")</f>
        <v/>
      </c>
    </row>
    <row r="1804" spans="1:3">
      <c r="A1804" t="str">
        <f>IFERROR(INDEX(装备库!$A$2:$E$2022,MATCH(ROW()-1,装备库!$AK$2:$AK$2022,0),COLUMN()),"")</f>
        <v/>
      </c>
      <c r="B1804" t="str">
        <f>IFERROR(INDEX(装备库!$A$2:$E$2022,MATCH(ROW()-1,装备库!$AK$2:$AK$2022,0),COLUMN()),"")</f>
        <v/>
      </c>
      <c r="C1804" t="str">
        <f>IFERROR(INDEX(装备库!$A$2:$E$2022,MATCH(ROW()-1,装备库!$AK$2:$AK$2022,0),5),"")</f>
        <v/>
      </c>
    </row>
    <row r="1805" spans="1:3">
      <c r="A1805" t="str">
        <f>IFERROR(INDEX(装备库!$A$2:$E$2022,MATCH(ROW()-1,装备库!$AK$2:$AK$2022,0),COLUMN()),"")</f>
        <v/>
      </c>
      <c r="B1805" t="str">
        <f>IFERROR(INDEX(装备库!$A$2:$E$2022,MATCH(ROW()-1,装备库!$AK$2:$AK$2022,0),COLUMN()),"")</f>
        <v/>
      </c>
      <c r="C1805" t="str">
        <f>IFERROR(INDEX(装备库!$A$2:$E$2022,MATCH(ROW()-1,装备库!$AK$2:$AK$2022,0),5),"")</f>
        <v/>
      </c>
    </row>
    <row r="1806" spans="1:3">
      <c r="A1806" t="str">
        <f>IFERROR(INDEX(装备库!$A$2:$E$2022,MATCH(ROW()-1,装备库!$AK$2:$AK$2022,0),COLUMN()),"")</f>
        <v/>
      </c>
      <c r="B1806" t="str">
        <f>IFERROR(INDEX(装备库!$A$2:$E$2022,MATCH(ROW()-1,装备库!$AK$2:$AK$2022,0),COLUMN()),"")</f>
        <v/>
      </c>
      <c r="C1806" t="str">
        <f>IFERROR(INDEX(装备库!$A$2:$E$2022,MATCH(ROW()-1,装备库!$AK$2:$AK$2022,0),5),"")</f>
        <v/>
      </c>
    </row>
    <row r="1807" spans="1:3">
      <c r="A1807" t="str">
        <f>IFERROR(INDEX(装备库!$A$2:$E$2022,MATCH(ROW()-1,装备库!$AK$2:$AK$2022,0),COLUMN()),"")</f>
        <v/>
      </c>
      <c r="B1807" t="str">
        <f>IFERROR(INDEX(装备库!$A$2:$E$2022,MATCH(ROW()-1,装备库!$AK$2:$AK$2022,0),COLUMN()),"")</f>
        <v/>
      </c>
      <c r="C1807" t="str">
        <f>IFERROR(INDEX(装备库!$A$2:$E$2022,MATCH(ROW()-1,装备库!$AK$2:$AK$2022,0),5),"")</f>
        <v/>
      </c>
    </row>
    <row r="1808" spans="1:3">
      <c r="A1808" t="str">
        <f>IFERROR(INDEX(装备库!$A$2:$E$2022,MATCH(ROW()-1,装备库!$AK$2:$AK$2022,0),COLUMN()),"")</f>
        <v/>
      </c>
      <c r="B1808" t="str">
        <f>IFERROR(INDEX(装备库!$A$2:$E$2022,MATCH(ROW()-1,装备库!$AK$2:$AK$2022,0),COLUMN()),"")</f>
        <v/>
      </c>
      <c r="C1808" t="str">
        <f>IFERROR(INDEX(装备库!$A$2:$E$2022,MATCH(ROW()-1,装备库!$AK$2:$AK$2022,0),5),"")</f>
        <v/>
      </c>
    </row>
    <row r="1809" spans="1:3">
      <c r="A1809" t="str">
        <f>IFERROR(INDEX(装备库!$A$2:$E$2022,MATCH(ROW()-1,装备库!$AK$2:$AK$2022,0),COLUMN()),"")</f>
        <v/>
      </c>
      <c r="B1809" t="str">
        <f>IFERROR(INDEX(装备库!$A$2:$E$2022,MATCH(ROW()-1,装备库!$AK$2:$AK$2022,0),COLUMN()),"")</f>
        <v/>
      </c>
      <c r="C1809" t="str">
        <f>IFERROR(INDEX(装备库!$A$2:$E$2022,MATCH(ROW()-1,装备库!$AK$2:$AK$2022,0),5),"")</f>
        <v/>
      </c>
    </row>
    <row r="1810" spans="1:3">
      <c r="A1810" t="str">
        <f>IFERROR(INDEX(装备库!$A$2:$E$2022,MATCH(ROW()-1,装备库!$AK$2:$AK$2022,0),COLUMN()),"")</f>
        <v/>
      </c>
      <c r="B1810" t="str">
        <f>IFERROR(INDEX(装备库!$A$2:$E$2022,MATCH(ROW()-1,装备库!$AK$2:$AK$2022,0),COLUMN()),"")</f>
        <v/>
      </c>
      <c r="C1810" t="str">
        <f>IFERROR(INDEX(装备库!$A$2:$E$2022,MATCH(ROW()-1,装备库!$AK$2:$AK$2022,0),5),"")</f>
        <v/>
      </c>
    </row>
    <row r="1811" spans="1:3">
      <c r="A1811" t="str">
        <f>IFERROR(INDEX(装备库!$A$2:$E$2022,MATCH(ROW()-1,装备库!$AK$2:$AK$2022,0),COLUMN()),"")</f>
        <v/>
      </c>
      <c r="B1811" t="str">
        <f>IFERROR(INDEX(装备库!$A$2:$E$2022,MATCH(ROW()-1,装备库!$AK$2:$AK$2022,0),COLUMN()),"")</f>
        <v/>
      </c>
      <c r="C1811" t="str">
        <f>IFERROR(INDEX(装备库!$A$2:$E$2022,MATCH(ROW()-1,装备库!$AK$2:$AK$2022,0),5),"")</f>
        <v/>
      </c>
    </row>
    <row r="1812" spans="1:3">
      <c r="A1812" t="str">
        <f>IFERROR(INDEX(装备库!$A$2:$E$2022,MATCH(ROW()-1,装备库!$AK$2:$AK$2022,0),COLUMN()),"")</f>
        <v/>
      </c>
      <c r="B1812" t="str">
        <f>IFERROR(INDEX(装备库!$A$2:$E$2022,MATCH(ROW()-1,装备库!$AK$2:$AK$2022,0),COLUMN()),"")</f>
        <v/>
      </c>
      <c r="C1812" t="str">
        <f>IFERROR(INDEX(装备库!$A$2:$E$2022,MATCH(ROW()-1,装备库!$AK$2:$AK$2022,0),5),"")</f>
        <v/>
      </c>
    </row>
    <row r="1813" spans="1:3">
      <c r="A1813" t="str">
        <f>IFERROR(INDEX(装备库!$A$2:$E$2022,MATCH(ROW()-1,装备库!$AK$2:$AK$2022,0),COLUMN()),"")</f>
        <v/>
      </c>
      <c r="B1813" t="str">
        <f>IFERROR(INDEX(装备库!$A$2:$E$2022,MATCH(ROW()-1,装备库!$AK$2:$AK$2022,0),COLUMN()),"")</f>
        <v/>
      </c>
      <c r="C1813" t="str">
        <f>IFERROR(INDEX(装备库!$A$2:$E$2022,MATCH(ROW()-1,装备库!$AK$2:$AK$2022,0),5),"")</f>
        <v/>
      </c>
    </row>
    <row r="1814" spans="1:3">
      <c r="A1814" t="str">
        <f>IFERROR(INDEX(装备库!$A$2:$E$2022,MATCH(ROW()-1,装备库!$AK$2:$AK$2022,0),COLUMN()),"")</f>
        <v/>
      </c>
      <c r="B1814" t="str">
        <f>IFERROR(INDEX(装备库!$A$2:$E$2022,MATCH(ROW()-1,装备库!$AK$2:$AK$2022,0),COLUMN()),"")</f>
        <v/>
      </c>
      <c r="C1814" t="str">
        <f>IFERROR(INDEX(装备库!$A$2:$E$2022,MATCH(ROW()-1,装备库!$AK$2:$AK$2022,0),5),"")</f>
        <v/>
      </c>
    </row>
    <row r="1815" spans="1:3">
      <c r="A1815" t="str">
        <f>IFERROR(INDEX(装备库!$A$2:$E$2022,MATCH(ROW()-1,装备库!$AK$2:$AK$2022,0),COLUMN()),"")</f>
        <v/>
      </c>
      <c r="B1815" t="str">
        <f>IFERROR(INDEX(装备库!$A$2:$E$2022,MATCH(ROW()-1,装备库!$AK$2:$AK$2022,0),COLUMN()),"")</f>
        <v/>
      </c>
      <c r="C1815" t="str">
        <f>IFERROR(INDEX(装备库!$A$2:$E$2022,MATCH(ROW()-1,装备库!$AK$2:$AK$2022,0),5),"")</f>
        <v/>
      </c>
    </row>
    <row r="1816" spans="1:3">
      <c r="A1816" t="str">
        <f>IFERROR(INDEX(装备库!$A$2:$E$2022,MATCH(ROW()-1,装备库!$AK$2:$AK$2022,0),COLUMN()),"")</f>
        <v/>
      </c>
      <c r="B1816" t="str">
        <f>IFERROR(INDEX(装备库!$A$2:$E$2022,MATCH(ROW()-1,装备库!$AK$2:$AK$2022,0),COLUMN()),"")</f>
        <v/>
      </c>
      <c r="C1816" t="str">
        <f>IFERROR(INDEX(装备库!$A$2:$E$2022,MATCH(ROW()-1,装备库!$AK$2:$AK$2022,0),5),"")</f>
        <v/>
      </c>
    </row>
    <row r="1817" spans="1:3">
      <c r="A1817" t="str">
        <f>IFERROR(INDEX(装备库!$A$2:$E$2022,MATCH(ROW()-1,装备库!$AK$2:$AK$2022,0),COLUMN()),"")</f>
        <v/>
      </c>
      <c r="B1817" t="str">
        <f>IFERROR(INDEX(装备库!$A$2:$E$2022,MATCH(ROW()-1,装备库!$AK$2:$AK$2022,0),COLUMN()),"")</f>
        <v/>
      </c>
      <c r="C1817" t="str">
        <f>IFERROR(INDEX(装备库!$A$2:$E$2022,MATCH(ROW()-1,装备库!$AK$2:$AK$2022,0),5),"")</f>
        <v/>
      </c>
    </row>
    <row r="1818" spans="1:3">
      <c r="A1818" t="str">
        <f>IFERROR(INDEX(装备库!$A$2:$E$2022,MATCH(ROW()-1,装备库!$AK$2:$AK$2022,0),COLUMN()),"")</f>
        <v/>
      </c>
      <c r="B1818" t="str">
        <f>IFERROR(INDEX(装备库!$A$2:$E$2022,MATCH(ROW()-1,装备库!$AK$2:$AK$2022,0),COLUMN()),"")</f>
        <v/>
      </c>
      <c r="C1818" t="str">
        <f>IFERROR(INDEX(装备库!$A$2:$E$2022,MATCH(ROW()-1,装备库!$AK$2:$AK$2022,0),5),"")</f>
        <v/>
      </c>
    </row>
    <row r="1819" spans="1:3">
      <c r="A1819" t="str">
        <f>IFERROR(INDEX(装备库!$A$2:$E$2022,MATCH(ROW()-1,装备库!$AK$2:$AK$2022,0),COLUMN()),"")</f>
        <v/>
      </c>
      <c r="B1819" t="str">
        <f>IFERROR(INDEX(装备库!$A$2:$E$2022,MATCH(ROW()-1,装备库!$AK$2:$AK$2022,0),COLUMN()),"")</f>
        <v/>
      </c>
      <c r="C1819" t="str">
        <f>IFERROR(INDEX(装备库!$A$2:$E$2022,MATCH(ROW()-1,装备库!$AK$2:$AK$2022,0),5),"")</f>
        <v/>
      </c>
    </row>
    <row r="1820" spans="1:3">
      <c r="A1820" t="str">
        <f>IFERROR(INDEX(装备库!$A$2:$E$2022,MATCH(ROW()-1,装备库!$AK$2:$AK$2022,0),COLUMN()),"")</f>
        <v/>
      </c>
      <c r="B1820" t="str">
        <f>IFERROR(INDEX(装备库!$A$2:$E$2022,MATCH(ROW()-1,装备库!$AK$2:$AK$2022,0),COLUMN()),"")</f>
        <v/>
      </c>
      <c r="C1820" t="str">
        <f>IFERROR(INDEX(装备库!$A$2:$E$2022,MATCH(ROW()-1,装备库!$AK$2:$AK$2022,0),5),"")</f>
        <v/>
      </c>
    </row>
    <row r="1821" spans="1:3">
      <c r="A1821" t="str">
        <f>IFERROR(INDEX(装备库!$A$2:$E$2022,MATCH(ROW()-1,装备库!$AK$2:$AK$2022,0),COLUMN()),"")</f>
        <v/>
      </c>
      <c r="B1821" t="str">
        <f>IFERROR(INDEX(装备库!$A$2:$E$2022,MATCH(ROW()-1,装备库!$AK$2:$AK$2022,0),COLUMN()),"")</f>
        <v/>
      </c>
      <c r="C1821" t="str">
        <f>IFERROR(INDEX(装备库!$A$2:$E$2022,MATCH(ROW()-1,装备库!$AK$2:$AK$2022,0),5),"")</f>
        <v/>
      </c>
    </row>
    <row r="1822" spans="1:3">
      <c r="A1822" t="str">
        <f>IFERROR(INDEX(装备库!$A$2:$E$2022,MATCH(ROW()-1,装备库!$AK$2:$AK$2022,0),COLUMN()),"")</f>
        <v/>
      </c>
      <c r="B1822" t="str">
        <f>IFERROR(INDEX(装备库!$A$2:$E$2022,MATCH(ROW()-1,装备库!$AK$2:$AK$2022,0),COLUMN()),"")</f>
        <v/>
      </c>
      <c r="C1822" t="str">
        <f>IFERROR(INDEX(装备库!$A$2:$E$2022,MATCH(ROW()-1,装备库!$AK$2:$AK$2022,0),5),"")</f>
        <v/>
      </c>
    </row>
    <row r="1823" spans="1:3">
      <c r="A1823" t="str">
        <f>IFERROR(INDEX(装备库!$A$2:$E$2022,MATCH(ROW()-1,装备库!$AK$2:$AK$2022,0),COLUMN()),"")</f>
        <v/>
      </c>
      <c r="B1823" t="str">
        <f>IFERROR(INDEX(装备库!$A$2:$E$2022,MATCH(ROW()-1,装备库!$AK$2:$AK$2022,0),COLUMN()),"")</f>
        <v/>
      </c>
      <c r="C1823" t="str">
        <f>IFERROR(INDEX(装备库!$A$2:$E$2022,MATCH(ROW()-1,装备库!$AK$2:$AK$2022,0),5),"")</f>
        <v/>
      </c>
    </row>
    <row r="1824" spans="1:3">
      <c r="A1824" t="str">
        <f>IFERROR(INDEX(装备库!$A$2:$E$2022,MATCH(ROW()-1,装备库!$AK$2:$AK$2022,0),COLUMN()),"")</f>
        <v/>
      </c>
      <c r="B1824" t="str">
        <f>IFERROR(INDEX(装备库!$A$2:$E$2022,MATCH(ROW()-1,装备库!$AK$2:$AK$2022,0),COLUMN()),"")</f>
        <v/>
      </c>
      <c r="C1824" t="str">
        <f>IFERROR(INDEX(装备库!$A$2:$E$2022,MATCH(ROW()-1,装备库!$AK$2:$AK$2022,0),5),"")</f>
        <v/>
      </c>
    </row>
    <row r="1825" spans="1:3">
      <c r="A1825" t="str">
        <f>IFERROR(INDEX(装备库!$A$2:$E$2022,MATCH(ROW()-1,装备库!$AK$2:$AK$2022,0),COLUMN()),"")</f>
        <v/>
      </c>
      <c r="B1825" t="str">
        <f>IFERROR(INDEX(装备库!$A$2:$E$2022,MATCH(ROW()-1,装备库!$AK$2:$AK$2022,0),COLUMN()),"")</f>
        <v/>
      </c>
      <c r="C1825" t="str">
        <f>IFERROR(INDEX(装备库!$A$2:$E$2022,MATCH(ROW()-1,装备库!$AK$2:$AK$2022,0),5),"")</f>
        <v/>
      </c>
    </row>
    <row r="1826" spans="1:3">
      <c r="A1826" t="str">
        <f>IFERROR(INDEX(装备库!$A$2:$E$2022,MATCH(ROW()-1,装备库!$AK$2:$AK$2022,0),COLUMN()),"")</f>
        <v/>
      </c>
      <c r="B1826" t="str">
        <f>IFERROR(INDEX(装备库!$A$2:$E$2022,MATCH(ROW()-1,装备库!$AK$2:$AK$2022,0),COLUMN()),"")</f>
        <v/>
      </c>
      <c r="C1826" t="str">
        <f>IFERROR(INDEX(装备库!$A$2:$E$2022,MATCH(ROW()-1,装备库!$AK$2:$AK$2022,0),5),"")</f>
        <v/>
      </c>
    </row>
    <row r="1827" spans="1:3">
      <c r="A1827" t="str">
        <f>IFERROR(INDEX(装备库!$A$2:$E$2022,MATCH(ROW()-1,装备库!$AK$2:$AK$2022,0),COLUMN()),"")</f>
        <v/>
      </c>
      <c r="B1827" t="str">
        <f>IFERROR(INDEX(装备库!$A$2:$E$2022,MATCH(ROW()-1,装备库!$AK$2:$AK$2022,0),COLUMN()),"")</f>
        <v/>
      </c>
      <c r="C1827" t="str">
        <f>IFERROR(INDEX(装备库!$A$2:$E$2022,MATCH(ROW()-1,装备库!$AK$2:$AK$2022,0),5),"")</f>
        <v/>
      </c>
    </row>
    <row r="1828" spans="1:3">
      <c r="A1828" t="str">
        <f>IFERROR(INDEX(装备库!$A$2:$E$2022,MATCH(ROW()-1,装备库!$AK$2:$AK$2022,0),COLUMN()),"")</f>
        <v/>
      </c>
      <c r="B1828" t="str">
        <f>IFERROR(INDEX(装备库!$A$2:$E$2022,MATCH(ROW()-1,装备库!$AK$2:$AK$2022,0),COLUMN()),"")</f>
        <v/>
      </c>
      <c r="C1828" t="str">
        <f>IFERROR(INDEX(装备库!$A$2:$E$2022,MATCH(ROW()-1,装备库!$AK$2:$AK$2022,0),5),"")</f>
        <v/>
      </c>
    </row>
    <row r="1829" spans="1:3">
      <c r="A1829" t="str">
        <f>IFERROR(INDEX(装备库!$A$2:$E$2022,MATCH(ROW()-1,装备库!$AK$2:$AK$2022,0),COLUMN()),"")</f>
        <v/>
      </c>
      <c r="B1829" t="str">
        <f>IFERROR(INDEX(装备库!$A$2:$E$2022,MATCH(ROW()-1,装备库!$AK$2:$AK$2022,0),COLUMN()),"")</f>
        <v/>
      </c>
      <c r="C1829" t="str">
        <f>IFERROR(INDEX(装备库!$A$2:$E$2022,MATCH(ROW()-1,装备库!$AK$2:$AK$2022,0),5),"")</f>
        <v/>
      </c>
    </row>
    <row r="1830" spans="1:3">
      <c r="A1830" t="str">
        <f>IFERROR(INDEX(装备库!$A$2:$E$2022,MATCH(ROW()-1,装备库!$AK$2:$AK$2022,0),COLUMN()),"")</f>
        <v/>
      </c>
      <c r="B1830" t="str">
        <f>IFERROR(INDEX(装备库!$A$2:$E$2022,MATCH(ROW()-1,装备库!$AK$2:$AK$2022,0),COLUMN()),"")</f>
        <v/>
      </c>
      <c r="C1830" t="str">
        <f>IFERROR(INDEX(装备库!$A$2:$E$2022,MATCH(ROW()-1,装备库!$AK$2:$AK$2022,0),5),"")</f>
        <v/>
      </c>
    </row>
    <row r="1831" spans="1:3">
      <c r="A1831" t="str">
        <f>IFERROR(INDEX(装备库!$A$2:$E$2022,MATCH(ROW()-1,装备库!$AK$2:$AK$2022,0),COLUMN()),"")</f>
        <v/>
      </c>
      <c r="B1831" t="str">
        <f>IFERROR(INDEX(装备库!$A$2:$E$2022,MATCH(ROW()-1,装备库!$AK$2:$AK$2022,0),COLUMN()),"")</f>
        <v/>
      </c>
      <c r="C1831" t="str">
        <f>IFERROR(INDEX(装备库!$A$2:$E$2022,MATCH(ROW()-1,装备库!$AK$2:$AK$2022,0),5),"")</f>
        <v/>
      </c>
    </row>
    <row r="1832" spans="1:3">
      <c r="A1832" t="str">
        <f>IFERROR(INDEX(装备库!$A$2:$E$2022,MATCH(ROW()-1,装备库!$AK$2:$AK$2022,0),COLUMN()),"")</f>
        <v/>
      </c>
      <c r="B1832" t="str">
        <f>IFERROR(INDEX(装备库!$A$2:$E$2022,MATCH(ROW()-1,装备库!$AK$2:$AK$2022,0),COLUMN()),"")</f>
        <v/>
      </c>
      <c r="C1832" t="str">
        <f>IFERROR(INDEX(装备库!$A$2:$E$2022,MATCH(ROW()-1,装备库!$AK$2:$AK$2022,0),5),"")</f>
        <v/>
      </c>
    </row>
    <row r="1833" spans="1:3">
      <c r="A1833" t="str">
        <f>IFERROR(INDEX(装备库!$A$2:$E$2022,MATCH(ROW()-1,装备库!$AK$2:$AK$2022,0),COLUMN()),"")</f>
        <v/>
      </c>
      <c r="B1833" t="str">
        <f>IFERROR(INDEX(装备库!$A$2:$E$2022,MATCH(ROW()-1,装备库!$AK$2:$AK$2022,0),COLUMN()),"")</f>
        <v/>
      </c>
      <c r="C1833" t="str">
        <f>IFERROR(INDEX(装备库!$A$2:$E$2022,MATCH(ROW()-1,装备库!$AK$2:$AK$2022,0),5),"")</f>
        <v/>
      </c>
    </row>
    <row r="1834" spans="1:3">
      <c r="A1834" t="str">
        <f>IFERROR(INDEX(装备库!$A$2:$E$2022,MATCH(ROW()-1,装备库!$AK$2:$AK$2022,0),COLUMN()),"")</f>
        <v/>
      </c>
      <c r="B1834" t="str">
        <f>IFERROR(INDEX(装备库!$A$2:$E$2022,MATCH(ROW()-1,装备库!$AK$2:$AK$2022,0),COLUMN()),"")</f>
        <v/>
      </c>
      <c r="C1834" t="str">
        <f>IFERROR(INDEX(装备库!$A$2:$E$2022,MATCH(ROW()-1,装备库!$AK$2:$AK$2022,0),5),"")</f>
        <v/>
      </c>
    </row>
    <row r="1835" spans="1:3">
      <c r="A1835" t="str">
        <f>IFERROR(INDEX(装备库!$A$2:$E$2022,MATCH(ROW()-1,装备库!$AK$2:$AK$2022,0),COLUMN()),"")</f>
        <v/>
      </c>
      <c r="B1835" t="str">
        <f>IFERROR(INDEX(装备库!$A$2:$E$2022,MATCH(ROW()-1,装备库!$AK$2:$AK$2022,0),COLUMN()),"")</f>
        <v/>
      </c>
      <c r="C1835" t="str">
        <f>IFERROR(INDEX(装备库!$A$2:$E$2022,MATCH(ROW()-1,装备库!$AK$2:$AK$2022,0),5),"")</f>
        <v/>
      </c>
    </row>
    <row r="1836" spans="1:3">
      <c r="A1836" t="str">
        <f>IFERROR(INDEX(装备库!$A$2:$E$2022,MATCH(ROW()-1,装备库!$AK$2:$AK$2022,0),COLUMN()),"")</f>
        <v/>
      </c>
      <c r="B1836" t="str">
        <f>IFERROR(INDEX(装备库!$A$2:$E$2022,MATCH(ROW()-1,装备库!$AK$2:$AK$2022,0),COLUMN()),"")</f>
        <v/>
      </c>
      <c r="C1836" t="str">
        <f>IFERROR(INDEX(装备库!$A$2:$E$2022,MATCH(ROW()-1,装备库!$AK$2:$AK$2022,0),5),"")</f>
        <v/>
      </c>
    </row>
    <row r="1837" spans="1:3">
      <c r="A1837" t="str">
        <f>IFERROR(INDEX(装备库!$A$2:$E$2022,MATCH(ROW()-1,装备库!$AK$2:$AK$2022,0),COLUMN()),"")</f>
        <v/>
      </c>
      <c r="B1837" t="str">
        <f>IFERROR(INDEX(装备库!$A$2:$E$2022,MATCH(ROW()-1,装备库!$AK$2:$AK$2022,0),COLUMN()),"")</f>
        <v/>
      </c>
      <c r="C1837" t="str">
        <f>IFERROR(INDEX(装备库!$A$2:$E$2022,MATCH(ROW()-1,装备库!$AK$2:$AK$2022,0),5),"")</f>
        <v/>
      </c>
    </row>
    <row r="1838" spans="1:3">
      <c r="A1838" t="str">
        <f>IFERROR(INDEX(装备库!$A$2:$E$2022,MATCH(ROW()-1,装备库!$AK$2:$AK$2022,0),COLUMN()),"")</f>
        <v/>
      </c>
      <c r="B1838" t="str">
        <f>IFERROR(INDEX(装备库!$A$2:$E$2022,MATCH(ROW()-1,装备库!$AK$2:$AK$2022,0),COLUMN()),"")</f>
        <v/>
      </c>
      <c r="C1838" t="str">
        <f>IFERROR(INDEX(装备库!$A$2:$E$2022,MATCH(ROW()-1,装备库!$AK$2:$AK$2022,0),5),"")</f>
        <v/>
      </c>
    </row>
    <row r="1839" spans="1:3">
      <c r="A1839" t="str">
        <f>IFERROR(INDEX(装备库!$A$2:$E$2022,MATCH(ROW()-1,装备库!$AK$2:$AK$2022,0),COLUMN()),"")</f>
        <v/>
      </c>
      <c r="B1839" t="str">
        <f>IFERROR(INDEX(装备库!$A$2:$E$2022,MATCH(ROW()-1,装备库!$AK$2:$AK$2022,0),COLUMN()),"")</f>
        <v/>
      </c>
      <c r="C1839" t="str">
        <f>IFERROR(INDEX(装备库!$A$2:$E$2022,MATCH(ROW()-1,装备库!$AK$2:$AK$2022,0),5),"")</f>
        <v/>
      </c>
    </row>
    <row r="1840" spans="1:3">
      <c r="A1840" t="str">
        <f>IFERROR(INDEX(装备库!$A$2:$E$2022,MATCH(ROW()-1,装备库!$AK$2:$AK$2022,0),COLUMN()),"")</f>
        <v/>
      </c>
      <c r="B1840" t="str">
        <f>IFERROR(INDEX(装备库!$A$2:$E$2022,MATCH(ROW()-1,装备库!$AK$2:$AK$2022,0),COLUMN()),"")</f>
        <v/>
      </c>
      <c r="C1840" t="str">
        <f>IFERROR(INDEX(装备库!$A$2:$E$2022,MATCH(ROW()-1,装备库!$AK$2:$AK$2022,0),5),"")</f>
        <v/>
      </c>
    </row>
    <row r="1841" spans="1:3">
      <c r="A1841" t="str">
        <f>IFERROR(INDEX(装备库!$A$2:$E$2022,MATCH(ROW()-1,装备库!$AK$2:$AK$2022,0),COLUMN()),"")</f>
        <v/>
      </c>
      <c r="B1841" t="str">
        <f>IFERROR(INDEX(装备库!$A$2:$E$2022,MATCH(ROW()-1,装备库!$AK$2:$AK$2022,0),COLUMN()),"")</f>
        <v/>
      </c>
      <c r="C1841" t="str">
        <f>IFERROR(INDEX(装备库!$A$2:$E$2022,MATCH(ROW()-1,装备库!$AK$2:$AK$2022,0),5),"")</f>
        <v/>
      </c>
    </row>
    <row r="1842" spans="1:3">
      <c r="A1842" t="str">
        <f>IFERROR(INDEX(装备库!$A$2:$E$2022,MATCH(ROW()-1,装备库!$AK$2:$AK$2022,0),COLUMN()),"")</f>
        <v/>
      </c>
      <c r="B1842" t="str">
        <f>IFERROR(INDEX(装备库!$A$2:$E$2022,MATCH(ROW()-1,装备库!$AK$2:$AK$2022,0),COLUMN()),"")</f>
        <v/>
      </c>
      <c r="C1842" t="str">
        <f>IFERROR(INDEX(装备库!$A$2:$E$2022,MATCH(ROW()-1,装备库!$AK$2:$AK$2022,0),5),"")</f>
        <v/>
      </c>
    </row>
    <row r="1843" spans="1:3">
      <c r="A1843" t="str">
        <f>IFERROR(INDEX(装备库!$A$2:$E$2022,MATCH(ROW()-1,装备库!$AK$2:$AK$2022,0),COLUMN()),"")</f>
        <v/>
      </c>
      <c r="B1843" t="str">
        <f>IFERROR(INDEX(装备库!$A$2:$E$2022,MATCH(ROW()-1,装备库!$AK$2:$AK$2022,0),COLUMN()),"")</f>
        <v/>
      </c>
      <c r="C1843" t="str">
        <f>IFERROR(INDEX(装备库!$A$2:$E$2022,MATCH(ROW()-1,装备库!$AK$2:$AK$2022,0),5),"")</f>
        <v/>
      </c>
    </row>
    <row r="1844" spans="1:3">
      <c r="A1844" t="str">
        <f>IFERROR(INDEX(装备库!$A$2:$E$2022,MATCH(ROW()-1,装备库!$AK$2:$AK$2022,0),COLUMN()),"")</f>
        <v/>
      </c>
      <c r="B1844" t="str">
        <f>IFERROR(INDEX(装备库!$A$2:$E$2022,MATCH(ROW()-1,装备库!$AK$2:$AK$2022,0),COLUMN()),"")</f>
        <v/>
      </c>
      <c r="C1844" t="str">
        <f>IFERROR(INDEX(装备库!$A$2:$E$2022,MATCH(ROW()-1,装备库!$AK$2:$AK$2022,0),5),"")</f>
        <v/>
      </c>
    </row>
    <row r="1845" spans="1:3">
      <c r="A1845" t="str">
        <f>IFERROR(INDEX(装备库!$A$2:$E$2022,MATCH(ROW()-1,装备库!$AK$2:$AK$2022,0),COLUMN()),"")</f>
        <v/>
      </c>
      <c r="B1845" t="str">
        <f>IFERROR(INDEX(装备库!$A$2:$E$2022,MATCH(ROW()-1,装备库!$AK$2:$AK$2022,0),COLUMN()),"")</f>
        <v/>
      </c>
      <c r="C1845" t="str">
        <f>IFERROR(INDEX(装备库!$A$2:$E$2022,MATCH(ROW()-1,装备库!$AK$2:$AK$2022,0),5),"")</f>
        <v/>
      </c>
    </row>
    <row r="1846" spans="1:3">
      <c r="A1846" t="str">
        <f>IFERROR(INDEX(装备库!$A$2:$E$2022,MATCH(ROW()-1,装备库!$AK$2:$AK$2022,0),COLUMN()),"")</f>
        <v/>
      </c>
      <c r="B1846" t="str">
        <f>IFERROR(INDEX(装备库!$A$2:$E$2022,MATCH(ROW()-1,装备库!$AK$2:$AK$2022,0),COLUMN()),"")</f>
        <v/>
      </c>
      <c r="C1846" t="str">
        <f>IFERROR(INDEX(装备库!$A$2:$E$2022,MATCH(ROW()-1,装备库!$AK$2:$AK$2022,0),5),"")</f>
        <v/>
      </c>
    </row>
    <row r="1847" spans="1:3">
      <c r="A1847" t="str">
        <f>IFERROR(INDEX(装备库!$A$2:$E$2022,MATCH(ROW()-1,装备库!$AK$2:$AK$2022,0),COLUMN()),"")</f>
        <v/>
      </c>
      <c r="B1847" t="str">
        <f>IFERROR(INDEX(装备库!$A$2:$E$2022,MATCH(ROW()-1,装备库!$AK$2:$AK$2022,0),COLUMN()),"")</f>
        <v/>
      </c>
      <c r="C1847" t="str">
        <f>IFERROR(INDEX(装备库!$A$2:$E$2022,MATCH(ROW()-1,装备库!$AK$2:$AK$2022,0),5),"")</f>
        <v/>
      </c>
    </row>
    <row r="1848" spans="1:3">
      <c r="A1848" t="str">
        <f>IFERROR(INDEX(装备库!$A$2:$E$2022,MATCH(ROW()-1,装备库!$AK$2:$AK$2022,0),COLUMN()),"")</f>
        <v/>
      </c>
      <c r="B1848" t="str">
        <f>IFERROR(INDEX(装备库!$A$2:$E$2022,MATCH(ROW()-1,装备库!$AK$2:$AK$2022,0),COLUMN()),"")</f>
        <v/>
      </c>
      <c r="C1848" t="str">
        <f>IFERROR(INDEX(装备库!$A$2:$E$2022,MATCH(ROW()-1,装备库!$AK$2:$AK$2022,0),5),"")</f>
        <v/>
      </c>
    </row>
    <row r="1849" spans="1:3">
      <c r="A1849" t="str">
        <f>IFERROR(INDEX(装备库!$A$2:$E$2022,MATCH(ROW()-1,装备库!$AK$2:$AK$2022,0),COLUMN()),"")</f>
        <v/>
      </c>
      <c r="B1849" t="str">
        <f>IFERROR(INDEX(装备库!$A$2:$E$2022,MATCH(ROW()-1,装备库!$AK$2:$AK$2022,0),COLUMN()),"")</f>
        <v/>
      </c>
      <c r="C1849" t="str">
        <f>IFERROR(INDEX(装备库!$A$2:$E$2022,MATCH(ROW()-1,装备库!$AK$2:$AK$2022,0),5),"")</f>
        <v/>
      </c>
    </row>
    <row r="1850" spans="1:3">
      <c r="A1850" t="str">
        <f>IFERROR(INDEX(装备库!$A$2:$E$2022,MATCH(ROW()-1,装备库!$AK$2:$AK$2022,0),COLUMN()),"")</f>
        <v/>
      </c>
      <c r="B1850" t="str">
        <f>IFERROR(INDEX(装备库!$A$2:$E$2022,MATCH(ROW()-1,装备库!$AK$2:$AK$2022,0),COLUMN()),"")</f>
        <v/>
      </c>
      <c r="C1850" t="str">
        <f>IFERROR(INDEX(装备库!$A$2:$E$2022,MATCH(ROW()-1,装备库!$AK$2:$AK$2022,0),5),"")</f>
        <v/>
      </c>
    </row>
    <row r="1851" spans="1:3">
      <c r="A1851" t="str">
        <f>IFERROR(INDEX(装备库!$A$2:$E$2022,MATCH(ROW()-1,装备库!$AK$2:$AK$2022,0),COLUMN()),"")</f>
        <v/>
      </c>
      <c r="B1851" t="str">
        <f>IFERROR(INDEX(装备库!$A$2:$E$2022,MATCH(ROW()-1,装备库!$AK$2:$AK$2022,0),COLUMN()),"")</f>
        <v/>
      </c>
      <c r="C1851" t="str">
        <f>IFERROR(INDEX(装备库!$A$2:$E$2022,MATCH(ROW()-1,装备库!$AK$2:$AK$2022,0),5),"")</f>
        <v/>
      </c>
    </row>
    <row r="1852" spans="1:3">
      <c r="A1852" t="str">
        <f>IFERROR(INDEX(装备库!$A$2:$E$2022,MATCH(ROW()-1,装备库!$AK$2:$AK$2022,0),COLUMN()),"")</f>
        <v/>
      </c>
      <c r="B1852" t="str">
        <f>IFERROR(INDEX(装备库!$A$2:$E$2022,MATCH(ROW()-1,装备库!$AK$2:$AK$2022,0),COLUMN()),"")</f>
        <v/>
      </c>
      <c r="C1852" t="str">
        <f>IFERROR(INDEX(装备库!$A$2:$E$2022,MATCH(ROW()-1,装备库!$AK$2:$AK$2022,0),5),"")</f>
        <v/>
      </c>
    </row>
    <row r="1853" spans="1:3">
      <c r="A1853" t="str">
        <f>IFERROR(INDEX(装备库!$A$2:$E$2022,MATCH(ROW()-1,装备库!$AK$2:$AK$2022,0),COLUMN()),"")</f>
        <v/>
      </c>
      <c r="B1853" t="str">
        <f>IFERROR(INDEX(装备库!$A$2:$E$2022,MATCH(ROW()-1,装备库!$AK$2:$AK$2022,0),COLUMN()),"")</f>
        <v/>
      </c>
      <c r="C1853" t="str">
        <f>IFERROR(INDEX(装备库!$A$2:$E$2022,MATCH(ROW()-1,装备库!$AK$2:$AK$2022,0),5),"")</f>
        <v/>
      </c>
    </row>
    <row r="1854" spans="1:3">
      <c r="A1854" t="str">
        <f>IFERROR(INDEX(装备库!$A$2:$E$2022,MATCH(ROW()-1,装备库!$AK$2:$AK$2022,0),COLUMN()),"")</f>
        <v/>
      </c>
      <c r="B1854" t="str">
        <f>IFERROR(INDEX(装备库!$A$2:$E$2022,MATCH(ROW()-1,装备库!$AK$2:$AK$2022,0),COLUMN()),"")</f>
        <v/>
      </c>
      <c r="C1854" t="str">
        <f>IFERROR(INDEX(装备库!$A$2:$E$2022,MATCH(ROW()-1,装备库!$AK$2:$AK$2022,0),5),"")</f>
        <v/>
      </c>
    </row>
    <row r="1855" spans="1:3">
      <c r="A1855" t="str">
        <f>IFERROR(INDEX(装备库!$A$2:$E$2022,MATCH(ROW()-1,装备库!$AK$2:$AK$2022,0),COLUMN()),"")</f>
        <v/>
      </c>
      <c r="B1855" t="str">
        <f>IFERROR(INDEX(装备库!$A$2:$E$2022,MATCH(ROW()-1,装备库!$AK$2:$AK$2022,0),COLUMN()),"")</f>
        <v/>
      </c>
      <c r="C1855" t="str">
        <f>IFERROR(INDEX(装备库!$A$2:$E$2022,MATCH(ROW()-1,装备库!$AK$2:$AK$2022,0),5),"")</f>
        <v/>
      </c>
    </row>
    <row r="1856" spans="1:3">
      <c r="A1856" t="str">
        <f>IFERROR(INDEX(装备库!$A$2:$E$2022,MATCH(ROW()-1,装备库!$AK$2:$AK$2022,0),COLUMN()),"")</f>
        <v/>
      </c>
      <c r="B1856" t="str">
        <f>IFERROR(INDEX(装备库!$A$2:$E$2022,MATCH(ROW()-1,装备库!$AK$2:$AK$2022,0),COLUMN()),"")</f>
        <v/>
      </c>
      <c r="C1856" t="str">
        <f>IFERROR(INDEX(装备库!$A$2:$E$2022,MATCH(ROW()-1,装备库!$AK$2:$AK$2022,0),5),"")</f>
        <v/>
      </c>
    </row>
    <row r="1857" spans="1:3">
      <c r="A1857" t="str">
        <f>IFERROR(INDEX(装备库!$A$2:$E$2022,MATCH(ROW()-1,装备库!$AK$2:$AK$2022,0),COLUMN()),"")</f>
        <v/>
      </c>
      <c r="B1857" t="str">
        <f>IFERROR(INDEX(装备库!$A$2:$E$2022,MATCH(ROW()-1,装备库!$AK$2:$AK$2022,0),COLUMN()),"")</f>
        <v/>
      </c>
      <c r="C1857" t="str">
        <f>IFERROR(INDEX(装备库!$A$2:$E$2022,MATCH(ROW()-1,装备库!$AK$2:$AK$2022,0),5),"")</f>
        <v/>
      </c>
    </row>
    <row r="1858" spans="1:3">
      <c r="A1858" t="str">
        <f>IFERROR(INDEX(装备库!$A$2:$E$2022,MATCH(ROW()-1,装备库!$AK$2:$AK$2022,0),COLUMN()),"")</f>
        <v/>
      </c>
      <c r="B1858" t="str">
        <f>IFERROR(INDEX(装备库!$A$2:$E$2022,MATCH(ROW()-1,装备库!$AK$2:$AK$2022,0),COLUMN()),"")</f>
        <v/>
      </c>
      <c r="C1858" t="str">
        <f>IFERROR(INDEX(装备库!$A$2:$E$2022,MATCH(ROW()-1,装备库!$AK$2:$AK$2022,0),5),"")</f>
        <v/>
      </c>
    </row>
    <row r="1859" spans="1:3">
      <c r="A1859" t="str">
        <f>IFERROR(INDEX(装备库!$A$2:$E$2022,MATCH(ROW()-1,装备库!$AK$2:$AK$2022,0),COLUMN()),"")</f>
        <v/>
      </c>
      <c r="B1859" t="str">
        <f>IFERROR(INDEX(装备库!$A$2:$E$2022,MATCH(ROW()-1,装备库!$AK$2:$AK$2022,0),COLUMN()),"")</f>
        <v/>
      </c>
      <c r="C1859" t="str">
        <f>IFERROR(INDEX(装备库!$A$2:$E$2022,MATCH(ROW()-1,装备库!$AK$2:$AK$2022,0),5),"")</f>
        <v/>
      </c>
    </row>
    <row r="1860" spans="1:3">
      <c r="A1860" t="str">
        <f>IFERROR(INDEX(装备库!$A$2:$E$2022,MATCH(ROW()-1,装备库!$AK$2:$AK$2022,0),COLUMN()),"")</f>
        <v/>
      </c>
      <c r="B1860" t="str">
        <f>IFERROR(INDEX(装备库!$A$2:$E$2022,MATCH(ROW()-1,装备库!$AK$2:$AK$2022,0),COLUMN()),"")</f>
        <v/>
      </c>
      <c r="C1860" t="str">
        <f>IFERROR(INDEX(装备库!$A$2:$E$2022,MATCH(ROW()-1,装备库!$AK$2:$AK$2022,0),5),"")</f>
        <v/>
      </c>
    </row>
    <row r="1861" spans="1:3">
      <c r="A1861" t="str">
        <f>IFERROR(INDEX(装备库!$A$2:$E$2022,MATCH(ROW()-1,装备库!$AK$2:$AK$2022,0),COLUMN()),"")</f>
        <v/>
      </c>
      <c r="B1861" t="str">
        <f>IFERROR(INDEX(装备库!$A$2:$E$2022,MATCH(ROW()-1,装备库!$AK$2:$AK$2022,0),COLUMN()),"")</f>
        <v/>
      </c>
      <c r="C1861" t="str">
        <f>IFERROR(INDEX(装备库!$A$2:$E$2022,MATCH(ROW()-1,装备库!$AK$2:$AK$2022,0),5),"")</f>
        <v/>
      </c>
    </row>
    <row r="1862" spans="1:3">
      <c r="A1862" t="str">
        <f>IFERROR(INDEX(装备库!$A$2:$E$2022,MATCH(ROW()-1,装备库!$AK$2:$AK$2022,0),COLUMN()),"")</f>
        <v/>
      </c>
      <c r="B1862" t="str">
        <f>IFERROR(INDEX(装备库!$A$2:$E$2022,MATCH(ROW()-1,装备库!$AK$2:$AK$2022,0),COLUMN()),"")</f>
        <v/>
      </c>
      <c r="C1862" t="str">
        <f>IFERROR(INDEX(装备库!$A$2:$E$2022,MATCH(ROW()-1,装备库!$AK$2:$AK$2022,0),5),"")</f>
        <v/>
      </c>
    </row>
    <row r="1863" spans="1:3">
      <c r="A1863" t="str">
        <f>IFERROR(INDEX(装备库!$A$2:$E$2022,MATCH(ROW()-1,装备库!$AK$2:$AK$2022,0),COLUMN()),"")</f>
        <v/>
      </c>
      <c r="B1863" t="str">
        <f>IFERROR(INDEX(装备库!$A$2:$E$2022,MATCH(ROW()-1,装备库!$AK$2:$AK$2022,0),COLUMN()),"")</f>
        <v/>
      </c>
      <c r="C1863" t="str">
        <f>IFERROR(INDEX(装备库!$A$2:$E$2022,MATCH(ROW()-1,装备库!$AK$2:$AK$2022,0),5),"")</f>
        <v/>
      </c>
    </row>
    <row r="1864" spans="1:3">
      <c r="A1864" t="str">
        <f>IFERROR(INDEX(装备库!$A$2:$E$2022,MATCH(ROW()-1,装备库!$AK$2:$AK$2022,0),COLUMN()),"")</f>
        <v/>
      </c>
      <c r="B1864" t="str">
        <f>IFERROR(INDEX(装备库!$A$2:$E$2022,MATCH(ROW()-1,装备库!$AK$2:$AK$2022,0),COLUMN()),"")</f>
        <v/>
      </c>
      <c r="C1864" t="str">
        <f>IFERROR(INDEX(装备库!$A$2:$E$2022,MATCH(ROW()-1,装备库!$AK$2:$AK$2022,0),5),"")</f>
        <v/>
      </c>
    </row>
    <row r="1865" spans="1:3">
      <c r="A1865" t="str">
        <f>IFERROR(INDEX(装备库!$A$2:$E$2022,MATCH(ROW()-1,装备库!$AK$2:$AK$2022,0),COLUMN()),"")</f>
        <v/>
      </c>
      <c r="B1865" t="str">
        <f>IFERROR(INDEX(装备库!$A$2:$E$2022,MATCH(ROW()-1,装备库!$AK$2:$AK$2022,0),COLUMN()),"")</f>
        <v/>
      </c>
      <c r="C1865" t="str">
        <f>IFERROR(INDEX(装备库!$A$2:$E$2022,MATCH(ROW()-1,装备库!$AK$2:$AK$2022,0),5),"")</f>
        <v/>
      </c>
    </row>
    <row r="1866" spans="1:3">
      <c r="A1866" t="str">
        <f>IFERROR(INDEX(装备库!$A$2:$E$2022,MATCH(ROW()-1,装备库!$AK$2:$AK$2022,0),COLUMN()),"")</f>
        <v/>
      </c>
      <c r="B1866" t="str">
        <f>IFERROR(INDEX(装备库!$A$2:$E$2022,MATCH(ROW()-1,装备库!$AK$2:$AK$2022,0),COLUMN()),"")</f>
        <v/>
      </c>
      <c r="C1866" t="str">
        <f>IFERROR(INDEX(装备库!$A$2:$E$2022,MATCH(ROW()-1,装备库!$AK$2:$AK$2022,0),5),"")</f>
        <v/>
      </c>
    </row>
    <row r="1867" spans="1:3">
      <c r="A1867" t="str">
        <f>IFERROR(INDEX(装备库!$A$2:$E$2022,MATCH(ROW()-1,装备库!$AK$2:$AK$2022,0),COLUMN()),"")</f>
        <v/>
      </c>
      <c r="B1867" t="str">
        <f>IFERROR(INDEX(装备库!$A$2:$E$2022,MATCH(ROW()-1,装备库!$AK$2:$AK$2022,0),COLUMN()),"")</f>
        <v/>
      </c>
      <c r="C1867" t="str">
        <f>IFERROR(INDEX(装备库!$A$2:$E$2022,MATCH(ROW()-1,装备库!$AK$2:$AK$2022,0),5),"")</f>
        <v/>
      </c>
    </row>
    <row r="1868" spans="1:3">
      <c r="A1868" t="str">
        <f>IFERROR(INDEX(装备库!$A$2:$E$2022,MATCH(ROW()-1,装备库!$AK$2:$AK$2022,0),COLUMN()),"")</f>
        <v/>
      </c>
      <c r="B1868" t="str">
        <f>IFERROR(INDEX(装备库!$A$2:$E$2022,MATCH(ROW()-1,装备库!$AK$2:$AK$2022,0),COLUMN()),"")</f>
        <v/>
      </c>
      <c r="C1868" t="str">
        <f>IFERROR(INDEX(装备库!$A$2:$E$2022,MATCH(ROW()-1,装备库!$AK$2:$AK$2022,0),5),"")</f>
        <v/>
      </c>
    </row>
    <row r="1869" spans="1:3">
      <c r="A1869" t="str">
        <f>IFERROR(INDEX(装备库!$A$2:$E$2022,MATCH(ROW()-1,装备库!$AK$2:$AK$2022,0),COLUMN()),"")</f>
        <v/>
      </c>
      <c r="B1869" t="str">
        <f>IFERROR(INDEX(装备库!$A$2:$E$2022,MATCH(ROW()-1,装备库!$AK$2:$AK$2022,0),COLUMN()),"")</f>
        <v/>
      </c>
      <c r="C1869" t="str">
        <f>IFERROR(INDEX(装备库!$A$2:$E$2022,MATCH(ROW()-1,装备库!$AK$2:$AK$2022,0),5),"")</f>
        <v/>
      </c>
    </row>
    <row r="1870" spans="1:3">
      <c r="A1870" t="str">
        <f>IFERROR(INDEX(装备库!$A$2:$E$2022,MATCH(ROW()-1,装备库!$AK$2:$AK$2022,0),COLUMN()),"")</f>
        <v/>
      </c>
      <c r="B1870" t="str">
        <f>IFERROR(INDEX(装备库!$A$2:$E$2022,MATCH(ROW()-1,装备库!$AK$2:$AK$2022,0),COLUMN()),"")</f>
        <v/>
      </c>
      <c r="C1870" t="str">
        <f>IFERROR(INDEX(装备库!$A$2:$E$2022,MATCH(ROW()-1,装备库!$AK$2:$AK$2022,0),5),"")</f>
        <v/>
      </c>
    </row>
    <row r="1871" spans="1:3">
      <c r="A1871" t="str">
        <f>IFERROR(INDEX(装备库!$A$2:$E$2022,MATCH(ROW()-1,装备库!$AK$2:$AK$2022,0),COLUMN()),"")</f>
        <v/>
      </c>
      <c r="B1871" t="str">
        <f>IFERROR(INDEX(装备库!$A$2:$E$2022,MATCH(ROW()-1,装备库!$AK$2:$AK$2022,0),COLUMN()),"")</f>
        <v/>
      </c>
      <c r="C1871" t="str">
        <f>IFERROR(INDEX(装备库!$A$2:$E$2022,MATCH(ROW()-1,装备库!$AK$2:$AK$2022,0),5),"")</f>
        <v/>
      </c>
    </row>
    <row r="1872" spans="1:3">
      <c r="A1872" t="str">
        <f>IFERROR(INDEX(装备库!$A$2:$E$2022,MATCH(ROW()-1,装备库!$AK$2:$AK$2022,0),COLUMN()),"")</f>
        <v/>
      </c>
      <c r="B1872" t="str">
        <f>IFERROR(INDEX(装备库!$A$2:$E$2022,MATCH(ROW()-1,装备库!$AK$2:$AK$2022,0),COLUMN()),"")</f>
        <v/>
      </c>
      <c r="C1872" t="str">
        <f>IFERROR(INDEX(装备库!$A$2:$E$2022,MATCH(ROW()-1,装备库!$AK$2:$AK$2022,0),5),"")</f>
        <v/>
      </c>
    </row>
    <row r="1873" spans="1:3">
      <c r="A1873" t="str">
        <f>IFERROR(INDEX(装备库!$A$2:$E$2022,MATCH(ROW()-1,装备库!$AK$2:$AK$2022,0),COLUMN()),"")</f>
        <v/>
      </c>
      <c r="B1873" t="str">
        <f>IFERROR(INDEX(装备库!$A$2:$E$2022,MATCH(ROW()-1,装备库!$AK$2:$AK$2022,0),COLUMN()),"")</f>
        <v/>
      </c>
      <c r="C1873" t="str">
        <f>IFERROR(INDEX(装备库!$A$2:$E$2022,MATCH(ROW()-1,装备库!$AK$2:$AK$2022,0),5),"")</f>
        <v/>
      </c>
    </row>
    <row r="1874" spans="1:3">
      <c r="A1874" t="str">
        <f>IFERROR(INDEX(装备库!$A$2:$E$2022,MATCH(ROW()-1,装备库!$AK$2:$AK$2022,0),COLUMN()),"")</f>
        <v/>
      </c>
      <c r="B1874" t="str">
        <f>IFERROR(INDEX(装备库!$A$2:$E$2022,MATCH(ROW()-1,装备库!$AK$2:$AK$2022,0),COLUMN()),"")</f>
        <v/>
      </c>
      <c r="C1874" t="str">
        <f>IFERROR(INDEX(装备库!$A$2:$E$2022,MATCH(ROW()-1,装备库!$AK$2:$AK$2022,0),5),"")</f>
        <v/>
      </c>
    </row>
    <row r="1875" spans="1:3">
      <c r="A1875" t="str">
        <f>IFERROR(INDEX(装备库!$A$2:$E$2022,MATCH(ROW()-1,装备库!$AK$2:$AK$2022,0),COLUMN()),"")</f>
        <v/>
      </c>
      <c r="B1875" t="str">
        <f>IFERROR(INDEX(装备库!$A$2:$E$2022,MATCH(ROW()-1,装备库!$AK$2:$AK$2022,0),COLUMN()),"")</f>
        <v/>
      </c>
      <c r="C1875" t="str">
        <f>IFERROR(INDEX(装备库!$A$2:$E$2022,MATCH(ROW()-1,装备库!$AK$2:$AK$2022,0),5),"")</f>
        <v/>
      </c>
    </row>
    <row r="1876" spans="1:3">
      <c r="A1876" t="str">
        <f>IFERROR(INDEX(装备库!$A$2:$E$2022,MATCH(ROW()-1,装备库!$AK$2:$AK$2022,0),COLUMN()),"")</f>
        <v/>
      </c>
      <c r="B1876" t="str">
        <f>IFERROR(INDEX(装备库!$A$2:$E$2022,MATCH(ROW()-1,装备库!$AK$2:$AK$2022,0),COLUMN()),"")</f>
        <v/>
      </c>
      <c r="C1876" t="str">
        <f>IFERROR(INDEX(装备库!$A$2:$E$2022,MATCH(ROW()-1,装备库!$AK$2:$AK$2022,0),5),"")</f>
        <v/>
      </c>
    </row>
    <row r="1877" spans="1:3">
      <c r="A1877" t="str">
        <f>IFERROR(INDEX(装备库!$A$2:$E$2022,MATCH(ROW()-1,装备库!$AK$2:$AK$2022,0),COLUMN()),"")</f>
        <v/>
      </c>
      <c r="B1877" t="str">
        <f>IFERROR(INDEX(装备库!$A$2:$E$2022,MATCH(ROW()-1,装备库!$AK$2:$AK$2022,0),COLUMN()),"")</f>
        <v/>
      </c>
      <c r="C1877" t="str">
        <f>IFERROR(INDEX(装备库!$A$2:$E$2022,MATCH(ROW()-1,装备库!$AK$2:$AK$2022,0),5),"")</f>
        <v/>
      </c>
    </row>
    <row r="1878" spans="1:3">
      <c r="A1878" t="str">
        <f>IFERROR(INDEX(装备库!$A$2:$E$2022,MATCH(ROW()-1,装备库!$AK$2:$AK$2022,0),COLUMN()),"")</f>
        <v/>
      </c>
      <c r="B1878" t="str">
        <f>IFERROR(INDEX(装备库!$A$2:$E$2022,MATCH(ROW()-1,装备库!$AK$2:$AK$2022,0),COLUMN()),"")</f>
        <v/>
      </c>
      <c r="C1878" t="str">
        <f>IFERROR(INDEX(装备库!$A$2:$E$2022,MATCH(ROW()-1,装备库!$AK$2:$AK$2022,0),5),"")</f>
        <v/>
      </c>
    </row>
    <row r="1879" spans="1:3">
      <c r="A1879" t="str">
        <f>IFERROR(INDEX(装备库!$A$2:$E$2022,MATCH(ROW()-1,装备库!$AK$2:$AK$2022,0),COLUMN()),"")</f>
        <v/>
      </c>
      <c r="B1879" t="str">
        <f>IFERROR(INDEX(装备库!$A$2:$E$2022,MATCH(ROW()-1,装备库!$AK$2:$AK$2022,0),COLUMN()),"")</f>
        <v/>
      </c>
      <c r="C1879" t="str">
        <f>IFERROR(INDEX(装备库!$A$2:$E$2022,MATCH(ROW()-1,装备库!$AK$2:$AK$2022,0),5),"")</f>
        <v/>
      </c>
    </row>
    <row r="1880" spans="1:3">
      <c r="A1880" t="str">
        <f>IFERROR(INDEX(装备库!$A$2:$E$2022,MATCH(ROW()-1,装备库!$AK$2:$AK$2022,0),COLUMN()),"")</f>
        <v/>
      </c>
      <c r="B1880" t="str">
        <f>IFERROR(INDEX(装备库!$A$2:$E$2022,MATCH(ROW()-1,装备库!$AK$2:$AK$2022,0),COLUMN()),"")</f>
        <v/>
      </c>
      <c r="C1880" t="str">
        <f>IFERROR(INDEX(装备库!$A$2:$E$2022,MATCH(ROW()-1,装备库!$AK$2:$AK$2022,0),5),"")</f>
        <v/>
      </c>
    </row>
    <row r="1881" spans="1:3">
      <c r="A1881" t="str">
        <f>IFERROR(INDEX(装备库!$A$2:$E$2022,MATCH(ROW()-1,装备库!$AK$2:$AK$2022,0),COLUMN()),"")</f>
        <v/>
      </c>
      <c r="B1881" t="str">
        <f>IFERROR(INDEX(装备库!$A$2:$E$2022,MATCH(ROW()-1,装备库!$AK$2:$AK$2022,0),COLUMN()),"")</f>
        <v/>
      </c>
      <c r="C1881" t="str">
        <f>IFERROR(INDEX(装备库!$A$2:$E$2022,MATCH(ROW()-1,装备库!$AK$2:$AK$2022,0),5),"")</f>
        <v/>
      </c>
    </row>
    <row r="1882" spans="1:3">
      <c r="A1882" t="str">
        <f>IFERROR(INDEX(装备库!$A$2:$E$2022,MATCH(ROW()-1,装备库!$AK$2:$AK$2022,0),COLUMN()),"")</f>
        <v/>
      </c>
      <c r="B1882" t="str">
        <f>IFERROR(INDEX(装备库!$A$2:$E$2022,MATCH(ROW()-1,装备库!$AK$2:$AK$2022,0),COLUMN()),"")</f>
        <v/>
      </c>
      <c r="C1882" t="str">
        <f>IFERROR(INDEX(装备库!$A$2:$E$2022,MATCH(ROW()-1,装备库!$AK$2:$AK$2022,0),5),"")</f>
        <v/>
      </c>
    </row>
    <row r="1883" spans="1:3">
      <c r="A1883" t="str">
        <f>IFERROR(INDEX(装备库!$A$2:$E$2022,MATCH(ROW()-1,装备库!$AK$2:$AK$2022,0),COLUMN()),"")</f>
        <v/>
      </c>
      <c r="B1883" t="str">
        <f>IFERROR(INDEX(装备库!$A$2:$E$2022,MATCH(ROW()-1,装备库!$AK$2:$AK$2022,0),COLUMN()),"")</f>
        <v/>
      </c>
      <c r="C1883" t="str">
        <f>IFERROR(INDEX(装备库!$A$2:$E$2022,MATCH(ROW()-1,装备库!$AK$2:$AK$2022,0),5),"")</f>
        <v/>
      </c>
    </row>
    <row r="1884" spans="1:3">
      <c r="A1884" t="str">
        <f>IFERROR(INDEX(装备库!$A$2:$E$2022,MATCH(ROW()-1,装备库!$AK$2:$AK$2022,0),COLUMN()),"")</f>
        <v/>
      </c>
      <c r="B1884" t="str">
        <f>IFERROR(INDEX(装备库!$A$2:$E$2022,MATCH(ROW()-1,装备库!$AK$2:$AK$2022,0),COLUMN()),"")</f>
        <v/>
      </c>
      <c r="C1884" t="str">
        <f>IFERROR(INDEX(装备库!$A$2:$E$2022,MATCH(ROW()-1,装备库!$AK$2:$AK$2022,0),5),"")</f>
        <v/>
      </c>
    </row>
    <row r="1885" spans="1:3">
      <c r="A1885" t="str">
        <f>IFERROR(INDEX(装备库!$A$2:$E$2022,MATCH(ROW()-1,装备库!$AK$2:$AK$2022,0),COLUMN()),"")</f>
        <v/>
      </c>
      <c r="B1885" t="str">
        <f>IFERROR(INDEX(装备库!$A$2:$E$2022,MATCH(ROW()-1,装备库!$AK$2:$AK$2022,0),COLUMN()),"")</f>
        <v/>
      </c>
      <c r="C1885" t="str">
        <f>IFERROR(INDEX(装备库!$A$2:$E$2022,MATCH(ROW()-1,装备库!$AK$2:$AK$2022,0),5),"")</f>
        <v/>
      </c>
    </row>
    <row r="1886" spans="1:3">
      <c r="A1886" t="str">
        <f>IFERROR(INDEX(装备库!$A$2:$E$2022,MATCH(ROW()-1,装备库!$AK$2:$AK$2022,0),COLUMN()),"")</f>
        <v/>
      </c>
      <c r="B1886" t="str">
        <f>IFERROR(INDEX(装备库!$A$2:$E$2022,MATCH(ROW()-1,装备库!$AK$2:$AK$2022,0),COLUMN()),"")</f>
        <v/>
      </c>
      <c r="C1886" t="str">
        <f>IFERROR(INDEX(装备库!$A$2:$E$2022,MATCH(ROW()-1,装备库!$AK$2:$AK$2022,0),5),"")</f>
        <v/>
      </c>
    </row>
    <row r="1887" spans="1:3">
      <c r="A1887" t="str">
        <f>IFERROR(INDEX(装备库!$A$2:$E$2022,MATCH(ROW()-1,装备库!$AK$2:$AK$2022,0),COLUMN()),"")</f>
        <v/>
      </c>
      <c r="B1887" t="str">
        <f>IFERROR(INDEX(装备库!$A$2:$E$2022,MATCH(ROW()-1,装备库!$AK$2:$AK$2022,0),COLUMN()),"")</f>
        <v/>
      </c>
      <c r="C1887" t="str">
        <f>IFERROR(INDEX(装备库!$A$2:$E$2022,MATCH(ROW()-1,装备库!$AK$2:$AK$2022,0),5),"")</f>
        <v/>
      </c>
    </row>
    <row r="1888" spans="1:3">
      <c r="A1888" t="str">
        <f>IFERROR(INDEX(装备库!$A$2:$E$2022,MATCH(ROW()-1,装备库!$AK$2:$AK$2022,0),COLUMN()),"")</f>
        <v/>
      </c>
      <c r="B1888" t="str">
        <f>IFERROR(INDEX(装备库!$A$2:$E$2022,MATCH(ROW()-1,装备库!$AK$2:$AK$2022,0),COLUMN()),"")</f>
        <v/>
      </c>
      <c r="C1888" t="str">
        <f>IFERROR(INDEX(装备库!$A$2:$E$2022,MATCH(ROW()-1,装备库!$AK$2:$AK$2022,0),5),"")</f>
        <v/>
      </c>
    </row>
    <row r="1889" spans="1:3">
      <c r="A1889" t="str">
        <f>IFERROR(INDEX(装备库!$A$2:$E$2022,MATCH(ROW()-1,装备库!$AK$2:$AK$2022,0),COLUMN()),"")</f>
        <v/>
      </c>
      <c r="B1889" t="str">
        <f>IFERROR(INDEX(装备库!$A$2:$E$2022,MATCH(ROW()-1,装备库!$AK$2:$AK$2022,0),COLUMN()),"")</f>
        <v/>
      </c>
      <c r="C1889" t="str">
        <f>IFERROR(INDEX(装备库!$A$2:$E$2022,MATCH(ROW()-1,装备库!$AK$2:$AK$2022,0),5),"")</f>
        <v/>
      </c>
    </row>
    <row r="1890" spans="1:3">
      <c r="A1890" t="str">
        <f>IFERROR(INDEX(装备库!$A$2:$E$2022,MATCH(ROW()-1,装备库!$AK$2:$AK$2022,0),COLUMN()),"")</f>
        <v/>
      </c>
      <c r="B1890" t="str">
        <f>IFERROR(INDEX(装备库!$A$2:$E$2022,MATCH(ROW()-1,装备库!$AK$2:$AK$2022,0),COLUMN()),"")</f>
        <v/>
      </c>
      <c r="C1890" t="str">
        <f>IFERROR(INDEX(装备库!$A$2:$E$2022,MATCH(ROW()-1,装备库!$AK$2:$AK$2022,0),5),"")</f>
        <v/>
      </c>
    </row>
    <row r="1891" spans="1:3">
      <c r="A1891" t="str">
        <f>IFERROR(INDEX(装备库!$A$2:$E$2022,MATCH(ROW()-1,装备库!$AK$2:$AK$2022,0),COLUMN()),"")</f>
        <v/>
      </c>
      <c r="B1891" t="str">
        <f>IFERROR(INDEX(装备库!$A$2:$E$2022,MATCH(ROW()-1,装备库!$AK$2:$AK$2022,0),COLUMN()),"")</f>
        <v/>
      </c>
      <c r="C1891" t="str">
        <f>IFERROR(INDEX(装备库!$A$2:$E$2022,MATCH(ROW()-1,装备库!$AK$2:$AK$2022,0),5),"")</f>
        <v/>
      </c>
    </row>
    <row r="1892" spans="1:3">
      <c r="A1892" t="str">
        <f>IFERROR(INDEX(装备库!$A$2:$E$2022,MATCH(ROW()-1,装备库!$AK$2:$AK$2022,0),COLUMN()),"")</f>
        <v/>
      </c>
      <c r="B1892" t="str">
        <f>IFERROR(INDEX(装备库!$A$2:$E$2022,MATCH(ROW()-1,装备库!$AK$2:$AK$2022,0),COLUMN()),"")</f>
        <v/>
      </c>
      <c r="C1892" t="str">
        <f>IFERROR(INDEX(装备库!$A$2:$E$2022,MATCH(ROW()-1,装备库!$AK$2:$AK$2022,0),5),"")</f>
        <v/>
      </c>
    </row>
    <row r="1893" spans="1:3">
      <c r="A1893" t="str">
        <f>IFERROR(INDEX(装备库!$A$2:$E$2022,MATCH(ROW()-1,装备库!$AK$2:$AK$2022,0),COLUMN()),"")</f>
        <v/>
      </c>
      <c r="B1893" t="str">
        <f>IFERROR(INDEX(装备库!$A$2:$E$2022,MATCH(ROW()-1,装备库!$AK$2:$AK$2022,0),COLUMN()),"")</f>
        <v/>
      </c>
      <c r="C1893" t="str">
        <f>IFERROR(INDEX(装备库!$A$2:$E$2022,MATCH(ROW()-1,装备库!$AK$2:$AK$2022,0),5),"")</f>
        <v/>
      </c>
    </row>
    <row r="1894" spans="1:3">
      <c r="A1894" t="str">
        <f>IFERROR(INDEX(装备库!$A$2:$E$2022,MATCH(ROW()-1,装备库!$AK$2:$AK$2022,0),COLUMN()),"")</f>
        <v/>
      </c>
      <c r="B1894" t="str">
        <f>IFERROR(INDEX(装备库!$A$2:$E$2022,MATCH(ROW()-1,装备库!$AK$2:$AK$2022,0),COLUMN()),"")</f>
        <v/>
      </c>
      <c r="C1894" t="str">
        <f>IFERROR(INDEX(装备库!$A$2:$E$2022,MATCH(ROW()-1,装备库!$AK$2:$AK$2022,0),5),"")</f>
        <v/>
      </c>
    </row>
    <row r="1895" spans="1:3">
      <c r="A1895" t="str">
        <f>IFERROR(INDEX(装备库!$A$2:$E$2022,MATCH(ROW()-1,装备库!$AK$2:$AK$2022,0),COLUMN()),"")</f>
        <v/>
      </c>
      <c r="B1895" t="str">
        <f>IFERROR(INDEX(装备库!$A$2:$E$2022,MATCH(ROW()-1,装备库!$AK$2:$AK$2022,0),COLUMN()),"")</f>
        <v/>
      </c>
      <c r="C1895" t="str">
        <f>IFERROR(INDEX(装备库!$A$2:$E$2022,MATCH(ROW()-1,装备库!$AK$2:$AK$2022,0),5),"")</f>
        <v/>
      </c>
    </row>
    <row r="1896" spans="1:3">
      <c r="A1896" t="str">
        <f>IFERROR(INDEX(装备库!$A$2:$E$2022,MATCH(ROW()-1,装备库!$AK$2:$AK$2022,0),COLUMN()),"")</f>
        <v/>
      </c>
      <c r="B1896" t="str">
        <f>IFERROR(INDEX(装备库!$A$2:$E$2022,MATCH(ROW()-1,装备库!$AK$2:$AK$2022,0),COLUMN()),"")</f>
        <v/>
      </c>
      <c r="C1896" t="str">
        <f>IFERROR(INDEX(装备库!$A$2:$E$2022,MATCH(ROW()-1,装备库!$AK$2:$AK$2022,0),5),"")</f>
        <v/>
      </c>
    </row>
    <row r="1897" spans="1:3">
      <c r="A1897" t="str">
        <f>IFERROR(INDEX(装备库!$A$2:$E$2022,MATCH(ROW()-1,装备库!$AK$2:$AK$2022,0),COLUMN()),"")</f>
        <v/>
      </c>
      <c r="B1897" t="str">
        <f>IFERROR(INDEX(装备库!$A$2:$E$2022,MATCH(ROW()-1,装备库!$AK$2:$AK$2022,0),COLUMN()),"")</f>
        <v/>
      </c>
      <c r="C1897" t="str">
        <f>IFERROR(INDEX(装备库!$A$2:$E$2022,MATCH(ROW()-1,装备库!$AK$2:$AK$2022,0),5),"")</f>
        <v/>
      </c>
    </row>
    <row r="1898" spans="1:3">
      <c r="A1898" t="str">
        <f>IFERROR(INDEX(装备库!$A$2:$E$2022,MATCH(ROW()-1,装备库!$AK$2:$AK$2022,0),COLUMN()),"")</f>
        <v/>
      </c>
      <c r="B1898" t="str">
        <f>IFERROR(INDEX(装备库!$A$2:$E$2022,MATCH(ROW()-1,装备库!$AK$2:$AK$2022,0),COLUMN()),"")</f>
        <v/>
      </c>
      <c r="C1898" t="str">
        <f>IFERROR(INDEX(装备库!$A$2:$E$2022,MATCH(ROW()-1,装备库!$AK$2:$AK$2022,0),5),"")</f>
        <v/>
      </c>
    </row>
    <row r="1899" spans="1:3">
      <c r="A1899" t="str">
        <f>IFERROR(INDEX(装备库!$A$2:$E$2022,MATCH(ROW()-1,装备库!$AK$2:$AK$2022,0),COLUMN()),"")</f>
        <v/>
      </c>
      <c r="B1899" t="str">
        <f>IFERROR(INDEX(装备库!$A$2:$E$2022,MATCH(ROW()-1,装备库!$AK$2:$AK$2022,0),COLUMN()),"")</f>
        <v/>
      </c>
      <c r="C1899" t="str">
        <f>IFERROR(INDEX(装备库!$A$2:$E$2022,MATCH(ROW()-1,装备库!$AK$2:$AK$2022,0),5),"")</f>
        <v/>
      </c>
    </row>
    <row r="1900" spans="1:3">
      <c r="A1900" t="str">
        <f>IFERROR(INDEX(装备库!$A$2:$E$2022,MATCH(ROW()-1,装备库!$AK$2:$AK$2022,0),COLUMN()),"")</f>
        <v/>
      </c>
      <c r="B1900" t="str">
        <f>IFERROR(INDEX(装备库!$A$2:$E$2022,MATCH(ROW()-1,装备库!$AK$2:$AK$2022,0),COLUMN()),"")</f>
        <v/>
      </c>
      <c r="C1900" t="str">
        <f>IFERROR(INDEX(装备库!$A$2:$E$2022,MATCH(ROW()-1,装备库!$AK$2:$AK$2022,0),5),"")</f>
        <v/>
      </c>
    </row>
    <row r="1901" spans="1:3">
      <c r="A1901" t="str">
        <f>IFERROR(INDEX(装备库!$A$2:$E$2022,MATCH(ROW()-1,装备库!$AK$2:$AK$2022,0),COLUMN()),"")</f>
        <v/>
      </c>
      <c r="B1901" t="str">
        <f>IFERROR(INDEX(装备库!$A$2:$E$2022,MATCH(ROW()-1,装备库!$AK$2:$AK$2022,0),COLUMN()),"")</f>
        <v/>
      </c>
      <c r="C1901" t="str">
        <f>IFERROR(INDEX(装备库!$A$2:$E$2022,MATCH(ROW()-1,装备库!$AK$2:$AK$2022,0),5),"")</f>
        <v/>
      </c>
    </row>
    <row r="1902" spans="1:3">
      <c r="A1902" t="str">
        <f>IFERROR(INDEX(装备库!$A$2:$E$2022,MATCH(ROW()-1,装备库!$AK$2:$AK$2022,0),COLUMN()),"")</f>
        <v/>
      </c>
      <c r="B1902" t="str">
        <f>IFERROR(INDEX(装备库!$A$2:$E$2022,MATCH(ROW()-1,装备库!$AK$2:$AK$2022,0),COLUMN()),"")</f>
        <v/>
      </c>
      <c r="C1902" t="str">
        <f>IFERROR(INDEX(装备库!$A$2:$E$2022,MATCH(ROW()-1,装备库!$AK$2:$AK$2022,0),5),"")</f>
        <v/>
      </c>
    </row>
    <row r="1903" spans="1:3">
      <c r="A1903" t="str">
        <f>IFERROR(INDEX(装备库!$A$2:$E$2022,MATCH(ROW()-1,装备库!$AK$2:$AK$2022,0),COLUMN()),"")</f>
        <v/>
      </c>
      <c r="B1903" t="str">
        <f>IFERROR(INDEX(装备库!$A$2:$E$2022,MATCH(ROW()-1,装备库!$AK$2:$AK$2022,0),COLUMN()),"")</f>
        <v/>
      </c>
      <c r="C1903" t="str">
        <f>IFERROR(INDEX(装备库!$A$2:$E$2022,MATCH(ROW()-1,装备库!$AK$2:$AK$2022,0),5),"")</f>
        <v/>
      </c>
    </row>
    <row r="1904" spans="1:3">
      <c r="A1904" t="str">
        <f>IFERROR(INDEX(装备库!$A$2:$E$2022,MATCH(ROW()-1,装备库!$AK$2:$AK$2022,0),COLUMN()),"")</f>
        <v/>
      </c>
      <c r="B1904" t="str">
        <f>IFERROR(INDEX(装备库!$A$2:$E$2022,MATCH(ROW()-1,装备库!$AK$2:$AK$2022,0),COLUMN()),"")</f>
        <v/>
      </c>
      <c r="C1904" t="str">
        <f>IFERROR(INDEX(装备库!$A$2:$E$2022,MATCH(ROW()-1,装备库!$AK$2:$AK$2022,0),5),"")</f>
        <v/>
      </c>
    </row>
    <row r="1905" spans="1:3">
      <c r="A1905" t="str">
        <f>IFERROR(INDEX(装备库!$A$2:$E$2022,MATCH(ROW()-1,装备库!$AK$2:$AK$2022,0),COLUMN()),"")</f>
        <v/>
      </c>
      <c r="B1905" t="str">
        <f>IFERROR(INDEX(装备库!$A$2:$E$2022,MATCH(ROW()-1,装备库!$AK$2:$AK$2022,0),COLUMN()),"")</f>
        <v/>
      </c>
      <c r="C1905" t="str">
        <f>IFERROR(INDEX(装备库!$A$2:$E$2022,MATCH(ROW()-1,装备库!$AK$2:$AK$2022,0),5),"")</f>
        <v/>
      </c>
    </row>
    <row r="1906" spans="1:3">
      <c r="A1906" t="str">
        <f>IFERROR(INDEX(装备库!$A$2:$E$2022,MATCH(ROW()-1,装备库!$AK$2:$AK$2022,0),COLUMN()),"")</f>
        <v/>
      </c>
      <c r="B1906" t="str">
        <f>IFERROR(INDEX(装备库!$A$2:$E$2022,MATCH(ROW()-1,装备库!$AK$2:$AK$2022,0),COLUMN()),"")</f>
        <v/>
      </c>
      <c r="C1906" t="str">
        <f>IFERROR(INDEX(装备库!$A$2:$E$2022,MATCH(ROW()-1,装备库!$AK$2:$AK$2022,0),5),"")</f>
        <v/>
      </c>
    </row>
    <row r="1907" spans="1:3">
      <c r="A1907" t="str">
        <f>IFERROR(INDEX(装备库!$A$2:$E$2022,MATCH(ROW()-1,装备库!$AK$2:$AK$2022,0),COLUMN()),"")</f>
        <v/>
      </c>
      <c r="B1907" t="str">
        <f>IFERROR(INDEX(装备库!$A$2:$E$2022,MATCH(ROW()-1,装备库!$AK$2:$AK$2022,0),COLUMN()),"")</f>
        <v/>
      </c>
      <c r="C1907" t="str">
        <f>IFERROR(INDEX(装备库!$A$2:$E$2022,MATCH(ROW()-1,装备库!$AK$2:$AK$2022,0),5),"")</f>
        <v/>
      </c>
    </row>
    <row r="1908" spans="1:3">
      <c r="A1908" t="str">
        <f>IFERROR(INDEX(装备库!$A$2:$E$2022,MATCH(ROW()-1,装备库!$AK$2:$AK$2022,0),COLUMN()),"")</f>
        <v/>
      </c>
      <c r="B1908" t="str">
        <f>IFERROR(INDEX(装备库!$A$2:$E$2022,MATCH(ROW()-1,装备库!$AK$2:$AK$2022,0),COLUMN()),"")</f>
        <v/>
      </c>
      <c r="C1908" t="str">
        <f>IFERROR(INDEX(装备库!$A$2:$E$2022,MATCH(ROW()-1,装备库!$AK$2:$AK$2022,0),5),"")</f>
        <v/>
      </c>
    </row>
    <row r="1909" spans="1:3">
      <c r="A1909" t="str">
        <f>IFERROR(INDEX(装备库!$A$2:$E$2022,MATCH(ROW()-1,装备库!$AK$2:$AK$2022,0),COLUMN()),"")</f>
        <v/>
      </c>
      <c r="B1909" t="str">
        <f>IFERROR(INDEX(装备库!$A$2:$E$2022,MATCH(ROW()-1,装备库!$AK$2:$AK$2022,0),COLUMN()),"")</f>
        <v/>
      </c>
      <c r="C1909" t="str">
        <f>IFERROR(INDEX(装备库!$A$2:$E$2022,MATCH(ROW()-1,装备库!$AK$2:$AK$2022,0),5),"")</f>
        <v/>
      </c>
    </row>
    <row r="1910" spans="1:3">
      <c r="A1910" t="str">
        <f>IFERROR(INDEX(装备库!$A$2:$E$2022,MATCH(ROW()-1,装备库!$AK$2:$AK$2022,0),COLUMN()),"")</f>
        <v/>
      </c>
      <c r="B1910" t="str">
        <f>IFERROR(INDEX(装备库!$A$2:$E$2022,MATCH(ROW()-1,装备库!$AK$2:$AK$2022,0),COLUMN()),"")</f>
        <v/>
      </c>
      <c r="C1910" t="str">
        <f>IFERROR(INDEX(装备库!$A$2:$E$2022,MATCH(ROW()-1,装备库!$AK$2:$AK$2022,0),5),"")</f>
        <v/>
      </c>
    </row>
    <row r="1911" spans="1:3">
      <c r="A1911" t="str">
        <f>IFERROR(INDEX(装备库!$A$2:$E$2022,MATCH(ROW()-1,装备库!$AK$2:$AK$2022,0),COLUMN()),"")</f>
        <v/>
      </c>
      <c r="B1911" t="str">
        <f>IFERROR(INDEX(装备库!$A$2:$E$2022,MATCH(ROW()-1,装备库!$AK$2:$AK$2022,0),COLUMN()),"")</f>
        <v/>
      </c>
      <c r="C1911" t="str">
        <f>IFERROR(INDEX(装备库!$A$2:$E$2022,MATCH(ROW()-1,装备库!$AK$2:$AK$2022,0),5),"")</f>
        <v/>
      </c>
    </row>
    <row r="1912" spans="1:3">
      <c r="A1912" t="str">
        <f>IFERROR(INDEX(装备库!$A$2:$E$2022,MATCH(ROW()-1,装备库!$AK$2:$AK$2022,0),COLUMN()),"")</f>
        <v/>
      </c>
      <c r="B1912" t="str">
        <f>IFERROR(INDEX(装备库!$A$2:$E$2022,MATCH(ROW()-1,装备库!$AK$2:$AK$2022,0),COLUMN()),"")</f>
        <v/>
      </c>
      <c r="C1912" t="str">
        <f>IFERROR(INDEX(装备库!$A$2:$E$2022,MATCH(ROW()-1,装备库!$AK$2:$AK$2022,0),5),"")</f>
        <v/>
      </c>
    </row>
    <row r="1913" spans="1:3">
      <c r="A1913" t="str">
        <f>IFERROR(INDEX(装备库!$A$2:$E$2022,MATCH(ROW()-1,装备库!$AK$2:$AK$2022,0),COLUMN()),"")</f>
        <v/>
      </c>
      <c r="B1913" t="str">
        <f>IFERROR(INDEX(装备库!$A$2:$E$2022,MATCH(ROW()-1,装备库!$AK$2:$AK$2022,0),COLUMN()),"")</f>
        <v/>
      </c>
      <c r="C1913" t="str">
        <f>IFERROR(INDEX(装备库!$A$2:$E$2022,MATCH(ROW()-1,装备库!$AK$2:$AK$2022,0),5),"")</f>
        <v/>
      </c>
    </row>
    <row r="1914" spans="1:3">
      <c r="A1914" t="str">
        <f>IFERROR(INDEX(装备库!$A$2:$E$2022,MATCH(ROW()-1,装备库!$AK$2:$AK$2022,0),COLUMN()),"")</f>
        <v/>
      </c>
      <c r="B1914" t="str">
        <f>IFERROR(INDEX(装备库!$A$2:$E$2022,MATCH(ROW()-1,装备库!$AK$2:$AK$2022,0),COLUMN()),"")</f>
        <v/>
      </c>
      <c r="C1914" t="str">
        <f>IFERROR(INDEX(装备库!$A$2:$E$2022,MATCH(ROW()-1,装备库!$AK$2:$AK$2022,0),5),"")</f>
        <v/>
      </c>
    </row>
    <row r="1915" spans="1:3">
      <c r="A1915" t="str">
        <f>IFERROR(INDEX(装备库!$A$2:$E$2022,MATCH(ROW()-1,装备库!$AK$2:$AK$2022,0),COLUMN()),"")</f>
        <v/>
      </c>
      <c r="B1915" t="str">
        <f>IFERROR(INDEX(装备库!$A$2:$E$2022,MATCH(ROW()-1,装备库!$AK$2:$AK$2022,0),COLUMN()),"")</f>
        <v/>
      </c>
      <c r="C1915" t="str">
        <f>IFERROR(INDEX(装备库!$A$2:$E$2022,MATCH(ROW()-1,装备库!$AK$2:$AK$2022,0),5),"")</f>
        <v/>
      </c>
    </row>
    <row r="1916" spans="1:3">
      <c r="A1916" t="str">
        <f>IFERROR(INDEX(装备库!$A$2:$E$2022,MATCH(ROW()-1,装备库!$AK$2:$AK$2022,0),COLUMN()),"")</f>
        <v/>
      </c>
      <c r="B1916" t="str">
        <f>IFERROR(INDEX(装备库!$A$2:$E$2022,MATCH(ROW()-1,装备库!$AK$2:$AK$2022,0),COLUMN()),"")</f>
        <v/>
      </c>
      <c r="C1916" t="str">
        <f>IFERROR(INDEX(装备库!$A$2:$E$2022,MATCH(ROW()-1,装备库!$AK$2:$AK$2022,0),5),"")</f>
        <v/>
      </c>
    </row>
    <row r="1917" spans="1:3">
      <c r="A1917" t="str">
        <f>IFERROR(INDEX(装备库!$A$2:$E$2022,MATCH(ROW()-1,装备库!$AK$2:$AK$2022,0),COLUMN()),"")</f>
        <v/>
      </c>
      <c r="B1917" t="str">
        <f>IFERROR(INDEX(装备库!$A$2:$E$2022,MATCH(ROW()-1,装备库!$AK$2:$AK$2022,0),COLUMN()),"")</f>
        <v/>
      </c>
      <c r="C1917" t="str">
        <f>IFERROR(INDEX(装备库!$A$2:$E$2022,MATCH(ROW()-1,装备库!$AK$2:$AK$2022,0),5),"")</f>
        <v/>
      </c>
    </row>
    <row r="1918" spans="1:3">
      <c r="A1918" t="str">
        <f>IFERROR(INDEX(装备库!$A$2:$E$2022,MATCH(ROW()-1,装备库!$AK$2:$AK$2022,0),COLUMN()),"")</f>
        <v/>
      </c>
      <c r="B1918" t="str">
        <f>IFERROR(INDEX(装备库!$A$2:$E$2022,MATCH(ROW()-1,装备库!$AK$2:$AK$2022,0),COLUMN()),"")</f>
        <v/>
      </c>
      <c r="C1918" t="str">
        <f>IFERROR(INDEX(装备库!$A$2:$E$2022,MATCH(ROW()-1,装备库!$AK$2:$AK$2022,0),5),"")</f>
        <v/>
      </c>
    </row>
    <row r="1919" spans="1:3">
      <c r="A1919" t="str">
        <f>IFERROR(INDEX(装备库!$A$2:$E$2022,MATCH(ROW()-1,装备库!$AK$2:$AK$2022,0),COLUMN()),"")</f>
        <v/>
      </c>
      <c r="B1919" t="str">
        <f>IFERROR(INDEX(装备库!$A$2:$E$2022,MATCH(ROW()-1,装备库!$AK$2:$AK$2022,0),COLUMN()),"")</f>
        <v/>
      </c>
      <c r="C1919" t="str">
        <f>IFERROR(INDEX(装备库!$A$2:$E$2022,MATCH(ROW()-1,装备库!$AK$2:$AK$2022,0),5),"")</f>
        <v/>
      </c>
    </row>
    <row r="1920" spans="1:3">
      <c r="A1920" t="str">
        <f>IFERROR(INDEX(装备库!$A$2:$E$2022,MATCH(ROW()-1,装备库!$AK$2:$AK$2022,0),COLUMN()),"")</f>
        <v/>
      </c>
      <c r="B1920" t="str">
        <f>IFERROR(INDEX(装备库!$A$2:$E$2022,MATCH(ROW()-1,装备库!$AK$2:$AK$2022,0),COLUMN()),"")</f>
        <v/>
      </c>
      <c r="C1920" t="str">
        <f>IFERROR(INDEX(装备库!$A$2:$E$2022,MATCH(ROW()-1,装备库!$AK$2:$AK$2022,0),5),"")</f>
        <v/>
      </c>
    </row>
    <row r="1921" spans="1:3">
      <c r="A1921" t="str">
        <f>IFERROR(INDEX(装备库!$A$2:$E$2022,MATCH(ROW()-1,装备库!$AK$2:$AK$2022,0),COLUMN()),"")</f>
        <v/>
      </c>
      <c r="B1921" t="str">
        <f>IFERROR(INDEX(装备库!$A$2:$E$2022,MATCH(ROW()-1,装备库!$AK$2:$AK$2022,0),COLUMN()),"")</f>
        <v/>
      </c>
      <c r="C1921" t="str">
        <f>IFERROR(INDEX(装备库!$A$2:$E$2022,MATCH(ROW()-1,装备库!$AK$2:$AK$2022,0),5),"")</f>
        <v/>
      </c>
    </row>
    <row r="1922" spans="1:3">
      <c r="A1922" t="str">
        <f>IFERROR(INDEX(装备库!$A$2:$E$2022,MATCH(ROW()-1,装备库!$AK$2:$AK$2022,0),COLUMN()),"")</f>
        <v/>
      </c>
      <c r="B1922" t="str">
        <f>IFERROR(INDEX(装备库!$A$2:$E$2022,MATCH(ROW()-1,装备库!$AK$2:$AK$2022,0),COLUMN()),"")</f>
        <v/>
      </c>
      <c r="C1922" t="str">
        <f>IFERROR(INDEX(装备库!$A$2:$E$2022,MATCH(ROW()-1,装备库!$AK$2:$AK$2022,0),5),"")</f>
        <v/>
      </c>
    </row>
    <row r="1923" spans="1:3">
      <c r="A1923" t="str">
        <f>IFERROR(INDEX(装备库!$A$2:$E$2022,MATCH(ROW()-1,装备库!$AK$2:$AK$2022,0),COLUMN()),"")</f>
        <v/>
      </c>
      <c r="B1923" t="str">
        <f>IFERROR(INDEX(装备库!$A$2:$E$2022,MATCH(ROW()-1,装备库!$AK$2:$AK$2022,0),COLUMN()),"")</f>
        <v/>
      </c>
      <c r="C1923" t="str">
        <f>IFERROR(INDEX(装备库!$A$2:$E$2022,MATCH(ROW()-1,装备库!$AK$2:$AK$2022,0),5),"")</f>
        <v/>
      </c>
    </row>
    <row r="1924" spans="1:3">
      <c r="A1924" t="str">
        <f>IFERROR(INDEX(装备库!$A$2:$E$2022,MATCH(ROW()-1,装备库!$AK$2:$AK$2022,0),COLUMN()),"")</f>
        <v/>
      </c>
      <c r="B1924" t="str">
        <f>IFERROR(INDEX(装备库!$A$2:$E$2022,MATCH(ROW()-1,装备库!$AK$2:$AK$2022,0),COLUMN()),"")</f>
        <v/>
      </c>
      <c r="C1924" t="str">
        <f>IFERROR(INDEX(装备库!$A$2:$E$2022,MATCH(ROW()-1,装备库!$AK$2:$AK$2022,0),5),"")</f>
        <v/>
      </c>
    </row>
    <row r="1925" spans="1:3">
      <c r="A1925" t="str">
        <f>IFERROR(INDEX(装备库!$A$2:$E$2022,MATCH(ROW()-1,装备库!$AK$2:$AK$2022,0),COLUMN()),"")</f>
        <v/>
      </c>
      <c r="B1925" t="str">
        <f>IFERROR(INDEX(装备库!$A$2:$E$2022,MATCH(ROW()-1,装备库!$AK$2:$AK$2022,0),COLUMN()),"")</f>
        <v/>
      </c>
      <c r="C1925" t="str">
        <f>IFERROR(INDEX(装备库!$A$2:$E$2022,MATCH(ROW()-1,装备库!$AK$2:$AK$2022,0),5),"")</f>
        <v/>
      </c>
    </row>
    <row r="1926" spans="1:3">
      <c r="A1926" t="str">
        <f>IFERROR(INDEX(装备库!$A$2:$E$2022,MATCH(ROW()-1,装备库!$AK$2:$AK$2022,0),COLUMN()),"")</f>
        <v/>
      </c>
      <c r="B1926" t="str">
        <f>IFERROR(INDEX(装备库!$A$2:$E$2022,MATCH(ROW()-1,装备库!$AK$2:$AK$2022,0),COLUMN()),"")</f>
        <v/>
      </c>
      <c r="C1926" t="str">
        <f>IFERROR(INDEX(装备库!$A$2:$E$2022,MATCH(ROW()-1,装备库!$AK$2:$AK$2022,0),5),"")</f>
        <v/>
      </c>
    </row>
    <row r="1927" spans="1:3">
      <c r="A1927" t="str">
        <f>IFERROR(INDEX(装备库!$A$2:$E$2022,MATCH(ROW()-1,装备库!$AK$2:$AK$2022,0),COLUMN()),"")</f>
        <v/>
      </c>
      <c r="B1927" t="str">
        <f>IFERROR(INDEX(装备库!$A$2:$E$2022,MATCH(ROW()-1,装备库!$AK$2:$AK$2022,0),COLUMN()),"")</f>
        <v/>
      </c>
      <c r="C1927" t="str">
        <f>IFERROR(INDEX(装备库!$A$2:$E$2022,MATCH(ROW()-1,装备库!$AK$2:$AK$2022,0),5),"")</f>
        <v/>
      </c>
    </row>
    <row r="1928" spans="1:3">
      <c r="A1928" t="str">
        <f>IFERROR(INDEX(装备库!$A$2:$E$2022,MATCH(ROW()-1,装备库!$AK$2:$AK$2022,0),COLUMN()),"")</f>
        <v/>
      </c>
      <c r="B1928" t="str">
        <f>IFERROR(INDEX(装备库!$A$2:$E$2022,MATCH(ROW()-1,装备库!$AK$2:$AK$2022,0),COLUMN()),"")</f>
        <v/>
      </c>
      <c r="C1928" t="str">
        <f>IFERROR(INDEX(装备库!$A$2:$E$2022,MATCH(ROW()-1,装备库!$AK$2:$AK$2022,0),5),"")</f>
        <v/>
      </c>
    </row>
    <row r="1929" spans="1:3">
      <c r="A1929" t="str">
        <f>IFERROR(INDEX(装备库!$A$2:$E$2022,MATCH(ROW()-1,装备库!$AK$2:$AK$2022,0),COLUMN()),"")</f>
        <v/>
      </c>
      <c r="B1929" t="str">
        <f>IFERROR(INDEX(装备库!$A$2:$E$2022,MATCH(ROW()-1,装备库!$AK$2:$AK$2022,0),COLUMN()),"")</f>
        <v/>
      </c>
      <c r="C1929" t="str">
        <f>IFERROR(INDEX(装备库!$A$2:$E$2022,MATCH(ROW()-1,装备库!$AK$2:$AK$2022,0),5),"")</f>
        <v/>
      </c>
    </row>
    <row r="1930" spans="1:3">
      <c r="A1930" t="str">
        <f>IFERROR(INDEX(装备库!$A$2:$E$2022,MATCH(ROW()-1,装备库!$AK$2:$AK$2022,0),COLUMN()),"")</f>
        <v/>
      </c>
      <c r="B1930" t="str">
        <f>IFERROR(INDEX(装备库!$A$2:$E$2022,MATCH(ROW()-1,装备库!$AK$2:$AK$2022,0),COLUMN()),"")</f>
        <v/>
      </c>
      <c r="C1930" t="str">
        <f>IFERROR(INDEX(装备库!$A$2:$E$2022,MATCH(ROW()-1,装备库!$AK$2:$AK$2022,0),5),"")</f>
        <v/>
      </c>
    </row>
    <row r="1931" spans="1:3">
      <c r="A1931" t="str">
        <f>IFERROR(INDEX(装备库!$A$2:$E$2022,MATCH(ROW()-1,装备库!$AK$2:$AK$2022,0),COLUMN()),"")</f>
        <v/>
      </c>
      <c r="B1931" t="str">
        <f>IFERROR(INDEX(装备库!$A$2:$E$2022,MATCH(ROW()-1,装备库!$AK$2:$AK$2022,0),COLUMN()),"")</f>
        <v/>
      </c>
      <c r="C1931" t="str">
        <f>IFERROR(INDEX(装备库!$A$2:$E$2022,MATCH(ROW()-1,装备库!$AK$2:$AK$2022,0),5),"")</f>
        <v/>
      </c>
    </row>
    <row r="1932" spans="1:3">
      <c r="A1932" t="str">
        <f>IFERROR(INDEX(装备库!$A$2:$E$2022,MATCH(ROW()-1,装备库!$AK$2:$AK$2022,0),COLUMN()),"")</f>
        <v/>
      </c>
      <c r="B1932" t="str">
        <f>IFERROR(INDEX(装备库!$A$2:$E$2022,MATCH(ROW()-1,装备库!$AK$2:$AK$2022,0),COLUMN()),"")</f>
        <v/>
      </c>
      <c r="C1932" t="str">
        <f>IFERROR(INDEX(装备库!$A$2:$E$2022,MATCH(ROW()-1,装备库!$AK$2:$AK$2022,0),5),"")</f>
        <v/>
      </c>
    </row>
    <row r="1933" spans="1:3">
      <c r="A1933" t="str">
        <f>IFERROR(INDEX(装备库!$A$2:$E$2022,MATCH(ROW()-1,装备库!$AK$2:$AK$2022,0),COLUMN()),"")</f>
        <v/>
      </c>
      <c r="B1933" t="str">
        <f>IFERROR(INDEX(装备库!$A$2:$E$2022,MATCH(ROW()-1,装备库!$AK$2:$AK$2022,0),COLUMN()),"")</f>
        <v/>
      </c>
      <c r="C1933" t="str">
        <f>IFERROR(INDEX(装备库!$A$2:$E$2022,MATCH(ROW()-1,装备库!$AK$2:$AK$2022,0),5),"")</f>
        <v/>
      </c>
    </row>
    <row r="1934" spans="1:3">
      <c r="A1934" t="str">
        <f>IFERROR(INDEX(装备库!$A$2:$E$2022,MATCH(ROW()-1,装备库!$AK$2:$AK$2022,0),COLUMN()),"")</f>
        <v/>
      </c>
      <c r="B1934" t="str">
        <f>IFERROR(INDEX(装备库!$A$2:$E$2022,MATCH(ROW()-1,装备库!$AK$2:$AK$2022,0),COLUMN()),"")</f>
        <v/>
      </c>
      <c r="C1934" t="str">
        <f>IFERROR(INDEX(装备库!$A$2:$E$2022,MATCH(ROW()-1,装备库!$AK$2:$AK$2022,0),5),"")</f>
        <v/>
      </c>
    </row>
    <row r="1935" spans="1:3">
      <c r="A1935" t="str">
        <f>IFERROR(INDEX(装备库!$A$2:$E$2022,MATCH(ROW()-1,装备库!$AK$2:$AK$2022,0),COLUMN()),"")</f>
        <v/>
      </c>
      <c r="B1935" t="str">
        <f>IFERROR(INDEX(装备库!$A$2:$E$2022,MATCH(ROW()-1,装备库!$AK$2:$AK$2022,0),COLUMN()),"")</f>
        <v/>
      </c>
      <c r="C1935" t="str">
        <f>IFERROR(INDEX(装备库!$A$2:$E$2022,MATCH(ROW()-1,装备库!$AK$2:$AK$2022,0),5),"")</f>
        <v/>
      </c>
    </row>
    <row r="1936" spans="1:3">
      <c r="A1936" t="str">
        <f>IFERROR(INDEX(装备库!$A$2:$E$2022,MATCH(ROW()-1,装备库!$AK$2:$AK$2022,0),COLUMN()),"")</f>
        <v/>
      </c>
      <c r="B1936" t="str">
        <f>IFERROR(INDEX(装备库!$A$2:$E$2022,MATCH(ROW()-1,装备库!$AK$2:$AK$2022,0),COLUMN()),"")</f>
        <v/>
      </c>
      <c r="C1936" t="str">
        <f>IFERROR(INDEX(装备库!$A$2:$E$2022,MATCH(ROW()-1,装备库!$AK$2:$AK$2022,0),5),"")</f>
        <v/>
      </c>
    </row>
    <row r="1937" spans="1:3">
      <c r="A1937" t="str">
        <f>IFERROR(INDEX(装备库!$A$2:$E$2022,MATCH(ROW()-1,装备库!$AK$2:$AK$2022,0),COLUMN()),"")</f>
        <v/>
      </c>
      <c r="B1937" t="str">
        <f>IFERROR(INDEX(装备库!$A$2:$E$2022,MATCH(ROW()-1,装备库!$AK$2:$AK$2022,0),COLUMN()),"")</f>
        <v/>
      </c>
      <c r="C1937" t="str">
        <f>IFERROR(INDEX(装备库!$A$2:$E$2022,MATCH(ROW()-1,装备库!$AK$2:$AK$2022,0),5),"")</f>
        <v/>
      </c>
    </row>
    <row r="1938" spans="1:3">
      <c r="A1938" t="str">
        <f>IFERROR(INDEX(装备库!$A$2:$E$2022,MATCH(ROW()-1,装备库!$AK$2:$AK$2022,0),COLUMN()),"")</f>
        <v/>
      </c>
      <c r="B1938" t="str">
        <f>IFERROR(INDEX(装备库!$A$2:$E$2022,MATCH(ROW()-1,装备库!$AK$2:$AK$2022,0),COLUMN()),"")</f>
        <v/>
      </c>
      <c r="C1938" t="str">
        <f>IFERROR(INDEX(装备库!$A$2:$E$2022,MATCH(ROW()-1,装备库!$AK$2:$AK$2022,0),5),"")</f>
        <v/>
      </c>
    </row>
    <row r="1939" spans="1:3">
      <c r="A1939" t="str">
        <f>IFERROR(INDEX(装备库!$A$2:$E$2022,MATCH(ROW()-1,装备库!$AK$2:$AK$2022,0),COLUMN()),"")</f>
        <v/>
      </c>
      <c r="B1939" t="str">
        <f>IFERROR(INDEX(装备库!$A$2:$E$2022,MATCH(ROW()-1,装备库!$AK$2:$AK$2022,0),COLUMN()),"")</f>
        <v/>
      </c>
      <c r="C1939" t="str">
        <f>IFERROR(INDEX(装备库!$A$2:$E$2022,MATCH(ROW()-1,装备库!$AK$2:$AK$2022,0),5),"")</f>
        <v/>
      </c>
    </row>
    <row r="1940" spans="1:3">
      <c r="A1940" t="str">
        <f>IFERROR(INDEX(装备库!$A$2:$E$2022,MATCH(ROW()-1,装备库!$AK$2:$AK$2022,0),COLUMN()),"")</f>
        <v/>
      </c>
      <c r="B1940" t="str">
        <f>IFERROR(INDEX(装备库!$A$2:$E$2022,MATCH(ROW()-1,装备库!$AK$2:$AK$2022,0),COLUMN()),"")</f>
        <v/>
      </c>
      <c r="C1940" t="str">
        <f>IFERROR(INDEX(装备库!$A$2:$E$2022,MATCH(ROW()-1,装备库!$AK$2:$AK$2022,0),5),"")</f>
        <v/>
      </c>
    </row>
    <row r="1941" spans="1:3">
      <c r="A1941" t="str">
        <f>IFERROR(INDEX(装备库!$A$2:$E$2022,MATCH(ROW()-1,装备库!$AK$2:$AK$2022,0),COLUMN()),"")</f>
        <v/>
      </c>
      <c r="B1941" t="str">
        <f>IFERROR(INDEX(装备库!$A$2:$E$2022,MATCH(ROW()-1,装备库!$AK$2:$AK$2022,0),COLUMN()),"")</f>
        <v/>
      </c>
      <c r="C1941" t="str">
        <f>IFERROR(INDEX(装备库!$A$2:$E$2022,MATCH(ROW()-1,装备库!$AK$2:$AK$2022,0),5),"")</f>
        <v/>
      </c>
    </row>
    <row r="1942" spans="1:3">
      <c r="A1942" t="str">
        <f>IFERROR(INDEX(装备库!$A$2:$E$2022,MATCH(ROW()-1,装备库!$AK$2:$AK$2022,0),COLUMN()),"")</f>
        <v/>
      </c>
      <c r="B1942" t="str">
        <f>IFERROR(INDEX(装备库!$A$2:$E$2022,MATCH(ROW()-1,装备库!$AK$2:$AK$2022,0),COLUMN()),"")</f>
        <v/>
      </c>
      <c r="C1942" t="str">
        <f>IFERROR(INDEX(装备库!$A$2:$E$2022,MATCH(ROW()-1,装备库!$AK$2:$AK$2022,0),5),"")</f>
        <v/>
      </c>
    </row>
    <row r="1943" spans="1:3">
      <c r="A1943" t="str">
        <f>IFERROR(INDEX(装备库!$A$2:$E$2022,MATCH(ROW()-1,装备库!$AK$2:$AK$2022,0),COLUMN()),"")</f>
        <v/>
      </c>
      <c r="B1943" t="str">
        <f>IFERROR(INDEX(装备库!$A$2:$E$2022,MATCH(ROW()-1,装备库!$AK$2:$AK$2022,0),COLUMN()),"")</f>
        <v/>
      </c>
      <c r="C1943" t="str">
        <f>IFERROR(INDEX(装备库!$A$2:$E$2022,MATCH(ROW()-1,装备库!$AK$2:$AK$2022,0),5),"")</f>
        <v/>
      </c>
    </row>
    <row r="1944" spans="1:3">
      <c r="A1944" t="str">
        <f>IFERROR(INDEX(装备库!$A$2:$E$2022,MATCH(ROW()-1,装备库!$AK$2:$AK$2022,0),COLUMN()),"")</f>
        <v/>
      </c>
      <c r="B1944" t="str">
        <f>IFERROR(INDEX(装备库!$A$2:$E$2022,MATCH(ROW()-1,装备库!$AK$2:$AK$2022,0),COLUMN()),"")</f>
        <v/>
      </c>
      <c r="C1944" t="str">
        <f>IFERROR(INDEX(装备库!$A$2:$E$2022,MATCH(ROW()-1,装备库!$AK$2:$AK$2022,0),5),"")</f>
        <v/>
      </c>
    </row>
    <row r="1945" spans="1:3">
      <c r="A1945" t="str">
        <f>IFERROR(INDEX(装备库!$A$2:$E$2022,MATCH(ROW()-1,装备库!$AK$2:$AK$2022,0),COLUMN()),"")</f>
        <v/>
      </c>
      <c r="B1945" t="str">
        <f>IFERROR(INDEX(装备库!$A$2:$E$2022,MATCH(ROW()-1,装备库!$AK$2:$AK$2022,0),COLUMN()),"")</f>
        <v/>
      </c>
      <c r="C1945" t="str">
        <f>IFERROR(INDEX(装备库!$A$2:$E$2022,MATCH(ROW()-1,装备库!$AK$2:$AK$2022,0),5),"")</f>
        <v/>
      </c>
    </row>
    <row r="1946" spans="1:3">
      <c r="A1946" t="str">
        <f>IFERROR(INDEX(装备库!$A$2:$E$2022,MATCH(ROW()-1,装备库!$AK$2:$AK$2022,0),COLUMN()),"")</f>
        <v/>
      </c>
      <c r="B1946" t="str">
        <f>IFERROR(INDEX(装备库!$A$2:$E$2022,MATCH(ROW()-1,装备库!$AK$2:$AK$2022,0),COLUMN()),"")</f>
        <v/>
      </c>
      <c r="C1946" t="str">
        <f>IFERROR(INDEX(装备库!$A$2:$E$2022,MATCH(ROW()-1,装备库!$AK$2:$AK$2022,0),5),"")</f>
        <v/>
      </c>
    </row>
    <row r="1947" spans="1:3">
      <c r="A1947" t="str">
        <f>IFERROR(INDEX(装备库!$A$2:$E$2022,MATCH(ROW()-1,装备库!$AK$2:$AK$2022,0),COLUMN()),"")</f>
        <v/>
      </c>
      <c r="B1947" t="str">
        <f>IFERROR(INDEX(装备库!$A$2:$E$2022,MATCH(ROW()-1,装备库!$AK$2:$AK$2022,0),COLUMN()),"")</f>
        <v/>
      </c>
      <c r="C1947" t="str">
        <f>IFERROR(INDEX(装备库!$A$2:$E$2022,MATCH(ROW()-1,装备库!$AK$2:$AK$2022,0),5),"")</f>
        <v/>
      </c>
    </row>
    <row r="1948" spans="1:3">
      <c r="A1948" t="str">
        <f>IFERROR(INDEX(装备库!$A$2:$E$2022,MATCH(ROW()-1,装备库!$AK$2:$AK$2022,0),COLUMN()),"")</f>
        <v/>
      </c>
      <c r="B1948" t="str">
        <f>IFERROR(INDEX(装备库!$A$2:$E$2022,MATCH(ROW()-1,装备库!$AK$2:$AK$2022,0),COLUMN()),"")</f>
        <v/>
      </c>
      <c r="C1948" t="str">
        <f>IFERROR(INDEX(装备库!$A$2:$E$2022,MATCH(ROW()-1,装备库!$AK$2:$AK$2022,0),5),"")</f>
        <v/>
      </c>
    </row>
    <row r="1949" spans="1:3">
      <c r="A1949" t="str">
        <f>IFERROR(INDEX(装备库!$A$2:$E$2022,MATCH(ROW()-1,装备库!$AK$2:$AK$2022,0),COLUMN()),"")</f>
        <v/>
      </c>
      <c r="B1949" t="str">
        <f>IFERROR(INDEX(装备库!$A$2:$E$2022,MATCH(ROW()-1,装备库!$AK$2:$AK$2022,0),COLUMN()),"")</f>
        <v/>
      </c>
      <c r="C1949" t="str">
        <f>IFERROR(INDEX(装备库!$A$2:$E$2022,MATCH(ROW()-1,装备库!$AK$2:$AK$2022,0),5),"")</f>
        <v/>
      </c>
    </row>
    <row r="1950" spans="1:3">
      <c r="A1950" t="str">
        <f>IFERROR(INDEX(装备库!$A$2:$E$2022,MATCH(ROW()-1,装备库!$AK$2:$AK$2022,0),COLUMN()),"")</f>
        <v/>
      </c>
      <c r="B1950" t="str">
        <f>IFERROR(INDEX(装备库!$A$2:$E$2022,MATCH(ROW()-1,装备库!$AK$2:$AK$2022,0),COLUMN()),"")</f>
        <v/>
      </c>
      <c r="C1950" t="str">
        <f>IFERROR(INDEX(装备库!$A$2:$E$2022,MATCH(ROW()-1,装备库!$AK$2:$AK$2022,0),5),"")</f>
        <v/>
      </c>
    </row>
    <row r="1951" spans="1:3">
      <c r="A1951" t="str">
        <f>IFERROR(INDEX(装备库!$A$2:$E$2022,MATCH(ROW()-1,装备库!$AK$2:$AK$2022,0),COLUMN()),"")</f>
        <v/>
      </c>
      <c r="B1951" t="str">
        <f>IFERROR(INDEX(装备库!$A$2:$E$2022,MATCH(ROW()-1,装备库!$AK$2:$AK$2022,0),COLUMN()),"")</f>
        <v/>
      </c>
      <c r="C1951" t="str">
        <f>IFERROR(INDEX(装备库!$A$2:$E$2022,MATCH(ROW()-1,装备库!$AK$2:$AK$2022,0),5),"")</f>
        <v/>
      </c>
    </row>
    <row r="1952" spans="1:3">
      <c r="A1952" t="str">
        <f>IFERROR(INDEX(装备库!$A$2:$E$2022,MATCH(ROW()-1,装备库!$AK$2:$AK$2022,0),COLUMN()),"")</f>
        <v/>
      </c>
      <c r="B1952" t="str">
        <f>IFERROR(INDEX(装备库!$A$2:$E$2022,MATCH(ROW()-1,装备库!$AK$2:$AK$2022,0),COLUMN()),"")</f>
        <v/>
      </c>
      <c r="C1952" t="str">
        <f>IFERROR(INDEX(装备库!$A$2:$E$2022,MATCH(ROW()-1,装备库!$AK$2:$AK$2022,0),5),"")</f>
        <v/>
      </c>
    </row>
    <row r="1953" spans="1:3">
      <c r="A1953" t="str">
        <f>IFERROR(INDEX(装备库!$A$2:$E$2022,MATCH(ROW()-1,装备库!$AK$2:$AK$2022,0),COLUMN()),"")</f>
        <v/>
      </c>
      <c r="B1953" t="str">
        <f>IFERROR(INDEX(装备库!$A$2:$E$2022,MATCH(ROW()-1,装备库!$AK$2:$AK$2022,0),COLUMN()),"")</f>
        <v/>
      </c>
      <c r="C1953" t="str">
        <f>IFERROR(INDEX(装备库!$A$2:$E$2022,MATCH(ROW()-1,装备库!$AK$2:$AK$2022,0),5),"")</f>
        <v/>
      </c>
    </row>
    <row r="1954" spans="1:3">
      <c r="A1954" t="str">
        <f>IFERROR(INDEX(装备库!$A$2:$E$2022,MATCH(ROW()-1,装备库!$AK$2:$AK$2022,0),COLUMN()),"")</f>
        <v/>
      </c>
      <c r="B1954" t="str">
        <f>IFERROR(INDEX(装备库!$A$2:$E$2022,MATCH(ROW()-1,装备库!$AK$2:$AK$2022,0),COLUMN()),"")</f>
        <v/>
      </c>
      <c r="C1954" t="str">
        <f>IFERROR(INDEX(装备库!$A$2:$E$2022,MATCH(ROW()-1,装备库!$AK$2:$AK$2022,0),5),"")</f>
        <v/>
      </c>
    </row>
    <row r="1955" spans="1:3">
      <c r="A1955" t="str">
        <f>IFERROR(INDEX(装备库!$A$2:$E$2022,MATCH(ROW()-1,装备库!$AK$2:$AK$2022,0),COLUMN()),"")</f>
        <v/>
      </c>
      <c r="B1955" t="str">
        <f>IFERROR(INDEX(装备库!$A$2:$E$2022,MATCH(ROW()-1,装备库!$AK$2:$AK$2022,0),COLUMN()),"")</f>
        <v/>
      </c>
      <c r="C1955" t="str">
        <f>IFERROR(INDEX(装备库!$A$2:$E$2022,MATCH(ROW()-1,装备库!$AK$2:$AK$2022,0),5),"")</f>
        <v/>
      </c>
    </row>
    <row r="1956" spans="1:3">
      <c r="A1956" t="str">
        <f>IFERROR(INDEX(装备库!$A$2:$E$2022,MATCH(ROW()-1,装备库!$AK$2:$AK$2022,0),COLUMN()),"")</f>
        <v/>
      </c>
      <c r="B1956" t="str">
        <f>IFERROR(INDEX(装备库!$A$2:$E$2022,MATCH(ROW()-1,装备库!$AK$2:$AK$2022,0),COLUMN()),"")</f>
        <v/>
      </c>
      <c r="C1956" t="str">
        <f>IFERROR(INDEX(装备库!$A$2:$E$2022,MATCH(ROW()-1,装备库!$AK$2:$AK$2022,0),5),"")</f>
        <v/>
      </c>
    </row>
    <row r="1957" spans="1:3">
      <c r="A1957" t="str">
        <f>IFERROR(INDEX(装备库!$A$2:$E$2022,MATCH(ROW()-1,装备库!$AK$2:$AK$2022,0),COLUMN()),"")</f>
        <v/>
      </c>
      <c r="B1957" t="str">
        <f>IFERROR(INDEX(装备库!$A$2:$E$2022,MATCH(ROW()-1,装备库!$AK$2:$AK$2022,0),COLUMN()),"")</f>
        <v/>
      </c>
      <c r="C1957" t="str">
        <f>IFERROR(INDEX(装备库!$A$2:$E$2022,MATCH(ROW()-1,装备库!$AK$2:$AK$2022,0),5),"")</f>
        <v/>
      </c>
    </row>
    <row r="1958" spans="1:3">
      <c r="A1958" t="str">
        <f>IFERROR(INDEX(装备库!$A$2:$E$2022,MATCH(ROW()-1,装备库!$AK$2:$AK$2022,0),COLUMN()),"")</f>
        <v/>
      </c>
      <c r="B1958" t="str">
        <f>IFERROR(INDEX(装备库!$A$2:$E$2022,MATCH(ROW()-1,装备库!$AK$2:$AK$2022,0),COLUMN()),"")</f>
        <v/>
      </c>
      <c r="C1958" t="str">
        <f>IFERROR(INDEX(装备库!$A$2:$E$2022,MATCH(ROW()-1,装备库!$AK$2:$AK$2022,0),5),"")</f>
        <v/>
      </c>
    </row>
    <row r="1959" spans="1:3">
      <c r="A1959" t="str">
        <f>IFERROR(INDEX(装备库!$A$2:$E$2022,MATCH(ROW()-1,装备库!$AK$2:$AK$2022,0),COLUMN()),"")</f>
        <v/>
      </c>
      <c r="B1959" t="str">
        <f>IFERROR(INDEX(装备库!$A$2:$E$2022,MATCH(ROW()-1,装备库!$AK$2:$AK$2022,0),COLUMN()),"")</f>
        <v/>
      </c>
      <c r="C1959" t="str">
        <f>IFERROR(INDEX(装备库!$A$2:$E$2022,MATCH(ROW()-1,装备库!$AK$2:$AK$2022,0),5),"")</f>
        <v/>
      </c>
    </row>
    <row r="1960" spans="1:3">
      <c r="A1960" t="str">
        <f>IFERROR(INDEX(装备库!$A$2:$E$2022,MATCH(ROW()-1,装备库!$AK$2:$AK$2022,0),COLUMN()),"")</f>
        <v/>
      </c>
      <c r="B1960" t="str">
        <f>IFERROR(INDEX(装备库!$A$2:$E$2022,MATCH(ROW()-1,装备库!$AK$2:$AK$2022,0),COLUMN()),"")</f>
        <v/>
      </c>
      <c r="C1960" t="str">
        <f>IFERROR(INDEX(装备库!$A$2:$E$2022,MATCH(ROW()-1,装备库!$AK$2:$AK$2022,0),5),"")</f>
        <v/>
      </c>
    </row>
    <row r="1961" spans="1:3">
      <c r="A1961" t="str">
        <f>IFERROR(INDEX(装备库!$A$2:$E$2022,MATCH(ROW()-1,装备库!$AK$2:$AK$2022,0),COLUMN()),"")</f>
        <v/>
      </c>
      <c r="B1961" t="str">
        <f>IFERROR(INDEX(装备库!$A$2:$E$2022,MATCH(ROW()-1,装备库!$AK$2:$AK$2022,0),COLUMN()),"")</f>
        <v/>
      </c>
      <c r="C1961" t="str">
        <f>IFERROR(INDEX(装备库!$A$2:$E$2022,MATCH(ROW()-1,装备库!$AK$2:$AK$2022,0),5),"")</f>
        <v/>
      </c>
    </row>
    <row r="1962" spans="1:3">
      <c r="A1962" t="str">
        <f>IFERROR(INDEX(装备库!$A$2:$E$2022,MATCH(ROW()-1,装备库!$AK$2:$AK$2022,0),COLUMN()),"")</f>
        <v/>
      </c>
      <c r="B1962" t="str">
        <f>IFERROR(INDEX(装备库!$A$2:$E$2022,MATCH(ROW()-1,装备库!$AK$2:$AK$2022,0),COLUMN()),"")</f>
        <v/>
      </c>
      <c r="C1962" t="str">
        <f>IFERROR(INDEX(装备库!$A$2:$E$2022,MATCH(ROW()-1,装备库!$AK$2:$AK$2022,0),5),"")</f>
        <v/>
      </c>
    </row>
    <row r="1963" spans="1:3">
      <c r="A1963" t="str">
        <f>IFERROR(INDEX(装备库!$A$2:$E$2022,MATCH(ROW()-1,装备库!$AK$2:$AK$2022,0),COLUMN()),"")</f>
        <v/>
      </c>
      <c r="B1963" t="str">
        <f>IFERROR(INDEX(装备库!$A$2:$E$2022,MATCH(ROW()-1,装备库!$AK$2:$AK$2022,0),COLUMN()),"")</f>
        <v/>
      </c>
      <c r="C1963" t="str">
        <f>IFERROR(INDEX(装备库!$A$2:$E$2022,MATCH(ROW()-1,装备库!$AK$2:$AK$2022,0),5),"")</f>
        <v/>
      </c>
    </row>
    <row r="1964" spans="1:3">
      <c r="A1964" t="str">
        <f>IFERROR(INDEX(装备库!$A$2:$E$2022,MATCH(ROW()-1,装备库!$AK$2:$AK$2022,0),COLUMN()),"")</f>
        <v/>
      </c>
      <c r="B1964" t="str">
        <f>IFERROR(INDEX(装备库!$A$2:$E$2022,MATCH(ROW()-1,装备库!$AK$2:$AK$2022,0),COLUMN()),"")</f>
        <v/>
      </c>
      <c r="C1964" t="str">
        <f>IFERROR(INDEX(装备库!$A$2:$E$2022,MATCH(ROW()-1,装备库!$AK$2:$AK$2022,0),5),"")</f>
        <v/>
      </c>
    </row>
    <row r="1965" spans="1:3">
      <c r="A1965" t="str">
        <f>IFERROR(INDEX(装备库!$A$2:$E$2022,MATCH(ROW()-1,装备库!$AK$2:$AK$2022,0),COLUMN()),"")</f>
        <v/>
      </c>
      <c r="B1965" t="str">
        <f>IFERROR(INDEX(装备库!$A$2:$E$2022,MATCH(ROW()-1,装备库!$AK$2:$AK$2022,0),COLUMN()),"")</f>
        <v/>
      </c>
      <c r="C1965" t="str">
        <f>IFERROR(INDEX(装备库!$A$2:$E$2022,MATCH(ROW()-1,装备库!$AK$2:$AK$2022,0),5),"")</f>
        <v/>
      </c>
    </row>
    <row r="1966" spans="1:3">
      <c r="A1966" t="str">
        <f>IFERROR(INDEX(装备库!$A$2:$E$2022,MATCH(ROW()-1,装备库!$AK$2:$AK$2022,0),COLUMN()),"")</f>
        <v/>
      </c>
      <c r="B1966" t="str">
        <f>IFERROR(INDEX(装备库!$A$2:$E$2022,MATCH(ROW()-1,装备库!$AK$2:$AK$2022,0),COLUMN()),"")</f>
        <v/>
      </c>
      <c r="C1966" t="str">
        <f>IFERROR(INDEX(装备库!$A$2:$E$2022,MATCH(ROW()-1,装备库!$AK$2:$AK$2022,0),5),"")</f>
        <v/>
      </c>
    </row>
    <row r="1967" spans="1:3">
      <c r="A1967" t="str">
        <f>IFERROR(INDEX(装备库!$A$2:$E$2022,MATCH(ROW()-1,装备库!$AK$2:$AK$2022,0),COLUMN()),"")</f>
        <v/>
      </c>
      <c r="B1967" t="str">
        <f>IFERROR(INDEX(装备库!$A$2:$E$2022,MATCH(ROW()-1,装备库!$AK$2:$AK$2022,0),COLUMN()),"")</f>
        <v/>
      </c>
      <c r="C1967" t="str">
        <f>IFERROR(INDEX(装备库!$A$2:$E$2022,MATCH(ROW()-1,装备库!$AK$2:$AK$2022,0),5),"")</f>
        <v/>
      </c>
    </row>
    <row r="1968" spans="1:3">
      <c r="A1968" t="str">
        <f>IFERROR(INDEX(装备库!$A$2:$E$2022,MATCH(ROW()-1,装备库!$AK$2:$AK$2022,0),COLUMN()),"")</f>
        <v/>
      </c>
      <c r="B1968" t="str">
        <f>IFERROR(INDEX(装备库!$A$2:$E$2022,MATCH(ROW()-1,装备库!$AK$2:$AK$2022,0),COLUMN()),"")</f>
        <v/>
      </c>
      <c r="C1968" t="str">
        <f>IFERROR(INDEX(装备库!$A$2:$E$2022,MATCH(ROW()-1,装备库!$AK$2:$AK$2022,0),5),"")</f>
        <v/>
      </c>
    </row>
    <row r="1969" spans="1:3">
      <c r="A1969" t="str">
        <f>IFERROR(INDEX(装备库!$A$2:$E$2022,MATCH(ROW()-1,装备库!$AK$2:$AK$2022,0),COLUMN()),"")</f>
        <v/>
      </c>
      <c r="B1969" t="str">
        <f>IFERROR(INDEX(装备库!$A$2:$E$2022,MATCH(ROW()-1,装备库!$AK$2:$AK$2022,0),COLUMN()),"")</f>
        <v/>
      </c>
      <c r="C1969" t="str">
        <f>IFERROR(INDEX(装备库!$A$2:$E$2022,MATCH(ROW()-1,装备库!$AK$2:$AK$2022,0),5),"")</f>
        <v/>
      </c>
    </row>
    <row r="1970" spans="1:3">
      <c r="A1970" t="str">
        <f>IFERROR(INDEX(装备库!$A$2:$E$2022,MATCH(ROW()-1,装备库!$AK$2:$AK$2022,0),COLUMN()),"")</f>
        <v/>
      </c>
      <c r="B1970" t="str">
        <f>IFERROR(INDEX(装备库!$A$2:$E$2022,MATCH(ROW()-1,装备库!$AK$2:$AK$2022,0),COLUMN()),"")</f>
        <v/>
      </c>
      <c r="C1970" t="str">
        <f>IFERROR(INDEX(装备库!$A$2:$E$2022,MATCH(ROW()-1,装备库!$AK$2:$AK$2022,0),5),"")</f>
        <v/>
      </c>
    </row>
    <row r="1971" spans="1:3">
      <c r="A1971" t="str">
        <f>IFERROR(INDEX(装备库!$A$2:$E$2022,MATCH(ROW()-1,装备库!$AK$2:$AK$2022,0),COLUMN()),"")</f>
        <v/>
      </c>
      <c r="B1971" t="str">
        <f>IFERROR(INDEX(装备库!$A$2:$E$2022,MATCH(ROW()-1,装备库!$AK$2:$AK$2022,0),COLUMN()),"")</f>
        <v/>
      </c>
      <c r="C1971" t="str">
        <f>IFERROR(INDEX(装备库!$A$2:$E$2022,MATCH(ROW()-1,装备库!$AK$2:$AK$2022,0),5),"")</f>
        <v/>
      </c>
    </row>
    <row r="1972" spans="1:3">
      <c r="A1972" t="str">
        <f>IFERROR(INDEX(装备库!$A$2:$E$2022,MATCH(ROW()-1,装备库!$AK$2:$AK$2022,0),COLUMN()),"")</f>
        <v/>
      </c>
      <c r="B1972" t="str">
        <f>IFERROR(INDEX(装备库!$A$2:$E$2022,MATCH(ROW()-1,装备库!$AK$2:$AK$2022,0),COLUMN()),"")</f>
        <v/>
      </c>
      <c r="C1972" t="str">
        <f>IFERROR(INDEX(装备库!$A$2:$E$2022,MATCH(ROW()-1,装备库!$AK$2:$AK$2022,0),5),"")</f>
        <v/>
      </c>
    </row>
    <row r="1973" spans="1:3">
      <c r="A1973" t="str">
        <f>IFERROR(INDEX(装备库!$A$2:$E$2022,MATCH(ROW()-1,装备库!$AK$2:$AK$2022,0),COLUMN()),"")</f>
        <v/>
      </c>
      <c r="B1973" t="str">
        <f>IFERROR(INDEX(装备库!$A$2:$E$2022,MATCH(ROW()-1,装备库!$AK$2:$AK$2022,0),COLUMN()),"")</f>
        <v/>
      </c>
      <c r="C1973" t="str">
        <f>IFERROR(INDEX(装备库!$A$2:$E$2022,MATCH(ROW()-1,装备库!$AK$2:$AK$2022,0),5),"")</f>
        <v/>
      </c>
    </row>
    <row r="1974" spans="1:3">
      <c r="A1974" t="str">
        <f>IFERROR(INDEX(装备库!$A$2:$E$2022,MATCH(ROW()-1,装备库!$AK$2:$AK$2022,0),COLUMN()),"")</f>
        <v/>
      </c>
      <c r="B1974" t="str">
        <f>IFERROR(INDEX(装备库!$A$2:$E$2022,MATCH(ROW()-1,装备库!$AK$2:$AK$2022,0),COLUMN()),"")</f>
        <v/>
      </c>
      <c r="C1974" t="str">
        <f>IFERROR(INDEX(装备库!$A$2:$E$2022,MATCH(ROW()-1,装备库!$AK$2:$AK$2022,0),5),"")</f>
        <v/>
      </c>
    </row>
    <row r="1975" spans="1:3">
      <c r="A1975" t="str">
        <f>IFERROR(INDEX(装备库!$A$2:$E$2022,MATCH(ROW()-1,装备库!$AK$2:$AK$2022,0),COLUMN()),"")</f>
        <v/>
      </c>
      <c r="B1975" t="str">
        <f>IFERROR(INDEX(装备库!$A$2:$E$2022,MATCH(ROW()-1,装备库!$AK$2:$AK$2022,0),COLUMN()),"")</f>
        <v/>
      </c>
      <c r="C1975" t="str">
        <f>IFERROR(INDEX(装备库!$A$2:$E$2022,MATCH(ROW()-1,装备库!$AK$2:$AK$2022,0),5),"")</f>
        <v/>
      </c>
    </row>
    <row r="1976" spans="1:3">
      <c r="A1976" t="str">
        <f>IFERROR(INDEX(装备库!$A$2:$E$2022,MATCH(ROW()-1,装备库!$AK$2:$AK$2022,0),COLUMN()),"")</f>
        <v/>
      </c>
      <c r="B1976" t="str">
        <f>IFERROR(INDEX(装备库!$A$2:$E$2022,MATCH(ROW()-1,装备库!$AK$2:$AK$2022,0),COLUMN()),"")</f>
        <v/>
      </c>
      <c r="C1976" t="str">
        <f>IFERROR(INDEX(装备库!$A$2:$E$2022,MATCH(ROW()-1,装备库!$AK$2:$AK$2022,0),5),"")</f>
        <v/>
      </c>
    </row>
    <row r="1977" spans="1:3">
      <c r="A1977" t="str">
        <f>IFERROR(INDEX(装备库!$A$2:$E$2022,MATCH(ROW()-1,装备库!$AK$2:$AK$2022,0),COLUMN()),"")</f>
        <v/>
      </c>
      <c r="B1977" t="str">
        <f>IFERROR(INDEX(装备库!$A$2:$E$2022,MATCH(ROW()-1,装备库!$AK$2:$AK$2022,0),COLUMN()),"")</f>
        <v/>
      </c>
      <c r="C1977" t="str">
        <f>IFERROR(INDEX(装备库!$A$2:$E$2022,MATCH(ROW()-1,装备库!$AK$2:$AK$2022,0),5),"")</f>
        <v/>
      </c>
    </row>
    <row r="1978" spans="1:3">
      <c r="A1978" t="str">
        <f>IFERROR(INDEX(装备库!$A$2:$E$2022,MATCH(ROW()-1,装备库!$AK$2:$AK$2022,0),COLUMN()),"")</f>
        <v/>
      </c>
      <c r="B1978" t="str">
        <f>IFERROR(INDEX(装备库!$A$2:$E$2022,MATCH(ROW()-1,装备库!$AK$2:$AK$2022,0),COLUMN()),"")</f>
        <v/>
      </c>
      <c r="C1978" t="str">
        <f>IFERROR(INDEX(装备库!$A$2:$E$2022,MATCH(ROW()-1,装备库!$AK$2:$AK$2022,0),5),"")</f>
        <v/>
      </c>
    </row>
    <row r="1979" spans="1:3">
      <c r="A1979" t="str">
        <f>IFERROR(INDEX(装备库!$A$2:$E$2022,MATCH(ROW()-1,装备库!$AK$2:$AK$2022,0),COLUMN()),"")</f>
        <v/>
      </c>
      <c r="B1979" t="str">
        <f>IFERROR(INDEX(装备库!$A$2:$E$2022,MATCH(ROW()-1,装备库!$AK$2:$AK$2022,0),COLUMN()),"")</f>
        <v/>
      </c>
      <c r="C1979" t="str">
        <f>IFERROR(INDEX(装备库!$A$2:$E$2022,MATCH(ROW()-1,装备库!$AK$2:$AK$2022,0),5),"")</f>
        <v/>
      </c>
    </row>
    <row r="1980" spans="1:3">
      <c r="A1980" t="str">
        <f>IFERROR(INDEX(装备库!$A$2:$E$2022,MATCH(ROW()-1,装备库!$AK$2:$AK$2022,0),COLUMN()),"")</f>
        <v/>
      </c>
      <c r="B1980" t="str">
        <f>IFERROR(INDEX(装备库!$A$2:$E$2022,MATCH(ROW()-1,装备库!$AK$2:$AK$2022,0),COLUMN()),"")</f>
        <v/>
      </c>
      <c r="C1980" t="str">
        <f>IFERROR(INDEX(装备库!$A$2:$E$2022,MATCH(ROW()-1,装备库!$AK$2:$AK$2022,0),5),"")</f>
        <v/>
      </c>
    </row>
    <row r="1981" spans="1:3">
      <c r="A1981" t="str">
        <f>IFERROR(INDEX(装备库!$A$2:$E$2022,MATCH(ROW()-1,装备库!$AK$2:$AK$2022,0),COLUMN()),"")</f>
        <v/>
      </c>
      <c r="B1981" t="str">
        <f>IFERROR(INDEX(装备库!$A$2:$E$2022,MATCH(ROW()-1,装备库!$AK$2:$AK$2022,0),COLUMN()),"")</f>
        <v/>
      </c>
      <c r="C1981" t="str">
        <f>IFERROR(INDEX(装备库!$A$2:$E$2022,MATCH(ROW()-1,装备库!$AK$2:$AK$2022,0),5),"")</f>
        <v/>
      </c>
    </row>
    <row r="1982" spans="1:3">
      <c r="A1982" t="str">
        <f>IFERROR(INDEX(装备库!$A$2:$E$2022,MATCH(ROW()-1,装备库!$AK$2:$AK$2022,0),COLUMN()),"")</f>
        <v/>
      </c>
      <c r="B1982" t="str">
        <f>IFERROR(INDEX(装备库!$A$2:$E$2022,MATCH(ROW()-1,装备库!$AK$2:$AK$2022,0),COLUMN()),"")</f>
        <v/>
      </c>
      <c r="C1982" t="str">
        <f>IFERROR(INDEX(装备库!$A$2:$E$2022,MATCH(ROW()-1,装备库!$AK$2:$AK$2022,0),5),"")</f>
        <v/>
      </c>
    </row>
    <row r="1983" spans="1:3">
      <c r="A1983" t="str">
        <f>IFERROR(INDEX(装备库!$A$2:$E$2022,MATCH(ROW()-1,装备库!$AK$2:$AK$2022,0),COLUMN()),"")</f>
        <v/>
      </c>
      <c r="B1983" t="str">
        <f>IFERROR(INDEX(装备库!$A$2:$E$2022,MATCH(ROW()-1,装备库!$AK$2:$AK$2022,0),COLUMN()),"")</f>
        <v/>
      </c>
      <c r="C1983" t="str">
        <f>IFERROR(INDEX(装备库!$A$2:$E$2022,MATCH(ROW()-1,装备库!$AK$2:$AK$2022,0),5),"")</f>
        <v/>
      </c>
    </row>
    <row r="1984" spans="1:3">
      <c r="A1984" t="str">
        <f>IFERROR(INDEX(装备库!$A$2:$E$2022,MATCH(ROW()-1,装备库!$AK$2:$AK$2022,0),COLUMN()),"")</f>
        <v/>
      </c>
      <c r="B1984" t="str">
        <f>IFERROR(INDEX(装备库!$A$2:$E$2022,MATCH(ROW()-1,装备库!$AK$2:$AK$2022,0),COLUMN()),"")</f>
        <v/>
      </c>
      <c r="C1984" t="str">
        <f>IFERROR(INDEX(装备库!$A$2:$E$2022,MATCH(ROW()-1,装备库!$AK$2:$AK$2022,0),5),"")</f>
        <v/>
      </c>
    </row>
    <row r="1985" spans="1:3">
      <c r="A1985" t="str">
        <f>IFERROR(INDEX(装备库!$A$2:$E$2022,MATCH(ROW()-1,装备库!$AK$2:$AK$2022,0),COLUMN()),"")</f>
        <v/>
      </c>
      <c r="B1985" t="str">
        <f>IFERROR(INDEX(装备库!$A$2:$E$2022,MATCH(ROW()-1,装备库!$AK$2:$AK$2022,0),COLUMN()),"")</f>
        <v/>
      </c>
      <c r="C1985" t="str">
        <f>IFERROR(INDEX(装备库!$A$2:$E$2022,MATCH(ROW()-1,装备库!$AK$2:$AK$2022,0),5),"")</f>
        <v/>
      </c>
    </row>
    <row r="1986" spans="1:3">
      <c r="A1986" t="str">
        <f>IFERROR(INDEX(装备库!$A$2:$E$2022,MATCH(ROW()-1,装备库!$AK$2:$AK$2022,0),COLUMN()),"")</f>
        <v/>
      </c>
      <c r="B1986" t="str">
        <f>IFERROR(INDEX(装备库!$A$2:$E$2022,MATCH(ROW()-1,装备库!$AK$2:$AK$2022,0),COLUMN()),"")</f>
        <v/>
      </c>
      <c r="C1986" t="str">
        <f>IFERROR(INDEX(装备库!$A$2:$E$2022,MATCH(ROW()-1,装备库!$AK$2:$AK$2022,0),5),"")</f>
        <v/>
      </c>
    </row>
    <row r="1987" spans="1:3">
      <c r="A1987" t="str">
        <f>IFERROR(INDEX(装备库!$A$2:$E$2022,MATCH(ROW()-1,装备库!$AK$2:$AK$2022,0),COLUMN()),"")</f>
        <v/>
      </c>
      <c r="B1987" t="str">
        <f>IFERROR(INDEX(装备库!$A$2:$E$2022,MATCH(ROW()-1,装备库!$AK$2:$AK$2022,0),COLUMN()),"")</f>
        <v/>
      </c>
      <c r="C1987" t="str">
        <f>IFERROR(INDEX(装备库!$A$2:$E$2022,MATCH(ROW()-1,装备库!$AK$2:$AK$2022,0),5),"")</f>
        <v/>
      </c>
    </row>
    <row r="1988" spans="1:3">
      <c r="A1988" t="str">
        <f>IFERROR(INDEX(装备库!$A$2:$E$2022,MATCH(ROW()-1,装备库!$AK$2:$AK$2022,0),COLUMN()),"")</f>
        <v/>
      </c>
      <c r="B1988" t="str">
        <f>IFERROR(INDEX(装备库!$A$2:$E$2022,MATCH(ROW()-1,装备库!$AK$2:$AK$2022,0),COLUMN()),"")</f>
        <v/>
      </c>
      <c r="C1988" t="str">
        <f>IFERROR(INDEX(装备库!$A$2:$E$2022,MATCH(ROW()-1,装备库!$AK$2:$AK$2022,0),5),"")</f>
        <v/>
      </c>
    </row>
    <row r="1989" spans="1:3">
      <c r="A1989" t="str">
        <f>IFERROR(INDEX(装备库!$A$2:$E$2022,MATCH(ROW()-1,装备库!$AK$2:$AK$2022,0),COLUMN()),"")</f>
        <v/>
      </c>
      <c r="B1989" t="str">
        <f>IFERROR(INDEX(装备库!$A$2:$E$2022,MATCH(ROW()-1,装备库!$AK$2:$AK$2022,0),COLUMN()),"")</f>
        <v/>
      </c>
      <c r="C1989" t="str">
        <f>IFERROR(INDEX(装备库!$A$2:$E$2022,MATCH(ROW()-1,装备库!$AK$2:$AK$2022,0),5),"")</f>
        <v/>
      </c>
    </row>
    <row r="1990" spans="1:3">
      <c r="A1990" t="str">
        <f>IFERROR(INDEX(装备库!$A$2:$E$2022,MATCH(ROW()-1,装备库!$AK$2:$AK$2022,0),COLUMN()),"")</f>
        <v/>
      </c>
      <c r="B1990" t="str">
        <f>IFERROR(INDEX(装备库!$A$2:$E$2022,MATCH(ROW()-1,装备库!$AK$2:$AK$2022,0),COLUMN()),"")</f>
        <v/>
      </c>
      <c r="C1990" t="str">
        <f>IFERROR(INDEX(装备库!$A$2:$E$2022,MATCH(ROW()-1,装备库!$AK$2:$AK$2022,0),5),"")</f>
        <v/>
      </c>
    </row>
    <row r="1991" spans="1:3">
      <c r="A1991" t="str">
        <f>IFERROR(INDEX(装备库!$A$2:$E$2022,MATCH(ROW()-1,装备库!$AK$2:$AK$2022,0),COLUMN()),"")</f>
        <v/>
      </c>
      <c r="B1991" t="str">
        <f>IFERROR(INDEX(装备库!$A$2:$E$2022,MATCH(ROW()-1,装备库!$AK$2:$AK$2022,0),COLUMN()),"")</f>
        <v/>
      </c>
      <c r="C1991" t="str">
        <f>IFERROR(INDEX(装备库!$A$2:$E$2022,MATCH(ROW()-1,装备库!$AK$2:$AK$2022,0),5),"")</f>
        <v/>
      </c>
    </row>
    <row r="1992" spans="1:3">
      <c r="A1992" t="str">
        <f>IFERROR(INDEX(装备库!$A$2:$E$2022,MATCH(ROW()-1,装备库!$AK$2:$AK$2022,0),COLUMN()),"")</f>
        <v/>
      </c>
      <c r="B1992" t="str">
        <f>IFERROR(INDEX(装备库!$A$2:$E$2022,MATCH(ROW()-1,装备库!$AK$2:$AK$2022,0),COLUMN()),"")</f>
        <v/>
      </c>
      <c r="C1992" t="str">
        <f>IFERROR(INDEX(装备库!$A$2:$E$2022,MATCH(ROW()-1,装备库!$AK$2:$AK$2022,0),5),"")</f>
        <v/>
      </c>
    </row>
    <row r="1993" spans="1:3">
      <c r="A1993" t="str">
        <f>IFERROR(INDEX(装备库!$A$2:$E$2022,MATCH(ROW()-1,装备库!$AK$2:$AK$2022,0),COLUMN()),"")</f>
        <v/>
      </c>
      <c r="B1993" t="str">
        <f>IFERROR(INDEX(装备库!$A$2:$E$2022,MATCH(ROW()-1,装备库!$AK$2:$AK$2022,0),COLUMN()),"")</f>
        <v/>
      </c>
      <c r="C1993" t="str">
        <f>IFERROR(INDEX(装备库!$A$2:$E$2022,MATCH(ROW()-1,装备库!$AK$2:$AK$2022,0),5),"")</f>
        <v/>
      </c>
    </row>
    <row r="1994" spans="1:3">
      <c r="A1994" t="str">
        <f>IFERROR(INDEX(装备库!$A$2:$E$2022,MATCH(ROW()-1,装备库!$AK$2:$AK$2022,0),COLUMN()),"")</f>
        <v/>
      </c>
      <c r="B1994" t="str">
        <f>IFERROR(INDEX(装备库!$A$2:$E$2022,MATCH(ROW()-1,装备库!$AK$2:$AK$2022,0),COLUMN()),"")</f>
        <v/>
      </c>
      <c r="C1994" t="str">
        <f>IFERROR(INDEX(装备库!$A$2:$E$2022,MATCH(ROW()-1,装备库!$AK$2:$AK$2022,0),5),"")</f>
        <v/>
      </c>
    </row>
    <row r="1995" spans="1:3">
      <c r="A1995" t="str">
        <f>IFERROR(INDEX(装备库!$A$2:$E$2022,MATCH(ROW()-1,装备库!$AK$2:$AK$2022,0),COLUMN()),"")</f>
        <v/>
      </c>
      <c r="B1995" t="str">
        <f>IFERROR(INDEX(装备库!$A$2:$E$2022,MATCH(ROW()-1,装备库!$AK$2:$AK$2022,0),COLUMN()),"")</f>
        <v/>
      </c>
      <c r="C1995" t="str">
        <f>IFERROR(INDEX(装备库!$A$2:$E$2022,MATCH(ROW()-1,装备库!$AK$2:$AK$2022,0),5),"")</f>
        <v/>
      </c>
    </row>
    <row r="1996" spans="1:3">
      <c r="A1996" t="str">
        <f>IFERROR(INDEX(装备库!$A$2:$E$2022,MATCH(ROW()-1,装备库!$AK$2:$AK$2022,0),COLUMN()),"")</f>
        <v/>
      </c>
      <c r="B1996" t="str">
        <f>IFERROR(INDEX(装备库!$A$2:$E$2022,MATCH(ROW()-1,装备库!$AK$2:$AK$2022,0),COLUMN()),"")</f>
        <v/>
      </c>
      <c r="C1996" t="str">
        <f>IFERROR(INDEX(装备库!$A$2:$E$2022,MATCH(ROW()-1,装备库!$AK$2:$AK$2022,0),5),"")</f>
        <v/>
      </c>
    </row>
    <row r="1997" spans="1:3">
      <c r="A1997" t="str">
        <f>IFERROR(INDEX(装备库!$A$2:$E$2022,MATCH(ROW()-1,装备库!$AK$2:$AK$2022,0),COLUMN()),"")</f>
        <v/>
      </c>
      <c r="B1997" t="str">
        <f>IFERROR(INDEX(装备库!$A$2:$E$2022,MATCH(ROW()-1,装备库!$AK$2:$AK$2022,0),COLUMN()),"")</f>
        <v/>
      </c>
      <c r="C1997" t="str">
        <f>IFERROR(INDEX(装备库!$A$2:$E$2022,MATCH(ROW()-1,装备库!$AK$2:$AK$2022,0),5),"")</f>
        <v/>
      </c>
    </row>
    <row r="1998" spans="1:3">
      <c r="A1998" t="str">
        <f>IFERROR(INDEX(装备库!$A$2:$E$2022,MATCH(ROW()-1,装备库!$AK$2:$AK$2022,0),COLUMN()),"")</f>
        <v/>
      </c>
      <c r="B1998" t="str">
        <f>IFERROR(INDEX(装备库!$A$2:$E$2022,MATCH(ROW()-1,装备库!$AK$2:$AK$2022,0),COLUMN()),"")</f>
        <v/>
      </c>
      <c r="C1998" t="str">
        <f>IFERROR(INDEX(装备库!$A$2:$E$2022,MATCH(ROW()-1,装备库!$AK$2:$AK$2022,0),5),"")</f>
        <v/>
      </c>
    </row>
    <row r="1999" spans="1:3">
      <c r="A1999" t="str">
        <f>IFERROR(INDEX(装备库!$A$2:$E$2022,MATCH(ROW()-1,装备库!$AK$2:$AK$2022,0),COLUMN()),"")</f>
        <v/>
      </c>
      <c r="B1999" t="str">
        <f>IFERROR(INDEX(装备库!$A$2:$E$2022,MATCH(ROW()-1,装备库!$AK$2:$AK$2022,0),COLUMN()),"")</f>
        <v/>
      </c>
      <c r="C1999" t="str">
        <f>IFERROR(INDEX(装备库!$A$2:$E$2022,MATCH(ROW()-1,装备库!$AK$2:$AK$2022,0),5),"")</f>
        <v/>
      </c>
    </row>
    <row r="2000" spans="1:3">
      <c r="A2000" t="str">
        <f>IFERROR(INDEX(装备库!$A$2:$E$2022,MATCH(ROW()-1,装备库!$AK$2:$AK$2022,0),COLUMN()),"")</f>
        <v/>
      </c>
      <c r="B2000" t="str">
        <f>IFERROR(INDEX(装备库!$A$2:$E$2022,MATCH(ROW()-1,装备库!$AK$2:$AK$2022,0),COLUMN()),"")</f>
        <v/>
      </c>
      <c r="C2000" t="str">
        <f>IFERROR(INDEX(装备库!$A$2:$E$2022,MATCH(ROW()-1,装备库!$AK$2:$AK$2022,0),5),"")</f>
        <v/>
      </c>
    </row>
    <row r="2001" spans="1:3">
      <c r="A2001" t="str">
        <f>IFERROR(INDEX(装备库!$A$2:$E$2022,MATCH(ROW()-1,装备库!$AK$2:$AK$2022,0),COLUMN()),"")</f>
        <v/>
      </c>
      <c r="B2001" t="str">
        <f>IFERROR(INDEX(装备库!$A$2:$E$2022,MATCH(ROW()-1,装备库!$AK$2:$AK$2022,0),COLUMN()),"")</f>
        <v/>
      </c>
      <c r="C2001" t="str">
        <f>IFERROR(INDEX(装备库!$A$2:$E$2022,MATCH(ROW()-1,装备库!$AK$2:$AK$2022,0),5),"")</f>
        <v/>
      </c>
    </row>
  </sheetData>
  <customSheetViews>
    <customSheetView guid="{8E53DF33-FD66-42DA-A21D-B11FBF5F6988}" hiddenColumns="1" topLeftCell="I1">
      <selection activeCell="AD90" sqref="AD90"/>
      <pageMargins left="0.7" right="0.7" top="0.75" bottom="0.75" header="0.3" footer="0.3"/>
      <headerFooter/>
    </customSheetView>
  </customSheetViews>
  <conditionalFormatting sqref="C1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82"/>
  <sheetViews>
    <sheetView workbookViewId="0">
      <pane xSplit="2" ySplit="3" topLeftCell="D46" activePane="bottomRight" state="frozen"/>
      <selection/>
      <selection pane="topRight"/>
      <selection pane="bottomLeft"/>
      <selection pane="bottomRight" activeCell="D68" sqref="D68"/>
    </sheetView>
  </sheetViews>
  <sheetFormatPr defaultColWidth="9" defaultRowHeight="16.8"/>
  <cols>
    <col min="1" max="1" width="9" style="160"/>
    <col min="2" max="2" width="20" style="160" customWidth="1"/>
    <col min="3" max="3" width="41.75" style="160" customWidth="1"/>
    <col min="4" max="5" width="8.625" style="160" customWidth="1"/>
    <col min="6" max="7" width="11" style="160" customWidth="1"/>
    <col min="8" max="9" width="17.25" style="160" customWidth="1"/>
    <col min="10" max="10" width="11" style="160" customWidth="1"/>
    <col min="11" max="11" width="17.25" style="160" customWidth="1"/>
    <col min="12" max="12" width="11" style="160" customWidth="1"/>
    <col min="13" max="13" width="7.125" style="160" customWidth="1"/>
    <col min="14" max="14" width="11" style="160" customWidth="1"/>
    <col min="15" max="15" width="9" style="160"/>
    <col min="16" max="16" width="7.125" style="160" customWidth="1"/>
    <col min="17" max="17" width="11" style="160" customWidth="1"/>
    <col min="18" max="18" width="9" style="160"/>
    <col min="19" max="19" width="11" style="160" customWidth="1"/>
    <col min="20" max="20" width="15.125" style="160" customWidth="1"/>
    <col min="21" max="21" width="13" style="160" customWidth="1"/>
    <col min="22" max="22" width="9" style="160"/>
    <col min="23" max="23" width="7.125" style="160" customWidth="1"/>
    <col min="24" max="25" width="9" style="160"/>
    <col min="26" max="26" width="7.125" style="160" customWidth="1"/>
    <col min="27" max="27" width="9" style="160"/>
    <col min="28" max="28" width="17.25" style="160" customWidth="1"/>
    <col min="29" max="29" width="7.125" style="160" customWidth="1"/>
    <col min="30" max="30" width="11" style="160" customWidth="1"/>
    <col min="31" max="31" width="13" style="160" customWidth="1"/>
    <col min="32" max="33" width="9" style="160"/>
    <col min="34" max="34" width="7.125" style="160" customWidth="1"/>
    <col min="35" max="35" width="11" style="160" customWidth="1"/>
    <col min="36" max="36" width="9" style="160"/>
    <col min="37" max="37" width="7.125" style="160" customWidth="1"/>
    <col min="38" max="38" width="13" style="160" customWidth="1"/>
    <col min="39" max="40" width="11" style="160" customWidth="1"/>
    <col min="41" max="42" width="9" style="160"/>
    <col min="43" max="45" width="13" style="160" customWidth="1"/>
    <col min="46" max="46" width="9" style="160"/>
    <col min="47" max="48" width="11" style="160" customWidth="1"/>
    <col min="49" max="51" width="15.125" style="160" customWidth="1"/>
    <col min="52" max="52" width="18.875" style="160" customWidth="1"/>
    <col min="53" max="53" width="5.25" style="160" customWidth="1"/>
    <col min="54" max="54" width="13" style="160" customWidth="1"/>
    <col min="55" max="55" width="9" style="160"/>
    <col min="56" max="56" width="15.125" style="160" customWidth="1"/>
    <col min="57" max="59" width="9" style="160"/>
    <col min="60" max="60" width="9.5" style="160" customWidth="1"/>
    <col min="61" max="16384" width="9" style="160"/>
  </cols>
  <sheetData>
    <row r="1" spans="1:60">
      <c r="B1" s="160" t="s">
        <v>1988</v>
      </c>
      <c r="C1" s="160" t="s">
        <v>1989</v>
      </c>
      <c r="D1" s="160" t="s">
        <v>1990</v>
      </c>
      <c r="E1" s="160" t="s">
        <v>1991</v>
      </c>
      <c r="F1" s="160" t="s">
        <v>1992</v>
      </c>
      <c r="G1" s="160" t="s">
        <v>1993</v>
      </c>
      <c r="H1" s="160" t="s">
        <v>1994</v>
      </c>
      <c r="I1" s="160" t="s">
        <v>1995</v>
      </c>
      <c r="J1" s="160" t="s">
        <v>1996</v>
      </c>
      <c r="K1" s="160" t="s">
        <v>1997</v>
      </c>
      <c r="L1" s="160" t="s">
        <v>229</v>
      </c>
      <c r="M1" s="160" t="s">
        <v>1998</v>
      </c>
      <c r="N1" s="160" t="s">
        <v>1999</v>
      </c>
      <c r="O1" s="160" t="s">
        <v>2000</v>
      </c>
      <c r="P1" s="160" t="s">
        <v>2001</v>
      </c>
      <c r="Q1" s="160" t="s">
        <v>2002</v>
      </c>
      <c r="R1" s="160" t="s">
        <v>2003</v>
      </c>
      <c r="S1" s="160" t="s">
        <v>2004</v>
      </c>
      <c r="T1" s="160" t="s">
        <v>2005</v>
      </c>
      <c r="U1" s="160" t="s">
        <v>2006</v>
      </c>
      <c r="V1" s="160" t="s">
        <v>2007</v>
      </c>
      <c r="W1" s="160" t="s">
        <v>2008</v>
      </c>
      <c r="X1" s="160" t="s">
        <v>2009</v>
      </c>
      <c r="Y1" s="160" t="s">
        <v>2010</v>
      </c>
      <c r="Z1" s="160" t="s">
        <v>2011</v>
      </c>
      <c r="AA1" s="160" t="s">
        <v>2012</v>
      </c>
      <c r="AB1" s="160" t="s">
        <v>2013</v>
      </c>
      <c r="AC1" s="160" t="s">
        <v>2014</v>
      </c>
      <c r="AD1" s="160" t="s">
        <v>2015</v>
      </c>
      <c r="AE1" s="160" t="s">
        <v>2016</v>
      </c>
      <c r="AF1" s="160" t="s">
        <v>2017</v>
      </c>
      <c r="AG1" s="160" t="s">
        <v>2018</v>
      </c>
      <c r="AH1" s="160" t="s">
        <v>2019</v>
      </c>
      <c r="AI1" s="160" t="s">
        <v>2020</v>
      </c>
      <c r="AJ1" s="160" t="s">
        <v>2021</v>
      </c>
      <c r="AK1" s="160" t="s">
        <v>2022</v>
      </c>
      <c r="AL1" s="160" t="s">
        <v>2023</v>
      </c>
      <c r="AM1" s="160" t="s">
        <v>2024</v>
      </c>
      <c r="AN1" s="160" t="s">
        <v>2025</v>
      </c>
      <c r="AO1" s="160" t="s">
        <v>2026</v>
      </c>
      <c r="AP1" s="160" t="s">
        <v>2027</v>
      </c>
      <c r="AQ1" s="160" t="s">
        <v>2028</v>
      </c>
      <c r="AR1" s="160" t="s">
        <v>2029</v>
      </c>
      <c r="AS1" s="160" t="s">
        <v>2030</v>
      </c>
      <c r="AT1" s="160" t="s">
        <v>2031</v>
      </c>
      <c r="AU1" s="160" t="s">
        <v>2032</v>
      </c>
      <c r="AV1" s="160" t="s">
        <v>2033</v>
      </c>
      <c r="AW1" s="160" t="s">
        <v>2034</v>
      </c>
      <c r="AX1" s="160" t="s">
        <v>2035</v>
      </c>
      <c r="AY1" s="160" t="s">
        <v>2036</v>
      </c>
      <c r="AZ1" s="160" t="s">
        <v>2037</v>
      </c>
      <c r="BA1" s="160" t="s">
        <v>2038</v>
      </c>
      <c r="BB1" s="160" t="s">
        <v>2039</v>
      </c>
      <c r="BC1" s="160" t="s">
        <v>2040</v>
      </c>
      <c r="BD1" s="160" t="s">
        <v>2041</v>
      </c>
      <c r="BE1" s="160" t="s">
        <v>2042</v>
      </c>
      <c r="BF1" s="160" t="s">
        <v>2043</v>
      </c>
      <c r="BG1" s="160" t="s">
        <v>2044</v>
      </c>
      <c r="BH1" s="160" t="s">
        <v>2045</v>
      </c>
    </row>
    <row r="2" spans="1:60">
      <c r="B2" s="160" t="s">
        <v>2046</v>
      </c>
      <c r="E2" s="160">
        <f ca="1">内置配装器*SUMIF($A$4:$A$100006,"&lt;&gt;重剑",E$4:E$10006)+E80</f>
        <v>217750</v>
      </c>
      <c r="F2" s="160">
        <f ca="1">内置配装器*SUMIF($A$4:$A$100006,"&lt;&gt;重剑",F$4:F$10006)</f>
        <v>0</v>
      </c>
      <c r="G2" s="160">
        <f ca="1">内置配装器*SUMIF($A$4:$A$100006,"&lt;&gt;重剑",G$4:G$10006)+G80</f>
        <v>160878</v>
      </c>
      <c r="H2" s="160">
        <f ca="1">内置配装器*SUMIF($A$4:$A$100006,"&lt;&gt;重剑",H$4:H$10006)+H80</f>
        <v>307</v>
      </c>
      <c r="I2" s="160">
        <f ca="1">G2+E2*10</f>
        <v>2338378</v>
      </c>
      <c r="J2" s="160">
        <f ca="1">内置配装器*SUMIF($A$4:$A$100006,"&lt;&gt;重剑",J$4:J$10006)</f>
        <v>0</v>
      </c>
      <c r="K2" s="160">
        <f ca="1">内置配装器*SUMIF($A$4:$A$100006,"&lt;&gt;重剑",K$4:K$10006)</f>
        <v>0</v>
      </c>
      <c r="L2" s="160">
        <f ca="1">INT((I2)+INT(H2*(I2)/1024)+J2+INT(((I2)+INT(H2*(I2)/1024)+J2)*K2/1024))</f>
        <v>3039434</v>
      </c>
      <c r="M2" s="160">
        <f ca="1">内置配装器*SUMIF($A$4:$A$100006,"&lt;&gt;重剑",M$4:M$10006)+M80</f>
        <v>8141</v>
      </c>
      <c r="N2" s="160">
        <f ca="1">内置配装器*SUMIF($A$4:$A$100006,"&lt;&gt;重剑",N$4:N$10006)</f>
        <v>0</v>
      </c>
      <c r="O2" s="160">
        <f ca="1">M2+INT(M2*N2/1024)</f>
        <v>8141</v>
      </c>
      <c r="P2" s="160">
        <f ca="1">内置配装器*SUMIF($A$4:$A$100006,"&lt;&gt;重剑",P$4:P$10006)+P80</f>
        <v>44</v>
      </c>
      <c r="Q2" s="160">
        <f ca="1">内置配装器*SUMIF($A$4:$A$100006,"&lt;&gt;重剑",Q$4:Q$10006)</f>
        <v>0</v>
      </c>
      <c r="R2" s="160">
        <f ca="1">P2+INT(P2*Q2/1024)</f>
        <v>44</v>
      </c>
      <c r="S2" s="160">
        <f ca="1">内置配装器*SUMIF($A$4:$A$100006,"&lt;&gt;重剑",S$4:S$10006)+S80</f>
        <v>66559</v>
      </c>
      <c r="T2" s="160">
        <f ca="1">内置配装器*SUMIF($A$4:$A$100006,"&lt;&gt;重剑",T$4:T$10006)</f>
        <v>0</v>
      </c>
      <c r="U2" s="160">
        <f ca="1">(INT(R2*力道转基础攻击)+S2)</f>
        <v>66566</v>
      </c>
      <c r="V2" s="160">
        <f ca="1">U2+INT(O2*身法转额外攻击)+INT(U2*T2/1024)</f>
        <v>81218</v>
      </c>
      <c r="W2" s="160">
        <f ca="1">内置配装器*SUMIF($A$4:$A$100006,"&lt;&gt;重剑",W$4:W$10006)+W80</f>
        <v>121519</v>
      </c>
      <c r="X2" s="160">
        <f ca="1">内置配装器*SUMIF($A$4:$A$100006,"&lt;&gt;重剑",X$4:X$10006)</f>
        <v>0</v>
      </c>
      <c r="Y2" s="221">
        <f ca="1">ROUND((W2+INT(O2*身法转基础会心))/会心系数+X2,4)</f>
        <v>0.6517</v>
      </c>
      <c r="Z2" s="160">
        <f ca="1">内置配装器*SUMIF($A$4:$A$100006,"&lt;&gt;重剑",Z$4:Z$10006)+Z80</f>
        <v>13632</v>
      </c>
      <c r="AA2" s="160">
        <f ca="1">内置配装器*SUMIF($A$4:$A$100006,"&lt;&gt;重剑",AA$4:AA$10006)</f>
        <v>0</v>
      </c>
      <c r="AB2" s="222">
        <f ca="1">ROUND(1.75+Z2/会效系数+AA2/1024,4)</f>
        <v>1.9371</v>
      </c>
      <c r="AC2" s="160">
        <f ca="1">内置配装器*SUMIF($A$4:$A$100006,"&lt;&gt;重剑",AC$4:AC$10006)+AC80</f>
        <v>82771</v>
      </c>
      <c r="AD2" s="160">
        <f ca="1">内置配装器*SUMIF($A$4:$A$100006,"&lt;&gt;重剑",AD$4:AD$10006)</f>
        <v>0</v>
      </c>
      <c r="AE2" s="160">
        <f ca="1">AC2+INT(R2*力道转基础破防)</f>
        <v>82784</v>
      </c>
      <c r="AF2" s="160">
        <f ca="1">AE2+INT(O2*身法转额外破防)+INT(AE2*AD2/1024)</f>
        <v>85065</v>
      </c>
      <c r="AG2" s="160">
        <f ca="1">内置配装器*SUMIF($A$4:$A$100006,"&lt;&gt;重剑",AG$4:AG$10006)</f>
        <v>0</v>
      </c>
      <c r="AH2" s="160">
        <f ca="1">内置配装器*SUMIF($A$4:$A$100006,"&lt;&gt;重剑",AH$4:AH$10006)+AH80</f>
        <v>72512</v>
      </c>
      <c r="AI2" s="160">
        <f ca="1">内置配装器*SUMIF($A$4:$A$100006,"&lt;&gt;重剑",AI$4:AI$10006)</f>
        <v>0</v>
      </c>
      <c r="AJ2" s="160">
        <f ca="1">AH2+INT(AH2*AI2/1024)+AG2*全能转破招</f>
        <v>72512</v>
      </c>
      <c r="AK2" s="160">
        <f ca="1">内置配装器*SUMIF($A$4:$A$100006,"&lt;&gt;重剑",AK$4:AK$10006)+AK80</f>
        <v>114219</v>
      </c>
      <c r="AL2" s="160">
        <f ca="1">内置配装器*SUMIF($A$4:$A$100006,"&lt;&gt;重剑",AL$4:AL$10006)</f>
        <v>0</v>
      </c>
      <c r="AM2" s="160">
        <f ca="1">(AK2+INT(AK2*AL2/1024)+AG2*全能转无双)</f>
        <v>114219</v>
      </c>
      <c r="AN2" s="160">
        <f ca="1">内置配装器*SUMIF($A$4:$A$100006,"&lt;&gt;重剑",AN$4:AN$10006)</f>
        <v>0</v>
      </c>
      <c r="AO2" s="222">
        <f ca="1">ROUND(AM2/无双系数+AN2/1024,4)</f>
        <v>0.8566</v>
      </c>
      <c r="AP2" s="160">
        <f ca="1">内置配装器*SUMIF($A$4:$A$100006,"&lt;&gt;重剑",AP$4:AP$10006)+AP80</f>
        <v>14505</v>
      </c>
      <c r="AQ2" s="160">
        <f ca="1">内置配装器*SUMIF($A$4:$A$100006,"&lt;&gt;重剑",AQ$4:AQ$10006)</f>
        <v>0</v>
      </c>
      <c r="AR2" s="160">
        <f ca="1">(AP2+INT(AP2*AQ2/1024))</f>
        <v>14505</v>
      </c>
      <c r="AS2" s="160">
        <f ca="1">内置配装器*SUMIF($A$4:$A$100006,"&lt;&gt;重剑",AS$4:AS$10006)</f>
        <v>0</v>
      </c>
      <c r="AT2" s="222">
        <f ca="1">ROUND(AR2/急速系数+AS2/1024,4)</f>
        <v>0.069</v>
      </c>
      <c r="AU2" s="160">
        <f ca="1">内置配装器*SUMIF($A$4:$A$100006,"&lt;&gt;重剑",AU$4:AU$10006)+AU80</f>
        <v>9521</v>
      </c>
      <c r="AV2" s="160">
        <f ca="1">内置配装器*SUMIF($A$4:$A$100006,"&lt;&gt;重剑",AV$4:AV$10006)+AV80</f>
        <v>15868</v>
      </c>
      <c r="AW2" s="160">
        <f ca="1">内置配装器*SUMIF($A$4:$A$100006,"&lt;&gt;重剑",AW$4:AW$10006)</f>
        <v>0</v>
      </c>
      <c r="AX2" s="160">
        <f ca="1">AU2+INT(AU2*AW2/1024)</f>
        <v>9521</v>
      </c>
      <c r="AY2" s="160">
        <f ca="1">AX2+AV2-AU2</f>
        <v>15868</v>
      </c>
      <c r="AZ2" s="160">
        <f ca="1">内置配装器*SUMIF($A$4:$A$100006,"&lt;&gt;重剑",AZ$4:AZ$10006)</f>
        <v>0</v>
      </c>
      <c r="BA2" s="160">
        <f ca="1">内置配装器*SUMIF($A$4:$A$100006,"&lt;&gt;重剑",BA$4:BA$10006)</f>
        <v>0</v>
      </c>
      <c r="BB2" s="160">
        <f ca="1">内置配装器*SUMIF($A$4:$A$100006,"&lt;&gt;重剑",BB$4:BB$10006)</f>
        <v>0</v>
      </c>
      <c r="BC2" s="160">
        <f ca="1">内置配装器*SUMIF($A$4:$A$100006,"&lt;&gt;重剑",BC$4:BC$10006)</f>
        <v>0</v>
      </c>
      <c r="BD2" s="160">
        <f ca="1">内置配装器*SUMIF($A$4:$A$100006,"&lt;&gt;重剑",BD$4:BD$10006)</f>
        <v>0</v>
      </c>
    </row>
    <row r="3" spans="1:60">
      <c r="B3" s="160" t="s">
        <v>2047</v>
      </c>
      <c r="E3" s="160">
        <f ca="1">内置配装器*SUMIF($A$4:$A$100006,"&lt;&gt;轻剑",E$4:E$10006)+E81</f>
        <v>217750</v>
      </c>
      <c r="F3" s="160">
        <f ca="1">内置配装器*SUMIF($A$4:$A$100006,"&lt;&gt;轻剑",F$4:F$10006)</f>
        <v>0</v>
      </c>
      <c r="G3" s="160">
        <f ca="1">内置配装器*SUMIF($A$4:$A$100006,"&lt;&gt;轻剑",G$4:G$10006)+G81</f>
        <v>160878</v>
      </c>
      <c r="H3" s="160">
        <f ca="1">内置配装器*SUMIF($A$4:$A$100006,"&lt;&gt;轻剑",H$4:H$10006)+H81</f>
        <v>307</v>
      </c>
      <c r="I3" s="160">
        <f ca="1">G3+E3*10</f>
        <v>2338378</v>
      </c>
      <c r="J3" s="160">
        <f ca="1">内置配装器*SUMIF($A$4:$A$100006,"&lt;&gt;轻剑",J$4:J$10006)</f>
        <v>0</v>
      </c>
      <c r="K3" s="160">
        <f ca="1">内置配装器*SUMIF($A$4:$A$100006,"&lt;&gt;轻剑",K$4:K$10006)</f>
        <v>0</v>
      </c>
      <c r="L3" s="160">
        <f ca="1">INT((I3)+INT(H3*(I3)/1024)+J3+INT(((I3)+INT(H3*(I3)/1024)+J3)*K3/1024))</f>
        <v>3039434</v>
      </c>
      <c r="M3" s="160">
        <f ca="1">内置配装器*SUMIF($A$4:$A$100006,"&lt;&gt;轻剑",M$4:M$10006)+M81</f>
        <v>8141</v>
      </c>
      <c r="N3" s="160">
        <f ca="1">内置配装器*SUMIF($A$4:$A$100006,"&lt;&gt;轻剑",N$4:N$10006)</f>
        <v>0</v>
      </c>
      <c r="O3" s="160">
        <f ca="1">M3+INT(M3*N3/1024)</f>
        <v>8141</v>
      </c>
      <c r="P3" s="160">
        <f ca="1">内置配装器*SUMIF($A$4:$A$100006,"&lt;&gt;轻剑",P$4:P$10006)+P81</f>
        <v>44</v>
      </c>
      <c r="Q3" s="160">
        <f ca="1">内置配装器*SUMIF($A$4:$A$100006,"&lt;&gt;轻剑",Q$4:Q$10006)</f>
        <v>0</v>
      </c>
      <c r="R3" s="160">
        <f ca="1">P3+INT(P3*Q3/1024)</f>
        <v>44</v>
      </c>
      <c r="S3" s="160">
        <f ca="1">内置配装器*SUMIF($A$4:$A$100006,"&lt;&gt;轻剑",S$4:S$10006)+S81</f>
        <v>66559</v>
      </c>
      <c r="T3" s="160">
        <f ca="1">内置配装器*SUMIF($A$4:$A$100006,"&lt;&gt;轻剑",T$4:T$10006)</f>
        <v>0</v>
      </c>
      <c r="U3" s="160">
        <f ca="1">(INT(R3*力道转基础攻击)+S3)</f>
        <v>66566</v>
      </c>
      <c r="V3" s="160">
        <f ca="1">U3+INT(O3*身法转额外攻击)+INT(U3*T3/1024)</f>
        <v>81218</v>
      </c>
      <c r="W3" s="160">
        <f ca="1">内置配装器*SUMIF($A$4:$A$100006,"&lt;&gt;轻剑",W$4:W$10006)+W81</f>
        <v>121519</v>
      </c>
      <c r="X3" s="160">
        <f ca="1">内置配装器*SUMIF($A$4:$A$100006,"&lt;&gt;轻剑",X$4:X$10006)</f>
        <v>0</v>
      </c>
      <c r="Y3" s="221">
        <f ca="1">ROUND((W3+INT(O3*身法转基础会心))/会心系数+X3,4)</f>
        <v>0.6517</v>
      </c>
      <c r="Z3" s="160">
        <f ca="1">内置配装器*SUMIF($A$4:$A$100006,"&lt;&gt;轻剑",Z$4:Z$10006)+Z81</f>
        <v>13632</v>
      </c>
      <c r="AA3" s="160">
        <f ca="1">内置配装器*SUMIF($A$4:$A$100006,"&lt;&gt;轻剑",AA$4:AA$10006)</f>
        <v>0</v>
      </c>
      <c r="AB3" s="222">
        <f ca="1">ROUND(1.75+Z3/会效系数+AA3/1024,4)</f>
        <v>1.9371</v>
      </c>
      <c r="AC3" s="160">
        <f ca="1">内置配装器*SUMIF($A$4:$A$100006,"&lt;&gt;轻剑",AC$4:AC$10006)+AC81</f>
        <v>82771</v>
      </c>
      <c r="AD3" s="160">
        <f ca="1">内置配装器*SUMIF($A$4:$A$100006,"&lt;&gt;轻剑",AD$4:AD$10006)</f>
        <v>0</v>
      </c>
      <c r="AE3" s="160">
        <f ca="1">AC3+INT(R3*力道转基础破防)</f>
        <v>82784</v>
      </c>
      <c r="AF3" s="160">
        <f ca="1">AE3+INT(O3*身法转额外破防)+INT(AE3*AD3/1024)</f>
        <v>85065</v>
      </c>
      <c r="AG3" s="160">
        <f ca="1">内置配装器*SUMIF($A$4:$A$100006,"&lt;&gt;轻剑",AG$4:AG$10006)</f>
        <v>0</v>
      </c>
      <c r="AH3" s="160">
        <f ca="1">内置配装器*SUMIF($A$4:$A$100006,"&lt;&gt;轻剑",AH$4:AH$10006)+AH81</f>
        <v>72512</v>
      </c>
      <c r="AI3" s="160">
        <f ca="1">内置配装器*SUMIF($A$4:$A$100006,"&lt;&gt;轻剑",AI$4:AI$10006)</f>
        <v>0</v>
      </c>
      <c r="AJ3" s="160">
        <f ca="1">AH3+INT(AH3*AI3/1024)+AG3*全能转破招</f>
        <v>72512</v>
      </c>
      <c r="AK3" s="160">
        <f ca="1">内置配装器*SUMIF($A$4:$A$100006,"&lt;&gt;轻剑",AK$4:AK$10006)+AK81</f>
        <v>114219</v>
      </c>
      <c r="AL3" s="160">
        <f ca="1">内置配装器*SUMIF($A$4:$A$100006,"&lt;&gt;轻剑",AL$4:AL$10006)</f>
        <v>0</v>
      </c>
      <c r="AM3" s="160">
        <f ca="1">(AK3+INT(AK3*AL3/1024)+AG3*全能转无双)</f>
        <v>114219</v>
      </c>
      <c r="AN3" s="160">
        <f ca="1">内置配装器*SUMIF($A$4:$A$100006,"&lt;&gt;轻剑",AN$4:AN$10006)</f>
        <v>0</v>
      </c>
      <c r="AO3" s="222">
        <f ca="1">ROUND(AM3/无双系数+AN3/1024,4)</f>
        <v>0.8566</v>
      </c>
      <c r="AP3" s="160">
        <f ca="1">内置配装器*SUMIF($A$4:$A$100006,"&lt;&gt;轻剑",AP$4:AP$10006)+AP81</f>
        <v>14505</v>
      </c>
      <c r="AQ3" s="160">
        <f ca="1">内置配装器*SUMIF($A$4:$A$100006,"&lt;&gt;轻剑",AQ$4:AQ$10006)</f>
        <v>0</v>
      </c>
      <c r="AR3" s="160">
        <f ca="1">(AP3+INT(AP3*AQ3/1024))</f>
        <v>14505</v>
      </c>
      <c r="AS3" s="160">
        <f ca="1">内置配装器*SUMIF($A$4:$A$100006,"&lt;&gt;轻剑",AS$4:AS$10006)</f>
        <v>0</v>
      </c>
      <c r="AT3" s="222">
        <f ca="1">ROUND(AR3/急速系数+AS3/1024,4)</f>
        <v>0.069</v>
      </c>
      <c r="AU3" s="160">
        <f ca="1">内置配装器*SUMIF($A$4:$A$100006,"&lt;&gt;轻剑",AU$4:AU$10006)+AU81</f>
        <v>14648</v>
      </c>
      <c r="AV3" s="160">
        <f ca="1">内置配装器*SUMIF($A$4:$A$100006,"&lt;&gt;轻剑",AV$4:AV$10006)+AV81</f>
        <v>24413</v>
      </c>
      <c r="AW3" s="160">
        <f ca="1">内置配装器*SUMIF($A$4:$A$100006,"&lt;&gt;轻剑",AW$4:AW$10006)</f>
        <v>0</v>
      </c>
      <c r="AX3" s="160">
        <f ca="1">AU3+INT(AU3*AW3/1024)</f>
        <v>14648</v>
      </c>
      <c r="AY3" s="160">
        <f ca="1">AX3+AV3-AU3</f>
        <v>24413</v>
      </c>
      <c r="AZ3" s="160">
        <f ca="1">内置配装器*SUMIF($A$4:$A$100006,"&lt;&gt;轻剑",AZ$4:AZ$10006)</f>
        <v>0</v>
      </c>
      <c r="BA3" s="160">
        <f ca="1">内置配装器*SUMIF($A$4:$A$100006,"&lt;&gt;轻剑",BA$4:BA$10006)</f>
        <v>0</v>
      </c>
      <c r="BB3" s="160">
        <f ca="1">内置配装器*SUMIF($A$4:$A$100006,"&lt;&gt;轻剑",BB$4:BB$10006)</f>
        <v>0</v>
      </c>
      <c r="BC3" s="160">
        <f ca="1">内置配装器*SUMIF($A$4:$A$100006,"&lt;&gt;轻剑",BC$4:BC$10006)</f>
        <v>0</v>
      </c>
      <c r="BD3" s="160">
        <f ca="1">内置配装器*SUMIF($A$4:$A$100006,"&lt;&gt;轻剑",BD$4:BD$10006)</f>
        <v>0</v>
      </c>
    </row>
    <row r="4" spans="1:60">
      <c r="A4" s="160" t="s">
        <v>901</v>
      </c>
      <c r="B4" s="160" t="s">
        <v>2048</v>
      </c>
      <c r="C4" s="160" t="str">
        <f>配装计算器!C2</f>
        <v>无修冠·外·天(41400特效精简会无)</v>
      </c>
      <c r="E4" s="160">
        <f>装备选择!AV2</f>
        <v>21990</v>
      </c>
      <c r="M4" s="160">
        <f>装备选择!AW2</f>
        <v>0</v>
      </c>
      <c r="S4" s="160">
        <f>装备选择!AY2</f>
        <v>2717</v>
      </c>
      <c r="W4" s="160">
        <f>装备选择!AZ2</f>
        <v>38982</v>
      </c>
      <c r="Z4" s="160">
        <f>装备选择!BA2</f>
        <v>0</v>
      </c>
      <c r="AC4" s="160">
        <f>装备选择!BB2</f>
        <v>0</v>
      </c>
      <c r="AG4" s="160">
        <f>装备选择!BF2</f>
        <v>0</v>
      </c>
      <c r="AH4" s="160">
        <f>装备选择!BC2</f>
        <v>0</v>
      </c>
      <c r="AK4" s="160">
        <f>装备选择!BD2</f>
        <v>11995</v>
      </c>
      <c r="AP4" s="160">
        <f>装备选择!BE2</f>
        <v>0</v>
      </c>
      <c r="AU4" s="160">
        <f>装备选择!BH2</f>
        <v>0</v>
      </c>
      <c r="AV4" s="160">
        <f>装备选择!BI2</f>
        <v>0</v>
      </c>
    </row>
    <row r="5" spans="1:60">
      <c r="A5" s="160" t="str">
        <f>A4</f>
        <v>帽子</v>
      </c>
      <c r="B5" s="160" t="s">
        <v>2049</v>
      </c>
      <c r="C5" s="160" t="str">
        <f>配装计算器!B4</f>
        <v>攻击孔</v>
      </c>
      <c r="D5" s="160">
        <f>IF(C5="",0,IF(配装计算器!$K$32&lt;&gt;"不使用",镶嵌库!$Y$17,IFERROR(1*(LEFT(配装计算器!C4,1)),0)))</f>
        <v>8</v>
      </c>
      <c r="E5" s="160">
        <f>IFERROR(INDEX(镶嵌库!$C$5:$M$13,基础面板属性!$D5+1,IF(LEFT(基础面板属性!$C5,2)&amp;"值"=基础面板属性!E$1,MATCH(基础面板属性!$C5,镶嵌库!$C$4:$M$4,0),-1)),0)</f>
        <v>0</v>
      </c>
      <c r="F5" s="160">
        <f>IFERROR(INDEX(镶嵌库!$C$5:$M$13,基础面板属性!$D5+1,IF(LEFT(基础面板属性!$C5,2)&amp;"值"=基础面板属性!F$1,MATCH(基础面板属性!$C5,镶嵌库!$C$4:$M$4,0),-1)),0)</f>
        <v>0</v>
      </c>
      <c r="G5" s="160">
        <f>IFERROR(INDEX(镶嵌库!$C$5:$M$13,基础面板属性!$D5+1,IF(LEFT(基础面板属性!$C5,2)&amp;"值"=基础面板属性!G$1,MATCH(基础面板属性!$C5,镶嵌库!$C$4:$M$4,0),-1)),0)</f>
        <v>0</v>
      </c>
      <c r="H5" s="160">
        <f>IFERROR(INDEX(镶嵌库!$C$5:$M$13,基础面板属性!$D5+1,IF(LEFT(基础面板属性!$C5,2)&amp;"值"=基础面板属性!H$1,MATCH(基础面板属性!$C5,镶嵌库!$C$4:$M$4,0),-1)),0)</f>
        <v>0</v>
      </c>
      <c r="I5" s="160">
        <f>IFERROR(INDEX(镶嵌库!$C$5:$M$13,基础面板属性!$D5+1,IF(LEFT(基础面板属性!$C5,2)&amp;"值"=基础面板属性!I$1,MATCH(基础面板属性!$C5,镶嵌库!$C$4:$M$4,0),-1)),0)</f>
        <v>0</v>
      </c>
      <c r="J5" s="160">
        <f>IFERROR(INDEX(镶嵌库!$C$5:$M$13,基础面板属性!$D5+1,IF(LEFT(基础面板属性!$C5,2)&amp;"值"=基础面板属性!J$1,MATCH(基础面板属性!$C5,镶嵌库!$C$4:$M$4,0),-1)),0)</f>
        <v>0</v>
      </c>
      <c r="K5" s="160">
        <f>IFERROR(INDEX(镶嵌库!$C$5:$M$13,基础面板属性!$D5+1,IF(LEFT(基础面板属性!$C5,2)&amp;"值"=基础面板属性!K$1,MATCH(基础面板属性!$C5,镶嵌库!$C$4:$M$4,0),-1)),0)</f>
        <v>0</v>
      </c>
      <c r="L5" s="160">
        <f>IFERROR(INDEX(镶嵌库!$C$5:$M$13,基础面板属性!$D5+1,IF(LEFT(基础面板属性!$C5,2)&amp;"值"=基础面板属性!L$1,MATCH(基础面板属性!$C5,镶嵌库!$C$4:$M$4,0),-1)),0)</f>
        <v>0</v>
      </c>
      <c r="M5" s="160">
        <f>IFERROR(INDEX(镶嵌库!$C$5:$M$13,基础面板属性!$D5+1,IF(LEFT(基础面板属性!$C5,2)&amp;"值"=基础面板属性!M$1,MATCH(基础面板属性!$C5,镶嵌库!$C$4:$M$4,0),-1)),0)</f>
        <v>0</v>
      </c>
      <c r="N5" s="160">
        <f>IFERROR(INDEX(镶嵌库!$C$5:$M$13,基础面板属性!$D5+1,IF(LEFT(基础面板属性!$C5,2)&amp;"值"=基础面板属性!N$1,MATCH(基础面板属性!$C5,镶嵌库!$C$4:$M$4,0),-1)),0)</f>
        <v>0</v>
      </c>
      <c r="O5" s="160">
        <f>IFERROR(INDEX(镶嵌库!$C$5:$M$13,基础面板属性!$D5+1,IF(LEFT(基础面板属性!$C5,2)&amp;"值"=基础面板属性!O$1,MATCH(基础面板属性!$C5,镶嵌库!$C$4:$M$4,0),-1)),0)</f>
        <v>0</v>
      </c>
      <c r="P5" s="160">
        <f>IFERROR(INDEX(镶嵌库!$C$5:$M$13,基础面板属性!$D5+1,IF(LEFT(基础面板属性!$C5,2)&amp;"值"=基础面板属性!P$1,MATCH(基础面板属性!$C5,镶嵌库!$C$4:$M$4,0),-1)),0)</f>
        <v>0</v>
      </c>
      <c r="Q5" s="160">
        <f>IFERROR(INDEX(镶嵌库!$C$5:$M$13,基础面板属性!$D5+1,IF(LEFT(基础面板属性!$C5,2)&amp;"值"=基础面板属性!Q$1,MATCH(基础面板属性!$C5,镶嵌库!$C$4:$M$4,0),-1)),0)</f>
        <v>0</v>
      </c>
      <c r="R5" s="160">
        <f>IFERROR(INDEX(镶嵌库!$C$5:$M$13,基础面板属性!$D5+1,IF(LEFT(基础面板属性!$C5,2)&amp;"值"=基础面板属性!R$1,MATCH(基础面板属性!$C5,镶嵌库!$C$4:$M$4,0),-1)),0)</f>
        <v>0</v>
      </c>
      <c r="S5" s="160">
        <f>IFERROR(INDEX(镶嵌库!$C$5:$M$13,基础面板属性!$D5+1,IF(LEFT(基础面板属性!$C5,2)&amp;"值"=基础面板属性!S$1,MATCH(基础面板属性!$C5,镶嵌库!$C$4:$M$4,0),-1)),0)</f>
        <v>357</v>
      </c>
      <c r="T5" s="160">
        <f>IFERROR(INDEX(镶嵌库!$C$5:$M$13,基础面板属性!$D5+1,IF(LEFT(基础面板属性!$C5,2)&amp;"值"=基础面板属性!T$1,MATCH(基础面板属性!$C5,镶嵌库!$C$4:$M$4,0),-1)),0)</f>
        <v>0</v>
      </c>
      <c r="U5" s="160">
        <f>IFERROR(INDEX(镶嵌库!$C$5:$M$13,基础面板属性!$D5+1,IF(LEFT(基础面板属性!$C5,2)&amp;"值"=基础面板属性!U$1,MATCH(基础面板属性!$C5,镶嵌库!$C$4:$M$4,0),-1)),0)</f>
        <v>0</v>
      </c>
      <c r="V5" s="160">
        <f>IFERROR(INDEX(镶嵌库!$C$5:$M$13,基础面板属性!$D5+1,IF(LEFT(基础面板属性!$C5,2)&amp;"值"=基础面板属性!V$1,MATCH(基础面板属性!$C5,镶嵌库!$C$4:$M$4,0),-1)),0)</f>
        <v>0</v>
      </c>
      <c r="W5" s="160">
        <f>IFERROR(INDEX(镶嵌库!$C$5:$M$13,基础面板属性!$D5+1,IF(LEFT(基础面板属性!$C5,2)&amp;"值"=基础面板属性!W$1,MATCH(基础面板属性!$C5,镶嵌库!$C$4:$M$4,0),-1)),0)</f>
        <v>0</v>
      </c>
      <c r="X5" s="160">
        <f>IFERROR(INDEX(镶嵌库!$C$5:$M$13,基础面板属性!$D5+1,IF(LEFT(基础面板属性!$C5,2)&amp;"值"=基础面板属性!X$1,MATCH(基础面板属性!$C5,镶嵌库!$C$4:$M$4,0),-1)),0)</f>
        <v>0</v>
      </c>
      <c r="Y5" s="160">
        <f>IFERROR(INDEX(镶嵌库!$C$5:$M$13,基础面板属性!$D5+1,IF(LEFT(基础面板属性!$C5,2)&amp;"值"=基础面板属性!Y$1,MATCH(基础面板属性!$C5,镶嵌库!$C$4:$M$4,0),-1)),0)</f>
        <v>0</v>
      </c>
      <c r="Z5" s="160">
        <f>IFERROR(INDEX(镶嵌库!$C$5:$M$13,基础面板属性!$D5+1,IF(LEFT(基础面板属性!$C5,2)&amp;"值"=基础面板属性!Z$1,MATCH(基础面板属性!$C5,镶嵌库!$C$4:$M$4,0),-1)),0)</f>
        <v>0</v>
      </c>
      <c r="AA5" s="160">
        <f>IFERROR(INDEX(镶嵌库!$C$5:$M$13,基础面板属性!$D5+1,IF(LEFT(基础面板属性!$C5,2)&amp;"值"=基础面板属性!AA$1,MATCH(基础面板属性!$C5,镶嵌库!$C$4:$M$4,0),-1)),0)</f>
        <v>0</v>
      </c>
      <c r="AB5" s="160">
        <f>IFERROR(INDEX(镶嵌库!$C$5:$M$13,基础面板属性!$D5+1,IF(LEFT(基础面板属性!$C5,2)&amp;"值"=基础面板属性!AB$1,MATCH(基础面板属性!$C5,镶嵌库!$C$4:$M$4,0),-1)),0)</f>
        <v>0</v>
      </c>
      <c r="AC5" s="160">
        <f>IFERROR(INDEX(镶嵌库!$C$5:$M$13,基础面板属性!$D5+1,IF(LEFT(基础面板属性!$C5,2)&amp;"值"=基础面板属性!AC$1,MATCH(基础面板属性!$C5,镶嵌库!$C$4:$M$4,0),-1)),0)</f>
        <v>0</v>
      </c>
      <c r="AD5" s="160">
        <f>IFERROR(INDEX(镶嵌库!$C$5:$M$13,基础面板属性!$D5+1,IF(LEFT(基础面板属性!$C5,2)&amp;"值"=基础面板属性!AD$1,MATCH(基础面板属性!$C5,镶嵌库!$C$4:$M$4,0),-1)),0)</f>
        <v>0</v>
      </c>
      <c r="AE5" s="160">
        <f>IFERROR(INDEX(镶嵌库!$C$5:$M$13,基础面板属性!$D5+1,IF(LEFT(基础面板属性!$C5,2)&amp;"值"=基础面板属性!AE$1,MATCH(基础面板属性!$C5,镶嵌库!$C$4:$M$4,0),-1)),0)</f>
        <v>0</v>
      </c>
      <c r="AF5" s="160">
        <f>IFERROR(INDEX(镶嵌库!$C$5:$M$13,基础面板属性!$D5+1,IF(LEFT(基础面板属性!$C5,2)&amp;"值"=基础面板属性!AF$1,MATCH(基础面板属性!$C5,镶嵌库!$C$4:$M$4,0),-1)),0)</f>
        <v>0</v>
      </c>
      <c r="AG5" s="160">
        <f>IFERROR(INDEX(镶嵌库!$C$5:$M$13,基础面板属性!$D5+1,IF(LEFT(基础面板属性!$C5,2)&amp;"值"=基础面板属性!AG$1,MATCH(基础面板属性!$C5,镶嵌库!$C$4:$M$4,0),-1)),0)</f>
        <v>0</v>
      </c>
      <c r="AH5" s="160">
        <f>IFERROR(INDEX(镶嵌库!$C$5:$M$13,基础面板属性!$D5+1,IF(LEFT(基础面板属性!$C5,2)&amp;"值"=基础面板属性!AH$1,MATCH(基础面板属性!$C5,镶嵌库!$C$4:$M$4,0),-1)),0)</f>
        <v>0</v>
      </c>
      <c r="AI5" s="160">
        <f>IFERROR(INDEX(镶嵌库!$C$5:$M$13,基础面板属性!$D5+1,IF(LEFT(基础面板属性!$C5,2)&amp;"值"=基础面板属性!AI$1,MATCH(基础面板属性!$C5,镶嵌库!$C$4:$M$4,0),-1)),0)</f>
        <v>0</v>
      </c>
      <c r="AJ5" s="160">
        <f>IFERROR(INDEX(镶嵌库!$C$5:$M$13,基础面板属性!$D5+1,IF(LEFT(基础面板属性!$C5,2)&amp;"值"=基础面板属性!AJ$1,MATCH(基础面板属性!$C5,镶嵌库!$C$4:$M$4,0),-1)),0)</f>
        <v>0</v>
      </c>
      <c r="AK5" s="160">
        <f>IFERROR(INDEX(镶嵌库!$C$5:$M$13,基础面板属性!$D5+1,IF(LEFT(基础面板属性!$C5,2)&amp;"值"=基础面板属性!AK$1,MATCH(基础面板属性!$C5,镶嵌库!$C$4:$M$4,0),-1)),0)</f>
        <v>0</v>
      </c>
      <c r="AL5" s="160">
        <f>IFERROR(INDEX(镶嵌库!$C$5:$M$13,基础面板属性!$D5+1,IF(LEFT(基础面板属性!$C5,2)&amp;"值"=基础面板属性!AL$1,MATCH(基础面板属性!$C5,镶嵌库!$C$4:$M$4,0),-1)),0)</f>
        <v>0</v>
      </c>
      <c r="AM5" s="160">
        <f>IFERROR(INDEX(镶嵌库!$C$5:$M$13,基础面板属性!$D5+1,IF(LEFT(基础面板属性!$C5,2)&amp;"值"=基础面板属性!AM$1,MATCH(基础面板属性!$C5,镶嵌库!$C$4:$M$4,0),-1)),0)</f>
        <v>0</v>
      </c>
      <c r="AN5" s="160">
        <f>IFERROR(INDEX(镶嵌库!$C$5:$M$13,基础面板属性!$D5+1,IF(LEFT(基础面板属性!$C5,2)&amp;"值"=基础面板属性!AN$1,MATCH(基础面板属性!$C5,镶嵌库!$C$4:$M$4,0),-1)),0)</f>
        <v>0</v>
      </c>
      <c r="AO5" s="160">
        <f>IFERROR(INDEX(镶嵌库!$C$5:$M$13,基础面板属性!$D5+1,IF(LEFT(基础面板属性!$C5,2)&amp;"值"=基础面板属性!AO$1,MATCH(基础面板属性!$C5,镶嵌库!$C$4:$M$4,0),-1)),0)</f>
        <v>0</v>
      </c>
      <c r="AP5" s="160">
        <f>IFERROR(INDEX(镶嵌库!$C$5:$M$13,基础面板属性!$D5+1,IF(LEFT(基础面板属性!$C5,2)&amp;"值"=基础面板属性!AP$1,MATCH(基础面板属性!$C5,镶嵌库!$C$4:$M$4,0),-1)),0)</f>
        <v>0</v>
      </c>
      <c r="AU5" s="160">
        <f>IFERROR(INDEX(镶嵌库!$C$5:$M$13,基础面板属性!$D5+1,IF(LEFT(基础面板属性!$C5,2)&amp;"值"=基础面板属性!AU$1,MATCH(基础面板属性!$C5,镶嵌库!$C$4:$M$4,0),-1)),0)</f>
        <v>0</v>
      </c>
      <c r="AV5" s="160">
        <f>IFERROR(INDEX(镶嵌库!$C$5:$M$13,基础面板属性!$D5+1,IF(LEFT(基础面板属性!$C5,2)&amp;"值"=基础面板属性!AV$1,MATCH(基础面板属性!$C5,镶嵌库!$C$4:$M$4,0),-1)),0)</f>
        <v>0</v>
      </c>
      <c r="AW5" s="160">
        <f>IFERROR(INDEX(镶嵌库!$C$5:$M$13,基础面板属性!$D5+1,IF(LEFT(基础面板属性!$C5,2)&amp;"值"=基础面板属性!AW$1,MATCH(基础面板属性!$C5,镶嵌库!$C$4:$M$4,0),-1)),0)</f>
        <v>0</v>
      </c>
      <c r="AX5" s="160">
        <f>IFERROR(INDEX(镶嵌库!$C$5:$M$13,基础面板属性!$D5+1,IF(LEFT(基础面板属性!$C5,2)&amp;"值"=基础面板属性!AX$1,MATCH(基础面板属性!$C5,镶嵌库!$C$4:$M$4,0),-1)),0)</f>
        <v>0</v>
      </c>
      <c r="AY5" s="160">
        <f>IFERROR(INDEX(镶嵌库!$C$5:$M$13,基础面板属性!$D5+1,IF(LEFT(基础面板属性!$C5,2)&amp;"值"=基础面板属性!AY$1,MATCH(基础面板属性!$C5,镶嵌库!$C$4:$M$4,0),-1)),0)</f>
        <v>0</v>
      </c>
      <c r="AZ5" s="160">
        <f>IFERROR(INDEX(镶嵌库!$C$5:$M$13,基础面板属性!$D5+1,IF(LEFT(基础面板属性!$C5,2)&amp;"值"=基础面板属性!AZ$1,MATCH(基础面板属性!$C5,镶嵌库!$C$4:$M$4,0),-1)),0)</f>
        <v>0</v>
      </c>
      <c r="BA5" s="160">
        <f>IFERROR(INDEX(镶嵌库!$C$5:$M$13,基础面板属性!$D5+1,IF(LEFT(基础面板属性!$C5,2)&amp;"值"=基础面板属性!BA$1,MATCH(基础面板属性!$C5,镶嵌库!$C$4:$M$4,0),-1)),0)</f>
        <v>0</v>
      </c>
      <c r="BB5" s="160">
        <f>IFERROR(INDEX(镶嵌库!$C$5:$M$13,基础面板属性!$D5+1,IF(LEFT(基础面板属性!$C5,2)&amp;"值"=基础面板属性!BB$1,MATCH(基础面板属性!$C5,镶嵌库!$C$4:$M$4,0),-1)),0)</f>
        <v>0</v>
      </c>
      <c r="BC5" s="160">
        <f>IFERROR(INDEX(镶嵌库!$C$5:$M$13,基础面板属性!$D5+1,IF(LEFT(基础面板属性!$C5,2)&amp;"值"=基础面板属性!BC$1,MATCH(基础面板属性!$C5,镶嵌库!$C$4:$M$4,0),-1)),0)</f>
        <v>0</v>
      </c>
      <c r="BD5" s="160">
        <f>IFERROR(INDEX(镶嵌库!$C$5:$M$13,基础面板属性!$D5+1,IF(LEFT(基础面板属性!$C5,2)&amp;"值"=基础面板属性!BD$1,MATCH(基础面板属性!$C5,镶嵌库!$C$4:$M$4,0),-1)),0)</f>
        <v>0</v>
      </c>
    </row>
    <row r="6" spans="1:60">
      <c r="A6" s="160" t="str">
        <f>A4</f>
        <v>帽子</v>
      </c>
      <c r="B6" s="160" t="s">
        <v>2050</v>
      </c>
      <c r="C6" s="160" t="str">
        <f>配装计算器!B5</f>
        <v>无双孔</v>
      </c>
      <c r="D6" s="160">
        <f>IF(C6="",0,IF(配装计算器!$K$32&lt;&gt;"不使用",镶嵌库!$Y$17,IFERROR(1*(LEFT(配装计算器!C5,1)),0)))</f>
        <v>8</v>
      </c>
      <c r="E6" s="160">
        <f>IFERROR(INDEX(镶嵌库!$C$5:$M$13,基础面板属性!$D6+1,IF(LEFT(基础面板属性!$C6,2)&amp;"值"=基础面板属性!E$1,MATCH(基础面板属性!$C6,镶嵌库!$C$4:$M$4,0),-1)),0)</f>
        <v>0</v>
      </c>
      <c r="F6" s="160">
        <f>IFERROR(INDEX(镶嵌库!$C$5:$M$13,基础面板属性!$D6+1,IF(LEFT(基础面板属性!$C6,2)&amp;"值"=基础面板属性!F$1,MATCH(基础面板属性!$C6,镶嵌库!$C$4:$M$4,0),-1)),0)</f>
        <v>0</v>
      </c>
      <c r="G6" s="160">
        <f>IFERROR(INDEX(镶嵌库!$C$5:$M$13,基础面板属性!$D6+1,IF(LEFT(基础面板属性!$C6,2)&amp;"值"=基础面板属性!G$1,MATCH(基础面板属性!$C6,镶嵌库!$C$4:$M$4,0),-1)),0)</f>
        <v>0</v>
      </c>
      <c r="H6" s="160">
        <f>IFERROR(INDEX(镶嵌库!$C$5:$M$13,基础面板属性!$D6+1,IF(LEFT(基础面板属性!$C6,2)&amp;"值"=基础面板属性!H$1,MATCH(基础面板属性!$C6,镶嵌库!$C$4:$M$4,0),-1)),0)</f>
        <v>0</v>
      </c>
      <c r="I6" s="160">
        <f>IFERROR(INDEX(镶嵌库!$C$5:$M$13,基础面板属性!$D6+1,IF(LEFT(基础面板属性!$C6,2)&amp;"值"=基础面板属性!I$1,MATCH(基础面板属性!$C6,镶嵌库!$C$4:$M$4,0),-1)),0)</f>
        <v>0</v>
      </c>
      <c r="J6" s="160">
        <f>IFERROR(INDEX(镶嵌库!$C$5:$M$13,基础面板属性!$D6+1,IF(LEFT(基础面板属性!$C6,2)&amp;"值"=基础面板属性!J$1,MATCH(基础面板属性!$C6,镶嵌库!$C$4:$M$4,0),-1)),0)</f>
        <v>0</v>
      </c>
      <c r="K6" s="160">
        <f>IFERROR(INDEX(镶嵌库!$C$5:$M$13,基础面板属性!$D6+1,IF(LEFT(基础面板属性!$C6,2)&amp;"值"=基础面板属性!K$1,MATCH(基础面板属性!$C6,镶嵌库!$C$4:$M$4,0),-1)),0)</f>
        <v>0</v>
      </c>
      <c r="L6" s="160">
        <f>IFERROR(INDEX(镶嵌库!$C$5:$M$13,基础面板属性!$D6+1,IF(LEFT(基础面板属性!$C6,2)&amp;"值"=基础面板属性!L$1,MATCH(基础面板属性!$C6,镶嵌库!$C$4:$M$4,0),-1)),0)</f>
        <v>0</v>
      </c>
      <c r="M6" s="160">
        <f>IFERROR(INDEX(镶嵌库!$C$5:$M$13,基础面板属性!$D6+1,IF(LEFT(基础面板属性!$C6,2)&amp;"值"=基础面板属性!M$1,MATCH(基础面板属性!$C6,镶嵌库!$C$4:$M$4,0),-1)),0)</f>
        <v>0</v>
      </c>
      <c r="N6" s="160">
        <f>IFERROR(INDEX(镶嵌库!$C$5:$M$13,基础面板属性!$D6+1,IF(LEFT(基础面板属性!$C6,2)&amp;"值"=基础面板属性!N$1,MATCH(基础面板属性!$C6,镶嵌库!$C$4:$M$4,0),-1)),0)</f>
        <v>0</v>
      </c>
      <c r="O6" s="160">
        <f>IFERROR(INDEX(镶嵌库!$C$5:$M$13,基础面板属性!$D6+1,IF(LEFT(基础面板属性!$C6,2)&amp;"值"=基础面板属性!O$1,MATCH(基础面板属性!$C6,镶嵌库!$C$4:$M$4,0),-1)),0)</f>
        <v>0</v>
      </c>
      <c r="P6" s="160">
        <f>IFERROR(INDEX(镶嵌库!$C$5:$M$13,基础面板属性!$D6+1,IF(LEFT(基础面板属性!$C6,2)&amp;"值"=基础面板属性!P$1,MATCH(基础面板属性!$C6,镶嵌库!$C$4:$M$4,0),-1)),0)</f>
        <v>0</v>
      </c>
      <c r="Q6" s="160">
        <f>IFERROR(INDEX(镶嵌库!$C$5:$M$13,基础面板属性!$D6+1,IF(LEFT(基础面板属性!$C6,2)&amp;"值"=基础面板属性!Q$1,MATCH(基础面板属性!$C6,镶嵌库!$C$4:$M$4,0),-1)),0)</f>
        <v>0</v>
      </c>
      <c r="R6" s="160">
        <f>IFERROR(INDEX(镶嵌库!$C$5:$M$13,基础面板属性!$D6+1,IF(LEFT(基础面板属性!$C6,2)&amp;"值"=基础面板属性!R$1,MATCH(基础面板属性!$C6,镶嵌库!$C$4:$M$4,0),-1)),0)</f>
        <v>0</v>
      </c>
      <c r="S6" s="160">
        <f>IFERROR(INDEX(镶嵌库!$C$5:$M$13,基础面板属性!$D6+1,IF(LEFT(基础面板属性!$C6,2)&amp;"值"=基础面板属性!S$1,MATCH(基础面板属性!$C6,镶嵌库!$C$4:$M$4,0),-1)),0)</f>
        <v>0</v>
      </c>
      <c r="T6" s="160">
        <f>IFERROR(INDEX(镶嵌库!$C$5:$M$13,基础面板属性!$D6+1,IF(LEFT(基础面板属性!$C6,2)&amp;"值"=基础面板属性!T$1,MATCH(基础面板属性!$C6,镶嵌库!$C$4:$M$4,0),-1)),0)</f>
        <v>0</v>
      </c>
      <c r="U6" s="160">
        <f>IFERROR(INDEX(镶嵌库!$C$5:$M$13,基础面板属性!$D6+1,IF(LEFT(基础面板属性!$C6,2)&amp;"值"=基础面板属性!U$1,MATCH(基础面板属性!$C6,镶嵌库!$C$4:$M$4,0),-1)),0)</f>
        <v>0</v>
      </c>
      <c r="V6" s="160">
        <f>IFERROR(INDEX(镶嵌库!$C$5:$M$13,基础面板属性!$D6+1,IF(LEFT(基础面板属性!$C6,2)&amp;"值"=基础面板属性!V$1,MATCH(基础面板属性!$C6,镶嵌库!$C$4:$M$4,0),-1)),0)</f>
        <v>0</v>
      </c>
      <c r="W6" s="160">
        <f>IFERROR(INDEX(镶嵌库!$C$5:$M$13,基础面板属性!$D6+1,IF(LEFT(基础面板属性!$C6,2)&amp;"值"=基础面板属性!W$1,MATCH(基础面板属性!$C6,镶嵌库!$C$4:$M$4,0),-1)),0)</f>
        <v>0</v>
      </c>
      <c r="X6" s="160">
        <f>IFERROR(INDEX(镶嵌库!$C$5:$M$13,基础面板属性!$D6+1,IF(LEFT(基础面板属性!$C6,2)&amp;"值"=基础面板属性!X$1,MATCH(基础面板属性!$C6,镶嵌库!$C$4:$M$4,0),-1)),0)</f>
        <v>0</v>
      </c>
      <c r="Y6" s="160">
        <f>IFERROR(INDEX(镶嵌库!$C$5:$M$13,基础面板属性!$D6+1,IF(LEFT(基础面板属性!$C6,2)&amp;"值"=基础面板属性!Y$1,MATCH(基础面板属性!$C6,镶嵌库!$C$4:$M$4,0),-1)),0)</f>
        <v>0</v>
      </c>
      <c r="Z6" s="160">
        <f>IFERROR(INDEX(镶嵌库!$C$5:$M$13,基础面板属性!$D6+1,IF(LEFT(基础面板属性!$C6,2)&amp;"值"=基础面板属性!Z$1,MATCH(基础面板属性!$C6,镶嵌库!$C$4:$M$4,0),-1)),0)</f>
        <v>0</v>
      </c>
      <c r="AA6" s="160">
        <f>IFERROR(INDEX(镶嵌库!$C$5:$M$13,基础面板属性!$D6+1,IF(LEFT(基础面板属性!$C6,2)&amp;"值"=基础面板属性!AA$1,MATCH(基础面板属性!$C6,镶嵌库!$C$4:$M$4,0),-1)),0)</f>
        <v>0</v>
      </c>
      <c r="AB6" s="160">
        <f>IFERROR(INDEX(镶嵌库!$C$5:$M$13,基础面板属性!$D6+1,IF(LEFT(基础面板属性!$C6,2)&amp;"值"=基础面板属性!AB$1,MATCH(基础面板属性!$C6,镶嵌库!$C$4:$M$4,0),-1)),0)</f>
        <v>0</v>
      </c>
      <c r="AC6" s="160">
        <f>IFERROR(INDEX(镶嵌库!$C$5:$M$13,基础面板属性!$D6+1,IF(LEFT(基础面板属性!$C6,2)&amp;"值"=基础面板属性!AC$1,MATCH(基础面板属性!$C6,镶嵌库!$C$4:$M$4,0),-1)),0)</f>
        <v>0</v>
      </c>
      <c r="AD6" s="160">
        <f>IFERROR(INDEX(镶嵌库!$C$5:$M$13,基础面板属性!$D6+1,IF(LEFT(基础面板属性!$C6,2)&amp;"值"=基础面板属性!AD$1,MATCH(基础面板属性!$C6,镶嵌库!$C$4:$M$4,0),-1)),0)</f>
        <v>0</v>
      </c>
      <c r="AE6" s="160">
        <f>IFERROR(INDEX(镶嵌库!$C$5:$M$13,基础面板属性!$D6+1,IF(LEFT(基础面板属性!$C6,2)&amp;"值"=基础面板属性!AE$1,MATCH(基础面板属性!$C6,镶嵌库!$C$4:$M$4,0),-1)),0)</f>
        <v>0</v>
      </c>
      <c r="AF6" s="160">
        <f>IFERROR(INDEX(镶嵌库!$C$5:$M$13,基础面板属性!$D6+1,IF(LEFT(基础面板属性!$C6,2)&amp;"值"=基础面板属性!AF$1,MATCH(基础面板属性!$C6,镶嵌库!$C$4:$M$4,0),-1)),0)</f>
        <v>0</v>
      </c>
      <c r="AG6" s="160">
        <f>IFERROR(INDEX(镶嵌库!$C$5:$M$13,基础面板属性!$D6+1,IF(LEFT(基础面板属性!$C6,2)&amp;"值"=基础面板属性!AG$1,MATCH(基础面板属性!$C6,镶嵌库!$C$4:$M$4,0),-1)),0)</f>
        <v>0</v>
      </c>
      <c r="AH6" s="160">
        <f>IFERROR(INDEX(镶嵌库!$C$5:$M$13,基础面板属性!$D6+1,IF(LEFT(基础面板属性!$C6,2)&amp;"值"=基础面板属性!AH$1,MATCH(基础面板属性!$C6,镶嵌库!$C$4:$M$4,0),-1)),0)</f>
        <v>0</v>
      </c>
      <c r="AI6" s="160">
        <f>IFERROR(INDEX(镶嵌库!$C$5:$M$13,基础面板属性!$D6+1,IF(LEFT(基础面板属性!$C6,2)&amp;"值"=基础面板属性!AI$1,MATCH(基础面板属性!$C6,镶嵌库!$C$4:$M$4,0),-1)),0)</f>
        <v>0</v>
      </c>
      <c r="AJ6" s="160">
        <f>IFERROR(INDEX(镶嵌库!$C$5:$M$13,基础面板属性!$D6+1,IF(LEFT(基础面板属性!$C6,2)&amp;"值"=基础面板属性!AJ$1,MATCH(基础面板属性!$C6,镶嵌库!$C$4:$M$4,0),-1)),0)</f>
        <v>0</v>
      </c>
      <c r="AK6" s="160">
        <f>IFERROR(INDEX(镶嵌库!$C$5:$M$13,基础面板属性!$D6+1,IF(LEFT(基础面板属性!$C6,2)&amp;"值"=基础面板属性!AK$1,MATCH(基础面板属性!$C6,镶嵌库!$C$4:$M$4,0),-1)),0)</f>
        <v>1317</v>
      </c>
      <c r="AL6" s="160">
        <f>IFERROR(INDEX(镶嵌库!$C$5:$M$13,基础面板属性!$D6+1,IF(LEFT(基础面板属性!$C6,2)&amp;"值"=基础面板属性!AL$1,MATCH(基础面板属性!$C6,镶嵌库!$C$4:$M$4,0),-1)),0)</f>
        <v>0</v>
      </c>
      <c r="AM6" s="160">
        <f>IFERROR(INDEX(镶嵌库!$C$5:$M$13,基础面板属性!$D6+1,IF(LEFT(基础面板属性!$C6,2)&amp;"值"=基础面板属性!AM$1,MATCH(基础面板属性!$C6,镶嵌库!$C$4:$M$4,0),-1)),0)</f>
        <v>0</v>
      </c>
      <c r="AN6" s="160">
        <f>IFERROR(INDEX(镶嵌库!$C$5:$M$13,基础面板属性!$D6+1,IF(LEFT(基础面板属性!$C6,2)&amp;"值"=基础面板属性!AN$1,MATCH(基础面板属性!$C6,镶嵌库!$C$4:$M$4,0),-1)),0)</f>
        <v>0</v>
      </c>
      <c r="AO6" s="160">
        <f>IFERROR(INDEX(镶嵌库!$C$5:$M$13,基础面板属性!$D6+1,IF(LEFT(基础面板属性!$C6,2)&amp;"值"=基础面板属性!AO$1,MATCH(基础面板属性!$C6,镶嵌库!$C$4:$M$4,0),-1)),0)</f>
        <v>0</v>
      </c>
      <c r="AP6" s="160">
        <f>IFERROR(INDEX(镶嵌库!$C$5:$M$13,基础面板属性!$D6+1,IF(LEFT(基础面板属性!$C6,2)&amp;"值"=基础面板属性!AP$1,MATCH(基础面板属性!$C6,镶嵌库!$C$4:$M$4,0),-1)),0)</f>
        <v>0</v>
      </c>
      <c r="AU6" s="160">
        <f>IFERROR(INDEX(镶嵌库!$C$5:$M$13,基础面板属性!$D6+1,IF(LEFT(基础面板属性!$C6,2)&amp;"值"=基础面板属性!AU$1,MATCH(基础面板属性!$C6,镶嵌库!$C$4:$M$4,0),-1)),0)</f>
        <v>0</v>
      </c>
      <c r="AV6" s="160">
        <f>IFERROR(INDEX(镶嵌库!$C$5:$M$13,基础面板属性!$D6+1,IF(LEFT(基础面板属性!$C6,2)&amp;"值"=基础面板属性!AV$1,MATCH(基础面板属性!$C6,镶嵌库!$C$4:$M$4,0),-1)),0)</f>
        <v>0</v>
      </c>
      <c r="AW6" s="160">
        <f>IFERROR(INDEX(镶嵌库!$C$5:$M$13,基础面板属性!$D6+1,IF(LEFT(基础面板属性!$C6,2)&amp;"值"=基础面板属性!AW$1,MATCH(基础面板属性!$C6,镶嵌库!$C$4:$M$4,0),-1)),0)</f>
        <v>0</v>
      </c>
      <c r="AX6" s="160">
        <f>IFERROR(INDEX(镶嵌库!$C$5:$M$13,基础面板属性!$D6+1,IF(LEFT(基础面板属性!$C6,2)&amp;"值"=基础面板属性!AX$1,MATCH(基础面板属性!$C6,镶嵌库!$C$4:$M$4,0),-1)),0)</f>
        <v>0</v>
      </c>
      <c r="AY6" s="160">
        <f>IFERROR(INDEX(镶嵌库!$C$5:$M$13,基础面板属性!$D6+1,IF(LEFT(基础面板属性!$C6,2)&amp;"值"=基础面板属性!AY$1,MATCH(基础面板属性!$C6,镶嵌库!$C$4:$M$4,0),-1)),0)</f>
        <v>0</v>
      </c>
      <c r="AZ6" s="160">
        <f>IFERROR(INDEX(镶嵌库!$C$5:$M$13,基础面板属性!$D6+1,IF(LEFT(基础面板属性!$C6,2)&amp;"值"=基础面板属性!AZ$1,MATCH(基础面板属性!$C6,镶嵌库!$C$4:$M$4,0),-1)),0)</f>
        <v>0</v>
      </c>
      <c r="BA6" s="160">
        <f>IFERROR(INDEX(镶嵌库!$C$5:$M$13,基础面板属性!$D6+1,IF(LEFT(基础面板属性!$C6,2)&amp;"值"=基础面板属性!BA$1,MATCH(基础面板属性!$C6,镶嵌库!$C$4:$M$4,0),-1)),0)</f>
        <v>0</v>
      </c>
      <c r="BB6" s="160">
        <f>IFERROR(INDEX(镶嵌库!$C$5:$M$13,基础面板属性!$D6+1,IF(LEFT(基础面板属性!$C6,2)&amp;"值"=基础面板属性!BB$1,MATCH(基础面板属性!$C6,镶嵌库!$C$4:$M$4,0),-1)),0)</f>
        <v>0</v>
      </c>
      <c r="BC6" s="160">
        <f>IFERROR(INDEX(镶嵌库!$C$5:$M$13,基础面板属性!$D6+1,IF(LEFT(基础面板属性!$C6,2)&amp;"值"=基础面板属性!BC$1,MATCH(基础面板属性!$C6,镶嵌库!$C$4:$M$4,0),-1)),0)</f>
        <v>0</v>
      </c>
      <c r="BD6" s="160">
        <f>IFERROR(INDEX(镶嵌库!$C$5:$M$13,基础面板属性!$D6+1,IF(LEFT(基础面板属性!$C6,2)&amp;"值"=基础面板属性!BD$1,MATCH(基础面板属性!$C6,镶嵌库!$C$4:$M$4,0),-1)),0)</f>
        <v>0</v>
      </c>
    </row>
    <row r="7" spans="1:60">
      <c r="A7" s="160" t="str">
        <f>A4</f>
        <v>帽子</v>
      </c>
      <c r="B7" s="160" t="s">
        <v>2051</v>
      </c>
      <c r="C7" s="160" t="str">
        <f>IF(附魔库!$W$5="气血","基础气血值",附魔库!$W$5&amp;"值")</f>
        <v>加速值</v>
      </c>
      <c r="D7" s="160">
        <f>附魔库!X5</f>
        <v>3279</v>
      </c>
      <c r="E7" s="160">
        <f>IF(OR($C7=E$1,$C7&amp;"大"=E$1,$C7&amp;"小"=E$1),$D7,0)</f>
        <v>0</v>
      </c>
      <c r="F7" s="160">
        <f t="shared" ref="F7:BD7" si="0">IF(OR($C7=F$1,$C7&amp;"大"=F$1,$C7&amp;"小"=F$1),$D7,0)</f>
        <v>0</v>
      </c>
      <c r="G7" s="160">
        <f t="shared" si="0"/>
        <v>0</v>
      </c>
      <c r="H7" s="160">
        <f t="shared" si="0"/>
        <v>0</v>
      </c>
      <c r="I7" s="160">
        <f t="shared" si="0"/>
        <v>0</v>
      </c>
      <c r="J7" s="160">
        <f t="shared" si="0"/>
        <v>0</v>
      </c>
      <c r="K7" s="160">
        <f t="shared" si="0"/>
        <v>0</v>
      </c>
      <c r="L7" s="160">
        <f t="shared" si="0"/>
        <v>0</v>
      </c>
      <c r="M7" s="160">
        <f t="shared" si="0"/>
        <v>0</v>
      </c>
      <c r="N7" s="160">
        <f t="shared" si="0"/>
        <v>0</v>
      </c>
      <c r="O7" s="160">
        <f t="shared" si="0"/>
        <v>0</v>
      </c>
      <c r="P7" s="160">
        <f t="shared" si="0"/>
        <v>0</v>
      </c>
      <c r="Q7" s="160">
        <f t="shared" si="0"/>
        <v>0</v>
      </c>
      <c r="R7" s="160">
        <f t="shared" si="0"/>
        <v>0</v>
      </c>
      <c r="S7" s="160">
        <f t="shared" si="0"/>
        <v>0</v>
      </c>
      <c r="T7" s="160">
        <f t="shared" si="0"/>
        <v>0</v>
      </c>
      <c r="U7" s="160">
        <f t="shared" si="0"/>
        <v>0</v>
      </c>
      <c r="V7" s="160">
        <f t="shared" si="0"/>
        <v>0</v>
      </c>
      <c r="W7" s="160">
        <f t="shared" si="0"/>
        <v>0</v>
      </c>
      <c r="X7" s="160">
        <f t="shared" si="0"/>
        <v>0</v>
      </c>
      <c r="Y7" s="160">
        <f t="shared" si="0"/>
        <v>0</v>
      </c>
      <c r="Z7" s="160">
        <f t="shared" si="0"/>
        <v>0</v>
      </c>
      <c r="AA7" s="160">
        <f t="shared" si="0"/>
        <v>0</v>
      </c>
      <c r="AB7" s="160">
        <f t="shared" si="0"/>
        <v>0</v>
      </c>
      <c r="AC7" s="160">
        <f t="shared" si="0"/>
        <v>0</v>
      </c>
      <c r="AD7" s="160">
        <f t="shared" si="0"/>
        <v>0</v>
      </c>
      <c r="AE7" s="160">
        <f t="shared" si="0"/>
        <v>0</v>
      </c>
      <c r="AF7" s="160">
        <f t="shared" si="0"/>
        <v>0</v>
      </c>
      <c r="AG7" s="160">
        <f t="shared" si="0"/>
        <v>0</v>
      </c>
      <c r="AH7" s="160">
        <f t="shared" si="0"/>
        <v>0</v>
      </c>
      <c r="AI7" s="160">
        <f t="shared" si="0"/>
        <v>0</v>
      </c>
      <c r="AJ7" s="160">
        <f t="shared" si="0"/>
        <v>0</v>
      </c>
      <c r="AK7" s="160">
        <f t="shared" si="0"/>
        <v>0</v>
      </c>
      <c r="AL7" s="160">
        <f t="shared" si="0"/>
        <v>0</v>
      </c>
      <c r="AM7" s="160">
        <f t="shared" si="0"/>
        <v>0</v>
      </c>
      <c r="AN7" s="160">
        <f t="shared" si="0"/>
        <v>0</v>
      </c>
      <c r="AO7" s="160">
        <f t="shared" si="0"/>
        <v>0</v>
      </c>
      <c r="AP7" s="160">
        <f t="shared" si="0"/>
        <v>3279</v>
      </c>
      <c r="AU7" s="160">
        <f t="shared" si="0"/>
        <v>0</v>
      </c>
      <c r="AV7" s="160">
        <f t="shared" si="0"/>
        <v>0</v>
      </c>
      <c r="AW7" s="160">
        <f t="shared" si="0"/>
        <v>0</v>
      </c>
      <c r="AX7" s="160">
        <f t="shared" si="0"/>
        <v>0</v>
      </c>
      <c r="AY7" s="160">
        <f t="shared" si="0"/>
        <v>0</v>
      </c>
      <c r="AZ7" s="160">
        <f t="shared" si="0"/>
        <v>0</v>
      </c>
      <c r="BA7" s="160">
        <f t="shared" si="0"/>
        <v>0</v>
      </c>
      <c r="BB7" s="160">
        <f t="shared" si="0"/>
        <v>0</v>
      </c>
      <c r="BC7" s="160">
        <f t="shared" si="0"/>
        <v>0</v>
      </c>
      <c r="BD7" s="160">
        <f t="shared" si="0"/>
        <v>0</v>
      </c>
    </row>
    <row r="8" spans="1:60">
      <c r="A8" s="160" t="str">
        <f>A4</f>
        <v>帽子</v>
      </c>
      <c r="B8" s="160" t="s">
        <v>2052</v>
      </c>
    </row>
    <row r="9" spans="1:60">
      <c r="A9" s="160" t="s">
        <v>2053</v>
      </c>
      <c r="B9" s="160" t="s">
        <v>2054</v>
      </c>
      <c r="C9" s="160" t="str">
        <f>配装计算器!C7</f>
        <v>【门派套装】玄阙·燃炼衣(41400会无)</v>
      </c>
      <c r="E9" s="160">
        <f>装备选择!AV3</f>
        <v>24434</v>
      </c>
      <c r="M9" s="160">
        <f>装备选择!AW3</f>
        <v>1993</v>
      </c>
      <c r="S9" s="160">
        <f>装备选择!AY3</f>
        <v>4527</v>
      </c>
      <c r="W9" s="160">
        <f>装备选择!AZ3</f>
        <v>16659</v>
      </c>
      <c r="Z9" s="160">
        <f>装备选择!BA3</f>
        <v>0</v>
      </c>
      <c r="AC9" s="160">
        <f>装备选择!BB3</f>
        <v>0</v>
      </c>
      <c r="AG9" s="160">
        <f>装备选择!BF3</f>
        <v>0</v>
      </c>
      <c r="AH9" s="160">
        <f>装备选择!BC3</f>
        <v>0</v>
      </c>
      <c r="AK9" s="160">
        <f>装备选择!BD3</f>
        <v>13327</v>
      </c>
      <c r="AP9" s="160">
        <f>装备选择!BE3</f>
        <v>0</v>
      </c>
      <c r="AU9" s="160">
        <f>装备选择!BH3</f>
        <v>0</v>
      </c>
      <c r="AV9" s="160">
        <f>装备选择!BI3</f>
        <v>0</v>
      </c>
    </row>
    <row r="10" spans="1:60">
      <c r="A10" s="160" t="str">
        <f>A9</f>
        <v>衣服</v>
      </c>
      <c r="B10" s="160" t="s">
        <v>2055</v>
      </c>
      <c r="C10" s="160" t="str">
        <f>配装计算器!B9</f>
        <v>会心孔</v>
      </c>
      <c r="D10" s="160">
        <f>IF(C10="",0,IF(配装计算器!$K$32&lt;&gt;"不使用",镶嵌库!$Y$17,IFERROR(1*(LEFT(配装计算器!C9,1)),0)))</f>
        <v>8</v>
      </c>
      <c r="E10" s="160">
        <f>IFERROR(INDEX(镶嵌库!$C$5:$M$13,基础面板属性!$D10+1,IF(LEFT(基础面板属性!$C10,2)&amp;"值"=基础面板属性!E$1,MATCH(基础面板属性!$C10,镶嵌库!$C$4:$M$4,0),-1)),0)</f>
        <v>0</v>
      </c>
      <c r="F10" s="160">
        <f>IFERROR(INDEX(镶嵌库!$C$5:$M$13,基础面板属性!$D10+1,IF(LEFT(基础面板属性!$C10,2)&amp;"值"=基础面板属性!F$1,MATCH(基础面板属性!$C10,镶嵌库!$C$4:$M$4,0),-1)),0)</f>
        <v>0</v>
      </c>
      <c r="G10" s="160">
        <f>IFERROR(INDEX(镶嵌库!$C$5:$M$13,基础面板属性!$D10+1,IF(LEFT(基础面板属性!$C10,2)&amp;"值"=基础面板属性!G$1,MATCH(基础面板属性!$C10,镶嵌库!$C$4:$M$4,0),-1)),0)</f>
        <v>0</v>
      </c>
      <c r="H10" s="160">
        <f>IFERROR(INDEX(镶嵌库!$C$5:$M$13,基础面板属性!$D10+1,IF(LEFT(基础面板属性!$C10,2)&amp;"值"=基础面板属性!H$1,MATCH(基础面板属性!$C10,镶嵌库!$C$4:$M$4,0),-1)),0)</f>
        <v>0</v>
      </c>
      <c r="I10" s="160">
        <f>IFERROR(INDEX(镶嵌库!$C$5:$M$13,基础面板属性!$D10+1,IF(LEFT(基础面板属性!$C10,2)&amp;"值"=基础面板属性!I$1,MATCH(基础面板属性!$C10,镶嵌库!$C$4:$M$4,0),-1)),0)</f>
        <v>0</v>
      </c>
      <c r="J10" s="160">
        <f>IFERROR(INDEX(镶嵌库!$C$5:$M$13,基础面板属性!$D10+1,IF(LEFT(基础面板属性!$C10,2)&amp;"值"=基础面板属性!J$1,MATCH(基础面板属性!$C10,镶嵌库!$C$4:$M$4,0),-1)),0)</f>
        <v>0</v>
      </c>
      <c r="K10" s="160">
        <f>IFERROR(INDEX(镶嵌库!$C$5:$M$13,基础面板属性!$D10+1,IF(LEFT(基础面板属性!$C10,2)&amp;"值"=基础面板属性!K$1,MATCH(基础面板属性!$C10,镶嵌库!$C$4:$M$4,0),-1)),0)</f>
        <v>0</v>
      </c>
      <c r="L10" s="160">
        <f>IFERROR(INDEX(镶嵌库!$C$5:$M$13,基础面板属性!$D10+1,IF(LEFT(基础面板属性!$C10,2)&amp;"值"=基础面板属性!L$1,MATCH(基础面板属性!$C10,镶嵌库!$C$4:$M$4,0),-1)),0)</f>
        <v>0</v>
      </c>
      <c r="M10" s="160">
        <f>IFERROR(INDEX(镶嵌库!$C$5:$M$13,基础面板属性!$D10+1,IF(LEFT(基础面板属性!$C10,2)&amp;"值"=基础面板属性!M$1,MATCH(基础面板属性!$C10,镶嵌库!$C$4:$M$4,0),-1)),0)</f>
        <v>0</v>
      </c>
      <c r="N10" s="160">
        <f>IFERROR(INDEX(镶嵌库!$C$5:$M$13,基础面板属性!$D10+1,IF(LEFT(基础面板属性!$C10,2)&amp;"值"=基础面板属性!N$1,MATCH(基础面板属性!$C10,镶嵌库!$C$4:$M$4,0),-1)),0)</f>
        <v>0</v>
      </c>
      <c r="O10" s="160">
        <f>IFERROR(INDEX(镶嵌库!$C$5:$M$13,基础面板属性!$D10+1,IF(LEFT(基础面板属性!$C10,2)&amp;"值"=基础面板属性!O$1,MATCH(基础面板属性!$C10,镶嵌库!$C$4:$M$4,0),-1)),0)</f>
        <v>0</v>
      </c>
      <c r="P10" s="160">
        <f>IFERROR(INDEX(镶嵌库!$C$5:$M$13,基础面板属性!$D10+1,IF(LEFT(基础面板属性!$C10,2)&amp;"值"=基础面板属性!P$1,MATCH(基础面板属性!$C10,镶嵌库!$C$4:$M$4,0),-1)),0)</f>
        <v>0</v>
      </c>
      <c r="Q10" s="160">
        <f>IFERROR(INDEX(镶嵌库!$C$5:$M$13,基础面板属性!$D10+1,IF(LEFT(基础面板属性!$C10,2)&amp;"值"=基础面板属性!Q$1,MATCH(基础面板属性!$C10,镶嵌库!$C$4:$M$4,0),-1)),0)</f>
        <v>0</v>
      </c>
      <c r="R10" s="160">
        <f>IFERROR(INDEX(镶嵌库!$C$5:$M$13,基础面板属性!$D10+1,IF(LEFT(基础面板属性!$C10,2)&amp;"值"=基础面板属性!R$1,MATCH(基础面板属性!$C10,镶嵌库!$C$4:$M$4,0),-1)),0)</f>
        <v>0</v>
      </c>
      <c r="S10" s="160">
        <f>IFERROR(INDEX(镶嵌库!$C$5:$M$13,基础面板属性!$D10+1,IF(LEFT(基础面板属性!$C10,2)&amp;"值"=基础面板属性!S$1,MATCH(基础面板属性!$C10,镶嵌库!$C$4:$M$4,0),-1)),0)</f>
        <v>0</v>
      </c>
      <c r="T10" s="160">
        <f>IFERROR(INDEX(镶嵌库!$C$5:$M$13,基础面板属性!$D10+1,IF(LEFT(基础面板属性!$C10,2)&amp;"值"=基础面板属性!T$1,MATCH(基础面板属性!$C10,镶嵌库!$C$4:$M$4,0),-1)),0)</f>
        <v>0</v>
      </c>
      <c r="U10" s="160">
        <f>IFERROR(INDEX(镶嵌库!$C$5:$M$13,基础面板属性!$D10+1,IF(LEFT(基础面板属性!$C10,2)&amp;"值"=基础面板属性!U$1,MATCH(基础面板属性!$C10,镶嵌库!$C$4:$M$4,0),-1)),0)</f>
        <v>0</v>
      </c>
      <c r="V10" s="160">
        <f>IFERROR(INDEX(镶嵌库!$C$5:$M$13,基础面板属性!$D10+1,IF(LEFT(基础面板属性!$C10,2)&amp;"值"=基础面板属性!V$1,MATCH(基础面板属性!$C10,镶嵌库!$C$4:$M$4,0),-1)),0)</f>
        <v>0</v>
      </c>
      <c r="W10" s="160">
        <f>IFERROR(INDEX(镶嵌库!$C$5:$M$13,基础面板属性!$D10+1,IF(LEFT(基础面板属性!$C10,2)&amp;"值"=基础面板属性!W$1,MATCH(基础面板属性!$C10,镶嵌库!$C$4:$M$4,0),-1)),0)</f>
        <v>1317</v>
      </c>
      <c r="X10" s="160">
        <f>IFERROR(INDEX(镶嵌库!$C$5:$M$13,基础面板属性!$D10+1,IF(LEFT(基础面板属性!$C10,2)&amp;"值"=基础面板属性!X$1,MATCH(基础面板属性!$C10,镶嵌库!$C$4:$M$4,0),-1)),0)</f>
        <v>0</v>
      </c>
      <c r="Y10" s="160">
        <f>IFERROR(INDEX(镶嵌库!$C$5:$M$13,基础面板属性!$D10+1,IF(LEFT(基础面板属性!$C10,2)&amp;"值"=基础面板属性!Y$1,MATCH(基础面板属性!$C10,镶嵌库!$C$4:$M$4,0),-1)),0)</f>
        <v>0</v>
      </c>
      <c r="Z10" s="160">
        <f>IFERROR(INDEX(镶嵌库!$C$5:$M$13,基础面板属性!$D10+1,IF(LEFT(基础面板属性!$C10,2)&amp;"值"=基础面板属性!Z$1,MATCH(基础面板属性!$C10,镶嵌库!$C$4:$M$4,0),-1)),0)</f>
        <v>0</v>
      </c>
      <c r="AA10" s="160">
        <f>IFERROR(INDEX(镶嵌库!$C$5:$M$13,基础面板属性!$D10+1,IF(LEFT(基础面板属性!$C10,2)&amp;"值"=基础面板属性!AA$1,MATCH(基础面板属性!$C10,镶嵌库!$C$4:$M$4,0),-1)),0)</f>
        <v>0</v>
      </c>
      <c r="AB10" s="160">
        <f>IFERROR(INDEX(镶嵌库!$C$5:$M$13,基础面板属性!$D10+1,IF(LEFT(基础面板属性!$C10,2)&amp;"值"=基础面板属性!AB$1,MATCH(基础面板属性!$C10,镶嵌库!$C$4:$M$4,0),-1)),0)</f>
        <v>0</v>
      </c>
      <c r="AC10" s="160">
        <f>IFERROR(INDEX(镶嵌库!$C$5:$M$13,基础面板属性!$D10+1,IF(LEFT(基础面板属性!$C10,2)&amp;"值"=基础面板属性!AC$1,MATCH(基础面板属性!$C10,镶嵌库!$C$4:$M$4,0),-1)),0)</f>
        <v>0</v>
      </c>
      <c r="AD10" s="160">
        <f>IFERROR(INDEX(镶嵌库!$C$5:$M$13,基础面板属性!$D10+1,IF(LEFT(基础面板属性!$C10,2)&amp;"值"=基础面板属性!AD$1,MATCH(基础面板属性!$C10,镶嵌库!$C$4:$M$4,0),-1)),0)</f>
        <v>0</v>
      </c>
      <c r="AE10" s="160">
        <f>IFERROR(INDEX(镶嵌库!$C$5:$M$13,基础面板属性!$D10+1,IF(LEFT(基础面板属性!$C10,2)&amp;"值"=基础面板属性!AE$1,MATCH(基础面板属性!$C10,镶嵌库!$C$4:$M$4,0),-1)),0)</f>
        <v>0</v>
      </c>
      <c r="AF10" s="160">
        <f>IFERROR(INDEX(镶嵌库!$C$5:$M$13,基础面板属性!$D10+1,IF(LEFT(基础面板属性!$C10,2)&amp;"值"=基础面板属性!AF$1,MATCH(基础面板属性!$C10,镶嵌库!$C$4:$M$4,0),-1)),0)</f>
        <v>0</v>
      </c>
      <c r="AG10" s="160">
        <f>IFERROR(INDEX(镶嵌库!$C$5:$M$13,基础面板属性!$D10+1,IF(LEFT(基础面板属性!$C10,2)&amp;"值"=基础面板属性!AG$1,MATCH(基础面板属性!$C10,镶嵌库!$C$4:$M$4,0),-1)),0)</f>
        <v>0</v>
      </c>
      <c r="AH10" s="160">
        <f>IFERROR(INDEX(镶嵌库!$C$5:$M$13,基础面板属性!$D10+1,IF(LEFT(基础面板属性!$C10,2)&amp;"值"=基础面板属性!AH$1,MATCH(基础面板属性!$C10,镶嵌库!$C$4:$M$4,0),-1)),0)</f>
        <v>0</v>
      </c>
      <c r="AI10" s="160">
        <f>IFERROR(INDEX(镶嵌库!$C$5:$M$13,基础面板属性!$D10+1,IF(LEFT(基础面板属性!$C10,2)&amp;"值"=基础面板属性!AI$1,MATCH(基础面板属性!$C10,镶嵌库!$C$4:$M$4,0),-1)),0)</f>
        <v>0</v>
      </c>
      <c r="AJ10" s="160">
        <f>IFERROR(INDEX(镶嵌库!$C$5:$M$13,基础面板属性!$D10+1,IF(LEFT(基础面板属性!$C10,2)&amp;"值"=基础面板属性!AJ$1,MATCH(基础面板属性!$C10,镶嵌库!$C$4:$M$4,0),-1)),0)</f>
        <v>0</v>
      </c>
      <c r="AK10" s="160">
        <f>IFERROR(INDEX(镶嵌库!$C$5:$M$13,基础面板属性!$D10+1,IF(LEFT(基础面板属性!$C10,2)&amp;"值"=基础面板属性!AK$1,MATCH(基础面板属性!$C10,镶嵌库!$C$4:$M$4,0),-1)),0)</f>
        <v>0</v>
      </c>
      <c r="AL10" s="160">
        <f>IFERROR(INDEX(镶嵌库!$C$5:$M$13,基础面板属性!$D10+1,IF(LEFT(基础面板属性!$C10,2)&amp;"值"=基础面板属性!AL$1,MATCH(基础面板属性!$C10,镶嵌库!$C$4:$M$4,0),-1)),0)</f>
        <v>0</v>
      </c>
      <c r="AM10" s="160">
        <f>IFERROR(INDEX(镶嵌库!$C$5:$M$13,基础面板属性!$D10+1,IF(LEFT(基础面板属性!$C10,2)&amp;"值"=基础面板属性!AM$1,MATCH(基础面板属性!$C10,镶嵌库!$C$4:$M$4,0),-1)),0)</f>
        <v>0</v>
      </c>
      <c r="AN10" s="160">
        <f>IFERROR(INDEX(镶嵌库!$C$5:$M$13,基础面板属性!$D10+1,IF(LEFT(基础面板属性!$C10,2)&amp;"值"=基础面板属性!AN$1,MATCH(基础面板属性!$C10,镶嵌库!$C$4:$M$4,0),-1)),0)</f>
        <v>0</v>
      </c>
      <c r="AO10" s="160">
        <f>IFERROR(INDEX(镶嵌库!$C$5:$M$13,基础面板属性!$D10+1,IF(LEFT(基础面板属性!$C10,2)&amp;"值"=基础面板属性!AO$1,MATCH(基础面板属性!$C10,镶嵌库!$C$4:$M$4,0),-1)),0)</f>
        <v>0</v>
      </c>
      <c r="AP10" s="160">
        <f>IFERROR(INDEX(镶嵌库!$C$5:$M$13,基础面板属性!$D10+1,IF(LEFT(基础面板属性!$C10,2)&amp;"值"=基础面板属性!AP$1,MATCH(基础面板属性!$C10,镶嵌库!$C$4:$M$4,0),-1)),0)</f>
        <v>0</v>
      </c>
      <c r="AU10" s="160">
        <f>IFERROR(INDEX(镶嵌库!$C$5:$M$13,基础面板属性!$D10+1,IF(LEFT(基础面板属性!$C10,2)&amp;"值"=基础面板属性!AU$1,MATCH(基础面板属性!$C10,镶嵌库!$C$4:$M$4,0),-1)),0)</f>
        <v>0</v>
      </c>
      <c r="AV10" s="160">
        <f>IFERROR(INDEX(镶嵌库!$C$5:$M$13,基础面板属性!$D10+1,IF(LEFT(基础面板属性!$C10,2)&amp;"值"=基础面板属性!AV$1,MATCH(基础面板属性!$C10,镶嵌库!$C$4:$M$4,0),-1)),0)</f>
        <v>0</v>
      </c>
      <c r="AW10" s="160">
        <f>IFERROR(INDEX(镶嵌库!$C$5:$M$13,基础面板属性!$D10+1,IF(LEFT(基础面板属性!$C10,2)&amp;"值"=基础面板属性!AW$1,MATCH(基础面板属性!$C10,镶嵌库!$C$4:$M$4,0),-1)),0)</f>
        <v>0</v>
      </c>
      <c r="AX10" s="160">
        <f>IFERROR(INDEX(镶嵌库!$C$5:$M$13,基础面板属性!$D10+1,IF(LEFT(基础面板属性!$C10,2)&amp;"值"=基础面板属性!AX$1,MATCH(基础面板属性!$C10,镶嵌库!$C$4:$M$4,0),-1)),0)</f>
        <v>0</v>
      </c>
      <c r="AY10" s="160">
        <f>IFERROR(INDEX(镶嵌库!$C$5:$M$13,基础面板属性!$D10+1,IF(LEFT(基础面板属性!$C10,2)&amp;"值"=基础面板属性!AY$1,MATCH(基础面板属性!$C10,镶嵌库!$C$4:$M$4,0),-1)),0)</f>
        <v>0</v>
      </c>
      <c r="AZ10" s="160">
        <f>IFERROR(INDEX(镶嵌库!$C$5:$M$13,基础面板属性!$D10+1,IF(LEFT(基础面板属性!$C10,2)&amp;"值"=基础面板属性!AZ$1,MATCH(基础面板属性!$C10,镶嵌库!$C$4:$M$4,0),-1)),0)</f>
        <v>0</v>
      </c>
      <c r="BA10" s="160">
        <f>IFERROR(INDEX(镶嵌库!$C$5:$M$13,基础面板属性!$D10+1,IF(LEFT(基础面板属性!$C10,2)&amp;"值"=基础面板属性!BA$1,MATCH(基础面板属性!$C10,镶嵌库!$C$4:$M$4,0),-1)),0)</f>
        <v>0</v>
      </c>
      <c r="BB10" s="160">
        <f>IFERROR(INDEX(镶嵌库!$C$5:$M$13,基础面板属性!$D10+1,IF(LEFT(基础面板属性!$C10,2)&amp;"值"=基础面板属性!BB$1,MATCH(基础面板属性!$C10,镶嵌库!$C$4:$M$4,0),-1)),0)</f>
        <v>0</v>
      </c>
      <c r="BC10" s="160">
        <f>IFERROR(INDEX(镶嵌库!$C$5:$M$13,基础面板属性!$D10+1,IF(LEFT(基础面板属性!$C10,2)&amp;"值"=基础面板属性!BC$1,MATCH(基础面板属性!$C10,镶嵌库!$C$4:$M$4,0),-1)),0)</f>
        <v>0</v>
      </c>
      <c r="BD10" s="160">
        <f>IFERROR(INDEX(镶嵌库!$C$5:$M$13,基础面板属性!$D10+1,IF(LEFT(基础面板属性!$C10,2)&amp;"值"=基础面板属性!BD$1,MATCH(基础面板属性!$C10,镶嵌库!$C$4:$M$4,0),-1)),0)</f>
        <v>0</v>
      </c>
    </row>
    <row r="11" spans="1:60">
      <c r="A11" s="160" t="str">
        <f>A9</f>
        <v>衣服</v>
      </c>
      <c r="B11" s="160" t="s">
        <v>2056</v>
      </c>
      <c r="C11" s="160" t="str">
        <f>配装计算器!B10</f>
        <v>会效孔</v>
      </c>
      <c r="D11" s="160">
        <f>IF(C11="",0,IF(配装计算器!$K$32&lt;&gt;"不使用",镶嵌库!$Y$17,IFERROR(1*(LEFT(配装计算器!C10,1)),0)))</f>
        <v>8</v>
      </c>
      <c r="E11" s="160">
        <f>IFERROR(INDEX(镶嵌库!$C$5:$M$13,基础面板属性!$D11+1,IF(LEFT(基础面板属性!$C11,2)&amp;"值"=基础面板属性!E$1,MATCH(基础面板属性!$C11,镶嵌库!$C$4:$M$4,0),-1)),0)</f>
        <v>0</v>
      </c>
      <c r="F11" s="160">
        <f>IFERROR(INDEX(镶嵌库!$C$5:$M$13,基础面板属性!$D11+1,IF(LEFT(基础面板属性!$C11,2)&amp;"值"=基础面板属性!F$1,MATCH(基础面板属性!$C11,镶嵌库!$C$4:$M$4,0),-1)),0)</f>
        <v>0</v>
      </c>
      <c r="G11" s="160">
        <f>IFERROR(INDEX(镶嵌库!$C$5:$M$13,基础面板属性!$D11+1,IF(LEFT(基础面板属性!$C11,2)&amp;"值"=基础面板属性!G$1,MATCH(基础面板属性!$C11,镶嵌库!$C$4:$M$4,0),-1)),0)</f>
        <v>0</v>
      </c>
      <c r="H11" s="160">
        <f>IFERROR(INDEX(镶嵌库!$C$5:$M$13,基础面板属性!$D11+1,IF(LEFT(基础面板属性!$C11,2)&amp;"值"=基础面板属性!H$1,MATCH(基础面板属性!$C11,镶嵌库!$C$4:$M$4,0),-1)),0)</f>
        <v>0</v>
      </c>
      <c r="I11" s="160">
        <f>IFERROR(INDEX(镶嵌库!$C$5:$M$13,基础面板属性!$D11+1,IF(LEFT(基础面板属性!$C11,2)&amp;"值"=基础面板属性!I$1,MATCH(基础面板属性!$C11,镶嵌库!$C$4:$M$4,0),-1)),0)</f>
        <v>0</v>
      </c>
      <c r="J11" s="160">
        <f>IFERROR(INDEX(镶嵌库!$C$5:$M$13,基础面板属性!$D11+1,IF(LEFT(基础面板属性!$C11,2)&amp;"值"=基础面板属性!J$1,MATCH(基础面板属性!$C11,镶嵌库!$C$4:$M$4,0),-1)),0)</f>
        <v>0</v>
      </c>
      <c r="K11" s="160">
        <f>IFERROR(INDEX(镶嵌库!$C$5:$M$13,基础面板属性!$D11+1,IF(LEFT(基础面板属性!$C11,2)&amp;"值"=基础面板属性!K$1,MATCH(基础面板属性!$C11,镶嵌库!$C$4:$M$4,0),-1)),0)</f>
        <v>0</v>
      </c>
      <c r="L11" s="160">
        <f>IFERROR(INDEX(镶嵌库!$C$5:$M$13,基础面板属性!$D11+1,IF(LEFT(基础面板属性!$C11,2)&amp;"值"=基础面板属性!L$1,MATCH(基础面板属性!$C11,镶嵌库!$C$4:$M$4,0),-1)),0)</f>
        <v>0</v>
      </c>
      <c r="M11" s="160">
        <f>IFERROR(INDEX(镶嵌库!$C$5:$M$13,基础面板属性!$D11+1,IF(LEFT(基础面板属性!$C11,2)&amp;"值"=基础面板属性!M$1,MATCH(基础面板属性!$C11,镶嵌库!$C$4:$M$4,0),-1)),0)</f>
        <v>0</v>
      </c>
      <c r="N11" s="160">
        <f>IFERROR(INDEX(镶嵌库!$C$5:$M$13,基础面板属性!$D11+1,IF(LEFT(基础面板属性!$C11,2)&amp;"值"=基础面板属性!N$1,MATCH(基础面板属性!$C11,镶嵌库!$C$4:$M$4,0),-1)),0)</f>
        <v>0</v>
      </c>
      <c r="O11" s="160">
        <f>IFERROR(INDEX(镶嵌库!$C$5:$M$13,基础面板属性!$D11+1,IF(LEFT(基础面板属性!$C11,2)&amp;"值"=基础面板属性!O$1,MATCH(基础面板属性!$C11,镶嵌库!$C$4:$M$4,0),-1)),0)</f>
        <v>0</v>
      </c>
      <c r="P11" s="160">
        <f>IFERROR(INDEX(镶嵌库!$C$5:$M$13,基础面板属性!$D11+1,IF(LEFT(基础面板属性!$C11,2)&amp;"值"=基础面板属性!P$1,MATCH(基础面板属性!$C11,镶嵌库!$C$4:$M$4,0),-1)),0)</f>
        <v>0</v>
      </c>
      <c r="Q11" s="160">
        <f>IFERROR(INDEX(镶嵌库!$C$5:$M$13,基础面板属性!$D11+1,IF(LEFT(基础面板属性!$C11,2)&amp;"值"=基础面板属性!Q$1,MATCH(基础面板属性!$C11,镶嵌库!$C$4:$M$4,0),-1)),0)</f>
        <v>0</v>
      </c>
      <c r="R11" s="160">
        <f>IFERROR(INDEX(镶嵌库!$C$5:$M$13,基础面板属性!$D11+1,IF(LEFT(基础面板属性!$C11,2)&amp;"值"=基础面板属性!R$1,MATCH(基础面板属性!$C11,镶嵌库!$C$4:$M$4,0),-1)),0)</f>
        <v>0</v>
      </c>
      <c r="S11" s="160">
        <f>IFERROR(INDEX(镶嵌库!$C$5:$M$13,基础面板属性!$D11+1,IF(LEFT(基础面板属性!$C11,2)&amp;"值"=基础面板属性!S$1,MATCH(基础面板属性!$C11,镶嵌库!$C$4:$M$4,0),-1)),0)</f>
        <v>0</v>
      </c>
      <c r="T11" s="160">
        <f>IFERROR(INDEX(镶嵌库!$C$5:$M$13,基础面板属性!$D11+1,IF(LEFT(基础面板属性!$C11,2)&amp;"值"=基础面板属性!T$1,MATCH(基础面板属性!$C11,镶嵌库!$C$4:$M$4,0),-1)),0)</f>
        <v>0</v>
      </c>
      <c r="U11" s="160">
        <f>IFERROR(INDEX(镶嵌库!$C$5:$M$13,基础面板属性!$D11+1,IF(LEFT(基础面板属性!$C11,2)&amp;"值"=基础面板属性!U$1,MATCH(基础面板属性!$C11,镶嵌库!$C$4:$M$4,0),-1)),0)</f>
        <v>0</v>
      </c>
      <c r="V11" s="160">
        <f>IFERROR(INDEX(镶嵌库!$C$5:$M$13,基础面板属性!$D11+1,IF(LEFT(基础面板属性!$C11,2)&amp;"值"=基础面板属性!V$1,MATCH(基础面板属性!$C11,镶嵌库!$C$4:$M$4,0),-1)),0)</f>
        <v>0</v>
      </c>
      <c r="W11" s="160">
        <f>IFERROR(INDEX(镶嵌库!$C$5:$M$13,基础面板属性!$D11+1,IF(LEFT(基础面板属性!$C11,2)&amp;"值"=基础面板属性!W$1,MATCH(基础面板属性!$C11,镶嵌库!$C$4:$M$4,0),-1)),0)</f>
        <v>0</v>
      </c>
      <c r="X11" s="160">
        <f>IFERROR(INDEX(镶嵌库!$C$5:$M$13,基础面板属性!$D11+1,IF(LEFT(基础面板属性!$C11,2)&amp;"值"=基础面板属性!X$1,MATCH(基础面板属性!$C11,镶嵌库!$C$4:$M$4,0),-1)),0)</f>
        <v>0</v>
      </c>
      <c r="Y11" s="160">
        <f>IFERROR(INDEX(镶嵌库!$C$5:$M$13,基础面板属性!$D11+1,IF(LEFT(基础面板属性!$C11,2)&amp;"值"=基础面板属性!Y$1,MATCH(基础面板属性!$C11,镶嵌库!$C$4:$M$4,0),-1)),0)</f>
        <v>0</v>
      </c>
      <c r="Z11" s="160">
        <f>IFERROR(INDEX(镶嵌库!$C$5:$M$13,基础面板属性!$D11+1,IF(LEFT(基础面板属性!$C11,2)&amp;"值"=基础面板属性!Z$1,MATCH(基础面板属性!$C11,镶嵌库!$C$4:$M$4,0),-1)),0)</f>
        <v>1317</v>
      </c>
      <c r="AA11" s="160">
        <f>IFERROR(INDEX(镶嵌库!$C$5:$M$13,基础面板属性!$D11+1,IF(LEFT(基础面板属性!$C11,2)&amp;"值"=基础面板属性!AA$1,MATCH(基础面板属性!$C11,镶嵌库!$C$4:$M$4,0),-1)),0)</f>
        <v>0</v>
      </c>
      <c r="AB11" s="160">
        <f>IFERROR(INDEX(镶嵌库!$C$5:$M$13,基础面板属性!$D11+1,IF(LEFT(基础面板属性!$C11,2)&amp;"值"=基础面板属性!AB$1,MATCH(基础面板属性!$C11,镶嵌库!$C$4:$M$4,0),-1)),0)</f>
        <v>0</v>
      </c>
      <c r="AC11" s="160">
        <f>IFERROR(INDEX(镶嵌库!$C$5:$M$13,基础面板属性!$D11+1,IF(LEFT(基础面板属性!$C11,2)&amp;"值"=基础面板属性!AC$1,MATCH(基础面板属性!$C11,镶嵌库!$C$4:$M$4,0),-1)),0)</f>
        <v>0</v>
      </c>
      <c r="AD11" s="160">
        <f>IFERROR(INDEX(镶嵌库!$C$5:$M$13,基础面板属性!$D11+1,IF(LEFT(基础面板属性!$C11,2)&amp;"值"=基础面板属性!AD$1,MATCH(基础面板属性!$C11,镶嵌库!$C$4:$M$4,0),-1)),0)</f>
        <v>0</v>
      </c>
      <c r="AE11" s="160">
        <f>IFERROR(INDEX(镶嵌库!$C$5:$M$13,基础面板属性!$D11+1,IF(LEFT(基础面板属性!$C11,2)&amp;"值"=基础面板属性!AE$1,MATCH(基础面板属性!$C11,镶嵌库!$C$4:$M$4,0),-1)),0)</f>
        <v>0</v>
      </c>
      <c r="AF11" s="160">
        <f>IFERROR(INDEX(镶嵌库!$C$5:$M$13,基础面板属性!$D11+1,IF(LEFT(基础面板属性!$C11,2)&amp;"值"=基础面板属性!AF$1,MATCH(基础面板属性!$C11,镶嵌库!$C$4:$M$4,0),-1)),0)</f>
        <v>0</v>
      </c>
      <c r="AG11" s="160">
        <f>IFERROR(INDEX(镶嵌库!$C$5:$M$13,基础面板属性!$D11+1,IF(LEFT(基础面板属性!$C11,2)&amp;"值"=基础面板属性!AG$1,MATCH(基础面板属性!$C11,镶嵌库!$C$4:$M$4,0),-1)),0)</f>
        <v>0</v>
      </c>
      <c r="AH11" s="160">
        <f>IFERROR(INDEX(镶嵌库!$C$5:$M$13,基础面板属性!$D11+1,IF(LEFT(基础面板属性!$C11,2)&amp;"值"=基础面板属性!AH$1,MATCH(基础面板属性!$C11,镶嵌库!$C$4:$M$4,0),-1)),0)</f>
        <v>0</v>
      </c>
      <c r="AI11" s="160">
        <f>IFERROR(INDEX(镶嵌库!$C$5:$M$13,基础面板属性!$D11+1,IF(LEFT(基础面板属性!$C11,2)&amp;"值"=基础面板属性!AI$1,MATCH(基础面板属性!$C11,镶嵌库!$C$4:$M$4,0),-1)),0)</f>
        <v>0</v>
      </c>
      <c r="AJ11" s="160">
        <f>IFERROR(INDEX(镶嵌库!$C$5:$M$13,基础面板属性!$D11+1,IF(LEFT(基础面板属性!$C11,2)&amp;"值"=基础面板属性!AJ$1,MATCH(基础面板属性!$C11,镶嵌库!$C$4:$M$4,0),-1)),0)</f>
        <v>0</v>
      </c>
      <c r="AK11" s="160">
        <f>IFERROR(INDEX(镶嵌库!$C$5:$M$13,基础面板属性!$D11+1,IF(LEFT(基础面板属性!$C11,2)&amp;"值"=基础面板属性!AK$1,MATCH(基础面板属性!$C11,镶嵌库!$C$4:$M$4,0),-1)),0)</f>
        <v>0</v>
      </c>
      <c r="AL11" s="160">
        <f>IFERROR(INDEX(镶嵌库!$C$5:$M$13,基础面板属性!$D11+1,IF(LEFT(基础面板属性!$C11,2)&amp;"值"=基础面板属性!AL$1,MATCH(基础面板属性!$C11,镶嵌库!$C$4:$M$4,0),-1)),0)</f>
        <v>0</v>
      </c>
      <c r="AM11" s="160">
        <f>IFERROR(INDEX(镶嵌库!$C$5:$M$13,基础面板属性!$D11+1,IF(LEFT(基础面板属性!$C11,2)&amp;"值"=基础面板属性!AM$1,MATCH(基础面板属性!$C11,镶嵌库!$C$4:$M$4,0),-1)),0)</f>
        <v>0</v>
      </c>
      <c r="AN11" s="160">
        <f>IFERROR(INDEX(镶嵌库!$C$5:$M$13,基础面板属性!$D11+1,IF(LEFT(基础面板属性!$C11,2)&amp;"值"=基础面板属性!AN$1,MATCH(基础面板属性!$C11,镶嵌库!$C$4:$M$4,0),-1)),0)</f>
        <v>0</v>
      </c>
      <c r="AO11" s="160">
        <f>IFERROR(INDEX(镶嵌库!$C$5:$M$13,基础面板属性!$D11+1,IF(LEFT(基础面板属性!$C11,2)&amp;"值"=基础面板属性!AO$1,MATCH(基础面板属性!$C11,镶嵌库!$C$4:$M$4,0),-1)),0)</f>
        <v>0</v>
      </c>
      <c r="AP11" s="160">
        <f>IFERROR(INDEX(镶嵌库!$C$5:$M$13,基础面板属性!$D11+1,IF(LEFT(基础面板属性!$C11,2)&amp;"值"=基础面板属性!AP$1,MATCH(基础面板属性!$C11,镶嵌库!$C$4:$M$4,0),-1)),0)</f>
        <v>0</v>
      </c>
      <c r="AU11" s="160">
        <f>IFERROR(INDEX(镶嵌库!$C$5:$M$13,基础面板属性!$D11+1,IF(LEFT(基础面板属性!$C11,2)&amp;"值"=基础面板属性!AU$1,MATCH(基础面板属性!$C11,镶嵌库!$C$4:$M$4,0),-1)),0)</f>
        <v>0</v>
      </c>
      <c r="AV11" s="160">
        <f>IFERROR(INDEX(镶嵌库!$C$5:$M$13,基础面板属性!$D11+1,IF(LEFT(基础面板属性!$C11,2)&amp;"值"=基础面板属性!AV$1,MATCH(基础面板属性!$C11,镶嵌库!$C$4:$M$4,0),-1)),0)</f>
        <v>0</v>
      </c>
      <c r="AW11" s="160">
        <f>IFERROR(INDEX(镶嵌库!$C$5:$M$13,基础面板属性!$D11+1,IF(LEFT(基础面板属性!$C11,2)&amp;"值"=基础面板属性!AW$1,MATCH(基础面板属性!$C11,镶嵌库!$C$4:$M$4,0),-1)),0)</f>
        <v>0</v>
      </c>
      <c r="AX11" s="160">
        <f>IFERROR(INDEX(镶嵌库!$C$5:$M$13,基础面板属性!$D11+1,IF(LEFT(基础面板属性!$C11,2)&amp;"值"=基础面板属性!AX$1,MATCH(基础面板属性!$C11,镶嵌库!$C$4:$M$4,0),-1)),0)</f>
        <v>0</v>
      </c>
      <c r="AY11" s="160">
        <f>IFERROR(INDEX(镶嵌库!$C$5:$M$13,基础面板属性!$D11+1,IF(LEFT(基础面板属性!$C11,2)&amp;"值"=基础面板属性!AY$1,MATCH(基础面板属性!$C11,镶嵌库!$C$4:$M$4,0),-1)),0)</f>
        <v>0</v>
      </c>
      <c r="AZ11" s="160">
        <f>IFERROR(INDEX(镶嵌库!$C$5:$M$13,基础面板属性!$D11+1,IF(LEFT(基础面板属性!$C11,2)&amp;"值"=基础面板属性!AZ$1,MATCH(基础面板属性!$C11,镶嵌库!$C$4:$M$4,0),-1)),0)</f>
        <v>0</v>
      </c>
      <c r="BA11" s="160">
        <f>IFERROR(INDEX(镶嵌库!$C$5:$M$13,基础面板属性!$D11+1,IF(LEFT(基础面板属性!$C11,2)&amp;"值"=基础面板属性!BA$1,MATCH(基础面板属性!$C11,镶嵌库!$C$4:$M$4,0),-1)),0)</f>
        <v>0</v>
      </c>
      <c r="BB11" s="160">
        <f>IFERROR(INDEX(镶嵌库!$C$5:$M$13,基础面板属性!$D11+1,IF(LEFT(基础面板属性!$C11,2)&amp;"值"=基础面板属性!BB$1,MATCH(基础面板属性!$C11,镶嵌库!$C$4:$M$4,0),-1)),0)</f>
        <v>0</v>
      </c>
      <c r="BC11" s="160">
        <f>IFERROR(INDEX(镶嵌库!$C$5:$M$13,基础面板属性!$D11+1,IF(LEFT(基础面板属性!$C11,2)&amp;"值"=基础面板属性!BC$1,MATCH(基础面板属性!$C11,镶嵌库!$C$4:$M$4,0),-1)),0)</f>
        <v>0</v>
      </c>
      <c r="BD11" s="160">
        <f>IFERROR(INDEX(镶嵌库!$C$5:$M$13,基础面板属性!$D11+1,IF(LEFT(基础面板属性!$C11,2)&amp;"值"=基础面板属性!BD$1,MATCH(基础面板属性!$C11,镶嵌库!$C$4:$M$4,0),-1)),0)</f>
        <v>0</v>
      </c>
    </row>
    <row r="12" spans="1:60">
      <c r="A12" s="160" t="str">
        <f>A9</f>
        <v>衣服</v>
      </c>
      <c r="B12" s="160" t="s">
        <v>2057</v>
      </c>
      <c r="C12" s="160" t="str">
        <f>IF(附魔库!$W$6="气血","基础气血值",附魔库!$W$6&amp;"值")</f>
        <v>无双值</v>
      </c>
      <c r="D12" s="160">
        <f>附魔库!X6</f>
        <v>978</v>
      </c>
      <c r="E12" s="160">
        <f>IF(OR($C12=E$1,$C12&amp;"大"=E$1,$C12&amp;"小"=E$1),$D12,0)</f>
        <v>0</v>
      </c>
      <c r="F12" s="160">
        <f t="shared" ref="F12:BD12" si="1">IF(OR($C12=F$1,$C12&amp;"大"=F$1,$C12&amp;"小"=F$1),$D12,0)</f>
        <v>0</v>
      </c>
      <c r="G12" s="160">
        <f t="shared" si="1"/>
        <v>0</v>
      </c>
      <c r="H12" s="160">
        <f t="shared" si="1"/>
        <v>0</v>
      </c>
      <c r="I12" s="160">
        <f t="shared" si="1"/>
        <v>0</v>
      </c>
      <c r="J12" s="160">
        <f t="shared" si="1"/>
        <v>0</v>
      </c>
      <c r="K12" s="160">
        <f t="shared" si="1"/>
        <v>0</v>
      </c>
      <c r="L12" s="160">
        <f t="shared" si="1"/>
        <v>0</v>
      </c>
      <c r="M12" s="160">
        <f t="shared" si="1"/>
        <v>0</v>
      </c>
      <c r="N12" s="160">
        <f t="shared" si="1"/>
        <v>0</v>
      </c>
      <c r="O12" s="160">
        <f t="shared" si="1"/>
        <v>0</v>
      </c>
      <c r="P12" s="160">
        <f t="shared" si="1"/>
        <v>0</v>
      </c>
      <c r="Q12" s="160">
        <f t="shared" si="1"/>
        <v>0</v>
      </c>
      <c r="R12" s="160">
        <f t="shared" si="1"/>
        <v>0</v>
      </c>
      <c r="S12" s="160">
        <f t="shared" si="1"/>
        <v>0</v>
      </c>
      <c r="T12" s="160">
        <f t="shared" si="1"/>
        <v>0</v>
      </c>
      <c r="U12" s="160">
        <f t="shared" si="1"/>
        <v>0</v>
      </c>
      <c r="V12" s="160">
        <f t="shared" si="1"/>
        <v>0</v>
      </c>
      <c r="W12" s="160">
        <f t="shared" si="1"/>
        <v>0</v>
      </c>
      <c r="X12" s="160">
        <f t="shared" si="1"/>
        <v>0</v>
      </c>
      <c r="Y12" s="160">
        <f t="shared" si="1"/>
        <v>0</v>
      </c>
      <c r="Z12" s="160">
        <f t="shared" si="1"/>
        <v>0</v>
      </c>
      <c r="AA12" s="160">
        <f t="shared" si="1"/>
        <v>0</v>
      </c>
      <c r="AB12" s="160">
        <f t="shared" si="1"/>
        <v>0</v>
      </c>
      <c r="AC12" s="160">
        <f t="shared" si="1"/>
        <v>0</v>
      </c>
      <c r="AD12" s="160">
        <f t="shared" si="1"/>
        <v>0</v>
      </c>
      <c r="AE12" s="160">
        <f t="shared" si="1"/>
        <v>0</v>
      </c>
      <c r="AF12" s="160">
        <f t="shared" si="1"/>
        <v>0</v>
      </c>
      <c r="AG12" s="160">
        <f t="shared" si="1"/>
        <v>0</v>
      </c>
      <c r="AH12" s="160">
        <f t="shared" si="1"/>
        <v>0</v>
      </c>
      <c r="AI12" s="160">
        <f t="shared" si="1"/>
        <v>0</v>
      </c>
      <c r="AJ12" s="160">
        <f t="shared" si="1"/>
        <v>0</v>
      </c>
      <c r="AK12" s="160">
        <f t="shared" si="1"/>
        <v>978</v>
      </c>
      <c r="AL12" s="160">
        <f t="shared" si="1"/>
        <v>0</v>
      </c>
      <c r="AM12" s="160">
        <f t="shared" si="1"/>
        <v>0</v>
      </c>
      <c r="AN12" s="160">
        <f t="shared" si="1"/>
        <v>0</v>
      </c>
      <c r="AO12" s="160">
        <f t="shared" si="1"/>
        <v>0</v>
      </c>
      <c r="AP12" s="160">
        <f t="shared" si="1"/>
        <v>0</v>
      </c>
      <c r="AU12" s="160">
        <f t="shared" si="1"/>
        <v>0</v>
      </c>
      <c r="AV12" s="160">
        <f t="shared" si="1"/>
        <v>0</v>
      </c>
      <c r="AW12" s="160">
        <f t="shared" si="1"/>
        <v>0</v>
      </c>
      <c r="AX12" s="160">
        <f t="shared" si="1"/>
        <v>0</v>
      </c>
      <c r="AY12" s="160">
        <f t="shared" si="1"/>
        <v>0</v>
      </c>
      <c r="AZ12" s="160">
        <f t="shared" si="1"/>
        <v>0</v>
      </c>
      <c r="BA12" s="160">
        <f t="shared" si="1"/>
        <v>0</v>
      </c>
      <c r="BB12" s="160">
        <f t="shared" si="1"/>
        <v>0</v>
      </c>
      <c r="BC12" s="160">
        <f t="shared" si="1"/>
        <v>0</v>
      </c>
      <c r="BD12" s="160">
        <f t="shared" si="1"/>
        <v>0</v>
      </c>
    </row>
    <row r="13" spans="1:60">
      <c r="A13" s="160" t="str">
        <f>A9</f>
        <v>衣服</v>
      </c>
      <c r="B13" s="160" t="s">
        <v>2058</v>
      </c>
    </row>
    <row r="14" spans="1:60">
      <c r="A14" s="160" t="s">
        <v>1471</v>
      </c>
      <c r="B14" s="160" t="s">
        <v>2059</v>
      </c>
      <c r="C14" s="160" t="str">
        <f>配装计算器!C12</f>
        <v>凌月游(41400特效精简破无)</v>
      </c>
      <c r="E14" s="160">
        <f>装备选择!AV4</f>
        <v>17103</v>
      </c>
      <c r="M14" s="160">
        <f>装备选择!AW4</f>
        <v>0</v>
      </c>
      <c r="S14" s="160">
        <f>装备选择!AY4</f>
        <v>2112</v>
      </c>
      <c r="W14" s="160">
        <f>装备选择!AZ4</f>
        <v>0</v>
      </c>
      <c r="Z14" s="160">
        <f>装备选择!BA4</f>
        <v>0</v>
      </c>
      <c r="AC14" s="160">
        <f>装备选择!BB4</f>
        <v>30319</v>
      </c>
      <c r="AG14" s="160">
        <f>装备选择!BF4</f>
        <v>0</v>
      </c>
      <c r="AH14" s="160">
        <f>装备选择!BC4</f>
        <v>0</v>
      </c>
      <c r="AK14" s="160">
        <f>装备选择!BD4</f>
        <v>9329</v>
      </c>
      <c r="AP14" s="160">
        <f>装备选择!BE4</f>
        <v>0</v>
      </c>
      <c r="AU14" s="160">
        <f>装备选择!BH4</f>
        <v>0</v>
      </c>
      <c r="AV14" s="160">
        <f>装备选择!BI4</f>
        <v>0</v>
      </c>
    </row>
    <row r="15" spans="1:60">
      <c r="A15" s="160" t="str">
        <f>A14</f>
        <v>腰带</v>
      </c>
      <c r="B15" s="160" t="s">
        <v>2060</v>
      </c>
      <c r="C15" s="160" t="str">
        <f>配装计算器!B14</f>
        <v>破防孔</v>
      </c>
      <c r="D15" s="160">
        <f>IF(C15="",0,IF(配装计算器!$K$32&lt;&gt;"不使用",镶嵌库!$Y$17,IFERROR(1*(LEFT(配装计算器!C14,1)),0)))</f>
        <v>8</v>
      </c>
      <c r="E15" s="160">
        <f>IFERROR(INDEX(镶嵌库!$C$5:$M$13,基础面板属性!$D15+1,IF(LEFT(基础面板属性!$C15,2)&amp;"值"=基础面板属性!E$1,MATCH(基础面板属性!$C15,镶嵌库!$C$4:$M$4,0),-1)),0)</f>
        <v>0</v>
      </c>
      <c r="F15" s="160">
        <f>IFERROR(INDEX(镶嵌库!$C$5:$M$13,基础面板属性!$D15+1,IF(LEFT(基础面板属性!$C15,2)&amp;"值"=基础面板属性!F$1,MATCH(基础面板属性!$C15,镶嵌库!$C$4:$M$4,0),-1)),0)</f>
        <v>0</v>
      </c>
      <c r="G15" s="160">
        <f>IFERROR(INDEX(镶嵌库!$C$5:$M$13,基础面板属性!$D15+1,IF(LEFT(基础面板属性!$C15,2)&amp;"值"=基础面板属性!G$1,MATCH(基础面板属性!$C15,镶嵌库!$C$4:$M$4,0),-1)),0)</f>
        <v>0</v>
      </c>
      <c r="H15" s="160">
        <f>IFERROR(INDEX(镶嵌库!$C$5:$M$13,基础面板属性!$D15+1,IF(LEFT(基础面板属性!$C15,2)&amp;"值"=基础面板属性!H$1,MATCH(基础面板属性!$C15,镶嵌库!$C$4:$M$4,0),-1)),0)</f>
        <v>0</v>
      </c>
      <c r="I15" s="160">
        <f>IFERROR(INDEX(镶嵌库!$C$5:$M$13,基础面板属性!$D15+1,IF(LEFT(基础面板属性!$C15,2)&amp;"值"=基础面板属性!I$1,MATCH(基础面板属性!$C15,镶嵌库!$C$4:$M$4,0),-1)),0)</f>
        <v>0</v>
      </c>
      <c r="J15" s="160">
        <f>IFERROR(INDEX(镶嵌库!$C$5:$M$13,基础面板属性!$D15+1,IF(LEFT(基础面板属性!$C15,2)&amp;"值"=基础面板属性!J$1,MATCH(基础面板属性!$C15,镶嵌库!$C$4:$M$4,0),-1)),0)</f>
        <v>0</v>
      </c>
      <c r="K15" s="160">
        <f>IFERROR(INDEX(镶嵌库!$C$5:$M$13,基础面板属性!$D15+1,IF(LEFT(基础面板属性!$C15,2)&amp;"值"=基础面板属性!K$1,MATCH(基础面板属性!$C15,镶嵌库!$C$4:$M$4,0),-1)),0)</f>
        <v>0</v>
      </c>
      <c r="L15" s="160">
        <f>IFERROR(INDEX(镶嵌库!$C$5:$M$13,基础面板属性!$D15+1,IF(LEFT(基础面板属性!$C15,2)&amp;"值"=基础面板属性!L$1,MATCH(基础面板属性!$C15,镶嵌库!$C$4:$M$4,0),-1)),0)</f>
        <v>0</v>
      </c>
      <c r="M15" s="160">
        <f>IFERROR(INDEX(镶嵌库!$C$5:$M$13,基础面板属性!$D15+1,IF(LEFT(基础面板属性!$C15,2)&amp;"值"=基础面板属性!M$1,MATCH(基础面板属性!$C15,镶嵌库!$C$4:$M$4,0),-1)),0)</f>
        <v>0</v>
      </c>
      <c r="N15" s="160">
        <f>IFERROR(INDEX(镶嵌库!$C$5:$M$13,基础面板属性!$D15+1,IF(LEFT(基础面板属性!$C15,2)&amp;"值"=基础面板属性!N$1,MATCH(基础面板属性!$C15,镶嵌库!$C$4:$M$4,0),-1)),0)</f>
        <v>0</v>
      </c>
      <c r="O15" s="160">
        <f>IFERROR(INDEX(镶嵌库!$C$5:$M$13,基础面板属性!$D15+1,IF(LEFT(基础面板属性!$C15,2)&amp;"值"=基础面板属性!O$1,MATCH(基础面板属性!$C15,镶嵌库!$C$4:$M$4,0),-1)),0)</f>
        <v>0</v>
      </c>
      <c r="P15" s="160">
        <f>IFERROR(INDEX(镶嵌库!$C$5:$M$13,基础面板属性!$D15+1,IF(LEFT(基础面板属性!$C15,2)&amp;"值"=基础面板属性!P$1,MATCH(基础面板属性!$C15,镶嵌库!$C$4:$M$4,0),-1)),0)</f>
        <v>0</v>
      </c>
      <c r="Q15" s="160">
        <f>IFERROR(INDEX(镶嵌库!$C$5:$M$13,基础面板属性!$D15+1,IF(LEFT(基础面板属性!$C15,2)&amp;"值"=基础面板属性!Q$1,MATCH(基础面板属性!$C15,镶嵌库!$C$4:$M$4,0),-1)),0)</f>
        <v>0</v>
      </c>
      <c r="R15" s="160">
        <f>IFERROR(INDEX(镶嵌库!$C$5:$M$13,基础面板属性!$D15+1,IF(LEFT(基础面板属性!$C15,2)&amp;"值"=基础面板属性!R$1,MATCH(基础面板属性!$C15,镶嵌库!$C$4:$M$4,0),-1)),0)</f>
        <v>0</v>
      </c>
      <c r="S15" s="160">
        <f>IFERROR(INDEX(镶嵌库!$C$5:$M$13,基础面板属性!$D15+1,IF(LEFT(基础面板属性!$C15,2)&amp;"值"=基础面板属性!S$1,MATCH(基础面板属性!$C15,镶嵌库!$C$4:$M$4,0),-1)),0)</f>
        <v>0</v>
      </c>
      <c r="T15" s="160">
        <f>IFERROR(INDEX(镶嵌库!$C$5:$M$13,基础面板属性!$D15+1,IF(LEFT(基础面板属性!$C15,2)&amp;"值"=基础面板属性!T$1,MATCH(基础面板属性!$C15,镶嵌库!$C$4:$M$4,0),-1)),0)</f>
        <v>0</v>
      </c>
      <c r="U15" s="160">
        <f>IFERROR(INDEX(镶嵌库!$C$5:$M$13,基础面板属性!$D15+1,IF(LEFT(基础面板属性!$C15,2)&amp;"值"=基础面板属性!U$1,MATCH(基础面板属性!$C15,镶嵌库!$C$4:$M$4,0),-1)),0)</f>
        <v>0</v>
      </c>
      <c r="V15" s="160">
        <f>IFERROR(INDEX(镶嵌库!$C$5:$M$13,基础面板属性!$D15+1,IF(LEFT(基础面板属性!$C15,2)&amp;"值"=基础面板属性!V$1,MATCH(基础面板属性!$C15,镶嵌库!$C$4:$M$4,0),-1)),0)</f>
        <v>0</v>
      </c>
      <c r="W15" s="160">
        <f>IFERROR(INDEX(镶嵌库!$C$5:$M$13,基础面板属性!$D15+1,IF(LEFT(基础面板属性!$C15,2)&amp;"值"=基础面板属性!W$1,MATCH(基础面板属性!$C15,镶嵌库!$C$4:$M$4,0),-1)),0)</f>
        <v>0</v>
      </c>
      <c r="X15" s="160">
        <f>IFERROR(INDEX(镶嵌库!$C$5:$M$13,基础面板属性!$D15+1,IF(LEFT(基础面板属性!$C15,2)&amp;"值"=基础面板属性!X$1,MATCH(基础面板属性!$C15,镶嵌库!$C$4:$M$4,0),-1)),0)</f>
        <v>0</v>
      </c>
      <c r="Y15" s="160">
        <f>IFERROR(INDEX(镶嵌库!$C$5:$M$13,基础面板属性!$D15+1,IF(LEFT(基础面板属性!$C15,2)&amp;"值"=基础面板属性!Y$1,MATCH(基础面板属性!$C15,镶嵌库!$C$4:$M$4,0),-1)),0)</f>
        <v>0</v>
      </c>
      <c r="Z15" s="160">
        <f>IFERROR(INDEX(镶嵌库!$C$5:$M$13,基础面板属性!$D15+1,IF(LEFT(基础面板属性!$C15,2)&amp;"值"=基础面板属性!Z$1,MATCH(基础面板属性!$C15,镶嵌库!$C$4:$M$4,0),-1)),0)</f>
        <v>0</v>
      </c>
      <c r="AA15" s="160">
        <f>IFERROR(INDEX(镶嵌库!$C$5:$M$13,基础面板属性!$D15+1,IF(LEFT(基础面板属性!$C15,2)&amp;"值"=基础面板属性!AA$1,MATCH(基础面板属性!$C15,镶嵌库!$C$4:$M$4,0),-1)),0)</f>
        <v>0</v>
      </c>
      <c r="AB15" s="160">
        <f>IFERROR(INDEX(镶嵌库!$C$5:$M$13,基础面板属性!$D15+1,IF(LEFT(基础面板属性!$C15,2)&amp;"值"=基础面板属性!AB$1,MATCH(基础面板属性!$C15,镶嵌库!$C$4:$M$4,0),-1)),0)</f>
        <v>0</v>
      </c>
      <c r="AC15" s="160">
        <f>IFERROR(INDEX(镶嵌库!$C$5:$M$13,基础面板属性!$D15+1,IF(LEFT(基础面板属性!$C15,2)&amp;"值"=基础面板属性!AC$1,MATCH(基础面板属性!$C15,镶嵌库!$C$4:$M$4,0),-1)),0)</f>
        <v>1317</v>
      </c>
      <c r="AD15" s="160">
        <f>IFERROR(INDEX(镶嵌库!$C$5:$M$13,基础面板属性!$D15+1,IF(LEFT(基础面板属性!$C15,2)&amp;"值"=基础面板属性!AD$1,MATCH(基础面板属性!$C15,镶嵌库!$C$4:$M$4,0),-1)),0)</f>
        <v>0</v>
      </c>
      <c r="AE15" s="160">
        <f>IFERROR(INDEX(镶嵌库!$C$5:$M$13,基础面板属性!$D15+1,IF(LEFT(基础面板属性!$C15,2)&amp;"值"=基础面板属性!AE$1,MATCH(基础面板属性!$C15,镶嵌库!$C$4:$M$4,0),-1)),0)</f>
        <v>0</v>
      </c>
      <c r="AF15" s="160">
        <f>IFERROR(INDEX(镶嵌库!$C$5:$M$13,基础面板属性!$D15+1,IF(LEFT(基础面板属性!$C15,2)&amp;"值"=基础面板属性!AF$1,MATCH(基础面板属性!$C15,镶嵌库!$C$4:$M$4,0),-1)),0)</f>
        <v>0</v>
      </c>
      <c r="AG15" s="160">
        <f>IFERROR(INDEX(镶嵌库!$C$5:$M$13,基础面板属性!$D15+1,IF(LEFT(基础面板属性!$C15,2)&amp;"值"=基础面板属性!AG$1,MATCH(基础面板属性!$C15,镶嵌库!$C$4:$M$4,0),-1)),0)</f>
        <v>0</v>
      </c>
      <c r="AH15" s="160">
        <f>IFERROR(INDEX(镶嵌库!$C$5:$M$13,基础面板属性!$D15+1,IF(LEFT(基础面板属性!$C15,2)&amp;"值"=基础面板属性!AH$1,MATCH(基础面板属性!$C15,镶嵌库!$C$4:$M$4,0),-1)),0)</f>
        <v>0</v>
      </c>
      <c r="AI15" s="160">
        <f>IFERROR(INDEX(镶嵌库!$C$5:$M$13,基础面板属性!$D15+1,IF(LEFT(基础面板属性!$C15,2)&amp;"值"=基础面板属性!AI$1,MATCH(基础面板属性!$C15,镶嵌库!$C$4:$M$4,0),-1)),0)</f>
        <v>0</v>
      </c>
      <c r="AJ15" s="160">
        <f>IFERROR(INDEX(镶嵌库!$C$5:$M$13,基础面板属性!$D15+1,IF(LEFT(基础面板属性!$C15,2)&amp;"值"=基础面板属性!AJ$1,MATCH(基础面板属性!$C15,镶嵌库!$C$4:$M$4,0),-1)),0)</f>
        <v>0</v>
      </c>
      <c r="AK15" s="160">
        <f>IFERROR(INDEX(镶嵌库!$C$5:$M$13,基础面板属性!$D15+1,IF(LEFT(基础面板属性!$C15,2)&amp;"值"=基础面板属性!AK$1,MATCH(基础面板属性!$C15,镶嵌库!$C$4:$M$4,0),-1)),0)</f>
        <v>0</v>
      </c>
      <c r="AL15" s="160">
        <f>IFERROR(INDEX(镶嵌库!$C$5:$M$13,基础面板属性!$D15+1,IF(LEFT(基础面板属性!$C15,2)&amp;"值"=基础面板属性!AL$1,MATCH(基础面板属性!$C15,镶嵌库!$C$4:$M$4,0),-1)),0)</f>
        <v>0</v>
      </c>
      <c r="AM15" s="160">
        <f>IFERROR(INDEX(镶嵌库!$C$5:$M$13,基础面板属性!$D15+1,IF(LEFT(基础面板属性!$C15,2)&amp;"值"=基础面板属性!AM$1,MATCH(基础面板属性!$C15,镶嵌库!$C$4:$M$4,0),-1)),0)</f>
        <v>0</v>
      </c>
      <c r="AN15" s="160">
        <f>IFERROR(INDEX(镶嵌库!$C$5:$M$13,基础面板属性!$D15+1,IF(LEFT(基础面板属性!$C15,2)&amp;"值"=基础面板属性!AN$1,MATCH(基础面板属性!$C15,镶嵌库!$C$4:$M$4,0),-1)),0)</f>
        <v>0</v>
      </c>
      <c r="AO15" s="160">
        <f>IFERROR(INDEX(镶嵌库!$C$5:$M$13,基础面板属性!$D15+1,IF(LEFT(基础面板属性!$C15,2)&amp;"值"=基础面板属性!AO$1,MATCH(基础面板属性!$C15,镶嵌库!$C$4:$M$4,0),-1)),0)</f>
        <v>0</v>
      </c>
      <c r="AP15" s="160">
        <f>IFERROR(INDEX(镶嵌库!$C$5:$M$13,基础面板属性!$D15+1,IF(LEFT(基础面板属性!$C15,2)&amp;"值"=基础面板属性!AP$1,MATCH(基础面板属性!$C15,镶嵌库!$C$4:$M$4,0),-1)),0)</f>
        <v>0</v>
      </c>
      <c r="AU15" s="160">
        <f>IFERROR(INDEX(镶嵌库!$C$5:$M$13,基础面板属性!$D15+1,IF(LEFT(基础面板属性!$C15,2)&amp;"值"=基础面板属性!AU$1,MATCH(基础面板属性!$C15,镶嵌库!$C$4:$M$4,0),-1)),0)</f>
        <v>0</v>
      </c>
      <c r="AV15" s="160">
        <f>IFERROR(INDEX(镶嵌库!$C$5:$M$13,基础面板属性!$D15+1,IF(LEFT(基础面板属性!$C15,2)&amp;"值"=基础面板属性!AV$1,MATCH(基础面板属性!$C15,镶嵌库!$C$4:$M$4,0),-1)),0)</f>
        <v>0</v>
      </c>
      <c r="AW15" s="160">
        <f>IFERROR(INDEX(镶嵌库!$C$5:$M$13,基础面板属性!$D15+1,IF(LEFT(基础面板属性!$C15,2)&amp;"值"=基础面板属性!AW$1,MATCH(基础面板属性!$C15,镶嵌库!$C$4:$M$4,0),-1)),0)</f>
        <v>0</v>
      </c>
      <c r="AX15" s="160">
        <f>IFERROR(INDEX(镶嵌库!$C$5:$M$13,基础面板属性!$D15+1,IF(LEFT(基础面板属性!$C15,2)&amp;"值"=基础面板属性!AX$1,MATCH(基础面板属性!$C15,镶嵌库!$C$4:$M$4,0),-1)),0)</f>
        <v>0</v>
      </c>
      <c r="AY15" s="160">
        <f>IFERROR(INDEX(镶嵌库!$C$5:$M$13,基础面板属性!$D15+1,IF(LEFT(基础面板属性!$C15,2)&amp;"值"=基础面板属性!AY$1,MATCH(基础面板属性!$C15,镶嵌库!$C$4:$M$4,0),-1)),0)</f>
        <v>0</v>
      </c>
      <c r="AZ15" s="160">
        <f>IFERROR(INDEX(镶嵌库!$C$5:$M$13,基础面板属性!$D15+1,IF(LEFT(基础面板属性!$C15,2)&amp;"值"=基础面板属性!AZ$1,MATCH(基础面板属性!$C15,镶嵌库!$C$4:$M$4,0),-1)),0)</f>
        <v>0</v>
      </c>
      <c r="BA15" s="160">
        <f>IFERROR(INDEX(镶嵌库!$C$5:$M$13,基础面板属性!$D15+1,IF(LEFT(基础面板属性!$C15,2)&amp;"值"=基础面板属性!BA$1,MATCH(基础面板属性!$C15,镶嵌库!$C$4:$M$4,0),-1)),0)</f>
        <v>0</v>
      </c>
      <c r="BB15" s="160">
        <f>IFERROR(INDEX(镶嵌库!$C$5:$M$13,基础面板属性!$D15+1,IF(LEFT(基础面板属性!$C15,2)&amp;"值"=基础面板属性!BB$1,MATCH(基础面板属性!$C15,镶嵌库!$C$4:$M$4,0),-1)),0)</f>
        <v>0</v>
      </c>
      <c r="BC15" s="160">
        <f>IFERROR(INDEX(镶嵌库!$C$5:$M$13,基础面板属性!$D15+1,IF(LEFT(基础面板属性!$C15,2)&amp;"值"=基础面板属性!BC$1,MATCH(基础面板属性!$C15,镶嵌库!$C$4:$M$4,0),-1)),0)</f>
        <v>0</v>
      </c>
      <c r="BD15" s="160">
        <f>IFERROR(INDEX(镶嵌库!$C$5:$M$13,基础面板属性!$D15+1,IF(LEFT(基础面板属性!$C15,2)&amp;"值"=基础面板属性!BD$1,MATCH(基础面板属性!$C15,镶嵌库!$C$4:$M$4,0),-1)),0)</f>
        <v>0</v>
      </c>
    </row>
    <row r="16" spans="1:60">
      <c r="A16" s="160" t="str">
        <f>A14</f>
        <v>腰带</v>
      </c>
      <c r="B16" s="160" t="s">
        <v>2061</v>
      </c>
      <c r="C16" s="160" t="str">
        <f>配装计算器!B15</f>
        <v>攻击孔</v>
      </c>
      <c r="D16" s="160">
        <f>IF(C16="",0,IF(配装计算器!$K$32&lt;&gt;"不使用",镶嵌库!$Y$17,IFERROR(1*(LEFT(配装计算器!C15,1)),0)))</f>
        <v>8</v>
      </c>
      <c r="E16" s="160">
        <f>IFERROR(INDEX(镶嵌库!$C$5:$M$13,基础面板属性!$D16+1,IF(LEFT(基础面板属性!$C16,2)&amp;"值"=基础面板属性!E$1,MATCH(基础面板属性!$C16,镶嵌库!$C$4:$M$4,0),-1)),0)</f>
        <v>0</v>
      </c>
      <c r="F16" s="160">
        <f>IFERROR(INDEX(镶嵌库!$C$5:$M$13,基础面板属性!$D16+1,IF(LEFT(基础面板属性!$C16,2)&amp;"值"=基础面板属性!F$1,MATCH(基础面板属性!$C16,镶嵌库!$C$4:$M$4,0),-1)),0)</f>
        <v>0</v>
      </c>
      <c r="G16" s="160">
        <f>IFERROR(INDEX(镶嵌库!$C$5:$M$13,基础面板属性!$D16+1,IF(LEFT(基础面板属性!$C16,2)&amp;"值"=基础面板属性!G$1,MATCH(基础面板属性!$C16,镶嵌库!$C$4:$M$4,0),-1)),0)</f>
        <v>0</v>
      </c>
      <c r="H16" s="160">
        <f>IFERROR(INDEX(镶嵌库!$C$5:$M$13,基础面板属性!$D16+1,IF(LEFT(基础面板属性!$C16,2)&amp;"值"=基础面板属性!H$1,MATCH(基础面板属性!$C16,镶嵌库!$C$4:$M$4,0),-1)),0)</f>
        <v>0</v>
      </c>
      <c r="I16" s="160">
        <f>IFERROR(INDEX(镶嵌库!$C$5:$M$13,基础面板属性!$D16+1,IF(LEFT(基础面板属性!$C16,2)&amp;"值"=基础面板属性!I$1,MATCH(基础面板属性!$C16,镶嵌库!$C$4:$M$4,0),-1)),0)</f>
        <v>0</v>
      </c>
      <c r="J16" s="160">
        <f>IFERROR(INDEX(镶嵌库!$C$5:$M$13,基础面板属性!$D16+1,IF(LEFT(基础面板属性!$C16,2)&amp;"值"=基础面板属性!J$1,MATCH(基础面板属性!$C16,镶嵌库!$C$4:$M$4,0),-1)),0)</f>
        <v>0</v>
      </c>
      <c r="K16" s="160">
        <f>IFERROR(INDEX(镶嵌库!$C$5:$M$13,基础面板属性!$D16+1,IF(LEFT(基础面板属性!$C16,2)&amp;"值"=基础面板属性!K$1,MATCH(基础面板属性!$C16,镶嵌库!$C$4:$M$4,0),-1)),0)</f>
        <v>0</v>
      </c>
      <c r="L16" s="160">
        <f>IFERROR(INDEX(镶嵌库!$C$5:$M$13,基础面板属性!$D16+1,IF(LEFT(基础面板属性!$C16,2)&amp;"值"=基础面板属性!L$1,MATCH(基础面板属性!$C16,镶嵌库!$C$4:$M$4,0),-1)),0)</f>
        <v>0</v>
      </c>
      <c r="M16" s="160">
        <f>IFERROR(INDEX(镶嵌库!$C$5:$M$13,基础面板属性!$D16+1,IF(LEFT(基础面板属性!$C16,2)&amp;"值"=基础面板属性!M$1,MATCH(基础面板属性!$C16,镶嵌库!$C$4:$M$4,0),-1)),0)</f>
        <v>0</v>
      </c>
      <c r="N16" s="160">
        <f>IFERROR(INDEX(镶嵌库!$C$5:$M$13,基础面板属性!$D16+1,IF(LEFT(基础面板属性!$C16,2)&amp;"值"=基础面板属性!N$1,MATCH(基础面板属性!$C16,镶嵌库!$C$4:$M$4,0),-1)),0)</f>
        <v>0</v>
      </c>
      <c r="O16" s="160">
        <f>IFERROR(INDEX(镶嵌库!$C$5:$M$13,基础面板属性!$D16+1,IF(LEFT(基础面板属性!$C16,2)&amp;"值"=基础面板属性!O$1,MATCH(基础面板属性!$C16,镶嵌库!$C$4:$M$4,0),-1)),0)</f>
        <v>0</v>
      </c>
      <c r="P16" s="160">
        <f>IFERROR(INDEX(镶嵌库!$C$5:$M$13,基础面板属性!$D16+1,IF(LEFT(基础面板属性!$C16,2)&amp;"值"=基础面板属性!P$1,MATCH(基础面板属性!$C16,镶嵌库!$C$4:$M$4,0),-1)),0)</f>
        <v>0</v>
      </c>
      <c r="Q16" s="160">
        <f>IFERROR(INDEX(镶嵌库!$C$5:$M$13,基础面板属性!$D16+1,IF(LEFT(基础面板属性!$C16,2)&amp;"值"=基础面板属性!Q$1,MATCH(基础面板属性!$C16,镶嵌库!$C$4:$M$4,0),-1)),0)</f>
        <v>0</v>
      </c>
      <c r="R16" s="160">
        <f>IFERROR(INDEX(镶嵌库!$C$5:$M$13,基础面板属性!$D16+1,IF(LEFT(基础面板属性!$C16,2)&amp;"值"=基础面板属性!R$1,MATCH(基础面板属性!$C16,镶嵌库!$C$4:$M$4,0),-1)),0)</f>
        <v>0</v>
      </c>
      <c r="S16" s="160">
        <f>IFERROR(INDEX(镶嵌库!$C$5:$M$13,基础面板属性!$D16+1,IF(LEFT(基础面板属性!$C16,2)&amp;"值"=基础面板属性!S$1,MATCH(基础面板属性!$C16,镶嵌库!$C$4:$M$4,0),-1)),0)</f>
        <v>357</v>
      </c>
      <c r="T16" s="160">
        <f>IFERROR(INDEX(镶嵌库!$C$5:$M$13,基础面板属性!$D16+1,IF(LEFT(基础面板属性!$C16,2)&amp;"值"=基础面板属性!T$1,MATCH(基础面板属性!$C16,镶嵌库!$C$4:$M$4,0),-1)),0)</f>
        <v>0</v>
      </c>
      <c r="U16" s="160">
        <f>IFERROR(INDEX(镶嵌库!$C$5:$M$13,基础面板属性!$D16+1,IF(LEFT(基础面板属性!$C16,2)&amp;"值"=基础面板属性!U$1,MATCH(基础面板属性!$C16,镶嵌库!$C$4:$M$4,0),-1)),0)</f>
        <v>0</v>
      </c>
      <c r="V16" s="160">
        <f>IFERROR(INDEX(镶嵌库!$C$5:$M$13,基础面板属性!$D16+1,IF(LEFT(基础面板属性!$C16,2)&amp;"值"=基础面板属性!V$1,MATCH(基础面板属性!$C16,镶嵌库!$C$4:$M$4,0),-1)),0)</f>
        <v>0</v>
      </c>
      <c r="W16" s="160">
        <f>IFERROR(INDEX(镶嵌库!$C$5:$M$13,基础面板属性!$D16+1,IF(LEFT(基础面板属性!$C16,2)&amp;"值"=基础面板属性!W$1,MATCH(基础面板属性!$C16,镶嵌库!$C$4:$M$4,0),-1)),0)</f>
        <v>0</v>
      </c>
      <c r="X16" s="160">
        <f>IFERROR(INDEX(镶嵌库!$C$5:$M$13,基础面板属性!$D16+1,IF(LEFT(基础面板属性!$C16,2)&amp;"值"=基础面板属性!X$1,MATCH(基础面板属性!$C16,镶嵌库!$C$4:$M$4,0),-1)),0)</f>
        <v>0</v>
      </c>
      <c r="Y16" s="160">
        <f>IFERROR(INDEX(镶嵌库!$C$5:$M$13,基础面板属性!$D16+1,IF(LEFT(基础面板属性!$C16,2)&amp;"值"=基础面板属性!Y$1,MATCH(基础面板属性!$C16,镶嵌库!$C$4:$M$4,0),-1)),0)</f>
        <v>0</v>
      </c>
      <c r="Z16" s="160">
        <f>IFERROR(INDEX(镶嵌库!$C$5:$M$13,基础面板属性!$D16+1,IF(LEFT(基础面板属性!$C16,2)&amp;"值"=基础面板属性!Z$1,MATCH(基础面板属性!$C16,镶嵌库!$C$4:$M$4,0),-1)),0)</f>
        <v>0</v>
      </c>
      <c r="AA16" s="160">
        <f>IFERROR(INDEX(镶嵌库!$C$5:$M$13,基础面板属性!$D16+1,IF(LEFT(基础面板属性!$C16,2)&amp;"值"=基础面板属性!AA$1,MATCH(基础面板属性!$C16,镶嵌库!$C$4:$M$4,0),-1)),0)</f>
        <v>0</v>
      </c>
      <c r="AB16" s="160">
        <f>IFERROR(INDEX(镶嵌库!$C$5:$M$13,基础面板属性!$D16+1,IF(LEFT(基础面板属性!$C16,2)&amp;"值"=基础面板属性!AB$1,MATCH(基础面板属性!$C16,镶嵌库!$C$4:$M$4,0),-1)),0)</f>
        <v>0</v>
      </c>
      <c r="AC16" s="160">
        <f>IFERROR(INDEX(镶嵌库!$C$5:$M$13,基础面板属性!$D16+1,IF(LEFT(基础面板属性!$C16,2)&amp;"值"=基础面板属性!AC$1,MATCH(基础面板属性!$C16,镶嵌库!$C$4:$M$4,0),-1)),0)</f>
        <v>0</v>
      </c>
      <c r="AD16" s="160">
        <f>IFERROR(INDEX(镶嵌库!$C$5:$M$13,基础面板属性!$D16+1,IF(LEFT(基础面板属性!$C16,2)&amp;"值"=基础面板属性!AD$1,MATCH(基础面板属性!$C16,镶嵌库!$C$4:$M$4,0),-1)),0)</f>
        <v>0</v>
      </c>
      <c r="AE16" s="160">
        <f>IFERROR(INDEX(镶嵌库!$C$5:$M$13,基础面板属性!$D16+1,IF(LEFT(基础面板属性!$C16,2)&amp;"值"=基础面板属性!AE$1,MATCH(基础面板属性!$C16,镶嵌库!$C$4:$M$4,0),-1)),0)</f>
        <v>0</v>
      </c>
      <c r="AF16" s="160">
        <f>IFERROR(INDEX(镶嵌库!$C$5:$M$13,基础面板属性!$D16+1,IF(LEFT(基础面板属性!$C16,2)&amp;"值"=基础面板属性!AF$1,MATCH(基础面板属性!$C16,镶嵌库!$C$4:$M$4,0),-1)),0)</f>
        <v>0</v>
      </c>
      <c r="AG16" s="160">
        <f>IFERROR(INDEX(镶嵌库!$C$5:$M$13,基础面板属性!$D16+1,IF(LEFT(基础面板属性!$C16,2)&amp;"值"=基础面板属性!AG$1,MATCH(基础面板属性!$C16,镶嵌库!$C$4:$M$4,0),-1)),0)</f>
        <v>0</v>
      </c>
      <c r="AH16" s="160">
        <f>IFERROR(INDEX(镶嵌库!$C$5:$M$13,基础面板属性!$D16+1,IF(LEFT(基础面板属性!$C16,2)&amp;"值"=基础面板属性!AH$1,MATCH(基础面板属性!$C16,镶嵌库!$C$4:$M$4,0),-1)),0)</f>
        <v>0</v>
      </c>
      <c r="AI16" s="160">
        <f>IFERROR(INDEX(镶嵌库!$C$5:$M$13,基础面板属性!$D16+1,IF(LEFT(基础面板属性!$C16,2)&amp;"值"=基础面板属性!AI$1,MATCH(基础面板属性!$C16,镶嵌库!$C$4:$M$4,0),-1)),0)</f>
        <v>0</v>
      </c>
      <c r="AJ16" s="160">
        <f>IFERROR(INDEX(镶嵌库!$C$5:$M$13,基础面板属性!$D16+1,IF(LEFT(基础面板属性!$C16,2)&amp;"值"=基础面板属性!AJ$1,MATCH(基础面板属性!$C16,镶嵌库!$C$4:$M$4,0),-1)),0)</f>
        <v>0</v>
      </c>
      <c r="AK16" s="160">
        <f>IFERROR(INDEX(镶嵌库!$C$5:$M$13,基础面板属性!$D16+1,IF(LEFT(基础面板属性!$C16,2)&amp;"值"=基础面板属性!AK$1,MATCH(基础面板属性!$C16,镶嵌库!$C$4:$M$4,0),-1)),0)</f>
        <v>0</v>
      </c>
      <c r="AL16" s="160">
        <f>IFERROR(INDEX(镶嵌库!$C$5:$M$13,基础面板属性!$D16+1,IF(LEFT(基础面板属性!$C16,2)&amp;"值"=基础面板属性!AL$1,MATCH(基础面板属性!$C16,镶嵌库!$C$4:$M$4,0),-1)),0)</f>
        <v>0</v>
      </c>
      <c r="AM16" s="160">
        <f>IFERROR(INDEX(镶嵌库!$C$5:$M$13,基础面板属性!$D16+1,IF(LEFT(基础面板属性!$C16,2)&amp;"值"=基础面板属性!AM$1,MATCH(基础面板属性!$C16,镶嵌库!$C$4:$M$4,0),-1)),0)</f>
        <v>0</v>
      </c>
      <c r="AN16" s="160">
        <f>IFERROR(INDEX(镶嵌库!$C$5:$M$13,基础面板属性!$D16+1,IF(LEFT(基础面板属性!$C16,2)&amp;"值"=基础面板属性!AN$1,MATCH(基础面板属性!$C16,镶嵌库!$C$4:$M$4,0),-1)),0)</f>
        <v>0</v>
      </c>
      <c r="AO16" s="160">
        <f>IFERROR(INDEX(镶嵌库!$C$5:$M$13,基础面板属性!$D16+1,IF(LEFT(基础面板属性!$C16,2)&amp;"值"=基础面板属性!AO$1,MATCH(基础面板属性!$C16,镶嵌库!$C$4:$M$4,0),-1)),0)</f>
        <v>0</v>
      </c>
      <c r="AP16" s="160">
        <f>IFERROR(INDEX(镶嵌库!$C$5:$M$13,基础面板属性!$D16+1,IF(LEFT(基础面板属性!$C16,2)&amp;"值"=基础面板属性!AP$1,MATCH(基础面板属性!$C16,镶嵌库!$C$4:$M$4,0),-1)),0)</f>
        <v>0</v>
      </c>
      <c r="AU16" s="160">
        <f>IFERROR(INDEX(镶嵌库!$C$5:$M$13,基础面板属性!$D16+1,IF(LEFT(基础面板属性!$C16,2)&amp;"值"=基础面板属性!AU$1,MATCH(基础面板属性!$C16,镶嵌库!$C$4:$M$4,0),-1)),0)</f>
        <v>0</v>
      </c>
      <c r="AV16" s="160">
        <f>IFERROR(INDEX(镶嵌库!$C$5:$M$13,基础面板属性!$D16+1,IF(LEFT(基础面板属性!$C16,2)&amp;"值"=基础面板属性!AV$1,MATCH(基础面板属性!$C16,镶嵌库!$C$4:$M$4,0),-1)),0)</f>
        <v>0</v>
      </c>
      <c r="AW16" s="160">
        <f>IFERROR(INDEX(镶嵌库!$C$5:$M$13,基础面板属性!$D16+1,IF(LEFT(基础面板属性!$C16,2)&amp;"值"=基础面板属性!AW$1,MATCH(基础面板属性!$C16,镶嵌库!$C$4:$M$4,0),-1)),0)</f>
        <v>0</v>
      </c>
      <c r="AX16" s="160">
        <f>IFERROR(INDEX(镶嵌库!$C$5:$M$13,基础面板属性!$D16+1,IF(LEFT(基础面板属性!$C16,2)&amp;"值"=基础面板属性!AX$1,MATCH(基础面板属性!$C16,镶嵌库!$C$4:$M$4,0),-1)),0)</f>
        <v>0</v>
      </c>
      <c r="AY16" s="160">
        <f>IFERROR(INDEX(镶嵌库!$C$5:$M$13,基础面板属性!$D16+1,IF(LEFT(基础面板属性!$C16,2)&amp;"值"=基础面板属性!AY$1,MATCH(基础面板属性!$C16,镶嵌库!$C$4:$M$4,0),-1)),0)</f>
        <v>0</v>
      </c>
      <c r="AZ16" s="160">
        <f>IFERROR(INDEX(镶嵌库!$C$5:$M$13,基础面板属性!$D16+1,IF(LEFT(基础面板属性!$C16,2)&amp;"值"=基础面板属性!AZ$1,MATCH(基础面板属性!$C16,镶嵌库!$C$4:$M$4,0),-1)),0)</f>
        <v>0</v>
      </c>
      <c r="BA16" s="160">
        <f>IFERROR(INDEX(镶嵌库!$C$5:$M$13,基础面板属性!$D16+1,IF(LEFT(基础面板属性!$C16,2)&amp;"值"=基础面板属性!BA$1,MATCH(基础面板属性!$C16,镶嵌库!$C$4:$M$4,0),-1)),0)</f>
        <v>0</v>
      </c>
      <c r="BB16" s="160">
        <f>IFERROR(INDEX(镶嵌库!$C$5:$M$13,基础面板属性!$D16+1,IF(LEFT(基础面板属性!$C16,2)&amp;"值"=基础面板属性!BB$1,MATCH(基础面板属性!$C16,镶嵌库!$C$4:$M$4,0),-1)),0)</f>
        <v>0</v>
      </c>
      <c r="BC16" s="160">
        <f>IFERROR(INDEX(镶嵌库!$C$5:$M$13,基础面板属性!$D16+1,IF(LEFT(基础面板属性!$C16,2)&amp;"值"=基础面板属性!BC$1,MATCH(基础面板属性!$C16,镶嵌库!$C$4:$M$4,0),-1)),0)</f>
        <v>0</v>
      </c>
      <c r="BD16" s="160">
        <f>IFERROR(INDEX(镶嵌库!$C$5:$M$13,基础面板属性!$D16+1,IF(LEFT(基础面板属性!$C16,2)&amp;"值"=基础面板属性!BD$1,MATCH(基础面板属性!$C16,镶嵌库!$C$4:$M$4,0),-1)),0)</f>
        <v>0</v>
      </c>
    </row>
    <row r="17" spans="1:56">
      <c r="A17" s="160" t="str">
        <f>A14</f>
        <v>腰带</v>
      </c>
      <c r="B17" s="160" t="s">
        <v>2062</v>
      </c>
      <c r="C17" s="160" t="str">
        <f>IF(附魔库!$W$7="气血","基础气血值",附魔库!$W$7&amp;"值")</f>
        <v>无双值</v>
      </c>
      <c r="D17" s="160">
        <f>附魔库!X7</f>
        <v>978</v>
      </c>
      <c r="E17" s="160">
        <f>IF(OR($C17=E$1,$C17&amp;"大"=E$1,$C17&amp;"小"=E$1),$D17,0)</f>
        <v>0</v>
      </c>
      <c r="F17" s="160">
        <f t="shared" ref="F17:BD17" si="2">IF(OR($C17=F$1,$C17&amp;"大"=F$1,$C17&amp;"小"=F$1),$D17,0)</f>
        <v>0</v>
      </c>
      <c r="G17" s="160">
        <f t="shared" si="2"/>
        <v>0</v>
      </c>
      <c r="H17" s="160">
        <f t="shared" si="2"/>
        <v>0</v>
      </c>
      <c r="I17" s="160">
        <f t="shared" si="2"/>
        <v>0</v>
      </c>
      <c r="J17" s="160">
        <f t="shared" si="2"/>
        <v>0</v>
      </c>
      <c r="K17" s="160">
        <f t="shared" si="2"/>
        <v>0</v>
      </c>
      <c r="L17" s="160">
        <f t="shared" si="2"/>
        <v>0</v>
      </c>
      <c r="M17" s="160">
        <f t="shared" si="2"/>
        <v>0</v>
      </c>
      <c r="N17" s="160">
        <f t="shared" si="2"/>
        <v>0</v>
      </c>
      <c r="O17" s="160">
        <f t="shared" si="2"/>
        <v>0</v>
      </c>
      <c r="P17" s="160">
        <f t="shared" si="2"/>
        <v>0</v>
      </c>
      <c r="Q17" s="160">
        <f t="shared" si="2"/>
        <v>0</v>
      </c>
      <c r="R17" s="160">
        <f t="shared" si="2"/>
        <v>0</v>
      </c>
      <c r="S17" s="160">
        <f t="shared" si="2"/>
        <v>0</v>
      </c>
      <c r="T17" s="160">
        <f t="shared" si="2"/>
        <v>0</v>
      </c>
      <c r="U17" s="160">
        <f t="shared" si="2"/>
        <v>0</v>
      </c>
      <c r="V17" s="160">
        <f t="shared" si="2"/>
        <v>0</v>
      </c>
      <c r="W17" s="160">
        <f t="shared" si="2"/>
        <v>0</v>
      </c>
      <c r="X17" s="160">
        <f t="shared" si="2"/>
        <v>0</v>
      </c>
      <c r="Y17" s="160">
        <f t="shared" si="2"/>
        <v>0</v>
      </c>
      <c r="Z17" s="160">
        <f t="shared" si="2"/>
        <v>0</v>
      </c>
      <c r="AA17" s="160">
        <f t="shared" si="2"/>
        <v>0</v>
      </c>
      <c r="AB17" s="160">
        <f t="shared" si="2"/>
        <v>0</v>
      </c>
      <c r="AC17" s="160">
        <f t="shared" si="2"/>
        <v>0</v>
      </c>
      <c r="AD17" s="160">
        <f t="shared" si="2"/>
        <v>0</v>
      </c>
      <c r="AE17" s="160">
        <f t="shared" si="2"/>
        <v>0</v>
      </c>
      <c r="AF17" s="160">
        <f t="shared" si="2"/>
        <v>0</v>
      </c>
      <c r="AG17" s="160">
        <f t="shared" si="2"/>
        <v>0</v>
      </c>
      <c r="AH17" s="160">
        <f t="shared" si="2"/>
        <v>0</v>
      </c>
      <c r="AI17" s="160">
        <f t="shared" si="2"/>
        <v>0</v>
      </c>
      <c r="AJ17" s="160">
        <f t="shared" si="2"/>
        <v>0</v>
      </c>
      <c r="AK17" s="160">
        <f t="shared" si="2"/>
        <v>978</v>
      </c>
      <c r="AL17" s="160">
        <f t="shared" si="2"/>
        <v>0</v>
      </c>
      <c r="AM17" s="160">
        <f t="shared" si="2"/>
        <v>0</v>
      </c>
      <c r="AN17" s="160">
        <f t="shared" si="2"/>
        <v>0</v>
      </c>
      <c r="AO17" s="160">
        <f t="shared" si="2"/>
        <v>0</v>
      </c>
      <c r="AP17" s="160">
        <f t="shared" si="2"/>
        <v>0</v>
      </c>
      <c r="AU17" s="160">
        <f t="shared" si="2"/>
        <v>0</v>
      </c>
      <c r="AV17" s="160">
        <f t="shared" si="2"/>
        <v>0</v>
      </c>
      <c r="AW17" s="160">
        <f t="shared" si="2"/>
        <v>0</v>
      </c>
      <c r="AX17" s="160">
        <f t="shared" si="2"/>
        <v>0</v>
      </c>
      <c r="AY17" s="160">
        <f t="shared" si="2"/>
        <v>0</v>
      </c>
      <c r="AZ17" s="160">
        <f t="shared" si="2"/>
        <v>0</v>
      </c>
      <c r="BA17" s="160">
        <f t="shared" si="2"/>
        <v>0</v>
      </c>
      <c r="BB17" s="160">
        <f t="shared" si="2"/>
        <v>0</v>
      </c>
      <c r="BC17" s="160">
        <f t="shared" si="2"/>
        <v>0</v>
      </c>
      <c r="BD17" s="160">
        <f t="shared" si="2"/>
        <v>0</v>
      </c>
    </row>
    <row r="18" spans="1:56">
      <c r="A18" s="160" t="str">
        <f>A14</f>
        <v>腰带</v>
      </c>
      <c r="B18" s="160" t="s">
        <v>2063</v>
      </c>
    </row>
    <row r="19" spans="1:56">
      <c r="A19" s="160" t="s">
        <v>2064</v>
      </c>
      <c r="B19" s="160" t="s">
        <v>2065</v>
      </c>
      <c r="C19" s="160" t="str">
        <f>配装计算器!I2</f>
        <v>野渡护腕·引(41400精简招无)</v>
      </c>
      <c r="E19" s="160">
        <f>装备选择!AV5</f>
        <v>17103</v>
      </c>
      <c r="M19" s="160">
        <f>装备选择!AW5</f>
        <v>0</v>
      </c>
      <c r="S19" s="160">
        <f>装备选择!AY5</f>
        <v>4226</v>
      </c>
      <c r="W19" s="160">
        <f>装备选择!AZ5</f>
        <v>0</v>
      </c>
      <c r="Z19" s="160">
        <f>装备选择!BA5</f>
        <v>0</v>
      </c>
      <c r="AC19" s="160">
        <f>装备选择!BB5</f>
        <v>0</v>
      </c>
      <c r="AG19" s="160">
        <f>装备选择!BF5</f>
        <v>0</v>
      </c>
      <c r="AH19" s="160">
        <f>装备选择!BC5</f>
        <v>22157</v>
      </c>
      <c r="AK19" s="160">
        <f>装备选择!BD5</f>
        <v>11662</v>
      </c>
      <c r="AP19" s="160">
        <f>装备选择!BE5</f>
        <v>0</v>
      </c>
      <c r="AU19" s="160">
        <f>装备选择!BH5</f>
        <v>0</v>
      </c>
      <c r="AV19" s="160">
        <f>装备选择!BI5</f>
        <v>0</v>
      </c>
    </row>
    <row r="20" spans="1:56">
      <c r="A20" s="160" t="str">
        <f>A19</f>
        <v>护腕</v>
      </c>
      <c r="B20" s="160" t="s">
        <v>2066</v>
      </c>
      <c r="C20" s="160" t="str">
        <f>配装计算器!H4</f>
        <v>破招孔</v>
      </c>
      <c r="D20" s="160">
        <f>IF(C20="",0,IF(配装计算器!$K$32&lt;&gt;"不使用",镶嵌库!$Y$17,IFERROR(1*(LEFT(配装计算器!I4,1)),0)))</f>
        <v>8</v>
      </c>
      <c r="E20" s="160">
        <f>IFERROR(INDEX(镶嵌库!$C$5:$M$13,基础面板属性!$D20+1,IF(LEFT(基础面板属性!$C20,2)&amp;"值"=基础面板属性!E$1,MATCH(基础面板属性!$C20,镶嵌库!$C$4:$M$4,0),-1)),0)</f>
        <v>0</v>
      </c>
      <c r="F20" s="160">
        <f>IFERROR(INDEX(镶嵌库!$C$5:$M$13,基础面板属性!$D20+1,IF(LEFT(基础面板属性!$C20,2)&amp;"值"=基础面板属性!F$1,MATCH(基础面板属性!$C20,镶嵌库!$C$4:$M$4,0),-1)),0)</f>
        <v>0</v>
      </c>
      <c r="G20" s="160">
        <f>IFERROR(INDEX(镶嵌库!$C$5:$M$13,基础面板属性!$D20+1,IF(LEFT(基础面板属性!$C20,2)&amp;"值"=基础面板属性!G$1,MATCH(基础面板属性!$C20,镶嵌库!$C$4:$M$4,0),-1)),0)</f>
        <v>0</v>
      </c>
      <c r="H20" s="160">
        <f>IFERROR(INDEX(镶嵌库!$C$5:$M$13,基础面板属性!$D20+1,IF(LEFT(基础面板属性!$C20,2)&amp;"值"=基础面板属性!H$1,MATCH(基础面板属性!$C20,镶嵌库!$C$4:$M$4,0),-1)),0)</f>
        <v>0</v>
      </c>
      <c r="I20" s="160">
        <f>IFERROR(INDEX(镶嵌库!$C$5:$M$13,基础面板属性!$D20+1,IF(LEFT(基础面板属性!$C20,2)&amp;"值"=基础面板属性!I$1,MATCH(基础面板属性!$C20,镶嵌库!$C$4:$M$4,0),-1)),0)</f>
        <v>0</v>
      </c>
      <c r="J20" s="160">
        <f>IFERROR(INDEX(镶嵌库!$C$5:$M$13,基础面板属性!$D20+1,IF(LEFT(基础面板属性!$C20,2)&amp;"值"=基础面板属性!J$1,MATCH(基础面板属性!$C20,镶嵌库!$C$4:$M$4,0),-1)),0)</f>
        <v>0</v>
      </c>
      <c r="K20" s="160">
        <f>IFERROR(INDEX(镶嵌库!$C$5:$M$13,基础面板属性!$D20+1,IF(LEFT(基础面板属性!$C20,2)&amp;"值"=基础面板属性!K$1,MATCH(基础面板属性!$C20,镶嵌库!$C$4:$M$4,0),-1)),0)</f>
        <v>0</v>
      </c>
      <c r="L20" s="160">
        <f>IFERROR(INDEX(镶嵌库!$C$5:$M$13,基础面板属性!$D20+1,IF(LEFT(基础面板属性!$C20,2)&amp;"值"=基础面板属性!L$1,MATCH(基础面板属性!$C20,镶嵌库!$C$4:$M$4,0),-1)),0)</f>
        <v>0</v>
      </c>
      <c r="M20" s="160">
        <f>IFERROR(INDEX(镶嵌库!$C$5:$M$13,基础面板属性!$D20+1,IF(LEFT(基础面板属性!$C20,2)&amp;"值"=基础面板属性!M$1,MATCH(基础面板属性!$C20,镶嵌库!$C$4:$M$4,0),-1)),0)</f>
        <v>0</v>
      </c>
      <c r="N20" s="160">
        <f>IFERROR(INDEX(镶嵌库!$C$5:$M$13,基础面板属性!$D20+1,IF(LEFT(基础面板属性!$C20,2)&amp;"值"=基础面板属性!N$1,MATCH(基础面板属性!$C20,镶嵌库!$C$4:$M$4,0),-1)),0)</f>
        <v>0</v>
      </c>
      <c r="O20" s="160">
        <f>IFERROR(INDEX(镶嵌库!$C$5:$M$13,基础面板属性!$D20+1,IF(LEFT(基础面板属性!$C20,2)&amp;"值"=基础面板属性!O$1,MATCH(基础面板属性!$C20,镶嵌库!$C$4:$M$4,0),-1)),0)</f>
        <v>0</v>
      </c>
      <c r="P20" s="160">
        <f>IFERROR(INDEX(镶嵌库!$C$5:$M$13,基础面板属性!$D20+1,IF(LEFT(基础面板属性!$C20,2)&amp;"值"=基础面板属性!P$1,MATCH(基础面板属性!$C20,镶嵌库!$C$4:$M$4,0),-1)),0)</f>
        <v>0</v>
      </c>
      <c r="Q20" s="160">
        <f>IFERROR(INDEX(镶嵌库!$C$5:$M$13,基础面板属性!$D20+1,IF(LEFT(基础面板属性!$C20,2)&amp;"值"=基础面板属性!Q$1,MATCH(基础面板属性!$C20,镶嵌库!$C$4:$M$4,0),-1)),0)</f>
        <v>0</v>
      </c>
      <c r="R20" s="160">
        <f>IFERROR(INDEX(镶嵌库!$C$5:$M$13,基础面板属性!$D20+1,IF(LEFT(基础面板属性!$C20,2)&amp;"值"=基础面板属性!R$1,MATCH(基础面板属性!$C20,镶嵌库!$C$4:$M$4,0),-1)),0)</f>
        <v>0</v>
      </c>
      <c r="S20" s="160">
        <f>IFERROR(INDEX(镶嵌库!$C$5:$M$13,基础面板属性!$D20+1,IF(LEFT(基础面板属性!$C20,2)&amp;"值"=基础面板属性!S$1,MATCH(基础面板属性!$C20,镶嵌库!$C$4:$M$4,0),-1)),0)</f>
        <v>0</v>
      </c>
      <c r="T20" s="160">
        <f>IFERROR(INDEX(镶嵌库!$C$5:$M$13,基础面板属性!$D20+1,IF(LEFT(基础面板属性!$C20,2)&amp;"值"=基础面板属性!T$1,MATCH(基础面板属性!$C20,镶嵌库!$C$4:$M$4,0),-1)),0)</f>
        <v>0</v>
      </c>
      <c r="U20" s="160">
        <f>IFERROR(INDEX(镶嵌库!$C$5:$M$13,基础面板属性!$D20+1,IF(LEFT(基础面板属性!$C20,2)&amp;"值"=基础面板属性!U$1,MATCH(基础面板属性!$C20,镶嵌库!$C$4:$M$4,0),-1)),0)</f>
        <v>0</v>
      </c>
      <c r="V20" s="160">
        <f>IFERROR(INDEX(镶嵌库!$C$5:$M$13,基础面板属性!$D20+1,IF(LEFT(基础面板属性!$C20,2)&amp;"值"=基础面板属性!V$1,MATCH(基础面板属性!$C20,镶嵌库!$C$4:$M$4,0),-1)),0)</f>
        <v>0</v>
      </c>
      <c r="W20" s="160">
        <f>IFERROR(INDEX(镶嵌库!$C$5:$M$13,基础面板属性!$D20+1,IF(LEFT(基础面板属性!$C20,2)&amp;"值"=基础面板属性!W$1,MATCH(基础面板属性!$C20,镶嵌库!$C$4:$M$4,0),-1)),0)</f>
        <v>0</v>
      </c>
      <c r="X20" s="160">
        <f>IFERROR(INDEX(镶嵌库!$C$5:$M$13,基础面板属性!$D20+1,IF(LEFT(基础面板属性!$C20,2)&amp;"值"=基础面板属性!X$1,MATCH(基础面板属性!$C20,镶嵌库!$C$4:$M$4,0),-1)),0)</f>
        <v>0</v>
      </c>
      <c r="Y20" s="160">
        <f>IFERROR(INDEX(镶嵌库!$C$5:$M$13,基础面板属性!$D20+1,IF(LEFT(基础面板属性!$C20,2)&amp;"值"=基础面板属性!Y$1,MATCH(基础面板属性!$C20,镶嵌库!$C$4:$M$4,0),-1)),0)</f>
        <v>0</v>
      </c>
      <c r="Z20" s="160">
        <f>IFERROR(INDEX(镶嵌库!$C$5:$M$13,基础面板属性!$D20+1,IF(LEFT(基础面板属性!$C20,2)&amp;"值"=基础面板属性!Z$1,MATCH(基础面板属性!$C20,镶嵌库!$C$4:$M$4,0),-1)),0)</f>
        <v>0</v>
      </c>
      <c r="AA20" s="160">
        <f>IFERROR(INDEX(镶嵌库!$C$5:$M$13,基础面板属性!$D20+1,IF(LEFT(基础面板属性!$C20,2)&amp;"值"=基础面板属性!AA$1,MATCH(基础面板属性!$C20,镶嵌库!$C$4:$M$4,0),-1)),0)</f>
        <v>0</v>
      </c>
      <c r="AB20" s="160">
        <f>IFERROR(INDEX(镶嵌库!$C$5:$M$13,基础面板属性!$D20+1,IF(LEFT(基础面板属性!$C20,2)&amp;"值"=基础面板属性!AB$1,MATCH(基础面板属性!$C20,镶嵌库!$C$4:$M$4,0),-1)),0)</f>
        <v>0</v>
      </c>
      <c r="AC20" s="160">
        <f>IFERROR(INDEX(镶嵌库!$C$5:$M$13,基础面板属性!$D20+1,IF(LEFT(基础面板属性!$C20,2)&amp;"值"=基础面板属性!AC$1,MATCH(基础面板属性!$C20,镶嵌库!$C$4:$M$4,0),-1)),0)</f>
        <v>0</v>
      </c>
      <c r="AD20" s="160">
        <f>IFERROR(INDEX(镶嵌库!$C$5:$M$13,基础面板属性!$D20+1,IF(LEFT(基础面板属性!$C20,2)&amp;"值"=基础面板属性!AD$1,MATCH(基础面板属性!$C20,镶嵌库!$C$4:$M$4,0),-1)),0)</f>
        <v>0</v>
      </c>
      <c r="AE20" s="160">
        <f>IFERROR(INDEX(镶嵌库!$C$5:$M$13,基础面板属性!$D20+1,IF(LEFT(基础面板属性!$C20,2)&amp;"值"=基础面板属性!AE$1,MATCH(基础面板属性!$C20,镶嵌库!$C$4:$M$4,0),-1)),0)</f>
        <v>0</v>
      </c>
      <c r="AF20" s="160">
        <f>IFERROR(INDEX(镶嵌库!$C$5:$M$13,基础面板属性!$D20+1,IF(LEFT(基础面板属性!$C20,2)&amp;"值"=基础面板属性!AF$1,MATCH(基础面板属性!$C20,镶嵌库!$C$4:$M$4,0),-1)),0)</f>
        <v>0</v>
      </c>
      <c r="AG20" s="160">
        <f>IFERROR(INDEX(镶嵌库!$C$5:$M$13,基础面板属性!$D20+1,IF(LEFT(基础面板属性!$C20,2)&amp;"值"=基础面板属性!AG$1,MATCH(基础面板属性!$C20,镶嵌库!$C$4:$M$4,0),-1)),0)</f>
        <v>0</v>
      </c>
      <c r="AH20" s="160">
        <f>IFERROR(INDEX(镶嵌库!$C$5:$M$13,基础面板属性!$D20+1,IF(LEFT(基础面板属性!$C20,2)&amp;"值"=基础面板属性!AH$1,MATCH(基础面板属性!$C20,镶嵌库!$C$4:$M$4,0),-1)),0)</f>
        <v>1317</v>
      </c>
      <c r="AI20" s="160">
        <f>IFERROR(INDEX(镶嵌库!$C$5:$M$13,基础面板属性!$D20+1,IF(LEFT(基础面板属性!$C20,2)&amp;"值"=基础面板属性!AI$1,MATCH(基础面板属性!$C20,镶嵌库!$C$4:$M$4,0),-1)),0)</f>
        <v>0</v>
      </c>
      <c r="AJ20" s="160">
        <f>IFERROR(INDEX(镶嵌库!$C$5:$M$13,基础面板属性!$D20+1,IF(LEFT(基础面板属性!$C20,2)&amp;"值"=基础面板属性!AJ$1,MATCH(基础面板属性!$C20,镶嵌库!$C$4:$M$4,0),-1)),0)</f>
        <v>0</v>
      </c>
      <c r="AK20" s="160">
        <f>IFERROR(INDEX(镶嵌库!$C$5:$M$13,基础面板属性!$D20+1,IF(LEFT(基础面板属性!$C20,2)&amp;"值"=基础面板属性!AK$1,MATCH(基础面板属性!$C20,镶嵌库!$C$4:$M$4,0),-1)),0)</f>
        <v>0</v>
      </c>
      <c r="AL20" s="160">
        <f>IFERROR(INDEX(镶嵌库!$C$5:$M$13,基础面板属性!$D20+1,IF(LEFT(基础面板属性!$C20,2)&amp;"值"=基础面板属性!AL$1,MATCH(基础面板属性!$C20,镶嵌库!$C$4:$M$4,0),-1)),0)</f>
        <v>0</v>
      </c>
      <c r="AM20" s="160">
        <f>IFERROR(INDEX(镶嵌库!$C$5:$M$13,基础面板属性!$D20+1,IF(LEFT(基础面板属性!$C20,2)&amp;"值"=基础面板属性!AM$1,MATCH(基础面板属性!$C20,镶嵌库!$C$4:$M$4,0),-1)),0)</f>
        <v>0</v>
      </c>
      <c r="AN20" s="160">
        <f>IFERROR(INDEX(镶嵌库!$C$5:$M$13,基础面板属性!$D20+1,IF(LEFT(基础面板属性!$C20,2)&amp;"值"=基础面板属性!AN$1,MATCH(基础面板属性!$C20,镶嵌库!$C$4:$M$4,0),-1)),0)</f>
        <v>0</v>
      </c>
      <c r="AO20" s="160">
        <f>IFERROR(INDEX(镶嵌库!$C$5:$M$13,基础面板属性!$D20+1,IF(LEFT(基础面板属性!$C20,2)&amp;"值"=基础面板属性!AO$1,MATCH(基础面板属性!$C20,镶嵌库!$C$4:$M$4,0),-1)),0)</f>
        <v>0</v>
      </c>
      <c r="AP20" s="160">
        <f>IFERROR(INDEX(镶嵌库!$C$5:$M$13,基础面板属性!$D20+1,IF(LEFT(基础面板属性!$C20,2)&amp;"值"=基础面板属性!AP$1,MATCH(基础面板属性!$C20,镶嵌库!$C$4:$M$4,0),-1)),0)</f>
        <v>0</v>
      </c>
      <c r="AU20" s="160">
        <f>IFERROR(INDEX(镶嵌库!$C$5:$M$13,基础面板属性!$D20+1,IF(LEFT(基础面板属性!$C20,2)&amp;"值"=基础面板属性!AU$1,MATCH(基础面板属性!$C20,镶嵌库!$C$4:$M$4,0),-1)),0)</f>
        <v>0</v>
      </c>
      <c r="AV20" s="160">
        <f>IFERROR(INDEX(镶嵌库!$C$5:$M$13,基础面板属性!$D20+1,IF(LEFT(基础面板属性!$C20,2)&amp;"值"=基础面板属性!AV$1,MATCH(基础面板属性!$C20,镶嵌库!$C$4:$M$4,0),-1)),0)</f>
        <v>0</v>
      </c>
      <c r="AW20" s="160">
        <f>IFERROR(INDEX(镶嵌库!$C$5:$M$13,基础面板属性!$D20+1,IF(LEFT(基础面板属性!$C20,2)&amp;"值"=基础面板属性!AW$1,MATCH(基础面板属性!$C20,镶嵌库!$C$4:$M$4,0),-1)),0)</f>
        <v>0</v>
      </c>
      <c r="AX20" s="160">
        <f>IFERROR(INDEX(镶嵌库!$C$5:$M$13,基础面板属性!$D20+1,IF(LEFT(基础面板属性!$C20,2)&amp;"值"=基础面板属性!AX$1,MATCH(基础面板属性!$C20,镶嵌库!$C$4:$M$4,0),-1)),0)</f>
        <v>0</v>
      </c>
      <c r="AY20" s="160">
        <f>IFERROR(INDEX(镶嵌库!$C$5:$M$13,基础面板属性!$D20+1,IF(LEFT(基础面板属性!$C20,2)&amp;"值"=基础面板属性!AY$1,MATCH(基础面板属性!$C20,镶嵌库!$C$4:$M$4,0),-1)),0)</f>
        <v>0</v>
      </c>
      <c r="AZ20" s="160">
        <f>IFERROR(INDEX(镶嵌库!$C$5:$M$13,基础面板属性!$D20+1,IF(LEFT(基础面板属性!$C20,2)&amp;"值"=基础面板属性!AZ$1,MATCH(基础面板属性!$C20,镶嵌库!$C$4:$M$4,0),-1)),0)</f>
        <v>0</v>
      </c>
      <c r="BA20" s="160">
        <f>IFERROR(INDEX(镶嵌库!$C$5:$M$13,基础面板属性!$D20+1,IF(LEFT(基础面板属性!$C20,2)&amp;"值"=基础面板属性!BA$1,MATCH(基础面板属性!$C20,镶嵌库!$C$4:$M$4,0),-1)),0)</f>
        <v>0</v>
      </c>
      <c r="BB20" s="160">
        <f>IFERROR(INDEX(镶嵌库!$C$5:$M$13,基础面板属性!$D20+1,IF(LEFT(基础面板属性!$C20,2)&amp;"值"=基础面板属性!BB$1,MATCH(基础面板属性!$C20,镶嵌库!$C$4:$M$4,0),-1)),0)</f>
        <v>0</v>
      </c>
      <c r="BC20" s="160">
        <f>IFERROR(INDEX(镶嵌库!$C$5:$M$13,基础面板属性!$D20+1,IF(LEFT(基础面板属性!$C20,2)&amp;"值"=基础面板属性!BC$1,MATCH(基础面板属性!$C20,镶嵌库!$C$4:$M$4,0),-1)),0)</f>
        <v>0</v>
      </c>
      <c r="BD20" s="160">
        <f>IFERROR(INDEX(镶嵌库!$C$5:$M$13,基础面板属性!$D20+1,IF(LEFT(基础面板属性!$C20,2)&amp;"值"=基础面板属性!BD$1,MATCH(基础面板属性!$C20,镶嵌库!$C$4:$M$4,0),-1)),0)</f>
        <v>0</v>
      </c>
    </row>
    <row r="21" spans="1:56">
      <c r="A21" s="160" t="str">
        <f>A19</f>
        <v>护腕</v>
      </c>
      <c r="B21" s="160" t="s">
        <v>2067</v>
      </c>
      <c r="C21" s="160" t="str">
        <f>配装计算器!H5</f>
        <v>无双孔</v>
      </c>
      <c r="D21" s="160">
        <f>IF(C21="",0,IF(配装计算器!$K$32&lt;&gt;"不使用",镶嵌库!$Y$17,IFERROR(1*(LEFT(配装计算器!I5,1)),0)))</f>
        <v>8</v>
      </c>
      <c r="E21" s="160">
        <f>IFERROR(INDEX(镶嵌库!$C$5:$M$13,基础面板属性!$D21+1,IF(LEFT(基础面板属性!$C21,2)&amp;"值"=基础面板属性!E$1,MATCH(基础面板属性!$C21,镶嵌库!$C$4:$M$4,0),-1)),0)</f>
        <v>0</v>
      </c>
      <c r="F21" s="160">
        <f>IFERROR(INDEX(镶嵌库!$C$5:$M$13,基础面板属性!$D21+1,IF(LEFT(基础面板属性!$C21,2)&amp;"值"=基础面板属性!F$1,MATCH(基础面板属性!$C21,镶嵌库!$C$4:$M$4,0),-1)),0)</f>
        <v>0</v>
      </c>
      <c r="G21" s="160">
        <f>IFERROR(INDEX(镶嵌库!$C$5:$M$13,基础面板属性!$D21+1,IF(LEFT(基础面板属性!$C21,2)&amp;"值"=基础面板属性!G$1,MATCH(基础面板属性!$C21,镶嵌库!$C$4:$M$4,0),-1)),0)</f>
        <v>0</v>
      </c>
      <c r="H21" s="160">
        <f>IFERROR(INDEX(镶嵌库!$C$5:$M$13,基础面板属性!$D21+1,IF(LEFT(基础面板属性!$C21,2)&amp;"值"=基础面板属性!H$1,MATCH(基础面板属性!$C21,镶嵌库!$C$4:$M$4,0),-1)),0)</f>
        <v>0</v>
      </c>
      <c r="I21" s="160">
        <f>IFERROR(INDEX(镶嵌库!$C$5:$M$13,基础面板属性!$D21+1,IF(LEFT(基础面板属性!$C21,2)&amp;"值"=基础面板属性!I$1,MATCH(基础面板属性!$C21,镶嵌库!$C$4:$M$4,0),-1)),0)</f>
        <v>0</v>
      </c>
      <c r="J21" s="160">
        <f>IFERROR(INDEX(镶嵌库!$C$5:$M$13,基础面板属性!$D21+1,IF(LEFT(基础面板属性!$C21,2)&amp;"值"=基础面板属性!J$1,MATCH(基础面板属性!$C21,镶嵌库!$C$4:$M$4,0),-1)),0)</f>
        <v>0</v>
      </c>
      <c r="K21" s="160">
        <f>IFERROR(INDEX(镶嵌库!$C$5:$M$13,基础面板属性!$D21+1,IF(LEFT(基础面板属性!$C21,2)&amp;"值"=基础面板属性!K$1,MATCH(基础面板属性!$C21,镶嵌库!$C$4:$M$4,0),-1)),0)</f>
        <v>0</v>
      </c>
      <c r="L21" s="160">
        <f>IFERROR(INDEX(镶嵌库!$C$5:$M$13,基础面板属性!$D21+1,IF(LEFT(基础面板属性!$C21,2)&amp;"值"=基础面板属性!L$1,MATCH(基础面板属性!$C21,镶嵌库!$C$4:$M$4,0),-1)),0)</f>
        <v>0</v>
      </c>
      <c r="M21" s="160">
        <f>IFERROR(INDEX(镶嵌库!$C$5:$M$13,基础面板属性!$D21+1,IF(LEFT(基础面板属性!$C21,2)&amp;"值"=基础面板属性!M$1,MATCH(基础面板属性!$C21,镶嵌库!$C$4:$M$4,0),-1)),0)</f>
        <v>0</v>
      </c>
      <c r="N21" s="160">
        <f>IFERROR(INDEX(镶嵌库!$C$5:$M$13,基础面板属性!$D21+1,IF(LEFT(基础面板属性!$C21,2)&amp;"值"=基础面板属性!N$1,MATCH(基础面板属性!$C21,镶嵌库!$C$4:$M$4,0),-1)),0)</f>
        <v>0</v>
      </c>
      <c r="O21" s="160">
        <f>IFERROR(INDEX(镶嵌库!$C$5:$M$13,基础面板属性!$D21+1,IF(LEFT(基础面板属性!$C21,2)&amp;"值"=基础面板属性!O$1,MATCH(基础面板属性!$C21,镶嵌库!$C$4:$M$4,0),-1)),0)</f>
        <v>0</v>
      </c>
      <c r="P21" s="160">
        <f>IFERROR(INDEX(镶嵌库!$C$5:$M$13,基础面板属性!$D21+1,IF(LEFT(基础面板属性!$C21,2)&amp;"值"=基础面板属性!P$1,MATCH(基础面板属性!$C21,镶嵌库!$C$4:$M$4,0),-1)),0)</f>
        <v>0</v>
      </c>
      <c r="Q21" s="160">
        <f>IFERROR(INDEX(镶嵌库!$C$5:$M$13,基础面板属性!$D21+1,IF(LEFT(基础面板属性!$C21,2)&amp;"值"=基础面板属性!Q$1,MATCH(基础面板属性!$C21,镶嵌库!$C$4:$M$4,0),-1)),0)</f>
        <v>0</v>
      </c>
      <c r="R21" s="160">
        <f>IFERROR(INDEX(镶嵌库!$C$5:$M$13,基础面板属性!$D21+1,IF(LEFT(基础面板属性!$C21,2)&amp;"值"=基础面板属性!R$1,MATCH(基础面板属性!$C21,镶嵌库!$C$4:$M$4,0),-1)),0)</f>
        <v>0</v>
      </c>
      <c r="S21" s="160">
        <f>IFERROR(INDEX(镶嵌库!$C$5:$M$13,基础面板属性!$D21+1,IF(LEFT(基础面板属性!$C21,2)&amp;"值"=基础面板属性!S$1,MATCH(基础面板属性!$C21,镶嵌库!$C$4:$M$4,0),-1)),0)</f>
        <v>0</v>
      </c>
      <c r="T21" s="160">
        <f>IFERROR(INDEX(镶嵌库!$C$5:$M$13,基础面板属性!$D21+1,IF(LEFT(基础面板属性!$C21,2)&amp;"值"=基础面板属性!T$1,MATCH(基础面板属性!$C21,镶嵌库!$C$4:$M$4,0),-1)),0)</f>
        <v>0</v>
      </c>
      <c r="U21" s="160">
        <f>IFERROR(INDEX(镶嵌库!$C$5:$M$13,基础面板属性!$D21+1,IF(LEFT(基础面板属性!$C21,2)&amp;"值"=基础面板属性!U$1,MATCH(基础面板属性!$C21,镶嵌库!$C$4:$M$4,0),-1)),0)</f>
        <v>0</v>
      </c>
      <c r="V21" s="160">
        <f>IFERROR(INDEX(镶嵌库!$C$5:$M$13,基础面板属性!$D21+1,IF(LEFT(基础面板属性!$C21,2)&amp;"值"=基础面板属性!V$1,MATCH(基础面板属性!$C21,镶嵌库!$C$4:$M$4,0),-1)),0)</f>
        <v>0</v>
      </c>
      <c r="W21" s="160">
        <f>IFERROR(INDEX(镶嵌库!$C$5:$M$13,基础面板属性!$D21+1,IF(LEFT(基础面板属性!$C21,2)&amp;"值"=基础面板属性!W$1,MATCH(基础面板属性!$C21,镶嵌库!$C$4:$M$4,0),-1)),0)</f>
        <v>0</v>
      </c>
      <c r="X21" s="160">
        <f>IFERROR(INDEX(镶嵌库!$C$5:$M$13,基础面板属性!$D21+1,IF(LEFT(基础面板属性!$C21,2)&amp;"值"=基础面板属性!X$1,MATCH(基础面板属性!$C21,镶嵌库!$C$4:$M$4,0),-1)),0)</f>
        <v>0</v>
      </c>
      <c r="Y21" s="160">
        <f>IFERROR(INDEX(镶嵌库!$C$5:$M$13,基础面板属性!$D21+1,IF(LEFT(基础面板属性!$C21,2)&amp;"值"=基础面板属性!Y$1,MATCH(基础面板属性!$C21,镶嵌库!$C$4:$M$4,0),-1)),0)</f>
        <v>0</v>
      </c>
      <c r="Z21" s="160">
        <f>IFERROR(INDEX(镶嵌库!$C$5:$M$13,基础面板属性!$D21+1,IF(LEFT(基础面板属性!$C21,2)&amp;"值"=基础面板属性!Z$1,MATCH(基础面板属性!$C21,镶嵌库!$C$4:$M$4,0),-1)),0)</f>
        <v>0</v>
      </c>
      <c r="AA21" s="160">
        <f>IFERROR(INDEX(镶嵌库!$C$5:$M$13,基础面板属性!$D21+1,IF(LEFT(基础面板属性!$C21,2)&amp;"值"=基础面板属性!AA$1,MATCH(基础面板属性!$C21,镶嵌库!$C$4:$M$4,0),-1)),0)</f>
        <v>0</v>
      </c>
      <c r="AB21" s="160">
        <f>IFERROR(INDEX(镶嵌库!$C$5:$M$13,基础面板属性!$D21+1,IF(LEFT(基础面板属性!$C21,2)&amp;"值"=基础面板属性!AB$1,MATCH(基础面板属性!$C21,镶嵌库!$C$4:$M$4,0),-1)),0)</f>
        <v>0</v>
      </c>
      <c r="AC21" s="160">
        <f>IFERROR(INDEX(镶嵌库!$C$5:$M$13,基础面板属性!$D21+1,IF(LEFT(基础面板属性!$C21,2)&amp;"值"=基础面板属性!AC$1,MATCH(基础面板属性!$C21,镶嵌库!$C$4:$M$4,0),-1)),0)</f>
        <v>0</v>
      </c>
      <c r="AD21" s="160">
        <f>IFERROR(INDEX(镶嵌库!$C$5:$M$13,基础面板属性!$D21+1,IF(LEFT(基础面板属性!$C21,2)&amp;"值"=基础面板属性!AD$1,MATCH(基础面板属性!$C21,镶嵌库!$C$4:$M$4,0),-1)),0)</f>
        <v>0</v>
      </c>
      <c r="AE21" s="160">
        <f>IFERROR(INDEX(镶嵌库!$C$5:$M$13,基础面板属性!$D21+1,IF(LEFT(基础面板属性!$C21,2)&amp;"值"=基础面板属性!AE$1,MATCH(基础面板属性!$C21,镶嵌库!$C$4:$M$4,0),-1)),0)</f>
        <v>0</v>
      </c>
      <c r="AF21" s="160">
        <f>IFERROR(INDEX(镶嵌库!$C$5:$M$13,基础面板属性!$D21+1,IF(LEFT(基础面板属性!$C21,2)&amp;"值"=基础面板属性!AF$1,MATCH(基础面板属性!$C21,镶嵌库!$C$4:$M$4,0),-1)),0)</f>
        <v>0</v>
      </c>
      <c r="AG21" s="160">
        <f>IFERROR(INDEX(镶嵌库!$C$5:$M$13,基础面板属性!$D21+1,IF(LEFT(基础面板属性!$C21,2)&amp;"值"=基础面板属性!AG$1,MATCH(基础面板属性!$C21,镶嵌库!$C$4:$M$4,0),-1)),0)</f>
        <v>0</v>
      </c>
      <c r="AH21" s="160">
        <f>IFERROR(INDEX(镶嵌库!$C$5:$M$13,基础面板属性!$D21+1,IF(LEFT(基础面板属性!$C21,2)&amp;"值"=基础面板属性!AH$1,MATCH(基础面板属性!$C21,镶嵌库!$C$4:$M$4,0),-1)),0)</f>
        <v>0</v>
      </c>
      <c r="AI21" s="160">
        <f>IFERROR(INDEX(镶嵌库!$C$5:$M$13,基础面板属性!$D21+1,IF(LEFT(基础面板属性!$C21,2)&amp;"值"=基础面板属性!AI$1,MATCH(基础面板属性!$C21,镶嵌库!$C$4:$M$4,0),-1)),0)</f>
        <v>0</v>
      </c>
      <c r="AJ21" s="160">
        <f>IFERROR(INDEX(镶嵌库!$C$5:$M$13,基础面板属性!$D21+1,IF(LEFT(基础面板属性!$C21,2)&amp;"值"=基础面板属性!AJ$1,MATCH(基础面板属性!$C21,镶嵌库!$C$4:$M$4,0),-1)),0)</f>
        <v>0</v>
      </c>
      <c r="AK21" s="160">
        <f>IFERROR(INDEX(镶嵌库!$C$5:$M$13,基础面板属性!$D21+1,IF(LEFT(基础面板属性!$C21,2)&amp;"值"=基础面板属性!AK$1,MATCH(基础面板属性!$C21,镶嵌库!$C$4:$M$4,0),-1)),0)</f>
        <v>1317</v>
      </c>
      <c r="AL21" s="160">
        <f>IFERROR(INDEX(镶嵌库!$C$5:$M$13,基础面板属性!$D21+1,IF(LEFT(基础面板属性!$C21,2)&amp;"值"=基础面板属性!AL$1,MATCH(基础面板属性!$C21,镶嵌库!$C$4:$M$4,0),-1)),0)</f>
        <v>0</v>
      </c>
      <c r="AM21" s="160">
        <f>IFERROR(INDEX(镶嵌库!$C$5:$M$13,基础面板属性!$D21+1,IF(LEFT(基础面板属性!$C21,2)&amp;"值"=基础面板属性!AM$1,MATCH(基础面板属性!$C21,镶嵌库!$C$4:$M$4,0),-1)),0)</f>
        <v>0</v>
      </c>
      <c r="AN21" s="160">
        <f>IFERROR(INDEX(镶嵌库!$C$5:$M$13,基础面板属性!$D21+1,IF(LEFT(基础面板属性!$C21,2)&amp;"值"=基础面板属性!AN$1,MATCH(基础面板属性!$C21,镶嵌库!$C$4:$M$4,0),-1)),0)</f>
        <v>0</v>
      </c>
      <c r="AO21" s="160">
        <f>IFERROR(INDEX(镶嵌库!$C$5:$M$13,基础面板属性!$D21+1,IF(LEFT(基础面板属性!$C21,2)&amp;"值"=基础面板属性!AO$1,MATCH(基础面板属性!$C21,镶嵌库!$C$4:$M$4,0),-1)),0)</f>
        <v>0</v>
      </c>
      <c r="AP21" s="160">
        <f>IFERROR(INDEX(镶嵌库!$C$5:$M$13,基础面板属性!$D21+1,IF(LEFT(基础面板属性!$C21,2)&amp;"值"=基础面板属性!AP$1,MATCH(基础面板属性!$C21,镶嵌库!$C$4:$M$4,0),-1)),0)</f>
        <v>0</v>
      </c>
      <c r="AU21" s="160">
        <f>IFERROR(INDEX(镶嵌库!$C$5:$M$13,基础面板属性!$D21+1,IF(LEFT(基础面板属性!$C21,2)&amp;"值"=基础面板属性!AU$1,MATCH(基础面板属性!$C21,镶嵌库!$C$4:$M$4,0),-1)),0)</f>
        <v>0</v>
      </c>
      <c r="AV21" s="160">
        <f>IFERROR(INDEX(镶嵌库!$C$5:$M$13,基础面板属性!$D21+1,IF(LEFT(基础面板属性!$C21,2)&amp;"值"=基础面板属性!AV$1,MATCH(基础面板属性!$C21,镶嵌库!$C$4:$M$4,0),-1)),0)</f>
        <v>0</v>
      </c>
      <c r="AW21" s="160">
        <f>IFERROR(INDEX(镶嵌库!$C$5:$M$13,基础面板属性!$D21+1,IF(LEFT(基础面板属性!$C21,2)&amp;"值"=基础面板属性!AW$1,MATCH(基础面板属性!$C21,镶嵌库!$C$4:$M$4,0),-1)),0)</f>
        <v>0</v>
      </c>
      <c r="AX21" s="160">
        <f>IFERROR(INDEX(镶嵌库!$C$5:$M$13,基础面板属性!$D21+1,IF(LEFT(基础面板属性!$C21,2)&amp;"值"=基础面板属性!AX$1,MATCH(基础面板属性!$C21,镶嵌库!$C$4:$M$4,0),-1)),0)</f>
        <v>0</v>
      </c>
      <c r="AY21" s="160">
        <f>IFERROR(INDEX(镶嵌库!$C$5:$M$13,基础面板属性!$D21+1,IF(LEFT(基础面板属性!$C21,2)&amp;"值"=基础面板属性!AY$1,MATCH(基础面板属性!$C21,镶嵌库!$C$4:$M$4,0),-1)),0)</f>
        <v>0</v>
      </c>
      <c r="AZ21" s="160">
        <f>IFERROR(INDEX(镶嵌库!$C$5:$M$13,基础面板属性!$D21+1,IF(LEFT(基础面板属性!$C21,2)&amp;"值"=基础面板属性!AZ$1,MATCH(基础面板属性!$C21,镶嵌库!$C$4:$M$4,0),-1)),0)</f>
        <v>0</v>
      </c>
      <c r="BA21" s="160">
        <f>IFERROR(INDEX(镶嵌库!$C$5:$M$13,基础面板属性!$D21+1,IF(LEFT(基础面板属性!$C21,2)&amp;"值"=基础面板属性!BA$1,MATCH(基础面板属性!$C21,镶嵌库!$C$4:$M$4,0),-1)),0)</f>
        <v>0</v>
      </c>
      <c r="BB21" s="160">
        <f>IFERROR(INDEX(镶嵌库!$C$5:$M$13,基础面板属性!$D21+1,IF(LEFT(基础面板属性!$C21,2)&amp;"值"=基础面板属性!BB$1,MATCH(基础面板属性!$C21,镶嵌库!$C$4:$M$4,0),-1)),0)</f>
        <v>0</v>
      </c>
      <c r="BC21" s="160">
        <f>IFERROR(INDEX(镶嵌库!$C$5:$M$13,基础面板属性!$D21+1,IF(LEFT(基础面板属性!$C21,2)&amp;"值"=基础面板属性!BC$1,MATCH(基础面板属性!$C21,镶嵌库!$C$4:$M$4,0),-1)),0)</f>
        <v>0</v>
      </c>
      <c r="BD21" s="160">
        <f>IFERROR(INDEX(镶嵌库!$C$5:$M$13,基础面板属性!$D21+1,IF(LEFT(基础面板属性!$C21,2)&amp;"值"=基础面板属性!BD$1,MATCH(基础面板属性!$C21,镶嵌库!$C$4:$M$4,0),-1)),0)</f>
        <v>0</v>
      </c>
    </row>
    <row r="22" spans="1:56">
      <c r="A22" s="160" t="str">
        <f>A19</f>
        <v>护腕</v>
      </c>
      <c r="B22" s="160" t="s">
        <v>2068</v>
      </c>
      <c r="C22" s="160" t="str">
        <f>IF(附魔库!$W$8="气血","基础气血值",附魔库!$W$8&amp;"值")</f>
        <v>无双值</v>
      </c>
      <c r="D22" s="160">
        <f>附魔库!X8</f>
        <v>3279</v>
      </c>
      <c r="E22" s="160">
        <f>IF(OR($C22=E$1,$C22&amp;"大"=E$1,$C22&amp;"小"=E$1),$D22,0)</f>
        <v>0</v>
      </c>
      <c r="F22" s="160">
        <f t="shared" ref="F22:BD22" si="3">IF(OR($C22=F$1,$C22&amp;"大"=F$1,$C22&amp;"小"=F$1),$D22,0)</f>
        <v>0</v>
      </c>
      <c r="G22" s="160">
        <f t="shared" si="3"/>
        <v>0</v>
      </c>
      <c r="H22" s="160">
        <f t="shared" si="3"/>
        <v>0</v>
      </c>
      <c r="I22" s="160">
        <f t="shared" si="3"/>
        <v>0</v>
      </c>
      <c r="J22" s="160">
        <f t="shared" si="3"/>
        <v>0</v>
      </c>
      <c r="K22" s="160">
        <f t="shared" si="3"/>
        <v>0</v>
      </c>
      <c r="L22" s="160">
        <f t="shared" si="3"/>
        <v>0</v>
      </c>
      <c r="M22" s="160">
        <f t="shared" si="3"/>
        <v>0</v>
      </c>
      <c r="N22" s="160">
        <f t="shared" si="3"/>
        <v>0</v>
      </c>
      <c r="O22" s="160">
        <f t="shared" si="3"/>
        <v>0</v>
      </c>
      <c r="P22" s="160">
        <f t="shared" si="3"/>
        <v>0</v>
      </c>
      <c r="Q22" s="160">
        <f t="shared" si="3"/>
        <v>0</v>
      </c>
      <c r="R22" s="160">
        <f t="shared" si="3"/>
        <v>0</v>
      </c>
      <c r="S22" s="160">
        <f t="shared" si="3"/>
        <v>0</v>
      </c>
      <c r="T22" s="160">
        <f t="shared" si="3"/>
        <v>0</v>
      </c>
      <c r="U22" s="160">
        <f t="shared" si="3"/>
        <v>0</v>
      </c>
      <c r="V22" s="160">
        <f t="shared" si="3"/>
        <v>0</v>
      </c>
      <c r="W22" s="160">
        <f t="shared" si="3"/>
        <v>0</v>
      </c>
      <c r="X22" s="160">
        <f t="shared" si="3"/>
        <v>0</v>
      </c>
      <c r="Y22" s="160">
        <f t="shared" si="3"/>
        <v>0</v>
      </c>
      <c r="Z22" s="160">
        <f t="shared" si="3"/>
        <v>0</v>
      </c>
      <c r="AA22" s="160">
        <f t="shared" si="3"/>
        <v>0</v>
      </c>
      <c r="AB22" s="160">
        <f t="shared" si="3"/>
        <v>0</v>
      </c>
      <c r="AC22" s="160">
        <f t="shared" si="3"/>
        <v>0</v>
      </c>
      <c r="AD22" s="160">
        <f t="shared" si="3"/>
        <v>0</v>
      </c>
      <c r="AE22" s="160">
        <f t="shared" si="3"/>
        <v>0</v>
      </c>
      <c r="AF22" s="160">
        <f t="shared" si="3"/>
        <v>0</v>
      </c>
      <c r="AG22" s="160">
        <f t="shared" si="3"/>
        <v>0</v>
      </c>
      <c r="AH22" s="160">
        <f t="shared" si="3"/>
        <v>0</v>
      </c>
      <c r="AI22" s="160">
        <f t="shared" si="3"/>
        <v>0</v>
      </c>
      <c r="AJ22" s="160">
        <f t="shared" si="3"/>
        <v>0</v>
      </c>
      <c r="AK22" s="160">
        <f t="shared" si="3"/>
        <v>3279</v>
      </c>
      <c r="AL22" s="160">
        <f t="shared" si="3"/>
        <v>0</v>
      </c>
      <c r="AM22" s="160">
        <f t="shared" si="3"/>
        <v>0</v>
      </c>
      <c r="AN22" s="160">
        <f t="shared" si="3"/>
        <v>0</v>
      </c>
      <c r="AO22" s="160">
        <f t="shared" si="3"/>
        <v>0</v>
      </c>
      <c r="AP22" s="160">
        <f t="shared" si="3"/>
        <v>0</v>
      </c>
      <c r="AU22" s="160">
        <f t="shared" si="3"/>
        <v>0</v>
      </c>
      <c r="AV22" s="160">
        <f t="shared" si="3"/>
        <v>0</v>
      </c>
      <c r="AW22" s="160">
        <f t="shared" si="3"/>
        <v>0</v>
      </c>
      <c r="AX22" s="160">
        <f t="shared" si="3"/>
        <v>0</v>
      </c>
      <c r="AY22" s="160">
        <f t="shared" si="3"/>
        <v>0</v>
      </c>
      <c r="AZ22" s="160">
        <f t="shared" si="3"/>
        <v>0</v>
      </c>
      <c r="BA22" s="160">
        <f t="shared" si="3"/>
        <v>0</v>
      </c>
      <c r="BB22" s="160">
        <f t="shared" si="3"/>
        <v>0</v>
      </c>
      <c r="BC22" s="160">
        <f t="shared" si="3"/>
        <v>0</v>
      </c>
      <c r="BD22" s="160">
        <f t="shared" si="3"/>
        <v>0</v>
      </c>
    </row>
    <row r="23" spans="1:56">
      <c r="A23" s="160" t="str">
        <f>A19</f>
        <v>护腕</v>
      </c>
      <c r="B23" s="160" t="s">
        <v>2069</v>
      </c>
    </row>
    <row r="24" spans="1:56">
      <c r="A24" s="160" t="s">
        <v>2070</v>
      </c>
      <c r="B24" s="160" t="s">
        <v>2071</v>
      </c>
      <c r="C24" s="160" t="str">
        <f>配装计算器!I7</f>
        <v>停日裤·明(41400精简会招无)</v>
      </c>
      <c r="E24" s="160">
        <f>装备选择!AV6</f>
        <v>24434</v>
      </c>
      <c r="M24" s="160">
        <f>装备选择!AW6</f>
        <v>0</v>
      </c>
      <c r="S24" s="160">
        <f>装备选择!AY6</f>
        <v>8753</v>
      </c>
      <c r="W24" s="160">
        <f>装备选择!AZ6</f>
        <v>12216</v>
      </c>
      <c r="Z24" s="160">
        <f>装备选择!BA6</f>
        <v>0</v>
      </c>
      <c r="AC24" s="160">
        <f>装备选择!BB6</f>
        <v>0</v>
      </c>
      <c r="AG24" s="160">
        <f>装备选择!BF6</f>
        <v>0</v>
      </c>
      <c r="AH24" s="160">
        <f>装备选择!BC6</f>
        <v>12216</v>
      </c>
      <c r="AK24" s="160">
        <f>装备选择!BD6</f>
        <v>12216</v>
      </c>
      <c r="AP24" s="160">
        <f>装备选择!BE6</f>
        <v>0</v>
      </c>
      <c r="AU24" s="160">
        <f>装备选择!BH6</f>
        <v>0</v>
      </c>
      <c r="AV24" s="160">
        <f>装备选择!BI6</f>
        <v>0</v>
      </c>
    </row>
    <row r="25" spans="1:56">
      <c r="A25" s="160" t="str">
        <f>A24</f>
        <v>下装</v>
      </c>
      <c r="B25" s="160" t="s">
        <v>2072</v>
      </c>
      <c r="C25" s="160" t="str">
        <f>配装计算器!H9</f>
        <v>会心孔</v>
      </c>
      <c r="D25" s="160">
        <f>IF(C25="",0,IF(配装计算器!$K$32&lt;&gt;"不使用",镶嵌库!$Y$17,IFERROR(1*(LEFT(配装计算器!I9,1)),0)))</f>
        <v>8</v>
      </c>
      <c r="E25" s="160">
        <f>IFERROR(INDEX(镶嵌库!$C$5:$M$13,基础面板属性!$D25+1,IF(LEFT(基础面板属性!$C25,2)&amp;"值"=基础面板属性!E$1,MATCH(基础面板属性!$C25,镶嵌库!$C$4:$M$4,0),-1)),0)</f>
        <v>0</v>
      </c>
      <c r="F25" s="160">
        <f>IFERROR(INDEX(镶嵌库!$C$5:$M$13,基础面板属性!$D25+1,IF(LEFT(基础面板属性!$C25,2)&amp;"值"=基础面板属性!F$1,MATCH(基础面板属性!$C25,镶嵌库!$C$4:$M$4,0),-1)),0)</f>
        <v>0</v>
      </c>
      <c r="G25" s="160">
        <f>IFERROR(INDEX(镶嵌库!$C$5:$M$13,基础面板属性!$D25+1,IF(LEFT(基础面板属性!$C25,2)&amp;"值"=基础面板属性!G$1,MATCH(基础面板属性!$C25,镶嵌库!$C$4:$M$4,0),-1)),0)</f>
        <v>0</v>
      </c>
      <c r="H25" s="160">
        <f>IFERROR(INDEX(镶嵌库!$C$5:$M$13,基础面板属性!$D25+1,IF(LEFT(基础面板属性!$C25,2)&amp;"值"=基础面板属性!H$1,MATCH(基础面板属性!$C25,镶嵌库!$C$4:$M$4,0),-1)),0)</f>
        <v>0</v>
      </c>
      <c r="I25" s="160">
        <f>IFERROR(INDEX(镶嵌库!$C$5:$M$13,基础面板属性!$D25+1,IF(LEFT(基础面板属性!$C25,2)&amp;"值"=基础面板属性!I$1,MATCH(基础面板属性!$C25,镶嵌库!$C$4:$M$4,0),-1)),0)</f>
        <v>0</v>
      </c>
      <c r="J25" s="160">
        <f>IFERROR(INDEX(镶嵌库!$C$5:$M$13,基础面板属性!$D25+1,IF(LEFT(基础面板属性!$C25,2)&amp;"值"=基础面板属性!J$1,MATCH(基础面板属性!$C25,镶嵌库!$C$4:$M$4,0),-1)),0)</f>
        <v>0</v>
      </c>
      <c r="K25" s="160">
        <f>IFERROR(INDEX(镶嵌库!$C$5:$M$13,基础面板属性!$D25+1,IF(LEFT(基础面板属性!$C25,2)&amp;"值"=基础面板属性!K$1,MATCH(基础面板属性!$C25,镶嵌库!$C$4:$M$4,0),-1)),0)</f>
        <v>0</v>
      </c>
      <c r="L25" s="160">
        <f>IFERROR(INDEX(镶嵌库!$C$5:$M$13,基础面板属性!$D25+1,IF(LEFT(基础面板属性!$C25,2)&amp;"值"=基础面板属性!L$1,MATCH(基础面板属性!$C25,镶嵌库!$C$4:$M$4,0),-1)),0)</f>
        <v>0</v>
      </c>
      <c r="M25" s="160">
        <f>IFERROR(INDEX(镶嵌库!$C$5:$M$13,基础面板属性!$D25+1,IF(LEFT(基础面板属性!$C25,2)&amp;"值"=基础面板属性!M$1,MATCH(基础面板属性!$C25,镶嵌库!$C$4:$M$4,0),-1)),0)</f>
        <v>0</v>
      </c>
      <c r="N25" s="160">
        <f>IFERROR(INDEX(镶嵌库!$C$5:$M$13,基础面板属性!$D25+1,IF(LEFT(基础面板属性!$C25,2)&amp;"值"=基础面板属性!N$1,MATCH(基础面板属性!$C25,镶嵌库!$C$4:$M$4,0),-1)),0)</f>
        <v>0</v>
      </c>
      <c r="O25" s="160">
        <f>IFERROR(INDEX(镶嵌库!$C$5:$M$13,基础面板属性!$D25+1,IF(LEFT(基础面板属性!$C25,2)&amp;"值"=基础面板属性!O$1,MATCH(基础面板属性!$C25,镶嵌库!$C$4:$M$4,0),-1)),0)</f>
        <v>0</v>
      </c>
      <c r="P25" s="160">
        <f>IFERROR(INDEX(镶嵌库!$C$5:$M$13,基础面板属性!$D25+1,IF(LEFT(基础面板属性!$C25,2)&amp;"值"=基础面板属性!P$1,MATCH(基础面板属性!$C25,镶嵌库!$C$4:$M$4,0),-1)),0)</f>
        <v>0</v>
      </c>
      <c r="Q25" s="160">
        <f>IFERROR(INDEX(镶嵌库!$C$5:$M$13,基础面板属性!$D25+1,IF(LEFT(基础面板属性!$C25,2)&amp;"值"=基础面板属性!Q$1,MATCH(基础面板属性!$C25,镶嵌库!$C$4:$M$4,0),-1)),0)</f>
        <v>0</v>
      </c>
      <c r="R25" s="160">
        <f>IFERROR(INDEX(镶嵌库!$C$5:$M$13,基础面板属性!$D25+1,IF(LEFT(基础面板属性!$C25,2)&amp;"值"=基础面板属性!R$1,MATCH(基础面板属性!$C25,镶嵌库!$C$4:$M$4,0),-1)),0)</f>
        <v>0</v>
      </c>
      <c r="S25" s="160">
        <f>IFERROR(INDEX(镶嵌库!$C$5:$M$13,基础面板属性!$D25+1,IF(LEFT(基础面板属性!$C25,2)&amp;"值"=基础面板属性!S$1,MATCH(基础面板属性!$C25,镶嵌库!$C$4:$M$4,0),-1)),0)</f>
        <v>0</v>
      </c>
      <c r="T25" s="160">
        <f>IFERROR(INDEX(镶嵌库!$C$5:$M$13,基础面板属性!$D25+1,IF(LEFT(基础面板属性!$C25,2)&amp;"值"=基础面板属性!T$1,MATCH(基础面板属性!$C25,镶嵌库!$C$4:$M$4,0),-1)),0)</f>
        <v>0</v>
      </c>
      <c r="U25" s="160">
        <f>IFERROR(INDEX(镶嵌库!$C$5:$M$13,基础面板属性!$D25+1,IF(LEFT(基础面板属性!$C25,2)&amp;"值"=基础面板属性!U$1,MATCH(基础面板属性!$C25,镶嵌库!$C$4:$M$4,0),-1)),0)</f>
        <v>0</v>
      </c>
      <c r="V25" s="160">
        <f>IFERROR(INDEX(镶嵌库!$C$5:$M$13,基础面板属性!$D25+1,IF(LEFT(基础面板属性!$C25,2)&amp;"值"=基础面板属性!V$1,MATCH(基础面板属性!$C25,镶嵌库!$C$4:$M$4,0),-1)),0)</f>
        <v>0</v>
      </c>
      <c r="W25" s="160">
        <f>IFERROR(INDEX(镶嵌库!$C$5:$M$13,基础面板属性!$D25+1,IF(LEFT(基础面板属性!$C25,2)&amp;"值"=基础面板属性!W$1,MATCH(基础面板属性!$C25,镶嵌库!$C$4:$M$4,0),-1)),0)</f>
        <v>1317</v>
      </c>
      <c r="X25" s="160">
        <f>IFERROR(INDEX(镶嵌库!$C$5:$M$13,基础面板属性!$D25+1,IF(LEFT(基础面板属性!$C25,2)&amp;"值"=基础面板属性!X$1,MATCH(基础面板属性!$C25,镶嵌库!$C$4:$M$4,0),-1)),0)</f>
        <v>0</v>
      </c>
      <c r="Y25" s="160">
        <f>IFERROR(INDEX(镶嵌库!$C$5:$M$13,基础面板属性!$D25+1,IF(LEFT(基础面板属性!$C25,2)&amp;"值"=基础面板属性!Y$1,MATCH(基础面板属性!$C25,镶嵌库!$C$4:$M$4,0),-1)),0)</f>
        <v>0</v>
      </c>
      <c r="Z25" s="160">
        <f>IFERROR(INDEX(镶嵌库!$C$5:$M$13,基础面板属性!$D25+1,IF(LEFT(基础面板属性!$C25,2)&amp;"值"=基础面板属性!Z$1,MATCH(基础面板属性!$C25,镶嵌库!$C$4:$M$4,0),-1)),0)</f>
        <v>0</v>
      </c>
      <c r="AA25" s="160">
        <f>IFERROR(INDEX(镶嵌库!$C$5:$M$13,基础面板属性!$D25+1,IF(LEFT(基础面板属性!$C25,2)&amp;"值"=基础面板属性!AA$1,MATCH(基础面板属性!$C25,镶嵌库!$C$4:$M$4,0),-1)),0)</f>
        <v>0</v>
      </c>
      <c r="AB25" s="160">
        <f>IFERROR(INDEX(镶嵌库!$C$5:$M$13,基础面板属性!$D25+1,IF(LEFT(基础面板属性!$C25,2)&amp;"值"=基础面板属性!AB$1,MATCH(基础面板属性!$C25,镶嵌库!$C$4:$M$4,0),-1)),0)</f>
        <v>0</v>
      </c>
      <c r="AC25" s="160">
        <f>IFERROR(INDEX(镶嵌库!$C$5:$M$13,基础面板属性!$D25+1,IF(LEFT(基础面板属性!$C25,2)&amp;"值"=基础面板属性!AC$1,MATCH(基础面板属性!$C25,镶嵌库!$C$4:$M$4,0),-1)),0)</f>
        <v>0</v>
      </c>
      <c r="AD25" s="160">
        <f>IFERROR(INDEX(镶嵌库!$C$5:$M$13,基础面板属性!$D25+1,IF(LEFT(基础面板属性!$C25,2)&amp;"值"=基础面板属性!AD$1,MATCH(基础面板属性!$C25,镶嵌库!$C$4:$M$4,0),-1)),0)</f>
        <v>0</v>
      </c>
      <c r="AE25" s="160">
        <f>IFERROR(INDEX(镶嵌库!$C$5:$M$13,基础面板属性!$D25+1,IF(LEFT(基础面板属性!$C25,2)&amp;"值"=基础面板属性!AE$1,MATCH(基础面板属性!$C25,镶嵌库!$C$4:$M$4,0),-1)),0)</f>
        <v>0</v>
      </c>
      <c r="AF25" s="160">
        <f>IFERROR(INDEX(镶嵌库!$C$5:$M$13,基础面板属性!$D25+1,IF(LEFT(基础面板属性!$C25,2)&amp;"值"=基础面板属性!AF$1,MATCH(基础面板属性!$C25,镶嵌库!$C$4:$M$4,0),-1)),0)</f>
        <v>0</v>
      </c>
      <c r="AG25" s="160">
        <f>IFERROR(INDEX(镶嵌库!$C$5:$M$13,基础面板属性!$D25+1,IF(LEFT(基础面板属性!$C25,2)&amp;"值"=基础面板属性!AG$1,MATCH(基础面板属性!$C25,镶嵌库!$C$4:$M$4,0),-1)),0)</f>
        <v>0</v>
      </c>
      <c r="AH25" s="160">
        <f>IFERROR(INDEX(镶嵌库!$C$5:$M$13,基础面板属性!$D25+1,IF(LEFT(基础面板属性!$C25,2)&amp;"值"=基础面板属性!AH$1,MATCH(基础面板属性!$C25,镶嵌库!$C$4:$M$4,0),-1)),0)</f>
        <v>0</v>
      </c>
      <c r="AI25" s="160">
        <f>IFERROR(INDEX(镶嵌库!$C$5:$M$13,基础面板属性!$D25+1,IF(LEFT(基础面板属性!$C25,2)&amp;"值"=基础面板属性!AI$1,MATCH(基础面板属性!$C25,镶嵌库!$C$4:$M$4,0),-1)),0)</f>
        <v>0</v>
      </c>
      <c r="AJ25" s="160">
        <f>IFERROR(INDEX(镶嵌库!$C$5:$M$13,基础面板属性!$D25+1,IF(LEFT(基础面板属性!$C25,2)&amp;"值"=基础面板属性!AJ$1,MATCH(基础面板属性!$C25,镶嵌库!$C$4:$M$4,0),-1)),0)</f>
        <v>0</v>
      </c>
      <c r="AK25" s="160">
        <f>IFERROR(INDEX(镶嵌库!$C$5:$M$13,基础面板属性!$D25+1,IF(LEFT(基础面板属性!$C25,2)&amp;"值"=基础面板属性!AK$1,MATCH(基础面板属性!$C25,镶嵌库!$C$4:$M$4,0),-1)),0)</f>
        <v>0</v>
      </c>
      <c r="AL25" s="160">
        <f>IFERROR(INDEX(镶嵌库!$C$5:$M$13,基础面板属性!$D25+1,IF(LEFT(基础面板属性!$C25,2)&amp;"值"=基础面板属性!AL$1,MATCH(基础面板属性!$C25,镶嵌库!$C$4:$M$4,0),-1)),0)</f>
        <v>0</v>
      </c>
      <c r="AM25" s="160">
        <f>IFERROR(INDEX(镶嵌库!$C$5:$M$13,基础面板属性!$D25+1,IF(LEFT(基础面板属性!$C25,2)&amp;"值"=基础面板属性!AM$1,MATCH(基础面板属性!$C25,镶嵌库!$C$4:$M$4,0),-1)),0)</f>
        <v>0</v>
      </c>
      <c r="AN25" s="160">
        <f>IFERROR(INDEX(镶嵌库!$C$5:$M$13,基础面板属性!$D25+1,IF(LEFT(基础面板属性!$C25,2)&amp;"值"=基础面板属性!AN$1,MATCH(基础面板属性!$C25,镶嵌库!$C$4:$M$4,0),-1)),0)</f>
        <v>0</v>
      </c>
      <c r="AO25" s="160">
        <f>IFERROR(INDEX(镶嵌库!$C$5:$M$13,基础面板属性!$D25+1,IF(LEFT(基础面板属性!$C25,2)&amp;"值"=基础面板属性!AO$1,MATCH(基础面板属性!$C25,镶嵌库!$C$4:$M$4,0),-1)),0)</f>
        <v>0</v>
      </c>
      <c r="AP25" s="160">
        <f>IFERROR(INDEX(镶嵌库!$C$5:$M$13,基础面板属性!$D25+1,IF(LEFT(基础面板属性!$C25,2)&amp;"值"=基础面板属性!AP$1,MATCH(基础面板属性!$C25,镶嵌库!$C$4:$M$4,0),-1)),0)</f>
        <v>0</v>
      </c>
      <c r="AU25" s="160">
        <f>IFERROR(INDEX(镶嵌库!$C$5:$M$13,基础面板属性!$D25+1,IF(LEFT(基础面板属性!$C25,2)&amp;"值"=基础面板属性!AU$1,MATCH(基础面板属性!$C25,镶嵌库!$C$4:$M$4,0),-1)),0)</f>
        <v>0</v>
      </c>
      <c r="AV25" s="160">
        <f>IFERROR(INDEX(镶嵌库!$C$5:$M$13,基础面板属性!$D25+1,IF(LEFT(基础面板属性!$C25,2)&amp;"值"=基础面板属性!AV$1,MATCH(基础面板属性!$C25,镶嵌库!$C$4:$M$4,0),-1)),0)</f>
        <v>0</v>
      </c>
      <c r="AW25" s="160">
        <f>IFERROR(INDEX(镶嵌库!$C$5:$M$13,基础面板属性!$D25+1,IF(LEFT(基础面板属性!$C25,2)&amp;"值"=基础面板属性!AW$1,MATCH(基础面板属性!$C25,镶嵌库!$C$4:$M$4,0),-1)),0)</f>
        <v>0</v>
      </c>
      <c r="AX25" s="160">
        <f>IFERROR(INDEX(镶嵌库!$C$5:$M$13,基础面板属性!$D25+1,IF(LEFT(基础面板属性!$C25,2)&amp;"值"=基础面板属性!AX$1,MATCH(基础面板属性!$C25,镶嵌库!$C$4:$M$4,0),-1)),0)</f>
        <v>0</v>
      </c>
      <c r="AY25" s="160">
        <f>IFERROR(INDEX(镶嵌库!$C$5:$M$13,基础面板属性!$D25+1,IF(LEFT(基础面板属性!$C25,2)&amp;"值"=基础面板属性!AY$1,MATCH(基础面板属性!$C25,镶嵌库!$C$4:$M$4,0),-1)),0)</f>
        <v>0</v>
      </c>
      <c r="AZ25" s="160">
        <f>IFERROR(INDEX(镶嵌库!$C$5:$M$13,基础面板属性!$D25+1,IF(LEFT(基础面板属性!$C25,2)&amp;"值"=基础面板属性!AZ$1,MATCH(基础面板属性!$C25,镶嵌库!$C$4:$M$4,0),-1)),0)</f>
        <v>0</v>
      </c>
      <c r="BA25" s="160">
        <f>IFERROR(INDEX(镶嵌库!$C$5:$M$13,基础面板属性!$D25+1,IF(LEFT(基础面板属性!$C25,2)&amp;"值"=基础面板属性!BA$1,MATCH(基础面板属性!$C25,镶嵌库!$C$4:$M$4,0),-1)),0)</f>
        <v>0</v>
      </c>
      <c r="BB25" s="160">
        <f>IFERROR(INDEX(镶嵌库!$C$5:$M$13,基础面板属性!$D25+1,IF(LEFT(基础面板属性!$C25,2)&amp;"值"=基础面板属性!BB$1,MATCH(基础面板属性!$C25,镶嵌库!$C$4:$M$4,0),-1)),0)</f>
        <v>0</v>
      </c>
      <c r="BC25" s="160">
        <f>IFERROR(INDEX(镶嵌库!$C$5:$M$13,基础面板属性!$D25+1,IF(LEFT(基础面板属性!$C25,2)&amp;"值"=基础面板属性!BC$1,MATCH(基础面板属性!$C25,镶嵌库!$C$4:$M$4,0),-1)),0)</f>
        <v>0</v>
      </c>
      <c r="BD25" s="160">
        <f>IFERROR(INDEX(镶嵌库!$C$5:$M$13,基础面板属性!$D25+1,IF(LEFT(基础面板属性!$C25,2)&amp;"值"=基础面板属性!BD$1,MATCH(基础面板属性!$C25,镶嵌库!$C$4:$M$4,0),-1)),0)</f>
        <v>0</v>
      </c>
    </row>
    <row r="26" spans="1:56">
      <c r="A26" s="160" t="str">
        <f>A24</f>
        <v>下装</v>
      </c>
      <c r="B26" s="160" t="s">
        <v>2073</v>
      </c>
      <c r="C26" s="160" t="str">
        <f>配装计算器!H10</f>
        <v>无双孔</v>
      </c>
      <c r="D26" s="160">
        <f>IF(C26="",0,IF(配装计算器!$K$32&lt;&gt;"不使用",镶嵌库!$Y$17,IFERROR(1*(LEFT(配装计算器!I10,1)),0)))</f>
        <v>8</v>
      </c>
      <c r="E26" s="160">
        <f>IFERROR(INDEX(镶嵌库!$C$5:$M$13,基础面板属性!$D26+1,IF(LEFT(基础面板属性!$C26,2)&amp;"值"=基础面板属性!E$1,MATCH(基础面板属性!$C26,镶嵌库!$C$4:$M$4,0),-1)),0)</f>
        <v>0</v>
      </c>
      <c r="F26" s="160">
        <f>IFERROR(INDEX(镶嵌库!$C$5:$M$13,基础面板属性!$D26+1,IF(LEFT(基础面板属性!$C26,2)&amp;"值"=基础面板属性!F$1,MATCH(基础面板属性!$C26,镶嵌库!$C$4:$M$4,0),-1)),0)</f>
        <v>0</v>
      </c>
      <c r="G26" s="160">
        <f>IFERROR(INDEX(镶嵌库!$C$5:$M$13,基础面板属性!$D26+1,IF(LEFT(基础面板属性!$C26,2)&amp;"值"=基础面板属性!G$1,MATCH(基础面板属性!$C26,镶嵌库!$C$4:$M$4,0),-1)),0)</f>
        <v>0</v>
      </c>
      <c r="H26" s="160">
        <f>IFERROR(INDEX(镶嵌库!$C$5:$M$13,基础面板属性!$D26+1,IF(LEFT(基础面板属性!$C26,2)&amp;"值"=基础面板属性!H$1,MATCH(基础面板属性!$C26,镶嵌库!$C$4:$M$4,0),-1)),0)</f>
        <v>0</v>
      </c>
      <c r="I26" s="160">
        <f>IFERROR(INDEX(镶嵌库!$C$5:$M$13,基础面板属性!$D26+1,IF(LEFT(基础面板属性!$C26,2)&amp;"值"=基础面板属性!I$1,MATCH(基础面板属性!$C26,镶嵌库!$C$4:$M$4,0),-1)),0)</f>
        <v>0</v>
      </c>
      <c r="J26" s="160">
        <f>IFERROR(INDEX(镶嵌库!$C$5:$M$13,基础面板属性!$D26+1,IF(LEFT(基础面板属性!$C26,2)&amp;"值"=基础面板属性!J$1,MATCH(基础面板属性!$C26,镶嵌库!$C$4:$M$4,0),-1)),0)</f>
        <v>0</v>
      </c>
      <c r="K26" s="160">
        <f>IFERROR(INDEX(镶嵌库!$C$5:$M$13,基础面板属性!$D26+1,IF(LEFT(基础面板属性!$C26,2)&amp;"值"=基础面板属性!K$1,MATCH(基础面板属性!$C26,镶嵌库!$C$4:$M$4,0),-1)),0)</f>
        <v>0</v>
      </c>
      <c r="L26" s="160">
        <f>IFERROR(INDEX(镶嵌库!$C$5:$M$13,基础面板属性!$D26+1,IF(LEFT(基础面板属性!$C26,2)&amp;"值"=基础面板属性!L$1,MATCH(基础面板属性!$C26,镶嵌库!$C$4:$M$4,0),-1)),0)</f>
        <v>0</v>
      </c>
      <c r="M26" s="160">
        <f>IFERROR(INDEX(镶嵌库!$C$5:$M$13,基础面板属性!$D26+1,IF(LEFT(基础面板属性!$C26,2)&amp;"值"=基础面板属性!M$1,MATCH(基础面板属性!$C26,镶嵌库!$C$4:$M$4,0),-1)),0)</f>
        <v>0</v>
      </c>
      <c r="N26" s="160">
        <f>IFERROR(INDEX(镶嵌库!$C$5:$M$13,基础面板属性!$D26+1,IF(LEFT(基础面板属性!$C26,2)&amp;"值"=基础面板属性!N$1,MATCH(基础面板属性!$C26,镶嵌库!$C$4:$M$4,0),-1)),0)</f>
        <v>0</v>
      </c>
      <c r="O26" s="160">
        <f>IFERROR(INDEX(镶嵌库!$C$5:$M$13,基础面板属性!$D26+1,IF(LEFT(基础面板属性!$C26,2)&amp;"值"=基础面板属性!O$1,MATCH(基础面板属性!$C26,镶嵌库!$C$4:$M$4,0),-1)),0)</f>
        <v>0</v>
      </c>
      <c r="P26" s="160">
        <f>IFERROR(INDEX(镶嵌库!$C$5:$M$13,基础面板属性!$D26+1,IF(LEFT(基础面板属性!$C26,2)&amp;"值"=基础面板属性!P$1,MATCH(基础面板属性!$C26,镶嵌库!$C$4:$M$4,0),-1)),0)</f>
        <v>0</v>
      </c>
      <c r="Q26" s="160">
        <f>IFERROR(INDEX(镶嵌库!$C$5:$M$13,基础面板属性!$D26+1,IF(LEFT(基础面板属性!$C26,2)&amp;"值"=基础面板属性!Q$1,MATCH(基础面板属性!$C26,镶嵌库!$C$4:$M$4,0),-1)),0)</f>
        <v>0</v>
      </c>
      <c r="R26" s="160">
        <f>IFERROR(INDEX(镶嵌库!$C$5:$M$13,基础面板属性!$D26+1,IF(LEFT(基础面板属性!$C26,2)&amp;"值"=基础面板属性!R$1,MATCH(基础面板属性!$C26,镶嵌库!$C$4:$M$4,0),-1)),0)</f>
        <v>0</v>
      </c>
      <c r="S26" s="160">
        <f>IFERROR(INDEX(镶嵌库!$C$5:$M$13,基础面板属性!$D26+1,IF(LEFT(基础面板属性!$C26,2)&amp;"值"=基础面板属性!S$1,MATCH(基础面板属性!$C26,镶嵌库!$C$4:$M$4,0),-1)),0)</f>
        <v>0</v>
      </c>
      <c r="T26" s="160">
        <f>IFERROR(INDEX(镶嵌库!$C$5:$M$13,基础面板属性!$D26+1,IF(LEFT(基础面板属性!$C26,2)&amp;"值"=基础面板属性!T$1,MATCH(基础面板属性!$C26,镶嵌库!$C$4:$M$4,0),-1)),0)</f>
        <v>0</v>
      </c>
      <c r="U26" s="160">
        <f>IFERROR(INDEX(镶嵌库!$C$5:$M$13,基础面板属性!$D26+1,IF(LEFT(基础面板属性!$C26,2)&amp;"值"=基础面板属性!U$1,MATCH(基础面板属性!$C26,镶嵌库!$C$4:$M$4,0),-1)),0)</f>
        <v>0</v>
      </c>
      <c r="V26" s="160">
        <f>IFERROR(INDEX(镶嵌库!$C$5:$M$13,基础面板属性!$D26+1,IF(LEFT(基础面板属性!$C26,2)&amp;"值"=基础面板属性!V$1,MATCH(基础面板属性!$C26,镶嵌库!$C$4:$M$4,0),-1)),0)</f>
        <v>0</v>
      </c>
      <c r="W26" s="160">
        <f>IFERROR(INDEX(镶嵌库!$C$5:$M$13,基础面板属性!$D26+1,IF(LEFT(基础面板属性!$C26,2)&amp;"值"=基础面板属性!W$1,MATCH(基础面板属性!$C26,镶嵌库!$C$4:$M$4,0),-1)),0)</f>
        <v>0</v>
      </c>
      <c r="X26" s="160">
        <f>IFERROR(INDEX(镶嵌库!$C$5:$M$13,基础面板属性!$D26+1,IF(LEFT(基础面板属性!$C26,2)&amp;"值"=基础面板属性!X$1,MATCH(基础面板属性!$C26,镶嵌库!$C$4:$M$4,0),-1)),0)</f>
        <v>0</v>
      </c>
      <c r="Y26" s="160">
        <f>IFERROR(INDEX(镶嵌库!$C$5:$M$13,基础面板属性!$D26+1,IF(LEFT(基础面板属性!$C26,2)&amp;"值"=基础面板属性!Y$1,MATCH(基础面板属性!$C26,镶嵌库!$C$4:$M$4,0),-1)),0)</f>
        <v>0</v>
      </c>
      <c r="Z26" s="160">
        <f>IFERROR(INDEX(镶嵌库!$C$5:$M$13,基础面板属性!$D26+1,IF(LEFT(基础面板属性!$C26,2)&amp;"值"=基础面板属性!Z$1,MATCH(基础面板属性!$C26,镶嵌库!$C$4:$M$4,0),-1)),0)</f>
        <v>0</v>
      </c>
      <c r="AA26" s="160">
        <f>IFERROR(INDEX(镶嵌库!$C$5:$M$13,基础面板属性!$D26+1,IF(LEFT(基础面板属性!$C26,2)&amp;"值"=基础面板属性!AA$1,MATCH(基础面板属性!$C26,镶嵌库!$C$4:$M$4,0),-1)),0)</f>
        <v>0</v>
      </c>
      <c r="AB26" s="160">
        <f>IFERROR(INDEX(镶嵌库!$C$5:$M$13,基础面板属性!$D26+1,IF(LEFT(基础面板属性!$C26,2)&amp;"值"=基础面板属性!AB$1,MATCH(基础面板属性!$C26,镶嵌库!$C$4:$M$4,0),-1)),0)</f>
        <v>0</v>
      </c>
      <c r="AC26" s="160">
        <f>IFERROR(INDEX(镶嵌库!$C$5:$M$13,基础面板属性!$D26+1,IF(LEFT(基础面板属性!$C26,2)&amp;"值"=基础面板属性!AC$1,MATCH(基础面板属性!$C26,镶嵌库!$C$4:$M$4,0),-1)),0)</f>
        <v>0</v>
      </c>
      <c r="AD26" s="160">
        <f>IFERROR(INDEX(镶嵌库!$C$5:$M$13,基础面板属性!$D26+1,IF(LEFT(基础面板属性!$C26,2)&amp;"值"=基础面板属性!AD$1,MATCH(基础面板属性!$C26,镶嵌库!$C$4:$M$4,0),-1)),0)</f>
        <v>0</v>
      </c>
      <c r="AE26" s="160">
        <f>IFERROR(INDEX(镶嵌库!$C$5:$M$13,基础面板属性!$D26+1,IF(LEFT(基础面板属性!$C26,2)&amp;"值"=基础面板属性!AE$1,MATCH(基础面板属性!$C26,镶嵌库!$C$4:$M$4,0),-1)),0)</f>
        <v>0</v>
      </c>
      <c r="AF26" s="160">
        <f>IFERROR(INDEX(镶嵌库!$C$5:$M$13,基础面板属性!$D26+1,IF(LEFT(基础面板属性!$C26,2)&amp;"值"=基础面板属性!AF$1,MATCH(基础面板属性!$C26,镶嵌库!$C$4:$M$4,0),-1)),0)</f>
        <v>0</v>
      </c>
      <c r="AG26" s="160">
        <f>IFERROR(INDEX(镶嵌库!$C$5:$M$13,基础面板属性!$D26+1,IF(LEFT(基础面板属性!$C26,2)&amp;"值"=基础面板属性!AG$1,MATCH(基础面板属性!$C26,镶嵌库!$C$4:$M$4,0),-1)),0)</f>
        <v>0</v>
      </c>
      <c r="AH26" s="160">
        <f>IFERROR(INDEX(镶嵌库!$C$5:$M$13,基础面板属性!$D26+1,IF(LEFT(基础面板属性!$C26,2)&amp;"值"=基础面板属性!AH$1,MATCH(基础面板属性!$C26,镶嵌库!$C$4:$M$4,0),-1)),0)</f>
        <v>0</v>
      </c>
      <c r="AI26" s="160">
        <f>IFERROR(INDEX(镶嵌库!$C$5:$M$13,基础面板属性!$D26+1,IF(LEFT(基础面板属性!$C26,2)&amp;"值"=基础面板属性!AI$1,MATCH(基础面板属性!$C26,镶嵌库!$C$4:$M$4,0),-1)),0)</f>
        <v>0</v>
      </c>
      <c r="AJ26" s="160">
        <f>IFERROR(INDEX(镶嵌库!$C$5:$M$13,基础面板属性!$D26+1,IF(LEFT(基础面板属性!$C26,2)&amp;"值"=基础面板属性!AJ$1,MATCH(基础面板属性!$C26,镶嵌库!$C$4:$M$4,0),-1)),0)</f>
        <v>0</v>
      </c>
      <c r="AK26" s="160">
        <f>IFERROR(INDEX(镶嵌库!$C$5:$M$13,基础面板属性!$D26+1,IF(LEFT(基础面板属性!$C26,2)&amp;"值"=基础面板属性!AK$1,MATCH(基础面板属性!$C26,镶嵌库!$C$4:$M$4,0),-1)),0)</f>
        <v>1317</v>
      </c>
      <c r="AL26" s="160">
        <f>IFERROR(INDEX(镶嵌库!$C$5:$M$13,基础面板属性!$D26+1,IF(LEFT(基础面板属性!$C26,2)&amp;"值"=基础面板属性!AL$1,MATCH(基础面板属性!$C26,镶嵌库!$C$4:$M$4,0),-1)),0)</f>
        <v>0</v>
      </c>
      <c r="AM26" s="160">
        <f>IFERROR(INDEX(镶嵌库!$C$5:$M$13,基础面板属性!$D26+1,IF(LEFT(基础面板属性!$C26,2)&amp;"值"=基础面板属性!AM$1,MATCH(基础面板属性!$C26,镶嵌库!$C$4:$M$4,0),-1)),0)</f>
        <v>0</v>
      </c>
      <c r="AN26" s="160">
        <f>IFERROR(INDEX(镶嵌库!$C$5:$M$13,基础面板属性!$D26+1,IF(LEFT(基础面板属性!$C26,2)&amp;"值"=基础面板属性!AN$1,MATCH(基础面板属性!$C26,镶嵌库!$C$4:$M$4,0),-1)),0)</f>
        <v>0</v>
      </c>
      <c r="AO26" s="160">
        <f>IFERROR(INDEX(镶嵌库!$C$5:$M$13,基础面板属性!$D26+1,IF(LEFT(基础面板属性!$C26,2)&amp;"值"=基础面板属性!AO$1,MATCH(基础面板属性!$C26,镶嵌库!$C$4:$M$4,0),-1)),0)</f>
        <v>0</v>
      </c>
      <c r="AP26" s="160">
        <f>IFERROR(INDEX(镶嵌库!$C$5:$M$13,基础面板属性!$D26+1,IF(LEFT(基础面板属性!$C26,2)&amp;"值"=基础面板属性!AP$1,MATCH(基础面板属性!$C26,镶嵌库!$C$4:$M$4,0),-1)),0)</f>
        <v>0</v>
      </c>
      <c r="AU26" s="160">
        <f>IFERROR(INDEX(镶嵌库!$C$5:$M$13,基础面板属性!$D26+1,IF(LEFT(基础面板属性!$C26,2)&amp;"值"=基础面板属性!AU$1,MATCH(基础面板属性!$C26,镶嵌库!$C$4:$M$4,0),-1)),0)</f>
        <v>0</v>
      </c>
      <c r="AV26" s="160">
        <f>IFERROR(INDEX(镶嵌库!$C$5:$M$13,基础面板属性!$D26+1,IF(LEFT(基础面板属性!$C26,2)&amp;"值"=基础面板属性!AV$1,MATCH(基础面板属性!$C26,镶嵌库!$C$4:$M$4,0),-1)),0)</f>
        <v>0</v>
      </c>
      <c r="AW26" s="160">
        <f>IFERROR(INDEX(镶嵌库!$C$5:$M$13,基础面板属性!$D26+1,IF(LEFT(基础面板属性!$C26,2)&amp;"值"=基础面板属性!AW$1,MATCH(基础面板属性!$C26,镶嵌库!$C$4:$M$4,0),-1)),0)</f>
        <v>0</v>
      </c>
      <c r="AX26" s="160">
        <f>IFERROR(INDEX(镶嵌库!$C$5:$M$13,基础面板属性!$D26+1,IF(LEFT(基础面板属性!$C26,2)&amp;"值"=基础面板属性!AX$1,MATCH(基础面板属性!$C26,镶嵌库!$C$4:$M$4,0),-1)),0)</f>
        <v>0</v>
      </c>
      <c r="AY26" s="160">
        <f>IFERROR(INDEX(镶嵌库!$C$5:$M$13,基础面板属性!$D26+1,IF(LEFT(基础面板属性!$C26,2)&amp;"值"=基础面板属性!AY$1,MATCH(基础面板属性!$C26,镶嵌库!$C$4:$M$4,0),-1)),0)</f>
        <v>0</v>
      </c>
      <c r="AZ26" s="160">
        <f>IFERROR(INDEX(镶嵌库!$C$5:$M$13,基础面板属性!$D26+1,IF(LEFT(基础面板属性!$C26,2)&amp;"值"=基础面板属性!AZ$1,MATCH(基础面板属性!$C26,镶嵌库!$C$4:$M$4,0),-1)),0)</f>
        <v>0</v>
      </c>
      <c r="BA26" s="160">
        <f>IFERROR(INDEX(镶嵌库!$C$5:$M$13,基础面板属性!$D26+1,IF(LEFT(基础面板属性!$C26,2)&amp;"值"=基础面板属性!BA$1,MATCH(基础面板属性!$C26,镶嵌库!$C$4:$M$4,0),-1)),0)</f>
        <v>0</v>
      </c>
      <c r="BB26" s="160">
        <f>IFERROR(INDEX(镶嵌库!$C$5:$M$13,基础面板属性!$D26+1,IF(LEFT(基础面板属性!$C26,2)&amp;"值"=基础面板属性!BB$1,MATCH(基础面板属性!$C26,镶嵌库!$C$4:$M$4,0),-1)),0)</f>
        <v>0</v>
      </c>
      <c r="BC26" s="160">
        <f>IFERROR(INDEX(镶嵌库!$C$5:$M$13,基础面板属性!$D26+1,IF(LEFT(基础面板属性!$C26,2)&amp;"值"=基础面板属性!BC$1,MATCH(基础面板属性!$C26,镶嵌库!$C$4:$M$4,0),-1)),0)</f>
        <v>0</v>
      </c>
      <c r="BD26" s="160">
        <f>IFERROR(INDEX(镶嵌库!$C$5:$M$13,基础面板属性!$D26+1,IF(LEFT(基础面板属性!$C26,2)&amp;"值"=基础面板属性!BD$1,MATCH(基础面板属性!$C26,镶嵌库!$C$4:$M$4,0),-1)),0)</f>
        <v>0</v>
      </c>
    </row>
    <row r="27" spans="1:56">
      <c r="A27" s="160" t="str">
        <f>A24</f>
        <v>下装</v>
      </c>
      <c r="B27" s="160" t="s">
        <v>2074</v>
      </c>
      <c r="C27" s="160" t="str">
        <f>IF(附魔库!$W$9="气血","基础气血值",附魔库!$W$9&amp;"值")</f>
        <v>无双值</v>
      </c>
      <c r="D27" s="160">
        <f>附魔库!X9</f>
        <v>3279</v>
      </c>
      <c r="E27" s="160">
        <f>IF(OR($C27=E$1,$C27&amp;"大"=E$1,$C27&amp;"小"=E$1),$D27,0)</f>
        <v>0</v>
      </c>
      <c r="F27" s="160">
        <f t="shared" ref="F27:BD27" si="4">IF(OR($C27=F$1,$C27&amp;"大"=F$1,$C27&amp;"小"=F$1),$D27,0)</f>
        <v>0</v>
      </c>
      <c r="G27" s="160">
        <f t="shared" si="4"/>
        <v>0</v>
      </c>
      <c r="H27" s="160">
        <f t="shared" si="4"/>
        <v>0</v>
      </c>
      <c r="I27" s="160">
        <f t="shared" si="4"/>
        <v>0</v>
      </c>
      <c r="J27" s="160">
        <f t="shared" si="4"/>
        <v>0</v>
      </c>
      <c r="K27" s="160">
        <f t="shared" si="4"/>
        <v>0</v>
      </c>
      <c r="L27" s="160">
        <f t="shared" si="4"/>
        <v>0</v>
      </c>
      <c r="M27" s="160">
        <f t="shared" si="4"/>
        <v>0</v>
      </c>
      <c r="N27" s="160">
        <f t="shared" si="4"/>
        <v>0</v>
      </c>
      <c r="O27" s="160">
        <f t="shared" si="4"/>
        <v>0</v>
      </c>
      <c r="P27" s="160">
        <f t="shared" si="4"/>
        <v>0</v>
      </c>
      <c r="Q27" s="160">
        <f t="shared" si="4"/>
        <v>0</v>
      </c>
      <c r="R27" s="160">
        <f t="shared" si="4"/>
        <v>0</v>
      </c>
      <c r="S27" s="160">
        <f t="shared" si="4"/>
        <v>0</v>
      </c>
      <c r="T27" s="160">
        <f t="shared" si="4"/>
        <v>0</v>
      </c>
      <c r="U27" s="160">
        <f t="shared" si="4"/>
        <v>0</v>
      </c>
      <c r="V27" s="160">
        <f t="shared" si="4"/>
        <v>0</v>
      </c>
      <c r="W27" s="160">
        <f t="shared" si="4"/>
        <v>0</v>
      </c>
      <c r="X27" s="160">
        <f t="shared" si="4"/>
        <v>0</v>
      </c>
      <c r="Y27" s="160">
        <f t="shared" si="4"/>
        <v>0</v>
      </c>
      <c r="Z27" s="160">
        <f t="shared" si="4"/>
        <v>0</v>
      </c>
      <c r="AA27" s="160">
        <f t="shared" si="4"/>
        <v>0</v>
      </c>
      <c r="AB27" s="160">
        <f t="shared" si="4"/>
        <v>0</v>
      </c>
      <c r="AC27" s="160">
        <f t="shared" si="4"/>
        <v>0</v>
      </c>
      <c r="AD27" s="160">
        <f t="shared" si="4"/>
        <v>0</v>
      </c>
      <c r="AE27" s="160">
        <f t="shared" si="4"/>
        <v>0</v>
      </c>
      <c r="AF27" s="160">
        <f t="shared" si="4"/>
        <v>0</v>
      </c>
      <c r="AG27" s="160">
        <f t="shared" si="4"/>
        <v>0</v>
      </c>
      <c r="AH27" s="160">
        <f t="shared" si="4"/>
        <v>0</v>
      </c>
      <c r="AI27" s="160">
        <f t="shared" si="4"/>
        <v>0</v>
      </c>
      <c r="AJ27" s="160">
        <f t="shared" si="4"/>
        <v>0</v>
      </c>
      <c r="AK27" s="160">
        <f t="shared" si="4"/>
        <v>3279</v>
      </c>
      <c r="AL27" s="160">
        <f t="shared" si="4"/>
        <v>0</v>
      </c>
      <c r="AM27" s="160">
        <f t="shared" si="4"/>
        <v>0</v>
      </c>
      <c r="AN27" s="160">
        <f t="shared" si="4"/>
        <v>0</v>
      </c>
      <c r="AO27" s="160">
        <f t="shared" si="4"/>
        <v>0</v>
      </c>
      <c r="AP27" s="160">
        <f t="shared" si="4"/>
        <v>0</v>
      </c>
      <c r="AU27" s="160">
        <f t="shared" si="4"/>
        <v>0</v>
      </c>
      <c r="AV27" s="160">
        <f t="shared" si="4"/>
        <v>0</v>
      </c>
      <c r="AW27" s="160">
        <f t="shared" si="4"/>
        <v>0</v>
      </c>
      <c r="AX27" s="160">
        <f t="shared" si="4"/>
        <v>0</v>
      </c>
      <c r="AY27" s="160">
        <f t="shared" si="4"/>
        <v>0</v>
      </c>
      <c r="AZ27" s="160">
        <f t="shared" si="4"/>
        <v>0</v>
      </c>
      <c r="BA27" s="160">
        <f t="shared" si="4"/>
        <v>0</v>
      </c>
      <c r="BB27" s="160">
        <f t="shared" si="4"/>
        <v>0</v>
      </c>
      <c r="BC27" s="160">
        <f t="shared" si="4"/>
        <v>0</v>
      </c>
      <c r="BD27" s="160">
        <f t="shared" si="4"/>
        <v>0</v>
      </c>
    </row>
    <row r="28" spans="1:56">
      <c r="A28" s="160" t="str">
        <f>A24</f>
        <v>下装</v>
      </c>
      <c r="B28" s="160" t="s">
        <v>2075</v>
      </c>
    </row>
    <row r="29" spans="1:56">
      <c r="A29" s="160" t="s">
        <v>1353</v>
      </c>
      <c r="B29" s="160" t="s">
        <v>2076</v>
      </c>
      <c r="C29" s="160" t="str">
        <f>配装计算器!I12</f>
        <v>【门派套装】玄阙·燃炼鞋(41400破无)</v>
      </c>
      <c r="E29" s="160">
        <f>装备选择!AV7</f>
        <v>17103</v>
      </c>
      <c r="M29" s="160">
        <f>装备选择!AW7</f>
        <v>1395</v>
      </c>
      <c r="S29" s="160">
        <f>装备选择!AY7</f>
        <v>3169</v>
      </c>
      <c r="W29" s="160">
        <f>装备选择!AZ7</f>
        <v>0</v>
      </c>
      <c r="Z29" s="160">
        <f>装备选择!BA7</f>
        <v>0</v>
      </c>
      <c r="AC29" s="160">
        <f>装备选择!BB7</f>
        <v>11662</v>
      </c>
      <c r="AG29" s="160">
        <f>装备选择!BF7</f>
        <v>0</v>
      </c>
      <c r="AH29" s="160">
        <f>装备选择!BC7</f>
        <v>0</v>
      </c>
      <c r="AK29" s="160">
        <f>装备选择!BD7</f>
        <v>9329</v>
      </c>
      <c r="AP29" s="160">
        <f>装备选择!BE7</f>
        <v>0</v>
      </c>
      <c r="AU29" s="160">
        <f>装备选择!BH7</f>
        <v>0</v>
      </c>
      <c r="AV29" s="160">
        <f>装备选择!BI7</f>
        <v>0</v>
      </c>
    </row>
    <row r="30" spans="1:56">
      <c r="A30" s="160" t="str">
        <f>A29</f>
        <v>鞋子</v>
      </c>
      <c r="B30" s="160" t="s">
        <v>2077</v>
      </c>
      <c r="C30" s="160" t="str">
        <f>配装计算器!H14</f>
        <v>攻击孔</v>
      </c>
      <c r="D30" s="160">
        <f>IF(C30="",0,IF(配装计算器!$K$32&lt;&gt;"不使用",镶嵌库!$Y$17,IFERROR(1*(LEFT(配装计算器!I14,1)),0)))</f>
        <v>8</v>
      </c>
      <c r="E30" s="160">
        <f>IFERROR(INDEX(镶嵌库!$C$5:$M$13,基础面板属性!$D30+1,IF(LEFT(基础面板属性!$C30,2)&amp;"值"=基础面板属性!E$1,MATCH(基础面板属性!$C30,镶嵌库!$C$4:$M$4,0),-1)),0)</f>
        <v>0</v>
      </c>
      <c r="F30" s="160">
        <f>IFERROR(INDEX(镶嵌库!$C$5:$M$13,基础面板属性!$D30+1,IF(LEFT(基础面板属性!$C30,2)&amp;"值"=基础面板属性!F$1,MATCH(基础面板属性!$C30,镶嵌库!$C$4:$M$4,0),-1)),0)</f>
        <v>0</v>
      </c>
      <c r="G30" s="160">
        <f>IFERROR(INDEX(镶嵌库!$C$5:$M$13,基础面板属性!$D30+1,IF(LEFT(基础面板属性!$C30,2)&amp;"值"=基础面板属性!G$1,MATCH(基础面板属性!$C30,镶嵌库!$C$4:$M$4,0),-1)),0)</f>
        <v>0</v>
      </c>
      <c r="H30" s="160">
        <f>IFERROR(INDEX(镶嵌库!$C$5:$M$13,基础面板属性!$D30+1,IF(LEFT(基础面板属性!$C30,2)&amp;"值"=基础面板属性!H$1,MATCH(基础面板属性!$C30,镶嵌库!$C$4:$M$4,0),-1)),0)</f>
        <v>0</v>
      </c>
      <c r="I30" s="160">
        <f>IFERROR(INDEX(镶嵌库!$C$5:$M$13,基础面板属性!$D30+1,IF(LEFT(基础面板属性!$C30,2)&amp;"值"=基础面板属性!I$1,MATCH(基础面板属性!$C30,镶嵌库!$C$4:$M$4,0),-1)),0)</f>
        <v>0</v>
      </c>
      <c r="J30" s="160">
        <f>IFERROR(INDEX(镶嵌库!$C$5:$M$13,基础面板属性!$D30+1,IF(LEFT(基础面板属性!$C30,2)&amp;"值"=基础面板属性!J$1,MATCH(基础面板属性!$C30,镶嵌库!$C$4:$M$4,0),-1)),0)</f>
        <v>0</v>
      </c>
      <c r="K30" s="160">
        <f>IFERROR(INDEX(镶嵌库!$C$5:$M$13,基础面板属性!$D30+1,IF(LEFT(基础面板属性!$C30,2)&amp;"值"=基础面板属性!K$1,MATCH(基础面板属性!$C30,镶嵌库!$C$4:$M$4,0),-1)),0)</f>
        <v>0</v>
      </c>
      <c r="L30" s="160">
        <f>IFERROR(INDEX(镶嵌库!$C$5:$M$13,基础面板属性!$D30+1,IF(LEFT(基础面板属性!$C30,2)&amp;"值"=基础面板属性!L$1,MATCH(基础面板属性!$C30,镶嵌库!$C$4:$M$4,0),-1)),0)</f>
        <v>0</v>
      </c>
      <c r="M30" s="160">
        <f>IFERROR(INDEX(镶嵌库!$C$5:$M$13,基础面板属性!$D30+1,IF(LEFT(基础面板属性!$C30,2)&amp;"值"=基础面板属性!M$1,MATCH(基础面板属性!$C30,镶嵌库!$C$4:$M$4,0),-1)),0)</f>
        <v>0</v>
      </c>
      <c r="N30" s="160">
        <f>IFERROR(INDEX(镶嵌库!$C$5:$M$13,基础面板属性!$D30+1,IF(LEFT(基础面板属性!$C30,2)&amp;"值"=基础面板属性!N$1,MATCH(基础面板属性!$C30,镶嵌库!$C$4:$M$4,0),-1)),0)</f>
        <v>0</v>
      </c>
      <c r="O30" s="160">
        <f>IFERROR(INDEX(镶嵌库!$C$5:$M$13,基础面板属性!$D30+1,IF(LEFT(基础面板属性!$C30,2)&amp;"值"=基础面板属性!O$1,MATCH(基础面板属性!$C30,镶嵌库!$C$4:$M$4,0),-1)),0)</f>
        <v>0</v>
      </c>
      <c r="P30" s="160">
        <f>IFERROR(INDEX(镶嵌库!$C$5:$M$13,基础面板属性!$D30+1,IF(LEFT(基础面板属性!$C30,2)&amp;"值"=基础面板属性!P$1,MATCH(基础面板属性!$C30,镶嵌库!$C$4:$M$4,0),-1)),0)</f>
        <v>0</v>
      </c>
      <c r="Q30" s="160">
        <f>IFERROR(INDEX(镶嵌库!$C$5:$M$13,基础面板属性!$D30+1,IF(LEFT(基础面板属性!$C30,2)&amp;"值"=基础面板属性!Q$1,MATCH(基础面板属性!$C30,镶嵌库!$C$4:$M$4,0),-1)),0)</f>
        <v>0</v>
      </c>
      <c r="R30" s="160">
        <f>IFERROR(INDEX(镶嵌库!$C$5:$M$13,基础面板属性!$D30+1,IF(LEFT(基础面板属性!$C30,2)&amp;"值"=基础面板属性!R$1,MATCH(基础面板属性!$C30,镶嵌库!$C$4:$M$4,0),-1)),0)</f>
        <v>0</v>
      </c>
      <c r="S30" s="160">
        <f>IFERROR(INDEX(镶嵌库!$C$5:$M$13,基础面板属性!$D30+1,IF(LEFT(基础面板属性!$C30,2)&amp;"值"=基础面板属性!S$1,MATCH(基础面板属性!$C30,镶嵌库!$C$4:$M$4,0),-1)),0)</f>
        <v>357</v>
      </c>
      <c r="T30" s="160">
        <f>IFERROR(INDEX(镶嵌库!$C$5:$M$13,基础面板属性!$D30+1,IF(LEFT(基础面板属性!$C30,2)&amp;"值"=基础面板属性!T$1,MATCH(基础面板属性!$C30,镶嵌库!$C$4:$M$4,0),-1)),0)</f>
        <v>0</v>
      </c>
      <c r="U30" s="160">
        <f>IFERROR(INDEX(镶嵌库!$C$5:$M$13,基础面板属性!$D30+1,IF(LEFT(基础面板属性!$C30,2)&amp;"值"=基础面板属性!U$1,MATCH(基础面板属性!$C30,镶嵌库!$C$4:$M$4,0),-1)),0)</f>
        <v>0</v>
      </c>
      <c r="V30" s="160">
        <f>IFERROR(INDEX(镶嵌库!$C$5:$M$13,基础面板属性!$D30+1,IF(LEFT(基础面板属性!$C30,2)&amp;"值"=基础面板属性!V$1,MATCH(基础面板属性!$C30,镶嵌库!$C$4:$M$4,0),-1)),0)</f>
        <v>0</v>
      </c>
      <c r="W30" s="160">
        <f>IFERROR(INDEX(镶嵌库!$C$5:$M$13,基础面板属性!$D30+1,IF(LEFT(基础面板属性!$C30,2)&amp;"值"=基础面板属性!W$1,MATCH(基础面板属性!$C30,镶嵌库!$C$4:$M$4,0),-1)),0)</f>
        <v>0</v>
      </c>
      <c r="X30" s="160">
        <f>IFERROR(INDEX(镶嵌库!$C$5:$M$13,基础面板属性!$D30+1,IF(LEFT(基础面板属性!$C30,2)&amp;"值"=基础面板属性!X$1,MATCH(基础面板属性!$C30,镶嵌库!$C$4:$M$4,0),-1)),0)</f>
        <v>0</v>
      </c>
      <c r="Y30" s="160">
        <f>IFERROR(INDEX(镶嵌库!$C$5:$M$13,基础面板属性!$D30+1,IF(LEFT(基础面板属性!$C30,2)&amp;"值"=基础面板属性!Y$1,MATCH(基础面板属性!$C30,镶嵌库!$C$4:$M$4,0),-1)),0)</f>
        <v>0</v>
      </c>
      <c r="Z30" s="160">
        <f>IFERROR(INDEX(镶嵌库!$C$5:$M$13,基础面板属性!$D30+1,IF(LEFT(基础面板属性!$C30,2)&amp;"值"=基础面板属性!Z$1,MATCH(基础面板属性!$C30,镶嵌库!$C$4:$M$4,0),-1)),0)</f>
        <v>0</v>
      </c>
      <c r="AA30" s="160">
        <f>IFERROR(INDEX(镶嵌库!$C$5:$M$13,基础面板属性!$D30+1,IF(LEFT(基础面板属性!$C30,2)&amp;"值"=基础面板属性!AA$1,MATCH(基础面板属性!$C30,镶嵌库!$C$4:$M$4,0),-1)),0)</f>
        <v>0</v>
      </c>
      <c r="AB30" s="160">
        <f>IFERROR(INDEX(镶嵌库!$C$5:$M$13,基础面板属性!$D30+1,IF(LEFT(基础面板属性!$C30,2)&amp;"值"=基础面板属性!AB$1,MATCH(基础面板属性!$C30,镶嵌库!$C$4:$M$4,0),-1)),0)</f>
        <v>0</v>
      </c>
      <c r="AC30" s="160">
        <f>IFERROR(INDEX(镶嵌库!$C$5:$M$13,基础面板属性!$D30+1,IF(LEFT(基础面板属性!$C30,2)&amp;"值"=基础面板属性!AC$1,MATCH(基础面板属性!$C30,镶嵌库!$C$4:$M$4,0),-1)),0)</f>
        <v>0</v>
      </c>
      <c r="AD30" s="160">
        <f>IFERROR(INDEX(镶嵌库!$C$5:$M$13,基础面板属性!$D30+1,IF(LEFT(基础面板属性!$C30,2)&amp;"值"=基础面板属性!AD$1,MATCH(基础面板属性!$C30,镶嵌库!$C$4:$M$4,0),-1)),0)</f>
        <v>0</v>
      </c>
      <c r="AE30" s="160">
        <f>IFERROR(INDEX(镶嵌库!$C$5:$M$13,基础面板属性!$D30+1,IF(LEFT(基础面板属性!$C30,2)&amp;"值"=基础面板属性!AE$1,MATCH(基础面板属性!$C30,镶嵌库!$C$4:$M$4,0),-1)),0)</f>
        <v>0</v>
      </c>
      <c r="AF30" s="160">
        <f>IFERROR(INDEX(镶嵌库!$C$5:$M$13,基础面板属性!$D30+1,IF(LEFT(基础面板属性!$C30,2)&amp;"值"=基础面板属性!AF$1,MATCH(基础面板属性!$C30,镶嵌库!$C$4:$M$4,0),-1)),0)</f>
        <v>0</v>
      </c>
      <c r="AG30" s="160">
        <f>IFERROR(INDEX(镶嵌库!$C$5:$M$13,基础面板属性!$D30+1,IF(LEFT(基础面板属性!$C30,2)&amp;"值"=基础面板属性!AG$1,MATCH(基础面板属性!$C30,镶嵌库!$C$4:$M$4,0),-1)),0)</f>
        <v>0</v>
      </c>
      <c r="AH30" s="160">
        <f>IFERROR(INDEX(镶嵌库!$C$5:$M$13,基础面板属性!$D30+1,IF(LEFT(基础面板属性!$C30,2)&amp;"值"=基础面板属性!AH$1,MATCH(基础面板属性!$C30,镶嵌库!$C$4:$M$4,0),-1)),0)</f>
        <v>0</v>
      </c>
      <c r="AI30" s="160">
        <f>IFERROR(INDEX(镶嵌库!$C$5:$M$13,基础面板属性!$D30+1,IF(LEFT(基础面板属性!$C30,2)&amp;"值"=基础面板属性!AI$1,MATCH(基础面板属性!$C30,镶嵌库!$C$4:$M$4,0),-1)),0)</f>
        <v>0</v>
      </c>
      <c r="AJ30" s="160">
        <f>IFERROR(INDEX(镶嵌库!$C$5:$M$13,基础面板属性!$D30+1,IF(LEFT(基础面板属性!$C30,2)&amp;"值"=基础面板属性!AJ$1,MATCH(基础面板属性!$C30,镶嵌库!$C$4:$M$4,0),-1)),0)</f>
        <v>0</v>
      </c>
      <c r="AK30" s="160">
        <f>IFERROR(INDEX(镶嵌库!$C$5:$M$13,基础面板属性!$D30+1,IF(LEFT(基础面板属性!$C30,2)&amp;"值"=基础面板属性!AK$1,MATCH(基础面板属性!$C30,镶嵌库!$C$4:$M$4,0),-1)),0)</f>
        <v>0</v>
      </c>
      <c r="AL30" s="160">
        <f>IFERROR(INDEX(镶嵌库!$C$5:$M$13,基础面板属性!$D30+1,IF(LEFT(基础面板属性!$C30,2)&amp;"值"=基础面板属性!AL$1,MATCH(基础面板属性!$C30,镶嵌库!$C$4:$M$4,0),-1)),0)</f>
        <v>0</v>
      </c>
      <c r="AM30" s="160">
        <f>IFERROR(INDEX(镶嵌库!$C$5:$M$13,基础面板属性!$D30+1,IF(LEFT(基础面板属性!$C30,2)&amp;"值"=基础面板属性!AM$1,MATCH(基础面板属性!$C30,镶嵌库!$C$4:$M$4,0),-1)),0)</f>
        <v>0</v>
      </c>
      <c r="AN30" s="160">
        <f>IFERROR(INDEX(镶嵌库!$C$5:$M$13,基础面板属性!$D30+1,IF(LEFT(基础面板属性!$C30,2)&amp;"值"=基础面板属性!AN$1,MATCH(基础面板属性!$C30,镶嵌库!$C$4:$M$4,0),-1)),0)</f>
        <v>0</v>
      </c>
      <c r="AO30" s="160">
        <f>IFERROR(INDEX(镶嵌库!$C$5:$M$13,基础面板属性!$D30+1,IF(LEFT(基础面板属性!$C30,2)&amp;"值"=基础面板属性!AO$1,MATCH(基础面板属性!$C30,镶嵌库!$C$4:$M$4,0),-1)),0)</f>
        <v>0</v>
      </c>
      <c r="AP30" s="160">
        <f>IFERROR(INDEX(镶嵌库!$C$5:$M$13,基础面板属性!$D30+1,IF(LEFT(基础面板属性!$C30,2)&amp;"值"=基础面板属性!AP$1,MATCH(基础面板属性!$C30,镶嵌库!$C$4:$M$4,0),-1)),0)</f>
        <v>0</v>
      </c>
      <c r="AU30" s="160">
        <f>IFERROR(INDEX(镶嵌库!$C$5:$M$13,基础面板属性!$D30+1,IF(LEFT(基础面板属性!$C30,2)&amp;"值"=基础面板属性!AU$1,MATCH(基础面板属性!$C30,镶嵌库!$C$4:$M$4,0),-1)),0)</f>
        <v>0</v>
      </c>
      <c r="AV30" s="160">
        <f>IFERROR(INDEX(镶嵌库!$C$5:$M$13,基础面板属性!$D30+1,IF(LEFT(基础面板属性!$C30,2)&amp;"值"=基础面板属性!AV$1,MATCH(基础面板属性!$C30,镶嵌库!$C$4:$M$4,0),-1)),0)</f>
        <v>0</v>
      </c>
      <c r="AW30" s="160">
        <f>IFERROR(INDEX(镶嵌库!$C$5:$M$13,基础面板属性!$D30+1,IF(LEFT(基础面板属性!$C30,2)&amp;"值"=基础面板属性!AW$1,MATCH(基础面板属性!$C30,镶嵌库!$C$4:$M$4,0),-1)),0)</f>
        <v>0</v>
      </c>
      <c r="AX30" s="160">
        <f>IFERROR(INDEX(镶嵌库!$C$5:$M$13,基础面板属性!$D30+1,IF(LEFT(基础面板属性!$C30,2)&amp;"值"=基础面板属性!AX$1,MATCH(基础面板属性!$C30,镶嵌库!$C$4:$M$4,0),-1)),0)</f>
        <v>0</v>
      </c>
      <c r="AY30" s="160">
        <f>IFERROR(INDEX(镶嵌库!$C$5:$M$13,基础面板属性!$D30+1,IF(LEFT(基础面板属性!$C30,2)&amp;"值"=基础面板属性!AY$1,MATCH(基础面板属性!$C30,镶嵌库!$C$4:$M$4,0),-1)),0)</f>
        <v>0</v>
      </c>
      <c r="AZ30" s="160">
        <f>IFERROR(INDEX(镶嵌库!$C$5:$M$13,基础面板属性!$D30+1,IF(LEFT(基础面板属性!$C30,2)&amp;"值"=基础面板属性!AZ$1,MATCH(基础面板属性!$C30,镶嵌库!$C$4:$M$4,0),-1)),0)</f>
        <v>0</v>
      </c>
      <c r="BA30" s="160">
        <f>IFERROR(INDEX(镶嵌库!$C$5:$M$13,基础面板属性!$D30+1,IF(LEFT(基础面板属性!$C30,2)&amp;"值"=基础面板属性!BA$1,MATCH(基础面板属性!$C30,镶嵌库!$C$4:$M$4,0),-1)),0)</f>
        <v>0</v>
      </c>
      <c r="BB30" s="160">
        <f>IFERROR(INDEX(镶嵌库!$C$5:$M$13,基础面板属性!$D30+1,IF(LEFT(基础面板属性!$C30,2)&amp;"值"=基础面板属性!BB$1,MATCH(基础面板属性!$C30,镶嵌库!$C$4:$M$4,0),-1)),0)</f>
        <v>0</v>
      </c>
      <c r="BC30" s="160">
        <f>IFERROR(INDEX(镶嵌库!$C$5:$M$13,基础面板属性!$D30+1,IF(LEFT(基础面板属性!$C30,2)&amp;"值"=基础面板属性!BC$1,MATCH(基础面板属性!$C30,镶嵌库!$C$4:$M$4,0),-1)),0)</f>
        <v>0</v>
      </c>
      <c r="BD30" s="160">
        <f>IFERROR(INDEX(镶嵌库!$C$5:$M$13,基础面板属性!$D30+1,IF(LEFT(基础面板属性!$C30,2)&amp;"值"=基础面板属性!BD$1,MATCH(基础面板属性!$C30,镶嵌库!$C$4:$M$4,0),-1)),0)</f>
        <v>0</v>
      </c>
    </row>
    <row r="31" spans="1:56">
      <c r="A31" s="160" t="str">
        <f>A29</f>
        <v>鞋子</v>
      </c>
      <c r="B31" s="160" t="s">
        <v>2078</v>
      </c>
      <c r="C31" s="160" t="str">
        <f>配装计算器!H15</f>
        <v>破防孔</v>
      </c>
      <c r="D31" s="160">
        <f>IF(C31="",0,IF(配装计算器!$K$32&lt;&gt;"不使用",镶嵌库!$Y$17,IFERROR(1*(LEFT(配装计算器!I15,1)),0)))</f>
        <v>8</v>
      </c>
      <c r="E31" s="160">
        <f>IFERROR(INDEX(镶嵌库!$C$5:$M$13,基础面板属性!$D31+1,IF(LEFT(基础面板属性!$C31,2)&amp;"值"=基础面板属性!E$1,MATCH(基础面板属性!$C31,镶嵌库!$C$4:$M$4,0),-1)),0)</f>
        <v>0</v>
      </c>
      <c r="F31" s="160">
        <f>IFERROR(INDEX(镶嵌库!$C$5:$M$13,基础面板属性!$D31+1,IF(LEFT(基础面板属性!$C31,2)&amp;"值"=基础面板属性!F$1,MATCH(基础面板属性!$C31,镶嵌库!$C$4:$M$4,0),-1)),0)</f>
        <v>0</v>
      </c>
      <c r="G31" s="160">
        <f>IFERROR(INDEX(镶嵌库!$C$5:$M$13,基础面板属性!$D31+1,IF(LEFT(基础面板属性!$C31,2)&amp;"值"=基础面板属性!G$1,MATCH(基础面板属性!$C31,镶嵌库!$C$4:$M$4,0),-1)),0)</f>
        <v>0</v>
      </c>
      <c r="H31" s="160">
        <f>IFERROR(INDEX(镶嵌库!$C$5:$M$13,基础面板属性!$D31+1,IF(LEFT(基础面板属性!$C31,2)&amp;"值"=基础面板属性!H$1,MATCH(基础面板属性!$C31,镶嵌库!$C$4:$M$4,0),-1)),0)</f>
        <v>0</v>
      </c>
      <c r="I31" s="160">
        <f>IFERROR(INDEX(镶嵌库!$C$5:$M$13,基础面板属性!$D31+1,IF(LEFT(基础面板属性!$C31,2)&amp;"值"=基础面板属性!I$1,MATCH(基础面板属性!$C31,镶嵌库!$C$4:$M$4,0),-1)),0)</f>
        <v>0</v>
      </c>
      <c r="J31" s="160">
        <f>IFERROR(INDEX(镶嵌库!$C$5:$M$13,基础面板属性!$D31+1,IF(LEFT(基础面板属性!$C31,2)&amp;"值"=基础面板属性!J$1,MATCH(基础面板属性!$C31,镶嵌库!$C$4:$M$4,0),-1)),0)</f>
        <v>0</v>
      </c>
      <c r="K31" s="160">
        <f>IFERROR(INDEX(镶嵌库!$C$5:$M$13,基础面板属性!$D31+1,IF(LEFT(基础面板属性!$C31,2)&amp;"值"=基础面板属性!K$1,MATCH(基础面板属性!$C31,镶嵌库!$C$4:$M$4,0),-1)),0)</f>
        <v>0</v>
      </c>
      <c r="L31" s="160">
        <f>IFERROR(INDEX(镶嵌库!$C$5:$M$13,基础面板属性!$D31+1,IF(LEFT(基础面板属性!$C31,2)&amp;"值"=基础面板属性!L$1,MATCH(基础面板属性!$C31,镶嵌库!$C$4:$M$4,0),-1)),0)</f>
        <v>0</v>
      </c>
      <c r="M31" s="160">
        <f>IFERROR(INDEX(镶嵌库!$C$5:$M$13,基础面板属性!$D31+1,IF(LEFT(基础面板属性!$C31,2)&amp;"值"=基础面板属性!M$1,MATCH(基础面板属性!$C31,镶嵌库!$C$4:$M$4,0),-1)),0)</f>
        <v>0</v>
      </c>
      <c r="N31" s="160">
        <f>IFERROR(INDEX(镶嵌库!$C$5:$M$13,基础面板属性!$D31+1,IF(LEFT(基础面板属性!$C31,2)&amp;"值"=基础面板属性!N$1,MATCH(基础面板属性!$C31,镶嵌库!$C$4:$M$4,0),-1)),0)</f>
        <v>0</v>
      </c>
      <c r="O31" s="160">
        <f>IFERROR(INDEX(镶嵌库!$C$5:$M$13,基础面板属性!$D31+1,IF(LEFT(基础面板属性!$C31,2)&amp;"值"=基础面板属性!O$1,MATCH(基础面板属性!$C31,镶嵌库!$C$4:$M$4,0),-1)),0)</f>
        <v>0</v>
      </c>
      <c r="P31" s="160">
        <f>IFERROR(INDEX(镶嵌库!$C$5:$M$13,基础面板属性!$D31+1,IF(LEFT(基础面板属性!$C31,2)&amp;"值"=基础面板属性!P$1,MATCH(基础面板属性!$C31,镶嵌库!$C$4:$M$4,0),-1)),0)</f>
        <v>0</v>
      </c>
      <c r="Q31" s="160">
        <f>IFERROR(INDEX(镶嵌库!$C$5:$M$13,基础面板属性!$D31+1,IF(LEFT(基础面板属性!$C31,2)&amp;"值"=基础面板属性!Q$1,MATCH(基础面板属性!$C31,镶嵌库!$C$4:$M$4,0),-1)),0)</f>
        <v>0</v>
      </c>
      <c r="R31" s="160">
        <f>IFERROR(INDEX(镶嵌库!$C$5:$M$13,基础面板属性!$D31+1,IF(LEFT(基础面板属性!$C31,2)&amp;"值"=基础面板属性!R$1,MATCH(基础面板属性!$C31,镶嵌库!$C$4:$M$4,0),-1)),0)</f>
        <v>0</v>
      </c>
      <c r="S31" s="160">
        <f>IFERROR(INDEX(镶嵌库!$C$5:$M$13,基础面板属性!$D31+1,IF(LEFT(基础面板属性!$C31,2)&amp;"值"=基础面板属性!S$1,MATCH(基础面板属性!$C31,镶嵌库!$C$4:$M$4,0),-1)),0)</f>
        <v>0</v>
      </c>
      <c r="T31" s="160">
        <f>IFERROR(INDEX(镶嵌库!$C$5:$M$13,基础面板属性!$D31+1,IF(LEFT(基础面板属性!$C31,2)&amp;"值"=基础面板属性!T$1,MATCH(基础面板属性!$C31,镶嵌库!$C$4:$M$4,0),-1)),0)</f>
        <v>0</v>
      </c>
      <c r="U31" s="160">
        <f>IFERROR(INDEX(镶嵌库!$C$5:$M$13,基础面板属性!$D31+1,IF(LEFT(基础面板属性!$C31,2)&amp;"值"=基础面板属性!U$1,MATCH(基础面板属性!$C31,镶嵌库!$C$4:$M$4,0),-1)),0)</f>
        <v>0</v>
      </c>
      <c r="V31" s="160">
        <f>IFERROR(INDEX(镶嵌库!$C$5:$M$13,基础面板属性!$D31+1,IF(LEFT(基础面板属性!$C31,2)&amp;"值"=基础面板属性!V$1,MATCH(基础面板属性!$C31,镶嵌库!$C$4:$M$4,0),-1)),0)</f>
        <v>0</v>
      </c>
      <c r="W31" s="160">
        <f>IFERROR(INDEX(镶嵌库!$C$5:$M$13,基础面板属性!$D31+1,IF(LEFT(基础面板属性!$C31,2)&amp;"值"=基础面板属性!W$1,MATCH(基础面板属性!$C31,镶嵌库!$C$4:$M$4,0),-1)),0)</f>
        <v>0</v>
      </c>
      <c r="X31" s="160">
        <f>IFERROR(INDEX(镶嵌库!$C$5:$M$13,基础面板属性!$D31+1,IF(LEFT(基础面板属性!$C31,2)&amp;"值"=基础面板属性!X$1,MATCH(基础面板属性!$C31,镶嵌库!$C$4:$M$4,0),-1)),0)</f>
        <v>0</v>
      </c>
      <c r="Y31" s="160">
        <f>IFERROR(INDEX(镶嵌库!$C$5:$M$13,基础面板属性!$D31+1,IF(LEFT(基础面板属性!$C31,2)&amp;"值"=基础面板属性!Y$1,MATCH(基础面板属性!$C31,镶嵌库!$C$4:$M$4,0),-1)),0)</f>
        <v>0</v>
      </c>
      <c r="Z31" s="160">
        <f>IFERROR(INDEX(镶嵌库!$C$5:$M$13,基础面板属性!$D31+1,IF(LEFT(基础面板属性!$C31,2)&amp;"值"=基础面板属性!Z$1,MATCH(基础面板属性!$C31,镶嵌库!$C$4:$M$4,0),-1)),0)</f>
        <v>0</v>
      </c>
      <c r="AA31" s="160">
        <f>IFERROR(INDEX(镶嵌库!$C$5:$M$13,基础面板属性!$D31+1,IF(LEFT(基础面板属性!$C31,2)&amp;"值"=基础面板属性!AA$1,MATCH(基础面板属性!$C31,镶嵌库!$C$4:$M$4,0),-1)),0)</f>
        <v>0</v>
      </c>
      <c r="AB31" s="160">
        <f>IFERROR(INDEX(镶嵌库!$C$5:$M$13,基础面板属性!$D31+1,IF(LEFT(基础面板属性!$C31,2)&amp;"值"=基础面板属性!AB$1,MATCH(基础面板属性!$C31,镶嵌库!$C$4:$M$4,0),-1)),0)</f>
        <v>0</v>
      </c>
      <c r="AC31" s="160">
        <f>IFERROR(INDEX(镶嵌库!$C$5:$M$13,基础面板属性!$D31+1,IF(LEFT(基础面板属性!$C31,2)&amp;"值"=基础面板属性!AC$1,MATCH(基础面板属性!$C31,镶嵌库!$C$4:$M$4,0),-1)),0)</f>
        <v>1317</v>
      </c>
      <c r="AD31" s="160">
        <f>IFERROR(INDEX(镶嵌库!$C$5:$M$13,基础面板属性!$D31+1,IF(LEFT(基础面板属性!$C31,2)&amp;"值"=基础面板属性!AD$1,MATCH(基础面板属性!$C31,镶嵌库!$C$4:$M$4,0),-1)),0)</f>
        <v>0</v>
      </c>
      <c r="AE31" s="160">
        <f>IFERROR(INDEX(镶嵌库!$C$5:$M$13,基础面板属性!$D31+1,IF(LEFT(基础面板属性!$C31,2)&amp;"值"=基础面板属性!AE$1,MATCH(基础面板属性!$C31,镶嵌库!$C$4:$M$4,0),-1)),0)</f>
        <v>0</v>
      </c>
      <c r="AF31" s="160">
        <f>IFERROR(INDEX(镶嵌库!$C$5:$M$13,基础面板属性!$D31+1,IF(LEFT(基础面板属性!$C31,2)&amp;"值"=基础面板属性!AF$1,MATCH(基础面板属性!$C31,镶嵌库!$C$4:$M$4,0),-1)),0)</f>
        <v>0</v>
      </c>
      <c r="AG31" s="160">
        <f>IFERROR(INDEX(镶嵌库!$C$5:$M$13,基础面板属性!$D31+1,IF(LEFT(基础面板属性!$C31,2)&amp;"值"=基础面板属性!AG$1,MATCH(基础面板属性!$C31,镶嵌库!$C$4:$M$4,0),-1)),0)</f>
        <v>0</v>
      </c>
      <c r="AH31" s="160">
        <f>IFERROR(INDEX(镶嵌库!$C$5:$M$13,基础面板属性!$D31+1,IF(LEFT(基础面板属性!$C31,2)&amp;"值"=基础面板属性!AH$1,MATCH(基础面板属性!$C31,镶嵌库!$C$4:$M$4,0),-1)),0)</f>
        <v>0</v>
      </c>
      <c r="AI31" s="160">
        <f>IFERROR(INDEX(镶嵌库!$C$5:$M$13,基础面板属性!$D31+1,IF(LEFT(基础面板属性!$C31,2)&amp;"值"=基础面板属性!AI$1,MATCH(基础面板属性!$C31,镶嵌库!$C$4:$M$4,0),-1)),0)</f>
        <v>0</v>
      </c>
      <c r="AJ31" s="160">
        <f>IFERROR(INDEX(镶嵌库!$C$5:$M$13,基础面板属性!$D31+1,IF(LEFT(基础面板属性!$C31,2)&amp;"值"=基础面板属性!AJ$1,MATCH(基础面板属性!$C31,镶嵌库!$C$4:$M$4,0),-1)),0)</f>
        <v>0</v>
      </c>
      <c r="AK31" s="160">
        <f>IFERROR(INDEX(镶嵌库!$C$5:$M$13,基础面板属性!$D31+1,IF(LEFT(基础面板属性!$C31,2)&amp;"值"=基础面板属性!AK$1,MATCH(基础面板属性!$C31,镶嵌库!$C$4:$M$4,0),-1)),0)</f>
        <v>0</v>
      </c>
      <c r="AL31" s="160">
        <f>IFERROR(INDEX(镶嵌库!$C$5:$M$13,基础面板属性!$D31+1,IF(LEFT(基础面板属性!$C31,2)&amp;"值"=基础面板属性!AL$1,MATCH(基础面板属性!$C31,镶嵌库!$C$4:$M$4,0),-1)),0)</f>
        <v>0</v>
      </c>
      <c r="AM31" s="160">
        <f>IFERROR(INDEX(镶嵌库!$C$5:$M$13,基础面板属性!$D31+1,IF(LEFT(基础面板属性!$C31,2)&amp;"值"=基础面板属性!AM$1,MATCH(基础面板属性!$C31,镶嵌库!$C$4:$M$4,0),-1)),0)</f>
        <v>0</v>
      </c>
      <c r="AN31" s="160">
        <f>IFERROR(INDEX(镶嵌库!$C$5:$M$13,基础面板属性!$D31+1,IF(LEFT(基础面板属性!$C31,2)&amp;"值"=基础面板属性!AN$1,MATCH(基础面板属性!$C31,镶嵌库!$C$4:$M$4,0),-1)),0)</f>
        <v>0</v>
      </c>
      <c r="AO31" s="160">
        <f>IFERROR(INDEX(镶嵌库!$C$5:$M$13,基础面板属性!$D31+1,IF(LEFT(基础面板属性!$C31,2)&amp;"值"=基础面板属性!AO$1,MATCH(基础面板属性!$C31,镶嵌库!$C$4:$M$4,0),-1)),0)</f>
        <v>0</v>
      </c>
      <c r="AP31" s="160">
        <f>IFERROR(INDEX(镶嵌库!$C$5:$M$13,基础面板属性!$D31+1,IF(LEFT(基础面板属性!$C31,2)&amp;"值"=基础面板属性!AP$1,MATCH(基础面板属性!$C31,镶嵌库!$C$4:$M$4,0),-1)),0)</f>
        <v>0</v>
      </c>
      <c r="AU31" s="160">
        <f>IFERROR(INDEX(镶嵌库!$C$5:$M$13,基础面板属性!$D31+1,IF(LEFT(基础面板属性!$C31,2)&amp;"值"=基础面板属性!AU$1,MATCH(基础面板属性!$C31,镶嵌库!$C$4:$M$4,0),-1)),0)</f>
        <v>0</v>
      </c>
      <c r="AV31" s="160">
        <f>IFERROR(INDEX(镶嵌库!$C$5:$M$13,基础面板属性!$D31+1,IF(LEFT(基础面板属性!$C31,2)&amp;"值"=基础面板属性!AV$1,MATCH(基础面板属性!$C31,镶嵌库!$C$4:$M$4,0),-1)),0)</f>
        <v>0</v>
      </c>
      <c r="AW31" s="160">
        <f>IFERROR(INDEX(镶嵌库!$C$5:$M$13,基础面板属性!$D31+1,IF(LEFT(基础面板属性!$C31,2)&amp;"值"=基础面板属性!AW$1,MATCH(基础面板属性!$C31,镶嵌库!$C$4:$M$4,0),-1)),0)</f>
        <v>0</v>
      </c>
      <c r="AX31" s="160">
        <f>IFERROR(INDEX(镶嵌库!$C$5:$M$13,基础面板属性!$D31+1,IF(LEFT(基础面板属性!$C31,2)&amp;"值"=基础面板属性!AX$1,MATCH(基础面板属性!$C31,镶嵌库!$C$4:$M$4,0),-1)),0)</f>
        <v>0</v>
      </c>
      <c r="AY31" s="160">
        <f>IFERROR(INDEX(镶嵌库!$C$5:$M$13,基础面板属性!$D31+1,IF(LEFT(基础面板属性!$C31,2)&amp;"值"=基础面板属性!AY$1,MATCH(基础面板属性!$C31,镶嵌库!$C$4:$M$4,0),-1)),0)</f>
        <v>0</v>
      </c>
      <c r="AZ31" s="160">
        <f>IFERROR(INDEX(镶嵌库!$C$5:$M$13,基础面板属性!$D31+1,IF(LEFT(基础面板属性!$C31,2)&amp;"值"=基础面板属性!AZ$1,MATCH(基础面板属性!$C31,镶嵌库!$C$4:$M$4,0),-1)),0)</f>
        <v>0</v>
      </c>
      <c r="BA31" s="160">
        <f>IFERROR(INDEX(镶嵌库!$C$5:$M$13,基础面板属性!$D31+1,IF(LEFT(基础面板属性!$C31,2)&amp;"值"=基础面板属性!BA$1,MATCH(基础面板属性!$C31,镶嵌库!$C$4:$M$4,0),-1)),0)</f>
        <v>0</v>
      </c>
      <c r="BB31" s="160">
        <f>IFERROR(INDEX(镶嵌库!$C$5:$M$13,基础面板属性!$D31+1,IF(LEFT(基础面板属性!$C31,2)&amp;"值"=基础面板属性!BB$1,MATCH(基础面板属性!$C31,镶嵌库!$C$4:$M$4,0),-1)),0)</f>
        <v>0</v>
      </c>
      <c r="BC31" s="160">
        <f>IFERROR(INDEX(镶嵌库!$C$5:$M$13,基础面板属性!$D31+1,IF(LEFT(基础面板属性!$C31,2)&amp;"值"=基础面板属性!BC$1,MATCH(基础面板属性!$C31,镶嵌库!$C$4:$M$4,0),-1)),0)</f>
        <v>0</v>
      </c>
      <c r="BD31" s="160">
        <f>IFERROR(INDEX(镶嵌库!$C$5:$M$13,基础面板属性!$D31+1,IF(LEFT(基础面板属性!$C31,2)&amp;"值"=基础面板属性!BD$1,MATCH(基础面板属性!$C31,镶嵌库!$C$4:$M$4,0),-1)),0)</f>
        <v>0</v>
      </c>
    </row>
    <row r="32" spans="1:56">
      <c r="A32" s="160" t="str">
        <f>A29</f>
        <v>鞋子</v>
      </c>
      <c r="B32" s="160" t="s">
        <v>2079</v>
      </c>
      <c r="C32" s="160" t="str">
        <f>IF(附魔库!$W$10="气血","基础气血值",附魔库!$W$10&amp;"值")</f>
        <v>加速值</v>
      </c>
      <c r="D32" s="160">
        <f>附魔库!X10</f>
        <v>3279</v>
      </c>
      <c r="E32" s="160">
        <f>IF(OR($C32=E$1,$C32&amp;"大"=E$1,$C32&amp;"小"=E$1),$D32,0)</f>
        <v>0</v>
      </c>
      <c r="F32" s="160">
        <f t="shared" ref="F32:BD32" si="5">IF(OR($C32=F$1,$C32&amp;"大"=F$1,$C32&amp;"小"=F$1),$D32,0)</f>
        <v>0</v>
      </c>
      <c r="G32" s="160">
        <f t="shared" si="5"/>
        <v>0</v>
      </c>
      <c r="H32" s="160">
        <f t="shared" si="5"/>
        <v>0</v>
      </c>
      <c r="I32" s="160">
        <f t="shared" si="5"/>
        <v>0</v>
      </c>
      <c r="J32" s="160">
        <f t="shared" si="5"/>
        <v>0</v>
      </c>
      <c r="K32" s="160">
        <f t="shared" si="5"/>
        <v>0</v>
      </c>
      <c r="L32" s="160">
        <f t="shared" si="5"/>
        <v>0</v>
      </c>
      <c r="M32" s="160">
        <f t="shared" si="5"/>
        <v>0</v>
      </c>
      <c r="N32" s="160">
        <f t="shared" si="5"/>
        <v>0</v>
      </c>
      <c r="O32" s="160">
        <f t="shared" si="5"/>
        <v>0</v>
      </c>
      <c r="P32" s="160">
        <f t="shared" si="5"/>
        <v>0</v>
      </c>
      <c r="Q32" s="160">
        <f t="shared" si="5"/>
        <v>0</v>
      </c>
      <c r="R32" s="160">
        <f t="shared" si="5"/>
        <v>0</v>
      </c>
      <c r="S32" s="160">
        <f t="shared" si="5"/>
        <v>0</v>
      </c>
      <c r="T32" s="160">
        <f t="shared" si="5"/>
        <v>0</v>
      </c>
      <c r="U32" s="160">
        <f t="shared" si="5"/>
        <v>0</v>
      </c>
      <c r="V32" s="160">
        <f t="shared" si="5"/>
        <v>0</v>
      </c>
      <c r="W32" s="160">
        <f t="shared" si="5"/>
        <v>0</v>
      </c>
      <c r="X32" s="160">
        <f t="shared" si="5"/>
        <v>0</v>
      </c>
      <c r="Y32" s="160">
        <f t="shared" si="5"/>
        <v>0</v>
      </c>
      <c r="Z32" s="160">
        <f t="shared" si="5"/>
        <v>0</v>
      </c>
      <c r="AA32" s="160">
        <f t="shared" si="5"/>
        <v>0</v>
      </c>
      <c r="AB32" s="160">
        <f t="shared" si="5"/>
        <v>0</v>
      </c>
      <c r="AC32" s="160">
        <f t="shared" si="5"/>
        <v>0</v>
      </c>
      <c r="AD32" s="160">
        <f t="shared" si="5"/>
        <v>0</v>
      </c>
      <c r="AE32" s="160">
        <f t="shared" si="5"/>
        <v>0</v>
      </c>
      <c r="AF32" s="160">
        <f t="shared" si="5"/>
        <v>0</v>
      </c>
      <c r="AG32" s="160">
        <f t="shared" si="5"/>
        <v>0</v>
      </c>
      <c r="AH32" s="160">
        <f t="shared" si="5"/>
        <v>0</v>
      </c>
      <c r="AI32" s="160">
        <f t="shared" si="5"/>
        <v>0</v>
      </c>
      <c r="AJ32" s="160">
        <f t="shared" si="5"/>
        <v>0</v>
      </c>
      <c r="AK32" s="160">
        <f t="shared" si="5"/>
        <v>0</v>
      </c>
      <c r="AL32" s="160">
        <f t="shared" si="5"/>
        <v>0</v>
      </c>
      <c r="AM32" s="160">
        <f t="shared" si="5"/>
        <v>0</v>
      </c>
      <c r="AN32" s="160">
        <f t="shared" si="5"/>
        <v>0</v>
      </c>
      <c r="AO32" s="160">
        <f t="shared" si="5"/>
        <v>0</v>
      </c>
      <c r="AP32" s="160">
        <f t="shared" si="5"/>
        <v>3279</v>
      </c>
      <c r="AU32" s="160">
        <f t="shared" si="5"/>
        <v>0</v>
      </c>
      <c r="AV32" s="160">
        <f t="shared" si="5"/>
        <v>0</v>
      </c>
      <c r="AW32" s="160">
        <f t="shared" si="5"/>
        <v>0</v>
      </c>
      <c r="AX32" s="160">
        <f t="shared" si="5"/>
        <v>0</v>
      </c>
      <c r="AY32" s="160">
        <f t="shared" si="5"/>
        <v>0</v>
      </c>
      <c r="AZ32" s="160">
        <f t="shared" si="5"/>
        <v>0</v>
      </c>
      <c r="BA32" s="160">
        <f t="shared" si="5"/>
        <v>0</v>
      </c>
      <c r="BB32" s="160">
        <f t="shared" si="5"/>
        <v>0</v>
      </c>
      <c r="BC32" s="160">
        <f t="shared" si="5"/>
        <v>0</v>
      </c>
      <c r="BD32" s="160">
        <f t="shared" si="5"/>
        <v>0</v>
      </c>
    </row>
    <row r="33" spans="1:56">
      <c r="A33" s="160" t="str">
        <f>A29</f>
        <v>鞋子</v>
      </c>
      <c r="B33" s="160" t="s">
        <v>2080</v>
      </c>
    </row>
    <row r="34" spans="1:56">
      <c r="A34" s="160" t="s">
        <v>1252</v>
      </c>
      <c r="B34" s="160" t="s">
        <v>2081</v>
      </c>
      <c r="C34" s="160" t="str">
        <f>配装计算器!C17</f>
        <v>无修链·外·地(35300特效精简破无)</v>
      </c>
      <c r="E34" s="160">
        <f>装备选择!AV8</f>
        <v>10417</v>
      </c>
      <c r="M34" s="160">
        <f>装备选择!AW8</f>
        <v>0</v>
      </c>
      <c r="S34" s="160">
        <f>装备选择!AY8</f>
        <v>3088</v>
      </c>
      <c r="W34" s="160">
        <f>装备选择!AZ8</f>
        <v>0</v>
      </c>
      <c r="Z34" s="160">
        <f>装备选择!BA8</f>
        <v>0</v>
      </c>
      <c r="AC34" s="160">
        <f>装备选择!BB8</f>
        <v>5208</v>
      </c>
      <c r="AG34" s="160">
        <f>装备选择!BF8</f>
        <v>0</v>
      </c>
      <c r="AH34" s="160">
        <f>装备选择!BC8</f>
        <v>0</v>
      </c>
      <c r="AK34" s="160">
        <f>装备选择!BD8</f>
        <v>10417</v>
      </c>
      <c r="AP34" s="160">
        <f>装备选择!BE8</f>
        <v>0</v>
      </c>
      <c r="AU34" s="160">
        <f>装备选择!BH8</f>
        <v>0</v>
      </c>
      <c r="AV34" s="160">
        <f>装备选择!BI8</f>
        <v>0</v>
      </c>
    </row>
    <row r="35" spans="1:56">
      <c r="A35" s="160" t="str">
        <f>A34</f>
        <v>项链</v>
      </c>
      <c r="B35" s="160" t="s">
        <v>2082</v>
      </c>
      <c r="C35" s="160" t="str">
        <f>配装计算器!B19</f>
        <v>破招孔</v>
      </c>
      <c r="D35" s="160">
        <f>IF(C35="",0,IF(配装计算器!$K$32&lt;&gt;"不使用",镶嵌库!$Y$17,IFERROR(1*(LEFT(配装计算器!C19,1)),0)))</f>
        <v>8</v>
      </c>
      <c r="E35" s="160">
        <f>IFERROR(INDEX(镶嵌库!$C$5:$M$13,基础面板属性!$D35+1,IF(LEFT(基础面板属性!$C35,2)&amp;"值"=基础面板属性!E$1,MATCH(基础面板属性!$C35,镶嵌库!$C$4:$M$4,0),-1)),0)</f>
        <v>0</v>
      </c>
      <c r="F35" s="160">
        <f>IFERROR(INDEX(镶嵌库!$C$5:$M$13,基础面板属性!$D35+1,IF(LEFT(基础面板属性!$C35,2)&amp;"值"=基础面板属性!F$1,MATCH(基础面板属性!$C35,镶嵌库!$C$4:$M$4,0),-1)),0)</f>
        <v>0</v>
      </c>
      <c r="G35" s="160">
        <f>IFERROR(INDEX(镶嵌库!$C$5:$M$13,基础面板属性!$D35+1,IF(LEFT(基础面板属性!$C35,2)&amp;"值"=基础面板属性!G$1,MATCH(基础面板属性!$C35,镶嵌库!$C$4:$M$4,0),-1)),0)</f>
        <v>0</v>
      </c>
      <c r="H35" s="160">
        <f>IFERROR(INDEX(镶嵌库!$C$5:$M$13,基础面板属性!$D35+1,IF(LEFT(基础面板属性!$C35,2)&amp;"值"=基础面板属性!H$1,MATCH(基础面板属性!$C35,镶嵌库!$C$4:$M$4,0),-1)),0)</f>
        <v>0</v>
      </c>
      <c r="I35" s="160">
        <f>IFERROR(INDEX(镶嵌库!$C$5:$M$13,基础面板属性!$D35+1,IF(LEFT(基础面板属性!$C35,2)&amp;"值"=基础面板属性!I$1,MATCH(基础面板属性!$C35,镶嵌库!$C$4:$M$4,0),-1)),0)</f>
        <v>0</v>
      </c>
      <c r="J35" s="160">
        <f>IFERROR(INDEX(镶嵌库!$C$5:$M$13,基础面板属性!$D35+1,IF(LEFT(基础面板属性!$C35,2)&amp;"值"=基础面板属性!J$1,MATCH(基础面板属性!$C35,镶嵌库!$C$4:$M$4,0),-1)),0)</f>
        <v>0</v>
      </c>
      <c r="K35" s="160">
        <f>IFERROR(INDEX(镶嵌库!$C$5:$M$13,基础面板属性!$D35+1,IF(LEFT(基础面板属性!$C35,2)&amp;"值"=基础面板属性!K$1,MATCH(基础面板属性!$C35,镶嵌库!$C$4:$M$4,0),-1)),0)</f>
        <v>0</v>
      </c>
      <c r="L35" s="160">
        <f>IFERROR(INDEX(镶嵌库!$C$5:$M$13,基础面板属性!$D35+1,IF(LEFT(基础面板属性!$C35,2)&amp;"值"=基础面板属性!L$1,MATCH(基础面板属性!$C35,镶嵌库!$C$4:$M$4,0),-1)),0)</f>
        <v>0</v>
      </c>
      <c r="M35" s="160">
        <f>IFERROR(INDEX(镶嵌库!$C$5:$M$13,基础面板属性!$D35+1,IF(LEFT(基础面板属性!$C35,2)&amp;"值"=基础面板属性!M$1,MATCH(基础面板属性!$C35,镶嵌库!$C$4:$M$4,0),-1)),0)</f>
        <v>0</v>
      </c>
      <c r="N35" s="160">
        <f>IFERROR(INDEX(镶嵌库!$C$5:$M$13,基础面板属性!$D35+1,IF(LEFT(基础面板属性!$C35,2)&amp;"值"=基础面板属性!N$1,MATCH(基础面板属性!$C35,镶嵌库!$C$4:$M$4,0),-1)),0)</f>
        <v>0</v>
      </c>
      <c r="O35" s="160">
        <f>IFERROR(INDEX(镶嵌库!$C$5:$M$13,基础面板属性!$D35+1,IF(LEFT(基础面板属性!$C35,2)&amp;"值"=基础面板属性!O$1,MATCH(基础面板属性!$C35,镶嵌库!$C$4:$M$4,0),-1)),0)</f>
        <v>0</v>
      </c>
      <c r="P35" s="160">
        <f>IFERROR(INDEX(镶嵌库!$C$5:$M$13,基础面板属性!$D35+1,IF(LEFT(基础面板属性!$C35,2)&amp;"值"=基础面板属性!P$1,MATCH(基础面板属性!$C35,镶嵌库!$C$4:$M$4,0),-1)),0)</f>
        <v>0</v>
      </c>
      <c r="Q35" s="160">
        <f>IFERROR(INDEX(镶嵌库!$C$5:$M$13,基础面板属性!$D35+1,IF(LEFT(基础面板属性!$C35,2)&amp;"值"=基础面板属性!Q$1,MATCH(基础面板属性!$C35,镶嵌库!$C$4:$M$4,0),-1)),0)</f>
        <v>0</v>
      </c>
      <c r="R35" s="160">
        <f>IFERROR(INDEX(镶嵌库!$C$5:$M$13,基础面板属性!$D35+1,IF(LEFT(基础面板属性!$C35,2)&amp;"值"=基础面板属性!R$1,MATCH(基础面板属性!$C35,镶嵌库!$C$4:$M$4,0),-1)),0)</f>
        <v>0</v>
      </c>
      <c r="S35" s="160">
        <f>IFERROR(INDEX(镶嵌库!$C$5:$M$13,基础面板属性!$D35+1,IF(LEFT(基础面板属性!$C35,2)&amp;"值"=基础面板属性!S$1,MATCH(基础面板属性!$C35,镶嵌库!$C$4:$M$4,0),-1)),0)</f>
        <v>0</v>
      </c>
      <c r="T35" s="160">
        <f>IFERROR(INDEX(镶嵌库!$C$5:$M$13,基础面板属性!$D35+1,IF(LEFT(基础面板属性!$C35,2)&amp;"值"=基础面板属性!T$1,MATCH(基础面板属性!$C35,镶嵌库!$C$4:$M$4,0),-1)),0)</f>
        <v>0</v>
      </c>
      <c r="U35" s="160">
        <f>IFERROR(INDEX(镶嵌库!$C$5:$M$13,基础面板属性!$D35+1,IF(LEFT(基础面板属性!$C35,2)&amp;"值"=基础面板属性!U$1,MATCH(基础面板属性!$C35,镶嵌库!$C$4:$M$4,0),-1)),0)</f>
        <v>0</v>
      </c>
      <c r="V35" s="160">
        <f>IFERROR(INDEX(镶嵌库!$C$5:$M$13,基础面板属性!$D35+1,IF(LEFT(基础面板属性!$C35,2)&amp;"值"=基础面板属性!V$1,MATCH(基础面板属性!$C35,镶嵌库!$C$4:$M$4,0),-1)),0)</f>
        <v>0</v>
      </c>
      <c r="W35" s="160">
        <f>IFERROR(INDEX(镶嵌库!$C$5:$M$13,基础面板属性!$D35+1,IF(LEFT(基础面板属性!$C35,2)&amp;"值"=基础面板属性!W$1,MATCH(基础面板属性!$C35,镶嵌库!$C$4:$M$4,0),-1)),0)</f>
        <v>0</v>
      </c>
      <c r="X35" s="160">
        <f>IFERROR(INDEX(镶嵌库!$C$5:$M$13,基础面板属性!$D35+1,IF(LEFT(基础面板属性!$C35,2)&amp;"值"=基础面板属性!X$1,MATCH(基础面板属性!$C35,镶嵌库!$C$4:$M$4,0),-1)),0)</f>
        <v>0</v>
      </c>
      <c r="Y35" s="160">
        <f>IFERROR(INDEX(镶嵌库!$C$5:$M$13,基础面板属性!$D35+1,IF(LEFT(基础面板属性!$C35,2)&amp;"值"=基础面板属性!Y$1,MATCH(基础面板属性!$C35,镶嵌库!$C$4:$M$4,0),-1)),0)</f>
        <v>0</v>
      </c>
      <c r="Z35" s="160">
        <f>IFERROR(INDEX(镶嵌库!$C$5:$M$13,基础面板属性!$D35+1,IF(LEFT(基础面板属性!$C35,2)&amp;"值"=基础面板属性!Z$1,MATCH(基础面板属性!$C35,镶嵌库!$C$4:$M$4,0),-1)),0)</f>
        <v>0</v>
      </c>
      <c r="AA35" s="160">
        <f>IFERROR(INDEX(镶嵌库!$C$5:$M$13,基础面板属性!$D35+1,IF(LEFT(基础面板属性!$C35,2)&amp;"值"=基础面板属性!AA$1,MATCH(基础面板属性!$C35,镶嵌库!$C$4:$M$4,0),-1)),0)</f>
        <v>0</v>
      </c>
      <c r="AB35" s="160">
        <f>IFERROR(INDEX(镶嵌库!$C$5:$M$13,基础面板属性!$D35+1,IF(LEFT(基础面板属性!$C35,2)&amp;"值"=基础面板属性!AB$1,MATCH(基础面板属性!$C35,镶嵌库!$C$4:$M$4,0),-1)),0)</f>
        <v>0</v>
      </c>
      <c r="AC35" s="160">
        <f>IFERROR(INDEX(镶嵌库!$C$5:$M$13,基础面板属性!$D35+1,IF(LEFT(基础面板属性!$C35,2)&amp;"值"=基础面板属性!AC$1,MATCH(基础面板属性!$C35,镶嵌库!$C$4:$M$4,0),-1)),0)</f>
        <v>0</v>
      </c>
      <c r="AD35" s="160">
        <f>IFERROR(INDEX(镶嵌库!$C$5:$M$13,基础面板属性!$D35+1,IF(LEFT(基础面板属性!$C35,2)&amp;"值"=基础面板属性!AD$1,MATCH(基础面板属性!$C35,镶嵌库!$C$4:$M$4,0),-1)),0)</f>
        <v>0</v>
      </c>
      <c r="AE35" s="160">
        <f>IFERROR(INDEX(镶嵌库!$C$5:$M$13,基础面板属性!$D35+1,IF(LEFT(基础面板属性!$C35,2)&amp;"值"=基础面板属性!AE$1,MATCH(基础面板属性!$C35,镶嵌库!$C$4:$M$4,0),-1)),0)</f>
        <v>0</v>
      </c>
      <c r="AF35" s="160">
        <f>IFERROR(INDEX(镶嵌库!$C$5:$M$13,基础面板属性!$D35+1,IF(LEFT(基础面板属性!$C35,2)&amp;"值"=基础面板属性!AF$1,MATCH(基础面板属性!$C35,镶嵌库!$C$4:$M$4,0),-1)),0)</f>
        <v>0</v>
      </c>
      <c r="AG35" s="160">
        <f>IFERROR(INDEX(镶嵌库!$C$5:$M$13,基础面板属性!$D35+1,IF(LEFT(基础面板属性!$C35,2)&amp;"值"=基础面板属性!AG$1,MATCH(基础面板属性!$C35,镶嵌库!$C$4:$M$4,0),-1)),0)</f>
        <v>0</v>
      </c>
      <c r="AH35" s="160">
        <f>IFERROR(INDEX(镶嵌库!$C$5:$M$13,基础面板属性!$D35+1,IF(LEFT(基础面板属性!$C35,2)&amp;"值"=基础面板属性!AH$1,MATCH(基础面板属性!$C35,镶嵌库!$C$4:$M$4,0),-1)),0)</f>
        <v>1317</v>
      </c>
      <c r="AI35" s="160">
        <f>IFERROR(INDEX(镶嵌库!$C$5:$M$13,基础面板属性!$D35+1,IF(LEFT(基础面板属性!$C35,2)&amp;"值"=基础面板属性!AI$1,MATCH(基础面板属性!$C35,镶嵌库!$C$4:$M$4,0),-1)),0)</f>
        <v>0</v>
      </c>
      <c r="AJ35" s="160">
        <f>IFERROR(INDEX(镶嵌库!$C$5:$M$13,基础面板属性!$D35+1,IF(LEFT(基础面板属性!$C35,2)&amp;"值"=基础面板属性!AJ$1,MATCH(基础面板属性!$C35,镶嵌库!$C$4:$M$4,0),-1)),0)</f>
        <v>0</v>
      </c>
      <c r="AK35" s="160">
        <f>IFERROR(INDEX(镶嵌库!$C$5:$M$13,基础面板属性!$D35+1,IF(LEFT(基础面板属性!$C35,2)&amp;"值"=基础面板属性!AK$1,MATCH(基础面板属性!$C35,镶嵌库!$C$4:$M$4,0),-1)),0)</f>
        <v>0</v>
      </c>
      <c r="AL35" s="160">
        <f>IFERROR(INDEX(镶嵌库!$C$5:$M$13,基础面板属性!$D35+1,IF(LEFT(基础面板属性!$C35,2)&amp;"值"=基础面板属性!AL$1,MATCH(基础面板属性!$C35,镶嵌库!$C$4:$M$4,0),-1)),0)</f>
        <v>0</v>
      </c>
      <c r="AM35" s="160">
        <f>IFERROR(INDEX(镶嵌库!$C$5:$M$13,基础面板属性!$D35+1,IF(LEFT(基础面板属性!$C35,2)&amp;"值"=基础面板属性!AM$1,MATCH(基础面板属性!$C35,镶嵌库!$C$4:$M$4,0),-1)),0)</f>
        <v>0</v>
      </c>
      <c r="AN35" s="160">
        <f>IFERROR(INDEX(镶嵌库!$C$5:$M$13,基础面板属性!$D35+1,IF(LEFT(基础面板属性!$C35,2)&amp;"值"=基础面板属性!AN$1,MATCH(基础面板属性!$C35,镶嵌库!$C$4:$M$4,0),-1)),0)</f>
        <v>0</v>
      </c>
      <c r="AO35" s="160">
        <f>IFERROR(INDEX(镶嵌库!$C$5:$M$13,基础面板属性!$D35+1,IF(LEFT(基础面板属性!$C35,2)&amp;"值"=基础面板属性!AO$1,MATCH(基础面板属性!$C35,镶嵌库!$C$4:$M$4,0),-1)),0)</f>
        <v>0</v>
      </c>
      <c r="AP35" s="160">
        <f>IFERROR(INDEX(镶嵌库!$C$5:$M$13,基础面板属性!$D35+1,IF(LEFT(基础面板属性!$C35,2)&amp;"值"=基础面板属性!AP$1,MATCH(基础面板属性!$C35,镶嵌库!$C$4:$M$4,0),-1)),0)</f>
        <v>0</v>
      </c>
      <c r="AU35" s="160">
        <f>IFERROR(INDEX(镶嵌库!$C$5:$M$13,基础面板属性!$D35+1,IF(LEFT(基础面板属性!$C35,2)&amp;"值"=基础面板属性!AU$1,MATCH(基础面板属性!$C35,镶嵌库!$C$4:$M$4,0),-1)),0)</f>
        <v>0</v>
      </c>
      <c r="AV35" s="160">
        <f>IFERROR(INDEX(镶嵌库!$C$5:$M$13,基础面板属性!$D35+1,IF(LEFT(基础面板属性!$C35,2)&amp;"值"=基础面板属性!AV$1,MATCH(基础面板属性!$C35,镶嵌库!$C$4:$M$4,0),-1)),0)</f>
        <v>0</v>
      </c>
      <c r="AW35" s="160">
        <f>IFERROR(INDEX(镶嵌库!$C$5:$M$13,基础面板属性!$D35+1,IF(LEFT(基础面板属性!$C35,2)&amp;"值"=基础面板属性!AW$1,MATCH(基础面板属性!$C35,镶嵌库!$C$4:$M$4,0),-1)),0)</f>
        <v>0</v>
      </c>
      <c r="AX35" s="160">
        <f>IFERROR(INDEX(镶嵌库!$C$5:$M$13,基础面板属性!$D35+1,IF(LEFT(基础面板属性!$C35,2)&amp;"值"=基础面板属性!AX$1,MATCH(基础面板属性!$C35,镶嵌库!$C$4:$M$4,0),-1)),0)</f>
        <v>0</v>
      </c>
      <c r="AY35" s="160">
        <f>IFERROR(INDEX(镶嵌库!$C$5:$M$13,基础面板属性!$D35+1,IF(LEFT(基础面板属性!$C35,2)&amp;"值"=基础面板属性!AY$1,MATCH(基础面板属性!$C35,镶嵌库!$C$4:$M$4,0),-1)),0)</f>
        <v>0</v>
      </c>
      <c r="AZ35" s="160">
        <f>IFERROR(INDEX(镶嵌库!$C$5:$M$13,基础面板属性!$D35+1,IF(LEFT(基础面板属性!$C35,2)&amp;"值"=基础面板属性!AZ$1,MATCH(基础面板属性!$C35,镶嵌库!$C$4:$M$4,0),-1)),0)</f>
        <v>0</v>
      </c>
      <c r="BA35" s="160">
        <f>IFERROR(INDEX(镶嵌库!$C$5:$M$13,基础面板属性!$D35+1,IF(LEFT(基础面板属性!$C35,2)&amp;"值"=基础面板属性!BA$1,MATCH(基础面板属性!$C35,镶嵌库!$C$4:$M$4,0),-1)),0)</f>
        <v>0</v>
      </c>
      <c r="BB35" s="160">
        <f>IFERROR(INDEX(镶嵌库!$C$5:$M$13,基础面板属性!$D35+1,IF(LEFT(基础面板属性!$C35,2)&amp;"值"=基础面板属性!BB$1,MATCH(基础面板属性!$C35,镶嵌库!$C$4:$M$4,0),-1)),0)</f>
        <v>0</v>
      </c>
      <c r="BC35" s="160">
        <f>IFERROR(INDEX(镶嵌库!$C$5:$M$13,基础面板属性!$D35+1,IF(LEFT(基础面板属性!$C35,2)&amp;"值"=基础面板属性!BC$1,MATCH(基础面板属性!$C35,镶嵌库!$C$4:$M$4,0),-1)),0)</f>
        <v>0</v>
      </c>
      <c r="BD35" s="160">
        <f>IFERROR(INDEX(镶嵌库!$C$5:$M$13,基础面板属性!$D35+1,IF(LEFT(基础面板属性!$C35,2)&amp;"值"=基础面板属性!BD$1,MATCH(基础面板属性!$C35,镶嵌库!$C$4:$M$4,0),-1)),0)</f>
        <v>0</v>
      </c>
    </row>
    <row r="36" spans="1:56">
      <c r="A36" s="160" t="str">
        <f>A34</f>
        <v>项链</v>
      </c>
      <c r="B36" s="160" t="s">
        <v>2083</v>
      </c>
      <c r="C36" s="160" t="str">
        <f>IF(附魔库!$W$11="气血","基础气血值",附魔库!$W$11&amp;"值")</f>
        <v>身法值</v>
      </c>
      <c r="D36" s="160">
        <f>附魔库!X11</f>
        <v>628</v>
      </c>
      <c r="E36" s="160">
        <f>IF(OR($C36=E$1,$C36&amp;"大"=E$1,$C36&amp;"小"=E$1),$D36,0)</f>
        <v>0</v>
      </c>
      <c r="F36" s="160">
        <f t="shared" ref="F36:BD36" si="6">IF(OR($C36=F$1,$C36&amp;"大"=F$1,$C36&amp;"小"=F$1),$D36,0)</f>
        <v>0</v>
      </c>
      <c r="G36" s="160">
        <f t="shared" si="6"/>
        <v>0</v>
      </c>
      <c r="H36" s="160">
        <f t="shared" si="6"/>
        <v>0</v>
      </c>
      <c r="I36" s="160">
        <f t="shared" si="6"/>
        <v>0</v>
      </c>
      <c r="J36" s="160">
        <f t="shared" si="6"/>
        <v>0</v>
      </c>
      <c r="K36" s="160">
        <f t="shared" si="6"/>
        <v>0</v>
      </c>
      <c r="L36" s="160">
        <f t="shared" si="6"/>
        <v>0</v>
      </c>
      <c r="M36" s="160">
        <f t="shared" si="6"/>
        <v>628</v>
      </c>
      <c r="N36" s="160">
        <f t="shared" si="6"/>
        <v>0</v>
      </c>
      <c r="O36" s="160">
        <f t="shared" si="6"/>
        <v>0</v>
      </c>
      <c r="P36" s="160">
        <f t="shared" si="6"/>
        <v>0</v>
      </c>
      <c r="Q36" s="160">
        <f t="shared" si="6"/>
        <v>0</v>
      </c>
      <c r="R36" s="160">
        <f t="shared" si="6"/>
        <v>0</v>
      </c>
      <c r="S36" s="160">
        <f t="shared" si="6"/>
        <v>0</v>
      </c>
      <c r="T36" s="160">
        <f t="shared" si="6"/>
        <v>0</v>
      </c>
      <c r="U36" s="160">
        <f t="shared" si="6"/>
        <v>0</v>
      </c>
      <c r="V36" s="160">
        <f t="shared" si="6"/>
        <v>0</v>
      </c>
      <c r="W36" s="160">
        <f t="shared" si="6"/>
        <v>0</v>
      </c>
      <c r="X36" s="160">
        <f t="shared" si="6"/>
        <v>0</v>
      </c>
      <c r="Y36" s="160">
        <f t="shared" si="6"/>
        <v>0</v>
      </c>
      <c r="Z36" s="160">
        <f t="shared" si="6"/>
        <v>0</v>
      </c>
      <c r="AA36" s="160">
        <f t="shared" si="6"/>
        <v>0</v>
      </c>
      <c r="AB36" s="160">
        <f t="shared" si="6"/>
        <v>0</v>
      </c>
      <c r="AC36" s="160">
        <f t="shared" si="6"/>
        <v>0</v>
      </c>
      <c r="AD36" s="160">
        <f t="shared" si="6"/>
        <v>0</v>
      </c>
      <c r="AE36" s="160">
        <f t="shared" si="6"/>
        <v>0</v>
      </c>
      <c r="AF36" s="160">
        <f t="shared" si="6"/>
        <v>0</v>
      </c>
      <c r="AG36" s="160">
        <f t="shared" si="6"/>
        <v>0</v>
      </c>
      <c r="AH36" s="160">
        <f t="shared" si="6"/>
        <v>0</v>
      </c>
      <c r="AI36" s="160">
        <f t="shared" si="6"/>
        <v>0</v>
      </c>
      <c r="AJ36" s="160">
        <f t="shared" si="6"/>
        <v>0</v>
      </c>
      <c r="AK36" s="160">
        <f t="shared" si="6"/>
        <v>0</v>
      </c>
      <c r="AL36" s="160">
        <f t="shared" si="6"/>
        <v>0</v>
      </c>
      <c r="AM36" s="160">
        <f t="shared" si="6"/>
        <v>0</v>
      </c>
      <c r="AN36" s="160">
        <f t="shared" si="6"/>
        <v>0</v>
      </c>
      <c r="AO36" s="160">
        <f t="shared" si="6"/>
        <v>0</v>
      </c>
      <c r="AP36" s="160">
        <f t="shared" si="6"/>
        <v>0</v>
      </c>
      <c r="AU36" s="160">
        <f t="shared" si="6"/>
        <v>0</v>
      </c>
      <c r="AV36" s="160">
        <f t="shared" si="6"/>
        <v>0</v>
      </c>
      <c r="AW36" s="160">
        <f t="shared" si="6"/>
        <v>0</v>
      </c>
      <c r="AX36" s="160">
        <f t="shared" si="6"/>
        <v>0</v>
      </c>
      <c r="AY36" s="160">
        <f t="shared" si="6"/>
        <v>0</v>
      </c>
      <c r="AZ36" s="160">
        <f t="shared" si="6"/>
        <v>0</v>
      </c>
      <c r="BA36" s="160">
        <f t="shared" si="6"/>
        <v>0</v>
      </c>
      <c r="BB36" s="160">
        <f t="shared" si="6"/>
        <v>0</v>
      </c>
      <c r="BC36" s="160">
        <f t="shared" si="6"/>
        <v>0</v>
      </c>
      <c r="BD36" s="160">
        <f t="shared" si="6"/>
        <v>0</v>
      </c>
    </row>
    <row r="37" spans="1:56">
      <c r="A37" s="160" t="s">
        <v>1688</v>
      </c>
      <c r="B37" s="160" t="s">
        <v>2084</v>
      </c>
      <c r="C37" s="160" t="str">
        <f>配装计算器!C21</f>
        <v>掠影凰(37900橙·特效破无)</v>
      </c>
      <c r="E37" s="160">
        <f>装备选择!AV9</f>
        <v>12992</v>
      </c>
      <c r="M37" s="160">
        <f>装备选择!AW9</f>
        <v>1060</v>
      </c>
      <c r="S37" s="160">
        <f>装备选择!AY9</f>
        <v>2408</v>
      </c>
      <c r="W37" s="160">
        <f>装备选择!AZ9</f>
        <v>0</v>
      </c>
      <c r="Z37" s="160">
        <f>装备选择!BA9</f>
        <v>0</v>
      </c>
      <c r="AC37" s="160">
        <f>装备选择!BB9</f>
        <v>8858</v>
      </c>
      <c r="AG37" s="160">
        <f>装备选择!BF9</f>
        <v>0</v>
      </c>
      <c r="AH37" s="160">
        <f>装备选择!BC9</f>
        <v>0</v>
      </c>
      <c r="AK37" s="160">
        <f>装备选择!BD9</f>
        <v>7087</v>
      </c>
      <c r="AP37" s="160">
        <f>装备选择!BE9</f>
        <v>0</v>
      </c>
      <c r="AU37" s="160">
        <f>装备选择!BH9</f>
        <v>0</v>
      </c>
      <c r="AV37" s="160">
        <f>装备选择!BI9</f>
        <v>0</v>
      </c>
    </row>
    <row r="38" spans="1:56">
      <c r="A38" s="160" t="str">
        <f>A37</f>
        <v>腰坠</v>
      </c>
      <c r="B38" s="160" t="s">
        <v>2085</v>
      </c>
      <c r="C38" s="160" t="str">
        <f>配装计算器!B23</f>
        <v>破防孔</v>
      </c>
      <c r="D38" s="160">
        <f>IF(C38="",0,IF(配装计算器!$K$32&lt;&gt;"不使用",镶嵌库!$Y$17,IFERROR(1*(LEFT(配装计算器!C23,1)),0)))</f>
        <v>8</v>
      </c>
      <c r="E38" s="160">
        <f>IFERROR(INDEX(镶嵌库!$C$5:$M$13,基础面板属性!$D38+1,IF(LEFT(基础面板属性!$C38,2)&amp;"值"=基础面板属性!E$1,MATCH(基础面板属性!$C38,镶嵌库!$C$4:$M$4,0),-1)),0)</f>
        <v>0</v>
      </c>
      <c r="F38" s="160">
        <f>IFERROR(INDEX(镶嵌库!$C$5:$M$13,基础面板属性!$D38+1,IF(LEFT(基础面板属性!$C38,2)&amp;"值"=基础面板属性!F$1,MATCH(基础面板属性!$C38,镶嵌库!$C$4:$M$4,0),-1)),0)</f>
        <v>0</v>
      </c>
      <c r="G38" s="160">
        <f>IFERROR(INDEX(镶嵌库!$C$5:$M$13,基础面板属性!$D38+1,IF(LEFT(基础面板属性!$C38,2)&amp;"值"=基础面板属性!G$1,MATCH(基础面板属性!$C38,镶嵌库!$C$4:$M$4,0),-1)),0)</f>
        <v>0</v>
      </c>
      <c r="H38" s="160">
        <f>IFERROR(INDEX(镶嵌库!$C$5:$M$13,基础面板属性!$D38+1,IF(LEFT(基础面板属性!$C38,2)&amp;"值"=基础面板属性!H$1,MATCH(基础面板属性!$C38,镶嵌库!$C$4:$M$4,0),-1)),0)</f>
        <v>0</v>
      </c>
      <c r="I38" s="160">
        <f>IFERROR(INDEX(镶嵌库!$C$5:$M$13,基础面板属性!$D38+1,IF(LEFT(基础面板属性!$C38,2)&amp;"值"=基础面板属性!I$1,MATCH(基础面板属性!$C38,镶嵌库!$C$4:$M$4,0),-1)),0)</f>
        <v>0</v>
      </c>
      <c r="J38" s="160">
        <f>IFERROR(INDEX(镶嵌库!$C$5:$M$13,基础面板属性!$D38+1,IF(LEFT(基础面板属性!$C38,2)&amp;"值"=基础面板属性!J$1,MATCH(基础面板属性!$C38,镶嵌库!$C$4:$M$4,0),-1)),0)</f>
        <v>0</v>
      </c>
      <c r="K38" s="160">
        <f>IFERROR(INDEX(镶嵌库!$C$5:$M$13,基础面板属性!$D38+1,IF(LEFT(基础面板属性!$C38,2)&amp;"值"=基础面板属性!K$1,MATCH(基础面板属性!$C38,镶嵌库!$C$4:$M$4,0),-1)),0)</f>
        <v>0</v>
      </c>
      <c r="L38" s="160">
        <f>IFERROR(INDEX(镶嵌库!$C$5:$M$13,基础面板属性!$D38+1,IF(LEFT(基础面板属性!$C38,2)&amp;"值"=基础面板属性!L$1,MATCH(基础面板属性!$C38,镶嵌库!$C$4:$M$4,0),-1)),0)</f>
        <v>0</v>
      </c>
      <c r="M38" s="160">
        <f>IFERROR(INDEX(镶嵌库!$C$5:$M$13,基础面板属性!$D38+1,IF(LEFT(基础面板属性!$C38,2)&amp;"值"=基础面板属性!M$1,MATCH(基础面板属性!$C38,镶嵌库!$C$4:$M$4,0),-1)),0)</f>
        <v>0</v>
      </c>
      <c r="N38" s="160">
        <f>IFERROR(INDEX(镶嵌库!$C$5:$M$13,基础面板属性!$D38+1,IF(LEFT(基础面板属性!$C38,2)&amp;"值"=基础面板属性!N$1,MATCH(基础面板属性!$C38,镶嵌库!$C$4:$M$4,0),-1)),0)</f>
        <v>0</v>
      </c>
      <c r="O38" s="160">
        <f>IFERROR(INDEX(镶嵌库!$C$5:$M$13,基础面板属性!$D38+1,IF(LEFT(基础面板属性!$C38,2)&amp;"值"=基础面板属性!O$1,MATCH(基础面板属性!$C38,镶嵌库!$C$4:$M$4,0),-1)),0)</f>
        <v>0</v>
      </c>
      <c r="P38" s="160">
        <f>IFERROR(INDEX(镶嵌库!$C$5:$M$13,基础面板属性!$D38+1,IF(LEFT(基础面板属性!$C38,2)&amp;"值"=基础面板属性!P$1,MATCH(基础面板属性!$C38,镶嵌库!$C$4:$M$4,0),-1)),0)</f>
        <v>0</v>
      </c>
      <c r="Q38" s="160">
        <f>IFERROR(INDEX(镶嵌库!$C$5:$M$13,基础面板属性!$D38+1,IF(LEFT(基础面板属性!$C38,2)&amp;"值"=基础面板属性!Q$1,MATCH(基础面板属性!$C38,镶嵌库!$C$4:$M$4,0),-1)),0)</f>
        <v>0</v>
      </c>
      <c r="R38" s="160">
        <f>IFERROR(INDEX(镶嵌库!$C$5:$M$13,基础面板属性!$D38+1,IF(LEFT(基础面板属性!$C38,2)&amp;"值"=基础面板属性!R$1,MATCH(基础面板属性!$C38,镶嵌库!$C$4:$M$4,0),-1)),0)</f>
        <v>0</v>
      </c>
      <c r="S38" s="160">
        <f>IFERROR(INDEX(镶嵌库!$C$5:$M$13,基础面板属性!$D38+1,IF(LEFT(基础面板属性!$C38,2)&amp;"值"=基础面板属性!S$1,MATCH(基础面板属性!$C38,镶嵌库!$C$4:$M$4,0),-1)),0)</f>
        <v>0</v>
      </c>
      <c r="T38" s="160">
        <f>IFERROR(INDEX(镶嵌库!$C$5:$M$13,基础面板属性!$D38+1,IF(LEFT(基础面板属性!$C38,2)&amp;"值"=基础面板属性!T$1,MATCH(基础面板属性!$C38,镶嵌库!$C$4:$M$4,0),-1)),0)</f>
        <v>0</v>
      </c>
      <c r="U38" s="160">
        <f>IFERROR(INDEX(镶嵌库!$C$5:$M$13,基础面板属性!$D38+1,IF(LEFT(基础面板属性!$C38,2)&amp;"值"=基础面板属性!U$1,MATCH(基础面板属性!$C38,镶嵌库!$C$4:$M$4,0),-1)),0)</f>
        <v>0</v>
      </c>
      <c r="V38" s="160">
        <f>IFERROR(INDEX(镶嵌库!$C$5:$M$13,基础面板属性!$D38+1,IF(LEFT(基础面板属性!$C38,2)&amp;"值"=基础面板属性!V$1,MATCH(基础面板属性!$C38,镶嵌库!$C$4:$M$4,0),-1)),0)</f>
        <v>0</v>
      </c>
      <c r="W38" s="160">
        <f>IFERROR(INDEX(镶嵌库!$C$5:$M$13,基础面板属性!$D38+1,IF(LEFT(基础面板属性!$C38,2)&amp;"值"=基础面板属性!W$1,MATCH(基础面板属性!$C38,镶嵌库!$C$4:$M$4,0),-1)),0)</f>
        <v>0</v>
      </c>
      <c r="X38" s="160">
        <f>IFERROR(INDEX(镶嵌库!$C$5:$M$13,基础面板属性!$D38+1,IF(LEFT(基础面板属性!$C38,2)&amp;"值"=基础面板属性!X$1,MATCH(基础面板属性!$C38,镶嵌库!$C$4:$M$4,0),-1)),0)</f>
        <v>0</v>
      </c>
      <c r="Y38" s="160">
        <f>IFERROR(INDEX(镶嵌库!$C$5:$M$13,基础面板属性!$D38+1,IF(LEFT(基础面板属性!$C38,2)&amp;"值"=基础面板属性!Y$1,MATCH(基础面板属性!$C38,镶嵌库!$C$4:$M$4,0),-1)),0)</f>
        <v>0</v>
      </c>
      <c r="Z38" s="160">
        <f>IFERROR(INDEX(镶嵌库!$C$5:$M$13,基础面板属性!$D38+1,IF(LEFT(基础面板属性!$C38,2)&amp;"值"=基础面板属性!Z$1,MATCH(基础面板属性!$C38,镶嵌库!$C$4:$M$4,0),-1)),0)</f>
        <v>0</v>
      </c>
      <c r="AA38" s="160">
        <f>IFERROR(INDEX(镶嵌库!$C$5:$M$13,基础面板属性!$D38+1,IF(LEFT(基础面板属性!$C38,2)&amp;"值"=基础面板属性!AA$1,MATCH(基础面板属性!$C38,镶嵌库!$C$4:$M$4,0),-1)),0)</f>
        <v>0</v>
      </c>
      <c r="AB38" s="160">
        <f>IFERROR(INDEX(镶嵌库!$C$5:$M$13,基础面板属性!$D38+1,IF(LEFT(基础面板属性!$C38,2)&amp;"值"=基础面板属性!AB$1,MATCH(基础面板属性!$C38,镶嵌库!$C$4:$M$4,0),-1)),0)</f>
        <v>0</v>
      </c>
      <c r="AC38" s="160">
        <f>IFERROR(INDEX(镶嵌库!$C$5:$M$13,基础面板属性!$D38+1,IF(LEFT(基础面板属性!$C38,2)&amp;"值"=基础面板属性!AC$1,MATCH(基础面板属性!$C38,镶嵌库!$C$4:$M$4,0),-1)),0)</f>
        <v>1317</v>
      </c>
      <c r="AD38" s="160">
        <f>IFERROR(INDEX(镶嵌库!$C$5:$M$13,基础面板属性!$D38+1,IF(LEFT(基础面板属性!$C38,2)&amp;"值"=基础面板属性!AD$1,MATCH(基础面板属性!$C38,镶嵌库!$C$4:$M$4,0),-1)),0)</f>
        <v>0</v>
      </c>
      <c r="AE38" s="160">
        <f>IFERROR(INDEX(镶嵌库!$C$5:$M$13,基础面板属性!$D38+1,IF(LEFT(基础面板属性!$C38,2)&amp;"值"=基础面板属性!AE$1,MATCH(基础面板属性!$C38,镶嵌库!$C$4:$M$4,0),-1)),0)</f>
        <v>0</v>
      </c>
      <c r="AF38" s="160">
        <f>IFERROR(INDEX(镶嵌库!$C$5:$M$13,基础面板属性!$D38+1,IF(LEFT(基础面板属性!$C38,2)&amp;"值"=基础面板属性!AF$1,MATCH(基础面板属性!$C38,镶嵌库!$C$4:$M$4,0),-1)),0)</f>
        <v>0</v>
      </c>
      <c r="AG38" s="160">
        <f>IFERROR(INDEX(镶嵌库!$C$5:$M$13,基础面板属性!$D38+1,IF(LEFT(基础面板属性!$C38,2)&amp;"值"=基础面板属性!AG$1,MATCH(基础面板属性!$C38,镶嵌库!$C$4:$M$4,0),-1)),0)</f>
        <v>0</v>
      </c>
      <c r="AH38" s="160">
        <f>IFERROR(INDEX(镶嵌库!$C$5:$M$13,基础面板属性!$D38+1,IF(LEFT(基础面板属性!$C38,2)&amp;"值"=基础面板属性!AH$1,MATCH(基础面板属性!$C38,镶嵌库!$C$4:$M$4,0),-1)),0)</f>
        <v>0</v>
      </c>
      <c r="AI38" s="160">
        <f>IFERROR(INDEX(镶嵌库!$C$5:$M$13,基础面板属性!$D38+1,IF(LEFT(基础面板属性!$C38,2)&amp;"值"=基础面板属性!AI$1,MATCH(基础面板属性!$C38,镶嵌库!$C$4:$M$4,0),-1)),0)</f>
        <v>0</v>
      </c>
      <c r="AJ38" s="160">
        <f>IFERROR(INDEX(镶嵌库!$C$5:$M$13,基础面板属性!$D38+1,IF(LEFT(基础面板属性!$C38,2)&amp;"值"=基础面板属性!AJ$1,MATCH(基础面板属性!$C38,镶嵌库!$C$4:$M$4,0),-1)),0)</f>
        <v>0</v>
      </c>
      <c r="AK38" s="160">
        <f>IFERROR(INDEX(镶嵌库!$C$5:$M$13,基础面板属性!$D38+1,IF(LEFT(基础面板属性!$C38,2)&amp;"值"=基础面板属性!AK$1,MATCH(基础面板属性!$C38,镶嵌库!$C$4:$M$4,0),-1)),0)</f>
        <v>0</v>
      </c>
      <c r="AL38" s="160">
        <f>IFERROR(INDEX(镶嵌库!$C$5:$M$13,基础面板属性!$D38+1,IF(LEFT(基础面板属性!$C38,2)&amp;"值"=基础面板属性!AL$1,MATCH(基础面板属性!$C38,镶嵌库!$C$4:$M$4,0),-1)),0)</f>
        <v>0</v>
      </c>
      <c r="AM38" s="160">
        <f>IFERROR(INDEX(镶嵌库!$C$5:$M$13,基础面板属性!$D38+1,IF(LEFT(基础面板属性!$C38,2)&amp;"值"=基础面板属性!AM$1,MATCH(基础面板属性!$C38,镶嵌库!$C$4:$M$4,0),-1)),0)</f>
        <v>0</v>
      </c>
      <c r="AN38" s="160">
        <f>IFERROR(INDEX(镶嵌库!$C$5:$M$13,基础面板属性!$D38+1,IF(LEFT(基础面板属性!$C38,2)&amp;"值"=基础面板属性!AN$1,MATCH(基础面板属性!$C38,镶嵌库!$C$4:$M$4,0),-1)),0)</f>
        <v>0</v>
      </c>
      <c r="AO38" s="160">
        <f>IFERROR(INDEX(镶嵌库!$C$5:$M$13,基础面板属性!$D38+1,IF(LEFT(基础面板属性!$C38,2)&amp;"值"=基础面板属性!AO$1,MATCH(基础面板属性!$C38,镶嵌库!$C$4:$M$4,0),-1)),0)</f>
        <v>0</v>
      </c>
      <c r="AP38" s="160">
        <f>IFERROR(INDEX(镶嵌库!$C$5:$M$13,基础面板属性!$D38+1,IF(LEFT(基础面板属性!$C38,2)&amp;"值"=基础面板属性!AP$1,MATCH(基础面板属性!$C38,镶嵌库!$C$4:$M$4,0),-1)),0)</f>
        <v>0</v>
      </c>
      <c r="AU38" s="160">
        <f>IFERROR(INDEX(镶嵌库!$C$5:$M$13,基础面板属性!$D38+1,IF(LEFT(基础面板属性!$C38,2)&amp;"值"=基础面板属性!AU$1,MATCH(基础面板属性!$C38,镶嵌库!$C$4:$M$4,0),-1)),0)</f>
        <v>0</v>
      </c>
      <c r="AV38" s="160">
        <f>IFERROR(INDEX(镶嵌库!$C$5:$M$13,基础面板属性!$D38+1,IF(LEFT(基础面板属性!$C38,2)&amp;"值"=基础面板属性!AV$1,MATCH(基础面板属性!$C38,镶嵌库!$C$4:$M$4,0),-1)),0)</f>
        <v>0</v>
      </c>
      <c r="AW38" s="160">
        <f>IFERROR(INDEX(镶嵌库!$C$5:$M$13,基础面板属性!$D38+1,IF(LEFT(基础面板属性!$C38,2)&amp;"值"=基础面板属性!AW$1,MATCH(基础面板属性!$C38,镶嵌库!$C$4:$M$4,0),-1)),0)</f>
        <v>0</v>
      </c>
      <c r="AX38" s="160">
        <f>IFERROR(INDEX(镶嵌库!$C$5:$M$13,基础面板属性!$D38+1,IF(LEFT(基础面板属性!$C38,2)&amp;"值"=基础面板属性!AX$1,MATCH(基础面板属性!$C38,镶嵌库!$C$4:$M$4,0),-1)),0)</f>
        <v>0</v>
      </c>
      <c r="AY38" s="160">
        <f>IFERROR(INDEX(镶嵌库!$C$5:$M$13,基础面板属性!$D38+1,IF(LEFT(基础面板属性!$C38,2)&amp;"值"=基础面板属性!AY$1,MATCH(基础面板属性!$C38,镶嵌库!$C$4:$M$4,0),-1)),0)</f>
        <v>0</v>
      </c>
      <c r="AZ38" s="160">
        <f>IFERROR(INDEX(镶嵌库!$C$5:$M$13,基础面板属性!$D38+1,IF(LEFT(基础面板属性!$C38,2)&amp;"值"=基础面板属性!AZ$1,MATCH(基础面板属性!$C38,镶嵌库!$C$4:$M$4,0),-1)),0)</f>
        <v>0</v>
      </c>
      <c r="BA38" s="160">
        <f>IFERROR(INDEX(镶嵌库!$C$5:$M$13,基础面板属性!$D38+1,IF(LEFT(基础面板属性!$C38,2)&amp;"值"=基础面板属性!BA$1,MATCH(基础面板属性!$C38,镶嵌库!$C$4:$M$4,0),-1)),0)</f>
        <v>0</v>
      </c>
      <c r="BB38" s="160">
        <f>IFERROR(INDEX(镶嵌库!$C$5:$M$13,基础面板属性!$D38+1,IF(LEFT(基础面板属性!$C38,2)&amp;"值"=基础面板属性!BB$1,MATCH(基础面板属性!$C38,镶嵌库!$C$4:$M$4,0),-1)),0)</f>
        <v>0</v>
      </c>
      <c r="BC38" s="160">
        <f>IFERROR(INDEX(镶嵌库!$C$5:$M$13,基础面板属性!$D38+1,IF(LEFT(基础面板属性!$C38,2)&amp;"值"=基础面板属性!BC$1,MATCH(基础面板属性!$C38,镶嵌库!$C$4:$M$4,0),-1)),0)</f>
        <v>0</v>
      </c>
      <c r="BD38" s="160">
        <f>IFERROR(INDEX(镶嵌库!$C$5:$M$13,基础面板属性!$D38+1,IF(LEFT(基础面板属性!$C38,2)&amp;"值"=基础面板属性!BD$1,MATCH(基础面板属性!$C38,镶嵌库!$C$4:$M$4,0),-1)),0)</f>
        <v>0</v>
      </c>
    </row>
    <row r="39" spans="1:56">
      <c r="A39" s="160" t="str">
        <f>A37</f>
        <v>腰坠</v>
      </c>
      <c r="B39" s="160" t="s">
        <v>2086</v>
      </c>
      <c r="C39" s="160" t="str">
        <f>IF(附魔库!$W$12="气血","基础气血值",附魔库!$W$12&amp;"值")</f>
        <v>体质值</v>
      </c>
      <c r="D39" s="160">
        <f>附魔库!X12</f>
        <v>1037</v>
      </c>
      <c r="E39" s="160">
        <f>IF(OR($C39=E$1,$C39&amp;"大"=E$1,$C39&amp;"小"=E$1),$D39,0)</f>
        <v>1037</v>
      </c>
      <c r="F39" s="160">
        <f t="shared" ref="F39:BD43" si="7">IF(OR($C39=F$1,$C39&amp;"大"=F$1,$C39&amp;"小"=F$1),$D39,0)</f>
        <v>0</v>
      </c>
      <c r="G39" s="160">
        <f t="shared" si="7"/>
        <v>0</v>
      </c>
      <c r="H39" s="160">
        <f t="shared" si="7"/>
        <v>0</v>
      </c>
      <c r="I39" s="160">
        <f t="shared" si="7"/>
        <v>0</v>
      </c>
      <c r="J39" s="160">
        <f t="shared" si="7"/>
        <v>0</v>
      </c>
      <c r="K39" s="160">
        <f t="shared" si="7"/>
        <v>0</v>
      </c>
      <c r="L39" s="160">
        <f t="shared" si="7"/>
        <v>0</v>
      </c>
      <c r="M39" s="160">
        <f t="shared" si="7"/>
        <v>0</v>
      </c>
      <c r="N39" s="160">
        <f t="shared" si="7"/>
        <v>0</v>
      </c>
      <c r="O39" s="160">
        <f t="shared" si="7"/>
        <v>0</v>
      </c>
      <c r="P39" s="160">
        <f t="shared" si="7"/>
        <v>0</v>
      </c>
      <c r="Q39" s="160">
        <f t="shared" si="7"/>
        <v>0</v>
      </c>
      <c r="R39" s="160">
        <f t="shared" si="7"/>
        <v>0</v>
      </c>
      <c r="S39" s="160">
        <f t="shared" si="7"/>
        <v>0</v>
      </c>
      <c r="T39" s="160">
        <f t="shared" si="7"/>
        <v>0</v>
      </c>
      <c r="U39" s="160">
        <f t="shared" si="7"/>
        <v>0</v>
      </c>
      <c r="V39" s="160">
        <f t="shared" si="7"/>
        <v>0</v>
      </c>
      <c r="W39" s="160">
        <f t="shared" si="7"/>
        <v>0</v>
      </c>
      <c r="X39" s="160">
        <f t="shared" si="7"/>
        <v>0</v>
      </c>
      <c r="Y39" s="160">
        <f t="shared" si="7"/>
        <v>0</v>
      </c>
      <c r="Z39" s="160">
        <f t="shared" si="7"/>
        <v>0</v>
      </c>
      <c r="AA39" s="160">
        <f t="shared" si="7"/>
        <v>0</v>
      </c>
      <c r="AB39" s="160">
        <f t="shared" si="7"/>
        <v>0</v>
      </c>
      <c r="AC39" s="160">
        <f t="shared" si="7"/>
        <v>0</v>
      </c>
      <c r="AD39" s="160">
        <f t="shared" si="7"/>
        <v>0</v>
      </c>
      <c r="AE39" s="160">
        <f t="shared" si="7"/>
        <v>0</v>
      </c>
      <c r="AF39" s="160">
        <f t="shared" si="7"/>
        <v>0</v>
      </c>
      <c r="AG39" s="160">
        <f t="shared" si="7"/>
        <v>0</v>
      </c>
      <c r="AH39" s="160">
        <f t="shared" si="7"/>
        <v>0</v>
      </c>
      <c r="AI39" s="160">
        <f t="shared" si="7"/>
        <v>0</v>
      </c>
      <c r="AJ39" s="160">
        <f t="shared" si="7"/>
        <v>0</v>
      </c>
      <c r="AK39" s="160">
        <f t="shared" si="7"/>
        <v>0</v>
      </c>
      <c r="AL39" s="160">
        <f t="shared" si="7"/>
        <v>0</v>
      </c>
      <c r="AM39" s="160">
        <f t="shared" si="7"/>
        <v>0</v>
      </c>
      <c r="AN39" s="160">
        <f t="shared" si="7"/>
        <v>0</v>
      </c>
      <c r="AO39" s="160">
        <f t="shared" si="7"/>
        <v>0</v>
      </c>
      <c r="AP39" s="160">
        <f t="shared" si="7"/>
        <v>0</v>
      </c>
      <c r="AU39" s="160">
        <f t="shared" si="7"/>
        <v>0</v>
      </c>
      <c r="AV39" s="160">
        <f t="shared" si="7"/>
        <v>0</v>
      </c>
      <c r="AW39" s="160">
        <f t="shared" si="7"/>
        <v>0</v>
      </c>
      <c r="AX39" s="160">
        <f t="shared" si="7"/>
        <v>0</v>
      </c>
      <c r="AY39" s="160">
        <f t="shared" si="7"/>
        <v>0</v>
      </c>
      <c r="AZ39" s="160">
        <f t="shared" si="7"/>
        <v>0</v>
      </c>
      <c r="BA39" s="160">
        <f t="shared" si="7"/>
        <v>0</v>
      </c>
      <c r="BB39" s="160">
        <f t="shared" si="7"/>
        <v>0</v>
      </c>
      <c r="BC39" s="160">
        <f t="shared" si="7"/>
        <v>0</v>
      </c>
      <c r="BD39" s="160">
        <f t="shared" si="7"/>
        <v>0</v>
      </c>
    </row>
    <row r="40" spans="1:56">
      <c r="A40" s="160" t="s">
        <v>1980</v>
      </c>
      <c r="B40" s="160" t="s">
        <v>2087</v>
      </c>
      <c r="C40" s="160" t="str">
        <f>配装计算器!I17</f>
        <v>第一尊(35300特效精简会会招)</v>
      </c>
      <c r="E40" s="160">
        <f>装备选择!AV10</f>
        <v>10417</v>
      </c>
      <c r="M40" s="160">
        <f>装备选择!AW10</f>
        <v>0</v>
      </c>
      <c r="S40" s="160">
        <f>装备选择!AY10</f>
        <v>3731</v>
      </c>
      <c r="W40" s="160">
        <f>装备选择!AZ10</f>
        <v>8523</v>
      </c>
      <c r="Z40" s="160">
        <f>装备选择!BA10</f>
        <v>3551</v>
      </c>
      <c r="AC40" s="160">
        <f>装备选择!BB10</f>
        <v>0</v>
      </c>
      <c r="AG40" s="160">
        <f>装备选择!BF10</f>
        <v>0</v>
      </c>
      <c r="AH40" s="160">
        <f>装备选择!BC10</f>
        <v>3551</v>
      </c>
      <c r="AK40" s="160">
        <f>装备选择!BD10</f>
        <v>0</v>
      </c>
      <c r="AP40" s="160">
        <f>装备选择!BE10</f>
        <v>0</v>
      </c>
      <c r="AU40" s="160">
        <f>装备选择!BH10</f>
        <v>0</v>
      </c>
      <c r="AV40" s="160">
        <f>装备选择!BI10</f>
        <v>0</v>
      </c>
    </row>
    <row r="41" spans="1:56">
      <c r="A41" s="160" t="str">
        <f>A40</f>
        <v>戒指1</v>
      </c>
      <c r="B41" s="160" t="s">
        <v>2088</v>
      </c>
      <c r="C41" s="160" t="str">
        <f>IF(附魔库!$W$13="气血","基础气血值",附魔库!$W$13&amp;"值")</f>
        <v>攻击值</v>
      </c>
      <c r="D41" s="160">
        <f>附魔库!X13</f>
        <v>1559</v>
      </c>
      <c r="E41" s="160">
        <f>IF(OR($C41=E$1,$C41&amp;"大"=E$1,$C41&amp;"小"=E$1),$D41,0)</f>
        <v>0</v>
      </c>
      <c r="F41" s="160">
        <f t="shared" si="7"/>
        <v>0</v>
      </c>
      <c r="G41" s="160">
        <f t="shared" si="7"/>
        <v>0</v>
      </c>
      <c r="H41" s="160">
        <f t="shared" si="7"/>
        <v>0</v>
      </c>
      <c r="I41" s="160">
        <f t="shared" si="7"/>
        <v>0</v>
      </c>
      <c r="J41" s="160">
        <f t="shared" si="7"/>
        <v>0</v>
      </c>
      <c r="K41" s="160">
        <f t="shared" si="7"/>
        <v>0</v>
      </c>
      <c r="L41" s="160">
        <f t="shared" si="7"/>
        <v>0</v>
      </c>
      <c r="M41" s="160">
        <f t="shared" si="7"/>
        <v>0</v>
      </c>
      <c r="N41" s="160">
        <f t="shared" si="7"/>
        <v>0</v>
      </c>
      <c r="O41" s="160">
        <f t="shared" si="7"/>
        <v>0</v>
      </c>
      <c r="P41" s="160">
        <f t="shared" si="7"/>
        <v>0</v>
      </c>
      <c r="Q41" s="160">
        <f t="shared" si="7"/>
        <v>0</v>
      </c>
      <c r="R41" s="160">
        <f t="shared" si="7"/>
        <v>0</v>
      </c>
      <c r="S41" s="160">
        <f t="shared" si="7"/>
        <v>1559</v>
      </c>
      <c r="T41" s="160">
        <f t="shared" si="7"/>
        <v>0</v>
      </c>
      <c r="U41" s="160">
        <f t="shared" si="7"/>
        <v>0</v>
      </c>
      <c r="V41" s="160">
        <f t="shared" si="7"/>
        <v>0</v>
      </c>
      <c r="W41" s="160">
        <f t="shared" si="7"/>
        <v>0</v>
      </c>
      <c r="X41" s="160">
        <f t="shared" si="7"/>
        <v>0</v>
      </c>
      <c r="Y41" s="160">
        <f t="shared" si="7"/>
        <v>0</v>
      </c>
      <c r="Z41" s="160">
        <f t="shared" si="7"/>
        <v>0</v>
      </c>
      <c r="AA41" s="160">
        <f t="shared" si="7"/>
        <v>0</v>
      </c>
      <c r="AB41" s="160">
        <f t="shared" si="7"/>
        <v>0</v>
      </c>
      <c r="AC41" s="160">
        <f t="shared" si="7"/>
        <v>0</v>
      </c>
      <c r="AD41" s="160">
        <f t="shared" si="7"/>
        <v>0</v>
      </c>
      <c r="AE41" s="160">
        <f t="shared" si="7"/>
        <v>0</v>
      </c>
      <c r="AF41" s="160">
        <f t="shared" si="7"/>
        <v>0</v>
      </c>
      <c r="AG41" s="160">
        <f t="shared" si="7"/>
        <v>0</v>
      </c>
      <c r="AH41" s="160">
        <f t="shared" si="7"/>
        <v>0</v>
      </c>
      <c r="AI41" s="160">
        <f t="shared" si="7"/>
        <v>0</v>
      </c>
      <c r="AJ41" s="160">
        <f t="shared" si="7"/>
        <v>0</v>
      </c>
      <c r="AK41" s="160">
        <f t="shared" si="7"/>
        <v>0</v>
      </c>
      <c r="AL41" s="160">
        <f t="shared" si="7"/>
        <v>0</v>
      </c>
      <c r="AM41" s="160">
        <f t="shared" si="7"/>
        <v>0</v>
      </c>
      <c r="AN41" s="160">
        <f t="shared" si="7"/>
        <v>0</v>
      </c>
      <c r="AO41" s="160">
        <f t="shared" si="7"/>
        <v>0</v>
      </c>
      <c r="AP41" s="160">
        <f t="shared" si="7"/>
        <v>0</v>
      </c>
      <c r="AU41" s="160">
        <f t="shared" si="7"/>
        <v>0</v>
      </c>
      <c r="AV41" s="160">
        <f t="shared" si="7"/>
        <v>0</v>
      </c>
      <c r="AW41" s="160">
        <f t="shared" si="7"/>
        <v>0</v>
      </c>
      <c r="AX41" s="160">
        <f t="shared" si="7"/>
        <v>0</v>
      </c>
      <c r="AY41" s="160">
        <f t="shared" si="7"/>
        <v>0</v>
      </c>
      <c r="AZ41" s="160">
        <f t="shared" si="7"/>
        <v>0</v>
      </c>
      <c r="BA41" s="160">
        <f t="shared" si="7"/>
        <v>0</v>
      </c>
      <c r="BB41" s="160">
        <f t="shared" si="7"/>
        <v>0</v>
      </c>
      <c r="BC41" s="160">
        <f t="shared" si="7"/>
        <v>0</v>
      </c>
      <c r="BD41" s="160">
        <f t="shared" si="7"/>
        <v>0</v>
      </c>
    </row>
    <row r="42" spans="1:56">
      <c r="A42" s="160" t="s">
        <v>1981</v>
      </c>
      <c r="B42" s="160" t="s">
        <v>2089</v>
      </c>
      <c r="C42" s="160" t="str">
        <f>配装计算器!I21</f>
        <v>狂岚戒·明(41400精简会招无)</v>
      </c>
      <c r="E42" s="160">
        <f>装备选择!AV11</f>
        <v>12216</v>
      </c>
      <c r="M42" s="160">
        <f>装备选择!AW11</f>
        <v>0</v>
      </c>
      <c r="S42" s="160">
        <f>装备选择!AY11</f>
        <v>4376</v>
      </c>
      <c r="W42" s="160">
        <f>装备选择!AZ11</f>
        <v>6108</v>
      </c>
      <c r="Z42" s="160">
        <f>装备选择!BA11</f>
        <v>0</v>
      </c>
      <c r="AC42" s="160">
        <f>装备选择!BB11</f>
        <v>0</v>
      </c>
      <c r="AG42" s="160">
        <f>装备选择!BF11</f>
        <v>0</v>
      </c>
      <c r="AH42" s="160">
        <f>装备选择!BC11</f>
        <v>6108</v>
      </c>
      <c r="AK42" s="160">
        <f>装备选择!BD11</f>
        <v>6108</v>
      </c>
      <c r="AP42" s="160">
        <f>装备选择!BE11</f>
        <v>0</v>
      </c>
      <c r="AU42" s="160">
        <f>装备选择!BH11</f>
        <v>0</v>
      </c>
      <c r="AV42" s="160">
        <f>装备选择!BI11</f>
        <v>0</v>
      </c>
    </row>
    <row r="43" spans="1:56">
      <c r="A43" s="160" t="str">
        <f>A42</f>
        <v>戒指2</v>
      </c>
      <c r="B43" s="160" t="s">
        <v>2090</v>
      </c>
      <c r="C43" s="160" t="str">
        <f>IF(附魔库!$W$14="气血","基础气血值",附魔库!$W$14&amp;"值")</f>
        <v>攻击值</v>
      </c>
      <c r="D43" s="160">
        <f>附魔库!X14</f>
        <v>1559</v>
      </c>
      <c r="E43" s="160">
        <f>IF(OR($C43=E$1,$C43&amp;"大"=E$1,$C43&amp;"小"=E$1),$D43,0)</f>
        <v>0</v>
      </c>
      <c r="F43" s="160">
        <f t="shared" si="7"/>
        <v>0</v>
      </c>
      <c r="G43" s="160">
        <f t="shared" si="7"/>
        <v>0</v>
      </c>
      <c r="H43" s="160">
        <f t="shared" si="7"/>
        <v>0</v>
      </c>
      <c r="I43" s="160">
        <f t="shared" si="7"/>
        <v>0</v>
      </c>
      <c r="J43" s="160">
        <f t="shared" si="7"/>
        <v>0</v>
      </c>
      <c r="K43" s="160">
        <f t="shared" si="7"/>
        <v>0</v>
      </c>
      <c r="L43" s="160">
        <f t="shared" si="7"/>
        <v>0</v>
      </c>
      <c r="M43" s="160">
        <f t="shared" si="7"/>
        <v>0</v>
      </c>
      <c r="N43" s="160">
        <f t="shared" si="7"/>
        <v>0</v>
      </c>
      <c r="O43" s="160">
        <f t="shared" si="7"/>
        <v>0</v>
      </c>
      <c r="P43" s="160">
        <f t="shared" si="7"/>
        <v>0</v>
      </c>
      <c r="Q43" s="160">
        <f t="shared" si="7"/>
        <v>0</v>
      </c>
      <c r="R43" s="160">
        <f t="shared" si="7"/>
        <v>0</v>
      </c>
      <c r="S43" s="160">
        <f t="shared" si="7"/>
        <v>1559</v>
      </c>
      <c r="T43" s="160">
        <f t="shared" si="7"/>
        <v>0</v>
      </c>
      <c r="U43" s="160">
        <f t="shared" si="7"/>
        <v>0</v>
      </c>
      <c r="V43" s="160">
        <f t="shared" si="7"/>
        <v>0</v>
      </c>
      <c r="W43" s="160">
        <f t="shared" si="7"/>
        <v>0</v>
      </c>
      <c r="X43" s="160">
        <f t="shared" si="7"/>
        <v>0</v>
      </c>
      <c r="Y43" s="160">
        <f t="shared" si="7"/>
        <v>0</v>
      </c>
      <c r="Z43" s="160">
        <f t="shared" si="7"/>
        <v>0</v>
      </c>
      <c r="AA43" s="160">
        <f t="shared" si="7"/>
        <v>0</v>
      </c>
      <c r="AB43" s="160">
        <f t="shared" si="7"/>
        <v>0</v>
      </c>
      <c r="AC43" s="160">
        <f t="shared" si="7"/>
        <v>0</v>
      </c>
      <c r="AD43" s="160">
        <f t="shared" si="7"/>
        <v>0</v>
      </c>
      <c r="AE43" s="160">
        <f t="shared" si="7"/>
        <v>0</v>
      </c>
      <c r="AF43" s="160">
        <f t="shared" si="7"/>
        <v>0</v>
      </c>
      <c r="AG43" s="160">
        <f t="shared" si="7"/>
        <v>0</v>
      </c>
      <c r="AH43" s="160">
        <f t="shared" si="7"/>
        <v>0</v>
      </c>
      <c r="AI43" s="160">
        <f t="shared" si="7"/>
        <v>0</v>
      </c>
      <c r="AJ43" s="160">
        <f t="shared" si="7"/>
        <v>0</v>
      </c>
      <c r="AK43" s="160">
        <f t="shared" si="7"/>
        <v>0</v>
      </c>
      <c r="AL43" s="160">
        <f t="shared" si="7"/>
        <v>0</v>
      </c>
      <c r="AM43" s="160">
        <f t="shared" si="7"/>
        <v>0</v>
      </c>
      <c r="AN43" s="160">
        <f t="shared" si="7"/>
        <v>0</v>
      </c>
      <c r="AO43" s="160">
        <f t="shared" si="7"/>
        <v>0</v>
      </c>
      <c r="AP43" s="160">
        <f t="shared" si="7"/>
        <v>0</v>
      </c>
      <c r="AU43" s="160">
        <f t="shared" si="7"/>
        <v>0</v>
      </c>
      <c r="AV43" s="160">
        <f t="shared" si="7"/>
        <v>0</v>
      </c>
      <c r="AW43" s="160">
        <f t="shared" si="7"/>
        <v>0</v>
      </c>
      <c r="AX43" s="160">
        <f t="shared" si="7"/>
        <v>0</v>
      </c>
      <c r="AY43" s="160">
        <f t="shared" si="7"/>
        <v>0</v>
      </c>
      <c r="AZ43" s="160">
        <f t="shared" si="7"/>
        <v>0</v>
      </c>
      <c r="BA43" s="160">
        <f t="shared" si="7"/>
        <v>0</v>
      </c>
      <c r="BB43" s="160">
        <f t="shared" si="7"/>
        <v>0</v>
      </c>
      <c r="BC43" s="160">
        <f t="shared" si="7"/>
        <v>0</v>
      </c>
      <c r="BD43" s="160">
        <f t="shared" si="7"/>
        <v>0</v>
      </c>
    </row>
    <row r="44" spans="1:56">
      <c r="A44" s="160" t="s">
        <v>82</v>
      </c>
      <c r="B44" s="160" t="s">
        <v>2091</v>
      </c>
      <c r="C44" s="160" t="str">
        <f>配装计算器!I25</f>
        <v>无修囊·外·天(38100特效精简招无)</v>
      </c>
      <c r="E44" s="160">
        <f>装备选择!AV12</f>
        <v>13491</v>
      </c>
      <c r="M44" s="160">
        <f>装备选择!AW12</f>
        <v>0</v>
      </c>
      <c r="S44" s="160">
        <f>装备选择!AY12</f>
        <v>1666</v>
      </c>
      <c r="W44" s="160">
        <f>装备选择!AZ12</f>
        <v>0</v>
      </c>
      <c r="Z44" s="160">
        <f>装备选择!BA12</f>
        <v>0</v>
      </c>
      <c r="AC44" s="160">
        <f>装备选择!BB12</f>
        <v>0</v>
      </c>
      <c r="AG44" s="160">
        <f>装备选择!BF12</f>
        <v>0</v>
      </c>
      <c r="AH44" s="160">
        <f>装备选择!BC12</f>
        <v>24529</v>
      </c>
      <c r="AK44" s="160">
        <f>装备选择!BD12</f>
        <v>7359</v>
      </c>
      <c r="AP44" s="160">
        <f>装备选择!BE12</f>
        <v>0</v>
      </c>
      <c r="AU44" s="160">
        <f>装备选择!BH12</f>
        <v>0</v>
      </c>
      <c r="AV44" s="160">
        <f>装备选择!BI12</f>
        <v>0</v>
      </c>
    </row>
    <row r="45" spans="1:56">
      <c r="A45" s="160" t="str">
        <f>A44</f>
        <v>暗器</v>
      </c>
      <c r="B45" s="160" t="s">
        <v>2092</v>
      </c>
      <c r="C45" s="160" t="str">
        <f>配装计算器!H27</f>
        <v>破招孔</v>
      </c>
      <c r="D45" s="160">
        <f>IF(C45="",0,IF(配装计算器!$K$32&lt;&gt;"不使用",镶嵌库!$Y$17,IFERROR(1*(LEFT(配装计算器!I27,1)),0)))</f>
        <v>8</v>
      </c>
      <c r="E45" s="160">
        <f>IFERROR(INDEX(镶嵌库!$C$5:$M$13,基础面板属性!$D45+1,IF(LEFT(基础面板属性!$C45,2)&amp;"值"=基础面板属性!E$1,MATCH(基础面板属性!$C45,镶嵌库!$C$4:$M$4,0),-1)),0)</f>
        <v>0</v>
      </c>
      <c r="F45" s="160">
        <f>IFERROR(INDEX(镶嵌库!$C$5:$M$13,基础面板属性!$D45+1,IF(LEFT(基础面板属性!$C45,2)&amp;"值"=基础面板属性!F$1,MATCH(基础面板属性!$C45,镶嵌库!$C$4:$M$4,0),-1)),0)</f>
        <v>0</v>
      </c>
      <c r="G45" s="160">
        <f>IFERROR(INDEX(镶嵌库!$C$5:$M$13,基础面板属性!$D45+1,IF(LEFT(基础面板属性!$C45,2)&amp;"值"=基础面板属性!G$1,MATCH(基础面板属性!$C45,镶嵌库!$C$4:$M$4,0),-1)),0)</f>
        <v>0</v>
      </c>
      <c r="H45" s="160">
        <f>IFERROR(INDEX(镶嵌库!$C$5:$M$13,基础面板属性!$D45+1,IF(LEFT(基础面板属性!$C45,2)&amp;"值"=基础面板属性!H$1,MATCH(基础面板属性!$C45,镶嵌库!$C$4:$M$4,0),-1)),0)</f>
        <v>0</v>
      </c>
      <c r="I45" s="160">
        <f>IFERROR(INDEX(镶嵌库!$C$5:$M$13,基础面板属性!$D45+1,IF(LEFT(基础面板属性!$C45,2)&amp;"值"=基础面板属性!I$1,MATCH(基础面板属性!$C45,镶嵌库!$C$4:$M$4,0),-1)),0)</f>
        <v>0</v>
      </c>
      <c r="J45" s="160">
        <f>IFERROR(INDEX(镶嵌库!$C$5:$M$13,基础面板属性!$D45+1,IF(LEFT(基础面板属性!$C45,2)&amp;"值"=基础面板属性!J$1,MATCH(基础面板属性!$C45,镶嵌库!$C$4:$M$4,0),-1)),0)</f>
        <v>0</v>
      </c>
      <c r="K45" s="160">
        <f>IFERROR(INDEX(镶嵌库!$C$5:$M$13,基础面板属性!$D45+1,IF(LEFT(基础面板属性!$C45,2)&amp;"值"=基础面板属性!K$1,MATCH(基础面板属性!$C45,镶嵌库!$C$4:$M$4,0),-1)),0)</f>
        <v>0</v>
      </c>
      <c r="L45" s="160">
        <f>IFERROR(INDEX(镶嵌库!$C$5:$M$13,基础面板属性!$D45+1,IF(LEFT(基础面板属性!$C45,2)&amp;"值"=基础面板属性!L$1,MATCH(基础面板属性!$C45,镶嵌库!$C$4:$M$4,0),-1)),0)</f>
        <v>0</v>
      </c>
      <c r="M45" s="160">
        <f>IFERROR(INDEX(镶嵌库!$C$5:$M$13,基础面板属性!$D45+1,IF(LEFT(基础面板属性!$C45,2)&amp;"值"=基础面板属性!M$1,MATCH(基础面板属性!$C45,镶嵌库!$C$4:$M$4,0),-1)),0)</f>
        <v>0</v>
      </c>
      <c r="N45" s="160">
        <f>IFERROR(INDEX(镶嵌库!$C$5:$M$13,基础面板属性!$D45+1,IF(LEFT(基础面板属性!$C45,2)&amp;"值"=基础面板属性!N$1,MATCH(基础面板属性!$C45,镶嵌库!$C$4:$M$4,0),-1)),0)</f>
        <v>0</v>
      </c>
      <c r="O45" s="160">
        <f>IFERROR(INDEX(镶嵌库!$C$5:$M$13,基础面板属性!$D45+1,IF(LEFT(基础面板属性!$C45,2)&amp;"值"=基础面板属性!O$1,MATCH(基础面板属性!$C45,镶嵌库!$C$4:$M$4,0),-1)),0)</f>
        <v>0</v>
      </c>
      <c r="P45" s="160">
        <f>IFERROR(INDEX(镶嵌库!$C$5:$M$13,基础面板属性!$D45+1,IF(LEFT(基础面板属性!$C45,2)&amp;"值"=基础面板属性!P$1,MATCH(基础面板属性!$C45,镶嵌库!$C$4:$M$4,0),-1)),0)</f>
        <v>0</v>
      </c>
      <c r="Q45" s="160">
        <f>IFERROR(INDEX(镶嵌库!$C$5:$M$13,基础面板属性!$D45+1,IF(LEFT(基础面板属性!$C45,2)&amp;"值"=基础面板属性!Q$1,MATCH(基础面板属性!$C45,镶嵌库!$C$4:$M$4,0),-1)),0)</f>
        <v>0</v>
      </c>
      <c r="R45" s="160">
        <f>IFERROR(INDEX(镶嵌库!$C$5:$M$13,基础面板属性!$D45+1,IF(LEFT(基础面板属性!$C45,2)&amp;"值"=基础面板属性!R$1,MATCH(基础面板属性!$C45,镶嵌库!$C$4:$M$4,0),-1)),0)</f>
        <v>0</v>
      </c>
      <c r="S45" s="160">
        <f>IFERROR(INDEX(镶嵌库!$C$5:$M$13,基础面板属性!$D45+1,IF(LEFT(基础面板属性!$C45,2)&amp;"值"=基础面板属性!S$1,MATCH(基础面板属性!$C45,镶嵌库!$C$4:$M$4,0),-1)),0)</f>
        <v>0</v>
      </c>
      <c r="T45" s="160">
        <f>IFERROR(INDEX(镶嵌库!$C$5:$M$13,基础面板属性!$D45+1,IF(LEFT(基础面板属性!$C45,2)&amp;"值"=基础面板属性!T$1,MATCH(基础面板属性!$C45,镶嵌库!$C$4:$M$4,0),-1)),0)</f>
        <v>0</v>
      </c>
      <c r="U45" s="160">
        <f>IFERROR(INDEX(镶嵌库!$C$5:$M$13,基础面板属性!$D45+1,IF(LEFT(基础面板属性!$C45,2)&amp;"值"=基础面板属性!U$1,MATCH(基础面板属性!$C45,镶嵌库!$C$4:$M$4,0),-1)),0)</f>
        <v>0</v>
      </c>
      <c r="V45" s="160">
        <f>IFERROR(INDEX(镶嵌库!$C$5:$M$13,基础面板属性!$D45+1,IF(LEFT(基础面板属性!$C45,2)&amp;"值"=基础面板属性!V$1,MATCH(基础面板属性!$C45,镶嵌库!$C$4:$M$4,0),-1)),0)</f>
        <v>0</v>
      </c>
      <c r="W45" s="160">
        <f>IFERROR(INDEX(镶嵌库!$C$5:$M$13,基础面板属性!$D45+1,IF(LEFT(基础面板属性!$C45,2)&amp;"值"=基础面板属性!W$1,MATCH(基础面板属性!$C45,镶嵌库!$C$4:$M$4,0),-1)),0)</f>
        <v>0</v>
      </c>
      <c r="X45" s="160">
        <f>IFERROR(INDEX(镶嵌库!$C$5:$M$13,基础面板属性!$D45+1,IF(LEFT(基础面板属性!$C45,2)&amp;"值"=基础面板属性!X$1,MATCH(基础面板属性!$C45,镶嵌库!$C$4:$M$4,0),-1)),0)</f>
        <v>0</v>
      </c>
      <c r="Y45" s="160">
        <f>IFERROR(INDEX(镶嵌库!$C$5:$M$13,基础面板属性!$D45+1,IF(LEFT(基础面板属性!$C45,2)&amp;"值"=基础面板属性!Y$1,MATCH(基础面板属性!$C45,镶嵌库!$C$4:$M$4,0),-1)),0)</f>
        <v>0</v>
      </c>
      <c r="Z45" s="160">
        <f>IFERROR(INDEX(镶嵌库!$C$5:$M$13,基础面板属性!$D45+1,IF(LEFT(基础面板属性!$C45,2)&amp;"值"=基础面板属性!Z$1,MATCH(基础面板属性!$C45,镶嵌库!$C$4:$M$4,0),-1)),0)</f>
        <v>0</v>
      </c>
      <c r="AA45" s="160">
        <f>IFERROR(INDEX(镶嵌库!$C$5:$M$13,基础面板属性!$D45+1,IF(LEFT(基础面板属性!$C45,2)&amp;"值"=基础面板属性!AA$1,MATCH(基础面板属性!$C45,镶嵌库!$C$4:$M$4,0),-1)),0)</f>
        <v>0</v>
      </c>
      <c r="AB45" s="160">
        <f>IFERROR(INDEX(镶嵌库!$C$5:$M$13,基础面板属性!$D45+1,IF(LEFT(基础面板属性!$C45,2)&amp;"值"=基础面板属性!AB$1,MATCH(基础面板属性!$C45,镶嵌库!$C$4:$M$4,0),-1)),0)</f>
        <v>0</v>
      </c>
      <c r="AC45" s="160">
        <f>IFERROR(INDEX(镶嵌库!$C$5:$M$13,基础面板属性!$D45+1,IF(LEFT(基础面板属性!$C45,2)&amp;"值"=基础面板属性!AC$1,MATCH(基础面板属性!$C45,镶嵌库!$C$4:$M$4,0),-1)),0)</f>
        <v>0</v>
      </c>
      <c r="AD45" s="160">
        <f>IFERROR(INDEX(镶嵌库!$C$5:$M$13,基础面板属性!$D45+1,IF(LEFT(基础面板属性!$C45,2)&amp;"值"=基础面板属性!AD$1,MATCH(基础面板属性!$C45,镶嵌库!$C$4:$M$4,0),-1)),0)</f>
        <v>0</v>
      </c>
      <c r="AE45" s="160">
        <f>IFERROR(INDEX(镶嵌库!$C$5:$M$13,基础面板属性!$D45+1,IF(LEFT(基础面板属性!$C45,2)&amp;"值"=基础面板属性!AE$1,MATCH(基础面板属性!$C45,镶嵌库!$C$4:$M$4,0),-1)),0)</f>
        <v>0</v>
      </c>
      <c r="AF45" s="160">
        <f>IFERROR(INDEX(镶嵌库!$C$5:$M$13,基础面板属性!$D45+1,IF(LEFT(基础面板属性!$C45,2)&amp;"值"=基础面板属性!AF$1,MATCH(基础面板属性!$C45,镶嵌库!$C$4:$M$4,0),-1)),0)</f>
        <v>0</v>
      </c>
      <c r="AG45" s="160">
        <f>IFERROR(INDEX(镶嵌库!$C$5:$M$13,基础面板属性!$D45+1,IF(LEFT(基础面板属性!$C45,2)&amp;"值"=基础面板属性!AG$1,MATCH(基础面板属性!$C45,镶嵌库!$C$4:$M$4,0),-1)),0)</f>
        <v>0</v>
      </c>
      <c r="AH45" s="160">
        <f>IFERROR(INDEX(镶嵌库!$C$5:$M$13,基础面板属性!$D45+1,IF(LEFT(基础面板属性!$C45,2)&amp;"值"=基础面板属性!AH$1,MATCH(基础面板属性!$C45,镶嵌库!$C$4:$M$4,0),-1)),0)</f>
        <v>1317</v>
      </c>
      <c r="AI45" s="160">
        <f>IFERROR(INDEX(镶嵌库!$C$5:$M$13,基础面板属性!$D45+1,IF(LEFT(基础面板属性!$C45,2)&amp;"值"=基础面板属性!AI$1,MATCH(基础面板属性!$C45,镶嵌库!$C$4:$M$4,0),-1)),0)</f>
        <v>0</v>
      </c>
      <c r="AJ45" s="160">
        <f>IFERROR(INDEX(镶嵌库!$C$5:$M$13,基础面板属性!$D45+1,IF(LEFT(基础面板属性!$C45,2)&amp;"值"=基础面板属性!AJ$1,MATCH(基础面板属性!$C45,镶嵌库!$C$4:$M$4,0),-1)),0)</f>
        <v>0</v>
      </c>
      <c r="AK45" s="160">
        <f>IFERROR(INDEX(镶嵌库!$C$5:$M$13,基础面板属性!$D45+1,IF(LEFT(基础面板属性!$C45,2)&amp;"值"=基础面板属性!AK$1,MATCH(基础面板属性!$C45,镶嵌库!$C$4:$M$4,0),-1)),0)</f>
        <v>0</v>
      </c>
      <c r="AL45" s="160">
        <f>IFERROR(INDEX(镶嵌库!$C$5:$M$13,基础面板属性!$D45+1,IF(LEFT(基础面板属性!$C45,2)&amp;"值"=基础面板属性!AL$1,MATCH(基础面板属性!$C45,镶嵌库!$C$4:$M$4,0),-1)),0)</f>
        <v>0</v>
      </c>
      <c r="AM45" s="160">
        <f>IFERROR(INDEX(镶嵌库!$C$5:$M$13,基础面板属性!$D45+1,IF(LEFT(基础面板属性!$C45,2)&amp;"值"=基础面板属性!AM$1,MATCH(基础面板属性!$C45,镶嵌库!$C$4:$M$4,0),-1)),0)</f>
        <v>0</v>
      </c>
      <c r="AN45" s="160">
        <f>IFERROR(INDEX(镶嵌库!$C$5:$M$13,基础面板属性!$D45+1,IF(LEFT(基础面板属性!$C45,2)&amp;"值"=基础面板属性!AN$1,MATCH(基础面板属性!$C45,镶嵌库!$C$4:$M$4,0),-1)),0)</f>
        <v>0</v>
      </c>
      <c r="AO45" s="160">
        <f>IFERROR(INDEX(镶嵌库!$C$5:$M$13,基础面板属性!$D45+1,IF(LEFT(基础面板属性!$C45,2)&amp;"值"=基础面板属性!AO$1,MATCH(基础面板属性!$C45,镶嵌库!$C$4:$M$4,0),-1)),0)</f>
        <v>0</v>
      </c>
      <c r="AP45" s="160">
        <f>IFERROR(INDEX(镶嵌库!$C$5:$M$13,基础面板属性!$D45+1,IF(LEFT(基础面板属性!$C45,2)&amp;"值"=基础面板属性!AP$1,MATCH(基础面板属性!$C45,镶嵌库!$C$4:$M$4,0),-1)),0)</f>
        <v>0</v>
      </c>
      <c r="AU45" s="160">
        <f>IFERROR(INDEX(镶嵌库!$C$5:$M$13,基础面板属性!$D45+1,IF(LEFT(基础面板属性!$C45,2)&amp;"值"=基础面板属性!AU$1,MATCH(基础面板属性!$C45,镶嵌库!$C$4:$M$4,0),-1)),0)</f>
        <v>0</v>
      </c>
      <c r="AV45" s="160">
        <f>IFERROR(INDEX(镶嵌库!$C$5:$M$13,基础面板属性!$D45+1,IF(LEFT(基础面板属性!$C45,2)&amp;"值"=基础面板属性!AV$1,MATCH(基础面板属性!$C45,镶嵌库!$C$4:$M$4,0),-1)),0)</f>
        <v>0</v>
      </c>
      <c r="AW45" s="160">
        <f>IFERROR(INDEX(镶嵌库!$C$5:$M$13,基础面板属性!$D45+1,IF(LEFT(基础面板属性!$C45,2)&amp;"值"=基础面板属性!AW$1,MATCH(基础面板属性!$C45,镶嵌库!$C$4:$M$4,0),-1)),0)</f>
        <v>0</v>
      </c>
      <c r="AX45" s="160">
        <f>IFERROR(INDEX(镶嵌库!$C$5:$M$13,基础面板属性!$D45+1,IF(LEFT(基础面板属性!$C45,2)&amp;"值"=基础面板属性!AX$1,MATCH(基础面板属性!$C45,镶嵌库!$C$4:$M$4,0),-1)),0)</f>
        <v>0</v>
      </c>
      <c r="AY45" s="160">
        <f>IFERROR(INDEX(镶嵌库!$C$5:$M$13,基础面板属性!$D45+1,IF(LEFT(基础面板属性!$C45,2)&amp;"值"=基础面板属性!AY$1,MATCH(基础面板属性!$C45,镶嵌库!$C$4:$M$4,0),-1)),0)</f>
        <v>0</v>
      </c>
      <c r="AZ45" s="160">
        <f>IFERROR(INDEX(镶嵌库!$C$5:$M$13,基础面板属性!$D45+1,IF(LEFT(基础面板属性!$C45,2)&amp;"值"=基础面板属性!AZ$1,MATCH(基础面板属性!$C45,镶嵌库!$C$4:$M$4,0),-1)),0)</f>
        <v>0</v>
      </c>
      <c r="BA45" s="160">
        <f>IFERROR(INDEX(镶嵌库!$C$5:$M$13,基础面板属性!$D45+1,IF(LEFT(基础面板属性!$C45,2)&amp;"值"=基础面板属性!BA$1,MATCH(基础面板属性!$C45,镶嵌库!$C$4:$M$4,0),-1)),0)</f>
        <v>0</v>
      </c>
      <c r="BB45" s="160">
        <f>IFERROR(INDEX(镶嵌库!$C$5:$M$13,基础面板属性!$D45+1,IF(LEFT(基础面板属性!$C45,2)&amp;"值"=基础面板属性!BB$1,MATCH(基础面板属性!$C45,镶嵌库!$C$4:$M$4,0),-1)),0)</f>
        <v>0</v>
      </c>
      <c r="BC45" s="160">
        <f>IFERROR(INDEX(镶嵌库!$C$5:$M$13,基础面板属性!$D45+1,IF(LEFT(基础面板属性!$C45,2)&amp;"值"=基础面板属性!BC$1,MATCH(基础面板属性!$C45,镶嵌库!$C$4:$M$4,0),-1)),0)</f>
        <v>0</v>
      </c>
      <c r="BD45" s="160">
        <f>IFERROR(INDEX(镶嵌库!$C$5:$M$13,基础面板属性!$D45+1,IF(LEFT(基础面板属性!$C45,2)&amp;"值"=基础面板属性!BD$1,MATCH(基础面板属性!$C45,镶嵌库!$C$4:$M$4,0),-1)),0)</f>
        <v>0</v>
      </c>
    </row>
    <row r="46" spans="1:56">
      <c r="A46" s="160" t="str">
        <f>A44</f>
        <v>暗器</v>
      </c>
      <c r="B46" s="160" t="s">
        <v>2093</v>
      </c>
      <c r="C46" s="160" t="str">
        <f>IF(附魔库!$W$15="气血","基础气血值",附魔库!$W$15&amp;"值")</f>
        <v>破防值</v>
      </c>
      <c r="D46" s="160">
        <f>附魔库!X15</f>
        <v>4099</v>
      </c>
      <c r="E46" s="160">
        <f>IF(OR($C46=E$1,$C46&amp;"大"=E$1,$C46&amp;"小"=E$1),$D46,0)</f>
        <v>0</v>
      </c>
      <c r="F46" s="160">
        <f t="shared" ref="F46:BD46" si="8">IF(OR($C46=F$1,$C46&amp;"大"=F$1,$C46&amp;"小"=F$1),$D46,0)</f>
        <v>0</v>
      </c>
      <c r="G46" s="160">
        <f t="shared" si="8"/>
        <v>0</v>
      </c>
      <c r="H46" s="160">
        <f t="shared" si="8"/>
        <v>0</v>
      </c>
      <c r="I46" s="160">
        <f t="shared" si="8"/>
        <v>0</v>
      </c>
      <c r="J46" s="160">
        <f t="shared" si="8"/>
        <v>0</v>
      </c>
      <c r="K46" s="160">
        <f t="shared" si="8"/>
        <v>0</v>
      </c>
      <c r="L46" s="160">
        <f t="shared" si="8"/>
        <v>0</v>
      </c>
      <c r="M46" s="160">
        <f t="shared" si="8"/>
        <v>0</v>
      </c>
      <c r="N46" s="160">
        <f t="shared" si="8"/>
        <v>0</v>
      </c>
      <c r="O46" s="160">
        <f t="shared" si="8"/>
        <v>0</v>
      </c>
      <c r="P46" s="160">
        <f t="shared" si="8"/>
        <v>0</v>
      </c>
      <c r="Q46" s="160">
        <f t="shared" si="8"/>
        <v>0</v>
      </c>
      <c r="R46" s="160">
        <f t="shared" si="8"/>
        <v>0</v>
      </c>
      <c r="S46" s="160">
        <f t="shared" si="8"/>
        <v>0</v>
      </c>
      <c r="T46" s="160">
        <f t="shared" si="8"/>
        <v>0</v>
      </c>
      <c r="U46" s="160">
        <f t="shared" si="8"/>
        <v>0</v>
      </c>
      <c r="V46" s="160">
        <f t="shared" si="8"/>
        <v>0</v>
      </c>
      <c r="W46" s="160">
        <f t="shared" si="8"/>
        <v>0</v>
      </c>
      <c r="X46" s="160">
        <f t="shared" si="8"/>
        <v>0</v>
      </c>
      <c r="Y46" s="160">
        <f t="shared" si="8"/>
        <v>0</v>
      </c>
      <c r="Z46" s="160">
        <f t="shared" si="8"/>
        <v>0</v>
      </c>
      <c r="AA46" s="160">
        <f t="shared" si="8"/>
        <v>0</v>
      </c>
      <c r="AB46" s="160">
        <f t="shared" si="8"/>
        <v>0</v>
      </c>
      <c r="AC46" s="160">
        <f t="shared" si="8"/>
        <v>4099</v>
      </c>
      <c r="AD46" s="160">
        <f t="shared" si="8"/>
        <v>0</v>
      </c>
      <c r="AE46" s="160">
        <f t="shared" si="8"/>
        <v>0</v>
      </c>
      <c r="AF46" s="160">
        <f t="shared" si="8"/>
        <v>0</v>
      </c>
      <c r="AG46" s="160">
        <f t="shared" si="8"/>
        <v>0</v>
      </c>
      <c r="AH46" s="160">
        <f t="shared" si="8"/>
        <v>0</v>
      </c>
      <c r="AI46" s="160">
        <f t="shared" si="8"/>
        <v>0</v>
      </c>
      <c r="AJ46" s="160">
        <f t="shared" si="8"/>
        <v>0</v>
      </c>
      <c r="AK46" s="160">
        <f t="shared" si="8"/>
        <v>0</v>
      </c>
      <c r="AL46" s="160">
        <f t="shared" si="8"/>
        <v>0</v>
      </c>
      <c r="AM46" s="160">
        <f t="shared" si="8"/>
        <v>0</v>
      </c>
      <c r="AN46" s="160">
        <f t="shared" si="8"/>
        <v>0</v>
      </c>
      <c r="AO46" s="160">
        <f t="shared" si="8"/>
        <v>0</v>
      </c>
      <c r="AP46" s="160">
        <f t="shared" si="8"/>
        <v>0</v>
      </c>
      <c r="AU46" s="160">
        <f t="shared" si="8"/>
        <v>0</v>
      </c>
      <c r="AV46" s="160">
        <f t="shared" si="8"/>
        <v>0</v>
      </c>
      <c r="AW46" s="160">
        <f t="shared" si="8"/>
        <v>0</v>
      </c>
      <c r="AX46" s="160">
        <f t="shared" si="8"/>
        <v>0</v>
      </c>
      <c r="AY46" s="160">
        <f t="shared" si="8"/>
        <v>0</v>
      </c>
      <c r="AZ46" s="160">
        <f t="shared" si="8"/>
        <v>0</v>
      </c>
      <c r="BA46" s="160">
        <f t="shared" si="8"/>
        <v>0</v>
      </c>
      <c r="BB46" s="160">
        <f t="shared" si="8"/>
        <v>0</v>
      </c>
      <c r="BC46" s="160">
        <f t="shared" si="8"/>
        <v>0</v>
      </c>
      <c r="BD46" s="160">
        <f t="shared" si="8"/>
        <v>0</v>
      </c>
    </row>
    <row r="47" spans="1:56">
      <c r="A47" s="160" t="s">
        <v>1028</v>
      </c>
      <c r="B47" s="160" t="s">
        <v>2094</v>
      </c>
      <c r="C47" s="160" t="str">
        <f>配装计算器!C25</f>
        <v>伏魔悲音(42500大橙武)</v>
      </c>
      <c r="E47" s="160">
        <f>装备选择!AV13</f>
        <v>34968</v>
      </c>
      <c r="M47" s="160">
        <f>装备选择!AW13</f>
        <v>2853</v>
      </c>
      <c r="P47" s="160">
        <f>装备选择!X13</f>
        <v>0</v>
      </c>
      <c r="S47" s="160">
        <f>装备选择!AY13</f>
        <v>13836</v>
      </c>
      <c r="W47" s="160">
        <f>装备选择!AZ13</f>
        <v>20662</v>
      </c>
      <c r="Z47" s="160">
        <f>装备选择!BA13</f>
        <v>0</v>
      </c>
      <c r="AC47" s="160">
        <f>装备选择!BB13</f>
        <v>15894</v>
      </c>
      <c r="AG47" s="160">
        <f>装备选择!BF13</f>
        <v>0</v>
      </c>
      <c r="AH47" s="160">
        <f>装备选择!BC13</f>
        <v>0</v>
      </c>
      <c r="AK47" s="160">
        <f>装备选择!BD13</f>
        <v>0</v>
      </c>
      <c r="AP47" s="160">
        <f>装备选择!BE13</f>
        <v>7947</v>
      </c>
      <c r="AU47" s="160">
        <f>装备选择!BH13</f>
        <v>9521</v>
      </c>
      <c r="AV47" s="160">
        <f>装备选择!BI13</f>
        <v>15868</v>
      </c>
    </row>
    <row r="48" spans="1:56">
      <c r="A48" s="160" t="str">
        <f>A47</f>
        <v>轻剑</v>
      </c>
      <c r="B48" s="160" t="s">
        <v>2095</v>
      </c>
      <c r="C48" s="160" t="str">
        <f>装备选择!R13</f>
        <v>攻击孔</v>
      </c>
      <c r="D48" s="160">
        <f>IF(C48="",0,IF(配装计算器!$K$32&lt;&gt;"不使用",镶嵌库!$Y$17,IFERROR(1*(LEFT(配装计算器!C28,1)),0)))</f>
        <v>8</v>
      </c>
      <c r="E48" s="160">
        <f>IFERROR(INDEX(镶嵌库!$C$5:$M$13,基础面板属性!$D48+1,IF(LEFT(基础面板属性!$C48,2)&amp;"值"=基础面板属性!E$1,MATCH(基础面板属性!$C48,镶嵌库!$C$4:$M$4,0),-1)),0)</f>
        <v>0</v>
      </c>
      <c r="F48" s="160">
        <f>IFERROR(INDEX(镶嵌库!$C$5:$M$13,基础面板属性!$D48+1,IF(LEFT(基础面板属性!$C48,2)&amp;"值"=基础面板属性!F$1,MATCH(基础面板属性!$C48,镶嵌库!$C$4:$M$4,0),-1)),0)</f>
        <v>0</v>
      </c>
      <c r="G48" s="160">
        <f>IFERROR(INDEX(镶嵌库!$C$5:$M$13,基础面板属性!$D48+1,IF(LEFT(基础面板属性!$C48,2)&amp;"值"=基础面板属性!G$1,MATCH(基础面板属性!$C48,镶嵌库!$C$4:$M$4,0),-1)),0)</f>
        <v>0</v>
      </c>
      <c r="H48" s="160">
        <f>IFERROR(INDEX(镶嵌库!$C$5:$M$13,基础面板属性!$D48+1,IF(LEFT(基础面板属性!$C48,2)&amp;"值"=基础面板属性!H$1,MATCH(基础面板属性!$C48,镶嵌库!$C$4:$M$4,0),-1)),0)</f>
        <v>0</v>
      </c>
      <c r="I48" s="160">
        <f>IFERROR(INDEX(镶嵌库!$C$5:$M$13,基础面板属性!$D48+1,IF(LEFT(基础面板属性!$C48,2)&amp;"值"=基础面板属性!I$1,MATCH(基础面板属性!$C48,镶嵌库!$C$4:$M$4,0),-1)),0)</f>
        <v>0</v>
      </c>
      <c r="J48" s="160">
        <f>IFERROR(INDEX(镶嵌库!$C$5:$M$13,基础面板属性!$D48+1,IF(LEFT(基础面板属性!$C48,2)&amp;"值"=基础面板属性!J$1,MATCH(基础面板属性!$C48,镶嵌库!$C$4:$M$4,0),-1)),0)</f>
        <v>0</v>
      </c>
      <c r="K48" s="160">
        <f>IFERROR(INDEX(镶嵌库!$C$5:$M$13,基础面板属性!$D48+1,IF(LEFT(基础面板属性!$C48,2)&amp;"值"=基础面板属性!K$1,MATCH(基础面板属性!$C48,镶嵌库!$C$4:$M$4,0),-1)),0)</f>
        <v>0</v>
      </c>
      <c r="L48" s="160">
        <f>IFERROR(INDEX(镶嵌库!$C$5:$M$13,基础面板属性!$D48+1,IF(LEFT(基础面板属性!$C48,2)&amp;"值"=基础面板属性!L$1,MATCH(基础面板属性!$C48,镶嵌库!$C$4:$M$4,0),-1)),0)</f>
        <v>0</v>
      </c>
      <c r="M48" s="160">
        <f>IFERROR(INDEX(镶嵌库!$C$5:$M$13,基础面板属性!$D48+1,IF(LEFT(基础面板属性!$C48,2)&amp;"值"=基础面板属性!M$1,MATCH(基础面板属性!$C48,镶嵌库!$C$4:$M$4,0),-1)),0)</f>
        <v>0</v>
      </c>
      <c r="N48" s="160">
        <f>IFERROR(INDEX(镶嵌库!$C$5:$M$13,基础面板属性!$D48+1,IF(LEFT(基础面板属性!$C48,2)&amp;"值"=基础面板属性!N$1,MATCH(基础面板属性!$C48,镶嵌库!$C$4:$M$4,0),-1)),0)</f>
        <v>0</v>
      </c>
      <c r="O48" s="160">
        <f>IFERROR(INDEX(镶嵌库!$C$5:$M$13,基础面板属性!$D48+1,IF(LEFT(基础面板属性!$C48,2)&amp;"值"=基础面板属性!O$1,MATCH(基础面板属性!$C48,镶嵌库!$C$4:$M$4,0),-1)),0)</f>
        <v>0</v>
      </c>
      <c r="P48" s="160">
        <f>IFERROR(INDEX(镶嵌库!$C$5:$M$13,基础面板属性!$D48+1,IF(LEFT(基础面板属性!$C48,2)&amp;"值"=基础面板属性!P$1,MATCH(基础面板属性!$C48,镶嵌库!$C$4:$M$4,0),-1)),0)</f>
        <v>0</v>
      </c>
      <c r="Q48" s="160">
        <f>IFERROR(INDEX(镶嵌库!$C$5:$M$13,基础面板属性!$D48+1,IF(LEFT(基础面板属性!$C48,2)&amp;"值"=基础面板属性!Q$1,MATCH(基础面板属性!$C48,镶嵌库!$C$4:$M$4,0),-1)),0)</f>
        <v>0</v>
      </c>
      <c r="R48" s="160">
        <f>IFERROR(INDEX(镶嵌库!$C$5:$M$13,基础面板属性!$D48+1,IF(LEFT(基础面板属性!$C48,2)&amp;"值"=基础面板属性!R$1,MATCH(基础面板属性!$C48,镶嵌库!$C$4:$M$4,0),-1)),0)</f>
        <v>0</v>
      </c>
      <c r="S48" s="160">
        <f>IFERROR(INDEX(镶嵌库!$C$5:$M$13,基础面板属性!$D48+1,IF(LEFT(基础面板属性!$C48,2)&amp;"值"=基础面板属性!S$1,MATCH(基础面板属性!$C48,镶嵌库!$C$4:$M$4,0),-1)),0)</f>
        <v>357</v>
      </c>
      <c r="T48" s="160">
        <f>IFERROR(INDEX(镶嵌库!$C$5:$M$13,基础面板属性!$D48+1,IF(LEFT(基础面板属性!$C48,2)&amp;"值"=基础面板属性!T$1,MATCH(基础面板属性!$C48,镶嵌库!$C$4:$M$4,0),-1)),0)</f>
        <v>0</v>
      </c>
      <c r="U48" s="160">
        <f>IFERROR(INDEX(镶嵌库!$C$5:$M$13,基础面板属性!$D48+1,IF(LEFT(基础面板属性!$C48,2)&amp;"值"=基础面板属性!U$1,MATCH(基础面板属性!$C48,镶嵌库!$C$4:$M$4,0),-1)),0)</f>
        <v>0</v>
      </c>
      <c r="V48" s="160">
        <f>IFERROR(INDEX(镶嵌库!$C$5:$M$13,基础面板属性!$D48+1,IF(LEFT(基础面板属性!$C48,2)&amp;"值"=基础面板属性!V$1,MATCH(基础面板属性!$C48,镶嵌库!$C$4:$M$4,0),-1)),0)</f>
        <v>0</v>
      </c>
      <c r="W48" s="160">
        <f>IFERROR(INDEX(镶嵌库!$C$5:$M$13,基础面板属性!$D48+1,IF(LEFT(基础面板属性!$C48,2)&amp;"值"=基础面板属性!W$1,MATCH(基础面板属性!$C48,镶嵌库!$C$4:$M$4,0),-1)),0)</f>
        <v>0</v>
      </c>
      <c r="X48" s="160">
        <f>IFERROR(INDEX(镶嵌库!$C$5:$M$13,基础面板属性!$D48+1,IF(LEFT(基础面板属性!$C48,2)&amp;"值"=基础面板属性!X$1,MATCH(基础面板属性!$C48,镶嵌库!$C$4:$M$4,0),-1)),0)</f>
        <v>0</v>
      </c>
      <c r="Y48" s="160">
        <f>IFERROR(INDEX(镶嵌库!$C$5:$M$13,基础面板属性!$D48+1,IF(LEFT(基础面板属性!$C48,2)&amp;"值"=基础面板属性!Y$1,MATCH(基础面板属性!$C48,镶嵌库!$C$4:$M$4,0),-1)),0)</f>
        <v>0</v>
      </c>
      <c r="Z48" s="160">
        <f>IFERROR(INDEX(镶嵌库!$C$5:$M$13,基础面板属性!$D48+1,IF(LEFT(基础面板属性!$C48,2)&amp;"值"=基础面板属性!Z$1,MATCH(基础面板属性!$C48,镶嵌库!$C$4:$M$4,0),-1)),0)</f>
        <v>0</v>
      </c>
      <c r="AA48" s="160">
        <f>IFERROR(INDEX(镶嵌库!$C$5:$M$13,基础面板属性!$D48+1,IF(LEFT(基础面板属性!$C48,2)&amp;"值"=基础面板属性!AA$1,MATCH(基础面板属性!$C48,镶嵌库!$C$4:$M$4,0),-1)),0)</f>
        <v>0</v>
      </c>
      <c r="AB48" s="160">
        <f>IFERROR(INDEX(镶嵌库!$C$5:$M$13,基础面板属性!$D48+1,IF(LEFT(基础面板属性!$C48,2)&amp;"值"=基础面板属性!AB$1,MATCH(基础面板属性!$C48,镶嵌库!$C$4:$M$4,0),-1)),0)</f>
        <v>0</v>
      </c>
      <c r="AC48" s="160">
        <f>IFERROR(INDEX(镶嵌库!$C$5:$M$13,基础面板属性!$D48+1,IF(LEFT(基础面板属性!$C48,2)&amp;"值"=基础面板属性!AC$1,MATCH(基础面板属性!$C48,镶嵌库!$C$4:$M$4,0),-1)),0)</f>
        <v>0</v>
      </c>
      <c r="AD48" s="160">
        <f>IFERROR(INDEX(镶嵌库!$C$5:$M$13,基础面板属性!$D48+1,IF(LEFT(基础面板属性!$C48,2)&amp;"值"=基础面板属性!AD$1,MATCH(基础面板属性!$C48,镶嵌库!$C$4:$M$4,0),-1)),0)</f>
        <v>0</v>
      </c>
      <c r="AE48" s="160">
        <f>IFERROR(INDEX(镶嵌库!$C$5:$M$13,基础面板属性!$D48+1,IF(LEFT(基础面板属性!$C48,2)&amp;"值"=基础面板属性!AE$1,MATCH(基础面板属性!$C48,镶嵌库!$C$4:$M$4,0),-1)),0)</f>
        <v>0</v>
      </c>
      <c r="AF48" s="160">
        <f>IFERROR(INDEX(镶嵌库!$C$5:$M$13,基础面板属性!$D48+1,IF(LEFT(基础面板属性!$C48,2)&amp;"值"=基础面板属性!AF$1,MATCH(基础面板属性!$C48,镶嵌库!$C$4:$M$4,0),-1)),0)</f>
        <v>0</v>
      </c>
      <c r="AG48" s="160">
        <f>IFERROR(INDEX(镶嵌库!$C$5:$M$13,基础面板属性!$D48+1,IF(LEFT(基础面板属性!$C48,2)&amp;"值"=基础面板属性!AG$1,MATCH(基础面板属性!$C48,镶嵌库!$C$4:$M$4,0),-1)),0)</f>
        <v>0</v>
      </c>
      <c r="AH48" s="160">
        <f>IFERROR(INDEX(镶嵌库!$C$5:$M$13,基础面板属性!$D48+1,IF(LEFT(基础面板属性!$C48,2)&amp;"值"=基础面板属性!AH$1,MATCH(基础面板属性!$C48,镶嵌库!$C$4:$M$4,0),-1)),0)</f>
        <v>0</v>
      </c>
      <c r="AI48" s="160">
        <f>IFERROR(INDEX(镶嵌库!$C$5:$M$13,基础面板属性!$D48+1,IF(LEFT(基础面板属性!$C48,2)&amp;"值"=基础面板属性!AI$1,MATCH(基础面板属性!$C48,镶嵌库!$C$4:$M$4,0),-1)),0)</f>
        <v>0</v>
      </c>
      <c r="AJ48" s="160">
        <f>IFERROR(INDEX(镶嵌库!$C$5:$M$13,基础面板属性!$D48+1,IF(LEFT(基础面板属性!$C48,2)&amp;"值"=基础面板属性!AJ$1,MATCH(基础面板属性!$C48,镶嵌库!$C$4:$M$4,0),-1)),0)</f>
        <v>0</v>
      </c>
      <c r="AK48" s="160">
        <f>IFERROR(INDEX(镶嵌库!$C$5:$M$13,基础面板属性!$D48+1,IF(LEFT(基础面板属性!$C48,2)&amp;"值"=基础面板属性!AK$1,MATCH(基础面板属性!$C48,镶嵌库!$C$4:$M$4,0),-1)),0)</f>
        <v>0</v>
      </c>
      <c r="AL48" s="160">
        <f>IFERROR(INDEX(镶嵌库!$C$5:$M$13,基础面板属性!$D48+1,IF(LEFT(基础面板属性!$C48,2)&amp;"值"=基础面板属性!AL$1,MATCH(基础面板属性!$C48,镶嵌库!$C$4:$M$4,0),-1)),0)</f>
        <v>0</v>
      </c>
      <c r="AM48" s="160">
        <f>IFERROR(INDEX(镶嵌库!$C$5:$M$13,基础面板属性!$D48+1,IF(LEFT(基础面板属性!$C48,2)&amp;"值"=基础面板属性!AM$1,MATCH(基础面板属性!$C48,镶嵌库!$C$4:$M$4,0),-1)),0)</f>
        <v>0</v>
      </c>
      <c r="AN48" s="160">
        <f>IFERROR(INDEX(镶嵌库!$C$5:$M$13,基础面板属性!$D48+1,IF(LEFT(基础面板属性!$C48,2)&amp;"值"=基础面板属性!AN$1,MATCH(基础面板属性!$C48,镶嵌库!$C$4:$M$4,0),-1)),0)</f>
        <v>0</v>
      </c>
      <c r="AO48" s="160">
        <f>IFERROR(INDEX(镶嵌库!$C$5:$M$13,基础面板属性!$D48+1,IF(LEFT(基础面板属性!$C48,2)&amp;"值"=基础面板属性!AO$1,MATCH(基础面板属性!$C48,镶嵌库!$C$4:$M$4,0),-1)),0)</f>
        <v>0</v>
      </c>
      <c r="AP48" s="160">
        <f>IFERROR(INDEX(镶嵌库!$C$5:$M$13,基础面板属性!$D48+1,IF(LEFT(基础面板属性!$C48,2)&amp;"值"=基础面板属性!AP$1,MATCH(基础面板属性!$C48,镶嵌库!$C$4:$M$4,0),-1)),0)</f>
        <v>0</v>
      </c>
      <c r="AU48" s="160">
        <f>IFERROR(INDEX(镶嵌库!$C$5:$M$13,基础面板属性!$D48+1,IF(LEFT(基础面板属性!$C48,2)&amp;"值"=基础面板属性!AU$1,MATCH(基础面板属性!$C48,镶嵌库!$C$4:$M$4,0),-1)),0)</f>
        <v>0</v>
      </c>
      <c r="AV48" s="160">
        <f>IFERROR(INDEX(镶嵌库!$C$5:$M$13,基础面板属性!$D48+1,IF(LEFT(基础面板属性!$C48,2)&amp;"值"=基础面板属性!AV$1,MATCH(基础面板属性!$C48,镶嵌库!$C$4:$M$4,0),-1)),0)</f>
        <v>0</v>
      </c>
      <c r="AW48" s="160">
        <f>IFERROR(INDEX(镶嵌库!$C$5:$M$13,基础面板属性!$D48+1,IF(LEFT(基础面板属性!$C48,2)&amp;"值"=基础面板属性!AW$1,MATCH(基础面板属性!$C48,镶嵌库!$C$4:$M$4,0),-1)),0)</f>
        <v>0</v>
      </c>
      <c r="AX48" s="160">
        <f>IFERROR(INDEX(镶嵌库!$C$5:$M$13,基础面板属性!$D48+1,IF(LEFT(基础面板属性!$C48,2)&amp;"值"=基础面板属性!AX$1,MATCH(基础面板属性!$C48,镶嵌库!$C$4:$M$4,0),-1)),0)</f>
        <v>0</v>
      </c>
      <c r="AY48" s="160">
        <f>IFERROR(INDEX(镶嵌库!$C$5:$M$13,基础面板属性!$D48+1,IF(LEFT(基础面板属性!$C48,2)&amp;"值"=基础面板属性!AY$1,MATCH(基础面板属性!$C48,镶嵌库!$C$4:$M$4,0),-1)),0)</f>
        <v>0</v>
      </c>
      <c r="AZ48" s="160">
        <f>IFERROR(INDEX(镶嵌库!$C$5:$M$13,基础面板属性!$D48+1,IF(LEFT(基础面板属性!$C48,2)&amp;"值"=基础面板属性!AZ$1,MATCH(基础面板属性!$C48,镶嵌库!$C$4:$M$4,0),-1)),0)</f>
        <v>0</v>
      </c>
      <c r="BA48" s="160">
        <f>IFERROR(INDEX(镶嵌库!$C$5:$M$13,基础面板属性!$D48+1,IF(LEFT(基础面板属性!$C48,2)&amp;"值"=基础面板属性!BA$1,MATCH(基础面板属性!$C48,镶嵌库!$C$4:$M$4,0),-1)),0)</f>
        <v>0</v>
      </c>
      <c r="BB48" s="160">
        <f>IFERROR(INDEX(镶嵌库!$C$5:$M$13,基础面板属性!$D48+1,IF(LEFT(基础面板属性!$C48,2)&amp;"值"=基础面板属性!BB$1,MATCH(基础面板属性!$C48,镶嵌库!$C$4:$M$4,0),-1)),0)</f>
        <v>0</v>
      </c>
      <c r="BC48" s="160">
        <f>IFERROR(INDEX(镶嵌库!$C$5:$M$13,基础面板属性!$D48+1,IF(LEFT(基础面板属性!$C48,2)&amp;"值"=基础面板属性!BC$1,MATCH(基础面板属性!$C48,镶嵌库!$C$4:$M$4,0),-1)),0)</f>
        <v>0</v>
      </c>
      <c r="BD48" s="160">
        <f>IFERROR(INDEX(镶嵌库!$C$5:$M$13,基础面板属性!$D48+1,IF(LEFT(基础面板属性!$C48,2)&amp;"值"=基础面板属性!BD$1,MATCH(基础面板属性!$C48,镶嵌库!$C$4:$M$4,0),-1)),0)</f>
        <v>0</v>
      </c>
    </row>
    <row r="49" spans="1:56">
      <c r="A49" s="160" t="str">
        <f>A47</f>
        <v>轻剑</v>
      </c>
      <c r="B49" s="160" t="s">
        <v>2096</v>
      </c>
      <c r="C49" s="160" t="str">
        <f>装备选择!S13</f>
        <v>身法孔</v>
      </c>
      <c r="D49" s="160">
        <f>IF(C49="",0,IF(配装计算器!$K$32&lt;&gt;"不使用",镶嵌库!$Y$17,IFERROR(1*(LEFT(配装计算器!C30,1)),0)))</f>
        <v>8</v>
      </c>
      <c r="E49" s="160">
        <f>IFERROR(INDEX(镶嵌库!$C$5:$M$13,基础面板属性!$D49+1,IF(LEFT(基础面板属性!$C49,2)&amp;"值"=基础面板属性!E$1,MATCH(基础面板属性!$C49,镶嵌库!$C$4:$M$4,0),-1)),0)</f>
        <v>0</v>
      </c>
      <c r="F49" s="160">
        <f>IFERROR(INDEX(镶嵌库!$C$5:$M$13,基础面板属性!$D49+1,IF(LEFT(基础面板属性!$C49,2)&amp;"值"=基础面板属性!F$1,MATCH(基础面板属性!$C49,镶嵌库!$C$4:$M$4,0),-1)),0)</f>
        <v>0</v>
      </c>
      <c r="G49" s="160">
        <f>IFERROR(INDEX(镶嵌库!$C$5:$M$13,基础面板属性!$D49+1,IF(LEFT(基础面板属性!$C49,2)&amp;"值"=基础面板属性!G$1,MATCH(基础面板属性!$C49,镶嵌库!$C$4:$M$4,0),-1)),0)</f>
        <v>0</v>
      </c>
      <c r="H49" s="160">
        <f>IFERROR(INDEX(镶嵌库!$C$5:$M$13,基础面板属性!$D49+1,IF(LEFT(基础面板属性!$C49,2)&amp;"值"=基础面板属性!H$1,MATCH(基础面板属性!$C49,镶嵌库!$C$4:$M$4,0),-1)),0)</f>
        <v>0</v>
      </c>
      <c r="I49" s="160">
        <f>IFERROR(INDEX(镶嵌库!$C$5:$M$13,基础面板属性!$D49+1,IF(LEFT(基础面板属性!$C49,2)&amp;"值"=基础面板属性!I$1,MATCH(基础面板属性!$C49,镶嵌库!$C$4:$M$4,0),-1)),0)</f>
        <v>0</v>
      </c>
      <c r="J49" s="160">
        <f>IFERROR(INDEX(镶嵌库!$C$5:$M$13,基础面板属性!$D49+1,IF(LEFT(基础面板属性!$C49,2)&amp;"值"=基础面板属性!J$1,MATCH(基础面板属性!$C49,镶嵌库!$C$4:$M$4,0),-1)),0)</f>
        <v>0</v>
      </c>
      <c r="K49" s="160">
        <f>IFERROR(INDEX(镶嵌库!$C$5:$M$13,基础面板属性!$D49+1,IF(LEFT(基础面板属性!$C49,2)&amp;"值"=基础面板属性!K$1,MATCH(基础面板属性!$C49,镶嵌库!$C$4:$M$4,0),-1)),0)</f>
        <v>0</v>
      </c>
      <c r="L49" s="160">
        <f>IFERROR(INDEX(镶嵌库!$C$5:$M$13,基础面板属性!$D49+1,IF(LEFT(基础面板属性!$C49,2)&amp;"值"=基础面板属性!L$1,MATCH(基础面板属性!$C49,镶嵌库!$C$4:$M$4,0),-1)),0)</f>
        <v>0</v>
      </c>
      <c r="M49" s="160">
        <f>IFERROR(INDEX(镶嵌库!$C$5:$M$13,基础面板属性!$D49+1,IF(LEFT(基础面板属性!$C49,2)&amp;"值"=基础面板属性!M$1,MATCH(基础面板属性!$C49,镶嵌库!$C$4:$M$4,0),-1)),0)</f>
        <v>168</v>
      </c>
      <c r="N49" s="160">
        <f>IFERROR(INDEX(镶嵌库!$C$5:$M$13,基础面板属性!$D49+1,IF(LEFT(基础面板属性!$C49,2)&amp;"值"=基础面板属性!N$1,MATCH(基础面板属性!$C49,镶嵌库!$C$4:$M$4,0),-1)),0)</f>
        <v>0</v>
      </c>
      <c r="O49" s="160">
        <f>IFERROR(INDEX(镶嵌库!$C$5:$M$13,基础面板属性!$D49+1,IF(LEFT(基础面板属性!$C49,2)&amp;"值"=基础面板属性!O$1,MATCH(基础面板属性!$C49,镶嵌库!$C$4:$M$4,0),-1)),0)</f>
        <v>0</v>
      </c>
      <c r="P49" s="160">
        <f>IFERROR(INDEX(镶嵌库!$C$5:$M$13,基础面板属性!$D49+1,IF(LEFT(基础面板属性!$C49,2)&amp;"值"=基础面板属性!P$1,MATCH(基础面板属性!$C49,镶嵌库!$C$4:$M$4,0),-1)),0)</f>
        <v>0</v>
      </c>
      <c r="Q49" s="160">
        <f>IFERROR(INDEX(镶嵌库!$C$5:$M$13,基础面板属性!$D49+1,IF(LEFT(基础面板属性!$C49,2)&amp;"值"=基础面板属性!Q$1,MATCH(基础面板属性!$C49,镶嵌库!$C$4:$M$4,0),-1)),0)</f>
        <v>0</v>
      </c>
      <c r="R49" s="160">
        <f>IFERROR(INDEX(镶嵌库!$C$5:$M$13,基础面板属性!$D49+1,IF(LEFT(基础面板属性!$C49,2)&amp;"值"=基础面板属性!R$1,MATCH(基础面板属性!$C49,镶嵌库!$C$4:$M$4,0),-1)),0)</f>
        <v>0</v>
      </c>
      <c r="S49" s="160">
        <f>IFERROR(INDEX(镶嵌库!$C$5:$M$13,基础面板属性!$D49+1,IF(LEFT(基础面板属性!$C49,2)&amp;"值"=基础面板属性!S$1,MATCH(基础面板属性!$C49,镶嵌库!$C$4:$M$4,0),-1)),0)</f>
        <v>0</v>
      </c>
      <c r="T49" s="160">
        <f>IFERROR(INDEX(镶嵌库!$C$5:$M$13,基础面板属性!$D49+1,IF(LEFT(基础面板属性!$C49,2)&amp;"值"=基础面板属性!T$1,MATCH(基础面板属性!$C49,镶嵌库!$C$4:$M$4,0),-1)),0)</f>
        <v>0</v>
      </c>
      <c r="U49" s="160">
        <f>IFERROR(INDEX(镶嵌库!$C$5:$M$13,基础面板属性!$D49+1,IF(LEFT(基础面板属性!$C49,2)&amp;"值"=基础面板属性!U$1,MATCH(基础面板属性!$C49,镶嵌库!$C$4:$M$4,0),-1)),0)</f>
        <v>0</v>
      </c>
      <c r="V49" s="160">
        <f>IFERROR(INDEX(镶嵌库!$C$5:$M$13,基础面板属性!$D49+1,IF(LEFT(基础面板属性!$C49,2)&amp;"值"=基础面板属性!V$1,MATCH(基础面板属性!$C49,镶嵌库!$C$4:$M$4,0),-1)),0)</f>
        <v>0</v>
      </c>
      <c r="W49" s="160">
        <f>IFERROR(INDEX(镶嵌库!$C$5:$M$13,基础面板属性!$D49+1,IF(LEFT(基础面板属性!$C49,2)&amp;"值"=基础面板属性!W$1,MATCH(基础面板属性!$C49,镶嵌库!$C$4:$M$4,0),-1)),0)</f>
        <v>0</v>
      </c>
      <c r="X49" s="160">
        <f>IFERROR(INDEX(镶嵌库!$C$5:$M$13,基础面板属性!$D49+1,IF(LEFT(基础面板属性!$C49,2)&amp;"值"=基础面板属性!X$1,MATCH(基础面板属性!$C49,镶嵌库!$C$4:$M$4,0),-1)),0)</f>
        <v>0</v>
      </c>
      <c r="Y49" s="160">
        <f>IFERROR(INDEX(镶嵌库!$C$5:$M$13,基础面板属性!$D49+1,IF(LEFT(基础面板属性!$C49,2)&amp;"值"=基础面板属性!Y$1,MATCH(基础面板属性!$C49,镶嵌库!$C$4:$M$4,0),-1)),0)</f>
        <v>0</v>
      </c>
      <c r="Z49" s="160">
        <f>IFERROR(INDEX(镶嵌库!$C$5:$M$13,基础面板属性!$D49+1,IF(LEFT(基础面板属性!$C49,2)&amp;"值"=基础面板属性!Z$1,MATCH(基础面板属性!$C49,镶嵌库!$C$4:$M$4,0),-1)),0)</f>
        <v>0</v>
      </c>
      <c r="AA49" s="160">
        <f>IFERROR(INDEX(镶嵌库!$C$5:$M$13,基础面板属性!$D49+1,IF(LEFT(基础面板属性!$C49,2)&amp;"值"=基础面板属性!AA$1,MATCH(基础面板属性!$C49,镶嵌库!$C$4:$M$4,0),-1)),0)</f>
        <v>0</v>
      </c>
      <c r="AB49" s="160">
        <f>IFERROR(INDEX(镶嵌库!$C$5:$M$13,基础面板属性!$D49+1,IF(LEFT(基础面板属性!$C49,2)&amp;"值"=基础面板属性!AB$1,MATCH(基础面板属性!$C49,镶嵌库!$C$4:$M$4,0),-1)),0)</f>
        <v>0</v>
      </c>
      <c r="AC49" s="160">
        <f>IFERROR(INDEX(镶嵌库!$C$5:$M$13,基础面板属性!$D49+1,IF(LEFT(基础面板属性!$C49,2)&amp;"值"=基础面板属性!AC$1,MATCH(基础面板属性!$C49,镶嵌库!$C$4:$M$4,0),-1)),0)</f>
        <v>0</v>
      </c>
      <c r="AD49" s="160">
        <f>IFERROR(INDEX(镶嵌库!$C$5:$M$13,基础面板属性!$D49+1,IF(LEFT(基础面板属性!$C49,2)&amp;"值"=基础面板属性!AD$1,MATCH(基础面板属性!$C49,镶嵌库!$C$4:$M$4,0),-1)),0)</f>
        <v>0</v>
      </c>
      <c r="AE49" s="160">
        <f>IFERROR(INDEX(镶嵌库!$C$5:$M$13,基础面板属性!$D49+1,IF(LEFT(基础面板属性!$C49,2)&amp;"值"=基础面板属性!AE$1,MATCH(基础面板属性!$C49,镶嵌库!$C$4:$M$4,0),-1)),0)</f>
        <v>0</v>
      </c>
      <c r="AF49" s="160">
        <f>IFERROR(INDEX(镶嵌库!$C$5:$M$13,基础面板属性!$D49+1,IF(LEFT(基础面板属性!$C49,2)&amp;"值"=基础面板属性!AF$1,MATCH(基础面板属性!$C49,镶嵌库!$C$4:$M$4,0),-1)),0)</f>
        <v>0</v>
      </c>
      <c r="AG49" s="160">
        <f>IFERROR(INDEX(镶嵌库!$C$5:$M$13,基础面板属性!$D49+1,IF(LEFT(基础面板属性!$C49,2)&amp;"值"=基础面板属性!AG$1,MATCH(基础面板属性!$C49,镶嵌库!$C$4:$M$4,0),-1)),0)</f>
        <v>0</v>
      </c>
      <c r="AH49" s="160">
        <f>IFERROR(INDEX(镶嵌库!$C$5:$M$13,基础面板属性!$D49+1,IF(LEFT(基础面板属性!$C49,2)&amp;"值"=基础面板属性!AH$1,MATCH(基础面板属性!$C49,镶嵌库!$C$4:$M$4,0),-1)),0)</f>
        <v>0</v>
      </c>
      <c r="AI49" s="160">
        <f>IFERROR(INDEX(镶嵌库!$C$5:$M$13,基础面板属性!$D49+1,IF(LEFT(基础面板属性!$C49,2)&amp;"值"=基础面板属性!AI$1,MATCH(基础面板属性!$C49,镶嵌库!$C$4:$M$4,0),-1)),0)</f>
        <v>0</v>
      </c>
      <c r="AJ49" s="160">
        <f>IFERROR(INDEX(镶嵌库!$C$5:$M$13,基础面板属性!$D49+1,IF(LEFT(基础面板属性!$C49,2)&amp;"值"=基础面板属性!AJ$1,MATCH(基础面板属性!$C49,镶嵌库!$C$4:$M$4,0),-1)),0)</f>
        <v>0</v>
      </c>
      <c r="AK49" s="160">
        <f>IFERROR(INDEX(镶嵌库!$C$5:$M$13,基础面板属性!$D49+1,IF(LEFT(基础面板属性!$C49,2)&amp;"值"=基础面板属性!AK$1,MATCH(基础面板属性!$C49,镶嵌库!$C$4:$M$4,0),-1)),0)</f>
        <v>0</v>
      </c>
      <c r="AL49" s="160">
        <f>IFERROR(INDEX(镶嵌库!$C$5:$M$13,基础面板属性!$D49+1,IF(LEFT(基础面板属性!$C49,2)&amp;"值"=基础面板属性!AL$1,MATCH(基础面板属性!$C49,镶嵌库!$C$4:$M$4,0),-1)),0)</f>
        <v>0</v>
      </c>
      <c r="AM49" s="160">
        <f>IFERROR(INDEX(镶嵌库!$C$5:$M$13,基础面板属性!$D49+1,IF(LEFT(基础面板属性!$C49,2)&amp;"值"=基础面板属性!AM$1,MATCH(基础面板属性!$C49,镶嵌库!$C$4:$M$4,0),-1)),0)</f>
        <v>0</v>
      </c>
      <c r="AN49" s="160">
        <f>IFERROR(INDEX(镶嵌库!$C$5:$M$13,基础面板属性!$D49+1,IF(LEFT(基础面板属性!$C49,2)&amp;"值"=基础面板属性!AN$1,MATCH(基础面板属性!$C49,镶嵌库!$C$4:$M$4,0),-1)),0)</f>
        <v>0</v>
      </c>
      <c r="AO49" s="160">
        <f>IFERROR(INDEX(镶嵌库!$C$5:$M$13,基础面板属性!$D49+1,IF(LEFT(基础面板属性!$C49,2)&amp;"值"=基础面板属性!AO$1,MATCH(基础面板属性!$C49,镶嵌库!$C$4:$M$4,0),-1)),0)</f>
        <v>0</v>
      </c>
      <c r="AP49" s="160">
        <f>IFERROR(INDEX(镶嵌库!$C$5:$M$13,基础面板属性!$D49+1,IF(LEFT(基础面板属性!$C49,2)&amp;"值"=基础面板属性!AP$1,MATCH(基础面板属性!$C49,镶嵌库!$C$4:$M$4,0),-1)),0)</f>
        <v>0</v>
      </c>
      <c r="AU49" s="160">
        <f>IFERROR(INDEX(镶嵌库!$C$5:$M$13,基础面板属性!$D49+1,IF(LEFT(基础面板属性!$C49,2)&amp;"值"=基础面板属性!AU$1,MATCH(基础面板属性!$C49,镶嵌库!$C$4:$M$4,0),-1)),0)</f>
        <v>0</v>
      </c>
      <c r="AV49" s="160">
        <f>IFERROR(INDEX(镶嵌库!$C$5:$M$13,基础面板属性!$D49+1,IF(LEFT(基础面板属性!$C49,2)&amp;"值"=基础面板属性!AV$1,MATCH(基础面板属性!$C49,镶嵌库!$C$4:$M$4,0),-1)),0)</f>
        <v>0</v>
      </c>
      <c r="AW49" s="160">
        <f>IFERROR(INDEX(镶嵌库!$C$5:$M$13,基础面板属性!$D49+1,IF(LEFT(基础面板属性!$C49,2)&amp;"值"=基础面板属性!AW$1,MATCH(基础面板属性!$C49,镶嵌库!$C$4:$M$4,0),-1)),0)</f>
        <v>0</v>
      </c>
      <c r="AX49" s="160">
        <f>IFERROR(INDEX(镶嵌库!$C$5:$M$13,基础面板属性!$D49+1,IF(LEFT(基础面板属性!$C49,2)&amp;"值"=基础面板属性!AX$1,MATCH(基础面板属性!$C49,镶嵌库!$C$4:$M$4,0),-1)),0)</f>
        <v>0</v>
      </c>
      <c r="AY49" s="160">
        <f>IFERROR(INDEX(镶嵌库!$C$5:$M$13,基础面板属性!$D49+1,IF(LEFT(基础面板属性!$C49,2)&amp;"值"=基础面板属性!AY$1,MATCH(基础面板属性!$C49,镶嵌库!$C$4:$M$4,0),-1)),0)</f>
        <v>0</v>
      </c>
      <c r="AZ49" s="160">
        <f>IFERROR(INDEX(镶嵌库!$C$5:$M$13,基础面板属性!$D49+1,IF(LEFT(基础面板属性!$C49,2)&amp;"值"=基础面板属性!AZ$1,MATCH(基础面板属性!$C49,镶嵌库!$C$4:$M$4,0),-1)),0)</f>
        <v>0</v>
      </c>
      <c r="BA49" s="160">
        <f>IFERROR(INDEX(镶嵌库!$C$5:$M$13,基础面板属性!$D49+1,IF(LEFT(基础面板属性!$C49,2)&amp;"值"=基础面板属性!BA$1,MATCH(基础面板属性!$C49,镶嵌库!$C$4:$M$4,0),-1)),0)</f>
        <v>0</v>
      </c>
      <c r="BB49" s="160">
        <f>IFERROR(INDEX(镶嵌库!$C$5:$M$13,基础面板属性!$D49+1,IF(LEFT(基础面板属性!$C49,2)&amp;"值"=基础面板属性!BB$1,MATCH(基础面板属性!$C49,镶嵌库!$C$4:$M$4,0),-1)),0)</f>
        <v>0</v>
      </c>
      <c r="BC49" s="160">
        <f>IFERROR(INDEX(镶嵌库!$C$5:$M$13,基础面板属性!$D49+1,IF(LEFT(基础面板属性!$C49,2)&amp;"值"=基础面板属性!BC$1,MATCH(基础面板属性!$C49,镶嵌库!$C$4:$M$4,0),-1)),0)</f>
        <v>0</v>
      </c>
      <c r="BD49" s="160">
        <f>IFERROR(INDEX(镶嵌库!$C$5:$M$13,基础面板属性!$D49+1,IF(LEFT(基础面板属性!$C49,2)&amp;"值"=基础面板属性!BD$1,MATCH(基础面板属性!$C49,镶嵌库!$C$4:$M$4,0),-1)),0)</f>
        <v>0</v>
      </c>
    </row>
    <row r="50" spans="1:56">
      <c r="A50" s="160" t="str">
        <f>A48</f>
        <v>轻剑</v>
      </c>
      <c r="B50" s="160" t="s">
        <v>2097</v>
      </c>
      <c r="C50" s="160" t="str">
        <f>装备选择!T13</f>
        <v>破防孔</v>
      </c>
      <c r="D50" s="160">
        <f>IF(C50="",0,IF(配装计算器!$K$32&lt;&gt;"不使用",镶嵌库!$Y$17,IFERROR(1*(LEFT(配装计算器!C32,1)),0)))</f>
        <v>8</v>
      </c>
      <c r="E50" s="160">
        <f>IFERROR(INDEX(镶嵌库!$C$5:$M$13,基础面板属性!$D50+1,IF(LEFT(基础面板属性!$C50,2)&amp;"值"=基础面板属性!E$1,MATCH(基础面板属性!$C50,镶嵌库!$C$4:$M$4,0),-1)),0)</f>
        <v>0</v>
      </c>
      <c r="F50" s="160">
        <f>IFERROR(INDEX(镶嵌库!$C$5:$M$13,基础面板属性!$D50+1,IF(LEFT(基础面板属性!$C50,2)&amp;"值"=基础面板属性!F$1,MATCH(基础面板属性!$C50,镶嵌库!$C$4:$M$4,0),-1)),0)</f>
        <v>0</v>
      </c>
      <c r="G50" s="160">
        <f>IFERROR(INDEX(镶嵌库!$C$5:$M$13,基础面板属性!$D50+1,IF(LEFT(基础面板属性!$C50,2)&amp;"值"=基础面板属性!G$1,MATCH(基础面板属性!$C50,镶嵌库!$C$4:$M$4,0),-1)),0)</f>
        <v>0</v>
      </c>
      <c r="H50" s="160">
        <f>IFERROR(INDEX(镶嵌库!$C$5:$M$13,基础面板属性!$D50+1,IF(LEFT(基础面板属性!$C50,2)&amp;"值"=基础面板属性!H$1,MATCH(基础面板属性!$C50,镶嵌库!$C$4:$M$4,0),-1)),0)</f>
        <v>0</v>
      </c>
      <c r="I50" s="160">
        <f>IFERROR(INDEX(镶嵌库!$C$5:$M$13,基础面板属性!$D50+1,IF(LEFT(基础面板属性!$C50,2)&amp;"值"=基础面板属性!I$1,MATCH(基础面板属性!$C50,镶嵌库!$C$4:$M$4,0),-1)),0)</f>
        <v>0</v>
      </c>
      <c r="J50" s="160">
        <f>IFERROR(INDEX(镶嵌库!$C$5:$M$13,基础面板属性!$D50+1,IF(LEFT(基础面板属性!$C50,2)&amp;"值"=基础面板属性!J$1,MATCH(基础面板属性!$C50,镶嵌库!$C$4:$M$4,0),-1)),0)</f>
        <v>0</v>
      </c>
      <c r="K50" s="160">
        <f>IFERROR(INDEX(镶嵌库!$C$5:$M$13,基础面板属性!$D50+1,IF(LEFT(基础面板属性!$C50,2)&amp;"值"=基础面板属性!K$1,MATCH(基础面板属性!$C50,镶嵌库!$C$4:$M$4,0),-1)),0)</f>
        <v>0</v>
      </c>
      <c r="L50" s="160">
        <f>IFERROR(INDEX(镶嵌库!$C$5:$M$13,基础面板属性!$D50+1,IF(LEFT(基础面板属性!$C50,2)&amp;"值"=基础面板属性!L$1,MATCH(基础面板属性!$C50,镶嵌库!$C$4:$M$4,0),-1)),0)</f>
        <v>0</v>
      </c>
      <c r="M50" s="160">
        <f>IFERROR(INDEX(镶嵌库!$C$5:$M$13,基础面板属性!$D50+1,IF(LEFT(基础面板属性!$C50,2)&amp;"值"=基础面板属性!M$1,MATCH(基础面板属性!$C50,镶嵌库!$C$4:$M$4,0),-1)),0)</f>
        <v>0</v>
      </c>
      <c r="N50" s="160">
        <f>IFERROR(INDEX(镶嵌库!$C$5:$M$13,基础面板属性!$D50+1,IF(LEFT(基础面板属性!$C50,2)&amp;"值"=基础面板属性!N$1,MATCH(基础面板属性!$C50,镶嵌库!$C$4:$M$4,0),-1)),0)</f>
        <v>0</v>
      </c>
      <c r="O50" s="160">
        <f>IFERROR(INDEX(镶嵌库!$C$5:$M$13,基础面板属性!$D50+1,IF(LEFT(基础面板属性!$C50,2)&amp;"值"=基础面板属性!O$1,MATCH(基础面板属性!$C50,镶嵌库!$C$4:$M$4,0),-1)),0)</f>
        <v>0</v>
      </c>
      <c r="P50" s="160">
        <f>IFERROR(INDEX(镶嵌库!$C$5:$M$13,基础面板属性!$D50+1,IF(LEFT(基础面板属性!$C50,2)&amp;"值"=基础面板属性!P$1,MATCH(基础面板属性!$C50,镶嵌库!$C$4:$M$4,0),-1)),0)</f>
        <v>0</v>
      </c>
      <c r="Q50" s="160">
        <f>IFERROR(INDEX(镶嵌库!$C$5:$M$13,基础面板属性!$D50+1,IF(LEFT(基础面板属性!$C50,2)&amp;"值"=基础面板属性!Q$1,MATCH(基础面板属性!$C50,镶嵌库!$C$4:$M$4,0),-1)),0)</f>
        <v>0</v>
      </c>
      <c r="R50" s="160">
        <f>IFERROR(INDEX(镶嵌库!$C$5:$M$13,基础面板属性!$D50+1,IF(LEFT(基础面板属性!$C50,2)&amp;"值"=基础面板属性!R$1,MATCH(基础面板属性!$C50,镶嵌库!$C$4:$M$4,0),-1)),0)</f>
        <v>0</v>
      </c>
      <c r="S50" s="160">
        <f>IFERROR(INDEX(镶嵌库!$C$5:$M$13,基础面板属性!$D50+1,IF(LEFT(基础面板属性!$C50,2)&amp;"值"=基础面板属性!S$1,MATCH(基础面板属性!$C50,镶嵌库!$C$4:$M$4,0),-1)),0)</f>
        <v>0</v>
      </c>
      <c r="T50" s="160">
        <f>IFERROR(INDEX(镶嵌库!$C$5:$M$13,基础面板属性!$D50+1,IF(LEFT(基础面板属性!$C50,2)&amp;"值"=基础面板属性!T$1,MATCH(基础面板属性!$C50,镶嵌库!$C$4:$M$4,0),-1)),0)</f>
        <v>0</v>
      </c>
      <c r="U50" s="160">
        <f>IFERROR(INDEX(镶嵌库!$C$5:$M$13,基础面板属性!$D50+1,IF(LEFT(基础面板属性!$C50,2)&amp;"值"=基础面板属性!U$1,MATCH(基础面板属性!$C50,镶嵌库!$C$4:$M$4,0),-1)),0)</f>
        <v>0</v>
      </c>
      <c r="V50" s="160">
        <f>IFERROR(INDEX(镶嵌库!$C$5:$M$13,基础面板属性!$D50+1,IF(LEFT(基础面板属性!$C50,2)&amp;"值"=基础面板属性!V$1,MATCH(基础面板属性!$C50,镶嵌库!$C$4:$M$4,0),-1)),0)</f>
        <v>0</v>
      </c>
      <c r="W50" s="160">
        <f>IFERROR(INDEX(镶嵌库!$C$5:$M$13,基础面板属性!$D50+1,IF(LEFT(基础面板属性!$C50,2)&amp;"值"=基础面板属性!W$1,MATCH(基础面板属性!$C50,镶嵌库!$C$4:$M$4,0),-1)),0)</f>
        <v>0</v>
      </c>
      <c r="X50" s="160">
        <f>IFERROR(INDEX(镶嵌库!$C$5:$M$13,基础面板属性!$D50+1,IF(LEFT(基础面板属性!$C50,2)&amp;"值"=基础面板属性!X$1,MATCH(基础面板属性!$C50,镶嵌库!$C$4:$M$4,0),-1)),0)</f>
        <v>0</v>
      </c>
      <c r="Y50" s="160">
        <f>IFERROR(INDEX(镶嵌库!$C$5:$M$13,基础面板属性!$D50+1,IF(LEFT(基础面板属性!$C50,2)&amp;"值"=基础面板属性!Y$1,MATCH(基础面板属性!$C50,镶嵌库!$C$4:$M$4,0),-1)),0)</f>
        <v>0</v>
      </c>
      <c r="Z50" s="160">
        <f>IFERROR(INDEX(镶嵌库!$C$5:$M$13,基础面板属性!$D50+1,IF(LEFT(基础面板属性!$C50,2)&amp;"值"=基础面板属性!Z$1,MATCH(基础面板属性!$C50,镶嵌库!$C$4:$M$4,0),-1)),0)</f>
        <v>0</v>
      </c>
      <c r="AA50" s="160">
        <f>IFERROR(INDEX(镶嵌库!$C$5:$M$13,基础面板属性!$D50+1,IF(LEFT(基础面板属性!$C50,2)&amp;"值"=基础面板属性!AA$1,MATCH(基础面板属性!$C50,镶嵌库!$C$4:$M$4,0),-1)),0)</f>
        <v>0</v>
      </c>
      <c r="AB50" s="160">
        <f>IFERROR(INDEX(镶嵌库!$C$5:$M$13,基础面板属性!$D50+1,IF(LEFT(基础面板属性!$C50,2)&amp;"值"=基础面板属性!AB$1,MATCH(基础面板属性!$C50,镶嵌库!$C$4:$M$4,0),-1)),0)</f>
        <v>0</v>
      </c>
      <c r="AC50" s="160">
        <f>IFERROR(INDEX(镶嵌库!$C$5:$M$13,基础面板属性!$D50+1,IF(LEFT(基础面板属性!$C50,2)&amp;"值"=基础面板属性!AC$1,MATCH(基础面板属性!$C50,镶嵌库!$C$4:$M$4,0),-1)),0)</f>
        <v>1317</v>
      </c>
      <c r="AD50" s="160">
        <f>IFERROR(INDEX(镶嵌库!$C$5:$M$13,基础面板属性!$D50+1,IF(LEFT(基础面板属性!$C50,2)&amp;"值"=基础面板属性!AD$1,MATCH(基础面板属性!$C50,镶嵌库!$C$4:$M$4,0),-1)),0)</f>
        <v>0</v>
      </c>
      <c r="AE50" s="160">
        <f>IFERROR(INDEX(镶嵌库!$C$5:$M$13,基础面板属性!$D50+1,IF(LEFT(基础面板属性!$C50,2)&amp;"值"=基础面板属性!AE$1,MATCH(基础面板属性!$C50,镶嵌库!$C$4:$M$4,0),-1)),0)</f>
        <v>0</v>
      </c>
      <c r="AF50" s="160">
        <f>IFERROR(INDEX(镶嵌库!$C$5:$M$13,基础面板属性!$D50+1,IF(LEFT(基础面板属性!$C50,2)&amp;"值"=基础面板属性!AF$1,MATCH(基础面板属性!$C50,镶嵌库!$C$4:$M$4,0),-1)),0)</f>
        <v>0</v>
      </c>
      <c r="AG50" s="160">
        <f>IFERROR(INDEX(镶嵌库!$C$5:$M$13,基础面板属性!$D50+1,IF(LEFT(基础面板属性!$C50,2)&amp;"值"=基础面板属性!AG$1,MATCH(基础面板属性!$C50,镶嵌库!$C$4:$M$4,0),-1)),0)</f>
        <v>0</v>
      </c>
      <c r="AH50" s="160">
        <f>IFERROR(INDEX(镶嵌库!$C$5:$M$13,基础面板属性!$D50+1,IF(LEFT(基础面板属性!$C50,2)&amp;"值"=基础面板属性!AH$1,MATCH(基础面板属性!$C50,镶嵌库!$C$4:$M$4,0),-1)),0)</f>
        <v>0</v>
      </c>
      <c r="AI50" s="160">
        <f>IFERROR(INDEX(镶嵌库!$C$5:$M$13,基础面板属性!$D50+1,IF(LEFT(基础面板属性!$C50,2)&amp;"值"=基础面板属性!AI$1,MATCH(基础面板属性!$C50,镶嵌库!$C$4:$M$4,0),-1)),0)</f>
        <v>0</v>
      </c>
      <c r="AJ50" s="160">
        <f>IFERROR(INDEX(镶嵌库!$C$5:$M$13,基础面板属性!$D50+1,IF(LEFT(基础面板属性!$C50,2)&amp;"值"=基础面板属性!AJ$1,MATCH(基础面板属性!$C50,镶嵌库!$C$4:$M$4,0),-1)),0)</f>
        <v>0</v>
      </c>
      <c r="AK50" s="160">
        <f>IFERROR(INDEX(镶嵌库!$C$5:$M$13,基础面板属性!$D50+1,IF(LEFT(基础面板属性!$C50,2)&amp;"值"=基础面板属性!AK$1,MATCH(基础面板属性!$C50,镶嵌库!$C$4:$M$4,0),-1)),0)</f>
        <v>0</v>
      </c>
      <c r="AL50" s="160">
        <f>IFERROR(INDEX(镶嵌库!$C$5:$M$13,基础面板属性!$D50+1,IF(LEFT(基础面板属性!$C50,2)&amp;"值"=基础面板属性!AL$1,MATCH(基础面板属性!$C50,镶嵌库!$C$4:$M$4,0),-1)),0)</f>
        <v>0</v>
      </c>
      <c r="AM50" s="160">
        <f>IFERROR(INDEX(镶嵌库!$C$5:$M$13,基础面板属性!$D50+1,IF(LEFT(基础面板属性!$C50,2)&amp;"值"=基础面板属性!AM$1,MATCH(基础面板属性!$C50,镶嵌库!$C$4:$M$4,0),-1)),0)</f>
        <v>0</v>
      </c>
      <c r="AN50" s="160">
        <f>IFERROR(INDEX(镶嵌库!$C$5:$M$13,基础面板属性!$D50+1,IF(LEFT(基础面板属性!$C50,2)&amp;"值"=基础面板属性!AN$1,MATCH(基础面板属性!$C50,镶嵌库!$C$4:$M$4,0),-1)),0)</f>
        <v>0</v>
      </c>
      <c r="AO50" s="160">
        <f>IFERROR(INDEX(镶嵌库!$C$5:$M$13,基础面板属性!$D50+1,IF(LEFT(基础面板属性!$C50,2)&amp;"值"=基础面板属性!AO$1,MATCH(基础面板属性!$C50,镶嵌库!$C$4:$M$4,0),-1)),0)</f>
        <v>0</v>
      </c>
      <c r="AP50" s="160">
        <f>IFERROR(INDEX(镶嵌库!$C$5:$M$13,基础面板属性!$D50+1,IF(LEFT(基础面板属性!$C50,2)&amp;"值"=基础面板属性!AP$1,MATCH(基础面板属性!$C50,镶嵌库!$C$4:$M$4,0),-1)),0)</f>
        <v>0</v>
      </c>
      <c r="AU50" s="160">
        <f>IFERROR(INDEX(镶嵌库!$C$5:$M$13,基础面板属性!$D50+1,IF(LEFT(基础面板属性!$C50,2)&amp;"值"=基础面板属性!AU$1,MATCH(基础面板属性!$C50,镶嵌库!$C$4:$M$4,0),-1)),0)</f>
        <v>0</v>
      </c>
      <c r="AV50" s="160">
        <f>IFERROR(INDEX(镶嵌库!$C$5:$M$13,基础面板属性!$D50+1,IF(LEFT(基础面板属性!$C50,2)&amp;"值"=基础面板属性!AV$1,MATCH(基础面板属性!$C50,镶嵌库!$C$4:$M$4,0),-1)),0)</f>
        <v>0</v>
      </c>
      <c r="AW50" s="160">
        <f>IFERROR(INDEX(镶嵌库!$C$5:$M$13,基础面板属性!$D50+1,IF(LEFT(基础面板属性!$C50,2)&amp;"值"=基础面板属性!AW$1,MATCH(基础面板属性!$C50,镶嵌库!$C$4:$M$4,0),-1)),0)</f>
        <v>0</v>
      </c>
      <c r="AX50" s="160">
        <f>IFERROR(INDEX(镶嵌库!$C$5:$M$13,基础面板属性!$D50+1,IF(LEFT(基础面板属性!$C50,2)&amp;"值"=基础面板属性!AX$1,MATCH(基础面板属性!$C50,镶嵌库!$C$4:$M$4,0),-1)),0)</f>
        <v>0</v>
      </c>
      <c r="AY50" s="160">
        <f>IFERROR(INDEX(镶嵌库!$C$5:$M$13,基础面板属性!$D50+1,IF(LEFT(基础面板属性!$C50,2)&amp;"值"=基础面板属性!AY$1,MATCH(基础面板属性!$C50,镶嵌库!$C$4:$M$4,0),-1)),0)</f>
        <v>0</v>
      </c>
      <c r="AZ50" s="160">
        <f>IFERROR(INDEX(镶嵌库!$C$5:$M$13,基础面板属性!$D50+1,IF(LEFT(基础面板属性!$C50,2)&amp;"值"=基础面板属性!AZ$1,MATCH(基础面板属性!$C50,镶嵌库!$C$4:$M$4,0),-1)),0)</f>
        <v>0</v>
      </c>
      <c r="BA50" s="160">
        <f>IFERROR(INDEX(镶嵌库!$C$5:$M$13,基础面板属性!$D50+1,IF(LEFT(基础面板属性!$C50,2)&amp;"值"=基础面板属性!BA$1,MATCH(基础面板属性!$C50,镶嵌库!$C$4:$M$4,0),-1)),0)</f>
        <v>0</v>
      </c>
      <c r="BB50" s="160">
        <f>IFERROR(INDEX(镶嵌库!$C$5:$M$13,基础面板属性!$D50+1,IF(LEFT(基础面板属性!$C50,2)&amp;"值"=基础面板属性!BB$1,MATCH(基础面板属性!$C50,镶嵌库!$C$4:$M$4,0),-1)),0)</f>
        <v>0</v>
      </c>
      <c r="BC50" s="160">
        <f>IFERROR(INDEX(镶嵌库!$C$5:$M$13,基础面板属性!$D50+1,IF(LEFT(基础面板属性!$C50,2)&amp;"值"=基础面板属性!BC$1,MATCH(基础面板属性!$C50,镶嵌库!$C$4:$M$4,0),-1)),0)</f>
        <v>0</v>
      </c>
      <c r="BD50" s="160">
        <f>IFERROR(INDEX(镶嵌库!$C$5:$M$13,基础面板属性!$D50+1,IF(LEFT(基础面板属性!$C50,2)&amp;"值"=基础面板属性!BD$1,MATCH(基础面板属性!$C50,镶嵌库!$C$4:$M$4,0),-1)),0)</f>
        <v>0</v>
      </c>
    </row>
    <row r="51" spans="1:56">
      <c r="A51" s="160" t="str">
        <f>A47</f>
        <v>轻剑</v>
      </c>
      <c r="B51" s="160" t="s">
        <v>2098</v>
      </c>
      <c r="C51" s="160" t="str">
        <f>IF(附魔库!$W$16="武器伤害","武器伤害",附魔库!$W$16&amp;"值")</f>
        <v>攻击值</v>
      </c>
      <c r="D51" s="160">
        <f>附魔库!X16</f>
        <v>891</v>
      </c>
      <c r="E51" s="160">
        <f>IF(OR($C51=E$1,$C51&amp;"大"=E$1,$C51&amp;"小"=E$1),$D51,0)</f>
        <v>0</v>
      </c>
      <c r="F51" s="160">
        <f t="shared" ref="F51:BD51" si="9">IF(OR($C51=F$1,$C51&amp;"大"=F$1,$C51&amp;"小"=F$1),$D51,0)</f>
        <v>0</v>
      </c>
      <c r="G51" s="160">
        <f t="shared" si="9"/>
        <v>0</v>
      </c>
      <c r="H51" s="160">
        <f t="shared" si="9"/>
        <v>0</v>
      </c>
      <c r="I51" s="160">
        <f t="shared" si="9"/>
        <v>0</v>
      </c>
      <c r="J51" s="160">
        <f t="shared" si="9"/>
        <v>0</v>
      </c>
      <c r="K51" s="160">
        <f t="shared" si="9"/>
        <v>0</v>
      </c>
      <c r="L51" s="160">
        <f t="shared" si="9"/>
        <v>0</v>
      </c>
      <c r="M51" s="160">
        <f t="shared" si="9"/>
        <v>0</v>
      </c>
      <c r="N51" s="160">
        <f t="shared" si="9"/>
        <v>0</v>
      </c>
      <c r="O51" s="160">
        <f t="shared" si="9"/>
        <v>0</v>
      </c>
      <c r="P51" s="160">
        <f t="shared" si="9"/>
        <v>0</v>
      </c>
      <c r="Q51" s="160">
        <f t="shared" si="9"/>
        <v>0</v>
      </c>
      <c r="R51" s="160">
        <f t="shared" si="9"/>
        <v>0</v>
      </c>
      <c r="S51" s="160">
        <f t="shared" si="9"/>
        <v>891</v>
      </c>
      <c r="T51" s="160">
        <f t="shared" si="9"/>
        <v>0</v>
      </c>
      <c r="U51" s="160">
        <f t="shared" si="9"/>
        <v>0</v>
      </c>
      <c r="V51" s="160">
        <f t="shared" si="9"/>
        <v>0</v>
      </c>
      <c r="W51" s="160">
        <f t="shared" si="9"/>
        <v>0</v>
      </c>
      <c r="X51" s="160">
        <f t="shared" si="9"/>
        <v>0</v>
      </c>
      <c r="Y51" s="160">
        <f t="shared" si="9"/>
        <v>0</v>
      </c>
      <c r="Z51" s="160">
        <f t="shared" si="9"/>
        <v>0</v>
      </c>
      <c r="AA51" s="160">
        <f t="shared" si="9"/>
        <v>0</v>
      </c>
      <c r="AB51" s="160">
        <f t="shared" si="9"/>
        <v>0</v>
      </c>
      <c r="AC51" s="160">
        <f t="shared" si="9"/>
        <v>0</v>
      </c>
      <c r="AD51" s="160">
        <f t="shared" si="9"/>
        <v>0</v>
      </c>
      <c r="AE51" s="160">
        <f t="shared" si="9"/>
        <v>0</v>
      </c>
      <c r="AF51" s="160">
        <f t="shared" si="9"/>
        <v>0</v>
      </c>
      <c r="AG51" s="160">
        <f t="shared" si="9"/>
        <v>0</v>
      </c>
      <c r="AH51" s="160">
        <f t="shared" si="9"/>
        <v>0</v>
      </c>
      <c r="AI51" s="160">
        <f t="shared" si="9"/>
        <v>0</v>
      </c>
      <c r="AJ51" s="160">
        <f t="shared" si="9"/>
        <v>0</v>
      </c>
      <c r="AK51" s="160">
        <f t="shared" si="9"/>
        <v>0</v>
      </c>
      <c r="AL51" s="160">
        <f t="shared" si="9"/>
        <v>0</v>
      </c>
      <c r="AM51" s="160">
        <f t="shared" si="9"/>
        <v>0</v>
      </c>
      <c r="AN51" s="160">
        <f t="shared" si="9"/>
        <v>0</v>
      </c>
      <c r="AO51" s="160">
        <f t="shared" si="9"/>
        <v>0</v>
      </c>
      <c r="AP51" s="160">
        <f t="shared" si="9"/>
        <v>0</v>
      </c>
      <c r="AU51" s="160">
        <f t="shared" si="9"/>
        <v>0</v>
      </c>
      <c r="AV51" s="160">
        <f t="shared" si="9"/>
        <v>0</v>
      </c>
      <c r="AW51" s="160">
        <f t="shared" si="9"/>
        <v>0</v>
      </c>
      <c r="AX51" s="160">
        <f t="shared" si="9"/>
        <v>0</v>
      </c>
      <c r="AY51" s="160">
        <f t="shared" si="9"/>
        <v>0</v>
      </c>
      <c r="AZ51" s="160">
        <f t="shared" si="9"/>
        <v>0</v>
      </c>
      <c r="BA51" s="160">
        <f t="shared" si="9"/>
        <v>0</v>
      </c>
      <c r="BB51" s="160">
        <f t="shared" si="9"/>
        <v>0</v>
      </c>
      <c r="BC51" s="160">
        <f t="shared" si="9"/>
        <v>0</v>
      </c>
      <c r="BD51" s="160">
        <f t="shared" si="9"/>
        <v>0</v>
      </c>
    </row>
    <row r="52" spans="1:56">
      <c r="A52" s="160" t="str">
        <f>A47</f>
        <v>轻剑</v>
      </c>
      <c r="B52" s="160" t="s">
        <v>2099</v>
      </c>
      <c r="C52" s="160" t="str">
        <f>配装计算器!E31</f>
        <v>破防</v>
      </c>
      <c r="D52" s="160" t="str">
        <f>配装计算器!$E$30&amp;镶嵌库!R17*镶嵌库!$R$16</f>
        <v>陆1</v>
      </c>
      <c r="E52" s="160">
        <f>IFERROR(INDEX(镶嵌库!$C$16:$O$25,MATCH(基础面板属性!$D52,镶嵌库!$C$16:$C$25,0),IF(OR($C52=E$1,LEFT(基础面板属性!$C52,2)&amp;"值"=基础面板属性!E$1,基础面板属性!$C52&amp;"小"=基础面板属性!E$1,基础面板属性!$C52&amp;"大"=基础面板属性!E$1),MATCH(基础面板属性!$C52,镶嵌库!$C$16:$O$16,0),-1)),0)</f>
        <v>0</v>
      </c>
      <c r="F52" s="160">
        <f>IFERROR(INDEX(镶嵌库!$C$16:$O$25,MATCH(基础面板属性!$D52,镶嵌库!$C$16:$C$25,0),IF(OR($C52=F$1,LEFT(基础面板属性!$C52,2)&amp;"值"=基础面板属性!F$1,基础面板属性!$C52&amp;"小"=基础面板属性!F$1,基础面板属性!$C52&amp;"大"=基础面板属性!F$1),MATCH(基础面板属性!$C52,镶嵌库!$C$16:$O$16,0),-1)),0)</f>
        <v>0</v>
      </c>
      <c r="G52" s="160">
        <f>IFERROR(INDEX(镶嵌库!$C$16:$O$25,MATCH(基础面板属性!$D52,镶嵌库!$C$16:$C$25,0),IF(OR($C52=G$1,LEFT(基础面板属性!$C52,2)&amp;"值"=基础面板属性!G$1,基础面板属性!$C52&amp;"小"=基础面板属性!G$1,基础面板属性!$C52&amp;"大"=基础面板属性!G$1),MATCH(基础面板属性!$C52,镶嵌库!$C$16:$O$16,0),-1)),0)</f>
        <v>0</v>
      </c>
      <c r="H52" s="160">
        <f>IFERROR(INDEX(镶嵌库!$C$16:$O$25,MATCH(基础面板属性!$D52,镶嵌库!$C$16:$C$25,0),IF(OR($C52=H$1,LEFT(基础面板属性!$C52,2)&amp;"值"=基础面板属性!H$1,基础面板属性!$C52&amp;"小"=基础面板属性!H$1,基础面板属性!$C52&amp;"大"=基础面板属性!H$1),MATCH(基础面板属性!$C52,镶嵌库!$C$16:$O$16,0),-1)),0)</f>
        <v>0</v>
      </c>
      <c r="I52" s="160">
        <f>IFERROR(INDEX(镶嵌库!$C$16:$O$25,MATCH(基础面板属性!$D52,镶嵌库!$C$16:$C$25,0),IF(OR($C52=I$1,LEFT(基础面板属性!$C52,2)&amp;"值"=基础面板属性!I$1,基础面板属性!$C52&amp;"小"=基础面板属性!I$1,基础面板属性!$C52&amp;"大"=基础面板属性!I$1),MATCH(基础面板属性!$C52,镶嵌库!$C$16:$O$16,0),-1)),0)</f>
        <v>0</v>
      </c>
      <c r="J52" s="160">
        <f>IFERROR(INDEX(镶嵌库!$C$16:$O$25,MATCH(基础面板属性!$D52,镶嵌库!$C$16:$C$25,0),IF(OR($C52=J$1,LEFT(基础面板属性!$C52,2)&amp;"值"=基础面板属性!J$1,基础面板属性!$C52&amp;"小"=基础面板属性!J$1,基础面板属性!$C52&amp;"大"=基础面板属性!J$1),MATCH(基础面板属性!$C52,镶嵌库!$C$16:$O$16,0),-1)),0)</f>
        <v>0</v>
      </c>
      <c r="K52" s="160">
        <f>IFERROR(INDEX(镶嵌库!$C$16:$O$25,MATCH(基础面板属性!$D52,镶嵌库!$C$16:$C$25,0),IF(OR($C52=K$1,LEFT(基础面板属性!$C52,2)&amp;"值"=基础面板属性!K$1,基础面板属性!$C52&amp;"小"=基础面板属性!K$1,基础面板属性!$C52&amp;"大"=基础面板属性!K$1),MATCH(基础面板属性!$C52,镶嵌库!$C$16:$O$16,0),-1)),0)</f>
        <v>0</v>
      </c>
      <c r="L52" s="160">
        <f>IFERROR(INDEX(镶嵌库!$C$16:$O$25,MATCH(基础面板属性!$D52,镶嵌库!$C$16:$C$25,0),IF(OR($C52=L$1,LEFT(基础面板属性!$C52,2)&amp;"值"=基础面板属性!L$1,基础面板属性!$C52&amp;"小"=基础面板属性!L$1,基础面板属性!$C52&amp;"大"=基础面板属性!L$1),MATCH(基础面板属性!$C52,镶嵌库!$C$16:$O$16,0),-1)),0)</f>
        <v>0</v>
      </c>
      <c r="M52" s="160">
        <f>IFERROR(INDEX(镶嵌库!$C$16:$O$25,MATCH(基础面板属性!$D52,镶嵌库!$C$16:$C$25,0),IF(OR($C52=M$1,LEFT(基础面板属性!$C52,2)&amp;"值"=基础面板属性!M$1,基础面板属性!$C52&amp;"小"=基础面板属性!M$1,基础面板属性!$C52&amp;"大"=基础面板属性!M$1),MATCH(基础面板属性!$C52,镶嵌库!$C$16:$O$16,0),-1)),0)</f>
        <v>0</v>
      </c>
      <c r="N52" s="160">
        <f>IFERROR(INDEX(镶嵌库!$C$16:$O$25,MATCH(基础面板属性!$D52,镶嵌库!$C$16:$C$25,0),IF(OR($C52=N$1,LEFT(基础面板属性!$C52,2)&amp;"值"=基础面板属性!N$1,基础面板属性!$C52&amp;"小"=基础面板属性!N$1,基础面板属性!$C52&amp;"大"=基础面板属性!N$1),MATCH(基础面板属性!$C52,镶嵌库!$C$16:$O$16,0),-1)),0)</f>
        <v>0</v>
      </c>
      <c r="O52" s="160">
        <f>IFERROR(INDEX(镶嵌库!$C$16:$O$25,MATCH(基础面板属性!$D52,镶嵌库!$C$16:$C$25,0),IF(OR($C52=O$1,LEFT(基础面板属性!$C52,2)&amp;"值"=基础面板属性!O$1,基础面板属性!$C52&amp;"小"=基础面板属性!O$1,基础面板属性!$C52&amp;"大"=基础面板属性!O$1),MATCH(基础面板属性!$C52,镶嵌库!$C$16:$O$16,0),-1)),0)</f>
        <v>0</v>
      </c>
      <c r="P52" s="160">
        <f>IFERROR(INDEX(镶嵌库!$C$16:$O$25,MATCH(基础面板属性!$D52,镶嵌库!$C$16:$C$25,0),IF(OR($C52=P$1,LEFT(基础面板属性!$C52,2)&amp;"值"=基础面板属性!P$1,基础面板属性!$C52&amp;"小"=基础面板属性!P$1,基础面板属性!$C52&amp;"大"=基础面板属性!P$1),MATCH(基础面板属性!$C52,镶嵌库!$C$16:$O$16,0),-1)),0)</f>
        <v>0</v>
      </c>
      <c r="Q52" s="160">
        <f>IFERROR(INDEX(镶嵌库!$C$16:$O$25,MATCH(基础面板属性!$D52,镶嵌库!$C$16:$C$25,0),IF(OR($C52=Q$1,LEFT(基础面板属性!$C52,2)&amp;"值"=基础面板属性!Q$1,基础面板属性!$C52&amp;"小"=基础面板属性!Q$1,基础面板属性!$C52&amp;"大"=基础面板属性!Q$1),MATCH(基础面板属性!$C52,镶嵌库!$C$16:$O$16,0),-1)),0)</f>
        <v>0</v>
      </c>
      <c r="R52" s="160">
        <f>IFERROR(INDEX(镶嵌库!$C$16:$O$25,MATCH(基础面板属性!$D52,镶嵌库!$C$16:$C$25,0),IF(OR($C52=R$1,LEFT(基础面板属性!$C52,2)&amp;"值"=基础面板属性!R$1,基础面板属性!$C52&amp;"小"=基础面板属性!R$1,基础面板属性!$C52&amp;"大"=基础面板属性!R$1),MATCH(基础面板属性!$C52,镶嵌库!$C$16:$O$16,0),-1)),0)</f>
        <v>0</v>
      </c>
      <c r="S52" s="160">
        <f>IFERROR(INDEX(镶嵌库!$C$16:$O$25,MATCH(基础面板属性!$D52,镶嵌库!$C$16:$C$25,0),IF(OR($C52=S$1,LEFT(基础面板属性!$C52,2)&amp;"值"=基础面板属性!S$1,基础面板属性!$C52&amp;"小"=基础面板属性!S$1,基础面板属性!$C52&amp;"大"=基础面板属性!S$1),MATCH(基础面板属性!$C52,镶嵌库!$C$16:$O$16,0),-1)),0)</f>
        <v>0</v>
      </c>
      <c r="T52" s="160">
        <f>IFERROR(INDEX(镶嵌库!$C$16:$O$25,MATCH(基础面板属性!$D52,镶嵌库!$C$16:$C$25,0),IF(OR($C52=T$1,LEFT(基础面板属性!$C52,2)&amp;"值"=基础面板属性!T$1,基础面板属性!$C52&amp;"小"=基础面板属性!T$1,基础面板属性!$C52&amp;"大"=基础面板属性!T$1),MATCH(基础面板属性!$C52,镶嵌库!$C$16:$O$16,0),-1)),0)</f>
        <v>0</v>
      </c>
      <c r="U52" s="160">
        <f>IFERROR(INDEX(镶嵌库!$C$16:$O$25,MATCH(基础面板属性!$D52,镶嵌库!$C$16:$C$25,0),IF(OR($C52=U$1,LEFT(基础面板属性!$C52,2)&amp;"值"=基础面板属性!U$1,基础面板属性!$C52&amp;"小"=基础面板属性!U$1,基础面板属性!$C52&amp;"大"=基础面板属性!U$1),MATCH(基础面板属性!$C52,镶嵌库!$C$16:$O$16,0),-1)),0)</f>
        <v>0</v>
      </c>
      <c r="V52" s="160">
        <f>IFERROR(INDEX(镶嵌库!$C$16:$O$25,MATCH(基础面板属性!$D52,镶嵌库!$C$16:$C$25,0),IF(OR($C52=V$1,LEFT(基础面板属性!$C52,2)&amp;"值"=基础面板属性!V$1,基础面板属性!$C52&amp;"小"=基础面板属性!V$1,基础面板属性!$C52&amp;"大"=基础面板属性!V$1),MATCH(基础面板属性!$C52,镶嵌库!$C$16:$O$16,0),-1)),0)</f>
        <v>0</v>
      </c>
      <c r="W52" s="160">
        <f>IFERROR(INDEX(镶嵌库!$C$16:$O$25,MATCH(基础面板属性!$D52,镶嵌库!$C$16:$C$25,0),IF(OR($C52=W$1,LEFT(基础面板属性!$C52,2)&amp;"值"=基础面板属性!W$1,基础面板属性!$C52&amp;"小"=基础面板属性!W$1,基础面板属性!$C52&amp;"大"=基础面板属性!W$1),MATCH(基础面板属性!$C52,镶嵌库!$C$16:$O$16,0),-1)),0)</f>
        <v>0</v>
      </c>
      <c r="X52" s="160">
        <f>IFERROR(INDEX(镶嵌库!$C$16:$O$25,MATCH(基础面板属性!$D52,镶嵌库!$C$16:$C$25,0),IF(OR($C52=X$1,LEFT(基础面板属性!$C52,2)&amp;"值"=基础面板属性!X$1,基础面板属性!$C52&amp;"小"=基础面板属性!X$1,基础面板属性!$C52&amp;"大"=基础面板属性!X$1),MATCH(基础面板属性!$C52,镶嵌库!$C$16:$O$16,0),-1)),0)</f>
        <v>0</v>
      </c>
      <c r="Y52" s="160">
        <f>IFERROR(INDEX(镶嵌库!$C$16:$O$25,MATCH(基础面板属性!$D52,镶嵌库!$C$16:$C$25,0),IF(OR($C52=Y$1,LEFT(基础面板属性!$C52,2)&amp;"值"=基础面板属性!Y$1,基础面板属性!$C52&amp;"小"=基础面板属性!Y$1,基础面板属性!$C52&amp;"大"=基础面板属性!Y$1),MATCH(基础面板属性!$C52,镶嵌库!$C$16:$O$16,0),-1)),0)</f>
        <v>0</v>
      </c>
      <c r="Z52" s="160">
        <f>IFERROR(INDEX(镶嵌库!$C$16:$O$25,MATCH(基础面板属性!$D52,镶嵌库!$C$16:$C$25,0),IF(OR($C52=Z$1,LEFT(基础面板属性!$C52,2)&amp;"值"=基础面板属性!Z$1,基础面板属性!$C52&amp;"小"=基础面板属性!Z$1,基础面板属性!$C52&amp;"大"=基础面板属性!Z$1),MATCH(基础面板属性!$C52,镶嵌库!$C$16:$O$16,0),-1)),0)</f>
        <v>0</v>
      </c>
      <c r="AA52" s="160">
        <f>IFERROR(INDEX(镶嵌库!$C$16:$O$25,MATCH(基础面板属性!$D52,镶嵌库!$C$16:$C$25,0),IF(OR($C52=AA$1,LEFT(基础面板属性!$C52,2)&amp;"值"=基础面板属性!AA$1,基础面板属性!$C52&amp;"小"=基础面板属性!AA$1,基础面板属性!$C52&amp;"大"=基础面板属性!AA$1),MATCH(基础面板属性!$C52,镶嵌库!$C$16:$O$16,0),-1)),0)</f>
        <v>0</v>
      </c>
      <c r="AB52" s="160">
        <f>IFERROR(INDEX(镶嵌库!$C$16:$O$25,MATCH(基础面板属性!$D52,镶嵌库!$C$16:$C$25,0),IF(OR($C52=AB$1,LEFT(基础面板属性!$C52,2)&amp;"值"=基础面板属性!AB$1,基础面板属性!$C52&amp;"小"=基础面板属性!AB$1,基础面板属性!$C52&amp;"大"=基础面板属性!AB$1),MATCH(基础面板属性!$C52,镶嵌库!$C$16:$O$16,0),-1)),0)</f>
        <v>0</v>
      </c>
      <c r="AC52" s="160">
        <f>IFERROR(INDEX(镶嵌库!$C$16:$O$25,MATCH(基础面板属性!$D52,镶嵌库!$C$16:$C$25,0),IF(OR($C52=AC$1,LEFT(基础面板属性!$C52,2)&amp;"值"=基础面板属性!AC$1,基础面板属性!$C52&amp;"小"=基础面板属性!AC$1,基础面板属性!$C52&amp;"大"=基础面板属性!AC$1),MATCH(基础面板属性!$C52,镶嵌库!$C$16:$O$16,0),-1)),0)</f>
        <v>1463</v>
      </c>
      <c r="AD52" s="160">
        <f>IFERROR(INDEX(镶嵌库!$C$16:$O$25,MATCH(基础面板属性!$D52,镶嵌库!$C$16:$C$25,0),IF(OR($C52=AD$1,LEFT(基础面板属性!$C52,2)&amp;"值"=基础面板属性!AD$1,基础面板属性!$C52&amp;"小"=基础面板属性!AD$1,基础面板属性!$C52&amp;"大"=基础面板属性!AD$1),MATCH(基础面板属性!$C52,镶嵌库!$C$16:$O$16,0),-1)),0)</f>
        <v>0</v>
      </c>
      <c r="AE52" s="160">
        <f>IFERROR(INDEX(镶嵌库!$C$16:$O$25,MATCH(基础面板属性!$D52,镶嵌库!$C$16:$C$25,0),IF(OR($C52=AE$1,LEFT(基础面板属性!$C52,2)&amp;"值"=基础面板属性!AE$1,基础面板属性!$C52&amp;"小"=基础面板属性!AE$1,基础面板属性!$C52&amp;"大"=基础面板属性!AE$1),MATCH(基础面板属性!$C52,镶嵌库!$C$16:$O$16,0),-1)),0)</f>
        <v>0</v>
      </c>
      <c r="AF52" s="160">
        <f>IFERROR(INDEX(镶嵌库!$C$16:$O$25,MATCH(基础面板属性!$D52,镶嵌库!$C$16:$C$25,0),IF(OR($C52=AF$1,LEFT(基础面板属性!$C52,2)&amp;"值"=基础面板属性!AF$1,基础面板属性!$C52&amp;"小"=基础面板属性!AF$1,基础面板属性!$C52&amp;"大"=基础面板属性!AF$1),MATCH(基础面板属性!$C52,镶嵌库!$C$16:$O$16,0),-1)),0)</f>
        <v>0</v>
      </c>
      <c r="AG52" s="160">
        <f>IFERROR(INDEX(镶嵌库!$C$16:$O$25,MATCH(基础面板属性!$D52,镶嵌库!$C$16:$C$25,0),IF(OR($C52=AG$1,LEFT(基础面板属性!$C52,2)&amp;"值"=基础面板属性!AG$1,基础面板属性!$C52&amp;"小"=基础面板属性!AG$1,基础面板属性!$C52&amp;"大"=基础面板属性!AG$1),MATCH(基础面板属性!$C52,镶嵌库!$C$16:$O$16,0),-1)),0)</f>
        <v>0</v>
      </c>
      <c r="AH52" s="160">
        <f>IFERROR(INDEX(镶嵌库!$C$16:$O$25,MATCH(基础面板属性!$D52,镶嵌库!$C$16:$C$25,0),IF(OR($C52=AH$1,LEFT(基础面板属性!$C52,2)&amp;"值"=基础面板属性!AH$1,基础面板属性!$C52&amp;"小"=基础面板属性!AH$1,基础面板属性!$C52&amp;"大"=基础面板属性!AH$1),MATCH(基础面板属性!$C52,镶嵌库!$C$16:$O$16,0),-1)),0)</f>
        <v>0</v>
      </c>
      <c r="AI52" s="160">
        <f>IFERROR(INDEX(镶嵌库!$C$16:$O$25,MATCH(基础面板属性!$D52,镶嵌库!$C$16:$C$25,0),IF(OR($C52=AI$1,LEFT(基础面板属性!$C52,2)&amp;"值"=基础面板属性!AI$1,基础面板属性!$C52&amp;"小"=基础面板属性!AI$1,基础面板属性!$C52&amp;"大"=基础面板属性!AI$1),MATCH(基础面板属性!$C52,镶嵌库!$C$16:$O$16,0),-1)),0)</f>
        <v>0</v>
      </c>
      <c r="AJ52" s="160">
        <f>IFERROR(INDEX(镶嵌库!$C$16:$O$25,MATCH(基础面板属性!$D52,镶嵌库!$C$16:$C$25,0),IF(OR($C52=AJ$1,LEFT(基础面板属性!$C52,2)&amp;"值"=基础面板属性!AJ$1,基础面板属性!$C52&amp;"小"=基础面板属性!AJ$1,基础面板属性!$C52&amp;"大"=基础面板属性!AJ$1),MATCH(基础面板属性!$C52,镶嵌库!$C$16:$O$16,0),-1)),0)</f>
        <v>0</v>
      </c>
      <c r="AK52" s="160">
        <f>IFERROR(INDEX(镶嵌库!$C$16:$O$25,MATCH(基础面板属性!$D52,镶嵌库!$C$16:$C$25,0),IF(OR($C52=AK$1,LEFT(基础面板属性!$C52,2)&amp;"值"=基础面板属性!AK$1,基础面板属性!$C52&amp;"小"=基础面板属性!AK$1,基础面板属性!$C52&amp;"大"=基础面板属性!AK$1),MATCH(基础面板属性!$C52,镶嵌库!$C$16:$O$16,0),-1)),0)</f>
        <v>0</v>
      </c>
      <c r="AL52" s="160">
        <f>IFERROR(INDEX(镶嵌库!$C$16:$O$25,MATCH(基础面板属性!$D52,镶嵌库!$C$16:$C$25,0),IF(OR($C52=AL$1,LEFT(基础面板属性!$C52,2)&amp;"值"=基础面板属性!AL$1,基础面板属性!$C52&amp;"小"=基础面板属性!AL$1,基础面板属性!$C52&amp;"大"=基础面板属性!AL$1),MATCH(基础面板属性!$C52,镶嵌库!$C$16:$O$16,0),-1)),0)</f>
        <v>0</v>
      </c>
      <c r="AM52" s="160">
        <f>IFERROR(INDEX(镶嵌库!$C$16:$O$25,MATCH(基础面板属性!$D52,镶嵌库!$C$16:$C$25,0),IF(OR($C52=AM$1,LEFT(基础面板属性!$C52,2)&amp;"值"=基础面板属性!AM$1,基础面板属性!$C52&amp;"小"=基础面板属性!AM$1,基础面板属性!$C52&amp;"大"=基础面板属性!AM$1),MATCH(基础面板属性!$C52,镶嵌库!$C$16:$O$16,0),-1)),0)</f>
        <v>0</v>
      </c>
      <c r="AN52" s="160">
        <f>IFERROR(INDEX(镶嵌库!$C$16:$O$25,MATCH(基础面板属性!$D52,镶嵌库!$C$16:$C$25,0),IF(OR($C52=AN$1,LEFT(基础面板属性!$C52,2)&amp;"值"=基础面板属性!AN$1,基础面板属性!$C52&amp;"小"=基础面板属性!AN$1,基础面板属性!$C52&amp;"大"=基础面板属性!AN$1),MATCH(基础面板属性!$C52,镶嵌库!$C$16:$O$16,0),-1)),0)</f>
        <v>0</v>
      </c>
      <c r="AO52" s="160">
        <f>IFERROR(INDEX(镶嵌库!$C$16:$O$25,MATCH(基础面板属性!$D52,镶嵌库!$C$16:$C$25,0),IF(OR($C52=AO$1,LEFT(基础面板属性!$C52,2)&amp;"值"=基础面板属性!AO$1,基础面板属性!$C52&amp;"小"=基础面板属性!AO$1,基础面板属性!$C52&amp;"大"=基础面板属性!AO$1),MATCH(基础面板属性!$C52,镶嵌库!$C$16:$O$16,0),-1)),0)</f>
        <v>0</v>
      </c>
      <c r="AP52" s="160">
        <f>IFERROR(INDEX(镶嵌库!$C$16:$O$25,MATCH(基础面板属性!$D52,镶嵌库!$C$16:$C$25,0),IF(OR($C52=AP$1,LEFT(基础面板属性!$C52,2)&amp;"值"=基础面板属性!AP$1,基础面板属性!$C52&amp;"小"=基础面板属性!AP$1,基础面板属性!$C52&amp;"大"=基础面板属性!AP$1),MATCH(基础面板属性!$C52,镶嵌库!$C$16:$O$16,0),-1)),0)</f>
        <v>0</v>
      </c>
      <c r="AU52" s="160">
        <f>IFERROR(INDEX(镶嵌库!$C$16:$O$25,MATCH(基础面板属性!$D52,镶嵌库!$C$16:$C$25,0),IF(OR($C52=AU$1,LEFT(基础面板属性!$C52,2)&amp;"值"=基础面板属性!AU$1,基础面板属性!$C52&amp;"小"=基础面板属性!AU$1,基础面板属性!$C52&amp;"大"=基础面板属性!AU$1),MATCH(基础面板属性!$C52,镶嵌库!$C$16:$O$16,0),-1)),0)</f>
        <v>0</v>
      </c>
      <c r="AV52" s="160">
        <f>IFERROR(INDEX(镶嵌库!$C$16:$O$25,MATCH(基础面板属性!$D52,镶嵌库!$C$16:$C$25,0),IF(OR($C52=AV$1,LEFT(基础面板属性!$C52,2)&amp;"值"=基础面板属性!AV$1,基础面板属性!$C52&amp;"小"=基础面板属性!AV$1,基础面板属性!$C52&amp;"大"=基础面板属性!AV$1),MATCH(基础面板属性!$C52,镶嵌库!$C$16:$O$16,0),-1)),0)</f>
        <v>0</v>
      </c>
      <c r="AW52" s="160">
        <f>IFERROR(INDEX(镶嵌库!$C$16:$O$25,MATCH(基础面板属性!$D52,镶嵌库!$C$16:$C$25,0),IF(OR($C52=AW$1,LEFT(基础面板属性!$C52,2)&amp;"值"=基础面板属性!AW$1,基础面板属性!$C52&amp;"小"=基础面板属性!AW$1,基础面板属性!$C52&amp;"大"=基础面板属性!AW$1),MATCH(基础面板属性!$C52,镶嵌库!$C$16:$O$16,0),-1)),0)</f>
        <v>0</v>
      </c>
      <c r="AX52" s="160">
        <f>IFERROR(INDEX(镶嵌库!$C$16:$O$25,MATCH(基础面板属性!$D52,镶嵌库!$C$16:$C$25,0),IF(OR($C52=AX$1,LEFT(基础面板属性!$C52,2)&amp;"值"=基础面板属性!AX$1,基础面板属性!$C52&amp;"小"=基础面板属性!AX$1,基础面板属性!$C52&amp;"大"=基础面板属性!AX$1),MATCH(基础面板属性!$C52,镶嵌库!$C$16:$O$16,0),-1)),0)</f>
        <v>0</v>
      </c>
      <c r="AY52" s="160">
        <f>IFERROR(INDEX(镶嵌库!$C$16:$O$25,MATCH(基础面板属性!$D52,镶嵌库!$C$16:$C$25,0),IF(OR($C52=AY$1,LEFT(基础面板属性!$C52,2)&amp;"值"=基础面板属性!AY$1,基础面板属性!$C52&amp;"小"=基础面板属性!AY$1,基础面板属性!$C52&amp;"大"=基础面板属性!AY$1),MATCH(基础面板属性!$C52,镶嵌库!$C$16:$O$16,0),-1)),0)</f>
        <v>0</v>
      </c>
      <c r="AZ52" s="160">
        <f>IFERROR(INDEX(镶嵌库!$C$16:$O$25,MATCH(基础面板属性!$D52,镶嵌库!$C$16:$C$25,0),IF(OR($C52=AZ$1,LEFT(基础面板属性!$C52,2)&amp;"值"=基础面板属性!AZ$1,基础面板属性!$C52&amp;"小"=基础面板属性!AZ$1,基础面板属性!$C52&amp;"大"=基础面板属性!AZ$1),MATCH(基础面板属性!$C52,镶嵌库!$C$16:$O$16,0),-1)),0)</f>
        <v>0</v>
      </c>
      <c r="BA52" s="160">
        <f>IFERROR(INDEX(镶嵌库!$C$16:$O$25,MATCH(基础面板属性!$D52,镶嵌库!$C$16:$C$25,0),IF(OR($C52=BA$1,LEFT(基础面板属性!$C52,2)&amp;"值"=基础面板属性!BA$1,基础面板属性!$C52&amp;"小"=基础面板属性!BA$1,基础面板属性!$C52&amp;"大"=基础面板属性!BA$1),MATCH(基础面板属性!$C52,镶嵌库!$C$16:$O$16,0),-1)),0)</f>
        <v>0</v>
      </c>
      <c r="BB52" s="160">
        <f>IFERROR(INDEX(镶嵌库!$C$16:$O$25,MATCH(基础面板属性!$D52,镶嵌库!$C$16:$C$25,0),IF(OR($C52=BB$1,LEFT(基础面板属性!$C52,2)&amp;"值"=基础面板属性!BB$1,基础面板属性!$C52&amp;"小"=基础面板属性!BB$1,基础面板属性!$C52&amp;"大"=基础面板属性!BB$1),MATCH(基础面板属性!$C52,镶嵌库!$C$16:$O$16,0),-1)),0)</f>
        <v>0</v>
      </c>
      <c r="BC52" s="160">
        <f>IFERROR(INDEX(镶嵌库!$C$16:$O$25,MATCH(基础面板属性!$D52,镶嵌库!$C$16:$C$25,0),IF(OR($C52=BC$1,LEFT(基础面板属性!$C52,2)&amp;"值"=基础面板属性!BC$1,基础面板属性!$C52&amp;"小"=基础面板属性!BC$1,基础面板属性!$C52&amp;"大"=基础面板属性!BC$1),MATCH(基础面板属性!$C52,镶嵌库!$C$16:$O$16,0),-1)),0)</f>
        <v>0</v>
      </c>
      <c r="BD52" s="160">
        <f>IFERROR(INDEX(镶嵌库!$C$16:$O$25,MATCH(基础面板属性!$D52,镶嵌库!$C$16:$C$25,0),IF(OR($C52=BD$1,LEFT(基础面板属性!$C52,2)&amp;"值"=基础面板属性!BD$1,基础面板属性!$C52&amp;"小"=基础面板属性!BD$1,基础面板属性!$C52&amp;"大"=基础面板属性!BD$1),MATCH(基础面板属性!$C52,镶嵌库!$C$16:$O$16,0),-1)),0)</f>
        <v>0</v>
      </c>
    </row>
    <row r="53" spans="1:56">
      <c r="A53" s="160" t="str">
        <f>A47</f>
        <v>轻剑</v>
      </c>
      <c r="B53" s="160" t="s">
        <v>2100</v>
      </c>
      <c r="C53" s="160" t="str">
        <f>配装计算器!E32</f>
        <v>无双</v>
      </c>
      <c r="D53" s="160" t="str">
        <f>配装计算器!$E$30&amp;镶嵌库!R18*镶嵌库!$R$16</f>
        <v>陆2</v>
      </c>
      <c r="E53" s="160">
        <f>IFERROR(INDEX(镶嵌库!$C$16:$O$25,MATCH(基础面板属性!$D53,镶嵌库!$C$16:$C$25,0),IF(OR($C53=E$1,LEFT(基础面板属性!$C53,2)&amp;"值"=基础面板属性!E$1,基础面板属性!$C53&amp;"小"=基础面板属性!E$1,基础面板属性!$C53&amp;"大"=基础面板属性!E$1),MATCH(基础面板属性!$C53,镶嵌库!$C$16:$O$16,0),-1)),0)</f>
        <v>0</v>
      </c>
      <c r="F53" s="160">
        <f>IFERROR(INDEX(镶嵌库!$C$16:$O$25,MATCH(基础面板属性!$D53,镶嵌库!$C$16:$C$25,0),IF(OR($C53=F$1,LEFT(基础面板属性!$C53,2)&amp;"值"=基础面板属性!F$1,基础面板属性!$C53&amp;"小"=基础面板属性!F$1,基础面板属性!$C53&amp;"大"=基础面板属性!F$1),MATCH(基础面板属性!$C53,镶嵌库!$C$16:$O$16,0),-1)),0)</f>
        <v>0</v>
      </c>
      <c r="G53" s="160">
        <f>IFERROR(INDEX(镶嵌库!$C$16:$O$25,MATCH(基础面板属性!$D53,镶嵌库!$C$16:$C$25,0),IF(OR($C53=G$1,LEFT(基础面板属性!$C53,2)&amp;"值"=基础面板属性!G$1,基础面板属性!$C53&amp;"小"=基础面板属性!G$1,基础面板属性!$C53&amp;"大"=基础面板属性!G$1),MATCH(基础面板属性!$C53,镶嵌库!$C$16:$O$16,0),-1)),0)</f>
        <v>0</v>
      </c>
      <c r="H53" s="160">
        <f>IFERROR(INDEX(镶嵌库!$C$16:$O$25,MATCH(基础面板属性!$D53,镶嵌库!$C$16:$C$25,0),IF(OR($C53=H$1,LEFT(基础面板属性!$C53,2)&amp;"值"=基础面板属性!H$1,基础面板属性!$C53&amp;"小"=基础面板属性!H$1,基础面板属性!$C53&amp;"大"=基础面板属性!H$1),MATCH(基础面板属性!$C53,镶嵌库!$C$16:$O$16,0),-1)),0)</f>
        <v>0</v>
      </c>
      <c r="I53" s="160">
        <f>IFERROR(INDEX(镶嵌库!$C$16:$O$25,MATCH(基础面板属性!$D53,镶嵌库!$C$16:$C$25,0),IF(OR($C53=I$1,LEFT(基础面板属性!$C53,2)&amp;"值"=基础面板属性!I$1,基础面板属性!$C53&amp;"小"=基础面板属性!I$1,基础面板属性!$C53&amp;"大"=基础面板属性!I$1),MATCH(基础面板属性!$C53,镶嵌库!$C$16:$O$16,0),-1)),0)</f>
        <v>0</v>
      </c>
      <c r="J53" s="160">
        <f>IFERROR(INDEX(镶嵌库!$C$16:$O$25,MATCH(基础面板属性!$D53,镶嵌库!$C$16:$C$25,0),IF(OR($C53=J$1,LEFT(基础面板属性!$C53,2)&amp;"值"=基础面板属性!J$1,基础面板属性!$C53&amp;"小"=基础面板属性!J$1,基础面板属性!$C53&amp;"大"=基础面板属性!J$1),MATCH(基础面板属性!$C53,镶嵌库!$C$16:$O$16,0),-1)),0)</f>
        <v>0</v>
      </c>
      <c r="K53" s="160">
        <f>IFERROR(INDEX(镶嵌库!$C$16:$O$25,MATCH(基础面板属性!$D53,镶嵌库!$C$16:$C$25,0),IF(OR($C53=K$1,LEFT(基础面板属性!$C53,2)&amp;"值"=基础面板属性!K$1,基础面板属性!$C53&amp;"小"=基础面板属性!K$1,基础面板属性!$C53&amp;"大"=基础面板属性!K$1),MATCH(基础面板属性!$C53,镶嵌库!$C$16:$O$16,0),-1)),0)</f>
        <v>0</v>
      </c>
      <c r="L53" s="160">
        <f>IFERROR(INDEX(镶嵌库!$C$16:$O$25,MATCH(基础面板属性!$D53,镶嵌库!$C$16:$C$25,0),IF(OR($C53=L$1,LEFT(基础面板属性!$C53,2)&amp;"值"=基础面板属性!L$1,基础面板属性!$C53&amp;"小"=基础面板属性!L$1,基础面板属性!$C53&amp;"大"=基础面板属性!L$1),MATCH(基础面板属性!$C53,镶嵌库!$C$16:$O$16,0),-1)),0)</f>
        <v>0</v>
      </c>
      <c r="M53" s="160">
        <f>IFERROR(INDEX(镶嵌库!$C$16:$O$25,MATCH(基础面板属性!$D53,镶嵌库!$C$16:$C$25,0),IF(OR($C53=M$1,LEFT(基础面板属性!$C53,2)&amp;"值"=基础面板属性!M$1,基础面板属性!$C53&amp;"小"=基础面板属性!M$1,基础面板属性!$C53&amp;"大"=基础面板属性!M$1),MATCH(基础面板属性!$C53,镶嵌库!$C$16:$O$16,0),-1)),0)</f>
        <v>0</v>
      </c>
      <c r="N53" s="160">
        <f>IFERROR(INDEX(镶嵌库!$C$16:$O$25,MATCH(基础面板属性!$D53,镶嵌库!$C$16:$C$25,0),IF(OR($C53=N$1,LEFT(基础面板属性!$C53,2)&amp;"值"=基础面板属性!N$1,基础面板属性!$C53&amp;"小"=基础面板属性!N$1,基础面板属性!$C53&amp;"大"=基础面板属性!N$1),MATCH(基础面板属性!$C53,镶嵌库!$C$16:$O$16,0),-1)),0)</f>
        <v>0</v>
      </c>
      <c r="O53" s="160">
        <f>IFERROR(INDEX(镶嵌库!$C$16:$O$25,MATCH(基础面板属性!$D53,镶嵌库!$C$16:$C$25,0),IF(OR($C53=O$1,LEFT(基础面板属性!$C53,2)&amp;"值"=基础面板属性!O$1,基础面板属性!$C53&amp;"小"=基础面板属性!O$1,基础面板属性!$C53&amp;"大"=基础面板属性!O$1),MATCH(基础面板属性!$C53,镶嵌库!$C$16:$O$16,0),-1)),0)</f>
        <v>0</v>
      </c>
      <c r="P53" s="160">
        <f>IFERROR(INDEX(镶嵌库!$C$16:$O$25,MATCH(基础面板属性!$D53,镶嵌库!$C$16:$C$25,0),IF(OR($C53=P$1,LEFT(基础面板属性!$C53,2)&amp;"值"=基础面板属性!P$1,基础面板属性!$C53&amp;"小"=基础面板属性!P$1,基础面板属性!$C53&amp;"大"=基础面板属性!P$1),MATCH(基础面板属性!$C53,镶嵌库!$C$16:$O$16,0),-1)),0)</f>
        <v>0</v>
      </c>
      <c r="Q53" s="160">
        <f>IFERROR(INDEX(镶嵌库!$C$16:$O$25,MATCH(基础面板属性!$D53,镶嵌库!$C$16:$C$25,0),IF(OR($C53=Q$1,LEFT(基础面板属性!$C53,2)&amp;"值"=基础面板属性!Q$1,基础面板属性!$C53&amp;"小"=基础面板属性!Q$1,基础面板属性!$C53&amp;"大"=基础面板属性!Q$1),MATCH(基础面板属性!$C53,镶嵌库!$C$16:$O$16,0),-1)),0)</f>
        <v>0</v>
      </c>
      <c r="R53" s="160">
        <f>IFERROR(INDEX(镶嵌库!$C$16:$O$25,MATCH(基础面板属性!$D53,镶嵌库!$C$16:$C$25,0),IF(OR($C53=R$1,LEFT(基础面板属性!$C53,2)&amp;"值"=基础面板属性!R$1,基础面板属性!$C53&amp;"小"=基础面板属性!R$1,基础面板属性!$C53&amp;"大"=基础面板属性!R$1),MATCH(基础面板属性!$C53,镶嵌库!$C$16:$O$16,0),-1)),0)</f>
        <v>0</v>
      </c>
      <c r="S53" s="160">
        <f>IFERROR(INDEX(镶嵌库!$C$16:$O$25,MATCH(基础面板属性!$D53,镶嵌库!$C$16:$C$25,0),IF(OR($C53=S$1,LEFT(基础面板属性!$C53,2)&amp;"值"=基础面板属性!S$1,基础面板属性!$C53&amp;"小"=基础面板属性!S$1,基础面板属性!$C53&amp;"大"=基础面板属性!S$1),MATCH(基础面板属性!$C53,镶嵌库!$C$16:$O$16,0),-1)),0)</f>
        <v>0</v>
      </c>
      <c r="T53" s="160">
        <f>IFERROR(INDEX(镶嵌库!$C$16:$O$25,MATCH(基础面板属性!$D53,镶嵌库!$C$16:$C$25,0),IF(OR($C53=T$1,LEFT(基础面板属性!$C53,2)&amp;"值"=基础面板属性!T$1,基础面板属性!$C53&amp;"小"=基础面板属性!T$1,基础面板属性!$C53&amp;"大"=基础面板属性!T$1),MATCH(基础面板属性!$C53,镶嵌库!$C$16:$O$16,0),-1)),0)</f>
        <v>0</v>
      </c>
      <c r="U53" s="160">
        <f>IFERROR(INDEX(镶嵌库!$C$16:$O$25,MATCH(基础面板属性!$D53,镶嵌库!$C$16:$C$25,0),IF(OR($C53=U$1,LEFT(基础面板属性!$C53,2)&amp;"值"=基础面板属性!U$1,基础面板属性!$C53&amp;"小"=基础面板属性!U$1,基础面板属性!$C53&amp;"大"=基础面板属性!U$1),MATCH(基础面板属性!$C53,镶嵌库!$C$16:$O$16,0),-1)),0)</f>
        <v>0</v>
      </c>
      <c r="V53" s="160">
        <f>IFERROR(INDEX(镶嵌库!$C$16:$O$25,MATCH(基础面板属性!$D53,镶嵌库!$C$16:$C$25,0),IF(OR($C53=V$1,LEFT(基础面板属性!$C53,2)&amp;"值"=基础面板属性!V$1,基础面板属性!$C53&amp;"小"=基础面板属性!V$1,基础面板属性!$C53&amp;"大"=基础面板属性!V$1),MATCH(基础面板属性!$C53,镶嵌库!$C$16:$O$16,0),-1)),0)</f>
        <v>0</v>
      </c>
      <c r="W53" s="160">
        <f>IFERROR(INDEX(镶嵌库!$C$16:$O$25,MATCH(基础面板属性!$D53,镶嵌库!$C$16:$C$25,0),IF(OR($C53=W$1,LEFT(基础面板属性!$C53,2)&amp;"值"=基础面板属性!W$1,基础面板属性!$C53&amp;"小"=基础面板属性!W$1,基础面板属性!$C53&amp;"大"=基础面板属性!W$1),MATCH(基础面板属性!$C53,镶嵌库!$C$16:$O$16,0),-1)),0)</f>
        <v>0</v>
      </c>
      <c r="X53" s="160">
        <f>IFERROR(INDEX(镶嵌库!$C$16:$O$25,MATCH(基础面板属性!$D53,镶嵌库!$C$16:$C$25,0),IF(OR($C53=X$1,LEFT(基础面板属性!$C53,2)&amp;"值"=基础面板属性!X$1,基础面板属性!$C53&amp;"小"=基础面板属性!X$1,基础面板属性!$C53&amp;"大"=基础面板属性!X$1),MATCH(基础面板属性!$C53,镶嵌库!$C$16:$O$16,0),-1)),0)</f>
        <v>0</v>
      </c>
      <c r="Y53" s="160">
        <f>IFERROR(INDEX(镶嵌库!$C$16:$O$25,MATCH(基础面板属性!$D53,镶嵌库!$C$16:$C$25,0),IF(OR($C53=Y$1,LEFT(基础面板属性!$C53,2)&amp;"值"=基础面板属性!Y$1,基础面板属性!$C53&amp;"小"=基础面板属性!Y$1,基础面板属性!$C53&amp;"大"=基础面板属性!Y$1),MATCH(基础面板属性!$C53,镶嵌库!$C$16:$O$16,0),-1)),0)</f>
        <v>0</v>
      </c>
      <c r="Z53" s="160">
        <f>IFERROR(INDEX(镶嵌库!$C$16:$O$25,MATCH(基础面板属性!$D53,镶嵌库!$C$16:$C$25,0),IF(OR($C53=Z$1,LEFT(基础面板属性!$C53,2)&amp;"值"=基础面板属性!Z$1,基础面板属性!$C53&amp;"小"=基础面板属性!Z$1,基础面板属性!$C53&amp;"大"=基础面板属性!Z$1),MATCH(基础面板属性!$C53,镶嵌库!$C$16:$O$16,0),-1)),0)</f>
        <v>0</v>
      </c>
      <c r="AA53" s="160">
        <f>IFERROR(INDEX(镶嵌库!$C$16:$O$25,MATCH(基础面板属性!$D53,镶嵌库!$C$16:$C$25,0),IF(OR($C53=AA$1,LEFT(基础面板属性!$C53,2)&amp;"值"=基础面板属性!AA$1,基础面板属性!$C53&amp;"小"=基础面板属性!AA$1,基础面板属性!$C53&amp;"大"=基础面板属性!AA$1),MATCH(基础面板属性!$C53,镶嵌库!$C$16:$O$16,0),-1)),0)</f>
        <v>0</v>
      </c>
      <c r="AB53" s="160">
        <f>IFERROR(INDEX(镶嵌库!$C$16:$O$25,MATCH(基础面板属性!$D53,镶嵌库!$C$16:$C$25,0),IF(OR($C53=AB$1,LEFT(基础面板属性!$C53,2)&amp;"值"=基础面板属性!AB$1,基础面板属性!$C53&amp;"小"=基础面板属性!AB$1,基础面板属性!$C53&amp;"大"=基础面板属性!AB$1),MATCH(基础面板属性!$C53,镶嵌库!$C$16:$O$16,0),-1)),0)</f>
        <v>0</v>
      </c>
      <c r="AC53" s="160">
        <f>IFERROR(INDEX(镶嵌库!$C$16:$O$25,MATCH(基础面板属性!$D53,镶嵌库!$C$16:$C$25,0),IF(OR($C53=AC$1,LEFT(基础面板属性!$C53,2)&amp;"值"=基础面板属性!AC$1,基础面板属性!$C53&amp;"小"=基础面板属性!AC$1,基础面板属性!$C53&amp;"大"=基础面板属性!AC$1),MATCH(基础面板属性!$C53,镶嵌库!$C$16:$O$16,0),-1)),0)</f>
        <v>0</v>
      </c>
      <c r="AD53" s="160">
        <f>IFERROR(INDEX(镶嵌库!$C$16:$O$25,MATCH(基础面板属性!$D53,镶嵌库!$C$16:$C$25,0),IF(OR($C53=AD$1,LEFT(基础面板属性!$C53,2)&amp;"值"=基础面板属性!AD$1,基础面板属性!$C53&amp;"小"=基础面板属性!AD$1,基础面板属性!$C53&amp;"大"=基础面板属性!AD$1),MATCH(基础面板属性!$C53,镶嵌库!$C$16:$O$16,0),-1)),0)</f>
        <v>0</v>
      </c>
      <c r="AE53" s="160">
        <f>IFERROR(INDEX(镶嵌库!$C$16:$O$25,MATCH(基础面板属性!$D53,镶嵌库!$C$16:$C$25,0),IF(OR($C53=AE$1,LEFT(基础面板属性!$C53,2)&amp;"值"=基础面板属性!AE$1,基础面板属性!$C53&amp;"小"=基础面板属性!AE$1,基础面板属性!$C53&amp;"大"=基础面板属性!AE$1),MATCH(基础面板属性!$C53,镶嵌库!$C$16:$O$16,0),-1)),0)</f>
        <v>0</v>
      </c>
      <c r="AF53" s="160">
        <f>IFERROR(INDEX(镶嵌库!$C$16:$O$25,MATCH(基础面板属性!$D53,镶嵌库!$C$16:$C$25,0),IF(OR($C53=AF$1,LEFT(基础面板属性!$C53,2)&amp;"值"=基础面板属性!AF$1,基础面板属性!$C53&amp;"小"=基础面板属性!AF$1,基础面板属性!$C53&amp;"大"=基础面板属性!AF$1),MATCH(基础面板属性!$C53,镶嵌库!$C$16:$O$16,0),-1)),0)</f>
        <v>0</v>
      </c>
      <c r="AG53" s="160">
        <f>IFERROR(INDEX(镶嵌库!$C$16:$O$25,MATCH(基础面板属性!$D53,镶嵌库!$C$16:$C$25,0),IF(OR($C53=AG$1,LEFT(基础面板属性!$C53,2)&amp;"值"=基础面板属性!AG$1,基础面板属性!$C53&amp;"小"=基础面板属性!AG$1,基础面板属性!$C53&amp;"大"=基础面板属性!AG$1),MATCH(基础面板属性!$C53,镶嵌库!$C$16:$O$16,0),-1)),0)</f>
        <v>0</v>
      </c>
      <c r="AH53" s="160">
        <f>IFERROR(INDEX(镶嵌库!$C$16:$O$25,MATCH(基础面板属性!$D53,镶嵌库!$C$16:$C$25,0),IF(OR($C53=AH$1,LEFT(基础面板属性!$C53,2)&amp;"值"=基础面板属性!AH$1,基础面板属性!$C53&amp;"小"=基础面板属性!AH$1,基础面板属性!$C53&amp;"大"=基础面板属性!AH$1),MATCH(基础面板属性!$C53,镶嵌库!$C$16:$O$16,0),-1)),0)</f>
        <v>0</v>
      </c>
      <c r="AI53" s="160">
        <f>IFERROR(INDEX(镶嵌库!$C$16:$O$25,MATCH(基础面板属性!$D53,镶嵌库!$C$16:$C$25,0),IF(OR($C53=AI$1,LEFT(基础面板属性!$C53,2)&amp;"值"=基础面板属性!AI$1,基础面板属性!$C53&amp;"小"=基础面板属性!AI$1,基础面板属性!$C53&amp;"大"=基础面板属性!AI$1),MATCH(基础面板属性!$C53,镶嵌库!$C$16:$O$16,0),-1)),0)</f>
        <v>0</v>
      </c>
      <c r="AJ53" s="160">
        <f>IFERROR(INDEX(镶嵌库!$C$16:$O$25,MATCH(基础面板属性!$D53,镶嵌库!$C$16:$C$25,0),IF(OR($C53=AJ$1,LEFT(基础面板属性!$C53,2)&amp;"值"=基础面板属性!AJ$1,基础面板属性!$C53&amp;"小"=基础面板属性!AJ$1,基础面板属性!$C53&amp;"大"=基础面板属性!AJ$1),MATCH(基础面板属性!$C53,镶嵌库!$C$16:$O$16,0),-1)),0)</f>
        <v>0</v>
      </c>
      <c r="AK53" s="160">
        <f>IFERROR(INDEX(镶嵌库!$C$16:$O$25,MATCH(基础面板属性!$D53,镶嵌库!$C$16:$C$25,0),IF(OR($C53=AK$1,LEFT(基础面板属性!$C53,2)&amp;"值"=基础面板属性!AK$1,基础面板属性!$C53&amp;"小"=基础面板属性!AK$1,基础面板属性!$C53&amp;"大"=基础面板属性!AK$1),MATCH(基础面板属性!$C53,镶嵌库!$C$16:$O$16,0),-1)),0)</f>
        <v>2925</v>
      </c>
      <c r="AL53" s="160">
        <f>IFERROR(INDEX(镶嵌库!$C$16:$O$25,MATCH(基础面板属性!$D53,镶嵌库!$C$16:$C$25,0),IF(OR($C53=AL$1,LEFT(基础面板属性!$C53,2)&amp;"值"=基础面板属性!AL$1,基础面板属性!$C53&amp;"小"=基础面板属性!AL$1,基础面板属性!$C53&amp;"大"=基础面板属性!AL$1),MATCH(基础面板属性!$C53,镶嵌库!$C$16:$O$16,0),-1)),0)</f>
        <v>0</v>
      </c>
      <c r="AM53" s="160">
        <f>IFERROR(INDEX(镶嵌库!$C$16:$O$25,MATCH(基础面板属性!$D53,镶嵌库!$C$16:$C$25,0),IF(OR($C53=AM$1,LEFT(基础面板属性!$C53,2)&amp;"值"=基础面板属性!AM$1,基础面板属性!$C53&amp;"小"=基础面板属性!AM$1,基础面板属性!$C53&amp;"大"=基础面板属性!AM$1),MATCH(基础面板属性!$C53,镶嵌库!$C$16:$O$16,0),-1)),0)</f>
        <v>0</v>
      </c>
      <c r="AN53" s="160">
        <f>IFERROR(INDEX(镶嵌库!$C$16:$O$25,MATCH(基础面板属性!$D53,镶嵌库!$C$16:$C$25,0),IF(OR($C53=AN$1,LEFT(基础面板属性!$C53,2)&amp;"值"=基础面板属性!AN$1,基础面板属性!$C53&amp;"小"=基础面板属性!AN$1,基础面板属性!$C53&amp;"大"=基础面板属性!AN$1),MATCH(基础面板属性!$C53,镶嵌库!$C$16:$O$16,0),-1)),0)</f>
        <v>0</v>
      </c>
      <c r="AO53" s="160">
        <f>IFERROR(INDEX(镶嵌库!$C$16:$O$25,MATCH(基础面板属性!$D53,镶嵌库!$C$16:$C$25,0),IF(OR($C53=AO$1,LEFT(基础面板属性!$C53,2)&amp;"值"=基础面板属性!AO$1,基础面板属性!$C53&amp;"小"=基础面板属性!AO$1,基础面板属性!$C53&amp;"大"=基础面板属性!AO$1),MATCH(基础面板属性!$C53,镶嵌库!$C$16:$O$16,0),-1)),0)</f>
        <v>0</v>
      </c>
      <c r="AP53" s="160">
        <f>IFERROR(INDEX(镶嵌库!$C$16:$O$25,MATCH(基础面板属性!$D53,镶嵌库!$C$16:$C$25,0),IF(OR($C53=AP$1,LEFT(基础面板属性!$C53,2)&amp;"值"=基础面板属性!AP$1,基础面板属性!$C53&amp;"小"=基础面板属性!AP$1,基础面板属性!$C53&amp;"大"=基础面板属性!AP$1),MATCH(基础面板属性!$C53,镶嵌库!$C$16:$O$16,0),-1)),0)</f>
        <v>0</v>
      </c>
      <c r="AU53" s="160">
        <f>IFERROR(INDEX(镶嵌库!$C$16:$O$25,MATCH(基础面板属性!$D53,镶嵌库!$C$16:$C$25,0),IF(OR($C53=AU$1,LEFT(基础面板属性!$C53,2)&amp;"值"=基础面板属性!AU$1,基础面板属性!$C53&amp;"小"=基础面板属性!AU$1,基础面板属性!$C53&amp;"大"=基础面板属性!AU$1),MATCH(基础面板属性!$C53,镶嵌库!$C$16:$O$16,0),-1)),0)</f>
        <v>0</v>
      </c>
      <c r="AV53" s="160">
        <f>IFERROR(INDEX(镶嵌库!$C$16:$O$25,MATCH(基础面板属性!$D53,镶嵌库!$C$16:$C$25,0),IF(OR($C53=AV$1,LEFT(基础面板属性!$C53,2)&amp;"值"=基础面板属性!AV$1,基础面板属性!$C53&amp;"小"=基础面板属性!AV$1,基础面板属性!$C53&amp;"大"=基础面板属性!AV$1),MATCH(基础面板属性!$C53,镶嵌库!$C$16:$O$16,0),-1)),0)</f>
        <v>0</v>
      </c>
      <c r="AW53" s="160">
        <f>IFERROR(INDEX(镶嵌库!$C$16:$O$25,MATCH(基础面板属性!$D53,镶嵌库!$C$16:$C$25,0),IF(OR($C53=AW$1,LEFT(基础面板属性!$C53,2)&amp;"值"=基础面板属性!AW$1,基础面板属性!$C53&amp;"小"=基础面板属性!AW$1,基础面板属性!$C53&amp;"大"=基础面板属性!AW$1),MATCH(基础面板属性!$C53,镶嵌库!$C$16:$O$16,0),-1)),0)</f>
        <v>0</v>
      </c>
      <c r="AX53" s="160">
        <f>IFERROR(INDEX(镶嵌库!$C$16:$O$25,MATCH(基础面板属性!$D53,镶嵌库!$C$16:$C$25,0),IF(OR($C53=AX$1,LEFT(基础面板属性!$C53,2)&amp;"值"=基础面板属性!AX$1,基础面板属性!$C53&amp;"小"=基础面板属性!AX$1,基础面板属性!$C53&amp;"大"=基础面板属性!AX$1),MATCH(基础面板属性!$C53,镶嵌库!$C$16:$O$16,0),-1)),0)</f>
        <v>0</v>
      </c>
      <c r="AY53" s="160">
        <f>IFERROR(INDEX(镶嵌库!$C$16:$O$25,MATCH(基础面板属性!$D53,镶嵌库!$C$16:$C$25,0),IF(OR($C53=AY$1,LEFT(基础面板属性!$C53,2)&amp;"值"=基础面板属性!AY$1,基础面板属性!$C53&amp;"小"=基础面板属性!AY$1,基础面板属性!$C53&amp;"大"=基础面板属性!AY$1),MATCH(基础面板属性!$C53,镶嵌库!$C$16:$O$16,0),-1)),0)</f>
        <v>0</v>
      </c>
      <c r="AZ53" s="160">
        <f>IFERROR(INDEX(镶嵌库!$C$16:$O$25,MATCH(基础面板属性!$D53,镶嵌库!$C$16:$C$25,0),IF(OR($C53=AZ$1,LEFT(基础面板属性!$C53,2)&amp;"值"=基础面板属性!AZ$1,基础面板属性!$C53&amp;"小"=基础面板属性!AZ$1,基础面板属性!$C53&amp;"大"=基础面板属性!AZ$1),MATCH(基础面板属性!$C53,镶嵌库!$C$16:$O$16,0),-1)),0)</f>
        <v>0</v>
      </c>
      <c r="BA53" s="160">
        <f>IFERROR(INDEX(镶嵌库!$C$16:$O$25,MATCH(基础面板属性!$D53,镶嵌库!$C$16:$C$25,0),IF(OR($C53=BA$1,LEFT(基础面板属性!$C53,2)&amp;"值"=基础面板属性!BA$1,基础面板属性!$C53&amp;"小"=基础面板属性!BA$1,基础面板属性!$C53&amp;"大"=基础面板属性!BA$1),MATCH(基础面板属性!$C53,镶嵌库!$C$16:$O$16,0),-1)),0)</f>
        <v>0</v>
      </c>
      <c r="BB53" s="160">
        <f>IFERROR(INDEX(镶嵌库!$C$16:$O$25,MATCH(基础面板属性!$D53,镶嵌库!$C$16:$C$25,0),IF(OR($C53=BB$1,LEFT(基础面板属性!$C53,2)&amp;"值"=基础面板属性!BB$1,基础面板属性!$C53&amp;"小"=基础面板属性!BB$1,基础面板属性!$C53&amp;"大"=基础面板属性!BB$1),MATCH(基础面板属性!$C53,镶嵌库!$C$16:$O$16,0),-1)),0)</f>
        <v>0</v>
      </c>
      <c r="BC53" s="160">
        <f>IFERROR(INDEX(镶嵌库!$C$16:$O$25,MATCH(基础面板属性!$D53,镶嵌库!$C$16:$C$25,0),IF(OR($C53=BC$1,LEFT(基础面板属性!$C53,2)&amp;"值"=基础面板属性!BC$1,基础面板属性!$C53&amp;"小"=基础面板属性!BC$1,基础面板属性!$C53&amp;"大"=基础面板属性!BC$1),MATCH(基础面板属性!$C53,镶嵌库!$C$16:$O$16,0),-1)),0)</f>
        <v>0</v>
      </c>
      <c r="BD53" s="160">
        <f>IFERROR(INDEX(镶嵌库!$C$16:$O$25,MATCH(基础面板属性!$D53,镶嵌库!$C$16:$C$25,0),IF(OR($C53=BD$1,LEFT(基础面板属性!$C53,2)&amp;"值"=基础面板属性!BD$1,基础面板属性!$C53&amp;"小"=基础面板属性!BD$1,基础面板属性!$C53&amp;"大"=基础面板属性!BD$1),MATCH(基础面板属性!$C53,镶嵌库!$C$16:$O$16,0),-1)),0)</f>
        <v>0</v>
      </c>
    </row>
    <row r="54" spans="1:56">
      <c r="A54" s="160" t="str">
        <f>A47</f>
        <v>轻剑</v>
      </c>
      <c r="B54" s="160" t="s">
        <v>2101</v>
      </c>
      <c r="C54" s="160" t="str">
        <f>配装计算器!E33</f>
        <v>会效</v>
      </c>
      <c r="D54" s="160" t="str">
        <f>配装计算器!$E$30&amp;镶嵌库!R19*镶嵌库!$R$16</f>
        <v>陆3</v>
      </c>
      <c r="E54" s="160">
        <f>IFERROR(INDEX(镶嵌库!$C$16:$O$25,MATCH(基础面板属性!$D54,镶嵌库!$C$16:$C$25,0),IF(OR($C54=E$1,LEFT(基础面板属性!$C54,2)&amp;"值"=基础面板属性!E$1,基础面板属性!$C54&amp;"小"=基础面板属性!E$1,基础面板属性!$C54&amp;"大"=基础面板属性!E$1),MATCH(基础面板属性!$C54,镶嵌库!$C$16:$O$16,0),-1)),0)</f>
        <v>0</v>
      </c>
      <c r="F54" s="160">
        <f>IFERROR(INDEX(镶嵌库!$C$16:$O$25,MATCH(基础面板属性!$D54,镶嵌库!$C$16:$C$25,0),IF(OR($C54=F$1,LEFT(基础面板属性!$C54,2)&amp;"值"=基础面板属性!F$1,基础面板属性!$C54&amp;"小"=基础面板属性!F$1,基础面板属性!$C54&amp;"大"=基础面板属性!F$1),MATCH(基础面板属性!$C54,镶嵌库!$C$16:$O$16,0),-1)),0)</f>
        <v>0</v>
      </c>
      <c r="G54" s="160">
        <f>IFERROR(INDEX(镶嵌库!$C$16:$O$25,MATCH(基础面板属性!$D54,镶嵌库!$C$16:$C$25,0),IF(OR($C54=G$1,LEFT(基础面板属性!$C54,2)&amp;"值"=基础面板属性!G$1,基础面板属性!$C54&amp;"小"=基础面板属性!G$1,基础面板属性!$C54&amp;"大"=基础面板属性!G$1),MATCH(基础面板属性!$C54,镶嵌库!$C$16:$O$16,0),-1)),0)</f>
        <v>0</v>
      </c>
      <c r="H54" s="160">
        <f>IFERROR(INDEX(镶嵌库!$C$16:$O$25,MATCH(基础面板属性!$D54,镶嵌库!$C$16:$C$25,0),IF(OR($C54=H$1,LEFT(基础面板属性!$C54,2)&amp;"值"=基础面板属性!H$1,基础面板属性!$C54&amp;"小"=基础面板属性!H$1,基础面板属性!$C54&amp;"大"=基础面板属性!H$1),MATCH(基础面板属性!$C54,镶嵌库!$C$16:$O$16,0),-1)),0)</f>
        <v>0</v>
      </c>
      <c r="I54" s="160">
        <f>IFERROR(INDEX(镶嵌库!$C$16:$O$25,MATCH(基础面板属性!$D54,镶嵌库!$C$16:$C$25,0),IF(OR($C54=I$1,LEFT(基础面板属性!$C54,2)&amp;"值"=基础面板属性!I$1,基础面板属性!$C54&amp;"小"=基础面板属性!I$1,基础面板属性!$C54&amp;"大"=基础面板属性!I$1),MATCH(基础面板属性!$C54,镶嵌库!$C$16:$O$16,0),-1)),0)</f>
        <v>0</v>
      </c>
      <c r="J54" s="160">
        <f>IFERROR(INDEX(镶嵌库!$C$16:$O$25,MATCH(基础面板属性!$D54,镶嵌库!$C$16:$C$25,0),IF(OR($C54=J$1,LEFT(基础面板属性!$C54,2)&amp;"值"=基础面板属性!J$1,基础面板属性!$C54&amp;"小"=基础面板属性!J$1,基础面板属性!$C54&amp;"大"=基础面板属性!J$1),MATCH(基础面板属性!$C54,镶嵌库!$C$16:$O$16,0),-1)),0)</f>
        <v>0</v>
      </c>
      <c r="K54" s="160">
        <f>IFERROR(INDEX(镶嵌库!$C$16:$O$25,MATCH(基础面板属性!$D54,镶嵌库!$C$16:$C$25,0),IF(OR($C54=K$1,LEFT(基础面板属性!$C54,2)&amp;"值"=基础面板属性!K$1,基础面板属性!$C54&amp;"小"=基础面板属性!K$1,基础面板属性!$C54&amp;"大"=基础面板属性!K$1),MATCH(基础面板属性!$C54,镶嵌库!$C$16:$O$16,0),-1)),0)</f>
        <v>0</v>
      </c>
      <c r="L54" s="160">
        <f>IFERROR(INDEX(镶嵌库!$C$16:$O$25,MATCH(基础面板属性!$D54,镶嵌库!$C$16:$C$25,0),IF(OR($C54=L$1,LEFT(基础面板属性!$C54,2)&amp;"值"=基础面板属性!L$1,基础面板属性!$C54&amp;"小"=基础面板属性!L$1,基础面板属性!$C54&amp;"大"=基础面板属性!L$1),MATCH(基础面板属性!$C54,镶嵌库!$C$16:$O$16,0),-1)),0)</f>
        <v>0</v>
      </c>
      <c r="M54" s="160">
        <f>IFERROR(INDEX(镶嵌库!$C$16:$O$25,MATCH(基础面板属性!$D54,镶嵌库!$C$16:$C$25,0),IF(OR($C54=M$1,LEFT(基础面板属性!$C54,2)&amp;"值"=基础面板属性!M$1,基础面板属性!$C54&amp;"小"=基础面板属性!M$1,基础面板属性!$C54&amp;"大"=基础面板属性!M$1),MATCH(基础面板属性!$C54,镶嵌库!$C$16:$O$16,0),-1)),0)</f>
        <v>0</v>
      </c>
      <c r="N54" s="160">
        <f>IFERROR(INDEX(镶嵌库!$C$16:$O$25,MATCH(基础面板属性!$D54,镶嵌库!$C$16:$C$25,0),IF(OR($C54=N$1,LEFT(基础面板属性!$C54,2)&amp;"值"=基础面板属性!N$1,基础面板属性!$C54&amp;"小"=基础面板属性!N$1,基础面板属性!$C54&amp;"大"=基础面板属性!N$1),MATCH(基础面板属性!$C54,镶嵌库!$C$16:$O$16,0),-1)),0)</f>
        <v>0</v>
      </c>
      <c r="O54" s="160">
        <f>IFERROR(INDEX(镶嵌库!$C$16:$O$25,MATCH(基础面板属性!$D54,镶嵌库!$C$16:$C$25,0),IF(OR($C54=O$1,LEFT(基础面板属性!$C54,2)&amp;"值"=基础面板属性!O$1,基础面板属性!$C54&amp;"小"=基础面板属性!O$1,基础面板属性!$C54&amp;"大"=基础面板属性!O$1),MATCH(基础面板属性!$C54,镶嵌库!$C$16:$O$16,0),-1)),0)</f>
        <v>0</v>
      </c>
      <c r="P54" s="160">
        <f>IFERROR(INDEX(镶嵌库!$C$16:$O$25,MATCH(基础面板属性!$D54,镶嵌库!$C$16:$C$25,0),IF(OR($C54=P$1,LEFT(基础面板属性!$C54,2)&amp;"值"=基础面板属性!P$1,基础面板属性!$C54&amp;"小"=基础面板属性!P$1,基础面板属性!$C54&amp;"大"=基础面板属性!P$1),MATCH(基础面板属性!$C54,镶嵌库!$C$16:$O$16,0),-1)),0)</f>
        <v>0</v>
      </c>
      <c r="Q54" s="160">
        <f>IFERROR(INDEX(镶嵌库!$C$16:$O$25,MATCH(基础面板属性!$D54,镶嵌库!$C$16:$C$25,0),IF(OR($C54=Q$1,LEFT(基础面板属性!$C54,2)&amp;"值"=基础面板属性!Q$1,基础面板属性!$C54&amp;"小"=基础面板属性!Q$1,基础面板属性!$C54&amp;"大"=基础面板属性!Q$1),MATCH(基础面板属性!$C54,镶嵌库!$C$16:$O$16,0),-1)),0)</f>
        <v>0</v>
      </c>
      <c r="R54" s="160">
        <f>IFERROR(INDEX(镶嵌库!$C$16:$O$25,MATCH(基础面板属性!$D54,镶嵌库!$C$16:$C$25,0),IF(OR($C54=R$1,LEFT(基础面板属性!$C54,2)&amp;"值"=基础面板属性!R$1,基础面板属性!$C54&amp;"小"=基础面板属性!R$1,基础面板属性!$C54&amp;"大"=基础面板属性!R$1),MATCH(基础面板属性!$C54,镶嵌库!$C$16:$O$16,0),-1)),0)</f>
        <v>0</v>
      </c>
      <c r="S54" s="160">
        <f>IFERROR(INDEX(镶嵌库!$C$16:$O$25,MATCH(基础面板属性!$D54,镶嵌库!$C$16:$C$25,0),IF(OR($C54=S$1,LEFT(基础面板属性!$C54,2)&amp;"值"=基础面板属性!S$1,基础面板属性!$C54&amp;"小"=基础面板属性!S$1,基础面板属性!$C54&amp;"大"=基础面板属性!S$1),MATCH(基础面板属性!$C54,镶嵌库!$C$16:$O$16,0),-1)),0)</f>
        <v>0</v>
      </c>
      <c r="T54" s="160">
        <f>IFERROR(INDEX(镶嵌库!$C$16:$O$25,MATCH(基础面板属性!$D54,镶嵌库!$C$16:$C$25,0),IF(OR($C54=T$1,LEFT(基础面板属性!$C54,2)&amp;"值"=基础面板属性!T$1,基础面板属性!$C54&amp;"小"=基础面板属性!T$1,基础面板属性!$C54&amp;"大"=基础面板属性!T$1),MATCH(基础面板属性!$C54,镶嵌库!$C$16:$O$16,0),-1)),0)</f>
        <v>0</v>
      </c>
      <c r="U54" s="160">
        <f>IFERROR(INDEX(镶嵌库!$C$16:$O$25,MATCH(基础面板属性!$D54,镶嵌库!$C$16:$C$25,0),IF(OR($C54=U$1,LEFT(基础面板属性!$C54,2)&amp;"值"=基础面板属性!U$1,基础面板属性!$C54&amp;"小"=基础面板属性!U$1,基础面板属性!$C54&amp;"大"=基础面板属性!U$1),MATCH(基础面板属性!$C54,镶嵌库!$C$16:$O$16,0),-1)),0)</f>
        <v>0</v>
      </c>
      <c r="V54" s="160">
        <f>IFERROR(INDEX(镶嵌库!$C$16:$O$25,MATCH(基础面板属性!$D54,镶嵌库!$C$16:$C$25,0),IF(OR($C54=V$1,LEFT(基础面板属性!$C54,2)&amp;"值"=基础面板属性!V$1,基础面板属性!$C54&amp;"小"=基础面板属性!V$1,基础面板属性!$C54&amp;"大"=基础面板属性!V$1),MATCH(基础面板属性!$C54,镶嵌库!$C$16:$O$16,0),-1)),0)</f>
        <v>0</v>
      </c>
      <c r="W54" s="160">
        <f>IFERROR(INDEX(镶嵌库!$C$16:$O$25,MATCH(基础面板属性!$D54,镶嵌库!$C$16:$C$25,0),IF(OR($C54=W$1,LEFT(基础面板属性!$C54,2)&amp;"值"=基础面板属性!W$1,基础面板属性!$C54&amp;"小"=基础面板属性!W$1,基础面板属性!$C54&amp;"大"=基础面板属性!W$1),MATCH(基础面板属性!$C54,镶嵌库!$C$16:$O$16,0),-1)),0)</f>
        <v>0</v>
      </c>
      <c r="X54" s="160">
        <f>IFERROR(INDEX(镶嵌库!$C$16:$O$25,MATCH(基础面板属性!$D54,镶嵌库!$C$16:$C$25,0),IF(OR($C54=X$1,LEFT(基础面板属性!$C54,2)&amp;"值"=基础面板属性!X$1,基础面板属性!$C54&amp;"小"=基础面板属性!X$1,基础面板属性!$C54&amp;"大"=基础面板属性!X$1),MATCH(基础面板属性!$C54,镶嵌库!$C$16:$O$16,0),-1)),0)</f>
        <v>0</v>
      </c>
      <c r="Y54" s="160">
        <f>IFERROR(INDEX(镶嵌库!$C$16:$O$25,MATCH(基础面板属性!$D54,镶嵌库!$C$16:$C$25,0),IF(OR($C54=Y$1,LEFT(基础面板属性!$C54,2)&amp;"值"=基础面板属性!Y$1,基础面板属性!$C54&amp;"小"=基础面板属性!Y$1,基础面板属性!$C54&amp;"大"=基础面板属性!Y$1),MATCH(基础面板属性!$C54,镶嵌库!$C$16:$O$16,0),-1)),0)</f>
        <v>0</v>
      </c>
      <c r="Z54" s="160">
        <f>IFERROR(INDEX(镶嵌库!$C$16:$O$25,MATCH(基础面板属性!$D54,镶嵌库!$C$16:$C$25,0),IF(OR($C54=Z$1,LEFT(基础面板属性!$C54,2)&amp;"值"=基础面板属性!Z$1,基础面板属性!$C54&amp;"小"=基础面板属性!Z$1,基础面板属性!$C54&amp;"大"=基础面板属性!Z$1),MATCH(基础面板属性!$C54,镶嵌库!$C$16:$O$16,0),-1)),0)</f>
        <v>5850</v>
      </c>
      <c r="AA54" s="160">
        <f>IFERROR(INDEX(镶嵌库!$C$16:$O$25,MATCH(基础面板属性!$D54,镶嵌库!$C$16:$C$25,0),IF(OR($C54=AA$1,LEFT(基础面板属性!$C54,2)&amp;"值"=基础面板属性!AA$1,基础面板属性!$C54&amp;"小"=基础面板属性!AA$1,基础面板属性!$C54&amp;"大"=基础面板属性!AA$1),MATCH(基础面板属性!$C54,镶嵌库!$C$16:$O$16,0),-1)),0)</f>
        <v>0</v>
      </c>
      <c r="AB54" s="160">
        <f>IFERROR(INDEX(镶嵌库!$C$16:$O$25,MATCH(基础面板属性!$D54,镶嵌库!$C$16:$C$25,0),IF(OR($C54=AB$1,LEFT(基础面板属性!$C54,2)&amp;"值"=基础面板属性!AB$1,基础面板属性!$C54&amp;"小"=基础面板属性!AB$1,基础面板属性!$C54&amp;"大"=基础面板属性!AB$1),MATCH(基础面板属性!$C54,镶嵌库!$C$16:$O$16,0),-1)),0)</f>
        <v>0</v>
      </c>
      <c r="AC54" s="160">
        <f>IFERROR(INDEX(镶嵌库!$C$16:$O$25,MATCH(基础面板属性!$D54,镶嵌库!$C$16:$C$25,0),IF(OR($C54=AC$1,LEFT(基础面板属性!$C54,2)&amp;"值"=基础面板属性!AC$1,基础面板属性!$C54&amp;"小"=基础面板属性!AC$1,基础面板属性!$C54&amp;"大"=基础面板属性!AC$1),MATCH(基础面板属性!$C54,镶嵌库!$C$16:$O$16,0),-1)),0)</f>
        <v>0</v>
      </c>
      <c r="AD54" s="160">
        <f>IFERROR(INDEX(镶嵌库!$C$16:$O$25,MATCH(基础面板属性!$D54,镶嵌库!$C$16:$C$25,0),IF(OR($C54=AD$1,LEFT(基础面板属性!$C54,2)&amp;"值"=基础面板属性!AD$1,基础面板属性!$C54&amp;"小"=基础面板属性!AD$1,基础面板属性!$C54&amp;"大"=基础面板属性!AD$1),MATCH(基础面板属性!$C54,镶嵌库!$C$16:$O$16,0),-1)),0)</f>
        <v>0</v>
      </c>
      <c r="AE54" s="160">
        <f>IFERROR(INDEX(镶嵌库!$C$16:$O$25,MATCH(基础面板属性!$D54,镶嵌库!$C$16:$C$25,0),IF(OR($C54=AE$1,LEFT(基础面板属性!$C54,2)&amp;"值"=基础面板属性!AE$1,基础面板属性!$C54&amp;"小"=基础面板属性!AE$1,基础面板属性!$C54&amp;"大"=基础面板属性!AE$1),MATCH(基础面板属性!$C54,镶嵌库!$C$16:$O$16,0),-1)),0)</f>
        <v>0</v>
      </c>
      <c r="AF54" s="160">
        <f>IFERROR(INDEX(镶嵌库!$C$16:$O$25,MATCH(基础面板属性!$D54,镶嵌库!$C$16:$C$25,0),IF(OR($C54=AF$1,LEFT(基础面板属性!$C54,2)&amp;"值"=基础面板属性!AF$1,基础面板属性!$C54&amp;"小"=基础面板属性!AF$1,基础面板属性!$C54&amp;"大"=基础面板属性!AF$1),MATCH(基础面板属性!$C54,镶嵌库!$C$16:$O$16,0),-1)),0)</f>
        <v>0</v>
      </c>
      <c r="AG54" s="160">
        <f>IFERROR(INDEX(镶嵌库!$C$16:$O$25,MATCH(基础面板属性!$D54,镶嵌库!$C$16:$C$25,0),IF(OR($C54=AG$1,LEFT(基础面板属性!$C54,2)&amp;"值"=基础面板属性!AG$1,基础面板属性!$C54&amp;"小"=基础面板属性!AG$1,基础面板属性!$C54&amp;"大"=基础面板属性!AG$1),MATCH(基础面板属性!$C54,镶嵌库!$C$16:$O$16,0),-1)),0)</f>
        <v>0</v>
      </c>
      <c r="AH54" s="160">
        <f>IFERROR(INDEX(镶嵌库!$C$16:$O$25,MATCH(基础面板属性!$D54,镶嵌库!$C$16:$C$25,0),IF(OR($C54=AH$1,LEFT(基础面板属性!$C54,2)&amp;"值"=基础面板属性!AH$1,基础面板属性!$C54&amp;"小"=基础面板属性!AH$1,基础面板属性!$C54&amp;"大"=基础面板属性!AH$1),MATCH(基础面板属性!$C54,镶嵌库!$C$16:$O$16,0),-1)),0)</f>
        <v>0</v>
      </c>
      <c r="AI54" s="160">
        <f>IFERROR(INDEX(镶嵌库!$C$16:$O$25,MATCH(基础面板属性!$D54,镶嵌库!$C$16:$C$25,0),IF(OR($C54=AI$1,LEFT(基础面板属性!$C54,2)&amp;"值"=基础面板属性!AI$1,基础面板属性!$C54&amp;"小"=基础面板属性!AI$1,基础面板属性!$C54&amp;"大"=基础面板属性!AI$1),MATCH(基础面板属性!$C54,镶嵌库!$C$16:$O$16,0),-1)),0)</f>
        <v>0</v>
      </c>
      <c r="AJ54" s="160">
        <f>IFERROR(INDEX(镶嵌库!$C$16:$O$25,MATCH(基础面板属性!$D54,镶嵌库!$C$16:$C$25,0),IF(OR($C54=AJ$1,LEFT(基础面板属性!$C54,2)&amp;"值"=基础面板属性!AJ$1,基础面板属性!$C54&amp;"小"=基础面板属性!AJ$1,基础面板属性!$C54&amp;"大"=基础面板属性!AJ$1),MATCH(基础面板属性!$C54,镶嵌库!$C$16:$O$16,0),-1)),0)</f>
        <v>0</v>
      </c>
      <c r="AK54" s="160">
        <f>IFERROR(INDEX(镶嵌库!$C$16:$O$25,MATCH(基础面板属性!$D54,镶嵌库!$C$16:$C$25,0),IF(OR($C54=AK$1,LEFT(基础面板属性!$C54,2)&amp;"值"=基础面板属性!AK$1,基础面板属性!$C54&amp;"小"=基础面板属性!AK$1,基础面板属性!$C54&amp;"大"=基础面板属性!AK$1),MATCH(基础面板属性!$C54,镶嵌库!$C$16:$O$16,0),-1)),0)</f>
        <v>0</v>
      </c>
      <c r="AL54" s="160">
        <f>IFERROR(INDEX(镶嵌库!$C$16:$O$25,MATCH(基础面板属性!$D54,镶嵌库!$C$16:$C$25,0),IF(OR($C54=AL$1,LEFT(基础面板属性!$C54,2)&amp;"值"=基础面板属性!AL$1,基础面板属性!$C54&amp;"小"=基础面板属性!AL$1,基础面板属性!$C54&amp;"大"=基础面板属性!AL$1),MATCH(基础面板属性!$C54,镶嵌库!$C$16:$O$16,0),-1)),0)</f>
        <v>0</v>
      </c>
      <c r="AM54" s="160">
        <f>IFERROR(INDEX(镶嵌库!$C$16:$O$25,MATCH(基础面板属性!$D54,镶嵌库!$C$16:$C$25,0),IF(OR($C54=AM$1,LEFT(基础面板属性!$C54,2)&amp;"值"=基础面板属性!AM$1,基础面板属性!$C54&amp;"小"=基础面板属性!AM$1,基础面板属性!$C54&amp;"大"=基础面板属性!AM$1),MATCH(基础面板属性!$C54,镶嵌库!$C$16:$O$16,0),-1)),0)</f>
        <v>0</v>
      </c>
      <c r="AN54" s="160">
        <f>IFERROR(INDEX(镶嵌库!$C$16:$O$25,MATCH(基础面板属性!$D54,镶嵌库!$C$16:$C$25,0),IF(OR($C54=AN$1,LEFT(基础面板属性!$C54,2)&amp;"值"=基础面板属性!AN$1,基础面板属性!$C54&amp;"小"=基础面板属性!AN$1,基础面板属性!$C54&amp;"大"=基础面板属性!AN$1),MATCH(基础面板属性!$C54,镶嵌库!$C$16:$O$16,0),-1)),0)</f>
        <v>0</v>
      </c>
      <c r="AO54" s="160">
        <f>IFERROR(INDEX(镶嵌库!$C$16:$O$25,MATCH(基础面板属性!$D54,镶嵌库!$C$16:$C$25,0),IF(OR($C54=AO$1,LEFT(基础面板属性!$C54,2)&amp;"值"=基础面板属性!AO$1,基础面板属性!$C54&amp;"小"=基础面板属性!AO$1,基础面板属性!$C54&amp;"大"=基础面板属性!AO$1),MATCH(基础面板属性!$C54,镶嵌库!$C$16:$O$16,0),-1)),0)</f>
        <v>0</v>
      </c>
      <c r="AP54" s="160">
        <f>IFERROR(INDEX(镶嵌库!$C$16:$O$25,MATCH(基础面板属性!$D54,镶嵌库!$C$16:$C$25,0),IF(OR($C54=AP$1,LEFT(基础面板属性!$C54,2)&amp;"值"=基础面板属性!AP$1,基础面板属性!$C54&amp;"小"=基础面板属性!AP$1,基础面板属性!$C54&amp;"大"=基础面板属性!AP$1),MATCH(基础面板属性!$C54,镶嵌库!$C$16:$O$16,0),-1)),0)</f>
        <v>0</v>
      </c>
      <c r="AU54" s="160">
        <f>IFERROR(INDEX(镶嵌库!$C$16:$O$25,MATCH(基础面板属性!$D54,镶嵌库!$C$16:$C$25,0),IF(OR($C54=AU$1,LEFT(基础面板属性!$C54,2)&amp;"值"=基础面板属性!AU$1,基础面板属性!$C54&amp;"小"=基础面板属性!AU$1,基础面板属性!$C54&amp;"大"=基础面板属性!AU$1),MATCH(基础面板属性!$C54,镶嵌库!$C$16:$O$16,0),-1)),0)</f>
        <v>0</v>
      </c>
      <c r="AV54" s="160">
        <f>IFERROR(INDEX(镶嵌库!$C$16:$O$25,MATCH(基础面板属性!$D54,镶嵌库!$C$16:$C$25,0),IF(OR($C54=AV$1,LEFT(基础面板属性!$C54,2)&amp;"值"=基础面板属性!AV$1,基础面板属性!$C54&amp;"小"=基础面板属性!AV$1,基础面板属性!$C54&amp;"大"=基础面板属性!AV$1),MATCH(基础面板属性!$C54,镶嵌库!$C$16:$O$16,0),-1)),0)</f>
        <v>0</v>
      </c>
      <c r="AW54" s="160">
        <f>IFERROR(INDEX(镶嵌库!$C$16:$O$25,MATCH(基础面板属性!$D54,镶嵌库!$C$16:$C$25,0),IF(OR($C54=AW$1,LEFT(基础面板属性!$C54,2)&amp;"值"=基础面板属性!AW$1,基础面板属性!$C54&amp;"小"=基础面板属性!AW$1,基础面板属性!$C54&amp;"大"=基础面板属性!AW$1),MATCH(基础面板属性!$C54,镶嵌库!$C$16:$O$16,0),-1)),0)</f>
        <v>0</v>
      </c>
      <c r="AX54" s="160">
        <f>IFERROR(INDEX(镶嵌库!$C$16:$O$25,MATCH(基础面板属性!$D54,镶嵌库!$C$16:$C$25,0),IF(OR($C54=AX$1,LEFT(基础面板属性!$C54,2)&amp;"值"=基础面板属性!AX$1,基础面板属性!$C54&amp;"小"=基础面板属性!AX$1,基础面板属性!$C54&amp;"大"=基础面板属性!AX$1),MATCH(基础面板属性!$C54,镶嵌库!$C$16:$O$16,0),-1)),0)</f>
        <v>0</v>
      </c>
      <c r="AY54" s="160">
        <f>IFERROR(INDEX(镶嵌库!$C$16:$O$25,MATCH(基础面板属性!$D54,镶嵌库!$C$16:$C$25,0),IF(OR($C54=AY$1,LEFT(基础面板属性!$C54,2)&amp;"值"=基础面板属性!AY$1,基础面板属性!$C54&amp;"小"=基础面板属性!AY$1,基础面板属性!$C54&amp;"大"=基础面板属性!AY$1),MATCH(基础面板属性!$C54,镶嵌库!$C$16:$O$16,0),-1)),0)</f>
        <v>0</v>
      </c>
      <c r="AZ54" s="160">
        <f>IFERROR(INDEX(镶嵌库!$C$16:$O$25,MATCH(基础面板属性!$D54,镶嵌库!$C$16:$C$25,0),IF(OR($C54=AZ$1,LEFT(基础面板属性!$C54,2)&amp;"值"=基础面板属性!AZ$1,基础面板属性!$C54&amp;"小"=基础面板属性!AZ$1,基础面板属性!$C54&amp;"大"=基础面板属性!AZ$1),MATCH(基础面板属性!$C54,镶嵌库!$C$16:$O$16,0),-1)),0)</f>
        <v>0</v>
      </c>
      <c r="BA54" s="160">
        <f>IFERROR(INDEX(镶嵌库!$C$16:$O$25,MATCH(基础面板属性!$D54,镶嵌库!$C$16:$C$25,0),IF(OR($C54=BA$1,LEFT(基础面板属性!$C54,2)&amp;"值"=基础面板属性!BA$1,基础面板属性!$C54&amp;"小"=基础面板属性!BA$1,基础面板属性!$C54&amp;"大"=基础面板属性!BA$1),MATCH(基础面板属性!$C54,镶嵌库!$C$16:$O$16,0),-1)),0)</f>
        <v>0</v>
      </c>
      <c r="BB54" s="160">
        <f>IFERROR(INDEX(镶嵌库!$C$16:$O$25,MATCH(基础面板属性!$D54,镶嵌库!$C$16:$C$25,0),IF(OR($C54=BB$1,LEFT(基础面板属性!$C54,2)&amp;"值"=基础面板属性!BB$1,基础面板属性!$C54&amp;"小"=基础面板属性!BB$1,基础面板属性!$C54&amp;"大"=基础面板属性!BB$1),MATCH(基础面板属性!$C54,镶嵌库!$C$16:$O$16,0),-1)),0)</f>
        <v>0</v>
      </c>
      <c r="BC54" s="160">
        <f>IFERROR(INDEX(镶嵌库!$C$16:$O$25,MATCH(基础面板属性!$D54,镶嵌库!$C$16:$C$25,0),IF(OR($C54=BC$1,LEFT(基础面板属性!$C54,2)&amp;"值"=基础面板属性!BC$1,基础面板属性!$C54&amp;"小"=基础面板属性!BC$1,基础面板属性!$C54&amp;"大"=基础面板属性!BC$1),MATCH(基础面板属性!$C54,镶嵌库!$C$16:$O$16,0),-1)),0)</f>
        <v>0</v>
      </c>
      <c r="BD54" s="160">
        <f>IFERROR(INDEX(镶嵌库!$C$16:$O$25,MATCH(基础面板属性!$D54,镶嵌库!$C$16:$C$25,0),IF(OR($C54=BD$1,LEFT(基础面板属性!$C54,2)&amp;"值"=基础面板属性!BD$1,基础面板属性!$C54&amp;"小"=基础面板属性!BD$1,基础面板属性!$C54&amp;"大"=基础面板属性!BD$1),MATCH(基础面板属性!$C54,镶嵌库!$C$16:$O$16,0),-1)),0)</f>
        <v>0</v>
      </c>
    </row>
    <row r="55" spans="1:56">
      <c r="A55" s="160" t="s">
        <v>1825</v>
      </c>
      <c r="B55" s="160" t="s">
        <v>2102</v>
      </c>
      <c r="C55" s="160" t="str">
        <f>配装计算器!C26</f>
        <v>寂夜听雷(42500大橙武)</v>
      </c>
      <c r="E55" s="160">
        <f>装备选择!AV14</f>
        <v>34968</v>
      </c>
      <c r="M55" s="160">
        <f>装备选择!AW14</f>
        <v>2853</v>
      </c>
      <c r="S55" s="160">
        <f>装备选择!AY14</f>
        <v>13836</v>
      </c>
      <c r="W55" s="160">
        <f>装备选择!AZ14</f>
        <v>20662</v>
      </c>
      <c r="Z55" s="160">
        <f>装备选择!BA14</f>
        <v>0</v>
      </c>
      <c r="AC55" s="160">
        <f>装备选择!BB14</f>
        <v>15894</v>
      </c>
      <c r="AG55" s="160">
        <f>装备选择!BF14</f>
        <v>0</v>
      </c>
      <c r="AH55" s="160">
        <f>装备选择!BC14</f>
        <v>0</v>
      </c>
      <c r="AK55" s="160">
        <f>装备选择!BD14</f>
        <v>0</v>
      </c>
      <c r="AP55" s="160">
        <f>装备选择!BE14</f>
        <v>7947</v>
      </c>
      <c r="AU55" s="160">
        <f>装备选择!BH14</f>
        <v>14648</v>
      </c>
      <c r="AV55" s="160">
        <f>装备选择!BI14</f>
        <v>24413</v>
      </c>
    </row>
    <row r="56" spans="1:56">
      <c r="A56" s="160" t="str">
        <f>A55</f>
        <v>重剑</v>
      </c>
      <c r="B56" s="160" t="s">
        <v>2103</v>
      </c>
      <c r="C56" s="160" t="str">
        <f>装备选择!R14</f>
        <v>攻击孔</v>
      </c>
      <c r="D56" s="160">
        <f>IF(C56="",0,IF(配装计算器!$K$32&lt;&gt;"不使用",镶嵌库!$Y$17,IFERROR(1*(LEFT(配装计算器!C28,1)),0)))</f>
        <v>8</v>
      </c>
      <c r="E56" s="160">
        <f>IFERROR(INDEX(镶嵌库!$C$5:$M$13,基础面板属性!$D56+1,IF(LEFT(基础面板属性!$C56,2)&amp;"值"=基础面板属性!E$1,MATCH(基础面板属性!$C56,镶嵌库!$C$4:$M$4,0),-1)),0)</f>
        <v>0</v>
      </c>
      <c r="F56" s="160">
        <f>IFERROR(INDEX(镶嵌库!$C$5:$M$13,基础面板属性!$D56+1,IF(LEFT(基础面板属性!$C56,2)&amp;"值"=基础面板属性!F$1,MATCH(基础面板属性!$C56,镶嵌库!$C$4:$M$4,0),-1)),0)</f>
        <v>0</v>
      </c>
      <c r="G56" s="160">
        <f>IFERROR(INDEX(镶嵌库!$C$5:$M$13,基础面板属性!$D56+1,IF(LEFT(基础面板属性!$C56,2)&amp;"值"=基础面板属性!G$1,MATCH(基础面板属性!$C56,镶嵌库!$C$4:$M$4,0),-1)),0)</f>
        <v>0</v>
      </c>
      <c r="H56" s="160">
        <f>IFERROR(INDEX(镶嵌库!$C$5:$M$13,基础面板属性!$D56+1,IF(LEFT(基础面板属性!$C56,2)&amp;"值"=基础面板属性!H$1,MATCH(基础面板属性!$C56,镶嵌库!$C$4:$M$4,0),-1)),0)</f>
        <v>0</v>
      </c>
      <c r="I56" s="160">
        <f>IFERROR(INDEX(镶嵌库!$C$5:$M$13,基础面板属性!$D56+1,IF(LEFT(基础面板属性!$C56,2)&amp;"值"=基础面板属性!I$1,MATCH(基础面板属性!$C56,镶嵌库!$C$4:$M$4,0),-1)),0)</f>
        <v>0</v>
      </c>
      <c r="J56" s="160">
        <f>IFERROR(INDEX(镶嵌库!$C$5:$M$13,基础面板属性!$D56+1,IF(LEFT(基础面板属性!$C56,2)&amp;"值"=基础面板属性!J$1,MATCH(基础面板属性!$C56,镶嵌库!$C$4:$M$4,0),-1)),0)</f>
        <v>0</v>
      </c>
      <c r="K56" s="160">
        <f>IFERROR(INDEX(镶嵌库!$C$5:$M$13,基础面板属性!$D56+1,IF(LEFT(基础面板属性!$C56,2)&amp;"值"=基础面板属性!K$1,MATCH(基础面板属性!$C56,镶嵌库!$C$4:$M$4,0),-1)),0)</f>
        <v>0</v>
      </c>
      <c r="L56" s="160">
        <f>IFERROR(INDEX(镶嵌库!$C$5:$M$13,基础面板属性!$D56+1,IF(LEFT(基础面板属性!$C56,2)&amp;"值"=基础面板属性!L$1,MATCH(基础面板属性!$C56,镶嵌库!$C$4:$M$4,0),-1)),0)</f>
        <v>0</v>
      </c>
      <c r="M56" s="160">
        <f>IFERROR(INDEX(镶嵌库!$C$5:$M$13,基础面板属性!$D56+1,IF(LEFT(基础面板属性!$C56,2)&amp;"值"=基础面板属性!M$1,MATCH(基础面板属性!$C56,镶嵌库!$C$4:$M$4,0),-1)),0)</f>
        <v>0</v>
      </c>
      <c r="N56" s="160">
        <f>IFERROR(INDEX(镶嵌库!$C$5:$M$13,基础面板属性!$D56+1,IF(LEFT(基础面板属性!$C56,2)&amp;"值"=基础面板属性!N$1,MATCH(基础面板属性!$C56,镶嵌库!$C$4:$M$4,0),-1)),0)</f>
        <v>0</v>
      </c>
      <c r="O56" s="160">
        <f>IFERROR(INDEX(镶嵌库!$C$5:$M$13,基础面板属性!$D56+1,IF(LEFT(基础面板属性!$C56,2)&amp;"值"=基础面板属性!O$1,MATCH(基础面板属性!$C56,镶嵌库!$C$4:$M$4,0),-1)),0)</f>
        <v>0</v>
      </c>
      <c r="P56" s="160">
        <f>IFERROR(INDEX(镶嵌库!$C$5:$M$13,基础面板属性!$D56+1,IF(LEFT(基础面板属性!$C56,2)&amp;"值"=基础面板属性!P$1,MATCH(基础面板属性!$C56,镶嵌库!$C$4:$M$4,0),-1)),0)</f>
        <v>0</v>
      </c>
      <c r="Q56" s="160">
        <f>IFERROR(INDEX(镶嵌库!$C$5:$M$13,基础面板属性!$D56+1,IF(LEFT(基础面板属性!$C56,2)&amp;"值"=基础面板属性!Q$1,MATCH(基础面板属性!$C56,镶嵌库!$C$4:$M$4,0),-1)),0)</f>
        <v>0</v>
      </c>
      <c r="R56" s="160">
        <f>IFERROR(INDEX(镶嵌库!$C$5:$M$13,基础面板属性!$D56+1,IF(LEFT(基础面板属性!$C56,2)&amp;"值"=基础面板属性!R$1,MATCH(基础面板属性!$C56,镶嵌库!$C$4:$M$4,0),-1)),0)</f>
        <v>0</v>
      </c>
      <c r="S56" s="160">
        <f>IFERROR(INDEX(镶嵌库!$C$5:$M$13,基础面板属性!$D56+1,IF(LEFT(基础面板属性!$C56,2)&amp;"值"=基础面板属性!S$1,MATCH(基础面板属性!$C56,镶嵌库!$C$4:$M$4,0),-1)),0)</f>
        <v>357</v>
      </c>
      <c r="T56" s="160">
        <f>IFERROR(INDEX(镶嵌库!$C$5:$M$13,基础面板属性!$D56+1,IF(LEFT(基础面板属性!$C56,2)&amp;"值"=基础面板属性!T$1,MATCH(基础面板属性!$C56,镶嵌库!$C$4:$M$4,0),-1)),0)</f>
        <v>0</v>
      </c>
      <c r="U56" s="160">
        <f>IFERROR(INDEX(镶嵌库!$C$5:$M$13,基础面板属性!$D56+1,IF(LEFT(基础面板属性!$C56,2)&amp;"值"=基础面板属性!U$1,MATCH(基础面板属性!$C56,镶嵌库!$C$4:$M$4,0),-1)),0)</f>
        <v>0</v>
      </c>
      <c r="V56" s="160">
        <f>IFERROR(INDEX(镶嵌库!$C$5:$M$13,基础面板属性!$D56+1,IF(LEFT(基础面板属性!$C56,2)&amp;"值"=基础面板属性!V$1,MATCH(基础面板属性!$C56,镶嵌库!$C$4:$M$4,0),-1)),0)</f>
        <v>0</v>
      </c>
      <c r="W56" s="160">
        <f>IFERROR(INDEX(镶嵌库!$C$5:$M$13,基础面板属性!$D56+1,IF(LEFT(基础面板属性!$C56,2)&amp;"值"=基础面板属性!W$1,MATCH(基础面板属性!$C56,镶嵌库!$C$4:$M$4,0),-1)),0)</f>
        <v>0</v>
      </c>
      <c r="X56" s="160">
        <f>IFERROR(INDEX(镶嵌库!$C$5:$M$13,基础面板属性!$D56+1,IF(LEFT(基础面板属性!$C56,2)&amp;"值"=基础面板属性!X$1,MATCH(基础面板属性!$C56,镶嵌库!$C$4:$M$4,0),-1)),0)</f>
        <v>0</v>
      </c>
      <c r="Y56" s="160">
        <f>IFERROR(INDEX(镶嵌库!$C$5:$M$13,基础面板属性!$D56+1,IF(LEFT(基础面板属性!$C56,2)&amp;"值"=基础面板属性!Y$1,MATCH(基础面板属性!$C56,镶嵌库!$C$4:$M$4,0),-1)),0)</f>
        <v>0</v>
      </c>
      <c r="Z56" s="160">
        <f>IFERROR(INDEX(镶嵌库!$C$5:$M$13,基础面板属性!$D56+1,IF(LEFT(基础面板属性!$C56,2)&amp;"值"=基础面板属性!Z$1,MATCH(基础面板属性!$C56,镶嵌库!$C$4:$M$4,0),-1)),0)</f>
        <v>0</v>
      </c>
      <c r="AA56" s="160">
        <f>IFERROR(INDEX(镶嵌库!$C$5:$M$13,基础面板属性!$D56+1,IF(LEFT(基础面板属性!$C56,2)&amp;"值"=基础面板属性!AA$1,MATCH(基础面板属性!$C56,镶嵌库!$C$4:$M$4,0),-1)),0)</f>
        <v>0</v>
      </c>
      <c r="AB56" s="160">
        <f>IFERROR(INDEX(镶嵌库!$C$5:$M$13,基础面板属性!$D56+1,IF(LEFT(基础面板属性!$C56,2)&amp;"值"=基础面板属性!AB$1,MATCH(基础面板属性!$C56,镶嵌库!$C$4:$M$4,0),-1)),0)</f>
        <v>0</v>
      </c>
      <c r="AC56" s="160">
        <f>IFERROR(INDEX(镶嵌库!$C$5:$M$13,基础面板属性!$D56+1,IF(LEFT(基础面板属性!$C56,2)&amp;"值"=基础面板属性!AC$1,MATCH(基础面板属性!$C56,镶嵌库!$C$4:$M$4,0),-1)),0)</f>
        <v>0</v>
      </c>
      <c r="AD56" s="160">
        <f>IFERROR(INDEX(镶嵌库!$C$5:$M$13,基础面板属性!$D56+1,IF(LEFT(基础面板属性!$C56,2)&amp;"值"=基础面板属性!AD$1,MATCH(基础面板属性!$C56,镶嵌库!$C$4:$M$4,0),-1)),0)</f>
        <v>0</v>
      </c>
      <c r="AE56" s="160">
        <f>IFERROR(INDEX(镶嵌库!$C$5:$M$13,基础面板属性!$D56+1,IF(LEFT(基础面板属性!$C56,2)&amp;"值"=基础面板属性!AE$1,MATCH(基础面板属性!$C56,镶嵌库!$C$4:$M$4,0),-1)),0)</f>
        <v>0</v>
      </c>
      <c r="AF56" s="160">
        <f>IFERROR(INDEX(镶嵌库!$C$5:$M$13,基础面板属性!$D56+1,IF(LEFT(基础面板属性!$C56,2)&amp;"值"=基础面板属性!AF$1,MATCH(基础面板属性!$C56,镶嵌库!$C$4:$M$4,0),-1)),0)</f>
        <v>0</v>
      </c>
      <c r="AG56" s="160">
        <f>IFERROR(INDEX(镶嵌库!$C$5:$M$13,基础面板属性!$D56+1,IF(LEFT(基础面板属性!$C56,2)&amp;"值"=基础面板属性!AG$1,MATCH(基础面板属性!$C56,镶嵌库!$C$4:$M$4,0),-1)),0)</f>
        <v>0</v>
      </c>
      <c r="AH56" s="160">
        <f>IFERROR(INDEX(镶嵌库!$C$5:$M$13,基础面板属性!$D56+1,IF(LEFT(基础面板属性!$C56,2)&amp;"值"=基础面板属性!AH$1,MATCH(基础面板属性!$C56,镶嵌库!$C$4:$M$4,0),-1)),0)</f>
        <v>0</v>
      </c>
      <c r="AI56" s="160">
        <f>IFERROR(INDEX(镶嵌库!$C$5:$M$13,基础面板属性!$D56+1,IF(LEFT(基础面板属性!$C56,2)&amp;"值"=基础面板属性!AI$1,MATCH(基础面板属性!$C56,镶嵌库!$C$4:$M$4,0),-1)),0)</f>
        <v>0</v>
      </c>
      <c r="AJ56" s="160">
        <f>IFERROR(INDEX(镶嵌库!$C$5:$M$13,基础面板属性!$D56+1,IF(LEFT(基础面板属性!$C56,2)&amp;"值"=基础面板属性!AJ$1,MATCH(基础面板属性!$C56,镶嵌库!$C$4:$M$4,0),-1)),0)</f>
        <v>0</v>
      </c>
      <c r="AK56" s="160">
        <f>IFERROR(INDEX(镶嵌库!$C$5:$M$13,基础面板属性!$D56+1,IF(LEFT(基础面板属性!$C56,2)&amp;"值"=基础面板属性!AK$1,MATCH(基础面板属性!$C56,镶嵌库!$C$4:$M$4,0),-1)),0)</f>
        <v>0</v>
      </c>
      <c r="AL56" s="160">
        <f>IFERROR(INDEX(镶嵌库!$C$5:$M$13,基础面板属性!$D56+1,IF(LEFT(基础面板属性!$C56,2)&amp;"值"=基础面板属性!AL$1,MATCH(基础面板属性!$C56,镶嵌库!$C$4:$M$4,0),-1)),0)</f>
        <v>0</v>
      </c>
      <c r="AM56" s="160">
        <f>IFERROR(INDEX(镶嵌库!$C$5:$M$13,基础面板属性!$D56+1,IF(LEFT(基础面板属性!$C56,2)&amp;"值"=基础面板属性!AM$1,MATCH(基础面板属性!$C56,镶嵌库!$C$4:$M$4,0),-1)),0)</f>
        <v>0</v>
      </c>
      <c r="AN56" s="160">
        <f>IFERROR(INDEX(镶嵌库!$C$5:$M$13,基础面板属性!$D56+1,IF(LEFT(基础面板属性!$C56,2)&amp;"值"=基础面板属性!AN$1,MATCH(基础面板属性!$C56,镶嵌库!$C$4:$M$4,0),-1)),0)</f>
        <v>0</v>
      </c>
      <c r="AO56" s="160">
        <f>IFERROR(INDEX(镶嵌库!$C$5:$M$13,基础面板属性!$D56+1,IF(LEFT(基础面板属性!$C56,2)&amp;"值"=基础面板属性!AO$1,MATCH(基础面板属性!$C56,镶嵌库!$C$4:$M$4,0),-1)),0)</f>
        <v>0</v>
      </c>
      <c r="AP56" s="160">
        <f>IFERROR(INDEX(镶嵌库!$C$5:$M$13,基础面板属性!$D56+1,IF(LEFT(基础面板属性!$C56,2)&amp;"值"=基础面板属性!AP$1,MATCH(基础面板属性!$C56,镶嵌库!$C$4:$M$4,0),-1)),0)</f>
        <v>0</v>
      </c>
      <c r="AU56" s="160">
        <f>IFERROR(INDEX(镶嵌库!$C$5:$M$13,基础面板属性!$D56+1,IF(LEFT(基础面板属性!$C56,2)&amp;"值"=基础面板属性!AU$1,MATCH(基础面板属性!$C56,镶嵌库!$C$4:$M$4,0),-1)),0)</f>
        <v>0</v>
      </c>
      <c r="AV56" s="160">
        <f>IFERROR(INDEX(镶嵌库!$C$5:$M$13,基础面板属性!$D56+1,IF(LEFT(基础面板属性!$C56,2)&amp;"值"=基础面板属性!AV$1,MATCH(基础面板属性!$C56,镶嵌库!$C$4:$M$4,0),-1)),0)</f>
        <v>0</v>
      </c>
      <c r="AW56" s="160">
        <f>IFERROR(INDEX(镶嵌库!$C$5:$M$13,基础面板属性!$D56+1,IF(LEFT(基础面板属性!$C56,2)&amp;"值"=基础面板属性!AW$1,MATCH(基础面板属性!$C56,镶嵌库!$C$4:$M$4,0),-1)),0)</f>
        <v>0</v>
      </c>
      <c r="AX56" s="160">
        <f>IFERROR(INDEX(镶嵌库!$C$5:$M$13,基础面板属性!$D56+1,IF(LEFT(基础面板属性!$C56,2)&amp;"值"=基础面板属性!AX$1,MATCH(基础面板属性!$C56,镶嵌库!$C$4:$M$4,0),-1)),0)</f>
        <v>0</v>
      </c>
      <c r="AY56" s="160">
        <f>IFERROR(INDEX(镶嵌库!$C$5:$M$13,基础面板属性!$D56+1,IF(LEFT(基础面板属性!$C56,2)&amp;"值"=基础面板属性!AY$1,MATCH(基础面板属性!$C56,镶嵌库!$C$4:$M$4,0),-1)),0)</f>
        <v>0</v>
      </c>
      <c r="AZ56" s="160">
        <f>IFERROR(INDEX(镶嵌库!$C$5:$M$13,基础面板属性!$D56+1,IF(LEFT(基础面板属性!$C56,2)&amp;"值"=基础面板属性!AZ$1,MATCH(基础面板属性!$C56,镶嵌库!$C$4:$M$4,0),-1)),0)</f>
        <v>0</v>
      </c>
      <c r="BA56" s="160">
        <f>IFERROR(INDEX(镶嵌库!$C$5:$M$13,基础面板属性!$D56+1,IF(LEFT(基础面板属性!$C56,2)&amp;"值"=基础面板属性!BA$1,MATCH(基础面板属性!$C56,镶嵌库!$C$4:$M$4,0),-1)),0)</f>
        <v>0</v>
      </c>
      <c r="BB56" s="160">
        <f>IFERROR(INDEX(镶嵌库!$C$5:$M$13,基础面板属性!$D56+1,IF(LEFT(基础面板属性!$C56,2)&amp;"值"=基础面板属性!BB$1,MATCH(基础面板属性!$C56,镶嵌库!$C$4:$M$4,0),-1)),0)</f>
        <v>0</v>
      </c>
      <c r="BC56" s="160">
        <f>IFERROR(INDEX(镶嵌库!$C$5:$M$13,基础面板属性!$D56+1,IF(LEFT(基础面板属性!$C56,2)&amp;"值"=基础面板属性!BC$1,MATCH(基础面板属性!$C56,镶嵌库!$C$4:$M$4,0),-1)),0)</f>
        <v>0</v>
      </c>
      <c r="BD56" s="160">
        <f>IFERROR(INDEX(镶嵌库!$C$5:$M$13,基础面板属性!$D56+1,IF(LEFT(基础面板属性!$C56,2)&amp;"值"=基础面板属性!BD$1,MATCH(基础面板属性!$C56,镶嵌库!$C$4:$M$4,0),-1)),0)</f>
        <v>0</v>
      </c>
    </row>
    <row r="57" spans="1:56">
      <c r="A57" s="160" t="str">
        <f>A55</f>
        <v>重剑</v>
      </c>
      <c r="B57" s="160" t="s">
        <v>2104</v>
      </c>
      <c r="C57" s="160" t="str">
        <f>装备选择!S14</f>
        <v>身法孔</v>
      </c>
      <c r="D57" s="160">
        <f>IF(C57="",0,IF(配装计算器!$K$32&lt;&gt;"不使用",镶嵌库!$Y$17,IFERROR(1*(LEFT(配装计算器!C30,1)),0)))</f>
        <v>8</v>
      </c>
      <c r="E57" s="160">
        <f>IFERROR(INDEX(镶嵌库!$C$5:$M$13,基础面板属性!$D57+1,IF(LEFT(基础面板属性!$C57,2)&amp;"值"=基础面板属性!E$1,MATCH(基础面板属性!$C57,镶嵌库!$C$4:$M$4,0),-1)),0)</f>
        <v>0</v>
      </c>
      <c r="F57" s="160">
        <f>IFERROR(INDEX(镶嵌库!$C$5:$M$13,基础面板属性!$D57+1,IF(LEFT(基础面板属性!$C57,2)&amp;"值"=基础面板属性!F$1,MATCH(基础面板属性!$C57,镶嵌库!$C$4:$M$4,0),-1)),0)</f>
        <v>0</v>
      </c>
      <c r="G57" s="160">
        <f>IFERROR(INDEX(镶嵌库!$C$5:$M$13,基础面板属性!$D57+1,IF(LEFT(基础面板属性!$C57,2)&amp;"值"=基础面板属性!G$1,MATCH(基础面板属性!$C57,镶嵌库!$C$4:$M$4,0),-1)),0)</f>
        <v>0</v>
      </c>
      <c r="H57" s="160">
        <f>IFERROR(INDEX(镶嵌库!$C$5:$M$13,基础面板属性!$D57+1,IF(LEFT(基础面板属性!$C57,2)&amp;"值"=基础面板属性!H$1,MATCH(基础面板属性!$C57,镶嵌库!$C$4:$M$4,0),-1)),0)</f>
        <v>0</v>
      </c>
      <c r="I57" s="160">
        <f>IFERROR(INDEX(镶嵌库!$C$5:$M$13,基础面板属性!$D57+1,IF(LEFT(基础面板属性!$C57,2)&amp;"值"=基础面板属性!I$1,MATCH(基础面板属性!$C57,镶嵌库!$C$4:$M$4,0),-1)),0)</f>
        <v>0</v>
      </c>
      <c r="J57" s="160">
        <f>IFERROR(INDEX(镶嵌库!$C$5:$M$13,基础面板属性!$D57+1,IF(LEFT(基础面板属性!$C57,2)&amp;"值"=基础面板属性!J$1,MATCH(基础面板属性!$C57,镶嵌库!$C$4:$M$4,0),-1)),0)</f>
        <v>0</v>
      </c>
      <c r="K57" s="160">
        <f>IFERROR(INDEX(镶嵌库!$C$5:$M$13,基础面板属性!$D57+1,IF(LEFT(基础面板属性!$C57,2)&amp;"值"=基础面板属性!K$1,MATCH(基础面板属性!$C57,镶嵌库!$C$4:$M$4,0),-1)),0)</f>
        <v>0</v>
      </c>
      <c r="L57" s="160">
        <f>IFERROR(INDEX(镶嵌库!$C$5:$M$13,基础面板属性!$D57+1,IF(LEFT(基础面板属性!$C57,2)&amp;"值"=基础面板属性!L$1,MATCH(基础面板属性!$C57,镶嵌库!$C$4:$M$4,0),-1)),0)</f>
        <v>0</v>
      </c>
      <c r="M57" s="160">
        <f>IFERROR(INDEX(镶嵌库!$C$5:$M$13,基础面板属性!$D57+1,IF(LEFT(基础面板属性!$C57,2)&amp;"值"=基础面板属性!M$1,MATCH(基础面板属性!$C57,镶嵌库!$C$4:$M$4,0),-1)),0)</f>
        <v>168</v>
      </c>
      <c r="N57" s="160">
        <f>IFERROR(INDEX(镶嵌库!$C$5:$M$13,基础面板属性!$D57+1,IF(LEFT(基础面板属性!$C57,2)&amp;"值"=基础面板属性!N$1,MATCH(基础面板属性!$C57,镶嵌库!$C$4:$M$4,0),-1)),0)</f>
        <v>0</v>
      </c>
      <c r="O57" s="160">
        <f>IFERROR(INDEX(镶嵌库!$C$5:$M$13,基础面板属性!$D57+1,IF(LEFT(基础面板属性!$C57,2)&amp;"值"=基础面板属性!O$1,MATCH(基础面板属性!$C57,镶嵌库!$C$4:$M$4,0),-1)),0)</f>
        <v>0</v>
      </c>
      <c r="P57" s="160">
        <f>IFERROR(INDEX(镶嵌库!$C$5:$M$13,基础面板属性!$D57+1,IF(LEFT(基础面板属性!$C57,2)&amp;"值"=基础面板属性!P$1,MATCH(基础面板属性!$C57,镶嵌库!$C$4:$M$4,0),-1)),0)</f>
        <v>0</v>
      </c>
      <c r="Q57" s="160">
        <f>IFERROR(INDEX(镶嵌库!$C$5:$M$13,基础面板属性!$D57+1,IF(LEFT(基础面板属性!$C57,2)&amp;"值"=基础面板属性!Q$1,MATCH(基础面板属性!$C57,镶嵌库!$C$4:$M$4,0),-1)),0)</f>
        <v>0</v>
      </c>
      <c r="R57" s="160">
        <f>IFERROR(INDEX(镶嵌库!$C$5:$M$13,基础面板属性!$D57+1,IF(LEFT(基础面板属性!$C57,2)&amp;"值"=基础面板属性!R$1,MATCH(基础面板属性!$C57,镶嵌库!$C$4:$M$4,0),-1)),0)</f>
        <v>0</v>
      </c>
      <c r="S57" s="160">
        <f>IFERROR(INDEX(镶嵌库!$C$5:$M$13,基础面板属性!$D57+1,IF(LEFT(基础面板属性!$C57,2)&amp;"值"=基础面板属性!S$1,MATCH(基础面板属性!$C57,镶嵌库!$C$4:$M$4,0),-1)),0)</f>
        <v>0</v>
      </c>
      <c r="T57" s="160">
        <f>IFERROR(INDEX(镶嵌库!$C$5:$M$13,基础面板属性!$D57+1,IF(LEFT(基础面板属性!$C57,2)&amp;"值"=基础面板属性!T$1,MATCH(基础面板属性!$C57,镶嵌库!$C$4:$M$4,0),-1)),0)</f>
        <v>0</v>
      </c>
      <c r="U57" s="160">
        <f>IFERROR(INDEX(镶嵌库!$C$5:$M$13,基础面板属性!$D57+1,IF(LEFT(基础面板属性!$C57,2)&amp;"值"=基础面板属性!U$1,MATCH(基础面板属性!$C57,镶嵌库!$C$4:$M$4,0),-1)),0)</f>
        <v>0</v>
      </c>
      <c r="V57" s="160">
        <f>IFERROR(INDEX(镶嵌库!$C$5:$M$13,基础面板属性!$D57+1,IF(LEFT(基础面板属性!$C57,2)&amp;"值"=基础面板属性!V$1,MATCH(基础面板属性!$C57,镶嵌库!$C$4:$M$4,0),-1)),0)</f>
        <v>0</v>
      </c>
      <c r="W57" s="160">
        <f>IFERROR(INDEX(镶嵌库!$C$5:$M$13,基础面板属性!$D57+1,IF(LEFT(基础面板属性!$C57,2)&amp;"值"=基础面板属性!W$1,MATCH(基础面板属性!$C57,镶嵌库!$C$4:$M$4,0),-1)),0)</f>
        <v>0</v>
      </c>
      <c r="X57" s="160">
        <f>IFERROR(INDEX(镶嵌库!$C$5:$M$13,基础面板属性!$D57+1,IF(LEFT(基础面板属性!$C57,2)&amp;"值"=基础面板属性!X$1,MATCH(基础面板属性!$C57,镶嵌库!$C$4:$M$4,0),-1)),0)</f>
        <v>0</v>
      </c>
      <c r="Y57" s="160">
        <f>IFERROR(INDEX(镶嵌库!$C$5:$M$13,基础面板属性!$D57+1,IF(LEFT(基础面板属性!$C57,2)&amp;"值"=基础面板属性!Y$1,MATCH(基础面板属性!$C57,镶嵌库!$C$4:$M$4,0),-1)),0)</f>
        <v>0</v>
      </c>
      <c r="Z57" s="160">
        <f>IFERROR(INDEX(镶嵌库!$C$5:$M$13,基础面板属性!$D57+1,IF(LEFT(基础面板属性!$C57,2)&amp;"值"=基础面板属性!Z$1,MATCH(基础面板属性!$C57,镶嵌库!$C$4:$M$4,0),-1)),0)</f>
        <v>0</v>
      </c>
      <c r="AA57" s="160">
        <f>IFERROR(INDEX(镶嵌库!$C$5:$M$13,基础面板属性!$D57+1,IF(LEFT(基础面板属性!$C57,2)&amp;"值"=基础面板属性!AA$1,MATCH(基础面板属性!$C57,镶嵌库!$C$4:$M$4,0),-1)),0)</f>
        <v>0</v>
      </c>
      <c r="AB57" s="160">
        <f>IFERROR(INDEX(镶嵌库!$C$5:$M$13,基础面板属性!$D57+1,IF(LEFT(基础面板属性!$C57,2)&amp;"值"=基础面板属性!AB$1,MATCH(基础面板属性!$C57,镶嵌库!$C$4:$M$4,0),-1)),0)</f>
        <v>0</v>
      </c>
      <c r="AC57" s="160">
        <f>IFERROR(INDEX(镶嵌库!$C$5:$M$13,基础面板属性!$D57+1,IF(LEFT(基础面板属性!$C57,2)&amp;"值"=基础面板属性!AC$1,MATCH(基础面板属性!$C57,镶嵌库!$C$4:$M$4,0),-1)),0)</f>
        <v>0</v>
      </c>
      <c r="AD57" s="160">
        <f>IFERROR(INDEX(镶嵌库!$C$5:$M$13,基础面板属性!$D57+1,IF(LEFT(基础面板属性!$C57,2)&amp;"值"=基础面板属性!AD$1,MATCH(基础面板属性!$C57,镶嵌库!$C$4:$M$4,0),-1)),0)</f>
        <v>0</v>
      </c>
      <c r="AE57" s="160">
        <f>IFERROR(INDEX(镶嵌库!$C$5:$M$13,基础面板属性!$D57+1,IF(LEFT(基础面板属性!$C57,2)&amp;"值"=基础面板属性!AE$1,MATCH(基础面板属性!$C57,镶嵌库!$C$4:$M$4,0),-1)),0)</f>
        <v>0</v>
      </c>
      <c r="AF57" s="160">
        <f>IFERROR(INDEX(镶嵌库!$C$5:$M$13,基础面板属性!$D57+1,IF(LEFT(基础面板属性!$C57,2)&amp;"值"=基础面板属性!AF$1,MATCH(基础面板属性!$C57,镶嵌库!$C$4:$M$4,0),-1)),0)</f>
        <v>0</v>
      </c>
      <c r="AG57" s="160">
        <f>IFERROR(INDEX(镶嵌库!$C$5:$M$13,基础面板属性!$D57+1,IF(LEFT(基础面板属性!$C57,2)&amp;"值"=基础面板属性!AG$1,MATCH(基础面板属性!$C57,镶嵌库!$C$4:$M$4,0),-1)),0)</f>
        <v>0</v>
      </c>
      <c r="AH57" s="160">
        <f>IFERROR(INDEX(镶嵌库!$C$5:$M$13,基础面板属性!$D57+1,IF(LEFT(基础面板属性!$C57,2)&amp;"值"=基础面板属性!AH$1,MATCH(基础面板属性!$C57,镶嵌库!$C$4:$M$4,0),-1)),0)</f>
        <v>0</v>
      </c>
      <c r="AI57" s="160">
        <f>IFERROR(INDEX(镶嵌库!$C$5:$M$13,基础面板属性!$D57+1,IF(LEFT(基础面板属性!$C57,2)&amp;"值"=基础面板属性!AI$1,MATCH(基础面板属性!$C57,镶嵌库!$C$4:$M$4,0),-1)),0)</f>
        <v>0</v>
      </c>
      <c r="AJ57" s="160">
        <f>IFERROR(INDEX(镶嵌库!$C$5:$M$13,基础面板属性!$D57+1,IF(LEFT(基础面板属性!$C57,2)&amp;"值"=基础面板属性!AJ$1,MATCH(基础面板属性!$C57,镶嵌库!$C$4:$M$4,0),-1)),0)</f>
        <v>0</v>
      </c>
      <c r="AK57" s="160">
        <f>IFERROR(INDEX(镶嵌库!$C$5:$M$13,基础面板属性!$D57+1,IF(LEFT(基础面板属性!$C57,2)&amp;"值"=基础面板属性!AK$1,MATCH(基础面板属性!$C57,镶嵌库!$C$4:$M$4,0),-1)),0)</f>
        <v>0</v>
      </c>
      <c r="AL57" s="160">
        <f>IFERROR(INDEX(镶嵌库!$C$5:$M$13,基础面板属性!$D57+1,IF(LEFT(基础面板属性!$C57,2)&amp;"值"=基础面板属性!AL$1,MATCH(基础面板属性!$C57,镶嵌库!$C$4:$M$4,0),-1)),0)</f>
        <v>0</v>
      </c>
      <c r="AM57" s="160">
        <f>IFERROR(INDEX(镶嵌库!$C$5:$M$13,基础面板属性!$D57+1,IF(LEFT(基础面板属性!$C57,2)&amp;"值"=基础面板属性!AM$1,MATCH(基础面板属性!$C57,镶嵌库!$C$4:$M$4,0),-1)),0)</f>
        <v>0</v>
      </c>
      <c r="AN57" s="160">
        <f>IFERROR(INDEX(镶嵌库!$C$5:$M$13,基础面板属性!$D57+1,IF(LEFT(基础面板属性!$C57,2)&amp;"值"=基础面板属性!AN$1,MATCH(基础面板属性!$C57,镶嵌库!$C$4:$M$4,0),-1)),0)</f>
        <v>0</v>
      </c>
      <c r="AO57" s="160">
        <f>IFERROR(INDEX(镶嵌库!$C$5:$M$13,基础面板属性!$D57+1,IF(LEFT(基础面板属性!$C57,2)&amp;"值"=基础面板属性!AO$1,MATCH(基础面板属性!$C57,镶嵌库!$C$4:$M$4,0),-1)),0)</f>
        <v>0</v>
      </c>
      <c r="AP57" s="160">
        <f>IFERROR(INDEX(镶嵌库!$C$5:$M$13,基础面板属性!$D57+1,IF(LEFT(基础面板属性!$C57,2)&amp;"值"=基础面板属性!AP$1,MATCH(基础面板属性!$C57,镶嵌库!$C$4:$M$4,0),-1)),0)</f>
        <v>0</v>
      </c>
      <c r="AU57" s="160">
        <f>IFERROR(INDEX(镶嵌库!$C$5:$M$13,基础面板属性!$D57+1,IF(LEFT(基础面板属性!$C57,2)&amp;"值"=基础面板属性!AU$1,MATCH(基础面板属性!$C57,镶嵌库!$C$4:$M$4,0),-1)),0)</f>
        <v>0</v>
      </c>
      <c r="AV57" s="160">
        <f>IFERROR(INDEX(镶嵌库!$C$5:$M$13,基础面板属性!$D57+1,IF(LEFT(基础面板属性!$C57,2)&amp;"值"=基础面板属性!AV$1,MATCH(基础面板属性!$C57,镶嵌库!$C$4:$M$4,0),-1)),0)</f>
        <v>0</v>
      </c>
      <c r="AW57" s="160">
        <f>IFERROR(INDEX(镶嵌库!$C$5:$M$13,基础面板属性!$D57+1,IF(LEFT(基础面板属性!$C57,2)&amp;"值"=基础面板属性!AW$1,MATCH(基础面板属性!$C57,镶嵌库!$C$4:$M$4,0),-1)),0)</f>
        <v>0</v>
      </c>
      <c r="AX57" s="160">
        <f>IFERROR(INDEX(镶嵌库!$C$5:$M$13,基础面板属性!$D57+1,IF(LEFT(基础面板属性!$C57,2)&amp;"值"=基础面板属性!AX$1,MATCH(基础面板属性!$C57,镶嵌库!$C$4:$M$4,0),-1)),0)</f>
        <v>0</v>
      </c>
      <c r="AY57" s="160">
        <f>IFERROR(INDEX(镶嵌库!$C$5:$M$13,基础面板属性!$D57+1,IF(LEFT(基础面板属性!$C57,2)&amp;"值"=基础面板属性!AY$1,MATCH(基础面板属性!$C57,镶嵌库!$C$4:$M$4,0),-1)),0)</f>
        <v>0</v>
      </c>
      <c r="AZ57" s="160">
        <f>IFERROR(INDEX(镶嵌库!$C$5:$M$13,基础面板属性!$D57+1,IF(LEFT(基础面板属性!$C57,2)&amp;"值"=基础面板属性!AZ$1,MATCH(基础面板属性!$C57,镶嵌库!$C$4:$M$4,0),-1)),0)</f>
        <v>0</v>
      </c>
      <c r="BA57" s="160">
        <f>IFERROR(INDEX(镶嵌库!$C$5:$M$13,基础面板属性!$D57+1,IF(LEFT(基础面板属性!$C57,2)&amp;"值"=基础面板属性!BA$1,MATCH(基础面板属性!$C57,镶嵌库!$C$4:$M$4,0),-1)),0)</f>
        <v>0</v>
      </c>
      <c r="BB57" s="160">
        <f>IFERROR(INDEX(镶嵌库!$C$5:$M$13,基础面板属性!$D57+1,IF(LEFT(基础面板属性!$C57,2)&amp;"值"=基础面板属性!BB$1,MATCH(基础面板属性!$C57,镶嵌库!$C$4:$M$4,0),-1)),0)</f>
        <v>0</v>
      </c>
      <c r="BC57" s="160">
        <f>IFERROR(INDEX(镶嵌库!$C$5:$M$13,基础面板属性!$D57+1,IF(LEFT(基础面板属性!$C57,2)&amp;"值"=基础面板属性!BC$1,MATCH(基础面板属性!$C57,镶嵌库!$C$4:$M$4,0),-1)),0)</f>
        <v>0</v>
      </c>
      <c r="BD57" s="160">
        <f>IFERROR(INDEX(镶嵌库!$C$5:$M$13,基础面板属性!$D57+1,IF(LEFT(基础面板属性!$C57,2)&amp;"值"=基础面板属性!BD$1,MATCH(基础面板属性!$C57,镶嵌库!$C$4:$M$4,0),-1)),0)</f>
        <v>0</v>
      </c>
    </row>
    <row r="58" spans="1:56">
      <c r="A58" s="160" t="str">
        <f>A56</f>
        <v>重剑</v>
      </c>
      <c r="B58" s="160" t="s">
        <v>2105</v>
      </c>
      <c r="C58" s="160" t="str">
        <f>装备选择!T14</f>
        <v>破防孔</v>
      </c>
      <c r="D58" s="160">
        <f>IF(C58="",0,IF(配装计算器!$K$32&lt;&gt;"不使用",镶嵌库!$Y$17,IFERROR(1*(LEFT(配装计算器!C32,1)),0)))</f>
        <v>8</v>
      </c>
      <c r="E58" s="160">
        <f>IFERROR(INDEX(镶嵌库!$C$5:$M$13,基础面板属性!$D58+1,IF(LEFT(基础面板属性!$C58,2)&amp;"值"=基础面板属性!E$1,MATCH(基础面板属性!$C58,镶嵌库!$C$4:$M$4,0),-1)),0)</f>
        <v>0</v>
      </c>
      <c r="F58" s="160">
        <f>IFERROR(INDEX(镶嵌库!$C$5:$M$13,基础面板属性!$D58+1,IF(LEFT(基础面板属性!$C58,2)&amp;"值"=基础面板属性!F$1,MATCH(基础面板属性!$C58,镶嵌库!$C$4:$M$4,0),-1)),0)</f>
        <v>0</v>
      </c>
      <c r="G58" s="160">
        <f>IFERROR(INDEX(镶嵌库!$C$5:$M$13,基础面板属性!$D58+1,IF(LEFT(基础面板属性!$C58,2)&amp;"值"=基础面板属性!G$1,MATCH(基础面板属性!$C58,镶嵌库!$C$4:$M$4,0),-1)),0)</f>
        <v>0</v>
      </c>
      <c r="H58" s="160">
        <f>IFERROR(INDEX(镶嵌库!$C$5:$M$13,基础面板属性!$D58+1,IF(LEFT(基础面板属性!$C58,2)&amp;"值"=基础面板属性!H$1,MATCH(基础面板属性!$C58,镶嵌库!$C$4:$M$4,0),-1)),0)</f>
        <v>0</v>
      </c>
      <c r="I58" s="160">
        <f>IFERROR(INDEX(镶嵌库!$C$5:$M$13,基础面板属性!$D58+1,IF(LEFT(基础面板属性!$C58,2)&amp;"值"=基础面板属性!I$1,MATCH(基础面板属性!$C58,镶嵌库!$C$4:$M$4,0),-1)),0)</f>
        <v>0</v>
      </c>
      <c r="J58" s="160">
        <f>IFERROR(INDEX(镶嵌库!$C$5:$M$13,基础面板属性!$D58+1,IF(LEFT(基础面板属性!$C58,2)&amp;"值"=基础面板属性!J$1,MATCH(基础面板属性!$C58,镶嵌库!$C$4:$M$4,0),-1)),0)</f>
        <v>0</v>
      </c>
      <c r="K58" s="160">
        <f>IFERROR(INDEX(镶嵌库!$C$5:$M$13,基础面板属性!$D58+1,IF(LEFT(基础面板属性!$C58,2)&amp;"值"=基础面板属性!K$1,MATCH(基础面板属性!$C58,镶嵌库!$C$4:$M$4,0),-1)),0)</f>
        <v>0</v>
      </c>
      <c r="L58" s="160">
        <f>IFERROR(INDEX(镶嵌库!$C$5:$M$13,基础面板属性!$D58+1,IF(LEFT(基础面板属性!$C58,2)&amp;"值"=基础面板属性!L$1,MATCH(基础面板属性!$C58,镶嵌库!$C$4:$M$4,0),-1)),0)</f>
        <v>0</v>
      </c>
      <c r="M58" s="160">
        <f>IFERROR(INDEX(镶嵌库!$C$5:$M$13,基础面板属性!$D58+1,IF(LEFT(基础面板属性!$C58,2)&amp;"值"=基础面板属性!M$1,MATCH(基础面板属性!$C58,镶嵌库!$C$4:$M$4,0),-1)),0)</f>
        <v>0</v>
      </c>
      <c r="N58" s="160">
        <f>IFERROR(INDEX(镶嵌库!$C$5:$M$13,基础面板属性!$D58+1,IF(LEFT(基础面板属性!$C58,2)&amp;"值"=基础面板属性!N$1,MATCH(基础面板属性!$C58,镶嵌库!$C$4:$M$4,0),-1)),0)</f>
        <v>0</v>
      </c>
      <c r="O58" s="160">
        <f>IFERROR(INDEX(镶嵌库!$C$5:$M$13,基础面板属性!$D58+1,IF(LEFT(基础面板属性!$C58,2)&amp;"值"=基础面板属性!O$1,MATCH(基础面板属性!$C58,镶嵌库!$C$4:$M$4,0),-1)),0)</f>
        <v>0</v>
      </c>
      <c r="P58" s="160">
        <f>IFERROR(INDEX(镶嵌库!$C$5:$M$13,基础面板属性!$D58+1,IF(LEFT(基础面板属性!$C58,2)&amp;"值"=基础面板属性!P$1,MATCH(基础面板属性!$C58,镶嵌库!$C$4:$M$4,0),-1)),0)</f>
        <v>0</v>
      </c>
      <c r="Q58" s="160">
        <f>IFERROR(INDEX(镶嵌库!$C$5:$M$13,基础面板属性!$D58+1,IF(LEFT(基础面板属性!$C58,2)&amp;"值"=基础面板属性!Q$1,MATCH(基础面板属性!$C58,镶嵌库!$C$4:$M$4,0),-1)),0)</f>
        <v>0</v>
      </c>
      <c r="R58" s="160">
        <f>IFERROR(INDEX(镶嵌库!$C$5:$M$13,基础面板属性!$D58+1,IF(LEFT(基础面板属性!$C58,2)&amp;"值"=基础面板属性!R$1,MATCH(基础面板属性!$C58,镶嵌库!$C$4:$M$4,0),-1)),0)</f>
        <v>0</v>
      </c>
      <c r="S58" s="160">
        <f>IFERROR(INDEX(镶嵌库!$C$5:$M$13,基础面板属性!$D58+1,IF(LEFT(基础面板属性!$C58,2)&amp;"值"=基础面板属性!S$1,MATCH(基础面板属性!$C58,镶嵌库!$C$4:$M$4,0),-1)),0)</f>
        <v>0</v>
      </c>
      <c r="T58" s="160">
        <f>IFERROR(INDEX(镶嵌库!$C$5:$M$13,基础面板属性!$D58+1,IF(LEFT(基础面板属性!$C58,2)&amp;"值"=基础面板属性!T$1,MATCH(基础面板属性!$C58,镶嵌库!$C$4:$M$4,0),-1)),0)</f>
        <v>0</v>
      </c>
      <c r="U58" s="160">
        <f>IFERROR(INDEX(镶嵌库!$C$5:$M$13,基础面板属性!$D58+1,IF(LEFT(基础面板属性!$C58,2)&amp;"值"=基础面板属性!U$1,MATCH(基础面板属性!$C58,镶嵌库!$C$4:$M$4,0),-1)),0)</f>
        <v>0</v>
      </c>
      <c r="V58" s="160">
        <f>IFERROR(INDEX(镶嵌库!$C$5:$M$13,基础面板属性!$D58+1,IF(LEFT(基础面板属性!$C58,2)&amp;"值"=基础面板属性!V$1,MATCH(基础面板属性!$C58,镶嵌库!$C$4:$M$4,0),-1)),0)</f>
        <v>0</v>
      </c>
      <c r="W58" s="160">
        <f>IFERROR(INDEX(镶嵌库!$C$5:$M$13,基础面板属性!$D58+1,IF(LEFT(基础面板属性!$C58,2)&amp;"值"=基础面板属性!W$1,MATCH(基础面板属性!$C58,镶嵌库!$C$4:$M$4,0),-1)),0)</f>
        <v>0</v>
      </c>
      <c r="X58" s="160">
        <f>IFERROR(INDEX(镶嵌库!$C$5:$M$13,基础面板属性!$D58+1,IF(LEFT(基础面板属性!$C58,2)&amp;"值"=基础面板属性!X$1,MATCH(基础面板属性!$C58,镶嵌库!$C$4:$M$4,0),-1)),0)</f>
        <v>0</v>
      </c>
      <c r="Y58" s="160">
        <f>IFERROR(INDEX(镶嵌库!$C$5:$M$13,基础面板属性!$D58+1,IF(LEFT(基础面板属性!$C58,2)&amp;"值"=基础面板属性!Y$1,MATCH(基础面板属性!$C58,镶嵌库!$C$4:$M$4,0),-1)),0)</f>
        <v>0</v>
      </c>
      <c r="Z58" s="160">
        <f>IFERROR(INDEX(镶嵌库!$C$5:$M$13,基础面板属性!$D58+1,IF(LEFT(基础面板属性!$C58,2)&amp;"值"=基础面板属性!Z$1,MATCH(基础面板属性!$C58,镶嵌库!$C$4:$M$4,0),-1)),0)</f>
        <v>0</v>
      </c>
      <c r="AA58" s="160">
        <f>IFERROR(INDEX(镶嵌库!$C$5:$M$13,基础面板属性!$D58+1,IF(LEFT(基础面板属性!$C58,2)&amp;"值"=基础面板属性!AA$1,MATCH(基础面板属性!$C58,镶嵌库!$C$4:$M$4,0),-1)),0)</f>
        <v>0</v>
      </c>
      <c r="AB58" s="160">
        <f>IFERROR(INDEX(镶嵌库!$C$5:$M$13,基础面板属性!$D58+1,IF(LEFT(基础面板属性!$C58,2)&amp;"值"=基础面板属性!AB$1,MATCH(基础面板属性!$C58,镶嵌库!$C$4:$M$4,0),-1)),0)</f>
        <v>0</v>
      </c>
      <c r="AC58" s="160">
        <f>IFERROR(INDEX(镶嵌库!$C$5:$M$13,基础面板属性!$D58+1,IF(LEFT(基础面板属性!$C58,2)&amp;"值"=基础面板属性!AC$1,MATCH(基础面板属性!$C58,镶嵌库!$C$4:$M$4,0),-1)),0)</f>
        <v>1317</v>
      </c>
      <c r="AD58" s="160">
        <f>IFERROR(INDEX(镶嵌库!$C$5:$M$13,基础面板属性!$D58+1,IF(LEFT(基础面板属性!$C58,2)&amp;"值"=基础面板属性!AD$1,MATCH(基础面板属性!$C58,镶嵌库!$C$4:$M$4,0),-1)),0)</f>
        <v>0</v>
      </c>
      <c r="AE58" s="160">
        <f>IFERROR(INDEX(镶嵌库!$C$5:$M$13,基础面板属性!$D58+1,IF(LEFT(基础面板属性!$C58,2)&amp;"值"=基础面板属性!AE$1,MATCH(基础面板属性!$C58,镶嵌库!$C$4:$M$4,0),-1)),0)</f>
        <v>0</v>
      </c>
      <c r="AF58" s="160">
        <f>IFERROR(INDEX(镶嵌库!$C$5:$M$13,基础面板属性!$D58+1,IF(LEFT(基础面板属性!$C58,2)&amp;"值"=基础面板属性!AF$1,MATCH(基础面板属性!$C58,镶嵌库!$C$4:$M$4,0),-1)),0)</f>
        <v>0</v>
      </c>
      <c r="AG58" s="160">
        <f>IFERROR(INDEX(镶嵌库!$C$5:$M$13,基础面板属性!$D58+1,IF(LEFT(基础面板属性!$C58,2)&amp;"值"=基础面板属性!AG$1,MATCH(基础面板属性!$C58,镶嵌库!$C$4:$M$4,0),-1)),0)</f>
        <v>0</v>
      </c>
      <c r="AH58" s="160">
        <f>IFERROR(INDEX(镶嵌库!$C$5:$M$13,基础面板属性!$D58+1,IF(LEFT(基础面板属性!$C58,2)&amp;"值"=基础面板属性!AH$1,MATCH(基础面板属性!$C58,镶嵌库!$C$4:$M$4,0),-1)),0)</f>
        <v>0</v>
      </c>
      <c r="AI58" s="160">
        <f>IFERROR(INDEX(镶嵌库!$C$5:$M$13,基础面板属性!$D58+1,IF(LEFT(基础面板属性!$C58,2)&amp;"值"=基础面板属性!AI$1,MATCH(基础面板属性!$C58,镶嵌库!$C$4:$M$4,0),-1)),0)</f>
        <v>0</v>
      </c>
      <c r="AJ58" s="160">
        <f>IFERROR(INDEX(镶嵌库!$C$5:$M$13,基础面板属性!$D58+1,IF(LEFT(基础面板属性!$C58,2)&amp;"值"=基础面板属性!AJ$1,MATCH(基础面板属性!$C58,镶嵌库!$C$4:$M$4,0),-1)),0)</f>
        <v>0</v>
      </c>
      <c r="AK58" s="160">
        <f>IFERROR(INDEX(镶嵌库!$C$5:$M$13,基础面板属性!$D58+1,IF(LEFT(基础面板属性!$C58,2)&amp;"值"=基础面板属性!AK$1,MATCH(基础面板属性!$C58,镶嵌库!$C$4:$M$4,0),-1)),0)</f>
        <v>0</v>
      </c>
      <c r="AL58" s="160">
        <f>IFERROR(INDEX(镶嵌库!$C$5:$M$13,基础面板属性!$D58+1,IF(LEFT(基础面板属性!$C58,2)&amp;"值"=基础面板属性!AL$1,MATCH(基础面板属性!$C58,镶嵌库!$C$4:$M$4,0),-1)),0)</f>
        <v>0</v>
      </c>
      <c r="AM58" s="160">
        <f>IFERROR(INDEX(镶嵌库!$C$5:$M$13,基础面板属性!$D58+1,IF(LEFT(基础面板属性!$C58,2)&amp;"值"=基础面板属性!AM$1,MATCH(基础面板属性!$C58,镶嵌库!$C$4:$M$4,0),-1)),0)</f>
        <v>0</v>
      </c>
      <c r="AN58" s="160">
        <f>IFERROR(INDEX(镶嵌库!$C$5:$M$13,基础面板属性!$D58+1,IF(LEFT(基础面板属性!$C58,2)&amp;"值"=基础面板属性!AN$1,MATCH(基础面板属性!$C58,镶嵌库!$C$4:$M$4,0),-1)),0)</f>
        <v>0</v>
      </c>
      <c r="AO58" s="160">
        <f>IFERROR(INDEX(镶嵌库!$C$5:$M$13,基础面板属性!$D58+1,IF(LEFT(基础面板属性!$C58,2)&amp;"值"=基础面板属性!AO$1,MATCH(基础面板属性!$C58,镶嵌库!$C$4:$M$4,0),-1)),0)</f>
        <v>0</v>
      </c>
      <c r="AP58" s="160">
        <f>IFERROR(INDEX(镶嵌库!$C$5:$M$13,基础面板属性!$D58+1,IF(LEFT(基础面板属性!$C58,2)&amp;"值"=基础面板属性!AP$1,MATCH(基础面板属性!$C58,镶嵌库!$C$4:$M$4,0),-1)),0)</f>
        <v>0</v>
      </c>
      <c r="AU58" s="160">
        <f>IFERROR(INDEX(镶嵌库!$C$5:$M$13,基础面板属性!$D58+1,IF(LEFT(基础面板属性!$C58,2)&amp;"值"=基础面板属性!AU$1,MATCH(基础面板属性!$C58,镶嵌库!$C$4:$M$4,0),-1)),0)</f>
        <v>0</v>
      </c>
      <c r="AV58" s="160">
        <f>IFERROR(INDEX(镶嵌库!$C$5:$M$13,基础面板属性!$D58+1,IF(LEFT(基础面板属性!$C58,2)&amp;"值"=基础面板属性!AV$1,MATCH(基础面板属性!$C58,镶嵌库!$C$4:$M$4,0),-1)),0)</f>
        <v>0</v>
      </c>
      <c r="AW58" s="160">
        <f>IFERROR(INDEX(镶嵌库!$C$5:$M$13,基础面板属性!$D58+1,IF(LEFT(基础面板属性!$C58,2)&amp;"值"=基础面板属性!AW$1,MATCH(基础面板属性!$C58,镶嵌库!$C$4:$M$4,0),-1)),0)</f>
        <v>0</v>
      </c>
      <c r="AX58" s="160">
        <f>IFERROR(INDEX(镶嵌库!$C$5:$M$13,基础面板属性!$D58+1,IF(LEFT(基础面板属性!$C58,2)&amp;"值"=基础面板属性!AX$1,MATCH(基础面板属性!$C58,镶嵌库!$C$4:$M$4,0),-1)),0)</f>
        <v>0</v>
      </c>
      <c r="AY58" s="160">
        <f>IFERROR(INDEX(镶嵌库!$C$5:$M$13,基础面板属性!$D58+1,IF(LEFT(基础面板属性!$C58,2)&amp;"值"=基础面板属性!AY$1,MATCH(基础面板属性!$C58,镶嵌库!$C$4:$M$4,0),-1)),0)</f>
        <v>0</v>
      </c>
      <c r="AZ58" s="160">
        <f>IFERROR(INDEX(镶嵌库!$C$5:$M$13,基础面板属性!$D58+1,IF(LEFT(基础面板属性!$C58,2)&amp;"值"=基础面板属性!AZ$1,MATCH(基础面板属性!$C58,镶嵌库!$C$4:$M$4,0),-1)),0)</f>
        <v>0</v>
      </c>
      <c r="BA58" s="160">
        <f>IFERROR(INDEX(镶嵌库!$C$5:$M$13,基础面板属性!$D58+1,IF(LEFT(基础面板属性!$C58,2)&amp;"值"=基础面板属性!BA$1,MATCH(基础面板属性!$C58,镶嵌库!$C$4:$M$4,0),-1)),0)</f>
        <v>0</v>
      </c>
      <c r="BB58" s="160">
        <f>IFERROR(INDEX(镶嵌库!$C$5:$M$13,基础面板属性!$D58+1,IF(LEFT(基础面板属性!$C58,2)&amp;"值"=基础面板属性!BB$1,MATCH(基础面板属性!$C58,镶嵌库!$C$4:$M$4,0),-1)),0)</f>
        <v>0</v>
      </c>
      <c r="BC58" s="160">
        <f>IFERROR(INDEX(镶嵌库!$C$5:$M$13,基础面板属性!$D58+1,IF(LEFT(基础面板属性!$C58,2)&amp;"值"=基础面板属性!BC$1,MATCH(基础面板属性!$C58,镶嵌库!$C$4:$M$4,0),-1)),0)</f>
        <v>0</v>
      </c>
      <c r="BD58" s="160">
        <f>IFERROR(INDEX(镶嵌库!$C$5:$M$13,基础面板属性!$D58+1,IF(LEFT(基础面板属性!$C58,2)&amp;"值"=基础面板属性!BD$1,MATCH(基础面板属性!$C58,镶嵌库!$C$4:$M$4,0),-1)),0)</f>
        <v>0</v>
      </c>
    </row>
    <row r="59" spans="1:56">
      <c r="A59" s="160" t="str">
        <f>A55</f>
        <v>重剑</v>
      </c>
      <c r="B59" s="160" t="s">
        <v>2106</v>
      </c>
      <c r="C59" s="160" t="str">
        <f>IF(附魔库!$W$17="武器伤害","武器伤害",附魔库!$W$17&amp;"值")</f>
        <v>攻击值</v>
      </c>
      <c r="D59" s="160">
        <f>附魔库!X17</f>
        <v>891</v>
      </c>
      <c r="E59" s="160">
        <f>IF(OR($C59=E$1,$C59&amp;"大"=E$1,$C59&amp;"小"=E$1),$D59,0)</f>
        <v>0</v>
      </c>
      <c r="F59" s="160">
        <f t="shared" ref="F59:BD59" si="10">IF(OR($C59=F$1,$C59&amp;"大"=F$1,$C59&amp;"小"=F$1),$D59,0)</f>
        <v>0</v>
      </c>
      <c r="G59" s="160">
        <f t="shared" si="10"/>
        <v>0</v>
      </c>
      <c r="H59" s="160">
        <f t="shared" si="10"/>
        <v>0</v>
      </c>
      <c r="I59" s="160">
        <f t="shared" si="10"/>
        <v>0</v>
      </c>
      <c r="J59" s="160">
        <f t="shared" si="10"/>
        <v>0</v>
      </c>
      <c r="K59" s="160">
        <f t="shared" si="10"/>
        <v>0</v>
      </c>
      <c r="L59" s="160">
        <f t="shared" si="10"/>
        <v>0</v>
      </c>
      <c r="M59" s="160">
        <f t="shared" si="10"/>
        <v>0</v>
      </c>
      <c r="N59" s="160">
        <f t="shared" si="10"/>
        <v>0</v>
      </c>
      <c r="O59" s="160">
        <f t="shared" si="10"/>
        <v>0</v>
      </c>
      <c r="P59" s="160">
        <f t="shared" si="10"/>
        <v>0</v>
      </c>
      <c r="Q59" s="160">
        <f t="shared" si="10"/>
        <v>0</v>
      </c>
      <c r="R59" s="160">
        <f t="shared" si="10"/>
        <v>0</v>
      </c>
      <c r="S59" s="160">
        <f t="shared" si="10"/>
        <v>891</v>
      </c>
      <c r="T59" s="160">
        <f t="shared" si="10"/>
        <v>0</v>
      </c>
      <c r="U59" s="160">
        <f t="shared" si="10"/>
        <v>0</v>
      </c>
      <c r="V59" s="160">
        <f t="shared" si="10"/>
        <v>0</v>
      </c>
      <c r="W59" s="160">
        <f t="shared" si="10"/>
        <v>0</v>
      </c>
      <c r="X59" s="160">
        <f t="shared" si="10"/>
        <v>0</v>
      </c>
      <c r="Y59" s="160">
        <f t="shared" si="10"/>
        <v>0</v>
      </c>
      <c r="Z59" s="160">
        <f t="shared" si="10"/>
        <v>0</v>
      </c>
      <c r="AA59" s="160">
        <f t="shared" si="10"/>
        <v>0</v>
      </c>
      <c r="AB59" s="160">
        <f t="shared" si="10"/>
        <v>0</v>
      </c>
      <c r="AC59" s="160">
        <f t="shared" si="10"/>
        <v>0</v>
      </c>
      <c r="AD59" s="160">
        <f t="shared" si="10"/>
        <v>0</v>
      </c>
      <c r="AE59" s="160">
        <f t="shared" si="10"/>
        <v>0</v>
      </c>
      <c r="AF59" s="160">
        <f t="shared" si="10"/>
        <v>0</v>
      </c>
      <c r="AG59" s="160">
        <f t="shared" si="10"/>
        <v>0</v>
      </c>
      <c r="AH59" s="160">
        <f t="shared" si="10"/>
        <v>0</v>
      </c>
      <c r="AI59" s="160">
        <f t="shared" si="10"/>
        <v>0</v>
      </c>
      <c r="AJ59" s="160">
        <f t="shared" si="10"/>
        <v>0</v>
      </c>
      <c r="AK59" s="160">
        <f t="shared" si="10"/>
        <v>0</v>
      </c>
      <c r="AL59" s="160">
        <f t="shared" si="10"/>
        <v>0</v>
      </c>
      <c r="AM59" s="160">
        <f t="shared" si="10"/>
        <v>0</v>
      </c>
      <c r="AN59" s="160">
        <f t="shared" si="10"/>
        <v>0</v>
      </c>
      <c r="AO59" s="160">
        <f t="shared" si="10"/>
        <v>0</v>
      </c>
      <c r="AP59" s="160">
        <f t="shared" si="10"/>
        <v>0</v>
      </c>
      <c r="AU59" s="160">
        <f t="shared" si="10"/>
        <v>0</v>
      </c>
      <c r="AV59" s="160">
        <f t="shared" si="10"/>
        <v>0</v>
      </c>
      <c r="AW59" s="160">
        <f t="shared" si="10"/>
        <v>0</v>
      </c>
      <c r="AX59" s="160">
        <f t="shared" si="10"/>
        <v>0</v>
      </c>
      <c r="AY59" s="160">
        <f t="shared" si="10"/>
        <v>0</v>
      </c>
      <c r="AZ59" s="160">
        <f t="shared" si="10"/>
        <v>0</v>
      </c>
      <c r="BA59" s="160">
        <f t="shared" si="10"/>
        <v>0</v>
      </c>
      <c r="BB59" s="160">
        <f t="shared" si="10"/>
        <v>0</v>
      </c>
      <c r="BC59" s="160">
        <f t="shared" si="10"/>
        <v>0</v>
      </c>
      <c r="BD59" s="160">
        <f t="shared" si="10"/>
        <v>0</v>
      </c>
    </row>
    <row r="60" spans="1:56">
      <c r="A60" s="160" t="str">
        <f>A55</f>
        <v>重剑</v>
      </c>
      <c r="B60" s="160" t="s">
        <v>2107</v>
      </c>
      <c r="C60" s="160" t="str">
        <f>配装计算器!G31</f>
        <v>破防</v>
      </c>
      <c r="D60" s="160" t="str">
        <f>配装计算器!$G$30&amp;镶嵌库!U17*镶嵌库!$U$16</f>
        <v>陆1</v>
      </c>
      <c r="E60" s="160">
        <f>IFERROR(INDEX(镶嵌库!$C$16:$O$25,MATCH(基础面板属性!$D60,镶嵌库!$C$16:$C$25,0),IF(OR($C60=E$1,LEFT(基础面板属性!$C60,2)&amp;"值"=基础面板属性!E$1,基础面板属性!$C60&amp;"小"=基础面板属性!E$1,基础面板属性!$C60&amp;"大"=基础面板属性!E$1),MATCH(基础面板属性!$C60,镶嵌库!$C$16:$O$16,0),-1)),0)</f>
        <v>0</v>
      </c>
      <c r="F60" s="160">
        <f>IFERROR(INDEX(镶嵌库!$C$16:$O$25,MATCH(基础面板属性!$D60,镶嵌库!$C$16:$C$25,0),IF(OR($C60=F$1,LEFT(基础面板属性!$C60,2)&amp;"值"=基础面板属性!F$1,基础面板属性!$C60&amp;"小"=基础面板属性!F$1,基础面板属性!$C60&amp;"大"=基础面板属性!F$1),MATCH(基础面板属性!$C60,镶嵌库!$C$16:$O$16,0),-1)),0)</f>
        <v>0</v>
      </c>
      <c r="G60" s="160">
        <f>IFERROR(INDEX(镶嵌库!$C$16:$O$25,MATCH(基础面板属性!$D60,镶嵌库!$C$16:$C$25,0),IF(OR($C60=G$1,LEFT(基础面板属性!$C60,2)&amp;"值"=基础面板属性!G$1,基础面板属性!$C60&amp;"小"=基础面板属性!G$1,基础面板属性!$C60&amp;"大"=基础面板属性!G$1),MATCH(基础面板属性!$C60,镶嵌库!$C$16:$O$16,0),-1)),0)</f>
        <v>0</v>
      </c>
      <c r="H60" s="160">
        <f>IFERROR(INDEX(镶嵌库!$C$16:$O$25,MATCH(基础面板属性!$D60,镶嵌库!$C$16:$C$25,0),IF(OR($C60=H$1,LEFT(基础面板属性!$C60,2)&amp;"值"=基础面板属性!H$1,基础面板属性!$C60&amp;"小"=基础面板属性!H$1,基础面板属性!$C60&amp;"大"=基础面板属性!H$1),MATCH(基础面板属性!$C60,镶嵌库!$C$16:$O$16,0),-1)),0)</f>
        <v>0</v>
      </c>
      <c r="I60" s="160">
        <f>IFERROR(INDEX(镶嵌库!$C$16:$O$25,MATCH(基础面板属性!$D60,镶嵌库!$C$16:$C$25,0),IF(OR($C60=I$1,LEFT(基础面板属性!$C60,2)&amp;"值"=基础面板属性!I$1,基础面板属性!$C60&amp;"小"=基础面板属性!I$1,基础面板属性!$C60&amp;"大"=基础面板属性!I$1),MATCH(基础面板属性!$C60,镶嵌库!$C$16:$O$16,0),-1)),0)</f>
        <v>0</v>
      </c>
      <c r="J60" s="160">
        <f>IFERROR(INDEX(镶嵌库!$C$16:$O$25,MATCH(基础面板属性!$D60,镶嵌库!$C$16:$C$25,0),IF(OR($C60=J$1,LEFT(基础面板属性!$C60,2)&amp;"值"=基础面板属性!J$1,基础面板属性!$C60&amp;"小"=基础面板属性!J$1,基础面板属性!$C60&amp;"大"=基础面板属性!J$1),MATCH(基础面板属性!$C60,镶嵌库!$C$16:$O$16,0),-1)),0)</f>
        <v>0</v>
      </c>
      <c r="K60" s="160">
        <f>IFERROR(INDEX(镶嵌库!$C$16:$O$25,MATCH(基础面板属性!$D60,镶嵌库!$C$16:$C$25,0),IF(OR($C60=K$1,LEFT(基础面板属性!$C60,2)&amp;"值"=基础面板属性!K$1,基础面板属性!$C60&amp;"小"=基础面板属性!K$1,基础面板属性!$C60&amp;"大"=基础面板属性!K$1),MATCH(基础面板属性!$C60,镶嵌库!$C$16:$O$16,0),-1)),0)</f>
        <v>0</v>
      </c>
      <c r="L60" s="160">
        <f>IFERROR(INDEX(镶嵌库!$C$16:$O$25,MATCH(基础面板属性!$D60,镶嵌库!$C$16:$C$25,0),IF(OR($C60=L$1,LEFT(基础面板属性!$C60,2)&amp;"值"=基础面板属性!L$1,基础面板属性!$C60&amp;"小"=基础面板属性!L$1,基础面板属性!$C60&amp;"大"=基础面板属性!L$1),MATCH(基础面板属性!$C60,镶嵌库!$C$16:$O$16,0),-1)),0)</f>
        <v>0</v>
      </c>
      <c r="M60" s="160">
        <f>IFERROR(INDEX(镶嵌库!$C$16:$O$25,MATCH(基础面板属性!$D60,镶嵌库!$C$16:$C$25,0),IF(OR($C60=M$1,LEFT(基础面板属性!$C60,2)&amp;"值"=基础面板属性!M$1,基础面板属性!$C60&amp;"小"=基础面板属性!M$1,基础面板属性!$C60&amp;"大"=基础面板属性!M$1),MATCH(基础面板属性!$C60,镶嵌库!$C$16:$O$16,0),-1)),0)</f>
        <v>0</v>
      </c>
      <c r="N60" s="160">
        <f>IFERROR(INDEX(镶嵌库!$C$16:$O$25,MATCH(基础面板属性!$D60,镶嵌库!$C$16:$C$25,0),IF(OR($C60=N$1,LEFT(基础面板属性!$C60,2)&amp;"值"=基础面板属性!N$1,基础面板属性!$C60&amp;"小"=基础面板属性!N$1,基础面板属性!$C60&amp;"大"=基础面板属性!N$1),MATCH(基础面板属性!$C60,镶嵌库!$C$16:$O$16,0),-1)),0)</f>
        <v>0</v>
      </c>
      <c r="O60" s="160">
        <f>IFERROR(INDEX(镶嵌库!$C$16:$O$25,MATCH(基础面板属性!$D60,镶嵌库!$C$16:$C$25,0),IF(OR($C60=O$1,LEFT(基础面板属性!$C60,2)&amp;"值"=基础面板属性!O$1,基础面板属性!$C60&amp;"小"=基础面板属性!O$1,基础面板属性!$C60&amp;"大"=基础面板属性!O$1),MATCH(基础面板属性!$C60,镶嵌库!$C$16:$O$16,0),-1)),0)</f>
        <v>0</v>
      </c>
      <c r="P60" s="160">
        <f>IFERROR(INDEX(镶嵌库!$C$16:$O$25,MATCH(基础面板属性!$D60,镶嵌库!$C$16:$C$25,0),IF(OR($C60=P$1,LEFT(基础面板属性!$C60,2)&amp;"值"=基础面板属性!P$1,基础面板属性!$C60&amp;"小"=基础面板属性!P$1,基础面板属性!$C60&amp;"大"=基础面板属性!P$1),MATCH(基础面板属性!$C60,镶嵌库!$C$16:$O$16,0),-1)),0)</f>
        <v>0</v>
      </c>
      <c r="Q60" s="160">
        <f>IFERROR(INDEX(镶嵌库!$C$16:$O$25,MATCH(基础面板属性!$D60,镶嵌库!$C$16:$C$25,0),IF(OR($C60=Q$1,LEFT(基础面板属性!$C60,2)&amp;"值"=基础面板属性!Q$1,基础面板属性!$C60&amp;"小"=基础面板属性!Q$1,基础面板属性!$C60&amp;"大"=基础面板属性!Q$1),MATCH(基础面板属性!$C60,镶嵌库!$C$16:$O$16,0),-1)),0)</f>
        <v>0</v>
      </c>
      <c r="R60" s="160">
        <f>IFERROR(INDEX(镶嵌库!$C$16:$O$25,MATCH(基础面板属性!$D60,镶嵌库!$C$16:$C$25,0),IF(OR($C60=R$1,LEFT(基础面板属性!$C60,2)&amp;"值"=基础面板属性!R$1,基础面板属性!$C60&amp;"小"=基础面板属性!R$1,基础面板属性!$C60&amp;"大"=基础面板属性!R$1),MATCH(基础面板属性!$C60,镶嵌库!$C$16:$O$16,0),-1)),0)</f>
        <v>0</v>
      </c>
      <c r="S60" s="160">
        <f>IFERROR(INDEX(镶嵌库!$C$16:$O$25,MATCH(基础面板属性!$D60,镶嵌库!$C$16:$C$25,0),IF(OR($C60=S$1,LEFT(基础面板属性!$C60,2)&amp;"值"=基础面板属性!S$1,基础面板属性!$C60&amp;"小"=基础面板属性!S$1,基础面板属性!$C60&amp;"大"=基础面板属性!S$1),MATCH(基础面板属性!$C60,镶嵌库!$C$16:$O$16,0),-1)),0)</f>
        <v>0</v>
      </c>
      <c r="T60" s="160">
        <f>IFERROR(INDEX(镶嵌库!$C$16:$O$25,MATCH(基础面板属性!$D60,镶嵌库!$C$16:$C$25,0),IF(OR($C60=T$1,LEFT(基础面板属性!$C60,2)&amp;"值"=基础面板属性!T$1,基础面板属性!$C60&amp;"小"=基础面板属性!T$1,基础面板属性!$C60&amp;"大"=基础面板属性!T$1),MATCH(基础面板属性!$C60,镶嵌库!$C$16:$O$16,0),-1)),0)</f>
        <v>0</v>
      </c>
      <c r="U60" s="160">
        <f>IFERROR(INDEX(镶嵌库!$C$16:$O$25,MATCH(基础面板属性!$D60,镶嵌库!$C$16:$C$25,0),IF(OR($C60=U$1,LEFT(基础面板属性!$C60,2)&amp;"值"=基础面板属性!U$1,基础面板属性!$C60&amp;"小"=基础面板属性!U$1,基础面板属性!$C60&amp;"大"=基础面板属性!U$1),MATCH(基础面板属性!$C60,镶嵌库!$C$16:$O$16,0),-1)),0)</f>
        <v>0</v>
      </c>
      <c r="V60" s="160">
        <f>IFERROR(INDEX(镶嵌库!$C$16:$O$25,MATCH(基础面板属性!$D60,镶嵌库!$C$16:$C$25,0),IF(OR($C60=V$1,LEFT(基础面板属性!$C60,2)&amp;"值"=基础面板属性!V$1,基础面板属性!$C60&amp;"小"=基础面板属性!V$1,基础面板属性!$C60&amp;"大"=基础面板属性!V$1),MATCH(基础面板属性!$C60,镶嵌库!$C$16:$O$16,0),-1)),0)</f>
        <v>0</v>
      </c>
      <c r="W60" s="160">
        <f>IFERROR(INDEX(镶嵌库!$C$16:$O$25,MATCH(基础面板属性!$D60,镶嵌库!$C$16:$C$25,0),IF(OR($C60=W$1,LEFT(基础面板属性!$C60,2)&amp;"值"=基础面板属性!W$1,基础面板属性!$C60&amp;"小"=基础面板属性!W$1,基础面板属性!$C60&amp;"大"=基础面板属性!W$1),MATCH(基础面板属性!$C60,镶嵌库!$C$16:$O$16,0),-1)),0)</f>
        <v>0</v>
      </c>
      <c r="X60" s="160">
        <f>IFERROR(INDEX(镶嵌库!$C$16:$O$25,MATCH(基础面板属性!$D60,镶嵌库!$C$16:$C$25,0),IF(OR($C60=X$1,LEFT(基础面板属性!$C60,2)&amp;"值"=基础面板属性!X$1,基础面板属性!$C60&amp;"小"=基础面板属性!X$1,基础面板属性!$C60&amp;"大"=基础面板属性!X$1),MATCH(基础面板属性!$C60,镶嵌库!$C$16:$O$16,0),-1)),0)</f>
        <v>0</v>
      </c>
      <c r="Y60" s="160">
        <f>IFERROR(INDEX(镶嵌库!$C$16:$O$25,MATCH(基础面板属性!$D60,镶嵌库!$C$16:$C$25,0),IF(OR($C60=Y$1,LEFT(基础面板属性!$C60,2)&amp;"值"=基础面板属性!Y$1,基础面板属性!$C60&amp;"小"=基础面板属性!Y$1,基础面板属性!$C60&amp;"大"=基础面板属性!Y$1),MATCH(基础面板属性!$C60,镶嵌库!$C$16:$O$16,0),-1)),0)</f>
        <v>0</v>
      </c>
      <c r="Z60" s="160">
        <f>IFERROR(INDEX(镶嵌库!$C$16:$O$25,MATCH(基础面板属性!$D60,镶嵌库!$C$16:$C$25,0),IF(OR($C60=Z$1,LEFT(基础面板属性!$C60,2)&amp;"值"=基础面板属性!Z$1,基础面板属性!$C60&amp;"小"=基础面板属性!Z$1,基础面板属性!$C60&amp;"大"=基础面板属性!Z$1),MATCH(基础面板属性!$C60,镶嵌库!$C$16:$O$16,0),-1)),0)</f>
        <v>0</v>
      </c>
      <c r="AA60" s="160">
        <f>IFERROR(INDEX(镶嵌库!$C$16:$O$25,MATCH(基础面板属性!$D60,镶嵌库!$C$16:$C$25,0),IF(OR($C60=AA$1,LEFT(基础面板属性!$C60,2)&amp;"值"=基础面板属性!AA$1,基础面板属性!$C60&amp;"小"=基础面板属性!AA$1,基础面板属性!$C60&amp;"大"=基础面板属性!AA$1),MATCH(基础面板属性!$C60,镶嵌库!$C$16:$O$16,0),-1)),0)</f>
        <v>0</v>
      </c>
      <c r="AB60" s="160">
        <f>IFERROR(INDEX(镶嵌库!$C$16:$O$25,MATCH(基础面板属性!$D60,镶嵌库!$C$16:$C$25,0),IF(OR($C60=AB$1,LEFT(基础面板属性!$C60,2)&amp;"值"=基础面板属性!AB$1,基础面板属性!$C60&amp;"小"=基础面板属性!AB$1,基础面板属性!$C60&amp;"大"=基础面板属性!AB$1),MATCH(基础面板属性!$C60,镶嵌库!$C$16:$O$16,0),-1)),0)</f>
        <v>0</v>
      </c>
      <c r="AC60" s="160">
        <f>IFERROR(INDEX(镶嵌库!$C$16:$O$25,MATCH(基础面板属性!$D60,镶嵌库!$C$16:$C$25,0),IF(OR($C60=AC$1,LEFT(基础面板属性!$C60,2)&amp;"值"=基础面板属性!AC$1,基础面板属性!$C60&amp;"小"=基础面板属性!AC$1,基础面板属性!$C60&amp;"大"=基础面板属性!AC$1),MATCH(基础面板属性!$C60,镶嵌库!$C$16:$O$16,0),-1)),0)</f>
        <v>1463</v>
      </c>
      <c r="AD60" s="160">
        <f>IFERROR(INDEX(镶嵌库!$C$16:$O$25,MATCH(基础面板属性!$D60,镶嵌库!$C$16:$C$25,0),IF(OR($C60=AD$1,LEFT(基础面板属性!$C60,2)&amp;"值"=基础面板属性!AD$1,基础面板属性!$C60&amp;"小"=基础面板属性!AD$1,基础面板属性!$C60&amp;"大"=基础面板属性!AD$1),MATCH(基础面板属性!$C60,镶嵌库!$C$16:$O$16,0),-1)),0)</f>
        <v>0</v>
      </c>
      <c r="AE60" s="160">
        <f>IFERROR(INDEX(镶嵌库!$C$16:$O$25,MATCH(基础面板属性!$D60,镶嵌库!$C$16:$C$25,0),IF(OR($C60=AE$1,LEFT(基础面板属性!$C60,2)&amp;"值"=基础面板属性!AE$1,基础面板属性!$C60&amp;"小"=基础面板属性!AE$1,基础面板属性!$C60&amp;"大"=基础面板属性!AE$1),MATCH(基础面板属性!$C60,镶嵌库!$C$16:$O$16,0),-1)),0)</f>
        <v>0</v>
      </c>
      <c r="AF60" s="160">
        <f>IFERROR(INDEX(镶嵌库!$C$16:$O$25,MATCH(基础面板属性!$D60,镶嵌库!$C$16:$C$25,0),IF(OR($C60=AF$1,LEFT(基础面板属性!$C60,2)&amp;"值"=基础面板属性!AF$1,基础面板属性!$C60&amp;"小"=基础面板属性!AF$1,基础面板属性!$C60&amp;"大"=基础面板属性!AF$1),MATCH(基础面板属性!$C60,镶嵌库!$C$16:$O$16,0),-1)),0)</f>
        <v>0</v>
      </c>
      <c r="AG60" s="160">
        <f>IFERROR(INDEX(镶嵌库!$C$16:$O$25,MATCH(基础面板属性!$D60,镶嵌库!$C$16:$C$25,0),IF(OR($C60=AG$1,LEFT(基础面板属性!$C60,2)&amp;"值"=基础面板属性!AG$1,基础面板属性!$C60&amp;"小"=基础面板属性!AG$1,基础面板属性!$C60&amp;"大"=基础面板属性!AG$1),MATCH(基础面板属性!$C60,镶嵌库!$C$16:$O$16,0),-1)),0)</f>
        <v>0</v>
      </c>
      <c r="AH60" s="160">
        <f>IFERROR(INDEX(镶嵌库!$C$16:$O$25,MATCH(基础面板属性!$D60,镶嵌库!$C$16:$C$25,0),IF(OR($C60=AH$1,LEFT(基础面板属性!$C60,2)&amp;"值"=基础面板属性!AH$1,基础面板属性!$C60&amp;"小"=基础面板属性!AH$1,基础面板属性!$C60&amp;"大"=基础面板属性!AH$1),MATCH(基础面板属性!$C60,镶嵌库!$C$16:$O$16,0),-1)),0)</f>
        <v>0</v>
      </c>
      <c r="AI60" s="160">
        <f>IFERROR(INDEX(镶嵌库!$C$16:$O$25,MATCH(基础面板属性!$D60,镶嵌库!$C$16:$C$25,0),IF(OR($C60=AI$1,LEFT(基础面板属性!$C60,2)&amp;"值"=基础面板属性!AI$1,基础面板属性!$C60&amp;"小"=基础面板属性!AI$1,基础面板属性!$C60&amp;"大"=基础面板属性!AI$1),MATCH(基础面板属性!$C60,镶嵌库!$C$16:$O$16,0),-1)),0)</f>
        <v>0</v>
      </c>
      <c r="AJ60" s="160">
        <f>IFERROR(INDEX(镶嵌库!$C$16:$O$25,MATCH(基础面板属性!$D60,镶嵌库!$C$16:$C$25,0),IF(OR($C60=AJ$1,LEFT(基础面板属性!$C60,2)&amp;"值"=基础面板属性!AJ$1,基础面板属性!$C60&amp;"小"=基础面板属性!AJ$1,基础面板属性!$C60&amp;"大"=基础面板属性!AJ$1),MATCH(基础面板属性!$C60,镶嵌库!$C$16:$O$16,0),-1)),0)</f>
        <v>0</v>
      </c>
      <c r="AK60" s="160">
        <f>IFERROR(INDEX(镶嵌库!$C$16:$O$25,MATCH(基础面板属性!$D60,镶嵌库!$C$16:$C$25,0),IF(OR($C60=AK$1,LEFT(基础面板属性!$C60,2)&amp;"值"=基础面板属性!AK$1,基础面板属性!$C60&amp;"小"=基础面板属性!AK$1,基础面板属性!$C60&amp;"大"=基础面板属性!AK$1),MATCH(基础面板属性!$C60,镶嵌库!$C$16:$O$16,0),-1)),0)</f>
        <v>0</v>
      </c>
      <c r="AL60" s="160">
        <f>IFERROR(INDEX(镶嵌库!$C$16:$O$25,MATCH(基础面板属性!$D60,镶嵌库!$C$16:$C$25,0),IF(OR($C60=AL$1,LEFT(基础面板属性!$C60,2)&amp;"值"=基础面板属性!AL$1,基础面板属性!$C60&amp;"小"=基础面板属性!AL$1,基础面板属性!$C60&amp;"大"=基础面板属性!AL$1),MATCH(基础面板属性!$C60,镶嵌库!$C$16:$O$16,0),-1)),0)</f>
        <v>0</v>
      </c>
      <c r="AM60" s="160">
        <f>IFERROR(INDEX(镶嵌库!$C$16:$O$25,MATCH(基础面板属性!$D60,镶嵌库!$C$16:$C$25,0),IF(OR($C60=AM$1,LEFT(基础面板属性!$C60,2)&amp;"值"=基础面板属性!AM$1,基础面板属性!$C60&amp;"小"=基础面板属性!AM$1,基础面板属性!$C60&amp;"大"=基础面板属性!AM$1),MATCH(基础面板属性!$C60,镶嵌库!$C$16:$O$16,0),-1)),0)</f>
        <v>0</v>
      </c>
      <c r="AN60" s="160">
        <f>IFERROR(INDEX(镶嵌库!$C$16:$O$25,MATCH(基础面板属性!$D60,镶嵌库!$C$16:$C$25,0),IF(OR($C60=AN$1,LEFT(基础面板属性!$C60,2)&amp;"值"=基础面板属性!AN$1,基础面板属性!$C60&amp;"小"=基础面板属性!AN$1,基础面板属性!$C60&amp;"大"=基础面板属性!AN$1),MATCH(基础面板属性!$C60,镶嵌库!$C$16:$O$16,0),-1)),0)</f>
        <v>0</v>
      </c>
      <c r="AO60" s="160">
        <f>IFERROR(INDEX(镶嵌库!$C$16:$O$25,MATCH(基础面板属性!$D60,镶嵌库!$C$16:$C$25,0),IF(OR($C60=AO$1,LEFT(基础面板属性!$C60,2)&amp;"值"=基础面板属性!AO$1,基础面板属性!$C60&amp;"小"=基础面板属性!AO$1,基础面板属性!$C60&amp;"大"=基础面板属性!AO$1),MATCH(基础面板属性!$C60,镶嵌库!$C$16:$O$16,0),-1)),0)</f>
        <v>0</v>
      </c>
      <c r="AP60" s="160">
        <f>IFERROR(INDEX(镶嵌库!$C$16:$O$25,MATCH(基础面板属性!$D60,镶嵌库!$C$16:$C$25,0),IF(OR($C60=AP$1,LEFT(基础面板属性!$C60,2)&amp;"值"=基础面板属性!AP$1,基础面板属性!$C60&amp;"小"=基础面板属性!AP$1,基础面板属性!$C60&amp;"大"=基础面板属性!AP$1),MATCH(基础面板属性!$C60,镶嵌库!$C$16:$O$16,0),-1)),0)</f>
        <v>0</v>
      </c>
      <c r="AU60" s="160">
        <f>IFERROR(INDEX(镶嵌库!$C$16:$O$25,MATCH(基础面板属性!$D60,镶嵌库!$C$16:$C$25,0),IF(OR($C60=AU$1,LEFT(基础面板属性!$C60,2)&amp;"值"=基础面板属性!AU$1,基础面板属性!$C60&amp;"小"=基础面板属性!AU$1,基础面板属性!$C60&amp;"大"=基础面板属性!AU$1),MATCH(基础面板属性!$C60,镶嵌库!$C$16:$O$16,0),-1)),0)</f>
        <v>0</v>
      </c>
      <c r="AV60" s="160">
        <f>IFERROR(INDEX(镶嵌库!$C$16:$O$25,MATCH(基础面板属性!$D60,镶嵌库!$C$16:$C$25,0),IF(OR($C60=AV$1,LEFT(基础面板属性!$C60,2)&amp;"值"=基础面板属性!AV$1,基础面板属性!$C60&amp;"小"=基础面板属性!AV$1,基础面板属性!$C60&amp;"大"=基础面板属性!AV$1),MATCH(基础面板属性!$C60,镶嵌库!$C$16:$O$16,0),-1)),0)</f>
        <v>0</v>
      </c>
      <c r="AW60" s="160">
        <f>IFERROR(INDEX(镶嵌库!$C$16:$O$25,MATCH(基础面板属性!$D60,镶嵌库!$C$16:$C$25,0),IF(OR($C60=AW$1,LEFT(基础面板属性!$C60,2)&amp;"值"=基础面板属性!AW$1,基础面板属性!$C60&amp;"小"=基础面板属性!AW$1,基础面板属性!$C60&amp;"大"=基础面板属性!AW$1),MATCH(基础面板属性!$C60,镶嵌库!$C$16:$O$16,0),-1)),0)</f>
        <v>0</v>
      </c>
      <c r="AX60" s="160">
        <f>IFERROR(INDEX(镶嵌库!$C$16:$O$25,MATCH(基础面板属性!$D60,镶嵌库!$C$16:$C$25,0),IF(OR($C60=AX$1,LEFT(基础面板属性!$C60,2)&amp;"值"=基础面板属性!AX$1,基础面板属性!$C60&amp;"小"=基础面板属性!AX$1,基础面板属性!$C60&amp;"大"=基础面板属性!AX$1),MATCH(基础面板属性!$C60,镶嵌库!$C$16:$O$16,0),-1)),0)</f>
        <v>0</v>
      </c>
      <c r="AY60" s="160">
        <f>IFERROR(INDEX(镶嵌库!$C$16:$O$25,MATCH(基础面板属性!$D60,镶嵌库!$C$16:$C$25,0),IF(OR($C60=AY$1,LEFT(基础面板属性!$C60,2)&amp;"值"=基础面板属性!AY$1,基础面板属性!$C60&amp;"小"=基础面板属性!AY$1,基础面板属性!$C60&amp;"大"=基础面板属性!AY$1),MATCH(基础面板属性!$C60,镶嵌库!$C$16:$O$16,0),-1)),0)</f>
        <v>0</v>
      </c>
      <c r="AZ60" s="160">
        <f>IFERROR(INDEX(镶嵌库!$C$16:$O$25,MATCH(基础面板属性!$D60,镶嵌库!$C$16:$C$25,0),IF(OR($C60=AZ$1,LEFT(基础面板属性!$C60,2)&amp;"值"=基础面板属性!AZ$1,基础面板属性!$C60&amp;"小"=基础面板属性!AZ$1,基础面板属性!$C60&amp;"大"=基础面板属性!AZ$1),MATCH(基础面板属性!$C60,镶嵌库!$C$16:$O$16,0),-1)),0)</f>
        <v>0</v>
      </c>
      <c r="BA60" s="160">
        <f>IFERROR(INDEX(镶嵌库!$C$16:$O$25,MATCH(基础面板属性!$D60,镶嵌库!$C$16:$C$25,0),IF(OR($C60=BA$1,LEFT(基础面板属性!$C60,2)&amp;"值"=基础面板属性!BA$1,基础面板属性!$C60&amp;"小"=基础面板属性!BA$1,基础面板属性!$C60&amp;"大"=基础面板属性!BA$1),MATCH(基础面板属性!$C60,镶嵌库!$C$16:$O$16,0),-1)),0)</f>
        <v>0</v>
      </c>
      <c r="BB60" s="160">
        <f>IFERROR(INDEX(镶嵌库!$C$16:$O$25,MATCH(基础面板属性!$D60,镶嵌库!$C$16:$C$25,0),IF(OR($C60=BB$1,LEFT(基础面板属性!$C60,2)&amp;"值"=基础面板属性!BB$1,基础面板属性!$C60&amp;"小"=基础面板属性!BB$1,基础面板属性!$C60&amp;"大"=基础面板属性!BB$1),MATCH(基础面板属性!$C60,镶嵌库!$C$16:$O$16,0),-1)),0)</f>
        <v>0</v>
      </c>
      <c r="BC60" s="160">
        <f>IFERROR(INDEX(镶嵌库!$C$16:$O$25,MATCH(基础面板属性!$D60,镶嵌库!$C$16:$C$25,0),IF(OR($C60=BC$1,LEFT(基础面板属性!$C60,2)&amp;"值"=基础面板属性!BC$1,基础面板属性!$C60&amp;"小"=基础面板属性!BC$1,基础面板属性!$C60&amp;"大"=基础面板属性!BC$1),MATCH(基础面板属性!$C60,镶嵌库!$C$16:$O$16,0),-1)),0)</f>
        <v>0</v>
      </c>
      <c r="BD60" s="160">
        <f>IFERROR(INDEX(镶嵌库!$C$16:$O$25,MATCH(基础面板属性!$D60,镶嵌库!$C$16:$C$25,0),IF(OR($C60=BD$1,LEFT(基础面板属性!$C60,2)&amp;"值"=基础面板属性!BD$1,基础面板属性!$C60&amp;"小"=基础面板属性!BD$1,基础面板属性!$C60&amp;"大"=基础面板属性!BD$1),MATCH(基础面板属性!$C60,镶嵌库!$C$16:$O$16,0),-1)),0)</f>
        <v>0</v>
      </c>
    </row>
    <row r="61" spans="1:56">
      <c r="A61" s="160" t="str">
        <f>A55</f>
        <v>重剑</v>
      </c>
      <c r="B61" s="160" t="s">
        <v>2108</v>
      </c>
      <c r="C61" s="160" t="str">
        <f>配装计算器!G32</f>
        <v>无双</v>
      </c>
      <c r="D61" s="160" t="str">
        <f>配装计算器!$G$30&amp;镶嵌库!U18*镶嵌库!$U$16</f>
        <v>陆2</v>
      </c>
      <c r="E61" s="160">
        <f>IFERROR(INDEX(镶嵌库!$C$16:$O$25,MATCH(基础面板属性!$D61,镶嵌库!$C$16:$C$25,0),IF(OR($C61=E$1,LEFT(基础面板属性!$C61,2)&amp;"值"=基础面板属性!E$1,基础面板属性!$C61&amp;"小"=基础面板属性!E$1,基础面板属性!$C61&amp;"大"=基础面板属性!E$1),MATCH(基础面板属性!$C61,镶嵌库!$C$16:$O$16,0),-1)),0)</f>
        <v>0</v>
      </c>
      <c r="F61" s="160">
        <f>IFERROR(INDEX(镶嵌库!$C$16:$O$25,MATCH(基础面板属性!$D61,镶嵌库!$C$16:$C$25,0),IF(OR($C61=F$1,LEFT(基础面板属性!$C61,2)&amp;"值"=基础面板属性!F$1,基础面板属性!$C61&amp;"小"=基础面板属性!F$1,基础面板属性!$C61&amp;"大"=基础面板属性!F$1),MATCH(基础面板属性!$C61,镶嵌库!$C$16:$O$16,0),-1)),0)</f>
        <v>0</v>
      </c>
      <c r="G61" s="160">
        <f>IFERROR(INDEX(镶嵌库!$C$16:$O$25,MATCH(基础面板属性!$D61,镶嵌库!$C$16:$C$25,0),IF(OR($C61=G$1,LEFT(基础面板属性!$C61,2)&amp;"值"=基础面板属性!G$1,基础面板属性!$C61&amp;"小"=基础面板属性!G$1,基础面板属性!$C61&amp;"大"=基础面板属性!G$1),MATCH(基础面板属性!$C61,镶嵌库!$C$16:$O$16,0),-1)),0)</f>
        <v>0</v>
      </c>
      <c r="H61" s="160">
        <f>IFERROR(INDEX(镶嵌库!$C$16:$O$25,MATCH(基础面板属性!$D61,镶嵌库!$C$16:$C$25,0),IF(OR($C61=H$1,LEFT(基础面板属性!$C61,2)&amp;"值"=基础面板属性!H$1,基础面板属性!$C61&amp;"小"=基础面板属性!H$1,基础面板属性!$C61&amp;"大"=基础面板属性!H$1),MATCH(基础面板属性!$C61,镶嵌库!$C$16:$O$16,0),-1)),0)</f>
        <v>0</v>
      </c>
      <c r="I61" s="160">
        <f>IFERROR(INDEX(镶嵌库!$C$16:$O$25,MATCH(基础面板属性!$D61,镶嵌库!$C$16:$C$25,0),IF(OR($C61=I$1,LEFT(基础面板属性!$C61,2)&amp;"值"=基础面板属性!I$1,基础面板属性!$C61&amp;"小"=基础面板属性!I$1,基础面板属性!$C61&amp;"大"=基础面板属性!I$1),MATCH(基础面板属性!$C61,镶嵌库!$C$16:$O$16,0),-1)),0)</f>
        <v>0</v>
      </c>
      <c r="J61" s="160">
        <f>IFERROR(INDEX(镶嵌库!$C$16:$O$25,MATCH(基础面板属性!$D61,镶嵌库!$C$16:$C$25,0),IF(OR($C61=J$1,LEFT(基础面板属性!$C61,2)&amp;"值"=基础面板属性!J$1,基础面板属性!$C61&amp;"小"=基础面板属性!J$1,基础面板属性!$C61&amp;"大"=基础面板属性!J$1),MATCH(基础面板属性!$C61,镶嵌库!$C$16:$O$16,0),-1)),0)</f>
        <v>0</v>
      </c>
      <c r="K61" s="160">
        <f>IFERROR(INDEX(镶嵌库!$C$16:$O$25,MATCH(基础面板属性!$D61,镶嵌库!$C$16:$C$25,0),IF(OR($C61=K$1,LEFT(基础面板属性!$C61,2)&amp;"值"=基础面板属性!K$1,基础面板属性!$C61&amp;"小"=基础面板属性!K$1,基础面板属性!$C61&amp;"大"=基础面板属性!K$1),MATCH(基础面板属性!$C61,镶嵌库!$C$16:$O$16,0),-1)),0)</f>
        <v>0</v>
      </c>
      <c r="L61" s="160">
        <f>IFERROR(INDEX(镶嵌库!$C$16:$O$25,MATCH(基础面板属性!$D61,镶嵌库!$C$16:$C$25,0),IF(OR($C61=L$1,LEFT(基础面板属性!$C61,2)&amp;"值"=基础面板属性!L$1,基础面板属性!$C61&amp;"小"=基础面板属性!L$1,基础面板属性!$C61&amp;"大"=基础面板属性!L$1),MATCH(基础面板属性!$C61,镶嵌库!$C$16:$O$16,0),-1)),0)</f>
        <v>0</v>
      </c>
      <c r="M61" s="160">
        <f>IFERROR(INDEX(镶嵌库!$C$16:$O$25,MATCH(基础面板属性!$D61,镶嵌库!$C$16:$C$25,0),IF(OR($C61=M$1,LEFT(基础面板属性!$C61,2)&amp;"值"=基础面板属性!M$1,基础面板属性!$C61&amp;"小"=基础面板属性!M$1,基础面板属性!$C61&amp;"大"=基础面板属性!M$1),MATCH(基础面板属性!$C61,镶嵌库!$C$16:$O$16,0),-1)),0)</f>
        <v>0</v>
      </c>
      <c r="N61" s="160">
        <f>IFERROR(INDEX(镶嵌库!$C$16:$O$25,MATCH(基础面板属性!$D61,镶嵌库!$C$16:$C$25,0),IF(OR($C61=N$1,LEFT(基础面板属性!$C61,2)&amp;"值"=基础面板属性!N$1,基础面板属性!$C61&amp;"小"=基础面板属性!N$1,基础面板属性!$C61&amp;"大"=基础面板属性!N$1),MATCH(基础面板属性!$C61,镶嵌库!$C$16:$O$16,0),-1)),0)</f>
        <v>0</v>
      </c>
      <c r="O61" s="160">
        <f>IFERROR(INDEX(镶嵌库!$C$16:$O$25,MATCH(基础面板属性!$D61,镶嵌库!$C$16:$C$25,0),IF(OR($C61=O$1,LEFT(基础面板属性!$C61,2)&amp;"值"=基础面板属性!O$1,基础面板属性!$C61&amp;"小"=基础面板属性!O$1,基础面板属性!$C61&amp;"大"=基础面板属性!O$1),MATCH(基础面板属性!$C61,镶嵌库!$C$16:$O$16,0),-1)),0)</f>
        <v>0</v>
      </c>
      <c r="P61" s="160">
        <f>IFERROR(INDEX(镶嵌库!$C$16:$O$25,MATCH(基础面板属性!$D61,镶嵌库!$C$16:$C$25,0),IF(OR($C61=P$1,LEFT(基础面板属性!$C61,2)&amp;"值"=基础面板属性!P$1,基础面板属性!$C61&amp;"小"=基础面板属性!P$1,基础面板属性!$C61&amp;"大"=基础面板属性!P$1),MATCH(基础面板属性!$C61,镶嵌库!$C$16:$O$16,0),-1)),0)</f>
        <v>0</v>
      </c>
      <c r="Q61" s="160">
        <f>IFERROR(INDEX(镶嵌库!$C$16:$O$25,MATCH(基础面板属性!$D61,镶嵌库!$C$16:$C$25,0),IF(OR($C61=Q$1,LEFT(基础面板属性!$C61,2)&amp;"值"=基础面板属性!Q$1,基础面板属性!$C61&amp;"小"=基础面板属性!Q$1,基础面板属性!$C61&amp;"大"=基础面板属性!Q$1),MATCH(基础面板属性!$C61,镶嵌库!$C$16:$O$16,0),-1)),0)</f>
        <v>0</v>
      </c>
      <c r="R61" s="160">
        <f>IFERROR(INDEX(镶嵌库!$C$16:$O$25,MATCH(基础面板属性!$D61,镶嵌库!$C$16:$C$25,0),IF(OR($C61=R$1,LEFT(基础面板属性!$C61,2)&amp;"值"=基础面板属性!R$1,基础面板属性!$C61&amp;"小"=基础面板属性!R$1,基础面板属性!$C61&amp;"大"=基础面板属性!R$1),MATCH(基础面板属性!$C61,镶嵌库!$C$16:$O$16,0),-1)),0)</f>
        <v>0</v>
      </c>
      <c r="S61" s="160">
        <f>IFERROR(INDEX(镶嵌库!$C$16:$O$25,MATCH(基础面板属性!$D61,镶嵌库!$C$16:$C$25,0),IF(OR($C61=S$1,LEFT(基础面板属性!$C61,2)&amp;"值"=基础面板属性!S$1,基础面板属性!$C61&amp;"小"=基础面板属性!S$1,基础面板属性!$C61&amp;"大"=基础面板属性!S$1),MATCH(基础面板属性!$C61,镶嵌库!$C$16:$O$16,0),-1)),0)</f>
        <v>0</v>
      </c>
      <c r="T61" s="160">
        <f>IFERROR(INDEX(镶嵌库!$C$16:$O$25,MATCH(基础面板属性!$D61,镶嵌库!$C$16:$C$25,0),IF(OR($C61=T$1,LEFT(基础面板属性!$C61,2)&amp;"值"=基础面板属性!T$1,基础面板属性!$C61&amp;"小"=基础面板属性!T$1,基础面板属性!$C61&amp;"大"=基础面板属性!T$1),MATCH(基础面板属性!$C61,镶嵌库!$C$16:$O$16,0),-1)),0)</f>
        <v>0</v>
      </c>
      <c r="U61" s="160">
        <f>IFERROR(INDEX(镶嵌库!$C$16:$O$25,MATCH(基础面板属性!$D61,镶嵌库!$C$16:$C$25,0),IF(OR($C61=U$1,LEFT(基础面板属性!$C61,2)&amp;"值"=基础面板属性!U$1,基础面板属性!$C61&amp;"小"=基础面板属性!U$1,基础面板属性!$C61&amp;"大"=基础面板属性!U$1),MATCH(基础面板属性!$C61,镶嵌库!$C$16:$O$16,0),-1)),0)</f>
        <v>0</v>
      </c>
      <c r="V61" s="160">
        <f>IFERROR(INDEX(镶嵌库!$C$16:$O$25,MATCH(基础面板属性!$D61,镶嵌库!$C$16:$C$25,0),IF(OR($C61=V$1,LEFT(基础面板属性!$C61,2)&amp;"值"=基础面板属性!V$1,基础面板属性!$C61&amp;"小"=基础面板属性!V$1,基础面板属性!$C61&amp;"大"=基础面板属性!V$1),MATCH(基础面板属性!$C61,镶嵌库!$C$16:$O$16,0),-1)),0)</f>
        <v>0</v>
      </c>
      <c r="W61" s="160">
        <f>IFERROR(INDEX(镶嵌库!$C$16:$O$25,MATCH(基础面板属性!$D61,镶嵌库!$C$16:$C$25,0),IF(OR($C61=W$1,LEFT(基础面板属性!$C61,2)&amp;"值"=基础面板属性!W$1,基础面板属性!$C61&amp;"小"=基础面板属性!W$1,基础面板属性!$C61&amp;"大"=基础面板属性!W$1),MATCH(基础面板属性!$C61,镶嵌库!$C$16:$O$16,0),-1)),0)</f>
        <v>0</v>
      </c>
      <c r="X61" s="160">
        <f>IFERROR(INDEX(镶嵌库!$C$16:$O$25,MATCH(基础面板属性!$D61,镶嵌库!$C$16:$C$25,0),IF(OR($C61=X$1,LEFT(基础面板属性!$C61,2)&amp;"值"=基础面板属性!X$1,基础面板属性!$C61&amp;"小"=基础面板属性!X$1,基础面板属性!$C61&amp;"大"=基础面板属性!X$1),MATCH(基础面板属性!$C61,镶嵌库!$C$16:$O$16,0),-1)),0)</f>
        <v>0</v>
      </c>
      <c r="Y61" s="160">
        <f>IFERROR(INDEX(镶嵌库!$C$16:$O$25,MATCH(基础面板属性!$D61,镶嵌库!$C$16:$C$25,0),IF(OR($C61=Y$1,LEFT(基础面板属性!$C61,2)&amp;"值"=基础面板属性!Y$1,基础面板属性!$C61&amp;"小"=基础面板属性!Y$1,基础面板属性!$C61&amp;"大"=基础面板属性!Y$1),MATCH(基础面板属性!$C61,镶嵌库!$C$16:$O$16,0),-1)),0)</f>
        <v>0</v>
      </c>
      <c r="Z61" s="160">
        <f>IFERROR(INDEX(镶嵌库!$C$16:$O$25,MATCH(基础面板属性!$D61,镶嵌库!$C$16:$C$25,0),IF(OR($C61=Z$1,LEFT(基础面板属性!$C61,2)&amp;"值"=基础面板属性!Z$1,基础面板属性!$C61&amp;"小"=基础面板属性!Z$1,基础面板属性!$C61&amp;"大"=基础面板属性!Z$1),MATCH(基础面板属性!$C61,镶嵌库!$C$16:$O$16,0),-1)),0)</f>
        <v>0</v>
      </c>
      <c r="AA61" s="160">
        <f>IFERROR(INDEX(镶嵌库!$C$16:$O$25,MATCH(基础面板属性!$D61,镶嵌库!$C$16:$C$25,0),IF(OR($C61=AA$1,LEFT(基础面板属性!$C61,2)&amp;"值"=基础面板属性!AA$1,基础面板属性!$C61&amp;"小"=基础面板属性!AA$1,基础面板属性!$C61&amp;"大"=基础面板属性!AA$1),MATCH(基础面板属性!$C61,镶嵌库!$C$16:$O$16,0),-1)),0)</f>
        <v>0</v>
      </c>
      <c r="AB61" s="160">
        <f>IFERROR(INDEX(镶嵌库!$C$16:$O$25,MATCH(基础面板属性!$D61,镶嵌库!$C$16:$C$25,0),IF(OR($C61=AB$1,LEFT(基础面板属性!$C61,2)&amp;"值"=基础面板属性!AB$1,基础面板属性!$C61&amp;"小"=基础面板属性!AB$1,基础面板属性!$C61&amp;"大"=基础面板属性!AB$1),MATCH(基础面板属性!$C61,镶嵌库!$C$16:$O$16,0),-1)),0)</f>
        <v>0</v>
      </c>
      <c r="AC61" s="160">
        <f>IFERROR(INDEX(镶嵌库!$C$16:$O$25,MATCH(基础面板属性!$D61,镶嵌库!$C$16:$C$25,0),IF(OR($C61=AC$1,LEFT(基础面板属性!$C61,2)&amp;"值"=基础面板属性!AC$1,基础面板属性!$C61&amp;"小"=基础面板属性!AC$1,基础面板属性!$C61&amp;"大"=基础面板属性!AC$1),MATCH(基础面板属性!$C61,镶嵌库!$C$16:$O$16,0),-1)),0)</f>
        <v>0</v>
      </c>
      <c r="AD61" s="160">
        <f>IFERROR(INDEX(镶嵌库!$C$16:$O$25,MATCH(基础面板属性!$D61,镶嵌库!$C$16:$C$25,0),IF(OR($C61=AD$1,LEFT(基础面板属性!$C61,2)&amp;"值"=基础面板属性!AD$1,基础面板属性!$C61&amp;"小"=基础面板属性!AD$1,基础面板属性!$C61&amp;"大"=基础面板属性!AD$1),MATCH(基础面板属性!$C61,镶嵌库!$C$16:$O$16,0),-1)),0)</f>
        <v>0</v>
      </c>
      <c r="AE61" s="160">
        <f>IFERROR(INDEX(镶嵌库!$C$16:$O$25,MATCH(基础面板属性!$D61,镶嵌库!$C$16:$C$25,0),IF(OR($C61=AE$1,LEFT(基础面板属性!$C61,2)&amp;"值"=基础面板属性!AE$1,基础面板属性!$C61&amp;"小"=基础面板属性!AE$1,基础面板属性!$C61&amp;"大"=基础面板属性!AE$1),MATCH(基础面板属性!$C61,镶嵌库!$C$16:$O$16,0),-1)),0)</f>
        <v>0</v>
      </c>
      <c r="AF61" s="160">
        <f>IFERROR(INDEX(镶嵌库!$C$16:$O$25,MATCH(基础面板属性!$D61,镶嵌库!$C$16:$C$25,0),IF(OR($C61=AF$1,LEFT(基础面板属性!$C61,2)&amp;"值"=基础面板属性!AF$1,基础面板属性!$C61&amp;"小"=基础面板属性!AF$1,基础面板属性!$C61&amp;"大"=基础面板属性!AF$1),MATCH(基础面板属性!$C61,镶嵌库!$C$16:$O$16,0),-1)),0)</f>
        <v>0</v>
      </c>
      <c r="AG61" s="160">
        <f>IFERROR(INDEX(镶嵌库!$C$16:$O$25,MATCH(基础面板属性!$D61,镶嵌库!$C$16:$C$25,0),IF(OR($C61=AG$1,LEFT(基础面板属性!$C61,2)&amp;"值"=基础面板属性!AG$1,基础面板属性!$C61&amp;"小"=基础面板属性!AG$1,基础面板属性!$C61&amp;"大"=基础面板属性!AG$1),MATCH(基础面板属性!$C61,镶嵌库!$C$16:$O$16,0),-1)),0)</f>
        <v>0</v>
      </c>
      <c r="AH61" s="160">
        <f>IFERROR(INDEX(镶嵌库!$C$16:$O$25,MATCH(基础面板属性!$D61,镶嵌库!$C$16:$C$25,0),IF(OR($C61=AH$1,LEFT(基础面板属性!$C61,2)&amp;"值"=基础面板属性!AH$1,基础面板属性!$C61&amp;"小"=基础面板属性!AH$1,基础面板属性!$C61&amp;"大"=基础面板属性!AH$1),MATCH(基础面板属性!$C61,镶嵌库!$C$16:$O$16,0),-1)),0)</f>
        <v>0</v>
      </c>
      <c r="AI61" s="160">
        <f>IFERROR(INDEX(镶嵌库!$C$16:$O$25,MATCH(基础面板属性!$D61,镶嵌库!$C$16:$C$25,0),IF(OR($C61=AI$1,LEFT(基础面板属性!$C61,2)&amp;"值"=基础面板属性!AI$1,基础面板属性!$C61&amp;"小"=基础面板属性!AI$1,基础面板属性!$C61&amp;"大"=基础面板属性!AI$1),MATCH(基础面板属性!$C61,镶嵌库!$C$16:$O$16,0),-1)),0)</f>
        <v>0</v>
      </c>
      <c r="AJ61" s="160">
        <f>IFERROR(INDEX(镶嵌库!$C$16:$O$25,MATCH(基础面板属性!$D61,镶嵌库!$C$16:$C$25,0),IF(OR($C61=AJ$1,LEFT(基础面板属性!$C61,2)&amp;"值"=基础面板属性!AJ$1,基础面板属性!$C61&amp;"小"=基础面板属性!AJ$1,基础面板属性!$C61&amp;"大"=基础面板属性!AJ$1),MATCH(基础面板属性!$C61,镶嵌库!$C$16:$O$16,0),-1)),0)</f>
        <v>0</v>
      </c>
      <c r="AK61" s="160">
        <f>IFERROR(INDEX(镶嵌库!$C$16:$O$25,MATCH(基础面板属性!$D61,镶嵌库!$C$16:$C$25,0),IF(OR($C61=AK$1,LEFT(基础面板属性!$C61,2)&amp;"值"=基础面板属性!AK$1,基础面板属性!$C61&amp;"小"=基础面板属性!AK$1,基础面板属性!$C61&amp;"大"=基础面板属性!AK$1),MATCH(基础面板属性!$C61,镶嵌库!$C$16:$O$16,0),-1)),0)</f>
        <v>2925</v>
      </c>
      <c r="AL61" s="160">
        <f>IFERROR(INDEX(镶嵌库!$C$16:$O$25,MATCH(基础面板属性!$D61,镶嵌库!$C$16:$C$25,0),IF(OR($C61=AL$1,LEFT(基础面板属性!$C61,2)&amp;"值"=基础面板属性!AL$1,基础面板属性!$C61&amp;"小"=基础面板属性!AL$1,基础面板属性!$C61&amp;"大"=基础面板属性!AL$1),MATCH(基础面板属性!$C61,镶嵌库!$C$16:$O$16,0),-1)),0)</f>
        <v>0</v>
      </c>
      <c r="AM61" s="160">
        <f>IFERROR(INDEX(镶嵌库!$C$16:$O$25,MATCH(基础面板属性!$D61,镶嵌库!$C$16:$C$25,0),IF(OR($C61=AM$1,LEFT(基础面板属性!$C61,2)&amp;"值"=基础面板属性!AM$1,基础面板属性!$C61&amp;"小"=基础面板属性!AM$1,基础面板属性!$C61&amp;"大"=基础面板属性!AM$1),MATCH(基础面板属性!$C61,镶嵌库!$C$16:$O$16,0),-1)),0)</f>
        <v>0</v>
      </c>
      <c r="AN61" s="160">
        <f>IFERROR(INDEX(镶嵌库!$C$16:$O$25,MATCH(基础面板属性!$D61,镶嵌库!$C$16:$C$25,0),IF(OR($C61=AN$1,LEFT(基础面板属性!$C61,2)&amp;"值"=基础面板属性!AN$1,基础面板属性!$C61&amp;"小"=基础面板属性!AN$1,基础面板属性!$C61&amp;"大"=基础面板属性!AN$1),MATCH(基础面板属性!$C61,镶嵌库!$C$16:$O$16,0),-1)),0)</f>
        <v>0</v>
      </c>
      <c r="AO61" s="160">
        <f>IFERROR(INDEX(镶嵌库!$C$16:$O$25,MATCH(基础面板属性!$D61,镶嵌库!$C$16:$C$25,0),IF(OR($C61=AO$1,LEFT(基础面板属性!$C61,2)&amp;"值"=基础面板属性!AO$1,基础面板属性!$C61&amp;"小"=基础面板属性!AO$1,基础面板属性!$C61&amp;"大"=基础面板属性!AO$1),MATCH(基础面板属性!$C61,镶嵌库!$C$16:$O$16,0),-1)),0)</f>
        <v>0</v>
      </c>
      <c r="AP61" s="160">
        <f>IFERROR(INDEX(镶嵌库!$C$16:$O$25,MATCH(基础面板属性!$D61,镶嵌库!$C$16:$C$25,0),IF(OR($C61=AP$1,LEFT(基础面板属性!$C61,2)&amp;"值"=基础面板属性!AP$1,基础面板属性!$C61&amp;"小"=基础面板属性!AP$1,基础面板属性!$C61&amp;"大"=基础面板属性!AP$1),MATCH(基础面板属性!$C61,镶嵌库!$C$16:$O$16,0),-1)),0)</f>
        <v>0</v>
      </c>
      <c r="AU61" s="160">
        <f>IFERROR(INDEX(镶嵌库!$C$16:$O$25,MATCH(基础面板属性!$D61,镶嵌库!$C$16:$C$25,0),IF(OR($C61=AU$1,LEFT(基础面板属性!$C61,2)&amp;"值"=基础面板属性!AU$1,基础面板属性!$C61&amp;"小"=基础面板属性!AU$1,基础面板属性!$C61&amp;"大"=基础面板属性!AU$1),MATCH(基础面板属性!$C61,镶嵌库!$C$16:$O$16,0),-1)),0)</f>
        <v>0</v>
      </c>
      <c r="AV61" s="160">
        <f>IFERROR(INDEX(镶嵌库!$C$16:$O$25,MATCH(基础面板属性!$D61,镶嵌库!$C$16:$C$25,0),IF(OR($C61=AV$1,LEFT(基础面板属性!$C61,2)&amp;"值"=基础面板属性!AV$1,基础面板属性!$C61&amp;"小"=基础面板属性!AV$1,基础面板属性!$C61&amp;"大"=基础面板属性!AV$1),MATCH(基础面板属性!$C61,镶嵌库!$C$16:$O$16,0),-1)),0)</f>
        <v>0</v>
      </c>
      <c r="AW61" s="160">
        <f>IFERROR(INDEX(镶嵌库!$C$16:$O$25,MATCH(基础面板属性!$D61,镶嵌库!$C$16:$C$25,0),IF(OR($C61=AW$1,LEFT(基础面板属性!$C61,2)&amp;"值"=基础面板属性!AW$1,基础面板属性!$C61&amp;"小"=基础面板属性!AW$1,基础面板属性!$C61&amp;"大"=基础面板属性!AW$1),MATCH(基础面板属性!$C61,镶嵌库!$C$16:$O$16,0),-1)),0)</f>
        <v>0</v>
      </c>
      <c r="AX61" s="160">
        <f>IFERROR(INDEX(镶嵌库!$C$16:$O$25,MATCH(基础面板属性!$D61,镶嵌库!$C$16:$C$25,0),IF(OR($C61=AX$1,LEFT(基础面板属性!$C61,2)&amp;"值"=基础面板属性!AX$1,基础面板属性!$C61&amp;"小"=基础面板属性!AX$1,基础面板属性!$C61&amp;"大"=基础面板属性!AX$1),MATCH(基础面板属性!$C61,镶嵌库!$C$16:$O$16,0),-1)),0)</f>
        <v>0</v>
      </c>
      <c r="AY61" s="160">
        <f>IFERROR(INDEX(镶嵌库!$C$16:$O$25,MATCH(基础面板属性!$D61,镶嵌库!$C$16:$C$25,0),IF(OR($C61=AY$1,LEFT(基础面板属性!$C61,2)&amp;"值"=基础面板属性!AY$1,基础面板属性!$C61&amp;"小"=基础面板属性!AY$1,基础面板属性!$C61&amp;"大"=基础面板属性!AY$1),MATCH(基础面板属性!$C61,镶嵌库!$C$16:$O$16,0),-1)),0)</f>
        <v>0</v>
      </c>
      <c r="AZ61" s="160">
        <f>IFERROR(INDEX(镶嵌库!$C$16:$O$25,MATCH(基础面板属性!$D61,镶嵌库!$C$16:$C$25,0),IF(OR($C61=AZ$1,LEFT(基础面板属性!$C61,2)&amp;"值"=基础面板属性!AZ$1,基础面板属性!$C61&amp;"小"=基础面板属性!AZ$1,基础面板属性!$C61&amp;"大"=基础面板属性!AZ$1),MATCH(基础面板属性!$C61,镶嵌库!$C$16:$O$16,0),-1)),0)</f>
        <v>0</v>
      </c>
      <c r="BA61" s="160">
        <f>IFERROR(INDEX(镶嵌库!$C$16:$O$25,MATCH(基础面板属性!$D61,镶嵌库!$C$16:$C$25,0),IF(OR($C61=BA$1,LEFT(基础面板属性!$C61,2)&amp;"值"=基础面板属性!BA$1,基础面板属性!$C61&amp;"小"=基础面板属性!BA$1,基础面板属性!$C61&amp;"大"=基础面板属性!BA$1),MATCH(基础面板属性!$C61,镶嵌库!$C$16:$O$16,0),-1)),0)</f>
        <v>0</v>
      </c>
      <c r="BB61" s="160">
        <f>IFERROR(INDEX(镶嵌库!$C$16:$O$25,MATCH(基础面板属性!$D61,镶嵌库!$C$16:$C$25,0),IF(OR($C61=BB$1,LEFT(基础面板属性!$C61,2)&amp;"值"=基础面板属性!BB$1,基础面板属性!$C61&amp;"小"=基础面板属性!BB$1,基础面板属性!$C61&amp;"大"=基础面板属性!BB$1),MATCH(基础面板属性!$C61,镶嵌库!$C$16:$O$16,0),-1)),0)</f>
        <v>0</v>
      </c>
      <c r="BC61" s="160">
        <f>IFERROR(INDEX(镶嵌库!$C$16:$O$25,MATCH(基础面板属性!$D61,镶嵌库!$C$16:$C$25,0),IF(OR($C61=BC$1,LEFT(基础面板属性!$C61,2)&amp;"值"=基础面板属性!BC$1,基础面板属性!$C61&amp;"小"=基础面板属性!BC$1,基础面板属性!$C61&amp;"大"=基础面板属性!BC$1),MATCH(基础面板属性!$C61,镶嵌库!$C$16:$O$16,0),-1)),0)</f>
        <v>0</v>
      </c>
      <c r="BD61" s="160">
        <f>IFERROR(INDEX(镶嵌库!$C$16:$O$25,MATCH(基础面板属性!$D61,镶嵌库!$C$16:$C$25,0),IF(OR($C61=BD$1,LEFT(基础面板属性!$C61,2)&amp;"值"=基础面板属性!BD$1,基础面板属性!$C61&amp;"小"=基础面板属性!BD$1,基础面板属性!$C61&amp;"大"=基础面板属性!BD$1),MATCH(基础面板属性!$C61,镶嵌库!$C$16:$O$16,0),-1)),0)</f>
        <v>0</v>
      </c>
    </row>
    <row r="62" spans="1:56">
      <c r="A62" s="160" t="str">
        <f>A55</f>
        <v>重剑</v>
      </c>
      <c r="B62" s="160" t="s">
        <v>2109</v>
      </c>
      <c r="C62" s="160" t="str">
        <f>配装计算器!G33</f>
        <v>会效</v>
      </c>
      <c r="D62" s="160" t="str">
        <f>配装计算器!$G$30&amp;镶嵌库!U19*镶嵌库!$U$16</f>
        <v>陆3</v>
      </c>
      <c r="E62" s="160">
        <f>IFERROR(INDEX(镶嵌库!$C$16:$O$25,MATCH(基础面板属性!$D62,镶嵌库!$C$16:$C$25,0),IF(OR($C62=E$1,LEFT(基础面板属性!$C62,2)&amp;"值"=基础面板属性!E$1,基础面板属性!$C62&amp;"小"=基础面板属性!E$1,基础面板属性!$C62&amp;"大"=基础面板属性!E$1),MATCH(基础面板属性!$C62,镶嵌库!$C$16:$O$16,0),-1)),0)</f>
        <v>0</v>
      </c>
      <c r="F62" s="160">
        <f>IFERROR(INDEX(镶嵌库!$C$16:$O$25,MATCH(基础面板属性!$D62,镶嵌库!$C$16:$C$25,0),IF(OR($C62=F$1,LEFT(基础面板属性!$C62,2)&amp;"值"=基础面板属性!F$1,基础面板属性!$C62&amp;"小"=基础面板属性!F$1,基础面板属性!$C62&amp;"大"=基础面板属性!F$1),MATCH(基础面板属性!$C62,镶嵌库!$C$16:$O$16,0),-1)),0)</f>
        <v>0</v>
      </c>
      <c r="G62" s="160">
        <f>IFERROR(INDEX(镶嵌库!$C$16:$O$25,MATCH(基础面板属性!$D62,镶嵌库!$C$16:$C$25,0),IF(OR($C62=G$1,LEFT(基础面板属性!$C62,2)&amp;"值"=基础面板属性!G$1,基础面板属性!$C62&amp;"小"=基础面板属性!G$1,基础面板属性!$C62&amp;"大"=基础面板属性!G$1),MATCH(基础面板属性!$C62,镶嵌库!$C$16:$O$16,0),-1)),0)</f>
        <v>0</v>
      </c>
      <c r="H62" s="160">
        <f>IFERROR(INDEX(镶嵌库!$C$16:$O$25,MATCH(基础面板属性!$D62,镶嵌库!$C$16:$C$25,0),IF(OR($C62=H$1,LEFT(基础面板属性!$C62,2)&amp;"值"=基础面板属性!H$1,基础面板属性!$C62&amp;"小"=基础面板属性!H$1,基础面板属性!$C62&amp;"大"=基础面板属性!H$1),MATCH(基础面板属性!$C62,镶嵌库!$C$16:$O$16,0),-1)),0)</f>
        <v>0</v>
      </c>
      <c r="I62" s="160">
        <f>IFERROR(INDEX(镶嵌库!$C$16:$O$25,MATCH(基础面板属性!$D62,镶嵌库!$C$16:$C$25,0),IF(OR($C62=I$1,LEFT(基础面板属性!$C62,2)&amp;"值"=基础面板属性!I$1,基础面板属性!$C62&amp;"小"=基础面板属性!I$1,基础面板属性!$C62&amp;"大"=基础面板属性!I$1),MATCH(基础面板属性!$C62,镶嵌库!$C$16:$O$16,0),-1)),0)</f>
        <v>0</v>
      </c>
      <c r="J62" s="160">
        <f>IFERROR(INDEX(镶嵌库!$C$16:$O$25,MATCH(基础面板属性!$D62,镶嵌库!$C$16:$C$25,0),IF(OR($C62=J$1,LEFT(基础面板属性!$C62,2)&amp;"值"=基础面板属性!J$1,基础面板属性!$C62&amp;"小"=基础面板属性!J$1,基础面板属性!$C62&amp;"大"=基础面板属性!J$1),MATCH(基础面板属性!$C62,镶嵌库!$C$16:$O$16,0),-1)),0)</f>
        <v>0</v>
      </c>
      <c r="K62" s="160">
        <f>IFERROR(INDEX(镶嵌库!$C$16:$O$25,MATCH(基础面板属性!$D62,镶嵌库!$C$16:$C$25,0),IF(OR($C62=K$1,LEFT(基础面板属性!$C62,2)&amp;"值"=基础面板属性!K$1,基础面板属性!$C62&amp;"小"=基础面板属性!K$1,基础面板属性!$C62&amp;"大"=基础面板属性!K$1),MATCH(基础面板属性!$C62,镶嵌库!$C$16:$O$16,0),-1)),0)</f>
        <v>0</v>
      </c>
      <c r="L62" s="160">
        <f>IFERROR(INDEX(镶嵌库!$C$16:$O$25,MATCH(基础面板属性!$D62,镶嵌库!$C$16:$C$25,0),IF(OR($C62=L$1,LEFT(基础面板属性!$C62,2)&amp;"值"=基础面板属性!L$1,基础面板属性!$C62&amp;"小"=基础面板属性!L$1,基础面板属性!$C62&amp;"大"=基础面板属性!L$1),MATCH(基础面板属性!$C62,镶嵌库!$C$16:$O$16,0),-1)),0)</f>
        <v>0</v>
      </c>
      <c r="M62" s="160">
        <f>IFERROR(INDEX(镶嵌库!$C$16:$O$25,MATCH(基础面板属性!$D62,镶嵌库!$C$16:$C$25,0),IF(OR($C62=M$1,LEFT(基础面板属性!$C62,2)&amp;"值"=基础面板属性!M$1,基础面板属性!$C62&amp;"小"=基础面板属性!M$1,基础面板属性!$C62&amp;"大"=基础面板属性!M$1),MATCH(基础面板属性!$C62,镶嵌库!$C$16:$O$16,0),-1)),0)</f>
        <v>0</v>
      </c>
      <c r="N62" s="160">
        <f>IFERROR(INDEX(镶嵌库!$C$16:$O$25,MATCH(基础面板属性!$D62,镶嵌库!$C$16:$C$25,0),IF(OR($C62=N$1,LEFT(基础面板属性!$C62,2)&amp;"值"=基础面板属性!N$1,基础面板属性!$C62&amp;"小"=基础面板属性!N$1,基础面板属性!$C62&amp;"大"=基础面板属性!N$1),MATCH(基础面板属性!$C62,镶嵌库!$C$16:$O$16,0),-1)),0)</f>
        <v>0</v>
      </c>
      <c r="O62" s="160">
        <f>IFERROR(INDEX(镶嵌库!$C$16:$O$25,MATCH(基础面板属性!$D62,镶嵌库!$C$16:$C$25,0),IF(OR($C62=O$1,LEFT(基础面板属性!$C62,2)&amp;"值"=基础面板属性!O$1,基础面板属性!$C62&amp;"小"=基础面板属性!O$1,基础面板属性!$C62&amp;"大"=基础面板属性!O$1),MATCH(基础面板属性!$C62,镶嵌库!$C$16:$O$16,0),-1)),0)</f>
        <v>0</v>
      </c>
      <c r="P62" s="160">
        <f>IFERROR(INDEX(镶嵌库!$C$16:$O$25,MATCH(基础面板属性!$D62,镶嵌库!$C$16:$C$25,0),IF(OR($C62=P$1,LEFT(基础面板属性!$C62,2)&amp;"值"=基础面板属性!P$1,基础面板属性!$C62&amp;"小"=基础面板属性!P$1,基础面板属性!$C62&amp;"大"=基础面板属性!P$1),MATCH(基础面板属性!$C62,镶嵌库!$C$16:$O$16,0),-1)),0)</f>
        <v>0</v>
      </c>
      <c r="Q62" s="160">
        <f>IFERROR(INDEX(镶嵌库!$C$16:$O$25,MATCH(基础面板属性!$D62,镶嵌库!$C$16:$C$25,0),IF(OR($C62=Q$1,LEFT(基础面板属性!$C62,2)&amp;"值"=基础面板属性!Q$1,基础面板属性!$C62&amp;"小"=基础面板属性!Q$1,基础面板属性!$C62&amp;"大"=基础面板属性!Q$1),MATCH(基础面板属性!$C62,镶嵌库!$C$16:$O$16,0),-1)),0)</f>
        <v>0</v>
      </c>
      <c r="R62" s="160">
        <f>IFERROR(INDEX(镶嵌库!$C$16:$O$25,MATCH(基础面板属性!$D62,镶嵌库!$C$16:$C$25,0),IF(OR($C62=R$1,LEFT(基础面板属性!$C62,2)&amp;"值"=基础面板属性!R$1,基础面板属性!$C62&amp;"小"=基础面板属性!R$1,基础面板属性!$C62&amp;"大"=基础面板属性!R$1),MATCH(基础面板属性!$C62,镶嵌库!$C$16:$O$16,0),-1)),0)</f>
        <v>0</v>
      </c>
      <c r="S62" s="160">
        <f>IFERROR(INDEX(镶嵌库!$C$16:$O$25,MATCH(基础面板属性!$D62,镶嵌库!$C$16:$C$25,0),IF(OR($C62=S$1,LEFT(基础面板属性!$C62,2)&amp;"值"=基础面板属性!S$1,基础面板属性!$C62&amp;"小"=基础面板属性!S$1,基础面板属性!$C62&amp;"大"=基础面板属性!S$1),MATCH(基础面板属性!$C62,镶嵌库!$C$16:$O$16,0),-1)),0)</f>
        <v>0</v>
      </c>
      <c r="T62" s="160">
        <f>IFERROR(INDEX(镶嵌库!$C$16:$O$25,MATCH(基础面板属性!$D62,镶嵌库!$C$16:$C$25,0),IF(OR($C62=T$1,LEFT(基础面板属性!$C62,2)&amp;"值"=基础面板属性!T$1,基础面板属性!$C62&amp;"小"=基础面板属性!T$1,基础面板属性!$C62&amp;"大"=基础面板属性!T$1),MATCH(基础面板属性!$C62,镶嵌库!$C$16:$O$16,0),-1)),0)</f>
        <v>0</v>
      </c>
      <c r="U62" s="160">
        <f>IFERROR(INDEX(镶嵌库!$C$16:$O$25,MATCH(基础面板属性!$D62,镶嵌库!$C$16:$C$25,0),IF(OR($C62=U$1,LEFT(基础面板属性!$C62,2)&amp;"值"=基础面板属性!U$1,基础面板属性!$C62&amp;"小"=基础面板属性!U$1,基础面板属性!$C62&amp;"大"=基础面板属性!U$1),MATCH(基础面板属性!$C62,镶嵌库!$C$16:$O$16,0),-1)),0)</f>
        <v>0</v>
      </c>
      <c r="V62" s="160">
        <f>IFERROR(INDEX(镶嵌库!$C$16:$O$25,MATCH(基础面板属性!$D62,镶嵌库!$C$16:$C$25,0),IF(OR($C62=V$1,LEFT(基础面板属性!$C62,2)&amp;"值"=基础面板属性!V$1,基础面板属性!$C62&amp;"小"=基础面板属性!V$1,基础面板属性!$C62&amp;"大"=基础面板属性!V$1),MATCH(基础面板属性!$C62,镶嵌库!$C$16:$O$16,0),-1)),0)</f>
        <v>0</v>
      </c>
      <c r="W62" s="160">
        <f>IFERROR(INDEX(镶嵌库!$C$16:$O$25,MATCH(基础面板属性!$D62,镶嵌库!$C$16:$C$25,0),IF(OR($C62=W$1,LEFT(基础面板属性!$C62,2)&amp;"值"=基础面板属性!W$1,基础面板属性!$C62&amp;"小"=基础面板属性!W$1,基础面板属性!$C62&amp;"大"=基础面板属性!W$1),MATCH(基础面板属性!$C62,镶嵌库!$C$16:$O$16,0),-1)),0)</f>
        <v>0</v>
      </c>
      <c r="X62" s="160">
        <f>IFERROR(INDEX(镶嵌库!$C$16:$O$25,MATCH(基础面板属性!$D62,镶嵌库!$C$16:$C$25,0),IF(OR($C62=X$1,LEFT(基础面板属性!$C62,2)&amp;"值"=基础面板属性!X$1,基础面板属性!$C62&amp;"小"=基础面板属性!X$1,基础面板属性!$C62&amp;"大"=基础面板属性!X$1),MATCH(基础面板属性!$C62,镶嵌库!$C$16:$O$16,0),-1)),0)</f>
        <v>0</v>
      </c>
      <c r="Y62" s="160">
        <f>IFERROR(INDEX(镶嵌库!$C$16:$O$25,MATCH(基础面板属性!$D62,镶嵌库!$C$16:$C$25,0),IF(OR($C62=Y$1,LEFT(基础面板属性!$C62,2)&amp;"值"=基础面板属性!Y$1,基础面板属性!$C62&amp;"小"=基础面板属性!Y$1,基础面板属性!$C62&amp;"大"=基础面板属性!Y$1),MATCH(基础面板属性!$C62,镶嵌库!$C$16:$O$16,0),-1)),0)</f>
        <v>0</v>
      </c>
      <c r="Z62" s="160">
        <f>IFERROR(INDEX(镶嵌库!$C$16:$O$25,MATCH(基础面板属性!$D62,镶嵌库!$C$16:$C$25,0),IF(OR($C62=Z$1,LEFT(基础面板属性!$C62,2)&amp;"值"=基础面板属性!Z$1,基础面板属性!$C62&amp;"小"=基础面板属性!Z$1,基础面板属性!$C62&amp;"大"=基础面板属性!Z$1),MATCH(基础面板属性!$C62,镶嵌库!$C$16:$O$16,0),-1)),0)</f>
        <v>5850</v>
      </c>
      <c r="AA62" s="160">
        <f>IFERROR(INDEX(镶嵌库!$C$16:$O$25,MATCH(基础面板属性!$D62,镶嵌库!$C$16:$C$25,0),IF(OR($C62=AA$1,LEFT(基础面板属性!$C62,2)&amp;"值"=基础面板属性!AA$1,基础面板属性!$C62&amp;"小"=基础面板属性!AA$1,基础面板属性!$C62&amp;"大"=基础面板属性!AA$1),MATCH(基础面板属性!$C62,镶嵌库!$C$16:$O$16,0),-1)),0)</f>
        <v>0</v>
      </c>
      <c r="AB62" s="160">
        <f>IFERROR(INDEX(镶嵌库!$C$16:$O$25,MATCH(基础面板属性!$D62,镶嵌库!$C$16:$C$25,0),IF(OR($C62=AB$1,LEFT(基础面板属性!$C62,2)&amp;"值"=基础面板属性!AB$1,基础面板属性!$C62&amp;"小"=基础面板属性!AB$1,基础面板属性!$C62&amp;"大"=基础面板属性!AB$1),MATCH(基础面板属性!$C62,镶嵌库!$C$16:$O$16,0),-1)),0)</f>
        <v>0</v>
      </c>
      <c r="AC62" s="160">
        <f>IFERROR(INDEX(镶嵌库!$C$16:$O$25,MATCH(基础面板属性!$D62,镶嵌库!$C$16:$C$25,0),IF(OR($C62=AC$1,LEFT(基础面板属性!$C62,2)&amp;"值"=基础面板属性!AC$1,基础面板属性!$C62&amp;"小"=基础面板属性!AC$1,基础面板属性!$C62&amp;"大"=基础面板属性!AC$1),MATCH(基础面板属性!$C62,镶嵌库!$C$16:$O$16,0),-1)),0)</f>
        <v>0</v>
      </c>
      <c r="AD62" s="160">
        <f>IFERROR(INDEX(镶嵌库!$C$16:$O$25,MATCH(基础面板属性!$D62,镶嵌库!$C$16:$C$25,0),IF(OR($C62=AD$1,LEFT(基础面板属性!$C62,2)&amp;"值"=基础面板属性!AD$1,基础面板属性!$C62&amp;"小"=基础面板属性!AD$1,基础面板属性!$C62&amp;"大"=基础面板属性!AD$1),MATCH(基础面板属性!$C62,镶嵌库!$C$16:$O$16,0),-1)),0)</f>
        <v>0</v>
      </c>
      <c r="AE62" s="160">
        <f>IFERROR(INDEX(镶嵌库!$C$16:$O$25,MATCH(基础面板属性!$D62,镶嵌库!$C$16:$C$25,0),IF(OR($C62=AE$1,LEFT(基础面板属性!$C62,2)&amp;"值"=基础面板属性!AE$1,基础面板属性!$C62&amp;"小"=基础面板属性!AE$1,基础面板属性!$C62&amp;"大"=基础面板属性!AE$1),MATCH(基础面板属性!$C62,镶嵌库!$C$16:$O$16,0),-1)),0)</f>
        <v>0</v>
      </c>
      <c r="AF62" s="160">
        <f>IFERROR(INDEX(镶嵌库!$C$16:$O$25,MATCH(基础面板属性!$D62,镶嵌库!$C$16:$C$25,0),IF(OR($C62=AF$1,LEFT(基础面板属性!$C62,2)&amp;"值"=基础面板属性!AF$1,基础面板属性!$C62&amp;"小"=基础面板属性!AF$1,基础面板属性!$C62&amp;"大"=基础面板属性!AF$1),MATCH(基础面板属性!$C62,镶嵌库!$C$16:$O$16,0),-1)),0)</f>
        <v>0</v>
      </c>
      <c r="AG62" s="160">
        <f>IFERROR(INDEX(镶嵌库!$C$16:$O$25,MATCH(基础面板属性!$D62,镶嵌库!$C$16:$C$25,0),IF(OR($C62=AG$1,LEFT(基础面板属性!$C62,2)&amp;"值"=基础面板属性!AG$1,基础面板属性!$C62&amp;"小"=基础面板属性!AG$1,基础面板属性!$C62&amp;"大"=基础面板属性!AG$1),MATCH(基础面板属性!$C62,镶嵌库!$C$16:$O$16,0),-1)),0)</f>
        <v>0</v>
      </c>
      <c r="AH62" s="160">
        <f>IFERROR(INDEX(镶嵌库!$C$16:$O$25,MATCH(基础面板属性!$D62,镶嵌库!$C$16:$C$25,0),IF(OR($C62=AH$1,LEFT(基础面板属性!$C62,2)&amp;"值"=基础面板属性!AH$1,基础面板属性!$C62&amp;"小"=基础面板属性!AH$1,基础面板属性!$C62&amp;"大"=基础面板属性!AH$1),MATCH(基础面板属性!$C62,镶嵌库!$C$16:$O$16,0),-1)),0)</f>
        <v>0</v>
      </c>
      <c r="AI62" s="160">
        <f>IFERROR(INDEX(镶嵌库!$C$16:$O$25,MATCH(基础面板属性!$D62,镶嵌库!$C$16:$C$25,0),IF(OR($C62=AI$1,LEFT(基础面板属性!$C62,2)&amp;"值"=基础面板属性!AI$1,基础面板属性!$C62&amp;"小"=基础面板属性!AI$1,基础面板属性!$C62&amp;"大"=基础面板属性!AI$1),MATCH(基础面板属性!$C62,镶嵌库!$C$16:$O$16,0),-1)),0)</f>
        <v>0</v>
      </c>
      <c r="AJ62" s="160">
        <f>IFERROR(INDEX(镶嵌库!$C$16:$O$25,MATCH(基础面板属性!$D62,镶嵌库!$C$16:$C$25,0),IF(OR($C62=AJ$1,LEFT(基础面板属性!$C62,2)&amp;"值"=基础面板属性!AJ$1,基础面板属性!$C62&amp;"小"=基础面板属性!AJ$1,基础面板属性!$C62&amp;"大"=基础面板属性!AJ$1),MATCH(基础面板属性!$C62,镶嵌库!$C$16:$O$16,0),-1)),0)</f>
        <v>0</v>
      </c>
      <c r="AK62" s="160">
        <f>IFERROR(INDEX(镶嵌库!$C$16:$O$25,MATCH(基础面板属性!$D62,镶嵌库!$C$16:$C$25,0),IF(OR($C62=AK$1,LEFT(基础面板属性!$C62,2)&amp;"值"=基础面板属性!AK$1,基础面板属性!$C62&amp;"小"=基础面板属性!AK$1,基础面板属性!$C62&amp;"大"=基础面板属性!AK$1),MATCH(基础面板属性!$C62,镶嵌库!$C$16:$O$16,0),-1)),0)</f>
        <v>0</v>
      </c>
      <c r="AL62" s="160">
        <f>IFERROR(INDEX(镶嵌库!$C$16:$O$25,MATCH(基础面板属性!$D62,镶嵌库!$C$16:$C$25,0),IF(OR($C62=AL$1,LEFT(基础面板属性!$C62,2)&amp;"值"=基础面板属性!AL$1,基础面板属性!$C62&amp;"小"=基础面板属性!AL$1,基础面板属性!$C62&amp;"大"=基础面板属性!AL$1),MATCH(基础面板属性!$C62,镶嵌库!$C$16:$O$16,0),-1)),0)</f>
        <v>0</v>
      </c>
      <c r="AM62" s="160">
        <f>IFERROR(INDEX(镶嵌库!$C$16:$O$25,MATCH(基础面板属性!$D62,镶嵌库!$C$16:$C$25,0),IF(OR($C62=AM$1,LEFT(基础面板属性!$C62,2)&amp;"值"=基础面板属性!AM$1,基础面板属性!$C62&amp;"小"=基础面板属性!AM$1,基础面板属性!$C62&amp;"大"=基础面板属性!AM$1),MATCH(基础面板属性!$C62,镶嵌库!$C$16:$O$16,0),-1)),0)</f>
        <v>0</v>
      </c>
      <c r="AN62" s="160">
        <f>IFERROR(INDEX(镶嵌库!$C$16:$O$25,MATCH(基础面板属性!$D62,镶嵌库!$C$16:$C$25,0),IF(OR($C62=AN$1,LEFT(基础面板属性!$C62,2)&amp;"值"=基础面板属性!AN$1,基础面板属性!$C62&amp;"小"=基础面板属性!AN$1,基础面板属性!$C62&amp;"大"=基础面板属性!AN$1),MATCH(基础面板属性!$C62,镶嵌库!$C$16:$O$16,0),-1)),0)</f>
        <v>0</v>
      </c>
      <c r="AO62" s="160">
        <f>IFERROR(INDEX(镶嵌库!$C$16:$O$25,MATCH(基础面板属性!$D62,镶嵌库!$C$16:$C$25,0),IF(OR($C62=AO$1,LEFT(基础面板属性!$C62,2)&amp;"值"=基础面板属性!AO$1,基础面板属性!$C62&amp;"小"=基础面板属性!AO$1,基础面板属性!$C62&amp;"大"=基础面板属性!AO$1),MATCH(基础面板属性!$C62,镶嵌库!$C$16:$O$16,0),-1)),0)</f>
        <v>0</v>
      </c>
      <c r="AP62" s="160">
        <f>IFERROR(INDEX(镶嵌库!$C$16:$O$25,MATCH(基础面板属性!$D62,镶嵌库!$C$16:$C$25,0),IF(OR($C62=AP$1,LEFT(基础面板属性!$C62,2)&amp;"值"=基础面板属性!AP$1,基础面板属性!$C62&amp;"小"=基础面板属性!AP$1,基础面板属性!$C62&amp;"大"=基础面板属性!AP$1),MATCH(基础面板属性!$C62,镶嵌库!$C$16:$O$16,0),-1)),0)</f>
        <v>0</v>
      </c>
      <c r="AU62" s="160">
        <f>IFERROR(INDEX(镶嵌库!$C$16:$O$25,MATCH(基础面板属性!$D62,镶嵌库!$C$16:$C$25,0),IF(OR($C62=AU$1,LEFT(基础面板属性!$C62,2)&amp;"值"=基础面板属性!AU$1,基础面板属性!$C62&amp;"小"=基础面板属性!AU$1,基础面板属性!$C62&amp;"大"=基础面板属性!AU$1),MATCH(基础面板属性!$C62,镶嵌库!$C$16:$O$16,0),-1)),0)</f>
        <v>0</v>
      </c>
      <c r="AV62" s="160">
        <f>IFERROR(INDEX(镶嵌库!$C$16:$O$25,MATCH(基础面板属性!$D62,镶嵌库!$C$16:$C$25,0),IF(OR($C62=AV$1,LEFT(基础面板属性!$C62,2)&amp;"值"=基础面板属性!AV$1,基础面板属性!$C62&amp;"小"=基础面板属性!AV$1,基础面板属性!$C62&amp;"大"=基础面板属性!AV$1),MATCH(基础面板属性!$C62,镶嵌库!$C$16:$O$16,0),-1)),0)</f>
        <v>0</v>
      </c>
      <c r="AW62" s="160">
        <f>IFERROR(INDEX(镶嵌库!$C$16:$O$25,MATCH(基础面板属性!$D62,镶嵌库!$C$16:$C$25,0),IF(OR($C62=AW$1,LEFT(基础面板属性!$C62,2)&amp;"值"=基础面板属性!AW$1,基础面板属性!$C62&amp;"小"=基础面板属性!AW$1,基础面板属性!$C62&amp;"大"=基础面板属性!AW$1),MATCH(基础面板属性!$C62,镶嵌库!$C$16:$O$16,0),-1)),0)</f>
        <v>0</v>
      </c>
      <c r="AX62" s="160">
        <f>IFERROR(INDEX(镶嵌库!$C$16:$O$25,MATCH(基础面板属性!$D62,镶嵌库!$C$16:$C$25,0),IF(OR($C62=AX$1,LEFT(基础面板属性!$C62,2)&amp;"值"=基础面板属性!AX$1,基础面板属性!$C62&amp;"小"=基础面板属性!AX$1,基础面板属性!$C62&amp;"大"=基础面板属性!AX$1),MATCH(基础面板属性!$C62,镶嵌库!$C$16:$O$16,0),-1)),0)</f>
        <v>0</v>
      </c>
      <c r="AY62" s="160">
        <f>IFERROR(INDEX(镶嵌库!$C$16:$O$25,MATCH(基础面板属性!$D62,镶嵌库!$C$16:$C$25,0),IF(OR($C62=AY$1,LEFT(基础面板属性!$C62,2)&amp;"值"=基础面板属性!AY$1,基础面板属性!$C62&amp;"小"=基础面板属性!AY$1,基础面板属性!$C62&amp;"大"=基础面板属性!AY$1),MATCH(基础面板属性!$C62,镶嵌库!$C$16:$O$16,0),-1)),0)</f>
        <v>0</v>
      </c>
      <c r="AZ62" s="160">
        <f>IFERROR(INDEX(镶嵌库!$C$16:$O$25,MATCH(基础面板属性!$D62,镶嵌库!$C$16:$C$25,0),IF(OR($C62=AZ$1,LEFT(基础面板属性!$C62,2)&amp;"值"=基础面板属性!AZ$1,基础面板属性!$C62&amp;"小"=基础面板属性!AZ$1,基础面板属性!$C62&amp;"大"=基础面板属性!AZ$1),MATCH(基础面板属性!$C62,镶嵌库!$C$16:$O$16,0),-1)),0)</f>
        <v>0</v>
      </c>
      <c r="BA62" s="160">
        <f>IFERROR(INDEX(镶嵌库!$C$16:$O$25,MATCH(基础面板属性!$D62,镶嵌库!$C$16:$C$25,0),IF(OR($C62=BA$1,LEFT(基础面板属性!$C62,2)&amp;"值"=基础面板属性!BA$1,基础面板属性!$C62&amp;"小"=基础面板属性!BA$1,基础面板属性!$C62&amp;"大"=基础面板属性!BA$1),MATCH(基础面板属性!$C62,镶嵌库!$C$16:$O$16,0),-1)),0)</f>
        <v>0</v>
      </c>
      <c r="BB62" s="160">
        <f>IFERROR(INDEX(镶嵌库!$C$16:$O$25,MATCH(基础面板属性!$D62,镶嵌库!$C$16:$C$25,0),IF(OR($C62=BB$1,LEFT(基础面板属性!$C62,2)&amp;"值"=基础面板属性!BB$1,基础面板属性!$C62&amp;"小"=基础面板属性!BB$1,基础面板属性!$C62&amp;"大"=基础面板属性!BB$1),MATCH(基础面板属性!$C62,镶嵌库!$C$16:$O$16,0),-1)),0)</f>
        <v>0</v>
      </c>
      <c r="BC62" s="160">
        <f>IFERROR(INDEX(镶嵌库!$C$16:$O$25,MATCH(基础面板属性!$D62,镶嵌库!$C$16:$C$25,0),IF(OR($C62=BC$1,LEFT(基础面板属性!$C62,2)&amp;"值"=基础面板属性!BC$1,基础面板属性!$C62&amp;"小"=基础面板属性!BC$1,基础面板属性!$C62&amp;"大"=基础面板属性!BC$1),MATCH(基础面板属性!$C62,镶嵌库!$C$16:$O$16,0),-1)),0)</f>
        <v>0</v>
      </c>
      <c r="BD62" s="160">
        <f>IFERROR(INDEX(镶嵌库!$C$16:$O$25,MATCH(基础面板属性!$D62,镶嵌库!$C$16:$C$25,0),IF(OR($C62=BD$1,LEFT(基础面板属性!$C62,2)&amp;"值"=基础面板属性!BD$1,基础面板属性!$C62&amp;"小"=基础面板属性!BD$1,基础面板属性!$C62&amp;"大"=基础面板属性!BD$1),MATCH(基础面板属性!$C62,镶嵌库!$C$16:$O$16,0),-1)),0)</f>
        <v>0</v>
      </c>
    </row>
    <row r="63" spans="1:56">
      <c r="A63" s="160" t="s">
        <v>2110</v>
      </c>
      <c r="B63" s="160" t="s">
        <v>2111</v>
      </c>
      <c r="C63" s="160" t="s">
        <v>2112</v>
      </c>
      <c r="D63" s="160">
        <v>1484</v>
      </c>
      <c r="W63" s="160">
        <f>IF(COUNTIF(装备选择!$N$2:$N$7,"*"&amp;C63&amp;"*")&gt;=2,D63,0)</f>
        <v>0</v>
      </c>
      <c r="AK63" s="160">
        <f>IF(COUNTIF(装备选择!$N$2:$N$7,"*"&amp;C63&amp;"*")&gt;=4,D63,0)</f>
        <v>0</v>
      </c>
    </row>
    <row r="64" spans="1:56">
      <c r="A64" s="160" t="s">
        <v>2110</v>
      </c>
      <c r="B64" s="160" t="s">
        <v>2111</v>
      </c>
      <c r="C64" s="160" t="s">
        <v>2113</v>
      </c>
      <c r="D64" s="160">
        <v>2600</v>
      </c>
      <c r="W64" s="160">
        <f>IF(COUNTIF(装备选择!$N$2:$N$7,"*"&amp;C64&amp;"*")&gt;=2,D64,0)</f>
        <v>0</v>
      </c>
      <c r="AK64" s="160">
        <f>IF(COUNTIF(装备选择!$N$2:$N$7,"*"&amp;C64&amp;"*")&gt;=4,D64,0)</f>
        <v>0</v>
      </c>
    </row>
    <row r="65" spans="1:62">
      <c r="A65" s="160" t="s">
        <v>2110</v>
      </c>
      <c r="B65" s="160" t="s">
        <v>2111</v>
      </c>
      <c r="C65" s="160" t="s">
        <v>2114</v>
      </c>
      <c r="D65" s="160">
        <v>2992</v>
      </c>
      <c r="W65" s="160">
        <f>IF(COUNTIF(装备选择!$N$2:$N$7,"*"&amp;C65&amp;"*")&gt;=2,D65,0)</f>
        <v>0</v>
      </c>
      <c r="AK65" s="160">
        <f>IF(COUNTIF(装备选择!$N$2:$N$7,"*"&amp;C65&amp;"*")&gt;=4,D65,0)</f>
        <v>0</v>
      </c>
    </row>
    <row r="66" spans="1:62">
      <c r="A66" s="160" t="s">
        <v>2110</v>
      </c>
      <c r="B66" s="160" t="s">
        <v>2111</v>
      </c>
      <c r="C66" s="160" t="s">
        <v>2115</v>
      </c>
      <c r="D66" s="160">
        <v>3494</v>
      </c>
      <c r="W66" s="160">
        <f>IF(COUNTIF(装备选择!$N$2:$N$7,"*"&amp;C66&amp;"*")&gt;=2,D66,0)</f>
        <v>0</v>
      </c>
      <c r="AK66" s="160">
        <f>IF(COUNTIF(装备选择!$N$2:$N$7,"*"&amp;C66&amp;"*")&gt;=4,D66,0)</f>
        <v>0</v>
      </c>
    </row>
    <row r="67" spans="1:62">
      <c r="A67" s="160" t="s">
        <v>2110</v>
      </c>
      <c r="B67" s="160" t="s">
        <v>2111</v>
      </c>
      <c r="C67" s="160" t="s">
        <v>2116</v>
      </c>
      <c r="D67" s="160">
        <v>4098</v>
      </c>
      <c r="W67" s="160">
        <f>IF(COUNTIF(装备选择!$N$2:$N$7,"*"&amp;C67&amp;"*")&gt;=2,D67,0)</f>
        <v>0</v>
      </c>
      <c r="AK67" s="160">
        <f>IF(COUNTIF(装备选择!$N$2:$N$7,"*"&amp;C67&amp;"*")&gt;=4,D67,0)</f>
        <v>0</v>
      </c>
    </row>
    <row r="68" spans="1:62">
      <c r="A68" s="160" t="s">
        <v>2110</v>
      </c>
      <c r="B68" s="160" t="s">
        <v>2117</v>
      </c>
    </row>
    <row r="69" spans="1:62">
      <c r="A69" s="160" t="s">
        <v>2110</v>
      </c>
      <c r="B69" s="160" t="s">
        <v>2118</v>
      </c>
    </row>
    <row r="70" spans="1:62">
      <c r="A70" s="160" t="s">
        <v>1028</v>
      </c>
      <c r="B70" s="160" t="s">
        <v>2119</v>
      </c>
      <c r="D70" s="160">
        <f>IF(COUNTIF(装备选择!N2:N9,"*至尊*22200*")+IF(COUNTIF(装备选择!N10:N11,"*至尊*22200*")&gt;0,1,0)+COUNTIF(装备选择!N13,"*至尊*22200*")&gt;=2,543,0)</f>
        <v>0</v>
      </c>
      <c r="E70" s="160">
        <f>$D70</f>
        <v>0</v>
      </c>
      <c r="M70" s="160">
        <f>$D70</f>
        <v>0</v>
      </c>
      <c r="P70" s="160">
        <f>$D70</f>
        <v>0</v>
      </c>
    </row>
    <row r="71" spans="1:62">
      <c r="A71" s="160" t="s">
        <v>1825</v>
      </c>
      <c r="B71" s="160" t="s">
        <v>2119</v>
      </c>
      <c r="D71" s="160">
        <f>IF(COUNTIF(装备选择!N2:N9,"*至尊*22200*")+IF(COUNTIF(装备选择!N10:N11,"*至尊*22200*")&gt;0,1,0)+COUNTIF(装备选择!N14,"*至尊*22200*")&gt;=2,543,0)</f>
        <v>0</v>
      </c>
      <c r="E71" s="160">
        <f>$D71</f>
        <v>0</v>
      </c>
      <c r="M71" s="160">
        <f>$D71</f>
        <v>0</v>
      </c>
      <c r="P71" s="160">
        <f>$D71</f>
        <v>0</v>
      </c>
    </row>
    <row r="72" spans="1:62">
      <c r="A72" s="160" t="s">
        <v>1028</v>
      </c>
      <c r="B72" s="160" t="s">
        <v>2119</v>
      </c>
      <c r="D72" s="160">
        <f>IF(COUNTIF(装备选择!N2:N9,"*至尊*29800*")+IF(COUNTIF(装备选择!N10:N11,"*至尊*29800*")&gt;0,1,0)+COUNTIF(装备选择!N13,"*柠檬*29800*")&gt;=2,1,0)</f>
        <v>0</v>
      </c>
      <c r="W72" s="160">
        <f>D72*2550</f>
        <v>0</v>
      </c>
      <c r="Z72" s="160">
        <f>D72*930</f>
        <v>0</v>
      </c>
    </row>
    <row r="73" spans="1:62">
      <c r="A73" s="160" t="s">
        <v>1825</v>
      </c>
      <c r="B73" s="160" t="s">
        <v>2119</v>
      </c>
      <c r="D73" s="160">
        <f>IF(COUNTIF(装备选择!N2:N9,"*至尊*29800*")+IF(COUNTIF(装备选择!N10:N11,"*至尊*29800*")&gt;0,1,0)+COUNTIF(装备选择!N14,"*柠檬*29800*")&gt;=2,1,0)</f>
        <v>0</v>
      </c>
      <c r="W73" s="160">
        <f>D73*2550</f>
        <v>0</v>
      </c>
      <c r="Z73" s="160">
        <f>D73*930</f>
        <v>0</v>
      </c>
    </row>
    <row r="74" spans="1:62">
      <c r="A74" s="160" t="s">
        <v>1028</v>
      </c>
      <c r="B74" s="160" t="s">
        <v>2120</v>
      </c>
      <c r="C74" s="160" t="s">
        <v>2121</v>
      </c>
      <c r="H74" s="160">
        <v>307</v>
      </c>
      <c r="S74" s="160">
        <v>6513</v>
      </c>
      <c r="W74" s="160">
        <v>7827</v>
      </c>
    </row>
    <row r="75" spans="1:62">
      <c r="A75" s="160" t="s">
        <v>1825</v>
      </c>
      <c r="B75" s="160" t="s">
        <v>2122</v>
      </c>
      <c r="C75" s="160" t="s">
        <v>2121</v>
      </c>
      <c r="H75" s="160">
        <v>307</v>
      </c>
      <c r="S75" s="160">
        <v>6513</v>
      </c>
      <c r="W75" s="160">
        <v>7827</v>
      </c>
    </row>
    <row r="76" spans="1:62">
      <c r="A76" s="160" t="s">
        <v>2123</v>
      </c>
      <c r="B76" s="160" t="s">
        <v>2124</v>
      </c>
      <c r="C76" s="160" t="s">
        <v>2124</v>
      </c>
      <c r="E76" s="160">
        <v>45</v>
      </c>
      <c r="G76" s="160">
        <v>160878</v>
      </c>
      <c r="M76" s="160">
        <v>44</v>
      </c>
      <c r="P76" s="160">
        <v>44</v>
      </c>
    </row>
    <row r="77" spans="1:62">
      <c r="A77" s="160" t="s">
        <v>2125</v>
      </c>
      <c r="B77" s="160" t="s">
        <v>2126</v>
      </c>
      <c r="C77" s="160" t="s">
        <v>2126</v>
      </c>
      <c r="E77" s="160">
        <f>配装计算器!R30</f>
        <v>0</v>
      </c>
      <c r="M77" s="160">
        <f>配装计算器!R32</f>
        <v>0</v>
      </c>
      <c r="P77" s="160">
        <f>配装计算器!R33</f>
        <v>0</v>
      </c>
      <c r="S77" s="160">
        <f>配装计算器!R31</f>
        <v>0</v>
      </c>
      <c r="W77" s="160">
        <f>配装计算器!T31</f>
        <v>0</v>
      </c>
      <c r="Z77" s="160">
        <f>配装计算器!T32</f>
        <v>0</v>
      </c>
      <c r="AC77" s="160">
        <f>配装计算器!T33</f>
        <v>0</v>
      </c>
      <c r="AG77" s="160">
        <f>配装计算器!V33</f>
        <v>0</v>
      </c>
      <c r="AH77" s="160">
        <f>配装计算器!V30</f>
        <v>0</v>
      </c>
      <c r="AK77" s="160">
        <f>配装计算器!V31</f>
        <v>0</v>
      </c>
      <c r="AP77" s="160">
        <f>配装计算器!V32</f>
        <v>0</v>
      </c>
      <c r="AU77" s="160">
        <f>配装计算器!T30</f>
        <v>0</v>
      </c>
      <c r="AV77" s="160">
        <f>配装计算器!T30</f>
        <v>0</v>
      </c>
    </row>
    <row r="78" s="1" customFormat="1" spans="1:62">
      <c r="A78" s="159" t="s">
        <v>2127</v>
      </c>
      <c r="B78" s="159" t="s">
        <v>2052</v>
      </c>
      <c r="C78" s="159" t="s">
        <v>2128</v>
      </c>
      <c r="D78" s="159">
        <f>SUMPRODUCT(附魔库!E66:E70,附魔库!L76:L80)</f>
        <v>0</v>
      </c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>
        <f>D78</f>
        <v>0</v>
      </c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>
        <v>1</v>
      </c>
      <c r="BF78" s="159">
        <v>1</v>
      </c>
      <c r="BG78" s="159">
        <v>1</v>
      </c>
      <c r="BH78" s="163">
        <v>1</v>
      </c>
      <c r="BI78" s="197">
        <f>IF(AND($A78&lt;&gt;"重剑",$A78&lt;&gt;""),1,0)</f>
        <v>1</v>
      </c>
      <c r="BJ78" s="197">
        <f>IF(AND($A78&lt;&gt;"轻剑",$A78&lt;&gt;""),1,0)</f>
        <v>1</v>
      </c>
    </row>
    <row r="79" s="1" customFormat="1" spans="1:62">
      <c r="A79" s="159" t="s">
        <v>2127</v>
      </c>
      <c r="B79" s="159" t="s">
        <v>2058</v>
      </c>
      <c r="C79" s="159" t="s">
        <v>2128</v>
      </c>
      <c r="D79" s="159">
        <f>SUMPRODUCT(附魔库!F66:F70,附魔库!M76:M80)</f>
        <v>0</v>
      </c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>
        <f>D79</f>
        <v>0</v>
      </c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>
        <v>1</v>
      </c>
      <c r="BF79" s="159">
        <v>1</v>
      </c>
      <c r="BG79" s="159">
        <v>1</v>
      </c>
      <c r="BH79" s="163">
        <v>1</v>
      </c>
      <c r="BI79" s="197">
        <f>IF(AND($A79&lt;&gt;"重剑",$A79&lt;&gt;""),1,0)</f>
        <v>1</v>
      </c>
      <c r="BJ79" s="197">
        <f>IF(AND($A79&lt;&gt;"轻剑",$A79&lt;&gt;""),1,0)</f>
        <v>1</v>
      </c>
    </row>
    <row r="80" spans="1:62">
      <c r="A80" s="160" t="s">
        <v>2125</v>
      </c>
      <c r="B80" s="160" t="s">
        <v>2129</v>
      </c>
      <c r="C80" s="160" t="s">
        <v>56</v>
      </c>
      <c r="D80" s="160">
        <f>自输入属性</f>
        <v>0</v>
      </c>
      <c r="E80" s="160">
        <f>D80*配装计算器!AB3</f>
        <v>0</v>
      </c>
      <c r="G80" s="160">
        <f>D80*G76</f>
        <v>0</v>
      </c>
      <c r="H80" s="160">
        <f>D80*H74</f>
        <v>0</v>
      </c>
      <c r="M80" s="160">
        <f>D80*配装计算器!AB4</f>
        <v>0</v>
      </c>
      <c r="P80" s="160">
        <f>D80*配装计算器!AB5</f>
        <v>0</v>
      </c>
      <c r="S80" s="160">
        <f>D80*配装计算器!AB6-INT(P80*力道转基础攻击)</f>
        <v>0</v>
      </c>
      <c r="W80" s="160">
        <f>D80*配装计算器!AB9-INT(M80*身法转基础会心)</f>
        <v>0</v>
      </c>
      <c r="Z80" s="160">
        <f>D80*配装计算器!AB10</f>
        <v>0</v>
      </c>
      <c r="AC80" s="160">
        <f>D80*配装计算器!AB11-INT(P80*力道转基础破防)</f>
        <v>0</v>
      </c>
      <c r="AH80" s="160">
        <f>D80*配装计算器!AB12</f>
        <v>0</v>
      </c>
      <c r="AK80" s="160">
        <f>D80*配装计算器!AB13</f>
        <v>0</v>
      </c>
      <c r="AP80" s="160">
        <f>D80*配装计算器!AB14</f>
        <v>0</v>
      </c>
      <c r="AU80" s="160">
        <f>D80*配装计算器!AB7</f>
        <v>0</v>
      </c>
      <c r="AV80" s="160">
        <f>D80*配装计算器!AB8</f>
        <v>0</v>
      </c>
    </row>
    <row r="81" spans="1:60">
      <c r="A81" s="160" t="s">
        <v>2125</v>
      </c>
      <c r="B81" s="160" t="s">
        <v>2130</v>
      </c>
      <c r="C81" s="160" t="s">
        <v>56</v>
      </c>
      <c r="D81" s="160">
        <f>自输入属性</f>
        <v>0</v>
      </c>
      <c r="E81" s="160">
        <f>D81*配装计算器!AC3</f>
        <v>0</v>
      </c>
      <c r="G81" s="160">
        <f>D81*G76</f>
        <v>0</v>
      </c>
      <c r="H81" s="160">
        <f>D81*H75</f>
        <v>0</v>
      </c>
      <c r="M81" s="160">
        <f>D81*配装计算器!AC4</f>
        <v>0</v>
      </c>
      <c r="P81" s="160">
        <f>D81*配装计算器!AC5</f>
        <v>0</v>
      </c>
      <c r="S81" s="160">
        <f>D81*配装计算器!AC6-INT(P81*力道转基础攻击)</f>
        <v>0</v>
      </c>
      <c r="W81" s="160">
        <f>D81*配装计算器!AC9-INT(M81*身法转基础会心)</f>
        <v>0</v>
      </c>
      <c r="Z81" s="160">
        <f>D81*配装计算器!AC10</f>
        <v>0</v>
      </c>
      <c r="AC81" s="160">
        <f>D81*配装计算器!AC11-INT(P80*力道转基础破防)</f>
        <v>0</v>
      </c>
      <c r="AH81" s="160">
        <f>D81*配装计算器!AC12</f>
        <v>0</v>
      </c>
      <c r="AK81" s="160">
        <f>D81*配装计算器!AC13</f>
        <v>0</v>
      </c>
      <c r="AP81" s="160">
        <f>D81*配装计算器!AC14</f>
        <v>0</v>
      </c>
      <c r="AU81" s="160">
        <f>D81*配装计算器!AC7</f>
        <v>0</v>
      </c>
      <c r="AV81" s="160">
        <f>D81*配装计算器!AC8</f>
        <v>0</v>
      </c>
    </row>
    <row r="82" spans="1:60">
      <c r="A82" s="159" t="s">
        <v>2127</v>
      </c>
      <c r="B82" s="159" t="s">
        <v>2131</v>
      </c>
      <c r="C82" s="159">
        <f>7908*BE82</f>
        <v>7908</v>
      </c>
      <c r="D82" s="159">
        <f>2914*BE82</f>
        <v>2914</v>
      </c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>
        <f>C82</f>
        <v>7908</v>
      </c>
      <c r="X82" s="201"/>
      <c r="Y82" s="159"/>
      <c r="Z82" s="159">
        <f>D82</f>
        <v>2914</v>
      </c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>
        <f>IF(COUNTIF(装备选择!N2:N7,"*天极*30200*")+COUNTIF(装备选择!N2:N7,"*牧川*35300*")+COUNTIF(装备选择!N2:N7,"*玄阙*41400*")&gt;=2,1,0)*内置配装器</f>
        <v>1</v>
      </c>
      <c r="BF82" s="160">
        <v>1</v>
      </c>
      <c r="BG82" s="160">
        <v>1</v>
      </c>
      <c r="BH82" s="192">
        <v>1</v>
      </c>
    </row>
  </sheetData>
  <customSheetViews>
    <customSheetView guid="{8E53DF33-FD66-42DA-A21D-B11FBF5F6988}">
      <pane xSplit="2" ySplit="3" topLeftCell="N7" activePane="bottomRight" state="frozen"/>
      <selection activeCell="AD90" sqref="AD90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B506"/>
  <sheetViews>
    <sheetView topLeftCell="A186" workbookViewId="0">
      <selection activeCell="M198" sqref="M198"/>
    </sheetView>
  </sheetViews>
  <sheetFormatPr defaultColWidth="9" defaultRowHeight="16.8"/>
  <cols>
    <col min="4" max="4" width="12.125" customWidth="1"/>
    <col min="5" max="5" width="11" customWidth="1"/>
    <col min="6" max="6" width="25.75" customWidth="1"/>
    <col min="7" max="7" width="11" customWidth="1"/>
    <col min="9" max="9" width="12.125" customWidth="1"/>
    <col min="10" max="11" width="17.25" customWidth="1"/>
    <col min="13" max="15" width="13" customWidth="1"/>
    <col min="16" max="16" width="17.25" customWidth="1"/>
    <col min="17" max="19" width="13" customWidth="1"/>
    <col min="22" max="22" width="12.25" customWidth="1"/>
  </cols>
  <sheetData>
    <row r="1" spans="3:28">
      <c r="M1" s="160" t="s">
        <v>2132</v>
      </c>
      <c r="N1" s="160" t="s">
        <v>2133</v>
      </c>
      <c r="O1" s="160" t="s">
        <v>2134</v>
      </c>
      <c r="P1" s="160" t="s">
        <v>2135</v>
      </c>
      <c r="Q1" s="160" t="s">
        <v>2136</v>
      </c>
      <c r="R1" s="160" t="s">
        <v>2137</v>
      </c>
      <c r="S1" s="160" t="s">
        <v>82</v>
      </c>
    </row>
    <row r="2" spans="3:28">
      <c r="M2" s="160" t="str">
        <f>紫色攻击&amp;"攻击"</f>
        <v>891攻击</v>
      </c>
      <c r="N2" s="160" t="str">
        <f>紫色体质&amp;"体质"</f>
        <v>1215体质</v>
      </c>
      <c r="O2" s="160" t="str">
        <f>紫色身法&amp;"身法"</f>
        <v>420身法</v>
      </c>
      <c r="P2" s="160" t="str">
        <f>紫色攻击&amp;"攻击"</f>
        <v>891攻击</v>
      </c>
      <c r="Q2" s="160" t="str">
        <f>紫色体质&amp;"体质"</f>
        <v>1215体质</v>
      </c>
      <c r="R2" s="160" t="str">
        <f>紫色通用&amp;"破招"</f>
        <v>3279破招</v>
      </c>
      <c r="S2" s="160" t="str">
        <f>紫色通用&amp;"破防"</f>
        <v>3279破防</v>
      </c>
    </row>
    <row r="3" spans="3:28">
      <c r="D3" s="212" t="s">
        <v>2138</v>
      </c>
      <c r="M3" s="160" t="str">
        <f>次等紫色攻击&amp;"攻击"</f>
        <v>761攻击</v>
      </c>
      <c r="N3" s="160" t="str">
        <f>次等紫色体质&amp;"体质"</f>
        <v>1037体质</v>
      </c>
      <c r="O3" s="160" t="str">
        <f>次等紫色身法&amp;"身法"</f>
        <v>359身法</v>
      </c>
      <c r="P3" s="160" t="str">
        <f>次等紫色攻击&amp;"攻击"</f>
        <v>761攻击</v>
      </c>
      <c r="Q3" s="160" t="str">
        <f>次等紫色体质&amp;"体质"</f>
        <v>1037体质</v>
      </c>
      <c r="R3" s="160" t="str">
        <f>次等紫色通用&amp;"破招"</f>
        <v>2801破招</v>
      </c>
      <c r="S3" s="160" t="str">
        <f>次等紫色通用&amp;"破防"</f>
        <v>2801破防</v>
      </c>
    </row>
    <row r="4" spans="3:28">
      <c r="C4" s="160" t="s">
        <v>2139</v>
      </c>
      <c r="E4" s="160"/>
      <c r="F4" s="160"/>
      <c r="G4" s="160"/>
      <c r="H4" s="160"/>
      <c r="I4" s="160"/>
      <c r="J4" s="160"/>
      <c r="K4" s="160"/>
      <c r="M4" s="160" t="str">
        <f>蓝色攻击&amp;"攻击"</f>
        <v>446攻击</v>
      </c>
      <c r="N4" s="160" t="str">
        <f>蓝色体质&amp;"体质"</f>
        <v>608体质</v>
      </c>
      <c r="O4" s="160" t="str">
        <f>蓝色身法&amp;"身法"</f>
        <v>210身法</v>
      </c>
      <c r="P4" s="160" t="str">
        <f>蓝色攻击&amp;"攻击"</f>
        <v>446攻击</v>
      </c>
      <c r="Q4" s="160" t="str">
        <f>挑战紫色体质&amp;"体质"</f>
        <v>2126体质</v>
      </c>
      <c r="R4" s="160" t="str">
        <f>紫色身法&amp;"身法"</f>
        <v>420身法</v>
      </c>
      <c r="S4" s="160" t="str">
        <f>紫色身法&amp;"身法"</f>
        <v>420身法</v>
      </c>
      <c r="U4" s="160" t="s">
        <v>58</v>
      </c>
      <c r="V4" s="160" t="s">
        <v>2140</v>
      </c>
      <c r="W4" s="160" t="s">
        <v>1</v>
      </c>
      <c r="X4" s="160" t="s">
        <v>2141</v>
      </c>
      <c r="Y4" s="160" t="s">
        <v>2142</v>
      </c>
      <c r="Z4" s="160" t="s">
        <v>2143</v>
      </c>
    </row>
    <row r="5" spans="3:28">
      <c r="C5" s="160"/>
      <c r="D5" t="s">
        <v>2144</v>
      </c>
      <c r="E5" s="161" t="s">
        <v>2145</v>
      </c>
      <c r="F5" s="160" t="s">
        <v>2146</v>
      </c>
      <c r="G5" s="160"/>
      <c r="H5" s="160" t="s">
        <v>2147</v>
      </c>
      <c r="I5" s="160" t="s">
        <v>2148</v>
      </c>
      <c r="J5" s="160" t="s">
        <v>2149</v>
      </c>
      <c r="K5" s="160" t="s">
        <v>2150</v>
      </c>
      <c r="M5" s="160" t="str">
        <f>紫色通用&amp;"加速"</f>
        <v>3279加速</v>
      </c>
      <c r="N5" s="160" t="str">
        <f>紫色气血&amp;"气血"</f>
        <v>16397气血</v>
      </c>
      <c r="O5" s="160" t="str">
        <f>紫色通用&amp;"破防"</f>
        <v>3279破防</v>
      </c>
      <c r="P5" s="160" t="str">
        <f>紫色武器伤害&amp;"武器伤害"</f>
        <v>1344武器伤害</v>
      </c>
      <c r="Q5" s="160" t="str">
        <f>次等挑战紫色体质&amp;"体质"</f>
        <v>1816体质</v>
      </c>
      <c r="R5" s="160" t="str">
        <f>次等紫色身法&amp;"身法"</f>
        <v>359身法</v>
      </c>
      <c r="S5" s="160" t="str">
        <f>次等紫色身法&amp;"身法"</f>
        <v>359身法</v>
      </c>
      <c r="U5" s="160" t="s">
        <v>901</v>
      </c>
      <c r="V5" s="160" t="str">
        <f>配装计算器!E4</f>
        <v>3279加速</v>
      </c>
      <c r="W5" s="160" t="str">
        <f>RIGHT(V5,LENB(V5)-LEN(V5))</f>
        <v>加速</v>
      </c>
      <c r="X5" s="160">
        <f>IFERROR(VALUE(SUBSTITUTE(V5,W5,"")),0)</f>
        <v>3279</v>
      </c>
      <c r="Y5" s="160" t="str">
        <f>IFERROR(INDEX($M$18:$M$30,MATCH(V5,$M$2:$M$14,0)),"黑")</f>
        <v>紫</v>
      </c>
      <c r="Z5" s="160">
        <f>IFERROR(INDEX($U$20:$U$33,MATCH(V5,$M$2:$M$15,0)),"0")</f>
        <v>3368</v>
      </c>
    </row>
    <row r="6" spans="3:28">
      <c r="C6" s="160"/>
      <c r="D6">
        <v>1114</v>
      </c>
      <c r="E6" s="160">
        <v>1332</v>
      </c>
      <c r="F6" s="160">
        <v>1559</v>
      </c>
      <c r="G6" s="160" t="s">
        <v>66</v>
      </c>
      <c r="H6" s="160">
        <v>891</v>
      </c>
      <c r="I6" s="160">
        <v>761</v>
      </c>
      <c r="J6" s="160">
        <v>446</v>
      </c>
      <c r="K6" s="160"/>
      <c r="M6" s="160" t="str">
        <f>次等紫色通用&amp;"加速"</f>
        <v>2801加速</v>
      </c>
      <c r="N6" s="160" t="str">
        <f>次等紫色气血&amp;"气血"</f>
        <v>14006气血</v>
      </c>
      <c r="O6" s="160" t="str">
        <f>次等紫色通用&amp;"破防"</f>
        <v>2801破防</v>
      </c>
      <c r="P6" s="160" t="str">
        <f>次等紫色武器伤害&amp;"武器伤害"</f>
        <v>1148武器伤害</v>
      </c>
      <c r="Q6" s="160" t="str">
        <f>挑战紫色身法&amp;"身法"</f>
        <v>736身法</v>
      </c>
      <c r="R6" s="160" t="str">
        <f>紫色攻击&amp;"攻击"</f>
        <v>891攻击</v>
      </c>
      <c r="S6" s="160" t="str">
        <f>紫色通用&amp;"加速"</f>
        <v>3279加速</v>
      </c>
      <c r="U6" s="160" t="s">
        <v>1167</v>
      </c>
      <c r="V6" s="160" t="str">
        <f>配装计算器!E9</f>
        <v>978无双</v>
      </c>
      <c r="W6" s="160" t="str">
        <f t="shared" ref="W6:W17" si="0">RIGHT(V6,LENB(V6)-LEN(V6))</f>
        <v>无双</v>
      </c>
      <c r="X6" s="160">
        <f t="shared" ref="X6:X17" si="1">IFERROR(VALUE(SUBSTITUTE(V6,W6,"")),0)</f>
        <v>978</v>
      </c>
      <c r="Y6" s="160" t="str">
        <f>IFERROR(INDEX($N$18:$N$30,MATCH(V6,$N$2:$N$14,0)),"黑")</f>
        <v>蓝</v>
      </c>
      <c r="Z6" s="160">
        <f>IFERROR(INDEX($V$20:$V$32,MATCH(V6,$N$2:$N$14,0)),"0")</f>
        <v>1341</v>
      </c>
    </row>
    <row r="7" spans="3:28">
      <c r="C7" s="160"/>
      <c r="D7">
        <v>4099</v>
      </c>
      <c r="E7" s="160">
        <v>4902</v>
      </c>
      <c r="F7" s="160">
        <v>5739</v>
      </c>
      <c r="G7" s="160" t="s">
        <v>2128</v>
      </c>
      <c r="H7" s="160">
        <v>3279</v>
      </c>
      <c r="I7" s="160">
        <v>2801</v>
      </c>
      <c r="J7" s="160">
        <v>1640</v>
      </c>
      <c r="K7" s="160"/>
      <c r="M7" s="160" t="str">
        <f>蓝色通用&amp;"加速"</f>
        <v>1640加速</v>
      </c>
      <c r="N7" s="160" t="str">
        <f>蓝色气血&amp;"气血"</f>
        <v>8198气血</v>
      </c>
      <c r="O7" s="160" t="str">
        <f>蓝色通用&amp;"破防"</f>
        <v>1640破防</v>
      </c>
      <c r="P7" s="160" t="str">
        <f>蓝色武器伤害&amp;"武器伤害"</f>
        <v>672武器伤害</v>
      </c>
      <c r="Q7" s="160" t="str">
        <f>次等挑战紫色身法&amp;"身法"</f>
        <v>628身法</v>
      </c>
      <c r="R7" s="160" t="str">
        <f>次等紫色攻击&amp;"攻击"</f>
        <v>761攻击</v>
      </c>
      <c r="S7" s="160" t="str">
        <f>次等紫色通用&amp;"加速"</f>
        <v>2801加速</v>
      </c>
      <c r="U7" s="160" t="s">
        <v>1471</v>
      </c>
      <c r="V7" s="160" t="str">
        <f>配装计算器!E14</f>
        <v>978无双</v>
      </c>
      <c r="W7" s="160" t="str">
        <f t="shared" si="0"/>
        <v>无双</v>
      </c>
      <c r="X7" s="160">
        <f t="shared" si="1"/>
        <v>978</v>
      </c>
      <c r="Y7" s="160" t="str">
        <f>IFERROR(INDEX($N$18:$N$30,MATCH(V7,$N$2:$N$14,0)),"黑")</f>
        <v>蓝</v>
      </c>
      <c r="Z7" s="160">
        <f>IFERROR(INDEX($V$20:$V$32,MATCH(V7,$N$2:$N$14,0)),"0")</f>
        <v>1341</v>
      </c>
    </row>
    <row r="8" spans="3:28">
      <c r="C8" s="160"/>
      <c r="D8">
        <v>526</v>
      </c>
      <c r="E8" s="160">
        <v>628</v>
      </c>
      <c r="F8" s="160">
        <v>736</v>
      </c>
      <c r="G8" s="160" t="s">
        <v>64</v>
      </c>
      <c r="H8" s="160">
        <v>420</v>
      </c>
      <c r="I8" s="160">
        <v>359</v>
      </c>
      <c r="J8" s="160">
        <v>210</v>
      </c>
      <c r="K8" s="160"/>
      <c r="M8" s="160" t="str">
        <f>紫色通用&amp;"破招"</f>
        <v>3279破招</v>
      </c>
      <c r="N8" s="160" t="str">
        <f>蓝色无双&amp;"无双"</f>
        <v>978无双</v>
      </c>
      <c r="O8" s="160" t="str">
        <f>紫色通用&amp;"无双"</f>
        <v>3279无双</v>
      </c>
      <c r="P8" s="160" t="s">
        <v>2151</v>
      </c>
      <c r="Q8" s="160" t="str">
        <f>中等紫色体质&amp;"体质"</f>
        <v>1518体质</v>
      </c>
      <c r="R8" s="160" t="str">
        <f>挑战紫色攻击&amp;"攻击"</f>
        <v>1559攻击</v>
      </c>
      <c r="S8" s="160" t="str">
        <f>挑战紫色通用&amp;"破防"</f>
        <v>5739破防</v>
      </c>
      <c r="U8" s="160" t="s">
        <v>224</v>
      </c>
      <c r="V8" s="160" t="str">
        <f>配装计算器!K4</f>
        <v>3279无双</v>
      </c>
      <c r="W8" s="160" t="str">
        <f t="shared" si="0"/>
        <v>无双</v>
      </c>
      <c r="X8" s="160">
        <f t="shared" si="1"/>
        <v>3279</v>
      </c>
      <c r="Y8" s="160" t="str">
        <f>IFERROR(INDEX($O$18:$O$30,MATCH(V8,$O$2:$O$14,0)),"黑")</f>
        <v>紫</v>
      </c>
      <c r="Z8" s="160">
        <f>IFERROR(INDEX($W$20:$W$32,MATCH(V8,$O$2:$O$14,0)),"0")</f>
        <v>3368</v>
      </c>
    </row>
    <row r="9" spans="3:28">
      <c r="C9" s="160"/>
      <c r="D9">
        <v>1518</v>
      </c>
      <c r="E9" s="160">
        <v>1816</v>
      </c>
      <c r="F9" s="160">
        <v>2126</v>
      </c>
      <c r="G9" s="160" t="s">
        <v>63</v>
      </c>
      <c r="H9" s="160">
        <v>1215</v>
      </c>
      <c r="I9" s="160">
        <v>1037</v>
      </c>
      <c r="J9" s="160">
        <v>608</v>
      </c>
      <c r="K9" s="160"/>
      <c r="M9" s="160" t="str">
        <f>次等紫色通用&amp;"破招"</f>
        <v>2801破招</v>
      </c>
      <c r="N9" s="160" t="str">
        <f>次等蓝色无双&amp;"无双"</f>
        <v>836无双</v>
      </c>
      <c r="O9" s="160" t="str">
        <f>次等紫色通用&amp;"无双"</f>
        <v>2801无双</v>
      </c>
      <c r="P9" s="160" t="s">
        <v>2152</v>
      </c>
      <c r="Q9" s="160" t="s">
        <v>2152</v>
      </c>
      <c r="R9" s="160" t="str">
        <f>次等挑战紫色攻击&amp;"攻击"</f>
        <v>1332攻击</v>
      </c>
      <c r="S9" s="160" t="str">
        <f>次等挑战紫色通用&amp;"破防"</f>
        <v>4902破防</v>
      </c>
      <c r="U9" s="160" t="s">
        <v>672</v>
      </c>
      <c r="V9" s="160" t="str">
        <f>配装计算器!K9</f>
        <v>3279无双</v>
      </c>
      <c r="W9" s="160" t="str">
        <f t="shared" si="0"/>
        <v>无双</v>
      </c>
      <c r="X9" s="160">
        <f t="shared" si="1"/>
        <v>3279</v>
      </c>
      <c r="Y9" s="160" t="str">
        <f>IFERROR(INDEX($O$18:$O$30,MATCH(V9,$O$2:$O$14,0)),"黑")</f>
        <v>紫</v>
      </c>
      <c r="Z9" s="160">
        <f>IFERROR(INDEX($W$20:$W$32,MATCH(V9,$O$2:$O$14,0)),"0")</f>
        <v>3368</v>
      </c>
    </row>
    <row r="10" spans="3:28">
      <c r="C10" s="160"/>
      <c r="E10" s="160"/>
      <c r="F10" s="160"/>
      <c r="G10" s="160" t="s">
        <v>2153</v>
      </c>
      <c r="H10" s="160">
        <v>16397</v>
      </c>
      <c r="I10" s="160">
        <v>14006</v>
      </c>
      <c r="J10" s="160">
        <v>8198</v>
      </c>
      <c r="K10" s="160"/>
      <c r="M10" s="160" t="str">
        <f>蓝色通用&amp;"破招"</f>
        <v>1640破招</v>
      </c>
      <c r="N10" s="160" t="str">
        <f>紫色老破招&amp;"破招"</f>
        <v>18破招</v>
      </c>
      <c r="O10" s="160" t="str">
        <f>蓝色通用&amp;"无双"</f>
        <v>1640无双</v>
      </c>
      <c r="P10" s="160"/>
      <c r="Q10" s="160" t="str">
        <f>紫色体质&amp;"体质"</f>
        <v>1215体质</v>
      </c>
      <c r="R10" s="160" t="str">
        <f>挑战紫色身法&amp;"身法"</f>
        <v>736身法</v>
      </c>
      <c r="S10" s="160" t="str">
        <f>挑战紫色身法&amp;"身法"</f>
        <v>736身法</v>
      </c>
      <c r="U10" s="160" t="s">
        <v>1353</v>
      </c>
      <c r="V10" s="160" t="str">
        <f>配装计算器!K14</f>
        <v>3279加速</v>
      </c>
      <c r="W10" s="160" t="str">
        <f t="shared" si="0"/>
        <v>加速</v>
      </c>
      <c r="X10" s="160">
        <f t="shared" si="1"/>
        <v>3279</v>
      </c>
      <c r="Y10" s="160" t="str">
        <f>IFERROR(INDEX($M$18:$M$30,MATCH(V10,$M$2:$M$14,0)),"黑")</f>
        <v>紫</v>
      </c>
      <c r="Z10" s="160">
        <f>IFERROR(INDEX($U$20:$U$32,MATCH(V10,$M$2:$M$14,0)),"0")</f>
        <v>3368</v>
      </c>
    </row>
    <row r="11" spans="3:28">
      <c r="C11" s="160"/>
      <c r="E11" s="160"/>
      <c r="F11" s="160"/>
      <c r="G11" s="160" t="s">
        <v>69</v>
      </c>
      <c r="H11" s="160">
        <v>1344</v>
      </c>
      <c r="I11" s="160">
        <v>1148</v>
      </c>
      <c r="J11" s="160">
        <v>672</v>
      </c>
      <c r="K11" s="160"/>
      <c r="M11" s="160" t="s">
        <v>2152</v>
      </c>
      <c r="N11" s="160" t="str">
        <f>紫色老破防&amp;"破防"</f>
        <v>24破防</v>
      </c>
      <c r="O11" s="160" t="str">
        <f>紫色通用&amp;"会心"</f>
        <v>3279会心</v>
      </c>
      <c r="P11" s="160"/>
      <c r="Q11" s="160" t="str">
        <f>次等紫色体质&amp;"体质"</f>
        <v>1037体质</v>
      </c>
      <c r="R11" s="160" t="str">
        <f>次等挑战紫色身法&amp;"身法"</f>
        <v>628身法</v>
      </c>
      <c r="S11" s="160" t="str">
        <f>次等挑战紫色身法&amp;"身法"</f>
        <v>628身法</v>
      </c>
      <c r="U11" s="160" t="s">
        <v>1252</v>
      </c>
      <c r="V11" s="160" t="str">
        <f>配装计算器!E19</f>
        <v>628身法</v>
      </c>
      <c r="W11" s="160" t="str">
        <f t="shared" si="0"/>
        <v>身法</v>
      </c>
      <c r="X11" s="160">
        <f t="shared" si="1"/>
        <v>628</v>
      </c>
      <c r="Y11" s="160" t="str">
        <f>IFERROR(INDEX($Q$18:$Q$30,MATCH(V11,$Q$2:$Q$15,0)),"黑")</f>
        <v>紫</v>
      </c>
      <c r="Z11" s="160">
        <f>IFERROR(INDEX($Y$20:$Y$33,MATCH(V11,$Q$2:$Q$15,0)),"0")</f>
        <v>4316</v>
      </c>
    </row>
    <row r="12" spans="3:28">
      <c r="C12" s="160"/>
      <c r="E12" s="160"/>
      <c r="F12" s="160"/>
      <c r="G12" s="160" t="s">
        <v>21</v>
      </c>
      <c r="H12" s="160"/>
      <c r="I12" s="160"/>
      <c r="J12" s="160">
        <v>978</v>
      </c>
      <c r="K12" s="160">
        <v>836</v>
      </c>
      <c r="M12" s="160"/>
      <c r="N12" s="160" t="s">
        <v>2152</v>
      </c>
      <c r="O12" s="160" t="str">
        <f>次等紫色通用&amp;"会心"</f>
        <v>2801会心</v>
      </c>
      <c r="P12" s="160"/>
      <c r="Q12" s="160" t="str">
        <f>挑战紫色体质&amp;"体质"</f>
        <v>2126体质</v>
      </c>
      <c r="R12" s="160" t="str">
        <f>中等紫色通用&amp;"破招"</f>
        <v>4099破招</v>
      </c>
      <c r="S12" s="160" t="str">
        <f>挑战紫色通用&amp;"加速"</f>
        <v>5739加速</v>
      </c>
      <c r="U12" s="160" t="s">
        <v>1688</v>
      </c>
      <c r="V12" s="160" t="str">
        <f>配装计算器!E23</f>
        <v>1037体质</v>
      </c>
      <c r="W12" s="160" t="str">
        <f t="shared" si="0"/>
        <v>体质</v>
      </c>
      <c r="X12" s="160">
        <f t="shared" si="1"/>
        <v>1037</v>
      </c>
      <c r="Y12" s="160" t="str">
        <f>IFERROR(INDEX($Q$18:$Q$33,MATCH(V12,$Q$2:$Q$17,0)),"黑")</f>
        <v>紫</v>
      </c>
      <c r="Z12" s="160">
        <f>IFERROR(INDEX($Y$20:$Y$35,MATCH(V12,$Q$2:$Q$17,0)),"0")</f>
        <v>2877</v>
      </c>
    </row>
    <row r="13" spans="3:28">
      <c r="C13" s="160"/>
      <c r="E13" s="160"/>
      <c r="F13" s="160"/>
      <c r="G13" s="160" t="s">
        <v>2154</v>
      </c>
      <c r="H13" s="160">
        <v>18</v>
      </c>
      <c r="I13" s="160"/>
      <c r="J13" s="160"/>
      <c r="K13" s="160"/>
      <c r="M13" s="160"/>
      <c r="N13" s="160"/>
      <c r="O13" s="160" t="str">
        <f>蓝色通用&amp;"会心"</f>
        <v>1640会心</v>
      </c>
      <c r="P13" s="160"/>
      <c r="Q13" s="160" t="str">
        <f>次等挑战紫色体质&amp;"体质"</f>
        <v>1816体质</v>
      </c>
      <c r="R13" s="160" t="str">
        <f>中等紫色身法&amp;"身法"</f>
        <v>526身法</v>
      </c>
      <c r="S13" s="160" t="str">
        <f>次等挑战紫色通用&amp;"加速"</f>
        <v>4902加速</v>
      </c>
      <c r="U13" s="160" t="s">
        <v>1980</v>
      </c>
      <c r="V13" s="160" t="str">
        <f>配装计算器!K19</f>
        <v>1559攻击</v>
      </c>
      <c r="W13" s="160" t="str">
        <f t="shared" si="0"/>
        <v>攻击</v>
      </c>
      <c r="X13" s="160">
        <f t="shared" si="1"/>
        <v>1559</v>
      </c>
      <c r="Y13" s="160" t="str">
        <f>IFERROR(INDEX($R$18:$R$31,MATCH(V13,$R$2:$R$15,0)),"黑")</f>
        <v>紫</v>
      </c>
      <c r="Z13" s="160">
        <f>IFERROR(INDEX($Z$20:$Z$33,MATCH(V13,$R$2:$R$15,0)),"0")</f>
        <v>5052</v>
      </c>
    </row>
    <row r="14" spans="3:28">
      <c r="C14" s="160"/>
      <c r="E14" s="160"/>
      <c r="F14" s="160"/>
      <c r="G14" s="160" t="s">
        <v>2155</v>
      </c>
      <c r="H14" s="160">
        <v>24</v>
      </c>
      <c r="I14" s="160"/>
      <c r="J14" s="160"/>
      <c r="K14" s="160"/>
      <c r="M14" s="160"/>
      <c r="N14" s="160"/>
      <c r="O14" s="160" t="s">
        <v>2152</v>
      </c>
      <c r="P14" s="160"/>
      <c r="Q14" s="160" t="str">
        <f>挑战紫色通用&amp;"会心"</f>
        <v>5739会心</v>
      </c>
      <c r="R14" s="160" t="str">
        <f>中等紫色攻击&amp;"攻击"</f>
        <v>1114攻击</v>
      </c>
      <c r="S14" s="160" t="str">
        <f>中等紫色通用&amp;"破防"</f>
        <v>4099破防</v>
      </c>
      <c r="U14" s="160" t="s">
        <v>1981</v>
      </c>
      <c r="V14" s="160" t="str">
        <f>配装计算器!K23</f>
        <v>1559攻击</v>
      </c>
      <c r="W14" s="160" t="str">
        <f t="shared" si="0"/>
        <v>攻击</v>
      </c>
      <c r="X14" s="160">
        <f t="shared" si="1"/>
        <v>1559</v>
      </c>
      <c r="Y14" s="160" t="str">
        <f>IFERROR(INDEX($R$18:$R$31,MATCH(V14,$R$2:$R$15,0)),"黑")</f>
        <v>紫</v>
      </c>
      <c r="Z14" s="160">
        <f>IFERROR(INDEX($Z$20:$Z$33,MATCH(V14,$R$2:$R$15,0)),"0")</f>
        <v>5052</v>
      </c>
    </row>
    <row r="15" spans="3:28">
      <c r="C15" s="160"/>
      <c r="D15" s="212" t="s">
        <v>2156</v>
      </c>
      <c r="E15" s="160"/>
      <c r="F15" s="160"/>
      <c r="G15" s="160"/>
      <c r="H15" s="160"/>
      <c r="I15" s="160"/>
      <c r="J15" s="160"/>
      <c r="K15" s="160"/>
      <c r="Q15" s="160" t="str">
        <f>次等挑战紫色通用&amp;"会心"</f>
        <v>4902会心</v>
      </c>
      <c r="R15" t="s">
        <v>2152</v>
      </c>
      <c r="S15" t="str">
        <f>中等紫色通用&amp;"加速"</f>
        <v>4099加速</v>
      </c>
      <c r="U15" s="160" t="s">
        <v>82</v>
      </c>
      <c r="V15" s="160" t="str">
        <f>配装计算器!K27</f>
        <v>4099破防</v>
      </c>
      <c r="W15" s="160" t="str">
        <f t="shared" si="0"/>
        <v>破防</v>
      </c>
      <c r="X15" s="160">
        <f t="shared" si="1"/>
        <v>4099</v>
      </c>
      <c r="Y15" s="160" t="str">
        <f>IFERROR(INDEX($S$18:$S$33,MATCH(V15,$S$2:$S$17,0)),"黑")</f>
        <v>紫</v>
      </c>
      <c r="Z15" s="160">
        <f>IFERROR(INDEX($AA$20:$AA$35,MATCH(V15,$S$2:$S$17,0)),"0")</f>
        <v>3907</v>
      </c>
    </row>
    <row r="16" spans="3:28">
      <c r="C16" s="160"/>
      <c r="D16" t="s">
        <v>2144</v>
      </c>
      <c r="E16" s="161" t="s">
        <v>2145</v>
      </c>
      <c r="F16" s="160" t="s">
        <v>2146</v>
      </c>
      <c r="G16" s="160"/>
      <c r="H16" s="160" t="s">
        <v>2147</v>
      </c>
      <c r="I16" s="160" t="s">
        <v>2148</v>
      </c>
      <c r="J16" s="160" t="s">
        <v>2149</v>
      </c>
      <c r="K16" s="160" t="s">
        <v>2150</v>
      </c>
      <c r="Q16" s="160" t="str">
        <f>中等紫色体质&amp;"体质"</f>
        <v>1518体质</v>
      </c>
      <c r="S16" t="str">
        <f>中等紫色身法&amp;"身法"</f>
        <v>526身法</v>
      </c>
      <c r="U16" s="160" t="s">
        <v>1028</v>
      </c>
      <c r="V16" s="160" t="str">
        <f>配装计算器!E27</f>
        <v>891攻击</v>
      </c>
      <c r="W16" s="160" t="str">
        <f t="shared" si="0"/>
        <v>攻击</v>
      </c>
      <c r="X16" s="160">
        <f t="shared" si="1"/>
        <v>891</v>
      </c>
      <c r="Y16" s="160" t="str">
        <f>IFERROR(INDEX($P$18:$P$30,MATCH(V16,$P$2:$P$14,0)),"黑")</f>
        <v>紫</v>
      </c>
      <c r="Z16" s="160">
        <f>IFERROR(INDEX($X$20:$X$32,MATCH(V16,$P$2:$P$14,0)),"0")</f>
        <v>3368</v>
      </c>
      <c r="AB16" t="s">
        <v>2156</v>
      </c>
    </row>
    <row r="17" spans="3:28">
      <c r="C17" s="160"/>
      <c r="D17">
        <v>3907</v>
      </c>
      <c r="E17" s="160">
        <v>4316</v>
      </c>
      <c r="F17" s="160">
        <v>5052</v>
      </c>
      <c r="G17" s="160" t="s">
        <v>66</v>
      </c>
      <c r="H17" s="160">
        <v>3368</v>
      </c>
      <c r="I17" s="160">
        <v>2877</v>
      </c>
      <c r="J17" s="160">
        <v>1681</v>
      </c>
      <c r="K17" s="160"/>
      <c r="M17" s="160" t="s">
        <v>2132</v>
      </c>
      <c r="N17" s="160" t="s">
        <v>2133</v>
      </c>
      <c r="O17" s="160" t="s">
        <v>2134</v>
      </c>
      <c r="P17" s="160" t="s">
        <v>2135</v>
      </c>
      <c r="Q17" s="160" t="s">
        <v>2152</v>
      </c>
      <c r="R17" s="160" t="s">
        <v>2137</v>
      </c>
      <c r="S17" s="160" t="s">
        <v>2152</v>
      </c>
      <c r="U17" s="160" t="s">
        <v>1825</v>
      </c>
      <c r="V17" s="160" t="str">
        <f>配装计算器!E28</f>
        <v>891攻击</v>
      </c>
      <c r="W17" s="160" t="str">
        <f t="shared" si="0"/>
        <v>攻击</v>
      </c>
      <c r="X17" s="160">
        <f t="shared" si="1"/>
        <v>891</v>
      </c>
      <c r="Y17" s="160" t="str">
        <f>IFERROR(INDEX($P$18:$P$30,MATCH(V17,$P$2:$P$14,0)),"黑")</f>
        <v>紫</v>
      </c>
      <c r="Z17" s="160">
        <f>IFERROR(INDEX($X$20:$X$32,MATCH(V17,$P$2:$P$14,0)),"0")</f>
        <v>3368</v>
      </c>
      <c r="AB17">
        <f>SUM(Z5:Z15)+INT((Z16+Z17)/2)+S64</f>
        <v>58195</v>
      </c>
    </row>
    <row r="18" spans="3:28">
      <c r="C18" s="160"/>
      <c r="D18">
        <v>3907</v>
      </c>
      <c r="E18" s="160">
        <v>4316</v>
      </c>
      <c r="F18" s="160">
        <v>5052</v>
      </c>
      <c r="G18" s="160" t="s">
        <v>2128</v>
      </c>
      <c r="H18" s="160">
        <v>3368</v>
      </c>
      <c r="I18" s="160">
        <v>2877</v>
      </c>
      <c r="J18" s="160">
        <v>1681</v>
      </c>
      <c r="K18" s="160"/>
      <c r="M18" s="160" t="s">
        <v>2157</v>
      </c>
      <c r="N18" s="160" t="s">
        <v>2157</v>
      </c>
      <c r="O18" s="160" t="s">
        <v>2157</v>
      </c>
      <c r="P18" s="160" t="s">
        <v>2157</v>
      </c>
      <c r="Q18" s="160" t="s">
        <v>2157</v>
      </c>
      <c r="R18" s="160" t="s">
        <v>2157</v>
      </c>
      <c r="S18" s="160" t="s">
        <v>2157</v>
      </c>
    </row>
    <row r="19" spans="3:28">
      <c r="C19" s="160"/>
      <c r="D19">
        <v>3907</v>
      </c>
      <c r="E19" s="160">
        <v>4316</v>
      </c>
      <c r="F19" s="160">
        <v>5052</v>
      </c>
      <c r="G19" s="160" t="s">
        <v>64</v>
      </c>
      <c r="H19" s="160">
        <v>3368</v>
      </c>
      <c r="I19" s="160">
        <v>2877</v>
      </c>
      <c r="J19" s="160">
        <v>1681</v>
      </c>
      <c r="K19" s="160"/>
      <c r="M19" s="160" t="s">
        <v>2157</v>
      </c>
      <c r="N19" s="160" t="s">
        <v>2157</v>
      </c>
      <c r="O19" s="160" t="s">
        <v>2157</v>
      </c>
      <c r="P19" s="160" t="s">
        <v>2157</v>
      </c>
      <c r="Q19" s="160" t="s">
        <v>2157</v>
      </c>
      <c r="R19" s="160" t="s">
        <v>2157</v>
      </c>
      <c r="S19" s="160" t="s">
        <v>2157</v>
      </c>
      <c r="U19" s="160" t="s">
        <v>2132</v>
      </c>
      <c r="V19" s="160" t="s">
        <v>2133</v>
      </c>
      <c r="W19" s="160" t="s">
        <v>2134</v>
      </c>
      <c r="X19" s="160" t="s">
        <v>2135</v>
      </c>
      <c r="Y19" s="160" t="s">
        <v>2158</v>
      </c>
      <c r="Z19" s="160" t="s">
        <v>2137</v>
      </c>
      <c r="AA19" s="160" t="s">
        <v>82</v>
      </c>
    </row>
    <row r="20" spans="3:28">
      <c r="C20" s="160"/>
      <c r="D20">
        <v>3907</v>
      </c>
      <c r="E20" s="160">
        <v>4316</v>
      </c>
      <c r="F20" s="160">
        <v>5052</v>
      </c>
      <c r="G20" s="160" t="s">
        <v>63</v>
      </c>
      <c r="H20" s="160">
        <v>3368</v>
      </c>
      <c r="I20" s="160">
        <v>2877</v>
      </c>
      <c r="J20" s="160">
        <v>1681</v>
      </c>
      <c r="K20" s="160"/>
      <c r="M20" s="160" t="s">
        <v>2159</v>
      </c>
      <c r="N20" s="160" t="s">
        <v>2159</v>
      </c>
      <c r="O20" s="160" t="s">
        <v>2159</v>
      </c>
      <c r="P20" s="160" t="s">
        <v>2159</v>
      </c>
      <c r="Q20" s="160" t="s">
        <v>2157</v>
      </c>
      <c r="R20" s="160" t="s">
        <v>2157</v>
      </c>
      <c r="S20" s="160" t="s">
        <v>2157</v>
      </c>
      <c r="U20" s="160">
        <f>IFERROR(INDEX($D$16:$K$25,MATCH(MID(M35,FIND("色",M35)+1,LEN(M35)-FIND("色",M35)),$G$16:$G$25,0),MATCH(MID(M35,1,FIND("色",M35)),$D$16:$K$16,0)),0)</f>
        <v>3368</v>
      </c>
      <c r="V20" s="160">
        <f t="shared" ref="V20:AA20" si="2">IFERROR(INDEX($D$16:$K$25,MATCH(MID(N35,FIND("色",N35)+1,LEN(N35)-FIND("色",N35)),$G$16:$G$25,0),MATCH(MID(N35,1,FIND("色",N35)),$D$16:$K$16,0)),0)</f>
        <v>3368</v>
      </c>
      <c r="W20" s="160">
        <f t="shared" si="2"/>
        <v>3368</v>
      </c>
      <c r="X20" s="160">
        <f t="shared" si="2"/>
        <v>3368</v>
      </c>
      <c r="Y20" s="160">
        <f t="shared" si="2"/>
        <v>3368</v>
      </c>
      <c r="Z20" s="160">
        <f t="shared" si="2"/>
        <v>3368</v>
      </c>
      <c r="AA20" s="160">
        <f t="shared" si="2"/>
        <v>3368</v>
      </c>
    </row>
    <row r="21" spans="3:28">
      <c r="C21" s="160"/>
      <c r="E21" s="160"/>
      <c r="F21" s="160"/>
      <c r="G21" s="160" t="s">
        <v>2153</v>
      </c>
      <c r="H21" s="160">
        <v>3368</v>
      </c>
      <c r="I21" s="160">
        <v>2877</v>
      </c>
      <c r="J21" s="160">
        <v>1681</v>
      </c>
      <c r="K21" s="160"/>
      <c r="M21" s="160" t="s">
        <v>2157</v>
      </c>
      <c r="N21" s="160" t="s">
        <v>2157</v>
      </c>
      <c r="O21" s="160" t="s">
        <v>2157</v>
      </c>
      <c r="P21" s="160" t="s">
        <v>2157</v>
      </c>
      <c r="Q21" s="160" t="s">
        <v>2157</v>
      </c>
      <c r="R21" s="160" t="s">
        <v>2157</v>
      </c>
      <c r="S21" s="160" t="s">
        <v>2157</v>
      </c>
      <c r="U21" s="160">
        <f t="shared" ref="U21:U32" si="3">IFERROR(INDEX($D$16:$K$25,MATCH(MID(M36,FIND("色",M36)+1,LEN(M36)-FIND("色",M36)),$G$16:$G$25,0),MATCH(MID(M36,1,FIND("色",M36)),$D$16:$K$16,0)),0)</f>
        <v>2877</v>
      </c>
      <c r="V21" s="160">
        <f t="shared" ref="V21:V32" si="4">IFERROR(INDEX($D$16:$K$25,MATCH(MID(N36,FIND("色",N36)+1,LEN(N36)-FIND("色",N36)),$G$16:$G$25,0),MATCH(MID(N36,1,FIND("色",N36)),$D$16:$K$16,0)),0)</f>
        <v>2877</v>
      </c>
      <c r="W21" s="160">
        <f t="shared" ref="W21:W32" si="5">IFERROR(INDEX($D$16:$K$25,MATCH(MID(O36,FIND("色",O36)+1,LEN(O36)-FIND("色",O36)),$G$16:$G$25,0),MATCH(MID(O36,1,FIND("色",O36)),$D$16:$K$16,0)),0)</f>
        <v>2877</v>
      </c>
      <c r="X21" s="160">
        <f t="shared" ref="X21:X32" si="6">IFERROR(INDEX($D$16:$K$25,MATCH(MID(P36,FIND("色",P36)+1,LEN(P36)-FIND("色",P36)),$G$16:$G$25,0),MATCH(MID(P36,1,FIND("色",P36)),$D$16:$K$16,0)),0)</f>
        <v>2877</v>
      </c>
      <c r="Y21" s="160">
        <f t="shared" ref="Y21:Y32" si="7">IFERROR(INDEX($D$16:$K$25,MATCH(MID(Q36,FIND("色",Q36)+1,LEN(Q36)-FIND("色",Q36)),$G$16:$G$25,0),MATCH(MID(Q36,1,FIND("色",Q36)),$D$16:$K$16,0)),0)</f>
        <v>2877</v>
      </c>
      <c r="Z21" s="160">
        <f t="shared" ref="Z21:Z33" si="8">IFERROR(INDEX($D$16:$K$25,MATCH(MID(R36,FIND("色",R36)+1,LEN(R36)-FIND("色",R36)),$G$16:$G$25,0),MATCH(MID(R36,1,FIND("色",R36)),$D$16:$K$16,0)),0)</f>
        <v>2877</v>
      </c>
      <c r="AA21" s="160">
        <f t="shared" ref="AA21:AA35" si="9">IFERROR(INDEX($D$16:$K$25,MATCH(MID(S36,FIND("色",S36)+1,LEN(S36)-FIND("色",S36)),$G$16:$G$25,0),MATCH(MID(S36,1,FIND("色",S36)),$D$16:$K$16,0)),0)</f>
        <v>2877</v>
      </c>
    </row>
    <row r="22" spans="3:28">
      <c r="C22" s="160"/>
      <c r="E22" s="160"/>
      <c r="F22" s="160"/>
      <c r="G22" s="160" t="s">
        <v>69</v>
      </c>
      <c r="H22" s="160">
        <v>3368</v>
      </c>
      <c r="I22" s="160">
        <v>2877</v>
      </c>
      <c r="J22" s="160">
        <v>1681</v>
      </c>
      <c r="K22" s="160"/>
      <c r="M22" s="160" t="s">
        <v>2157</v>
      </c>
      <c r="N22" s="160" t="s">
        <v>2157</v>
      </c>
      <c r="O22" s="160" t="s">
        <v>2157</v>
      </c>
      <c r="P22" s="160" t="s">
        <v>2157</v>
      </c>
      <c r="Q22" s="160" t="s">
        <v>2157</v>
      </c>
      <c r="R22" s="160" t="s">
        <v>2157</v>
      </c>
      <c r="S22" s="160" t="s">
        <v>2157</v>
      </c>
      <c r="U22" s="160">
        <f t="shared" si="3"/>
        <v>1681</v>
      </c>
      <c r="V22" s="160">
        <f t="shared" si="4"/>
        <v>1681</v>
      </c>
      <c r="W22" s="160">
        <f t="shared" si="5"/>
        <v>1681</v>
      </c>
      <c r="X22" s="160">
        <f t="shared" si="6"/>
        <v>1681</v>
      </c>
      <c r="Y22" s="160">
        <f t="shared" si="7"/>
        <v>5052</v>
      </c>
      <c r="Z22" s="160">
        <f t="shared" si="8"/>
        <v>3368</v>
      </c>
      <c r="AA22" s="160">
        <f t="shared" si="9"/>
        <v>3368</v>
      </c>
    </row>
    <row r="23" spans="3:28">
      <c r="C23" s="160"/>
      <c r="E23" s="160"/>
      <c r="F23" s="160"/>
      <c r="G23" s="160" t="s">
        <v>21</v>
      </c>
      <c r="H23" s="160"/>
      <c r="I23" s="160"/>
      <c r="J23" s="160">
        <v>1341</v>
      </c>
      <c r="K23" s="160">
        <v>1146</v>
      </c>
      <c r="M23" s="160" t="s">
        <v>2159</v>
      </c>
      <c r="N23" s="160" t="s">
        <v>2159</v>
      </c>
      <c r="O23" s="160" t="s">
        <v>2159</v>
      </c>
      <c r="P23" s="160" t="s">
        <v>2159</v>
      </c>
      <c r="Q23" s="160" t="s">
        <v>2157</v>
      </c>
      <c r="R23" s="160" t="s">
        <v>2157</v>
      </c>
      <c r="S23" s="160" t="s">
        <v>2157</v>
      </c>
      <c r="U23" s="160">
        <f t="shared" si="3"/>
        <v>3368</v>
      </c>
      <c r="V23" s="160">
        <f t="shared" si="4"/>
        <v>3368</v>
      </c>
      <c r="W23" s="160">
        <f t="shared" si="5"/>
        <v>3368</v>
      </c>
      <c r="X23" s="160">
        <f t="shared" si="6"/>
        <v>3368</v>
      </c>
      <c r="Y23" s="160">
        <f t="shared" si="7"/>
        <v>4316</v>
      </c>
      <c r="Z23" s="160">
        <f t="shared" si="8"/>
        <v>2877</v>
      </c>
      <c r="AA23" s="160">
        <f t="shared" si="9"/>
        <v>2877</v>
      </c>
    </row>
    <row r="24" spans="3:28">
      <c r="C24" s="160"/>
      <c r="E24" s="160"/>
      <c r="F24" s="160"/>
      <c r="G24" s="160" t="s">
        <v>2154</v>
      </c>
      <c r="H24" s="160">
        <v>15</v>
      </c>
      <c r="I24" s="160"/>
      <c r="J24" s="160"/>
      <c r="K24" s="160"/>
      <c r="M24" s="160" t="s">
        <v>2157</v>
      </c>
      <c r="N24" s="160" t="s">
        <v>2159</v>
      </c>
      <c r="O24" s="160" t="s">
        <v>2157</v>
      </c>
      <c r="P24" s="160" t="s">
        <v>2157</v>
      </c>
      <c r="Q24" s="160" t="s">
        <v>2157</v>
      </c>
      <c r="R24" s="160" t="s">
        <v>2157</v>
      </c>
      <c r="S24" s="160" t="s">
        <v>2157</v>
      </c>
      <c r="U24" s="160">
        <f t="shared" si="3"/>
        <v>2877</v>
      </c>
      <c r="V24" s="160">
        <f t="shared" si="4"/>
        <v>2877</v>
      </c>
      <c r="W24" s="160">
        <f t="shared" si="5"/>
        <v>2877</v>
      </c>
      <c r="X24" s="160">
        <f t="shared" si="6"/>
        <v>2877</v>
      </c>
      <c r="Y24" s="160">
        <f t="shared" si="7"/>
        <v>5052</v>
      </c>
      <c r="Z24" s="160">
        <f t="shared" si="8"/>
        <v>3368</v>
      </c>
      <c r="AA24" s="160">
        <f t="shared" si="9"/>
        <v>3368</v>
      </c>
    </row>
    <row r="25" spans="3:28">
      <c r="C25" s="160"/>
      <c r="E25" s="160"/>
      <c r="F25" s="160"/>
      <c r="G25" s="160" t="s">
        <v>2155</v>
      </c>
      <c r="H25" s="160">
        <v>21</v>
      </c>
      <c r="I25" s="160"/>
      <c r="J25" s="160"/>
      <c r="K25" s="160"/>
      <c r="M25" s="160" t="s">
        <v>2157</v>
      </c>
      <c r="N25" s="160" t="s">
        <v>2159</v>
      </c>
      <c r="O25" s="160" t="s">
        <v>2157</v>
      </c>
      <c r="P25" s="160" t="s">
        <v>89</v>
      </c>
      <c r="Q25" s="160" t="s">
        <v>2160</v>
      </c>
      <c r="R25" s="160" t="s">
        <v>2157</v>
      </c>
      <c r="S25" s="160" t="s">
        <v>2157</v>
      </c>
      <c r="U25" s="160">
        <f t="shared" si="3"/>
        <v>1681</v>
      </c>
      <c r="V25" s="160">
        <f t="shared" si="4"/>
        <v>1681</v>
      </c>
      <c r="W25" s="160">
        <f t="shared" si="5"/>
        <v>1681</v>
      </c>
      <c r="X25" s="160">
        <f t="shared" si="6"/>
        <v>1681</v>
      </c>
      <c r="Y25" s="160">
        <f t="shared" si="7"/>
        <v>4316</v>
      </c>
      <c r="Z25" s="160">
        <f t="shared" si="8"/>
        <v>2877</v>
      </c>
      <c r="AA25" s="160">
        <f t="shared" si="9"/>
        <v>2877</v>
      </c>
    </row>
    <row r="26" spans="3:28">
      <c r="C26" s="160"/>
      <c r="M26" s="160" t="s">
        <v>2159</v>
      </c>
      <c r="N26" s="160" t="s">
        <v>2157</v>
      </c>
      <c r="O26" s="160" t="s">
        <v>2159</v>
      </c>
      <c r="P26" s="160" t="s">
        <v>89</v>
      </c>
      <c r="Q26" s="160" t="s">
        <v>2157</v>
      </c>
      <c r="R26" s="160" t="s">
        <v>2157</v>
      </c>
      <c r="S26" s="160" t="s">
        <v>2157</v>
      </c>
      <c r="U26" s="160">
        <f t="shared" si="3"/>
        <v>3368</v>
      </c>
      <c r="V26" s="160">
        <f t="shared" si="4"/>
        <v>1341</v>
      </c>
      <c r="W26" s="160">
        <f t="shared" si="5"/>
        <v>3368</v>
      </c>
      <c r="X26" s="160">
        <f t="shared" si="6"/>
        <v>3368</v>
      </c>
      <c r="Y26" s="160">
        <f t="shared" si="7"/>
        <v>3907</v>
      </c>
      <c r="Z26" s="160">
        <f t="shared" si="8"/>
        <v>5052</v>
      </c>
      <c r="AA26" s="160">
        <f t="shared" si="9"/>
        <v>5052</v>
      </c>
    </row>
    <row r="27" spans="3:28">
      <c r="C27" s="160"/>
      <c r="M27" s="160" t="s">
        <v>89</v>
      </c>
      <c r="N27" s="160" t="s">
        <v>2157</v>
      </c>
      <c r="O27" s="160" t="s">
        <v>2157</v>
      </c>
      <c r="P27" s="160" t="s">
        <v>89</v>
      </c>
      <c r="Q27" s="160" t="s">
        <v>2157</v>
      </c>
      <c r="R27" s="160" t="s">
        <v>2157</v>
      </c>
      <c r="S27" s="160" t="s">
        <v>2157</v>
      </c>
      <c r="U27" s="160">
        <f t="shared" si="3"/>
        <v>2877</v>
      </c>
      <c r="V27" s="160">
        <f t="shared" si="4"/>
        <v>1146</v>
      </c>
      <c r="W27" s="160">
        <f t="shared" si="5"/>
        <v>2877</v>
      </c>
      <c r="X27" s="160">
        <f t="shared" si="6"/>
        <v>0</v>
      </c>
      <c r="Y27" s="160">
        <f t="shared" si="7"/>
        <v>0</v>
      </c>
      <c r="Z27" s="160">
        <f t="shared" si="8"/>
        <v>4316</v>
      </c>
      <c r="AA27" s="160">
        <f t="shared" si="9"/>
        <v>4316</v>
      </c>
    </row>
    <row r="28" spans="3:28">
      <c r="C28" s="160"/>
      <c r="M28" s="160" t="s">
        <v>89</v>
      </c>
      <c r="N28" s="160" t="s">
        <v>89</v>
      </c>
      <c r="O28" s="160" t="s">
        <v>2157</v>
      </c>
      <c r="P28" s="160" t="s">
        <v>89</v>
      </c>
      <c r="Q28" s="160" t="s">
        <v>2157</v>
      </c>
      <c r="R28" s="160" t="s">
        <v>2157</v>
      </c>
      <c r="S28" s="160" t="s">
        <v>2157</v>
      </c>
      <c r="U28" s="160">
        <f t="shared" si="3"/>
        <v>1681</v>
      </c>
      <c r="V28" s="160">
        <f t="shared" si="4"/>
        <v>15</v>
      </c>
      <c r="W28" s="160">
        <f t="shared" si="5"/>
        <v>1681</v>
      </c>
      <c r="X28" s="160">
        <f t="shared" si="6"/>
        <v>0</v>
      </c>
      <c r="Y28" s="160">
        <f t="shared" si="7"/>
        <v>3368</v>
      </c>
      <c r="Z28" s="160">
        <f t="shared" si="8"/>
        <v>5052</v>
      </c>
      <c r="AA28" s="160">
        <f t="shared" si="9"/>
        <v>5052</v>
      </c>
    </row>
    <row r="29" spans="3:28">
      <c r="C29" s="160"/>
      <c r="M29" s="160" t="s">
        <v>89</v>
      </c>
      <c r="N29" s="160" t="s">
        <v>89</v>
      </c>
      <c r="O29" s="160" t="s">
        <v>2159</v>
      </c>
      <c r="P29" s="160" t="s">
        <v>89</v>
      </c>
      <c r="Q29" s="160" t="s">
        <v>2157</v>
      </c>
      <c r="R29" s="160" t="s">
        <v>2157</v>
      </c>
      <c r="S29" s="160" t="s">
        <v>2157</v>
      </c>
      <c r="U29" s="160">
        <f t="shared" si="3"/>
        <v>0</v>
      </c>
      <c r="V29" s="160">
        <f t="shared" si="4"/>
        <v>21</v>
      </c>
      <c r="W29" s="160">
        <f t="shared" si="5"/>
        <v>3368</v>
      </c>
      <c r="X29" s="160">
        <f t="shared" si="6"/>
        <v>0</v>
      </c>
      <c r="Y29" s="160">
        <f t="shared" si="7"/>
        <v>2877</v>
      </c>
      <c r="Z29" s="160">
        <f t="shared" si="8"/>
        <v>4316</v>
      </c>
      <c r="AA29" s="160">
        <f t="shared" si="9"/>
        <v>4316</v>
      </c>
    </row>
    <row r="30" spans="3:28">
      <c r="C30" s="160"/>
      <c r="M30" s="160" t="s">
        <v>89</v>
      </c>
      <c r="N30" s="160" t="s">
        <v>89</v>
      </c>
      <c r="O30" s="160" t="s">
        <v>89</v>
      </c>
      <c r="P30" s="160" t="s">
        <v>89</v>
      </c>
      <c r="Q30" s="160" t="s">
        <v>2157</v>
      </c>
      <c r="R30" s="160" t="s">
        <v>2157</v>
      </c>
      <c r="S30" s="160" t="s">
        <v>2157</v>
      </c>
      <c r="U30" s="160">
        <f t="shared" si="3"/>
        <v>0</v>
      </c>
      <c r="V30" s="160">
        <f t="shared" si="4"/>
        <v>0</v>
      </c>
      <c r="W30" s="160">
        <f t="shared" si="5"/>
        <v>2877</v>
      </c>
      <c r="X30" s="160">
        <f t="shared" si="6"/>
        <v>0</v>
      </c>
      <c r="Y30" s="160">
        <f t="shared" si="7"/>
        <v>5052</v>
      </c>
      <c r="Z30" s="160">
        <f t="shared" si="8"/>
        <v>3907</v>
      </c>
      <c r="AA30" s="160">
        <f t="shared" si="9"/>
        <v>5052</v>
      </c>
    </row>
    <row r="31" spans="3:28">
      <c r="C31" s="160"/>
      <c r="Q31" s="160" t="s">
        <v>2157</v>
      </c>
      <c r="S31" s="160" t="s">
        <v>2157</v>
      </c>
      <c r="U31" s="160">
        <f t="shared" si="3"/>
        <v>0</v>
      </c>
      <c r="V31" s="160">
        <f t="shared" si="4"/>
        <v>0</v>
      </c>
      <c r="W31" s="160">
        <f t="shared" si="5"/>
        <v>1681</v>
      </c>
      <c r="X31" s="160">
        <f t="shared" si="6"/>
        <v>0</v>
      </c>
      <c r="Y31" s="160">
        <f t="shared" si="7"/>
        <v>4316</v>
      </c>
      <c r="Z31" s="160">
        <f t="shared" si="8"/>
        <v>3907</v>
      </c>
      <c r="AA31" s="160">
        <f t="shared" si="9"/>
        <v>4316</v>
      </c>
    </row>
    <row r="32" spans="3:28">
      <c r="C32" s="160"/>
      <c r="Q32" s="213" t="s">
        <v>2157</v>
      </c>
      <c r="S32" s="160" t="s">
        <v>2157</v>
      </c>
      <c r="U32" s="160">
        <f t="shared" si="3"/>
        <v>0</v>
      </c>
      <c r="V32" s="160">
        <f t="shared" si="4"/>
        <v>0</v>
      </c>
      <c r="W32" s="160">
        <f t="shared" si="5"/>
        <v>0</v>
      </c>
      <c r="X32" s="160">
        <f t="shared" si="6"/>
        <v>0</v>
      </c>
      <c r="Y32" s="160">
        <f t="shared" si="7"/>
        <v>5052</v>
      </c>
      <c r="Z32" s="160">
        <f t="shared" si="8"/>
        <v>3907</v>
      </c>
      <c r="AA32" s="160">
        <f t="shared" si="9"/>
        <v>3907</v>
      </c>
    </row>
    <row r="33" spans="3:27">
      <c r="C33" s="160"/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Y33" s="160">
        <f t="shared" ref="Y33:Y35" si="10">IFERROR(INDEX($D$16:$K$25,MATCH(MID(Q48,FIND("色",Q48)+1,LEN(Q48)-FIND("色",Q48)),$G$16:$G$25,0),MATCH(MID(Q48,1,FIND("色",Q48)),$D$16:$K$16,0)),0)</f>
        <v>4316</v>
      </c>
      <c r="Z33" s="160">
        <f t="shared" si="8"/>
        <v>0</v>
      </c>
      <c r="AA33" s="160">
        <f t="shared" si="9"/>
        <v>3907</v>
      </c>
    </row>
    <row r="34" spans="3:27">
      <c r="C34" s="160"/>
      <c r="M34" s="160" t="s">
        <v>2132</v>
      </c>
      <c r="N34" s="160" t="s">
        <v>2133</v>
      </c>
      <c r="O34" s="160" t="s">
        <v>2134</v>
      </c>
      <c r="P34" s="160" t="s">
        <v>2135</v>
      </c>
      <c r="Q34" s="160" t="s">
        <v>2136</v>
      </c>
      <c r="R34" s="160" t="s">
        <v>2137</v>
      </c>
      <c r="S34" s="160" t="s">
        <v>82</v>
      </c>
      <c r="Y34" s="160">
        <f t="shared" si="10"/>
        <v>3907</v>
      </c>
      <c r="AA34" s="160">
        <f t="shared" si="9"/>
        <v>3907</v>
      </c>
    </row>
    <row r="35" spans="3:27">
      <c r="C35" s="160"/>
      <c r="M35" s="160" t="s">
        <v>2161</v>
      </c>
      <c r="N35" s="160" t="s">
        <v>2162</v>
      </c>
      <c r="O35" s="160" t="s">
        <v>2163</v>
      </c>
      <c r="P35" s="160" t="s">
        <v>2161</v>
      </c>
      <c r="Q35" s="160" t="s">
        <v>2162</v>
      </c>
      <c r="R35" s="160" t="s">
        <v>2164</v>
      </c>
      <c r="S35" s="160" t="s">
        <v>2164</v>
      </c>
      <c r="Y35" s="160">
        <f t="shared" si="10"/>
        <v>0</v>
      </c>
      <c r="AA35" s="160">
        <f t="shared" si="9"/>
        <v>0</v>
      </c>
    </row>
    <row r="36" spans="3:27">
      <c r="C36" s="160"/>
      <c r="M36" s="160" t="s">
        <v>2165</v>
      </c>
      <c r="N36" s="160" t="s">
        <v>2166</v>
      </c>
      <c r="O36" s="160" t="s">
        <v>2167</v>
      </c>
      <c r="P36" s="160" t="s">
        <v>2165</v>
      </c>
      <c r="Q36" s="160" t="s">
        <v>2166</v>
      </c>
      <c r="R36" s="160" t="s">
        <v>2168</v>
      </c>
      <c r="S36" s="160" t="s">
        <v>2168</v>
      </c>
    </row>
    <row r="37" spans="3:27">
      <c r="C37" s="160"/>
      <c r="M37" s="160" t="s">
        <v>2169</v>
      </c>
      <c r="N37" s="160" t="s">
        <v>2170</v>
      </c>
      <c r="O37" s="160" t="s">
        <v>2171</v>
      </c>
      <c r="P37" s="160" t="s">
        <v>2169</v>
      </c>
      <c r="Q37" s="160" t="s">
        <v>2172</v>
      </c>
      <c r="R37" s="160" t="s">
        <v>2163</v>
      </c>
      <c r="S37" s="160" t="s">
        <v>2163</v>
      </c>
    </row>
    <row r="38" spans="3:27">
      <c r="C38" s="160"/>
      <c r="M38" s="160" t="s">
        <v>2164</v>
      </c>
      <c r="N38" s="160" t="s">
        <v>2173</v>
      </c>
      <c r="O38" s="160" t="s">
        <v>2164</v>
      </c>
      <c r="P38" s="160" t="s">
        <v>2174</v>
      </c>
      <c r="Q38" s="160" t="s">
        <v>2175</v>
      </c>
      <c r="R38" s="160" t="s">
        <v>2167</v>
      </c>
      <c r="S38" s="160" t="s">
        <v>2167</v>
      </c>
    </row>
    <row r="39" spans="3:27">
      <c r="C39" s="160"/>
      <c r="M39" s="160" t="s">
        <v>2168</v>
      </c>
      <c r="N39" s="160" t="s">
        <v>2176</v>
      </c>
      <c r="O39" s="160" t="s">
        <v>2168</v>
      </c>
      <c r="P39" s="160" t="s">
        <v>2177</v>
      </c>
      <c r="Q39" s="160" t="s">
        <v>2178</v>
      </c>
      <c r="R39" s="160" t="s">
        <v>2161</v>
      </c>
      <c r="S39" s="160" t="s">
        <v>2164</v>
      </c>
    </row>
    <row r="40" spans="3:27">
      <c r="C40" s="160"/>
      <c r="M40" s="160" t="s">
        <v>2179</v>
      </c>
      <c r="N40" s="160" t="s">
        <v>2180</v>
      </c>
      <c r="O40" s="160" t="s">
        <v>2179</v>
      </c>
      <c r="P40" s="160" t="s">
        <v>2181</v>
      </c>
      <c r="Q40" s="160" t="s">
        <v>2182</v>
      </c>
      <c r="R40" s="160" t="s">
        <v>2165</v>
      </c>
      <c r="S40" s="160" t="s">
        <v>2168</v>
      </c>
    </row>
    <row r="41" spans="3:27">
      <c r="C41" s="160"/>
      <c r="M41" s="160" t="s">
        <v>2164</v>
      </c>
      <c r="N41" s="160" t="s">
        <v>2183</v>
      </c>
      <c r="O41" s="160" t="s">
        <v>2164</v>
      </c>
      <c r="P41" s="160" t="s">
        <v>2164</v>
      </c>
      <c r="Q41" s="160" t="s">
        <v>2184</v>
      </c>
      <c r="R41" s="160" t="s">
        <v>2185</v>
      </c>
      <c r="S41" s="160" t="s">
        <v>2186</v>
      </c>
    </row>
    <row r="42" spans="3:27">
      <c r="C42" s="160"/>
      <c r="M42" s="160" t="s">
        <v>2168</v>
      </c>
      <c r="N42" s="160" t="s">
        <v>2187</v>
      </c>
      <c r="O42" s="160" t="s">
        <v>2168</v>
      </c>
      <c r="P42" s="160" t="s">
        <v>2152</v>
      </c>
      <c r="Q42" s="160" t="s">
        <v>2152</v>
      </c>
      <c r="R42" s="160" t="s">
        <v>2188</v>
      </c>
      <c r="S42" s="160" t="s">
        <v>2189</v>
      </c>
    </row>
    <row r="43" spans="3:27">
      <c r="C43" s="160"/>
      <c r="M43" s="160" t="s">
        <v>2179</v>
      </c>
      <c r="N43" s="160" t="s">
        <v>2190</v>
      </c>
      <c r="O43" s="160" t="s">
        <v>2179</v>
      </c>
      <c r="P43" s="160"/>
      <c r="Q43" s="160" t="s">
        <v>2162</v>
      </c>
      <c r="R43" s="160" t="s">
        <v>2178</v>
      </c>
      <c r="S43" s="160" t="s">
        <v>2178</v>
      </c>
    </row>
    <row r="44" spans="3:27">
      <c r="C44" s="160"/>
      <c r="M44" s="160" t="s">
        <v>2152</v>
      </c>
      <c r="N44" s="160" t="s">
        <v>2191</v>
      </c>
      <c r="O44" s="160" t="s">
        <v>2164</v>
      </c>
      <c r="P44" s="160"/>
      <c r="Q44" s="160" t="s">
        <v>2166</v>
      </c>
      <c r="R44" s="160" t="s">
        <v>2182</v>
      </c>
      <c r="S44" s="160" t="s">
        <v>2182</v>
      </c>
    </row>
    <row r="45" spans="3:27">
      <c r="C45" s="160"/>
      <c r="M45" s="160"/>
      <c r="N45" s="160" t="s">
        <v>2152</v>
      </c>
      <c r="O45" s="160" t="s">
        <v>2168</v>
      </c>
      <c r="P45" s="160"/>
      <c r="Q45" s="160" t="s">
        <v>2172</v>
      </c>
      <c r="R45" s="160" t="s">
        <v>2192</v>
      </c>
      <c r="S45" s="160" t="s">
        <v>2186</v>
      </c>
    </row>
    <row r="46" spans="3:27">
      <c r="C46" s="160"/>
      <c r="M46" s="160"/>
      <c r="N46" s="160"/>
      <c r="O46" s="160" t="s">
        <v>2179</v>
      </c>
      <c r="P46" s="160"/>
      <c r="Q46" s="160" t="s">
        <v>2175</v>
      </c>
      <c r="R46" s="160" t="s">
        <v>2193</v>
      </c>
      <c r="S46" s="160" t="s">
        <v>2189</v>
      </c>
    </row>
    <row r="47" spans="3:27">
      <c r="C47" s="160"/>
      <c r="M47" s="160"/>
      <c r="N47" s="160"/>
      <c r="O47" s="160" t="s">
        <v>2152</v>
      </c>
      <c r="P47" s="160"/>
      <c r="Q47" s="160" t="s">
        <v>2186</v>
      </c>
      <c r="R47" s="160" t="s">
        <v>2194</v>
      </c>
      <c r="S47" s="160" t="s">
        <v>2192</v>
      </c>
    </row>
    <row r="48" spans="3:27">
      <c r="Q48" s="213" t="s">
        <v>2189</v>
      </c>
      <c r="S48" s="213" t="s">
        <v>2192</v>
      </c>
    </row>
    <row r="49" spans="3:19">
      <c r="Q49" s="213" t="s">
        <v>2184</v>
      </c>
      <c r="S49" s="213" t="s">
        <v>2193</v>
      </c>
    </row>
    <row r="52" spans="3:19">
      <c r="C52" s="167" t="s">
        <v>2195</v>
      </c>
      <c r="D52" s="160"/>
      <c r="E52" s="160"/>
      <c r="F52" s="160" t="s">
        <v>2196</v>
      </c>
      <c r="G52" s="160">
        <f>MAX(G56:G60)+1</f>
        <v>2</v>
      </c>
      <c r="H52" s="160">
        <f t="shared" ref="H52:K52" si="11">MAX(H56:H60)+1</f>
        <v>2</v>
      </c>
      <c r="I52" s="160">
        <f t="shared" si="11"/>
        <v>2</v>
      </c>
      <c r="J52" s="160">
        <f t="shared" si="11"/>
        <v>2</v>
      </c>
      <c r="K52" s="160">
        <f t="shared" si="11"/>
        <v>2</v>
      </c>
      <c r="L52" s="167"/>
      <c r="M52" s="167"/>
      <c r="N52" s="167"/>
      <c r="O52" s="167"/>
      <c r="P52" s="167"/>
      <c r="Q52" s="167"/>
    </row>
    <row r="53" spans="3:19">
      <c r="C53" s="167"/>
      <c r="D53" s="160"/>
      <c r="E53" s="160"/>
      <c r="F53" s="160" t="s">
        <v>2197</v>
      </c>
      <c r="G53" s="160">
        <f>装备选择!BJ2</f>
        <v>41400</v>
      </c>
      <c r="H53" s="160">
        <f>装备选择!BJ3</f>
        <v>41400</v>
      </c>
      <c r="I53" s="160">
        <f>装备选择!BJ4</f>
        <v>41400</v>
      </c>
      <c r="J53" s="160">
        <f>装备选择!BJ5</f>
        <v>41400</v>
      </c>
      <c r="K53" s="160">
        <f>装备选择!BJ7</f>
        <v>41400</v>
      </c>
      <c r="L53" s="167"/>
      <c r="M53" s="161"/>
      <c r="N53" s="160" t="s">
        <v>2198</v>
      </c>
      <c r="O53" s="160" t="s">
        <v>2199</v>
      </c>
      <c r="P53" s="160" t="s">
        <v>2200</v>
      </c>
      <c r="Q53" s="160" t="s">
        <v>2201</v>
      </c>
      <c r="R53" s="160" t="s">
        <v>2202</v>
      </c>
    </row>
    <row r="54" spans="3:19">
      <c r="C54" s="167"/>
      <c r="D54" s="160" t="s">
        <v>2203</v>
      </c>
      <c r="E54" s="160" t="s">
        <v>2204</v>
      </c>
      <c r="F54" s="160" t="s">
        <v>2205</v>
      </c>
      <c r="G54" s="160" t="s">
        <v>901</v>
      </c>
      <c r="H54" s="160" t="s">
        <v>2053</v>
      </c>
      <c r="I54" s="160" t="s">
        <v>1471</v>
      </c>
      <c r="J54" s="160" t="s">
        <v>224</v>
      </c>
      <c r="K54" s="160" t="s">
        <v>1353</v>
      </c>
      <c r="L54" s="167"/>
      <c r="M54" s="160">
        <v>1</v>
      </c>
      <c r="N54" s="160" t="str">
        <f>IFERROR(INDEX($D$56:$K$60,MATCH($M54,G$56:G$60,0),1),"无")</f>
        <v>于阗玉都</v>
      </c>
      <c r="O54" s="160" t="str">
        <f t="shared" ref="O54:R54" si="12">IFERROR(INDEX($D$56:$K$60,MATCH($M54,H$56:H$60,0),1),"无")</f>
        <v>于阗玉都</v>
      </c>
      <c r="P54" s="160" t="str">
        <f t="shared" si="12"/>
        <v>于阗玉都</v>
      </c>
      <c r="Q54" s="160" t="str">
        <f t="shared" si="12"/>
        <v>于阗玉都</v>
      </c>
      <c r="R54" s="160" t="str">
        <f t="shared" si="12"/>
        <v>于阗玉都</v>
      </c>
    </row>
    <row r="55" spans="3:19">
      <c r="C55" s="167"/>
      <c r="D55" s="160" t="s">
        <v>2206</v>
      </c>
      <c r="E55" s="160">
        <v>0</v>
      </c>
      <c r="F55" s="160">
        <v>0</v>
      </c>
      <c r="G55" s="160">
        <v>0</v>
      </c>
      <c r="H55" s="160">
        <v>0</v>
      </c>
      <c r="I55" s="160">
        <v>0</v>
      </c>
      <c r="J55" s="160">
        <v>0</v>
      </c>
      <c r="K55" s="160">
        <v>0</v>
      </c>
      <c r="L55" s="167"/>
      <c r="M55" s="160">
        <v>2</v>
      </c>
      <c r="N55" s="160" t="str">
        <f t="shared" ref="N55:N58" si="13">IFERROR(INDEX($D$56:$K$60,MATCH($M55,G$56:G$60,0),1),"无")</f>
        <v>无</v>
      </c>
      <c r="O55" s="160" t="str">
        <f t="shared" ref="O55:O58" si="14">IFERROR(INDEX($D$56:$K$60,MATCH($M55,H$56:H$60,0),1),"无")</f>
        <v>无</v>
      </c>
      <c r="P55" s="160" t="str">
        <f t="shared" ref="P55:P58" si="15">IFERROR(INDEX($D$56:$K$60,MATCH($M55,I$56:I$60,0),1),"无")</f>
        <v>无</v>
      </c>
      <c r="Q55" s="160" t="str">
        <f t="shared" ref="Q55:Q58" si="16">IFERROR(INDEX($D$56:$K$60,MATCH($M55,J$56:J$60,0),1),"无")</f>
        <v>无</v>
      </c>
      <c r="R55" s="160" t="str">
        <f t="shared" ref="R55:R58" si="17">IFERROR(INDEX($D$56:$K$60,MATCH($M55,K$56:K$60,0),1),"无")</f>
        <v>无</v>
      </c>
    </row>
    <row r="56" spans="3:19">
      <c r="C56" s="167"/>
      <c r="D56" s="159" t="s">
        <v>2207</v>
      </c>
      <c r="E56" s="160">
        <v>0</v>
      </c>
      <c r="F56" s="160">
        <v>23500</v>
      </c>
      <c r="G56" s="160">
        <f>IF(AND(G$53&gt;=$E56,G$53&lt;=$F56),G55+1,G55)</f>
        <v>0</v>
      </c>
      <c r="H56" s="160">
        <f t="shared" ref="H56:K60" si="18">IF(AND(H$53&gt;=$E56,H$53&lt;=$F56),H55+1,H55)</f>
        <v>0</v>
      </c>
      <c r="I56" s="160">
        <f t="shared" si="18"/>
        <v>0</v>
      </c>
      <c r="J56" s="160">
        <f t="shared" si="18"/>
        <v>0</v>
      </c>
      <c r="K56" s="160">
        <f t="shared" si="18"/>
        <v>0</v>
      </c>
      <c r="L56" s="167"/>
      <c r="M56" s="160">
        <v>3</v>
      </c>
      <c r="N56" s="160" t="str">
        <f t="shared" si="13"/>
        <v>无</v>
      </c>
      <c r="O56" s="160" t="str">
        <f t="shared" si="14"/>
        <v>无</v>
      </c>
      <c r="P56" s="160" t="str">
        <f t="shared" si="15"/>
        <v>无</v>
      </c>
      <c r="Q56" s="160" t="str">
        <f t="shared" si="16"/>
        <v>无</v>
      </c>
      <c r="R56" s="160" t="str">
        <f t="shared" si="17"/>
        <v>无</v>
      </c>
    </row>
    <row r="57" spans="3:19">
      <c r="C57" s="167"/>
      <c r="D57" s="159" t="s">
        <v>2208</v>
      </c>
      <c r="E57" s="160">
        <v>0</v>
      </c>
      <c r="F57" s="160">
        <v>26500</v>
      </c>
      <c r="G57" s="160">
        <f>IF(AND(G$53&gt;=$E57,G$53&lt;=$F57),G56+1,G56)</f>
        <v>0</v>
      </c>
      <c r="H57" s="160">
        <f t="shared" si="18"/>
        <v>0</v>
      </c>
      <c r="I57" s="160">
        <f t="shared" si="18"/>
        <v>0</v>
      </c>
      <c r="J57" s="160">
        <f t="shared" si="18"/>
        <v>0</v>
      </c>
      <c r="K57" s="160">
        <f t="shared" si="18"/>
        <v>0</v>
      </c>
      <c r="L57" s="167"/>
      <c r="M57" s="160">
        <v>4</v>
      </c>
      <c r="N57" s="160" t="str">
        <f t="shared" si="13"/>
        <v>无</v>
      </c>
      <c r="O57" s="160" t="str">
        <f t="shared" si="14"/>
        <v>无</v>
      </c>
      <c r="P57" s="160" t="str">
        <f t="shared" si="15"/>
        <v>无</v>
      </c>
      <c r="Q57" s="160" t="str">
        <f t="shared" si="16"/>
        <v>无</v>
      </c>
      <c r="R57" s="160" t="str">
        <f t="shared" si="17"/>
        <v>无</v>
      </c>
    </row>
    <row r="58" spans="3:19">
      <c r="C58" s="167"/>
      <c r="D58" s="159" t="s">
        <v>2209</v>
      </c>
      <c r="E58" s="160">
        <v>0</v>
      </c>
      <c r="F58" s="160">
        <v>31000</v>
      </c>
      <c r="G58" s="160">
        <f>IF(AND(G$53&gt;=$E58,G$53&lt;=$F58),G57+1,G57)</f>
        <v>0</v>
      </c>
      <c r="H58" s="160">
        <f t="shared" si="18"/>
        <v>0</v>
      </c>
      <c r="I58" s="160">
        <f t="shared" si="18"/>
        <v>0</v>
      </c>
      <c r="J58" s="160">
        <f t="shared" si="18"/>
        <v>0</v>
      </c>
      <c r="K58" s="160">
        <f t="shared" si="18"/>
        <v>0</v>
      </c>
      <c r="L58" s="167"/>
      <c r="M58" s="160">
        <v>5</v>
      </c>
      <c r="N58" s="160" t="str">
        <f t="shared" si="13"/>
        <v>无</v>
      </c>
      <c r="O58" s="160" t="str">
        <f t="shared" si="14"/>
        <v>无</v>
      </c>
      <c r="P58" s="160" t="str">
        <f t="shared" si="15"/>
        <v>无</v>
      </c>
      <c r="Q58" s="160" t="str">
        <f t="shared" si="16"/>
        <v>无</v>
      </c>
      <c r="R58" s="160" t="str">
        <f t="shared" si="17"/>
        <v>无</v>
      </c>
    </row>
    <row r="59" spans="3:19">
      <c r="C59" s="167"/>
      <c r="D59" s="159" t="s">
        <v>2210</v>
      </c>
      <c r="E59" s="160">
        <v>0</v>
      </c>
      <c r="F59" s="160">
        <v>35900</v>
      </c>
      <c r="G59" s="160">
        <f>IF(AND(G$53&gt;=$E59,G$53&lt;=$F59),G58+1,G58)</f>
        <v>0</v>
      </c>
      <c r="H59" s="160">
        <f t="shared" si="18"/>
        <v>0</v>
      </c>
      <c r="I59" s="160">
        <f t="shared" si="18"/>
        <v>0</v>
      </c>
      <c r="J59" s="160">
        <f t="shared" si="18"/>
        <v>0</v>
      </c>
      <c r="K59" s="160">
        <f t="shared" si="18"/>
        <v>0</v>
      </c>
      <c r="L59" s="167"/>
      <c r="M59" s="167"/>
      <c r="N59" s="167"/>
      <c r="O59" s="167"/>
      <c r="P59" s="167"/>
      <c r="Q59" s="167"/>
    </row>
    <row r="60" spans="3:19">
      <c r="C60" s="167"/>
      <c r="D60" s="167" t="s">
        <v>2211</v>
      </c>
      <c r="E60" s="167">
        <v>0</v>
      </c>
      <c r="F60" s="167">
        <v>42100</v>
      </c>
      <c r="G60" s="160">
        <f>IF(AND(G$53&gt;=$E60,G$53&lt;=$F60),G59+1,G59)</f>
        <v>1</v>
      </c>
      <c r="H60" s="160">
        <f t="shared" si="18"/>
        <v>1</v>
      </c>
      <c r="I60" s="160">
        <f t="shared" si="18"/>
        <v>1</v>
      </c>
      <c r="J60" s="160">
        <f t="shared" si="18"/>
        <v>1</v>
      </c>
      <c r="K60" s="160">
        <f t="shared" si="18"/>
        <v>1</v>
      </c>
      <c r="L60" s="167"/>
      <c r="M60" s="167"/>
      <c r="N60" s="167"/>
      <c r="O60" s="167"/>
      <c r="P60" s="167"/>
      <c r="Q60" s="167"/>
    </row>
    <row r="61" spans="3:19"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</row>
    <row r="62" spans="3:19"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</row>
    <row r="63" spans="3:19">
      <c r="C63" s="167"/>
      <c r="D63" s="160" t="s">
        <v>2212</v>
      </c>
      <c r="E63" s="160">
        <f>IF(OR(E64="无",SUM(E66:E75)&gt;0),1,0)</f>
        <v>0</v>
      </c>
      <c r="F63" s="160">
        <f>IF(OR(F64="无",SUM(F66:F75)&gt;0),1,0)</f>
        <v>0</v>
      </c>
      <c r="G63" s="160">
        <f>IF(OR(G64="无",SUM(G66:G75)&gt;0),1,0)</f>
        <v>1</v>
      </c>
      <c r="H63" s="160">
        <f>IF(OR(H64="无",SUM(H66:H75)&gt;0),1,0)</f>
        <v>1</v>
      </c>
      <c r="I63" s="160">
        <f>IF(OR(I64="无",SUM(I66:I75)&gt;0),1,0)</f>
        <v>1</v>
      </c>
      <c r="J63" s="167"/>
      <c r="K63" s="167"/>
      <c r="L63" s="167"/>
      <c r="M63" s="167"/>
      <c r="N63" s="167"/>
      <c r="O63" s="167"/>
      <c r="P63" s="167"/>
      <c r="Q63" s="167"/>
    </row>
    <row r="64" spans="3:19">
      <c r="C64" s="167"/>
      <c r="D64" s="160" t="s">
        <v>2213</v>
      </c>
      <c r="E64" s="160" t="str">
        <f>配装计算器!E5</f>
        <v>于阗玉邦</v>
      </c>
      <c r="F64" s="160" t="str">
        <f>配装计算器!E10</f>
        <v>于阗玉邦</v>
      </c>
      <c r="G64" s="160" t="str">
        <f>配装计算器!E15</f>
        <v>于阗玉都</v>
      </c>
      <c r="H64" s="160" t="str">
        <f>配装计算器!K5</f>
        <v>于阗玉都</v>
      </c>
      <c r="I64" s="160" t="str">
        <f>配装计算器!K15</f>
        <v>于阗玉都</v>
      </c>
      <c r="J64" s="167"/>
      <c r="K64" s="160" t="s">
        <v>2214</v>
      </c>
      <c r="L64" s="160"/>
      <c r="M64" s="160"/>
      <c r="N64" s="160"/>
      <c r="O64" s="160"/>
      <c r="P64" s="160"/>
      <c r="Q64" s="167"/>
      <c r="R64" t="s">
        <v>1984</v>
      </c>
      <c r="S64">
        <f>SUMPRODUCT(L66:P70,E66:I70)</f>
        <v>17469</v>
      </c>
    </row>
    <row r="65" spans="3:23">
      <c r="C65" s="167"/>
      <c r="D65" s="160" t="s">
        <v>2203</v>
      </c>
      <c r="E65" s="160" t="s">
        <v>2198</v>
      </c>
      <c r="F65" s="160" t="s">
        <v>2199</v>
      </c>
      <c r="G65" s="160" t="s">
        <v>2200</v>
      </c>
      <c r="H65" s="160" t="s">
        <v>2201</v>
      </c>
      <c r="I65" s="160" t="s">
        <v>2202</v>
      </c>
      <c r="J65" s="167"/>
      <c r="K65" s="160" t="s">
        <v>2203</v>
      </c>
      <c r="L65" s="160" t="s">
        <v>2198</v>
      </c>
      <c r="M65" s="160" t="s">
        <v>2199</v>
      </c>
      <c r="N65" s="160" t="s">
        <v>2200</v>
      </c>
      <c r="O65" s="160" t="s">
        <v>2201</v>
      </c>
      <c r="P65" s="160" t="s">
        <v>2202</v>
      </c>
      <c r="Q65" s="167"/>
      <c r="R65" s="160" t="s">
        <v>2203</v>
      </c>
      <c r="S65" s="160" t="s">
        <v>2198</v>
      </c>
      <c r="T65" s="160" t="s">
        <v>2199</v>
      </c>
      <c r="U65" s="160" t="s">
        <v>2200</v>
      </c>
      <c r="V65" s="160" t="s">
        <v>2201</v>
      </c>
      <c r="W65" s="160" t="s">
        <v>2202</v>
      </c>
    </row>
    <row r="66" spans="3:23">
      <c r="C66" s="167"/>
      <c r="D66" s="159" t="s">
        <v>2207</v>
      </c>
      <c r="E66" s="160">
        <f t="shared" ref="E66:I68" si="19">IF(G56&gt;0,1,0)*COUNTIF(E$64,$D66)</f>
        <v>0</v>
      </c>
      <c r="F66" s="160">
        <f t="shared" si="19"/>
        <v>0</v>
      </c>
      <c r="G66" s="160">
        <f t="shared" si="19"/>
        <v>0</v>
      </c>
      <c r="H66" s="160">
        <f t="shared" si="19"/>
        <v>0</v>
      </c>
      <c r="I66" s="160">
        <f t="shared" si="19"/>
        <v>0</v>
      </c>
      <c r="J66" s="167"/>
      <c r="K66" s="159" t="s">
        <v>2207</v>
      </c>
      <c r="L66" s="160">
        <v>4871</v>
      </c>
      <c r="M66" s="160">
        <v>5416</v>
      </c>
      <c r="N66" s="160">
        <v>3788</v>
      </c>
      <c r="O66" s="160">
        <v>3788</v>
      </c>
      <c r="P66" s="160">
        <v>3788</v>
      </c>
      <c r="Q66" s="167"/>
      <c r="R66" s="159" t="s">
        <v>2207</v>
      </c>
      <c r="S66" s="160">
        <v>4871</v>
      </c>
      <c r="T66" s="160">
        <v>5416</v>
      </c>
      <c r="U66" s="160">
        <v>3788</v>
      </c>
      <c r="V66" s="160">
        <v>3788</v>
      </c>
      <c r="W66" s="160">
        <v>3788</v>
      </c>
    </row>
    <row r="67" spans="3:23">
      <c r="C67" s="167"/>
      <c r="D67" s="159" t="s">
        <v>2208</v>
      </c>
      <c r="E67" s="160">
        <f t="shared" si="19"/>
        <v>0</v>
      </c>
      <c r="F67" s="160">
        <f t="shared" si="19"/>
        <v>0</v>
      </c>
      <c r="G67" s="160">
        <f t="shared" si="19"/>
        <v>0</v>
      </c>
      <c r="H67" s="160">
        <f t="shared" si="19"/>
        <v>0</v>
      </c>
      <c r="I67" s="160">
        <f t="shared" si="19"/>
        <v>0</v>
      </c>
      <c r="K67" s="159" t="s">
        <v>2208</v>
      </c>
      <c r="L67" s="160">
        <v>5358</v>
      </c>
      <c r="M67" s="160">
        <v>5958</v>
      </c>
      <c r="N67" s="160">
        <v>4167</v>
      </c>
      <c r="O67" s="160">
        <v>4167</v>
      </c>
      <c r="P67" s="160">
        <v>4167</v>
      </c>
      <c r="Q67" s="167"/>
      <c r="R67" s="159" t="s">
        <v>2208</v>
      </c>
      <c r="S67" s="160">
        <v>5358</v>
      </c>
      <c r="T67" s="160">
        <v>5958</v>
      </c>
      <c r="U67" s="160">
        <v>4167</v>
      </c>
      <c r="V67" s="160">
        <v>4167</v>
      </c>
      <c r="W67" s="160">
        <v>4167</v>
      </c>
    </row>
    <row r="68" spans="3:23">
      <c r="C68" s="167"/>
      <c r="D68" s="159" t="s">
        <v>2209</v>
      </c>
      <c r="E68" s="160">
        <f t="shared" si="19"/>
        <v>0</v>
      </c>
      <c r="F68" s="160">
        <f t="shared" si="19"/>
        <v>0</v>
      </c>
      <c r="G68" s="160">
        <f t="shared" si="19"/>
        <v>0</v>
      </c>
      <c r="H68" s="160">
        <f t="shared" si="19"/>
        <v>0</v>
      </c>
      <c r="I68" s="160">
        <f t="shared" si="19"/>
        <v>0</v>
      </c>
      <c r="K68" s="159" t="s">
        <v>2209</v>
      </c>
      <c r="L68" s="160">
        <v>5482</v>
      </c>
      <c r="M68" s="160">
        <v>6096</v>
      </c>
      <c r="N68" s="160">
        <v>4263</v>
      </c>
      <c r="O68" s="160">
        <v>4263</v>
      </c>
      <c r="P68" s="160">
        <v>4263</v>
      </c>
      <c r="Q68" s="167"/>
      <c r="R68" s="159" t="s">
        <v>2209</v>
      </c>
      <c r="S68" s="160">
        <v>5482</v>
      </c>
      <c r="T68" s="160">
        <v>6096</v>
      </c>
      <c r="U68" s="160">
        <v>4263</v>
      </c>
      <c r="V68" s="160">
        <v>4263</v>
      </c>
      <c r="W68" s="160">
        <v>4263</v>
      </c>
    </row>
    <row r="69" spans="3:23">
      <c r="C69" s="167"/>
      <c r="D69" s="159" t="s">
        <v>2210</v>
      </c>
      <c r="E69" s="160">
        <f>IF(G59&gt;0,1,0)*COUNTIF(E$64,$D69)</f>
        <v>0</v>
      </c>
      <c r="F69" s="160">
        <f t="shared" ref="F69:F70" si="20">IF(H59&gt;0,1,0)*COUNTIF(F$64,$D69)</f>
        <v>0</v>
      </c>
      <c r="G69" s="160">
        <f t="shared" ref="G69:G70" si="21">IF(I59&gt;0,1,0)*COUNTIF(G$64,$D69)</f>
        <v>0</v>
      </c>
      <c r="H69" s="160">
        <f t="shared" ref="H69:H70" si="22">IF(J59&gt;0,1,0)*COUNTIF(H$64,$D69)</f>
        <v>0</v>
      </c>
      <c r="I69" s="160">
        <f t="shared" ref="I69:I70" si="23">IF(K59&gt;0,1,0)*COUNTIF(I$64,$D69)</f>
        <v>0</v>
      </c>
      <c r="J69" s="167"/>
      <c r="K69" s="159" t="s">
        <v>2210</v>
      </c>
      <c r="L69" s="160">
        <v>6396</v>
      </c>
      <c r="M69" s="160">
        <v>7112</v>
      </c>
      <c r="N69" s="160">
        <v>4974</v>
      </c>
      <c r="O69" s="160">
        <v>4974</v>
      </c>
      <c r="P69" s="160">
        <v>4974</v>
      </c>
      <c r="Q69" s="167"/>
      <c r="R69" s="159" t="s">
        <v>2210</v>
      </c>
      <c r="S69" s="160">
        <v>6396</v>
      </c>
      <c r="T69" s="160">
        <v>7112</v>
      </c>
      <c r="U69" s="160">
        <v>4974</v>
      </c>
      <c r="V69" s="160">
        <v>4974</v>
      </c>
      <c r="W69" s="160">
        <v>4974</v>
      </c>
    </row>
    <row r="70" spans="3:23">
      <c r="C70" s="167"/>
      <c r="D70" s="167" t="s">
        <v>2211</v>
      </c>
      <c r="E70" s="160">
        <f>IF(G60&gt;0,1,0)*COUNTIF(E$64,$D70)</f>
        <v>0</v>
      </c>
      <c r="F70" s="160">
        <f t="shared" si="20"/>
        <v>0</v>
      </c>
      <c r="G70" s="160">
        <f t="shared" si="21"/>
        <v>1</v>
      </c>
      <c r="H70" s="160">
        <f t="shared" si="22"/>
        <v>1</v>
      </c>
      <c r="I70" s="160">
        <f t="shared" si="23"/>
        <v>1</v>
      </c>
      <c r="K70" s="167" t="s">
        <v>2211</v>
      </c>
      <c r="L70" s="213">
        <v>7488</v>
      </c>
      <c r="M70" s="213">
        <v>8326</v>
      </c>
      <c r="N70" s="213">
        <v>5823</v>
      </c>
      <c r="O70" s="213">
        <v>5823</v>
      </c>
      <c r="P70" s="213">
        <v>5823</v>
      </c>
      <c r="Q70" s="167"/>
      <c r="R70" s="167" t="s">
        <v>2211</v>
      </c>
      <c r="S70" s="213">
        <v>7488</v>
      </c>
      <c r="T70" s="213">
        <v>8326</v>
      </c>
      <c r="U70" s="213">
        <v>5823</v>
      </c>
      <c r="V70" s="213">
        <v>5823</v>
      </c>
      <c r="W70" s="213">
        <v>5823</v>
      </c>
    </row>
    <row r="71" spans="3:23">
      <c r="C71" s="167"/>
      <c r="Q71" s="167"/>
    </row>
    <row r="72" spans="3:23">
      <c r="C72" s="167"/>
      <c r="Q72" s="167"/>
    </row>
    <row r="73" spans="3:23">
      <c r="C73" s="167"/>
    </row>
    <row r="74" spans="3:23">
      <c r="C74" s="167"/>
      <c r="K74" s="160" t="s">
        <v>2215</v>
      </c>
      <c r="L74" s="160"/>
      <c r="M74" s="160"/>
      <c r="N74" s="160"/>
      <c r="O74" s="160"/>
      <c r="P74" s="160"/>
      <c r="R74" t="s">
        <v>2216</v>
      </c>
    </row>
    <row r="75" spans="3:23">
      <c r="C75" s="167"/>
      <c r="K75" s="160" t="s">
        <v>2203</v>
      </c>
      <c r="L75" s="160" t="s">
        <v>2198</v>
      </c>
      <c r="M75" s="160" t="s">
        <v>2199</v>
      </c>
      <c r="N75" s="160" t="s">
        <v>2200</v>
      </c>
      <c r="O75" s="160" t="s">
        <v>2201</v>
      </c>
      <c r="P75" s="160" t="s">
        <v>2202</v>
      </c>
      <c r="R75" s="160" t="s">
        <v>2203</v>
      </c>
      <c r="S75" s="160" t="s">
        <v>2198</v>
      </c>
      <c r="T75" s="160" t="s">
        <v>2199</v>
      </c>
      <c r="U75" s="160" t="s">
        <v>2200</v>
      </c>
      <c r="V75" s="160" t="s">
        <v>2201</v>
      </c>
      <c r="W75" s="160" t="s">
        <v>2202</v>
      </c>
    </row>
    <row r="76" spans="3:23">
      <c r="C76" s="167"/>
      <c r="K76" s="159" t="s">
        <v>2207</v>
      </c>
      <c r="L76" s="160">
        <v>2376</v>
      </c>
      <c r="M76" s="160">
        <v>646</v>
      </c>
      <c r="N76" s="160">
        <v>0</v>
      </c>
      <c r="O76" s="160">
        <v>244355</v>
      </c>
      <c r="P76" s="160">
        <v>162903</v>
      </c>
      <c r="R76" s="159" t="s">
        <v>2207</v>
      </c>
      <c r="S76" s="160">
        <v>2376</v>
      </c>
      <c r="T76" s="160">
        <v>646</v>
      </c>
      <c r="U76" s="160">
        <v>0</v>
      </c>
      <c r="V76" s="160">
        <v>244355</v>
      </c>
      <c r="W76" s="160">
        <v>162903</v>
      </c>
    </row>
    <row r="77" spans="3:23">
      <c r="C77" s="167"/>
      <c r="K77" s="159" t="s">
        <v>2208</v>
      </c>
      <c r="L77" s="160">
        <v>2611</v>
      </c>
      <c r="M77" s="160">
        <v>710</v>
      </c>
      <c r="N77" s="160">
        <v>0</v>
      </c>
      <c r="O77" s="160">
        <v>281280</v>
      </c>
      <c r="P77" s="160">
        <v>187520</v>
      </c>
      <c r="R77" s="159" t="s">
        <v>2208</v>
      </c>
      <c r="S77" s="160">
        <v>2611</v>
      </c>
      <c r="T77" s="160">
        <v>710</v>
      </c>
      <c r="U77" s="160">
        <v>0</v>
      </c>
      <c r="V77" s="160">
        <v>281280</v>
      </c>
      <c r="W77" s="160">
        <v>187520</v>
      </c>
    </row>
    <row r="78" spans="3:23">
      <c r="C78" s="167"/>
      <c r="K78" s="159" t="s">
        <v>2209</v>
      </c>
      <c r="L78" s="160">
        <v>3001</v>
      </c>
      <c r="M78" s="160">
        <v>815</v>
      </c>
      <c r="N78" s="160">
        <v>0</v>
      </c>
      <c r="O78" s="160">
        <v>748100</v>
      </c>
      <c r="P78" s="160">
        <v>498800</v>
      </c>
      <c r="R78" s="159" t="s">
        <v>2209</v>
      </c>
      <c r="S78" s="160">
        <v>3001</v>
      </c>
      <c r="T78" s="160">
        <v>815</v>
      </c>
      <c r="U78" s="160">
        <v>0</v>
      </c>
      <c r="V78" s="160">
        <v>748100</v>
      </c>
      <c r="W78" s="160">
        <v>498800</v>
      </c>
    </row>
    <row r="79" spans="3:23">
      <c r="C79" s="167"/>
      <c r="K79" s="159" t="s">
        <v>2210</v>
      </c>
      <c r="L79" s="160">
        <v>3501</v>
      </c>
      <c r="M79" s="160">
        <v>951</v>
      </c>
      <c r="N79" s="160">
        <v>0</v>
      </c>
      <c r="O79" s="160">
        <v>1276500</v>
      </c>
      <c r="P79" s="160">
        <v>851000</v>
      </c>
      <c r="R79" s="159" t="s">
        <v>2210</v>
      </c>
      <c r="S79" s="160">
        <v>3501</v>
      </c>
      <c r="T79" s="160">
        <v>951</v>
      </c>
      <c r="U79" s="160">
        <v>0</v>
      </c>
      <c r="V79" s="160">
        <v>1276500</v>
      </c>
      <c r="W79" s="160">
        <v>851000</v>
      </c>
    </row>
    <row r="80" spans="3:23">
      <c r="C80" s="167"/>
      <c r="K80" s="167" t="s">
        <v>2211</v>
      </c>
      <c r="L80" s="213">
        <v>4099</v>
      </c>
      <c r="M80" s="213">
        <v>1114</v>
      </c>
      <c r="N80" s="213">
        <v>0</v>
      </c>
      <c r="O80" s="160">
        <v>2415000</v>
      </c>
      <c r="P80" s="160">
        <v>1610000</v>
      </c>
      <c r="R80" s="167" t="s">
        <v>2211</v>
      </c>
      <c r="S80" s="213">
        <v>4099</v>
      </c>
      <c r="T80" s="213">
        <v>1114</v>
      </c>
      <c r="U80" s="213">
        <v>0</v>
      </c>
      <c r="V80" s="160">
        <v>2415000</v>
      </c>
      <c r="W80" s="160">
        <v>1610000</v>
      </c>
    </row>
    <row r="81" spans="3:18">
      <c r="C81" s="167"/>
    </row>
    <row r="82" spans="3:18">
      <c r="C82" s="167"/>
    </row>
    <row r="83" spans="3:18">
      <c r="C83" s="167"/>
    </row>
    <row r="89" spans="3:18">
      <c r="C89" s="167" t="s">
        <v>2217</v>
      </c>
      <c r="D89" t="s">
        <v>58</v>
      </c>
      <c r="E89" t="s">
        <v>2203</v>
      </c>
      <c r="F89" t="s">
        <v>1</v>
      </c>
      <c r="G89" t="s">
        <v>78</v>
      </c>
      <c r="H89" t="s">
        <v>2218</v>
      </c>
      <c r="I89" t="s">
        <v>2219</v>
      </c>
      <c r="J89" t="s">
        <v>2220</v>
      </c>
      <c r="K89" t="s">
        <v>2045</v>
      </c>
      <c r="L89" t="s">
        <v>2141</v>
      </c>
      <c r="M89" t="s">
        <v>1990</v>
      </c>
      <c r="P89" t="s">
        <v>2221</v>
      </c>
      <c r="Q89" t="s">
        <v>2222</v>
      </c>
      <c r="R89" t="s">
        <v>2223</v>
      </c>
    </row>
    <row r="90" spans="3:18">
      <c r="C90" s="167"/>
      <c r="D90" t="s">
        <v>901</v>
      </c>
      <c r="E90" t="s">
        <v>2224</v>
      </c>
      <c r="G90">
        <v>24500</v>
      </c>
      <c r="H90">
        <f>COUNTIF(装备选择!$N$2:$N$14,"*"&amp;E90&amp;"*"&amp;G90&amp;"*")</f>
        <v>0</v>
      </c>
      <c r="I90">
        <f>H90*COUNTIF(装备选择!$N$2:$N$14,"*"&amp;E90&amp;"*"&amp;F90&amp;"*")*内置配装器+IF(配装计算器!AC26=附魔库!G90,1,0)*自输入属性</f>
        <v>0</v>
      </c>
      <c r="J90" t="s">
        <v>2225</v>
      </c>
      <c r="K90" s="165">
        <v>1</v>
      </c>
      <c r="L90">
        <v>2440</v>
      </c>
      <c r="P90" t="s">
        <v>1998</v>
      </c>
      <c r="Q90">
        <f ca="1">(额外属性!M4+SUMPRODUCT(额外属性!M$9:M$192,额外属性!$BE$9:$BE$192,额外属性!$BG$9:$BG$192,额外属性!$BH$9:$BH$192,额外属性!$BJ$9:$BJ$192))</f>
        <v>10684</v>
      </c>
    </row>
    <row r="91" spans="3:18">
      <c r="C91" s="167"/>
      <c r="D91" t="s">
        <v>901</v>
      </c>
      <c r="E91" t="s">
        <v>2224</v>
      </c>
      <c r="G91">
        <v>25500</v>
      </c>
      <c r="H91">
        <f>COUNTIF(装备选择!$N$2:$N$14,"*"&amp;E91&amp;"*"&amp;G91&amp;"*")</f>
        <v>0</v>
      </c>
      <c r="I91">
        <f>H91*COUNTIF(装备选择!$N$2:$N$14,"*"&amp;E91&amp;"*"&amp;F91&amp;"*")*内置配装器+IF(配装计算器!AC26=附魔库!G91,1,0)*自输入属性</f>
        <v>0</v>
      </c>
      <c r="J91" t="s">
        <v>2226</v>
      </c>
      <c r="K91" s="165">
        <v>1</v>
      </c>
      <c r="L91">
        <v>2540</v>
      </c>
      <c r="P91" t="s">
        <v>2227</v>
      </c>
      <c r="Q91">
        <f ca="1">额外属性!N$4+SUMPRODUCT(额外属性!N$9:N$192,额外属性!$BE$9:$BE$192,额外属性!$BG$9:$BG$192,额外属性!$BH$9:$BH$192,额外属性!$BJ$9:$BJ$192)</f>
        <v>0</v>
      </c>
    </row>
    <row r="92" spans="3:18">
      <c r="C92" s="167"/>
      <c r="D92" t="s">
        <v>1353</v>
      </c>
      <c r="E92" t="s">
        <v>2228</v>
      </c>
      <c r="F92" t="s">
        <v>2229</v>
      </c>
      <c r="G92">
        <v>24500</v>
      </c>
      <c r="H92">
        <f>COUNTIF(装备选择!$N$2:$N$14,"*"&amp;E92&amp;"*"&amp;G92&amp;"*")</f>
        <v>0</v>
      </c>
      <c r="I92">
        <f>H92*COUNTIF(装备选择!$N$2:$N$14,"*"&amp;E92&amp;"*"&amp;F92&amp;"*")*内置配装器+IF(配装计算器!AC27="24500会心",1,0)*自输入属性</f>
        <v>0</v>
      </c>
      <c r="J92" t="s">
        <v>2230</v>
      </c>
      <c r="K92" s="165">
        <f>10/21</f>
        <v>0.476190476190476</v>
      </c>
      <c r="L92">
        <v>4218</v>
      </c>
      <c r="P92" t="s">
        <v>2001</v>
      </c>
      <c r="Q92">
        <f ca="1">(额外属性!P4+SUMPRODUCT(额外属性!P$9:P$192,额外属性!$BE$9:$BE$192,额外属性!$BG$9:$BG$192,额外属性!$BH$9:$BH$192,额外属性!$BJ$9:$BJ$192))</f>
        <v>361</v>
      </c>
    </row>
    <row r="93" spans="3:18">
      <c r="C93" s="167"/>
      <c r="D93" t="s">
        <v>1353</v>
      </c>
      <c r="E93" t="s">
        <v>2228</v>
      </c>
      <c r="G93">
        <v>24500</v>
      </c>
      <c r="H93">
        <f>COUNTIF(装备选择!$N$2:$N$14,"*"&amp;E93&amp;"*"&amp;G93&amp;"*")</f>
        <v>0</v>
      </c>
      <c r="I93">
        <f>MAX(0,H93*COUNTIF(装备选择!$N$2:$N$14,"*"&amp;E93&amp;"*"&amp;F93&amp;"*")-I92)*内置配装器+IF(配装计算器!AC27="24500破防",1,0)*自输入属性</f>
        <v>0</v>
      </c>
      <c r="J93" t="s">
        <v>2231</v>
      </c>
      <c r="K93" s="165">
        <f t="shared" ref="K93:K95" si="24">10/21</f>
        <v>0.476190476190476</v>
      </c>
      <c r="L93">
        <v>4218</v>
      </c>
      <c r="P93" t="s">
        <v>2232</v>
      </c>
      <c r="Q93">
        <f ca="1">额外属性!Q$4+SUMPRODUCT(额外属性!Q$9:Q$192,额外属性!$BE$9:$BE$192,额外属性!$BG$9:$BG$192,额外属性!$BH$9:$BH$192,额外属性!$BJ$9:$BJ$192)</f>
        <v>0</v>
      </c>
    </row>
    <row r="94" spans="3:18">
      <c r="C94" s="167"/>
      <c r="D94" t="s">
        <v>1353</v>
      </c>
      <c r="E94" t="s">
        <v>2228</v>
      </c>
      <c r="F94" t="s">
        <v>2229</v>
      </c>
      <c r="G94">
        <v>25500</v>
      </c>
      <c r="H94">
        <f>COUNTIF(装备选择!$N$2:$N$14,"*"&amp;E94&amp;"*"&amp;G94&amp;"*")</f>
        <v>0</v>
      </c>
      <c r="I94">
        <f>MAX(0,H94*COUNTIF(装备选择!$N$2:$N$14,"*"&amp;E94&amp;"*"&amp;F94&amp;"*")-I93)*内置配装器+IF(配装计算器!AC27="25500会心",1,0)*自输入属性</f>
        <v>0</v>
      </c>
      <c r="J94" t="s">
        <v>2233</v>
      </c>
      <c r="K94" s="165">
        <f t="shared" si="24"/>
        <v>0.476190476190476</v>
      </c>
      <c r="L94">
        <v>4391</v>
      </c>
      <c r="O94" t="s">
        <v>901</v>
      </c>
      <c r="P94" t="s">
        <v>2008</v>
      </c>
      <c r="Q94">
        <f ca="1">额外属性!W4+SUMPRODUCT(额外属性!W$9:W$192,额外属性!$BE$9:$BE$192,额外属性!$BG$9:$BG$192,额外属性!$BH$9:$BH$192,额外属性!$BJ$9:$BJ$192)+INT(INT(Q90*(1024+Q91)/1024)*身法转基础会心)</f>
        <v>135764</v>
      </c>
      <c r="R94">
        <f ca="1">IF(Q94=MAX($Q$94:$Q$96),1,0)*($I$90*$L$90+$I$91*$L$91+$I$108*$L$108+$I$109*$L$109+$I$126*$L$126+$I$127*$L$127+$I$147*$L$147+$I$148*$L$148)</f>
        <v>3471</v>
      </c>
    </row>
    <row r="95" spans="3:18">
      <c r="C95" s="167"/>
      <c r="D95" t="s">
        <v>1353</v>
      </c>
      <c r="E95" t="s">
        <v>2228</v>
      </c>
      <c r="G95">
        <v>25500</v>
      </c>
      <c r="H95">
        <f>COUNTIF(装备选择!$N$2:$N$14,"*"&amp;E95&amp;"*"&amp;G95&amp;"*")</f>
        <v>0</v>
      </c>
      <c r="I95">
        <f>MAX(0,H95*COUNTIF(装备选择!$N$2:$N$14,"*"&amp;E95&amp;"*"&amp;F95&amp;"*")-I94)*内置配装器+IF(配装计算器!AC27="25500破防",1,0)*自输入属性</f>
        <v>0</v>
      </c>
      <c r="J95" t="s">
        <v>2234</v>
      </c>
      <c r="K95" s="165">
        <f t="shared" si="24"/>
        <v>0.476190476190476</v>
      </c>
      <c r="L95">
        <v>4391</v>
      </c>
      <c r="O95" t="s">
        <v>901</v>
      </c>
      <c r="P95" t="s">
        <v>2019</v>
      </c>
      <c r="Q95">
        <f ca="1">额外属性!AH$4+SUMPRODUCT(额外属性!AH$9:AH$192,额外属性!$BE$9:$BE$192,额外属性!$BG$9:$BG$192,额外属性!$BH$9:$BH$192,额外属性!$BJ$9:$BJ$192)</f>
        <v>92028</v>
      </c>
      <c r="R95">
        <f ca="1">IF(Q95=MAX($Q$94:$Q$96),1,0)*($I$90*$L$90+$I$91*$L$91+$I$108*$L$108+$I$109*$L$109+$I$126*$L$126+$I$127*$L$127+$I$147*$L$147+$I$148*$L$148)</f>
        <v>0</v>
      </c>
    </row>
    <row r="96" spans="3:18">
      <c r="C96" s="167"/>
      <c r="D96" t="s">
        <v>1252</v>
      </c>
      <c r="E96" t="s">
        <v>2235</v>
      </c>
      <c r="F96" t="s">
        <v>2229</v>
      </c>
      <c r="G96">
        <v>24500</v>
      </c>
      <c r="H96">
        <f>COUNTIF(装备选择!$N$2:$N$14,"*"&amp;E96&amp;"*"&amp;G96&amp;"*")</f>
        <v>0</v>
      </c>
      <c r="I96">
        <f>MAX(0,H96*COUNTIF(装备选择!$N$2:$N$14,"*"&amp;E96&amp;"*"&amp;F96&amp;"*")-I95)*内置配装器+IF(配装计算器!AC28="24500会效",1,0)*自输入属性</f>
        <v>0</v>
      </c>
      <c r="J96" t="s">
        <v>2236</v>
      </c>
      <c r="K96" s="165">
        <v>1</v>
      </c>
      <c r="L96">
        <v>109</v>
      </c>
      <c r="M96" t="s">
        <v>2237</v>
      </c>
      <c r="N96">
        <v>4748</v>
      </c>
      <c r="O96" t="s">
        <v>901</v>
      </c>
      <c r="P96" t="s">
        <v>2014</v>
      </c>
      <c r="Q96">
        <f ca="1">额外属性!AC$4+SUMPRODUCT(额外属性!AC$9:AC$192,额外属性!$BE$9:$BE$192,额外属性!$BG$9:$BG$192,额外属性!$BH$9:$BH$192,额外属性!$BJ$9:$BJ$192)+INT(INT(Q92*(1024+Q93)/1024)*力道转基础破防)</f>
        <v>98299.2857142857</v>
      </c>
      <c r="R96">
        <f ca="1">IF(Q96=MAX($Q$94:$Q$96),1,0)*($I$90*$L$90+$I$91*$L$91+$I$108*$L$108+$I$109*$L$109+$I$126*$L$126+$I$127*$L$127+$I$147*$L$147+$I$148*$L$148)</f>
        <v>0</v>
      </c>
    </row>
    <row r="97" spans="3:18">
      <c r="C97" s="167"/>
      <c r="D97" t="s">
        <v>1252</v>
      </c>
      <c r="E97" t="s">
        <v>2235</v>
      </c>
      <c r="G97">
        <v>24500</v>
      </c>
      <c r="H97">
        <f>COUNTIF(装备选择!$N$2:$N$14,"*"&amp;E97&amp;"*"&amp;G97&amp;"*")</f>
        <v>0</v>
      </c>
      <c r="I97">
        <f>MAX(0,H97*COUNTIF(装备选择!$N$2:$N$14,"*"&amp;E97&amp;"*"&amp;F97&amp;"*")-I96)*内置配装器+IF(配装计算器!AC28="24500攻击",1,0)*自输入属性</f>
        <v>0</v>
      </c>
      <c r="J97" t="s">
        <v>2238</v>
      </c>
      <c r="K97" s="165">
        <v>1</v>
      </c>
      <c r="L97">
        <v>30</v>
      </c>
      <c r="M97" t="s">
        <v>2239</v>
      </c>
      <c r="N97">
        <v>5427</v>
      </c>
      <c r="O97" t="s">
        <v>1252</v>
      </c>
      <c r="P97" t="s">
        <v>2240</v>
      </c>
      <c r="Q97">
        <f ca="1">IFERROR(MIN(10,INT((Q94+R94)/(N96*I96+N98*I98+N114*I114+N116*I116+I132*N132+I134*N134+I154*N154+I157*N157))),0)</f>
        <v>0</v>
      </c>
      <c r="R97">
        <f ca="1">I96*L96*Q97+I98*L98*Q97+I114*L114*Q97+I116*L116*Q97+I132*L132*Q97+I134*L134*Q97+I154*L154*Q97+I157*L157*Q97</f>
        <v>0</v>
      </c>
    </row>
    <row r="98" spans="3:18">
      <c r="C98" s="167"/>
      <c r="D98" t="s">
        <v>1252</v>
      </c>
      <c r="E98" t="s">
        <v>2235</v>
      </c>
      <c r="F98" t="s">
        <v>2229</v>
      </c>
      <c r="G98">
        <v>25500</v>
      </c>
      <c r="H98">
        <f>COUNTIF(装备选择!$N$2:$N$14,"*"&amp;E98&amp;"*"&amp;G98&amp;"*")</f>
        <v>0</v>
      </c>
      <c r="I98">
        <f>MAX(0,H98*COUNTIF(装备选择!$N$2:$N$14,"*"&amp;E98&amp;"*"&amp;F98&amp;"*")-I97)*内置配装器+IF(配装计算器!AC28="25500会效",1,0)*自输入属性</f>
        <v>0</v>
      </c>
      <c r="J98" t="s">
        <v>2241</v>
      </c>
      <c r="K98" s="165">
        <v>1</v>
      </c>
      <c r="L98">
        <v>114</v>
      </c>
      <c r="M98" t="s">
        <v>2242</v>
      </c>
      <c r="N98">
        <v>4942</v>
      </c>
      <c r="O98" t="s">
        <v>1252</v>
      </c>
      <c r="P98" t="s">
        <v>2243</v>
      </c>
      <c r="Q98">
        <f ca="1">IFERROR(MIN(10,INT((Q96+R96)/(N97*I97+N99*I99+N115*I115+N117*I117+I133*N133+I135*N135+I153*N153+I155*N155+I156*N156+I158*N158))),0)</f>
        <v>10</v>
      </c>
      <c r="R98">
        <f ca="1">I97*L97*Q98+I99*L99*Q98+I115*L115*Q98+I117*L117*Q98+I133*L133*Q98+I135*L135*Q98+I153*L153*Q98+I155*L155*Q98+I156*L156*Q98+I158*L158*Q98</f>
        <v>450</v>
      </c>
    </row>
    <row r="99" spans="3:18">
      <c r="C99" s="167"/>
      <c r="D99" t="s">
        <v>1252</v>
      </c>
      <c r="E99" t="s">
        <v>2235</v>
      </c>
      <c r="G99">
        <v>25500</v>
      </c>
      <c r="H99">
        <f>COUNTIF(装备选择!$N$2:$N$14,"*"&amp;E99&amp;"*"&amp;G99&amp;"*")</f>
        <v>0</v>
      </c>
      <c r="I99">
        <f>MAX(0,H99*COUNTIF(装备选择!$N$2:$N$14,"*"&amp;E99&amp;"*"&amp;F99&amp;"*")-I98)*内置配装器+IF(配装计算器!AC28="25500攻击",1,0)*自输入属性</f>
        <v>0</v>
      </c>
      <c r="J99" t="s">
        <v>2244</v>
      </c>
      <c r="K99" s="165">
        <v>1</v>
      </c>
      <c r="L99">
        <v>32</v>
      </c>
      <c r="M99" t="s">
        <v>2245</v>
      </c>
      <c r="N99">
        <v>5648</v>
      </c>
      <c r="O99" t="s">
        <v>1353</v>
      </c>
      <c r="P99" t="s">
        <v>7</v>
      </c>
      <c r="R99">
        <f>I92*L92*K92+I94*K94*L94+I110*K110*L110+I112*K112*L112+I128*K128*L128+I130*K130*L130+I150*K150*L150+I152*K152*L152</f>
        <v>0</v>
      </c>
    </row>
    <row r="100" spans="3:18">
      <c r="C100" s="167"/>
      <c r="D100" t="s">
        <v>1688</v>
      </c>
      <c r="E100" t="s">
        <v>2246</v>
      </c>
      <c r="F100" t="s">
        <v>2247</v>
      </c>
      <c r="G100">
        <v>24500</v>
      </c>
      <c r="H100">
        <f>COUNTIF(装备选择!$N$2:$N$14,"*"&amp;E100&amp;"*"&amp;G100&amp;"*")</f>
        <v>0</v>
      </c>
      <c r="I100">
        <f>MAX(0,H100*COUNTIF(装备选择!$N$2:$N$14,"*"&amp;E100&amp;"*"&amp;F100&amp;"*")-I99)*内置配装器+IF(配装计算器!AC29="24500破防",1,0)*自输入属性</f>
        <v>0</v>
      </c>
      <c r="J100" t="s">
        <v>2248</v>
      </c>
      <c r="K100" s="165">
        <v>1</v>
      </c>
      <c r="L100">
        <v>270</v>
      </c>
      <c r="M100" t="s">
        <v>2249</v>
      </c>
      <c r="O100" t="s">
        <v>1353</v>
      </c>
      <c r="P100" t="s">
        <v>28</v>
      </c>
      <c r="R100">
        <f>I93*K93*L93+I95*K95*L95+I111*K111*L111+I113*K113*L113+I129*K129*L129+I131*K131*L131+I149*K149*L149+I151*K151*L151</f>
        <v>0</v>
      </c>
    </row>
    <row r="101" spans="3:18">
      <c r="C101" s="167"/>
      <c r="D101" t="s">
        <v>1688</v>
      </c>
      <c r="E101" t="s">
        <v>2246</v>
      </c>
      <c r="F101" t="s">
        <v>2229</v>
      </c>
      <c r="G101">
        <v>24500</v>
      </c>
      <c r="H101">
        <f>COUNTIF(装备选择!$N$2:$N$14,"*"&amp;E101&amp;"*"&amp;G101&amp;"*")</f>
        <v>0</v>
      </c>
      <c r="I101">
        <f>MAX(0,H101*COUNTIF(装备选择!$N$2:$N$14,"*"&amp;E101&amp;"*"&amp;F101&amp;"*")-I100)*内置配装器+IF(配装计算器!AC29="24500会效",1,0)*自输入属性</f>
        <v>0</v>
      </c>
      <c r="J101" t="s">
        <v>2250</v>
      </c>
      <c r="K101" s="165">
        <v>1</v>
      </c>
      <c r="L101">
        <v>270</v>
      </c>
      <c r="M101" t="s">
        <v>2249</v>
      </c>
      <c r="O101" t="s">
        <v>1688</v>
      </c>
      <c r="P101" t="s">
        <v>2251</v>
      </c>
      <c r="R101">
        <f>5*L100*I100+5*L102*I102+5*L103*I103+5*L105*I105+5*I118*L118+5*I120*L120+5*I121*L121+5*I123*L123+5*I136*L136+5*I138*L138+5*I139*L139+5*I141*L141+5*I144*L144+5*I146*L146+5*I159*L159+5*I161*L161+5*I162*L162+5*I164*L164+5*I167*L167+5*I169*L169</f>
        <v>0</v>
      </c>
    </row>
    <row r="102" spans="3:18">
      <c r="C102" s="167"/>
      <c r="D102" t="s">
        <v>1688</v>
      </c>
      <c r="E102" t="s">
        <v>2246</v>
      </c>
      <c r="G102">
        <v>24500</v>
      </c>
      <c r="H102">
        <f>COUNTIF(装备选择!$N$2:$N$14,"*"&amp;E102&amp;"*"&amp;G102&amp;"*")</f>
        <v>0</v>
      </c>
      <c r="I102">
        <f>MAX(0,H102*COUNTIF(装备选择!$N$2:$N$14,"*"&amp;E102&amp;"*"&amp;F102&amp;"*")-I101-I100)*内置配装器</f>
        <v>0</v>
      </c>
      <c r="J102" t="s">
        <v>2248</v>
      </c>
      <c r="K102" s="165">
        <v>1</v>
      </c>
      <c r="L102">
        <v>270</v>
      </c>
      <c r="M102" t="s">
        <v>2249</v>
      </c>
      <c r="O102" t="s">
        <v>1688</v>
      </c>
      <c r="P102" t="s">
        <v>2252</v>
      </c>
      <c r="R102">
        <f>5*L101*I101+5*L104*I104+5*I119*L119+5*I122*L122+5*I137*L137+5*I140*L140+5*I145*L145+5*I160*L160+5*I163*L163+5*I168*L168</f>
        <v>0</v>
      </c>
    </row>
    <row r="103" spans="3:18">
      <c r="C103" s="167"/>
      <c r="D103" t="s">
        <v>1688</v>
      </c>
      <c r="E103" t="s">
        <v>2246</v>
      </c>
      <c r="F103" t="s">
        <v>2247</v>
      </c>
      <c r="G103">
        <v>25500</v>
      </c>
      <c r="H103">
        <f>COUNTIF(装备选择!$N$2:$N$14,"*"&amp;E103&amp;"*"&amp;G103&amp;"*")</f>
        <v>0</v>
      </c>
      <c r="I103">
        <f>MAX(0,H103*COUNTIF(装备选择!$N$2:$N$14,"*"&amp;E103&amp;"*"&amp;F103&amp;"*")-I102)*内置配装器+IF(配装计算器!AC29="25500破防",1,0)*自输入属性</f>
        <v>0</v>
      </c>
      <c r="J103" t="s">
        <v>2253</v>
      </c>
      <c r="K103" s="165">
        <v>1</v>
      </c>
      <c r="L103">
        <v>282</v>
      </c>
      <c r="M103" t="s">
        <v>2249</v>
      </c>
    </row>
    <row r="104" spans="3:18">
      <c r="C104" s="167"/>
      <c r="D104" t="s">
        <v>1688</v>
      </c>
      <c r="E104" t="s">
        <v>2246</v>
      </c>
      <c r="F104" t="s">
        <v>2229</v>
      </c>
      <c r="G104">
        <v>25500</v>
      </c>
      <c r="H104">
        <f>COUNTIF(装备选择!$N$2:$N$14,"*"&amp;E104&amp;"*"&amp;G104&amp;"*")</f>
        <v>0</v>
      </c>
      <c r="I104">
        <f>MAX(0,H104*COUNTIF(装备选择!$N$2:$N$14,"*"&amp;E104&amp;"*"&amp;F104&amp;"*")-I103)*内置配装器+IF(配装计算器!AC29="25500会效",1,0)*自输入属性</f>
        <v>0</v>
      </c>
      <c r="J104" t="s">
        <v>2254</v>
      </c>
      <c r="K104" s="165">
        <v>1</v>
      </c>
      <c r="L104">
        <v>282</v>
      </c>
      <c r="M104" t="s">
        <v>2249</v>
      </c>
    </row>
    <row r="105" spans="3:18">
      <c r="C105" s="167"/>
      <c r="D105" t="s">
        <v>1688</v>
      </c>
      <c r="E105" t="s">
        <v>2246</v>
      </c>
      <c r="G105">
        <v>25500</v>
      </c>
      <c r="H105">
        <f>COUNTIF(装备选择!$N$2:$N$14,"*"&amp;E105&amp;"*"&amp;G105&amp;"*")</f>
        <v>0</v>
      </c>
      <c r="I105">
        <f>MAX(0,H105*COUNTIF(装备选择!$N$2:$N$14,"*"&amp;E105&amp;"*"&amp;F105&amp;"*")-I104-I103)*内置配装器</f>
        <v>0</v>
      </c>
      <c r="J105" t="s">
        <v>2253</v>
      </c>
      <c r="K105" s="165">
        <v>1</v>
      </c>
      <c r="L105">
        <v>282</v>
      </c>
      <c r="M105" t="s">
        <v>2249</v>
      </c>
    </row>
    <row r="106" spans="3:18">
      <c r="C106" s="167"/>
      <c r="D106" t="s">
        <v>82</v>
      </c>
      <c r="E106" t="s">
        <v>2255</v>
      </c>
      <c r="G106">
        <v>24500</v>
      </c>
      <c r="H106">
        <f>COUNTIF(装备选择!$N$2:$N$14,"*"&amp;E106&amp;"*"&amp;G106&amp;"*")</f>
        <v>0</v>
      </c>
      <c r="I106">
        <f>H106*COUNTIF(装备选择!$N$2:$N$14,"*"&amp;E106&amp;"*"&amp;F106&amp;"*")*内置配装器+IF(配装计算器!AC30=附魔库!G106,1,0)*自输入属性</f>
        <v>0</v>
      </c>
      <c r="J106" t="s">
        <v>2256</v>
      </c>
      <c r="L106">
        <v>86500</v>
      </c>
      <c r="M106" t="s">
        <v>2257</v>
      </c>
    </row>
    <row r="107" spans="3:18">
      <c r="C107" s="167"/>
      <c r="D107" t="s">
        <v>82</v>
      </c>
      <c r="E107" t="s">
        <v>2255</v>
      </c>
      <c r="G107">
        <v>25500</v>
      </c>
      <c r="H107">
        <f>COUNTIF(装备选择!$N$2:$N$14,"*"&amp;E107&amp;"*"&amp;G107&amp;"*")</f>
        <v>0</v>
      </c>
      <c r="I107">
        <f>H107*COUNTIF(装备选择!$N$2:$N$14,"*"&amp;E107&amp;"*"&amp;F107&amp;"*")*内置配装器+IF(配装计算器!AC30=附魔库!G107,1,0)*自输入属性</f>
        <v>0</v>
      </c>
      <c r="J107" t="s">
        <v>2258</v>
      </c>
      <c r="L107">
        <v>90000</v>
      </c>
      <c r="M107" t="s">
        <v>2257</v>
      </c>
    </row>
    <row r="108" spans="3:18">
      <c r="C108" s="167"/>
      <c r="D108" t="s">
        <v>901</v>
      </c>
      <c r="E108" t="s">
        <v>942</v>
      </c>
      <c r="G108">
        <v>28000</v>
      </c>
      <c r="H108">
        <f>COUNTIF(装备选择!$N$2:$N$14,"*"&amp;E108&amp;"*"&amp;G108&amp;"*")</f>
        <v>0</v>
      </c>
      <c r="I108">
        <f>H108*COUNTIF(装备选择!$N$2:$N$14,"*"&amp;E108&amp;"*"&amp;F108&amp;"*")*内置配装器+IF(配装计算器!AC26=附魔库!G108,1,0)*自输入属性</f>
        <v>0</v>
      </c>
      <c r="J108" t="s">
        <v>2225</v>
      </c>
      <c r="K108" s="165">
        <v>1</v>
      </c>
      <c r="L108">
        <v>2356</v>
      </c>
    </row>
    <row r="109" spans="3:18">
      <c r="C109" s="167"/>
      <c r="D109" t="s">
        <v>901</v>
      </c>
      <c r="E109" t="s">
        <v>942</v>
      </c>
      <c r="G109">
        <v>30200</v>
      </c>
      <c r="H109">
        <f>COUNTIF(装备选择!$N$2:$N$14,"*"&amp;E109&amp;"*"&amp;G109&amp;"*")</f>
        <v>0</v>
      </c>
      <c r="I109">
        <f>H109*COUNTIF(装备选择!$N$2:$N$14,"*"&amp;E109&amp;"*"&amp;F109&amp;"*")*内置配装器+IF(配装计算器!AC26=附魔库!G109,1,0)*自输入属性</f>
        <v>0</v>
      </c>
      <c r="J109" t="s">
        <v>2226</v>
      </c>
      <c r="K109" s="165">
        <v>1</v>
      </c>
      <c r="L109">
        <v>2542</v>
      </c>
    </row>
    <row r="110" spans="3:18">
      <c r="C110" s="167"/>
      <c r="D110" t="s">
        <v>1353</v>
      </c>
      <c r="E110" t="s">
        <v>1391</v>
      </c>
      <c r="F110" t="s">
        <v>2229</v>
      </c>
      <c r="G110">
        <v>28000</v>
      </c>
      <c r="H110">
        <f>COUNTIF(装备选择!$N$2:$N$14,"*"&amp;E110&amp;"*"&amp;G110&amp;"*")</f>
        <v>0</v>
      </c>
      <c r="I110">
        <f>H110*COUNTIF(装备选择!$N$2:$N$14,"*"&amp;E110&amp;"*"&amp;F110&amp;"*")*内置配装器+IF(配装计算器!AC27="28000会心",1,0)*自输入属性</f>
        <v>0</v>
      </c>
      <c r="J110" t="s">
        <v>2230</v>
      </c>
      <c r="K110" s="165">
        <f>10/21</f>
        <v>0.476190476190476</v>
      </c>
      <c r="L110">
        <v>4072</v>
      </c>
    </row>
    <row r="111" spans="3:18">
      <c r="C111" s="167"/>
      <c r="D111" t="s">
        <v>1353</v>
      </c>
      <c r="E111" t="s">
        <v>1391</v>
      </c>
      <c r="G111">
        <v>28000</v>
      </c>
      <c r="H111">
        <f>COUNTIF(装备选择!$N$2:$N$14,"*"&amp;E111&amp;"*"&amp;G111&amp;"*")</f>
        <v>0</v>
      </c>
      <c r="I111">
        <f>MAX(0,H111*COUNTIF(装备选择!$N$2:$N$14,"*"&amp;E111&amp;"*"&amp;F111&amp;"*")-I110)*内置配装器+IF(配装计算器!AC27="28000破防",1,0)*自输入属性</f>
        <v>0</v>
      </c>
      <c r="J111" t="s">
        <v>2231</v>
      </c>
      <c r="K111" s="165">
        <f t="shared" ref="K111:K113" si="25">10/21</f>
        <v>0.476190476190476</v>
      </c>
      <c r="L111">
        <v>4072</v>
      </c>
    </row>
    <row r="112" spans="3:18">
      <c r="C112" s="167"/>
      <c r="D112" t="s">
        <v>1353</v>
      </c>
      <c r="E112" t="s">
        <v>1391</v>
      </c>
      <c r="F112" t="s">
        <v>2229</v>
      </c>
      <c r="G112">
        <v>30200</v>
      </c>
      <c r="H112">
        <f>COUNTIF(装备选择!$N$2:$N$14,"*"&amp;E112&amp;"*"&amp;G112&amp;"*")</f>
        <v>0</v>
      </c>
      <c r="I112">
        <f>MAX(0,H112*COUNTIF(装备选择!$N$2:$N$14,"*"&amp;E112&amp;"*"&amp;F112&amp;"*")-I111)*内置配装器+IF(配装计算器!AC27="30200会心",1,0)*自输入属性</f>
        <v>0</v>
      </c>
      <c r="J112" t="s">
        <v>2233</v>
      </c>
      <c r="K112" s="165">
        <f t="shared" si="25"/>
        <v>0.476190476190476</v>
      </c>
      <c r="L112">
        <v>4393</v>
      </c>
    </row>
    <row r="113" spans="3:14">
      <c r="C113" s="167"/>
      <c r="D113" t="s">
        <v>1353</v>
      </c>
      <c r="E113" t="s">
        <v>1391</v>
      </c>
      <c r="G113">
        <v>30200</v>
      </c>
      <c r="H113">
        <f>COUNTIF(装备选择!$N$2:$N$14,"*"&amp;E113&amp;"*"&amp;G113&amp;"*")</f>
        <v>0</v>
      </c>
      <c r="I113">
        <f>MAX(0,H113*COUNTIF(装备选择!$N$2:$N$14,"*"&amp;E113&amp;"*"&amp;F113&amp;"*")-I112)*内置配装器+IF(配装计算器!AC27="30200破防",1,0)*自输入属性</f>
        <v>0</v>
      </c>
      <c r="J113" t="s">
        <v>2234</v>
      </c>
      <c r="K113" s="165">
        <f t="shared" si="25"/>
        <v>0.476190476190476</v>
      </c>
      <c r="L113">
        <v>4393</v>
      </c>
    </row>
    <row r="114" spans="3:14">
      <c r="C114" s="167"/>
      <c r="D114" t="s">
        <v>1252</v>
      </c>
      <c r="E114" t="s">
        <v>2259</v>
      </c>
      <c r="F114" t="s">
        <v>2229</v>
      </c>
      <c r="G114">
        <v>28000</v>
      </c>
      <c r="H114">
        <f>COUNTIF(装备选择!$N$2:$N$14,"*"&amp;E114&amp;"*"&amp;G114&amp;"*")</f>
        <v>0</v>
      </c>
      <c r="I114">
        <f>MAX(0,H114*COUNTIF(装备选择!$N$2:$N$14,"*"&amp;E114&amp;"*"&amp;F114&amp;"*")-I113)*内置配装器+IF(配装计算器!AC28="28000会效",1,0)*自输入属性</f>
        <v>0</v>
      </c>
      <c r="J114" t="s">
        <v>2236</v>
      </c>
      <c r="K114" s="165">
        <v>1</v>
      </c>
      <c r="L114">
        <v>130</v>
      </c>
      <c r="M114" t="s">
        <v>2260</v>
      </c>
      <c r="N114">
        <v>5302</v>
      </c>
    </row>
    <row r="115" spans="3:14">
      <c r="C115" s="167"/>
      <c r="D115" t="s">
        <v>1252</v>
      </c>
      <c r="E115" t="s">
        <v>2259</v>
      </c>
      <c r="G115">
        <v>28000</v>
      </c>
      <c r="H115">
        <f>COUNTIF(装备选择!$N$2:$N$14,"*"&amp;E115&amp;"*"&amp;G115&amp;"*")</f>
        <v>0</v>
      </c>
      <c r="I115">
        <f>MAX(0,H115*COUNTIF(装备选择!$N$2:$N$14,"*"&amp;E115&amp;"*"&amp;F115&amp;"*")-I114)*内置配装器+IF(配装计算器!AC28="28000攻击",1,0)*自输入属性</f>
        <v>0</v>
      </c>
      <c r="J115" t="s">
        <v>2238</v>
      </c>
      <c r="K115" s="165">
        <v>1</v>
      </c>
      <c r="L115">
        <v>35</v>
      </c>
      <c r="M115" t="s">
        <v>2261</v>
      </c>
      <c r="N115">
        <v>6060</v>
      </c>
    </row>
    <row r="116" spans="3:14">
      <c r="C116" s="167"/>
      <c r="D116" t="s">
        <v>1252</v>
      </c>
      <c r="E116" t="s">
        <v>2259</v>
      </c>
      <c r="F116" t="s">
        <v>2229</v>
      </c>
      <c r="G116">
        <v>30200</v>
      </c>
      <c r="H116">
        <f>COUNTIF(装备选择!$N$2:$N$14,"*"&amp;E116&amp;"*"&amp;G116&amp;"*")</f>
        <v>0</v>
      </c>
      <c r="I116">
        <f>MAX(0,H116*COUNTIF(装备选择!$N$2:$N$14,"*"&amp;E116&amp;"*"&amp;F116&amp;"*")-I115)*内置配装器+IF(配装计算器!AC28="30200会效",1,0)*自输入属性</f>
        <v>0</v>
      </c>
      <c r="J116" t="s">
        <v>2241</v>
      </c>
      <c r="K116" s="165">
        <v>1</v>
      </c>
      <c r="L116">
        <v>141</v>
      </c>
      <c r="M116" t="s">
        <v>2262</v>
      </c>
      <c r="N116">
        <v>5683</v>
      </c>
    </row>
    <row r="117" spans="3:14">
      <c r="C117" s="167"/>
      <c r="D117" t="s">
        <v>1252</v>
      </c>
      <c r="E117" t="s">
        <v>2259</v>
      </c>
      <c r="G117">
        <v>30200</v>
      </c>
      <c r="H117">
        <f>COUNTIF(装备选择!$N$2:$N$14,"*"&amp;E117&amp;"*"&amp;G117&amp;"*")</f>
        <v>0</v>
      </c>
      <c r="I117">
        <f>MAX(0,H117*COUNTIF(装备选择!$N$2:$N$14,"*"&amp;E117&amp;"*"&amp;F117&amp;"*")-I116)*内置配装器+IF(配装计算器!AC28="30200攻击",1,0)*自输入属性</f>
        <v>0</v>
      </c>
      <c r="J117" t="s">
        <v>2244</v>
      </c>
      <c r="K117" s="165">
        <v>1</v>
      </c>
      <c r="L117">
        <v>38</v>
      </c>
      <c r="M117" t="s">
        <v>2263</v>
      </c>
      <c r="N117">
        <v>6469</v>
      </c>
    </row>
    <row r="118" spans="3:14">
      <c r="C118" s="167"/>
      <c r="D118" t="s">
        <v>1688</v>
      </c>
      <c r="E118" t="s">
        <v>2264</v>
      </c>
      <c r="F118" t="s">
        <v>2247</v>
      </c>
      <c r="G118">
        <v>28000</v>
      </c>
      <c r="H118">
        <f>COUNTIF(装备选择!$N$2:$N$14,"*"&amp;E118&amp;"*"&amp;G118&amp;"*")</f>
        <v>0</v>
      </c>
      <c r="I118">
        <f>MAX(0,H118*COUNTIF(装备选择!$N$2:$N$14,"*"&amp;E118&amp;"*"&amp;F118&amp;"*")-I117)*内置配装器+IF(配装计算器!AC29="28000破防",1,0)*自输入属性</f>
        <v>0</v>
      </c>
      <c r="J118" t="s">
        <v>2248</v>
      </c>
      <c r="K118" s="165">
        <v>1</v>
      </c>
      <c r="L118">
        <v>261</v>
      </c>
      <c r="M118" t="s">
        <v>2249</v>
      </c>
    </row>
    <row r="119" spans="3:14">
      <c r="C119" s="167"/>
      <c r="D119" t="s">
        <v>1688</v>
      </c>
      <c r="E119" t="s">
        <v>2264</v>
      </c>
      <c r="F119" t="s">
        <v>2229</v>
      </c>
      <c r="G119">
        <v>28000</v>
      </c>
      <c r="H119">
        <f>COUNTIF(装备选择!$N$2:$N$14,"*"&amp;E119&amp;"*"&amp;G119&amp;"*")</f>
        <v>0</v>
      </c>
      <c r="I119">
        <f>MAX(0,H119*COUNTIF(装备选择!$N$2:$N$14,"*"&amp;E119&amp;"*"&amp;F119&amp;"*")-I118)*内置配装器+IF(配装计算器!AC29="28000会效",1,0)*自输入属性</f>
        <v>0</v>
      </c>
      <c r="J119" t="s">
        <v>2250</v>
      </c>
      <c r="K119" s="165">
        <v>1</v>
      </c>
      <c r="L119">
        <v>261</v>
      </c>
      <c r="M119" t="s">
        <v>2249</v>
      </c>
    </row>
    <row r="120" spans="3:14">
      <c r="C120" s="167"/>
      <c r="D120" t="s">
        <v>1688</v>
      </c>
      <c r="E120" t="s">
        <v>2264</v>
      </c>
      <c r="G120">
        <v>28000</v>
      </c>
      <c r="H120">
        <f>COUNTIF(装备选择!$N$2:$N$14,"*"&amp;E120&amp;"*"&amp;G120&amp;"*")</f>
        <v>0</v>
      </c>
      <c r="I120">
        <f>MAX(0,H120*COUNTIF(装备选择!$N$2:$N$14,"*"&amp;E120&amp;"*"&amp;F120&amp;"*")-I119-I118)*内置配装器</f>
        <v>0</v>
      </c>
      <c r="J120" t="s">
        <v>2248</v>
      </c>
      <c r="K120" s="165">
        <v>1</v>
      </c>
      <c r="L120">
        <v>261</v>
      </c>
      <c r="M120" t="s">
        <v>2249</v>
      </c>
    </row>
    <row r="121" spans="3:14">
      <c r="C121" s="167"/>
      <c r="D121" t="s">
        <v>1688</v>
      </c>
      <c r="E121" t="s">
        <v>2264</v>
      </c>
      <c r="F121" t="s">
        <v>2247</v>
      </c>
      <c r="G121">
        <v>30200</v>
      </c>
      <c r="H121">
        <f>COUNTIF(装备选择!$N$2:$N$14,"*"&amp;E121&amp;"*"&amp;G121&amp;"*")</f>
        <v>0</v>
      </c>
      <c r="I121">
        <f>MAX(0,H121*COUNTIF(装备选择!$N$2:$N$14,"*"&amp;E121&amp;"*"&amp;F121&amp;"*")-I120)*内置配装器+IF(配装计算器!AC29="30200破防",1,0)*自输入属性</f>
        <v>0</v>
      </c>
      <c r="J121" t="s">
        <v>2253</v>
      </c>
      <c r="K121" s="165">
        <v>1</v>
      </c>
      <c r="L121">
        <v>282</v>
      </c>
      <c r="M121" t="s">
        <v>2249</v>
      </c>
    </row>
    <row r="122" spans="3:14">
      <c r="C122" s="167"/>
      <c r="D122" t="s">
        <v>1688</v>
      </c>
      <c r="E122" t="s">
        <v>2264</v>
      </c>
      <c r="F122" t="s">
        <v>2229</v>
      </c>
      <c r="G122">
        <v>30200</v>
      </c>
      <c r="H122">
        <f>COUNTIF(装备选择!$N$2:$N$14,"*"&amp;E122&amp;"*"&amp;G122&amp;"*")</f>
        <v>0</v>
      </c>
      <c r="I122">
        <f>MAX(0,H122*COUNTIF(装备选择!$N$2:$N$14,"*"&amp;E122&amp;"*"&amp;F122&amp;"*")-I121)*内置配装器+IF(配装计算器!AC29="30200会效",1,0)*自输入属性</f>
        <v>0</v>
      </c>
      <c r="J122" t="s">
        <v>2254</v>
      </c>
      <c r="K122" s="165">
        <v>1</v>
      </c>
      <c r="L122">
        <v>282</v>
      </c>
      <c r="M122" t="s">
        <v>2249</v>
      </c>
    </row>
    <row r="123" spans="3:14">
      <c r="C123" s="167"/>
      <c r="D123" t="s">
        <v>1688</v>
      </c>
      <c r="E123" t="s">
        <v>2264</v>
      </c>
      <c r="G123">
        <v>30200</v>
      </c>
      <c r="H123">
        <f>COUNTIF(装备选择!$N$2:$N$14,"*"&amp;E123&amp;"*"&amp;G123&amp;"*")</f>
        <v>0</v>
      </c>
      <c r="I123">
        <f>MAX(0,H123*COUNTIF(装备选择!$N$2:$N$14,"*"&amp;E123&amp;"*"&amp;F123&amp;"*")-I122-I121)*内置配装器</f>
        <v>0</v>
      </c>
      <c r="J123" t="s">
        <v>2253</v>
      </c>
      <c r="K123" s="165">
        <v>1</v>
      </c>
      <c r="L123">
        <v>282</v>
      </c>
      <c r="M123" t="s">
        <v>2249</v>
      </c>
    </row>
    <row r="124" spans="3:14">
      <c r="C124" s="167"/>
      <c r="D124" t="s">
        <v>82</v>
      </c>
      <c r="E124" t="s">
        <v>132</v>
      </c>
      <c r="G124">
        <v>28000</v>
      </c>
      <c r="H124">
        <f>COUNTIF(装备选择!$N$2:$N$14,"*"&amp;E124&amp;"*"&amp;G124&amp;"*")</f>
        <v>0</v>
      </c>
      <c r="I124">
        <f>H124*COUNTIF(装备选择!$N$2:$N$14,"*"&amp;E124&amp;"*"&amp;F124&amp;"*")*内置配装器+IF(配装计算器!AC30=附魔库!G124,1,0)*自输入属性</f>
        <v>0</v>
      </c>
      <c r="J124" t="s">
        <v>2256</v>
      </c>
      <c r="L124">
        <v>320423</v>
      </c>
      <c r="M124" t="s">
        <v>2257</v>
      </c>
    </row>
    <row r="125" spans="3:14">
      <c r="C125" s="167"/>
      <c r="D125" t="s">
        <v>82</v>
      </c>
      <c r="E125" t="s">
        <v>132</v>
      </c>
      <c r="G125">
        <v>30200</v>
      </c>
      <c r="H125">
        <f>COUNTIF(装备选择!$N$2:$N$14,"*"&amp;E125&amp;"*"&amp;G125&amp;"*")</f>
        <v>0</v>
      </c>
      <c r="I125">
        <f>H125*COUNTIF(装备选择!$N$2:$N$14,"*"&amp;E125&amp;"*"&amp;F125&amp;"*")*内置配装器+IF(配装计算器!AC30=附魔库!G125,1,0)*自输入属性</f>
        <v>0</v>
      </c>
      <c r="J125" t="s">
        <v>2258</v>
      </c>
      <c r="L125">
        <v>345600</v>
      </c>
      <c r="M125" t="s">
        <v>2257</v>
      </c>
    </row>
    <row r="126" spans="3:14">
      <c r="C126" s="167"/>
      <c r="D126" t="s">
        <v>901</v>
      </c>
      <c r="E126" t="s">
        <v>955</v>
      </c>
      <c r="G126">
        <v>32500</v>
      </c>
      <c r="H126">
        <f>COUNTIF(装备选择!$N$2:$N$14,"*"&amp;E126&amp;"*"&amp;G126&amp;"*")</f>
        <v>0</v>
      </c>
      <c r="I126">
        <f>H126*COUNTIF(装备选择!$N$2:$N$14,"*"&amp;E126&amp;"*"&amp;F126&amp;"*")*内置配装器+IF(配装计算器!AC26=附魔库!G126,1,0)*自输入属性</f>
        <v>0</v>
      </c>
      <c r="J126" t="s">
        <v>2225</v>
      </c>
      <c r="K126" s="165">
        <v>1</v>
      </c>
      <c r="L126">
        <v>2735</v>
      </c>
    </row>
    <row r="127" spans="3:14">
      <c r="C127" s="167"/>
      <c r="D127" t="s">
        <v>901</v>
      </c>
      <c r="E127" t="s">
        <v>955</v>
      </c>
      <c r="G127">
        <v>35300</v>
      </c>
      <c r="H127">
        <f>COUNTIF(装备选择!$N$2:$N$14,"*"&amp;E127&amp;"*"&amp;G127&amp;"*")</f>
        <v>0</v>
      </c>
      <c r="I127">
        <f>H127*COUNTIF(装备选择!$N$2:$N$14,"*"&amp;E127&amp;"*"&amp;F127&amp;"*")*内置配装器+IF(配装计算器!AC26=附魔库!G127,1,0)*自输入属性</f>
        <v>0</v>
      </c>
      <c r="J127" t="s">
        <v>2226</v>
      </c>
      <c r="K127" s="165">
        <v>1</v>
      </c>
      <c r="L127">
        <v>2971</v>
      </c>
    </row>
    <row r="128" spans="3:14">
      <c r="C128" s="167"/>
      <c r="D128" t="s">
        <v>1353</v>
      </c>
      <c r="E128" t="s">
        <v>1404</v>
      </c>
      <c r="F128" t="s">
        <v>2229</v>
      </c>
      <c r="G128">
        <v>32500</v>
      </c>
      <c r="H128">
        <f>COUNTIF(装备选择!$N$2:$N$14,"*"&amp;E128&amp;"*"&amp;G128&amp;"*")</f>
        <v>0</v>
      </c>
      <c r="I128">
        <f>H128*COUNTIF(装备选择!$N$2:$N$14,"*"&amp;E128&amp;"*"&amp;F128&amp;"*")*内置配装器+IF(配装计算器!AC27=G128&amp;"会心",1,0)*自输入属性</f>
        <v>0</v>
      </c>
      <c r="J128" t="s">
        <v>2230</v>
      </c>
      <c r="K128" s="165">
        <f>10/21</f>
        <v>0.476190476190476</v>
      </c>
      <c r="L128">
        <v>4728</v>
      </c>
    </row>
    <row r="129" spans="3:14">
      <c r="C129" s="167"/>
      <c r="D129" t="s">
        <v>1353</v>
      </c>
      <c r="E129" t="s">
        <v>1404</v>
      </c>
      <c r="G129">
        <v>32500</v>
      </c>
      <c r="H129">
        <f>COUNTIF(装备选择!$N$2:$N$14,"*"&amp;E129&amp;"*"&amp;G129&amp;"*")</f>
        <v>0</v>
      </c>
      <c r="I129">
        <f>MAX(0,H129*COUNTIF(装备选择!$N$2:$N$14,"*"&amp;E129&amp;"*"&amp;F129&amp;"*")-I128)*内置配装器+IF(配装计算器!AC27=G129&amp;"破防",1,0)*自输入属性</f>
        <v>0</v>
      </c>
      <c r="J129" t="s">
        <v>2231</v>
      </c>
      <c r="K129" s="165">
        <f t="shared" ref="K129:K131" si="26">10/21</f>
        <v>0.476190476190476</v>
      </c>
      <c r="L129">
        <v>4728</v>
      </c>
    </row>
    <row r="130" spans="3:14">
      <c r="C130" s="167"/>
      <c r="D130" t="s">
        <v>1353</v>
      </c>
      <c r="E130" t="s">
        <v>1404</v>
      </c>
      <c r="F130" t="s">
        <v>2229</v>
      </c>
      <c r="G130">
        <v>35300</v>
      </c>
      <c r="H130">
        <f>COUNTIF(装备选择!$N$2:$N$14,"*"&amp;E130&amp;"*"&amp;G130&amp;"*")</f>
        <v>0</v>
      </c>
      <c r="I130">
        <f>MAX(0,H130*COUNTIF(装备选择!$N$2:$N$14,"*"&amp;E130&amp;"*"&amp;F130&amp;"*")-I129)*内置配装器+IF(配装计算器!AC27="35300会心",1,0)*自输入属性</f>
        <v>0</v>
      </c>
      <c r="J130" t="s">
        <v>2233</v>
      </c>
      <c r="K130" s="165">
        <f t="shared" si="26"/>
        <v>0.476190476190476</v>
      </c>
      <c r="L130">
        <v>5136</v>
      </c>
    </row>
    <row r="131" spans="3:14">
      <c r="C131" s="167"/>
      <c r="D131" t="s">
        <v>1353</v>
      </c>
      <c r="E131" t="s">
        <v>1404</v>
      </c>
      <c r="G131">
        <v>35300</v>
      </c>
      <c r="H131">
        <f>COUNTIF(装备选择!$N$2:$N$14,"*"&amp;E131&amp;"*"&amp;G131&amp;"*")</f>
        <v>0</v>
      </c>
      <c r="I131">
        <f>MAX(0,H131*COUNTIF(装备选择!$N$2:$N$14,"*"&amp;E131&amp;"*"&amp;F131&amp;"*")-I130)*内置配装器+IF(配装计算器!AC27="35300破防",1,0)*自输入属性</f>
        <v>0</v>
      </c>
      <c r="J131" t="s">
        <v>2234</v>
      </c>
      <c r="K131" s="165">
        <f t="shared" si="26"/>
        <v>0.476190476190476</v>
      </c>
      <c r="L131">
        <v>5136</v>
      </c>
    </row>
    <row r="132" spans="3:14">
      <c r="C132" s="167"/>
      <c r="D132" t="s">
        <v>1252</v>
      </c>
      <c r="E132" t="s">
        <v>1294</v>
      </c>
      <c r="F132" t="s">
        <v>2229</v>
      </c>
      <c r="G132">
        <v>32500</v>
      </c>
      <c r="H132">
        <f>COUNTIF(装备选择!$N$2:$N$14,"*"&amp;E132&amp;"*"&amp;G132&amp;"*")</f>
        <v>0</v>
      </c>
      <c r="I132">
        <f>MAX(0,H132*COUNTIF(装备选择!$N$2:$N$14,"*"&amp;E132&amp;"*"&amp;F132&amp;"*")-I131)*内置配装器+IF(配装计算器!AC28="32500会效",1,0)*自输入属性</f>
        <v>0</v>
      </c>
      <c r="J132" t="s">
        <v>2236</v>
      </c>
      <c r="K132" s="165">
        <v>1</v>
      </c>
      <c r="L132">
        <v>151</v>
      </c>
      <c r="M132" t="s">
        <v>2265</v>
      </c>
      <c r="N132">
        <v>6006</v>
      </c>
    </row>
    <row r="133" spans="3:14">
      <c r="C133" s="167"/>
      <c r="D133" t="s">
        <v>1252</v>
      </c>
      <c r="E133" t="s">
        <v>1294</v>
      </c>
      <c r="G133">
        <v>32500</v>
      </c>
      <c r="H133">
        <f>COUNTIF(装备选择!$N$2:$N$14,"*"&amp;E133&amp;"*"&amp;G133&amp;"*")</f>
        <v>0</v>
      </c>
      <c r="I133">
        <f>MAX(0,H133*COUNTIF(装备选择!$N$2:$N$14,"*"&amp;E133&amp;"*"&amp;F133&amp;"*")-I132)*内置配装器+IF(配装计算器!AC28="32500攻击",1,0)*自输入属性</f>
        <v>0</v>
      </c>
      <c r="J133" t="s">
        <v>2238</v>
      </c>
      <c r="K133" s="165">
        <v>1</v>
      </c>
      <c r="L133">
        <v>41</v>
      </c>
      <c r="M133" t="s">
        <v>2266</v>
      </c>
      <c r="N133">
        <v>6864</v>
      </c>
    </row>
    <row r="134" spans="3:14">
      <c r="C134" s="167"/>
      <c r="D134" t="s">
        <v>1252</v>
      </c>
      <c r="E134" t="s">
        <v>1294</v>
      </c>
      <c r="F134" t="s">
        <v>2229</v>
      </c>
      <c r="G134">
        <v>35300</v>
      </c>
      <c r="H134">
        <f>COUNTIF(装备选择!$N$2:$N$14,"*"&amp;E134&amp;"*"&amp;G134&amp;"*")</f>
        <v>1</v>
      </c>
      <c r="I134">
        <f>MAX(0,H134*COUNTIF(装备选择!$N$2:$N$14,"*"&amp;E134&amp;"*"&amp;F134&amp;"*")-I133)*内置配装器+IF(配装计算器!AC28="35300会效",1,0)*自输入属性</f>
        <v>0</v>
      </c>
      <c r="J134" t="s">
        <v>2241</v>
      </c>
      <c r="K134" s="165">
        <v>1</v>
      </c>
      <c r="L134">
        <v>165</v>
      </c>
      <c r="M134" t="s">
        <v>2267</v>
      </c>
      <c r="N134">
        <v>6526</v>
      </c>
    </row>
    <row r="135" spans="3:14">
      <c r="C135" s="167"/>
      <c r="D135" t="s">
        <v>1252</v>
      </c>
      <c r="E135" t="s">
        <v>1294</v>
      </c>
      <c r="G135">
        <v>35300</v>
      </c>
      <c r="H135">
        <f>COUNTIF(装备选择!$N$2:$N$14,"*"&amp;E135&amp;"*"&amp;G135&amp;"*")</f>
        <v>1</v>
      </c>
      <c r="I135">
        <f>MAX(0,H135*COUNTIF(装备选择!$N$2:$N$14,"*"&amp;E135&amp;"*"&amp;F135&amp;"*")-I134)*内置配装器+IF(配装计算器!AC28="35300攻击",1,0)*自输入属性</f>
        <v>1</v>
      </c>
      <c r="J135" t="s">
        <v>2244</v>
      </c>
      <c r="K135" s="165">
        <v>1</v>
      </c>
      <c r="L135">
        <v>45</v>
      </c>
      <c r="M135" t="s">
        <v>2268</v>
      </c>
      <c r="N135">
        <v>7456</v>
      </c>
    </row>
    <row r="136" spans="3:14">
      <c r="C136" s="167"/>
      <c r="D136" t="s">
        <v>1688</v>
      </c>
      <c r="E136" t="s">
        <v>1741</v>
      </c>
      <c r="F136" t="s">
        <v>2247</v>
      </c>
      <c r="G136">
        <v>32500</v>
      </c>
      <c r="H136">
        <f>COUNTIF(装备选择!$N$2:$N$14,"*"&amp;E136&amp;"*"&amp;G136&amp;"*")</f>
        <v>0</v>
      </c>
      <c r="I136">
        <f>MAX(0,H136*COUNTIF(装备选择!$N$2:$N$14,"*"&amp;E136&amp;"*"&amp;F136&amp;"*")-I135)*内置配装器+IF(配装计算器!AC29="32500破防",1,0)*自输入属性</f>
        <v>0</v>
      </c>
      <c r="J136" t="s">
        <v>2248</v>
      </c>
      <c r="K136" s="165">
        <v>1</v>
      </c>
      <c r="L136">
        <v>303</v>
      </c>
      <c r="M136" t="s">
        <v>2249</v>
      </c>
    </row>
    <row r="137" spans="3:14">
      <c r="C137" s="167"/>
      <c r="D137" t="s">
        <v>1688</v>
      </c>
      <c r="E137" t="s">
        <v>1741</v>
      </c>
      <c r="F137" t="s">
        <v>2229</v>
      </c>
      <c r="G137">
        <v>32500</v>
      </c>
      <c r="H137">
        <f>COUNTIF(装备选择!$N$2:$N$14,"*"&amp;E137&amp;"*"&amp;G137&amp;"*")</f>
        <v>0</v>
      </c>
      <c r="I137">
        <f>MAX(0,H137*COUNTIF(装备选择!$N$2:$N$14,"*"&amp;E137&amp;"*"&amp;F137&amp;"*")-I136)*内置配装器+IF(配装计算器!AC29="32500会效",1,0)*自输入属性</f>
        <v>0</v>
      </c>
      <c r="J137" t="s">
        <v>2250</v>
      </c>
      <c r="K137" s="165">
        <v>1</v>
      </c>
      <c r="L137">
        <v>303</v>
      </c>
      <c r="M137" t="s">
        <v>2249</v>
      </c>
    </row>
    <row r="138" spans="3:14">
      <c r="C138" s="167"/>
      <c r="D138" t="s">
        <v>1688</v>
      </c>
      <c r="E138" t="s">
        <v>1741</v>
      </c>
      <c r="G138">
        <v>32500</v>
      </c>
      <c r="H138">
        <f>COUNTIF(装备选择!$N$2:$N$14,"*"&amp;E138&amp;"*"&amp;G138&amp;"*")</f>
        <v>0</v>
      </c>
      <c r="I138">
        <f>MAX(0,H138*COUNTIF(装备选择!$N$2:$N$14,"*"&amp;E138&amp;"*"&amp;F138&amp;"*")-I137-I136)*内置配装器</f>
        <v>0</v>
      </c>
      <c r="J138" t="s">
        <v>2248</v>
      </c>
      <c r="K138" s="165">
        <v>1</v>
      </c>
      <c r="L138">
        <v>303</v>
      </c>
      <c r="M138" t="s">
        <v>2249</v>
      </c>
    </row>
    <row r="139" spans="3:14">
      <c r="C139" s="167"/>
      <c r="D139" t="s">
        <v>1688</v>
      </c>
      <c r="E139" t="s">
        <v>1741</v>
      </c>
      <c r="F139" t="s">
        <v>2247</v>
      </c>
      <c r="G139">
        <v>35300</v>
      </c>
      <c r="H139">
        <f>COUNTIF(装备选择!$N$2:$N$14,"*"&amp;E139&amp;"*"&amp;G139&amp;"*")</f>
        <v>0</v>
      </c>
      <c r="I139">
        <f>MAX(0,H139*COUNTIF(装备选择!$N$2:$N$14,"*"&amp;E139&amp;"*"&amp;F139&amp;"*")-I138)*内置配装器+IF(配装计算器!AC29="35300破防",1,0)*自输入属性</f>
        <v>0</v>
      </c>
      <c r="J139" t="s">
        <v>2253</v>
      </c>
      <c r="K139" s="165">
        <v>1</v>
      </c>
      <c r="L139">
        <v>330</v>
      </c>
      <c r="M139" t="s">
        <v>2249</v>
      </c>
    </row>
    <row r="140" spans="3:14">
      <c r="C140" s="167"/>
      <c r="D140" t="s">
        <v>1688</v>
      </c>
      <c r="E140" t="s">
        <v>1741</v>
      </c>
      <c r="F140" t="s">
        <v>2229</v>
      </c>
      <c r="G140">
        <v>35300</v>
      </c>
      <c r="H140">
        <f>COUNTIF(装备选择!$N$2:$N$14,"*"&amp;E140&amp;"*"&amp;G140&amp;"*")</f>
        <v>0</v>
      </c>
      <c r="I140">
        <f>MAX(0,H140*COUNTIF(装备选择!$N$2:$N$14,"*"&amp;E140&amp;"*"&amp;F140&amp;"*")-I139)*内置配装器+IF(配装计算器!AC29="35300会效",1,0)*自输入属性</f>
        <v>0</v>
      </c>
      <c r="J140" t="s">
        <v>2254</v>
      </c>
      <c r="K140" s="165">
        <v>1</v>
      </c>
      <c r="L140">
        <v>330</v>
      </c>
      <c r="M140" t="s">
        <v>2249</v>
      </c>
    </row>
    <row r="141" spans="3:14">
      <c r="C141" s="167"/>
      <c r="D141" t="s">
        <v>1688</v>
      </c>
      <c r="E141" t="s">
        <v>1741</v>
      </c>
      <c r="G141">
        <v>35300</v>
      </c>
      <c r="H141">
        <f>COUNTIF(装备选择!$N$2:$N$14,"*"&amp;E141&amp;"*"&amp;G141&amp;"*")</f>
        <v>0</v>
      </c>
      <c r="I141">
        <f>MAX(0,H141*COUNTIF(装备选择!$N$2:$N$14,"*"&amp;E141&amp;"*"&amp;F141&amp;"*")-I140-I139)*内置配装器</f>
        <v>0</v>
      </c>
      <c r="J141" t="s">
        <v>2253</v>
      </c>
      <c r="K141" s="165">
        <v>1</v>
      </c>
      <c r="L141">
        <v>330</v>
      </c>
      <c r="M141" t="s">
        <v>2249</v>
      </c>
    </row>
    <row r="142" spans="3:14">
      <c r="C142" s="167"/>
      <c r="D142" t="s">
        <v>82</v>
      </c>
      <c r="E142" t="s">
        <v>151</v>
      </c>
      <c r="G142">
        <v>32500</v>
      </c>
      <c r="H142">
        <f>COUNTIF(装备选择!$N$2:$N$14,"*"&amp;E142&amp;"*"&amp;G142&amp;"*")</f>
        <v>0</v>
      </c>
      <c r="I142">
        <f>H142*COUNTIF(装备选择!$N$2:$N$14,"*"&amp;E142&amp;"*"&amp;F142&amp;"*")*内置配装器+IF(配装计算器!AC30=附魔库!G142,1,0)*自输入属性</f>
        <v>0</v>
      </c>
      <c r="J142" t="s">
        <v>2256</v>
      </c>
      <c r="L142">
        <v>475043</v>
      </c>
      <c r="M142" t="s">
        <v>2257</v>
      </c>
    </row>
    <row r="143" spans="3:14">
      <c r="C143" s="167"/>
      <c r="D143" t="s">
        <v>82</v>
      </c>
      <c r="E143" t="s">
        <v>151</v>
      </c>
      <c r="G143">
        <v>35300</v>
      </c>
      <c r="H143">
        <f>COUNTIF(装备选择!$N$2:$N$14,"*"&amp;E143&amp;"*"&amp;G143&amp;"*")</f>
        <v>0</v>
      </c>
      <c r="I143">
        <f>H143*COUNTIF(装备选择!$N$2:$N$14,"*"&amp;E143&amp;"*"&amp;F143&amp;"*")*内置配装器+IF(配装计算器!AC30=附魔库!G143,1,0)*自输入属性</f>
        <v>0</v>
      </c>
      <c r="J143" t="s">
        <v>2258</v>
      </c>
      <c r="L143">
        <v>515970</v>
      </c>
      <c r="M143" t="s">
        <v>2257</v>
      </c>
    </row>
    <row r="144" spans="3:14">
      <c r="C144" s="167"/>
      <c r="D144" t="s">
        <v>1688</v>
      </c>
      <c r="E144" t="s">
        <v>1741</v>
      </c>
      <c r="F144" t="s">
        <v>2247</v>
      </c>
      <c r="G144">
        <v>32300</v>
      </c>
      <c r="H144">
        <f>COUNTIF(装备选择!$N$2:$N$14,"*"&amp;E144&amp;"*"&amp;G144&amp;"*")</f>
        <v>0</v>
      </c>
      <c r="I144">
        <f>MAX(0,H144*COUNTIF(装备选择!$N$2:$N$14,"*"&amp;E144&amp;"*"&amp;F144&amp;"*"))*内置配装器</f>
        <v>0</v>
      </c>
      <c r="J144" t="s">
        <v>2253</v>
      </c>
      <c r="K144" s="165">
        <v>1</v>
      </c>
      <c r="L144">
        <v>330</v>
      </c>
      <c r="M144" t="s">
        <v>2249</v>
      </c>
    </row>
    <row r="145" spans="3:14">
      <c r="C145" s="167"/>
      <c r="D145" t="s">
        <v>1688</v>
      </c>
      <c r="E145" t="s">
        <v>1741</v>
      </c>
      <c r="F145" t="s">
        <v>2229</v>
      </c>
      <c r="G145">
        <v>32300</v>
      </c>
      <c r="H145">
        <f>COUNTIF(装备选择!$N$2:$N$14,"*"&amp;E145&amp;"*"&amp;G145&amp;"*")</f>
        <v>0</v>
      </c>
      <c r="I145">
        <f>MAX(0,H145*COUNTIF(装备选择!$N$2:$N$14,"*"&amp;E145&amp;"*"&amp;F145&amp;"*")-I144)*内置配装器</f>
        <v>0</v>
      </c>
      <c r="J145" t="s">
        <v>2254</v>
      </c>
      <c r="K145" s="165">
        <v>1</v>
      </c>
      <c r="L145">
        <v>330</v>
      </c>
      <c r="M145" t="s">
        <v>2249</v>
      </c>
    </row>
    <row r="146" spans="3:14">
      <c r="C146" s="167"/>
      <c r="D146" t="s">
        <v>1688</v>
      </c>
      <c r="E146" t="s">
        <v>1741</v>
      </c>
      <c r="G146">
        <v>32300</v>
      </c>
      <c r="H146">
        <f>COUNTIF(装备选择!$N$2:$N$14,"*"&amp;E146&amp;"*"&amp;G146&amp;"*")</f>
        <v>0</v>
      </c>
      <c r="I146">
        <f>MAX(0,H146*COUNTIF(装备选择!$N$2:$N$14,"*"&amp;E146&amp;"*"&amp;F146&amp;"*")-I145-I144)*内置配装器</f>
        <v>0</v>
      </c>
      <c r="J146" t="s">
        <v>2253</v>
      </c>
      <c r="K146" s="165">
        <v>1</v>
      </c>
      <c r="L146">
        <v>330</v>
      </c>
      <c r="M146" t="s">
        <v>2249</v>
      </c>
    </row>
    <row r="147" spans="3:14">
      <c r="C147" s="167"/>
      <c r="D147" t="s">
        <v>901</v>
      </c>
      <c r="E147" t="s">
        <v>995</v>
      </c>
      <c r="G147">
        <v>38100</v>
      </c>
      <c r="H147">
        <f>COUNTIF(装备选择!$N$2:$N$14,"*"&amp;E147&amp;"*"&amp;G147&amp;"*")</f>
        <v>0</v>
      </c>
      <c r="I147">
        <f>H147*COUNTIF(装备选择!$N$2:$N$14,"*"&amp;E147&amp;"*"&amp;F147&amp;"*")*内置配装器+IF(配装计算器!AC46=附魔库!G147,1,0)*自输入属性</f>
        <v>0</v>
      </c>
      <c r="J147" t="s">
        <v>2225</v>
      </c>
      <c r="K147" s="165">
        <v>1</v>
      </c>
      <c r="L147">
        <v>3194</v>
      </c>
    </row>
    <row r="148" spans="3:14">
      <c r="C148" s="167"/>
      <c r="D148" t="s">
        <v>901</v>
      </c>
      <c r="E148" t="s">
        <v>995</v>
      </c>
      <c r="G148">
        <v>41400</v>
      </c>
      <c r="H148">
        <f>COUNTIF(装备选择!$N$2:$N$14,"*"&amp;E148&amp;"*"&amp;G148&amp;"*")</f>
        <v>1</v>
      </c>
      <c r="I148">
        <f>H148*COUNTIF(装备选择!$N$2:$N$14,"*"&amp;E148&amp;"*"&amp;F148&amp;"*")*内置配装器+IF(配装计算器!AC46=附魔库!G148,1,0)*自输入属性</f>
        <v>1</v>
      </c>
      <c r="J148" t="s">
        <v>2226</v>
      </c>
      <c r="K148" s="165">
        <v>1</v>
      </c>
      <c r="L148">
        <v>3471</v>
      </c>
    </row>
    <row r="149" spans="3:14">
      <c r="C149" s="167"/>
      <c r="D149" t="s">
        <v>1353</v>
      </c>
      <c r="E149" t="s">
        <v>1441</v>
      </c>
      <c r="F149" t="s">
        <v>2247</v>
      </c>
      <c r="G149">
        <v>38100</v>
      </c>
      <c r="H149">
        <f>COUNTIF(装备选择!$N$2:$N$14,"*"&amp;E149&amp;"*"&amp;G149&amp;"*")</f>
        <v>0</v>
      </c>
      <c r="I149">
        <f>H149*COUNTIF(装备选择!$N$2:$N$14,"*"&amp;E149&amp;"*"&amp;F149&amp;"*")*内置配装器+IF(配装计算器!AC47=G149&amp;"破防",1,0)*自输入属性</f>
        <v>0</v>
      </c>
      <c r="J149" t="s">
        <v>2231</v>
      </c>
      <c r="K149" s="165">
        <f>10/21</f>
        <v>0.476190476190476</v>
      </c>
      <c r="L149">
        <v>5521</v>
      </c>
    </row>
    <row r="150" spans="3:14">
      <c r="C150" s="167"/>
      <c r="D150" t="s">
        <v>1353</v>
      </c>
      <c r="E150" t="s">
        <v>1441</v>
      </c>
      <c r="G150">
        <v>38100</v>
      </c>
      <c r="H150">
        <f>COUNTIF(装备选择!$N$2:$N$14,"*"&amp;E150&amp;"*"&amp;G150&amp;"*")</f>
        <v>0</v>
      </c>
      <c r="I150">
        <f>MAX(0,H150*COUNTIF(装备选择!$N$2:$N$14,"*"&amp;E150&amp;"*"&amp;F150&amp;"*")-I149)*内置配装器+IF(配装计算器!AC47=G150&amp;"会心",1,0)*自输入属性</f>
        <v>0</v>
      </c>
      <c r="J150" t="s">
        <v>2230</v>
      </c>
      <c r="K150" s="165">
        <f t="shared" ref="K150:K152" si="27">10/21</f>
        <v>0.476190476190476</v>
      </c>
      <c r="L150">
        <v>5521</v>
      </c>
    </row>
    <row r="151" spans="3:14">
      <c r="C151" s="167"/>
      <c r="D151" t="s">
        <v>1353</v>
      </c>
      <c r="E151" t="s">
        <v>1441</v>
      </c>
      <c r="F151" t="s">
        <v>2247</v>
      </c>
      <c r="G151">
        <v>41400</v>
      </c>
      <c r="H151">
        <f>COUNTIF(装备选择!$N$2:$N$14,"*"&amp;E151&amp;"*"&amp;G151&amp;"*")</f>
        <v>0</v>
      </c>
      <c r="I151">
        <f>MAX(0,H151*COUNTIF(装备选择!$N$2:$N$14,"*"&amp;E151&amp;"*"&amp;F151&amp;"*")-I150)*内置配装器+IF(配装计算器!AC47=G151&amp;"破防",1,0)*自输入属性</f>
        <v>0</v>
      </c>
      <c r="J151" t="s">
        <v>2234</v>
      </c>
      <c r="K151" s="165">
        <f t="shared" si="27"/>
        <v>0.476190476190476</v>
      </c>
      <c r="L151">
        <v>6000</v>
      </c>
    </row>
    <row r="152" spans="3:14">
      <c r="C152" s="167"/>
      <c r="D152" t="s">
        <v>1353</v>
      </c>
      <c r="E152" t="s">
        <v>1441</v>
      </c>
      <c r="G152">
        <v>41400</v>
      </c>
      <c r="H152">
        <f>COUNTIF(装备选择!$N$2:$N$14,"*"&amp;E152&amp;"*"&amp;G152&amp;"*")</f>
        <v>0</v>
      </c>
      <c r="I152">
        <f>MAX(0,H152*COUNTIF(装备选择!$N$2:$N$14,"*"&amp;E152&amp;"*"&amp;F152&amp;"*")-I151)*内置配装器+IF(配装计算器!AC47=G152&amp;"会心",1,0)*自输入属性</f>
        <v>0</v>
      </c>
      <c r="J152" t="s">
        <v>2233</v>
      </c>
      <c r="K152" s="165">
        <f t="shared" si="27"/>
        <v>0.476190476190476</v>
      </c>
      <c r="L152">
        <v>6000</v>
      </c>
    </row>
    <row r="153" spans="3:14">
      <c r="C153" s="167"/>
      <c r="D153" t="s">
        <v>1252</v>
      </c>
      <c r="E153" t="s">
        <v>1325</v>
      </c>
      <c r="F153" t="s">
        <v>2247</v>
      </c>
      <c r="G153">
        <v>38100</v>
      </c>
      <c r="H153">
        <f>COUNTIF(装备选择!$N$2:$N$14,"*"&amp;E153&amp;"*"&amp;G153&amp;"*")</f>
        <v>0</v>
      </c>
      <c r="I153">
        <f>MAX(0,H153*COUNTIF(装备选择!$N$2:$N$14,"*"&amp;E153&amp;"*"&amp;F153&amp;"*")-I152)*内置配装器+IF(配装计算器!AC48="32500会效",1,0)*自输入属性</f>
        <v>0</v>
      </c>
      <c r="J153" t="s">
        <v>2238</v>
      </c>
      <c r="K153" s="165">
        <v>1</v>
      </c>
      <c r="L153">
        <v>48</v>
      </c>
      <c r="M153" t="s">
        <v>2269</v>
      </c>
      <c r="N153">
        <v>7901</v>
      </c>
    </row>
    <row r="154" spans="3:14">
      <c r="C154" s="167"/>
      <c r="D154" t="s">
        <v>1252</v>
      </c>
      <c r="E154" t="s">
        <v>1325</v>
      </c>
      <c r="F154" t="s">
        <v>2229</v>
      </c>
      <c r="G154">
        <v>38100</v>
      </c>
      <c r="H154">
        <f>COUNTIF(装备选择!$N$2:$N$14,"*"&amp;E154&amp;"*"&amp;G154&amp;"*")</f>
        <v>0</v>
      </c>
      <c r="I154">
        <f>MAX(0,H154*COUNTIF(装备选择!$N$2:$N$14,"*"&amp;E154&amp;"*"&amp;F154&amp;"*")-I153)*内置配装器+IF(配装计算器!AC48="32500攻击",1,0)*自输入属性</f>
        <v>0</v>
      </c>
      <c r="J154" t="s">
        <v>2236</v>
      </c>
      <c r="K154" s="165">
        <v>1</v>
      </c>
      <c r="L154">
        <v>176</v>
      </c>
      <c r="M154" t="s">
        <v>2270</v>
      </c>
      <c r="N154">
        <v>7901</v>
      </c>
    </row>
    <row r="155" spans="3:14">
      <c r="C155" s="167"/>
      <c r="D155" t="s">
        <v>1252</v>
      </c>
      <c r="E155" t="s">
        <v>1325</v>
      </c>
      <c r="G155">
        <v>38100</v>
      </c>
      <c r="H155">
        <f>COUNTIF(装备选择!$N$2:$N$14,"*"&amp;E155&amp;"*"&amp;G155&amp;"*")</f>
        <v>0</v>
      </c>
      <c r="I155">
        <f>MAX(0,H155*COUNTIF(装备选择!$N$2:$N$14,"*"&amp;E155&amp;"*"&amp;F155&amp;"*")-I154-I153)*内置配装器+IF(配装计算器!AC49="32500攻击",1,0)*自输入属性</f>
        <v>0</v>
      </c>
      <c r="J155" t="s">
        <v>2238</v>
      </c>
      <c r="K155" s="165">
        <v>1</v>
      </c>
      <c r="L155">
        <v>48</v>
      </c>
      <c r="M155" t="s">
        <v>2269</v>
      </c>
      <c r="N155">
        <v>7901</v>
      </c>
    </row>
    <row r="156" spans="3:14">
      <c r="C156" s="167"/>
      <c r="D156" t="s">
        <v>1252</v>
      </c>
      <c r="E156" t="s">
        <v>1325</v>
      </c>
      <c r="F156" t="s">
        <v>2247</v>
      </c>
      <c r="G156">
        <v>41400</v>
      </c>
      <c r="H156">
        <f>COUNTIF(装备选择!$N$2:$N$14,"*"&amp;E156&amp;"*"&amp;G156&amp;"*")</f>
        <v>0</v>
      </c>
      <c r="I156">
        <f>MAX(0,H156*COUNTIF(装备选择!$N$2:$N$14,"*"&amp;E156&amp;"*"&amp;F156&amp;"*")-I154)*内置配装器+IF(配装计算器!AC48="35300会效",1,0)*自输入属性</f>
        <v>0</v>
      </c>
      <c r="J156" t="s">
        <v>2244</v>
      </c>
      <c r="K156" s="165">
        <v>1</v>
      </c>
      <c r="L156">
        <v>52</v>
      </c>
      <c r="M156" t="s">
        <v>2271</v>
      </c>
      <c r="N156">
        <v>8586</v>
      </c>
    </row>
    <row r="157" spans="3:14">
      <c r="C157" s="167"/>
      <c r="D157" t="s">
        <v>1252</v>
      </c>
      <c r="E157" t="s">
        <v>1325</v>
      </c>
      <c r="F157" t="s">
        <v>2229</v>
      </c>
      <c r="G157">
        <v>41400</v>
      </c>
      <c r="H157">
        <f>COUNTIF(装备选择!$N$2:$N$14,"*"&amp;E157&amp;"*"&amp;G157&amp;"*")</f>
        <v>0</v>
      </c>
      <c r="I157">
        <f>MAX(0,H157*COUNTIF(装备选择!$N$2:$N$14,"*"&amp;E157&amp;"*"&amp;F157&amp;"*")-I156)*内置配装器+IF(配装计算器!AC47="35300攻击",1,0)*自输入属性</f>
        <v>0</v>
      </c>
      <c r="J157" t="s">
        <v>2241</v>
      </c>
      <c r="K157" s="165">
        <v>1</v>
      </c>
      <c r="L157">
        <v>192</v>
      </c>
      <c r="M157" t="s">
        <v>2272</v>
      </c>
      <c r="N157">
        <v>8586</v>
      </c>
    </row>
    <row r="158" spans="3:14">
      <c r="C158" s="167"/>
      <c r="D158" t="s">
        <v>1252</v>
      </c>
      <c r="E158" t="s">
        <v>1325</v>
      </c>
      <c r="G158">
        <v>41400</v>
      </c>
      <c r="H158">
        <f>COUNTIF(装备选择!$N$2:$N$14,"*"&amp;E158&amp;"*"&amp;G158&amp;"*")</f>
        <v>0</v>
      </c>
      <c r="I158">
        <f>MAX(0,H158*COUNTIF(装备选择!$N$2:$N$14,"*"&amp;E158&amp;"*"&amp;F158&amp;"*")-I156-I157)*内置配装器+IF(配装计算器!AC48="35300攻击",1,0)*自输入属性</f>
        <v>0</v>
      </c>
      <c r="J158" t="s">
        <v>2244</v>
      </c>
      <c r="K158" s="165">
        <v>1</v>
      </c>
      <c r="L158">
        <v>52</v>
      </c>
      <c r="M158" t="s">
        <v>2271</v>
      </c>
      <c r="N158">
        <v>8586</v>
      </c>
    </row>
    <row r="159" spans="3:14">
      <c r="C159" s="167"/>
      <c r="D159" t="s">
        <v>1688</v>
      </c>
      <c r="E159" t="s">
        <v>1790</v>
      </c>
      <c r="F159" t="s">
        <v>2247</v>
      </c>
      <c r="G159">
        <v>38100</v>
      </c>
      <c r="H159">
        <f>COUNTIF(装备选择!$N$2:$N$14,"*"&amp;E159&amp;"*"&amp;G159&amp;"*")</f>
        <v>0</v>
      </c>
      <c r="I159">
        <f>MAX(0,H159*COUNTIF(装备选择!$N$2:$N$14,"*"&amp;E159&amp;"*"&amp;F159&amp;"*")-I158)*内置配装器+IF(配装计算器!AC49="32500破防",1,0)*自输入属性</f>
        <v>0</v>
      </c>
      <c r="J159" t="s">
        <v>2248</v>
      </c>
      <c r="K159" s="165">
        <v>1</v>
      </c>
      <c r="L159">
        <v>354</v>
      </c>
      <c r="M159" t="s">
        <v>2249</v>
      </c>
    </row>
    <row r="160" spans="3:14">
      <c r="C160" s="167"/>
      <c r="D160" t="s">
        <v>1688</v>
      </c>
      <c r="E160" t="s">
        <v>1790</v>
      </c>
      <c r="F160" t="s">
        <v>2229</v>
      </c>
      <c r="G160">
        <v>38100</v>
      </c>
      <c r="H160">
        <f>COUNTIF(装备选择!$N$2:$N$14,"*"&amp;E160&amp;"*"&amp;G160&amp;"*")</f>
        <v>0</v>
      </c>
      <c r="I160">
        <f>MAX(0,H160*COUNTIF(装备选择!$N$2:$N$14,"*"&amp;E160&amp;"*"&amp;F160&amp;"*")-I159)*内置配装器+IF(配装计算器!AC49="32500会效",1,0)*自输入属性</f>
        <v>0</v>
      </c>
      <c r="J160" t="s">
        <v>2250</v>
      </c>
      <c r="K160" s="165">
        <v>1</v>
      </c>
      <c r="L160">
        <v>354</v>
      </c>
      <c r="M160" t="s">
        <v>2249</v>
      </c>
    </row>
    <row r="161" spans="3:13">
      <c r="C161" s="167"/>
      <c r="D161" t="s">
        <v>1688</v>
      </c>
      <c r="E161" t="s">
        <v>1790</v>
      </c>
      <c r="G161">
        <v>38100</v>
      </c>
      <c r="H161">
        <f>COUNTIF(装备选择!$N$2:$N$14,"*"&amp;E161&amp;"*"&amp;G161&amp;"*")</f>
        <v>0</v>
      </c>
      <c r="I161">
        <f>MAX(0,H161*COUNTIF(装备选择!$N$2:$N$14,"*"&amp;E161&amp;"*"&amp;F161&amp;"*")-I160-I159)*内置配装器</f>
        <v>0</v>
      </c>
      <c r="J161" t="s">
        <v>2248</v>
      </c>
      <c r="K161" s="165">
        <v>1</v>
      </c>
      <c r="L161">
        <v>354</v>
      </c>
      <c r="M161" t="s">
        <v>2249</v>
      </c>
    </row>
    <row r="162" spans="3:13">
      <c r="C162" s="167"/>
      <c r="D162" t="s">
        <v>1688</v>
      </c>
      <c r="E162" t="s">
        <v>1790</v>
      </c>
      <c r="F162" t="s">
        <v>2247</v>
      </c>
      <c r="G162">
        <v>41400</v>
      </c>
      <c r="H162">
        <f>COUNTIF(装备选择!$N$2:$N$14,"*"&amp;E162&amp;"*"&amp;G162&amp;"*")</f>
        <v>0</v>
      </c>
      <c r="I162">
        <f>MAX(0,H162*COUNTIF(装备选择!$N$2:$N$14,"*"&amp;E162&amp;"*"&amp;F162&amp;"*")-I161)*内置配装器+IF(配装计算器!AC49="35300破防",1,0)*自输入属性</f>
        <v>0</v>
      </c>
      <c r="J162" t="s">
        <v>2253</v>
      </c>
      <c r="K162" s="165">
        <v>1</v>
      </c>
      <c r="L162">
        <v>385</v>
      </c>
      <c r="M162" t="s">
        <v>2249</v>
      </c>
    </row>
    <row r="163" spans="3:13">
      <c r="C163" s="167"/>
      <c r="D163" t="s">
        <v>1688</v>
      </c>
      <c r="E163" t="s">
        <v>1790</v>
      </c>
      <c r="F163" t="s">
        <v>2229</v>
      </c>
      <c r="G163">
        <v>41400</v>
      </c>
      <c r="H163">
        <f>COUNTIF(装备选择!$N$2:$N$14,"*"&amp;E163&amp;"*"&amp;G163&amp;"*")</f>
        <v>0</v>
      </c>
      <c r="I163">
        <f>MAX(0,H163*COUNTIF(装备选择!$N$2:$N$14,"*"&amp;E163&amp;"*"&amp;F163&amp;"*")-I162)*内置配装器+IF(配装计算器!AC49="35300会效",1,0)*自输入属性</f>
        <v>0</v>
      </c>
      <c r="J163" t="s">
        <v>2254</v>
      </c>
      <c r="K163" s="165">
        <v>1</v>
      </c>
      <c r="L163">
        <v>385</v>
      </c>
      <c r="M163" t="s">
        <v>2249</v>
      </c>
    </row>
    <row r="164" spans="3:13">
      <c r="C164" s="167"/>
      <c r="D164" t="s">
        <v>1688</v>
      </c>
      <c r="E164" t="s">
        <v>1790</v>
      </c>
      <c r="G164">
        <v>41400</v>
      </c>
      <c r="H164">
        <f>COUNTIF(装备选择!$N$2:$N$14,"*"&amp;E164&amp;"*"&amp;G164&amp;"*")</f>
        <v>0</v>
      </c>
      <c r="I164">
        <f>MAX(0,H164*COUNTIF(装备选择!$N$2:$N$14,"*"&amp;E164&amp;"*"&amp;F164&amp;"*")-I163-I162)*内置配装器</f>
        <v>0</v>
      </c>
      <c r="J164" t="s">
        <v>2253</v>
      </c>
      <c r="K164" s="165">
        <v>1</v>
      </c>
      <c r="L164">
        <v>385</v>
      </c>
      <c r="M164" t="s">
        <v>2249</v>
      </c>
    </row>
    <row r="165" spans="3:13">
      <c r="C165" s="167"/>
      <c r="D165" t="s">
        <v>82</v>
      </c>
      <c r="E165" t="s">
        <v>196</v>
      </c>
      <c r="G165">
        <v>38100</v>
      </c>
      <c r="H165">
        <f>COUNTIF(装备选择!$N$2:$N$14,"*"&amp;E165&amp;"*"&amp;G165&amp;"*")</f>
        <v>1</v>
      </c>
      <c r="I165">
        <f>H165*COUNTIF(装备选择!$N$2:$N$14,"*"&amp;E165&amp;"*"&amp;F165&amp;"*")*内置配装器+IF(配装计算器!AC50=附魔库!G165,1,0)*自输入属性</f>
        <v>1</v>
      </c>
      <c r="J165" t="s">
        <v>2256</v>
      </c>
      <c r="L165">
        <v>898344</v>
      </c>
      <c r="M165" t="s">
        <v>2257</v>
      </c>
    </row>
    <row r="166" spans="3:13">
      <c r="C166" s="167"/>
      <c r="D166" t="s">
        <v>82</v>
      </c>
      <c r="E166" t="s">
        <v>196</v>
      </c>
      <c r="G166">
        <v>41400</v>
      </c>
      <c r="H166">
        <f>COUNTIF(装备选择!$N$2:$N$14,"*"&amp;E166&amp;"*"&amp;G166&amp;"*")</f>
        <v>0</v>
      </c>
      <c r="I166">
        <f>H166*COUNTIF(装备选择!$N$2:$N$14,"*"&amp;E166&amp;"*"&amp;F166&amp;"*")*内置配装器+IF(配装计算器!AC50=附魔库!G166,1,0)*自输入属性</f>
        <v>0</v>
      </c>
      <c r="J166" t="s">
        <v>2258</v>
      </c>
      <c r="L166">
        <v>976145</v>
      </c>
      <c r="M166" t="s">
        <v>2257</v>
      </c>
    </row>
    <row r="167" spans="3:13">
      <c r="C167" s="167"/>
      <c r="D167" t="s">
        <v>1688</v>
      </c>
      <c r="E167" t="s">
        <v>1790</v>
      </c>
      <c r="F167" t="s">
        <v>2247</v>
      </c>
      <c r="G167">
        <v>37900</v>
      </c>
      <c r="H167">
        <f>COUNTIF(装备选择!$N$2:$N$14,"*"&amp;E167&amp;"*"&amp;G167&amp;"*")</f>
        <v>0</v>
      </c>
      <c r="I167">
        <f>MAX(0,H167*COUNTIF(装备选择!$N$2:$N$14,"*"&amp;E167&amp;"*"&amp;F167&amp;"*"))*内置配装器</f>
        <v>0</v>
      </c>
      <c r="J167" t="s">
        <v>2253</v>
      </c>
      <c r="K167" s="165">
        <v>1</v>
      </c>
      <c r="L167">
        <v>385</v>
      </c>
      <c r="M167" t="s">
        <v>2249</v>
      </c>
    </row>
    <row r="168" spans="3:13">
      <c r="C168" s="167"/>
      <c r="D168" t="s">
        <v>1688</v>
      </c>
      <c r="E168" t="s">
        <v>1790</v>
      </c>
      <c r="F168" t="s">
        <v>2229</v>
      </c>
      <c r="G168">
        <v>37900</v>
      </c>
      <c r="H168">
        <f>COUNTIF(装备选择!$N$2:$N$14,"*"&amp;E168&amp;"*"&amp;G168&amp;"*")</f>
        <v>0</v>
      </c>
      <c r="I168">
        <f>MAX(0,H168*COUNTIF(装备选择!$N$2:$N$14,"*"&amp;E168&amp;"*"&amp;F168&amp;"*")-I167)*内置配装器</f>
        <v>0</v>
      </c>
      <c r="J168" t="s">
        <v>2254</v>
      </c>
      <c r="K168" s="165">
        <v>1</v>
      </c>
      <c r="L168">
        <v>385</v>
      </c>
      <c r="M168" t="s">
        <v>2249</v>
      </c>
    </row>
    <row r="169" spans="3:13">
      <c r="C169" s="167"/>
      <c r="D169" t="s">
        <v>1688</v>
      </c>
      <c r="E169" t="s">
        <v>1790</v>
      </c>
      <c r="G169">
        <v>37900</v>
      </c>
      <c r="H169">
        <f>COUNTIF(装备选择!$N$2:$N$14,"*"&amp;E169&amp;"*"&amp;G169&amp;"*")</f>
        <v>0</v>
      </c>
      <c r="I169">
        <f>MAX(0,H169*COUNTIF(装备选择!$N$2:$N$14,"*"&amp;E169&amp;"*"&amp;F169&amp;"*")-I168-I167)*内置配装器</f>
        <v>0</v>
      </c>
      <c r="J169" t="s">
        <v>2253</v>
      </c>
      <c r="K169" s="165">
        <v>1</v>
      </c>
      <c r="L169">
        <v>385</v>
      </c>
      <c r="M169" t="s">
        <v>2249</v>
      </c>
    </row>
    <row r="170" spans="3:13">
      <c r="C170" s="167"/>
    </row>
    <row r="171" spans="3:13">
      <c r="C171" s="167"/>
    </row>
    <row r="172" spans="3:13">
      <c r="C172" s="167"/>
    </row>
    <row r="173" spans="3:13">
      <c r="C173" s="167"/>
    </row>
    <row r="174" spans="3:13">
      <c r="C174" s="167"/>
    </row>
    <row r="175" spans="3:13">
      <c r="C175" s="167"/>
    </row>
    <row r="176" spans="3:13">
      <c r="C176" s="167"/>
    </row>
    <row r="177" spans="3:14">
      <c r="C177" s="167"/>
    </row>
    <row r="178" spans="3:14">
      <c r="C178" s="167"/>
    </row>
    <row r="179" spans="3:14">
      <c r="C179" s="167"/>
    </row>
    <row r="180" spans="3:14">
      <c r="C180" s="167"/>
    </row>
    <row r="181" spans="3:14">
      <c r="C181" s="167"/>
    </row>
    <row r="182" spans="3:14">
      <c r="C182" s="167"/>
    </row>
    <row r="183" spans="3:14">
      <c r="C183" s="167"/>
    </row>
    <row r="184" spans="3:14">
      <c r="C184" s="167"/>
    </row>
    <row r="192" spans="3:14">
      <c r="C192" s="214" t="s">
        <v>2273</v>
      </c>
      <c r="E192" t="s">
        <v>2274</v>
      </c>
      <c r="F192" t="s">
        <v>1986</v>
      </c>
      <c r="G192" t="s">
        <v>2275</v>
      </c>
      <c r="H192" t="s">
        <v>2276</v>
      </c>
      <c r="I192" s="167">
        <v>8</v>
      </c>
      <c r="J192" s="167">
        <v>6</v>
      </c>
      <c r="K192" s="167">
        <v>6</v>
      </c>
      <c r="L192" s="167">
        <v>5</v>
      </c>
      <c r="M192" s="167">
        <v>4</v>
      </c>
      <c r="N192" s="167">
        <f ca="1">IF(IFERROR(COUNTIF(OFFSET(附魔库!N194,0,0,附魔库!N193,1),配装计算器!$T$20),0)&gt;0,1,0)</f>
        <v>0</v>
      </c>
    </row>
    <row r="193" ht="14.25" customHeight="1" spans="3:14">
      <c r="C193" s="214"/>
      <c r="D193" t="s">
        <v>2277</v>
      </c>
      <c r="E193">
        <f>COUNTIF(配装计算器!$T$19,D193)</f>
        <v>0</v>
      </c>
      <c r="F193" t="s">
        <v>2278</v>
      </c>
      <c r="G193" s="226" t="s">
        <v>2279</v>
      </c>
      <c r="H193" s="173">
        <f ca="1">IFERROR(IF(IFERROR(COUNTIF(OFFSET(附魔库!$N$194,0,0,附魔库!$N$193,1),配装计算器!$T$20),0)&gt;0,配装计算器!$T$20*1,$E$200*1)*E193,0)</f>
        <v>0</v>
      </c>
      <c r="I193" s="167" t="s">
        <v>2277</v>
      </c>
      <c r="J193" s="167" t="s">
        <v>2280</v>
      </c>
      <c r="K193" s="167" t="s">
        <v>2281</v>
      </c>
      <c r="L193" s="167" t="s">
        <v>2282</v>
      </c>
      <c r="M193" s="167" t="s">
        <v>2283</v>
      </c>
      <c r="N193" s="167">
        <f>IFERROR(INDEX(I192:M192,1,MATCH(配装计算器!$T$19,附魔库!$D$193:$D$197,0)),0)</f>
        <v>4</v>
      </c>
    </row>
    <row r="194" spans="3:14">
      <c r="C194" s="214"/>
      <c r="D194" t="s">
        <v>2280</v>
      </c>
      <c r="E194">
        <f>COUNTIF(配装计算器!$T$19,D194)</f>
        <v>0</v>
      </c>
      <c r="F194" t="s">
        <v>2284</v>
      </c>
      <c r="G194" s="227" t="s">
        <v>2285</v>
      </c>
      <c r="H194" s="173">
        <f ca="1">IFERROR(IF(IFERROR(COUNTIF(OFFSET(附魔库!$N$194,0,0,附魔库!$N$193,1),配装计算器!$T$20),0)&gt;0,配装计算器!$T$20*1,$E$200*1)*E194,0)</f>
        <v>0</v>
      </c>
      <c r="I194" s="226" t="s">
        <v>2286</v>
      </c>
      <c r="J194" s="227" t="s">
        <v>2287</v>
      </c>
      <c r="K194" s="227" t="s">
        <v>2287</v>
      </c>
      <c r="L194" s="226" t="s">
        <v>2286</v>
      </c>
      <c r="M194" s="226" t="s">
        <v>2286</v>
      </c>
      <c r="N194" s="227" t="str">
        <f>IFERROR(INDEX(I194:M194,1,MATCH(配装计算器!$T$19,附魔库!$D$193:$D$197,0)),"")</f>
        <v>0%</v>
      </c>
    </row>
    <row r="195" spans="3:14">
      <c r="C195" s="214"/>
      <c r="D195" t="s">
        <v>2281</v>
      </c>
      <c r="E195">
        <f>COUNTIF(配装计算器!$T$19,D195)</f>
        <v>0</v>
      </c>
      <c r="F195" t="s">
        <v>2284</v>
      </c>
      <c r="G195" s="227" t="s">
        <v>2285</v>
      </c>
      <c r="H195" s="173">
        <f ca="1">IFERROR(IF(IFERROR(COUNTIF(OFFSET(附魔库!$N$194,0,0,附魔库!$N$193,1),配装计算器!$T$20),0)&gt;0,配装计算器!$T$20*1,$E$200*1)*E195,0)</f>
        <v>0</v>
      </c>
      <c r="I195" s="226" t="s">
        <v>2288</v>
      </c>
      <c r="J195" s="227" t="s">
        <v>2289</v>
      </c>
      <c r="K195" s="227" t="s">
        <v>2289</v>
      </c>
      <c r="L195" s="226" t="s">
        <v>2290</v>
      </c>
      <c r="M195" s="226" t="s">
        <v>2291</v>
      </c>
      <c r="N195" s="227" t="str">
        <f>IFERROR(INDEX(I195:M195,1,MATCH(配装计算器!$T$19,附魔库!$D$193:$D$197,0)),"")</f>
        <v>70%</v>
      </c>
    </row>
    <row r="196" spans="3:14">
      <c r="C196" s="214"/>
      <c r="D196" t="s">
        <v>2282</v>
      </c>
      <c r="E196">
        <f>COUNTIF(配装计算器!$T$19,D196)</f>
        <v>0</v>
      </c>
      <c r="F196" t="s">
        <v>2292</v>
      </c>
      <c r="G196" s="226" t="s">
        <v>2293</v>
      </c>
      <c r="H196" s="173">
        <f ca="1">IFERROR(IF(IFERROR(COUNTIF(OFFSET(附魔库!$N$194,0,0,附魔库!$N$193,1),配装计算器!$T$20),0)&gt;0,配装计算器!$T$20*1,$E$200*1)*E196,0)</f>
        <v>0</v>
      </c>
      <c r="I196" s="226" t="s">
        <v>2279</v>
      </c>
      <c r="J196" s="227" t="s">
        <v>2294</v>
      </c>
      <c r="K196" s="227" t="s">
        <v>2294</v>
      </c>
      <c r="L196" s="226" t="s">
        <v>2295</v>
      </c>
      <c r="M196" s="226" t="s">
        <v>2296</v>
      </c>
      <c r="N196" s="227" t="str">
        <f>IFERROR(INDEX(I196:M196,1,MATCH(配装计算器!$T$19,附魔库!$D$193:$D$197,0)),"")</f>
        <v>80%</v>
      </c>
    </row>
    <row r="197" spans="3:14">
      <c r="C197" s="214"/>
      <c r="D197" t="s">
        <v>2283</v>
      </c>
      <c r="E197">
        <f>COUNTIF(配装计算器!$T$19,D197)</f>
        <v>1</v>
      </c>
      <c r="F197" t="s">
        <v>2292</v>
      </c>
      <c r="G197" s="215">
        <v>0.96</v>
      </c>
      <c r="H197" s="173">
        <f ca="1">IFERROR(IF(IFERROR(COUNTIF(OFFSET(附魔库!$N$194,0,0,附魔库!$N$193,1),配装计算器!$T$20),0)&gt;0,配装计算器!$T$20*1,$E$200*1)*E197,0)</f>
        <v>0.96</v>
      </c>
      <c r="I197" s="226" t="s">
        <v>2297</v>
      </c>
      <c r="J197" s="227" t="s">
        <v>2298</v>
      </c>
      <c r="K197" s="227" t="s">
        <v>2298</v>
      </c>
      <c r="L197" s="226" t="s">
        <v>2293</v>
      </c>
      <c r="M197" s="215">
        <v>0.96</v>
      </c>
      <c r="N197" s="167">
        <f>IFERROR(INDEX(I197:M197,1,MATCH(配装计算器!$T$19,附魔库!$D$193:$D$197,0)),"")</f>
        <v>0.96</v>
      </c>
    </row>
    <row r="198" spans="3:14">
      <c r="C198" s="214"/>
      <c r="I198" s="226" t="s">
        <v>2299</v>
      </c>
      <c r="J198" s="227" t="s">
        <v>2300</v>
      </c>
      <c r="K198" s="227" t="s">
        <v>2300</v>
      </c>
      <c r="L198" s="226" t="s">
        <v>2301</v>
      </c>
      <c r="M198" s="167"/>
      <c r="N198" s="167">
        <f>IFERROR(INDEX(I198:M198,1,MATCH(配装计算器!$T$19,附魔库!$D$193:$D$197,0)),"")</f>
        <v>0</v>
      </c>
    </row>
    <row r="199" spans="3:14">
      <c r="C199" s="214"/>
      <c r="D199" t="s">
        <v>2302</v>
      </c>
      <c r="E199" t="str">
        <f>IFERROR(INDEX(F193:F197,MATCH(1,E193:E197,0),1),"")</f>
        <v>五重覆盖率</v>
      </c>
      <c r="I199" s="226" t="s">
        <v>2303</v>
      </c>
      <c r="J199" s="227" t="s">
        <v>2285</v>
      </c>
      <c r="K199" s="227" t="s">
        <v>2285</v>
      </c>
      <c r="L199" s="167"/>
      <c r="M199" s="167"/>
      <c r="N199" s="167">
        <f>IFERROR(INDEX(I199:M199,1,MATCH(配装计算器!$T$19,附魔库!$D$193:$D$197,0)),"")</f>
        <v>0</v>
      </c>
    </row>
    <row r="200" ht="15.75" customHeight="1" spans="3:14">
      <c r="C200" s="216"/>
      <c r="D200" t="s">
        <v>2304</v>
      </c>
      <c r="E200" s="208">
        <f ca="1">IFERROR(IF(N192=0,INDEX(G193:G197,MATCH(1,E193:E197,0),1),""),"")</f>
        <v>0.96</v>
      </c>
      <c r="I200" s="226" t="s">
        <v>2305</v>
      </c>
      <c r="J200" s="167"/>
      <c r="K200" s="167"/>
      <c r="L200" s="167"/>
      <c r="M200" s="167"/>
      <c r="N200" s="167">
        <f>IFERROR(INDEX(I200:M200,1,MATCH(配装计算器!$T$19,附魔库!$D$193:$D$197,0)),"")</f>
        <v>0</v>
      </c>
    </row>
    <row r="201" spans="3:14">
      <c r="I201" s="226" t="s">
        <v>2306</v>
      </c>
      <c r="J201" s="167"/>
      <c r="K201" s="167"/>
      <c r="L201" s="167"/>
      <c r="M201" s="167"/>
      <c r="N201" s="167">
        <f>IFERROR(INDEX(I201:M201,1,MATCH(配装计算器!$T$19,附魔库!$D$193:$D$197,0)),"")</f>
        <v>0</v>
      </c>
    </row>
    <row r="206" spans="3:14">
      <c r="C206" s="217" t="s">
        <v>2307</v>
      </c>
      <c r="D206" s="160"/>
      <c r="E206" s="160" t="s">
        <v>2308</v>
      </c>
      <c r="F206" s="160" t="s">
        <v>2309</v>
      </c>
      <c r="G206" s="160" t="s">
        <v>2310</v>
      </c>
      <c r="H206" s="160" t="s">
        <v>2311</v>
      </c>
      <c r="I206" s="160" t="s">
        <v>2312</v>
      </c>
    </row>
    <row r="207" spans="3:14">
      <c r="C207" s="160"/>
      <c r="D207" s="160" t="s">
        <v>2022</v>
      </c>
      <c r="E207" s="160">
        <v>-160</v>
      </c>
      <c r="F207" s="160">
        <v>-1596</v>
      </c>
      <c r="G207" s="160">
        <v>-2075</v>
      </c>
      <c r="H207" s="160">
        <v>-3192</v>
      </c>
      <c r="I207" s="160">
        <f>IFERROR(INDEX(D207:H207,1,MATCH($J$210,$D$206:$H$206,0)),0)</f>
        <v>-3192</v>
      </c>
      <c r="J207" s="218" t="s">
        <v>2313</v>
      </c>
      <c r="K207" s="167"/>
    </row>
    <row r="208" spans="3:14">
      <c r="C208" s="160"/>
      <c r="D208" s="160" t="s">
        <v>2019</v>
      </c>
      <c r="E208" s="160">
        <f>E207</f>
        <v>-160</v>
      </c>
      <c r="F208" s="160">
        <f t="shared" ref="F208:H208" si="28">F207</f>
        <v>-1596</v>
      </c>
      <c r="G208" s="160">
        <f t="shared" si="28"/>
        <v>-2075</v>
      </c>
      <c r="H208" s="160">
        <f t="shared" si="28"/>
        <v>-3192</v>
      </c>
      <c r="I208" s="160">
        <f>IFERROR(INDEX(D208:H208,1,MATCH($J$210,$D$206:$H$206,0)),0)</f>
        <v>-3192</v>
      </c>
      <c r="J208" s="218" t="str">
        <f>配装计算器!R13</f>
        <v>最大气血值降低</v>
      </c>
    </row>
    <row r="209" spans="3:10">
      <c r="C209" s="160"/>
      <c r="D209" s="160" t="s">
        <v>229</v>
      </c>
      <c r="E209" s="160">
        <v>-2395</v>
      </c>
      <c r="F209" s="160">
        <v>-23950</v>
      </c>
      <c r="G209" s="160">
        <v>-31135</v>
      </c>
      <c r="H209" s="160">
        <v>-47900</v>
      </c>
      <c r="I209" s="160">
        <f t="shared" ref="I209:I215" si="29">IFERROR(INDEX(D209:H209,1,MATCH($J$210,$D$206:$H$206,0)),0)</f>
        <v>-47900</v>
      </c>
      <c r="J209" s="218" t="str">
        <f>配装计算器!R14</f>
        <v>破防值增加</v>
      </c>
    </row>
    <row r="210" spans="3:10">
      <c r="C210" s="160"/>
      <c r="D210" s="160"/>
      <c r="E210" s="160"/>
      <c r="F210" s="160"/>
      <c r="G210" s="160"/>
      <c r="H210" s="160"/>
      <c r="I210" s="160"/>
      <c r="J210" s="218" t="str">
        <f>配装计算器!R15</f>
        <v>盛</v>
      </c>
    </row>
    <row r="211" spans="3:10">
      <c r="C211" s="160"/>
      <c r="D211" s="160" t="s">
        <v>2019</v>
      </c>
      <c r="E211" s="160">
        <v>359</v>
      </c>
      <c r="F211" s="160">
        <v>3592</v>
      </c>
      <c r="G211" s="160">
        <v>4670</v>
      </c>
      <c r="H211" s="160">
        <v>7184</v>
      </c>
      <c r="I211" s="160">
        <f t="shared" si="29"/>
        <v>7184</v>
      </c>
      <c r="J211" s="218" t="s">
        <v>2314</v>
      </c>
    </row>
    <row r="212" spans="3:10">
      <c r="C212" s="160"/>
      <c r="D212" s="160" t="s">
        <v>2022</v>
      </c>
      <c r="E212" s="160">
        <f>E211</f>
        <v>359</v>
      </c>
      <c r="F212" s="160">
        <f>F211</f>
        <v>3592</v>
      </c>
      <c r="G212" s="160">
        <f>G211</f>
        <v>4670</v>
      </c>
      <c r="H212" s="160">
        <f>H211</f>
        <v>7184</v>
      </c>
      <c r="I212" s="160">
        <f t="shared" si="29"/>
        <v>7184</v>
      </c>
      <c r="J212" s="218">
        <f>IF(OR(LEFT(J209,3)=LEFT(J208,3),J210="无"),0,1)</f>
        <v>1</v>
      </c>
    </row>
    <row r="213" spans="3:10">
      <c r="C213" s="160"/>
      <c r="D213" s="160" t="s">
        <v>2014</v>
      </c>
      <c r="E213" s="160">
        <f>E211</f>
        <v>359</v>
      </c>
      <c r="F213" s="160">
        <f>F211</f>
        <v>3592</v>
      </c>
      <c r="G213" s="160">
        <f>G211</f>
        <v>4670</v>
      </c>
      <c r="H213" s="160">
        <f>H211</f>
        <v>7184</v>
      </c>
      <c r="I213" s="160">
        <f t="shared" si="29"/>
        <v>7184</v>
      </c>
    </row>
    <row r="214" spans="3:10">
      <c r="C214" s="160"/>
      <c r="D214" s="160" t="s">
        <v>2004</v>
      </c>
      <c r="E214" s="160">
        <v>98</v>
      </c>
      <c r="F214" s="160">
        <v>976</v>
      </c>
      <c r="G214" s="160">
        <v>1269</v>
      </c>
      <c r="H214" s="160">
        <v>1952</v>
      </c>
      <c r="I214" s="160">
        <f t="shared" si="29"/>
        <v>1952</v>
      </c>
    </row>
    <row r="215" spans="3:10">
      <c r="C215" s="160"/>
      <c r="D215" s="160" t="s">
        <v>2008</v>
      </c>
      <c r="E215" s="160">
        <f>E211</f>
        <v>359</v>
      </c>
      <c r="F215" s="160">
        <f>F211</f>
        <v>3592</v>
      </c>
      <c r="G215" s="160">
        <f>G211</f>
        <v>4670</v>
      </c>
      <c r="H215" s="160">
        <f>H211</f>
        <v>7184</v>
      </c>
      <c r="I215" s="160">
        <f t="shared" si="29"/>
        <v>7184</v>
      </c>
    </row>
    <row r="218" spans="3:10">
      <c r="C218" s="219" t="s">
        <v>2315</v>
      </c>
      <c r="D218" s="160">
        <v>0</v>
      </c>
    </row>
    <row r="219" spans="3:10">
      <c r="C219" s="213"/>
      <c r="D219" s="160">
        <v>1</v>
      </c>
    </row>
    <row r="220" spans="3:10">
      <c r="C220" s="213"/>
      <c r="D220" s="160">
        <v>2</v>
      </c>
    </row>
    <row r="221" spans="3:10">
      <c r="C221" s="213"/>
      <c r="D221" s="160">
        <v>3</v>
      </c>
    </row>
    <row r="222" spans="3:10">
      <c r="C222" s="213"/>
      <c r="D222" s="160">
        <v>4</v>
      </c>
    </row>
    <row r="223" spans="3:10">
      <c r="C223" s="213"/>
      <c r="D223" s="160">
        <v>5</v>
      </c>
    </row>
    <row r="224" spans="3:10">
      <c r="C224" s="213"/>
      <c r="D224" s="160">
        <v>6</v>
      </c>
    </row>
    <row r="225" spans="3:4">
      <c r="C225" s="213"/>
      <c r="D225" s="160">
        <v>7</v>
      </c>
    </row>
    <row r="226" spans="3:4">
      <c r="C226" s="213"/>
      <c r="D226" s="160">
        <v>8</v>
      </c>
    </row>
    <row r="227" spans="3:4">
      <c r="C227" s="213"/>
      <c r="D227" s="160">
        <v>9</v>
      </c>
    </row>
    <row r="228" spans="3:4">
      <c r="C228" s="213"/>
      <c r="D228" s="160">
        <v>10</v>
      </c>
    </row>
    <row r="229" spans="3:4">
      <c r="C229" s="213"/>
      <c r="D229" s="160">
        <v>11</v>
      </c>
    </row>
    <row r="230" spans="3:4">
      <c r="C230" s="213"/>
      <c r="D230" s="160">
        <v>12</v>
      </c>
    </row>
    <row r="231" spans="3:4">
      <c r="C231" s="213"/>
      <c r="D231" s="160">
        <v>13</v>
      </c>
    </row>
    <row r="232" spans="3:4">
      <c r="C232" s="213"/>
      <c r="D232" s="160">
        <v>14</v>
      </c>
    </row>
    <row r="233" spans="3:4">
      <c r="C233" s="213"/>
      <c r="D233" s="160">
        <v>15</v>
      </c>
    </row>
    <row r="234" spans="3:4">
      <c r="C234" s="213"/>
      <c r="D234" s="160">
        <v>16</v>
      </c>
    </row>
    <row r="235" spans="3:4">
      <c r="C235" s="213"/>
      <c r="D235" s="160">
        <v>17</v>
      </c>
    </row>
    <row r="236" spans="3:4">
      <c r="C236" s="213"/>
      <c r="D236" s="160">
        <v>18</v>
      </c>
    </row>
    <row r="237" spans="3:4">
      <c r="C237" s="213"/>
      <c r="D237" s="160">
        <v>19</v>
      </c>
    </row>
    <row r="238" spans="3:4">
      <c r="C238" s="213"/>
      <c r="D238" s="160">
        <v>20</v>
      </c>
    </row>
    <row r="239" spans="3:4">
      <c r="C239" s="213"/>
      <c r="D239" s="160">
        <v>21</v>
      </c>
    </row>
    <row r="240" spans="3:4">
      <c r="C240" s="213"/>
      <c r="D240" s="160">
        <v>22</v>
      </c>
    </row>
    <row r="241" spans="3:4">
      <c r="C241" s="213"/>
      <c r="D241" s="160">
        <v>23</v>
      </c>
    </row>
    <row r="242" spans="3:4">
      <c r="C242" s="213"/>
      <c r="D242" s="160">
        <v>24</v>
      </c>
    </row>
    <row r="243" spans="3:4">
      <c r="C243" s="213"/>
      <c r="D243" s="160">
        <v>25</v>
      </c>
    </row>
    <row r="244" spans="3:4">
      <c r="C244" s="213"/>
      <c r="D244" s="160">
        <v>26</v>
      </c>
    </row>
    <row r="245" spans="3:4">
      <c r="C245" s="213"/>
      <c r="D245" s="160">
        <v>27</v>
      </c>
    </row>
    <row r="246" spans="3:4">
      <c r="C246" s="213"/>
      <c r="D246" s="160">
        <v>28</v>
      </c>
    </row>
    <row r="247" spans="3:4">
      <c r="C247" s="213"/>
      <c r="D247" s="160">
        <v>29</v>
      </c>
    </row>
    <row r="248" spans="3:4">
      <c r="C248" s="213"/>
      <c r="D248" s="160">
        <v>30</v>
      </c>
    </row>
    <row r="249" spans="3:4">
      <c r="C249" s="213"/>
      <c r="D249" s="160">
        <v>31</v>
      </c>
    </row>
    <row r="250" spans="3:4">
      <c r="C250" s="213"/>
      <c r="D250" s="160">
        <v>32</v>
      </c>
    </row>
    <row r="251" spans="3:4">
      <c r="C251" s="213"/>
      <c r="D251" s="160">
        <v>33</v>
      </c>
    </row>
    <row r="252" spans="3:4">
      <c r="C252" s="213"/>
      <c r="D252" s="160">
        <v>34</v>
      </c>
    </row>
    <row r="253" spans="3:4">
      <c r="C253" s="213"/>
      <c r="D253" s="160">
        <v>35</v>
      </c>
    </row>
    <row r="254" spans="3:4">
      <c r="C254" s="213"/>
      <c r="D254" s="160">
        <v>36</v>
      </c>
    </row>
    <row r="255" spans="3:4">
      <c r="C255" s="213"/>
      <c r="D255" s="160">
        <v>37</v>
      </c>
    </row>
    <row r="256" spans="3:4">
      <c r="C256" s="213"/>
      <c r="D256" s="160">
        <v>38</v>
      </c>
    </row>
    <row r="257" spans="3:4">
      <c r="C257" s="213"/>
      <c r="D257" s="160">
        <v>39</v>
      </c>
    </row>
    <row r="258" spans="3:4">
      <c r="C258" s="213"/>
      <c r="D258" s="160">
        <v>40</v>
      </c>
    </row>
    <row r="259" spans="3:4">
      <c r="C259" s="213"/>
      <c r="D259" s="160">
        <v>41</v>
      </c>
    </row>
    <row r="260" spans="3:4">
      <c r="C260" s="213"/>
      <c r="D260" s="160">
        <v>42</v>
      </c>
    </row>
    <row r="261" spans="3:4">
      <c r="C261" s="213"/>
      <c r="D261" s="160">
        <v>43</v>
      </c>
    </row>
    <row r="262" spans="3:4">
      <c r="C262" s="213"/>
      <c r="D262" s="160">
        <v>44</v>
      </c>
    </row>
    <row r="263" spans="3:4">
      <c r="C263" s="213"/>
      <c r="D263" s="160">
        <v>45</v>
      </c>
    </row>
    <row r="264" spans="3:4">
      <c r="C264" s="213"/>
      <c r="D264" s="160">
        <v>46</v>
      </c>
    </row>
    <row r="265" spans="3:4">
      <c r="C265" s="213"/>
      <c r="D265" s="160">
        <v>47</v>
      </c>
    </row>
    <row r="266" spans="3:4">
      <c r="C266" s="213"/>
      <c r="D266" s="160">
        <v>48</v>
      </c>
    </row>
    <row r="267" spans="3:4">
      <c r="C267" s="213"/>
      <c r="D267" s="160">
        <v>49</v>
      </c>
    </row>
    <row r="268" spans="3:4">
      <c r="C268" s="213"/>
      <c r="D268" s="160">
        <v>50</v>
      </c>
    </row>
    <row r="269" spans="3:4">
      <c r="C269" s="213"/>
      <c r="D269" s="160">
        <v>51</v>
      </c>
    </row>
    <row r="270" spans="3:4">
      <c r="C270" s="213"/>
      <c r="D270" s="160">
        <v>52</v>
      </c>
    </row>
    <row r="271" spans="3:4">
      <c r="C271" s="213"/>
      <c r="D271" s="160">
        <v>53</v>
      </c>
    </row>
    <row r="272" spans="3:4">
      <c r="C272" s="213"/>
      <c r="D272" s="160">
        <v>54</v>
      </c>
    </row>
    <row r="273" spans="3:4">
      <c r="C273" s="213"/>
      <c r="D273" s="160">
        <v>55</v>
      </c>
    </row>
    <row r="274" spans="3:4">
      <c r="C274" s="213"/>
      <c r="D274" s="160">
        <v>56</v>
      </c>
    </row>
    <row r="275" spans="3:4">
      <c r="C275" s="213"/>
      <c r="D275" s="160">
        <v>57</v>
      </c>
    </row>
    <row r="276" spans="3:4">
      <c r="C276" s="213"/>
      <c r="D276" s="160">
        <v>58</v>
      </c>
    </row>
    <row r="277" spans="3:4">
      <c r="C277" s="213"/>
      <c r="D277" s="160">
        <v>59</v>
      </c>
    </row>
    <row r="278" spans="3:4">
      <c r="C278" s="213"/>
      <c r="D278" s="160">
        <v>60</v>
      </c>
    </row>
    <row r="279" spans="3:4">
      <c r="C279" s="213"/>
      <c r="D279" s="160">
        <v>61</v>
      </c>
    </row>
    <row r="280" spans="3:4">
      <c r="C280" s="213"/>
      <c r="D280" s="160">
        <v>62</v>
      </c>
    </row>
    <row r="281" spans="3:4">
      <c r="C281" s="213"/>
      <c r="D281" s="160">
        <v>63</v>
      </c>
    </row>
    <row r="282" spans="3:4">
      <c r="C282" s="213"/>
      <c r="D282" s="160">
        <v>64</v>
      </c>
    </row>
    <row r="283" spans="3:4">
      <c r="C283" s="213"/>
      <c r="D283" s="160">
        <v>65</v>
      </c>
    </row>
    <row r="284" spans="3:4">
      <c r="C284" s="213"/>
      <c r="D284" s="160">
        <v>66</v>
      </c>
    </row>
    <row r="285" spans="3:4">
      <c r="C285" s="213"/>
      <c r="D285" s="160">
        <v>67</v>
      </c>
    </row>
    <row r="286" spans="3:4">
      <c r="C286" s="213"/>
      <c r="D286" s="160">
        <v>68</v>
      </c>
    </row>
    <row r="287" spans="3:4">
      <c r="C287" s="213"/>
      <c r="D287" s="160">
        <v>69</v>
      </c>
    </row>
    <row r="288" spans="3:4">
      <c r="C288" s="213"/>
      <c r="D288" s="160">
        <v>70</v>
      </c>
    </row>
    <row r="289" spans="3:4">
      <c r="C289" s="213"/>
      <c r="D289" s="160">
        <v>71</v>
      </c>
    </row>
    <row r="290" spans="3:4">
      <c r="C290" s="213"/>
      <c r="D290" s="160">
        <v>72</v>
      </c>
    </row>
    <row r="291" spans="3:4">
      <c r="C291" s="213"/>
      <c r="D291" s="160">
        <v>73</v>
      </c>
    </row>
    <row r="292" spans="3:4">
      <c r="C292" s="213"/>
      <c r="D292" s="160">
        <v>74</v>
      </c>
    </row>
    <row r="293" spans="3:4">
      <c r="C293" s="213"/>
      <c r="D293" s="160">
        <v>75</v>
      </c>
    </row>
    <row r="294" spans="3:4">
      <c r="C294" s="213"/>
      <c r="D294" s="160">
        <v>76</v>
      </c>
    </row>
    <row r="295" spans="3:4">
      <c r="C295" s="213"/>
      <c r="D295" s="160">
        <v>77</v>
      </c>
    </row>
    <row r="296" spans="3:4">
      <c r="C296" s="213"/>
      <c r="D296" s="160">
        <v>78</v>
      </c>
    </row>
    <row r="297" spans="3:4">
      <c r="C297" s="213"/>
      <c r="D297" s="160">
        <v>79</v>
      </c>
    </row>
    <row r="298" spans="3:4">
      <c r="C298" s="213"/>
      <c r="D298" s="160">
        <v>80</v>
      </c>
    </row>
    <row r="299" spans="3:4">
      <c r="C299" s="213"/>
      <c r="D299" s="160">
        <v>81</v>
      </c>
    </row>
    <row r="300" spans="3:4">
      <c r="C300" s="213"/>
      <c r="D300" s="160">
        <v>82</v>
      </c>
    </row>
    <row r="301" spans="3:4">
      <c r="C301" s="213"/>
      <c r="D301" s="160">
        <v>83</v>
      </c>
    </row>
    <row r="302" spans="3:4">
      <c r="C302" s="213"/>
      <c r="D302" s="160">
        <v>84</v>
      </c>
    </row>
    <row r="303" spans="3:4">
      <c r="C303" s="213"/>
      <c r="D303" s="160">
        <v>85</v>
      </c>
    </row>
    <row r="304" spans="3:4">
      <c r="C304" s="213"/>
      <c r="D304" s="160">
        <v>86</v>
      </c>
    </row>
    <row r="305" spans="3:4">
      <c r="C305" s="213"/>
      <c r="D305" s="160">
        <v>87</v>
      </c>
    </row>
    <row r="306" spans="3:4">
      <c r="C306" s="213"/>
      <c r="D306" s="160">
        <v>88</v>
      </c>
    </row>
    <row r="307" spans="3:4">
      <c r="C307" s="213"/>
      <c r="D307" s="160">
        <v>89</v>
      </c>
    </row>
    <row r="308" spans="3:4">
      <c r="C308" s="213"/>
      <c r="D308" s="160">
        <v>90</v>
      </c>
    </row>
    <row r="309" spans="3:4">
      <c r="C309" s="213"/>
      <c r="D309" s="160">
        <v>91</v>
      </c>
    </row>
    <row r="310" spans="3:4">
      <c r="C310" s="213"/>
      <c r="D310" s="160">
        <v>92</v>
      </c>
    </row>
    <row r="311" spans="3:4">
      <c r="C311" s="213"/>
      <c r="D311" s="160">
        <v>93</v>
      </c>
    </row>
    <row r="312" spans="3:4">
      <c r="C312" s="213"/>
      <c r="D312" s="160">
        <v>94</v>
      </c>
    </row>
    <row r="313" spans="3:4">
      <c r="C313" s="213"/>
      <c r="D313" s="160">
        <v>95</v>
      </c>
    </row>
    <row r="314" spans="3:4">
      <c r="C314" s="213"/>
      <c r="D314" s="160">
        <v>96</v>
      </c>
    </row>
    <row r="315" spans="3:4">
      <c r="C315" s="213"/>
      <c r="D315" s="160">
        <v>97</v>
      </c>
    </row>
    <row r="316" spans="3:4">
      <c r="C316" s="213"/>
      <c r="D316" s="160">
        <v>98</v>
      </c>
    </row>
    <row r="317" spans="3:4">
      <c r="C317" s="213"/>
      <c r="D317" s="160">
        <v>99</v>
      </c>
    </row>
    <row r="318" spans="3:4">
      <c r="C318" s="213"/>
      <c r="D318" s="160">
        <v>100</v>
      </c>
    </row>
    <row r="319" spans="3:4">
      <c r="C319" s="213"/>
      <c r="D319" s="160">
        <v>101</v>
      </c>
    </row>
    <row r="320" spans="3:4">
      <c r="C320" s="213"/>
      <c r="D320" s="160">
        <v>102</v>
      </c>
    </row>
    <row r="321" spans="3:4">
      <c r="C321" s="213"/>
      <c r="D321" s="160">
        <v>103</v>
      </c>
    </row>
    <row r="322" spans="3:4">
      <c r="C322" s="213"/>
      <c r="D322" s="160">
        <v>104</v>
      </c>
    </row>
    <row r="323" spans="3:4">
      <c r="C323" s="213"/>
      <c r="D323" s="160">
        <v>105</v>
      </c>
    </row>
    <row r="324" spans="3:4">
      <c r="C324" s="213"/>
      <c r="D324" s="160">
        <v>106</v>
      </c>
    </row>
    <row r="325" spans="3:4">
      <c r="C325" s="213"/>
      <c r="D325" s="160">
        <v>107</v>
      </c>
    </row>
    <row r="326" spans="3:4">
      <c r="C326" s="213"/>
      <c r="D326" s="160">
        <v>108</v>
      </c>
    </row>
    <row r="327" spans="3:4">
      <c r="C327" s="213"/>
      <c r="D327" s="160">
        <v>109</v>
      </c>
    </row>
    <row r="328" spans="3:4">
      <c r="C328" s="213"/>
      <c r="D328" s="160">
        <v>110</v>
      </c>
    </row>
    <row r="329" spans="3:4">
      <c r="C329" s="213"/>
      <c r="D329" s="160">
        <v>111</v>
      </c>
    </row>
    <row r="330" spans="3:4">
      <c r="C330" s="213"/>
      <c r="D330" s="160">
        <v>112</v>
      </c>
    </row>
    <row r="331" spans="3:4">
      <c r="C331" s="213"/>
      <c r="D331" s="160">
        <v>113</v>
      </c>
    </row>
    <row r="332" spans="3:4">
      <c r="C332" s="213"/>
      <c r="D332" s="160">
        <v>114</v>
      </c>
    </row>
    <row r="333" spans="3:4">
      <c r="C333" s="213"/>
      <c r="D333" s="160">
        <v>115</v>
      </c>
    </row>
    <row r="334" spans="3:4">
      <c r="C334" s="213"/>
      <c r="D334" s="160">
        <v>116</v>
      </c>
    </row>
    <row r="335" spans="3:4">
      <c r="C335" s="213"/>
      <c r="D335" s="160">
        <v>117</v>
      </c>
    </row>
    <row r="336" spans="3:4">
      <c r="C336" s="213"/>
      <c r="D336" s="160">
        <v>118</v>
      </c>
    </row>
    <row r="337" spans="3:4">
      <c r="C337" s="213"/>
      <c r="D337" s="160">
        <v>119</v>
      </c>
    </row>
    <row r="338" spans="3:4">
      <c r="C338" s="213"/>
      <c r="D338" s="160">
        <v>120</v>
      </c>
    </row>
    <row r="339" spans="3:4">
      <c r="C339" s="213"/>
      <c r="D339" s="160">
        <v>121</v>
      </c>
    </row>
    <row r="340" spans="3:4">
      <c r="C340" s="213"/>
      <c r="D340" s="160">
        <v>122</v>
      </c>
    </row>
    <row r="341" spans="3:4">
      <c r="C341" s="213"/>
      <c r="D341" s="160">
        <v>123</v>
      </c>
    </row>
    <row r="342" spans="3:4">
      <c r="C342" s="213"/>
      <c r="D342" s="160">
        <v>124</v>
      </c>
    </row>
    <row r="343" spans="3:4">
      <c r="C343" s="213"/>
      <c r="D343" s="160">
        <v>125</v>
      </c>
    </row>
    <row r="344" spans="3:4">
      <c r="C344" s="213"/>
      <c r="D344" s="160">
        <v>126</v>
      </c>
    </row>
    <row r="345" spans="3:4">
      <c r="C345" s="213"/>
      <c r="D345" s="160">
        <v>127</v>
      </c>
    </row>
    <row r="346" spans="3:4">
      <c r="C346" s="213"/>
      <c r="D346" s="160">
        <v>128</v>
      </c>
    </row>
    <row r="347" spans="3:4">
      <c r="C347" s="213"/>
      <c r="D347" s="160">
        <v>129</v>
      </c>
    </row>
    <row r="348" spans="3:4">
      <c r="C348" s="213"/>
      <c r="D348" s="160">
        <v>130</v>
      </c>
    </row>
    <row r="349" spans="3:4">
      <c r="C349" s="213"/>
      <c r="D349" s="160">
        <v>131</v>
      </c>
    </row>
    <row r="350" spans="3:4">
      <c r="C350" s="213"/>
      <c r="D350" s="160">
        <v>132</v>
      </c>
    </row>
    <row r="351" spans="3:4">
      <c r="C351" s="213"/>
      <c r="D351" s="160">
        <v>133</v>
      </c>
    </row>
    <row r="352" spans="3:4">
      <c r="C352" s="213"/>
      <c r="D352" s="160">
        <v>134</v>
      </c>
    </row>
    <row r="353" spans="3:4">
      <c r="C353" s="213"/>
      <c r="D353" s="160">
        <v>135</v>
      </c>
    </row>
    <row r="354" spans="3:4">
      <c r="C354" s="213"/>
      <c r="D354" s="160">
        <v>136</v>
      </c>
    </row>
    <row r="355" spans="3:4">
      <c r="C355" s="213"/>
      <c r="D355" s="160">
        <v>137</v>
      </c>
    </row>
    <row r="356" spans="3:4">
      <c r="C356" s="213"/>
      <c r="D356" s="160">
        <v>138</v>
      </c>
    </row>
    <row r="357" spans="3:4">
      <c r="C357" s="213"/>
      <c r="D357" s="160">
        <v>139</v>
      </c>
    </row>
    <row r="358" spans="3:4">
      <c r="C358" s="213"/>
      <c r="D358" s="160">
        <v>140</v>
      </c>
    </row>
    <row r="359" spans="3:4">
      <c r="C359" s="213"/>
      <c r="D359" s="160">
        <v>141</v>
      </c>
    </row>
    <row r="360" spans="3:4">
      <c r="C360" s="213"/>
      <c r="D360" s="160">
        <v>142</v>
      </c>
    </row>
    <row r="361" spans="3:4">
      <c r="C361" s="213"/>
      <c r="D361" s="160">
        <v>143</v>
      </c>
    </row>
    <row r="362" spans="3:4">
      <c r="C362" s="213"/>
      <c r="D362" s="160">
        <v>144</v>
      </c>
    </row>
    <row r="363" spans="3:4">
      <c r="C363" s="213"/>
      <c r="D363" s="160">
        <v>145</v>
      </c>
    </row>
    <row r="364" spans="3:4">
      <c r="C364" s="213"/>
      <c r="D364" s="160">
        <v>146</v>
      </c>
    </row>
    <row r="365" spans="3:4">
      <c r="C365" s="213"/>
      <c r="D365" s="160">
        <v>147</v>
      </c>
    </row>
    <row r="366" spans="3:4">
      <c r="C366" s="213"/>
      <c r="D366" s="160">
        <v>148</v>
      </c>
    </row>
    <row r="367" spans="3:4">
      <c r="C367" s="213"/>
      <c r="D367" s="160">
        <v>149</v>
      </c>
    </row>
    <row r="368" spans="3:4">
      <c r="C368" s="213"/>
      <c r="D368" s="160">
        <v>150</v>
      </c>
    </row>
    <row r="369" spans="3:4">
      <c r="C369" s="213"/>
      <c r="D369" s="160">
        <v>151</v>
      </c>
    </row>
    <row r="370" spans="3:4">
      <c r="C370" s="213"/>
      <c r="D370" s="160">
        <v>152</v>
      </c>
    </row>
    <row r="371" spans="3:4">
      <c r="C371" s="213"/>
      <c r="D371" s="160">
        <v>153</v>
      </c>
    </row>
    <row r="372" spans="3:4">
      <c r="C372" s="213"/>
      <c r="D372" s="160">
        <v>154</v>
      </c>
    </row>
    <row r="373" spans="3:4">
      <c r="C373" s="213"/>
      <c r="D373" s="160">
        <v>155</v>
      </c>
    </row>
    <row r="374" spans="3:4">
      <c r="C374" s="213"/>
      <c r="D374" s="160">
        <v>156</v>
      </c>
    </row>
    <row r="375" spans="3:4">
      <c r="C375" s="213"/>
      <c r="D375" s="160">
        <v>157</v>
      </c>
    </row>
    <row r="376" spans="3:4">
      <c r="C376" s="213"/>
      <c r="D376" s="160">
        <v>158</v>
      </c>
    </row>
    <row r="377" spans="3:4">
      <c r="C377" s="213"/>
      <c r="D377" s="160">
        <v>159</v>
      </c>
    </row>
    <row r="378" spans="3:4">
      <c r="C378" s="213"/>
      <c r="D378" s="160">
        <v>160</v>
      </c>
    </row>
    <row r="379" spans="3:4">
      <c r="C379" s="213"/>
      <c r="D379" s="160">
        <v>161</v>
      </c>
    </row>
    <row r="380" spans="3:4">
      <c r="C380" s="213"/>
      <c r="D380" s="160">
        <v>162</v>
      </c>
    </row>
    <row r="381" spans="3:4">
      <c r="C381" s="213"/>
      <c r="D381" s="160">
        <v>163</v>
      </c>
    </row>
    <row r="382" spans="3:4">
      <c r="C382" s="213"/>
      <c r="D382" s="160">
        <v>164</v>
      </c>
    </row>
    <row r="383" spans="3:4">
      <c r="C383" s="213"/>
      <c r="D383" s="160">
        <v>165</v>
      </c>
    </row>
    <row r="384" spans="3:4">
      <c r="C384" s="213"/>
      <c r="D384" s="160">
        <v>166</v>
      </c>
    </row>
    <row r="385" spans="3:4">
      <c r="C385" s="213"/>
      <c r="D385" s="160">
        <v>167</v>
      </c>
    </row>
    <row r="386" spans="3:4">
      <c r="C386" s="213"/>
      <c r="D386" s="160">
        <v>168</v>
      </c>
    </row>
    <row r="387" spans="3:4">
      <c r="C387" s="213"/>
      <c r="D387" s="160">
        <v>169</v>
      </c>
    </row>
    <row r="388" spans="3:4">
      <c r="C388" s="213"/>
      <c r="D388" s="160">
        <v>170</v>
      </c>
    </row>
    <row r="389" spans="3:4">
      <c r="C389" s="213"/>
      <c r="D389" s="160">
        <v>171</v>
      </c>
    </row>
    <row r="390" spans="3:4">
      <c r="C390" s="213"/>
      <c r="D390" s="160">
        <v>172</v>
      </c>
    </row>
    <row r="391" spans="3:4">
      <c r="C391" s="213"/>
      <c r="D391" s="160">
        <v>173</v>
      </c>
    </row>
    <row r="392" spans="3:4">
      <c r="C392" s="213"/>
      <c r="D392" s="160">
        <v>174</v>
      </c>
    </row>
    <row r="393" spans="3:4">
      <c r="C393" s="213"/>
      <c r="D393" s="160">
        <v>175</v>
      </c>
    </row>
    <row r="394" spans="3:4">
      <c r="C394" s="213"/>
      <c r="D394" s="160">
        <v>176</v>
      </c>
    </row>
    <row r="395" spans="3:4">
      <c r="C395" s="213"/>
      <c r="D395" s="160">
        <v>177</v>
      </c>
    </row>
    <row r="396" spans="3:4">
      <c r="C396" s="213"/>
      <c r="D396" s="160">
        <v>178</v>
      </c>
    </row>
    <row r="397" spans="3:4">
      <c r="C397" s="213"/>
      <c r="D397" s="160">
        <v>179</v>
      </c>
    </row>
    <row r="398" spans="3:4">
      <c r="C398" s="213"/>
      <c r="D398" s="160">
        <v>180</v>
      </c>
    </row>
    <row r="399" spans="3:4">
      <c r="C399" s="213"/>
      <c r="D399" s="160">
        <v>181</v>
      </c>
    </row>
    <row r="400" spans="3:4">
      <c r="C400" s="213"/>
      <c r="D400" s="160">
        <v>182</v>
      </c>
    </row>
    <row r="401" spans="3:4">
      <c r="C401" s="213"/>
      <c r="D401" s="160">
        <v>183</v>
      </c>
    </row>
    <row r="402" spans="3:4">
      <c r="C402" s="213"/>
      <c r="D402" s="160">
        <v>184</v>
      </c>
    </row>
    <row r="403" spans="3:4">
      <c r="C403" s="213"/>
      <c r="D403" s="160">
        <v>185</v>
      </c>
    </row>
    <row r="404" spans="3:4">
      <c r="C404" s="213"/>
      <c r="D404" s="160">
        <v>186</v>
      </c>
    </row>
    <row r="405" spans="3:4">
      <c r="C405" s="213"/>
      <c r="D405" s="160">
        <v>187</v>
      </c>
    </row>
    <row r="406" spans="3:4">
      <c r="C406" s="213"/>
      <c r="D406" s="160">
        <v>188</v>
      </c>
    </row>
    <row r="407" spans="3:4">
      <c r="C407" s="213"/>
      <c r="D407" s="160">
        <v>189</v>
      </c>
    </row>
    <row r="408" spans="3:4">
      <c r="C408" s="213"/>
      <c r="D408" s="160">
        <v>190</v>
      </c>
    </row>
    <row r="409" spans="3:4">
      <c r="C409" s="213"/>
      <c r="D409" s="160">
        <v>191</v>
      </c>
    </row>
    <row r="410" spans="3:4">
      <c r="C410" s="213"/>
      <c r="D410" s="160">
        <v>192</v>
      </c>
    </row>
    <row r="411" spans="3:4">
      <c r="C411" s="213"/>
      <c r="D411" s="160">
        <v>193</v>
      </c>
    </row>
    <row r="412" spans="3:4">
      <c r="C412" s="213"/>
      <c r="D412" s="160">
        <v>194</v>
      </c>
    </row>
    <row r="413" spans="3:4">
      <c r="C413" s="213"/>
      <c r="D413" s="160">
        <v>195</v>
      </c>
    </row>
    <row r="414" spans="3:4">
      <c r="C414" s="213"/>
      <c r="D414" s="160">
        <v>196</v>
      </c>
    </row>
    <row r="415" spans="3:4">
      <c r="C415" s="213"/>
      <c r="D415" s="160">
        <v>197</v>
      </c>
    </row>
    <row r="416" spans="3:4">
      <c r="C416" s="213"/>
      <c r="D416" s="160">
        <v>198</v>
      </c>
    </row>
    <row r="417" spans="3:15">
      <c r="C417" s="213"/>
      <c r="D417" s="160">
        <v>199</v>
      </c>
    </row>
    <row r="418" spans="3:15">
      <c r="C418" s="220"/>
      <c r="D418" s="160">
        <v>200</v>
      </c>
    </row>
    <row r="426" spans="3:15">
      <c r="C426" s="167" t="s">
        <v>2316</v>
      </c>
      <c r="D426" t="s">
        <v>58</v>
      </c>
      <c r="E426" t="s">
        <v>2203</v>
      </c>
      <c r="F426" t="s">
        <v>2317</v>
      </c>
      <c r="G426" t="s">
        <v>2042</v>
      </c>
      <c r="H426" t="s">
        <v>2318</v>
      </c>
      <c r="I426" t="s">
        <v>2141</v>
      </c>
    </row>
    <row r="427" spans="3:15">
      <c r="C427" s="167"/>
      <c r="D427" t="s">
        <v>224</v>
      </c>
      <c r="E427" t="s">
        <v>272</v>
      </c>
      <c r="F427" t="s">
        <v>2319</v>
      </c>
      <c r="G427">
        <f>COUNTIF(装备选择!$N$2:$N$14,附魔库!E427)*内置配装器</f>
        <v>0</v>
      </c>
      <c r="H427">
        <v>10</v>
      </c>
      <c r="I427">
        <v>403200</v>
      </c>
    </row>
    <row r="428" spans="3:15">
      <c r="C428" s="167"/>
      <c r="D428" t="s">
        <v>224</v>
      </c>
      <c r="E428" t="s">
        <v>275</v>
      </c>
      <c r="F428" t="s">
        <v>2319</v>
      </c>
      <c r="G428">
        <f>COUNTIF(装备选择!$N$2:$N$14,附魔库!E428)*内置配装器</f>
        <v>0</v>
      </c>
      <c r="H428">
        <v>10</v>
      </c>
      <c r="I428">
        <v>403200</v>
      </c>
    </row>
    <row r="429" spans="3:15">
      <c r="C429" s="167"/>
      <c r="D429" t="s">
        <v>224</v>
      </c>
      <c r="E429" t="s">
        <v>279</v>
      </c>
      <c r="F429" t="s">
        <v>2319</v>
      </c>
      <c r="G429">
        <f>COUNTIF(装备选择!$N$2:$N$14,附魔库!E429)*内置配装器</f>
        <v>0</v>
      </c>
      <c r="H429">
        <v>10</v>
      </c>
      <c r="I429">
        <v>403200</v>
      </c>
      <c r="N429" t="s">
        <v>2320</v>
      </c>
      <c r="O429">
        <f>IF(G478+G457+G481+G501&gt;0,1,0)*MAX(G501*I501,G481*I481,G478*I478,G457*I457)*内置配装器+(COUNTIF(配装计算器!AF18,"35300额外DOT")*$I$457+COUNTIF(配装计算器!AF18,"41400额外DOT")*$I$481)*自输入属性</f>
        <v>0</v>
      </c>
    </row>
    <row r="430" spans="3:15">
      <c r="C430" s="167"/>
      <c r="D430" t="s">
        <v>224</v>
      </c>
      <c r="E430" t="s">
        <v>282</v>
      </c>
      <c r="F430" t="s">
        <v>2319</v>
      </c>
      <c r="G430">
        <f>COUNTIF(装备选择!$N$2:$N$14,附魔库!E430)*内置配装器</f>
        <v>0</v>
      </c>
      <c r="H430">
        <v>10</v>
      </c>
      <c r="I430">
        <v>403200</v>
      </c>
      <c r="N430" t="s">
        <v>2321</v>
      </c>
      <c r="O430">
        <f>(SUMPRODUCT(G427:G432,I427:I432)+SUMPRODUCT(G451:G456,I451:I456)+SUMPRODUCT(G479:G480,I479:I480)+SUMPRODUCT(G482:G485,I482:I485))*内置配装器+(COUNTIF(配装计算器!AF18,"30200额外伤害")*$I$427+COUNTIF(配装计算器!AF18,"35300额外伤害")*$I$451+COUNTIF(配装计算器!AF18,"41400额外伤害")*$I$479)*自输入属性</f>
        <v>0</v>
      </c>
    </row>
    <row r="431" spans="3:15">
      <c r="C431" s="167"/>
      <c r="D431" t="s">
        <v>224</v>
      </c>
      <c r="E431" t="s">
        <v>285</v>
      </c>
      <c r="F431" t="s">
        <v>2319</v>
      </c>
      <c r="G431">
        <f>COUNTIF(装备选择!$N$2:$N$14,附魔库!E431)*内置配装器</f>
        <v>0</v>
      </c>
      <c r="H431">
        <v>10</v>
      </c>
      <c r="I431">
        <v>403200</v>
      </c>
      <c r="N431" t="s">
        <v>2322</v>
      </c>
      <c r="O431">
        <f>(I440*G440+G443*I443)/1024+(G468*I468+G471*I471)/1024+(G496*I496+G499*I499)/1024</f>
        <v>0</v>
      </c>
    </row>
    <row r="432" spans="3:15">
      <c r="C432" s="167"/>
      <c r="D432" t="s">
        <v>224</v>
      </c>
      <c r="E432" t="s">
        <v>288</v>
      </c>
      <c r="F432" t="s">
        <v>2319</v>
      </c>
      <c r="G432">
        <f>COUNTIF(装备选择!$N$2:$N$14,附魔库!E432)*内置配装器</f>
        <v>0</v>
      </c>
      <c r="H432">
        <v>10</v>
      </c>
      <c r="I432">
        <v>403200</v>
      </c>
      <c r="N432" t="s">
        <v>2323</v>
      </c>
      <c r="O432">
        <f>J443*G443+G471*J471+G499*J499</f>
        <v>0</v>
      </c>
    </row>
    <row r="433" spans="3:15">
      <c r="C433" s="167"/>
      <c r="D433" t="s">
        <v>467</v>
      </c>
      <c r="E433" t="s">
        <v>497</v>
      </c>
      <c r="F433" t="s">
        <v>2324</v>
      </c>
      <c r="G433">
        <f>COUNTIF(装备选择!$N$2:$N$14,附魔库!E433)*内置配装器+COUNTIF(配装计算器!$AF$20:$AF$21,附魔库!F433)*自输入属性</f>
        <v>0</v>
      </c>
      <c r="H433">
        <v>10</v>
      </c>
      <c r="I433">
        <v>1412</v>
      </c>
      <c r="N433" t="s">
        <v>2325</v>
      </c>
      <c r="O433">
        <f>J440*G440+G468*J468+G496*J496</f>
        <v>0</v>
      </c>
    </row>
    <row r="434" spans="3:15">
      <c r="C434" s="167"/>
      <c r="D434" t="s">
        <v>467</v>
      </c>
      <c r="E434" t="s">
        <v>500</v>
      </c>
      <c r="F434" t="s">
        <v>2326</v>
      </c>
      <c r="G434">
        <f>COUNTIF(装备选择!$N$2:$N$14,附魔库!E434)*内置配装器+COUNTIF(配装计算器!$AF$20:$AF$21,附魔库!F434)*自输入属性</f>
        <v>0</v>
      </c>
      <c r="H434">
        <v>10</v>
      </c>
      <c r="I434">
        <v>1412</v>
      </c>
      <c r="N434" t="s">
        <v>2327</v>
      </c>
      <c r="O434">
        <f ca="1">(G503*I503+G506*I506)*IF(Q94&lt;Q96,1,0)</f>
        <v>0</v>
      </c>
    </row>
    <row r="435" spans="3:15">
      <c r="C435" s="167"/>
      <c r="D435" t="s">
        <v>467</v>
      </c>
      <c r="E435" t="s">
        <v>503</v>
      </c>
      <c r="F435" t="s">
        <v>2326</v>
      </c>
      <c r="G435">
        <f>COUNTIF(装备选择!$N$2:$N$14,附魔库!E435)*内置配装器</f>
        <v>0</v>
      </c>
      <c r="H435">
        <v>10</v>
      </c>
      <c r="I435">
        <v>1412</v>
      </c>
      <c r="N435" t="s">
        <v>2328</v>
      </c>
      <c r="O435">
        <f ca="1">(G503*I503+G506*I506)*IF(Q94&gt;=Q96,1,0)</f>
        <v>0</v>
      </c>
    </row>
    <row r="436" spans="3:15">
      <c r="C436" s="167"/>
      <c r="D436" t="s">
        <v>467</v>
      </c>
      <c r="E436" t="s">
        <v>507</v>
      </c>
      <c r="F436" t="s">
        <v>2329</v>
      </c>
      <c r="G436">
        <f>COUNTIF(装备选择!$N$2:$N$14,附魔库!E436)*内置配装器+COUNTIF(配装计算器!$AF$20:$AF$21,附魔库!F436)*自输入属性</f>
        <v>0</v>
      </c>
      <c r="H436">
        <v>10</v>
      </c>
      <c r="I436">
        <v>1412</v>
      </c>
    </row>
    <row r="437" spans="3:15">
      <c r="C437" s="167"/>
      <c r="D437" t="s">
        <v>467</v>
      </c>
      <c r="E437" t="s">
        <v>510</v>
      </c>
      <c r="F437" t="s">
        <v>2324</v>
      </c>
      <c r="G437">
        <f>COUNTIF(装备选择!$N$2:$N$14,附魔库!E437)*内置配装器</f>
        <v>0</v>
      </c>
      <c r="H437">
        <v>10</v>
      </c>
      <c r="I437">
        <v>1412</v>
      </c>
    </row>
    <row r="438" spans="3:15">
      <c r="C438" s="167"/>
      <c r="D438" t="s">
        <v>467</v>
      </c>
      <c r="E438" t="s">
        <v>513</v>
      </c>
      <c r="F438" t="s">
        <v>2329</v>
      </c>
      <c r="G438">
        <f>COUNTIF(装备选择!$N$2:$N$14,附魔库!E438)*内置配装器</f>
        <v>0</v>
      </c>
      <c r="H438">
        <v>10</v>
      </c>
      <c r="I438">
        <v>1412</v>
      </c>
    </row>
    <row r="439" spans="3:15">
      <c r="C439" s="167"/>
      <c r="D439" t="s">
        <v>672</v>
      </c>
      <c r="E439" t="s">
        <v>712</v>
      </c>
      <c r="F439" t="s">
        <v>2330</v>
      </c>
      <c r="G439">
        <f>COUNTIF(装备选择!$N$2:$N$14,附魔库!E439)*内置配装器+COUNTIF(配装计算器!$AF$19,"30200无双")*自输入属性</f>
        <v>0</v>
      </c>
      <c r="I439">
        <v>2824</v>
      </c>
    </row>
    <row r="440" spans="3:15">
      <c r="C440" s="167"/>
      <c r="D440" t="s">
        <v>672</v>
      </c>
      <c r="E440" t="s">
        <v>718</v>
      </c>
      <c r="F440" t="s">
        <v>2331</v>
      </c>
      <c r="G440">
        <f>COUNTIF(装备选择!$N$2:$N$14,附魔库!E440)*内置配装器+COUNTIF(配装计算器!$AF$19,"30200无双/破防")*自输入属性</f>
        <v>0</v>
      </c>
      <c r="I440">
        <v>93</v>
      </c>
      <c r="J440">
        <v>12152</v>
      </c>
      <c r="K440">
        <v>0.9</v>
      </c>
      <c r="L440">
        <f>COUNTIF(装备选择!$N$2:$N$14,附魔库!E440)</f>
        <v>0</v>
      </c>
    </row>
    <row r="441" spans="3:15">
      <c r="C441" s="167"/>
      <c r="D441" t="s">
        <v>672</v>
      </c>
      <c r="E441" t="s">
        <v>715</v>
      </c>
      <c r="F441" t="s">
        <v>2330</v>
      </c>
      <c r="G441">
        <f>COUNTIF(装备选择!$N$2:$N$14,附魔库!E441)*内置配装器</f>
        <v>0</v>
      </c>
      <c r="I441">
        <v>2824</v>
      </c>
    </row>
    <row r="442" spans="3:15">
      <c r="C442" s="167"/>
      <c r="D442" t="s">
        <v>672</v>
      </c>
      <c r="E442" t="s">
        <v>722</v>
      </c>
      <c r="F442" t="s">
        <v>2330</v>
      </c>
      <c r="G442">
        <f>COUNTIF(装备选择!$N$2:$N$14,附魔库!E442)*内置配装器</f>
        <v>0</v>
      </c>
      <c r="I442">
        <v>2824</v>
      </c>
    </row>
    <row r="443" spans="3:15">
      <c r="C443" s="167"/>
      <c r="D443" t="s">
        <v>672</v>
      </c>
      <c r="E443" t="s">
        <v>728</v>
      </c>
      <c r="F443" t="s">
        <v>2332</v>
      </c>
      <c r="G443">
        <f>COUNTIF(装备选择!$N$2:$N$14,附魔库!E443)*内置配装器+COUNTIF(配装计算器!$AF$19,"30200无双/会心")*自输入属性</f>
        <v>0</v>
      </c>
      <c r="I443">
        <f>I440</f>
        <v>93</v>
      </c>
      <c r="J443">
        <v>12152</v>
      </c>
      <c r="K443">
        <v>0.9</v>
      </c>
      <c r="L443">
        <f>COUNTIF(装备选择!$N$2:$N$14,附魔库!E440)</f>
        <v>0</v>
      </c>
    </row>
    <row r="444" spans="3:15">
      <c r="C444" s="167"/>
      <c r="D444" t="s">
        <v>672</v>
      </c>
      <c r="E444" t="s">
        <v>725</v>
      </c>
      <c r="F444" t="s">
        <v>2330</v>
      </c>
      <c r="G444">
        <f>COUNTIF(装备选择!$N$2:$N$14,附魔库!E444)*内置配装器</f>
        <v>0</v>
      </c>
      <c r="I444">
        <v>2824</v>
      </c>
    </row>
    <row r="445" spans="3:15">
      <c r="C445" s="167"/>
      <c r="D445" t="s">
        <v>1471</v>
      </c>
      <c r="E445" t="s">
        <v>1516</v>
      </c>
      <c r="F445" t="s">
        <v>2333</v>
      </c>
      <c r="G445">
        <f>COUNTIF(装备选择!$N$2:$N$14,附魔库!E445)*内置配装器+COUNTIF(配装计算器!AF17,"30200破防/会心/破招")*自输入属性</f>
        <v>0</v>
      </c>
      <c r="H445">
        <v>20</v>
      </c>
      <c r="I445">
        <v>8506</v>
      </c>
    </row>
    <row r="446" spans="3:15">
      <c r="C446" s="167"/>
      <c r="D446" t="s">
        <v>1471</v>
      </c>
      <c r="E446" t="s">
        <v>1513</v>
      </c>
      <c r="F446" t="s">
        <v>2334</v>
      </c>
      <c r="G446">
        <f>COUNTIF(装备选择!$N$2:$N$14,附魔库!E446)*内置配装器+COUNTIF(配装计算器!AF17,"30200破防/会心")*自输入属性</f>
        <v>0</v>
      </c>
      <c r="I446">
        <v>988</v>
      </c>
    </row>
    <row r="447" spans="3:15">
      <c r="C447" s="167"/>
      <c r="D447" t="s">
        <v>1471</v>
      </c>
      <c r="E447" t="s">
        <v>1522</v>
      </c>
      <c r="F447" t="s">
        <v>2334</v>
      </c>
      <c r="G447">
        <f>COUNTIF(装备选择!$N$2:$N$14,附魔库!E447)*内置配装器</f>
        <v>0</v>
      </c>
      <c r="I447">
        <v>988</v>
      </c>
    </row>
    <row r="448" spans="3:15">
      <c r="C448" s="167"/>
      <c r="D448" t="s">
        <v>1471</v>
      </c>
      <c r="E448" t="s">
        <v>1519</v>
      </c>
      <c r="F448" t="s">
        <v>2334</v>
      </c>
      <c r="G448">
        <f>COUNTIF(装备选择!$N$2:$N$14,附魔库!E448)*内置配装器</f>
        <v>0</v>
      </c>
      <c r="I448">
        <v>988</v>
      </c>
    </row>
    <row r="449" spans="3:9">
      <c r="C449" s="167"/>
      <c r="D449" t="s">
        <v>1471</v>
      </c>
      <c r="E449" t="s">
        <v>1525</v>
      </c>
      <c r="F449" t="s">
        <v>2333</v>
      </c>
      <c r="G449">
        <f>COUNTIF(装备选择!$N$2:$N$14,附魔库!E449)*内置配装器</f>
        <v>0</v>
      </c>
      <c r="H449">
        <v>20</v>
      </c>
      <c r="I449">
        <v>8506</v>
      </c>
    </row>
    <row r="450" spans="3:9">
      <c r="C450" s="167"/>
      <c r="D450" t="s">
        <v>1471</v>
      </c>
      <c r="E450" t="s">
        <v>1510</v>
      </c>
      <c r="F450" t="s">
        <v>2334</v>
      </c>
      <c r="G450">
        <f>COUNTIF(装备选择!$N$2:$N$14,附魔库!E450)*内置配装器</f>
        <v>0</v>
      </c>
      <c r="I450">
        <v>988</v>
      </c>
    </row>
    <row r="451" spans="3:9">
      <c r="C451" s="167"/>
      <c r="D451" t="s">
        <v>224</v>
      </c>
      <c r="E451" t="s">
        <v>351</v>
      </c>
      <c r="F451" t="s">
        <v>2319</v>
      </c>
      <c r="G451">
        <f>COUNTIF(装备选择!$N$2:$N$14,附魔库!E451)*内置配装器</f>
        <v>0</v>
      </c>
      <c r="H451">
        <v>10</v>
      </c>
      <c r="I451">
        <v>601965</v>
      </c>
    </row>
    <row r="452" spans="3:9">
      <c r="C452" s="167"/>
      <c r="D452" t="s">
        <v>224</v>
      </c>
      <c r="E452" t="s">
        <v>354</v>
      </c>
      <c r="F452" t="s">
        <v>2319</v>
      </c>
      <c r="G452">
        <f>COUNTIF(装备选择!$N$2:$N$14,附魔库!E452)*内置配装器</f>
        <v>0</v>
      </c>
      <c r="H452">
        <v>10</v>
      </c>
      <c r="I452">
        <v>601965</v>
      </c>
    </row>
    <row r="453" spans="3:9">
      <c r="C453" s="167"/>
      <c r="D453" t="s">
        <v>224</v>
      </c>
      <c r="E453" t="s">
        <v>361</v>
      </c>
      <c r="F453" t="s">
        <v>2319</v>
      </c>
      <c r="G453">
        <f>COUNTIF(装备选择!$N$2:$N$14,附魔库!E453)*内置配装器</f>
        <v>0</v>
      </c>
      <c r="H453">
        <v>10</v>
      </c>
      <c r="I453">
        <v>601965</v>
      </c>
    </row>
    <row r="454" spans="3:9">
      <c r="C454" s="167"/>
      <c r="D454" t="s">
        <v>224</v>
      </c>
      <c r="E454" t="s">
        <v>364</v>
      </c>
      <c r="F454" t="s">
        <v>2319</v>
      </c>
      <c r="G454">
        <f>COUNTIF(装备选择!$N$2:$N$14,附魔库!E454)*内置配装器</f>
        <v>0</v>
      </c>
      <c r="H454">
        <v>10</v>
      </c>
      <c r="I454">
        <v>601965</v>
      </c>
    </row>
    <row r="455" spans="3:9">
      <c r="C455" s="167"/>
      <c r="D455" t="s">
        <v>224</v>
      </c>
      <c r="E455" t="s">
        <v>367</v>
      </c>
      <c r="F455" t="s">
        <v>2319</v>
      </c>
      <c r="G455">
        <f>COUNTIF(装备选择!$N$2:$N$14,附魔库!E455)*内置配装器</f>
        <v>0</v>
      </c>
      <c r="H455">
        <v>10</v>
      </c>
      <c r="I455">
        <v>601965</v>
      </c>
    </row>
    <row r="456" spans="3:9">
      <c r="C456" s="167"/>
      <c r="D456" t="s">
        <v>224</v>
      </c>
      <c r="E456" t="s">
        <v>370</v>
      </c>
      <c r="F456" t="s">
        <v>2319</v>
      </c>
      <c r="G456">
        <f>COUNTIF(装备选择!$N$2:$N$14,附魔库!E456)*内置配装器</f>
        <v>0</v>
      </c>
      <c r="H456">
        <v>10</v>
      </c>
      <c r="I456">
        <v>601965</v>
      </c>
    </row>
    <row r="457" spans="3:9">
      <c r="C457" s="167"/>
      <c r="D457" t="s">
        <v>224</v>
      </c>
      <c r="E457" t="s">
        <v>357</v>
      </c>
      <c r="F457" t="s">
        <v>2335</v>
      </c>
      <c r="G457">
        <f>COUNTIF(装备选择!$N$2:$N$14,附魔库!E457)*内置配装器</f>
        <v>0</v>
      </c>
      <c r="I457">
        <v>141600</v>
      </c>
    </row>
    <row r="458" spans="3:9">
      <c r="C458" s="167"/>
      <c r="D458" t="s">
        <v>467</v>
      </c>
      <c r="E458" t="s">
        <v>562</v>
      </c>
      <c r="F458" t="s">
        <v>2336</v>
      </c>
      <c r="G458">
        <f>COUNTIF(装备选择!$N$2:$N$14,附魔库!E458)*内置配装器+COUNTIF(配装计算器!$AF$20:$AF$21,附魔库!F458)*自输入属性</f>
        <v>0</v>
      </c>
      <c r="H458">
        <v>10</v>
      </c>
      <c r="I458">
        <v>1650</v>
      </c>
    </row>
    <row r="459" spans="3:9">
      <c r="C459" s="167"/>
      <c r="D459" t="s">
        <v>467</v>
      </c>
      <c r="E459" t="s">
        <v>565</v>
      </c>
      <c r="F459" t="s">
        <v>2337</v>
      </c>
      <c r="G459">
        <f>COUNTIF(装备选择!$N$2:$N$14,附魔库!E459)*内置配装器+COUNTIF(配装计算器!$AF$20:$AF$21,附魔库!F459)*自输入属性</f>
        <v>0</v>
      </c>
      <c r="H459">
        <v>10</v>
      </c>
      <c r="I459">
        <v>1650</v>
      </c>
    </row>
    <row r="460" spans="3:9">
      <c r="C460" s="167"/>
      <c r="D460" t="s">
        <v>467</v>
      </c>
      <c r="E460" t="s">
        <v>569</v>
      </c>
      <c r="F460" t="s">
        <v>2338</v>
      </c>
      <c r="G460">
        <f>COUNTIF(装备选择!$N$2:$N$14,附魔库!E460)*内置配装器+COUNTIF(配装计算器!$AF$20:$AF$21,附魔库!F460)*自输入属性</f>
        <v>0</v>
      </c>
      <c r="H460">
        <v>10</v>
      </c>
      <c r="I460">
        <v>1650</v>
      </c>
    </row>
    <row r="461" spans="3:9">
      <c r="C461" s="167"/>
      <c r="D461" t="s">
        <v>467</v>
      </c>
      <c r="E461" t="s">
        <v>572</v>
      </c>
      <c r="F461" t="s">
        <v>2338</v>
      </c>
      <c r="G461">
        <f>COUNTIF(装备选择!$N$2:$N$14,附魔库!E461)*内置配装器</f>
        <v>0</v>
      </c>
      <c r="H461">
        <v>10</v>
      </c>
      <c r="I461">
        <v>1650</v>
      </c>
    </row>
    <row r="462" spans="3:9">
      <c r="C462" s="167"/>
      <c r="D462" t="s">
        <v>467</v>
      </c>
      <c r="E462" t="s">
        <v>575</v>
      </c>
      <c r="F462" t="s">
        <v>2339</v>
      </c>
      <c r="G462">
        <f>COUNTIF(装备选择!$N$2:$N$14,附魔库!E462)*内置配装器+COUNTIF(配装计算器!$AF$20:$AF$21,附魔库!F462)*自输入属性</f>
        <v>0</v>
      </c>
      <c r="H462">
        <v>10</v>
      </c>
      <c r="I462">
        <v>1650</v>
      </c>
    </row>
    <row r="463" spans="3:9">
      <c r="C463" s="167"/>
      <c r="D463" t="s">
        <v>467</v>
      </c>
      <c r="E463" t="s">
        <v>578</v>
      </c>
      <c r="F463" t="s">
        <v>2336</v>
      </c>
      <c r="G463">
        <f>COUNTIF(装备选择!$N$2:$N$14,附魔库!E463)*内置配装器</f>
        <v>1</v>
      </c>
      <c r="H463">
        <v>10</v>
      </c>
      <c r="I463">
        <v>1650</v>
      </c>
    </row>
    <row r="464" spans="3:9">
      <c r="C464" s="167"/>
      <c r="D464" t="s">
        <v>467</v>
      </c>
      <c r="E464" t="s">
        <v>581</v>
      </c>
      <c r="F464" t="s">
        <v>2339</v>
      </c>
      <c r="G464">
        <f>COUNTIF(装备选择!$N$2:$N$14,附魔库!E464)*内置配装器</f>
        <v>0</v>
      </c>
      <c r="H464">
        <v>10</v>
      </c>
      <c r="I464">
        <v>1650</v>
      </c>
    </row>
    <row r="465" spans="3:11">
      <c r="C465" s="167"/>
      <c r="D465" t="s">
        <v>672</v>
      </c>
      <c r="E465" t="s">
        <v>783</v>
      </c>
      <c r="F465" t="s">
        <v>2340</v>
      </c>
      <c r="G465">
        <f>COUNTIF(装备选择!$N$2:$N$14,附魔库!E465)*内置配装器+COUNTIF(配装计算器!$AF$19,"35300无双")*自输入属性</f>
        <v>0</v>
      </c>
      <c r="I465">
        <v>3301</v>
      </c>
    </row>
    <row r="466" spans="3:11">
      <c r="C466" s="167"/>
      <c r="D466" t="s">
        <v>672</v>
      </c>
      <c r="E466" t="s">
        <v>786</v>
      </c>
      <c r="F466" t="s">
        <v>2340</v>
      </c>
      <c r="G466">
        <f>COUNTIF(装备选择!$N$2:$N$14,附魔库!E466)*内置配装器</f>
        <v>0</v>
      </c>
      <c r="I466">
        <v>3301</v>
      </c>
    </row>
    <row r="467" spans="3:11">
      <c r="C467" s="167"/>
      <c r="D467" t="s">
        <v>672</v>
      </c>
      <c r="E467" t="s">
        <v>789</v>
      </c>
      <c r="F467" t="s">
        <v>2340</v>
      </c>
      <c r="G467">
        <f>COUNTIF(装备选择!$N$2:$N$14,附魔库!E467)*内置配装器</f>
        <v>0</v>
      </c>
      <c r="I467">
        <v>3301</v>
      </c>
    </row>
    <row r="468" spans="3:11">
      <c r="C468" s="167"/>
      <c r="D468" t="s">
        <v>672</v>
      </c>
      <c r="E468" t="s">
        <v>792</v>
      </c>
      <c r="F468" t="s">
        <v>2341</v>
      </c>
      <c r="G468">
        <f>COUNTIF(装备选择!$N$2:$N$14,附魔库!E468)*内置配装器+COUNTIF(配装计算器!$AF$19,"35300无双/破防")*自输入属性</f>
        <v>0</v>
      </c>
      <c r="I468">
        <v>155</v>
      </c>
      <c r="J468">
        <v>20148</v>
      </c>
      <c r="K468">
        <v>0.9</v>
      </c>
    </row>
    <row r="469" spans="3:11">
      <c r="C469" s="167"/>
      <c r="D469" t="s">
        <v>672</v>
      </c>
      <c r="E469" t="s">
        <v>795</v>
      </c>
      <c r="F469" t="s">
        <v>2340</v>
      </c>
      <c r="G469">
        <f>COUNTIF(装备选择!$N$2:$N$14,附魔库!E469)*内置配装器</f>
        <v>0</v>
      </c>
      <c r="I469">
        <v>3301</v>
      </c>
    </row>
    <row r="470" spans="3:11">
      <c r="C470" s="167"/>
      <c r="D470" t="s">
        <v>672</v>
      </c>
      <c r="E470" t="s">
        <v>798</v>
      </c>
      <c r="F470" t="s">
        <v>2340</v>
      </c>
      <c r="G470">
        <f>COUNTIF(装备选择!$N$2:$N$14,附魔库!E470)*内置配装器</f>
        <v>0</v>
      </c>
      <c r="I470">
        <v>3301</v>
      </c>
    </row>
    <row r="471" spans="3:11">
      <c r="C471" s="167"/>
      <c r="D471" t="s">
        <v>672</v>
      </c>
      <c r="E471" t="s">
        <v>801</v>
      </c>
      <c r="F471" t="s">
        <v>2342</v>
      </c>
      <c r="G471">
        <f>COUNTIF(装备选择!$N$2:$N$14,附魔库!E471)*内置配装器+COUNTIF(配装计算器!$AF$19,"35300无双/会心")*自输入属性</f>
        <v>0</v>
      </c>
      <c r="I471">
        <v>155</v>
      </c>
      <c r="J471">
        <v>20148</v>
      </c>
      <c r="K471">
        <v>0.9</v>
      </c>
    </row>
    <row r="472" spans="3:11">
      <c r="C472" s="167"/>
      <c r="D472" t="s">
        <v>1471</v>
      </c>
      <c r="E472" t="s">
        <v>1576</v>
      </c>
      <c r="F472" t="s">
        <v>2343</v>
      </c>
      <c r="G472">
        <f>COUNTIF(装备选择!$N$2:$N$14,附魔库!E472)*内置配装器</f>
        <v>0</v>
      </c>
      <c r="I472">
        <v>1155</v>
      </c>
    </row>
    <row r="473" spans="3:11">
      <c r="C473" s="167"/>
      <c r="D473" t="s">
        <v>1471</v>
      </c>
      <c r="E473" t="s">
        <v>1582</v>
      </c>
      <c r="F473" t="s">
        <v>2343</v>
      </c>
      <c r="G473">
        <f>COUNTIF(装备选择!$N$2:$N$14,附魔库!E473)*内置配装器</f>
        <v>0</v>
      </c>
      <c r="I473">
        <v>1155</v>
      </c>
    </row>
    <row r="474" spans="3:11">
      <c r="D474" t="s">
        <v>1471</v>
      </c>
      <c r="E474" t="s">
        <v>1585</v>
      </c>
      <c r="F474" t="s">
        <v>2344</v>
      </c>
      <c r="G474">
        <f>COUNTIF(装备选择!$N$2:$N$14,附魔库!E474)*内置配装器+COUNTIF(配装计算器!AF17,"35300破防/会心/破招")*自输入属性</f>
        <v>0</v>
      </c>
      <c r="I474">
        <v>12254</v>
      </c>
    </row>
    <row r="475" spans="3:11">
      <c r="D475" t="s">
        <v>1471</v>
      </c>
      <c r="E475" t="s">
        <v>1588</v>
      </c>
      <c r="F475" t="s">
        <v>2343</v>
      </c>
      <c r="G475">
        <f>COUNTIF(装备选择!$N$2:$N$14,附魔库!E475)*内置配装器+COUNTIF(配装计算器!AF17,"35300破防/会心")*自输入属性</f>
        <v>0</v>
      </c>
      <c r="I475">
        <v>1155</v>
      </c>
    </row>
    <row r="476" spans="3:11">
      <c r="D476" t="s">
        <v>1471</v>
      </c>
      <c r="E476" t="s">
        <v>1591</v>
      </c>
      <c r="F476" t="s">
        <v>2343</v>
      </c>
      <c r="G476">
        <f>COUNTIF(装备选择!$N$2:$N$14,附魔库!E476)*内置配装器</f>
        <v>0</v>
      </c>
      <c r="I476">
        <v>1155</v>
      </c>
    </row>
    <row r="477" spans="3:11">
      <c r="D477" t="s">
        <v>1471</v>
      </c>
      <c r="E477" t="s">
        <v>1594</v>
      </c>
      <c r="F477" t="s">
        <v>2344</v>
      </c>
      <c r="G477">
        <f>COUNTIF(装备选择!$N$2:$N$14,附魔库!E477)*内置配装器</f>
        <v>0</v>
      </c>
      <c r="I477">
        <v>12254</v>
      </c>
    </row>
    <row r="478" spans="3:11">
      <c r="D478" t="s">
        <v>1471</v>
      </c>
      <c r="E478" t="s">
        <v>1579</v>
      </c>
      <c r="F478" t="s">
        <v>2335</v>
      </c>
      <c r="G478">
        <f>COUNTIF(装备选择!$N$2:$N$14,附魔库!E478)*内置配装器</f>
        <v>0</v>
      </c>
      <c r="I478">
        <v>141600</v>
      </c>
    </row>
    <row r="479" spans="3:11">
      <c r="D479" t="s">
        <v>224</v>
      </c>
      <c r="E479" t="s">
        <v>418</v>
      </c>
      <c r="F479" t="s">
        <v>2319</v>
      </c>
      <c r="G479">
        <f>COUNTIF(装备选择!$N$2:$N$14,附魔库!E479)*内置配装器</f>
        <v>0</v>
      </c>
      <c r="H479">
        <v>10</v>
      </c>
      <c r="I479" s="176">
        <v>1138846</v>
      </c>
    </row>
    <row r="480" spans="3:11">
      <c r="D480" t="s">
        <v>224</v>
      </c>
      <c r="E480" t="s">
        <v>421</v>
      </c>
      <c r="F480" t="s">
        <v>2319</v>
      </c>
      <c r="G480">
        <f>COUNTIF(装备选择!$N$2:$N$14,附魔库!E480)*内置配装器</f>
        <v>0</v>
      </c>
      <c r="H480">
        <v>10</v>
      </c>
      <c r="I480" s="176">
        <v>1138846</v>
      </c>
    </row>
    <row r="481" spans="4:11">
      <c r="D481" t="s">
        <v>224</v>
      </c>
      <c r="E481" t="s">
        <v>424</v>
      </c>
      <c r="F481" t="s">
        <v>2335</v>
      </c>
      <c r="G481">
        <f>COUNTIF(装备选择!$N$2:$N$14,附魔库!E481)*内置配装器</f>
        <v>0</v>
      </c>
      <c r="I481" s="176">
        <v>268000</v>
      </c>
    </row>
    <row r="482" spans="4:11">
      <c r="D482" t="s">
        <v>224</v>
      </c>
      <c r="E482" t="s">
        <v>427</v>
      </c>
      <c r="F482" t="s">
        <v>2319</v>
      </c>
      <c r="G482">
        <f>COUNTIF(装备选择!$N$2:$N$14,附魔库!E482)*内置配装器</f>
        <v>0</v>
      </c>
      <c r="H482">
        <v>10</v>
      </c>
      <c r="I482" s="176">
        <v>1138846</v>
      </c>
    </row>
    <row r="483" spans="4:11">
      <c r="D483" t="s">
        <v>224</v>
      </c>
      <c r="E483" t="s">
        <v>430</v>
      </c>
      <c r="F483" t="s">
        <v>2319</v>
      </c>
      <c r="G483">
        <f>COUNTIF(装备选择!$N$2:$N$14,附魔库!E483)*内置配装器</f>
        <v>0</v>
      </c>
      <c r="H483">
        <v>10</v>
      </c>
      <c r="I483" s="176">
        <v>1138846</v>
      </c>
    </row>
    <row r="484" spans="4:11">
      <c r="D484" t="s">
        <v>224</v>
      </c>
      <c r="E484" t="s">
        <v>433</v>
      </c>
      <c r="F484" t="s">
        <v>2319</v>
      </c>
      <c r="G484">
        <f>COUNTIF(装备选择!$N$2:$N$14,附魔库!E484)*内置配装器</f>
        <v>0</v>
      </c>
      <c r="H484">
        <v>10</v>
      </c>
      <c r="I484" s="176">
        <v>1138846</v>
      </c>
    </row>
    <row r="485" spans="4:11">
      <c r="D485" t="s">
        <v>224</v>
      </c>
      <c r="E485" t="s">
        <v>436</v>
      </c>
      <c r="F485" t="s">
        <v>2319</v>
      </c>
      <c r="G485">
        <f>COUNTIF(装备选择!$N$2:$N$14,附魔库!E485)*内置配装器</f>
        <v>0</v>
      </c>
      <c r="H485">
        <v>10</v>
      </c>
      <c r="I485" s="176">
        <v>1138846</v>
      </c>
    </row>
    <row r="486" spans="4:11">
      <c r="D486" t="s">
        <v>467</v>
      </c>
      <c r="E486" t="s">
        <v>626</v>
      </c>
      <c r="F486" t="s">
        <v>2345</v>
      </c>
      <c r="G486">
        <f>COUNTIF(装备选择!$N$2:$N$14,附魔库!E486)*内置配装器+COUNTIF(配装计算器!$AF$20:$AF$21,附魔库!F486)*自输入属性</f>
        <v>0</v>
      </c>
      <c r="H486">
        <v>10</v>
      </c>
      <c r="I486">
        <v>1928</v>
      </c>
    </row>
    <row r="487" spans="4:11">
      <c r="D487" t="s">
        <v>467</v>
      </c>
      <c r="E487" t="s">
        <v>629</v>
      </c>
      <c r="F487" t="s">
        <v>2346</v>
      </c>
      <c r="G487">
        <f>COUNTIF(装备选择!$N$2:$N$14,附魔库!E487)*内置配装器+COUNTIF(配装计算器!$AF$20:$AF$21,附魔库!F487)*自输入属性</f>
        <v>0</v>
      </c>
      <c r="H487">
        <v>10</v>
      </c>
      <c r="I487">
        <v>1928</v>
      </c>
    </row>
    <row r="488" spans="4:11">
      <c r="D488" t="s">
        <v>467</v>
      </c>
      <c r="E488" t="s">
        <v>632</v>
      </c>
      <c r="F488" t="s">
        <v>2347</v>
      </c>
      <c r="G488">
        <f>COUNTIF(装备选择!$N$2:$N$14,附魔库!E488)*内置配装器+COUNTIF(配装计算器!$AF$20:$AF$21,附魔库!F488)*自输入属性</f>
        <v>0</v>
      </c>
      <c r="H488">
        <v>10</v>
      </c>
      <c r="I488">
        <v>1928</v>
      </c>
    </row>
    <row r="489" spans="4:11">
      <c r="D489" t="s">
        <v>467</v>
      </c>
      <c r="E489" t="s">
        <v>635</v>
      </c>
      <c r="F489" t="s">
        <v>2347</v>
      </c>
      <c r="G489">
        <f>COUNTIF(装备选择!$N$2:$N$14,附魔库!E489)*内置配装器</f>
        <v>0</v>
      </c>
      <c r="H489">
        <v>10</v>
      </c>
      <c r="I489">
        <v>1928</v>
      </c>
    </row>
    <row r="490" spans="4:11">
      <c r="D490" t="s">
        <v>467</v>
      </c>
      <c r="E490" t="s">
        <v>638</v>
      </c>
      <c r="F490" t="s">
        <v>2348</v>
      </c>
      <c r="G490">
        <f>COUNTIF(装备选择!$N$2:$N$14,附魔库!E490)*内置配装器+COUNTIF(配装计算器!$AF$20:$AF$21,附魔库!F490)*自输入属性</f>
        <v>0</v>
      </c>
      <c r="H490">
        <v>10</v>
      </c>
      <c r="I490">
        <v>1928</v>
      </c>
    </row>
    <row r="491" spans="4:11">
      <c r="D491" t="s">
        <v>467</v>
      </c>
      <c r="E491" t="s">
        <v>641</v>
      </c>
      <c r="F491" t="s">
        <v>2345</v>
      </c>
      <c r="G491">
        <f>COUNTIF(装备选择!$N$2:$N$14,附魔库!E491)*内置配装器</f>
        <v>0</v>
      </c>
      <c r="H491">
        <v>10</v>
      </c>
      <c r="I491">
        <v>1928</v>
      </c>
    </row>
    <row r="492" spans="4:11">
      <c r="D492" t="s">
        <v>467</v>
      </c>
      <c r="E492" t="s">
        <v>644</v>
      </c>
      <c r="F492" t="s">
        <v>2348</v>
      </c>
      <c r="G492">
        <f>COUNTIF(装备选择!$N$2:$N$14,附魔库!E492)*内置配装器</f>
        <v>0</v>
      </c>
      <c r="H492">
        <v>10</v>
      </c>
      <c r="I492">
        <v>1928</v>
      </c>
    </row>
    <row r="493" spans="4:11">
      <c r="D493" t="s">
        <v>672</v>
      </c>
      <c r="E493" t="s">
        <v>852</v>
      </c>
      <c r="F493" t="s">
        <v>2349</v>
      </c>
      <c r="G493">
        <f>COUNTIF(装备选择!$N$2:$N$14,附魔库!E493)*内置配装器+COUNTIF(配装计算器!$AF$19,"41400无双")*自输入属性</f>
        <v>0</v>
      </c>
      <c r="I493">
        <v>3857</v>
      </c>
    </row>
    <row r="494" spans="4:11">
      <c r="D494" t="s">
        <v>672</v>
      </c>
      <c r="E494" t="s">
        <v>855</v>
      </c>
      <c r="F494" t="s">
        <v>2349</v>
      </c>
      <c r="G494">
        <f>COUNTIF(装备选择!$N$2:$N$14,附魔库!E494)*内置配装器</f>
        <v>0</v>
      </c>
      <c r="I494">
        <v>3857</v>
      </c>
    </row>
    <row r="495" spans="4:11">
      <c r="D495" t="s">
        <v>672</v>
      </c>
      <c r="E495" t="s">
        <v>858</v>
      </c>
      <c r="F495" t="s">
        <v>2349</v>
      </c>
      <c r="G495">
        <f>COUNTIF(装备选择!$N$2:$N$14,附魔库!E495)*内置配装器</f>
        <v>0</v>
      </c>
      <c r="I495">
        <v>3857</v>
      </c>
    </row>
    <row r="496" spans="4:11">
      <c r="D496" t="s">
        <v>672</v>
      </c>
      <c r="E496" t="s">
        <v>861</v>
      </c>
      <c r="F496" t="s">
        <v>2350</v>
      </c>
      <c r="G496">
        <f>COUNTIF(装备选择!$N$2:$N$14,附魔库!E496)*内置配装器+COUNTIF(配装计算器!$AF$19,"41400无双/破防")*自输入属性</f>
        <v>0</v>
      </c>
      <c r="I496">
        <v>181</v>
      </c>
      <c r="J496">
        <v>23540</v>
      </c>
      <c r="K496">
        <v>0.9</v>
      </c>
    </row>
    <row r="497" spans="4:11">
      <c r="D497" t="s">
        <v>672</v>
      </c>
      <c r="E497" t="s">
        <v>864</v>
      </c>
      <c r="F497" t="s">
        <v>2349</v>
      </c>
      <c r="G497">
        <f>COUNTIF(装备选择!$N$2:$N$14,附魔库!E497)*内置配装器</f>
        <v>0</v>
      </c>
      <c r="I497">
        <v>3857</v>
      </c>
    </row>
    <row r="498" spans="4:11">
      <c r="D498" t="s">
        <v>672</v>
      </c>
      <c r="E498" t="s">
        <v>867</v>
      </c>
      <c r="F498" t="s">
        <v>2349</v>
      </c>
      <c r="G498">
        <f>COUNTIF(装备选择!$N$2:$N$14,附魔库!E498)*内置配装器</f>
        <v>0</v>
      </c>
      <c r="I498">
        <v>3857</v>
      </c>
    </row>
    <row r="499" spans="4:11">
      <c r="D499" t="s">
        <v>672</v>
      </c>
      <c r="E499" t="s">
        <v>870</v>
      </c>
      <c r="F499" t="s">
        <v>2351</v>
      </c>
      <c r="G499">
        <f>COUNTIF(装备选择!$N$2:$N$14,附魔库!E499)*内置配装器+COUNTIF(配装计算器!$AF$19,"41400无双/会心")*自输入属性</f>
        <v>0</v>
      </c>
      <c r="I499">
        <v>181</v>
      </c>
      <c r="J499">
        <v>23540</v>
      </c>
      <c r="K499">
        <v>0.9</v>
      </c>
    </row>
    <row r="500" spans="4:11">
      <c r="D500" t="s">
        <v>1471</v>
      </c>
      <c r="E500" t="s">
        <v>1639</v>
      </c>
      <c r="F500" t="s">
        <v>2352</v>
      </c>
      <c r="G500">
        <f>COUNTIF(装备选择!$N$2:$N$14,附魔库!E500)*内置配装器</f>
        <v>0</v>
      </c>
      <c r="I500">
        <v>1350</v>
      </c>
    </row>
    <row r="501" spans="4:11">
      <c r="D501" t="s">
        <v>1471</v>
      </c>
      <c r="E501" t="s">
        <v>1642</v>
      </c>
      <c r="F501" t="s">
        <v>2335</v>
      </c>
      <c r="G501">
        <f>COUNTIF(装备选择!$N$2:$N$14,附魔库!E501)*内置配装器</f>
        <v>0</v>
      </c>
      <c r="I501" s="176">
        <v>268000</v>
      </c>
    </row>
    <row r="502" spans="4:11">
      <c r="D502" t="s">
        <v>1471</v>
      </c>
      <c r="E502" t="s">
        <v>1645</v>
      </c>
      <c r="F502" t="s">
        <v>2352</v>
      </c>
      <c r="G502">
        <f>COUNTIF(装备选择!$N$2:$N$14,附魔库!E502)*内置配装器+COUNTIF(配装计算器!$AF$17,"41400自适应属性破防/会心")*自输入属性</f>
        <v>1</v>
      </c>
      <c r="I502">
        <v>1350</v>
      </c>
    </row>
    <row r="503" spans="4:11">
      <c r="D503" t="s">
        <v>1471</v>
      </c>
      <c r="E503" t="s">
        <v>1648</v>
      </c>
      <c r="F503" t="s">
        <v>2353</v>
      </c>
      <c r="G503">
        <f>COUNTIF(装备选择!$N$2:$N$14,附魔库!E503)*内置配装器+COUNTIF(配装计算器!$AF$17,"41400自适应属性")*自输入属性</f>
        <v>0</v>
      </c>
      <c r="I503">
        <v>18561</v>
      </c>
    </row>
    <row r="504" spans="4:11">
      <c r="D504" t="s">
        <v>1471</v>
      </c>
      <c r="E504" t="s">
        <v>1651</v>
      </c>
      <c r="F504" t="s">
        <v>2352</v>
      </c>
      <c r="G504">
        <f>COUNTIF(装备选择!$N$2:$N$14,附魔库!E504)*内置配装器</f>
        <v>0</v>
      </c>
      <c r="I504">
        <v>1350</v>
      </c>
    </row>
    <row r="505" spans="4:11">
      <c r="D505" t="s">
        <v>1471</v>
      </c>
      <c r="E505" t="s">
        <v>1654</v>
      </c>
      <c r="F505" t="s">
        <v>2352</v>
      </c>
      <c r="G505">
        <f>COUNTIF(装备选择!$N$2:$N$14,附魔库!E505)*内置配装器</f>
        <v>0</v>
      </c>
      <c r="I505">
        <v>1350</v>
      </c>
    </row>
    <row r="506" spans="4:11">
      <c r="D506" t="s">
        <v>1471</v>
      </c>
      <c r="E506" t="s">
        <v>1657</v>
      </c>
      <c r="F506" t="s">
        <v>2353</v>
      </c>
      <c r="G506">
        <f>COUNTIF(装备选择!$N$2:$N$14,附魔库!E506)*内置配装器</f>
        <v>0</v>
      </c>
      <c r="I506">
        <v>18561</v>
      </c>
    </row>
  </sheetData>
  <customSheetViews>
    <customSheetView guid="{8E53DF33-FD66-42DA-A21D-B11FBF5F6988}" topLeftCell="C79">
      <selection activeCell="AD90" sqref="AD90"/>
      <pageMargins left="0.7" right="0.7" top="0.75" bottom="0.75" header="0.3" footer="0.3"/>
      <headerFooter/>
    </customSheetView>
  </customSheetViews>
  <mergeCells count="7">
    <mergeCell ref="C4:C47"/>
    <mergeCell ref="C52:C83"/>
    <mergeCell ref="C89:C184"/>
    <mergeCell ref="C192:C200"/>
    <mergeCell ref="C206:C215"/>
    <mergeCell ref="C218:C418"/>
    <mergeCell ref="C426:C473"/>
  </mergeCells>
  <conditionalFormatting sqref="E440">
    <cfRule type="duplicateValues" dxfId="0" priority="8"/>
  </conditionalFormatting>
  <conditionalFormatting sqref="E441">
    <cfRule type="duplicateValues" dxfId="0" priority="6"/>
  </conditionalFormatting>
  <conditionalFormatting sqref="E443">
    <cfRule type="duplicateValues" dxfId="0" priority="9"/>
  </conditionalFormatting>
  <conditionalFormatting sqref="E444">
    <cfRule type="duplicateValues" dxfId="0" priority="5"/>
  </conditionalFormatting>
  <conditionalFormatting sqref="E447">
    <cfRule type="duplicateValues" dxfId="0" priority="15"/>
  </conditionalFormatting>
  <conditionalFormatting sqref="E450">
    <cfRule type="duplicateValues" dxfId="0" priority="14"/>
  </conditionalFormatting>
  <conditionalFormatting sqref="B453">
    <cfRule type="duplicateValues" dxfId="0" priority="3"/>
  </conditionalFormatting>
  <conditionalFormatting sqref="E457">
    <cfRule type="duplicateValues" dxfId="0" priority="2"/>
  </conditionalFormatting>
  <conditionalFormatting sqref="E427:E432">
    <cfRule type="duplicateValues" dxfId="0" priority="21"/>
  </conditionalFormatting>
  <conditionalFormatting sqref="E433:E438">
    <cfRule type="duplicateValues" dxfId="0" priority="20"/>
  </conditionalFormatting>
  <conditionalFormatting sqref="E479:E506">
    <cfRule type="duplicateValues" dxfId="0" priority="1"/>
  </conditionalFormatting>
  <conditionalFormatting sqref="E439 E442">
    <cfRule type="duplicateValues" dxfId="0" priority="19"/>
  </conditionalFormatting>
  <conditionalFormatting sqref="E445:E446 E448:E449">
    <cfRule type="duplicateValues" dxfId="0" priority="18"/>
  </conditionalFormatting>
  <conditionalFormatting sqref="E451:E456 E458:E478">
    <cfRule type="duplicateValues" dxfId="0" priority="4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36"/>
  <sheetViews>
    <sheetView workbookViewId="0">
      <selection activeCell="I17" sqref="I17:K17"/>
    </sheetView>
  </sheetViews>
  <sheetFormatPr defaultColWidth="9" defaultRowHeight="16.8"/>
  <cols>
    <col min="3" max="3" width="22.625" customWidth="1"/>
    <col min="4" max="4" width="9.875" customWidth="1"/>
    <col min="5" max="5" width="11" customWidth="1"/>
    <col min="6" max="6" width="13" customWidth="1"/>
    <col min="7" max="8" width="11" customWidth="1"/>
    <col min="9" max="9" width="13" customWidth="1"/>
    <col min="10" max="12" width="11" customWidth="1"/>
    <col min="13" max="13" width="13" customWidth="1"/>
    <col min="14" max="15" width="11" customWidth="1"/>
    <col min="17" max="17" width="11" customWidth="1"/>
  </cols>
  <sheetData>
    <row r="2" spans="1:26">
      <c r="C2">
        <f>43900/27800</f>
        <v>1.57913669064748</v>
      </c>
    </row>
    <row r="3" spans="1:26">
      <c r="C3">
        <v>8.8</v>
      </c>
      <c r="D3">
        <v>32</v>
      </c>
    </row>
    <row r="4" spans="1:26">
      <c r="C4" s="160" t="s">
        <v>2354</v>
      </c>
      <c r="D4" s="160" t="s">
        <v>2355</v>
      </c>
      <c r="E4" s="160" t="s">
        <v>88</v>
      </c>
      <c r="F4" s="160" t="s">
        <v>2356</v>
      </c>
      <c r="G4" s="160" t="s">
        <v>123</v>
      </c>
      <c r="H4" s="160" t="s">
        <v>94</v>
      </c>
      <c r="I4" s="160" t="s">
        <v>185</v>
      </c>
      <c r="J4" s="160" t="s">
        <v>135</v>
      </c>
      <c r="K4" s="160" t="s">
        <v>154</v>
      </c>
      <c r="L4" s="160" t="s">
        <v>108</v>
      </c>
      <c r="M4" s="160" t="s">
        <v>233</v>
      </c>
      <c r="P4" s="161">
        <f>基础面板属性!D5</f>
        <v>8</v>
      </c>
      <c r="Q4" s="161">
        <f>基础面板属性!D6</f>
        <v>8</v>
      </c>
      <c r="R4" s="205"/>
      <c r="S4" s="161"/>
      <c r="T4" s="161"/>
      <c r="V4" s="161">
        <f>INDEX($C$4:$D$13,P4+2,2)</f>
        <v>1156.18071942446</v>
      </c>
      <c r="W4" s="161">
        <f>INDEX($C$4:$D$13,Q4+2,2)</f>
        <v>1156.18071942446</v>
      </c>
      <c r="X4" s="205"/>
      <c r="Y4" s="161">
        <f>ROUND(W4+V4,0)</f>
        <v>2312</v>
      </c>
      <c r="Z4" s="161">
        <f>ROUND(V10,0)</f>
        <v>1156</v>
      </c>
    </row>
    <row r="5" spans="1:26">
      <c r="C5" s="160">
        <v>0</v>
      </c>
      <c r="D5" s="206">
        <f>IF(C5&lt;7,0.195*$C$3*$D$3*C5,(1.3*(0.65*C5-3.2))*$C$3*$D$3)</f>
        <v>0</v>
      </c>
      <c r="E5" s="160">
        <v>0</v>
      </c>
      <c r="F5" s="160">
        <v>0</v>
      </c>
      <c r="G5" s="160">
        <v>0</v>
      </c>
      <c r="H5" s="160">
        <v>0</v>
      </c>
      <c r="I5" s="160">
        <v>0</v>
      </c>
      <c r="J5" s="160">
        <v>0</v>
      </c>
      <c r="K5" s="160">
        <v>0</v>
      </c>
      <c r="L5" s="160">
        <v>0</v>
      </c>
      <c r="M5" s="160">
        <v>0</v>
      </c>
      <c r="P5" s="161">
        <f>基础面板属性!D10</f>
        <v>8</v>
      </c>
      <c r="Q5" s="161">
        <f>基础面板属性!D11</f>
        <v>8</v>
      </c>
      <c r="R5" s="205"/>
      <c r="S5" s="161"/>
      <c r="T5" s="161"/>
      <c r="V5" s="161">
        <f t="shared" ref="V5:W13" si="0">INDEX($C$4:$D$13,P5+2,2)</f>
        <v>1156.18071942446</v>
      </c>
      <c r="W5" s="161">
        <f t="shared" ref="W5:W10" si="1">INDEX($C$4:$D$13,Q5+2,2)</f>
        <v>1156.18071942446</v>
      </c>
      <c r="X5" s="205"/>
      <c r="Y5" s="161">
        <f t="shared" ref="Y5:Y9" si="2">ROUND(W5+V5,0)</f>
        <v>2312</v>
      </c>
      <c r="Z5" s="161">
        <f>ROUND(W10,0)</f>
        <v>1156</v>
      </c>
    </row>
    <row r="6" spans="1:26">
      <c r="A6">
        <v>63</v>
      </c>
      <c r="C6" s="160">
        <v>1</v>
      </c>
      <c r="D6" s="206">
        <f>IF(C6&lt;7,0.195*$C$3*$D$3*C6,(1.3*(0.65*C6-3.2))*$C$3*$D$3)*$C$2</f>
        <v>86.7135539568345</v>
      </c>
      <c r="E6" s="160">
        <v>12</v>
      </c>
      <c r="F6" s="160">
        <v>12</v>
      </c>
      <c r="G6" s="160">
        <v>26</v>
      </c>
      <c r="H6" s="160">
        <v>98</v>
      </c>
      <c r="I6" s="160">
        <v>98</v>
      </c>
      <c r="J6" s="160">
        <v>98</v>
      </c>
      <c r="K6" s="160">
        <v>98</v>
      </c>
      <c r="L6" s="160">
        <v>98</v>
      </c>
      <c r="M6" s="160">
        <v>49</v>
      </c>
      <c r="P6" s="161">
        <f>基础面板属性!D15</f>
        <v>8</v>
      </c>
      <c r="Q6" s="161">
        <f>基础面板属性!D16</f>
        <v>8</v>
      </c>
      <c r="R6" s="205"/>
      <c r="S6" s="161"/>
      <c r="T6" s="161"/>
      <c r="V6" s="161">
        <f t="shared" si="0"/>
        <v>1156.18071942446</v>
      </c>
      <c r="W6" s="161">
        <f t="shared" si="1"/>
        <v>1156.18071942446</v>
      </c>
      <c r="X6" s="205"/>
      <c r="Y6" s="161">
        <f t="shared" si="2"/>
        <v>2312</v>
      </c>
      <c r="Z6" s="161">
        <f>ROUND(V11,0)</f>
        <v>1156</v>
      </c>
    </row>
    <row r="7" spans="1:26">
      <c r="A7">
        <v>126</v>
      </c>
      <c r="C7" s="160">
        <v>2</v>
      </c>
      <c r="D7" s="206">
        <f t="shared" ref="D7:D13" si="3">IF(C7&lt;7,0.195*$C$3*$D$3*C7,(1.3*(0.65*C7-3.2))*$C$3*$D$3)*$C$2</f>
        <v>173.427107913669</v>
      </c>
      <c r="E7" s="160">
        <v>25</v>
      </c>
      <c r="F7" s="160">
        <v>25</v>
      </c>
      <c r="G7" s="160">
        <v>53</v>
      </c>
      <c r="H7" s="160">
        <v>197</v>
      </c>
      <c r="I7" s="160">
        <v>197</v>
      </c>
      <c r="J7" s="160">
        <v>197</v>
      </c>
      <c r="K7" s="160">
        <v>197</v>
      </c>
      <c r="L7" s="160">
        <v>197</v>
      </c>
      <c r="M7" s="160">
        <v>99</v>
      </c>
      <c r="P7" s="161">
        <f>基础面板属性!D20</f>
        <v>8</v>
      </c>
      <c r="Q7" s="161">
        <f>基础面板属性!D21</f>
        <v>8</v>
      </c>
      <c r="R7" s="205"/>
      <c r="S7" s="161"/>
      <c r="T7" s="161"/>
      <c r="V7" s="161">
        <f t="shared" si="0"/>
        <v>1156.18071942446</v>
      </c>
      <c r="W7" s="161">
        <f t="shared" si="1"/>
        <v>1156.18071942446</v>
      </c>
      <c r="X7" s="205"/>
      <c r="Y7" s="161">
        <f t="shared" si="2"/>
        <v>2312</v>
      </c>
      <c r="Z7" s="161">
        <f>ROUND(V12+W12+V13,0)</f>
        <v>3469</v>
      </c>
    </row>
    <row r="8" spans="1:26">
      <c r="A8">
        <v>190</v>
      </c>
      <c r="C8" s="160">
        <v>3</v>
      </c>
      <c r="D8" s="206">
        <f t="shared" si="3"/>
        <v>260.140661870504</v>
      </c>
      <c r="E8" s="160">
        <v>37</v>
      </c>
      <c r="F8" s="160">
        <v>37</v>
      </c>
      <c r="G8" s="160">
        <v>80</v>
      </c>
      <c r="H8" s="160">
        <v>296</v>
      </c>
      <c r="I8" s="160">
        <v>296</v>
      </c>
      <c r="J8" s="160">
        <v>296</v>
      </c>
      <c r="K8" s="160">
        <v>296</v>
      </c>
      <c r="L8" s="160">
        <v>296</v>
      </c>
      <c r="M8" s="160">
        <v>148</v>
      </c>
      <c r="P8" s="161">
        <f>基础面板属性!D25</f>
        <v>8</v>
      </c>
      <c r="Q8" s="161">
        <f>基础面板属性!D26</f>
        <v>8</v>
      </c>
      <c r="R8" s="205"/>
      <c r="S8" s="161"/>
      <c r="T8" s="161"/>
      <c r="V8" s="161">
        <f t="shared" si="0"/>
        <v>1156.18071942446</v>
      </c>
      <c r="W8" s="161">
        <f t="shared" si="1"/>
        <v>1156.18071942446</v>
      </c>
      <c r="X8" s="205"/>
      <c r="Y8" s="161">
        <f t="shared" si="2"/>
        <v>2312</v>
      </c>
      <c r="Z8" s="161">
        <f>ROUND(Y11+X11+Z11,0)</f>
        <v>3469</v>
      </c>
    </row>
    <row r="9" spans="1:26">
      <c r="A9">
        <v>253</v>
      </c>
      <c r="C9" s="160">
        <v>4</v>
      </c>
      <c r="D9" s="206">
        <f t="shared" si="3"/>
        <v>346.854215827338</v>
      </c>
      <c r="E9" s="160">
        <v>50</v>
      </c>
      <c r="F9" s="160">
        <v>50</v>
      </c>
      <c r="G9" s="160">
        <v>107</v>
      </c>
      <c r="H9" s="160">
        <v>395</v>
      </c>
      <c r="I9" s="160">
        <v>395</v>
      </c>
      <c r="J9" s="160">
        <v>395</v>
      </c>
      <c r="K9" s="160">
        <v>395</v>
      </c>
      <c r="L9" s="160">
        <v>395</v>
      </c>
      <c r="M9" s="160">
        <v>198</v>
      </c>
      <c r="P9" s="161">
        <f>基础面板属性!D30</f>
        <v>8</v>
      </c>
      <c r="Q9" s="161">
        <f>基础面板属性!D31</f>
        <v>8</v>
      </c>
      <c r="R9" s="205"/>
      <c r="S9" s="161"/>
      <c r="T9" s="161"/>
      <c r="V9" s="161">
        <f t="shared" si="0"/>
        <v>1156.18071942446</v>
      </c>
      <c r="W9" s="161">
        <f t="shared" si="1"/>
        <v>1156.18071942446</v>
      </c>
      <c r="X9" s="205"/>
      <c r="Y9" s="161">
        <f t="shared" si="2"/>
        <v>2312</v>
      </c>
      <c r="Z9" s="161"/>
    </row>
    <row r="10" spans="1:26">
      <c r="A10">
        <v>316</v>
      </c>
      <c r="C10" s="160">
        <v>5</v>
      </c>
      <c r="D10" s="206">
        <f t="shared" si="3"/>
        <v>433.567769784173</v>
      </c>
      <c r="E10" s="160">
        <v>63</v>
      </c>
      <c r="F10" s="160">
        <v>63</v>
      </c>
      <c r="G10" s="160">
        <v>133</v>
      </c>
      <c r="H10" s="160">
        <v>494</v>
      </c>
      <c r="I10" s="160">
        <v>494</v>
      </c>
      <c r="J10" s="160">
        <v>494</v>
      </c>
      <c r="K10" s="160">
        <v>494</v>
      </c>
      <c r="L10" s="160">
        <v>494</v>
      </c>
      <c r="M10" s="160">
        <v>247</v>
      </c>
      <c r="P10" s="161">
        <f>基础面板属性!D35</f>
        <v>8</v>
      </c>
      <c r="Q10" s="161">
        <f>基础面板属性!D38</f>
        <v>8</v>
      </c>
      <c r="R10" s="205"/>
      <c r="S10" s="161"/>
      <c r="T10" s="161"/>
      <c r="V10" s="161">
        <f t="shared" si="0"/>
        <v>1156.18071942446</v>
      </c>
      <c r="W10" s="161">
        <f t="shared" si="1"/>
        <v>1156.18071942446</v>
      </c>
      <c r="X10" s="205"/>
      <c r="Y10" s="161"/>
      <c r="Z10" s="161"/>
    </row>
    <row r="11" spans="1:26">
      <c r="A11">
        <v>379</v>
      </c>
      <c r="C11" s="160">
        <v>6</v>
      </c>
      <c r="D11" s="206">
        <f t="shared" si="3"/>
        <v>520.281323741007</v>
      </c>
      <c r="E11" s="160">
        <v>75</v>
      </c>
      <c r="F11" s="160">
        <v>75</v>
      </c>
      <c r="G11" s="160">
        <v>160</v>
      </c>
      <c r="H11" s="160">
        <v>593</v>
      </c>
      <c r="I11" s="160">
        <v>593</v>
      </c>
      <c r="J11" s="160">
        <v>593</v>
      </c>
      <c r="K11" s="160">
        <v>593</v>
      </c>
      <c r="L11" s="160">
        <v>593</v>
      </c>
      <c r="M11" s="160">
        <v>297</v>
      </c>
      <c r="P11" s="161">
        <f>基础面板属性!D45</f>
        <v>8</v>
      </c>
      <c r="Q11" s="161"/>
      <c r="R11" s="205">
        <f>基础面板属性!D56</f>
        <v>8</v>
      </c>
      <c r="S11" s="161">
        <f>基础面板属性!D57</f>
        <v>8</v>
      </c>
      <c r="T11" s="161">
        <f>基础面板属性!D58</f>
        <v>8</v>
      </c>
      <c r="V11" s="161">
        <f t="shared" si="0"/>
        <v>1156.18071942446</v>
      </c>
      <c r="W11" s="161"/>
      <c r="X11" s="161">
        <f>INDEX($C$4:$D$13,R11+2,2)</f>
        <v>1156.18071942446</v>
      </c>
      <c r="Y11" s="161">
        <f>INDEX($C$4:$D$13,S11+2,2)</f>
        <v>1156.18071942446</v>
      </c>
      <c r="Z11" s="161">
        <f>INDEX($C$4:$D$13,T11+2,2)</f>
        <v>1156.18071942446</v>
      </c>
    </row>
    <row r="12" spans="1:26">
      <c r="A12">
        <v>569</v>
      </c>
      <c r="C12" s="160">
        <v>7</v>
      </c>
      <c r="D12" s="206">
        <f t="shared" si="3"/>
        <v>780.421985611511</v>
      </c>
      <c r="E12" s="160">
        <v>113</v>
      </c>
      <c r="F12" s="160">
        <v>113</v>
      </c>
      <c r="G12" s="160">
        <v>241</v>
      </c>
      <c r="H12" s="160">
        <v>889</v>
      </c>
      <c r="I12" s="160">
        <v>889</v>
      </c>
      <c r="J12" s="160">
        <v>889</v>
      </c>
      <c r="K12" s="160">
        <v>889</v>
      </c>
      <c r="L12" s="160">
        <v>889</v>
      </c>
      <c r="M12" s="160">
        <v>446</v>
      </c>
      <c r="P12" s="161">
        <f>基础面板属性!D48</f>
        <v>8</v>
      </c>
      <c r="Q12" s="161">
        <f>基础面板属性!D49</f>
        <v>8</v>
      </c>
      <c r="V12" s="161">
        <f t="shared" si="0"/>
        <v>1156.18071942446</v>
      </c>
      <c r="W12" s="161">
        <f t="shared" si="0"/>
        <v>1156.18071942446</v>
      </c>
    </row>
    <row r="13" spans="1:26">
      <c r="A13">
        <v>843</v>
      </c>
      <c r="C13" s="160">
        <v>8</v>
      </c>
      <c r="D13" s="206">
        <f t="shared" si="3"/>
        <v>1156.18071942446</v>
      </c>
      <c r="E13" s="160">
        <v>168</v>
      </c>
      <c r="F13" s="160">
        <v>168</v>
      </c>
      <c r="G13" s="160">
        <v>357</v>
      </c>
      <c r="H13" s="160">
        <v>1317</v>
      </c>
      <c r="I13" s="160">
        <v>1317</v>
      </c>
      <c r="J13" s="160">
        <v>1317</v>
      </c>
      <c r="K13" s="160">
        <v>1317</v>
      </c>
      <c r="L13" s="160">
        <v>1317</v>
      </c>
      <c r="M13" s="160">
        <v>661</v>
      </c>
      <c r="P13" s="161">
        <f>基础面板属性!D50</f>
        <v>8</v>
      </c>
      <c r="Q13" s="161"/>
      <c r="V13" s="161">
        <f t="shared" si="0"/>
        <v>1156.18071942446</v>
      </c>
      <c r="W13" s="161"/>
      <c r="Y13" t="s">
        <v>2357</v>
      </c>
      <c r="Z13">
        <f>SUM(Y4:Y9,Z4:Z6)+INT((Z7+Z8)/2)</f>
        <v>20809</v>
      </c>
    </row>
    <row r="14" spans="1:26">
      <c r="D14" s="207"/>
      <c r="Y14" t="s">
        <v>2358</v>
      </c>
      <c r="Z14">
        <f>INT((IFERROR(INDEX($C$16:$D$25,MATCH(配装计算器!$E$30&amp;"1",镶嵌库!$C$16:$C$25,0),2),0)+IFERROR(INDEX($C$16:$D$25,MATCH(配装计算器!$G$30&amp;"1",镶嵌库!$C$16:$C$25,0),2),0))/2)</f>
        <v>9240</v>
      </c>
    </row>
    <row r="16" spans="1:26">
      <c r="A16" s="161" t="s">
        <v>2359</v>
      </c>
      <c r="B16" s="161" t="s">
        <v>2360</v>
      </c>
      <c r="C16" s="160" t="s">
        <v>2361</v>
      </c>
      <c r="D16" s="160" t="s">
        <v>2355</v>
      </c>
      <c r="E16" s="160" t="s">
        <v>64</v>
      </c>
      <c r="F16" s="160" t="s">
        <v>65</v>
      </c>
      <c r="G16" s="160" t="s">
        <v>66</v>
      </c>
      <c r="H16" s="160" t="s">
        <v>7</v>
      </c>
      <c r="I16" s="160" t="s">
        <v>9</v>
      </c>
      <c r="J16" s="160" t="s">
        <v>28</v>
      </c>
      <c r="K16" s="160" t="s">
        <v>34</v>
      </c>
      <c r="L16" s="160" t="s">
        <v>21</v>
      </c>
      <c r="M16" s="160" t="s">
        <v>67</v>
      </c>
      <c r="N16" s="160" t="s">
        <v>69</v>
      </c>
      <c r="O16" s="160" t="s">
        <v>1999</v>
      </c>
      <c r="Q16" t="s">
        <v>2362</v>
      </c>
      <c r="R16">
        <f>IF(IFERROR(MATCH("彩·"&amp;Q17&amp;"·"&amp;Q18&amp;"·"&amp;Q19,$C$29:$C$136,0),0)&gt;0,1,0)</f>
        <v>1</v>
      </c>
      <c r="T16" s="167" t="s">
        <v>2363</v>
      </c>
      <c r="U16">
        <f>IF(IFERROR(MATCH("彩·"&amp;T17&amp;"·"&amp;T18&amp;"·"&amp;T19,$C$29:$C$136,0),0)&gt;0,1,0)</f>
        <v>1</v>
      </c>
      <c r="X16" t="s">
        <v>2364</v>
      </c>
    </row>
    <row r="17" spans="1:25">
      <c r="A17" s="161">
        <v>11</v>
      </c>
      <c r="B17" s="161">
        <v>40</v>
      </c>
      <c r="C17" s="160" t="s">
        <v>2365</v>
      </c>
      <c r="D17" s="160">
        <v>6160</v>
      </c>
      <c r="E17" s="160">
        <v>125</v>
      </c>
      <c r="F17" s="160">
        <v>125</v>
      </c>
      <c r="G17" s="160">
        <v>265</v>
      </c>
      <c r="H17" s="160">
        <v>975</v>
      </c>
      <c r="I17" s="160">
        <v>975</v>
      </c>
      <c r="J17" s="160">
        <v>975</v>
      </c>
      <c r="K17" s="160">
        <v>975</v>
      </c>
      <c r="L17" s="160">
        <v>975</v>
      </c>
      <c r="M17" s="160">
        <v>975</v>
      </c>
      <c r="N17" s="160">
        <v>397</v>
      </c>
      <c r="O17" s="160"/>
      <c r="Q17" t="str">
        <f>配装计算器!E31</f>
        <v>破防</v>
      </c>
      <c r="R17">
        <f>IF(AND(Q$21&gt;=$Q22,R$21&gt;=$R22),1,0)</f>
        <v>1</v>
      </c>
      <c r="T17" t="str">
        <f>配装计算器!G31</f>
        <v>破防</v>
      </c>
      <c r="U17">
        <f>IF(AND(T$21&gt;=$T22,U$21&gt;=$U22),1,0)</f>
        <v>1</v>
      </c>
      <c r="X17" t="s">
        <v>2366</v>
      </c>
      <c r="Y17">
        <f>IFERROR(1*LEFT(配装计算器!$K$32,1),0)</f>
        <v>8</v>
      </c>
    </row>
    <row r="18" ht="20.25" customHeight="1" spans="1:25">
      <c r="A18" s="161">
        <v>12</v>
      </c>
      <c r="B18" s="161">
        <v>60</v>
      </c>
      <c r="C18" s="160" t="s">
        <v>2367</v>
      </c>
      <c r="D18" s="160"/>
      <c r="E18" s="160"/>
      <c r="F18" s="160"/>
      <c r="G18" s="160">
        <v>530</v>
      </c>
      <c r="H18" s="160">
        <v>1950</v>
      </c>
      <c r="I18" s="160">
        <v>1950</v>
      </c>
      <c r="J18" s="160">
        <v>1950</v>
      </c>
      <c r="K18" s="160">
        <v>1950</v>
      </c>
      <c r="L18" s="160">
        <v>1950</v>
      </c>
      <c r="M18" s="160">
        <v>1950</v>
      </c>
      <c r="N18" s="160">
        <v>795</v>
      </c>
      <c r="O18" s="160"/>
      <c r="Q18" t="str">
        <f>配装计算器!E32</f>
        <v>无双</v>
      </c>
      <c r="R18">
        <f>IF(AND(Q$21&gt;=$Q23,R$21&gt;=$R23),2,0)</f>
        <v>2</v>
      </c>
      <c r="T18" t="str">
        <f>配装计算器!G32</f>
        <v>无双</v>
      </c>
      <c r="U18">
        <f>IF(AND(T$21&gt;=$T23,U$21&gt;=$U23),2,0)</f>
        <v>2</v>
      </c>
      <c r="X18" t="s">
        <v>1986</v>
      </c>
      <c r="Y18" s="208" t="str">
        <f>IF(配装计算器!$K$32="不使用","",配装计算器!$K$32)</f>
        <v>8级</v>
      </c>
    </row>
    <row r="19" spans="1:25">
      <c r="A19" s="161">
        <v>14</v>
      </c>
      <c r="B19" s="161">
        <v>72</v>
      </c>
      <c r="C19" s="160" t="s">
        <v>2368</v>
      </c>
      <c r="D19" s="160"/>
      <c r="E19" s="160"/>
      <c r="F19" s="160"/>
      <c r="G19" s="160">
        <v>1060</v>
      </c>
      <c r="H19" s="160">
        <v>3900</v>
      </c>
      <c r="I19" s="160">
        <v>3900</v>
      </c>
      <c r="J19" s="160">
        <v>3900</v>
      </c>
      <c r="K19" s="160">
        <v>3900</v>
      </c>
      <c r="L19" s="160">
        <v>3900</v>
      </c>
      <c r="M19" s="160">
        <v>3900</v>
      </c>
      <c r="N19" s="160">
        <v>1590</v>
      </c>
      <c r="O19" s="160">
        <v>61</v>
      </c>
      <c r="Q19" t="str">
        <f>配装计算器!E33</f>
        <v>会效</v>
      </c>
      <c r="R19">
        <f>IF(AND(Q$21&gt;=$Q24,R$21&gt;=$R24),3,0)</f>
        <v>3</v>
      </c>
      <c r="T19" t="str">
        <f>配装计算器!G33</f>
        <v>会效</v>
      </c>
      <c r="U19">
        <f>IF(AND(T$21&gt;=$T24,U$21&gt;=$U24),3,0)</f>
        <v>3</v>
      </c>
    </row>
    <row r="20" spans="1:25">
      <c r="A20" s="161">
        <v>13</v>
      </c>
      <c r="B20" s="161">
        <v>45</v>
      </c>
      <c r="C20" s="160" t="s">
        <v>2369</v>
      </c>
      <c r="D20" s="160">
        <v>7700</v>
      </c>
      <c r="E20" s="160">
        <v>156</v>
      </c>
      <c r="F20" s="160">
        <v>156</v>
      </c>
      <c r="G20" s="160">
        <v>331</v>
      </c>
      <c r="H20" s="160">
        <v>1219</v>
      </c>
      <c r="I20" s="160">
        <v>1219</v>
      </c>
      <c r="J20" s="160">
        <v>1219</v>
      </c>
      <c r="K20" s="160">
        <v>1219</v>
      </c>
      <c r="L20" s="160">
        <v>1219</v>
      </c>
      <c r="M20" s="160">
        <v>1219</v>
      </c>
      <c r="N20" s="160">
        <v>497</v>
      </c>
      <c r="O20" s="160"/>
    </row>
    <row r="21" spans="1:25">
      <c r="A21" s="161">
        <v>14</v>
      </c>
      <c r="B21" s="161">
        <v>75</v>
      </c>
      <c r="C21" s="160" t="s">
        <v>2370</v>
      </c>
      <c r="D21" s="160"/>
      <c r="E21" s="160"/>
      <c r="F21" s="160"/>
      <c r="G21" s="160">
        <v>662</v>
      </c>
      <c r="H21" s="160">
        <v>2438</v>
      </c>
      <c r="I21" s="160">
        <v>2438</v>
      </c>
      <c r="J21" s="160">
        <v>2438</v>
      </c>
      <c r="K21" s="160">
        <v>2438</v>
      </c>
      <c r="L21" s="160">
        <v>2438</v>
      </c>
      <c r="M21" s="160">
        <v>2438</v>
      </c>
      <c r="N21" s="160">
        <v>994</v>
      </c>
      <c r="O21" s="160"/>
      <c r="Q21">
        <f>COUNTIF(P4:Q13,"&gt;0")</f>
        <v>18</v>
      </c>
      <c r="R21">
        <f>SUM(P4:Q13)</f>
        <v>144</v>
      </c>
      <c r="T21">
        <f>COUNTIF(P4:T11,"&gt;0")</f>
        <v>18</v>
      </c>
      <c r="U21">
        <f>SUM(P4:T11)</f>
        <v>144</v>
      </c>
    </row>
    <row r="22" spans="1:25">
      <c r="A22" s="161">
        <v>16</v>
      </c>
      <c r="B22" s="161">
        <v>90</v>
      </c>
      <c r="C22" s="160" t="s">
        <v>2371</v>
      </c>
      <c r="D22" s="160"/>
      <c r="E22" s="160"/>
      <c r="F22" s="160"/>
      <c r="G22" s="160">
        <v>1325</v>
      </c>
      <c r="H22" s="160">
        <v>4875</v>
      </c>
      <c r="I22" s="160">
        <v>4875</v>
      </c>
      <c r="J22" s="160">
        <v>4875</v>
      </c>
      <c r="K22" s="160">
        <v>4875</v>
      </c>
      <c r="L22" s="160">
        <v>4875</v>
      </c>
      <c r="M22" s="160">
        <v>4875</v>
      </c>
      <c r="N22" s="160">
        <v>1987</v>
      </c>
      <c r="O22" s="160">
        <v>71</v>
      </c>
      <c r="Q22">
        <f>IFERROR(INDEX(镶嵌库!$A$16:$C$25,MATCH(配装计算器!$E$30&amp;"1",镶嵌库!$C$16:$C$25,0)+ROW()-ROW(镶嵌库!$P$22),1),999)</f>
        <v>14</v>
      </c>
      <c r="R22">
        <f>IFERROR(INDEX(镶嵌库!$A$16:$C$25,MATCH(配装计算器!$E$30&amp;"1",镶嵌库!$C$16:$C$25,0)+ROW()-ROW(镶嵌库!$P$22),2),999)</f>
        <v>50</v>
      </c>
      <c r="T22">
        <f>IFERROR(INDEX(镶嵌库!$A$16:$C$25,MATCH(配装计算器!$G$30&amp;"1",镶嵌库!$C$16:$C$25,0)+ROW()-ROW(镶嵌库!$P$22),1),999)</f>
        <v>14</v>
      </c>
      <c r="U22">
        <f>IFERROR(INDEX(镶嵌库!$A$16:$C$25,MATCH(配装计算器!$G$30&amp;"1",镶嵌库!$C$16:$C$25,0)+ROW()-ROW(镶嵌库!$P$22),2),999)</f>
        <v>50</v>
      </c>
    </row>
    <row r="23" spans="1:25">
      <c r="A23" s="161">
        <v>14</v>
      </c>
      <c r="B23" s="161">
        <v>50</v>
      </c>
      <c r="C23" s="160" t="s">
        <v>2372</v>
      </c>
      <c r="D23" s="160">
        <v>9240</v>
      </c>
      <c r="E23" s="160">
        <v>188</v>
      </c>
      <c r="F23" s="160">
        <v>188</v>
      </c>
      <c r="G23" s="160">
        <v>397</v>
      </c>
      <c r="H23" s="160">
        <v>1463</v>
      </c>
      <c r="I23" s="160">
        <v>1463</v>
      </c>
      <c r="J23" s="160">
        <v>1463</v>
      </c>
      <c r="K23" s="160">
        <v>1463</v>
      </c>
      <c r="L23" s="160">
        <v>1463</v>
      </c>
      <c r="M23" s="160">
        <v>1463</v>
      </c>
      <c r="N23" s="160">
        <v>596</v>
      </c>
      <c r="O23" s="160"/>
      <c r="Q23">
        <f>IFERROR(INDEX(镶嵌库!$A$16:$C$25,MATCH(配装计算器!$E$30&amp;"1",镶嵌库!$C$16:$C$25,0)+ROW()-ROW(镶嵌库!$P$22),1),999)</f>
        <v>16</v>
      </c>
      <c r="R23">
        <f>IFERROR(INDEX(镶嵌库!$A$16:$C$25,MATCH(配装计算器!$E$30&amp;"1",镶嵌库!$C$16:$C$25,0)+ROW()-ROW(镶嵌库!$P$22),2),999)</f>
        <v>90</v>
      </c>
      <c r="T23">
        <f>IFERROR(INDEX(镶嵌库!$A$16:$C$25,MATCH(配装计算器!$G$30&amp;"1",镶嵌库!$C$16:$C$25,0)+ROW()-ROW(镶嵌库!$P$22),1),999)</f>
        <v>16</v>
      </c>
      <c r="U23">
        <f>IFERROR(INDEX(镶嵌库!$A$16:$C$25,MATCH(配装计算器!$G$30&amp;"1",镶嵌库!$C$16:$C$25,0)+ROW()-ROW(镶嵌库!$P$22),2),999)</f>
        <v>90</v>
      </c>
    </row>
    <row r="24" spans="1:25">
      <c r="A24" s="161">
        <v>16</v>
      </c>
      <c r="B24" s="161">
        <v>90</v>
      </c>
      <c r="C24" s="160" t="s">
        <v>2373</v>
      </c>
      <c r="D24" s="160"/>
      <c r="E24" s="160"/>
      <c r="F24" s="160"/>
      <c r="G24" s="160">
        <v>795</v>
      </c>
      <c r="H24" s="160">
        <v>2925</v>
      </c>
      <c r="I24" s="160">
        <v>2925</v>
      </c>
      <c r="J24" s="160">
        <v>2925</v>
      </c>
      <c r="K24" s="160">
        <v>2925</v>
      </c>
      <c r="L24" s="160">
        <v>2925</v>
      </c>
      <c r="M24" s="160">
        <v>2925</v>
      </c>
      <c r="N24" s="160">
        <v>1192</v>
      </c>
      <c r="O24" s="160"/>
      <c r="Q24">
        <f>IFERROR(INDEX(镶嵌库!$A$16:$C$25,MATCH(配装计算器!$E$30&amp;"1",镶嵌库!$C$16:$C$25,0)+ROW()-ROW(镶嵌库!$P$22),1),999)</f>
        <v>18</v>
      </c>
      <c r="R24">
        <f>IFERROR(INDEX(镶嵌库!$A$16:$C$25,MATCH(配装计算器!$E$30&amp;"1",镶嵌库!$C$16:$C$25,0)+ROW()-ROW(镶嵌库!$P$22),2),999)</f>
        <v>108</v>
      </c>
      <c r="T24">
        <f>IFERROR(INDEX(镶嵌库!$A$16:$C$25,MATCH(配装计算器!$G$30&amp;"1",镶嵌库!$C$16:$C$25,0)+ROW()-ROW(镶嵌库!$P$22),1),999)</f>
        <v>18</v>
      </c>
      <c r="U24">
        <f>IFERROR(INDEX(镶嵌库!$A$16:$C$25,MATCH(配装计算器!$G$30&amp;"1",镶嵌库!$C$16:$C$25,0)+ROW()-ROW(镶嵌库!$P$22),2),999)</f>
        <v>108</v>
      </c>
    </row>
    <row r="25" spans="1:25">
      <c r="A25" s="161">
        <v>18</v>
      </c>
      <c r="B25" s="161">
        <v>108</v>
      </c>
      <c r="C25" s="160" t="s">
        <v>2374</v>
      </c>
      <c r="D25" s="160"/>
      <c r="E25" s="160"/>
      <c r="F25" s="160"/>
      <c r="G25" s="160">
        <v>1590</v>
      </c>
      <c r="H25" s="160">
        <v>5850</v>
      </c>
      <c r="I25" s="160">
        <v>5850</v>
      </c>
      <c r="J25" s="160">
        <v>5850</v>
      </c>
      <c r="K25" s="160">
        <v>5850</v>
      </c>
      <c r="L25" s="160">
        <v>5850</v>
      </c>
      <c r="M25" s="160">
        <v>5850</v>
      </c>
      <c r="N25" s="160">
        <v>2385</v>
      </c>
      <c r="O25" s="160">
        <v>81</v>
      </c>
    </row>
    <row r="29" spans="1:25">
      <c r="C29" s="161" t="s">
        <v>2375</v>
      </c>
      <c r="E29" t="s">
        <v>2376</v>
      </c>
      <c r="G29" s="161" t="s">
        <v>2377</v>
      </c>
      <c r="H29" s="161" t="s">
        <v>2378</v>
      </c>
      <c r="I29" s="161" t="s">
        <v>2379</v>
      </c>
      <c r="J29" s="161" t="s">
        <v>2380</v>
      </c>
      <c r="K29" s="161" t="s">
        <v>2381</v>
      </c>
      <c r="L29" s="161" t="s">
        <v>2382</v>
      </c>
      <c r="M29" s="161" t="s">
        <v>2383</v>
      </c>
      <c r="N29" s="209" t="s">
        <v>2384</v>
      </c>
      <c r="O29" s="161" t="s">
        <v>2385</v>
      </c>
      <c r="P29" s="161" t="s">
        <v>2386</v>
      </c>
    </row>
    <row r="30" spans="1:25">
      <c r="C30" s="161" t="s">
        <v>2387</v>
      </c>
      <c r="E30" s="161" t="s">
        <v>64</v>
      </c>
      <c r="G30" s="209" t="s">
        <v>66</v>
      </c>
      <c r="H30" s="161" t="s">
        <v>28</v>
      </c>
      <c r="I30" s="161" t="s">
        <v>66</v>
      </c>
      <c r="J30" s="210" t="s">
        <v>9</v>
      </c>
      <c r="K30" s="161" t="s">
        <v>66</v>
      </c>
      <c r="L30" s="205" t="s">
        <v>9</v>
      </c>
      <c r="M30" s="161" t="s">
        <v>9</v>
      </c>
      <c r="N30" s="209" t="s">
        <v>7</v>
      </c>
      <c r="O30" s="161" t="s">
        <v>34</v>
      </c>
      <c r="P30" s="161" t="s">
        <v>34</v>
      </c>
    </row>
    <row r="31" spans="1:25">
      <c r="C31" s="161" t="s">
        <v>2388</v>
      </c>
      <c r="E31" s="161" t="s">
        <v>66</v>
      </c>
      <c r="G31" s="209" t="s">
        <v>28</v>
      </c>
      <c r="H31" s="161" t="s">
        <v>9</v>
      </c>
      <c r="I31" s="161" t="s">
        <v>9</v>
      </c>
      <c r="J31" s="210" t="s">
        <v>66</v>
      </c>
      <c r="K31" s="161" t="s">
        <v>28</v>
      </c>
      <c r="L31" s="205" t="s">
        <v>67</v>
      </c>
      <c r="M31" s="161" t="s">
        <v>67</v>
      </c>
      <c r="O31" s="161" t="s">
        <v>66</v>
      </c>
      <c r="P31" s="161" t="s">
        <v>66</v>
      </c>
    </row>
    <row r="32" spans="1:25">
      <c r="C32" s="161" t="s">
        <v>2389</v>
      </c>
      <c r="E32" s="161" t="s">
        <v>28</v>
      </c>
      <c r="G32" s="209" t="s">
        <v>9</v>
      </c>
      <c r="H32" s="161" t="s">
        <v>67</v>
      </c>
      <c r="I32" s="161" t="s">
        <v>69</v>
      </c>
      <c r="J32" s="210" t="s">
        <v>28</v>
      </c>
      <c r="K32" s="161" t="s">
        <v>69</v>
      </c>
      <c r="L32" s="205" t="s">
        <v>66</v>
      </c>
      <c r="M32" s="161" t="s">
        <v>66</v>
      </c>
      <c r="O32" s="161" t="s">
        <v>21</v>
      </c>
      <c r="P32" s="161" t="s">
        <v>9</v>
      </c>
    </row>
    <row r="33" spans="3:16">
      <c r="C33" s="161" t="s">
        <v>2390</v>
      </c>
      <c r="E33" s="161" t="s">
        <v>7</v>
      </c>
      <c r="G33" s="209" t="s">
        <v>67</v>
      </c>
      <c r="H33" s="161" t="s">
        <v>69</v>
      </c>
      <c r="I33" s="161" t="s">
        <v>34</v>
      </c>
      <c r="K33" s="161" t="s">
        <v>34</v>
      </c>
      <c r="L33" s="205" t="s">
        <v>28</v>
      </c>
      <c r="M33" s="161" t="s">
        <v>28</v>
      </c>
      <c r="P33" s="161" t="s">
        <v>21</v>
      </c>
    </row>
    <row r="34" spans="3:16">
      <c r="C34" s="161" t="s">
        <v>2391</v>
      </c>
      <c r="E34" s="161" t="s">
        <v>9</v>
      </c>
      <c r="H34" s="161" t="s">
        <v>34</v>
      </c>
      <c r="I34" s="161" t="s">
        <v>21</v>
      </c>
      <c r="K34" s="161" t="s">
        <v>21</v>
      </c>
      <c r="P34" s="161" t="s">
        <v>28</v>
      </c>
    </row>
    <row r="35" spans="3:16">
      <c r="C35" s="161" t="s">
        <v>2392</v>
      </c>
      <c r="E35" s="161" t="s">
        <v>34</v>
      </c>
      <c r="H35" s="161" t="s">
        <v>21</v>
      </c>
    </row>
    <row r="36" spans="3:16">
      <c r="C36" s="161" t="s">
        <v>2393</v>
      </c>
      <c r="E36" s="161" t="s">
        <v>21</v>
      </c>
    </row>
    <row r="37" spans="3:16">
      <c r="C37" s="161" t="s">
        <v>2394</v>
      </c>
      <c r="E37" s="161" t="s">
        <v>79</v>
      </c>
    </row>
    <row r="38" spans="3:16">
      <c r="C38" s="161" t="s">
        <v>2395</v>
      </c>
      <c r="E38" s="161" t="s">
        <v>67</v>
      </c>
    </row>
    <row r="39" spans="3:16">
      <c r="C39" s="161" t="s">
        <v>2396</v>
      </c>
      <c r="E39" s="161" t="s">
        <v>69</v>
      </c>
    </row>
    <row r="40" spans="3:16">
      <c r="C40" s="161" t="s">
        <v>2397</v>
      </c>
    </row>
    <row r="41" spans="3:16">
      <c r="C41" s="161" t="s">
        <v>2398</v>
      </c>
    </row>
    <row r="42" spans="3:16">
      <c r="C42" s="161" t="s">
        <v>2399</v>
      </c>
    </row>
    <row r="43" spans="3:16">
      <c r="C43" s="161" t="s">
        <v>2400</v>
      </c>
    </row>
    <row r="44" spans="3:16">
      <c r="C44" s="161" t="s">
        <v>2401</v>
      </c>
    </row>
    <row r="45" spans="3:16">
      <c r="C45" s="161" t="s">
        <v>2402</v>
      </c>
    </row>
    <row r="46" spans="3:16">
      <c r="C46" s="161" t="s">
        <v>2403</v>
      </c>
    </row>
    <row r="47" spans="3:16">
      <c r="C47" s="161" t="s">
        <v>2404</v>
      </c>
      <c r="E47" s="161" t="s">
        <v>2405</v>
      </c>
      <c r="F47" s="161" t="s">
        <v>2406</v>
      </c>
      <c r="G47" s="161">
        <f>MAX(G48:G55)</f>
        <v>3</v>
      </c>
      <c r="H47" s="161" t="s">
        <v>2407</v>
      </c>
      <c r="I47" s="161" t="s">
        <v>2408</v>
      </c>
      <c r="J47" s="161" t="s">
        <v>2406</v>
      </c>
      <c r="K47" s="161">
        <f>MAX(K48:K55)</f>
        <v>3</v>
      </c>
      <c r="L47" s="161" t="s">
        <v>2407</v>
      </c>
      <c r="M47" s="161" t="s">
        <v>2409</v>
      </c>
    </row>
    <row r="48" spans="3:16">
      <c r="C48" s="161" t="s">
        <v>2410</v>
      </c>
      <c r="E48" s="209" t="s">
        <v>66</v>
      </c>
      <c r="F48" s="161">
        <f t="shared" ref="F48:F55" si="4">IF(IFERROR(MATCH("彩·"&amp;$Q$17&amp;"·"&amp;$Q$18&amp;"·"&amp;$E48,$C$29:$C$150,0),0)&gt;0,1,0)</f>
        <v>1</v>
      </c>
      <c r="G48" s="161">
        <f>SUM($F$48:F48)</f>
        <v>1</v>
      </c>
      <c r="H48" s="161">
        <v>1</v>
      </c>
      <c r="I48" s="161" t="str">
        <f>IF(H48&lt;=$G$47,INDEX($E$48:$E$55,MATCH(H48,$G$48:$G$55,0),1),"")</f>
        <v>攻击</v>
      </c>
      <c r="J48" s="161">
        <f t="shared" ref="J48:J55" si="5">IF(IFERROR(MATCH("彩·"&amp;$T$17&amp;"·"&amp;$T$18&amp;"·"&amp;$E48,$C$29:$C$150,0),0)&gt;0,1,0)</f>
        <v>1</v>
      </c>
      <c r="K48" s="161">
        <f>SUM($J$48:J48)</f>
        <v>1</v>
      </c>
      <c r="L48" s="161">
        <v>1</v>
      </c>
      <c r="M48" s="161" t="str">
        <f>IF(L48&lt;=$K$47,INDEX($E$48:$E$55,MATCH(L48,$K$48:$K$55,0),1),"")</f>
        <v>攻击</v>
      </c>
    </row>
    <row r="49" spans="3:13">
      <c r="C49" s="161" t="s">
        <v>2411</v>
      </c>
      <c r="E49" s="209" t="s">
        <v>28</v>
      </c>
      <c r="F49" s="161">
        <f t="shared" si="4"/>
        <v>0</v>
      </c>
      <c r="G49" s="161">
        <f>SUM($F$48:F49)</f>
        <v>1</v>
      </c>
      <c r="H49" s="161">
        <v>2</v>
      </c>
      <c r="I49" s="161" t="str">
        <f t="shared" ref="I49:I55" si="6">IF(H49&lt;=$G$47,INDEX($E$48:$E$55,MATCH(H49,$G$48:$G$55,0),1),"")</f>
        <v>会效</v>
      </c>
      <c r="J49" s="161">
        <f t="shared" si="5"/>
        <v>0</v>
      </c>
      <c r="K49" s="161">
        <f>SUM($J$48:J49)</f>
        <v>1</v>
      </c>
      <c r="L49" s="161">
        <v>2</v>
      </c>
      <c r="M49" s="161" t="str">
        <f t="shared" ref="M49:M55" si="7">IF(L49&lt;=$K$47,INDEX($E$48:$E$55,MATCH(L49,$K$48:$K$55,0),1),"")</f>
        <v>会效</v>
      </c>
    </row>
    <row r="50" spans="3:13">
      <c r="C50" s="161" t="s">
        <v>2412</v>
      </c>
      <c r="E50" s="209" t="s">
        <v>9</v>
      </c>
      <c r="F50" s="161">
        <f t="shared" si="4"/>
        <v>1</v>
      </c>
      <c r="G50" s="161">
        <f>SUM($F$48:F50)</f>
        <v>2</v>
      </c>
      <c r="H50" s="161">
        <v>3</v>
      </c>
      <c r="I50" s="161" t="str">
        <f t="shared" si="6"/>
        <v>武器伤害</v>
      </c>
      <c r="J50" s="161">
        <f t="shared" si="5"/>
        <v>1</v>
      </c>
      <c r="K50" s="161">
        <f>SUM($J$48:J50)</f>
        <v>2</v>
      </c>
      <c r="L50" s="161">
        <v>3</v>
      </c>
      <c r="M50" s="161" t="str">
        <f t="shared" si="7"/>
        <v>武器伤害</v>
      </c>
    </row>
    <row r="51" spans="3:13">
      <c r="C51" s="161" t="s">
        <v>2413</v>
      </c>
      <c r="E51" s="209" t="s">
        <v>69</v>
      </c>
      <c r="F51" s="161">
        <f t="shared" si="4"/>
        <v>1</v>
      </c>
      <c r="G51" s="161">
        <f>SUM($F$48:F51)</f>
        <v>3</v>
      </c>
      <c r="H51" s="161">
        <v>4</v>
      </c>
      <c r="I51" s="161" t="str">
        <f t="shared" si="6"/>
        <v/>
      </c>
      <c r="J51" s="161">
        <f t="shared" si="5"/>
        <v>1</v>
      </c>
      <c r="K51" s="161">
        <f>SUM($J$48:J51)</f>
        <v>3</v>
      </c>
      <c r="L51" s="161">
        <v>4</v>
      </c>
      <c r="M51" s="161" t="str">
        <f t="shared" si="7"/>
        <v/>
      </c>
    </row>
    <row r="52" spans="3:13">
      <c r="C52" s="161" t="s">
        <v>2414</v>
      </c>
      <c r="E52" s="209" t="s">
        <v>1999</v>
      </c>
      <c r="F52" s="161">
        <f t="shared" si="4"/>
        <v>0</v>
      </c>
      <c r="G52" s="161">
        <f>SUM($F$48:F52)</f>
        <v>3</v>
      </c>
      <c r="H52" s="161">
        <v>5</v>
      </c>
      <c r="I52" s="161" t="str">
        <f t="shared" si="6"/>
        <v/>
      </c>
      <c r="J52" s="161">
        <f t="shared" si="5"/>
        <v>0</v>
      </c>
      <c r="K52" s="161">
        <f>SUM($J$48:J52)</f>
        <v>3</v>
      </c>
      <c r="L52" s="161">
        <v>5</v>
      </c>
      <c r="M52" s="161" t="str">
        <f t="shared" si="7"/>
        <v/>
      </c>
    </row>
    <row r="53" spans="3:13">
      <c r="C53" s="161" t="s">
        <v>2415</v>
      </c>
      <c r="E53" s="209" t="s">
        <v>34</v>
      </c>
      <c r="F53" s="161">
        <f t="shared" si="4"/>
        <v>0</v>
      </c>
      <c r="G53" s="161">
        <f>SUM($F$48:F53)</f>
        <v>3</v>
      </c>
      <c r="H53" s="161">
        <v>6</v>
      </c>
      <c r="I53" s="161" t="str">
        <f t="shared" si="6"/>
        <v/>
      </c>
      <c r="J53" s="161">
        <f t="shared" si="5"/>
        <v>0</v>
      </c>
      <c r="K53" s="161">
        <f>SUM($J$48:J53)</f>
        <v>3</v>
      </c>
      <c r="L53" s="161">
        <v>6</v>
      </c>
      <c r="M53" s="161" t="str">
        <f t="shared" si="7"/>
        <v/>
      </c>
    </row>
    <row r="54" spans="3:13">
      <c r="C54" s="161" t="s">
        <v>2416</v>
      </c>
      <c r="E54" s="209" t="s">
        <v>21</v>
      </c>
      <c r="F54" s="161">
        <f t="shared" si="4"/>
        <v>0</v>
      </c>
      <c r="G54" s="161">
        <f>SUM($F$48:F54)</f>
        <v>3</v>
      </c>
      <c r="H54" s="161">
        <v>7</v>
      </c>
      <c r="I54" s="161" t="str">
        <f t="shared" si="6"/>
        <v/>
      </c>
      <c r="J54" s="161">
        <f t="shared" si="5"/>
        <v>0</v>
      </c>
      <c r="K54" s="161">
        <f>SUM($J$48:J54)</f>
        <v>3</v>
      </c>
      <c r="L54" s="161">
        <v>7</v>
      </c>
      <c r="M54" s="161" t="str">
        <f t="shared" si="7"/>
        <v/>
      </c>
    </row>
    <row r="55" spans="3:13">
      <c r="C55" s="161" t="s">
        <v>2417</v>
      </c>
      <c r="E55" s="161" t="s">
        <v>67</v>
      </c>
      <c r="F55" s="161">
        <f t="shared" si="4"/>
        <v>0</v>
      </c>
      <c r="G55" s="161">
        <f>SUM($F$48:F55)</f>
        <v>3</v>
      </c>
      <c r="H55" s="161">
        <v>8</v>
      </c>
      <c r="I55" s="161" t="str">
        <f t="shared" si="6"/>
        <v/>
      </c>
      <c r="J55" s="161">
        <f t="shared" si="5"/>
        <v>0</v>
      </c>
      <c r="K55" s="161">
        <f>SUM($J$48:J55)</f>
        <v>3</v>
      </c>
      <c r="L55" s="161">
        <v>8</v>
      </c>
      <c r="M55" s="161" t="str">
        <f t="shared" si="7"/>
        <v/>
      </c>
    </row>
    <row r="56" spans="3:13">
      <c r="C56" s="161" t="s">
        <v>2418</v>
      </c>
    </row>
    <row r="57" spans="3:13">
      <c r="C57" s="161" t="s">
        <v>2419</v>
      </c>
    </row>
    <row r="58" spans="3:13">
      <c r="C58" s="161" t="s">
        <v>2420</v>
      </c>
    </row>
    <row r="59" spans="3:13">
      <c r="C59" s="161" t="s">
        <v>2421</v>
      </c>
    </row>
    <row r="60" spans="3:13">
      <c r="C60" s="161" t="s">
        <v>2422</v>
      </c>
    </row>
    <row r="61" spans="3:13">
      <c r="C61" s="161" t="s">
        <v>2423</v>
      </c>
    </row>
    <row r="62" spans="3:13">
      <c r="C62" s="161" t="s">
        <v>2424</v>
      </c>
    </row>
    <row r="63" spans="3:13">
      <c r="C63" s="161" t="s">
        <v>2425</v>
      </c>
    </row>
    <row r="64" spans="3:13">
      <c r="C64" s="161" t="s">
        <v>2426</v>
      </c>
    </row>
    <row r="65" spans="3:3">
      <c r="C65" s="161" t="s">
        <v>2427</v>
      </c>
    </row>
    <row r="66" spans="3:3">
      <c r="C66" s="161" t="s">
        <v>2428</v>
      </c>
    </row>
    <row r="67" spans="3:3">
      <c r="C67" s="161" t="s">
        <v>2429</v>
      </c>
    </row>
    <row r="68" spans="3:3">
      <c r="C68" s="161" t="s">
        <v>2430</v>
      </c>
    </row>
    <row r="69" spans="3:3">
      <c r="C69" s="161" t="s">
        <v>2431</v>
      </c>
    </row>
    <row r="70" spans="3:3">
      <c r="C70" s="161" t="s">
        <v>2432</v>
      </c>
    </row>
    <row r="71" spans="3:3">
      <c r="C71" s="161" t="s">
        <v>2433</v>
      </c>
    </row>
    <row r="72" spans="3:3">
      <c r="C72" s="161" t="s">
        <v>2434</v>
      </c>
    </row>
    <row r="73" spans="3:3">
      <c r="C73" s="161" t="s">
        <v>2435</v>
      </c>
    </row>
    <row r="74" spans="3:3">
      <c r="C74" s="161" t="s">
        <v>2436</v>
      </c>
    </row>
    <row r="75" spans="3:3">
      <c r="C75" s="161" t="s">
        <v>2437</v>
      </c>
    </row>
    <row r="76" spans="3:3">
      <c r="C76" s="161" t="s">
        <v>2438</v>
      </c>
    </row>
    <row r="77" spans="3:3">
      <c r="C77" s="161" t="s">
        <v>2439</v>
      </c>
    </row>
    <row r="78" spans="3:3">
      <c r="C78" s="161" t="s">
        <v>2440</v>
      </c>
    </row>
    <row r="79" spans="3:3">
      <c r="C79" s="161" t="s">
        <v>2441</v>
      </c>
    </row>
    <row r="80" spans="3:3">
      <c r="C80" s="161" t="s">
        <v>2442</v>
      </c>
    </row>
    <row r="81" spans="3:4">
      <c r="C81" s="211" t="s">
        <v>2443</v>
      </c>
      <c r="D81">
        <v>1</v>
      </c>
    </row>
    <row r="82" spans="3:4">
      <c r="C82" s="211" t="s">
        <v>2444</v>
      </c>
      <c r="D82">
        <v>1</v>
      </c>
    </row>
    <row r="83" spans="3:4">
      <c r="C83" t="s">
        <v>2445</v>
      </c>
    </row>
    <row r="84" spans="3:4">
      <c r="C84" t="s">
        <v>2446</v>
      </c>
    </row>
    <row r="85" spans="3:4">
      <c r="C85" t="s">
        <v>2447</v>
      </c>
    </row>
    <row r="86" spans="3:4">
      <c r="C86" t="s">
        <v>2448</v>
      </c>
    </row>
    <row r="87" spans="3:4">
      <c r="C87" t="s">
        <v>2449</v>
      </c>
    </row>
    <row r="88" spans="3:4">
      <c r="C88" t="s">
        <v>2450</v>
      </c>
    </row>
    <row r="89" spans="3:4">
      <c r="C89" t="s">
        <v>2451</v>
      </c>
    </row>
    <row r="90" spans="3:4">
      <c r="C90" t="s">
        <v>2452</v>
      </c>
    </row>
    <row r="91" spans="3:4">
      <c r="C91" t="s">
        <v>2453</v>
      </c>
    </row>
    <row r="92" spans="3:4">
      <c r="C92" t="s">
        <v>2454</v>
      </c>
    </row>
    <row r="93" spans="3:4">
      <c r="C93" t="s">
        <v>2455</v>
      </c>
    </row>
    <row r="94" spans="3:4">
      <c r="C94" t="s">
        <v>2456</v>
      </c>
    </row>
    <row r="95" spans="3:4">
      <c r="C95" t="s">
        <v>2457</v>
      </c>
    </row>
    <row r="96" spans="3:4">
      <c r="C96" t="s">
        <v>2458</v>
      </c>
    </row>
    <row r="97" spans="3:3">
      <c r="C97" t="s">
        <v>2459</v>
      </c>
    </row>
    <row r="98" spans="3:3">
      <c r="C98" t="s">
        <v>2460</v>
      </c>
    </row>
    <row r="99" spans="3:3">
      <c r="C99" t="s">
        <v>2461</v>
      </c>
    </row>
    <row r="100" spans="3:3">
      <c r="C100" t="s">
        <v>2462</v>
      </c>
    </row>
    <row r="101" spans="3:3">
      <c r="C101" t="s">
        <v>2463</v>
      </c>
    </row>
    <row r="102" spans="3:3">
      <c r="C102" t="s">
        <v>2464</v>
      </c>
    </row>
    <row r="103" spans="3:3">
      <c r="C103" t="s">
        <v>2465</v>
      </c>
    </row>
    <row r="104" spans="3:3">
      <c r="C104" t="s">
        <v>2466</v>
      </c>
    </row>
    <row r="105" spans="3:3">
      <c r="C105" t="s">
        <v>2467</v>
      </c>
    </row>
    <row r="106" spans="3:3">
      <c r="C106" t="s">
        <v>2468</v>
      </c>
    </row>
    <row r="107" spans="3:3">
      <c r="C107" t="s">
        <v>2469</v>
      </c>
    </row>
    <row r="108" spans="3:3">
      <c r="C108" t="s">
        <v>2470</v>
      </c>
    </row>
    <row r="109" spans="3:3">
      <c r="C109" t="s">
        <v>2471</v>
      </c>
    </row>
    <row r="110" spans="3:3">
      <c r="C110" t="s">
        <v>2472</v>
      </c>
    </row>
    <row r="111" spans="3:3">
      <c r="C111" t="s">
        <v>2473</v>
      </c>
    </row>
    <row r="112" spans="3:3">
      <c r="C112" t="s">
        <v>2474</v>
      </c>
    </row>
    <row r="113" spans="3:3">
      <c r="C113" t="s">
        <v>2475</v>
      </c>
    </row>
    <row r="114" spans="3:3">
      <c r="C114" t="s">
        <v>2476</v>
      </c>
    </row>
    <row r="115" spans="3:3">
      <c r="C115" t="s">
        <v>2477</v>
      </c>
    </row>
    <row r="116" spans="3:3">
      <c r="C116" t="s">
        <v>2478</v>
      </c>
    </row>
    <row r="117" spans="3:3">
      <c r="C117" t="s">
        <v>2479</v>
      </c>
    </row>
    <row r="118" spans="3:3">
      <c r="C118" t="s">
        <v>2480</v>
      </c>
    </row>
    <row r="119" spans="3:3">
      <c r="C119" t="s">
        <v>2481</v>
      </c>
    </row>
    <row r="120" spans="3:3">
      <c r="C120" t="s">
        <v>2482</v>
      </c>
    </row>
    <row r="121" spans="3:3">
      <c r="C121" t="s">
        <v>2483</v>
      </c>
    </row>
    <row r="122" spans="3:3">
      <c r="C122" t="s">
        <v>2484</v>
      </c>
    </row>
    <row r="123" spans="3:3">
      <c r="C123" t="s">
        <v>2485</v>
      </c>
    </row>
    <row r="124" spans="3:3">
      <c r="C124" t="s">
        <v>2486</v>
      </c>
    </row>
    <row r="125" spans="3:3">
      <c r="C125" t="s">
        <v>2487</v>
      </c>
    </row>
    <row r="126" spans="3:3">
      <c r="C126" t="s">
        <v>2488</v>
      </c>
    </row>
    <row r="127" spans="3:3">
      <c r="C127" t="s">
        <v>2489</v>
      </c>
    </row>
    <row r="128" spans="3:3">
      <c r="C128" t="s">
        <v>2490</v>
      </c>
    </row>
    <row r="129" spans="3:3">
      <c r="C129" t="s">
        <v>2491</v>
      </c>
    </row>
    <row r="130" spans="3:3">
      <c r="C130" t="s">
        <v>2492</v>
      </c>
    </row>
    <row r="131" spans="3:3">
      <c r="C131" t="s">
        <v>2493</v>
      </c>
    </row>
    <row r="132" spans="3:3">
      <c r="C132" t="s">
        <v>2494</v>
      </c>
    </row>
    <row r="133" spans="3:3">
      <c r="C133" t="s">
        <v>2495</v>
      </c>
    </row>
    <row r="134" spans="3:3">
      <c r="C134" t="s">
        <v>2496</v>
      </c>
    </row>
    <row r="135" spans="3:3">
      <c r="C135" t="s">
        <v>2497</v>
      </c>
    </row>
    <row r="136" spans="3:3">
      <c r="C136" t="s">
        <v>2498</v>
      </c>
    </row>
  </sheetData>
  <sortState ref="C29:C89">
    <sortCondition ref="C89"/>
  </sortState>
  <customSheetViews>
    <customSheetView guid="{8E53DF33-FD66-42DA-A21D-B11FBF5F6988}" topLeftCell="E1">
      <selection activeCell="AD90" sqref="AD90"/>
      <pageMargins left="0.7" right="0.7" top="0.75" bottom="0.75" header="0.3" footer="0.3"/>
      <headerFooter/>
    </customSheetView>
  </customSheetViews>
  <conditionalFormatting sqref="Y18">
    <cfRule type="containsText" dxfId="1" priority="1" operator="between" text="8">
      <formula>NOT(ISERROR(SEARCH("8",Y18)))</formula>
    </cfRule>
    <cfRule type="containsText" dxfId="1" priority="2" operator="between" text="7">
      <formula>NOT(ISERROR(SEARCH("7",Y18)))</formula>
    </cfRule>
    <cfRule type="containsText" dxfId="2" priority="3" operator="between" text="6">
      <formula>NOT(ISERROR(SEARCH("6",Y18)))</formula>
    </cfRule>
    <cfRule type="containsText" dxfId="2" priority="4" operator="between" text="5">
      <formula>NOT(ISERROR(SEARCH("5",Y18)))</formula>
    </cfRule>
    <cfRule type="containsText" dxfId="3" priority="5" operator="between" text="4">
      <formula>NOT(ISERROR(SEARCH("4",Y18)))</formula>
    </cfRule>
    <cfRule type="containsText" dxfId="3" priority="6" operator="between" text="3">
      <formula>NOT(ISERROR(SEARCH("3",Y18)))</formula>
    </cfRule>
    <cfRule type="containsText" dxfId="4" priority="7" operator="between" text="2">
      <formula>NOT(ISERROR(SEARCH("2",Y18)))</formula>
    </cfRule>
    <cfRule type="containsText" dxfId="4" priority="8" operator="between" text="1">
      <formula>NOT(ISERROR(SEARCH("1",Y18)))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31"/>
  <sheetViews>
    <sheetView workbookViewId="0">
      <pane xSplit="4" ySplit="8" topLeftCell="BC152" activePane="bottomRight" state="frozen"/>
      <selection/>
      <selection pane="topRight"/>
      <selection pane="bottomLeft"/>
      <selection pane="bottomRight" activeCell="BF113" sqref="BF113"/>
    </sheetView>
  </sheetViews>
  <sheetFormatPr defaultColWidth="9" defaultRowHeight="16.8"/>
  <cols>
    <col min="1" max="1" width="9.125" style="159" customWidth="1"/>
    <col min="2" max="2" width="34.125" style="159" customWidth="1"/>
    <col min="3" max="3" width="22.875" style="159" customWidth="1"/>
    <col min="4" max="4" width="8.125" style="159" customWidth="1"/>
    <col min="5" max="5" width="8.5" style="159" customWidth="1"/>
    <col min="6" max="7" width="11.125" style="159" customWidth="1"/>
    <col min="8" max="8" width="17.375" style="159" customWidth="1"/>
    <col min="9" max="9" width="17.25" style="159" customWidth="1"/>
    <col min="10" max="10" width="11.125" style="159" customWidth="1"/>
    <col min="11" max="11" width="17.375" style="159" customWidth="1"/>
    <col min="12" max="12" width="11.125" style="159" customWidth="1"/>
    <col min="13" max="13" width="7.25" style="159" customWidth="1"/>
    <col min="14" max="14" width="11.125" style="159" customWidth="1"/>
    <col min="15" max="15" width="9.125" style="159" customWidth="1"/>
    <col min="16" max="16" width="7.25" style="159" customWidth="1"/>
    <col min="17" max="17" width="11.125" style="159" customWidth="1"/>
    <col min="18" max="18" width="9.125" style="159" customWidth="1"/>
    <col min="19" max="19" width="7.375" style="159" customWidth="1"/>
    <col min="20" max="20" width="15.25" style="159" customWidth="1"/>
    <col min="21" max="21" width="13.125" style="159" customWidth="1"/>
    <col min="22" max="22" width="9.125" style="159" customWidth="1"/>
    <col min="23" max="23" width="10.75" style="159" customWidth="1"/>
    <col min="24" max="25" width="9.125" style="159" customWidth="1"/>
    <col min="26" max="26" width="7.25" style="159" customWidth="1"/>
    <col min="27" max="27" width="9.125" style="159" customWidth="1"/>
    <col min="28" max="28" width="9.5" style="159" customWidth="1"/>
    <col min="29" max="29" width="7.375" style="159" customWidth="1"/>
    <col min="30" max="30" width="11.125" style="159" customWidth="1"/>
    <col min="31" max="31" width="13.125" style="159" customWidth="1"/>
    <col min="32" max="32" width="9.625" style="159" customWidth="1"/>
    <col min="33" max="34" width="7.25" style="159" customWidth="1"/>
    <col min="35" max="35" width="11.125" style="159" customWidth="1"/>
    <col min="36" max="36" width="9.125" style="159" customWidth="1"/>
    <col min="37" max="37" width="14.5" style="159" customWidth="1"/>
    <col min="38" max="38" width="13.125" style="159" customWidth="1"/>
    <col min="39" max="39" width="13" style="159" customWidth="1"/>
    <col min="40" max="40" width="11.125" style="159" customWidth="1"/>
    <col min="41" max="41" width="9.125" style="159" customWidth="1"/>
    <col min="42" max="42" width="7.25" style="159" customWidth="1"/>
    <col min="43" max="43" width="13.125" style="159" customWidth="1"/>
    <col min="44" max="44" width="13" style="159" customWidth="1"/>
    <col min="45" max="45" width="11.125" style="159" customWidth="1"/>
    <col min="46" max="46" width="9.125" style="159" customWidth="1"/>
    <col min="47" max="48" width="11.125" style="159" customWidth="1"/>
    <col min="49" max="51" width="15.25" style="159" customWidth="1"/>
    <col min="52" max="52" width="19" style="159" customWidth="1"/>
    <col min="53" max="53" width="5.375" style="159" customWidth="1"/>
    <col min="54" max="54" width="13.125" style="159" customWidth="1"/>
    <col min="55" max="55" width="9.125" style="159" customWidth="1"/>
    <col min="56" max="56" width="15.25" style="159" customWidth="1"/>
    <col min="57" max="59" width="9" style="159"/>
    <col min="60" max="60" width="13.125" style="163" customWidth="1"/>
    <col min="61" max="62" width="9" style="197"/>
    <col min="63" max="63" width="9" style="1"/>
    <col min="64" max="64" width="24.375" style="1" customWidth="1"/>
    <col min="65" max="65" width="9" style="1"/>
    <col min="66" max="66" width="14.625" style="1" customWidth="1"/>
    <col min="67" max="16384" width="9" style="1"/>
  </cols>
  <sheetData>
    <row r="1" s="159" customFormat="1" spans="1:67">
      <c r="A1" s="159">
        <f>IF(配装计算器!F2="增益面板",3,1)+IF(配装计算器!G3="问水诀",0,1)</f>
        <v>2</v>
      </c>
      <c r="B1" s="159" t="s">
        <v>1988</v>
      </c>
      <c r="C1" s="159" t="s">
        <v>1989</v>
      </c>
      <c r="D1" s="159" t="s">
        <v>1990</v>
      </c>
      <c r="E1" s="159" t="s">
        <v>1991</v>
      </c>
      <c r="F1" s="159" t="s">
        <v>1992</v>
      </c>
      <c r="G1" s="159" t="s">
        <v>1993</v>
      </c>
      <c r="H1" s="159" t="s">
        <v>1994</v>
      </c>
      <c r="I1" s="159" t="s">
        <v>1995</v>
      </c>
      <c r="J1" s="159" t="s">
        <v>1996</v>
      </c>
      <c r="K1" s="159" t="s">
        <v>1997</v>
      </c>
      <c r="L1" s="159" t="s">
        <v>229</v>
      </c>
      <c r="M1" s="159" t="s">
        <v>1998</v>
      </c>
      <c r="N1" s="159" t="s">
        <v>1999</v>
      </c>
      <c r="O1" s="159" t="s">
        <v>2000</v>
      </c>
      <c r="P1" s="159" t="s">
        <v>2001</v>
      </c>
      <c r="Q1" s="159" t="s">
        <v>2002</v>
      </c>
      <c r="R1" s="159" t="s">
        <v>2003</v>
      </c>
      <c r="S1" s="159" t="s">
        <v>2004</v>
      </c>
      <c r="T1" s="159" t="s">
        <v>2005</v>
      </c>
      <c r="U1" s="159" t="s">
        <v>2006</v>
      </c>
      <c r="V1" s="159" t="s">
        <v>2007</v>
      </c>
      <c r="W1" s="159" t="s">
        <v>2008</v>
      </c>
      <c r="X1" s="159" t="s">
        <v>2009</v>
      </c>
      <c r="Y1" s="159" t="s">
        <v>2010</v>
      </c>
      <c r="Z1" s="159" t="s">
        <v>2011</v>
      </c>
      <c r="AA1" s="159" t="s">
        <v>2012</v>
      </c>
      <c r="AB1" s="159" t="s">
        <v>2013</v>
      </c>
      <c r="AC1" s="159" t="s">
        <v>2014</v>
      </c>
      <c r="AD1" s="159" t="s">
        <v>2015</v>
      </c>
      <c r="AE1" s="159" t="s">
        <v>2016</v>
      </c>
      <c r="AF1" s="159" t="s">
        <v>2017</v>
      </c>
      <c r="AG1" s="159" t="s">
        <v>2018</v>
      </c>
      <c r="AH1" s="159" t="s">
        <v>2019</v>
      </c>
      <c r="AI1" s="159" t="s">
        <v>2020</v>
      </c>
      <c r="AJ1" s="159" t="s">
        <v>2021</v>
      </c>
      <c r="AK1" s="159" t="s">
        <v>2022</v>
      </c>
      <c r="AL1" s="159" t="s">
        <v>2023</v>
      </c>
      <c r="AM1" s="159" t="s">
        <v>2024</v>
      </c>
      <c r="AN1" s="159" t="s">
        <v>2025</v>
      </c>
      <c r="AO1" s="159" t="s">
        <v>2026</v>
      </c>
      <c r="AP1" s="159" t="s">
        <v>2027</v>
      </c>
      <c r="AQ1" s="159" t="s">
        <v>2028</v>
      </c>
      <c r="AR1" s="159" t="s">
        <v>2029</v>
      </c>
      <c r="AS1" s="159" t="s">
        <v>2030</v>
      </c>
      <c r="AT1" s="159" t="s">
        <v>2031</v>
      </c>
      <c r="AU1" s="159" t="s">
        <v>2032</v>
      </c>
      <c r="AV1" s="159" t="s">
        <v>2033</v>
      </c>
      <c r="AW1" s="159" t="s">
        <v>2034</v>
      </c>
      <c r="AX1" s="159" t="s">
        <v>2035</v>
      </c>
      <c r="AY1" s="159" t="s">
        <v>2036</v>
      </c>
      <c r="AZ1" s="159" t="s">
        <v>2037</v>
      </c>
      <c r="BA1" s="159" t="s">
        <v>2038</v>
      </c>
      <c r="BB1" s="159" t="s">
        <v>2039</v>
      </c>
      <c r="BC1" s="159" t="s">
        <v>2040</v>
      </c>
      <c r="BD1" s="159" t="s">
        <v>2041</v>
      </c>
      <c r="BE1" s="159" t="s">
        <v>2042</v>
      </c>
      <c r="BF1" s="159" t="s">
        <v>2043</v>
      </c>
      <c r="BG1" s="159" t="s">
        <v>2044</v>
      </c>
      <c r="BH1" s="163" t="s">
        <v>2045</v>
      </c>
      <c r="BI1" s="198" t="s">
        <v>2499</v>
      </c>
      <c r="BJ1" s="159" t="s">
        <v>2500</v>
      </c>
      <c r="BL1" s="159" t="s">
        <v>2501</v>
      </c>
      <c r="BM1" s="159" t="s">
        <v>2502</v>
      </c>
      <c r="BN1" s="159" t="s">
        <v>2503</v>
      </c>
      <c r="BO1" s="159" t="s">
        <v>2504</v>
      </c>
    </row>
    <row r="2" s="159" customFormat="1" spans="1:67">
      <c r="B2" s="159" t="s">
        <v>2505</v>
      </c>
      <c r="E2" s="159">
        <f ca="1" t="shared" ref="E2:AJ2" si="0">INDEX(E3:E6,$A$1,1)</f>
        <v>217750</v>
      </c>
      <c r="F2" s="159">
        <f ca="1" t="shared" si="0"/>
        <v>0</v>
      </c>
      <c r="G2" s="159">
        <f ca="1" t="shared" si="0"/>
        <v>160878</v>
      </c>
      <c r="H2" s="159">
        <f ca="1" t="shared" si="0"/>
        <v>307</v>
      </c>
      <c r="I2" s="159">
        <f ca="1" t="shared" si="0"/>
        <v>2338378</v>
      </c>
      <c r="J2" s="159">
        <f ca="1" t="shared" si="0"/>
        <v>0</v>
      </c>
      <c r="K2" s="159">
        <f ca="1" t="shared" si="0"/>
        <v>0</v>
      </c>
      <c r="L2" s="159">
        <f ca="1" t="shared" si="0"/>
        <v>3039434</v>
      </c>
      <c r="M2" s="159">
        <f ca="1" t="shared" si="0"/>
        <v>8141</v>
      </c>
      <c r="N2" s="159">
        <f ca="1" t="shared" si="0"/>
        <v>0</v>
      </c>
      <c r="O2" s="159">
        <f ca="1" t="shared" si="0"/>
        <v>8141</v>
      </c>
      <c r="P2" s="159">
        <f ca="1" t="shared" si="0"/>
        <v>44</v>
      </c>
      <c r="Q2" s="159">
        <f ca="1" t="shared" si="0"/>
        <v>0</v>
      </c>
      <c r="R2" s="159">
        <f ca="1" t="shared" si="0"/>
        <v>44</v>
      </c>
      <c r="S2" s="159">
        <f ca="1" t="shared" si="0"/>
        <v>66559</v>
      </c>
      <c r="T2" s="159">
        <f ca="1" t="shared" si="0"/>
        <v>0</v>
      </c>
      <c r="U2" s="159">
        <f ca="1" t="shared" si="0"/>
        <v>66566</v>
      </c>
      <c r="V2" s="159">
        <f ca="1" t="shared" si="0"/>
        <v>81218</v>
      </c>
      <c r="W2" s="159">
        <f ca="1" t="shared" si="0"/>
        <v>121519</v>
      </c>
      <c r="X2" s="159">
        <f ca="1" t="shared" si="0"/>
        <v>0</v>
      </c>
      <c r="Y2" s="159">
        <f ca="1" t="shared" si="0"/>
        <v>0.6517</v>
      </c>
      <c r="Z2" s="159">
        <f ca="1" t="shared" si="0"/>
        <v>13632</v>
      </c>
      <c r="AA2" s="159">
        <f ca="1" t="shared" si="0"/>
        <v>0</v>
      </c>
      <c r="AB2" s="159">
        <f ca="1" t="shared" si="0"/>
        <v>1.9371</v>
      </c>
      <c r="AC2" s="159">
        <f ca="1" t="shared" si="0"/>
        <v>82771</v>
      </c>
      <c r="AD2" s="159">
        <f ca="1" t="shared" si="0"/>
        <v>0</v>
      </c>
      <c r="AE2" s="159">
        <f ca="1" t="shared" si="0"/>
        <v>82784</v>
      </c>
      <c r="AF2" s="159">
        <f ca="1" t="shared" si="0"/>
        <v>85065</v>
      </c>
      <c r="AG2" s="159">
        <f ca="1" t="shared" si="0"/>
        <v>0</v>
      </c>
      <c r="AH2" s="159">
        <f ca="1" t="shared" si="0"/>
        <v>72512</v>
      </c>
      <c r="AI2" s="159">
        <f ca="1" t="shared" si="0"/>
        <v>0</v>
      </c>
      <c r="AJ2" s="159">
        <f ca="1" t="shared" si="0"/>
        <v>72512</v>
      </c>
      <c r="AK2" s="159">
        <f ca="1" t="shared" ref="AK2:BD2" si="1">INDEX(AK3:AK6,$A$1,1)</f>
        <v>114219</v>
      </c>
      <c r="AL2" s="159">
        <f ca="1" t="shared" si="1"/>
        <v>0</v>
      </c>
      <c r="AM2" s="159">
        <f ca="1" t="shared" si="1"/>
        <v>114219</v>
      </c>
      <c r="AN2" s="159">
        <f ca="1" t="shared" si="1"/>
        <v>0</v>
      </c>
      <c r="AO2" s="159">
        <f ca="1" t="shared" si="1"/>
        <v>0.8566</v>
      </c>
      <c r="AP2" s="159">
        <f ca="1" t="shared" si="1"/>
        <v>14505</v>
      </c>
      <c r="AQ2" s="159">
        <f ca="1" t="shared" si="1"/>
        <v>0</v>
      </c>
      <c r="AR2" s="159">
        <f ca="1" t="shared" si="1"/>
        <v>14505</v>
      </c>
      <c r="AS2" s="159">
        <f ca="1" t="shared" si="1"/>
        <v>0</v>
      </c>
      <c r="AT2" s="159">
        <f ca="1" t="shared" si="1"/>
        <v>0.069</v>
      </c>
      <c r="AU2" s="159">
        <f ca="1" t="shared" si="1"/>
        <v>14648</v>
      </c>
      <c r="AV2" s="159">
        <f ca="1" t="shared" si="1"/>
        <v>24413</v>
      </c>
      <c r="AW2" s="159">
        <f ca="1" t="shared" si="1"/>
        <v>0</v>
      </c>
      <c r="AX2" s="159">
        <f ca="1" t="shared" si="1"/>
        <v>14648</v>
      </c>
      <c r="AY2" s="159">
        <f ca="1" t="shared" si="1"/>
        <v>24413</v>
      </c>
      <c r="AZ2" s="159">
        <f ca="1" t="shared" si="1"/>
        <v>0</v>
      </c>
      <c r="BA2" s="159">
        <f ca="1" t="shared" si="1"/>
        <v>0</v>
      </c>
      <c r="BB2" s="159">
        <f ca="1" t="shared" si="1"/>
        <v>0</v>
      </c>
      <c r="BC2" s="159">
        <f ca="1" t="shared" si="1"/>
        <v>0</v>
      </c>
      <c r="BD2" s="159">
        <f ca="1" t="shared" si="1"/>
        <v>0</v>
      </c>
      <c r="BH2" s="163"/>
      <c r="BK2" s="198"/>
      <c r="BL2" s="159">
        <f ca="1">INT(BO2*身法转基础会心)+SUMPRODUCT($W$14:$W$86,$BE$14:$BE$86,$BG$14:$BG$86,$BH$14:$BH$86)+基础面板属性!$C$82*基础面板属性!$BE$82+SUMPRODUCT($W$167:$W$198,$BE$167:$BE$198,$BG$167:$BG$198,$BH$167:$BH$198)</f>
        <v>16333</v>
      </c>
      <c r="BM2" s="159">
        <f ca="1">SUMPRODUCT($Z$14:$Z$86,$BE$14:$BE$86,$BG$14:$BG$86,$BH$14:$BH$86)+基础面板属性!$D$82*基础面板属性!$BE$82+SUMPRODUCT($Z$167:$Z$198,$BE$167:$BE$198,$BG$167:$BG$198,$BH$167:$BH$198)</f>
        <v>2914</v>
      </c>
      <c r="BN2" s="159">
        <f ca="1">INT(BO2*力道转基础破防)+SUMPRODUCT($AC$14:$AC$86,$BE$14:$BE$86,$BG$14:$BG$86,$BH$14:$BH$86)+基础面板属性!$D$78*基础面板属性!$BE$78+SUMPRODUCT($AC$167:$AC$198,$BE$167:$BE$198,$BG$167:$BG$198,$BH$167:$BH$198)</f>
        <v>9380</v>
      </c>
      <c r="BO2" s="159">
        <f ca="1">P8+INT(P8*(Q8-Q148*BE148*BG148*BH148)/1024)</f>
        <v>361</v>
      </c>
    </row>
    <row r="3" s="159" customFormat="1" spans="1:67">
      <c r="B3" s="159" t="s">
        <v>2046</v>
      </c>
      <c r="E3" s="159">
        <f ca="1">基础面板属性!E2</f>
        <v>217750</v>
      </c>
      <c r="F3" s="159">
        <f ca="1">基础面板属性!F2</f>
        <v>0</v>
      </c>
      <c r="G3" s="159">
        <f ca="1">基础面板属性!G2</f>
        <v>160878</v>
      </c>
      <c r="H3" s="159">
        <f ca="1">基础面板属性!H2</f>
        <v>307</v>
      </c>
      <c r="I3" s="159">
        <f ca="1" t="shared" ref="I3:I8" si="2">G3+E3*10</f>
        <v>2338378</v>
      </c>
      <c r="J3" s="159">
        <f ca="1">基础面板属性!J2</f>
        <v>0</v>
      </c>
      <c r="K3" s="159">
        <f ca="1">基础面板属性!K2</f>
        <v>0</v>
      </c>
      <c r="L3" s="159">
        <f ca="1" t="shared" ref="L3:L8" si="3">INT((I3)+INT(H3*(I3)/1024)+J3+INT(((I3)+INT(H3*(I3)/1024)+J3)*K3/1024))</f>
        <v>3039434</v>
      </c>
      <c r="M3" s="159">
        <f ca="1">基础面板属性!M2</f>
        <v>8141</v>
      </c>
      <c r="N3" s="159">
        <f ca="1">基础面板属性!N2</f>
        <v>0</v>
      </c>
      <c r="O3" s="159">
        <f ca="1" t="shared" ref="O3:O8" si="4">M3+INT(M3*N3/1024)</f>
        <v>8141</v>
      </c>
      <c r="P3" s="159">
        <f ca="1">基础面板属性!P2</f>
        <v>44</v>
      </c>
      <c r="Q3" s="159">
        <f ca="1">基础面板属性!Q2</f>
        <v>0</v>
      </c>
      <c r="R3" s="159">
        <f ca="1" t="shared" ref="R3:R8" si="5">P3+INT(P3*Q3/1024)</f>
        <v>44</v>
      </c>
      <c r="S3" s="159">
        <f ca="1">基础面板属性!S2</f>
        <v>66559</v>
      </c>
      <c r="T3" s="159">
        <f ca="1">基础面板属性!T2</f>
        <v>0</v>
      </c>
      <c r="U3" s="159">
        <f ca="1" t="shared" ref="U3:U8" si="6">(INT(R3*力道转基础攻击)+S3)</f>
        <v>66566</v>
      </c>
      <c r="V3" s="159">
        <f ca="1" t="shared" ref="V3:V8" si="7">U3+INT(O3*身法转额外攻击)+INT(U3*T3/1024)</f>
        <v>81218</v>
      </c>
      <c r="W3" s="159">
        <f ca="1">基础面板属性!W2</f>
        <v>121519</v>
      </c>
      <c r="X3" s="159">
        <f ca="1">基础面板属性!X2</f>
        <v>0</v>
      </c>
      <c r="Y3" s="162">
        <f ca="1" t="shared" ref="Y3:Y7" si="8">ROUND((W3+INT(O3*身法转基础会心))/会心系数+X3,4)</f>
        <v>0.6517</v>
      </c>
      <c r="Z3" s="159">
        <f ca="1">基础面板属性!Z2</f>
        <v>13632</v>
      </c>
      <c r="AA3" s="159">
        <f ca="1">基础面板属性!AA2</f>
        <v>0</v>
      </c>
      <c r="AB3" s="163">
        <f ca="1" t="shared" ref="AB3:AB5" si="9">ROUND(1.75+Z3/会效系数+AA3/1024,4)</f>
        <v>1.9371</v>
      </c>
      <c r="AC3" s="159">
        <f ca="1">基础面板属性!AC2</f>
        <v>82771</v>
      </c>
      <c r="AD3" s="159">
        <f ca="1">基础面板属性!AD2</f>
        <v>0</v>
      </c>
      <c r="AE3" s="159">
        <f ca="1" t="shared" ref="AE3:AE8" si="10">AC3+INT(R3*力道转基础破防)</f>
        <v>82784</v>
      </c>
      <c r="AF3" s="159">
        <f ca="1" t="shared" ref="AF3:AF8" si="11">AE3+INT(O3*身法转额外破防)+INT(AE3*AD3/1024)</f>
        <v>85065</v>
      </c>
      <c r="AG3" s="159">
        <f ca="1">基础面板属性!AG2</f>
        <v>0</v>
      </c>
      <c r="AH3" s="159">
        <f ca="1">基础面板属性!AH2</f>
        <v>72512</v>
      </c>
      <c r="AI3" s="159">
        <f ca="1">基础面板属性!AI2</f>
        <v>0</v>
      </c>
      <c r="AJ3" s="159">
        <f ca="1" t="shared" ref="AJ3:AJ8" si="12">AH3+INT(AH3*AI3/1024)+AG3*全能转破招</f>
        <v>72512</v>
      </c>
      <c r="AK3" s="159">
        <f ca="1">基础面板属性!AK2</f>
        <v>114219</v>
      </c>
      <c r="AL3" s="159">
        <f ca="1">基础面板属性!AL2</f>
        <v>0</v>
      </c>
      <c r="AM3" s="159">
        <f ca="1" t="shared" ref="AM3:AM8" si="13">(AK3+INT(AK3*AL3/1024)+AG3*全能转无双)</f>
        <v>114219</v>
      </c>
      <c r="AN3" s="159">
        <f ca="1">基础面板属性!AN2</f>
        <v>0</v>
      </c>
      <c r="AO3" s="163">
        <f ca="1" t="shared" ref="AO3:AO6" si="14">ROUND(AM3/无双系数+AN3/1024,4)</f>
        <v>0.8566</v>
      </c>
      <c r="AP3" s="159">
        <f ca="1">基础面板属性!AP2</f>
        <v>14505</v>
      </c>
      <c r="AQ3" s="159">
        <f ca="1">基础面板属性!AQ2</f>
        <v>0</v>
      </c>
      <c r="AR3" s="159">
        <f ca="1" t="shared" ref="AR3:AR8" si="15">(AP3+INT(AP3*AQ3/1024))</f>
        <v>14505</v>
      </c>
      <c r="AS3" s="159">
        <f ca="1">基础面板属性!AS2</f>
        <v>0</v>
      </c>
      <c r="AT3" s="163">
        <f ca="1" t="shared" ref="AT3:AT8" si="16">ROUND(AR3/急速系数+AS3/1024,4)</f>
        <v>0.069</v>
      </c>
      <c r="AU3" s="159">
        <f ca="1">基础面板属性!AU2</f>
        <v>9521</v>
      </c>
      <c r="AV3" s="159">
        <f ca="1">基础面板属性!AV2</f>
        <v>15868</v>
      </c>
      <c r="AW3" s="159">
        <f ca="1">基础面板属性!AW2</f>
        <v>0</v>
      </c>
      <c r="AX3" s="159">
        <f ca="1" t="shared" ref="AX3:AX8" si="17">AU3+INT(AU3*AW3/1024)</f>
        <v>9521</v>
      </c>
      <c r="AY3" s="159">
        <f ca="1" t="shared" ref="AY3:AY8" si="18">AX3+AV3-AU3</f>
        <v>15868</v>
      </c>
      <c r="AZ3" s="159">
        <f ca="1">基础面板属性!AZ2</f>
        <v>0</v>
      </c>
      <c r="BA3" s="159">
        <f ca="1">基础面板属性!BA2</f>
        <v>0</v>
      </c>
      <c r="BB3" s="159">
        <f ca="1">基础面板属性!BB2</f>
        <v>0</v>
      </c>
      <c r="BC3" s="159">
        <f ca="1">基础面板属性!BC2</f>
        <v>0</v>
      </c>
      <c r="BD3" s="159">
        <f ca="1">基础面板属性!BD2</f>
        <v>0</v>
      </c>
      <c r="BH3" s="163"/>
      <c r="BK3" s="198"/>
      <c r="BL3" s="199">
        <f ca="1">BL2/会心系数+$X$155*$BE$155*$BG$155*$BH$155+$X$164*$BE$164*$BG$164*$BH$164+$X$153*$BE$153*$BG$153*$BH$153</f>
        <v>0.112613819719478</v>
      </c>
      <c r="BM3" s="159">
        <f ca="1">1.75+BM2/会效系数+$AA$154*$BE$154*$BG$154*$BH$154/1024+$AA$165*$BE$165*$BG$165*$BH$165/1024</f>
        <v>1.93437818487951</v>
      </c>
      <c r="BN3" s="200">
        <f ca="1">BN2/破防系数</f>
        <v>0.0415122129107408</v>
      </c>
    </row>
    <row r="4" s="159" customFormat="1" spans="1:67">
      <c r="B4" s="159" t="s">
        <v>2047</v>
      </c>
      <c r="E4" s="159">
        <f ca="1">基础面板属性!E3</f>
        <v>217750</v>
      </c>
      <c r="F4" s="159">
        <f ca="1">基础面板属性!F3</f>
        <v>0</v>
      </c>
      <c r="G4" s="159">
        <f ca="1">基础面板属性!G3</f>
        <v>160878</v>
      </c>
      <c r="H4" s="159">
        <f ca="1">基础面板属性!H3</f>
        <v>307</v>
      </c>
      <c r="I4" s="159">
        <f ca="1" t="shared" si="2"/>
        <v>2338378</v>
      </c>
      <c r="J4" s="159">
        <f ca="1">基础面板属性!J3</f>
        <v>0</v>
      </c>
      <c r="K4" s="159">
        <f ca="1">基础面板属性!K3</f>
        <v>0</v>
      </c>
      <c r="L4" s="159">
        <f ca="1" t="shared" si="3"/>
        <v>3039434</v>
      </c>
      <c r="M4" s="159">
        <f ca="1">基础面板属性!M3</f>
        <v>8141</v>
      </c>
      <c r="N4" s="159">
        <f ca="1">基础面板属性!N3</f>
        <v>0</v>
      </c>
      <c r="O4" s="159">
        <f ca="1" t="shared" si="4"/>
        <v>8141</v>
      </c>
      <c r="P4" s="159">
        <f ca="1">基础面板属性!P3</f>
        <v>44</v>
      </c>
      <c r="Q4" s="159">
        <f ca="1">基础面板属性!Q3</f>
        <v>0</v>
      </c>
      <c r="R4" s="159">
        <f ca="1" t="shared" si="5"/>
        <v>44</v>
      </c>
      <c r="S4" s="159">
        <f ca="1">基础面板属性!S3</f>
        <v>66559</v>
      </c>
      <c r="T4" s="159">
        <f ca="1">基础面板属性!T3</f>
        <v>0</v>
      </c>
      <c r="U4" s="159">
        <f ca="1" t="shared" si="6"/>
        <v>66566</v>
      </c>
      <c r="V4" s="159">
        <f ca="1" t="shared" si="7"/>
        <v>81218</v>
      </c>
      <c r="W4" s="159">
        <f ca="1">基础面板属性!W3</f>
        <v>121519</v>
      </c>
      <c r="X4" s="159">
        <f ca="1">基础面板属性!X3</f>
        <v>0</v>
      </c>
      <c r="Y4" s="162">
        <f ca="1" t="shared" si="8"/>
        <v>0.6517</v>
      </c>
      <c r="Z4" s="159">
        <f ca="1">基础面板属性!Z3</f>
        <v>13632</v>
      </c>
      <c r="AA4" s="159">
        <f ca="1">基础面板属性!AA3</f>
        <v>0</v>
      </c>
      <c r="AB4" s="163">
        <f ca="1" t="shared" si="9"/>
        <v>1.9371</v>
      </c>
      <c r="AC4" s="159">
        <f ca="1">基础面板属性!AC3</f>
        <v>82771</v>
      </c>
      <c r="AD4" s="159">
        <f ca="1">基础面板属性!AD3</f>
        <v>0</v>
      </c>
      <c r="AE4" s="159">
        <f ca="1" t="shared" si="10"/>
        <v>82784</v>
      </c>
      <c r="AF4" s="159">
        <f ca="1" t="shared" si="11"/>
        <v>85065</v>
      </c>
      <c r="AG4" s="159">
        <f ca="1">基础面板属性!AG3</f>
        <v>0</v>
      </c>
      <c r="AH4" s="159">
        <f ca="1">基础面板属性!AH3</f>
        <v>72512</v>
      </c>
      <c r="AI4" s="159">
        <f ca="1">基础面板属性!AI3</f>
        <v>0</v>
      </c>
      <c r="AJ4" s="159">
        <f ca="1" t="shared" si="12"/>
        <v>72512</v>
      </c>
      <c r="AK4" s="159">
        <f ca="1">基础面板属性!AK3</f>
        <v>114219</v>
      </c>
      <c r="AL4" s="159">
        <f ca="1">基础面板属性!AL3</f>
        <v>0</v>
      </c>
      <c r="AM4" s="159">
        <f ca="1" t="shared" si="13"/>
        <v>114219</v>
      </c>
      <c r="AN4" s="159">
        <f ca="1">基础面板属性!AN3</f>
        <v>0</v>
      </c>
      <c r="AO4" s="163">
        <f ca="1" t="shared" si="14"/>
        <v>0.8566</v>
      </c>
      <c r="AP4" s="159">
        <f ca="1">基础面板属性!AP3</f>
        <v>14505</v>
      </c>
      <c r="AQ4" s="159">
        <f ca="1">基础面板属性!AQ3</f>
        <v>0</v>
      </c>
      <c r="AR4" s="159">
        <f ca="1" t="shared" si="15"/>
        <v>14505</v>
      </c>
      <c r="AS4" s="159">
        <f ca="1">基础面板属性!AS3</f>
        <v>0</v>
      </c>
      <c r="AT4" s="163">
        <f ca="1" t="shared" si="16"/>
        <v>0.069</v>
      </c>
      <c r="AU4" s="159">
        <f ca="1">基础面板属性!AU3</f>
        <v>14648</v>
      </c>
      <c r="AV4" s="159">
        <f ca="1">基础面板属性!AV3</f>
        <v>24413</v>
      </c>
      <c r="AW4" s="159">
        <f ca="1">基础面板属性!AW3</f>
        <v>0</v>
      </c>
      <c r="AX4" s="159">
        <f ca="1" t="shared" si="17"/>
        <v>14648</v>
      </c>
      <c r="AY4" s="159">
        <f ca="1" t="shared" si="18"/>
        <v>24413</v>
      </c>
      <c r="AZ4" s="159">
        <f ca="1">基础面板属性!AZ3</f>
        <v>0</v>
      </c>
      <c r="BA4" s="159">
        <f ca="1">基础面板属性!BA3</f>
        <v>0</v>
      </c>
      <c r="BB4" s="159">
        <f ca="1">基础面板属性!BB3</f>
        <v>0</v>
      </c>
      <c r="BC4" s="159">
        <f ca="1">基础面板属性!BC3</f>
        <v>0</v>
      </c>
      <c r="BD4" s="159">
        <f ca="1">基础面板属性!BD3</f>
        <v>0</v>
      </c>
      <c r="BH4" s="163"/>
      <c r="BK4" s="198"/>
      <c r="BL4" s="159">
        <f ca="1">BL2/会心系数</f>
        <v>0.0826138197194782</v>
      </c>
      <c r="BM4" s="159">
        <f ca="1">1.75+BM2/会效系数</f>
        <v>1.79000318487951</v>
      </c>
    </row>
    <row r="5" spans="1:67">
      <c r="B5" s="159" t="s">
        <v>2506</v>
      </c>
      <c r="E5" s="159">
        <f ca="1">E3+SUMPRODUCT(E$9:E$232,$BE$9:$BE$232,$BF$9:$BF$232,$BG$9:$BG$232,$BH$9:$BH$232,$BI$9:$BI$232)</f>
        <v>218067</v>
      </c>
      <c r="F5" s="159">
        <f ca="1">F3+SUMPRODUCT(F$9:F$232,$BE$9:$BE$232,$BF$9:$BF$232,$BG$9:$BG$232,$BH$9:$BH$232,$BI$9:$BI$232)</f>
        <v>0</v>
      </c>
      <c r="G5" s="159">
        <f ca="1">G3+SUMPRODUCT(G$9:G$232,$BE$9:$BE$232,$BF$9:$BF$232,$BG$9:$BG$232,$BH$9:$BH$232,$BI$9:$BI$232)</f>
        <v>112978</v>
      </c>
      <c r="H5" s="159">
        <f ca="1">H3+SUMPRODUCT(H$9:H$232,$BE$9:$BE$232,$BF$9:$BF$232,$BG$9:$BG$232,$BH$9:$BH$232,$BI$9:$BI$232)</f>
        <v>358</v>
      </c>
      <c r="I5" s="159">
        <f ca="1" t="shared" si="2"/>
        <v>2293648</v>
      </c>
      <c r="J5" s="159">
        <f ca="1">J3+SUMPRODUCT(J$9:J$232,$BE$9:$BE$232,$BF$9:$BF$232,$BG$9:$BG$232,$BH$9:$BH$232,$BI$9:$BI$232)</f>
        <v>0</v>
      </c>
      <c r="K5" s="159">
        <f ca="1">K3+SUMPRODUCT(K$9:K$232,$BE$9:$BE$232,$BF$9:$BF$232,$BG$9:$BG$232,$BH$9:$BH$232,$BI$9:$BI$232)</f>
        <v>0</v>
      </c>
      <c r="L5" s="159">
        <f ca="1" t="shared" si="3"/>
        <v>3095528</v>
      </c>
      <c r="M5" s="159">
        <f ca="1">M3+SUMPRODUCT(M$9:M$232,$BE$9:$BE$232,$BF$9:$BF$232,$BG$9:$BG$232,$BH$9:$BH$232,$BI$9:$BI$232)</f>
        <v>10684</v>
      </c>
      <c r="N5" s="159">
        <f ca="1">N3+SUMPRODUCT(N$9:N$232,$BE$9:$BE$232,$BF$9:$BF$232,$BG$9:$BG$232,$BH$9:$BH$232,$BI$9:$BI$232)</f>
        <v>0</v>
      </c>
      <c r="O5" s="159">
        <f ca="1" t="shared" si="4"/>
        <v>10684</v>
      </c>
      <c r="P5" s="159">
        <f ca="1">P3+SUMPRODUCT(P$9:P$232,$BE$9:$BE$232,$BF$9:$BF$232,$BG$9:$BG$232,$BH$9:$BH$232,$BI$9:$BI$232)</f>
        <v>361</v>
      </c>
      <c r="Q5" s="159">
        <f ca="1">Q3+SUMPRODUCT(Q$9:Q$232,$BE$9:$BE$232,$BF$9:$BF$232,$BG$9:$BG$232,$BH$9:$BH$232,$BI$9:$BI$232)</f>
        <v>0</v>
      </c>
      <c r="R5" s="159">
        <f ca="1" t="shared" si="5"/>
        <v>361</v>
      </c>
      <c r="S5" s="159">
        <f ca="1">S3+SUMPRODUCT(S$9:S$232,$BE$9:$BE$232,$BF$9:$BF$232,$BG$9:$BG$232,$BH$9:$BH$232,$BI$9:$BI$232)</f>
        <v>69237</v>
      </c>
      <c r="T5" s="159">
        <f ca="1">T3+SUMPRODUCT(T$9:T$232,$BE$9:$BE$232,$BF$9:$BF$232,$BG$9:$BG$232,$BH$9:$BH$232,$BI$9:$BI$232)</f>
        <v>51</v>
      </c>
      <c r="U5" s="159">
        <f ca="1" t="shared" si="6"/>
        <v>69295</v>
      </c>
      <c r="V5" s="159">
        <f ca="1" t="shared" si="7"/>
        <v>91975</v>
      </c>
      <c r="W5" s="159">
        <f ca="1">W3+SUMPRODUCT(W$9:W$232,$BE$9:$BE$232,$BF$9:$BF$232,$BG$9:$BG$232,$BH$9:$BH$232,$BI$9:$BI$232)</f>
        <v>129620</v>
      </c>
      <c r="X5" s="159">
        <f ca="1">X3+SUMPRODUCT(X$9:X$232,$BE$9:$BE$232,$BF$9:$BF$232,$BG$9:$BG$232,$BH$9:$BH$232,$BI$9:$BI$232)</f>
        <v>0.03</v>
      </c>
      <c r="Y5" s="162">
        <f ca="1" t="shared" si="8"/>
        <v>0.7343</v>
      </c>
      <c r="Z5" s="159">
        <f ca="1">Z3+SUMPRODUCT(Z$9:Z$232,$BE$9:$BE$232,$BF$9:$BF$232,$BG$9:$BG$232,$BH$9:$BH$232,$BI$9:$BI$232)</f>
        <v>13632</v>
      </c>
      <c r="AA5" s="159">
        <f ca="1">AA3+SUMPRODUCT(AA$9:AA$232,$BE$9:$BE$232,$BF$9:$BF$232,$BG$9:$BG$232,$BH$9:$BH$232,$BI$9:$BI$232)</f>
        <v>0</v>
      </c>
      <c r="AB5" s="163">
        <f ca="1" t="shared" si="9"/>
        <v>1.9371</v>
      </c>
      <c r="AC5" s="159">
        <f ca="1">AC3+SUMPRODUCT(AC$9:AC$232,$BE$9:$BE$232,$BF$9:$BF$232,$BG$9:$BG$232,$BH$9:$BH$232,$BI$9:$BI$232)</f>
        <v>92043</v>
      </c>
      <c r="AD5" s="159">
        <f ca="1">AD3+SUMPRODUCT(AD$9:AD$232,$BE$9:$BE$232,$BF$9:$BF$232,$BG$9:$BG$232,$BH$9:$BH$232,$BI$9:$BI$232)</f>
        <v>0</v>
      </c>
      <c r="AE5" s="159">
        <f ca="1" t="shared" si="10"/>
        <v>92151</v>
      </c>
      <c r="AF5" s="159">
        <f ca="1" t="shared" si="11"/>
        <v>95145</v>
      </c>
      <c r="AG5" s="159">
        <f ca="1">AG3+SUMPRODUCT(AG$9:AG$232,$BE$9:$BE$232,$BF$9:$BF$232,$BG$9:$BG$232,$BH$9:$BH$232,$BI$9:$BI$232)</f>
        <v>0</v>
      </c>
      <c r="AH5" s="159">
        <f ca="1">AH3+SUMPRODUCT(AH$9:AH$232,$BE$9:$BE$232,$BF$9:$BF$232,$BG$9:$BG$232,$BH$9:$BH$232,$BI$9:$BI$232)</f>
        <v>92028</v>
      </c>
      <c r="AI5" s="159">
        <f ca="1">AI3+SUMPRODUCT(AI$9:AI$232,$BE$9:$BE$232,$BF$9:$BF$232,$BG$9:$BG$232,$BH$9:$BH$232,$BI$9:$BI$232)</f>
        <v>0</v>
      </c>
      <c r="AJ5" s="159">
        <f ca="1" t="shared" si="12"/>
        <v>92028</v>
      </c>
      <c r="AK5" s="159">
        <f ca="1">AK3+SUMPRODUCT(AK$9:AK$232,$BE$9:$BE$232,$BF$9:$BF$232,$BG$9:$BG$232,$BH$9:$BH$232,$BI$9:$BI$232)</f>
        <v>185991.145631068</v>
      </c>
      <c r="AL5" s="159">
        <f ca="1">AL3+SUMPRODUCT(AL$9:AL$232,$BE$9:$BE$232,$BF$9:$BF$232,$BG$9:$BG$232,$BH$9:$BH$232,$BI$9:$BI$232)</f>
        <v>0</v>
      </c>
      <c r="AM5" s="159">
        <f ca="1" t="shared" si="13"/>
        <v>185991.145631068</v>
      </c>
      <c r="AN5" s="159">
        <f ca="1">AN3+SUMPRODUCT(AN$9:AN$232,$BE$9:$BE$232,$BF$9:$BF$232,$BG$9:$BG$232,$BH$9:$BH$232,$BI$9:$BI$232)</f>
        <v>20</v>
      </c>
      <c r="AO5" s="163">
        <f ca="1" t="shared" si="14"/>
        <v>1.4145</v>
      </c>
      <c r="AP5" s="159">
        <f ca="1">AP3+SUMPRODUCT(AP$9:AP$232,$BE$9:$BE$232,$BF$9:$BF$232,$BG$9:$BG$232,$BH$9:$BH$232,$BI$9:$BI$232)</f>
        <v>14505</v>
      </c>
      <c r="AQ5" s="159">
        <f ca="1">AQ3+SUMPRODUCT(AQ$9:AQ$232,$BE$9:$BE$232,$BF$9:$BF$232,$BG$9:$BG$232,$BH$9:$BH$232,$BI$9:$BI$232)</f>
        <v>0</v>
      </c>
      <c r="AR5" s="159">
        <f ca="1" t="shared" si="15"/>
        <v>14505</v>
      </c>
      <c r="AS5" s="159">
        <f ca="1">AS3+SUMPRODUCT(AS$9:AS$232,$BE$9:$BE$232,$BF$9:$BF$232,$BG$9:$BG$232,$BH$9:$BH$232,$BI$9:$BI$232)</f>
        <v>0</v>
      </c>
      <c r="AT5" s="163">
        <f ca="1" t="shared" si="16"/>
        <v>0.069</v>
      </c>
      <c r="AU5" s="159">
        <f ca="1">AU3+SUMPRODUCT(AU$9:AU$232,$BE$9:$BE$232,$BF$9:$BF$232,$BG$9:$BG$232,$BH$9:$BH$232,$BI$9:$BI$232)</f>
        <v>9521</v>
      </c>
      <c r="AV5" s="159">
        <f ca="1">AV3+SUMPRODUCT(AV$9:AV$232,$BE$9:$BE$232,$BF$9:$BF$232,$BG$9:$BG$232,$BH$9:$BH$232,$BI$9:$BI$232)</f>
        <v>15868</v>
      </c>
      <c r="AW5" s="159">
        <f ca="1">AW3+SUMPRODUCT(AW$9:AW$232,$BE$9:$BE$232,$BF$9:$BF$232,$BG$9:$BG$232,$BH$9:$BH$232,$BI$9:$BI$232)</f>
        <v>0</v>
      </c>
      <c r="AX5" s="159">
        <f ca="1" t="shared" si="17"/>
        <v>9521</v>
      </c>
      <c r="AY5" s="159">
        <f ca="1" t="shared" si="18"/>
        <v>15868</v>
      </c>
      <c r="AZ5" s="159">
        <f ca="1">AZ3+SUMPRODUCT(AZ$9:AZ$232,$BE$9:$BE$232,$BF$9:$BF$232,$BG$9:$BG$232,$BH$9:$BH$232,$BI$9:$BI$232)</f>
        <v>71.1129824561403</v>
      </c>
      <c r="BA5" s="159">
        <f ca="1">BA3+SUMPRODUCT(BA$9:BA$232,$BE$9:$BE$232,$BF$9:$BF$232,$BG$9:$BG$232,$BH$9:$BH$232,$BI$9:$BI$232)</f>
        <v>0</v>
      </c>
      <c r="BB5" s="159">
        <f ca="1">BB3+SUMPRODUCT(BB$9:BB$232,$BE$9:$BE$232,$BF$9:$BF$232,$BG$9:$BG$232,$BH$9:$BH$232,$BI$9:$BI$232)</f>
        <v>0</v>
      </c>
      <c r="BC5" s="159">
        <f ca="1">BC3+SUMPRODUCT(BC$9:BC$232,$BE$9:$BE$232,$BF$9:$BF$232,$BG$9:$BG$232,$BH$9:$BH$232,$BI$9:$BI$232)</f>
        <v>0</v>
      </c>
      <c r="BD5" s="159">
        <f ca="1">BD3+SUMPRODUCT(BD$9:BD$232,$BE$9:$BE$232,$BF$9:$BF$232,$BG$9:$BG$232,$BH$9:$BH$232,$BI$9:$BI$232)</f>
        <v>0</v>
      </c>
    </row>
    <row r="6" spans="1:67">
      <c r="B6" s="159" t="s">
        <v>2507</v>
      </c>
      <c r="E6" s="159">
        <f ca="1">E$4+SUMPRODUCT(E$9:E$232,$BE$9:$BE$232,$BF$9:$BF$232,$BG$9:$BG$232,$BH$9:$BH$232,$BJ$9:$BJ$232)</f>
        <v>218067</v>
      </c>
      <c r="F6" s="159">
        <f ca="1">F$4+SUMPRODUCT(F$9:F$232,$BE$9:$BE$232,$BF$9:$BF$232,$BG$9:$BG$232,$BH$9:$BH$232,$BJ$9:$BJ$232)</f>
        <v>0</v>
      </c>
      <c r="G6" s="159">
        <f ca="1">G$4+SUMPRODUCT(G$9:G$232,$BE$9:$BE$232,$BF$9:$BF$232,$BG$9:$BG$232,$BH$9:$BH$232,$BJ$9:$BJ$232)</f>
        <v>112978</v>
      </c>
      <c r="H6" s="159">
        <f ca="1">H$4+SUMPRODUCT(H$9:H$232,$BE$9:$BE$232,$BF$9:$BF$232,$BG$9:$BG$232,$BH$9:$BH$232,$BJ$9:$BJ$232)</f>
        <v>358</v>
      </c>
      <c r="I6" s="159">
        <f ca="1" t="shared" si="2"/>
        <v>2293648</v>
      </c>
      <c r="J6" s="159">
        <f ca="1">J$4+SUMPRODUCT(J$9:J$232,$BE$9:$BE$232,$BF$9:$BF$232,$BG$9:$BG$232,$BH$9:$BH$232,$BJ$9:$BJ$232)</f>
        <v>0</v>
      </c>
      <c r="K6" s="159">
        <f ca="1">K$4+SUMPRODUCT(K$9:K$232,$BE$9:$BE$232,$BF$9:$BF$232,$BG$9:$BG$232,$BH$9:$BH$232,$BJ$9:$BJ$232)</f>
        <v>0</v>
      </c>
      <c r="L6" s="159">
        <f ca="1" t="shared" si="3"/>
        <v>3095528</v>
      </c>
      <c r="M6" s="159">
        <f ca="1">M$4+SUMPRODUCT(M$9:M$232,$BE$9:$BE$232,$BF$9:$BF$232,$BG$9:$BG$232,$BH$9:$BH$232,$BJ$9:$BJ$232)</f>
        <v>10684</v>
      </c>
      <c r="N6" s="159">
        <f ca="1">N$4+SUMPRODUCT(N$9:N$232,$BE$9:$BE$232,$BF$9:$BF$232,$BG$9:$BG$232,$BH$9:$BH$232,$BJ$9:$BJ$232)</f>
        <v>0</v>
      </c>
      <c r="O6" s="159">
        <f ca="1" t="shared" si="4"/>
        <v>10684</v>
      </c>
      <c r="P6" s="159">
        <f ca="1">P$4+SUMPRODUCT(P$9:P$232,$BE$9:$BE$232,$BF$9:$BF$232,$BG$9:$BG$232,$BH$9:$BH$232,$BJ$9:$BJ$232)</f>
        <v>361</v>
      </c>
      <c r="Q6" s="159">
        <f ca="1">Q$4+SUMPRODUCT(Q$9:Q$232,$BE$9:$BE$232,$BF$9:$BF$232,$BG$9:$BG$232,$BH$9:$BH$232,$BJ$9:$BJ$232)</f>
        <v>0</v>
      </c>
      <c r="R6" s="159">
        <f ca="1" t="shared" si="5"/>
        <v>361</v>
      </c>
      <c r="S6" s="159">
        <f ca="1">S$4+SUMPRODUCT(S$9:S$232,$BE$9:$BE$232,$BF$9:$BF$232,$BG$9:$BG$232,$BH$9:$BH$232,$BJ$9:$BJ$232)</f>
        <v>69237</v>
      </c>
      <c r="T6" s="159">
        <f ca="1">T$4+SUMPRODUCT(T$9:T$232,$BE$9:$BE$232,$BF$9:$BF$232,$BG$9:$BG$232,$BH$9:$BH$232,$BJ$9:$BJ$232)</f>
        <v>51</v>
      </c>
      <c r="U6" s="159">
        <f ca="1" t="shared" si="6"/>
        <v>69295</v>
      </c>
      <c r="V6" s="159">
        <f ca="1" t="shared" si="7"/>
        <v>91975</v>
      </c>
      <c r="W6" s="159">
        <f ca="1">W$4+SUMPRODUCT(W$9:W$232,$BE$9:$BE$232,$BF$9:$BF$232,$BG$9:$BG$232,$BH$9:$BH$232,$BJ$9:$BJ$232)</f>
        <v>129620</v>
      </c>
      <c r="X6" s="159">
        <f ca="1">X$4+SUMPRODUCT(X$9:X$232,$BE$9:$BE$232,$BF$9:$BF$232,$BG$9:$BG$232,$BH$9:$BH$232,$BJ$9:$BJ$232)</f>
        <v>0.03</v>
      </c>
      <c r="Y6" s="162">
        <f ca="1" t="shared" si="8"/>
        <v>0.7343</v>
      </c>
      <c r="Z6" s="159">
        <f ca="1">Z$4+SUMPRODUCT(Z$9:Z$232,$BE$9:$BE$232,$BF$9:$BF$232,$BG$9:$BG$232,$BH$9:$BH$232,$BJ$9:$BJ$232)</f>
        <v>13632</v>
      </c>
      <c r="AA6" s="159">
        <f ca="1">AA$4+SUMPRODUCT(AA$9:AA$232,$BE$9:$BE$232,$BF$9:$BF$232,$BG$9:$BG$232,$BH$9:$BH$232,$BJ$9:$BJ$232)</f>
        <v>0</v>
      </c>
      <c r="AB6" s="163">
        <f ca="1">ROUND(1.75+Z6/会效系数+AA6/1024,4)</f>
        <v>1.9371</v>
      </c>
      <c r="AC6" s="159">
        <f ca="1">AC$4+SUMPRODUCT(AC$9:AC$232,$BE$9:$BE$232,$BF$9:$BF$232,$BG$9:$BG$232,$BH$9:$BH$232,$BJ$9:$BJ$232)</f>
        <v>92043</v>
      </c>
      <c r="AD6" s="159">
        <f ca="1">AD$4+SUMPRODUCT(AD$9:AD$232,$BE$9:$BE$232,$BF$9:$BF$232,$BG$9:$BG$232,$BH$9:$BH$232,$BJ$9:$BJ$232)</f>
        <v>0</v>
      </c>
      <c r="AE6" s="159">
        <f ca="1" t="shared" si="10"/>
        <v>92151</v>
      </c>
      <c r="AF6" s="159">
        <f ca="1" t="shared" si="11"/>
        <v>95145</v>
      </c>
      <c r="AG6" s="159">
        <f ca="1">AG$4+SUMPRODUCT(AG$9:AG$232,$BE$9:$BE$232,$BF$9:$BF$232,$BG$9:$BG$232,$BH$9:$BH$232,$BJ$9:$BJ$232)</f>
        <v>0</v>
      </c>
      <c r="AH6" s="159">
        <f ca="1">AH$4+SUMPRODUCT(AH$9:AH$232,$BE$9:$BE$232,$BF$9:$BF$232,$BG$9:$BG$232,$BH$9:$BH$232,$BJ$9:$BJ$232)</f>
        <v>92028</v>
      </c>
      <c r="AI6" s="159">
        <f ca="1">AI$4+SUMPRODUCT(AI$9:AI$232,$BE$9:$BE$232,$BF$9:$BF$232,$BG$9:$BG$232,$BH$9:$BH$232,$BJ$9:$BJ$232)</f>
        <v>0</v>
      </c>
      <c r="AJ6" s="159">
        <f ca="1" t="shared" si="12"/>
        <v>92028</v>
      </c>
      <c r="AK6" s="159">
        <f ca="1">AK$4+SUMPRODUCT(AK$9:AK$232,$BE$9:$BE$232,$BF$9:$BF$232,$BG$9:$BG$232,$BH$9:$BH$232,$BJ$9:$BJ$232)</f>
        <v>185991.145631068</v>
      </c>
      <c r="AL6" s="159">
        <f ca="1">AL$4+SUMPRODUCT(AL$9:AL$232,$BE$9:$BE$232,$BF$9:$BF$232,$BG$9:$BG$232,$BH$9:$BH$232,$BJ$9:$BJ$232)</f>
        <v>0</v>
      </c>
      <c r="AM6" s="159">
        <f ca="1" t="shared" si="13"/>
        <v>185991.145631068</v>
      </c>
      <c r="AN6" s="159">
        <f ca="1">AN$4+SUMPRODUCT(AN$9:AN$232,$BE$9:$BE$232,$BF$9:$BF$232,$BG$9:$BG$232,$BH$9:$BH$232,$BJ$9:$BJ$232)</f>
        <v>20</v>
      </c>
      <c r="AO6" s="163">
        <f ca="1" t="shared" si="14"/>
        <v>1.4145</v>
      </c>
      <c r="AP6" s="159">
        <f ca="1">AP$4+SUMPRODUCT(AP$9:AP$232,$BE$9:$BE$232,$BF$9:$BF$232,$BG$9:$BG$232,$BH$9:$BH$232,$BJ$9:$BJ$232)</f>
        <v>14505</v>
      </c>
      <c r="AQ6" s="159">
        <f ca="1">AQ$4+SUMPRODUCT(AQ$9:AQ$232,$BE$9:$BE$232,$BF$9:$BF$232,$BG$9:$BG$232,$BH$9:$BH$232,$BJ$9:$BJ$232)</f>
        <v>0</v>
      </c>
      <c r="AR6" s="159">
        <f ca="1" t="shared" si="15"/>
        <v>14505</v>
      </c>
      <c r="AS6" s="159">
        <f ca="1">AS$4+SUMPRODUCT(AS$9:AS$232,$BE$9:$BE$232,$BF$9:$BF$232,$BG$9:$BG$232,$BH$9:$BH$232,$BJ$9:$BJ$232)</f>
        <v>0</v>
      </c>
      <c r="AT6" s="163">
        <f ca="1" t="shared" si="16"/>
        <v>0.069</v>
      </c>
      <c r="AU6" s="159">
        <f ca="1">AU$4+SUMPRODUCT(AU$9:AU$232,$BE$9:$BE$232,$BF$9:$BF$232,$BG$9:$BG$232,$BH$9:$BH$232,$BJ$9:$BJ$232)</f>
        <v>14648</v>
      </c>
      <c r="AV6" s="159">
        <f ca="1">AV$4+SUMPRODUCT(AV$9:AV$232,$BE$9:$BE$232,$BF$9:$BF$232,$BG$9:$BG$232,$BH$9:$BH$232,$BJ$9:$BJ$232)</f>
        <v>24413</v>
      </c>
      <c r="AW6" s="159">
        <f ca="1">AW$4+SUMPRODUCT(AW$9:AW$232,$BE$9:$BE$232,$BF$9:$BF$232,$BG$9:$BG$232,$BH$9:$BH$232,$BJ$9:$BJ$232)</f>
        <v>0</v>
      </c>
      <c r="AX6" s="159">
        <f ca="1" t="shared" si="17"/>
        <v>14648</v>
      </c>
      <c r="AY6" s="159">
        <f ca="1" t="shared" si="18"/>
        <v>24413</v>
      </c>
      <c r="AZ6" s="159">
        <f ca="1">AZ$4+SUMPRODUCT(AZ$9:AZ$232,$BE$9:$BE$232,$BF$9:$BF$232,$BG$9:$BG$232,$BH$9:$BH$232,$BJ$9:$BJ$232)</f>
        <v>71.1129824561403</v>
      </c>
      <c r="BA6" s="159">
        <f ca="1">BA$4+SUMPRODUCT(BA$9:BA$232,$BE$9:$BE$232,$BF$9:$BF$232,$BG$9:$BG$232,$BH$9:$BH$232,$BJ$9:$BJ$232)</f>
        <v>0</v>
      </c>
      <c r="BB6" s="159">
        <f ca="1">BB$4+SUMPRODUCT(BB$9:BB$232,$BE$9:$BE$232,$BF$9:$BF$232,$BG$9:$BG$232,$BH$9:$BH$232,$BJ$9:$BJ$232)</f>
        <v>0</v>
      </c>
      <c r="BC6" s="159">
        <f ca="1">BC$4+SUMPRODUCT(BC$9:BC$232,$BE$9:$BE$232,$BF$9:$BF$232,$BG$9:$BG$232,$BH$9:$BH$232,$BJ$9:$BJ$232)</f>
        <v>0</v>
      </c>
      <c r="BD6" s="159">
        <f ca="1">BD$4+SUMPRODUCT(BD$9:BD$232,$BE$9:$BE$232,$BF$9:$BF$232,$BG$9:$BG$232,$BH$9:$BH$232,$BJ$9:$BJ$232)</f>
        <v>0</v>
      </c>
    </row>
    <row r="7" spans="1:67">
      <c r="B7" s="159" t="s">
        <v>2508</v>
      </c>
      <c r="E7" s="159">
        <f ca="1">E$3+SUMPRODUCT(E$9:E$232,$BE$9:$BE$232,$BG$9:$BG$232,$BH$9:$BH$232,$BI$9:$BI$232)</f>
        <v>218067</v>
      </c>
      <c r="F7" s="159">
        <f ca="1">F$3+SUMPRODUCT(F$9:F$232,$BE$9:$BE$232,$BG$9:$BG$232,$BH$9:$BH$232,$BI$9:$BI$232)</f>
        <v>0</v>
      </c>
      <c r="G7" s="159">
        <f ca="1">G$3+SUMPRODUCT(G$9:G$232,$BE$9:$BE$232,$BG$9:$BG$232,$BH$9:$BH$232,$BI$9:$BI$232)</f>
        <v>112978</v>
      </c>
      <c r="H7" s="159">
        <f ca="1">H$3+SUMPRODUCT(H$9:H$232,$BE$9:$BE$232,$BG$9:$BG$232,$BH$9:$BH$232,$BI$9:$BI$232)</f>
        <v>358</v>
      </c>
      <c r="I7" s="159">
        <f ca="1" t="shared" si="2"/>
        <v>2293648</v>
      </c>
      <c r="J7" s="159">
        <f ca="1">J$3+SUMPRODUCT(J$9:J$232,$BE$9:$BE$232,$BG$9:$BG$232,$BH$9:$BH$232,$BI$9:$BI$232)</f>
        <v>0</v>
      </c>
      <c r="K7" s="159">
        <f ca="1">K$3+SUMPRODUCT(K$9:K$232,$BE$9:$BE$232,$BG$9:$BG$232,$BH$9:$BH$232,$BI$9:$BI$232)</f>
        <v>0</v>
      </c>
      <c r="L7" s="159">
        <f ca="1" t="shared" si="3"/>
        <v>3095528</v>
      </c>
      <c r="M7" s="159">
        <f ca="1">M$3+SUMPRODUCT(M$9:M$232,$BE$9:$BE$232,$BG$9:$BG$232,$BH$9:$BH$232,$BI$9:$BI$232)</f>
        <v>10684</v>
      </c>
      <c r="N7" s="159">
        <f ca="1">N$3+SUMPRODUCT(N$9:N$232,$BE$9:$BE$232,$BG$9:$BG$232,$BH$9:$BH$232,$BI$9:$BI$232)</f>
        <v>0</v>
      </c>
      <c r="O7" s="159">
        <f ca="1" t="shared" si="4"/>
        <v>10684</v>
      </c>
      <c r="P7" s="159">
        <f ca="1">P$3+SUMPRODUCT(P$9:P$232,$BE$9:$BE$232,$BG$9:$BG$232,$BH$9:$BH$232,$BI$9:$BI$232)</f>
        <v>361</v>
      </c>
      <c r="Q7" s="159">
        <f ca="1">Q$3+SUMPRODUCT(Q$9:Q$232,$BE$9:$BE$232,$BG$9:$BG$232,$BH$9:$BH$232,$BI$9:$BI$232)</f>
        <v>0</v>
      </c>
      <c r="R7" s="159">
        <f ca="1" t="shared" si="5"/>
        <v>361</v>
      </c>
      <c r="S7" s="159">
        <f ca="1">S$3+SUMPRODUCT(S$9:S$232,$BE$9:$BE$232,$BG$9:$BG$232,$BH$9:$BH$232,$BI$9:$BI$232)</f>
        <v>69237</v>
      </c>
      <c r="T7" s="159">
        <f ca="1">T$3+SUMPRODUCT(T$9:T$232,$BE$9:$BE$232,$BG$9:$BG$232,$BH$9:$BH$232,$BI$9:$BI$232)</f>
        <v>51</v>
      </c>
      <c r="U7" s="159">
        <f ca="1" t="shared" si="6"/>
        <v>69295</v>
      </c>
      <c r="V7" s="159">
        <f ca="1" t="shared" si="7"/>
        <v>91975</v>
      </c>
      <c r="W7" s="159">
        <f ca="1">W$3+SUMPRODUCT(W$9:W$232,$BE$9:$BE$232,$BG$9:$BG$232,$BH$9:$BH$232,$BI$9:$BI$232)</f>
        <v>129620</v>
      </c>
      <c r="X7" s="159">
        <f ca="1">X$3+SUMPRODUCT(X$9:X$232,$BE$9:$BE$232,$BG$9:$BG$232,$BH$9:$BH$232,$BI$9:$BI$232)</f>
        <v>0.03</v>
      </c>
      <c r="Y7" s="162">
        <f ca="1" t="shared" si="8"/>
        <v>0.7343</v>
      </c>
      <c r="Z7" s="159">
        <f ca="1">Z$3+SUMPRODUCT(Z$9:Z$232,$BE$9:$BE$232,$BG$9:$BG$232,$BH$9:$BH$232,$BI$9:$BI$232)</f>
        <v>13632</v>
      </c>
      <c r="AA7" s="159">
        <f ca="1">AA$3+SUMPRODUCT(AA$9:AA$232,$BE$9:$BE$232,$BG$9:$BG$232,$BH$9:$BH$232,$BI$9:$BI$232)</f>
        <v>387.592380952381</v>
      </c>
      <c r="AB7" s="163">
        <f ca="1">ROUND(1.75+Z7/会效系数+AA7/1024,10)</f>
        <v>2.3156473116</v>
      </c>
      <c r="AC7" s="159">
        <f ca="1">AC$3+SUMPRODUCT(AC$9:AC$232,$BE$9:$BE$232,$BG$9:$BG$232,$BH$9:$BH$232,$BI$9:$BI$232)</f>
        <v>98191.2857142857</v>
      </c>
      <c r="AD7" s="159">
        <f ca="1">AD$3+SUMPRODUCT(AD$9:AD$232,$BE$9:$BE$232,$BG$9:$BG$232,$BH$9:$BH$232,$BI$9:$BI$232)</f>
        <v>0</v>
      </c>
      <c r="AE7" s="159">
        <f ca="1" t="shared" si="10"/>
        <v>98299.2857142857</v>
      </c>
      <c r="AF7" s="159">
        <f ca="1" t="shared" si="11"/>
        <v>101293.285714286</v>
      </c>
      <c r="AG7" s="159">
        <f ca="1">AG$3+SUMPRODUCT(AG$9:AG$232,$BE$9:$BE$232,$BG$9:$BG$232,$BH$9:$BH$232,$BI$9:$BI$232)</f>
        <v>0</v>
      </c>
      <c r="AH7" s="159">
        <f ca="1">AH$3+SUMPRODUCT(AH$9:AH$232,$BE$9:$BE$232,$BG$9:$BG$232,$BH$9:$BH$232,$BI$9:$BI$232)</f>
        <v>92028</v>
      </c>
      <c r="AI7" s="159">
        <f ca="1">AI$3+SUMPRODUCT(AI$9:AI$232,$BE$9:$BE$232,$BG$9:$BG$232,$BH$9:$BH$232,$BI$9:$BI$232)</f>
        <v>0</v>
      </c>
      <c r="AJ7" s="159">
        <f ca="1" t="shared" si="12"/>
        <v>92028</v>
      </c>
      <c r="AK7" s="159">
        <f ca="1">AK$3+SUMPRODUCT(AK$9:AK$232,$BE$9:$BE$232,$BG$9:$BG$232,$BH$9:$BH$232,$BI$9:$BI$232)</f>
        <v>231568.824643414</v>
      </c>
      <c r="AL7" s="159">
        <f ca="1">AL$3+SUMPRODUCT(AL$9:AL$232,$BE$9:$BE$232,$BG$9:$BG$232,$BH$9:$BH$232,$BI$9:$BI$232)</f>
        <v>25.5</v>
      </c>
      <c r="AM7" s="159">
        <f ca="1" t="shared" si="13"/>
        <v>237334.824643414</v>
      </c>
      <c r="AN7" s="159">
        <f ca="1">AN$3+SUMPRODUCT(AN$9:AN$232,$BE$9:$BE$232,$BG$9:$BG$232,$BH$9:$BH$232,$BI$9:$BI$232)</f>
        <v>20</v>
      </c>
      <c r="AO7" s="163">
        <f ca="1">ROUND(AM7/无双系数+AN7/1024,10)</f>
        <v>1.7995442148</v>
      </c>
      <c r="AP7" s="159">
        <f ca="1">AP$3+SUMPRODUCT(AP$9:AP$232,$BE$9:$BE$232,$BG$9:$BG$232,$BH$9:$BH$232,$BI$9:$BI$232)</f>
        <v>14505</v>
      </c>
      <c r="AQ7" s="159">
        <f ca="1">AQ$3+SUMPRODUCT(AQ$9:AQ$232,$BE$9:$BE$232,$BG$9:$BG$232,$BH$9:$BH$232,$BI$9:$BI$232)</f>
        <v>0</v>
      </c>
      <c r="AR7" s="159">
        <f ca="1" t="shared" si="15"/>
        <v>14505</v>
      </c>
      <c r="AS7" s="159">
        <f ca="1">AS$3+SUMPRODUCT(AS$9:AS$232,$BE$9:$BE$232,$BG$9:$BG$232,$BH$9:$BH$232,$BI$9:$BI$232)</f>
        <v>82</v>
      </c>
      <c r="AT7" s="163">
        <f ca="1" t="shared" si="16"/>
        <v>0.1491</v>
      </c>
      <c r="AU7" s="159">
        <f ca="1">AU$3+SUMPRODUCT(AU$9:AU$232,$BE$9:$BE$232,$BG$9:$BG$232,$BH$9:$BH$232,$BI$9:$BI$232)</f>
        <v>9521</v>
      </c>
      <c r="AV7" s="159">
        <f ca="1">AV$3+SUMPRODUCT(AV$9:AV$232,$BE$9:$BE$232,$BG$9:$BG$232,$BH$9:$BH$232,$BI$9:$BI$232)</f>
        <v>15868</v>
      </c>
      <c r="AW7" s="159">
        <f ca="1">AW$3+SUMPRODUCT(AW$9:AW$232,$BE$9:$BE$232,$BG$9:$BG$232,$BH$9:$BH$232,$BI$9:$BI$232)</f>
        <v>0</v>
      </c>
      <c r="AX7" s="159">
        <f ca="1" t="shared" si="17"/>
        <v>9521</v>
      </c>
      <c r="AY7" s="159">
        <f ca="1" t="shared" si="18"/>
        <v>15868</v>
      </c>
      <c r="AZ7" s="159">
        <f ca="1">AZ$3+SUMPRODUCT(AZ$9:AZ$232,$BE$9:$BE$232,$BG$9:$BG$232,$BH$9:$BH$232,$BI$9:$BI$232)</f>
        <v>79.1129824561403</v>
      </c>
      <c r="BA7" s="159">
        <f ca="1">BA$3+SUMPRODUCT(BA$9:BA$232,$BE$9:$BE$232,$BG$9:$BG$232,$BH$9:$BH$232,$BI$9:$BI$232)</f>
        <v>21</v>
      </c>
      <c r="BB7" s="159">
        <f ca="1">BB$3+SUMPRODUCT(BB$9:BB$232,$BE$9:$BE$232,$BG$9:$BG$232,$BH$9:$BH$232,$BI$9:$BI$232)</f>
        <v>4655</v>
      </c>
      <c r="BC7" s="159">
        <f ca="1">BC$3+SUMPRODUCT(BC$9:BC$232,$BE$9:$BE$232,$BG$9:$BG$232,$BH$9:$BH$232,$BI$9:$BI$232)</f>
        <v>0</v>
      </c>
      <c r="BD7" s="159">
        <f ca="1">BD$3+SUMPRODUCT(BD$9:BD$232,$BE$9:$BE$232,$BG$9:$BG$232,$BH$9:$BH$232,$BI$9:$BI$232)</f>
        <v>34</v>
      </c>
    </row>
    <row r="8" spans="1:67">
      <c r="B8" s="159" t="s">
        <v>2509</v>
      </c>
      <c r="E8" s="159">
        <f ca="1">E$4+SUMPRODUCT(E$9:E$232,$BE$9:$BE$232,$BG$9:$BG$232,$BH$9:$BH$232,$BJ$9:$BJ$232)</f>
        <v>218067</v>
      </c>
      <c r="F8" s="159">
        <f ca="1">F$4+SUMPRODUCT(F$9:F$232,$BE$9:$BE$232,$BG$9:$BG$232,$BH$9:$BH$232,$BJ$9:$BJ$232)</f>
        <v>0</v>
      </c>
      <c r="G8" s="159">
        <f ca="1">G$4+SUMPRODUCT(G$9:G$232,$BE$9:$BE$232,$BG$9:$BG$232,$BH$9:$BH$232,$BJ$9:$BJ$232)</f>
        <v>112978</v>
      </c>
      <c r="H8" s="159">
        <f ca="1">H$4+SUMPRODUCT(H$9:H$232,$BE$9:$BE$232,$BG$9:$BG$232,$BH$9:$BH$232,$BJ$9:$BJ$232)</f>
        <v>358</v>
      </c>
      <c r="I8" s="159">
        <f ca="1" t="shared" si="2"/>
        <v>2293648</v>
      </c>
      <c r="J8" s="159">
        <f ca="1">J$4+SUMPRODUCT(J$9:J$232,$BE$9:$BE$232,$BG$9:$BG$232,$BH$9:$BH$232,$BJ$9:$BJ$232)</f>
        <v>0</v>
      </c>
      <c r="K8" s="159">
        <f ca="1">K$4+SUMPRODUCT(K$9:K$232,$BE$9:$BE$232,$BG$9:$BG$232,$BH$9:$BH$232,$BJ$9:$BJ$232)</f>
        <v>0</v>
      </c>
      <c r="L8" s="159">
        <f ca="1" t="shared" si="3"/>
        <v>3095528</v>
      </c>
      <c r="M8" s="159">
        <f ca="1">M$4+SUMPRODUCT(M$9:M$232,$BE$9:$BE$232,$BG$9:$BG$232,$BH$9:$BH$232,$BJ$9:$BJ$232)</f>
        <v>10684</v>
      </c>
      <c r="N8" s="159">
        <f ca="1">N$4+SUMPRODUCT(N$9:N$232,$BE$9:$BE$232,$BG$9:$BG$232,$BH$9:$BH$232,$BJ$9:$BJ$232)</f>
        <v>0</v>
      </c>
      <c r="O8" s="159">
        <f ca="1" t="shared" si="4"/>
        <v>10684</v>
      </c>
      <c r="P8" s="159">
        <f ca="1">P$4+SUMPRODUCT(P$9:P$232,$BE$9:$BE$232,$BG$9:$BG$232,$BH$9:$BH$232,$BJ$9:$BJ$232)</f>
        <v>361</v>
      </c>
      <c r="Q8" s="159">
        <f ca="1">Q$4+SUMPRODUCT(Q$9:Q$232,$BE$9:$BE$232,$BG$9:$BG$232,$BH$9:$BH$232,$BJ$9:$BJ$232)</f>
        <v>0</v>
      </c>
      <c r="R8" s="159">
        <f ca="1" t="shared" si="5"/>
        <v>361</v>
      </c>
      <c r="S8" s="159">
        <f ca="1">S$4+SUMPRODUCT(S$9:S$232,$BE$9:$BE$232,$BG$9:$BG$232,$BH$9:$BH$232,$BJ$9:$BJ$232)</f>
        <v>69237</v>
      </c>
      <c r="T8" s="159">
        <f ca="1">T$4+SUMPRODUCT(T$9:T$232,$BE$9:$BE$232,$BG$9:$BG$232,$BH$9:$BH$232,$BJ$9:$BJ$232)</f>
        <v>51</v>
      </c>
      <c r="U8" s="159">
        <f ca="1" t="shared" si="6"/>
        <v>69295</v>
      </c>
      <c r="V8" s="159">
        <f ca="1" t="shared" si="7"/>
        <v>91975</v>
      </c>
      <c r="W8" s="159">
        <f ca="1">W$4+SUMPRODUCT(W$9:W$232,$BE$9:$BE$232,$BG$9:$BG$232,$BH$9:$BH$232,$BJ$9:$BJ$232)</f>
        <v>129620</v>
      </c>
      <c r="X8" s="159">
        <f ca="1">X$4+SUMPRODUCT(X$9:X$232,$BE$9:$BE$232,$BG$9:$BG$232,$BH$9:$BH$232,$BJ$9:$BJ$232)</f>
        <v>0.03</v>
      </c>
      <c r="Y8" s="162">
        <f ca="1">ROUND((W8+INT(O8*身法转基础会心))/会心系数+X8,4)</f>
        <v>0.7343</v>
      </c>
      <c r="Z8" s="159">
        <f ca="1">Z$4+SUMPRODUCT(Z$9:Z$232,$BE$9:$BE$232,$BG$9:$BG$232,$BH$9:$BH$232,$BJ$9:$BJ$232)</f>
        <v>13632</v>
      </c>
      <c r="AA8" s="159">
        <f ca="1">AA$4+SUMPRODUCT(AA$9:AA$232,$BE$9:$BE$232,$BG$9:$BG$232,$BH$9:$BH$232,$BJ$9:$BJ$232)</f>
        <v>387.592380952381</v>
      </c>
      <c r="AB8" s="163">
        <f ca="1">ROUND(1.75+Z8/会效系数+AA8/1024,10)</f>
        <v>2.3156473116</v>
      </c>
      <c r="AC8" s="159">
        <f ca="1">AC$4+SUMPRODUCT(AC$9:AC$232,$BE$9:$BE$232,$BG$9:$BG$232,$BH$9:$BH$232,$BJ$9:$BJ$232)</f>
        <v>98191.2857142857</v>
      </c>
      <c r="AD8" s="159">
        <f ca="1">AD$4+SUMPRODUCT(AD$9:AD$232,$BE$9:$BE$232,$BG$9:$BG$232,$BH$9:$BH$232,$BJ$9:$BJ$232)</f>
        <v>0</v>
      </c>
      <c r="AE8" s="159">
        <f ca="1" t="shared" si="10"/>
        <v>98299.2857142857</v>
      </c>
      <c r="AF8" s="159">
        <f ca="1" t="shared" si="11"/>
        <v>101293.285714286</v>
      </c>
      <c r="AG8" s="159">
        <f ca="1">AG$4+SUMPRODUCT(AG$9:AG$232,$BE$9:$BE$232,$BG$9:$BG$232,$BH$9:$BH$232,$BJ$9:$BJ$232)</f>
        <v>0</v>
      </c>
      <c r="AH8" s="159">
        <f ca="1">AH$4+SUMPRODUCT(AH$9:AH$232,$BE$9:$BE$232,$BG$9:$BG$232,$BH$9:$BH$232,$BJ$9:$BJ$232)</f>
        <v>92028</v>
      </c>
      <c r="AI8" s="159">
        <f ca="1">AI$4+SUMPRODUCT(AI$9:AI$232,$BE$9:$BE$232,$BG$9:$BG$232,$BH$9:$BH$232,$BJ$9:$BJ$232)</f>
        <v>0</v>
      </c>
      <c r="AJ8" s="159">
        <f ca="1" t="shared" si="12"/>
        <v>92028</v>
      </c>
      <c r="AK8" s="159">
        <f ca="1">AK$4+SUMPRODUCT(AK$9:AK$232,$BE$9:$BE$232,$BG$9:$BG$232,$BH$9:$BH$232,$BJ$9:$BJ$232)</f>
        <v>231568.824643414</v>
      </c>
      <c r="AL8" s="159">
        <f ca="1">AL$4+SUMPRODUCT(AL$9:AL$232,$BE$9:$BE$232,$BG$9:$BG$232,$BH$9:$BH$232,$BJ$9:$BJ$232)</f>
        <v>25.5</v>
      </c>
      <c r="AM8" s="159">
        <f ca="1" t="shared" si="13"/>
        <v>237334.824643414</v>
      </c>
      <c r="AN8" s="159">
        <f ca="1">AN$4+SUMPRODUCT(AN$9:AN$232,$BE$9:$BE$232,$BG$9:$BG$232,$BH$9:$BH$232,$BJ$9:$BJ$232)</f>
        <v>20</v>
      </c>
      <c r="AO8" s="163">
        <f ca="1">ROUND(AM8/无双系数+AN8/1024,10)</f>
        <v>1.7995442148</v>
      </c>
      <c r="AP8" s="159">
        <f ca="1">AP$4+SUMPRODUCT(AP$9:AP$232,$BE$9:$BE$232,$BG$9:$BG$232,$BH$9:$BH$232,$BJ$9:$BJ$232)</f>
        <v>14505</v>
      </c>
      <c r="AQ8" s="159">
        <f ca="1">AQ$4+SUMPRODUCT(AQ$9:AQ$232,$BE$9:$BE$232,$BG$9:$BG$232,$BH$9:$BH$232,$BJ$9:$BJ$232)</f>
        <v>0</v>
      </c>
      <c r="AR8" s="159">
        <f ca="1" t="shared" si="15"/>
        <v>14505</v>
      </c>
      <c r="AS8" s="159">
        <f ca="1">AS$4+SUMPRODUCT(AS$9:AS$232,$BE$9:$BE$232,$BG$9:$BG$232,$BH$9:$BH$232,$BJ$9:$BJ$232)</f>
        <v>82</v>
      </c>
      <c r="AT8" s="163">
        <f ca="1" t="shared" si="16"/>
        <v>0.1491</v>
      </c>
      <c r="AU8" s="159">
        <f ca="1">AU$4+SUMPRODUCT(AU$9:AU$232,$BE$9:$BE$232,$BG$9:$BG$232,$BH$9:$BH$232,$BJ$9:$BJ$232)</f>
        <v>14648</v>
      </c>
      <c r="AV8" s="159">
        <f ca="1">AV$4+SUMPRODUCT(AV$9:AV$232,$BE$9:$BE$232,$BG$9:$BG$232,$BH$9:$BH$232,$BJ$9:$BJ$232)</f>
        <v>24413</v>
      </c>
      <c r="AW8" s="159">
        <f ca="1">AW$4+SUMPRODUCT(AW$9:AW$232,$BE$9:$BE$232,$BG$9:$BG$232,$BH$9:$BH$232,$BJ$9:$BJ$232)</f>
        <v>0</v>
      </c>
      <c r="AX8" s="159">
        <f ca="1" t="shared" si="17"/>
        <v>14648</v>
      </c>
      <c r="AY8" s="159">
        <f ca="1" t="shared" si="18"/>
        <v>24413</v>
      </c>
      <c r="AZ8" s="159">
        <f ca="1">AZ$4+SUMPRODUCT(AZ$9:AZ$232,$BE$9:$BE$232,$BG$9:$BG$232,$BH$9:$BH$232,$BJ$9:$BJ$232)</f>
        <v>181.11298245614</v>
      </c>
      <c r="BA8" s="159">
        <f ca="1">BA$4+SUMPRODUCT(BA$9:BA$232,$BE$9:$BE$232,$BG$9:$BG$232,$BH$9:$BH$232,$BJ$9:$BJ$232)</f>
        <v>21</v>
      </c>
      <c r="BB8" s="159">
        <f ca="1">BB$4+SUMPRODUCT(BB$9:BB$232,$BE$9:$BE$232,$BG$9:$BG$232,$BH$9:$BH$232,$BJ$9:$BJ$232)</f>
        <v>4655</v>
      </c>
      <c r="BC8" s="159">
        <f ca="1">BC$4+SUMPRODUCT(BC$9:BC$232,$BE$9:$BE$232,$BG$9:$BG$232,$BH$9:$BH$232,$BJ$9:$BJ$232)</f>
        <v>0</v>
      </c>
      <c r="BD8" s="159">
        <f ca="1">BD$4+SUMPRODUCT(BD$9:BD$232,$BE$9:$BE$232,$BG$9:$BG$232,$BH$9:$BH$232,$BJ$9:$BJ$232)</f>
        <v>34</v>
      </c>
    </row>
    <row r="9" spans="1:67">
      <c r="A9" s="159" t="s">
        <v>2128</v>
      </c>
      <c r="B9" s="159" t="s">
        <v>2510</v>
      </c>
      <c r="C9" s="159" t="s">
        <v>2511</v>
      </c>
      <c r="D9" s="159">
        <v>82</v>
      </c>
      <c r="AA9" s="159">
        <f>D9</f>
        <v>82</v>
      </c>
      <c r="BE9" s="159">
        <f>岱宗</f>
        <v>1</v>
      </c>
      <c r="BF9" s="159">
        <v>0</v>
      </c>
      <c r="BG9" s="159">
        <v>1</v>
      </c>
      <c r="BH9" s="163">
        <f>IF(配装计算器!K30="∞",3,(8+3*(VALUE(SUBSTITUTE(配装计算器!K30,"s",""))-8))/VALUE(SUBSTITUTE(配装计算器!K30,"s","")))</f>
        <v>2.92380952380952</v>
      </c>
      <c r="BI9" s="197">
        <f t="shared" ref="BI9:BI40" si="19">IF(AND($A9&lt;&gt;"重剑",$A9&lt;&gt;""),1,0)</f>
        <v>1</v>
      </c>
      <c r="BJ9" s="197">
        <f t="shared" ref="BJ9:BJ40" si="20">IF(AND($A9&lt;&gt;"轻剑",$A9&lt;&gt;""),1,0)</f>
        <v>1</v>
      </c>
    </row>
    <row r="10" spans="1:67">
      <c r="A10" s="159" t="s">
        <v>1825</v>
      </c>
      <c r="B10" s="159" t="s">
        <v>2510</v>
      </c>
      <c r="C10" s="159" t="s">
        <v>2512</v>
      </c>
      <c r="D10" s="159">
        <v>102</v>
      </c>
      <c r="AZ10" s="159">
        <f>D10</f>
        <v>102</v>
      </c>
      <c r="BE10" s="159">
        <f>怜光</f>
        <v>1</v>
      </c>
      <c r="BF10" s="159">
        <v>0</v>
      </c>
      <c r="BG10" s="159">
        <v>1</v>
      </c>
      <c r="BH10" s="163">
        <v>1</v>
      </c>
      <c r="BI10" s="197">
        <f t="shared" si="19"/>
        <v>0</v>
      </c>
      <c r="BJ10" s="197">
        <f t="shared" si="20"/>
        <v>1</v>
      </c>
    </row>
    <row r="11" spans="1:67">
      <c r="A11" s="159" t="s">
        <v>2128</v>
      </c>
      <c r="B11" s="159" t="s">
        <v>2510</v>
      </c>
      <c r="C11" s="159" t="s">
        <v>2513</v>
      </c>
      <c r="D11" s="159">
        <v>82</v>
      </c>
      <c r="AS11" s="159">
        <f>D11</f>
        <v>82</v>
      </c>
      <c r="BE11" s="159">
        <f>如风</f>
        <v>1</v>
      </c>
      <c r="BF11" s="159">
        <v>0</v>
      </c>
      <c r="BG11" s="159">
        <v>1</v>
      </c>
      <c r="BH11" s="163">
        <v>1</v>
      </c>
      <c r="BI11" s="197">
        <f t="shared" si="19"/>
        <v>1</v>
      </c>
      <c r="BJ11" s="197">
        <f t="shared" si="20"/>
        <v>1</v>
      </c>
    </row>
    <row r="12" spans="1:67">
      <c r="A12" s="159" t="s">
        <v>2128</v>
      </c>
      <c r="B12" s="159" t="s">
        <v>2510</v>
      </c>
      <c r="C12" s="159" t="s">
        <v>2514</v>
      </c>
      <c r="D12" s="159">
        <v>0</v>
      </c>
      <c r="AW12" s="159">
        <f>D12</f>
        <v>0</v>
      </c>
      <c r="BE12" s="159">
        <f>剑锋百锻</f>
        <v>0</v>
      </c>
      <c r="BF12" s="159">
        <v>0</v>
      </c>
      <c r="BG12" s="159">
        <v>1</v>
      </c>
      <c r="BH12" s="163">
        <f>10/(24*2)</f>
        <v>0.208333333333333</v>
      </c>
      <c r="BI12" s="197">
        <f t="shared" si="19"/>
        <v>1</v>
      </c>
      <c r="BJ12" s="197">
        <f t="shared" si="20"/>
        <v>1</v>
      </c>
    </row>
    <row r="13" spans="1:67">
      <c r="A13" s="159" t="s">
        <v>2128</v>
      </c>
      <c r="B13" s="159" t="s">
        <v>2510</v>
      </c>
      <c r="C13" s="159" t="s">
        <v>2152</v>
      </c>
      <c r="BI13" s="197">
        <f t="shared" si="19"/>
        <v>1</v>
      </c>
      <c r="BJ13" s="197">
        <f t="shared" si="20"/>
        <v>1</v>
      </c>
    </row>
    <row r="14" spans="1:67">
      <c r="A14" s="159" t="s">
        <v>2128</v>
      </c>
      <c r="B14" s="159" t="s">
        <v>2515</v>
      </c>
      <c r="C14" s="159" t="s">
        <v>2516</v>
      </c>
      <c r="D14" s="159">
        <v>946</v>
      </c>
      <c r="M14" s="159">
        <f>D14</f>
        <v>946</v>
      </c>
      <c r="BE14" s="159">
        <f>COUNTIF(配装计算器!$R$6:$R$20,额外属性!C14)</f>
        <v>1</v>
      </c>
      <c r="BF14" s="159">
        <v>1</v>
      </c>
      <c r="BG14" s="159">
        <f>IF(配装计算器!$R$3="计算增益",1,0)</f>
        <v>1</v>
      </c>
      <c r="BH14" s="163">
        <v>1</v>
      </c>
      <c r="BI14" s="197">
        <f t="shared" si="19"/>
        <v>1</v>
      </c>
      <c r="BJ14" s="197">
        <f t="shared" si="20"/>
        <v>1</v>
      </c>
    </row>
    <row r="15" spans="1:67">
      <c r="A15" s="159" t="s">
        <v>2128</v>
      </c>
      <c r="B15" s="159" t="s">
        <v>2515</v>
      </c>
      <c r="C15" s="159" t="s">
        <v>2517</v>
      </c>
      <c r="D15" s="159">
        <v>473</v>
      </c>
      <c r="M15" s="159">
        <f>D15</f>
        <v>473</v>
      </c>
      <c r="BE15" s="159">
        <f>COUNTIF(配装计算器!$R$6:$R$20,额外属性!C15)</f>
        <v>0</v>
      </c>
      <c r="BF15" s="159">
        <v>1</v>
      </c>
      <c r="BG15" s="159">
        <f>IF(配装计算器!$R$3="计算增益",1,0)</f>
        <v>1</v>
      </c>
      <c r="BH15" s="163">
        <v>1</v>
      </c>
      <c r="BI15" s="197">
        <f t="shared" si="19"/>
        <v>1</v>
      </c>
      <c r="BJ15" s="197">
        <f t="shared" si="20"/>
        <v>1</v>
      </c>
    </row>
    <row r="16" spans="1:67">
      <c r="A16" s="159" t="s">
        <v>2128</v>
      </c>
      <c r="B16" s="159" t="s">
        <v>2515</v>
      </c>
      <c r="C16" s="159" t="s">
        <v>2518</v>
      </c>
      <c r="D16" s="159">
        <v>111</v>
      </c>
      <c r="E16" s="1">
        <f>D17</f>
        <v>72</v>
      </c>
      <c r="M16" s="159">
        <f>D16</f>
        <v>111</v>
      </c>
      <c r="P16" s="159">
        <f>D16</f>
        <v>111</v>
      </c>
      <c r="BE16" s="159">
        <f>COUNTIF(配装计算器!$R$6:$R$20,额外属性!C16)</f>
        <v>0</v>
      </c>
      <c r="BF16" s="159">
        <v>1</v>
      </c>
      <c r="BG16" s="159">
        <f>IF(配装计算器!$R$3="计算增益",1,0)</f>
        <v>1</v>
      </c>
      <c r="BH16" s="163">
        <v>1</v>
      </c>
      <c r="BI16" s="197">
        <f t="shared" si="19"/>
        <v>1</v>
      </c>
      <c r="BJ16" s="197">
        <f t="shared" si="20"/>
        <v>1</v>
      </c>
    </row>
    <row r="17" spans="1:62">
      <c r="A17" s="159" t="s">
        <v>2128</v>
      </c>
      <c r="B17" s="159" t="s">
        <v>2515</v>
      </c>
      <c r="C17" s="159" t="s">
        <v>2152</v>
      </c>
      <c r="D17" s="159">
        <v>72</v>
      </c>
      <c r="BE17" s="159">
        <f>COUNTIF(配装计算器!$R$6:$R$20,额外属性!C17)</f>
        <v>1</v>
      </c>
      <c r="BF17" s="159">
        <v>1</v>
      </c>
      <c r="BG17" s="159">
        <f>IF(配装计算器!$R$3="计算增益",1,0)</f>
        <v>1</v>
      </c>
      <c r="BH17" s="163">
        <v>1</v>
      </c>
      <c r="BI17" s="197">
        <f t="shared" si="19"/>
        <v>1</v>
      </c>
      <c r="BJ17" s="197">
        <f t="shared" si="20"/>
        <v>1</v>
      </c>
    </row>
    <row r="18" spans="1:62">
      <c r="A18" s="159" t="s">
        <v>2128</v>
      </c>
      <c r="B18" s="159" t="s">
        <v>2519</v>
      </c>
      <c r="C18" s="159" t="s">
        <v>2520</v>
      </c>
      <c r="D18" s="159">
        <v>7379</v>
      </c>
      <c r="AC18" s="159">
        <f>D18</f>
        <v>7379</v>
      </c>
      <c r="BE18" s="159">
        <f>COUNTIF(配装计算器!$R$6:$R$20,额外属性!C18)</f>
        <v>0</v>
      </c>
      <c r="BF18" s="159">
        <v>1</v>
      </c>
      <c r="BG18" s="159">
        <f>IF(配装计算器!$R$3="计算增益",1,0)</f>
        <v>1</v>
      </c>
      <c r="BH18" s="163">
        <v>1</v>
      </c>
      <c r="BI18" s="197">
        <f t="shared" si="19"/>
        <v>1</v>
      </c>
      <c r="BJ18" s="197">
        <f t="shared" si="20"/>
        <v>1</v>
      </c>
    </row>
    <row r="19" spans="1:62">
      <c r="A19" s="159" t="s">
        <v>2128</v>
      </c>
      <c r="B19" s="159" t="s">
        <v>2519</v>
      </c>
      <c r="C19" s="159" t="s">
        <v>2521</v>
      </c>
      <c r="D19" s="159">
        <v>2005</v>
      </c>
      <c r="S19" s="159">
        <f>D19</f>
        <v>2005</v>
      </c>
      <c r="BE19" s="159">
        <f>COUNTIF(配装计算器!$R$6:$R$20,额外属性!C19)</f>
        <v>0</v>
      </c>
      <c r="BF19" s="159">
        <v>1</v>
      </c>
      <c r="BG19" s="159">
        <f>IF(配装计算器!$R$3="计算增益",1,0)</f>
        <v>1</v>
      </c>
      <c r="BH19" s="163">
        <v>1</v>
      </c>
      <c r="BI19" s="197">
        <f t="shared" si="19"/>
        <v>1</v>
      </c>
      <c r="BJ19" s="197">
        <f t="shared" si="20"/>
        <v>1</v>
      </c>
    </row>
    <row r="20" spans="1:62">
      <c r="A20" s="159" t="s">
        <v>2128</v>
      </c>
      <c r="B20" s="159" t="s">
        <v>2519</v>
      </c>
      <c r="C20" s="159" t="s">
        <v>2522</v>
      </c>
      <c r="D20" s="159">
        <f>D18</f>
        <v>7379</v>
      </c>
      <c r="W20" s="159">
        <f>D20</f>
        <v>7379</v>
      </c>
      <c r="BE20" s="159">
        <f>COUNTIF(配装计算器!$R$6:$R$20,额外属性!C20)</f>
        <v>0</v>
      </c>
      <c r="BF20" s="159">
        <v>1</v>
      </c>
      <c r="BG20" s="159">
        <f>IF(配装计算器!$R$3="计算增益",1,0)</f>
        <v>1</v>
      </c>
      <c r="BH20" s="163">
        <v>1</v>
      </c>
      <c r="BI20" s="197">
        <f t="shared" si="19"/>
        <v>1</v>
      </c>
      <c r="BJ20" s="197">
        <f t="shared" si="20"/>
        <v>1</v>
      </c>
    </row>
    <row r="21" spans="1:62">
      <c r="A21" s="159" t="s">
        <v>2128</v>
      </c>
      <c r="B21" s="159" t="s">
        <v>2519</v>
      </c>
      <c r="C21" s="159" t="s">
        <v>2523</v>
      </c>
      <c r="D21" s="159">
        <f>D18</f>
        <v>7379</v>
      </c>
      <c r="AP21" s="159">
        <f>D21</f>
        <v>7379</v>
      </c>
      <c r="BE21" s="159">
        <f>COUNTIF(配装计算器!$R$6:$R$20,额外属性!C21)</f>
        <v>0</v>
      </c>
      <c r="BF21" s="159">
        <v>1</v>
      </c>
      <c r="BG21" s="159">
        <f>IF(配装计算器!$R$3="计算增益",1,0)</f>
        <v>1</v>
      </c>
      <c r="BH21" s="163">
        <v>1</v>
      </c>
      <c r="BI21" s="197">
        <f t="shared" si="19"/>
        <v>1</v>
      </c>
      <c r="BJ21" s="197">
        <f t="shared" si="20"/>
        <v>1</v>
      </c>
    </row>
    <row r="22" spans="1:62">
      <c r="A22" s="159" t="s">
        <v>2128</v>
      </c>
      <c r="B22" s="159" t="s">
        <v>2519</v>
      </c>
      <c r="C22" s="159" t="s">
        <v>2524</v>
      </c>
      <c r="D22" s="159">
        <f>D18</f>
        <v>7379</v>
      </c>
      <c r="AH22" s="159">
        <f>D22</f>
        <v>7379</v>
      </c>
      <c r="BE22" s="159">
        <f>COUNTIF(配装计算器!$R$6:$R$20,额外属性!C22)</f>
        <v>1</v>
      </c>
      <c r="BF22" s="159">
        <v>1</v>
      </c>
      <c r="BG22" s="159">
        <f>IF(配装计算器!$R$3="计算增益",1,0)</f>
        <v>1</v>
      </c>
      <c r="BH22" s="163">
        <v>1</v>
      </c>
      <c r="BI22" s="197">
        <f t="shared" si="19"/>
        <v>1</v>
      </c>
      <c r="BJ22" s="197">
        <f t="shared" si="20"/>
        <v>1</v>
      </c>
    </row>
    <row r="23" spans="1:62">
      <c r="A23" s="159" t="s">
        <v>2128</v>
      </c>
      <c r="B23" s="159" t="s">
        <v>2519</v>
      </c>
      <c r="C23" s="159" t="s">
        <v>2525</v>
      </c>
      <c r="D23" s="159">
        <v>3689</v>
      </c>
      <c r="AC23" s="159">
        <f>D23</f>
        <v>3689</v>
      </c>
      <c r="BE23" s="159">
        <f>COUNTIF(配装计算器!$R$6:$R$20,额外属性!C23)</f>
        <v>0</v>
      </c>
      <c r="BF23" s="159">
        <v>1</v>
      </c>
      <c r="BG23" s="159">
        <f>IF(配装计算器!$R$3="计算增益",1,0)</f>
        <v>1</v>
      </c>
      <c r="BH23" s="163">
        <v>1</v>
      </c>
      <c r="BI23" s="197">
        <f t="shared" si="19"/>
        <v>1</v>
      </c>
      <c r="BJ23" s="197">
        <f t="shared" si="20"/>
        <v>1</v>
      </c>
    </row>
    <row r="24" spans="1:62">
      <c r="A24" s="159" t="s">
        <v>2128</v>
      </c>
      <c r="B24" s="159" t="s">
        <v>2519</v>
      </c>
      <c r="C24" s="159" t="s">
        <v>2526</v>
      </c>
      <c r="D24" s="159">
        <v>1002</v>
      </c>
      <c r="S24" s="159">
        <f>D24</f>
        <v>1002</v>
      </c>
      <c r="BE24" s="159">
        <f>COUNTIF(配装计算器!$R$6:$R$20,额外属性!C24)</f>
        <v>0</v>
      </c>
      <c r="BF24" s="159">
        <v>1</v>
      </c>
      <c r="BG24" s="159">
        <f>IF(配装计算器!$R$3="计算增益",1,0)</f>
        <v>1</v>
      </c>
      <c r="BH24" s="163">
        <v>1</v>
      </c>
      <c r="BI24" s="197">
        <f t="shared" si="19"/>
        <v>1</v>
      </c>
      <c r="BJ24" s="197">
        <f t="shared" si="20"/>
        <v>1</v>
      </c>
    </row>
    <row r="25" spans="1:62">
      <c r="A25" s="159" t="s">
        <v>2128</v>
      </c>
      <c r="B25" s="159" t="s">
        <v>2519</v>
      </c>
      <c r="C25" s="159" t="s">
        <v>2527</v>
      </c>
      <c r="D25" s="159">
        <f>D23</f>
        <v>3689</v>
      </c>
      <c r="W25" s="159">
        <f>D25</f>
        <v>3689</v>
      </c>
      <c r="BE25" s="159">
        <f>COUNTIF(配装计算器!$R$6:$R$20,额外属性!C25)</f>
        <v>0</v>
      </c>
      <c r="BF25" s="159">
        <v>1</v>
      </c>
      <c r="BG25" s="159">
        <f>IF(配装计算器!$R$3="计算增益",1,0)</f>
        <v>1</v>
      </c>
      <c r="BH25" s="163">
        <v>1</v>
      </c>
      <c r="BI25" s="197">
        <f t="shared" si="19"/>
        <v>1</v>
      </c>
      <c r="BJ25" s="197">
        <f t="shared" si="20"/>
        <v>1</v>
      </c>
    </row>
    <row r="26" spans="1:62">
      <c r="A26" s="159" t="s">
        <v>2128</v>
      </c>
      <c r="B26" s="159" t="s">
        <v>2519</v>
      </c>
      <c r="C26" s="159" t="s">
        <v>2528</v>
      </c>
      <c r="D26" s="159">
        <f>D23</f>
        <v>3689</v>
      </c>
      <c r="AP26" s="159">
        <f>D26</f>
        <v>3689</v>
      </c>
      <c r="BE26" s="159">
        <f>COUNTIF(配装计算器!$R$6:$R$20,额外属性!C26)</f>
        <v>0</v>
      </c>
      <c r="BF26" s="159">
        <v>1</v>
      </c>
      <c r="BG26" s="159">
        <f>IF(配装计算器!$R$3="计算增益",1,0)</f>
        <v>1</v>
      </c>
      <c r="BH26" s="163">
        <v>1</v>
      </c>
      <c r="BI26" s="197">
        <f t="shared" si="19"/>
        <v>1</v>
      </c>
      <c r="BJ26" s="197">
        <f t="shared" si="20"/>
        <v>1</v>
      </c>
    </row>
    <row r="27" spans="1:62">
      <c r="A27" s="159" t="s">
        <v>2128</v>
      </c>
      <c r="B27" s="159" t="s">
        <v>2519</v>
      </c>
      <c r="C27" s="159" t="s">
        <v>2529</v>
      </c>
      <c r="D27" s="159">
        <f>D23</f>
        <v>3689</v>
      </c>
      <c r="AH27" s="159">
        <f>D27</f>
        <v>3689</v>
      </c>
      <c r="BE27" s="159">
        <f>COUNTIF(配装计算器!$R$6:$R$20,额外属性!C27)</f>
        <v>0</v>
      </c>
      <c r="BF27" s="159">
        <v>1</v>
      </c>
      <c r="BG27" s="159">
        <f>IF(配装计算器!$R$3="计算增益",1,0)</f>
        <v>1</v>
      </c>
      <c r="BH27" s="163">
        <v>1</v>
      </c>
      <c r="BI27" s="197">
        <f t="shared" si="19"/>
        <v>1</v>
      </c>
      <c r="BJ27" s="197">
        <f t="shared" si="20"/>
        <v>1</v>
      </c>
    </row>
    <row r="28" spans="1:62">
      <c r="A28" s="159" t="s">
        <v>2128</v>
      </c>
      <c r="B28" s="159" t="s">
        <v>2519</v>
      </c>
      <c r="C28" s="159" t="s">
        <v>2530</v>
      </c>
      <c r="D28" s="159">
        <v>222</v>
      </c>
      <c r="S28" s="159">
        <f>D28</f>
        <v>222</v>
      </c>
      <c r="BE28" s="159">
        <f>COUNTIF(配装计算器!$R$6:$R$20,额外属性!C28)</f>
        <v>0</v>
      </c>
      <c r="BF28" s="159">
        <v>1</v>
      </c>
      <c r="BG28" s="159">
        <f>IF(配装计算器!$R$3="计算增益",1,0)</f>
        <v>1</v>
      </c>
      <c r="BH28" s="163">
        <v>1</v>
      </c>
      <c r="BI28" s="197">
        <f t="shared" si="19"/>
        <v>1</v>
      </c>
      <c r="BJ28" s="197">
        <f t="shared" si="20"/>
        <v>1</v>
      </c>
    </row>
    <row r="29" spans="1:62">
      <c r="A29" s="159" t="s">
        <v>2128</v>
      </c>
      <c r="B29" s="159" t="s">
        <v>2519</v>
      </c>
      <c r="C29" s="159" t="s">
        <v>2152</v>
      </c>
      <c r="BE29" s="159">
        <f>COUNTIF(配装计算器!$R$6:$R$20,额外属性!C29)</f>
        <v>1</v>
      </c>
      <c r="BF29" s="159">
        <v>1</v>
      </c>
      <c r="BG29" s="159">
        <f>IF(配装计算器!$R$3="计算增益",1,0)</f>
        <v>1</v>
      </c>
      <c r="BH29" s="163">
        <v>1</v>
      </c>
      <c r="BI29" s="197">
        <f t="shared" si="19"/>
        <v>1</v>
      </c>
      <c r="BJ29" s="197">
        <f t="shared" si="20"/>
        <v>1</v>
      </c>
    </row>
    <row r="30" spans="1:62">
      <c r="A30" s="159" t="s">
        <v>2128</v>
      </c>
      <c r="B30" s="159" t="s">
        <v>2531</v>
      </c>
      <c r="C30" s="159" t="s">
        <v>2532</v>
      </c>
      <c r="D30" s="159">
        <v>736</v>
      </c>
      <c r="M30" s="159">
        <f>D30</f>
        <v>736</v>
      </c>
      <c r="BE30" s="159">
        <f>COUNTIF(配装计算器!$R$6:$R$20,额外属性!C30)</f>
        <v>1</v>
      </c>
      <c r="BF30" s="159">
        <v>1</v>
      </c>
      <c r="BG30" s="159">
        <f>IF(配装计算器!$R$3="计算增益",1,0)</f>
        <v>1</v>
      </c>
      <c r="BH30" s="163">
        <v>1</v>
      </c>
      <c r="BI30" s="197">
        <f t="shared" si="19"/>
        <v>1</v>
      </c>
      <c r="BJ30" s="197">
        <f t="shared" si="20"/>
        <v>1</v>
      </c>
    </row>
    <row r="31" spans="1:62">
      <c r="A31" s="159" t="s">
        <v>2128</v>
      </c>
      <c r="B31" s="159" t="s">
        <v>2531</v>
      </c>
      <c r="C31" s="159" t="s">
        <v>2533</v>
      </c>
      <c r="D31" s="159">
        <v>368</v>
      </c>
      <c r="M31" s="159">
        <f>D31</f>
        <v>368</v>
      </c>
      <c r="BE31" s="159">
        <f>COUNTIF(配装计算器!$R$6:$R$20,额外属性!C31)</f>
        <v>0</v>
      </c>
      <c r="BF31" s="159">
        <v>1</v>
      </c>
      <c r="BG31" s="159">
        <f>IF(配装计算器!$R$3="计算增益",1,0)</f>
        <v>1</v>
      </c>
      <c r="BH31" s="163">
        <v>1</v>
      </c>
      <c r="BI31" s="197">
        <f t="shared" si="19"/>
        <v>1</v>
      </c>
      <c r="BJ31" s="197">
        <f t="shared" si="20"/>
        <v>1</v>
      </c>
    </row>
    <row r="32" spans="1:62">
      <c r="A32" s="159" t="s">
        <v>2128</v>
      </c>
      <c r="B32" s="159" t="s">
        <v>2531</v>
      </c>
      <c r="C32" s="159" t="s">
        <v>2534</v>
      </c>
      <c r="D32" s="159">
        <v>86</v>
      </c>
      <c r="E32" s="159">
        <f>D33</f>
        <v>56</v>
      </c>
      <c r="M32" s="159">
        <f>D32</f>
        <v>86</v>
      </c>
      <c r="P32" s="159">
        <f>D32</f>
        <v>86</v>
      </c>
      <c r="BE32" s="159">
        <f>COUNTIF(配装计算器!$R$6:$R$20,额外属性!C32)</f>
        <v>0</v>
      </c>
      <c r="BF32" s="159">
        <v>1</v>
      </c>
      <c r="BG32" s="159">
        <f>IF(配装计算器!$R$3="计算增益",1,0)</f>
        <v>1</v>
      </c>
      <c r="BH32" s="163">
        <v>1</v>
      </c>
      <c r="BI32" s="197">
        <f t="shared" si="19"/>
        <v>1</v>
      </c>
      <c r="BJ32" s="197">
        <f t="shared" si="20"/>
        <v>1</v>
      </c>
    </row>
    <row r="33" spans="1:62">
      <c r="A33" s="159" t="s">
        <v>2128</v>
      </c>
      <c r="B33" s="159" t="s">
        <v>2531</v>
      </c>
      <c r="C33" s="159" t="s">
        <v>2152</v>
      </c>
      <c r="D33" s="159">
        <v>56</v>
      </c>
      <c r="BE33" s="159">
        <f>COUNTIF(配装计算器!$R$6:$R$20,额外属性!C33)</f>
        <v>1</v>
      </c>
      <c r="BF33" s="159">
        <v>1</v>
      </c>
      <c r="BG33" s="159">
        <f>IF(配装计算器!$R$3="计算增益",1,0)</f>
        <v>1</v>
      </c>
      <c r="BH33" s="163">
        <v>1</v>
      </c>
      <c r="BI33" s="197">
        <f t="shared" si="19"/>
        <v>1</v>
      </c>
      <c r="BJ33" s="197">
        <f t="shared" si="20"/>
        <v>1</v>
      </c>
    </row>
    <row r="34" spans="1:62">
      <c r="A34" s="159" t="s">
        <v>2128</v>
      </c>
      <c r="B34" s="159" t="s">
        <v>2535</v>
      </c>
      <c r="C34" s="159" t="s">
        <v>2536</v>
      </c>
      <c r="D34" s="159">
        <v>5739</v>
      </c>
      <c r="AC34" s="159">
        <f>D34</f>
        <v>5739</v>
      </c>
      <c r="BE34" s="159">
        <f>COUNTIF(配装计算器!$R$6:$R$20,额外属性!C34)</f>
        <v>0</v>
      </c>
      <c r="BF34" s="159">
        <v>1</v>
      </c>
      <c r="BG34" s="159">
        <f>IF(配装计算器!$R$3="计算增益",1,0)</f>
        <v>1</v>
      </c>
      <c r="BH34" s="163">
        <v>1</v>
      </c>
      <c r="BI34" s="197">
        <f t="shared" si="19"/>
        <v>1</v>
      </c>
      <c r="BJ34" s="197">
        <f t="shared" si="20"/>
        <v>1</v>
      </c>
    </row>
    <row r="35" spans="1:62">
      <c r="A35" s="159" t="s">
        <v>2128</v>
      </c>
      <c r="B35" s="159" t="s">
        <v>2535</v>
      </c>
      <c r="C35" s="159" t="s">
        <v>2537</v>
      </c>
      <c r="D35" s="159">
        <v>1559</v>
      </c>
      <c r="S35" s="159">
        <f>D35</f>
        <v>1559</v>
      </c>
      <c r="BE35" s="159">
        <f>COUNTIF(配装计算器!$R$6:$R$20,额外属性!C35)</f>
        <v>0</v>
      </c>
      <c r="BF35" s="159">
        <v>1</v>
      </c>
      <c r="BG35" s="159">
        <f>IF(配装计算器!$R$3="计算增益",1,0)</f>
        <v>1</v>
      </c>
      <c r="BH35" s="163">
        <v>1</v>
      </c>
      <c r="BI35" s="197">
        <f t="shared" si="19"/>
        <v>1</v>
      </c>
      <c r="BJ35" s="197">
        <f t="shared" si="20"/>
        <v>1</v>
      </c>
    </row>
    <row r="36" spans="1:62">
      <c r="A36" s="159" t="s">
        <v>2128</v>
      </c>
      <c r="B36" s="159" t="s">
        <v>2535</v>
      </c>
      <c r="C36" s="159" t="s">
        <v>2538</v>
      </c>
      <c r="D36" s="159">
        <f>D34</f>
        <v>5739</v>
      </c>
      <c r="W36" s="159">
        <f>D36</f>
        <v>5739</v>
      </c>
      <c r="BE36" s="159">
        <f>COUNTIF(配装计算器!$R$6:$R$20,额外属性!C36)</f>
        <v>0</v>
      </c>
      <c r="BF36" s="159">
        <v>1</v>
      </c>
      <c r="BG36" s="159">
        <f>IF(配装计算器!$R$3="计算增益",1,0)</f>
        <v>1</v>
      </c>
      <c r="BH36" s="163">
        <v>1</v>
      </c>
      <c r="BI36" s="197">
        <f t="shared" si="19"/>
        <v>1</v>
      </c>
      <c r="BJ36" s="197">
        <f t="shared" si="20"/>
        <v>1</v>
      </c>
    </row>
    <row r="37" spans="1:62">
      <c r="A37" s="159" t="s">
        <v>2128</v>
      </c>
      <c r="B37" s="159" t="s">
        <v>2535</v>
      </c>
      <c r="C37" s="159" t="s">
        <v>2539</v>
      </c>
      <c r="D37" s="159">
        <f>D34</f>
        <v>5739</v>
      </c>
      <c r="AP37" s="159">
        <f>D37</f>
        <v>5739</v>
      </c>
      <c r="BE37" s="159">
        <f>COUNTIF(配装计算器!$R$6:$R$20,额外属性!C37)</f>
        <v>0</v>
      </c>
      <c r="BF37" s="159">
        <v>1</v>
      </c>
      <c r="BG37" s="159">
        <f>IF(配装计算器!$R$3="计算增益",1,0)</f>
        <v>1</v>
      </c>
      <c r="BH37" s="163">
        <v>1</v>
      </c>
      <c r="BI37" s="197">
        <f t="shared" si="19"/>
        <v>1</v>
      </c>
      <c r="BJ37" s="197">
        <f t="shared" si="20"/>
        <v>1</v>
      </c>
    </row>
    <row r="38" spans="1:62">
      <c r="A38" s="159" t="s">
        <v>2128</v>
      </c>
      <c r="B38" s="159" t="s">
        <v>2535</v>
      </c>
      <c r="C38" s="159" t="s">
        <v>2540</v>
      </c>
      <c r="D38" s="159">
        <f>D34</f>
        <v>5739</v>
      </c>
      <c r="AH38" s="159">
        <f>D38</f>
        <v>5739</v>
      </c>
      <c r="BE38" s="159">
        <f>COUNTIF(配装计算器!$R$6:$R$20,额外属性!C38)</f>
        <v>1</v>
      </c>
      <c r="BF38" s="159">
        <v>1</v>
      </c>
      <c r="BG38" s="159">
        <f>IF(配装计算器!$R$3="计算增益",1,0)</f>
        <v>1</v>
      </c>
      <c r="BH38" s="163">
        <v>1</v>
      </c>
      <c r="BI38" s="197">
        <f t="shared" si="19"/>
        <v>1</v>
      </c>
      <c r="BJ38" s="197">
        <f t="shared" si="20"/>
        <v>1</v>
      </c>
    </row>
    <row r="39" spans="1:62">
      <c r="A39" s="159" t="s">
        <v>2128</v>
      </c>
      <c r="B39" s="159" t="s">
        <v>2535</v>
      </c>
      <c r="C39" s="159" t="s">
        <v>2541</v>
      </c>
      <c r="D39" s="159">
        <v>2869</v>
      </c>
      <c r="AC39" s="159">
        <f>D39</f>
        <v>2869</v>
      </c>
      <c r="BE39" s="159">
        <f>COUNTIF(配装计算器!$R$6:$R$20,额外属性!C39)</f>
        <v>0</v>
      </c>
      <c r="BF39" s="159">
        <v>1</v>
      </c>
      <c r="BG39" s="159">
        <f>IF(配装计算器!$R$3="计算增益",1,0)</f>
        <v>1</v>
      </c>
      <c r="BH39" s="163">
        <v>1</v>
      </c>
      <c r="BI39" s="197">
        <f t="shared" si="19"/>
        <v>1</v>
      </c>
      <c r="BJ39" s="197">
        <f t="shared" si="20"/>
        <v>1</v>
      </c>
    </row>
    <row r="40" spans="1:62">
      <c r="A40" s="159" t="s">
        <v>2128</v>
      </c>
      <c r="B40" s="159" t="s">
        <v>2535</v>
      </c>
      <c r="C40" s="159" t="s">
        <v>2542</v>
      </c>
      <c r="D40" s="159">
        <v>779</v>
      </c>
      <c r="S40" s="159">
        <f>D40</f>
        <v>779</v>
      </c>
      <c r="BE40" s="159">
        <f>COUNTIF(配装计算器!$R$6:$R$20,额外属性!C40)</f>
        <v>0</v>
      </c>
      <c r="BF40" s="159">
        <v>1</v>
      </c>
      <c r="BG40" s="159">
        <f>IF(配装计算器!$R$3="计算增益",1,0)</f>
        <v>1</v>
      </c>
      <c r="BH40" s="163">
        <v>1</v>
      </c>
      <c r="BI40" s="197">
        <f t="shared" si="19"/>
        <v>1</v>
      </c>
      <c r="BJ40" s="197">
        <f t="shared" si="20"/>
        <v>1</v>
      </c>
    </row>
    <row r="41" spans="1:62">
      <c r="A41" s="159" t="s">
        <v>2128</v>
      </c>
      <c r="B41" s="159" t="s">
        <v>2535</v>
      </c>
      <c r="C41" s="159" t="s">
        <v>2543</v>
      </c>
      <c r="D41" s="159">
        <f>D39</f>
        <v>2869</v>
      </c>
      <c r="W41" s="159">
        <f>D41</f>
        <v>2869</v>
      </c>
      <c r="BE41" s="159">
        <f>COUNTIF(配装计算器!$R$6:$R$20,额外属性!C41)</f>
        <v>0</v>
      </c>
      <c r="BF41" s="159">
        <v>1</v>
      </c>
      <c r="BG41" s="159">
        <f>IF(配装计算器!$R$3="计算增益",1,0)</f>
        <v>1</v>
      </c>
      <c r="BH41" s="163">
        <v>1</v>
      </c>
      <c r="BI41" s="197">
        <f t="shared" ref="BI41:BI72" si="21">IF(AND($A41&lt;&gt;"重剑",$A41&lt;&gt;""),1,0)</f>
        <v>1</v>
      </c>
      <c r="BJ41" s="197">
        <f t="shared" ref="BJ41:BJ72" si="22">IF(AND($A41&lt;&gt;"轻剑",$A41&lt;&gt;""),1,0)</f>
        <v>1</v>
      </c>
    </row>
    <row r="42" spans="1:62">
      <c r="A42" s="159" t="s">
        <v>2128</v>
      </c>
      <c r="B42" s="159" t="s">
        <v>2535</v>
      </c>
      <c r="C42" s="159" t="s">
        <v>2544</v>
      </c>
      <c r="D42" s="159">
        <f>D39</f>
        <v>2869</v>
      </c>
      <c r="AP42" s="159">
        <f>D42</f>
        <v>2869</v>
      </c>
      <c r="BE42" s="159">
        <f>COUNTIF(配装计算器!$R$6:$R$20,额外属性!C42)</f>
        <v>0</v>
      </c>
      <c r="BF42" s="159">
        <v>1</v>
      </c>
      <c r="BG42" s="159">
        <f>IF(配装计算器!$R$3="计算增益",1,0)</f>
        <v>1</v>
      </c>
      <c r="BH42" s="163">
        <v>1</v>
      </c>
      <c r="BI42" s="197">
        <f t="shared" si="21"/>
        <v>1</v>
      </c>
      <c r="BJ42" s="197">
        <f t="shared" si="22"/>
        <v>1</v>
      </c>
    </row>
    <row r="43" spans="1:62">
      <c r="A43" s="159" t="s">
        <v>2128</v>
      </c>
      <c r="B43" s="159" t="s">
        <v>2535</v>
      </c>
      <c r="C43" s="159" t="s">
        <v>2545</v>
      </c>
      <c r="D43" s="159">
        <f>D39</f>
        <v>2869</v>
      </c>
      <c r="AH43" s="159">
        <f>D43</f>
        <v>2869</v>
      </c>
      <c r="BE43" s="159">
        <f>COUNTIF(配装计算器!$R$6:$R$20,额外属性!C43)</f>
        <v>0</v>
      </c>
      <c r="BF43" s="159">
        <v>1</v>
      </c>
      <c r="BG43" s="159">
        <f>IF(配装计算器!$R$3="计算增益",1,0)</f>
        <v>1</v>
      </c>
      <c r="BH43" s="163">
        <v>1</v>
      </c>
      <c r="BI43" s="197">
        <f t="shared" si="21"/>
        <v>1</v>
      </c>
      <c r="BJ43" s="197">
        <f t="shared" si="22"/>
        <v>1</v>
      </c>
    </row>
    <row r="44" spans="1:62">
      <c r="A44" s="159" t="s">
        <v>2128</v>
      </c>
      <c r="B44" s="159" t="s">
        <v>2535</v>
      </c>
      <c r="C44" s="159" t="s">
        <v>2546</v>
      </c>
      <c r="D44" s="159">
        <v>173</v>
      </c>
      <c r="S44" s="159">
        <f>D44</f>
        <v>173</v>
      </c>
      <c r="BE44" s="159">
        <f>COUNTIF(配装计算器!$R$6:$R$20,额外属性!C44)</f>
        <v>0</v>
      </c>
      <c r="BF44" s="159">
        <v>1</v>
      </c>
      <c r="BG44" s="159">
        <f>IF(配装计算器!$R$3="计算增益",1,0)</f>
        <v>1</v>
      </c>
      <c r="BH44" s="163">
        <v>1</v>
      </c>
      <c r="BI44" s="197">
        <f t="shared" si="21"/>
        <v>1</v>
      </c>
      <c r="BJ44" s="197">
        <f t="shared" si="22"/>
        <v>1</v>
      </c>
    </row>
    <row r="45" spans="1:62">
      <c r="A45" s="159" t="s">
        <v>2128</v>
      </c>
      <c r="B45" s="159" t="s">
        <v>2535</v>
      </c>
      <c r="C45" s="159" t="s">
        <v>2152</v>
      </c>
      <c r="BE45" s="159">
        <f>COUNTIF(配装计算器!$R$6:$R$20,额外属性!C45)</f>
        <v>1</v>
      </c>
      <c r="BF45" s="159">
        <v>1</v>
      </c>
      <c r="BG45" s="159">
        <f>IF(配装计算器!$R$3="计算增益",1,0)</f>
        <v>1</v>
      </c>
      <c r="BH45" s="163">
        <v>1</v>
      </c>
      <c r="BI45" s="197">
        <f t="shared" si="21"/>
        <v>1</v>
      </c>
      <c r="BJ45" s="197">
        <f t="shared" si="22"/>
        <v>1</v>
      </c>
    </row>
    <row r="46" spans="1:62">
      <c r="A46" s="159" t="s">
        <v>2128</v>
      </c>
      <c r="B46" s="159" t="s">
        <v>2547</v>
      </c>
      <c r="C46" s="159" t="s">
        <v>2548</v>
      </c>
      <c r="D46" s="159">
        <v>1337</v>
      </c>
      <c r="S46" s="159">
        <f>D46</f>
        <v>1337</v>
      </c>
      <c r="BE46" s="159">
        <f>COUNTIF(配装计算器!$R$6:$R$20,额外属性!C46)</f>
        <v>1</v>
      </c>
      <c r="BF46" s="159">
        <v>1</v>
      </c>
      <c r="BG46" s="159">
        <f>IF(配装计算器!$R$3="计算增益",1,0)</f>
        <v>1</v>
      </c>
      <c r="BH46" s="163">
        <v>1</v>
      </c>
      <c r="BI46" s="197">
        <f t="shared" si="21"/>
        <v>1</v>
      </c>
      <c r="BJ46" s="197">
        <f t="shared" si="22"/>
        <v>1</v>
      </c>
    </row>
    <row r="47" spans="1:62">
      <c r="A47" s="159" t="s">
        <v>2128</v>
      </c>
      <c r="B47" s="159" t="s">
        <v>2547</v>
      </c>
      <c r="C47" s="159" t="s">
        <v>2549</v>
      </c>
      <c r="D47" s="159">
        <v>669</v>
      </c>
      <c r="S47" s="159">
        <f>D47</f>
        <v>669</v>
      </c>
      <c r="BE47" s="159">
        <f>COUNTIF(配装计算器!$R$6:$R$20,额外属性!C47)</f>
        <v>0</v>
      </c>
      <c r="BF47" s="159">
        <v>1</v>
      </c>
      <c r="BG47" s="159">
        <f>IF(配装计算器!$R$3="计算增益",1,0)</f>
        <v>1</v>
      </c>
      <c r="BH47" s="163">
        <v>1</v>
      </c>
      <c r="BI47" s="197">
        <f t="shared" si="21"/>
        <v>1</v>
      </c>
      <c r="BJ47" s="197">
        <f t="shared" si="22"/>
        <v>1</v>
      </c>
    </row>
    <row r="48" spans="1:62">
      <c r="A48" s="159" t="s">
        <v>2128</v>
      </c>
      <c r="B48" s="159" t="s">
        <v>2547</v>
      </c>
      <c r="C48" s="159" t="s">
        <v>2152</v>
      </c>
      <c r="BE48" s="159">
        <f>COUNTIF(配装计算器!$R$6:$R$20,额外属性!C48)</f>
        <v>1</v>
      </c>
      <c r="BF48" s="159">
        <v>1</v>
      </c>
      <c r="BG48" s="159">
        <f>IF(配装计算器!$R$3="计算增益",1,0)</f>
        <v>1</v>
      </c>
      <c r="BH48" s="163">
        <v>1</v>
      </c>
      <c r="BI48" s="197">
        <f t="shared" si="21"/>
        <v>1</v>
      </c>
      <c r="BJ48" s="197">
        <f t="shared" si="22"/>
        <v>1</v>
      </c>
    </row>
    <row r="49" spans="1:62">
      <c r="A49" s="159" t="s">
        <v>2128</v>
      </c>
      <c r="B49" s="159" t="s">
        <v>2550</v>
      </c>
      <c r="C49" s="159" t="s">
        <v>2551</v>
      </c>
      <c r="D49" s="159">
        <v>841</v>
      </c>
      <c r="M49" s="159">
        <f>D49</f>
        <v>841</v>
      </c>
      <c r="BE49" s="159">
        <f>COUNTIF(配装计算器!$R$6:$R$20,额外属性!C49)</f>
        <v>0</v>
      </c>
      <c r="BF49" s="159">
        <v>1</v>
      </c>
      <c r="BG49" s="159">
        <f>IF(配装计算器!$R$3="计算增益",1,0)</f>
        <v>1</v>
      </c>
      <c r="BH49" s="163">
        <v>1</v>
      </c>
      <c r="BI49" s="197">
        <f t="shared" si="21"/>
        <v>1</v>
      </c>
      <c r="BJ49" s="197">
        <f t="shared" si="22"/>
        <v>1</v>
      </c>
    </row>
    <row r="50" spans="1:62">
      <c r="A50" s="159" t="s">
        <v>2128</v>
      </c>
      <c r="B50" s="159" t="s">
        <v>2550</v>
      </c>
      <c r="C50" s="159" t="s">
        <v>2552</v>
      </c>
      <c r="D50" s="159">
        <v>891</v>
      </c>
      <c r="S50" s="159">
        <f>D50</f>
        <v>891</v>
      </c>
      <c r="W50" s="159">
        <f>D51</f>
        <v>3280</v>
      </c>
      <c r="AH50" s="159">
        <f>D51</f>
        <v>3280</v>
      </c>
      <c r="BE50" s="159">
        <f>COUNTIF(配装计算器!$R$6:$R$20,额外属性!C50)</f>
        <v>1</v>
      </c>
      <c r="BF50" s="159">
        <v>1</v>
      </c>
      <c r="BG50" s="159">
        <f>IF(配装计算器!$R$3="计算增益",1,0)</f>
        <v>1</v>
      </c>
      <c r="BH50" s="163">
        <v>1</v>
      </c>
      <c r="BI50" s="197">
        <f t="shared" si="21"/>
        <v>1</v>
      </c>
      <c r="BJ50" s="197">
        <f t="shared" si="22"/>
        <v>1</v>
      </c>
    </row>
    <row r="51" spans="1:62">
      <c r="A51" s="159" t="s">
        <v>2128</v>
      </c>
      <c r="B51" s="159" t="s">
        <v>2550</v>
      </c>
      <c r="C51" s="159" t="s">
        <v>2152</v>
      </c>
      <c r="D51" s="159">
        <v>3280</v>
      </c>
      <c r="BE51" s="159">
        <f>IF(附魔库!$J$212=0,COUNTIF(配装计算器!$R$6:$R$20,额外属性!C51),0)</f>
        <v>0</v>
      </c>
      <c r="BF51" s="159">
        <v>1</v>
      </c>
      <c r="BG51" s="159">
        <f>IF(配装计算器!$R$3="计算增益",1,0)</f>
        <v>1</v>
      </c>
      <c r="BH51" s="163">
        <v>1</v>
      </c>
      <c r="BI51" s="197">
        <f t="shared" si="21"/>
        <v>1</v>
      </c>
      <c r="BJ51" s="197">
        <f t="shared" si="22"/>
        <v>1</v>
      </c>
    </row>
    <row r="52" spans="1:62">
      <c r="A52" s="159" t="s">
        <v>2128</v>
      </c>
      <c r="B52" s="159" t="s">
        <v>2553</v>
      </c>
      <c r="C52" s="159" t="s">
        <v>2554</v>
      </c>
      <c r="D52" s="159">
        <v>3991</v>
      </c>
      <c r="AH52" s="159">
        <f>D52</f>
        <v>3991</v>
      </c>
      <c r="BE52" s="159">
        <f>IF(附魔库!$J$212=0,COUNTIF(配装计算器!$R$6:$R$20,额外属性!C52),0)</f>
        <v>0</v>
      </c>
      <c r="BF52" s="159">
        <v>1</v>
      </c>
      <c r="BG52" s="159">
        <f>IF(配装计算器!$R$3="计算增益",1,0)</f>
        <v>1</v>
      </c>
      <c r="BH52" s="163">
        <v>1</v>
      </c>
      <c r="BI52" s="197">
        <f t="shared" si="21"/>
        <v>1</v>
      </c>
      <c r="BJ52" s="197">
        <f t="shared" si="22"/>
        <v>1</v>
      </c>
    </row>
    <row r="53" spans="1:62">
      <c r="A53" s="159" t="s">
        <v>2128</v>
      </c>
      <c r="B53" s="159" t="s">
        <v>2553</v>
      </c>
      <c r="C53" s="159" t="s">
        <v>2555</v>
      </c>
      <c r="D53" s="159">
        <f>D52</f>
        <v>3991</v>
      </c>
      <c r="AK53" s="159">
        <f>D53</f>
        <v>3991</v>
      </c>
      <c r="BE53" s="159">
        <f>IF(附魔库!$J$212=0,COUNTIF(配装计算器!$R$6:$R$20,额外属性!C53),0)</f>
        <v>0</v>
      </c>
      <c r="BF53" s="159">
        <v>1</v>
      </c>
      <c r="BG53" s="159">
        <f>IF(配装计算器!$R$3="计算增益",1,0)</f>
        <v>1</v>
      </c>
      <c r="BH53" s="163">
        <v>1</v>
      </c>
      <c r="BI53" s="197">
        <f t="shared" si="21"/>
        <v>1</v>
      </c>
      <c r="BJ53" s="197">
        <f t="shared" si="22"/>
        <v>1</v>
      </c>
    </row>
    <row r="54" spans="1:62">
      <c r="A54" s="159" t="s">
        <v>2128</v>
      </c>
      <c r="B54" s="159" t="s">
        <v>2553</v>
      </c>
      <c r="C54" s="159" t="s">
        <v>2556</v>
      </c>
      <c r="D54" s="159">
        <v>1084</v>
      </c>
      <c r="S54" s="159">
        <f>D54</f>
        <v>1084</v>
      </c>
      <c r="BE54" s="159">
        <f>IF(附魔库!$J$212=0,COUNTIF(配装计算器!$R$6:$R$20,额外属性!C54),0)</f>
        <v>0</v>
      </c>
      <c r="BF54" s="159">
        <v>1</v>
      </c>
      <c r="BG54" s="159">
        <f>IF(配装计算器!$R$3="计算增益",1,0)</f>
        <v>1</v>
      </c>
      <c r="BH54" s="163">
        <v>1</v>
      </c>
      <c r="BI54" s="197">
        <f t="shared" si="21"/>
        <v>1</v>
      </c>
      <c r="BJ54" s="197">
        <f t="shared" si="22"/>
        <v>1</v>
      </c>
    </row>
    <row r="55" spans="1:62">
      <c r="A55" s="159" t="s">
        <v>2128</v>
      </c>
      <c r="B55" s="159" t="s">
        <v>2553</v>
      </c>
      <c r="C55" s="159" t="s">
        <v>2557</v>
      </c>
      <c r="D55" s="159">
        <f>D52</f>
        <v>3991</v>
      </c>
      <c r="AC55" s="159">
        <f>D55</f>
        <v>3991</v>
      </c>
      <c r="BE55" s="159">
        <f>IF(附魔库!$J$212=0,COUNTIF(配装计算器!$R$6:$R$20,额外属性!C55),0)</f>
        <v>0</v>
      </c>
      <c r="BF55" s="159">
        <v>1</v>
      </c>
      <c r="BG55" s="159">
        <f>IF(配装计算器!$R$3="计算增益",1,0)</f>
        <v>1</v>
      </c>
      <c r="BH55" s="163">
        <v>1</v>
      </c>
      <c r="BI55" s="197">
        <f t="shared" si="21"/>
        <v>1</v>
      </c>
      <c r="BJ55" s="197">
        <f t="shared" si="22"/>
        <v>1</v>
      </c>
    </row>
    <row r="56" spans="1:62">
      <c r="A56" s="159" t="s">
        <v>2128</v>
      </c>
      <c r="B56" s="159" t="s">
        <v>2553</v>
      </c>
      <c r="C56" s="159" t="s">
        <v>2558</v>
      </c>
      <c r="D56" s="159">
        <f>D52</f>
        <v>3991</v>
      </c>
      <c r="W56" s="159">
        <f>D56</f>
        <v>3991</v>
      </c>
      <c r="BE56" s="159">
        <f>IF(附魔库!$J$212=0,COUNTIF(配装计算器!$R$6:$R$20,额外属性!C56),0)</f>
        <v>0</v>
      </c>
      <c r="BF56" s="159">
        <v>1</v>
      </c>
      <c r="BG56" s="159">
        <f>IF(配装计算器!$R$3="计算增益",1,0)</f>
        <v>1</v>
      </c>
      <c r="BH56" s="163">
        <v>1</v>
      </c>
      <c r="BI56" s="197">
        <f t="shared" si="21"/>
        <v>1</v>
      </c>
      <c r="BJ56" s="197">
        <f t="shared" si="22"/>
        <v>1</v>
      </c>
    </row>
    <row r="57" spans="1:62">
      <c r="A57" s="159" t="s">
        <v>2128</v>
      </c>
      <c r="B57" s="159" t="s">
        <v>2553</v>
      </c>
      <c r="C57" s="159" t="s">
        <v>2559</v>
      </c>
      <c r="D57" s="159">
        <v>2661</v>
      </c>
      <c r="AH57" s="159">
        <f>D57</f>
        <v>2661</v>
      </c>
      <c r="BE57" s="159">
        <f>IF(附魔库!$J$212=0,COUNTIF(配装计算器!$R$6:$R$20,额外属性!C57),0)</f>
        <v>0</v>
      </c>
      <c r="BF57" s="159">
        <v>1</v>
      </c>
      <c r="BG57" s="159">
        <f>IF(配装计算器!$R$3="计算增益",1,0)</f>
        <v>1</v>
      </c>
      <c r="BH57" s="163">
        <v>1</v>
      </c>
      <c r="BI57" s="197">
        <f t="shared" si="21"/>
        <v>1</v>
      </c>
      <c r="BJ57" s="197">
        <f t="shared" si="22"/>
        <v>1</v>
      </c>
    </row>
    <row r="58" spans="1:62">
      <c r="A58" s="159" t="s">
        <v>2128</v>
      </c>
      <c r="B58" s="159" t="s">
        <v>2553</v>
      </c>
      <c r="C58" s="159" t="s">
        <v>2560</v>
      </c>
      <c r="D58" s="159">
        <f>D57</f>
        <v>2661</v>
      </c>
      <c r="AK58" s="159">
        <f>D58</f>
        <v>2661</v>
      </c>
      <c r="BE58" s="159">
        <f>IF(附魔库!$J$212=0,COUNTIF(配装计算器!$R$6:$R$20,额外属性!C58),0)</f>
        <v>0</v>
      </c>
      <c r="BF58" s="159">
        <v>1</v>
      </c>
      <c r="BG58" s="159">
        <f>IF(配装计算器!$R$3="计算增益",1,0)</f>
        <v>1</v>
      </c>
      <c r="BH58" s="163">
        <v>1</v>
      </c>
      <c r="BI58" s="197">
        <f t="shared" si="21"/>
        <v>1</v>
      </c>
      <c r="BJ58" s="197">
        <f t="shared" si="22"/>
        <v>1</v>
      </c>
    </row>
    <row r="59" spans="1:62">
      <c r="A59" s="159" t="s">
        <v>2128</v>
      </c>
      <c r="B59" s="159" t="s">
        <v>2553</v>
      </c>
      <c r="C59" s="159" t="s">
        <v>2561</v>
      </c>
      <c r="D59" s="159">
        <v>804</v>
      </c>
      <c r="S59" s="159">
        <f>D59</f>
        <v>804</v>
      </c>
      <c r="BE59" s="159">
        <f>IF(附魔库!$J$212=0,COUNTIF(配装计算器!$R$6:$R$20,额外属性!C59),0)</f>
        <v>0</v>
      </c>
      <c r="BF59" s="159">
        <v>1</v>
      </c>
      <c r="BG59" s="159">
        <f>IF(配装计算器!$R$3="计算增益",1,0)</f>
        <v>1</v>
      </c>
      <c r="BH59" s="163">
        <v>1</v>
      </c>
      <c r="BI59" s="197">
        <f t="shared" si="21"/>
        <v>1</v>
      </c>
      <c r="BJ59" s="197">
        <f t="shared" si="22"/>
        <v>1</v>
      </c>
    </row>
    <row r="60" spans="1:62">
      <c r="A60" s="159" t="s">
        <v>2128</v>
      </c>
      <c r="B60" s="159" t="s">
        <v>2553</v>
      </c>
      <c r="C60" s="159" t="s">
        <v>2562</v>
      </c>
      <c r="D60" s="159">
        <f>D57</f>
        <v>2661</v>
      </c>
      <c r="AC60" s="159">
        <f>D60</f>
        <v>2661</v>
      </c>
      <c r="BE60" s="159">
        <f>IF(附魔库!$J$212=0,COUNTIF(配装计算器!$R$6:$R$20,额外属性!C60),0)</f>
        <v>0</v>
      </c>
      <c r="BF60" s="159">
        <v>1</v>
      </c>
      <c r="BG60" s="159">
        <f>IF(配装计算器!$R$3="计算增益",1,0)</f>
        <v>1</v>
      </c>
      <c r="BH60" s="163">
        <v>1</v>
      </c>
      <c r="BI60" s="197">
        <f t="shared" si="21"/>
        <v>1</v>
      </c>
      <c r="BJ60" s="197">
        <f t="shared" si="22"/>
        <v>1</v>
      </c>
    </row>
    <row r="61" spans="1:62">
      <c r="A61" s="159" t="s">
        <v>2128</v>
      </c>
      <c r="B61" s="159" t="s">
        <v>2553</v>
      </c>
      <c r="C61" s="159" t="s">
        <v>2563</v>
      </c>
      <c r="D61" s="159">
        <f>D57</f>
        <v>2661</v>
      </c>
      <c r="W61" s="159">
        <f>D61</f>
        <v>2661</v>
      </c>
      <c r="BE61" s="159">
        <f>IF(附魔库!$J$212=0,COUNTIF(配装计算器!$R$6:$R$20,额外属性!C61),0)</f>
        <v>0</v>
      </c>
      <c r="BF61" s="159">
        <v>1</v>
      </c>
      <c r="BG61" s="159">
        <f>IF(配装计算器!$R$3="计算增益",1,0)</f>
        <v>1</v>
      </c>
      <c r="BH61" s="163">
        <v>1</v>
      </c>
      <c r="BI61" s="197">
        <f t="shared" si="21"/>
        <v>1</v>
      </c>
      <c r="BJ61" s="197">
        <f t="shared" si="22"/>
        <v>1</v>
      </c>
    </row>
    <row r="62" spans="1:62">
      <c r="A62" s="159" t="s">
        <v>2128</v>
      </c>
      <c r="B62" s="159" t="s">
        <v>2553</v>
      </c>
      <c r="C62" s="159" t="s">
        <v>2152</v>
      </c>
      <c r="BE62" s="159">
        <f>IF(附魔库!$J$212=0,COUNTIF(配装计算器!$R$6:$R$20,额外属性!C62),0)</f>
        <v>0</v>
      </c>
      <c r="BF62" s="159">
        <v>1</v>
      </c>
      <c r="BG62" s="159">
        <f>IF(配装计算器!$R$3="计算增益",1,0)</f>
        <v>1</v>
      </c>
      <c r="BH62" s="163">
        <v>1</v>
      </c>
      <c r="BI62" s="197">
        <f t="shared" si="21"/>
        <v>1</v>
      </c>
      <c r="BJ62" s="197">
        <f t="shared" si="22"/>
        <v>1</v>
      </c>
    </row>
    <row r="63" spans="1:62">
      <c r="A63" s="159" t="s">
        <v>2128</v>
      </c>
      <c r="B63" s="159" t="s">
        <v>2564</v>
      </c>
      <c r="C63" s="159" t="s">
        <v>2565</v>
      </c>
      <c r="D63" s="159">
        <f>附魔库!I207</f>
        <v>-3192</v>
      </c>
      <c r="AK63" s="159">
        <f>D63</f>
        <v>-3192</v>
      </c>
      <c r="BE63" s="159">
        <f>IF(附魔库!$J$212=1,COUNTIF(配装计算器!$R$6:$R$20,额外属性!C63),0)</f>
        <v>0</v>
      </c>
      <c r="BF63" s="159">
        <v>1</v>
      </c>
      <c r="BG63" s="159">
        <f>IF(配装计算器!$R$3="计算增益",1,0)</f>
        <v>1</v>
      </c>
      <c r="BH63" s="163">
        <v>1</v>
      </c>
      <c r="BI63" s="197">
        <f t="shared" si="21"/>
        <v>1</v>
      </c>
      <c r="BJ63" s="197">
        <f t="shared" si="22"/>
        <v>1</v>
      </c>
    </row>
    <row r="64" spans="1:62">
      <c r="A64" s="159" t="s">
        <v>2128</v>
      </c>
      <c r="B64" s="159" t="s">
        <v>2564</v>
      </c>
      <c r="C64" s="159" t="s">
        <v>2566</v>
      </c>
      <c r="D64" s="159">
        <f>附魔库!I208</f>
        <v>-3192</v>
      </c>
      <c r="AH64" s="159">
        <f>D64</f>
        <v>-3192</v>
      </c>
      <c r="BE64" s="159">
        <f>IF(附魔库!$J$212=1,COUNTIF(配装计算器!$R$6:$R$20,额外属性!C64),0)</f>
        <v>0</v>
      </c>
      <c r="BF64" s="159">
        <v>1</v>
      </c>
      <c r="BG64" s="159">
        <f>IF(配装计算器!$R$3="计算增益",1,0)</f>
        <v>1</v>
      </c>
      <c r="BH64" s="163">
        <v>1</v>
      </c>
      <c r="BI64" s="197">
        <f t="shared" si="21"/>
        <v>1</v>
      </c>
      <c r="BJ64" s="197">
        <f t="shared" si="22"/>
        <v>1</v>
      </c>
    </row>
    <row r="65" spans="1:62">
      <c r="A65" s="159" t="s">
        <v>2128</v>
      </c>
      <c r="B65" s="159" t="s">
        <v>2564</v>
      </c>
      <c r="C65" s="159" t="s">
        <v>2567</v>
      </c>
      <c r="D65" s="159">
        <f>附魔库!I209</f>
        <v>-47900</v>
      </c>
      <c r="G65" s="159">
        <f>D65</f>
        <v>-47900</v>
      </c>
      <c r="BE65" s="159">
        <f>IF(附魔库!$J$212=1,COUNTIF(配装计算器!$R$6:$R$20,额外属性!C65),0)</f>
        <v>1</v>
      </c>
      <c r="BF65" s="159">
        <v>1</v>
      </c>
      <c r="BG65" s="159">
        <f>IF(配装计算器!$R$3="计算增益",1,0)</f>
        <v>1</v>
      </c>
      <c r="BH65" s="163">
        <v>1</v>
      </c>
      <c r="BI65" s="197">
        <f t="shared" si="21"/>
        <v>1</v>
      </c>
      <c r="BJ65" s="197">
        <f t="shared" si="22"/>
        <v>1</v>
      </c>
    </row>
    <row r="66" spans="1:62">
      <c r="A66" s="159" t="s">
        <v>2128</v>
      </c>
      <c r="B66" s="159" t="s">
        <v>2568</v>
      </c>
      <c r="C66" s="159" t="str">
        <f>IF(附魔库!J208="无双值降低","破招值增加","无双值增加")</f>
        <v>无双值增加</v>
      </c>
      <c r="D66" s="159">
        <f>附魔库!I212</f>
        <v>7184</v>
      </c>
      <c r="AH66" s="159">
        <f>IF(LEFT(C66,3)=AH1,D66,0)</f>
        <v>0</v>
      </c>
      <c r="AK66" s="159">
        <f>IF(LEFT(C66,3)=AK1,D66,0)</f>
        <v>7184</v>
      </c>
      <c r="BE66" s="159">
        <f>IF(附魔库!$J$212=1,COUNTIF(配装计算器!$R$6:$R$20,额外属性!C66),0)</f>
        <v>0</v>
      </c>
      <c r="BF66" s="159">
        <v>1</v>
      </c>
      <c r="BG66" s="159">
        <f>IF(配装计算器!$R$3="计算增益",1,0)</f>
        <v>1</v>
      </c>
      <c r="BH66" s="163">
        <v>1</v>
      </c>
      <c r="BI66" s="197">
        <f t="shared" si="21"/>
        <v>1</v>
      </c>
      <c r="BJ66" s="197">
        <f t="shared" si="22"/>
        <v>1</v>
      </c>
    </row>
    <row r="67" spans="1:62">
      <c r="A67" s="159" t="s">
        <v>2128</v>
      </c>
      <c r="B67" s="159" t="s">
        <v>2568</v>
      </c>
      <c r="C67" s="159" t="s">
        <v>2569</v>
      </c>
      <c r="D67" s="159">
        <f>附魔库!I214</f>
        <v>1952</v>
      </c>
      <c r="S67" s="159">
        <f>D67</f>
        <v>1952</v>
      </c>
      <c r="BE67" s="159">
        <f>IF(附魔库!$J$212=1,COUNTIF(配装计算器!$R$6:$R$20,额外属性!C67),0)</f>
        <v>0</v>
      </c>
      <c r="BF67" s="159">
        <v>1</v>
      </c>
      <c r="BG67" s="159">
        <f>IF(配装计算器!$R$3="计算增益",1,0)</f>
        <v>1</v>
      </c>
      <c r="BH67" s="163">
        <v>1</v>
      </c>
      <c r="BI67" s="197">
        <f t="shared" si="21"/>
        <v>1</v>
      </c>
      <c r="BJ67" s="197">
        <f t="shared" si="22"/>
        <v>1</v>
      </c>
    </row>
    <row r="68" spans="1:62">
      <c r="A68" s="159" t="s">
        <v>2128</v>
      </c>
      <c r="B68" s="159" t="s">
        <v>2568</v>
      </c>
      <c r="C68" s="159" t="s">
        <v>2570</v>
      </c>
      <c r="D68" s="159">
        <f>附魔库!I213</f>
        <v>7184</v>
      </c>
      <c r="AC68" s="159">
        <f>D68</f>
        <v>7184</v>
      </c>
      <c r="BE68" s="159">
        <f>IF(附魔库!$J$212=1,COUNTIF(配装计算器!$R$6:$R$20,额外属性!C68),0)</f>
        <v>1</v>
      </c>
      <c r="BF68" s="159">
        <v>1</v>
      </c>
      <c r="BG68" s="159">
        <f>IF(配装计算器!$R$3="计算增益",1,0)</f>
        <v>1</v>
      </c>
      <c r="BH68" s="163">
        <v>1</v>
      </c>
      <c r="BI68" s="197">
        <f t="shared" si="21"/>
        <v>1</v>
      </c>
      <c r="BJ68" s="197">
        <f t="shared" si="22"/>
        <v>1</v>
      </c>
    </row>
    <row r="69" spans="1:62">
      <c r="A69" s="159" t="s">
        <v>2128</v>
      </c>
      <c r="B69" s="159" t="s">
        <v>2568</v>
      </c>
      <c r="C69" s="159" t="s">
        <v>2571</v>
      </c>
      <c r="D69" s="159">
        <f>附魔库!I215</f>
        <v>7184</v>
      </c>
      <c r="W69" s="159">
        <f>D69</f>
        <v>7184</v>
      </c>
      <c r="BE69" s="159">
        <f>IF(附魔库!$J$212=1,COUNTIF(配装计算器!$R$6:$R$20,额外属性!C69),0)</f>
        <v>0</v>
      </c>
      <c r="BF69" s="159">
        <v>1</v>
      </c>
      <c r="BG69" s="159">
        <f>IF(配装计算器!$R$3="计算增益",1,0)</f>
        <v>1</v>
      </c>
      <c r="BH69" s="163">
        <v>1</v>
      </c>
      <c r="BI69" s="197">
        <f t="shared" si="21"/>
        <v>1</v>
      </c>
      <c r="BJ69" s="197">
        <f t="shared" si="22"/>
        <v>1</v>
      </c>
    </row>
    <row r="70" spans="1:62">
      <c r="A70" s="159" t="s">
        <v>2128</v>
      </c>
      <c r="B70" s="159" t="s">
        <v>2572</v>
      </c>
      <c r="C70" s="159" t="s">
        <v>2573</v>
      </c>
      <c r="D70" s="159">
        <v>136</v>
      </c>
      <c r="M70" s="159">
        <f>D70</f>
        <v>136</v>
      </c>
      <c r="BE70" s="159">
        <f>COUNTIF(配装计算器!$R$6:$R$20,额外属性!C70)</f>
        <v>0</v>
      </c>
      <c r="BF70" s="159">
        <v>1</v>
      </c>
      <c r="BG70" s="159">
        <f>IF(配装计算器!$R$3="计算增益",1,0)</f>
        <v>1</v>
      </c>
      <c r="BH70" s="163">
        <v>1</v>
      </c>
      <c r="BI70" s="197">
        <f t="shared" si="21"/>
        <v>1</v>
      </c>
      <c r="BJ70" s="197">
        <f t="shared" si="22"/>
        <v>1</v>
      </c>
    </row>
    <row r="71" spans="1:62">
      <c r="A71" s="159" t="s">
        <v>2128</v>
      </c>
      <c r="B71" s="159" t="s">
        <v>2572</v>
      </c>
      <c r="C71" s="159" t="s">
        <v>2574</v>
      </c>
      <c r="D71" s="159">
        <v>272</v>
      </c>
      <c r="M71" s="159">
        <f>D71</f>
        <v>272</v>
      </c>
      <c r="BE71" s="159">
        <f>COUNTIF(配装计算器!$R$6:$R$20,额外属性!C71)</f>
        <v>0</v>
      </c>
      <c r="BF71" s="159">
        <v>1</v>
      </c>
      <c r="BG71" s="159">
        <f>IF(配装计算器!$R$3="计算增益",1,0)</f>
        <v>1</v>
      </c>
      <c r="BH71" s="163">
        <v>1</v>
      </c>
      <c r="BI71" s="197">
        <f t="shared" si="21"/>
        <v>1</v>
      </c>
      <c r="BJ71" s="197">
        <f t="shared" si="22"/>
        <v>1</v>
      </c>
    </row>
    <row r="72" spans="1:62">
      <c r="A72" s="159" t="s">
        <v>2128</v>
      </c>
      <c r="B72" s="159" t="s">
        <v>2572</v>
      </c>
      <c r="C72" s="159" t="s">
        <v>2575</v>
      </c>
      <c r="D72" s="159">
        <v>408</v>
      </c>
      <c r="M72" s="159">
        <f>D72</f>
        <v>408</v>
      </c>
      <c r="BE72" s="159">
        <f>COUNTIF(配装计算器!$R$6:$R$20,额外属性!C72)</f>
        <v>0</v>
      </c>
      <c r="BF72" s="159">
        <v>1</v>
      </c>
      <c r="BG72" s="159">
        <f>IF(配装计算器!$R$3="计算增益",1,0)</f>
        <v>1</v>
      </c>
      <c r="BH72" s="163">
        <v>1</v>
      </c>
      <c r="BI72" s="197">
        <f t="shared" si="21"/>
        <v>1</v>
      </c>
      <c r="BJ72" s="197">
        <f t="shared" si="22"/>
        <v>1</v>
      </c>
    </row>
    <row r="73" spans="1:62">
      <c r="A73" s="159" t="s">
        <v>2128</v>
      </c>
      <c r="B73" s="159" t="s">
        <v>2572</v>
      </c>
      <c r="C73" s="159" t="s">
        <v>2576</v>
      </c>
      <c r="D73" s="159">
        <v>544</v>
      </c>
      <c r="M73" s="159">
        <f>D73</f>
        <v>544</v>
      </c>
      <c r="BE73" s="159">
        <f>COUNTIF(配装计算器!$R$6:$R$20,额外属性!C73)</f>
        <v>1</v>
      </c>
      <c r="BF73" s="159">
        <v>1</v>
      </c>
      <c r="BG73" s="159">
        <f>IF(配装计算器!$R$3="计算增益",1,0)</f>
        <v>1</v>
      </c>
      <c r="BH73" s="163">
        <v>1</v>
      </c>
      <c r="BI73" s="197">
        <f t="shared" ref="BI73:BI102" si="23">IF(AND($A73&lt;&gt;"重剑",$A73&lt;&gt;""),1,0)</f>
        <v>1</v>
      </c>
      <c r="BJ73" s="197">
        <f t="shared" ref="BJ73:BJ102" si="24">IF(AND($A73&lt;&gt;"轻剑",$A73&lt;&gt;""),1,0)</f>
        <v>1</v>
      </c>
    </row>
    <row r="74" spans="1:62">
      <c r="A74" s="159" t="s">
        <v>2128</v>
      </c>
      <c r="B74" s="159" t="s">
        <v>2572</v>
      </c>
      <c r="C74" s="159" t="s">
        <v>2577</v>
      </c>
      <c r="D74" s="159">
        <v>1064</v>
      </c>
      <c r="AP74" s="159">
        <f>D74</f>
        <v>1064</v>
      </c>
      <c r="BE74" s="159">
        <f>COUNTIF(配装计算器!$R$6:$R$20,额外属性!C74)</f>
        <v>0</v>
      </c>
      <c r="BF74" s="159">
        <v>1</v>
      </c>
      <c r="BG74" s="159">
        <f>IF(配装计算器!$R$3="计算增益",1,0)</f>
        <v>1</v>
      </c>
      <c r="BH74" s="163">
        <v>1</v>
      </c>
      <c r="BI74" s="197">
        <f t="shared" si="23"/>
        <v>1</v>
      </c>
      <c r="BJ74" s="197">
        <f t="shared" si="24"/>
        <v>1</v>
      </c>
    </row>
    <row r="75" spans="1:62">
      <c r="A75" s="159" t="s">
        <v>2128</v>
      </c>
      <c r="B75" s="159" t="s">
        <v>2572</v>
      </c>
      <c r="C75" s="159" t="s">
        <v>2578</v>
      </c>
      <c r="D75" s="159">
        <v>2128</v>
      </c>
      <c r="AP75" s="159">
        <f>D75</f>
        <v>2128</v>
      </c>
      <c r="BE75" s="159">
        <f>COUNTIF(配装计算器!$R$6:$R$20,额外属性!C75)</f>
        <v>0</v>
      </c>
      <c r="BF75" s="159">
        <v>1</v>
      </c>
      <c r="BG75" s="159">
        <f>IF(配装计算器!$R$3="计算增益",1,0)</f>
        <v>1</v>
      </c>
      <c r="BH75" s="163">
        <v>1</v>
      </c>
      <c r="BI75" s="197">
        <f t="shared" si="23"/>
        <v>1</v>
      </c>
      <c r="BJ75" s="197">
        <f t="shared" si="24"/>
        <v>1</v>
      </c>
    </row>
    <row r="76" spans="1:62">
      <c r="A76" s="159" t="s">
        <v>2128</v>
      </c>
      <c r="B76" s="159" t="s">
        <v>2572</v>
      </c>
      <c r="C76" s="159" t="s">
        <v>2579</v>
      </c>
      <c r="D76" s="159">
        <v>3192</v>
      </c>
      <c r="AP76" s="159">
        <f>D76</f>
        <v>3192</v>
      </c>
      <c r="BE76" s="159">
        <f>COUNTIF(配装计算器!$R$6:$R$20,额外属性!C76)</f>
        <v>0</v>
      </c>
      <c r="BF76" s="159">
        <v>1</v>
      </c>
      <c r="BG76" s="159">
        <f>IF(配装计算器!$R$3="计算增益",1,0)</f>
        <v>1</v>
      </c>
      <c r="BH76" s="163">
        <v>1</v>
      </c>
      <c r="BI76" s="197">
        <f t="shared" si="23"/>
        <v>1</v>
      </c>
      <c r="BJ76" s="197">
        <f t="shared" si="24"/>
        <v>1</v>
      </c>
    </row>
    <row r="77" spans="1:62">
      <c r="A77" s="159" t="s">
        <v>2128</v>
      </c>
      <c r="B77" s="159" t="s">
        <v>2572</v>
      </c>
      <c r="C77" s="159" t="s">
        <v>2580</v>
      </c>
      <c r="D77" s="159">
        <v>4256</v>
      </c>
      <c r="AP77" s="159">
        <f>D77</f>
        <v>4256</v>
      </c>
      <c r="BE77" s="159">
        <f>COUNTIF(配装计算器!$R$6:$R$20,额外属性!C77)</f>
        <v>0</v>
      </c>
      <c r="BF77" s="159">
        <v>1</v>
      </c>
      <c r="BG77" s="159">
        <f>IF(配装计算器!$R$3="计算增益",1,0)</f>
        <v>1</v>
      </c>
      <c r="BH77" s="163">
        <v>1</v>
      </c>
      <c r="BI77" s="197">
        <f t="shared" si="23"/>
        <v>1</v>
      </c>
      <c r="BJ77" s="197">
        <f t="shared" si="24"/>
        <v>1</v>
      </c>
    </row>
    <row r="78" spans="1:62">
      <c r="A78" s="159" t="s">
        <v>2128</v>
      </c>
      <c r="B78" s="159" t="s">
        <v>2572</v>
      </c>
      <c r="C78" s="159" t="s">
        <v>2152</v>
      </c>
      <c r="BE78" s="159">
        <f>COUNTIF(配装计算器!$R$6:$R$20,额外属性!C78)</f>
        <v>1</v>
      </c>
      <c r="BF78" s="159">
        <v>1</v>
      </c>
      <c r="BG78" s="159">
        <f>IF(配装计算器!$R$3="计算增益",1,0)</f>
        <v>1</v>
      </c>
      <c r="BH78" s="163">
        <v>1</v>
      </c>
      <c r="BI78" s="197">
        <f t="shared" si="23"/>
        <v>1</v>
      </c>
      <c r="BJ78" s="197">
        <f t="shared" si="24"/>
        <v>1</v>
      </c>
    </row>
    <row r="79" spans="1:62">
      <c r="A79" s="159" t="s">
        <v>2128</v>
      </c>
      <c r="B79" s="159" t="s">
        <v>2581</v>
      </c>
      <c r="C79" s="159" t="s">
        <v>2582</v>
      </c>
      <c r="D79" s="159">
        <v>738</v>
      </c>
      <c r="AC79" s="159">
        <f>D79</f>
        <v>738</v>
      </c>
      <c r="BE79" s="159">
        <f>COUNTIF(配装计算器!$R$6:$R$20,额外属性!C79)</f>
        <v>1</v>
      </c>
      <c r="BF79" s="159">
        <v>1</v>
      </c>
      <c r="BG79" s="159">
        <f>IF(配装计算器!$R$3="计算增益",1,0)</f>
        <v>1</v>
      </c>
      <c r="BH79" s="163">
        <v>1</v>
      </c>
      <c r="BI79" s="197">
        <f t="shared" si="23"/>
        <v>1</v>
      </c>
      <c r="BJ79" s="197">
        <f t="shared" si="24"/>
        <v>1</v>
      </c>
    </row>
    <row r="80" spans="1:62">
      <c r="A80" s="159" t="s">
        <v>2128</v>
      </c>
      <c r="B80" s="159" t="s">
        <v>2581</v>
      </c>
      <c r="C80" s="159" t="s">
        <v>2583</v>
      </c>
      <c r="D80" s="159">
        <v>738</v>
      </c>
      <c r="W80" s="159">
        <f>D80</f>
        <v>738</v>
      </c>
      <c r="BE80" s="159">
        <f>COUNTIF(配装计算器!$R$6:$R$20,额外属性!C80)</f>
        <v>0</v>
      </c>
      <c r="BF80" s="159">
        <v>1</v>
      </c>
      <c r="BG80" s="159">
        <f>IF(配装计算器!$R$3="计算增益",1,0)</f>
        <v>1</v>
      </c>
      <c r="BH80" s="163">
        <v>1</v>
      </c>
      <c r="BI80" s="197">
        <f t="shared" si="23"/>
        <v>1</v>
      </c>
      <c r="BJ80" s="197">
        <f t="shared" si="24"/>
        <v>1</v>
      </c>
    </row>
    <row r="81" spans="1:62">
      <c r="A81" s="159" t="s">
        <v>2128</v>
      </c>
      <c r="B81" s="159" t="s">
        <v>2581</v>
      </c>
      <c r="C81" s="159" t="s">
        <v>2152</v>
      </c>
      <c r="BE81" s="159">
        <f>COUNTIF(配装计算器!$R$6:$R$20,额外属性!C81)</f>
        <v>1</v>
      </c>
      <c r="BF81" s="159">
        <v>1</v>
      </c>
      <c r="BG81" s="159">
        <f>IF(配装计算器!$R$3="计算增益",1,0)</f>
        <v>1</v>
      </c>
      <c r="BH81" s="163">
        <v>1</v>
      </c>
      <c r="BI81" s="197">
        <f t="shared" si="23"/>
        <v>1</v>
      </c>
      <c r="BJ81" s="197">
        <f t="shared" si="24"/>
        <v>1</v>
      </c>
    </row>
    <row r="82" spans="1:62">
      <c r="A82" s="159" t="s">
        <v>2128</v>
      </c>
      <c r="B82" s="159" t="s">
        <v>2584</v>
      </c>
      <c r="C82" s="159" t="s">
        <v>2584</v>
      </c>
      <c r="D82" s="159">
        <v>1334</v>
      </c>
      <c r="AK82" s="159">
        <f>D82</f>
        <v>1334</v>
      </c>
      <c r="BE82" s="159">
        <f>配装计算器!R18</f>
        <v>1</v>
      </c>
      <c r="BF82" s="159">
        <v>1</v>
      </c>
      <c r="BG82" s="159">
        <f>IF(配装计算器!$R$3="计算增益",1,0)</f>
        <v>1</v>
      </c>
      <c r="BH82" s="163">
        <v>1</v>
      </c>
      <c r="BI82" s="197">
        <f t="shared" si="23"/>
        <v>1</v>
      </c>
      <c r="BJ82" s="197">
        <f t="shared" si="24"/>
        <v>1</v>
      </c>
    </row>
    <row r="83" spans="1:62">
      <c r="A83" s="159" t="s">
        <v>2128</v>
      </c>
      <c r="B83" s="159" t="s">
        <v>2585</v>
      </c>
      <c r="C83" s="159" t="s">
        <v>2586</v>
      </c>
      <c r="D83" s="159">
        <v>600</v>
      </c>
      <c r="AH83" s="159">
        <f>D83</f>
        <v>600</v>
      </c>
      <c r="AK83" s="159">
        <f>D83</f>
        <v>600</v>
      </c>
      <c r="BE83" s="159">
        <f>COUNTIF(配装计算器!$R$6:$R$20,额外属性!C83)</f>
        <v>1</v>
      </c>
      <c r="BF83" s="159">
        <v>1</v>
      </c>
      <c r="BG83" s="159">
        <f>IF(配装计算器!$R$3="计算增益",1,0)</f>
        <v>1</v>
      </c>
      <c r="BH83" s="163">
        <v>1</v>
      </c>
      <c r="BI83" s="197">
        <f t="shared" si="23"/>
        <v>1</v>
      </c>
      <c r="BJ83" s="197">
        <f t="shared" si="24"/>
        <v>1</v>
      </c>
    </row>
    <row r="84" spans="1:62">
      <c r="A84" s="159" t="s">
        <v>2128</v>
      </c>
      <c r="B84" s="159" t="s">
        <v>2585</v>
      </c>
      <c r="C84" s="159" t="s">
        <v>2587</v>
      </c>
      <c r="D84" s="159">
        <v>100</v>
      </c>
      <c r="AH84" s="159">
        <f>D84</f>
        <v>100</v>
      </c>
      <c r="AK84" s="159">
        <f>D84</f>
        <v>100</v>
      </c>
      <c r="BE84" s="159">
        <f>COUNTIF(配装计算器!$R$6:$R$20,额外属性!C84)</f>
        <v>0</v>
      </c>
      <c r="BF84" s="159">
        <v>1</v>
      </c>
      <c r="BG84" s="159">
        <f>IF(配装计算器!$R$3="计算增益",1,0)</f>
        <v>1</v>
      </c>
      <c r="BH84" s="163">
        <v>1</v>
      </c>
      <c r="BI84" s="197">
        <f t="shared" si="23"/>
        <v>1</v>
      </c>
      <c r="BJ84" s="197">
        <f t="shared" si="24"/>
        <v>1</v>
      </c>
    </row>
    <row r="85" spans="1:62">
      <c r="A85" s="159" t="s">
        <v>2128</v>
      </c>
      <c r="B85" s="159" t="s">
        <v>2585</v>
      </c>
      <c r="C85" s="159" t="s">
        <v>2152</v>
      </c>
      <c r="BE85" s="159">
        <f>COUNTIF(配装计算器!$R$6:$R$20,额外属性!C85)</f>
        <v>1</v>
      </c>
      <c r="BF85" s="159">
        <v>1</v>
      </c>
      <c r="BG85" s="159">
        <f>IF(配装计算器!$R$3="计算增益",1,0)</f>
        <v>1</v>
      </c>
      <c r="BH85" s="163">
        <v>1</v>
      </c>
      <c r="BI85" s="197">
        <f t="shared" si="23"/>
        <v>1</v>
      </c>
      <c r="BJ85" s="197">
        <f t="shared" si="24"/>
        <v>1</v>
      </c>
    </row>
    <row r="86" spans="1:62">
      <c r="A86" s="159" t="s">
        <v>2128</v>
      </c>
      <c r="B86" s="159" t="s">
        <v>2588</v>
      </c>
      <c r="C86" s="159" t="s">
        <v>2588</v>
      </c>
      <c r="D86" s="159">
        <v>868</v>
      </c>
      <c r="AH86" s="159">
        <f>D86</f>
        <v>868</v>
      </c>
      <c r="AK86" s="159">
        <f>D86</f>
        <v>868</v>
      </c>
      <c r="BE86" s="159">
        <f>配装计算器!R20</f>
        <v>1</v>
      </c>
      <c r="BF86" s="159">
        <v>1</v>
      </c>
      <c r="BG86" s="159">
        <f>IF(配装计算器!$R$3="计算增益",1,0)</f>
        <v>1</v>
      </c>
      <c r="BH86" s="163">
        <v>1</v>
      </c>
      <c r="BI86" s="197">
        <f t="shared" si="23"/>
        <v>1</v>
      </c>
      <c r="BJ86" s="197">
        <f t="shared" si="24"/>
        <v>1</v>
      </c>
    </row>
    <row r="87" spans="1:62">
      <c r="A87" s="159" t="s">
        <v>2128</v>
      </c>
      <c r="B87" s="159" t="s">
        <v>2589</v>
      </c>
      <c r="C87" s="159" t="s">
        <v>2590</v>
      </c>
      <c r="D87" s="159">
        <v>317</v>
      </c>
      <c r="E87" s="159">
        <f>D87</f>
        <v>317</v>
      </c>
      <c r="M87" s="159">
        <f>D87</f>
        <v>317</v>
      </c>
      <c r="P87" s="159">
        <f>D87</f>
        <v>317</v>
      </c>
      <c r="BE87" s="159">
        <f>配装计算器!T16</f>
        <v>1</v>
      </c>
      <c r="BF87" s="159">
        <v>1</v>
      </c>
      <c r="BG87" s="159">
        <f>IF(配装计算器!$R$3="计算增益",1,0)</f>
        <v>1</v>
      </c>
      <c r="BH87" s="163">
        <v>1</v>
      </c>
      <c r="BI87" s="197">
        <f t="shared" si="23"/>
        <v>1</v>
      </c>
      <c r="BJ87" s="197">
        <f t="shared" si="24"/>
        <v>1</v>
      </c>
    </row>
    <row r="88" spans="1:62">
      <c r="A88" s="159" t="s">
        <v>2128</v>
      </c>
      <c r="B88" s="159" t="s">
        <v>2591</v>
      </c>
      <c r="C88" s="159" t="s">
        <v>2592</v>
      </c>
      <c r="D88" s="159">
        <v>51</v>
      </c>
      <c r="H88" s="159">
        <f>D88</f>
        <v>51</v>
      </c>
      <c r="T88" s="159">
        <f>D88</f>
        <v>51</v>
      </c>
      <c r="BE88" s="159">
        <f>配装计算器!T17</f>
        <v>1</v>
      </c>
      <c r="BF88" s="159">
        <v>1</v>
      </c>
      <c r="BG88" s="159">
        <f>IF(配装计算器!$R$3="计算增益",1,0)</f>
        <v>1</v>
      </c>
      <c r="BH88" s="163">
        <v>1</v>
      </c>
      <c r="BI88" s="197">
        <f t="shared" si="23"/>
        <v>1</v>
      </c>
      <c r="BJ88" s="197">
        <f t="shared" si="24"/>
        <v>1</v>
      </c>
    </row>
    <row r="89" spans="1:62">
      <c r="A89" s="159" t="s">
        <v>2128</v>
      </c>
      <c r="B89" s="159" t="s">
        <v>2593</v>
      </c>
      <c r="C89" s="159" t="s">
        <v>2594</v>
      </c>
      <c r="D89" s="159">
        <v>21</v>
      </c>
      <c r="BA89" s="159">
        <f>D89</f>
        <v>21</v>
      </c>
      <c r="BE89" s="159">
        <f>COUNTIF(配装计算器!$T$5:$T$13,额外属性!C89)</f>
        <v>1</v>
      </c>
      <c r="BF89" s="159">
        <v>0</v>
      </c>
      <c r="BG89" s="159">
        <f>IF(配装计算器!$R$3="计算增益",1,0)</f>
        <v>1</v>
      </c>
      <c r="BH89" s="163">
        <v>1</v>
      </c>
      <c r="BI89" s="197">
        <f t="shared" si="23"/>
        <v>1</v>
      </c>
      <c r="BJ89" s="197">
        <f t="shared" si="24"/>
        <v>1</v>
      </c>
    </row>
    <row r="90" spans="1:62">
      <c r="A90" s="159" t="s">
        <v>2128</v>
      </c>
      <c r="B90" s="159" t="s">
        <v>2038</v>
      </c>
      <c r="C90" s="159" t="s">
        <v>2152</v>
      </c>
      <c r="BE90" s="159">
        <f>COUNTIF(配装计算器!$T$4:$T$9,额外属性!C90)</f>
        <v>0</v>
      </c>
      <c r="BF90" s="159">
        <v>0</v>
      </c>
      <c r="BG90" s="159">
        <f>IF(配装计算器!$R$3="计算增益",1,0)</f>
        <v>1</v>
      </c>
      <c r="BH90" s="163">
        <v>1</v>
      </c>
      <c r="BI90" s="197">
        <f t="shared" si="23"/>
        <v>1</v>
      </c>
      <c r="BJ90" s="197">
        <f t="shared" si="24"/>
        <v>1</v>
      </c>
    </row>
    <row r="91" spans="1:62">
      <c r="A91" s="159" t="s">
        <v>2128</v>
      </c>
      <c r="B91" s="159" t="s">
        <v>2595</v>
      </c>
      <c r="C91" s="159" t="s">
        <v>2596</v>
      </c>
      <c r="D91" s="159">
        <v>51</v>
      </c>
      <c r="BA91" s="159">
        <v>51</v>
      </c>
      <c r="BE91" s="159">
        <f>IF(配装计算器!T18&gt;0,1,0)</f>
        <v>0</v>
      </c>
      <c r="BF91" s="159">
        <v>0</v>
      </c>
      <c r="BG91" s="159">
        <f>IF(配装计算器!$R$3="计算增益",1,0)</f>
        <v>1</v>
      </c>
      <c r="BH91" s="163">
        <f>配装计算器!T18</f>
        <v>0</v>
      </c>
      <c r="BI91" s="197">
        <f t="shared" si="23"/>
        <v>1</v>
      </c>
      <c r="BJ91" s="197">
        <f t="shared" si="24"/>
        <v>1</v>
      </c>
    </row>
    <row r="92" spans="1:62">
      <c r="A92" s="159" t="s">
        <v>2128</v>
      </c>
      <c r="B92" s="159" t="s">
        <v>2597</v>
      </c>
      <c r="C92" s="159" t="s">
        <v>2597</v>
      </c>
      <c r="D92" s="159">
        <v>51</v>
      </c>
      <c r="BD92" s="159">
        <f>D92</f>
        <v>51</v>
      </c>
      <c r="BE92" s="159">
        <f>IF(配装计算器!T14&gt;0,1,0)</f>
        <v>0</v>
      </c>
      <c r="BF92" s="159">
        <v>0</v>
      </c>
      <c r="BG92" s="159">
        <f>IF(配装计算器!$R$3="计算增益",1,0)</f>
        <v>1</v>
      </c>
      <c r="BH92" s="163">
        <v>1</v>
      </c>
      <c r="BI92" s="197">
        <f t="shared" si="23"/>
        <v>1</v>
      </c>
      <c r="BJ92" s="197">
        <f t="shared" si="24"/>
        <v>1</v>
      </c>
    </row>
    <row r="93" spans="1:62">
      <c r="A93" s="159" t="s">
        <v>2128</v>
      </c>
      <c r="B93" s="159" t="s">
        <v>2598</v>
      </c>
      <c r="C93" s="159" t="s">
        <v>2598</v>
      </c>
      <c r="D93" s="159">
        <v>102</v>
      </c>
      <c r="BD93" s="159">
        <f>D93</f>
        <v>102</v>
      </c>
      <c r="BE93" s="159">
        <f>IF(配装计算器!T13&gt;0,1,0)</f>
        <v>1</v>
      </c>
      <c r="BF93" s="159">
        <v>0</v>
      </c>
      <c r="BG93" s="159">
        <f>IF(配装计算器!$R$3="计算增益",1,0)</f>
        <v>1</v>
      </c>
      <c r="BH93" s="163">
        <f>配装计算器!T13*10/30</f>
        <v>0.333333333333333</v>
      </c>
      <c r="BI93" s="197">
        <f t="shared" si="23"/>
        <v>1</v>
      </c>
      <c r="BJ93" s="197">
        <f t="shared" si="24"/>
        <v>1</v>
      </c>
    </row>
    <row r="94" spans="1:62">
      <c r="A94" s="159" t="s">
        <v>2128</v>
      </c>
      <c r="B94" s="159" t="s">
        <v>2599</v>
      </c>
      <c r="C94" s="159" t="s">
        <v>2599</v>
      </c>
      <c r="D94" s="159">
        <v>307</v>
      </c>
      <c r="T94" s="159">
        <f>D94</f>
        <v>307</v>
      </c>
      <c r="BE94" s="159">
        <v>0</v>
      </c>
      <c r="BF94" s="159">
        <v>0</v>
      </c>
      <c r="BG94" s="159">
        <f>IF(配装计算器!$R$3="计算增益",1,0)</f>
        <v>1</v>
      </c>
      <c r="BH94" s="163">
        <v>0</v>
      </c>
      <c r="BI94" s="197">
        <f t="shared" si="23"/>
        <v>1</v>
      </c>
      <c r="BJ94" s="197">
        <f t="shared" si="24"/>
        <v>1</v>
      </c>
    </row>
    <row r="95" spans="1:62">
      <c r="A95" s="159" t="s">
        <v>2128</v>
      </c>
      <c r="B95" s="159" t="s">
        <v>2600</v>
      </c>
      <c r="C95" s="159" t="s">
        <v>2600</v>
      </c>
      <c r="D95" s="201">
        <v>0.1</v>
      </c>
      <c r="X95" s="201">
        <f>D95</f>
        <v>0.1</v>
      </c>
      <c r="BE95" s="159">
        <v>0</v>
      </c>
      <c r="BF95" s="159">
        <v>1</v>
      </c>
      <c r="BG95" s="159">
        <f>IF(配装计算器!$R$3="计算增益",1,0)</f>
        <v>1</v>
      </c>
      <c r="BH95" s="163">
        <v>1</v>
      </c>
      <c r="BI95" s="197">
        <f t="shared" si="23"/>
        <v>1</v>
      </c>
      <c r="BJ95" s="197">
        <f t="shared" si="24"/>
        <v>1</v>
      </c>
    </row>
    <row r="96" spans="1:62">
      <c r="A96" s="159" t="s">
        <v>2128</v>
      </c>
      <c r="B96" s="159" t="s">
        <v>2601</v>
      </c>
      <c r="C96" s="159" t="s">
        <v>2601</v>
      </c>
      <c r="D96" s="159">
        <v>102</v>
      </c>
      <c r="AA96" s="159">
        <f>D96</f>
        <v>102</v>
      </c>
      <c r="BE96" s="159">
        <f>配装计算器!V16</f>
        <v>0</v>
      </c>
      <c r="BF96" s="159">
        <v>1</v>
      </c>
      <c r="BG96" s="159">
        <f>IF(配装计算器!$R$3="计算增益",1,0)</f>
        <v>1</v>
      </c>
      <c r="BH96" s="163">
        <v>1</v>
      </c>
      <c r="BI96" s="197">
        <f t="shared" si="23"/>
        <v>1</v>
      </c>
      <c r="BJ96" s="197">
        <f t="shared" si="24"/>
        <v>1</v>
      </c>
    </row>
    <row r="97" spans="1:62">
      <c r="A97" s="159" t="s">
        <v>2128</v>
      </c>
      <c r="B97" s="159" t="s">
        <v>2602</v>
      </c>
      <c r="C97" s="159" t="s">
        <v>2602</v>
      </c>
      <c r="D97" s="159">
        <v>307</v>
      </c>
      <c r="T97" s="159">
        <f>D97</f>
        <v>307</v>
      </c>
      <c r="AD97" s="159">
        <v>256</v>
      </c>
      <c r="BE97" s="159">
        <f>IF(配装计算器!V17&gt;0,1,0)</f>
        <v>0</v>
      </c>
      <c r="BF97" s="159">
        <v>0</v>
      </c>
      <c r="BG97" s="159">
        <f>IF(配装计算器!$R$3="计算增益",1,0)</f>
        <v>1</v>
      </c>
      <c r="BH97" s="163">
        <f>MIN(1,配装计算器!V17*6/30)</f>
        <v>0</v>
      </c>
      <c r="BI97" s="197">
        <f t="shared" si="23"/>
        <v>1</v>
      </c>
      <c r="BJ97" s="197">
        <f t="shared" si="24"/>
        <v>1</v>
      </c>
    </row>
    <row r="98" spans="1:62">
      <c r="A98" s="159" t="s">
        <v>2128</v>
      </c>
      <c r="B98" s="159" t="s">
        <v>2603</v>
      </c>
      <c r="C98" s="159" t="s">
        <v>2604</v>
      </c>
      <c r="D98" s="159">
        <v>3500</v>
      </c>
      <c r="BB98" s="159">
        <f>D98</f>
        <v>3500</v>
      </c>
      <c r="BE98" s="159">
        <f>COUNTIF(配装计算器!$T$5,额外属性!C98)</f>
        <v>0</v>
      </c>
      <c r="BF98" s="159">
        <v>0</v>
      </c>
      <c r="BG98" s="159">
        <f>IF(配装计算器!$R$3="计算增益",1,0)</f>
        <v>1</v>
      </c>
      <c r="BH98" s="163">
        <v>1</v>
      </c>
      <c r="BI98" s="197">
        <f t="shared" si="23"/>
        <v>1</v>
      </c>
      <c r="BJ98" s="197">
        <f t="shared" si="24"/>
        <v>1</v>
      </c>
    </row>
    <row r="99" spans="1:62">
      <c r="A99" s="159" t="s">
        <v>2128</v>
      </c>
      <c r="B99" s="159" t="s">
        <v>2605</v>
      </c>
      <c r="C99" s="159" t="s">
        <v>2606</v>
      </c>
      <c r="D99" s="159">
        <v>4655</v>
      </c>
      <c r="BB99" s="159">
        <f>D99</f>
        <v>4655</v>
      </c>
      <c r="BE99" s="159">
        <f>COUNTIF(配装计算器!$T$5,额外属性!C99)</f>
        <v>1</v>
      </c>
      <c r="BF99" s="159">
        <v>0</v>
      </c>
      <c r="BG99" s="159">
        <f>IF(配装计算器!$R$3="计算增益",1,0)</f>
        <v>1</v>
      </c>
      <c r="BH99" s="163">
        <v>1</v>
      </c>
      <c r="BI99" s="197">
        <f t="shared" si="23"/>
        <v>1</v>
      </c>
      <c r="BJ99" s="197">
        <f t="shared" si="24"/>
        <v>1</v>
      </c>
    </row>
    <row r="100" spans="1:62">
      <c r="A100" s="159" t="s">
        <v>2128</v>
      </c>
      <c r="B100" s="159" t="s">
        <v>2607</v>
      </c>
      <c r="C100" s="159" t="s">
        <v>2608</v>
      </c>
      <c r="D100" s="159">
        <v>826</v>
      </c>
      <c r="AK100" s="159">
        <f>D100</f>
        <v>826</v>
      </c>
      <c r="BE100" s="159">
        <f>IF(配装计算器!T8&gt;0,1,0)</f>
        <v>1</v>
      </c>
      <c r="BF100" s="159">
        <v>0</v>
      </c>
      <c r="BG100" s="159">
        <f>IF(配装计算器!$R$3="计算增益",1,0)</f>
        <v>1</v>
      </c>
      <c r="BH100" s="163">
        <f>IF(配装计算器!K30="∞",0,((配装计算器!T8)*30+INT(配装计算器!T8/2)*30)/技能数计算!AS1)</f>
        <v>21.4285714285714</v>
      </c>
      <c r="BI100" s="197">
        <f t="shared" si="23"/>
        <v>1</v>
      </c>
      <c r="BJ100" s="197">
        <f t="shared" si="24"/>
        <v>1</v>
      </c>
    </row>
    <row r="101" spans="1:62">
      <c r="A101" s="159" t="s">
        <v>2128</v>
      </c>
      <c r="B101" s="159" t="s">
        <v>2609</v>
      </c>
      <c r="C101" s="159" t="s">
        <v>2610</v>
      </c>
      <c r="D101" s="159">
        <v>139</v>
      </c>
      <c r="AK101" s="159">
        <f>D101</f>
        <v>139</v>
      </c>
      <c r="BE101" s="159">
        <f>IF((配装计算器!T9&gt;0),1,0)</f>
        <v>1</v>
      </c>
      <c r="BF101" s="159">
        <v>0</v>
      </c>
      <c r="BG101" s="159">
        <f>IF(配装计算器!$R$3="计算增益",1,0)</f>
        <v>1</v>
      </c>
      <c r="BH101" s="163">
        <f>配装计算器!T9</f>
        <v>100</v>
      </c>
      <c r="BI101" s="197">
        <f t="shared" si="23"/>
        <v>1</v>
      </c>
      <c r="BJ101" s="197">
        <f t="shared" si="24"/>
        <v>1</v>
      </c>
    </row>
    <row r="102" spans="1:62">
      <c r="A102" s="159" t="s">
        <v>2128</v>
      </c>
      <c r="B102" s="159" t="s">
        <v>2611</v>
      </c>
      <c r="C102" s="159" t="s">
        <v>2612</v>
      </c>
      <c r="D102" s="159">
        <f>612</f>
        <v>612</v>
      </c>
      <c r="AK102" s="159">
        <f>D102</f>
        <v>612</v>
      </c>
      <c r="BE102" s="159">
        <f>IF(AND(配装计算器!T6&lt;&gt;"无",配装计算器!T10&gt;0),1,0)</f>
        <v>1</v>
      </c>
      <c r="BF102" s="159">
        <v>0</v>
      </c>
      <c r="BG102" s="159">
        <f>IF(配装计算器!$R$3="计算增益",1,0)</f>
        <v>1</v>
      </c>
      <c r="BH102" s="163">
        <f>IF(COUNTIF(配装计算器!T6,"*圣浴明心*")&gt;0,INT(配装计算器!T10*0.1),配装计算器!T10*8/(300-COUNTIF(配装计算器!T6,"*月尽天明*")*150))</f>
        <v>2.66666666666667</v>
      </c>
      <c r="BI102" s="197">
        <f t="shared" si="23"/>
        <v>1</v>
      </c>
      <c r="BJ102" s="197">
        <f t="shared" si="24"/>
        <v>1</v>
      </c>
    </row>
    <row r="103" spans="1:62">
      <c r="A103" s="159" t="s">
        <v>2128</v>
      </c>
      <c r="B103" s="159" t="s">
        <v>2613</v>
      </c>
      <c r="C103" s="159" t="s">
        <v>2614</v>
      </c>
      <c r="D103" s="159">
        <v>111</v>
      </c>
      <c r="AK103" s="159">
        <f>D103</f>
        <v>111</v>
      </c>
      <c r="BE103" s="159">
        <f>IF(配装计算器!T11&gt;0,1,0)</f>
        <v>1</v>
      </c>
      <c r="BF103" s="159">
        <v>1</v>
      </c>
      <c r="BG103" s="159">
        <f>IF(配装计算器!$R$3="计算增益",1,0)</f>
        <v>1</v>
      </c>
      <c r="BH103" s="163">
        <f>配装计算器!T11</f>
        <v>100</v>
      </c>
      <c r="BI103" s="197">
        <f t="shared" ref="BI103:BI145" si="25">IF(AND($A103&lt;&gt;"重剑",$A103&lt;&gt;""),1,0)</f>
        <v>1</v>
      </c>
      <c r="BJ103" s="197">
        <f t="shared" ref="BJ103:BJ145" si="26">IF(AND($A103&lt;&gt;"轻剑",$A103&lt;&gt;""),1,0)</f>
        <v>1</v>
      </c>
    </row>
    <row r="104" spans="1:62">
      <c r="A104" s="159" t="s">
        <v>2128</v>
      </c>
      <c r="B104" s="159" t="s">
        <v>2615</v>
      </c>
      <c r="C104" s="159" t="s">
        <v>2616</v>
      </c>
      <c r="D104" s="159">
        <v>51</v>
      </c>
      <c r="AL104" s="159">
        <f>D104</f>
        <v>51</v>
      </c>
      <c r="BE104" s="159">
        <f>配装计算器!T12</f>
        <v>1</v>
      </c>
      <c r="BF104" s="159">
        <v>0</v>
      </c>
      <c r="BG104" s="159">
        <f>IF(配装计算器!$R$3="计算增益",1,0)</f>
        <v>1</v>
      </c>
      <c r="BH104" s="163">
        <f>15/30</f>
        <v>0.5</v>
      </c>
      <c r="BI104" s="197">
        <f t="shared" si="25"/>
        <v>1</v>
      </c>
      <c r="BJ104" s="197">
        <f t="shared" si="26"/>
        <v>1</v>
      </c>
    </row>
    <row r="105" spans="1:62">
      <c r="A105" s="159" t="s">
        <v>2128</v>
      </c>
      <c r="B105" s="159" t="s">
        <v>2617</v>
      </c>
      <c r="C105" s="159" t="s">
        <v>2617</v>
      </c>
      <c r="D105" s="159">
        <v>163</v>
      </c>
      <c r="AK105" s="159">
        <f>D105</f>
        <v>163</v>
      </c>
      <c r="BE105" s="159">
        <f>IF(配装计算器!V6&gt;0,1,0)</f>
        <v>1</v>
      </c>
      <c r="BF105" s="159">
        <v>1</v>
      </c>
      <c r="BG105" s="159">
        <f>IF(配装计算器!$R$3="计算增益",1,0)</f>
        <v>1</v>
      </c>
      <c r="BH105" s="163">
        <f>配装计算器!V6*30/51.5</f>
        <v>58.252427184466</v>
      </c>
      <c r="BI105" s="197">
        <f t="shared" si="25"/>
        <v>1</v>
      </c>
      <c r="BJ105" s="197">
        <f t="shared" si="26"/>
        <v>1</v>
      </c>
    </row>
    <row r="106" spans="1:62">
      <c r="A106" s="159" t="s">
        <v>2128</v>
      </c>
      <c r="B106" s="159" t="s">
        <v>2618</v>
      </c>
      <c r="C106" s="159" t="s">
        <v>2619</v>
      </c>
      <c r="D106" s="159">
        <v>139</v>
      </c>
      <c r="AK106" s="159">
        <f>D106</f>
        <v>139</v>
      </c>
      <c r="BE106" s="159">
        <f>IF(配装计算器!V5&gt;0,1,0)</f>
        <v>1</v>
      </c>
      <c r="BF106" s="159">
        <v>1</v>
      </c>
      <c r="BG106" s="159">
        <f>IF(配装计算器!$R$3="计算增益",1,0)</f>
        <v>1</v>
      </c>
      <c r="BH106" s="163">
        <f>配装计算器!V5</f>
        <v>100</v>
      </c>
      <c r="BI106" s="197">
        <f t="shared" si="25"/>
        <v>1</v>
      </c>
      <c r="BJ106" s="197">
        <f t="shared" si="26"/>
        <v>1</v>
      </c>
    </row>
    <row r="107" spans="1:62">
      <c r="A107" s="159" t="s">
        <v>2128</v>
      </c>
      <c r="B107" s="159" t="s">
        <v>2620</v>
      </c>
      <c r="C107" s="159" t="s">
        <v>2620</v>
      </c>
      <c r="D107" s="159">
        <v>0</v>
      </c>
      <c r="N107" s="159">
        <f>D107</f>
        <v>0</v>
      </c>
      <c r="Q107" s="159">
        <f>D107</f>
        <v>0</v>
      </c>
      <c r="BE107" s="159">
        <v>0</v>
      </c>
      <c r="BF107" s="159">
        <v>1</v>
      </c>
      <c r="BG107" s="159">
        <f>IF(配装计算器!$R$3="计算增益",1,0)</f>
        <v>1</v>
      </c>
      <c r="BH107" s="163">
        <v>0</v>
      </c>
      <c r="BI107" s="197">
        <f t="shared" si="25"/>
        <v>1</v>
      </c>
      <c r="BJ107" s="197">
        <f t="shared" si="26"/>
        <v>1</v>
      </c>
    </row>
    <row r="108" spans="1:62">
      <c r="A108" s="159" t="s">
        <v>2128</v>
      </c>
      <c r="B108" s="159" t="s">
        <v>2621</v>
      </c>
      <c r="C108" s="159" t="s">
        <v>2622</v>
      </c>
      <c r="D108" s="159">
        <v>500</v>
      </c>
      <c r="AK108" s="159">
        <f>D108</f>
        <v>500</v>
      </c>
      <c r="BE108" s="159">
        <f>IF(配装计算器!V7&gt;0,1,0)</f>
        <v>1</v>
      </c>
      <c r="BF108" s="159">
        <v>0</v>
      </c>
      <c r="BG108" s="159">
        <f>IF(配装计算器!$R$3="计算增益",1,0)</f>
        <v>1</v>
      </c>
      <c r="BH108" s="163">
        <f>配装计算器!V7*30/121.5</f>
        <v>24.6913580246914</v>
      </c>
      <c r="BI108" s="197">
        <f t="shared" si="25"/>
        <v>1</v>
      </c>
      <c r="BJ108" s="197">
        <f t="shared" si="26"/>
        <v>1</v>
      </c>
    </row>
    <row r="109" spans="1:62">
      <c r="A109" s="159" t="s">
        <v>2128</v>
      </c>
      <c r="B109" s="159" t="s">
        <v>2623</v>
      </c>
      <c r="C109" s="159" t="s">
        <v>2624</v>
      </c>
      <c r="D109" s="159">
        <v>139</v>
      </c>
      <c r="AK109" s="159">
        <f>D109</f>
        <v>139</v>
      </c>
      <c r="BE109" s="159">
        <f>IF(配装计算器!V8&gt;0,1,0)</f>
        <v>1</v>
      </c>
      <c r="BF109" s="159">
        <v>1</v>
      </c>
      <c r="BG109" s="159">
        <f>IF(配装计算器!$R$3="计算增益",1,0)</f>
        <v>1</v>
      </c>
      <c r="BH109" s="163">
        <f>配装计算器!V8</f>
        <v>100</v>
      </c>
      <c r="BI109" s="197">
        <f t="shared" si="25"/>
        <v>1</v>
      </c>
      <c r="BJ109" s="197">
        <f t="shared" si="26"/>
        <v>1</v>
      </c>
    </row>
    <row r="110" spans="1:62">
      <c r="A110" s="159" t="s">
        <v>2128</v>
      </c>
      <c r="B110" s="159" t="s">
        <v>2625</v>
      </c>
      <c r="C110" s="159" t="s">
        <v>2626</v>
      </c>
      <c r="D110" s="159">
        <v>139</v>
      </c>
      <c r="AK110" s="159">
        <f>D110</f>
        <v>139</v>
      </c>
      <c r="BE110" s="159">
        <f>IF(配装计算器!V9&gt;0,1,0)</f>
        <v>1</v>
      </c>
      <c r="BF110" s="159">
        <v>1</v>
      </c>
      <c r="BG110" s="159">
        <f>IF(配装计算器!$R$3="计算增益",1,0)</f>
        <v>1</v>
      </c>
      <c r="BH110" s="163">
        <f>配装计算器!V9</f>
        <v>100</v>
      </c>
      <c r="BI110" s="197">
        <f t="shared" si="25"/>
        <v>1</v>
      </c>
      <c r="BJ110" s="197">
        <f t="shared" si="26"/>
        <v>1</v>
      </c>
    </row>
    <row r="111" spans="1:62">
      <c r="A111" s="159" t="s">
        <v>2127</v>
      </c>
      <c r="B111" s="159" t="s">
        <v>2627</v>
      </c>
      <c r="C111" s="159" t="s">
        <v>2628</v>
      </c>
      <c r="D111" s="159">
        <f>23988</f>
        <v>23988</v>
      </c>
      <c r="AC111" s="159">
        <f>D111</f>
        <v>23988</v>
      </c>
      <c r="BE111" s="159">
        <f>COUNTIF(配装计算器!C21,"*25900*特效*")*内置配装器+IF(配装计算器!AC18=25900,1,0)*自输入属性</f>
        <v>0</v>
      </c>
      <c r="BF111" s="159">
        <v>0</v>
      </c>
      <c r="BG111" s="159">
        <v>1</v>
      </c>
      <c r="BH111" s="163">
        <f>IFERROR((INT((技能数计算!$AS$1-15)/180)+1)*15/技能数计算!$AS$1,15/180)</f>
        <v>0.142857142857143</v>
      </c>
      <c r="BI111" s="197">
        <f t="shared" si="25"/>
        <v>1</v>
      </c>
      <c r="BJ111" s="197">
        <f t="shared" si="26"/>
        <v>1</v>
      </c>
    </row>
    <row r="112" spans="1:62">
      <c r="A112" s="159" t="s">
        <v>2127</v>
      </c>
      <c r="B112" s="159" t="s">
        <v>2629</v>
      </c>
      <c r="C112" s="159" t="s">
        <v>2628</v>
      </c>
      <c r="D112" s="159">
        <v>153</v>
      </c>
      <c r="S112" s="159">
        <f>D112*10</f>
        <v>1530</v>
      </c>
      <c r="BE112" s="159">
        <f>COUNTIF(配装计算器!C26,"*25900*特效*")*内置配装器+IF(配装计算器!AC19=25900,1,0)*自输入属性</f>
        <v>0</v>
      </c>
      <c r="BF112" s="159">
        <v>0</v>
      </c>
      <c r="BG112" s="159">
        <v>1</v>
      </c>
      <c r="BH112" s="163">
        <v>1</v>
      </c>
      <c r="BI112" s="197">
        <f t="shared" si="25"/>
        <v>1</v>
      </c>
      <c r="BJ112" s="197">
        <f t="shared" si="26"/>
        <v>1</v>
      </c>
    </row>
    <row r="113" spans="1:62">
      <c r="A113" s="159" t="s">
        <v>2127</v>
      </c>
      <c r="B113" s="159" t="s">
        <v>2131</v>
      </c>
      <c r="C113" s="159">
        <v>40</v>
      </c>
      <c r="D113" s="201">
        <v>0.04</v>
      </c>
      <c r="X113" s="201">
        <f>D113</f>
        <v>0.04</v>
      </c>
      <c r="AA113" s="159">
        <f>C113</f>
        <v>40</v>
      </c>
      <c r="BE113" s="159">
        <v>0</v>
      </c>
      <c r="BF113" s="159">
        <v>0</v>
      </c>
      <c r="BG113" s="159">
        <v>1</v>
      </c>
      <c r="BH113" s="163">
        <f>技能数计算!AM4</f>
        <v>0.71979528200604</v>
      </c>
      <c r="BI113" s="197">
        <f t="shared" si="25"/>
        <v>1</v>
      </c>
      <c r="BJ113" s="197">
        <f t="shared" si="26"/>
        <v>1</v>
      </c>
    </row>
    <row r="114" spans="1:62">
      <c r="A114" s="159" t="s">
        <v>2127</v>
      </c>
      <c r="B114" s="159" t="s">
        <v>2627</v>
      </c>
      <c r="C114" s="159" t="s">
        <v>2630</v>
      </c>
      <c r="D114" s="159">
        <v>10573</v>
      </c>
      <c r="AC114" s="159">
        <f>D114</f>
        <v>10573</v>
      </c>
      <c r="BE114" s="159">
        <f>COUNTIF(配装计算器!C21,"*15600*特效*")*内置配装器+IF(配装计算器!AC18=15600,1,0)*自输入属性</f>
        <v>0</v>
      </c>
      <c r="BF114" s="159">
        <v>0</v>
      </c>
      <c r="BG114" s="159">
        <v>1</v>
      </c>
      <c r="BH114" s="163">
        <f>IFERROR((INT((技能数计算!$AS$1-15)/180)+1)*15/技能数计算!$AS$1,15/180)</f>
        <v>0.142857142857143</v>
      </c>
      <c r="BI114" s="197">
        <f t="shared" si="25"/>
        <v>1</v>
      </c>
      <c r="BJ114" s="197">
        <f t="shared" si="26"/>
        <v>1</v>
      </c>
    </row>
    <row r="115" spans="1:62">
      <c r="A115" s="159" t="s">
        <v>2127</v>
      </c>
      <c r="B115" s="159" t="s">
        <v>2629</v>
      </c>
      <c r="C115" s="159" t="s">
        <v>2630</v>
      </c>
      <c r="D115" s="159">
        <v>111</v>
      </c>
      <c r="S115" s="159">
        <f>D115*10</f>
        <v>1110</v>
      </c>
      <c r="BE115" s="159">
        <f>COUNTIF(配装计算器!C26,"*15600*特效*")*内置配装器+IF(配装计算器!AC19=15600,1,0)*自输入属性</f>
        <v>0</v>
      </c>
      <c r="BF115" s="159">
        <v>1</v>
      </c>
      <c r="BG115" s="159">
        <v>1</v>
      </c>
      <c r="BH115" s="163">
        <v>1</v>
      </c>
      <c r="BI115" s="197">
        <f t="shared" si="25"/>
        <v>1</v>
      </c>
      <c r="BJ115" s="197">
        <f t="shared" si="26"/>
        <v>1</v>
      </c>
    </row>
    <row r="116" spans="1:62">
      <c r="A116" s="159" t="s">
        <v>2127</v>
      </c>
      <c r="B116" s="159" t="s">
        <v>2627</v>
      </c>
      <c r="C116" s="159" t="s">
        <v>2631</v>
      </c>
      <c r="D116" s="159">
        <v>27516</v>
      </c>
      <c r="AC116" s="159">
        <f>D116</f>
        <v>27516</v>
      </c>
      <c r="BE116" s="159">
        <f>COUNTIF(配装计算器!C21,"*奉君命*30200*特效*")*内置配装器+IF(配装计算器!AC18=30200,1,0)*自输入属性</f>
        <v>0</v>
      </c>
      <c r="BF116" s="159">
        <v>0</v>
      </c>
      <c r="BG116" s="159">
        <v>1</v>
      </c>
      <c r="BH116" s="163">
        <f>IFERROR((INT((技能数计算!$AS$1-15)/180)+1)*15/技能数计算!$AS$1,15/180)</f>
        <v>0.142857142857143</v>
      </c>
      <c r="BI116" s="197">
        <f t="shared" si="25"/>
        <v>1</v>
      </c>
      <c r="BJ116" s="197">
        <f t="shared" si="26"/>
        <v>1</v>
      </c>
    </row>
    <row r="117" spans="1:62">
      <c r="A117" s="159" t="s">
        <v>2127</v>
      </c>
      <c r="B117" s="159" t="s">
        <v>2629</v>
      </c>
      <c r="C117" s="159" t="s">
        <v>2631</v>
      </c>
      <c r="D117" s="159">
        <v>176</v>
      </c>
      <c r="S117" s="159">
        <f>D117*10</f>
        <v>1760</v>
      </c>
      <c r="BE117" s="159">
        <f>COUNTIF(配装计算器!C26,"*30200*特效*")*内置配装器+IF(配装计算器!AC19=30200,1,0)*自输入属性</f>
        <v>0</v>
      </c>
      <c r="BF117" s="159">
        <v>1</v>
      </c>
      <c r="BG117" s="159">
        <v>1</v>
      </c>
      <c r="BH117" s="163">
        <v>1</v>
      </c>
      <c r="BI117" s="197">
        <f t="shared" si="25"/>
        <v>1</v>
      </c>
      <c r="BJ117" s="197">
        <f t="shared" si="26"/>
        <v>1</v>
      </c>
    </row>
    <row r="118" spans="1:62">
      <c r="A118" s="159" t="s">
        <v>2127</v>
      </c>
      <c r="B118" s="159" t="s">
        <v>2627</v>
      </c>
      <c r="C118" s="159" t="s">
        <v>2632</v>
      </c>
      <c r="D118" s="159">
        <v>35982</v>
      </c>
      <c r="AC118" s="159">
        <f>D118</f>
        <v>35982</v>
      </c>
      <c r="BE118" s="159">
        <f>COUNTIF(配装计算器!C21,"*九衢交驰*特效*")*内置配装器+IF(配装计算器!AC18=35300,1,0)*自输入属性</f>
        <v>0</v>
      </c>
      <c r="BF118" s="159">
        <v>0</v>
      </c>
      <c r="BG118" s="159">
        <v>1</v>
      </c>
      <c r="BH118" s="163">
        <f>IFERROR((INT((技能数计算!$AS$1-15)/180)+1)*15/技能数计算!$AS$1,15/180)</f>
        <v>0.142857142857143</v>
      </c>
      <c r="BI118" s="197">
        <f t="shared" si="25"/>
        <v>1</v>
      </c>
      <c r="BJ118" s="197">
        <f t="shared" si="26"/>
        <v>1</v>
      </c>
    </row>
    <row r="119" spans="1:62">
      <c r="A119" s="159" t="s">
        <v>2127</v>
      </c>
      <c r="B119" s="159" t="s">
        <v>2629</v>
      </c>
      <c r="C119" s="159" t="s">
        <v>2632</v>
      </c>
      <c r="D119" s="159">
        <v>230</v>
      </c>
      <c r="S119" s="159">
        <f>D119*10</f>
        <v>2300</v>
      </c>
      <c r="BE119" s="159">
        <f>COUNTIF(配装计算器!C26,"*35300*特效*")*内置配装器+IF(配装计算器!AC19=35300,1,0)*自输入属性</f>
        <v>0</v>
      </c>
      <c r="BF119" s="159">
        <v>1</v>
      </c>
      <c r="BG119" s="159">
        <v>1</v>
      </c>
      <c r="BH119" s="163">
        <v>1</v>
      </c>
      <c r="BI119" s="197">
        <f t="shared" si="25"/>
        <v>1</v>
      </c>
      <c r="BJ119" s="197">
        <f t="shared" si="26"/>
        <v>1</v>
      </c>
    </row>
    <row r="120" spans="1:62">
      <c r="A120" s="159" t="s">
        <v>2127</v>
      </c>
      <c r="B120" s="159" t="s">
        <v>2627</v>
      </c>
      <c r="C120" s="159" t="s">
        <v>2632</v>
      </c>
      <c r="D120" s="159">
        <v>43038</v>
      </c>
      <c r="AC120" s="159">
        <f>D120</f>
        <v>43038</v>
      </c>
      <c r="BE120" s="159">
        <f>COUNTIF(配装计算器!C21,"*掠影凰*特效*")*内置配装器+IF(配装计算器!AC18=35300,1,0)*自输入属性</f>
        <v>1</v>
      </c>
      <c r="BF120" s="159">
        <v>0</v>
      </c>
      <c r="BG120" s="159">
        <v>1</v>
      </c>
      <c r="BH120" s="163">
        <f>IFERROR((INT((技能数计算!$AS$1-15)/180)+1)*15/技能数计算!$AS$1,15/180)</f>
        <v>0.142857142857143</v>
      </c>
      <c r="BI120" s="197">
        <f t="shared" si="25"/>
        <v>1</v>
      </c>
      <c r="BJ120" s="197">
        <f t="shared" si="26"/>
        <v>1</v>
      </c>
    </row>
    <row r="121" spans="1:62">
      <c r="A121" s="159" t="s">
        <v>2127</v>
      </c>
      <c r="B121" s="159" t="s">
        <v>2629</v>
      </c>
      <c r="C121" s="159" t="s">
        <v>2633</v>
      </c>
      <c r="D121" s="159">
        <v>275</v>
      </c>
      <c r="S121" s="159">
        <f>D121*10</f>
        <v>2750</v>
      </c>
      <c r="BE121" s="159">
        <f>COUNTIF(配装计算器!C26,"*41400*特效*")*内置配装器+IF(配装计算器!AC19=41400,1,0)*自输入属性</f>
        <v>0</v>
      </c>
      <c r="BF121" s="159">
        <v>1</v>
      </c>
      <c r="BG121" s="159">
        <v>1</v>
      </c>
      <c r="BH121" s="163">
        <v>1</v>
      </c>
      <c r="BI121" s="197">
        <f t="shared" si="25"/>
        <v>1</v>
      </c>
      <c r="BJ121" s="197">
        <f t="shared" si="26"/>
        <v>1</v>
      </c>
    </row>
    <row r="122" spans="1:62">
      <c r="A122" s="159" t="s">
        <v>2127</v>
      </c>
      <c r="B122" s="159" t="s">
        <v>2634</v>
      </c>
      <c r="C122" s="159" t="s">
        <v>1834</v>
      </c>
      <c r="D122" s="159">
        <v>769</v>
      </c>
      <c r="AK122" s="159">
        <f>D122*5</f>
        <v>3845</v>
      </c>
      <c r="BE122" s="159">
        <f>COUNTIF(配装计算器!$C$26,"*24500*小橙武*")*内置配装器+IF(配装计算器!$AC$21=SUBSTITUTE(B122,"无双",""),1,0)*自输入属性</f>
        <v>0</v>
      </c>
      <c r="BF122" s="159">
        <v>1</v>
      </c>
      <c r="BG122" s="159">
        <v>1</v>
      </c>
      <c r="BH122" s="163">
        <v>1</v>
      </c>
      <c r="BI122" s="197">
        <f t="shared" si="25"/>
        <v>1</v>
      </c>
      <c r="BJ122" s="197">
        <f t="shared" si="26"/>
        <v>1</v>
      </c>
    </row>
    <row r="123" spans="1:62">
      <c r="A123" s="159" t="s">
        <v>2127</v>
      </c>
      <c r="B123" s="159" t="s">
        <v>2635</v>
      </c>
      <c r="C123" s="159" t="s">
        <v>1834</v>
      </c>
      <c r="D123" s="159">
        <v>848</v>
      </c>
      <c r="AK123" s="159">
        <f t="shared" ref="AK123:AK128" si="27">D123*5</f>
        <v>4240</v>
      </c>
      <c r="BE123" s="159">
        <f>COUNTIF(配装计算器!$C$26,"*27000*小橙武*")*内置配装器+IF(配装计算器!$AC$21=SUBSTITUTE(B123,"无双",""),1,0)*自输入属性</f>
        <v>0</v>
      </c>
      <c r="BF123" s="159">
        <v>1</v>
      </c>
      <c r="BG123" s="159">
        <v>1</v>
      </c>
      <c r="BH123" s="163">
        <v>1</v>
      </c>
      <c r="BI123" s="197">
        <f t="shared" si="25"/>
        <v>1</v>
      </c>
      <c r="BJ123" s="197">
        <f t="shared" si="26"/>
        <v>1</v>
      </c>
    </row>
    <row r="124" spans="1:62">
      <c r="A124" s="159" t="s">
        <v>2127</v>
      </c>
      <c r="B124" s="159" t="s">
        <v>2636</v>
      </c>
      <c r="C124" s="159" t="s">
        <v>1834</v>
      </c>
      <c r="D124" s="159">
        <v>926</v>
      </c>
      <c r="AK124" s="159">
        <f t="shared" si="27"/>
        <v>4630</v>
      </c>
      <c r="BE124" s="159">
        <f>COUNTIF(配装计算器!$C$26,"*29500*小橙武*")*内置配装器+IF(配装计算器!$AC$21=SUBSTITUTE(B124,"无双",""),1,0)*自输入属性</f>
        <v>0</v>
      </c>
      <c r="BF124" s="159">
        <v>1</v>
      </c>
      <c r="BG124" s="159">
        <v>1</v>
      </c>
      <c r="BH124" s="163">
        <v>1</v>
      </c>
      <c r="BI124" s="197">
        <f t="shared" si="25"/>
        <v>1</v>
      </c>
      <c r="BJ124" s="197">
        <f t="shared" si="26"/>
        <v>1</v>
      </c>
    </row>
    <row r="125" spans="1:62">
      <c r="A125" s="159" t="s">
        <v>2127</v>
      </c>
      <c r="B125" s="159" t="s">
        <v>2637</v>
      </c>
      <c r="C125" s="159" t="s">
        <v>1834</v>
      </c>
      <c r="D125" s="159">
        <v>1005</v>
      </c>
      <c r="AK125" s="159">
        <f t="shared" si="27"/>
        <v>5025</v>
      </c>
      <c r="BE125" s="159">
        <f>COUNTIF(配装计算器!$C$26,"*32000*小橙武*")*内置配装器+IF(配装计算器!$AC$21=SUBSTITUTE(B125,"无双",""),1,0)*自输入属性</f>
        <v>0</v>
      </c>
      <c r="BF125" s="159">
        <v>1</v>
      </c>
      <c r="BG125" s="159">
        <v>1</v>
      </c>
      <c r="BH125" s="163">
        <v>1</v>
      </c>
      <c r="BI125" s="197">
        <f t="shared" si="25"/>
        <v>1</v>
      </c>
      <c r="BJ125" s="197">
        <f t="shared" si="26"/>
        <v>1</v>
      </c>
    </row>
    <row r="126" spans="1:62">
      <c r="A126" s="159" t="s">
        <v>2127</v>
      </c>
      <c r="B126" s="159" t="s">
        <v>2638</v>
      </c>
      <c r="C126" s="159" t="s">
        <v>1834</v>
      </c>
      <c r="D126" s="159">
        <v>1099</v>
      </c>
      <c r="AK126" s="159">
        <f t="shared" si="27"/>
        <v>5495</v>
      </c>
      <c r="BE126" s="159">
        <f>COUNTIF(配装计算器!$C$26,"*35000*小橙武*")*内置配装器+IF(配装计算器!$AC$21=SUBSTITUTE(B126,"无双",""),1,0)*自输入属性</f>
        <v>0</v>
      </c>
      <c r="BF126" s="159">
        <v>1</v>
      </c>
      <c r="BG126" s="159">
        <v>1</v>
      </c>
      <c r="BH126" s="163">
        <v>1</v>
      </c>
      <c r="BI126" s="197">
        <f t="shared" si="25"/>
        <v>1</v>
      </c>
      <c r="BJ126" s="197">
        <f t="shared" si="26"/>
        <v>1</v>
      </c>
    </row>
    <row r="127" spans="1:62">
      <c r="A127" s="159" t="s">
        <v>2127</v>
      </c>
      <c r="B127" s="159" t="s">
        <v>2639</v>
      </c>
      <c r="C127" s="159" t="s">
        <v>1834</v>
      </c>
      <c r="D127" s="159">
        <v>1241</v>
      </c>
      <c r="AK127" s="159">
        <f t="shared" si="27"/>
        <v>6205</v>
      </c>
      <c r="BE127" s="159">
        <f>COUNTIF(配装计算器!$C$26,"*39750*小橙武*")*内置配装器+IF(配装计算器!$AC$21=SUBSTITUTE(B127,"无双",""),1,0)*自输入属性</f>
        <v>0</v>
      </c>
      <c r="BF127" s="159">
        <v>1</v>
      </c>
      <c r="BG127" s="159">
        <v>1</v>
      </c>
      <c r="BH127" s="163">
        <v>1</v>
      </c>
      <c r="BI127" s="197">
        <f t="shared" si="25"/>
        <v>1</v>
      </c>
      <c r="BJ127" s="197">
        <f t="shared" si="26"/>
        <v>1</v>
      </c>
    </row>
    <row r="128" spans="1:62">
      <c r="A128" s="159" t="s">
        <v>2127</v>
      </c>
      <c r="B128" s="159" t="s">
        <v>2640</v>
      </c>
      <c r="C128" s="159" t="s">
        <v>1827</v>
      </c>
      <c r="D128" s="159">
        <v>671</v>
      </c>
      <c r="AK128" s="159">
        <f t="shared" si="27"/>
        <v>3355</v>
      </c>
      <c r="BE128" s="159">
        <f>COUNTIF(配装计算器!$C$26,"*21375*大橙武*")*内置配装器+IF(配装计算器!AC21=SUBSTITUTE(B128,"无双",""),1,0)*自输入属性</f>
        <v>0</v>
      </c>
      <c r="BF128" s="159">
        <v>1</v>
      </c>
      <c r="BG128" s="159">
        <v>1</v>
      </c>
      <c r="BH128" s="163">
        <v>1</v>
      </c>
      <c r="BI128" s="197">
        <f t="shared" si="25"/>
        <v>1</v>
      </c>
      <c r="BJ128" s="197">
        <f t="shared" si="26"/>
        <v>1</v>
      </c>
    </row>
    <row r="129" spans="1:62">
      <c r="A129" s="159" t="s">
        <v>2127</v>
      </c>
      <c r="B129" s="159" t="s">
        <v>2641</v>
      </c>
      <c r="C129" s="159" t="s">
        <v>1827</v>
      </c>
      <c r="D129" s="159">
        <v>718</v>
      </c>
      <c r="AK129" s="159">
        <f t="shared" ref="AK129:AK132" si="28">D129*5</f>
        <v>3590</v>
      </c>
      <c r="BE129" s="159">
        <f>COUNTIF(配装计算器!$C$26,"*22875*大橙武*")*内置配装器+IF(配装计算器!AC21=SUBSTITUTE(B129,"无双",""),1,0)*自输入属性</f>
        <v>0</v>
      </c>
      <c r="BF129" s="159">
        <v>1</v>
      </c>
      <c r="BG129" s="159">
        <v>1</v>
      </c>
      <c r="BH129" s="163">
        <v>1</v>
      </c>
      <c r="BI129" s="197">
        <f t="shared" si="25"/>
        <v>1</v>
      </c>
      <c r="BJ129" s="197">
        <f t="shared" si="26"/>
        <v>1</v>
      </c>
    </row>
    <row r="130" spans="1:62">
      <c r="A130" s="159" t="s">
        <v>2127</v>
      </c>
      <c r="B130" s="159" t="s">
        <v>2642</v>
      </c>
      <c r="C130" s="159" t="s">
        <v>1827</v>
      </c>
      <c r="D130" s="159">
        <v>765</v>
      </c>
      <c r="AK130" s="159">
        <f t="shared" si="28"/>
        <v>3825</v>
      </c>
      <c r="BE130" s="159">
        <f>COUNTIF(配装计算器!$C$26,"*24375*大橙武*")*内置配装器+IF(配装计算器!AC21=SUBSTITUTE(B130,"无双",""),1,0)*自输入属性</f>
        <v>0</v>
      </c>
      <c r="BF130" s="159">
        <v>1</v>
      </c>
      <c r="BG130" s="159">
        <v>1</v>
      </c>
      <c r="BH130" s="163">
        <v>1</v>
      </c>
      <c r="BI130" s="197">
        <f t="shared" si="25"/>
        <v>1</v>
      </c>
      <c r="BJ130" s="197">
        <f t="shared" si="26"/>
        <v>1</v>
      </c>
    </row>
    <row r="131" spans="1:62">
      <c r="A131" s="159" t="s">
        <v>2127</v>
      </c>
      <c r="B131" s="159" t="s">
        <v>2643</v>
      </c>
      <c r="C131" s="159" t="s">
        <v>1827</v>
      </c>
      <c r="D131" s="159">
        <v>814</v>
      </c>
      <c r="AK131" s="159">
        <f t="shared" si="28"/>
        <v>4070</v>
      </c>
      <c r="BE131" s="159">
        <f>COUNTIF(配装计算器!$C$26,"*25940*大橙武*")*内置配装器+IF(配装计算器!AC21=SUBSTITUTE(B131,"无双",""),1,0)*自输入属性</f>
        <v>0</v>
      </c>
      <c r="BF131" s="159">
        <v>1</v>
      </c>
      <c r="BG131" s="159">
        <v>1</v>
      </c>
      <c r="BH131" s="163">
        <v>1</v>
      </c>
      <c r="BI131" s="197">
        <f t="shared" si="25"/>
        <v>1</v>
      </c>
      <c r="BJ131" s="197">
        <f t="shared" si="26"/>
        <v>1</v>
      </c>
    </row>
    <row r="132" spans="1:62">
      <c r="A132" s="159" t="s">
        <v>2127</v>
      </c>
      <c r="B132" s="159" t="s">
        <v>2644</v>
      </c>
      <c r="C132" s="159" t="s">
        <v>1827</v>
      </c>
      <c r="D132" s="159">
        <v>864</v>
      </c>
      <c r="AK132" s="159">
        <f t="shared" si="28"/>
        <v>4320</v>
      </c>
      <c r="BE132" s="159">
        <f>COUNTIF(配装计算器!$C$26,"*27500*大橙武*")*内置配装器+IF(配装计算器!AC21=SUBSTITUTE(B132,"无双",""),1,0)*自输入属性</f>
        <v>0</v>
      </c>
      <c r="BF132" s="159">
        <v>1</v>
      </c>
      <c r="BG132" s="159">
        <v>1</v>
      </c>
      <c r="BH132" s="163">
        <v>1</v>
      </c>
      <c r="BI132" s="197">
        <f t="shared" si="25"/>
        <v>1</v>
      </c>
      <c r="BJ132" s="197">
        <f t="shared" si="26"/>
        <v>1</v>
      </c>
    </row>
    <row r="133" spans="1:62">
      <c r="A133" s="159" t="s">
        <v>2127</v>
      </c>
      <c r="B133" s="159" t="s">
        <v>2645</v>
      </c>
      <c r="C133" s="159" t="s">
        <v>1827</v>
      </c>
      <c r="D133" s="159">
        <v>930</v>
      </c>
      <c r="AK133" s="159">
        <f t="shared" ref="AK133:AK134" si="29">D133*5</f>
        <v>4650</v>
      </c>
      <c r="BE133" s="159">
        <f>COUNTIF(配装计算器!$C$26,"*29575*大橙武*")*内置配装器+IF(配装计算器!AC21=SUBSTITUTE(B133,"无双",""),1,0)*自输入属性</f>
        <v>0</v>
      </c>
      <c r="BF133" s="159">
        <v>1</v>
      </c>
      <c r="BG133" s="159">
        <v>1</v>
      </c>
      <c r="BH133" s="163">
        <v>1</v>
      </c>
      <c r="BI133" s="197">
        <f t="shared" si="25"/>
        <v>1</v>
      </c>
      <c r="BJ133" s="197">
        <f t="shared" si="26"/>
        <v>1</v>
      </c>
    </row>
    <row r="134" spans="1:62">
      <c r="A134" s="159" t="s">
        <v>2127</v>
      </c>
      <c r="B134" s="159" t="s">
        <v>2646</v>
      </c>
      <c r="C134" s="159" t="s">
        <v>1827</v>
      </c>
      <c r="D134" s="159">
        <v>997</v>
      </c>
      <c r="AK134" s="159">
        <f t="shared" si="29"/>
        <v>4985</v>
      </c>
      <c r="BE134" s="159">
        <f>COUNTIF(配装计算器!$C$26,"*31625*大橙武*")*内置配装器+IF(配装计算器!AC21=SUBSTITUTE(B134,"无双",""),1,0)*自输入属性</f>
        <v>0</v>
      </c>
      <c r="BF134" s="159">
        <v>1</v>
      </c>
      <c r="BG134" s="159">
        <v>1</v>
      </c>
      <c r="BH134" s="163">
        <v>1</v>
      </c>
      <c r="BI134" s="197">
        <f t="shared" si="25"/>
        <v>1</v>
      </c>
      <c r="BJ134" s="197">
        <f t="shared" si="26"/>
        <v>1</v>
      </c>
    </row>
    <row r="135" spans="1:62">
      <c r="A135" s="159" t="s">
        <v>2127</v>
      </c>
      <c r="B135" s="159" t="s">
        <v>2647</v>
      </c>
      <c r="C135" s="159" t="s">
        <v>1827</v>
      </c>
      <c r="D135" s="159">
        <v>1080</v>
      </c>
      <c r="AK135" s="159">
        <f t="shared" ref="AK135:AK137" si="30">D135*5</f>
        <v>5400</v>
      </c>
      <c r="BE135" s="159">
        <f>COUNTIF(配装计算器!$C$26,"*34375*大橙武*")*内置配装器+IF(配装计算器!AC21=SUBSTITUTE(B135,"无双",""),1,0)*自输入属性</f>
        <v>0</v>
      </c>
      <c r="BF135" s="159">
        <v>1</v>
      </c>
      <c r="BG135" s="159">
        <v>1</v>
      </c>
      <c r="BH135" s="163">
        <v>1</v>
      </c>
      <c r="BI135" s="197">
        <f t="shared" si="25"/>
        <v>1</v>
      </c>
      <c r="BJ135" s="197">
        <f t="shared" si="26"/>
        <v>1</v>
      </c>
    </row>
    <row r="136" spans="1:62">
      <c r="A136" s="159" t="s">
        <v>2127</v>
      </c>
      <c r="B136" s="159" t="s">
        <v>2648</v>
      </c>
      <c r="C136" s="159" t="s">
        <v>1827</v>
      </c>
      <c r="D136" s="159">
        <v>1166</v>
      </c>
      <c r="AK136" s="159">
        <f t="shared" si="30"/>
        <v>5830</v>
      </c>
      <c r="BE136" s="159">
        <f>COUNTIF(配装计算器!$C$26,"*37125*大橙武*")*内置配装器+IF(配装计算器!AC21=SUBSTITUTE(B136,"无双",""),1,0)*自输入属性</f>
        <v>0</v>
      </c>
      <c r="BF136" s="159">
        <v>1</v>
      </c>
      <c r="BG136" s="159">
        <v>1</v>
      </c>
      <c r="BH136" s="163">
        <v>1</v>
      </c>
      <c r="BI136" s="197">
        <f t="shared" si="25"/>
        <v>1</v>
      </c>
      <c r="BJ136" s="197">
        <f t="shared" si="26"/>
        <v>1</v>
      </c>
    </row>
    <row r="137" spans="1:62">
      <c r="A137" s="159" t="s">
        <v>2127</v>
      </c>
      <c r="B137" s="159" t="s">
        <v>2649</v>
      </c>
      <c r="C137" s="159" t="s">
        <v>1827</v>
      </c>
      <c r="D137" s="159">
        <v>1272</v>
      </c>
      <c r="AK137" s="159">
        <f t="shared" si="30"/>
        <v>6360</v>
      </c>
      <c r="BE137" s="159">
        <f>COUNTIF(配装计算器!$C$26,"*40500*大橙武*")*内置配装器+IF(配装计算器!AC21=SUBSTITUTE(B137,"无双",""),1,0)*自输入属性</f>
        <v>0</v>
      </c>
      <c r="BF137" s="159">
        <v>1</v>
      </c>
      <c r="BG137" s="159">
        <v>1</v>
      </c>
      <c r="BH137" s="163">
        <v>1</v>
      </c>
      <c r="BI137" s="197">
        <f t="shared" si="25"/>
        <v>1</v>
      </c>
      <c r="BJ137" s="197">
        <f t="shared" si="26"/>
        <v>1</v>
      </c>
    </row>
    <row r="138" spans="1:62">
      <c r="A138" s="159" t="s">
        <v>2127</v>
      </c>
      <c r="B138" s="159" t="s">
        <v>2650</v>
      </c>
      <c r="C138" s="159" t="s">
        <v>1827</v>
      </c>
      <c r="D138" s="159">
        <v>1335</v>
      </c>
      <c r="AK138" s="159">
        <f t="shared" ref="AK138" si="31">D138*5</f>
        <v>6675</v>
      </c>
      <c r="BE138" s="159">
        <f>COUNTIF(配装计算器!$C$26,"*42500*大橙武*")*内置配装器+IF(配装计算器!AC21=SUBSTITUTE(B138,"无双",""),1,0)*自输入属性</f>
        <v>1</v>
      </c>
      <c r="BF138" s="159">
        <v>1</v>
      </c>
      <c r="BG138" s="159">
        <v>1</v>
      </c>
      <c r="BH138" s="163">
        <v>1</v>
      </c>
      <c r="BI138" s="197">
        <f t="shared" si="25"/>
        <v>1</v>
      </c>
      <c r="BJ138" s="197">
        <f t="shared" si="26"/>
        <v>1</v>
      </c>
    </row>
    <row r="139" spans="1:62">
      <c r="A139" s="159" t="s">
        <v>2127</v>
      </c>
      <c r="B139" s="159" t="s">
        <v>2651</v>
      </c>
      <c r="C139" s="159" t="s">
        <v>2128</v>
      </c>
      <c r="D139" s="159">
        <f>SUM(附魔库!G66:G70)*10*内置配装器+IF(IFERROR(MATCH(配装计算器!AC23,附魔库!$D$66:$D$70,0),0)&gt;0,10,0)*自输入属性</f>
        <v>10</v>
      </c>
      <c r="AZ139" s="159">
        <f>D139</f>
        <v>10</v>
      </c>
      <c r="BE139" s="159">
        <v>1</v>
      </c>
      <c r="BF139" s="159">
        <v>1</v>
      </c>
      <c r="BG139" s="159">
        <v>1</v>
      </c>
      <c r="BH139" s="163">
        <f>(1/((1/((302)/240*0.2))+30))*8/1*0.3</f>
        <v>0.0706432748538012</v>
      </c>
      <c r="BI139" s="197">
        <f t="shared" si="25"/>
        <v>1</v>
      </c>
      <c r="BJ139" s="197">
        <f t="shared" si="26"/>
        <v>1</v>
      </c>
    </row>
    <row r="140" spans="1:62">
      <c r="A140" s="159" t="s">
        <v>2127</v>
      </c>
      <c r="B140" s="159" t="s">
        <v>2652</v>
      </c>
      <c r="C140" s="159" t="s">
        <v>2128</v>
      </c>
      <c r="D140" s="159">
        <f>SUM(附魔库!G66:G70)*51*内置配装器+IF(IFERROR(MATCH(配装计算器!AC23,附魔库!$D$66:$D$70,0),0)&gt;0,51,0)*自输入属性</f>
        <v>51</v>
      </c>
      <c r="AZ140" s="159">
        <f>D140</f>
        <v>51</v>
      </c>
      <c r="BE140" s="159">
        <v>1</v>
      </c>
      <c r="BF140" s="159">
        <v>1</v>
      </c>
      <c r="BG140" s="159">
        <v>1</v>
      </c>
      <c r="BH140" s="163">
        <f>(1/((1/((302)/240*0.2))+30))*8/1*0.7</f>
        <v>0.164834307992203</v>
      </c>
      <c r="BI140" s="197">
        <f t="shared" si="25"/>
        <v>1</v>
      </c>
      <c r="BJ140" s="197">
        <f t="shared" si="26"/>
        <v>1</v>
      </c>
    </row>
    <row r="141" spans="1:62">
      <c r="A141" s="159" t="s">
        <v>2653</v>
      </c>
      <c r="B141" s="159" t="s">
        <v>2654</v>
      </c>
      <c r="C141" s="159" t="s">
        <v>2655</v>
      </c>
      <c r="N141" s="159">
        <v>31</v>
      </c>
      <c r="T141" s="159">
        <v>51</v>
      </c>
      <c r="AA141" s="159">
        <v>204</v>
      </c>
      <c r="BE141" s="159">
        <f>COUNTIF(配装计算器!$T$19,LEFT(B141,2)&amp;"*"&amp;RIGHT(B141,1))</f>
        <v>0</v>
      </c>
      <c r="BF141" s="159">
        <v>1</v>
      </c>
      <c r="BG141" s="159">
        <f>IF(配装计算器!$R$3="计算增益",1,0)</f>
        <v>1</v>
      </c>
      <c r="BH141" s="163">
        <v>1</v>
      </c>
      <c r="BI141" s="197">
        <f t="shared" si="25"/>
        <v>1</v>
      </c>
      <c r="BJ141" s="197">
        <f t="shared" si="26"/>
        <v>1</v>
      </c>
    </row>
    <row r="142" spans="1:62">
      <c r="A142" s="159" t="s">
        <v>2653</v>
      </c>
      <c r="B142" s="159" t="s">
        <v>2656</v>
      </c>
      <c r="C142" s="159" t="s">
        <v>2657</v>
      </c>
      <c r="AU142" s="159">
        <v>2385</v>
      </c>
      <c r="AV142" s="159">
        <v>2385</v>
      </c>
      <c r="BE142" s="159">
        <f>COUNTIF(配装计算器!$T$19,LEFT(B142,2)&amp;"*"&amp;RIGHT(B142,1))</f>
        <v>0</v>
      </c>
      <c r="BF142" s="159">
        <v>0</v>
      </c>
      <c r="BG142" s="159">
        <f>IF(配装计算器!$R$3="计算增益",1,0)</f>
        <v>1</v>
      </c>
      <c r="BH142" s="163">
        <f>(5+5+5)/47.5</f>
        <v>0.315789473684211</v>
      </c>
      <c r="BI142" s="197">
        <f t="shared" si="25"/>
        <v>1</v>
      </c>
      <c r="BJ142" s="197">
        <f t="shared" si="26"/>
        <v>1</v>
      </c>
    </row>
    <row r="143" spans="1:62">
      <c r="A143" s="159" t="s">
        <v>2653</v>
      </c>
      <c r="B143" s="159" t="s">
        <v>2658</v>
      </c>
      <c r="C143" s="159" t="s">
        <v>7</v>
      </c>
      <c r="X143" s="201">
        <v>0.2</v>
      </c>
      <c r="BE143" s="159">
        <f>COUNTIF(配装计算器!$T$19,LEFT(B143,2)&amp;"*"&amp;RIGHT(B143,1))</f>
        <v>0</v>
      </c>
      <c r="BF143" s="159">
        <v>0</v>
      </c>
      <c r="BG143" s="159">
        <f>IF(配装计算器!$R$3="计算增益",1,0)</f>
        <v>1</v>
      </c>
      <c r="BH143" s="202">
        <f ca="1">IFERROR(5/(20+2/附魔库!H193*2),0)</f>
        <v>0</v>
      </c>
      <c r="BI143" s="197">
        <f t="shared" si="25"/>
        <v>1</v>
      </c>
      <c r="BJ143" s="197">
        <f t="shared" si="26"/>
        <v>1</v>
      </c>
    </row>
    <row r="144" spans="1:62">
      <c r="A144" s="159" t="s">
        <v>2653</v>
      </c>
      <c r="B144" s="159" t="s">
        <v>2659</v>
      </c>
      <c r="C144" s="159" t="s">
        <v>2660</v>
      </c>
      <c r="T144" s="159">
        <v>50</v>
      </c>
      <c r="AD144" s="159">
        <v>200</v>
      </c>
      <c r="BE144" s="159">
        <f>COUNTIF(配装计算器!$T$19,LEFT(B144,2)&amp;"*"&amp;RIGHT(B144,1))</f>
        <v>0</v>
      </c>
      <c r="BF144" s="159">
        <v>1</v>
      </c>
      <c r="BG144" s="159">
        <f>IF(配装计算器!$R$3="计算增益",1,0)</f>
        <v>1</v>
      </c>
      <c r="BH144" s="163">
        <v>1</v>
      </c>
      <c r="BI144" s="197">
        <f t="shared" si="25"/>
        <v>1</v>
      </c>
      <c r="BJ144" s="197">
        <f t="shared" si="26"/>
        <v>1</v>
      </c>
    </row>
    <row r="145" spans="1:62">
      <c r="A145" s="159" t="s">
        <v>2653</v>
      </c>
      <c r="B145" s="159" t="s">
        <v>2661</v>
      </c>
      <c r="C145" s="159" t="s">
        <v>66</v>
      </c>
      <c r="T145" s="159">
        <v>51</v>
      </c>
      <c r="BE145" s="159">
        <f>COUNTIF(配装计算器!$T$19,LEFT(B145,2)&amp;"*"&amp;RIGHT(B145,1))</f>
        <v>0</v>
      </c>
      <c r="BF145" s="159">
        <v>0</v>
      </c>
      <c r="BG145" s="159">
        <f>IF(配装计算器!$R$3="计算增益",1,0)</f>
        <v>1</v>
      </c>
      <c r="BH145" s="163">
        <f>15/30</f>
        <v>0.5</v>
      </c>
      <c r="BI145" s="197">
        <f t="shared" si="25"/>
        <v>1</v>
      </c>
      <c r="BJ145" s="197">
        <f t="shared" si="26"/>
        <v>1</v>
      </c>
    </row>
    <row r="146" spans="1:62">
      <c r="A146" s="159" t="s">
        <v>2653</v>
      </c>
      <c r="B146" s="159" t="s">
        <v>2280</v>
      </c>
      <c r="C146" s="159" t="s">
        <v>2662</v>
      </c>
      <c r="X146" s="201">
        <v>0.03</v>
      </c>
      <c r="AA146" s="159">
        <v>150</v>
      </c>
      <c r="AN146" s="159">
        <v>20</v>
      </c>
      <c r="BE146" s="159">
        <f>COUNTIF(配装计算器!$T$19,LEFT(B146,2)&amp;"*"&amp;RIGHT(B146,1))</f>
        <v>0</v>
      </c>
      <c r="BF146" s="159">
        <v>1</v>
      </c>
      <c r="BG146" s="159">
        <f>IF(配装计算器!$R$3="计算增益",1,0)</f>
        <v>1</v>
      </c>
      <c r="BH146" s="163">
        <v>1</v>
      </c>
      <c r="BI146" s="197">
        <f t="shared" ref="BI146:BI224" si="32">IF(AND($A146&lt;&gt;"重剑",$A146&lt;&gt;""),1,0)</f>
        <v>1</v>
      </c>
      <c r="BJ146" s="197">
        <f t="shared" ref="BJ146:BJ224" si="33">IF(AND($A146&lt;&gt;"轻剑",$A146&lt;&gt;""),1,0)</f>
        <v>1</v>
      </c>
    </row>
    <row r="147" spans="1:62">
      <c r="A147" s="159" t="s">
        <v>2653</v>
      </c>
      <c r="B147" s="159" t="s">
        <v>2663</v>
      </c>
      <c r="C147" s="159" t="s">
        <v>7</v>
      </c>
      <c r="X147" s="201">
        <v>0.01</v>
      </c>
      <c r="BE147" s="159">
        <f>COUNTIF(配装计算器!$T$19,LEFT(B147,2)&amp;"*"&amp;RIGHT(B147,1))</f>
        <v>0</v>
      </c>
      <c r="BF147" s="159">
        <v>1</v>
      </c>
      <c r="BG147" s="159">
        <f>IF(配装计算器!$R$3="计算增益",1,0)</f>
        <v>1</v>
      </c>
      <c r="BH147" s="202">
        <f ca="1">附魔库!H194</f>
        <v>0</v>
      </c>
      <c r="BI147" s="197">
        <f t="shared" si="32"/>
        <v>1</v>
      </c>
      <c r="BJ147" s="197">
        <f t="shared" si="33"/>
        <v>1</v>
      </c>
    </row>
    <row r="148" spans="1:62">
      <c r="A148" s="159" t="s">
        <v>2653</v>
      </c>
      <c r="B148" s="159" t="s">
        <v>2664</v>
      </c>
      <c r="C148" s="159" t="s">
        <v>2665</v>
      </c>
      <c r="Q148" s="159">
        <v>31</v>
      </c>
      <c r="AD148" s="159">
        <v>204</v>
      </c>
      <c r="AN148" s="159">
        <v>20</v>
      </c>
      <c r="BE148" s="159">
        <f>COUNTIF(配装计算器!$T$19,LEFT(B148,2)&amp;"*"&amp;RIGHT(B148,1))</f>
        <v>0</v>
      </c>
      <c r="BF148" s="159">
        <v>1</v>
      </c>
      <c r="BG148" s="159">
        <f>IF(配装计算器!$R$3="计算增益",1,0)</f>
        <v>1</v>
      </c>
      <c r="BH148" s="163">
        <v>1</v>
      </c>
      <c r="BI148" s="197">
        <f t="shared" si="32"/>
        <v>1</v>
      </c>
      <c r="BJ148" s="197">
        <f t="shared" si="33"/>
        <v>1</v>
      </c>
    </row>
    <row r="149" spans="1:62">
      <c r="A149" s="159" t="s">
        <v>2653</v>
      </c>
      <c r="B149" s="159" t="s">
        <v>2666</v>
      </c>
      <c r="C149" s="159" t="s">
        <v>7</v>
      </c>
      <c r="X149" s="201">
        <v>0.05</v>
      </c>
      <c r="BE149" s="159">
        <f>COUNTIF(配装计算器!$T$19,LEFT(B149,2)&amp;"*"&amp;RIGHT(B149,1))</f>
        <v>0</v>
      </c>
      <c r="BF149" s="159">
        <v>1</v>
      </c>
      <c r="BG149" s="159">
        <f>IF(配装计算器!$R$3="计算增益",1,0)</f>
        <v>1</v>
      </c>
      <c r="BH149" s="163">
        <v>1</v>
      </c>
      <c r="BI149" s="197">
        <f t="shared" si="32"/>
        <v>1</v>
      </c>
      <c r="BJ149" s="197">
        <f t="shared" si="33"/>
        <v>1</v>
      </c>
    </row>
    <row r="150" spans="1:62">
      <c r="A150" s="159" t="s">
        <v>2653</v>
      </c>
      <c r="B150" s="159" t="s">
        <v>2281</v>
      </c>
      <c r="C150" s="159" t="s">
        <v>2660</v>
      </c>
      <c r="T150" s="159">
        <v>50</v>
      </c>
      <c r="AD150" s="159">
        <v>102</v>
      </c>
      <c r="BE150" s="159">
        <f>COUNTIF(配装计算器!$T$19,LEFT(B150,2)&amp;"*"&amp;RIGHT(B150,1))</f>
        <v>0</v>
      </c>
      <c r="BF150" s="159">
        <v>1</v>
      </c>
      <c r="BG150" s="159">
        <f>IF(配装计算器!$R$3="计算增益",1,0)</f>
        <v>1</v>
      </c>
      <c r="BH150" s="163">
        <v>1</v>
      </c>
      <c r="BI150" s="197">
        <f t="shared" si="32"/>
        <v>1</v>
      </c>
      <c r="BJ150" s="197">
        <f t="shared" si="33"/>
        <v>1</v>
      </c>
    </row>
    <row r="151" spans="1:62">
      <c r="A151" s="159" t="s">
        <v>2653</v>
      </c>
      <c r="B151" s="159" t="s">
        <v>2667</v>
      </c>
      <c r="C151" s="159" t="s">
        <v>28</v>
      </c>
      <c r="AC151" s="159">
        <v>2980</v>
      </c>
      <c r="BE151" s="159">
        <f>COUNTIF(配装计算器!$T$19,LEFT(B151,2)&amp;"*"&amp;RIGHT(B151,1))</f>
        <v>0</v>
      </c>
      <c r="BF151" s="159">
        <v>1</v>
      </c>
      <c r="BG151" s="159">
        <f>IF(配装计算器!$R$3="计算增益",1,0)</f>
        <v>1</v>
      </c>
      <c r="BH151" s="202">
        <f ca="1">附魔库!H195</f>
        <v>0</v>
      </c>
      <c r="BI151" s="197">
        <f t="shared" si="32"/>
        <v>1</v>
      </c>
      <c r="BJ151" s="197">
        <f t="shared" si="33"/>
        <v>1</v>
      </c>
    </row>
    <row r="152" spans="1:62">
      <c r="A152" s="159" t="s">
        <v>2653</v>
      </c>
      <c r="B152" s="159" t="s">
        <v>2668</v>
      </c>
      <c r="C152" s="159" t="s">
        <v>2669</v>
      </c>
      <c r="T152" s="159">
        <v>50</v>
      </c>
      <c r="AD152" s="159">
        <v>102</v>
      </c>
      <c r="AN152" s="159">
        <v>20</v>
      </c>
      <c r="BE152" s="159">
        <f>COUNTIF(配装计算器!$T$19,LEFT(B152,2)&amp;"*"&amp;RIGHT(B152,1))</f>
        <v>0</v>
      </c>
      <c r="BF152" s="159">
        <v>1</v>
      </c>
      <c r="BG152" s="159">
        <f>IF(配装计算器!$R$3="计算增益",1,0)</f>
        <v>1</v>
      </c>
      <c r="BH152" s="163">
        <v>1</v>
      </c>
      <c r="BI152" s="197">
        <f t="shared" si="32"/>
        <v>1</v>
      </c>
      <c r="BJ152" s="197">
        <f t="shared" si="33"/>
        <v>1</v>
      </c>
    </row>
    <row r="153" spans="1:62">
      <c r="A153" s="159" t="s">
        <v>2653</v>
      </c>
      <c r="B153" s="159" t="s">
        <v>2670</v>
      </c>
      <c r="C153" s="159" t="s">
        <v>7</v>
      </c>
      <c r="X153" s="201">
        <v>0.05</v>
      </c>
      <c r="BE153" s="159">
        <f>COUNTIF(配装计算器!$T$19,LEFT(B153,2)&amp;"*"&amp;RIGHT(B153,1))</f>
        <v>0</v>
      </c>
      <c r="BF153" s="159">
        <v>1</v>
      </c>
      <c r="BG153" s="159">
        <f>IF(配装计算器!$R$3="计算增益",1,0)</f>
        <v>1</v>
      </c>
      <c r="BH153" s="163">
        <v>1</v>
      </c>
      <c r="BI153" s="197">
        <f t="shared" si="32"/>
        <v>1</v>
      </c>
      <c r="BJ153" s="197">
        <f t="shared" si="33"/>
        <v>1</v>
      </c>
    </row>
    <row r="154" spans="1:62">
      <c r="A154" s="159" t="s">
        <v>2653</v>
      </c>
      <c r="B154" s="159" t="s">
        <v>2671</v>
      </c>
      <c r="C154" s="159" t="s">
        <v>2672</v>
      </c>
      <c r="AA154" s="159">
        <v>150</v>
      </c>
      <c r="BC154" s="159">
        <v>52</v>
      </c>
      <c r="BE154" s="159">
        <f>COUNTIF(配装计算器!$T$19,LEFT(B154,2)&amp;"*"&amp;RIGHT(B154,1))</f>
        <v>0</v>
      </c>
      <c r="BF154" s="159">
        <v>1</v>
      </c>
      <c r="BG154" s="159">
        <f>IF(配装计算器!$R$3="计算增益",1,0)</f>
        <v>1</v>
      </c>
      <c r="BH154" s="163">
        <v>1</v>
      </c>
      <c r="BI154" s="197">
        <f t="shared" si="32"/>
        <v>1</v>
      </c>
      <c r="BJ154" s="197">
        <f t="shared" si="33"/>
        <v>1</v>
      </c>
    </row>
    <row r="155" spans="1:62">
      <c r="A155" s="159" t="s">
        <v>2653</v>
      </c>
      <c r="B155" s="159" t="s">
        <v>2673</v>
      </c>
      <c r="C155" s="159" t="s">
        <v>7</v>
      </c>
      <c r="X155" s="201">
        <v>0.05</v>
      </c>
      <c r="BE155" s="159">
        <f>COUNTIF(配装计算器!$T$19,LEFT(B155,2)&amp;"*"&amp;RIGHT(B155,1))</f>
        <v>0</v>
      </c>
      <c r="BF155" s="159">
        <v>1</v>
      </c>
      <c r="BG155" s="159">
        <f>IF(配装计算器!$R$3="计算增益",1,0)</f>
        <v>1</v>
      </c>
      <c r="BH155" s="163">
        <v>1</v>
      </c>
      <c r="BI155" s="197">
        <f t="shared" si="32"/>
        <v>1</v>
      </c>
      <c r="BJ155" s="197">
        <f t="shared" si="33"/>
        <v>1</v>
      </c>
    </row>
    <row r="156" spans="1:62">
      <c r="A156" s="159" t="s">
        <v>2653</v>
      </c>
      <c r="B156" s="159" t="s">
        <v>2282</v>
      </c>
      <c r="C156" s="159" t="s">
        <v>2674</v>
      </c>
      <c r="T156" s="159">
        <v>50</v>
      </c>
      <c r="X156" s="201">
        <v>0.03</v>
      </c>
      <c r="AA156" s="159">
        <v>154</v>
      </c>
      <c r="BE156" s="159">
        <f>COUNTIF(配装计算器!$T$19,LEFT(B156,2)&amp;"*"&amp;RIGHT(B156,1))</f>
        <v>0</v>
      </c>
      <c r="BF156" s="159">
        <v>1</v>
      </c>
      <c r="BG156" s="159">
        <f>IF(配装计算器!$R$3="计算增益",1,0)</f>
        <v>1</v>
      </c>
      <c r="BH156" s="163">
        <v>1</v>
      </c>
      <c r="BI156" s="197">
        <f t="shared" si="32"/>
        <v>1</v>
      </c>
      <c r="BJ156" s="197">
        <f t="shared" si="33"/>
        <v>1</v>
      </c>
    </row>
    <row r="157" spans="1:62">
      <c r="A157" s="159" t="s">
        <v>2653</v>
      </c>
      <c r="B157" s="159" t="s">
        <v>2675</v>
      </c>
      <c r="C157" s="159" t="s">
        <v>66</v>
      </c>
      <c r="T157" s="159">
        <v>102</v>
      </c>
      <c r="BE157" s="159">
        <f>COUNTIF(配装计算器!$T$19,LEFT(B157,2)&amp;"*"&amp;RIGHT(B157,1))</f>
        <v>0</v>
      </c>
      <c r="BF157" s="159">
        <v>0</v>
      </c>
      <c r="BG157" s="159">
        <f>IF(配装计算器!$R$3="计算增益",1,0)</f>
        <v>1</v>
      </c>
      <c r="BH157" s="163">
        <f ca="1">附魔库!H196</f>
        <v>0</v>
      </c>
      <c r="BI157" s="197">
        <f t="shared" si="32"/>
        <v>1</v>
      </c>
      <c r="BJ157" s="197">
        <f t="shared" si="33"/>
        <v>1</v>
      </c>
    </row>
    <row r="158" spans="1:62">
      <c r="A158" s="159" t="s">
        <v>2653</v>
      </c>
      <c r="B158" s="159" t="s">
        <v>2676</v>
      </c>
      <c r="C158" s="159" t="s">
        <v>2677</v>
      </c>
      <c r="T158" s="159">
        <v>133</v>
      </c>
      <c r="X158" s="201">
        <v>0.03</v>
      </c>
      <c r="AD158" s="159">
        <v>102</v>
      </c>
      <c r="BE158" s="159">
        <f>COUNTIF(配装计算器!$T$19,LEFT(B158,2)&amp;"*"&amp;RIGHT(B158,1))</f>
        <v>0</v>
      </c>
      <c r="BF158" s="159">
        <v>1</v>
      </c>
      <c r="BG158" s="159">
        <f>IF(配装计算器!$R$3="计算增益",1,0)</f>
        <v>1</v>
      </c>
      <c r="BH158" s="163">
        <v>1</v>
      </c>
      <c r="BI158" s="197">
        <f t="shared" si="32"/>
        <v>1</v>
      </c>
      <c r="BJ158" s="197">
        <f t="shared" si="33"/>
        <v>1</v>
      </c>
    </row>
    <row r="159" spans="1:62">
      <c r="A159" s="159" t="s">
        <v>2653</v>
      </c>
      <c r="B159" s="159" t="s">
        <v>2678</v>
      </c>
      <c r="C159" s="159" t="s">
        <v>34</v>
      </c>
      <c r="X159" s="201"/>
      <c r="AH159" s="159">
        <v>2667</v>
      </c>
      <c r="BE159" s="159">
        <f>COUNTIF(配装计算器!$T$19,LEFT(B159,2)&amp;"*"&amp;RIGHT(B159,1))</f>
        <v>0</v>
      </c>
      <c r="BF159" s="159">
        <v>1</v>
      </c>
      <c r="BG159" s="159">
        <f>IF(配装计算器!$R$3="计算增益",1,0)</f>
        <v>1</v>
      </c>
      <c r="BH159" s="163">
        <v>1</v>
      </c>
      <c r="BI159" s="197">
        <f t="shared" si="32"/>
        <v>1</v>
      </c>
      <c r="BJ159" s="197">
        <f t="shared" si="33"/>
        <v>1</v>
      </c>
    </row>
    <row r="160" spans="1:62">
      <c r="A160" s="159" t="s">
        <v>2653</v>
      </c>
      <c r="B160" s="159" t="s">
        <v>2679</v>
      </c>
      <c r="C160" s="159" t="s">
        <v>2680</v>
      </c>
      <c r="AA160" s="159">
        <v>20</v>
      </c>
      <c r="AZ160" s="159">
        <v>62</v>
      </c>
      <c r="BE160" s="159">
        <f>COUNTIF(配装计算器!$T$19,LEFT(B160,2)&amp;"*"&amp;RIGHT(B160,1))</f>
        <v>0</v>
      </c>
      <c r="BF160" s="159">
        <v>1</v>
      </c>
      <c r="BG160" s="159">
        <f>IF(配装计算器!$R$3="计算增益",1,0)</f>
        <v>1</v>
      </c>
      <c r="BH160" s="163">
        <f>28/39</f>
        <v>0.717948717948718</v>
      </c>
      <c r="BI160" s="197">
        <f t="shared" si="32"/>
        <v>1</v>
      </c>
      <c r="BJ160" s="197">
        <f t="shared" si="33"/>
        <v>1</v>
      </c>
    </row>
    <row r="161" spans="1:62">
      <c r="A161" s="159" t="s">
        <v>2653</v>
      </c>
      <c r="B161" s="159" t="s">
        <v>2681</v>
      </c>
      <c r="C161" s="159" t="s">
        <v>2682</v>
      </c>
      <c r="X161" s="201">
        <v>0.03</v>
      </c>
      <c r="AN161" s="159">
        <v>20</v>
      </c>
      <c r="BE161" s="159">
        <f>COUNTIF(配装计算器!$T$19,LEFT(B161,2)&amp;"*"&amp;RIGHT(B161,1))</f>
        <v>0</v>
      </c>
      <c r="BF161" s="159">
        <v>1</v>
      </c>
      <c r="BG161" s="159">
        <f>IF(配装计算器!$R$3="计算增益",1,0)</f>
        <v>1</v>
      </c>
      <c r="BH161" s="163">
        <v>1</v>
      </c>
      <c r="BI161" s="197">
        <f t="shared" si="32"/>
        <v>1</v>
      </c>
      <c r="BJ161" s="197">
        <f t="shared" si="33"/>
        <v>1</v>
      </c>
    </row>
    <row r="162" spans="1:62">
      <c r="A162" s="159" t="s">
        <v>2653</v>
      </c>
      <c r="B162" s="159" t="s">
        <v>2683</v>
      </c>
      <c r="C162" s="159" t="s">
        <v>9</v>
      </c>
      <c r="AA162" s="159">
        <v>20</v>
      </c>
      <c r="BE162" s="159">
        <f>COUNTIF(配装计算器!$T$19,LEFT(B162,2)&amp;"*"&amp;RIGHT(B162,1))</f>
        <v>0</v>
      </c>
      <c r="BF162" s="159">
        <v>1</v>
      </c>
      <c r="BG162" s="159">
        <f>IF(配装计算器!$R$3="计算增益",1,0)</f>
        <v>1</v>
      </c>
      <c r="BH162" s="163">
        <v>5</v>
      </c>
      <c r="BI162" s="197">
        <f t="shared" si="32"/>
        <v>1</v>
      </c>
      <c r="BJ162" s="197">
        <f t="shared" si="33"/>
        <v>1</v>
      </c>
    </row>
    <row r="163" spans="1:62">
      <c r="A163" s="159" t="s">
        <v>2653</v>
      </c>
      <c r="B163" s="159" t="s">
        <v>2684</v>
      </c>
      <c r="C163" s="159" t="s">
        <v>2685</v>
      </c>
      <c r="T163" s="159">
        <v>50</v>
      </c>
      <c r="AD163" s="159">
        <v>256</v>
      </c>
      <c r="AH163" s="159">
        <v>2667</v>
      </c>
      <c r="BE163" s="159">
        <f>COUNTIF(配装计算器!$T$19,LEFT(B163,2)&amp;"*"&amp;RIGHT(B163,1))</f>
        <v>0</v>
      </c>
      <c r="BF163" s="159">
        <v>1</v>
      </c>
      <c r="BG163" s="159">
        <f>IF(配装计算器!$R$3="计算增益",1,0)</f>
        <v>1</v>
      </c>
      <c r="BH163" s="163">
        <v>1</v>
      </c>
      <c r="BI163" s="197">
        <f t="shared" si="32"/>
        <v>1</v>
      </c>
      <c r="BJ163" s="197">
        <f t="shared" si="33"/>
        <v>1</v>
      </c>
    </row>
    <row r="164" spans="1:62">
      <c r="A164" s="159" t="s">
        <v>2653</v>
      </c>
      <c r="B164" s="159" t="s">
        <v>2283</v>
      </c>
      <c r="C164" s="159" t="s">
        <v>2686</v>
      </c>
      <c r="X164" s="201">
        <v>0.03</v>
      </c>
      <c r="AN164" s="159">
        <v>20</v>
      </c>
      <c r="AZ164" s="159">
        <v>62</v>
      </c>
      <c r="BE164" s="159">
        <f>COUNTIF(配装计算器!$T$19,LEFT(B164,2)&amp;"*"&amp;RIGHT(B164,1))</f>
        <v>1</v>
      </c>
      <c r="BF164" s="159">
        <v>1</v>
      </c>
      <c r="BG164" s="159">
        <f>IF(配装计算器!$R$3="计算增益",1,0)</f>
        <v>1</v>
      </c>
      <c r="BH164" s="163">
        <v>1</v>
      </c>
      <c r="BI164" s="197">
        <f t="shared" si="32"/>
        <v>1</v>
      </c>
      <c r="BJ164" s="197">
        <f t="shared" si="33"/>
        <v>1</v>
      </c>
    </row>
    <row r="165" spans="1:62">
      <c r="A165" s="159" t="s">
        <v>2653</v>
      </c>
      <c r="B165" s="159" t="s">
        <v>2687</v>
      </c>
      <c r="C165" s="159" t="s">
        <v>9</v>
      </c>
      <c r="AA165" s="159">
        <v>154</v>
      </c>
      <c r="BE165" s="159">
        <f>COUNTIF(配装计算器!$T$19,LEFT(B165,2)&amp;"*"&amp;RIGHT(B165,1))</f>
        <v>1</v>
      </c>
      <c r="BF165" s="159">
        <v>0</v>
      </c>
      <c r="BG165" s="159">
        <f>IF(配装计算器!$R$3="计算增益",1,0)</f>
        <v>1</v>
      </c>
      <c r="BH165" s="202">
        <f ca="1">附魔库!H197</f>
        <v>0.96</v>
      </c>
      <c r="BI165" s="197">
        <f t="shared" si="32"/>
        <v>1</v>
      </c>
      <c r="BJ165" s="197">
        <f t="shared" si="33"/>
        <v>1</v>
      </c>
    </row>
    <row r="166" spans="1:62">
      <c r="A166" s="159" t="s">
        <v>2653</v>
      </c>
      <c r="B166" s="159" t="s">
        <v>2688</v>
      </c>
      <c r="C166" s="159" t="s">
        <v>2689</v>
      </c>
      <c r="AN166" s="159">
        <v>104</v>
      </c>
      <c r="AZ166" s="159">
        <v>52</v>
      </c>
      <c r="BE166" s="159">
        <f>COUNTIF(配装计算器!$T$19,LEFT(B166,2)&amp;"*"&amp;RIGHT(B166,1))</f>
        <v>0</v>
      </c>
      <c r="BF166" s="159">
        <v>1</v>
      </c>
      <c r="BG166" s="159">
        <f>IF(配装计算器!$R$3="计算增益",1,0)</f>
        <v>1</v>
      </c>
      <c r="BH166" s="163">
        <v>1</v>
      </c>
      <c r="BI166" s="197">
        <f t="shared" si="32"/>
        <v>1</v>
      </c>
      <c r="BJ166" s="197">
        <f t="shared" si="33"/>
        <v>1</v>
      </c>
    </row>
    <row r="167" spans="1:62">
      <c r="A167" s="159" t="s">
        <v>2127</v>
      </c>
      <c r="B167" s="159" t="s">
        <v>2690</v>
      </c>
      <c r="C167" s="159" t="s">
        <v>7</v>
      </c>
      <c r="D167" s="159">
        <f>附魔库!R99</f>
        <v>0</v>
      </c>
      <c r="W167" s="159">
        <f>D167</f>
        <v>0</v>
      </c>
      <c r="BE167" s="159">
        <v>1</v>
      </c>
      <c r="BF167" s="159">
        <v>0</v>
      </c>
      <c r="BG167" s="159">
        <v>1</v>
      </c>
      <c r="BH167" s="163">
        <v>1</v>
      </c>
      <c r="BI167" s="197">
        <f t="shared" si="32"/>
        <v>1</v>
      </c>
      <c r="BJ167" s="197">
        <f t="shared" si="33"/>
        <v>1</v>
      </c>
    </row>
    <row r="168" spans="1:62">
      <c r="A168" s="159" t="s">
        <v>2127</v>
      </c>
      <c r="B168" s="159" t="s">
        <v>2690</v>
      </c>
      <c r="C168" s="159" t="s">
        <v>28</v>
      </c>
      <c r="D168" s="159">
        <f>附魔库!R100</f>
        <v>0</v>
      </c>
      <c r="AC168" s="159">
        <f>D168</f>
        <v>0</v>
      </c>
      <c r="BE168" s="159">
        <v>1</v>
      </c>
      <c r="BF168" s="159">
        <v>0</v>
      </c>
      <c r="BG168" s="159">
        <v>1</v>
      </c>
      <c r="BH168" s="163">
        <v>1</v>
      </c>
      <c r="BI168" s="197">
        <f t="shared" si="32"/>
        <v>1</v>
      </c>
      <c r="BJ168" s="197">
        <f t="shared" si="33"/>
        <v>1</v>
      </c>
    </row>
    <row r="169" spans="1:62">
      <c r="A169" s="159" t="s">
        <v>2127</v>
      </c>
      <c r="B169" s="159" t="s">
        <v>2691</v>
      </c>
      <c r="C169" s="159" t="s">
        <v>9</v>
      </c>
      <c r="D169" s="159">
        <f>附魔库!R102</f>
        <v>0</v>
      </c>
      <c r="Z169" s="159">
        <f>D169</f>
        <v>0</v>
      </c>
      <c r="BE169" s="159">
        <v>1</v>
      </c>
      <c r="BF169" s="159">
        <v>1</v>
      </c>
      <c r="BG169" s="159">
        <v>1</v>
      </c>
      <c r="BH169" s="163">
        <v>1</v>
      </c>
      <c r="BI169" s="197">
        <f t="shared" si="32"/>
        <v>1</v>
      </c>
      <c r="BJ169" s="197">
        <f t="shared" si="33"/>
        <v>1</v>
      </c>
    </row>
    <row r="170" spans="1:62">
      <c r="A170" s="159" t="s">
        <v>2127</v>
      </c>
      <c r="B170" s="159" t="s">
        <v>2691</v>
      </c>
      <c r="C170" s="159" t="s">
        <v>28</v>
      </c>
      <c r="D170" s="159">
        <f>附魔库!R101</f>
        <v>0</v>
      </c>
      <c r="AC170" s="159">
        <f>D170</f>
        <v>0</v>
      </c>
      <c r="BE170" s="159">
        <v>1</v>
      </c>
      <c r="BF170" s="159">
        <v>1</v>
      </c>
      <c r="BG170" s="159">
        <v>1</v>
      </c>
      <c r="BH170" s="163">
        <v>1</v>
      </c>
      <c r="BI170" s="197">
        <f t="shared" si="32"/>
        <v>1</v>
      </c>
      <c r="BJ170" s="197">
        <f t="shared" si="33"/>
        <v>1</v>
      </c>
    </row>
    <row r="171" spans="1:62">
      <c r="A171" s="159" t="s">
        <v>2127</v>
      </c>
      <c r="B171" s="159" t="s">
        <v>2692</v>
      </c>
      <c r="C171" s="159" t="s">
        <v>2693</v>
      </c>
      <c r="D171" s="159">
        <f>(IF(COUNTIF(配装计算器!C26,"*24500*")&gt;0,2,0)+IF(COUNTIF(配装计算器!C25,"*24500*")&gt;0,1,0))*内置配装器+IF(配装计算器!AC22=24500,3,0)*自输入属性</f>
        <v>0</v>
      </c>
      <c r="W171" s="159">
        <v>9070</v>
      </c>
      <c r="Z171" s="159">
        <v>4320</v>
      </c>
      <c r="BE171" s="159">
        <v>1</v>
      </c>
      <c r="BF171" s="159">
        <v>0</v>
      </c>
      <c r="BG171" s="159">
        <v>1</v>
      </c>
      <c r="BH171" s="163">
        <f>CHOOSE(D171+1,0,0,6/31.5,6/31.5)</f>
        <v>0</v>
      </c>
      <c r="BI171" s="197">
        <f t="shared" si="32"/>
        <v>1</v>
      </c>
      <c r="BJ171" s="197">
        <f t="shared" si="33"/>
        <v>1</v>
      </c>
    </row>
    <row r="172" spans="1:62">
      <c r="A172" s="159" t="s">
        <v>2127</v>
      </c>
      <c r="B172" s="159" t="s">
        <v>2694</v>
      </c>
      <c r="C172" s="159" t="s">
        <v>2693</v>
      </c>
      <c r="D172" s="159">
        <f>(IF(COUNTIF(配装计算器!C26,"*33400*")&gt;0,2,0)+IF(COUNTIF(配装计算器!C25,"*33400*")&gt;0,1,0))*内置配装器+IF(配装计算器!AC22=33400,3,0)*自输入属性</f>
        <v>0</v>
      </c>
      <c r="W172" s="159">
        <v>11790</v>
      </c>
      <c r="Z172" s="159">
        <v>5610</v>
      </c>
      <c r="BE172" s="159">
        <v>1</v>
      </c>
      <c r="BF172" s="159">
        <v>0</v>
      </c>
      <c r="BG172" s="159">
        <v>1</v>
      </c>
      <c r="BH172" s="163">
        <f>CHOOSE(D172+1,0,0,6/31.5,6/31.5)</f>
        <v>0</v>
      </c>
      <c r="BI172" s="197">
        <f t="shared" si="32"/>
        <v>1</v>
      </c>
      <c r="BJ172" s="197">
        <f t="shared" si="33"/>
        <v>1</v>
      </c>
    </row>
    <row r="173" spans="1:62">
      <c r="A173" s="159" t="s">
        <v>2127</v>
      </c>
      <c r="B173" s="159" t="s">
        <v>2324</v>
      </c>
      <c r="C173" s="159" t="s">
        <v>34</v>
      </c>
      <c r="D173" s="159">
        <v>1412</v>
      </c>
      <c r="AH173" s="159">
        <f>D173</f>
        <v>1412</v>
      </c>
      <c r="BE173" s="159">
        <f>IFERROR(SUMIF(附魔库!$F$427:$F$450,额外属性!B173,附魔库!$G$427:$G$450),0)</f>
        <v>0</v>
      </c>
      <c r="BF173" s="159">
        <v>1</v>
      </c>
      <c r="BG173" s="159">
        <v>1</v>
      </c>
      <c r="BH173" s="163">
        <v>1</v>
      </c>
      <c r="BI173" s="197">
        <f t="shared" si="32"/>
        <v>1</v>
      </c>
      <c r="BJ173" s="197">
        <f t="shared" si="33"/>
        <v>1</v>
      </c>
    </row>
    <row r="174" spans="1:62">
      <c r="A174" s="159" t="s">
        <v>2127</v>
      </c>
      <c r="B174" s="159" t="s">
        <v>2326</v>
      </c>
      <c r="C174" s="159" t="s">
        <v>28</v>
      </c>
      <c r="D174" s="159">
        <v>1412</v>
      </c>
      <c r="AC174" s="159">
        <f>D174</f>
        <v>1412</v>
      </c>
      <c r="BE174" s="159">
        <f>IFERROR(SUMIF(附魔库!$F$427:$F$450,额外属性!B174,附魔库!$G$427:$G$450),0)</f>
        <v>0</v>
      </c>
      <c r="BF174" s="159">
        <v>1</v>
      </c>
      <c r="BG174" s="159">
        <v>1</v>
      </c>
      <c r="BH174" s="163">
        <v>1</v>
      </c>
      <c r="BI174" s="197">
        <f t="shared" si="32"/>
        <v>1</v>
      </c>
      <c r="BJ174" s="197">
        <f t="shared" si="33"/>
        <v>1</v>
      </c>
    </row>
    <row r="175" spans="1:62">
      <c r="A175" s="159" t="s">
        <v>2127</v>
      </c>
      <c r="B175" s="159" t="s">
        <v>2329</v>
      </c>
      <c r="C175" s="159" t="s">
        <v>7</v>
      </c>
      <c r="D175" s="159">
        <v>1412</v>
      </c>
      <c r="W175" s="159">
        <f>D175</f>
        <v>1412</v>
      </c>
      <c r="BE175" s="159">
        <f>IFERROR(SUMIF(附魔库!$F$427:$F$450,额外属性!B175,附魔库!$G$427:$G$450),0)</f>
        <v>0</v>
      </c>
      <c r="BF175" s="159">
        <v>1</v>
      </c>
      <c r="BG175" s="159">
        <v>1</v>
      </c>
      <c r="BH175" s="163">
        <v>1</v>
      </c>
      <c r="BI175" s="197">
        <f t="shared" si="32"/>
        <v>1</v>
      </c>
      <c r="BJ175" s="197">
        <f t="shared" si="33"/>
        <v>1</v>
      </c>
    </row>
    <row r="176" spans="1:62">
      <c r="A176" s="159" t="s">
        <v>2127</v>
      </c>
      <c r="B176" s="159" t="s">
        <v>2336</v>
      </c>
      <c r="C176" s="159" t="s">
        <v>34</v>
      </c>
      <c r="D176" s="159">
        <v>1650</v>
      </c>
      <c r="AH176" s="159">
        <f>D176</f>
        <v>1650</v>
      </c>
      <c r="BE176" s="159">
        <f>IFERROR(SUMIF(附魔库!$F$458:$F$464,额外属性!B176,附魔库!$G$458:$G$464),0)</f>
        <v>1</v>
      </c>
      <c r="BF176" s="159">
        <v>1</v>
      </c>
      <c r="BG176" s="159">
        <v>1</v>
      </c>
      <c r="BH176" s="163">
        <v>1</v>
      </c>
      <c r="BI176" s="197">
        <f t="shared" si="32"/>
        <v>1</v>
      </c>
      <c r="BJ176" s="197">
        <f t="shared" si="33"/>
        <v>1</v>
      </c>
    </row>
    <row r="177" spans="1:62">
      <c r="A177" s="159" t="s">
        <v>2127</v>
      </c>
      <c r="B177" s="159" t="s">
        <v>2338</v>
      </c>
      <c r="C177" s="159" t="s">
        <v>28</v>
      </c>
      <c r="D177" s="159">
        <v>1650</v>
      </c>
      <c r="AC177" s="159">
        <f>D177</f>
        <v>1650</v>
      </c>
      <c r="BE177" s="159">
        <f>IFERROR(SUMIF(附魔库!$F$458:$F$464,额外属性!B177,附魔库!$G$458:$G$464),0)</f>
        <v>0</v>
      </c>
      <c r="BF177" s="159">
        <v>1</v>
      </c>
      <c r="BG177" s="159">
        <v>1</v>
      </c>
      <c r="BH177" s="163">
        <v>1</v>
      </c>
      <c r="BI177" s="197">
        <f t="shared" si="32"/>
        <v>1</v>
      </c>
      <c r="BJ177" s="197">
        <f t="shared" si="33"/>
        <v>1</v>
      </c>
    </row>
    <row r="178" spans="1:62">
      <c r="A178" s="159" t="s">
        <v>2127</v>
      </c>
      <c r="B178" s="159" t="s">
        <v>2339</v>
      </c>
      <c r="C178" s="159" t="s">
        <v>7</v>
      </c>
      <c r="D178" s="159">
        <v>1650</v>
      </c>
      <c r="W178" s="159">
        <f>D178</f>
        <v>1650</v>
      </c>
      <c r="BE178" s="159">
        <f>IFERROR(SUMIF(附魔库!$F$458:$F$464,额外属性!B178,附魔库!$G$458:$G$464),0)</f>
        <v>0</v>
      </c>
      <c r="BF178" s="159">
        <v>1</v>
      </c>
      <c r="BG178" s="159">
        <v>1</v>
      </c>
      <c r="BH178" s="163">
        <v>1</v>
      </c>
      <c r="BI178" s="197">
        <f t="shared" si="32"/>
        <v>1</v>
      </c>
      <c r="BJ178" s="197">
        <f t="shared" si="33"/>
        <v>1</v>
      </c>
    </row>
    <row r="179" spans="1:62">
      <c r="A179" s="159" t="s">
        <v>2127</v>
      </c>
      <c r="B179" s="159" t="s">
        <v>2337</v>
      </c>
      <c r="C179" s="159" t="s">
        <v>21</v>
      </c>
      <c r="D179" s="159">
        <v>1650</v>
      </c>
      <c r="AK179" s="159">
        <f>D179</f>
        <v>1650</v>
      </c>
      <c r="BE179" s="159">
        <f>IFERROR(SUMIF(附魔库!$F$458:$F$464,额外属性!B179,附魔库!$G$458:$G$464),0)</f>
        <v>0</v>
      </c>
      <c r="BF179" s="159">
        <v>1</v>
      </c>
      <c r="BG179" s="159">
        <v>1</v>
      </c>
      <c r="BH179" s="163">
        <v>1</v>
      </c>
      <c r="BI179" s="197">
        <f t="shared" si="32"/>
        <v>1</v>
      </c>
      <c r="BJ179" s="197">
        <f t="shared" si="33"/>
        <v>1</v>
      </c>
    </row>
    <row r="180" spans="1:62">
      <c r="A180" s="159" t="s">
        <v>2127</v>
      </c>
      <c r="B180" s="159" t="s">
        <v>2345</v>
      </c>
      <c r="C180" s="159" t="s">
        <v>34</v>
      </c>
      <c r="D180" s="159">
        <v>1928</v>
      </c>
      <c r="AH180" s="159">
        <f>D180</f>
        <v>1928</v>
      </c>
      <c r="BE180" s="159">
        <f>IFERROR(SUMIF(附魔库!$F$486:$F$492,额外属性!B180,附魔库!$G$486:$G$492),0)</f>
        <v>0</v>
      </c>
      <c r="BF180" s="159">
        <v>1</v>
      </c>
      <c r="BG180" s="159">
        <v>1</v>
      </c>
      <c r="BH180" s="163">
        <v>1</v>
      </c>
      <c r="BI180" s="197">
        <f t="shared" si="32"/>
        <v>1</v>
      </c>
      <c r="BJ180" s="197">
        <f t="shared" si="33"/>
        <v>1</v>
      </c>
    </row>
    <row r="181" spans="1:62">
      <c r="A181" s="159" t="s">
        <v>2127</v>
      </c>
      <c r="B181" s="159" t="s">
        <v>2347</v>
      </c>
      <c r="C181" s="159" t="s">
        <v>28</v>
      </c>
      <c r="D181" s="159">
        <v>1928</v>
      </c>
      <c r="AC181" s="159">
        <f>D181</f>
        <v>1928</v>
      </c>
      <c r="BE181" s="159">
        <f>IFERROR(SUMIF(附魔库!$F$486:$F$492,额外属性!B181,附魔库!$G$486:$G$492),0)</f>
        <v>0</v>
      </c>
      <c r="BF181" s="159">
        <v>1</v>
      </c>
      <c r="BG181" s="159">
        <v>1</v>
      </c>
      <c r="BH181" s="163">
        <v>1</v>
      </c>
      <c r="BI181" s="197">
        <f t="shared" si="32"/>
        <v>1</v>
      </c>
      <c r="BJ181" s="197">
        <f t="shared" si="33"/>
        <v>1</v>
      </c>
    </row>
    <row r="182" spans="1:62">
      <c r="A182" s="159" t="s">
        <v>2127</v>
      </c>
      <c r="B182" s="159" t="s">
        <v>2348</v>
      </c>
      <c r="C182" s="159" t="s">
        <v>7</v>
      </c>
      <c r="D182" s="159">
        <v>1928</v>
      </c>
      <c r="W182" s="159">
        <f>D182</f>
        <v>1928</v>
      </c>
      <c r="BE182" s="159">
        <f>IFERROR(SUMIF(附魔库!$F$486:$F$492,额外属性!B182,附魔库!$G$486:$G$492),0)</f>
        <v>0</v>
      </c>
      <c r="BF182" s="159">
        <v>1</v>
      </c>
      <c r="BG182" s="159">
        <v>1</v>
      </c>
      <c r="BH182" s="163">
        <v>1</v>
      </c>
      <c r="BI182" s="197">
        <f t="shared" si="32"/>
        <v>1</v>
      </c>
      <c r="BJ182" s="197">
        <f t="shared" si="33"/>
        <v>1</v>
      </c>
    </row>
    <row r="183" spans="1:62">
      <c r="A183" s="159" t="s">
        <v>2127</v>
      </c>
      <c r="B183" s="159" t="s">
        <v>2346</v>
      </c>
      <c r="C183" s="159" t="s">
        <v>21</v>
      </c>
      <c r="D183" s="159">
        <v>1928</v>
      </c>
      <c r="AK183" s="159">
        <f>D183</f>
        <v>1928</v>
      </c>
      <c r="BE183" s="159">
        <f>IFERROR(SUMIF(附魔库!$F$486:$F$492,额外属性!B183,附魔库!$G$486:$G$492),0)</f>
        <v>0</v>
      </c>
      <c r="BF183" s="159">
        <v>1</v>
      </c>
      <c r="BG183" s="159">
        <v>1</v>
      </c>
      <c r="BH183" s="163">
        <v>1</v>
      </c>
      <c r="BI183" s="197">
        <f t="shared" si="32"/>
        <v>1</v>
      </c>
      <c r="BJ183" s="197">
        <f t="shared" si="33"/>
        <v>1</v>
      </c>
    </row>
    <row r="184" spans="1:62">
      <c r="A184" s="159" t="s">
        <v>2127</v>
      </c>
      <c r="B184" s="159" t="s">
        <v>2334</v>
      </c>
      <c r="C184" s="159" t="s">
        <v>2695</v>
      </c>
      <c r="D184" s="159">
        <v>988</v>
      </c>
      <c r="W184" s="159">
        <f>D184</f>
        <v>988</v>
      </c>
      <c r="AC184" s="159">
        <f>D184</f>
        <v>988</v>
      </c>
      <c r="BE184" s="159">
        <f>IFERROR(IF(SUMIF(附魔库!$F$427:$F$450,额外属性!B184,附魔库!$G$427:$G$450)&gt;0,1,0),0)</f>
        <v>0</v>
      </c>
      <c r="BF184" s="159">
        <v>1</v>
      </c>
      <c r="BG184" s="159">
        <v>1</v>
      </c>
      <c r="BH184" s="163">
        <v>1</v>
      </c>
      <c r="BI184" s="197">
        <f t="shared" ref="BI184:BI191" si="34">IF(AND($A184&lt;&gt;"重剑",$A184&lt;&gt;""),1,0)</f>
        <v>1</v>
      </c>
      <c r="BJ184" s="197">
        <f t="shared" ref="BJ184:BJ191" si="35">IF(AND($A184&lt;&gt;"轻剑",$A184&lt;&gt;""),1,0)</f>
        <v>1</v>
      </c>
    </row>
    <row r="185" spans="1:62">
      <c r="A185" s="159" t="s">
        <v>2127</v>
      </c>
      <c r="B185" s="159" t="s">
        <v>2333</v>
      </c>
      <c r="C185" s="159" t="s">
        <v>2696</v>
      </c>
      <c r="D185" s="159">
        <v>8506</v>
      </c>
      <c r="W185" s="159">
        <f>D185/3</f>
        <v>2835.33333333333</v>
      </c>
      <c r="AC185" s="159">
        <f>D185/3</f>
        <v>2835.33333333333</v>
      </c>
      <c r="AH185" s="159">
        <f>D185/3</f>
        <v>2835.33333333333</v>
      </c>
      <c r="BE185" s="159">
        <f>IFERROR(IF(SUMIF(附魔库!$F$427:$F$450,额外属性!B185,附魔库!$G$427:$G$450)&gt;0,1,0),0)</f>
        <v>0</v>
      </c>
      <c r="BF185" s="159">
        <v>0</v>
      </c>
      <c r="BG185" s="159">
        <v>1</v>
      </c>
      <c r="BH185" s="163">
        <v>1</v>
      </c>
      <c r="BI185" s="197">
        <f t="shared" si="34"/>
        <v>1</v>
      </c>
      <c r="BJ185" s="197">
        <f t="shared" si="35"/>
        <v>1</v>
      </c>
    </row>
    <row r="186" spans="1:62">
      <c r="A186" s="159" t="s">
        <v>2127</v>
      </c>
      <c r="B186" s="159" t="s">
        <v>2343</v>
      </c>
      <c r="C186" s="159" t="s">
        <v>2695</v>
      </c>
      <c r="D186" s="159">
        <v>1155</v>
      </c>
      <c r="W186" s="159">
        <f>D186</f>
        <v>1155</v>
      </c>
      <c r="AC186" s="159">
        <f>D186</f>
        <v>1155</v>
      </c>
      <c r="BE186" s="159">
        <f>IFERROR(IF(SUMIF(附魔库!$F$472:$F$478,额外属性!B186,附魔库!$G$472:$G$478)&gt;0,1,0),0)</f>
        <v>0</v>
      </c>
      <c r="BF186" s="159">
        <v>1</v>
      </c>
      <c r="BG186" s="159">
        <v>1</v>
      </c>
      <c r="BH186" s="163">
        <v>1</v>
      </c>
      <c r="BI186" s="197">
        <f t="shared" si="34"/>
        <v>1</v>
      </c>
      <c r="BJ186" s="197">
        <f t="shared" si="35"/>
        <v>1</v>
      </c>
    </row>
    <row r="187" spans="1:62">
      <c r="A187" s="159" t="s">
        <v>2127</v>
      </c>
      <c r="B187" s="159" t="s">
        <v>2344</v>
      </c>
      <c r="C187" s="159" t="s">
        <v>2696</v>
      </c>
      <c r="D187" s="159">
        <v>12254</v>
      </c>
      <c r="W187" s="159">
        <f>D187/3</f>
        <v>4084.66666666667</v>
      </c>
      <c r="AC187" s="159">
        <f>D187/3</f>
        <v>4084.66666666667</v>
      </c>
      <c r="AH187" s="159">
        <f>D187/3</f>
        <v>4084.66666666667</v>
      </c>
      <c r="BE187" s="159">
        <f>IFERROR(IF(SUMIF(附魔库!$F$472:$F$478,额外属性!B187,附魔库!$G$472:$G$478)&gt;0,1,0),0)</f>
        <v>0</v>
      </c>
      <c r="BF187" s="159">
        <v>0</v>
      </c>
      <c r="BG187" s="159">
        <v>1</v>
      </c>
      <c r="BH187" s="163">
        <v>1</v>
      </c>
      <c r="BI187" s="197">
        <f t="shared" si="34"/>
        <v>1</v>
      </c>
      <c r="BJ187" s="197">
        <f t="shared" si="35"/>
        <v>1</v>
      </c>
    </row>
    <row r="188" spans="1:62">
      <c r="A188" s="159" t="s">
        <v>2127</v>
      </c>
      <c r="B188" s="159" t="s">
        <v>2352</v>
      </c>
      <c r="C188" s="159" t="s">
        <v>2695</v>
      </c>
      <c r="D188" s="159">
        <v>1350</v>
      </c>
      <c r="W188" s="159">
        <f>D188</f>
        <v>1350</v>
      </c>
      <c r="AC188" s="159">
        <f>D188</f>
        <v>1350</v>
      </c>
      <c r="BE188" s="159">
        <f>IFERROR(IF(SUMIF(附魔库!$F$500:$F$506,额外属性!B188,附魔库!$G$500:$G$506)&gt;0,1,0),0)</f>
        <v>1</v>
      </c>
      <c r="BF188" s="159">
        <v>1</v>
      </c>
      <c r="BG188" s="159">
        <v>1</v>
      </c>
      <c r="BH188" s="163">
        <v>1</v>
      </c>
      <c r="BI188" s="197">
        <f t="shared" si="34"/>
        <v>1</v>
      </c>
      <c r="BJ188" s="197">
        <f t="shared" si="35"/>
        <v>1</v>
      </c>
    </row>
    <row r="189" spans="1:62">
      <c r="A189" s="159" t="s">
        <v>2127</v>
      </c>
      <c r="B189" s="159" t="s">
        <v>2340</v>
      </c>
      <c r="C189" s="159" t="s">
        <v>21</v>
      </c>
      <c r="D189" s="159">
        <v>3301</v>
      </c>
      <c r="AK189" s="159">
        <f>D189</f>
        <v>3301</v>
      </c>
      <c r="BE189" s="159">
        <f>IFERROR(IF(SUMIF(附魔库!$F$465:$F$471,额外属性!B189,附魔库!$G$465:$G$471)&gt;0,1,0),0)</f>
        <v>0</v>
      </c>
      <c r="BF189" s="159">
        <v>1</v>
      </c>
      <c r="BG189" s="159">
        <v>1</v>
      </c>
      <c r="BH189" s="163">
        <v>1</v>
      </c>
      <c r="BI189" s="197">
        <f t="shared" si="34"/>
        <v>1</v>
      </c>
      <c r="BJ189" s="197">
        <f t="shared" si="35"/>
        <v>1</v>
      </c>
    </row>
    <row r="190" spans="1:62">
      <c r="A190" s="159" t="s">
        <v>2127</v>
      </c>
      <c r="B190" s="159" t="s">
        <v>2349</v>
      </c>
      <c r="C190" s="159" t="s">
        <v>21</v>
      </c>
      <c r="D190" s="159">
        <v>3857</v>
      </c>
      <c r="AK190" s="159">
        <f>D190</f>
        <v>3857</v>
      </c>
      <c r="BE190" s="159">
        <f>IFERROR(IF(SUMIF(附魔库!$F$493:$F$499,额外属性!B190,附魔库!$G$493:$G$499)&gt;0,1,0),0)</f>
        <v>0</v>
      </c>
      <c r="BF190" s="159">
        <v>1</v>
      </c>
      <c r="BG190" s="159">
        <v>1</v>
      </c>
      <c r="BH190" s="163">
        <v>1</v>
      </c>
      <c r="BI190" s="197">
        <f t="shared" si="34"/>
        <v>1</v>
      </c>
      <c r="BJ190" s="197">
        <f t="shared" si="35"/>
        <v>1</v>
      </c>
    </row>
    <row r="191" spans="1:62">
      <c r="A191" s="159" t="s">
        <v>2127</v>
      </c>
      <c r="B191" s="159" t="s">
        <v>2330</v>
      </c>
      <c r="C191" s="159" t="s">
        <v>21</v>
      </c>
      <c r="D191" s="159">
        <v>2824</v>
      </c>
      <c r="AK191" s="159">
        <f>D191</f>
        <v>2824</v>
      </c>
      <c r="BE191" s="159">
        <f>IFERROR(IF(SUMIF(附魔库!$F$427:$F$450,额外属性!B191,附魔库!$G$427:$G$450)&gt;0,1,0),0)</f>
        <v>0</v>
      </c>
      <c r="BF191" s="159">
        <v>1</v>
      </c>
      <c r="BG191" s="159">
        <v>1</v>
      </c>
      <c r="BH191" s="163">
        <v>1</v>
      </c>
      <c r="BI191" s="197">
        <f t="shared" si="34"/>
        <v>1</v>
      </c>
      <c r="BJ191" s="197">
        <f t="shared" si="35"/>
        <v>1</v>
      </c>
    </row>
    <row r="193" spans="1:62">
      <c r="A193" s="203" t="s">
        <v>2697</v>
      </c>
      <c r="B193" s="204"/>
      <c r="C193" s="198"/>
    </row>
    <row r="194" spans="1:62">
      <c r="A194" s="159" t="s">
        <v>2127</v>
      </c>
      <c r="B194" s="159" t="s">
        <v>2698</v>
      </c>
      <c r="C194" s="159" t="s">
        <v>7</v>
      </c>
      <c r="D194" s="159">
        <f ca="1">附魔库!R94</f>
        <v>3471</v>
      </c>
      <c r="W194" s="159">
        <f ca="1">D194</f>
        <v>3471</v>
      </c>
      <c r="BE194" s="159">
        <v>1</v>
      </c>
      <c r="BF194" s="159">
        <v>1</v>
      </c>
      <c r="BG194" s="159">
        <v>1</v>
      </c>
      <c r="BH194" s="163">
        <v>1</v>
      </c>
      <c r="BI194" s="197">
        <f t="shared" si="32"/>
        <v>1</v>
      </c>
      <c r="BJ194" s="197">
        <f t="shared" si="33"/>
        <v>1</v>
      </c>
    </row>
    <row r="195" spans="1:62">
      <c r="A195" s="159" t="s">
        <v>2127</v>
      </c>
      <c r="B195" s="159" t="s">
        <v>2698</v>
      </c>
      <c r="C195" s="159" t="s">
        <v>34</v>
      </c>
      <c r="D195" s="159">
        <f ca="1">附魔库!R95</f>
        <v>0</v>
      </c>
      <c r="AH195" s="159">
        <f ca="1">D195</f>
        <v>0</v>
      </c>
      <c r="BE195" s="159">
        <v>1</v>
      </c>
      <c r="BF195" s="159">
        <v>1</v>
      </c>
      <c r="BG195" s="159">
        <v>1</v>
      </c>
      <c r="BH195" s="163">
        <v>1</v>
      </c>
      <c r="BI195" s="197">
        <f t="shared" si="32"/>
        <v>1</v>
      </c>
      <c r="BJ195" s="197">
        <f t="shared" si="33"/>
        <v>1</v>
      </c>
    </row>
    <row r="196" spans="1:62">
      <c r="A196" s="159" t="s">
        <v>2127</v>
      </c>
      <c r="B196" s="159" t="s">
        <v>2698</v>
      </c>
      <c r="C196" s="159" t="s">
        <v>28</v>
      </c>
      <c r="D196" s="159">
        <f ca="1">附魔库!R96</f>
        <v>0</v>
      </c>
      <c r="AC196" s="159">
        <f ca="1">D196</f>
        <v>0</v>
      </c>
      <c r="BE196" s="159">
        <v>1</v>
      </c>
      <c r="BF196" s="159">
        <v>1</v>
      </c>
      <c r="BG196" s="159">
        <v>1</v>
      </c>
      <c r="BH196" s="163">
        <v>1</v>
      </c>
      <c r="BI196" s="197">
        <f t="shared" si="32"/>
        <v>1</v>
      </c>
      <c r="BJ196" s="197">
        <f t="shared" si="33"/>
        <v>1</v>
      </c>
    </row>
    <row r="197" spans="1:62">
      <c r="A197" s="159" t="s">
        <v>2127</v>
      </c>
      <c r="B197" s="159" t="s">
        <v>2699</v>
      </c>
      <c r="C197" s="159" t="s">
        <v>9</v>
      </c>
      <c r="D197" s="159">
        <f ca="1">附魔库!R97</f>
        <v>0</v>
      </c>
      <c r="Z197" s="159">
        <f ca="1">D197</f>
        <v>0</v>
      </c>
      <c r="BE197" s="159">
        <v>1</v>
      </c>
      <c r="BF197" s="159">
        <v>1</v>
      </c>
      <c r="BG197" s="159">
        <v>1</v>
      </c>
      <c r="BH197" s="163">
        <v>1</v>
      </c>
      <c r="BI197" s="197">
        <f t="shared" si="32"/>
        <v>1</v>
      </c>
      <c r="BJ197" s="197">
        <f t="shared" si="33"/>
        <v>1</v>
      </c>
    </row>
    <row r="198" spans="1:62">
      <c r="A198" s="159" t="s">
        <v>2127</v>
      </c>
      <c r="B198" s="159" t="s">
        <v>2699</v>
      </c>
      <c r="C198" s="159" t="s">
        <v>66</v>
      </c>
      <c r="D198" s="159">
        <f ca="1">附魔库!R98</f>
        <v>450</v>
      </c>
      <c r="S198" s="159">
        <f ca="1">D198</f>
        <v>450</v>
      </c>
      <c r="BE198" s="159">
        <v>1</v>
      </c>
      <c r="BF198" s="159">
        <v>1</v>
      </c>
      <c r="BG198" s="159">
        <v>1</v>
      </c>
      <c r="BH198" s="163">
        <v>1</v>
      </c>
      <c r="BI198" s="197">
        <f t="shared" si="32"/>
        <v>1</v>
      </c>
      <c r="BJ198" s="197">
        <f t="shared" si="33"/>
        <v>1</v>
      </c>
    </row>
    <row r="199" spans="1:62">
      <c r="A199" s="159" t="s">
        <v>2700</v>
      </c>
      <c r="B199" s="159">
        <v>1</v>
      </c>
      <c r="C199" s="159" t="s">
        <v>2701</v>
      </c>
      <c r="D199" s="159">
        <f>IFERROR(ROUND(MAX(MIN(0.02,((36-配装计算器!K29)/5)/200),0.0075)*1024,0),10)*B199</f>
        <v>8</v>
      </c>
      <c r="AZ199" s="159">
        <f>D199</f>
        <v>8</v>
      </c>
      <c r="BE199" s="159">
        <v>1</v>
      </c>
      <c r="BF199" s="159">
        <v>0</v>
      </c>
      <c r="BG199" s="159">
        <v>1</v>
      </c>
      <c r="BH199" s="163">
        <v>1</v>
      </c>
      <c r="BI199" s="197">
        <f t="shared" si="32"/>
        <v>1</v>
      </c>
      <c r="BJ199" s="197">
        <f t="shared" si="33"/>
        <v>1</v>
      </c>
    </row>
    <row r="200" spans="1:62">
      <c r="A200" s="159" t="s">
        <v>2127</v>
      </c>
      <c r="B200" s="159" t="s">
        <v>2702</v>
      </c>
      <c r="C200" s="159" t="s">
        <v>7</v>
      </c>
      <c r="D200" s="159">
        <f ca="1">附魔库!O434</f>
        <v>0</v>
      </c>
      <c r="W200" s="159">
        <f ca="1">D200</f>
        <v>0</v>
      </c>
      <c r="BE200" s="159">
        <v>1</v>
      </c>
      <c r="BF200" s="159">
        <v>1</v>
      </c>
      <c r="BG200" s="159">
        <v>1</v>
      </c>
      <c r="BH200" s="163">
        <v>1</v>
      </c>
      <c r="BI200" s="197">
        <f t="shared" si="32"/>
        <v>1</v>
      </c>
      <c r="BJ200" s="197">
        <f t="shared" si="33"/>
        <v>1</v>
      </c>
    </row>
    <row r="201" spans="1:62">
      <c r="A201" s="159" t="s">
        <v>2127</v>
      </c>
      <c r="B201" s="159" t="s">
        <v>2703</v>
      </c>
      <c r="C201" s="159" t="s">
        <v>28</v>
      </c>
      <c r="D201" s="159">
        <f ca="1">附魔库!O435</f>
        <v>0</v>
      </c>
      <c r="AC201" s="159">
        <f ca="1">D201</f>
        <v>0</v>
      </c>
      <c r="BE201" s="159">
        <v>1</v>
      </c>
      <c r="BF201" s="159">
        <v>1</v>
      </c>
      <c r="BG201" s="159">
        <v>1</v>
      </c>
      <c r="BH201" s="163">
        <v>1</v>
      </c>
      <c r="BI201" s="197">
        <f t="shared" si="32"/>
        <v>1</v>
      </c>
      <c r="BJ201" s="197">
        <f t="shared" si="33"/>
        <v>1</v>
      </c>
    </row>
    <row r="202" spans="1:62">
      <c r="BI202" s="197">
        <f t="shared" si="32"/>
        <v>0</v>
      </c>
      <c r="BJ202" s="197">
        <f t="shared" si="33"/>
        <v>0</v>
      </c>
    </row>
    <row r="203" spans="1:62">
      <c r="BI203" s="197">
        <f t="shared" si="32"/>
        <v>0</v>
      </c>
      <c r="BJ203" s="197">
        <f t="shared" si="33"/>
        <v>0</v>
      </c>
    </row>
    <row r="204" spans="1:62">
      <c r="BI204" s="197">
        <f t="shared" si="32"/>
        <v>0</v>
      </c>
      <c r="BJ204" s="197">
        <f t="shared" si="33"/>
        <v>0</v>
      </c>
    </row>
    <row r="205" spans="1:62">
      <c r="BI205" s="197">
        <f t="shared" si="32"/>
        <v>0</v>
      </c>
      <c r="BJ205" s="197">
        <f t="shared" si="33"/>
        <v>0</v>
      </c>
    </row>
    <row r="206" spans="1:62">
      <c r="BI206" s="197">
        <f t="shared" si="32"/>
        <v>0</v>
      </c>
      <c r="BJ206" s="197">
        <f t="shared" si="33"/>
        <v>0</v>
      </c>
    </row>
    <row r="207" spans="1:62">
      <c r="BI207" s="197">
        <f t="shared" si="32"/>
        <v>0</v>
      </c>
      <c r="BJ207" s="197">
        <f t="shared" si="33"/>
        <v>0</v>
      </c>
    </row>
    <row r="208" spans="1:62">
      <c r="BI208" s="197">
        <f t="shared" si="32"/>
        <v>0</v>
      </c>
      <c r="BJ208" s="197">
        <f t="shared" si="33"/>
        <v>0</v>
      </c>
    </row>
    <row r="209" spans="61:62">
      <c r="BI209" s="197">
        <f t="shared" si="32"/>
        <v>0</v>
      </c>
      <c r="BJ209" s="197">
        <f t="shared" si="33"/>
        <v>0</v>
      </c>
    </row>
    <row r="210" spans="61:62">
      <c r="BI210" s="197">
        <f t="shared" si="32"/>
        <v>0</v>
      </c>
      <c r="BJ210" s="197">
        <f t="shared" si="33"/>
        <v>0</v>
      </c>
    </row>
    <row r="211" spans="61:62">
      <c r="BI211" s="197">
        <f t="shared" si="32"/>
        <v>0</v>
      </c>
      <c r="BJ211" s="197">
        <f t="shared" si="33"/>
        <v>0</v>
      </c>
    </row>
    <row r="212" spans="61:62">
      <c r="BI212" s="197">
        <f t="shared" si="32"/>
        <v>0</v>
      </c>
      <c r="BJ212" s="197">
        <f t="shared" si="33"/>
        <v>0</v>
      </c>
    </row>
    <row r="213" spans="61:62">
      <c r="BI213" s="197">
        <f t="shared" si="32"/>
        <v>0</v>
      </c>
      <c r="BJ213" s="197">
        <f t="shared" si="33"/>
        <v>0</v>
      </c>
    </row>
    <row r="214" spans="61:62">
      <c r="BI214" s="197">
        <f t="shared" si="32"/>
        <v>0</v>
      </c>
      <c r="BJ214" s="197">
        <f t="shared" si="33"/>
        <v>0</v>
      </c>
    </row>
    <row r="215" spans="61:62">
      <c r="BI215" s="197">
        <f t="shared" si="32"/>
        <v>0</v>
      </c>
      <c r="BJ215" s="197">
        <f t="shared" si="33"/>
        <v>0</v>
      </c>
    </row>
    <row r="216" spans="61:62">
      <c r="BI216" s="197">
        <f t="shared" si="32"/>
        <v>0</v>
      </c>
      <c r="BJ216" s="197">
        <f t="shared" si="33"/>
        <v>0</v>
      </c>
    </row>
    <row r="217" spans="61:62">
      <c r="BI217" s="197">
        <f t="shared" si="32"/>
        <v>0</v>
      </c>
      <c r="BJ217" s="197">
        <f t="shared" si="33"/>
        <v>0</v>
      </c>
    </row>
    <row r="218" spans="61:62">
      <c r="BI218" s="197">
        <f t="shared" si="32"/>
        <v>0</v>
      </c>
      <c r="BJ218" s="197">
        <f t="shared" si="33"/>
        <v>0</v>
      </c>
    </row>
    <row r="219" spans="61:62">
      <c r="BI219" s="197">
        <f t="shared" si="32"/>
        <v>0</v>
      </c>
      <c r="BJ219" s="197">
        <f t="shared" si="33"/>
        <v>0</v>
      </c>
    </row>
    <row r="220" spans="61:62">
      <c r="BI220" s="197">
        <f t="shared" si="32"/>
        <v>0</v>
      </c>
      <c r="BJ220" s="197">
        <f t="shared" si="33"/>
        <v>0</v>
      </c>
    </row>
    <row r="221" spans="61:62">
      <c r="BI221" s="197">
        <f t="shared" si="32"/>
        <v>0</v>
      </c>
      <c r="BJ221" s="197">
        <f t="shared" si="33"/>
        <v>0</v>
      </c>
    </row>
    <row r="222" spans="61:62">
      <c r="BI222" s="197">
        <f t="shared" si="32"/>
        <v>0</v>
      </c>
      <c r="BJ222" s="197">
        <f t="shared" si="33"/>
        <v>0</v>
      </c>
    </row>
    <row r="223" spans="61:62">
      <c r="BI223" s="197">
        <f t="shared" si="32"/>
        <v>0</v>
      </c>
      <c r="BJ223" s="197">
        <f t="shared" si="33"/>
        <v>0</v>
      </c>
    </row>
    <row r="224" spans="61:62">
      <c r="BI224" s="197">
        <f t="shared" si="32"/>
        <v>0</v>
      </c>
      <c r="BJ224" s="197">
        <f t="shared" si="33"/>
        <v>0</v>
      </c>
    </row>
    <row r="225" spans="61:62">
      <c r="BI225" s="197">
        <f t="shared" ref="BI225:BI231" si="36">IF(AND($A225&lt;&gt;"重剑",$A225&lt;&gt;""),1,0)</f>
        <v>0</v>
      </c>
      <c r="BJ225" s="197">
        <f t="shared" ref="BJ225:BJ231" si="37">IF(AND($A225&lt;&gt;"轻剑",$A225&lt;&gt;""),1,0)</f>
        <v>0</v>
      </c>
    </row>
    <row r="226" spans="61:62">
      <c r="BI226" s="197">
        <f t="shared" si="36"/>
        <v>0</v>
      </c>
      <c r="BJ226" s="197">
        <f t="shared" si="37"/>
        <v>0</v>
      </c>
    </row>
    <row r="227" spans="61:62">
      <c r="BI227" s="197">
        <f t="shared" si="36"/>
        <v>0</v>
      </c>
      <c r="BJ227" s="197">
        <f t="shared" si="37"/>
        <v>0</v>
      </c>
    </row>
    <row r="228" spans="61:62">
      <c r="BI228" s="197">
        <f t="shared" si="36"/>
        <v>0</v>
      </c>
      <c r="BJ228" s="197">
        <f t="shared" si="37"/>
        <v>0</v>
      </c>
    </row>
    <row r="229" spans="61:62">
      <c r="BI229" s="197">
        <f t="shared" si="36"/>
        <v>0</v>
      </c>
      <c r="BJ229" s="197">
        <f t="shared" si="37"/>
        <v>0</v>
      </c>
    </row>
    <row r="230" spans="61:62">
      <c r="BI230" s="197">
        <f t="shared" si="36"/>
        <v>0</v>
      </c>
      <c r="BJ230" s="197">
        <f t="shared" si="37"/>
        <v>0</v>
      </c>
    </row>
    <row r="231" spans="61:62">
      <c r="BI231" s="197">
        <f t="shared" si="36"/>
        <v>0</v>
      </c>
      <c r="BJ231" s="197">
        <f t="shared" si="37"/>
        <v>0</v>
      </c>
    </row>
  </sheetData>
  <customSheetViews>
    <customSheetView guid="{8E53DF33-FD66-42DA-A21D-B11FBF5F6988}">
      <pane xSplit="4" ySplit="8" topLeftCell="AX146" activePane="bottomRight" state="frozen"/>
      <selection activeCell="AD90" sqref="AD90"/>
      <pageMargins left="0.7" right="0.7" top="0.75" bottom="0.75" header="0.3" footer="0.3"/>
      <headerFooter/>
    </customSheetView>
  </customSheetViews>
  <mergeCells count="1">
    <mergeCell ref="A193:C193"/>
  </mergeCells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86"/>
  <sheetViews>
    <sheetView showGridLines="0" topLeftCell="J40" workbookViewId="0">
      <selection activeCell="C12" sqref="C12:E12"/>
    </sheetView>
  </sheetViews>
  <sheetFormatPr defaultColWidth="9" defaultRowHeight="16.8"/>
  <cols>
    <col min="2" max="2" width="17.25" customWidth="1"/>
    <col min="9" max="9" width="26.5" customWidth="1"/>
    <col min="10" max="10" width="51.875" customWidth="1"/>
    <col min="12" max="12" width="14.125" style="160" customWidth="1"/>
    <col min="13" max="13" width="9" style="160"/>
    <col min="14" max="18" width="13" style="160" customWidth="1"/>
    <col min="19" max="23" width="13" style="167" customWidth="1"/>
    <col min="24" max="24" width="23.625" style="167" customWidth="1"/>
    <col min="26" max="26" width="17.25" customWidth="1"/>
    <col min="33" max="33" width="17.25" customWidth="1"/>
  </cols>
  <sheetData>
    <row r="1" spans="2:37">
      <c r="L1" s="167"/>
      <c r="M1" s="167"/>
      <c r="N1" s="167"/>
      <c r="O1" s="167"/>
      <c r="P1" s="167"/>
      <c r="Q1" s="167"/>
      <c r="R1" s="167"/>
    </row>
    <row r="2" spans="2:37">
      <c r="B2" s="161" t="s">
        <v>2704</v>
      </c>
      <c r="C2" s="161" t="s">
        <v>2705</v>
      </c>
      <c r="D2" s="161" t="s">
        <v>2706</v>
      </c>
      <c r="E2" s="161" t="s">
        <v>2707</v>
      </c>
      <c r="F2" s="161" t="s">
        <v>2708</v>
      </c>
      <c r="G2" s="161" t="s">
        <v>2709</v>
      </c>
      <c r="H2" s="161" t="s">
        <v>2710</v>
      </c>
      <c r="I2" s="161" t="s">
        <v>2711</v>
      </c>
      <c r="J2" s="161" t="s">
        <v>2712</v>
      </c>
      <c r="L2" s="160" t="s">
        <v>2713</v>
      </c>
      <c r="M2" s="160" t="s">
        <v>2714</v>
      </c>
      <c r="N2" s="160" t="s">
        <v>2715</v>
      </c>
      <c r="O2" s="160" t="s">
        <v>2716</v>
      </c>
      <c r="P2" s="160" t="s">
        <v>7</v>
      </c>
      <c r="Q2" s="160" t="s">
        <v>9</v>
      </c>
      <c r="R2" s="160" t="s">
        <v>2680</v>
      </c>
      <c r="T2" s="160" t="s">
        <v>2717</v>
      </c>
      <c r="U2" s="160" t="s">
        <v>7</v>
      </c>
      <c r="V2" s="160" t="s">
        <v>9</v>
      </c>
      <c r="W2" s="160" t="s">
        <v>2680</v>
      </c>
      <c r="X2" s="160" t="s">
        <v>1990</v>
      </c>
      <c r="Z2" s="160" t="str">
        <f>配装计算器!N13</f>
        <v>叠峰意</v>
      </c>
      <c r="AA2" s="160" t="str">
        <f>配装计算器!N14</f>
        <v>怜光</v>
      </c>
      <c r="AB2" s="160" t="str">
        <f>配装计算器!N15</f>
        <v>层云</v>
      </c>
      <c r="AC2" s="160" t="str">
        <f>配装计算器!N16</f>
        <v>岱宗</v>
      </c>
      <c r="AD2" s="160" t="e">
        <f>配装计算器!#REF!</f>
        <v>#REF!</v>
      </c>
      <c r="AE2" s="160" t="str">
        <f>配装计算器!N17</f>
        <v>造化</v>
      </c>
      <c r="AF2" s="160" t="str">
        <f>配装计算器!N18</f>
        <v>雾锁</v>
      </c>
      <c r="AG2" s="160" t="str">
        <f>配装计算器!N19</f>
        <v>山倾</v>
      </c>
      <c r="AH2" s="160" t="str">
        <f>配装计算器!N20</f>
        <v>如风</v>
      </c>
      <c r="AI2" s="160" t="str">
        <f>配装计算器!N21</f>
        <v>碧归</v>
      </c>
      <c r="AJ2" s="160" t="e">
        <f>配装计算器!#REF!</f>
        <v>#REF!</v>
      </c>
      <c r="AK2" s="160" t="e">
        <f>配装计算器!#REF!</f>
        <v>#REF!</v>
      </c>
    </row>
    <row r="3" spans="2:37">
      <c r="B3" s="161" t="s">
        <v>2718</v>
      </c>
      <c r="C3" s="161">
        <v>145.5</v>
      </c>
      <c r="D3" s="190">
        <f>144*1.1*1.15*1.1*1.15*1.1*1.5*1.2*1.15*1.5*1.05</f>
        <v>826.39395531</v>
      </c>
      <c r="E3" s="161">
        <v>1024</v>
      </c>
      <c r="F3" s="161"/>
      <c r="G3" s="161">
        <f>INT(D3)/160</f>
        <v>5.1625</v>
      </c>
      <c r="H3" s="161">
        <f>E3/1024</f>
        <v>1</v>
      </c>
      <c r="I3" s="191">
        <f t="shared" ref="I3:I18" si="0">INT((1024*1024)*COUNTIF(B3,"*破招*")+F3)/(1024*1024)</f>
        <v>0</v>
      </c>
      <c r="J3" s="161" t="s">
        <v>2719</v>
      </c>
      <c r="L3" s="160" t="s">
        <v>2720</v>
      </c>
      <c r="M3" s="160">
        <f>INT(N3)</f>
        <v>1</v>
      </c>
      <c r="N3" s="160" t="b">
        <v>1</v>
      </c>
      <c r="O3" s="160" t="s">
        <v>2721</v>
      </c>
      <c r="R3" s="160">
        <v>41</v>
      </c>
      <c r="T3" s="160" t="s">
        <v>2722</v>
      </c>
      <c r="U3" s="160">
        <f>SUMPRODUCT(听雷秘籍,P12:P16)+撼岳*P45+$M$63*P63+$M$65*P65</f>
        <v>0</v>
      </c>
      <c r="V3" s="160">
        <f>SUMPRODUCT(听雷秘籍,Q12:Q16)+撼岳*Q45+$M$63*Q63+$M$65*Q65</f>
        <v>0</v>
      </c>
      <c r="W3" s="160">
        <f>SUMPRODUCT(听雷秘籍,R12:R16)+撼岳*R45+$M$63*R63+$M$65*R65</f>
        <v>174</v>
      </c>
      <c r="X3" s="160"/>
      <c r="Z3" s="160">
        <v>2</v>
      </c>
      <c r="AA3" s="160">
        <v>2</v>
      </c>
      <c r="AB3" s="160">
        <v>1</v>
      </c>
      <c r="AC3" s="160">
        <v>1</v>
      </c>
      <c r="AD3" s="160">
        <v>1</v>
      </c>
      <c r="AE3" s="160">
        <v>1</v>
      </c>
      <c r="AF3" s="160">
        <v>1</v>
      </c>
      <c r="AG3" s="160">
        <v>1</v>
      </c>
      <c r="AH3" s="160">
        <v>2</v>
      </c>
      <c r="AI3" s="160">
        <v>1</v>
      </c>
      <c r="AJ3" s="160">
        <v>1</v>
      </c>
      <c r="AK3" s="160">
        <v>1</v>
      </c>
    </row>
    <row r="4" spans="2:37">
      <c r="B4" s="161" t="s">
        <v>2723</v>
      </c>
      <c r="C4" s="161">
        <v>143</v>
      </c>
      <c r="D4" s="190">
        <f>160*1.1*1.1*1.1*1.1*1.1*1.1*1.3*1.1</f>
        <v>405.3331568</v>
      </c>
      <c r="E4" s="161">
        <v>2048</v>
      </c>
      <c r="F4" s="161"/>
      <c r="G4" s="161">
        <f>INT(D4)/160</f>
        <v>2.53125</v>
      </c>
      <c r="H4" s="161">
        <f t="shared" ref="H4:H67" si="1">E4/1024</f>
        <v>2</v>
      </c>
      <c r="I4" s="191">
        <f t="shared" si="0"/>
        <v>0</v>
      </c>
      <c r="J4" s="161" t="s">
        <v>2724</v>
      </c>
      <c r="L4" s="160" t="s">
        <v>2725</v>
      </c>
      <c r="M4" s="160">
        <f t="shared" ref="M4:M39" si="2">INT(N4)</f>
        <v>1</v>
      </c>
      <c r="N4" s="160" t="b">
        <v>1</v>
      </c>
      <c r="O4" s="160" t="s">
        <v>2721</v>
      </c>
      <c r="R4" s="160">
        <v>31</v>
      </c>
      <c r="T4" s="160" t="s">
        <v>2726</v>
      </c>
      <c r="U4" s="160">
        <f>SUMPRODUCT(黄龙秘籍,P27:P32)</f>
        <v>0.04</v>
      </c>
      <c r="V4" s="160">
        <f>SUMPRODUCT(黄龙秘籍,Q27:Q32)</f>
        <v>0</v>
      </c>
      <c r="W4" s="160">
        <f>SUMPRODUCT(黄龙秘籍,R27:R32)</f>
        <v>123</v>
      </c>
      <c r="X4" s="160"/>
      <c r="Z4" s="160" t="s">
        <v>2727</v>
      </c>
      <c r="AA4" s="160" t="s">
        <v>2728</v>
      </c>
      <c r="AB4" s="160" t="s">
        <v>2729</v>
      </c>
      <c r="AC4" s="160" t="s">
        <v>2730</v>
      </c>
      <c r="AD4" s="160" t="s">
        <v>2731</v>
      </c>
      <c r="AE4" s="160" t="s">
        <v>2732</v>
      </c>
      <c r="AF4" s="160" t="s">
        <v>2733</v>
      </c>
      <c r="AG4" s="160" t="s">
        <v>2734</v>
      </c>
      <c r="AH4" s="160" t="s">
        <v>2735</v>
      </c>
      <c r="AI4" s="160" t="s">
        <v>2736</v>
      </c>
      <c r="AJ4" s="160" t="s">
        <v>2737</v>
      </c>
      <c r="AK4" s="160" t="s">
        <v>2738</v>
      </c>
    </row>
    <row r="5" spans="2:37">
      <c r="B5" s="161" t="s">
        <v>2726</v>
      </c>
      <c r="C5" s="161">
        <v>122</v>
      </c>
      <c r="D5" s="161">
        <v>112</v>
      </c>
      <c r="E5" s="161">
        <v>1024</v>
      </c>
      <c r="F5" s="161"/>
      <c r="G5" s="161">
        <f>INT(D5)/160</f>
        <v>0.7</v>
      </c>
      <c r="H5" s="161">
        <f t="shared" si="1"/>
        <v>1</v>
      </c>
      <c r="I5" s="191">
        <f t="shared" si="0"/>
        <v>0</v>
      </c>
      <c r="J5" s="161" t="s">
        <v>2739</v>
      </c>
      <c r="L5" s="160" t="s">
        <v>2740</v>
      </c>
      <c r="M5" s="160">
        <f t="shared" si="2"/>
        <v>0</v>
      </c>
      <c r="N5" s="160" t="b">
        <v>0</v>
      </c>
      <c r="O5" s="160" t="s">
        <v>2721</v>
      </c>
      <c r="R5" s="160">
        <v>21</v>
      </c>
      <c r="T5" s="160" t="s">
        <v>2741</v>
      </c>
      <c r="U5" s="160">
        <f>SUMPRODUCT(平湖秘籍,P22:P26)</f>
        <v>0</v>
      </c>
      <c r="V5" s="160">
        <f>SUMPRODUCT(平湖秘籍,Q22:Q26)</f>
        <v>0</v>
      </c>
      <c r="W5" s="160">
        <f>SUMPRODUCT(平湖秘籍,R22:R26)</f>
        <v>92</v>
      </c>
      <c r="X5" s="160"/>
      <c r="Z5" s="160" t="s">
        <v>2742</v>
      </c>
      <c r="AA5" s="160" t="s">
        <v>2743</v>
      </c>
      <c r="AB5" s="160" t="s">
        <v>2744</v>
      </c>
      <c r="AC5" s="160" t="s">
        <v>2745</v>
      </c>
      <c r="AD5" s="160" t="s">
        <v>2746</v>
      </c>
      <c r="AE5" s="160" t="s">
        <v>2747</v>
      </c>
      <c r="AF5" s="160" t="s">
        <v>2748</v>
      </c>
      <c r="AG5" s="160" t="s">
        <v>2749</v>
      </c>
      <c r="AH5" s="160" t="s">
        <v>2750</v>
      </c>
      <c r="AI5" s="160" t="s">
        <v>2751</v>
      </c>
      <c r="AJ5" s="160" t="s">
        <v>2752</v>
      </c>
      <c r="AK5" s="160" t="s">
        <v>2753</v>
      </c>
    </row>
    <row r="6" spans="2:37">
      <c r="B6" s="161" t="s">
        <v>2754</v>
      </c>
      <c r="C6" s="161">
        <v>0</v>
      </c>
      <c r="D6" s="161"/>
      <c r="E6" s="161">
        <v>1024</v>
      </c>
      <c r="F6" s="161"/>
      <c r="G6" s="161">
        <f ca="1">加速!J9</f>
        <v>0.10625</v>
      </c>
      <c r="H6" s="161">
        <f t="shared" si="1"/>
        <v>1</v>
      </c>
      <c r="I6" s="191">
        <f t="shared" si="0"/>
        <v>0</v>
      </c>
      <c r="J6" s="228" t="s">
        <v>2755</v>
      </c>
      <c r="L6" s="160" t="s">
        <v>2756</v>
      </c>
      <c r="M6" s="160">
        <f t="shared" si="2"/>
        <v>0</v>
      </c>
      <c r="N6" s="160" t="b">
        <v>0</v>
      </c>
      <c r="O6" s="160" t="s">
        <v>2721</v>
      </c>
      <c r="P6" s="192">
        <v>0.03</v>
      </c>
      <c r="T6" s="160" t="s">
        <v>2754</v>
      </c>
      <c r="U6" s="160">
        <v>0</v>
      </c>
      <c r="V6" s="160">
        <v>0</v>
      </c>
      <c r="W6" s="160">
        <v>204</v>
      </c>
      <c r="X6" s="160"/>
      <c r="Z6" s="160" t="s">
        <v>2757</v>
      </c>
      <c r="AA6" s="160" t="s">
        <v>2758</v>
      </c>
      <c r="AB6" s="193" t="s">
        <v>2759</v>
      </c>
      <c r="AC6" s="193" t="s">
        <v>2760</v>
      </c>
      <c r="AD6" s="193" t="s">
        <v>2761</v>
      </c>
      <c r="AE6" s="160"/>
      <c r="AF6" s="160"/>
      <c r="AG6" s="193" t="s">
        <v>2762</v>
      </c>
      <c r="AH6" s="160" t="s">
        <v>2763</v>
      </c>
      <c r="AI6" s="160"/>
      <c r="AJ6" s="160"/>
      <c r="AK6" s="193" t="s">
        <v>2764</v>
      </c>
    </row>
    <row r="7" spans="2:37">
      <c r="B7" s="161" t="s">
        <v>2765</v>
      </c>
      <c r="C7" s="161">
        <v>83</v>
      </c>
      <c r="D7" s="161">
        <f>48*1.1</f>
        <v>52.8</v>
      </c>
      <c r="E7" s="161">
        <v>0</v>
      </c>
      <c r="F7" s="161"/>
      <c r="G7" s="161">
        <f t="shared" ref="G7:G14" si="3">INT(D7)/160</f>
        <v>0.325</v>
      </c>
      <c r="H7" s="161">
        <f t="shared" si="1"/>
        <v>0</v>
      </c>
      <c r="I7" s="191">
        <f t="shared" si="0"/>
        <v>0</v>
      </c>
      <c r="J7" s="161" t="s">
        <v>2766</v>
      </c>
      <c r="L7" s="160" t="s">
        <v>2767</v>
      </c>
      <c r="M7" s="160">
        <v>1</v>
      </c>
      <c r="N7" s="160" t="b">
        <v>1</v>
      </c>
      <c r="O7" s="160" t="s">
        <v>2721</v>
      </c>
      <c r="T7" s="160" t="s">
        <v>2768</v>
      </c>
      <c r="U7" s="160">
        <f>SUMPRODUCT(夕照秘籍,P9:P11)+淘尽*P57+$M$64*P64+$M$66*P66</f>
        <v>0</v>
      </c>
      <c r="V7" s="160">
        <f>SUMPRODUCT(夕照秘籍,Q9:Q11)+淘尽*Q57+$M$64*Q64+$M$66*Q66</f>
        <v>0</v>
      </c>
      <c r="W7" s="160">
        <f>SUMPRODUCT(夕照秘籍,R9:R11)+淘尽*R57+$M$64*R64+$M$66*R66+$M$74*R74</f>
        <v>123</v>
      </c>
      <c r="X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</row>
    <row r="8" spans="2:37">
      <c r="B8" s="161" t="s">
        <v>2769</v>
      </c>
      <c r="C8" s="161">
        <v>66</v>
      </c>
      <c r="D8" s="161">
        <f>48*1.1*2*1.3*0.34*1.15*1.1*1.25</f>
        <v>73.80516</v>
      </c>
      <c r="E8" s="161">
        <v>0</v>
      </c>
      <c r="F8" s="161"/>
      <c r="G8" s="161">
        <f t="shared" si="3"/>
        <v>0.45625</v>
      </c>
      <c r="H8" s="161">
        <f t="shared" si="1"/>
        <v>0</v>
      </c>
      <c r="I8" s="191">
        <f t="shared" si="0"/>
        <v>0</v>
      </c>
      <c r="J8" s="161" t="s">
        <v>2770</v>
      </c>
      <c r="L8" s="160" t="s">
        <v>2771</v>
      </c>
      <c r="M8" s="160">
        <v>1</v>
      </c>
      <c r="N8" s="160" t="b">
        <v>1</v>
      </c>
      <c r="O8" s="160" t="s">
        <v>2721</v>
      </c>
      <c r="T8" s="160" t="s">
        <v>2772</v>
      </c>
      <c r="U8" s="160">
        <v>0</v>
      </c>
      <c r="V8" s="160">
        <v>0</v>
      </c>
      <c r="W8" s="160">
        <v>0</v>
      </c>
      <c r="X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</row>
    <row r="9" spans="2:37">
      <c r="B9" s="161" t="s">
        <v>2773</v>
      </c>
      <c r="C9" s="161">
        <v>138.5</v>
      </c>
      <c r="D9" s="161">
        <f>64*0.85*2.2*1.1*1.1*1.15*1.15*1.3*1.3</f>
        <v>323.66022832</v>
      </c>
      <c r="E9" s="161">
        <v>0</v>
      </c>
      <c r="F9" s="161"/>
      <c r="G9" s="161">
        <f t="shared" si="3"/>
        <v>2.01875</v>
      </c>
      <c r="H9" s="161">
        <f t="shared" si="1"/>
        <v>0</v>
      </c>
      <c r="I9" s="191">
        <f t="shared" si="0"/>
        <v>0</v>
      </c>
      <c r="J9" s="161" t="s">
        <v>2774</v>
      </c>
      <c r="L9" s="160" t="s">
        <v>2775</v>
      </c>
      <c r="M9" s="160">
        <f t="shared" si="2"/>
        <v>1</v>
      </c>
      <c r="N9" s="160" t="b">
        <v>1</v>
      </c>
      <c r="O9" s="160" t="s">
        <v>2721</v>
      </c>
      <c r="R9" s="160">
        <v>41</v>
      </c>
      <c r="T9" s="160" t="s">
        <v>2776</v>
      </c>
      <c r="U9" s="160">
        <f>SUMPRODUCT(云飞秘籍,P3:P8)+绝顶*P48+清风*P50</f>
        <v>0</v>
      </c>
      <c r="V9" s="160">
        <f>SUMPRODUCT(云飞秘籍,Q3:Q8)+绝顶*Q48+清风*Q50</f>
        <v>0</v>
      </c>
      <c r="W9" s="160">
        <f>SUMPRODUCT(云飞秘籍,R3:R8)+绝顶*R48+清风*R50+套装效果技能*R67</f>
        <v>72</v>
      </c>
      <c r="X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</row>
    <row r="10" spans="2:37">
      <c r="B10" s="161" t="s">
        <v>2777</v>
      </c>
      <c r="C10" s="161">
        <v>0</v>
      </c>
      <c r="D10" s="161">
        <v>0</v>
      </c>
      <c r="E10" s="161">
        <v>0</v>
      </c>
      <c r="F10" s="161">
        <f>1048576*(0.8-1)</f>
        <v>-209715.2</v>
      </c>
      <c r="G10" s="161">
        <f t="shared" si="3"/>
        <v>0</v>
      </c>
      <c r="H10" s="161">
        <f t="shared" si="1"/>
        <v>0</v>
      </c>
      <c r="I10" s="194">
        <f t="shared" si="0"/>
        <v>0.799999237060547</v>
      </c>
      <c r="J10" s="161" t="s">
        <v>2778</v>
      </c>
      <c r="L10" s="160" t="s">
        <v>2779</v>
      </c>
      <c r="M10" s="160">
        <f t="shared" si="2"/>
        <v>1</v>
      </c>
      <c r="N10" s="160" t="b">
        <v>1</v>
      </c>
      <c r="O10" s="160" t="s">
        <v>2721</v>
      </c>
      <c r="R10" s="160">
        <v>31</v>
      </c>
      <c r="T10" s="160" t="s">
        <v>2780</v>
      </c>
      <c r="U10" s="160">
        <f>U9</f>
        <v>0</v>
      </c>
      <c r="V10" s="160">
        <f>V9</f>
        <v>0</v>
      </c>
      <c r="W10" s="160">
        <f>W9</f>
        <v>72</v>
      </c>
      <c r="X10" s="160"/>
    </row>
    <row r="11" spans="2:37">
      <c r="B11" s="161" t="s">
        <v>2768</v>
      </c>
      <c r="C11" s="161">
        <v>210</v>
      </c>
      <c r="D11" s="190">
        <f>180*1.1*1.15*1.1*1.1*1.15*1.1*1.1*1.1*1.4*1.15*1.3*1.05</f>
        <v>926.793169084283</v>
      </c>
      <c r="E11" s="161">
        <v>2048</v>
      </c>
      <c r="F11" s="161"/>
      <c r="G11" s="161">
        <f t="shared" si="3"/>
        <v>5.7875</v>
      </c>
      <c r="H11" s="161">
        <f t="shared" si="1"/>
        <v>2</v>
      </c>
      <c r="I11" s="191">
        <f t="shared" si="0"/>
        <v>0</v>
      </c>
      <c r="J11" s="161" t="s">
        <v>2781</v>
      </c>
      <c r="L11" s="160" t="s">
        <v>2782</v>
      </c>
      <c r="M11" s="160">
        <f t="shared" si="2"/>
        <v>0</v>
      </c>
      <c r="N11" s="160" t="b">
        <v>0</v>
      </c>
      <c r="O11" s="160" t="s">
        <v>2721</v>
      </c>
      <c r="P11" s="192">
        <v>0.03</v>
      </c>
      <c r="T11" s="160" t="s">
        <v>2783</v>
      </c>
      <c r="U11" s="160">
        <v>0</v>
      </c>
      <c r="V11" s="160">
        <v>0</v>
      </c>
      <c r="W11" s="160">
        <v>0</v>
      </c>
      <c r="X11" s="160"/>
    </row>
    <row r="12" spans="2:37">
      <c r="B12" s="161" t="s">
        <v>2776</v>
      </c>
      <c r="C12" s="161">
        <f>INT(770*0.35)+INT(72*0.35)/2</f>
        <v>281.5</v>
      </c>
      <c r="D12" s="190">
        <f>200*1.1*1.15*1.1*1.1*1.1*0.9*1.1*1.1*1.1*1.25*1.1*1.05*1.3*1.05*1.1*1.1*1.12*1.05</f>
        <v>1131.19240940572</v>
      </c>
      <c r="E12" s="161">
        <v>2048</v>
      </c>
      <c r="F12" s="161"/>
      <c r="G12" s="161">
        <f t="shared" si="3"/>
        <v>7.06875</v>
      </c>
      <c r="H12" s="161">
        <f t="shared" si="1"/>
        <v>2</v>
      </c>
      <c r="I12" s="191">
        <f t="shared" si="0"/>
        <v>0</v>
      </c>
      <c r="J12" s="161" t="s">
        <v>2784</v>
      </c>
      <c r="L12" s="160" t="s">
        <v>2785</v>
      </c>
      <c r="M12" s="160">
        <f t="shared" si="2"/>
        <v>1</v>
      </c>
      <c r="N12" s="160" t="b">
        <v>1</v>
      </c>
      <c r="O12" s="160" t="s">
        <v>2721</v>
      </c>
      <c r="R12" s="160">
        <v>51</v>
      </c>
      <c r="T12" s="160" t="s">
        <v>2786</v>
      </c>
      <c r="U12" s="160">
        <v>0</v>
      </c>
      <c r="V12" s="160">
        <v>0</v>
      </c>
      <c r="W12" s="160">
        <v>0</v>
      </c>
      <c r="X12" s="160"/>
      <c r="Z12" t="e">
        <f>配装计算器!N15&amp;配装计算器!#REF!&amp;配装计算器!N19&amp;LEFT(配装计算器!#REF!,2)</f>
        <v>#REF!</v>
      </c>
    </row>
    <row r="13" spans="2:37">
      <c r="B13" s="161" t="s">
        <v>2780</v>
      </c>
      <c r="C13" s="161">
        <f>INT(688*0.35)+INT(72*0.35)/2</f>
        <v>252.5</v>
      </c>
      <c r="D13" s="190">
        <f>40*1.1*1.15*1.1*1.1*1.1*0.9*1.1*1.1*1.1*1.25*1.1*1.05*1.3*1.05*1.1*1.5*1.1*1.12*1.05</f>
        <v>339.357722821717</v>
      </c>
      <c r="E13" s="161">
        <v>2048</v>
      </c>
      <c r="F13" s="161"/>
      <c r="G13" s="161">
        <f t="shared" si="3"/>
        <v>2.11875</v>
      </c>
      <c r="H13" s="161">
        <f t="shared" si="1"/>
        <v>2</v>
      </c>
      <c r="I13" s="191">
        <f t="shared" si="0"/>
        <v>0</v>
      </c>
      <c r="J13" s="161" t="s">
        <v>2787</v>
      </c>
      <c r="L13" s="160" t="s">
        <v>2788</v>
      </c>
      <c r="M13" s="160">
        <f t="shared" si="2"/>
        <v>1</v>
      </c>
      <c r="N13" s="160" t="b">
        <v>1</v>
      </c>
      <c r="O13" s="160" t="s">
        <v>2721</v>
      </c>
      <c r="R13" s="160">
        <v>41</v>
      </c>
      <c r="T13" s="160" t="s">
        <v>2723</v>
      </c>
      <c r="U13" s="160">
        <v>0</v>
      </c>
      <c r="V13" s="160">
        <v>0</v>
      </c>
      <c r="W13" s="160">
        <v>0</v>
      </c>
      <c r="X13" s="160"/>
    </row>
    <row r="14" spans="2:37">
      <c r="B14" s="161" t="s">
        <v>2789</v>
      </c>
      <c r="C14" s="161">
        <f>INT(252/2)+INT(20/2)/2</f>
        <v>131</v>
      </c>
      <c r="D14" s="190">
        <f>160*0.7*1.3*1.2*1.1*1.1*1.3*1.05*1.2*1.2*1.1*1.2</f>
        <v>548.5258082304</v>
      </c>
      <c r="E14" s="161">
        <v>0</v>
      </c>
      <c r="F14" s="161"/>
      <c r="G14" s="161">
        <f t="shared" si="3"/>
        <v>3.425</v>
      </c>
      <c r="H14" s="161">
        <f t="shared" si="1"/>
        <v>0</v>
      </c>
      <c r="I14" s="191">
        <f t="shared" si="0"/>
        <v>0</v>
      </c>
      <c r="J14" s="161" t="s">
        <v>2790</v>
      </c>
      <c r="L14" s="160" t="s">
        <v>2791</v>
      </c>
      <c r="M14" s="160">
        <f t="shared" si="2"/>
        <v>1</v>
      </c>
      <c r="N14" s="160" t="b">
        <v>1</v>
      </c>
      <c r="O14" s="160" t="s">
        <v>2721</v>
      </c>
      <c r="R14" s="160">
        <v>31</v>
      </c>
      <c r="T14" s="160" t="s">
        <v>2789</v>
      </c>
      <c r="U14" s="160">
        <f>SUMPRODUCT(风来秘籍,P17:P21)+层云*P42</f>
        <v>0.03</v>
      </c>
      <c r="V14" s="160">
        <f>SUMPRODUCT(风来秘籍,Q17:Q21)+层云*Q42</f>
        <v>0</v>
      </c>
      <c r="W14" s="160">
        <f>SUMPRODUCT(风来秘籍,R17:R21)+层云*R42</f>
        <v>507.9375</v>
      </c>
      <c r="X14" s="160"/>
    </row>
    <row r="15" spans="2:37">
      <c r="B15" s="161" t="s">
        <v>2792</v>
      </c>
      <c r="C15" s="161">
        <v>0</v>
      </c>
      <c r="D15" s="161"/>
      <c r="E15" s="161">
        <v>1024</v>
      </c>
      <c r="F15" s="161"/>
      <c r="G15" s="161">
        <f ca="1">加速!J11</f>
        <v>0.16875</v>
      </c>
      <c r="H15" s="161">
        <f t="shared" si="1"/>
        <v>1</v>
      </c>
      <c r="I15" s="191">
        <f t="shared" si="0"/>
        <v>0</v>
      </c>
      <c r="J15" s="228" t="s">
        <v>2755</v>
      </c>
      <c r="L15" s="160" t="s">
        <v>2793</v>
      </c>
      <c r="M15" s="160">
        <f t="shared" si="2"/>
        <v>0</v>
      </c>
      <c r="N15" s="160" t="b">
        <v>0</v>
      </c>
      <c r="O15" s="160" t="s">
        <v>2721</v>
      </c>
      <c r="P15" s="192">
        <v>0.03</v>
      </c>
      <c r="T15" s="160" t="s">
        <v>2794</v>
      </c>
      <c r="U15" s="160">
        <f>SUMPRODUCT(鹤归秘籍,P33:P39)+烧石*P56</f>
        <v>0</v>
      </c>
      <c r="V15" s="160">
        <f>SUMPRODUCT(鹤归秘籍,Q33:Q39)+烧石*Q56</f>
        <v>0</v>
      </c>
      <c r="W15" s="160">
        <f>SUMPRODUCT(鹤归秘籍,R33:R39)+烧石*R56</f>
        <v>123</v>
      </c>
      <c r="X15" s="160"/>
      <c r="AD15" s="167"/>
      <c r="AE15" s="167"/>
      <c r="AF15" s="167"/>
      <c r="AG15" s="167"/>
    </row>
    <row r="16" spans="2:37">
      <c r="B16" s="161" t="s">
        <v>2795</v>
      </c>
      <c r="C16" s="161">
        <v>340</v>
      </c>
      <c r="D16" s="161">
        <f>(264+32)*(1+0.05*9)*1.1*1.1*1.1*1.1*0.8*1.1*1.1*1.2*1.1*1.2</f>
        <v>963.520564976641</v>
      </c>
      <c r="E16" s="161">
        <v>2048</v>
      </c>
      <c r="F16" s="161"/>
      <c r="G16" s="161">
        <f t="shared" ref="G16:G47" si="4">INT(D16)/160</f>
        <v>6.01875</v>
      </c>
      <c r="H16" s="161">
        <f t="shared" si="1"/>
        <v>2</v>
      </c>
      <c r="I16" s="191">
        <f t="shared" si="0"/>
        <v>0</v>
      </c>
      <c r="J16" s="161" t="s">
        <v>2796</v>
      </c>
      <c r="L16" s="160" t="s">
        <v>2797</v>
      </c>
      <c r="M16" s="160">
        <f t="shared" si="2"/>
        <v>0</v>
      </c>
      <c r="N16" s="160" t="b">
        <v>0</v>
      </c>
      <c r="O16" s="160" t="s">
        <v>2721</v>
      </c>
      <c r="P16" s="192">
        <v>0.02</v>
      </c>
      <c r="T16" s="160" t="s">
        <v>2798</v>
      </c>
      <c r="U16" s="160">
        <v>0</v>
      </c>
      <c r="V16" s="160">
        <v>0</v>
      </c>
      <c r="W16" s="160">
        <v>0</v>
      </c>
      <c r="X16" s="160"/>
      <c r="Z16" s="161" t="s">
        <v>2799</v>
      </c>
      <c r="AA16" s="161">
        <v>33338</v>
      </c>
      <c r="AB16" s="161">
        <v>131</v>
      </c>
      <c r="AD16" s="167"/>
      <c r="AE16" s="167"/>
      <c r="AF16" s="167"/>
      <c r="AG16" s="167"/>
    </row>
    <row r="17" spans="2:36">
      <c r="B17" s="161" t="s">
        <v>2772</v>
      </c>
      <c r="C17" s="161">
        <v>0</v>
      </c>
      <c r="D17" s="161">
        <v>0</v>
      </c>
      <c r="E17" s="161">
        <v>0</v>
      </c>
      <c r="F17" s="161">
        <f>1048576*(0.1*1.6*1.3-1)</f>
        <v>-830472.192</v>
      </c>
      <c r="G17" s="161">
        <f t="shared" si="4"/>
        <v>0</v>
      </c>
      <c r="H17" s="161">
        <f t="shared" si="1"/>
        <v>0</v>
      </c>
      <c r="I17" s="195">
        <f t="shared" si="0"/>
        <v>0.207999229431152</v>
      </c>
      <c r="J17" s="161" t="s">
        <v>2778</v>
      </c>
      <c r="L17" s="160" t="s">
        <v>2800</v>
      </c>
      <c r="M17" s="160">
        <f t="shared" si="2"/>
        <v>1</v>
      </c>
      <c r="N17" s="160" t="b">
        <v>1</v>
      </c>
      <c r="O17" s="160" t="s">
        <v>2721</v>
      </c>
      <c r="R17" s="160">
        <v>41</v>
      </c>
      <c r="T17" s="160" t="s">
        <v>2801</v>
      </c>
      <c r="U17" s="160">
        <v>0</v>
      </c>
      <c r="V17" s="160">
        <v>0</v>
      </c>
      <c r="W17" s="160">
        <v>0</v>
      </c>
      <c r="X17" s="160"/>
      <c r="Z17" s="161" t="s">
        <v>2802</v>
      </c>
      <c r="AA17" s="161">
        <v>46901</v>
      </c>
      <c r="AB17" s="161">
        <v>132</v>
      </c>
      <c r="AD17" s="167"/>
      <c r="AE17" s="167"/>
      <c r="AF17" s="167"/>
      <c r="AG17" s="167"/>
    </row>
    <row r="18" spans="2:36">
      <c r="B18" s="161" t="s">
        <v>2783</v>
      </c>
      <c r="C18" s="161">
        <v>0</v>
      </c>
      <c r="D18" s="161">
        <v>0</v>
      </c>
      <c r="E18" s="161">
        <v>0</v>
      </c>
      <c r="F18" s="161">
        <f>CHOOSE(夜雨+1,1048576*(0.616*1.6*1.3-1),1048576*(0.7392*1.6*1.3-1))</f>
        <v>294943.45728</v>
      </c>
      <c r="G18" s="161">
        <f t="shared" si="4"/>
        <v>0</v>
      </c>
      <c r="H18" s="161">
        <f t="shared" si="1"/>
        <v>0</v>
      </c>
      <c r="I18" s="195">
        <f t="shared" si="0"/>
        <v>1.28127956390381</v>
      </c>
      <c r="J18" s="161" t="s">
        <v>2778</v>
      </c>
      <c r="L18" s="160" t="s">
        <v>2803</v>
      </c>
      <c r="M18" s="160">
        <f t="shared" si="2"/>
        <v>1</v>
      </c>
      <c r="N18" s="160" t="b">
        <v>1</v>
      </c>
      <c r="O18" s="160" t="s">
        <v>2721</v>
      </c>
      <c r="R18" s="160">
        <v>31</v>
      </c>
      <c r="T18" s="160" t="s">
        <v>2792</v>
      </c>
      <c r="U18" s="160">
        <v>0</v>
      </c>
      <c r="V18" s="160">
        <v>0</v>
      </c>
      <c r="W18" s="160">
        <v>205</v>
      </c>
      <c r="X18" s="160"/>
      <c r="Z18" s="161" t="s">
        <v>2804</v>
      </c>
      <c r="AA18" s="161">
        <v>79721</v>
      </c>
      <c r="AB18" s="161">
        <v>133</v>
      </c>
      <c r="AD18" s="167"/>
      <c r="AE18" s="167"/>
      <c r="AF18" s="167"/>
      <c r="AG18" s="167"/>
    </row>
    <row r="19" spans="2:36">
      <c r="B19" s="161" t="s">
        <v>2805</v>
      </c>
      <c r="C19" s="161">
        <v>34</v>
      </c>
      <c r="D19" s="161">
        <f>80*1.2*1.1*1.2*1.1*1.2</f>
        <v>167.2704</v>
      </c>
      <c r="E19" s="161">
        <v>0</v>
      </c>
      <c r="F19" s="161"/>
      <c r="G19" s="161">
        <f t="shared" si="4"/>
        <v>1.04375</v>
      </c>
      <c r="H19" s="161">
        <f t="shared" si="1"/>
        <v>0</v>
      </c>
      <c r="I19" s="191">
        <f t="shared" ref="I19:I72" si="5">INT((1024*1024)*COUNTIF(B19,"*破招*")+F19)/(1024*1024)</f>
        <v>0</v>
      </c>
      <c r="J19" s="161" t="s">
        <v>2806</v>
      </c>
      <c r="L19" s="160" t="s">
        <v>2807</v>
      </c>
      <c r="M19" s="160">
        <f t="shared" si="2"/>
        <v>1</v>
      </c>
      <c r="N19" s="160" t="b">
        <v>1</v>
      </c>
      <c r="O19" s="160" t="s">
        <v>2721</v>
      </c>
      <c r="R19" s="160">
        <v>20</v>
      </c>
      <c r="T19" s="160" t="s">
        <v>2808</v>
      </c>
      <c r="U19" s="160">
        <f>U9</f>
        <v>0</v>
      </c>
      <c r="V19" s="160">
        <f>V9</f>
        <v>0</v>
      </c>
      <c r="W19" s="160">
        <f>W9</f>
        <v>72</v>
      </c>
      <c r="X19" s="160"/>
      <c r="Z19" s="161" t="s">
        <v>2809</v>
      </c>
      <c r="AA19" s="161">
        <v>83679</v>
      </c>
      <c r="AB19" s="161">
        <v>134</v>
      </c>
      <c r="AD19" s="167"/>
      <c r="AE19" s="167"/>
      <c r="AF19" s="167"/>
      <c r="AG19" s="167"/>
    </row>
    <row r="20" spans="2:36">
      <c r="B20" s="161" t="s">
        <v>2810</v>
      </c>
      <c r="C20" s="161">
        <f>SUMPRODUCT(附魔库!H66:H70,附魔库!O76:O80)*内置配装器+IFERROR(INDEX(附魔库!$O$76:$O$80,MATCH(配装计算器!AC24,附魔库!$K$76:$K$80,0),1),0)*自输入属性</f>
        <v>2415000</v>
      </c>
      <c r="D20" s="161">
        <v>0</v>
      </c>
      <c r="E20" s="161">
        <v>0</v>
      </c>
      <c r="F20" s="161"/>
      <c r="G20" s="161">
        <f t="shared" si="4"/>
        <v>0</v>
      </c>
      <c r="H20" s="161">
        <f t="shared" si="1"/>
        <v>0</v>
      </c>
      <c r="I20" s="191">
        <f t="shared" si="5"/>
        <v>0</v>
      </c>
      <c r="J20" s="161" t="s">
        <v>2811</v>
      </c>
      <c r="L20" s="160" t="s">
        <v>2812</v>
      </c>
      <c r="M20" s="160">
        <f t="shared" si="2"/>
        <v>1</v>
      </c>
      <c r="N20" s="160" t="b">
        <v>1</v>
      </c>
      <c r="O20" s="160" t="s">
        <v>2721</v>
      </c>
      <c r="P20" s="192">
        <v>0.03</v>
      </c>
      <c r="T20" s="160" t="s">
        <v>2813</v>
      </c>
      <c r="U20" s="160">
        <f>SUMPRODUCT(听雷秘籍,P12:P16)+撼岳*P45+$M$66*P66</f>
        <v>0</v>
      </c>
      <c r="V20" s="160">
        <f>SUMPRODUCT(听雷秘籍,Q12:Q16)+撼岳*Q45+$M$66*Q66</f>
        <v>0</v>
      </c>
      <c r="W20" s="160">
        <f>SUMPRODUCT(听雷秘籍,R12:R16)+撼岳*R45+$M$66*R66</f>
        <v>174</v>
      </c>
      <c r="X20" s="160"/>
      <c r="Z20" s="161" t="s">
        <v>2814</v>
      </c>
      <c r="AA20" s="161">
        <v>33338</v>
      </c>
      <c r="AB20" s="161">
        <v>131</v>
      </c>
      <c r="AD20" s="167"/>
      <c r="AE20" s="167"/>
      <c r="AF20" s="167"/>
      <c r="AG20" s="167"/>
    </row>
    <row r="21" spans="2:36">
      <c r="B21" s="161" t="s">
        <v>2815</v>
      </c>
      <c r="C21" s="161">
        <f>SUMPRODUCT(附魔库!P76:P80,附魔库!I66:I70)*内置配装器+IFERROR(INDEX(附魔库!$P$76:$P$80,MATCH(配装计算器!AC25,附魔库!$K$76:$K$80,0),1),0)*自输入属性</f>
        <v>1610000</v>
      </c>
      <c r="D21" s="161">
        <v>0</v>
      </c>
      <c r="E21" s="161">
        <v>0</v>
      </c>
      <c r="F21" s="161"/>
      <c r="G21" s="161">
        <f t="shared" si="4"/>
        <v>0</v>
      </c>
      <c r="H21" s="161">
        <f t="shared" si="1"/>
        <v>0</v>
      </c>
      <c r="I21" s="191">
        <f t="shared" si="5"/>
        <v>0</v>
      </c>
      <c r="J21" s="161" t="s">
        <v>2816</v>
      </c>
      <c r="L21" s="160" t="s">
        <v>2817</v>
      </c>
      <c r="M21" s="160">
        <f t="shared" si="2"/>
        <v>0</v>
      </c>
      <c r="N21" s="160" t="b">
        <v>0</v>
      </c>
      <c r="O21" s="160" t="s">
        <v>2721</v>
      </c>
      <c r="P21" s="192">
        <v>0.02</v>
      </c>
      <c r="T21" s="160" t="s">
        <v>2773</v>
      </c>
      <c r="U21" s="160"/>
      <c r="V21" s="160"/>
      <c r="W21" s="160">
        <f>31+41+51+M65*R65</f>
        <v>174</v>
      </c>
      <c r="X21" s="160" t="s">
        <v>2818</v>
      </c>
      <c r="Z21" s="161" t="s">
        <v>2819</v>
      </c>
      <c r="AA21" s="161">
        <v>46901</v>
      </c>
      <c r="AB21" s="161">
        <v>132</v>
      </c>
      <c r="AD21" s="167"/>
      <c r="AE21" s="167"/>
      <c r="AF21" s="167"/>
      <c r="AG21" s="167"/>
    </row>
    <row r="22" ht="17" spans="2:36">
      <c r="B22" s="161" t="s">
        <v>2820</v>
      </c>
      <c r="C22" s="161">
        <f>IF(额外属性!D172&gt;0,41070,31590)</f>
        <v>31590</v>
      </c>
      <c r="D22" s="161">
        <v>0</v>
      </c>
      <c r="E22" s="161">
        <v>0</v>
      </c>
      <c r="F22" s="161"/>
      <c r="G22" s="161">
        <f t="shared" si="4"/>
        <v>0</v>
      </c>
      <c r="H22" s="161">
        <f t="shared" si="1"/>
        <v>0</v>
      </c>
      <c r="I22" s="191">
        <f t="shared" si="5"/>
        <v>0</v>
      </c>
      <c r="J22" s="196" t="s">
        <v>2821</v>
      </c>
      <c r="L22" s="160" t="s">
        <v>2822</v>
      </c>
      <c r="M22" s="160">
        <f t="shared" si="2"/>
        <v>1</v>
      </c>
      <c r="N22" s="160" t="b">
        <v>1</v>
      </c>
      <c r="O22" s="160" t="s">
        <v>2721</v>
      </c>
      <c r="R22" s="160">
        <v>51</v>
      </c>
      <c r="T22" s="160"/>
      <c r="U22" s="160"/>
      <c r="V22" s="160"/>
      <c r="W22" s="160"/>
      <c r="X22" s="160"/>
      <c r="Z22" s="161" t="s">
        <v>2823</v>
      </c>
      <c r="AA22" s="161">
        <v>79721</v>
      </c>
      <c r="AB22" s="161">
        <v>133</v>
      </c>
      <c r="AD22" s="167"/>
      <c r="AE22" s="167"/>
      <c r="AF22" s="167"/>
      <c r="AG22" s="167"/>
    </row>
    <row r="23" spans="2:36">
      <c r="B23" s="161" t="s">
        <v>2808</v>
      </c>
      <c r="C23" s="161">
        <f>INT(1458*0.35)+INT(144*0.35)/2</f>
        <v>535</v>
      </c>
      <c r="D23" s="190">
        <f>200*1.1*1.15*1.1*1.1*1.1*0.9*1.1*1.1*1.1*1.25*1.1*1.05*1.3*1.05*1.1*1.1*1.12*1.05</f>
        <v>1131.19240940572</v>
      </c>
      <c r="E23" s="161">
        <v>2048</v>
      </c>
      <c r="F23" s="161"/>
      <c r="G23" s="161">
        <f t="shared" si="4"/>
        <v>7.06875</v>
      </c>
      <c r="H23" s="161">
        <f t="shared" si="1"/>
        <v>2</v>
      </c>
      <c r="I23" s="191">
        <f t="shared" si="5"/>
        <v>0</v>
      </c>
      <c r="J23" s="161" t="s">
        <v>2824</v>
      </c>
      <c r="L23" s="160" t="s">
        <v>2825</v>
      </c>
      <c r="M23" s="160">
        <f t="shared" si="2"/>
        <v>1</v>
      </c>
      <c r="N23" s="160" t="b">
        <v>1</v>
      </c>
      <c r="O23" s="160" t="s">
        <v>2721</v>
      </c>
      <c r="R23" s="160">
        <v>41</v>
      </c>
      <c r="T23" s="160"/>
      <c r="U23" s="160"/>
      <c r="V23" s="160"/>
      <c r="W23" s="160"/>
      <c r="X23" s="160"/>
      <c r="Z23" s="161" t="s">
        <v>2826</v>
      </c>
      <c r="AA23" s="161">
        <v>83679</v>
      </c>
      <c r="AB23" s="161">
        <v>134</v>
      </c>
      <c r="AD23" s="167"/>
      <c r="AE23" s="167"/>
      <c r="AF23" s="167"/>
      <c r="AG23" s="167"/>
    </row>
    <row r="24" spans="2:36">
      <c r="B24" s="161" t="s">
        <v>2827</v>
      </c>
      <c r="C24" s="161">
        <v>1</v>
      </c>
      <c r="D24" s="161">
        <v>60</v>
      </c>
      <c r="E24" s="161">
        <v>0</v>
      </c>
      <c r="F24" s="161"/>
      <c r="G24" s="161">
        <f t="shared" si="4"/>
        <v>0.375</v>
      </c>
      <c r="H24" s="161">
        <f t="shared" si="1"/>
        <v>0</v>
      </c>
      <c r="I24" s="191">
        <f t="shared" si="5"/>
        <v>0</v>
      </c>
      <c r="J24" s="161" t="s">
        <v>2828</v>
      </c>
      <c r="L24" s="160" t="s">
        <v>2829</v>
      </c>
      <c r="M24" s="160">
        <f t="shared" si="2"/>
        <v>0</v>
      </c>
      <c r="N24" s="160" t="b">
        <v>0</v>
      </c>
      <c r="O24" s="160" t="s">
        <v>2721</v>
      </c>
      <c r="R24" s="160">
        <v>31</v>
      </c>
      <c r="T24" s="160"/>
      <c r="U24" s="160"/>
      <c r="V24" s="160"/>
      <c r="W24" s="160"/>
      <c r="X24" s="160"/>
      <c r="AD24" s="167"/>
      <c r="AE24" s="167"/>
      <c r="AF24" s="167"/>
      <c r="AG24" s="167"/>
    </row>
    <row r="25" spans="2:36">
      <c r="B25" s="161" t="s">
        <v>2830</v>
      </c>
      <c r="C25" s="161">
        <v>0</v>
      </c>
      <c r="D25" s="161">
        <f>50*1.6</f>
        <v>80</v>
      </c>
      <c r="E25" s="161">
        <v>0</v>
      </c>
      <c r="F25" s="161"/>
      <c r="G25" s="161">
        <f t="shared" si="4"/>
        <v>0.5</v>
      </c>
      <c r="H25" s="161">
        <f t="shared" si="1"/>
        <v>0</v>
      </c>
      <c r="I25" s="191">
        <f t="shared" si="5"/>
        <v>0</v>
      </c>
      <c r="J25" s="161"/>
      <c r="L25" s="160" t="s">
        <v>2831</v>
      </c>
      <c r="M25" s="160">
        <f t="shared" si="2"/>
        <v>0</v>
      </c>
      <c r="N25" s="160" t="b">
        <v>0</v>
      </c>
      <c r="O25" s="160" t="s">
        <v>2721</v>
      </c>
      <c r="P25" s="192">
        <v>0.03</v>
      </c>
      <c r="T25" s="160"/>
      <c r="U25" s="160"/>
      <c r="V25" s="160"/>
      <c r="W25" s="160"/>
      <c r="X25" s="160"/>
      <c r="AD25" s="167"/>
      <c r="AE25" s="167"/>
      <c r="AF25" s="167"/>
      <c r="AG25" s="167"/>
    </row>
    <row r="26" spans="2:36">
      <c r="B26" s="161" t="s">
        <v>2832</v>
      </c>
      <c r="C26">
        <f>MAX(1300,INT(0.0080170644*(内置配装器*装备选择!$BS$14+自输入属性*配装计算器!$AB$15)-1388.323959)*1.25*1.3*1.15*0.5)*配装计算器!V6*IF(配装计算器!$R$3="计算增益",1,0)</f>
        <v>468495.625</v>
      </c>
      <c r="D26" s="161">
        <v>0</v>
      </c>
      <c r="E26" s="161">
        <v>0</v>
      </c>
      <c r="F26" s="161"/>
      <c r="G26" s="161">
        <f t="shared" si="4"/>
        <v>0</v>
      </c>
      <c r="H26" s="161">
        <f t="shared" si="1"/>
        <v>0</v>
      </c>
      <c r="I26" s="191">
        <f t="shared" si="5"/>
        <v>0</v>
      </c>
      <c r="J26" s="161"/>
      <c r="L26" s="160" t="s">
        <v>2833</v>
      </c>
      <c r="M26" s="160">
        <f t="shared" si="2"/>
        <v>0</v>
      </c>
      <c r="N26" s="160" t="b">
        <v>0</v>
      </c>
      <c r="O26" s="160" t="s">
        <v>2721</v>
      </c>
      <c r="P26" s="192">
        <v>0.02</v>
      </c>
      <c r="T26" s="160"/>
      <c r="U26" s="160"/>
      <c r="V26" s="160"/>
      <c r="W26" s="160"/>
      <c r="X26" s="160"/>
      <c r="AA26" t="str">
        <f>INDEX(AA30:AA33,MATCH(配装计算器!$N$24,技能数据库!$Z$30:$Z$33,0))</f>
        <v>叠峰意</v>
      </c>
      <c r="AB26" t="str">
        <f>INDEX(AB30:AB33,MATCH(配装计算器!$N$24,技能数据库!$Z$30:$Z$33,0))</f>
        <v>怜光</v>
      </c>
      <c r="AC26" t="str">
        <f>INDEX(AC30:AC33,MATCH(配装计算器!$N$24,技能数据库!$Z$30:$Z$33,0))</f>
        <v>层云</v>
      </c>
      <c r="AD26" t="str">
        <f>INDEX(AD30:AD33,MATCH(配装计算器!$N$24,技能数据库!$Z$30:$Z$33,0))</f>
        <v>岱宗</v>
      </c>
      <c r="AE26" t="str">
        <f>INDEX(AE30:AE33,MATCH(配装计算器!$N$24,技能数据库!$Z$30:$Z$33,0))</f>
        <v>残雪</v>
      </c>
      <c r="AF26" t="str">
        <f>INDEX(AF30:AF33,MATCH(配装计算器!$N$24,技能数据库!$Z$30:$Z$33,0))</f>
        <v>造化</v>
      </c>
      <c r="AG26" t="str">
        <f>INDEX(AG30:AG33,MATCH(配装计算器!$N$24,技能数据库!$Z$30:$Z$33,0))</f>
        <v>雾锁</v>
      </c>
      <c r="AH26" t="str">
        <f>INDEX(AH30:AH33,MATCH(配装计算器!$N$24,技能数据库!$Z$30:$Z$33,0))</f>
        <v>山倾</v>
      </c>
      <c r="AI26" t="str">
        <f>INDEX(AI30:AI33,MATCH(配装计算器!$N$24,技能数据库!$Z$30:$Z$33,0))</f>
        <v>如风</v>
      </c>
      <c r="AJ26" t="str">
        <f>INDEX(AJ30:AJ33,MATCH(配装计算器!$N$24,技能数据库!$Z$30:$Z$33,0))</f>
        <v>碧归</v>
      </c>
    </row>
    <row r="27" spans="2:36">
      <c r="B27" s="161" t="s">
        <v>2834</v>
      </c>
      <c r="C27" s="161">
        <v>317.5</v>
      </c>
      <c r="D27" s="161">
        <f>320*1.15*1.15*1.15*1.1*1.1</f>
        <v>588.8828</v>
      </c>
      <c r="E27" s="161">
        <v>2048</v>
      </c>
      <c r="F27" s="161"/>
      <c r="G27" s="161">
        <f t="shared" si="4"/>
        <v>3.675</v>
      </c>
      <c r="H27" s="161">
        <f t="shared" si="1"/>
        <v>2</v>
      </c>
      <c r="I27" s="191">
        <f t="shared" si="5"/>
        <v>0</v>
      </c>
      <c r="J27" s="161"/>
      <c r="L27" s="160" t="s">
        <v>2835</v>
      </c>
      <c r="M27" s="160">
        <f t="shared" si="2"/>
        <v>1</v>
      </c>
      <c r="N27" s="160" t="b">
        <v>1</v>
      </c>
      <c r="O27" s="160" t="s">
        <v>2721</v>
      </c>
      <c r="R27" s="160">
        <v>51</v>
      </c>
      <c r="T27" s="160"/>
      <c r="U27" s="160"/>
      <c r="V27" s="160"/>
      <c r="W27" s="160"/>
      <c r="X27" s="160"/>
      <c r="Z27" s="167"/>
      <c r="AA27" s="160" t="s">
        <v>2727</v>
      </c>
      <c r="AB27" s="160" t="s">
        <v>2728</v>
      </c>
      <c r="AC27" s="160" t="s">
        <v>2729</v>
      </c>
      <c r="AD27" s="160" t="s">
        <v>2730</v>
      </c>
      <c r="AE27" s="160" t="s">
        <v>2731</v>
      </c>
      <c r="AF27" s="160" t="s">
        <v>2732</v>
      </c>
      <c r="AG27" s="160" t="s">
        <v>2733</v>
      </c>
      <c r="AH27" s="160" t="s">
        <v>2734</v>
      </c>
      <c r="AI27" s="160" t="s">
        <v>2735</v>
      </c>
      <c r="AJ27" s="160" t="s">
        <v>2736</v>
      </c>
    </row>
    <row r="28" spans="2:36">
      <c r="B28" s="161" t="s">
        <v>2836</v>
      </c>
      <c r="C28" s="161">
        <v>3310476</v>
      </c>
      <c r="D28" s="161">
        <v>0</v>
      </c>
      <c r="E28" s="161">
        <v>0</v>
      </c>
      <c r="F28" s="161"/>
      <c r="G28" s="161">
        <f t="shared" si="4"/>
        <v>0</v>
      </c>
      <c r="H28" s="161">
        <f t="shared" si="1"/>
        <v>0</v>
      </c>
      <c r="I28" s="191">
        <f t="shared" si="5"/>
        <v>0</v>
      </c>
      <c r="J28" s="161"/>
      <c r="L28" s="160" t="s">
        <v>2837</v>
      </c>
      <c r="M28" s="160">
        <f t="shared" si="2"/>
        <v>1</v>
      </c>
      <c r="N28" s="160" t="b">
        <v>1</v>
      </c>
      <c r="O28" s="160" t="s">
        <v>2721</v>
      </c>
      <c r="R28" s="160">
        <v>41</v>
      </c>
      <c r="T28" s="160"/>
      <c r="U28" s="160"/>
      <c r="V28" s="160"/>
      <c r="W28" s="160"/>
      <c r="X28" s="160"/>
      <c r="Z28" s="167"/>
      <c r="AA28" s="167" t="s">
        <v>2838</v>
      </c>
      <c r="AB28" s="167" t="s">
        <v>2747</v>
      </c>
      <c r="AC28" s="167" t="s">
        <v>2748</v>
      </c>
      <c r="AD28" s="167" t="s">
        <v>2744</v>
      </c>
      <c r="AE28" s="167" t="s">
        <v>2745</v>
      </c>
      <c r="AF28" s="167" t="s">
        <v>2746</v>
      </c>
      <c r="AG28" s="167" t="s">
        <v>2750</v>
      </c>
      <c r="AH28" s="167" t="s">
        <v>2749</v>
      </c>
      <c r="AI28" s="167" t="s">
        <v>2752</v>
      </c>
      <c r="AJ28" s="167" t="s">
        <v>2760</v>
      </c>
    </row>
    <row r="29" spans="2:36">
      <c r="B29" s="161" t="s">
        <v>2839</v>
      </c>
      <c r="C29" s="161">
        <v>3206105</v>
      </c>
      <c r="D29" s="161">
        <v>0</v>
      </c>
      <c r="E29" s="161">
        <v>0</v>
      </c>
      <c r="F29" s="161"/>
      <c r="G29" s="161">
        <f t="shared" si="4"/>
        <v>0</v>
      </c>
      <c r="H29" s="161">
        <f t="shared" si="1"/>
        <v>0</v>
      </c>
      <c r="I29" s="191">
        <f t="shared" si="5"/>
        <v>0</v>
      </c>
      <c r="J29" s="161"/>
      <c r="L29" s="160" t="s">
        <v>2840</v>
      </c>
      <c r="M29" s="160">
        <f t="shared" si="2"/>
        <v>1</v>
      </c>
      <c r="N29" s="160" t="b">
        <v>1</v>
      </c>
      <c r="O29" s="160" t="s">
        <v>2721</v>
      </c>
      <c r="R29" s="160">
        <v>31</v>
      </c>
      <c r="T29" s="160"/>
      <c r="U29" s="160"/>
      <c r="V29" s="160"/>
      <c r="W29" s="160"/>
      <c r="X29" s="160"/>
      <c r="Z29" s="167"/>
      <c r="AA29" s="167" t="s">
        <v>2753</v>
      </c>
      <c r="AB29" s="167"/>
      <c r="AC29" s="167"/>
      <c r="AD29" s="167"/>
      <c r="AE29" s="167"/>
      <c r="AF29" s="167"/>
      <c r="AG29" s="167"/>
      <c r="AH29" s="167"/>
      <c r="AI29" s="167"/>
      <c r="AJ29" s="167" t="s">
        <v>2751</v>
      </c>
    </row>
    <row r="30" spans="2:36">
      <c r="B30" s="161" t="s">
        <v>2841</v>
      </c>
      <c r="C30" s="161">
        <v>2751834</v>
      </c>
      <c r="D30" s="161">
        <v>0</v>
      </c>
      <c r="E30" s="161">
        <v>0</v>
      </c>
      <c r="F30" s="161"/>
      <c r="G30" s="161">
        <f t="shared" si="4"/>
        <v>0</v>
      </c>
      <c r="H30" s="161">
        <f t="shared" si="1"/>
        <v>0</v>
      </c>
      <c r="I30" s="191">
        <f t="shared" si="5"/>
        <v>0</v>
      </c>
      <c r="J30" s="161"/>
      <c r="L30" s="160" t="s">
        <v>2842</v>
      </c>
      <c r="M30" s="160">
        <f t="shared" si="2"/>
        <v>1</v>
      </c>
      <c r="N30" s="160" t="b">
        <v>1</v>
      </c>
      <c r="O30" s="160" t="s">
        <v>2721</v>
      </c>
      <c r="P30" s="192">
        <v>0.04</v>
      </c>
      <c r="T30" s="160"/>
      <c r="U30" s="160"/>
      <c r="V30" s="160"/>
      <c r="W30" s="160"/>
      <c r="X30" s="160"/>
      <c r="Z30" s="167" t="s">
        <v>2843</v>
      </c>
      <c r="AA30" s="167" t="s">
        <v>2753</v>
      </c>
      <c r="AB30" s="167" t="s">
        <v>2747</v>
      </c>
      <c r="AC30" s="167" t="s">
        <v>2748</v>
      </c>
      <c r="AD30" s="167" t="s">
        <v>2744</v>
      </c>
      <c r="AE30" s="167" t="s">
        <v>2745</v>
      </c>
      <c r="AF30" s="167" t="s">
        <v>2746</v>
      </c>
      <c r="AG30" s="167" t="s">
        <v>2750</v>
      </c>
      <c r="AH30" s="167" t="s">
        <v>2749</v>
      </c>
      <c r="AI30" s="167" t="s">
        <v>2752</v>
      </c>
      <c r="AJ30" s="167" t="s">
        <v>2751</v>
      </c>
    </row>
    <row r="31" spans="2:36">
      <c r="B31" s="161" t="s">
        <v>2844</v>
      </c>
      <c r="C31" s="161">
        <v>5241589</v>
      </c>
      <c r="D31" s="161">
        <v>0</v>
      </c>
      <c r="E31" s="161">
        <v>0</v>
      </c>
      <c r="F31" s="161"/>
      <c r="G31" s="161">
        <f t="shared" si="4"/>
        <v>0</v>
      </c>
      <c r="H31" s="161">
        <f t="shared" si="1"/>
        <v>0</v>
      </c>
      <c r="I31" s="191">
        <f t="shared" si="5"/>
        <v>0</v>
      </c>
      <c r="J31" s="161"/>
      <c r="L31" s="160" t="s">
        <v>2845</v>
      </c>
      <c r="M31" s="160">
        <f t="shared" si="2"/>
        <v>0</v>
      </c>
      <c r="N31" s="160" t="b">
        <v>0</v>
      </c>
      <c r="O31" s="160" t="s">
        <v>2721</v>
      </c>
      <c r="P31" s="192">
        <v>0.03</v>
      </c>
      <c r="T31" s="160"/>
      <c r="U31" s="160"/>
      <c r="V31" s="160"/>
      <c r="W31" s="160"/>
      <c r="X31" s="160"/>
      <c r="Z31" s="167" t="s">
        <v>2846</v>
      </c>
      <c r="AA31" s="167" t="s">
        <v>2838</v>
      </c>
      <c r="AB31" s="167" t="s">
        <v>2747</v>
      </c>
      <c r="AC31" s="167" t="s">
        <v>2748</v>
      </c>
      <c r="AD31" s="167" t="s">
        <v>2744</v>
      </c>
      <c r="AE31" s="167" t="s">
        <v>2745</v>
      </c>
      <c r="AF31" s="167" t="s">
        <v>2746</v>
      </c>
      <c r="AG31" s="167" t="s">
        <v>2750</v>
      </c>
      <c r="AH31" s="167" t="s">
        <v>2749</v>
      </c>
      <c r="AI31" s="167" t="s">
        <v>2752</v>
      </c>
      <c r="AJ31" s="167" t="s">
        <v>2751</v>
      </c>
    </row>
    <row r="32" spans="2:36">
      <c r="B32" s="161" t="s">
        <v>2847</v>
      </c>
      <c r="C32" s="161">
        <v>4717430</v>
      </c>
      <c r="D32" s="161">
        <v>0</v>
      </c>
      <c r="E32" s="161">
        <v>0</v>
      </c>
      <c r="F32" s="161"/>
      <c r="G32" s="161">
        <f t="shared" si="4"/>
        <v>0</v>
      </c>
      <c r="H32" s="161">
        <f t="shared" si="1"/>
        <v>0</v>
      </c>
      <c r="I32" s="191">
        <f t="shared" si="5"/>
        <v>0</v>
      </c>
      <c r="J32" s="161"/>
      <c r="L32" s="160" t="s">
        <v>2848</v>
      </c>
      <c r="M32" s="160">
        <f t="shared" si="2"/>
        <v>0</v>
      </c>
      <c r="N32" s="160" t="b">
        <v>0</v>
      </c>
      <c r="O32" s="160" t="s">
        <v>2721</v>
      </c>
      <c r="P32" s="192">
        <v>0.02</v>
      </c>
      <c r="T32" s="160"/>
      <c r="U32" s="160"/>
      <c r="V32" s="160"/>
      <c r="W32" s="160"/>
      <c r="X32" s="160"/>
      <c r="Z32" s="167" t="s">
        <v>2849</v>
      </c>
      <c r="AA32" s="167" t="s">
        <v>2838</v>
      </c>
      <c r="AB32" s="167" t="s">
        <v>2747</v>
      </c>
      <c r="AC32" s="167" t="s">
        <v>2748</v>
      </c>
      <c r="AD32" s="167" t="s">
        <v>2744</v>
      </c>
      <c r="AE32" s="167" t="s">
        <v>2745</v>
      </c>
      <c r="AF32" s="167" t="s">
        <v>2746</v>
      </c>
      <c r="AG32" s="167" t="s">
        <v>2750</v>
      </c>
      <c r="AH32" s="167" t="s">
        <v>2749</v>
      </c>
      <c r="AI32" s="167" t="s">
        <v>2752</v>
      </c>
      <c r="AJ32" s="167" t="s">
        <v>2760</v>
      </c>
    </row>
    <row r="33" spans="2:36">
      <c r="B33" s="161" t="s">
        <v>2850</v>
      </c>
      <c r="C33" s="161">
        <v>3667380</v>
      </c>
      <c r="D33" s="161">
        <v>0</v>
      </c>
      <c r="E33" s="161">
        <v>0</v>
      </c>
      <c r="F33" s="161"/>
      <c r="G33" s="161">
        <f t="shared" si="4"/>
        <v>0</v>
      </c>
      <c r="H33" s="161">
        <f t="shared" si="1"/>
        <v>0</v>
      </c>
      <c r="I33" s="191">
        <f t="shared" si="5"/>
        <v>0</v>
      </c>
      <c r="J33" s="161"/>
      <c r="L33" s="160" t="s">
        <v>2851</v>
      </c>
      <c r="M33" s="160">
        <f t="shared" si="2"/>
        <v>0</v>
      </c>
      <c r="N33" s="160" t="b">
        <v>0</v>
      </c>
      <c r="O33" s="160" t="s">
        <v>2721</v>
      </c>
      <c r="T33" s="160"/>
      <c r="U33" s="160"/>
      <c r="V33" s="160"/>
      <c r="W33" s="160"/>
      <c r="X33" s="160"/>
      <c r="Z33" s="167" t="s">
        <v>2852</v>
      </c>
      <c r="AA33" s="167" t="s">
        <v>2838</v>
      </c>
      <c r="AB33" s="167" t="s">
        <v>2747</v>
      </c>
      <c r="AC33" s="167" t="s">
        <v>2748</v>
      </c>
      <c r="AD33" s="167" t="s">
        <v>2744</v>
      </c>
      <c r="AE33" s="167" t="s">
        <v>2745</v>
      </c>
      <c r="AF33" s="167" t="s">
        <v>2746</v>
      </c>
      <c r="AG33" s="167" t="s">
        <v>2750</v>
      </c>
      <c r="AH33" s="167" t="s">
        <v>2749</v>
      </c>
      <c r="AI33" s="167" t="s">
        <v>2752</v>
      </c>
      <c r="AJ33" s="167" t="s">
        <v>2751</v>
      </c>
    </row>
    <row r="34" spans="2:36">
      <c r="B34" s="161" t="s">
        <v>2853</v>
      </c>
      <c r="C34" s="161">
        <v>2444920</v>
      </c>
      <c r="D34" s="161">
        <v>0</v>
      </c>
      <c r="E34" s="161">
        <v>0</v>
      </c>
      <c r="F34" s="161"/>
      <c r="G34" s="161">
        <f t="shared" si="4"/>
        <v>0</v>
      </c>
      <c r="H34" s="161">
        <f t="shared" si="1"/>
        <v>0</v>
      </c>
      <c r="I34" s="191">
        <f t="shared" si="5"/>
        <v>0</v>
      </c>
      <c r="J34" s="161"/>
      <c r="L34" s="160" t="s">
        <v>2854</v>
      </c>
      <c r="M34" s="160">
        <f t="shared" si="2"/>
        <v>0</v>
      </c>
      <c r="N34" s="160" t="b">
        <v>0</v>
      </c>
      <c r="O34" s="160" t="s">
        <v>2721</v>
      </c>
      <c r="T34" s="160"/>
      <c r="U34" s="160"/>
      <c r="V34" s="160"/>
      <c r="W34" s="160"/>
      <c r="X34" s="160"/>
    </row>
    <row r="35" spans="2:36">
      <c r="B35" s="161" t="s">
        <v>2855</v>
      </c>
      <c r="C35" s="161">
        <v>815</v>
      </c>
      <c r="D35" s="161">
        <v>0</v>
      </c>
      <c r="E35" s="161">
        <v>0</v>
      </c>
      <c r="F35" s="161"/>
      <c r="G35" s="161">
        <f t="shared" si="4"/>
        <v>0</v>
      </c>
      <c r="H35" s="161">
        <f t="shared" si="1"/>
        <v>0</v>
      </c>
      <c r="I35" s="191">
        <f t="shared" si="5"/>
        <v>0</v>
      </c>
      <c r="J35" s="161"/>
      <c r="L35" s="160" t="s">
        <v>2856</v>
      </c>
      <c r="M35" s="160">
        <f t="shared" si="2"/>
        <v>1</v>
      </c>
      <c r="N35" s="160" t="b">
        <v>1</v>
      </c>
      <c r="O35" s="160" t="s">
        <v>2721</v>
      </c>
      <c r="R35" s="160">
        <v>51</v>
      </c>
      <c r="T35" s="160"/>
      <c r="U35" s="160"/>
      <c r="V35" s="160"/>
      <c r="W35" s="160"/>
      <c r="X35" s="160"/>
    </row>
    <row r="36" spans="2:36">
      <c r="B36" s="161" t="s">
        <v>2857</v>
      </c>
      <c r="C36" s="161">
        <v>469999</v>
      </c>
      <c r="D36" s="161">
        <v>0</v>
      </c>
      <c r="E36" s="161">
        <v>0</v>
      </c>
      <c r="F36" s="161"/>
      <c r="G36" s="161">
        <f t="shared" si="4"/>
        <v>0</v>
      </c>
      <c r="H36" s="161">
        <f t="shared" si="1"/>
        <v>0</v>
      </c>
      <c r="I36" s="191">
        <f t="shared" si="5"/>
        <v>0</v>
      </c>
      <c r="J36" s="161"/>
      <c r="L36" s="160" t="s">
        <v>2858</v>
      </c>
      <c r="M36" s="160">
        <f t="shared" si="2"/>
        <v>1</v>
      </c>
      <c r="N36" s="160" t="b">
        <v>1</v>
      </c>
      <c r="O36" s="160" t="s">
        <v>2721</v>
      </c>
      <c r="R36" s="160">
        <v>41</v>
      </c>
      <c r="T36" s="160"/>
      <c r="U36" s="160"/>
      <c r="V36" s="160"/>
      <c r="W36" s="160"/>
      <c r="X36" s="160"/>
    </row>
    <row r="37" spans="2:36">
      <c r="B37" s="161" t="s">
        <v>2859</v>
      </c>
      <c r="C37" s="161">
        <v>1955936</v>
      </c>
      <c r="D37" s="161">
        <v>0</v>
      </c>
      <c r="E37" s="161">
        <v>0</v>
      </c>
      <c r="F37" s="161"/>
      <c r="G37" s="161">
        <f t="shared" si="4"/>
        <v>0</v>
      </c>
      <c r="H37" s="161">
        <f t="shared" si="1"/>
        <v>0</v>
      </c>
      <c r="I37" s="191">
        <f t="shared" si="5"/>
        <v>0</v>
      </c>
      <c r="J37" s="161"/>
      <c r="L37" s="160" t="s">
        <v>2860</v>
      </c>
      <c r="M37" s="160">
        <f t="shared" si="2"/>
        <v>1</v>
      </c>
      <c r="N37" s="160" t="b">
        <v>1</v>
      </c>
      <c r="O37" s="160" t="s">
        <v>2721</v>
      </c>
      <c r="R37" s="160">
        <v>31</v>
      </c>
      <c r="T37" s="160"/>
      <c r="U37" s="160"/>
      <c r="V37" s="160"/>
      <c r="W37" s="160"/>
      <c r="X37" s="160"/>
    </row>
    <row r="38" spans="2:36">
      <c r="B38" s="161" t="s">
        <v>2861</v>
      </c>
      <c r="C38" s="161">
        <v>1344706</v>
      </c>
      <c r="D38" s="161">
        <v>0</v>
      </c>
      <c r="E38" s="161">
        <v>0</v>
      </c>
      <c r="F38" s="161"/>
      <c r="G38" s="161">
        <f t="shared" si="4"/>
        <v>0</v>
      </c>
      <c r="H38" s="161">
        <f t="shared" si="1"/>
        <v>0</v>
      </c>
      <c r="I38" s="191">
        <f t="shared" si="5"/>
        <v>0</v>
      </c>
      <c r="J38" s="161"/>
      <c r="L38" s="160" t="s">
        <v>2862</v>
      </c>
      <c r="M38" s="160">
        <f t="shared" si="2"/>
        <v>0</v>
      </c>
      <c r="N38" s="160" t="b">
        <v>0</v>
      </c>
      <c r="O38" s="160" t="s">
        <v>2721</v>
      </c>
      <c r="P38" s="192">
        <v>0.02</v>
      </c>
      <c r="T38" s="160"/>
      <c r="U38" s="160"/>
      <c r="V38" s="160"/>
      <c r="W38" s="160"/>
      <c r="X38" s="160"/>
    </row>
    <row r="39" spans="2:36">
      <c r="B39" s="161" t="s">
        <v>2863</v>
      </c>
      <c r="C39" s="161">
        <v>2175238</v>
      </c>
      <c r="D39" s="161">
        <v>0</v>
      </c>
      <c r="E39" s="161">
        <v>0</v>
      </c>
      <c r="F39" s="161"/>
      <c r="G39" s="161">
        <f t="shared" si="4"/>
        <v>0</v>
      </c>
      <c r="H39" s="161">
        <f t="shared" si="1"/>
        <v>0</v>
      </c>
      <c r="I39" s="191">
        <f t="shared" si="5"/>
        <v>0</v>
      </c>
      <c r="J39" s="161"/>
      <c r="L39" s="160" t="s">
        <v>2864</v>
      </c>
      <c r="M39" s="160">
        <f t="shared" si="2"/>
        <v>1</v>
      </c>
      <c r="N39" s="160" t="b">
        <v>1</v>
      </c>
      <c r="O39" s="160" t="s">
        <v>2721</v>
      </c>
      <c r="T39" s="160"/>
      <c r="U39" s="160"/>
      <c r="V39" s="160"/>
      <c r="W39" s="160"/>
      <c r="X39" s="160"/>
    </row>
    <row r="40" spans="2:36">
      <c r="B40" s="161" t="s">
        <v>2865</v>
      </c>
      <c r="C40" s="161">
        <v>4148954</v>
      </c>
      <c r="D40" s="161">
        <v>0</v>
      </c>
      <c r="E40" s="161">
        <v>0</v>
      </c>
      <c r="F40" s="161"/>
      <c r="G40" s="161">
        <f t="shared" si="4"/>
        <v>0</v>
      </c>
      <c r="H40" s="161">
        <f t="shared" si="1"/>
        <v>0</v>
      </c>
      <c r="I40" s="191">
        <f t="shared" si="5"/>
        <v>0</v>
      </c>
      <c r="J40" s="161"/>
      <c r="L40" s="160" t="s">
        <v>2751</v>
      </c>
      <c r="M40" s="160">
        <f t="shared" ref="M40:M62" si="6">COUNTIF($Z$2:$AK$2,L40)</f>
        <v>1</v>
      </c>
      <c r="N40" s="160" t="s">
        <v>2866</v>
      </c>
      <c r="O40" s="160" t="s">
        <v>2867</v>
      </c>
      <c r="T40" s="160"/>
      <c r="U40" s="160"/>
      <c r="V40" s="160"/>
      <c r="W40" s="160"/>
      <c r="X40" s="160"/>
    </row>
    <row r="41" spans="2:36">
      <c r="B41" s="161" t="s">
        <v>2868</v>
      </c>
      <c r="C41" s="161">
        <v>772445</v>
      </c>
      <c r="D41" s="161">
        <v>0</v>
      </c>
      <c r="E41" s="161">
        <v>0</v>
      </c>
      <c r="F41" s="161"/>
      <c r="G41" s="161">
        <f t="shared" si="4"/>
        <v>0</v>
      </c>
      <c r="H41" s="161">
        <f t="shared" si="1"/>
        <v>0</v>
      </c>
      <c r="I41" s="191">
        <f t="shared" si="5"/>
        <v>0</v>
      </c>
      <c r="J41" s="161"/>
      <c r="L41" s="160" t="s">
        <v>2745</v>
      </c>
      <c r="M41" s="160">
        <v>0</v>
      </c>
      <c r="N41" s="160" t="s">
        <v>2866</v>
      </c>
      <c r="O41" s="160" t="s">
        <v>2867</v>
      </c>
      <c r="T41" s="160"/>
      <c r="U41" s="160"/>
      <c r="V41" s="160"/>
      <c r="W41" s="160"/>
      <c r="X41" s="160"/>
    </row>
    <row r="42" spans="2:36">
      <c r="B42" s="161" t="s">
        <v>2869</v>
      </c>
      <c r="C42" s="161">
        <v>1544889</v>
      </c>
      <c r="D42" s="161">
        <v>0</v>
      </c>
      <c r="E42" s="161">
        <v>0</v>
      </c>
      <c r="F42" s="161"/>
      <c r="G42" s="161">
        <f t="shared" si="4"/>
        <v>0</v>
      </c>
      <c r="H42" s="161">
        <f t="shared" si="1"/>
        <v>0</v>
      </c>
      <c r="I42" s="191">
        <f t="shared" si="5"/>
        <v>0</v>
      </c>
      <c r="J42" s="161"/>
      <c r="L42" s="160" t="s">
        <v>2748</v>
      </c>
      <c r="M42" s="160">
        <f t="shared" si="6"/>
        <v>1</v>
      </c>
      <c r="N42" s="160" t="s">
        <v>2789</v>
      </c>
      <c r="O42" s="160" t="s">
        <v>2867</v>
      </c>
      <c r="R42" s="160">
        <f>(0+102+204+307+410+512*11)/16</f>
        <v>415.9375</v>
      </c>
      <c r="T42" s="160"/>
      <c r="U42" s="160"/>
      <c r="V42" s="160"/>
      <c r="W42" s="160"/>
      <c r="X42" s="160"/>
    </row>
    <row r="43" spans="2:36">
      <c r="B43" s="161" t="s">
        <v>2870</v>
      </c>
      <c r="C43" s="161">
        <v>30000</v>
      </c>
      <c r="D43" s="161">
        <v>0</v>
      </c>
      <c r="E43" s="161">
        <v>0</v>
      </c>
      <c r="F43" s="161"/>
      <c r="G43" s="161">
        <f t="shared" si="4"/>
        <v>0</v>
      </c>
      <c r="H43" s="161">
        <f t="shared" si="1"/>
        <v>0</v>
      </c>
      <c r="I43" s="191">
        <f t="shared" si="5"/>
        <v>0</v>
      </c>
      <c r="J43" s="161"/>
      <c r="L43" s="160" t="s">
        <v>2744</v>
      </c>
      <c r="M43" s="160">
        <f t="shared" si="6"/>
        <v>1</v>
      </c>
      <c r="N43" s="160" t="s">
        <v>2866</v>
      </c>
      <c r="O43" s="160" t="s">
        <v>2867</v>
      </c>
      <c r="T43" s="160"/>
      <c r="U43" s="160"/>
      <c r="V43" s="160"/>
      <c r="W43" s="160"/>
      <c r="X43" s="160"/>
    </row>
    <row r="44" spans="2:36">
      <c r="B44" s="161" t="s">
        <v>2871</v>
      </c>
      <c r="C44" s="161">
        <v>2607915</v>
      </c>
      <c r="D44" s="161">
        <v>0</v>
      </c>
      <c r="E44" s="161">
        <v>0</v>
      </c>
      <c r="F44" s="161"/>
      <c r="G44" s="161">
        <f t="shared" si="4"/>
        <v>0</v>
      </c>
      <c r="H44" s="161">
        <f t="shared" si="1"/>
        <v>0</v>
      </c>
      <c r="I44" s="191">
        <f t="shared" si="5"/>
        <v>0</v>
      </c>
      <c r="J44" s="161"/>
      <c r="L44" s="160" t="s">
        <v>2764</v>
      </c>
      <c r="M44" s="160">
        <f t="shared" si="6"/>
        <v>0</v>
      </c>
      <c r="N44" s="160" t="s">
        <v>2866</v>
      </c>
      <c r="O44" s="160" t="s">
        <v>2867</v>
      </c>
      <c r="T44" s="160"/>
      <c r="U44" s="160"/>
      <c r="V44" s="160"/>
      <c r="W44" s="160"/>
      <c r="X44" s="160"/>
    </row>
    <row r="45" spans="2:36">
      <c r="B45" s="161" t="s">
        <v>2872</v>
      </c>
      <c r="C45" s="161">
        <v>3734059</v>
      </c>
      <c r="D45" s="161">
        <v>0</v>
      </c>
      <c r="E45" s="161">
        <v>0</v>
      </c>
      <c r="F45" s="161"/>
      <c r="G45" s="161">
        <f t="shared" si="4"/>
        <v>0</v>
      </c>
      <c r="H45" s="161">
        <f t="shared" si="1"/>
        <v>0</v>
      </c>
      <c r="I45" s="191">
        <f t="shared" si="5"/>
        <v>0</v>
      </c>
      <c r="J45" s="161"/>
      <c r="L45" s="160" t="s">
        <v>2762</v>
      </c>
      <c r="M45" s="160">
        <f t="shared" si="6"/>
        <v>0</v>
      </c>
      <c r="N45" s="160" t="s">
        <v>2813</v>
      </c>
      <c r="O45" s="160" t="s">
        <v>2867</v>
      </c>
      <c r="P45" s="192">
        <v>0.1</v>
      </c>
      <c r="Q45" s="160">
        <v>102</v>
      </c>
      <c r="T45" s="160"/>
      <c r="U45" s="160"/>
      <c r="V45" s="160"/>
      <c r="W45" s="160"/>
      <c r="X45" s="160"/>
    </row>
    <row r="46" spans="2:36">
      <c r="B46" s="161" t="s">
        <v>2873</v>
      </c>
      <c r="C46" s="161">
        <v>3556247</v>
      </c>
      <c r="D46" s="161">
        <v>0</v>
      </c>
      <c r="E46" s="161">
        <v>0</v>
      </c>
      <c r="F46" s="161"/>
      <c r="G46" s="161">
        <f t="shared" si="4"/>
        <v>0</v>
      </c>
      <c r="H46" s="161">
        <f t="shared" si="1"/>
        <v>0</v>
      </c>
      <c r="I46" s="191">
        <f t="shared" si="5"/>
        <v>0</v>
      </c>
      <c r="J46" s="161"/>
      <c r="L46" s="160" t="s">
        <v>2514</v>
      </c>
      <c r="M46" s="160">
        <f t="shared" si="6"/>
        <v>0</v>
      </c>
      <c r="N46" s="160" t="s">
        <v>2874</v>
      </c>
      <c r="O46" s="160" t="s">
        <v>2867</v>
      </c>
      <c r="T46" s="160"/>
      <c r="U46" s="160"/>
      <c r="V46" s="160"/>
      <c r="W46" s="160"/>
      <c r="X46" s="160"/>
    </row>
    <row r="47" spans="2:36">
      <c r="B47" s="161" t="s">
        <v>2875</v>
      </c>
      <c r="C47" s="161">
        <v>3378435</v>
      </c>
      <c r="D47" s="161">
        <v>0</v>
      </c>
      <c r="E47" s="161">
        <v>0</v>
      </c>
      <c r="F47" s="161"/>
      <c r="G47" s="161">
        <f t="shared" si="4"/>
        <v>0</v>
      </c>
      <c r="H47" s="161">
        <f t="shared" si="1"/>
        <v>0</v>
      </c>
      <c r="I47" s="191">
        <f t="shared" si="5"/>
        <v>0</v>
      </c>
      <c r="J47" s="161"/>
      <c r="L47" s="160" t="s">
        <v>2876</v>
      </c>
      <c r="M47" s="160">
        <f t="shared" si="6"/>
        <v>0</v>
      </c>
      <c r="N47" s="160" t="s">
        <v>2866</v>
      </c>
      <c r="O47" s="160" t="s">
        <v>2867</v>
      </c>
      <c r="T47" s="160"/>
      <c r="U47" s="160"/>
      <c r="V47" s="160"/>
      <c r="W47" s="160"/>
      <c r="X47" s="160"/>
    </row>
    <row r="48" spans="2:36">
      <c r="B48" s="161" t="s">
        <v>2877</v>
      </c>
      <c r="C48" s="161">
        <v>3200622</v>
      </c>
      <c r="D48" s="161">
        <v>0</v>
      </c>
      <c r="E48" s="161">
        <v>0</v>
      </c>
      <c r="F48" s="161"/>
      <c r="G48" s="161">
        <f t="shared" ref="G48:G67" si="7">INT(D48)/160</f>
        <v>0</v>
      </c>
      <c r="H48" s="161">
        <f t="shared" si="1"/>
        <v>0</v>
      </c>
      <c r="I48" s="191">
        <f t="shared" si="5"/>
        <v>0</v>
      </c>
      <c r="J48" s="161"/>
      <c r="L48" s="160" t="s">
        <v>2758</v>
      </c>
      <c r="M48" s="160">
        <f t="shared" si="6"/>
        <v>0</v>
      </c>
      <c r="N48" s="160" t="s">
        <v>2776</v>
      </c>
      <c r="O48" s="160" t="s">
        <v>2867</v>
      </c>
      <c r="R48" s="160">
        <v>102</v>
      </c>
      <c r="T48" s="160"/>
      <c r="U48" s="160"/>
      <c r="V48" s="160"/>
      <c r="W48" s="160"/>
      <c r="X48" s="160"/>
    </row>
    <row r="49" spans="2:24">
      <c r="B49" s="161" t="s">
        <v>2878</v>
      </c>
      <c r="C49" s="161">
        <v>3022810</v>
      </c>
      <c r="D49" s="161">
        <v>0</v>
      </c>
      <c r="E49" s="161">
        <v>0</v>
      </c>
      <c r="F49" s="161"/>
      <c r="G49" s="161">
        <f t="shared" si="7"/>
        <v>0</v>
      </c>
      <c r="H49" s="161">
        <f t="shared" si="1"/>
        <v>0</v>
      </c>
      <c r="I49" s="191">
        <f t="shared" si="5"/>
        <v>0</v>
      </c>
      <c r="J49" s="161"/>
      <c r="L49" s="160" t="s">
        <v>2747</v>
      </c>
      <c r="M49" s="160">
        <f t="shared" si="6"/>
        <v>1</v>
      </c>
      <c r="N49" s="160" t="s">
        <v>2874</v>
      </c>
      <c r="O49" s="160" t="s">
        <v>2867</v>
      </c>
      <c r="T49" s="160"/>
      <c r="U49" s="160"/>
      <c r="V49" s="160"/>
      <c r="W49" s="160"/>
      <c r="X49" s="160"/>
    </row>
    <row r="50" spans="2:24">
      <c r="B50" s="161" t="s">
        <v>2879</v>
      </c>
      <c r="C50" s="161">
        <v>2844998</v>
      </c>
      <c r="D50" s="161">
        <v>0</v>
      </c>
      <c r="E50" s="161">
        <v>0</v>
      </c>
      <c r="F50" s="161"/>
      <c r="G50" s="161">
        <f t="shared" si="7"/>
        <v>0</v>
      </c>
      <c r="H50" s="161">
        <f t="shared" si="1"/>
        <v>0</v>
      </c>
      <c r="I50" s="191">
        <f t="shared" si="5"/>
        <v>0</v>
      </c>
      <c r="J50" s="161"/>
      <c r="L50" s="160" t="s">
        <v>2743</v>
      </c>
      <c r="M50" s="160">
        <v>0</v>
      </c>
      <c r="N50" s="160" t="s">
        <v>2776</v>
      </c>
      <c r="O50" s="160" t="s">
        <v>2867</v>
      </c>
      <c r="P50" s="192">
        <v>0.1</v>
      </c>
      <c r="Q50" s="160">
        <v>102</v>
      </c>
      <c r="T50" s="160"/>
      <c r="U50" s="160"/>
      <c r="V50" s="160"/>
      <c r="W50" s="160"/>
      <c r="X50" s="160"/>
    </row>
    <row r="51" spans="2:24">
      <c r="B51" s="161" t="s">
        <v>2880</v>
      </c>
      <c r="C51" s="161">
        <v>2667185</v>
      </c>
      <c r="D51" s="161">
        <v>0</v>
      </c>
      <c r="E51" s="161">
        <v>0</v>
      </c>
      <c r="F51" s="161"/>
      <c r="G51" s="161">
        <f t="shared" si="7"/>
        <v>0</v>
      </c>
      <c r="H51" s="161">
        <f t="shared" si="1"/>
        <v>0</v>
      </c>
      <c r="I51" s="191">
        <f t="shared" si="5"/>
        <v>0</v>
      </c>
      <c r="J51" s="161"/>
      <c r="L51" s="160" t="s">
        <v>2752</v>
      </c>
      <c r="M51" s="160">
        <f t="shared" si="6"/>
        <v>1</v>
      </c>
      <c r="N51" s="160" t="s">
        <v>2874</v>
      </c>
      <c r="O51" s="160" t="s">
        <v>2867</v>
      </c>
      <c r="T51" s="160"/>
      <c r="U51" s="160"/>
      <c r="V51" s="160"/>
      <c r="W51" s="160"/>
      <c r="X51" s="160"/>
    </row>
    <row r="52" spans="2:24">
      <c r="B52" s="161" t="s">
        <v>2881</v>
      </c>
      <c r="C52" s="161">
        <v>2489373</v>
      </c>
      <c r="D52" s="161">
        <v>0</v>
      </c>
      <c r="E52" s="161">
        <v>0</v>
      </c>
      <c r="F52" s="161"/>
      <c r="G52" s="161">
        <f t="shared" si="7"/>
        <v>0</v>
      </c>
      <c r="H52" s="161">
        <f t="shared" si="1"/>
        <v>0</v>
      </c>
      <c r="I52" s="191">
        <f t="shared" si="5"/>
        <v>0</v>
      </c>
      <c r="J52" s="161"/>
      <c r="L52" s="160" t="s">
        <v>2882</v>
      </c>
      <c r="M52" s="160">
        <f t="shared" si="6"/>
        <v>0</v>
      </c>
      <c r="N52" s="160" t="s">
        <v>2866</v>
      </c>
      <c r="O52" s="160" t="s">
        <v>2867</v>
      </c>
      <c r="T52" s="160"/>
      <c r="U52" s="160"/>
      <c r="V52" s="160"/>
      <c r="W52" s="160"/>
      <c r="X52" s="160"/>
    </row>
    <row r="53" spans="2:24">
      <c r="B53" s="161" t="s">
        <v>2883</v>
      </c>
      <c r="C53" s="161">
        <v>2311561</v>
      </c>
      <c r="D53" s="161">
        <v>0</v>
      </c>
      <c r="E53" s="161">
        <v>0</v>
      </c>
      <c r="F53" s="161"/>
      <c r="G53" s="161">
        <f t="shared" si="7"/>
        <v>0</v>
      </c>
      <c r="H53" s="161">
        <f t="shared" si="1"/>
        <v>0</v>
      </c>
      <c r="I53" s="191">
        <f t="shared" si="5"/>
        <v>0</v>
      </c>
      <c r="J53" s="161"/>
      <c r="L53" s="160" t="s">
        <v>2884</v>
      </c>
      <c r="M53" s="160">
        <f t="shared" si="6"/>
        <v>0</v>
      </c>
      <c r="N53" s="160" t="s">
        <v>2866</v>
      </c>
      <c r="O53" s="160" t="s">
        <v>2867</v>
      </c>
      <c r="T53" s="160"/>
      <c r="U53" s="160"/>
      <c r="V53" s="160"/>
      <c r="W53" s="160"/>
      <c r="X53" s="160"/>
    </row>
    <row r="54" spans="2:24">
      <c r="B54" s="161" t="s">
        <v>2885</v>
      </c>
      <c r="C54" s="161">
        <v>2133748</v>
      </c>
      <c r="D54" s="161">
        <v>0</v>
      </c>
      <c r="E54" s="161">
        <v>0</v>
      </c>
      <c r="F54" s="161"/>
      <c r="G54" s="161">
        <f t="shared" si="7"/>
        <v>0</v>
      </c>
      <c r="H54" s="161">
        <f t="shared" si="1"/>
        <v>0</v>
      </c>
      <c r="I54" s="191">
        <f t="shared" si="5"/>
        <v>0</v>
      </c>
      <c r="J54" s="161"/>
      <c r="L54" s="160" t="s">
        <v>2886</v>
      </c>
      <c r="M54" s="160">
        <f t="shared" si="6"/>
        <v>0</v>
      </c>
      <c r="N54" s="160" t="s">
        <v>2866</v>
      </c>
      <c r="O54" s="160" t="s">
        <v>2867</v>
      </c>
      <c r="T54" s="160"/>
      <c r="U54" s="160"/>
      <c r="V54" s="160"/>
      <c r="W54" s="160"/>
      <c r="X54" s="160"/>
    </row>
    <row r="55" spans="2:24">
      <c r="B55" s="161" t="s">
        <v>2887</v>
      </c>
      <c r="C55" s="161">
        <v>8712805</v>
      </c>
      <c r="D55" s="161">
        <v>0</v>
      </c>
      <c r="E55" s="161">
        <v>0</v>
      </c>
      <c r="F55" s="161"/>
      <c r="G55" s="161">
        <f t="shared" si="7"/>
        <v>0</v>
      </c>
      <c r="H55" s="161">
        <f t="shared" si="1"/>
        <v>0</v>
      </c>
      <c r="I55" s="191">
        <f t="shared" si="5"/>
        <v>0</v>
      </c>
      <c r="J55" s="161"/>
      <c r="L55" s="160" t="s">
        <v>2763</v>
      </c>
      <c r="M55" s="160">
        <f t="shared" si="6"/>
        <v>0</v>
      </c>
      <c r="N55" s="160" t="s">
        <v>2866</v>
      </c>
      <c r="O55" s="160" t="s">
        <v>2867</v>
      </c>
      <c r="T55" s="160"/>
      <c r="U55" s="160"/>
      <c r="V55" s="160"/>
      <c r="W55" s="160"/>
      <c r="X55" s="160"/>
    </row>
    <row r="56" spans="2:24">
      <c r="B56" s="161" t="s">
        <v>2888</v>
      </c>
      <c r="C56" s="161">
        <v>8297910</v>
      </c>
      <c r="D56" s="161">
        <v>0</v>
      </c>
      <c r="E56" s="161">
        <v>0</v>
      </c>
      <c r="F56" s="161"/>
      <c r="G56" s="161">
        <f t="shared" si="7"/>
        <v>0</v>
      </c>
      <c r="H56" s="161">
        <f t="shared" si="1"/>
        <v>0</v>
      </c>
      <c r="I56" s="191">
        <f t="shared" si="5"/>
        <v>0</v>
      </c>
      <c r="J56" s="161"/>
      <c r="L56" s="160" t="s">
        <v>2757</v>
      </c>
      <c r="M56" s="160">
        <f t="shared" si="6"/>
        <v>0</v>
      </c>
      <c r="N56" s="160" t="s">
        <v>2794</v>
      </c>
      <c r="O56" s="160" t="s">
        <v>2867</v>
      </c>
      <c r="P56" s="192">
        <v>0.1</v>
      </c>
      <c r="Q56" s="160">
        <v>102</v>
      </c>
      <c r="T56" s="160"/>
      <c r="U56" s="160"/>
      <c r="V56" s="160"/>
      <c r="W56" s="160"/>
      <c r="X56" s="160"/>
    </row>
    <row r="57" spans="2:24">
      <c r="B57" s="161" t="s">
        <v>2889</v>
      </c>
      <c r="C57" s="161">
        <v>7883014</v>
      </c>
      <c r="D57" s="161">
        <v>0</v>
      </c>
      <c r="E57" s="161">
        <v>0</v>
      </c>
      <c r="F57" s="161"/>
      <c r="G57" s="161">
        <f t="shared" si="7"/>
        <v>0</v>
      </c>
      <c r="H57" s="161">
        <f t="shared" si="1"/>
        <v>0</v>
      </c>
      <c r="I57" s="191">
        <f t="shared" si="5"/>
        <v>0</v>
      </c>
      <c r="J57" s="161"/>
      <c r="L57" s="160" t="s">
        <v>2742</v>
      </c>
      <c r="M57" s="160">
        <v>0</v>
      </c>
      <c r="N57" s="160" t="s">
        <v>2768</v>
      </c>
      <c r="O57" s="160" t="s">
        <v>2867</v>
      </c>
      <c r="P57" s="192">
        <v>0.1</v>
      </c>
      <c r="Q57" s="160">
        <v>102</v>
      </c>
      <c r="T57" s="160"/>
      <c r="U57" s="160"/>
      <c r="V57" s="160"/>
      <c r="W57" s="160"/>
      <c r="X57" s="160"/>
    </row>
    <row r="58" spans="2:24">
      <c r="B58" s="161" t="s">
        <v>2890</v>
      </c>
      <c r="C58" s="161">
        <v>7468119</v>
      </c>
      <c r="D58" s="161">
        <v>0</v>
      </c>
      <c r="E58" s="161">
        <v>0</v>
      </c>
      <c r="F58" s="161"/>
      <c r="G58" s="161">
        <f t="shared" si="7"/>
        <v>0</v>
      </c>
      <c r="H58" s="161">
        <f t="shared" si="1"/>
        <v>0</v>
      </c>
      <c r="I58" s="191">
        <f t="shared" si="5"/>
        <v>0</v>
      </c>
      <c r="J58" s="161"/>
      <c r="L58" s="160" t="s">
        <v>2750</v>
      </c>
      <c r="M58" s="160">
        <f t="shared" si="6"/>
        <v>1</v>
      </c>
      <c r="N58" s="160" t="s">
        <v>2866</v>
      </c>
      <c r="O58" s="160" t="s">
        <v>2867</v>
      </c>
      <c r="T58" s="160"/>
      <c r="U58" s="160"/>
      <c r="V58" s="160"/>
      <c r="W58" s="160"/>
      <c r="X58" s="160"/>
    </row>
    <row r="59" spans="2:24">
      <c r="B59" s="161" t="s">
        <v>2891</v>
      </c>
      <c r="C59" s="161">
        <v>7053223</v>
      </c>
      <c r="D59" s="161">
        <v>0</v>
      </c>
      <c r="E59" s="161">
        <v>0</v>
      </c>
      <c r="F59" s="161"/>
      <c r="G59" s="161">
        <f t="shared" si="7"/>
        <v>0</v>
      </c>
      <c r="H59" s="161">
        <f t="shared" si="1"/>
        <v>0</v>
      </c>
      <c r="I59" s="191">
        <f t="shared" si="5"/>
        <v>0</v>
      </c>
      <c r="J59" s="161"/>
      <c r="L59" s="160" t="s">
        <v>2759</v>
      </c>
      <c r="M59" s="160">
        <f t="shared" si="6"/>
        <v>0</v>
      </c>
      <c r="N59" s="160" t="s">
        <v>2866</v>
      </c>
      <c r="O59" s="160" t="s">
        <v>2867</v>
      </c>
      <c r="R59" s="160">
        <v>307</v>
      </c>
      <c r="T59" s="160"/>
      <c r="U59" s="160"/>
      <c r="V59" s="160"/>
      <c r="W59" s="160"/>
      <c r="X59" s="160"/>
    </row>
    <row r="60" spans="2:24">
      <c r="B60" s="161" t="s">
        <v>2892</v>
      </c>
      <c r="C60" s="161">
        <v>6638328</v>
      </c>
      <c r="D60" s="161">
        <v>0</v>
      </c>
      <c r="E60" s="161">
        <v>0</v>
      </c>
      <c r="F60" s="161"/>
      <c r="G60" s="161">
        <f t="shared" si="7"/>
        <v>0</v>
      </c>
      <c r="H60" s="161">
        <f t="shared" si="1"/>
        <v>0</v>
      </c>
      <c r="I60" s="191">
        <f t="shared" si="5"/>
        <v>0</v>
      </c>
      <c r="J60" s="161"/>
      <c r="L60" s="160" t="s">
        <v>2761</v>
      </c>
      <c r="M60" s="160">
        <f t="shared" si="6"/>
        <v>0</v>
      </c>
      <c r="N60" s="160" t="s">
        <v>2866</v>
      </c>
      <c r="O60" s="160" t="s">
        <v>2867</v>
      </c>
      <c r="P60" s="192">
        <v>0.15</v>
      </c>
      <c r="R60" s="160">
        <v>153</v>
      </c>
      <c r="T60" s="160"/>
      <c r="U60" s="160"/>
      <c r="V60" s="160"/>
      <c r="W60" s="160"/>
      <c r="X60" s="160"/>
    </row>
    <row r="61" spans="2:24">
      <c r="B61" s="161" t="s">
        <v>2893</v>
      </c>
      <c r="C61" s="161">
        <v>6223432</v>
      </c>
      <c r="D61" s="161">
        <v>0</v>
      </c>
      <c r="E61" s="161">
        <v>0</v>
      </c>
      <c r="F61" s="161"/>
      <c r="G61" s="161">
        <f t="shared" si="7"/>
        <v>0</v>
      </c>
      <c r="H61" s="161">
        <f t="shared" si="1"/>
        <v>0</v>
      </c>
      <c r="I61" s="191">
        <f t="shared" si="5"/>
        <v>0</v>
      </c>
      <c r="J61" s="161"/>
      <c r="L61" s="160" t="s">
        <v>2746</v>
      </c>
      <c r="M61" s="160">
        <f t="shared" si="6"/>
        <v>1</v>
      </c>
      <c r="N61" s="160" t="s">
        <v>2866</v>
      </c>
      <c r="O61" s="160" t="s">
        <v>2867</v>
      </c>
      <c r="R61" s="160">
        <v>153</v>
      </c>
      <c r="T61" s="160"/>
      <c r="U61" s="160"/>
      <c r="V61" s="160"/>
      <c r="W61" s="160"/>
      <c r="X61" s="160"/>
    </row>
    <row r="62" spans="2:24">
      <c r="B62" s="161" t="s">
        <v>2894</v>
      </c>
      <c r="C62" s="161">
        <v>5808537</v>
      </c>
      <c r="D62" s="161">
        <v>0</v>
      </c>
      <c r="E62" s="161">
        <v>0</v>
      </c>
      <c r="F62" s="161"/>
      <c r="G62" s="161">
        <f t="shared" si="7"/>
        <v>0</v>
      </c>
      <c r="H62" s="161">
        <f t="shared" si="1"/>
        <v>0</v>
      </c>
      <c r="I62" s="191">
        <f t="shared" si="5"/>
        <v>0</v>
      </c>
      <c r="J62" s="161"/>
      <c r="L62" s="160" t="s">
        <v>2746</v>
      </c>
      <c r="M62" s="160">
        <f t="shared" si="6"/>
        <v>1</v>
      </c>
      <c r="N62" s="160" t="s">
        <v>2866</v>
      </c>
      <c r="O62" s="160" t="s">
        <v>2867</v>
      </c>
      <c r="R62" s="160">
        <v>102</v>
      </c>
      <c r="T62" s="160"/>
      <c r="U62" s="160"/>
      <c r="V62" s="160"/>
      <c r="W62" s="160"/>
      <c r="X62" s="160"/>
    </row>
    <row r="63" spans="2:24">
      <c r="B63" s="161" t="s">
        <v>2895</v>
      </c>
      <c r="C63" s="161">
        <v>5393641</v>
      </c>
      <c r="D63" s="161">
        <v>0</v>
      </c>
      <c r="E63" s="161">
        <v>0</v>
      </c>
      <c r="F63" s="161"/>
      <c r="G63" s="161">
        <f t="shared" si="7"/>
        <v>0</v>
      </c>
      <c r="H63" s="161">
        <f t="shared" si="1"/>
        <v>0</v>
      </c>
      <c r="I63" s="191">
        <f t="shared" si="5"/>
        <v>0</v>
      </c>
      <c r="J63" s="161"/>
      <c r="L63" s="160" t="s">
        <v>2896</v>
      </c>
      <c r="M63" s="160">
        <f>(COUNTIF(配装计算器!C25,"*11650小橙武*")+COUNTIF(配装计算器!C25,"*35000*小橙武*")+COUNTIF(配装计算器!C25,"*39750*小橙武*"))*内置配装器+(IF(配装计算器!AC20="35000小橙武",1,0)+IF(配装计算器!AC20="39750小橙武",1,0))*自输入属性</f>
        <v>0</v>
      </c>
      <c r="N63" s="160" t="s">
        <v>2813</v>
      </c>
      <c r="O63" s="160" t="s">
        <v>2127</v>
      </c>
      <c r="P63" s="192">
        <v>0.05</v>
      </c>
      <c r="T63" s="160"/>
      <c r="U63" s="160"/>
      <c r="V63" s="160"/>
      <c r="W63" s="160"/>
      <c r="X63" s="160"/>
    </row>
    <row r="64" spans="2:24">
      <c r="B64" s="161" t="s">
        <v>2897</v>
      </c>
      <c r="C64" s="161">
        <v>4978746</v>
      </c>
      <c r="D64" s="161">
        <v>0</v>
      </c>
      <c r="E64" s="161">
        <v>0</v>
      </c>
      <c r="F64" s="161"/>
      <c r="G64" s="161">
        <f t="shared" si="7"/>
        <v>0</v>
      </c>
      <c r="H64" s="161">
        <f t="shared" si="1"/>
        <v>0</v>
      </c>
      <c r="I64" s="191">
        <f t="shared" si="5"/>
        <v>0</v>
      </c>
      <c r="J64" s="161"/>
      <c r="L64" s="160" t="s">
        <v>2898</v>
      </c>
      <c r="M64" s="160">
        <f>(COUNTIF(配装计算器!C26,"*11650小橙武*")+COUNTIF(配装计算器!C26,"*35000*小橙武*")+COUNTIF(配装计算器!C26,"*39750*小橙武*"))*内置配装器+(IF(配装计算器!AC21="35000小橙武",1,0)+IF(配装计算器!AC21="39750小橙武",1,0))*自输入属性</f>
        <v>0</v>
      </c>
      <c r="N64" s="160" t="s">
        <v>2768</v>
      </c>
      <c r="O64" s="160" t="s">
        <v>2127</v>
      </c>
      <c r="P64" s="192">
        <v>0.05</v>
      </c>
      <c r="T64" s="160"/>
      <c r="U64" s="160"/>
      <c r="V64" s="160"/>
      <c r="W64" s="160"/>
      <c r="X64" s="160"/>
    </row>
    <row r="65" spans="2:24">
      <c r="B65" s="161" t="s">
        <v>2786</v>
      </c>
      <c r="C65" s="161">
        <f>317.5*0</f>
        <v>0</v>
      </c>
      <c r="D65" s="161">
        <f>300*1.2*0.75*0.45*0</f>
        <v>0</v>
      </c>
      <c r="E65" s="161">
        <f>1024*0</f>
        <v>0</v>
      </c>
      <c r="F65" s="161"/>
      <c r="G65" s="161">
        <f t="shared" si="7"/>
        <v>0</v>
      </c>
      <c r="H65" s="161">
        <f t="shared" si="1"/>
        <v>0</v>
      </c>
      <c r="I65" s="191">
        <f t="shared" si="5"/>
        <v>0</v>
      </c>
      <c r="J65" s="161" t="s">
        <v>2899</v>
      </c>
      <c r="L65" s="160" t="s">
        <v>2900</v>
      </c>
      <c r="M65" s="160">
        <f>(COUNTIF(配装计算器!C25,"*大橙武*"))*内置配装器+IF(配装计算器!AC20="大橙武",1,0)*自输入属性</f>
        <v>1</v>
      </c>
      <c r="N65" s="160" t="s">
        <v>2901</v>
      </c>
      <c r="O65" s="160" t="s">
        <v>2127</v>
      </c>
      <c r="R65" s="160">
        <v>51</v>
      </c>
      <c r="T65" s="160"/>
      <c r="U65" s="160"/>
      <c r="V65" s="160"/>
      <c r="W65" s="160"/>
      <c r="X65" s="160"/>
    </row>
    <row r="66" spans="2:24">
      <c r="B66" s="161" t="s">
        <v>2902</v>
      </c>
      <c r="C66" s="161">
        <v>317.5</v>
      </c>
      <c r="D66" s="161">
        <f>200*1.2*1.5</f>
        <v>360</v>
      </c>
      <c r="E66" s="161">
        <v>1024</v>
      </c>
      <c r="F66" s="161"/>
      <c r="G66" s="161">
        <f t="shared" si="7"/>
        <v>2.25</v>
      </c>
      <c r="H66" s="161">
        <f t="shared" si="1"/>
        <v>1</v>
      </c>
      <c r="I66" s="191">
        <f t="shared" si="5"/>
        <v>0</v>
      </c>
      <c r="J66" s="161" t="s">
        <v>2903</v>
      </c>
      <c r="L66" s="160" t="s">
        <v>2904</v>
      </c>
      <c r="M66" s="160">
        <f>COUNTIF(配装计算器!C26,"*大橙武*")*内置配装器+IF(COUNTIF(配装计算器!AC21,"*大橙武*")&gt;0,1,0)*自输入属性</f>
        <v>1</v>
      </c>
      <c r="N66" s="160" t="s">
        <v>2905</v>
      </c>
      <c r="O66" s="160" t="s">
        <v>2127</v>
      </c>
      <c r="R66" s="160">
        <v>51</v>
      </c>
      <c r="T66" s="160"/>
      <c r="U66" s="160"/>
      <c r="V66" s="160"/>
      <c r="W66" s="160"/>
      <c r="X66" s="160"/>
    </row>
    <row r="67" spans="2:24">
      <c r="B67" s="161" t="s">
        <v>2906</v>
      </c>
      <c r="C67" s="161">
        <v>317.5</v>
      </c>
      <c r="D67" s="161">
        <f>150*1.2*1.5</f>
        <v>270</v>
      </c>
      <c r="E67" s="161">
        <v>1024</v>
      </c>
      <c r="F67" s="161"/>
      <c r="G67" s="161">
        <f t="shared" si="7"/>
        <v>1.6875</v>
      </c>
      <c r="H67" s="161">
        <f t="shared" si="1"/>
        <v>1</v>
      </c>
      <c r="I67" s="191">
        <f t="shared" si="5"/>
        <v>0</v>
      </c>
      <c r="J67" s="161" t="s">
        <v>2903</v>
      </c>
      <c r="L67" s="160" t="s">
        <v>2907</v>
      </c>
      <c r="M67" s="160">
        <f>IF(COUNTIF(装备选择!N2:N7,"*天极*30200*")+COUNTIF(装备选择!N2:N7,"*牧川*35300*")+COUNTIF(装备选择!N2:N7,"*玄阙*41400*")&gt;=4,1,0)*内置配装器+IF(配装计算器!AC17="有",1,0)*自输入属性</f>
        <v>0</v>
      </c>
      <c r="N67" s="160" t="s">
        <v>2776</v>
      </c>
      <c r="O67" s="160" t="s">
        <v>2127</v>
      </c>
      <c r="R67" s="160">
        <v>102</v>
      </c>
      <c r="T67" s="160"/>
      <c r="U67" s="160"/>
      <c r="V67" s="160"/>
      <c r="W67" s="160"/>
      <c r="X67" s="160"/>
    </row>
    <row r="68" spans="2:24">
      <c r="B68" s="161" t="s">
        <v>2794</v>
      </c>
      <c r="C68" s="161">
        <v>231.5</v>
      </c>
      <c r="D68" s="190">
        <f>160*0.7*1.1*1.1*1.1*1.1*1.15*2*1.05*1.1</f>
        <v>435.6107448</v>
      </c>
      <c r="E68" s="161">
        <v>2048</v>
      </c>
      <c r="F68" s="161"/>
      <c r="G68" s="161">
        <f t="shared" ref="G68:G73" si="8">INT(D68)/160</f>
        <v>2.71875</v>
      </c>
      <c r="H68" s="161">
        <f t="shared" ref="H68:H73" si="9">E68/1024</f>
        <v>2</v>
      </c>
      <c r="I68" s="191">
        <f t="shared" si="5"/>
        <v>0</v>
      </c>
      <c r="J68" s="161" t="s">
        <v>2908</v>
      </c>
      <c r="L68" s="160" t="s">
        <v>1886</v>
      </c>
      <c r="M68" s="160">
        <f>IF(AND(配装计算器!V14&lt;&gt;"无",COUNTIF(配装计算器!C25,"*苌弘化碧*")+COUNTIF(配装计算器!C26,"*岚尘金蛇*")=2),1,0)*0</f>
        <v>0</v>
      </c>
      <c r="N68" s="160" t="s">
        <v>2866</v>
      </c>
      <c r="O68" s="160" t="s">
        <v>2127</v>
      </c>
      <c r="T68" s="160"/>
      <c r="U68" s="160"/>
      <c r="V68" s="160"/>
      <c r="W68" s="160"/>
      <c r="X68" s="160"/>
    </row>
    <row r="69" spans="2:24">
      <c r="B69" s="161" t="s">
        <v>2798</v>
      </c>
      <c r="C69" s="161">
        <v>1504.5</v>
      </c>
      <c r="D69" s="190">
        <f>450*0.8*1.1*1.05*1.1</f>
        <v>457.38</v>
      </c>
      <c r="E69" s="161">
        <v>0</v>
      </c>
      <c r="F69" s="161"/>
      <c r="G69" s="161">
        <f t="shared" si="8"/>
        <v>2.85625</v>
      </c>
      <c r="H69" s="161">
        <f t="shared" si="9"/>
        <v>0</v>
      </c>
      <c r="I69" s="191">
        <f t="shared" si="5"/>
        <v>0</v>
      </c>
      <c r="J69" s="161" t="s">
        <v>2909</v>
      </c>
      <c r="L69" s="160" t="s">
        <v>2910</v>
      </c>
      <c r="M69" s="160">
        <f>COUNTIF(配装计算器!V14,"*秋*")*0</f>
        <v>0</v>
      </c>
      <c r="T69" s="160"/>
      <c r="U69" s="160"/>
      <c r="V69" s="160"/>
      <c r="W69" s="160"/>
      <c r="X69" s="160"/>
    </row>
    <row r="70" spans="2:24">
      <c r="B70" s="161" t="s">
        <v>2801</v>
      </c>
      <c r="C70" s="161">
        <v>291</v>
      </c>
      <c r="D70" s="161">
        <f>250*1.1*1.1</f>
        <v>302.5</v>
      </c>
      <c r="E70" s="161">
        <v>2048</v>
      </c>
      <c r="F70" s="161"/>
      <c r="G70" s="161">
        <f t="shared" si="8"/>
        <v>1.8875</v>
      </c>
      <c r="H70" s="161">
        <f t="shared" si="9"/>
        <v>2</v>
      </c>
      <c r="I70" s="191">
        <f t="shared" si="5"/>
        <v>0</v>
      </c>
      <c r="J70" s="161" t="s">
        <v>2911</v>
      </c>
      <c r="L70" s="160" t="s">
        <v>2912</v>
      </c>
      <c r="M70" s="160">
        <f>COUNTIF(配装计算器!V14,"*秋*双切*")*0</f>
        <v>0</v>
      </c>
      <c r="T70" s="160"/>
      <c r="U70" s="160"/>
      <c r="V70" s="160"/>
      <c r="W70" s="160"/>
      <c r="X70" s="160"/>
    </row>
    <row r="71" spans="2:24">
      <c r="B71" s="161" t="s">
        <v>2741</v>
      </c>
      <c r="C71" s="161">
        <v>68.5</v>
      </c>
      <c r="D71" s="161">
        <f>48*1.1</f>
        <v>52.8</v>
      </c>
      <c r="E71" s="161">
        <v>1024</v>
      </c>
      <c r="F71" s="161"/>
      <c r="G71" s="161">
        <f t="shared" si="8"/>
        <v>0.325</v>
      </c>
      <c r="H71" s="161">
        <f t="shared" si="9"/>
        <v>1</v>
      </c>
      <c r="I71" s="191">
        <f t="shared" si="5"/>
        <v>0</v>
      </c>
      <c r="J71" s="161" t="s">
        <v>2913</v>
      </c>
      <c r="L71" s="160" t="s">
        <v>2753</v>
      </c>
      <c r="M71" s="160">
        <f t="shared" ref="M71:M73" si="10">COUNTIF($Z$2:$AK$2,L71)</f>
        <v>0</v>
      </c>
      <c r="O71" s="160">
        <f>512/1024</f>
        <v>0.5</v>
      </c>
      <c r="T71" s="160"/>
      <c r="U71" s="160"/>
      <c r="V71" s="160"/>
      <c r="W71" s="160"/>
      <c r="X71" s="160"/>
    </row>
    <row r="72" spans="2:24">
      <c r="B72" s="161" t="s">
        <v>2722</v>
      </c>
      <c r="C72" s="161">
        <v>145.5</v>
      </c>
      <c r="D72" s="190">
        <f>144*1.1*1.15*1.1*1.15*1.1*1.5*1.2*1.15*1.5*1.05</f>
        <v>826.39395531</v>
      </c>
      <c r="E72" s="161">
        <v>1024</v>
      </c>
      <c r="F72" s="161"/>
      <c r="G72" s="161">
        <f t="shared" si="8"/>
        <v>5.1625</v>
      </c>
      <c r="H72" s="161">
        <f t="shared" si="9"/>
        <v>1</v>
      </c>
      <c r="I72" s="191">
        <f t="shared" si="5"/>
        <v>0</v>
      </c>
      <c r="J72" s="161" t="s">
        <v>2914</v>
      </c>
      <c r="L72" s="160" t="s">
        <v>2760</v>
      </c>
      <c r="M72" s="160">
        <f t="shared" si="10"/>
        <v>0</v>
      </c>
      <c r="T72" s="160"/>
      <c r="U72" s="160"/>
      <c r="V72" s="160"/>
      <c r="W72" s="160"/>
      <c r="X72" s="160"/>
    </row>
    <row r="73" spans="2:24">
      <c r="B73" s="161" t="s">
        <v>2915</v>
      </c>
      <c r="C73" s="161">
        <f>110+11/2</f>
        <v>115.5</v>
      </c>
      <c r="D73" s="161">
        <f>144*1.1/2</f>
        <v>79.2</v>
      </c>
      <c r="E73" s="161">
        <v>1024</v>
      </c>
      <c r="F73" s="161"/>
      <c r="G73" s="161">
        <f t="shared" si="8"/>
        <v>0.49375</v>
      </c>
      <c r="H73" s="161">
        <f t="shared" si="9"/>
        <v>1</v>
      </c>
      <c r="I73" s="191">
        <f t="shared" ref="I73:I76" si="11">INT((1024*1024)*COUNTIF(B73,"*破招*")+F73)/(1024*1024)</f>
        <v>0</v>
      </c>
      <c r="J73" s="161" t="s">
        <v>2916</v>
      </c>
      <c r="L73" s="160" t="s">
        <v>2838</v>
      </c>
      <c r="M73" s="160">
        <f t="shared" si="10"/>
        <v>1</v>
      </c>
      <c r="T73" s="160"/>
      <c r="U73" s="160"/>
      <c r="V73" s="160"/>
      <c r="W73" s="160"/>
      <c r="X73" s="160"/>
    </row>
    <row r="74" spans="2:24">
      <c r="B74" s="161" t="s">
        <v>2917</v>
      </c>
      <c r="C74" s="161">
        <f>附魔库!I106*附魔库!L106+附魔库!I107*附魔库!L107+附魔库!I124*附魔库!L124+附魔库!I125*附魔库!L125+附魔库!I142*附魔库!L142+附魔库!I143*附魔库!L143+附魔库!I165*附魔库!L165+附魔库!I166*附魔库!L166</f>
        <v>898344</v>
      </c>
      <c r="D74" s="161">
        <v>0</v>
      </c>
      <c r="E74" s="161">
        <v>0</v>
      </c>
      <c r="F74" s="161"/>
      <c r="G74" s="161">
        <f t="shared" ref="G74:G76" si="12">INT(D74)/160</f>
        <v>0</v>
      </c>
      <c r="H74" s="161">
        <f t="shared" ref="H74:H76" si="13">E74/1024</f>
        <v>0</v>
      </c>
      <c r="I74" s="191">
        <f t="shared" si="11"/>
        <v>0</v>
      </c>
      <c r="J74" s="161" t="s">
        <v>2918</v>
      </c>
      <c r="L74" s="160" t="s">
        <v>2919</v>
      </c>
      <c r="M74" s="160">
        <f>INT(N74)</f>
        <v>0</v>
      </c>
      <c r="N74" s="160" t="b">
        <v>0</v>
      </c>
      <c r="O74" s="160" t="s">
        <v>2721</v>
      </c>
      <c r="R74" s="160">
        <v>21</v>
      </c>
      <c r="T74" s="160"/>
      <c r="U74" s="160"/>
      <c r="V74" s="160"/>
      <c r="W74" s="160"/>
      <c r="X74" s="160"/>
    </row>
    <row r="75" spans="2:24">
      <c r="B75" s="161" t="s">
        <v>2920</v>
      </c>
      <c r="C75" s="161">
        <v>1</v>
      </c>
      <c r="D75" s="161">
        <v>50</v>
      </c>
      <c r="E75" s="161">
        <v>0</v>
      </c>
      <c r="F75" s="161"/>
      <c r="G75" s="161">
        <f t="shared" si="12"/>
        <v>0.3125</v>
      </c>
      <c r="H75" s="161">
        <f t="shared" si="13"/>
        <v>0</v>
      </c>
      <c r="I75" s="191">
        <f t="shared" si="11"/>
        <v>0</v>
      </c>
      <c r="J75" s="161" t="s">
        <v>2921</v>
      </c>
      <c r="T75" s="160"/>
      <c r="U75" s="160"/>
      <c r="V75" s="160"/>
      <c r="W75" s="160"/>
      <c r="X75" s="160"/>
    </row>
    <row r="76" spans="2:24">
      <c r="B76" s="161" t="s">
        <v>2922</v>
      </c>
      <c r="C76" s="161">
        <f>特效护手伤害</f>
        <v>0</v>
      </c>
      <c r="D76" s="161">
        <v>0</v>
      </c>
      <c r="E76" s="161">
        <v>0</v>
      </c>
      <c r="F76" s="161"/>
      <c r="G76" s="161">
        <f t="shared" si="12"/>
        <v>0</v>
      </c>
      <c r="H76" s="161">
        <f t="shared" si="13"/>
        <v>0</v>
      </c>
      <c r="I76" s="191">
        <f t="shared" si="11"/>
        <v>0</v>
      </c>
      <c r="J76" s="161" t="s">
        <v>2923</v>
      </c>
      <c r="T76" s="160"/>
      <c r="U76" s="160"/>
      <c r="V76" s="160"/>
      <c r="W76" s="160"/>
      <c r="X76" s="160"/>
    </row>
    <row r="77" spans="2:24">
      <c r="B77" s="161" t="s">
        <v>2924</v>
      </c>
      <c r="C77" s="161">
        <f>附魔库!O429</f>
        <v>0</v>
      </c>
      <c r="D77" s="161">
        <v>0</v>
      </c>
      <c r="E77" s="161">
        <v>0</v>
      </c>
      <c r="F77" s="161"/>
      <c r="G77" s="161">
        <f t="shared" ref="G77" si="14">INT(D77)/160</f>
        <v>0</v>
      </c>
      <c r="H77" s="161">
        <f t="shared" ref="H77" si="15">E77/1024</f>
        <v>0</v>
      </c>
      <c r="I77" s="191">
        <f t="shared" ref="I77" si="16">INT((1024*1024)*COUNTIF(B77,"*破招*")+F77)/(1024*1024)</f>
        <v>0</v>
      </c>
      <c r="J77" s="161" t="s">
        <v>2925</v>
      </c>
      <c r="T77" s="160"/>
      <c r="U77" s="160"/>
      <c r="V77" s="160"/>
      <c r="W77" s="160"/>
      <c r="X77" s="160"/>
    </row>
    <row r="78" spans="2:24">
      <c r="T78" s="160"/>
      <c r="U78" s="160"/>
      <c r="V78" s="160"/>
      <c r="W78" s="160"/>
      <c r="X78" s="160"/>
    </row>
    <row r="79" spans="2:24">
      <c r="T79" s="160"/>
      <c r="U79" s="160"/>
      <c r="V79" s="160"/>
      <c r="W79" s="160"/>
      <c r="X79" s="160"/>
    </row>
    <row r="80" spans="2:24">
      <c r="T80" s="160"/>
      <c r="U80" s="160"/>
      <c r="V80" s="160"/>
      <c r="W80" s="160"/>
      <c r="X80" s="160"/>
    </row>
    <row r="81" spans="20:24">
      <c r="T81" s="160"/>
      <c r="U81" s="160"/>
      <c r="V81" s="160"/>
      <c r="W81" s="160"/>
      <c r="X81" s="160"/>
    </row>
    <row r="82" spans="20:24">
      <c r="T82" s="160"/>
      <c r="U82" s="160"/>
      <c r="V82" s="160"/>
      <c r="W82" s="160"/>
      <c r="X82" s="160"/>
    </row>
    <row r="83" spans="20:24">
      <c r="T83" s="160"/>
      <c r="U83" s="160"/>
      <c r="V83" s="160"/>
      <c r="W83" s="160"/>
      <c r="X83" s="160"/>
    </row>
    <row r="84" spans="20:24">
      <c r="T84" s="160"/>
      <c r="U84" s="160"/>
      <c r="V84" s="160"/>
      <c r="W84" s="160"/>
      <c r="X84" s="160"/>
    </row>
    <row r="85" spans="20:24">
      <c r="T85" s="160"/>
      <c r="U85" s="160"/>
      <c r="V85" s="160"/>
      <c r="W85" s="160"/>
      <c r="X85" s="160"/>
    </row>
    <row r="86" spans="20:24">
      <c r="T86" s="160"/>
      <c r="U86" s="160"/>
      <c r="V86" s="160"/>
      <c r="W86" s="160"/>
      <c r="X86" s="160"/>
    </row>
    <row r="87" spans="20:24">
      <c r="T87" s="160"/>
      <c r="U87" s="160"/>
      <c r="V87" s="160"/>
      <c r="W87" s="160"/>
      <c r="X87" s="160"/>
    </row>
    <row r="88" spans="20:24">
      <c r="T88" s="160"/>
      <c r="U88" s="160"/>
      <c r="V88" s="160"/>
      <c r="W88" s="160"/>
      <c r="X88" s="160"/>
    </row>
    <row r="89" spans="20:24">
      <c r="T89" s="160"/>
      <c r="U89" s="160"/>
      <c r="V89" s="160"/>
      <c r="W89" s="160"/>
      <c r="X89" s="160"/>
    </row>
    <row r="90" spans="20:24">
      <c r="T90" s="160"/>
      <c r="U90" s="160"/>
      <c r="V90" s="160"/>
      <c r="W90" s="160"/>
      <c r="X90" s="160"/>
    </row>
    <row r="91" spans="20:24">
      <c r="T91" s="160"/>
      <c r="U91" s="160"/>
      <c r="V91" s="160"/>
      <c r="W91" s="160"/>
      <c r="X91" s="160"/>
    </row>
    <row r="92" spans="20:24">
      <c r="T92" s="160"/>
      <c r="U92" s="160"/>
      <c r="V92" s="160"/>
      <c r="W92" s="160"/>
      <c r="X92" s="160"/>
    </row>
    <row r="93" spans="20:24">
      <c r="T93" s="160"/>
      <c r="U93" s="160"/>
      <c r="V93" s="160"/>
      <c r="W93" s="160"/>
      <c r="X93" s="160"/>
    </row>
    <row r="94" spans="20:24">
      <c r="T94" s="160"/>
      <c r="U94" s="160"/>
      <c r="V94" s="160"/>
      <c r="W94" s="160"/>
      <c r="X94" s="160"/>
    </row>
    <row r="95" spans="20:24">
      <c r="T95" s="160"/>
      <c r="U95" s="160"/>
      <c r="V95" s="160"/>
      <c r="W95" s="160"/>
      <c r="X95" s="160"/>
    </row>
    <row r="96" spans="20:24">
      <c r="T96" s="160"/>
      <c r="U96" s="160"/>
      <c r="V96" s="160"/>
      <c r="W96" s="160"/>
      <c r="X96" s="160"/>
    </row>
    <row r="97" spans="20:24">
      <c r="T97" s="160"/>
      <c r="U97" s="160"/>
      <c r="V97" s="160"/>
      <c r="W97" s="160"/>
      <c r="X97" s="160"/>
    </row>
    <row r="98" spans="20:24">
      <c r="T98" s="160"/>
      <c r="U98" s="160"/>
      <c r="V98" s="160"/>
      <c r="W98" s="160"/>
      <c r="X98" s="160"/>
    </row>
    <row r="99" spans="20:24">
      <c r="T99" s="160"/>
      <c r="U99" s="160"/>
      <c r="V99" s="160"/>
      <c r="W99" s="160"/>
      <c r="X99" s="160"/>
    </row>
    <row r="100" spans="20:24">
      <c r="T100" s="160"/>
      <c r="U100" s="160"/>
      <c r="V100" s="160"/>
      <c r="W100" s="160"/>
      <c r="X100" s="160"/>
    </row>
    <row r="101" spans="20:24">
      <c r="T101" s="160"/>
      <c r="U101" s="160"/>
      <c r="V101" s="160"/>
      <c r="W101" s="160"/>
      <c r="X101" s="160"/>
    </row>
    <row r="102" spans="20:24">
      <c r="T102" s="160"/>
      <c r="U102" s="160"/>
      <c r="V102" s="160"/>
      <c r="W102" s="160"/>
      <c r="X102" s="160"/>
    </row>
    <row r="103" spans="20:24">
      <c r="T103" s="160"/>
      <c r="U103" s="160"/>
      <c r="V103" s="160"/>
      <c r="W103" s="160"/>
      <c r="X103" s="160"/>
    </row>
    <row r="104" spans="20:24">
      <c r="T104" s="160"/>
      <c r="U104" s="160"/>
      <c r="V104" s="160"/>
      <c r="W104" s="160"/>
      <c r="X104" s="160"/>
    </row>
    <row r="105" spans="20:24">
      <c r="T105" s="160"/>
      <c r="U105" s="160"/>
      <c r="V105" s="160"/>
      <c r="W105" s="160"/>
      <c r="X105" s="160"/>
    </row>
    <row r="106" spans="20:24">
      <c r="T106" s="160"/>
      <c r="U106" s="160"/>
      <c r="V106" s="160"/>
      <c r="W106" s="160"/>
      <c r="X106" s="160"/>
    </row>
    <row r="107" spans="20:24">
      <c r="T107" s="160"/>
      <c r="U107" s="160"/>
      <c r="V107" s="160"/>
      <c r="W107" s="160"/>
      <c r="X107" s="160"/>
    </row>
    <row r="108" spans="20:24">
      <c r="T108" s="160"/>
      <c r="U108" s="160"/>
      <c r="V108" s="160"/>
      <c r="W108" s="160"/>
      <c r="X108" s="160"/>
    </row>
    <row r="109" spans="20:24">
      <c r="T109" s="160"/>
      <c r="U109" s="160"/>
      <c r="V109" s="160"/>
      <c r="W109" s="160"/>
      <c r="X109" s="160"/>
    </row>
    <row r="110" spans="20:24">
      <c r="T110" s="160"/>
      <c r="U110" s="160"/>
      <c r="V110" s="160"/>
      <c r="W110" s="160"/>
      <c r="X110" s="160"/>
    </row>
    <row r="111" spans="20:24">
      <c r="T111" s="160"/>
      <c r="U111" s="160"/>
      <c r="V111" s="160"/>
      <c r="W111" s="160"/>
      <c r="X111" s="160"/>
    </row>
    <row r="112" spans="20:24">
      <c r="T112" s="160"/>
      <c r="U112" s="160"/>
      <c r="V112" s="160"/>
      <c r="W112" s="160"/>
      <c r="X112" s="160"/>
    </row>
    <row r="113" spans="20:24">
      <c r="T113" s="160"/>
      <c r="U113" s="160"/>
      <c r="V113" s="160"/>
      <c r="W113" s="160"/>
      <c r="X113" s="160"/>
    </row>
    <row r="114" spans="20:24">
      <c r="T114" s="160"/>
      <c r="U114" s="160"/>
      <c r="V114" s="160"/>
      <c r="W114" s="160"/>
      <c r="X114" s="160"/>
    </row>
    <row r="115" spans="20:24">
      <c r="T115" s="160"/>
      <c r="U115" s="160"/>
      <c r="V115" s="160"/>
      <c r="W115" s="160"/>
      <c r="X115" s="160"/>
    </row>
    <row r="116" spans="20:24">
      <c r="T116" s="160"/>
      <c r="U116" s="160"/>
      <c r="V116" s="160"/>
      <c r="W116" s="160"/>
      <c r="X116" s="160"/>
    </row>
    <row r="117" spans="20:24">
      <c r="T117" s="160"/>
      <c r="U117" s="160"/>
      <c r="V117" s="160"/>
      <c r="W117" s="160"/>
      <c r="X117" s="160"/>
    </row>
    <row r="118" spans="20:24">
      <c r="T118" s="160"/>
      <c r="U118" s="160"/>
      <c r="V118" s="160"/>
      <c r="W118" s="160"/>
      <c r="X118" s="160"/>
    </row>
    <row r="119" spans="20:24">
      <c r="T119" s="160"/>
      <c r="U119" s="160"/>
      <c r="V119" s="160"/>
      <c r="W119" s="160"/>
      <c r="X119" s="160"/>
    </row>
    <row r="120" spans="20:24">
      <c r="T120" s="160"/>
      <c r="U120" s="160"/>
      <c r="V120" s="160"/>
      <c r="W120" s="160"/>
      <c r="X120" s="160"/>
    </row>
    <row r="121" spans="20:24">
      <c r="T121" s="160"/>
      <c r="U121" s="160"/>
      <c r="V121" s="160"/>
      <c r="W121" s="160"/>
      <c r="X121" s="160"/>
    </row>
    <row r="122" spans="20:24">
      <c r="T122" s="160"/>
      <c r="U122" s="160"/>
      <c r="V122" s="160"/>
      <c r="W122" s="160"/>
      <c r="X122" s="160"/>
    </row>
    <row r="123" spans="20:24">
      <c r="T123" s="160"/>
      <c r="U123" s="160"/>
      <c r="V123" s="160"/>
      <c r="W123" s="160"/>
      <c r="X123" s="160"/>
    </row>
    <row r="124" spans="20:24">
      <c r="T124" s="160"/>
      <c r="U124" s="160"/>
      <c r="V124" s="160"/>
      <c r="W124" s="160"/>
      <c r="X124" s="160"/>
    </row>
    <row r="125" spans="20:24">
      <c r="T125" s="160"/>
      <c r="U125" s="160"/>
      <c r="V125" s="160"/>
      <c r="W125" s="160"/>
      <c r="X125" s="160"/>
    </row>
    <row r="126" spans="20:24">
      <c r="T126" s="160"/>
      <c r="U126" s="160"/>
      <c r="V126" s="160"/>
      <c r="W126" s="160"/>
      <c r="X126" s="160"/>
    </row>
    <row r="127" spans="20:24">
      <c r="T127" s="160"/>
      <c r="U127" s="160"/>
      <c r="V127" s="160"/>
      <c r="W127" s="160"/>
      <c r="X127" s="160"/>
    </row>
    <row r="128" spans="20:24">
      <c r="T128" s="160"/>
      <c r="U128" s="160"/>
      <c r="V128" s="160"/>
      <c r="W128" s="160"/>
      <c r="X128" s="160"/>
    </row>
    <row r="129" spans="20:24">
      <c r="T129" s="160"/>
      <c r="U129" s="160"/>
      <c r="V129" s="160"/>
      <c r="W129" s="160"/>
      <c r="X129" s="160"/>
    </row>
    <row r="130" spans="20:24">
      <c r="T130" s="160"/>
      <c r="U130" s="160"/>
      <c r="V130" s="160"/>
      <c r="W130" s="160"/>
      <c r="X130" s="160"/>
    </row>
    <row r="131" spans="20:24">
      <c r="T131" s="160"/>
      <c r="U131" s="160"/>
      <c r="V131" s="160"/>
      <c r="W131" s="160"/>
      <c r="X131" s="160"/>
    </row>
    <row r="132" spans="20:24">
      <c r="T132" s="160"/>
      <c r="U132" s="160"/>
      <c r="V132" s="160"/>
      <c r="W132" s="160"/>
      <c r="X132" s="160"/>
    </row>
    <row r="133" spans="20:24">
      <c r="T133" s="160"/>
      <c r="U133" s="160"/>
      <c r="V133" s="160"/>
      <c r="W133" s="160"/>
      <c r="X133" s="160"/>
    </row>
    <row r="134" spans="20:24">
      <c r="T134" s="160"/>
      <c r="U134" s="160"/>
      <c r="V134" s="160"/>
      <c r="W134" s="160"/>
      <c r="X134" s="160"/>
    </row>
    <row r="135" spans="20:24">
      <c r="T135" s="160"/>
      <c r="U135" s="160"/>
      <c r="V135" s="160"/>
      <c r="W135" s="160"/>
      <c r="X135" s="160"/>
    </row>
    <row r="136" spans="20:24">
      <c r="T136" s="160"/>
      <c r="U136" s="160"/>
      <c r="V136" s="160"/>
      <c r="W136" s="160"/>
      <c r="X136" s="160"/>
    </row>
    <row r="137" spans="20:24">
      <c r="T137" s="160"/>
      <c r="U137" s="160"/>
      <c r="V137" s="160"/>
      <c r="W137" s="160"/>
      <c r="X137" s="160"/>
    </row>
    <row r="138" spans="20:24">
      <c r="T138" s="160"/>
      <c r="U138" s="160"/>
      <c r="V138" s="160"/>
      <c r="W138" s="160"/>
      <c r="X138" s="160"/>
    </row>
    <row r="139" spans="20:24">
      <c r="T139" s="160"/>
      <c r="U139" s="160"/>
      <c r="V139" s="160"/>
      <c r="W139" s="160"/>
      <c r="X139" s="160"/>
    </row>
    <row r="140" spans="20:24">
      <c r="T140" s="160"/>
      <c r="U140" s="160"/>
      <c r="V140" s="160"/>
      <c r="W140" s="160"/>
      <c r="X140" s="160"/>
    </row>
    <row r="141" spans="20:24">
      <c r="T141" s="160"/>
      <c r="U141" s="160"/>
      <c r="V141" s="160"/>
      <c r="W141" s="160"/>
      <c r="X141" s="160"/>
    </row>
    <row r="142" spans="20:24">
      <c r="T142" s="160"/>
      <c r="U142" s="160"/>
      <c r="V142" s="160"/>
      <c r="W142" s="160"/>
      <c r="X142" s="160"/>
    </row>
    <row r="143" spans="20:24">
      <c r="T143" s="160"/>
      <c r="U143" s="160"/>
      <c r="V143" s="160"/>
      <c r="W143" s="160"/>
      <c r="X143" s="160"/>
    </row>
    <row r="144" spans="20:24">
      <c r="T144" s="160"/>
      <c r="U144" s="160"/>
      <c r="V144" s="160"/>
      <c r="W144" s="160"/>
      <c r="X144" s="160"/>
    </row>
    <row r="145" spans="20:24">
      <c r="T145" s="160"/>
      <c r="U145" s="160"/>
      <c r="V145" s="160"/>
      <c r="W145" s="160"/>
      <c r="X145" s="160"/>
    </row>
    <row r="146" spans="20:24">
      <c r="T146" s="160"/>
      <c r="U146" s="160"/>
      <c r="V146" s="160"/>
      <c r="W146" s="160"/>
      <c r="X146" s="160"/>
    </row>
    <row r="147" spans="20:24">
      <c r="T147" s="160"/>
      <c r="U147" s="160"/>
      <c r="V147" s="160"/>
      <c r="W147" s="160"/>
      <c r="X147" s="160"/>
    </row>
    <row r="148" spans="20:24">
      <c r="T148" s="160"/>
      <c r="U148" s="160"/>
      <c r="V148" s="160"/>
      <c r="W148" s="160"/>
      <c r="X148" s="160"/>
    </row>
    <row r="149" spans="20:24">
      <c r="T149" s="160"/>
      <c r="U149" s="160"/>
      <c r="V149" s="160"/>
      <c r="W149" s="160"/>
      <c r="X149" s="160"/>
    </row>
    <row r="150" spans="20:24">
      <c r="T150" s="160"/>
      <c r="U150" s="160"/>
      <c r="V150" s="160"/>
      <c r="W150" s="160"/>
      <c r="X150" s="160"/>
    </row>
    <row r="151" spans="20:24">
      <c r="T151" s="160"/>
      <c r="U151" s="160"/>
      <c r="V151" s="160"/>
      <c r="W151" s="160"/>
      <c r="X151" s="160"/>
    </row>
    <row r="152" spans="20:24">
      <c r="T152" s="160"/>
      <c r="U152" s="160"/>
      <c r="V152" s="160"/>
      <c r="W152" s="160"/>
      <c r="X152" s="160"/>
    </row>
    <row r="153" spans="20:24">
      <c r="T153" s="160"/>
      <c r="U153" s="160"/>
      <c r="V153" s="160"/>
      <c r="W153" s="160"/>
      <c r="X153" s="160"/>
    </row>
    <row r="154" spans="20:24">
      <c r="T154" s="160"/>
      <c r="U154" s="160"/>
      <c r="V154" s="160"/>
      <c r="W154" s="160"/>
      <c r="X154" s="160"/>
    </row>
    <row r="155" spans="20:24">
      <c r="T155" s="160"/>
      <c r="U155" s="160"/>
      <c r="V155" s="160"/>
      <c r="W155" s="160"/>
      <c r="X155" s="160"/>
    </row>
    <row r="156" spans="20:24">
      <c r="T156" s="160"/>
      <c r="U156" s="160"/>
      <c r="V156" s="160"/>
      <c r="W156" s="160"/>
      <c r="X156" s="160"/>
    </row>
    <row r="157" spans="20:24">
      <c r="T157" s="160"/>
      <c r="U157" s="160"/>
      <c r="V157" s="160"/>
      <c r="W157" s="160"/>
      <c r="X157" s="160"/>
    </row>
    <row r="158" spans="20:24">
      <c r="T158" s="160"/>
      <c r="U158" s="160"/>
      <c r="V158" s="160"/>
      <c r="W158" s="160"/>
      <c r="X158" s="160"/>
    </row>
    <row r="159" spans="20:24">
      <c r="T159" s="160"/>
      <c r="U159" s="160"/>
      <c r="V159" s="160"/>
      <c r="W159" s="160"/>
      <c r="X159" s="160"/>
    </row>
    <row r="160" spans="20:24">
      <c r="T160" s="160"/>
      <c r="U160" s="160"/>
      <c r="V160" s="160"/>
      <c r="W160" s="160"/>
      <c r="X160" s="160"/>
    </row>
    <row r="161" spans="20:24">
      <c r="T161" s="160"/>
      <c r="U161" s="160"/>
      <c r="V161" s="160"/>
      <c r="W161" s="160"/>
      <c r="X161" s="160"/>
    </row>
    <row r="162" spans="20:24">
      <c r="T162" s="160"/>
      <c r="U162" s="160"/>
      <c r="V162" s="160"/>
      <c r="W162" s="160"/>
      <c r="X162" s="160"/>
    </row>
    <row r="163" spans="20:24">
      <c r="T163" s="160"/>
      <c r="U163" s="160"/>
      <c r="V163" s="160"/>
      <c r="W163" s="160"/>
      <c r="X163" s="160"/>
    </row>
    <row r="164" spans="20:24">
      <c r="T164" s="160"/>
      <c r="U164" s="160"/>
      <c r="V164" s="160"/>
      <c r="W164" s="160"/>
      <c r="X164" s="160"/>
    </row>
    <row r="165" spans="20:24">
      <c r="T165" s="160"/>
      <c r="U165" s="160"/>
      <c r="V165" s="160"/>
      <c r="W165" s="160"/>
      <c r="X165" s="160"/>
    </row>
    <row r="166" spans="20:24">
      <c r="T166" s="160"/>
      <c r="U166" s="160"/>
      <c r="V166" s="160"/>
      <c r="W166" s="160"/>
      <c r="X166" s="160"/>
    </row>
    <row r="167" spans="20:24">
      <c r="T167" s="160"/>
      <c r="U167" s="160"/>
      <c r="V167" s="160"/>
      <c r="W167" s="160"/>
      <c r="X167" s="160"/>
    </row>
    <row r="168" spans="20:24">
      <c r="T168" s="160"/>
      <c r="U168" s="160"/>
      <c r="V168" s="160"/>
      <c r="W168" s="160"/>
      <c r="X168" s="160"/>
    </row>
    <row r="169" spans="20:24">
      <c r="T169" s="160"/>
      <c r="U169" s="160"/>
      <c r="V169" s="160"/>
      <c r="W169" s="160"/>
      <c r="X169" s="160"/>
    </row>
    <row r="170" spans="20:24">
      <c r="T170" s="160"/>
      <c r="U170" s="160"/>
      <c r="V170" s="160"/>
      <c r="W170" s="160"/>
      <c r="X170" s="160"/>
    </row>
    <row r="171" spans="20:24">
      <c r="T171" s="160"/>
      <c r="U171" s="160"/>
      <c r="V171" s="160"/>
      <c r="W171" s="160"/>
      <c r="X171" s="160"/>
    </row>
    <row r="172" spans="20:24">
      <c r="T172" s="160"/>
      <c r="U172" s="160"/>
      <c r="V172" s="160"/>
      <c r="W172" s="160"/>
      <c r="X172" s="160"/>
    </row>
    <row r="173" spans="20:24">
      <c r="T173" s="160"/>
      <c r="U173" s="160"/>
      <c r="V173" s="160"/>
      <c r="W173" s="160"/>
      <c r="X173" s="160"/>
    </row>
    <row r="174" spans="20:24">
      <c r="T174" s="160"/>
      <c r="U174" s="160"/>
      <c r="V174" s="160"/>
      <c r="W174" s="160"/>
      <c r="X174" s="160"/>
    </row>
    <row r="175" spans="20:24">
      <c r="T175" s="160"/>
      <c r="U175" s="160"/>
      <c r="V175" s="160"/>
      <c r="W175" s="160"/>
      <c r="X175" s="160"/>
    </row>
    <row r="176" spans="20:24">
      <c r="T176" s="160"/>
      <c r="U176" s="160"/>
      <c r="V176" s="160"/>
      <c r="W176" s="160"/>
      <c r="X176" s="160"/>
    </row>
    <row r="177" spans="20:24">
      <c r="T177" s="160"/>
      <c r="U177" s="160"/>
      <c r="V177" s="160"/>
      <c r="W177" s="160"/>
      <c r="X177" s="160"/>
    </row>
    <row r="178" spans="20:24">
      <c r="T178" s="160"/>
      <c r="U178" s="160"/>
      <c r="V178" s="160"/>
      <c r="W178" s="160"/>
      <c r="X178" s="160"/>
    </row>
    <row r="179" spans="20:24">
      <c r="T179" s="160"/>
      <c r="U179" s="160"/>
      <c r="V179" s="160"/>
      <c r="W179" s="160"/>
      <c r="X179" s="160"/>
    </row>
    <row r="180" spans="20:24">
      <c r="T180" s="160"/>
      <c r="U180" s="160"/>
      <c r="V180" s="160"/>
      <c r="W180" s="160"/>
      <c r="X180" s="160"/>
    </row>
    <row r="181" spans="20:24">
      <c r="T181" s="160"/>
      <c r="U181" s="160"/>
      <c r="V181" s="160"/>
      <c r="W181" s="160"/>
      <c r="X181" s="160"/>
    </row>
    <row r="182" spans="20:24">
      <c r="T182" s="160"/>
      <c r="U182" s="160"/>
      <c r="V182" s="160"/>
      <c r="W182" s="160"/>
      <c r="X182" s="160"/>
    </row>
    <row r="183" spans="20:24">
      <c r="T183" s="160"/>
      <c r="U183" s="160"/>
      <c r="V183" s="160"/>
      <c r="W183" s="160"/>
      <c r="X183" s="160"/>
    </row>
    <row r="184" spans="20:24">
      <c r="T184" s="160"/>
      <c r="U184" s="160"/>
      <c r="V184" s="160"/>
      <c r="W184" s="160"/>
      <c r="X184" s="160"/>
    </row>
    <row r="185" spans="20:24">
      <c r="T185" s="160"/>
      <c r="U185" s="160"/>
      <c r="V185" s="160"/>
      <c r="W185" s="160"/>
      <c r="X185" s="160"/>
    </row>
    <row r="186" spans="20:24">
      <c r="T186" s="160"/>
      <c r="U186" s="160"/>
      <c r="V186" s="160"/>
      <c r="W186" s="160"/>
      <c r="X186" s="160"/>
    </row>
  </sheetData>
  <autoFilter xmlns:etc="http://www.wps.cn/officeDocument/2017/etCustomData" ref="B2:J77" etc:filterBottomFollowUsedRange="0">
    <extLst/>
  </autoFilter>
  <customSheetViews>
    <customSheetView guid="{8E53DF33-FD66-42DA-A21D-B11FBF5F6988}" showGridLines="0" topLeftCell="K1">
      <selection activeCell="AD90" sqref="AD90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P21"/>
  <sheetViews>
    <sheetView workbookViewId="0">
      <selection activeCell="BA40" sqref="BA40"/>
    </sheetView>
  </sheetViews>
  <sheetFormatPr defaultColWidth="9" defaultRowHeight="16.8"/>
  <cols>
    <col min="6" max="6" width="17.25" customWidth="1"/>
    <col min="7" max="7" width="11" customWidth="1"/>
    <col min="8" max="9" width="10.625" customWidth="1"/>
    <col min="10" max="10" width="13" customWidth="1"/>
    <col min="12" max="12" width="12.875" customWidth="1"/>
    <col min="13" max="13" width="14.375" customWidth="1"/>
    <col min="14" max="14" width="9.5" customWidth="1"/>
  </cols>
  <sheetData>
    <row r="8" spans="5:16">
      <c r="F8" s="167" t="s">
        <v>2926</v>
      </c>
      <c r="G8" s="167" t="s">
        <v>2927</v>
      </c>
      <c r="H8" s="167" t="s">
        <v>2928</v>
      </c>
      <c r="I8" s="167" t="s">
        <v>2929</v>
      </c>
      <c r="J8" s="167" t="s">
        <v>2930</v>
      </c>
      <c r="K8" s="167" t="s">
        <v>2931</v>
      </c>
      <c r="L8" s="167" t="s">
        <v>2932</v>
      </c>
      <c r="M8" s="167" t="s">
        <v>2933</v>
      </c>
      <c r="P8">
        <f>IFERROR(IF(AND(秋2=0,LEFT(配装计算器!N24,2)*1&gt;34),45,45),45)*(4+金蛇*2)</f>
        <v>180</v>
      </c>
    </row>
    <row r="9" spans="5:16">
      <c r="F9" s="167">
        <f ca="1">额外属性!AR7</f>
        <v>14505</v>
      </c>
      <c r="G9" s="167">
        <f ca="1">额外属性!AS7</f>
        <v>82</v>
      </c>
      <c r="H9" s="167">
        <f ca="1">MAX(INT(1.5*16/1.25)/16,(INT(INT(1.5*16)*1024/(1024+MIN(256,INT(F9/急速系数*1024)+G9)))/16))</f>
        <v>1.25</v>
      </c>
      <c r="I9" s="167">
        <f ca="1">MAX(INT((1.3*1.6+1)/1.25)/16,(INT(INT(1.3*16+1)*1024/(1024+MIN(256,INT(F9/急速系数*1024)+G9)))/16))</f>
        <v>1.125</v>
      </c>
      <c r="J9" s="167">
        <f ca="1">INT(I9*16-1)/160</f>
        <v>0.10625</v>
      </c>
      <c r="K9">
        <f>配装计算器!K29/1000</f>
        <v>0.04</v>
      </c>
      <c r="L9">
        <f ca="1">H9+K9</f>
        <v>1.29</v>
      </c>
      <c r="M9">
        <f ca="1">MAX(INT((1.5-0.125-IF(SUM(夕照秘籍)&gt;2,0,0.125))*16/1.25)/16,(INT(INT((1.5-0.125-IF(SUM(夕照秘籍)&gt;2,0,0.125))*16)*1024/(1024+MIN(256,INT(F11/急速系数*1024)+G11)))/16))</f>
        <v>1.0625</v>
      </c>
    </row>
    <row r="10" spans="5:16">
      <c r="F10" s="167" t="s">
        <v>2934</v>
      </c>
      <c r="G10" s="167" t="s">
        <v>2935</v>
      </c>
      <c r="H10" s="167" t="s">
        <v>2936</v>
      </c>
      <c r="I10" s="167" t="s">
        <v>2937</v>
      </c>
      <c r="J10" s="167" t="s">
        <v>2938</v>
      </c>
      <c r="L10" s="167" t="s">
        <v>2939</v>
      </c>
      <c r="M10" s="167"/>
    </row>
    <row r="11" spans="5:16">
      <c r="F11" s="167">
        <f ca="1">额外属性!AR8</f>
        <v>14505</v>
      </c>
      <c r="G11" s="167">
        <f ca="1">额外属性!AS8</f>
        <v>82</v>
      </c>
      <c r="H11" s="167">
        <f ca="1">MAX(INT(1.5*16/1.25)/16,(INT(INT(1.5*16)*1024/(1024+MIN(256,INT(F11/急速系数*1024)+G11)))/16))</f>
        <v>1.25</v>
      </c>
      <c r="I11" s="167">
        <f ca="1">MAX(INT((2*16+1)/1.25)/16,(INT(INT(2*16+1)*1024/(1024+MIN(256,INT(F11/急速系数*1024)+G11)))/16))</f>
        <v>1.75</v>
      </c>
      <c r="J11" s="167">
        <f ca="1">INT(I11*16-1)/160</f>
        <v>0.16875</v>
      </c>
      <c r="L11">
        <f ca="1">H11+K9</f>
        <v>1.29</v>
      </c>
    </row>
    <row r="13" spans="5:16">
      <c r="E13" t="s">
        <v>2940</v>
      </c>
      <c r="F13">
        <v>0</v>
      </c>
      <c r="G13">
        <v>8</v>
      </c>
      <c r="H13">
        <v>0</v>
      </c>
      <c r="I13">
        <v>0</v>
      </c>
      <c r="P13" t="s">
        <v>2941</v>
      </c>
    </row>
    <row r="14" spans="5:16">
      <c r="E14" t="s">
        <v>2942</v>
      </c>
      <c r="F14">
        <v>1</v>
      </c>
      <c r="G14">
        <f ca="1">MAX(8+0.5-$L$11)</f>
        <v>7.21</v>
      </c>
      <c r="H14">
        <f ca="1">INT((8-G14)/0.5)</f>
        <v>1</v>
      </c>
      <c r="I14">
        <f ca="1">H14</f>
        <v>1</v>
      </c>
      <c r="N14">
        <f ca="1">F11</f>
        <v>14505</v>
      </c>
      <c r="O14">
        <f ca="1">MATCH(N14,N15:N18,1)</f>
        <v>2</v>
      </c>
      <c r="P14">
        <f ca="1">IFERROR(INDEX(P15:P19,O14),12)</f>
        <v>16</v>
      </c>
    </row>
    <row r="15" spans="5:16">
      <c r="E15">
        <f ca="1">INT(8.5/L11)+1</f>
        <v>7</v>
      </c>
      <c r="F15">
        <v>2</v>
      </c>
      <c r="G15">
        <f ca="1">MAX(0,G14-$L$11)</f>
        <v>5.92</v>
      </c>
      <c r="H15">
        <f ca="1" t="shared" ref="H15:H21" si="0">INT((8-G15)/0.5)</f>
        <v>4</v>
      </c>
      <c r="I15">
        <f ca="1">H15-H14</f>
        <v>3</v>
      </c>
      <c r="N15">
        <v>-9999999</v>
      </c>
      <c r="O15">
        <v>9232</v>
      </c>
      <c r="P15">
        <f ca="1">INT(12+3.24956672443674*10^(-4)*INT(N14))</f>
        <v>16</v>
      </c>
    </row>
    <row r="16" spans="5:16">
      <c r="F16">
        <v>3</v>
      </c>
      <c r="G16">
        <f ca="1" t="shared" ref="G16:G21" si="1">MAX(0,G15-$L$11)</f>
        <v>4.63</v>
      </c>
      <c r="H16">
        <f ca="1" t="shared" si="0"/>
        <v>6</v>
      </c>
      <c r="I16">
        <f ca="1" t="shared" ref="I16:I21" si="2">H16-H15</f>
        <v>2</v>
      </c>
      <c r="N16">
        <f>O15+1</f>
        <v>9233</v>
      </c>
      <c r="O16">
        <v>19285</v>
      </c>
      <c r="P16">
        <f ca="1">INT(15+1.98945588381577*10^(-4)*(INT(N14)-9232))</f>
        <v>16</v>
      </c>
    </row>
    <row r="17" spans="6:16">
      <c r="F17">
        <v>4</v>
      </c>
      <c r="G17">
        <f ca="1" t="shared" si="1"/>
        <v>3.34</v>
      </c>
      <c r="H17">
        <f ca="1" t="shared" si="0"/>
        <v>9</v>
      </c>
      <c r="I17">
        <f ca="1" t="shared" si="2"/>
        <v>3</v>
      </c>
      <c r="N17">
        <f t="shared" ref="N17:N19" si="3">O16+1</f>
        <v>19286</v>
      </c>
      <c r="O17">
        <v>30158</v>
      </c>
      <c r="P17">
        <f ca="1">INT(17+2.75912811551549*10^(-4)*(INT(N14)-19285))</f>
        <v>15</v>
      </c>
    </row>
    <row r="18" spans="6:16">
      <c r="F18">
        <v>5</v>
      </c>
      <c r="G18">
        <f ca="1" t="shared" si="1"/>
        <v>2.05</v>
      </c>
      <c r="H18">
        <f ca="1" t="shared" si="0"/>
        <v>11</v>
      </c>
      <c r="I18">
        <f ca="1" t="shared" si="2"/>
        <v>2</v>
      </c>
      <c r="N18">
        <f t="shared" si="3"/>
        <v>30159</v>
      </c>
      <c r="O18">
        <v>42057</v>
      </c>
      <c r="P18">
        <f ca="1">INT(20+1.68081351374065*10^(-4)*(INT(N14)-30158))</f>
        <v>17</v>
      </c>
    </row>
    <row r="19" spans="6:16">
      <c r="F19">
        <v>6</v>
      </c>
      <c r="G19">
        <f ca="1" t="shared" si="1"/>
        <v>0.76</v>
      </c>
      <c r="H19">
        <f ca="1" t="shared" si="0"/>
        <v>14</v>
      </c>
      <c r="I19">
        <f ca="1" t="shared" si="2"/>
        <v>3</v>
      </c>
      <c r="N19">
        <f t="shared" si="3"/>
        <v>42058</v>
      </c>
      <c r="O19">
        <v>9999999</v>
      </c>
      <c r="P19">
        <f>22</f>
        <v>22</v>
      </c>
    </row>
    <row r="20" spans="6:16">
      <c r="F20">
        <v>7</v>
      </c>
      <c r="G20">
        <f ca="1" t="shared" si="1"/>
        <v>0</v>
      </c>
      <c r="H20">
        <f ca="1" t="shared" si="0"/>
        <v>16</v>
      </c>
      <c r="I20">
        <f ca="1" t="shared" si="2"/>
        <v>2</v>
      </c>
    </row>
    <row r="21" spans="6:16">
      <c r="F21">
        <v>8</v>
      </c>
      <c r="G21">
        <f ca="1" t="shared" si="1"/>
        <v>0</v>
      </c>
      <c r="H21">
        <f ca="1" t="shared" si="0"/>
        <v>16</v>
      </c>
      <c r="I21">
        <f ca="1" t="shared" si="2"/>
        <v>0</v>
      </c>
    </row>
  </sheetData>
  <customSheetViews>
    <customSheetView guid="{8E53DF33-FD66-42DA-A21D-B11FBF5F6988}">
      <selection activeCell="AD90" sqref="AD90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737"/>
  <sheetViews>
    <sheetView topLeftCell="AA135" workbookViewId="0">
      <selection activeCell="AJ135" sqref="AJ135"/>
    </sheetView>
  </sheetViews>
  <sheetFormatPr defaultColWidth="9" defaultRowHeight="16.8"/>
  <cols>
    <col min="1" max="1" width="12.125" style="167" customWidth="1"/>
    <col min="2" max="2" width="28" style="167" customWidth="1"/>
    <col min="3" max="21" width="9" customWidth="1"/>
    <col min="24" max="31" width="13" customWidth="1"/>
    <col min="33" max="33" width="17.75" customWidth="1"/>
    <col min="34" max="34" width="13" customWidth="1"/>
    <col min="35" max="35" width="13.5" customWidth="1"/>
    <col min="37" max="37" width="16.25" customWidth="1"/>
    <col min="38" max="38" width="11" customWidth="1"/>
    <col min="39" max="39" width="15.125" customWidth="1"/>
    <col min="40" max="40" width="12.75" customWidth="1"/>
    <col min="41" max="41" width="10" customWidth="1"/>
    <col min="46" max="46" width="12.75" style="167" customWidth="1"/>
    <col min="47" max="48" width="17.25" customWidth="1"/>
    <col min="49" max="50" width="15.375" customWidth="1"/>
    <col min="51" max="51" width="21.375" customWidth="1"/>
    <col min="52" max="52" width="15.375" customWidth="1"/>
    <col min="53" max="53" width="21.375" customWidth="1"/>
    <col min="54" max="54" width="15.375" customWidth="1"/>
    <col min="55" max="55" width="21.375" customWidth="1"/>
    <col min="56" max="56" width="15.375" customWidth="1"/>
    <col min="57" max="57" width="21.375" customWidth="1"/>
    <col min="58" max="58" width="15.375" customWidth="1"/>
    <col min="59" max="59" width="21.375" customWidth="1"/>
    <col min="60" max="60" width="15.375" customWidth="1"/>
    <col min="61" max="61" width="21.375" customWidth="1"/>
    <col min="62" max="64" width="15.375" customWidth="1"/>
    <col min="65" max="65" width="21.375" customWidth="1"/>
    <col min="66" max="66" width="15.375" customWidth="1"/>
    <col min="67" max="68" width="16.375" customWidth="1"/>
    <col min="69" max="72" width="18.5" customWidth="1"/>
    <col min="73" max="73" width="18.375" customWidth="1"/>
    <col min="74" max="74" width="16.375" customWidth="1"/>
    <col min="75" max="75" width="18.375" customWidth="1"/>
    <col min="76" max="76" width="16.375" customWidth="1"/>
    <col min="77" max="78" width="18.75" customWidth="1"/>
    <col min="79" max="80" width="18.5" customWidth="1"/>
  </cols>
  <sheetData>
    <row r="1" spans="1:80">
      <c r="A1" s="167" t="s">
        <v>2943</v>
      </c>
      <c r="B1" s="167" t="s">
        <v>2944</v>
      </c>
      <c r="C1" t="s">
        <v>2945</v>
      </c>
      <c r="D1" t="s">
        <v>2750</v>
      </c>
      <c r="E1" t="s">
        <v>2946</v>
      </c>
      <c r="F1" t="s">
        <v>2947</v>
      </c>
      <c r="G1" t="s">
        <v>2751</v>
      </c>
      <c r="H1" t="s">
        <v>2948</v>
      </c>
      <c r="I1" t="s">
        <v>2949</v>
      </c>
      <c r="J1" t="s">
        <v>2950</v>
      </c>
      <c r="K1" t="s">
        <v>2746</v>
      </c>
      <c r="L1" t="s">
        <v>2951</v>
      </c>
      <c r="M1" t="s">
        <v>2952</v>
      </c>
      <c r="N1" t="s">
        <v>2953</v>
      </c>
      <c r="O1" t="s">
        <v>2952</v>
      </c>
      <c r="P1" t="s">
        <v>2954</v>
      </c>
      <c r="Q1" t="s">
        <v>2952</v>
      </c>
      <c r="R1" t="s">
        <v>2955</v>
      </c>
      <c r="S1" t="s">
        <v>2952</v>
      </c>
      <c r="T1" t="s">
        <v>2956</v>
      </c>
      <c r="U1" t="s">
        <v>2957</v>
      </c>
      <c r="V1" t="s">
        <v>2958</v>
      </c>
      <c r="W1" t="s">
        <v>2959</v>
      </c>
      <c r="X1" t="s">
        <v>2960</v>
      </c>
      <c r="Y1" t="s">
        <v>2961</v>
      </c>
      <c r="Z1" t="s">
        <v>2962</v>
      </c>
      <c r="AA1" t="s">
        <v>2963</v>
      </c>
      <c r="AB1" t="s">
        <v>2964</v>
      </c>
      <c r="AC1" t="s">
        <v>2965</v>
      </c>
      <c r="AD1" t="s">
        <v>2966</v>
      </c>
      <c r="AE1" t="s">
        <v>2967</v>
      </c>
      <c r="AF1" t="s">
        <v>2968</v>
      </c>
      <c r="AH1" t="s">
        <v>2135</v>
      </c>
      <c r="AI1" t="s">
        <v>2969</v>
      </c>
      <c r="AJ1" t="s">
        <v>2970</v>
      </c>
      <c r="AK1" t="s">
        <v>2971</v>
      </c>
      <c r="AM1" t="s">
        <v>2972</v>
      </c>
      <c r="AP1" t="s">
        <v>2843</v>
      </c>
      <c r="AS1" s="167">
        <f>IFERROR(MAX(MIN(600,VALUE(SUBSTITUTE(配装计算器!K30,"s",""))),0),600)</f>
        <v>210</v>
      </c>
      <c r="AT1" s="167">
        <f ca="1">MATCH(IF(AND(金蛇,秋2),"秋双切",IF(加速!L11&gt;=999,"基础技能循环",配装计算器!N24&amp;AS4))&amp;IF(金蛇,"金蛇","")&amp;"1",$AU$1:$CB$1,0)</f>
        <v>15</v>
      </c>
      <c r="AU1" t="s">
        <v>2973</v>
      </c>
      <c r="AV1" t="s">
        <v>2974</v>
      </c>
      <c r="AW1" s="175" t="s">
        <v>2975</v>
      </c>
      <c r="AX1" s="175" t="s">
        <v>2976</v>
      </c>
      <c r="AY1" s="175" t="s">
        <v>2977</v>
      </c>
      <c r="AZ1" s="175" t="s">
        <v>2978</v>
      </c>
      <c r="BA1" s="175" t="s">
        <v>2979</v>
      </c>
      <c r="BB1" s="175" t="s">
        <v>2980</v>
      </c>
      <c r="BC1" s="175" t="s">
        <v>2981</v>
      </c>
      <c r="BD1" s="175" t="s">
        <v>2982</v>
      </c>
      <c r="BE1" s="175" t="s">
        <v>2983</v>
      </c>
      <c r="BF1" s="175" t="s">
        <v>2984</v>
      </c>
      <c r="BG1" s="175" t="s">
        <v>2985</v>
      </c>
      <c r="BH1" s="175" t="s">
        <v>2986</v>
      </c>
      <c r="BI1" s="175" t="s">
        <v>2987</v>
      </c>
      <c r="BJ1" s="175" t="s">
        <v>2988</v>
      </c>
      <c r="BK1" s="175" t="s">
        <v>2989</v>
      </c>
      <c r="BL1" s="175" t="s">
        <v>2990</v>
      </c>
      <c r="BM1" s="175" t="s">
        <v>2991</v>
      </c>
      <c r="BN1" s="175" t="s">
        <v>2992</v>
      </c>
      <c r="BO1" s="175" t="s">
        <v>2993</v>
      </c>
      <c r="BP1" s="175" t="s">
        <v>2994</v>
      </c>
      <c r="BQ1" s="175" t="s">
        <v>2995</v>
      </c>
      <c r="BR1" s="175" t="s">
        <v>2996</v>
      </c>
      <c r="BS1" s="175" t="s">
        <v>2997</v>
      </c>
      <c r="BT1" s="175" t="s">
        <v>2998</v>
      </c>
      <c r="BU1" s="175" t="s">
        <v>2999</v>
      </c>
      <c r="BV1" s="175" t="s">
        <v>3000</v>
      </c>
      <c r="BW1" s="175" t="s">
        <v>3001</v>
      </c>
      <c r="BX1" s="175" t="s">
        <v>3002</v>
      </c>
      <c r="BY1" s="176" t="s">
        <v>3003</v>
      </c>
      <c r="BZ1" s="176" t="s">
        <v>3004</v>
      </c>
      <c r="CA1" s="175" t="s">
        <v>3005</v>
      </c>
      <c r="CB1" s="175" t="s">
        <v>3006</v>
      </c>
    </row>
    <row r="2" spans="1:80">
      <c r="A2" s="189">
        <v>0</v>
      </c>
      <c r="K2">
        <f ca="1">IF(A2&lt;&gt;"",INDEX(AU2:CB2,1,$AT$2),"")</f>
        <v>0</v>
      </c>
      <c r="AC2">
        <v>0</v>
      </c>
      <c r="AE2">
        <f ca="1">IF($AN$11&gt;0,IF(COUNTIF(B3,"*叠1*")&gt;0,50-加速!$H$11,MAX(0,AE1-(A3-A2))),0)</f>
        <v>48.75</v>
      </c>
      <c r="AG2" s="177"/>
      <c r="AH2" t="s">
        <v>1028</v>
      </c>
      <c r="AI2" t="s">
        <v>2722</v>
      </c>
      <c r="AJ2">
        <f ca="1">循环比*COUNTIFS($B$3:$B$515,"*"&amp;AI2&amp;"*",$D$3:$D$515,"=0",$I$3:$I$515,"=0")</f>
        <v>0</v>
      </c>
      <c r="AL2" s="177"/>
      <c r="AM2" s="177" t="s">
        <v>3007</v>
      </c>
      <c r="AN2" s="177"/>
      <c r="AP2" t="s">
        <v>2846</v>
      </c>
      <c r="AT2" s="167">
        <f ca="1">MATCH(IF(AND(金蛇,秋2),"秋双切",IF(加速!L11&gt;=999,"基础技能循环",配装计算器!N24&amp;AS4))&amp;IF(金蛇,"金蛇","")&amp;"2",$AU$1:$CB$1,0)</f>
        <v>16</v>
      </c>
    </row>
    <row r="3" spans="1:80">
      <c r="A3" s="178">
        <v>0</v>
      </c>
      <c r="B3" s="167" t="str">
        <f ca="1">IF(金蛇,"","夕照雷峰")&amp;IF(A3&lt;&gt;"",IF(AND(A3+加速!$L$11&gt;$AS$1,IF(AND(配装计算器!$K$30&lt;&gt;"∞",0),"梦泉虎跑-轻",INDEX(AU3:CB3,1,$AT$1))="云栖松"),"夕照雷峰",IF(AND(配装计算器!$K$30&lt;&gt;"∞",0),"梦泉虎跑-轻",INDEX(AU3:CB3,1,$AT$1))),"")</f>
        <v>夕照雷峰叠1-云飞玉皇</v>
      </c>
      <c r="C3">
        <f>IF(金蛇,0,15)</f>
        <v>15</v>
      </c>
      <c r="D3">
        <v>1</v>
      </c>
      <c r="E3">
        <f ca="1">IF(OR(COUNTIF(B3,"*夕照雷峰*")&gt;0,COUNTIF(B3,"云飞玉皇*")&gt;0,COUNTIF(B3,"风来吴山*")&gt;0),COUNTIF(B3,"*云景*")+COUNTIF(B3,"*玉山揽云*")+COUNTIF(B3,"*烟流暮景*"),1)</f>
        <v>0</v>
      </c>
      <c r="F3">
        <v>0</v>
      </c>
      <c r="G3">
        <v>0</v>
      </c>
      <c r="H3">
        <f ca="1">IF(B3&lt;&gt;"",IF(AND(COUNTIF(B2,"*轻*莺鸣柳*")&gt;0,COUNTIF(B3,"*轻*")&lt;1),MAX(0,15+I2-(A3-A2)+COUNTIF(B2,"*平湖*")*0),IF(AND(E3=0,MAX(0,H2-(A3-A2))&lt;=加速!$H$11),0,MAX(0,H2-(A3-A2)))),"")</f>
        <v>0</v>
      </c>
      <c r="I3">
        <f ca="1">IF(B3&lt;&gt;"",IF(COUNTIF(B3,"*轻*")&lt;1,0,IF(COUNTIF(B3,"*莺鸣*")&gt;0,8,MAX(0,I2-(A3-A2)))),"")</f>
        <v>0</v>
      </c>
      <c r="J3">
        <f ca="1">IF(B3&lt;&gt;"",IF(AND(J2=1,OR(COUNTIF(B3,"*云景*")&gt;0,AND(落剑5=1,COUNTIF(B1:B3,"*鹤归*")&gt;0))),1,IF(COUNTIF(B2,"*鹤归*")&gt;0,4+_666三听,MAX(J2-1,0))),"")</f>
        <v>0</v>
      </c>
      <c r="K3">
        <f ca="1">IF(A3&lt;&gt;"",IF(AND(配装计算器!$K$30&lt;&gt;"∞",0),1,INDEX(AU3:CB3,1,$AT$2)),"")</f>
        <v>2</v>
      </c>
      <c r="M3">
        <f ca="1">IF(COUNTIF(INDEX(AU4:CB4,1,$AT$1),"*鹤归*")=1,L3,0)</f>
        <v>0</v>
      </c>
      <c r="O3">
        <f ca="1">IF(COUNTIF(INDEX(AU4:CB4,1,$AT$1),"*云飞*")=1,N3,0)</f>
        <v>0</v>
      </c>
      <c r="R3">
        <f ca="1">IFERROR(IF(COUNTIF(B3,"*莺鸣柳*")&gt;0,45-加速!$L$9,MAX(0,R2-(A3-A2))),0)</f>
        <v>0</v>
      </c>
      <c r="W3">
        <f ca="1" t="shared" ref="W3:W66" si="0">IF(COUNTIF(B3,"*风来吴山*")&gt;0,1,IF(W2+1&gt;风车GCD,0,IF(W2&gt;0,W2+1,0)))</f>
        <v>0</v>
      </c>
      <c r="X3">
        <f ca="1">INDEX(加速!$I$13:$I$21,技能数计算!W3+1)</f>
        <v>0</v>
      </c>
      <c r="Y3">
        <v>0.5</v>
      </c>
      <c r="AA3">
        <f ca="1">MAX(0,IFERROR(IF(COUNTIF(B3,"*叠*")&gt;0,IF(AC2&lt;3,8-A4+A3,AA2+6.875-A4+A3),AA2-A4+A3),AA2-加速!$L$11))</f>
        <v>6.71</v>
      </c>
      <c r="AB3">
        <f ca="1">MAX(0,IF(COUNTIF(IF(AND(配装计算器!$K$30&lt;&gt;"∞",0),INDEX(AU3:CB3,1,$AT$1),INDEX(AU3:CB3,1,$AT$1)),"*叠1*")=1,4*25-加速!$L$11,AB2-A3+A2)-IF(OR(COUNTIF(OFFSET(AT3,0,$AT$1,1,1),"*听雷*")&gt;0,AND(碧归&gt;0,COUNTIF(OFFSET(AT3,0,$AT$1,1,1),"*风来*")&gt;0)),0,1)*1.5)</f>
        <v>97.21</v>
      </c>
      <c r="AC3">
        <f ca="1" t="shared" ref="AC3:AC66" si="1">IF(AND(AA3=0,E3=0),0,IF(AND(COUNTIF(B3,"*叠*")&gt;0,OR(AA2=0,AA2&gt;=5)),AC2+1,AC2))</f>
        <v>1</v>
      </c>
      <c r="AD3">
        <f ca="1">IF(COUNTIF(IF(AND(配装计算器!$K$30&lt;&gt;"∞",0),INDEX(AU3:CB3,1,$AT$1),INDEX(AU4:CB4,1,$AT$1)),"*叠1*")=1,AB3*0+AE2,0)</f>
        <v>0</v>
      </c>
      <c r="AE3">
        <f ca="1">IF($AN$11&gt;0,IF(COUNTIF(B4,"*叠1*")&gt;0,50-加速!$H$11,MAX(0,AE2-(A4-A3))),0)</f>
        <v>47.46</v>
      </c>
      <c r="AG3" s="177"/>
      <c r="AH3" t="s">
        <v>1028</v>
      </c>
      <c r="AI3" t="s">
        <v>2722</v>
      </c>
      <c r="AJ3">
        <f ca="1">循环比*COUNTIFS($B$3:$B$515,"*"&amp;AI3&amp;"*",$D$3:$D$515,"&gt;0",$I$3:$I$515,"=0",$AC$3:$AC$515,"=0")</f>
        <v>4</v>
      </c>
      <c r="AK3" t="s">
        <v>2750</v>
      </c>
      <c r="AL3" s="177"/>
      <c r="AM3" s="177">
        <f>48+92+(128+84+14+14+14+65)+9+5+12</f>
        <v>485</v>
      </c>
      <c r="AN3" s="177"/>
      <c r="AP3" t="s">
        <v>2849</v>
      </c>
      <c r="AS3" t="s">
        <v>3008</v>
      </c>
      <c r="AU3" t="s">
        <v>3009</v>
      </c>
      <c r="AV3">
        <v>2</v>
      </c>
      <c r="AW3" t="s">
        <v>3009</v>
      </c>
      <c r="AX3">
        <v>2</v>
      </c>
      <c r="AY3" t="s">
        <v>3010</v>
      </c>
      <c r="AZ3">
        <v>2</v>
      </c>
      <c r="BA3" t="s">
        <v>3010</v>
      </c>
      <c r="BB3">
        <v>2</v>
      </c>
      <c r="BC3" t="s">
        <v>3010</v>
      </c>
      <c r="BD3">
        <v>2</v>
      </c>
      <c r="BE3" t="s">
        <v>2794</v>
      </c>
      <c r="BF3">
        <v>0</v>
      </c>
      <c r="BG3" t="s">
        <v>3011</v>
      </c>
      <c r="BH3">
        <v>2</v>
      </c>
      <c r="BI3" t="s">
        <v>3011</v>
      </c>
      <c r="BJ3">
        <v>2</v>
      </c>
      <c r="BK3" t="s">
        <v>3012</v>
      </c>
      <c r="BL3">
        <v>2</v>
      </c>
      <c r="BM3" t="s">
        <v>2853</v>
      </c>
      <c r="BN3">
        <v>2</v>
      </c>
      <c r="BO3" t="s">
        <v>2853</v>
      </c>
      <c r="BP3">
        <v>2</v>
      </c>
      <c r="BQ3" t="s">
        <v>2853</v>
      </c>
      <c r="BR3">
        <v>2</v>
      </c>
      <c r="BS3" t="s">
        <v>2853</v>
      </c>
      <c r="BT3">
        <v>2</v>
      </c>
      <c r="BU3" t="s">
        <v>2853</v>
      </c>
      <c r="BV3">
        <v>2</v>
      </c>
      <c r="BW3" s="179" t="s">
        <v>2853</v>
      </c>
      <c r="BX3" s="179">
        <v>2</v>
      </c>
      <c r="BY3" t="s">
        <v>2853</v>
      </c>
      <c r="BZ3">
        <v>2</v>
      </c>
      <c r="CA3" t="s">
        <v>2853</v>
      </c>
      <c r="CB3">
        <v>2</v>
      </c>
    </row>
    <row r="4" spans="1:80">
      <c r="A4" s="178">
        <f ca="1">IFERROR(IF(A3+加速!$L$11&lt;$AS$1,IF(COUNTIF(B3,"*轻*")&gt;0,A3+加速!$L$9,A3+加速!$L$11),IF(COUNTIF(INDEX(AU4:CB4,1,$AT$1),"*云景*")+COUNTIF(INDEX(AU4:CB4,1,$AT$1),"*鹤归*")+COUNTIF(INDEX(AU4:CB4,1,$AT$1),"*听雷*")&gt;0,A3+加速!$L$11,"")),"")</f>
        <v>1.29</v>
      </c>
      <c r="B4" s="167" t="str">
        <f ca="1">IF(A4&lt;&gt;"",IF(AND(A4+加速!$L$11&gt;$AS$1,IF(AND(配装计算器!$K$30&lt;&gt;"∞",0),"梦泉虎跑-轻",INDEX(AU4:CB4,1,$AT$1))="云栖松"),"夕照雷峰",IF(AND(配装计算器!$K$30&lt;&gt;"∞",0),"梦泉虎跑-轻",INDEX(AU4:CB4,1,$AT$1))),"")</f>
        <v>夕照雷峰</v>
      </c>
      <c r="C4">
        <f ca="1">IFERROR(IF(COUNTIF(B4,"*夕照雷峰*")&gt;0,15,MAX(0,C3-(A4-A3))),"")</f>
        <v>15</v>
      </c>
      <c r="D4">
        <f ca="1">IF(B4&lt;&gt;"",IF(C3&lt;=加速!$L$11*(1-E4),0,1),"")</f>
        <v>1</v>
      </c>
      <c r="E4">
        <f ca="1" t="shared" ref="E4:E67" si="2">IF(OR(COUNTIF(B4,"*夕照雷峰*")&gt;0,COUNTIF(B4,"云飞玉皇*")&gt;0,COUNTIF(B4,"风来吴山*")&gt;0),COUNTIF(B4,"*云景*")+COUNTIF(B4,"*玉山揽云*")+COUNTIF(B4,"*烟流暮景*"),1)</f>
        <v>0</v>
      </c>
      <c r="F4">
        <v>0</v>
      </c>
      <c r="G4">
        <f ca="1">IF(B4&lt;&gt;"",IF(AND(碧归&gt;0,COUNTIF(B3,"*风来吴山*")&gt;0),8,MAX(0,G3-COUNTIF(B4,"*云飞*")-COUNTIF(B4,"*鹤*")-COUNTIF(B4,"*夕*"))),"")</f>
        <v>0</v>
      </c>
      <c r="H4">
        <f ca="1">IF(B4&lt;&gt;"",IF(AND(COUNTIF(B3,"*轻*莺鸣柳*")&gt;0,COUNTIF(B4,"*轻*")&lt;1),MAX(0,15+I3-(A4-A3)+COUNTIF(B3,"*平湖*")*0),IF(AND(E4=0,MAX(0,H3-(A4-A3))&lt;=加速!$H$11),0,MAX(0,H3-(A4-A3)))),"")</f>
        <v>0</v>
      </c>
      <c r="I4">
        <f ca="1">IF(B4&lt;&gt;"",IF(COUNTIF(B4,"*轻*")&lt;1,0,IF(COUNTIF(B4,"*莺鸣*")&gt;0,8,MAX(0,I3-(A4-A3)))),"")</f>
        <v>0</v>
      </c>
      <c r="J4">
        <f ca="1">IF(B4&lt;&gt;"",IF(AND(J3=1,OR(COUNTIF(B4,"*云景*")&gt;0,AND(落剑5=1,COUNTIF(B2:B4,"*鹤归*")&gt;0))),1,IF(COUNTIF(B3,"*鹤归*")&gt;0,4+_666三听,MAX(J3-1,0))),"")</f>
        <v>0</v>
      </c>
      <c r="K4">
        <f ca="1">IF(A4&lt;&gt;"",IF(AND(配装计算器!$K$30&lt;&gt;"∞",0),2,INDEX(AU4:CB4,1,$AT$2)),"")</f>
        <v>2</v>
      </c>
      <c r="L4">
        <f ca="1">IFERROR(IF(AND(COUNTIF(B4,"*-峰插*"),技能数据库!$M$72&gt;0),0,IF(COUNTIF(B4,"*鹤归*")&gt;0,16-加速!$L$11,MAX(0,L3-(A4-A3)))),0)</f>
        <v>0</v>
      </c>
      <c r="M4">
        <f ca="1">IF(COUNTIF(IF(AND(配装计算器!$K$30&lt;&gt;"∞",0),INDEX(AU3:CB3,1,$AT$1),INDEX(AU5:CB5,1,$AT$1)),"*鹤归*")=1,L4,0)</f>
        <v>0</v>
      </c>
      <c r="N4">
        <f ca="1">IFERROR(IF(AND(COUNTIF(B4,"*-峰插*"),技能数据库!$M$72&gt;0),0,IF(COUNTIF(B4,"*云飞*")&gt;0,4-COUNTIF(B4,"*玉山揽云*")*4--COUNTIF(B4,"*烟流暮景*")*4-COUNTIF(B4,"*云景*")*加速!$L$11-IF(J4&gt;0,2,0),MAX(0,N3-(A4-A3)-IF(J4&gt;0,2,0)))),0)</f>
        <v>0</v>
      </c>
      <c r="O4">
        <f ca="1">IF(AND(COUNTIF(IF(AND(配装计算器!$K$30&lt;&gt;"∞",0),INDEX(AU3:CB3,1,$AT$1),INDEX(AU5:CB5,1,$AT$1)),"*云飞*")=1,COUNTIF(IF(AND(配装计算器!$K$30&lt;&gt;"∞",0),INDEX(AU3:CB3,1,$AT$1),INDEX(AU5:CB5,1,$AT$1)),"*玉山*")=0),N4,0)</f>
        <v>0</v>
      </c>
      <c r="P4">
        <f ca="1">IFERROR(IF(COUNTIF(B4,"*云栖松*")&gt;0,50-加速!$L$11,MAX(0,P3-(A4-A3))),0)</f>
        <v>0</v>
      </c>
      <c r="Q4">
        <f ca="1">IF(COUNTIF(IF(AND(配装计算器!$K$30&lt;&gt;"∞",0),INDEX(AU3:CB3,1,$AT$1),INDEX(AU5:CB5,1,$AT$1)),"*云栖松*")=1,P4,0)</f>
        <v>0</v>
      </c>
      <c r="R4">
        <f ca="1">IFERROR(IF(COUNTIF(B4,"*莺鸣柳*")&gt;0,45-加速!$L$9,MAX(0,R3-(A4-A3))),0)</f>
        <v>0</v>
      </c>
      <c r="S4">
        <f ca="1">IF(COUNTIF(IF(AND(配装计算器!$K$30&lt;&gt;"∞",0),INDEX(AU3:CB3,1,$AT$1),INDEX(AU5:CB5,1,$AT$1)),"*莺鸣柳*")=1,R4,0)</f>
        <v>0</v>
      </c>
      <c r="T4">
        <f ca="1">IF(COUNTIF(B4,"*岚尘金蛇*")+COUNTIF(B4,"*千切子寒光*")&gt;0,A4,T3)</f>
        <v>0</v>
      </c>
      <c r="U4">
        <f ca="1">IF(金蛇,IF(COUNTIF(B4,"*金环戴*")+COUNTIF(B4,"*吹风醒*")&gt;0,IF(A4&lt;=3,7.125-2.625-A4-加速!$L$11,A4-T4),0),0)+IF(金蛇,IF(COUNTIF(B4,"*千切子裂光*")&gt;0,2+加速!$K$9-(A4+加速!$L$11-T4),0),0)</f>
        <v>0</v>
      </c>
      <c r="V4">
        <f ca="1">MAX(0,M4+O4+Q4+S4+AD4)+U4</f>
        <v>0</v>
      </c>
      <c r="W4">
        <f ca="1" t="shared" si="0"/>
        <v>0</v>
      </c>
      <c r="X4">
        <f ca="1">INDEX(加速!$I$13:$I$21,技能数计算!W4+1)</f>
        <v>0</v>
      </c>
      <c r="Y4">
        <f ca="1" t="shared" ref="Y4:Y67" si="3">IF(COUNTIF(B4,"*岚尘金蛇*"),A4+2.6125+0.5,Y3)</f>
        <v>0.5</v>
      </c>
      <c r="Z4">
        <f ca="1" t="shared" ref="Z4:Z67" si="4">IF(金蛇,IF(COUNTIF(B4,"*虎跑*")&gt;0,INT((A4-Y4)/3),0),0)</f>
        <v>0</v>
      </c>
      <c r="AA4">
        <f ca="1">MAX(0,IFERROR(IF(COUNTIF(B4,"*叠*")&gt;0,IF(AC3&lt;3,8-A5+A4,AA3+6.875-A5+A4),AA3-A5+A4),AA3-加速!$L$11))</f>
        <v>5.42</v>
      </c>
      <c r="AB4">
        <f ca="1">MAX(0,IF(COUNTIF(IF(AND(配装计算器!$K$30&lt;&gt;"∞",0),INDEX(AU4:CB4,1,$AT$1),INDEX(AU4:CB4,1,$AT$1)),"*叠1*")=1,4*25-加速!$L$11,AB3-A4+A3)-IF(OR(COUNTIF(OFFSET(AT4,0,$AT$1,1,1),"*听雷*")&gt;0,AND(碧归&gt;0,COUNTIF(OFFSET(AT4,0,$AT$1,1,1),"*风来*")&gt;0)),0,1)*1.5)</f>
        <v>94.42</v>
      </c>
      <c r="AC4">
        <f ca="1" t="shared" si="1"/>
        <v>1</v>
      </c>
      <c r="AD4">
        <f ca="1">IF(COUNTIF(IF(AND(配装计算器!$K$30&lt;&gt;"∞",0),INDEX(AU4:CB4,1,$AT$1),INDEX(AU5:CB5,1,$AT$1)),"*叠1*")=1,AB4*0+AE3,0)</f>
        <v>0</v>
      </c>
      <c r="AE4">
        <f ca="1">IF($AN$11&gt;0,IF(COUNTIF(B5,"*叠1*")&gt;0,50-加速!$H$11,MAX(0,AE3-(A5-A4))),0)</f>
        <v>46.17</v>
      </c>
      <c r="AG4" s="177"/>
      <c r="AH4" t="s">
        <v>1028</v>
      </c>
      <c r="AI4" t="s">
        <v>2722</v>
      </c>
      <c r="AJ4">
        <f ca="1">循环比*COUNTIFS($B$3:$B$515,"*"&amp;AI4&amp;"*",$D$3:$D$515,"=0",$I$3:$I$515,"&gt;0")</f>
        <v>0</v>
      </c>
      <c r="AK4" t="s">
        <v>2949</v>
      </c>
      <c r="AL4" s="177"/>
      <c r="AM4" s="171">
        <f>1-(1-102/1024)^(6*(AM3/240))</f>
        <v>0.71979528200604</v>
      </c>
      <c r="AN4" s="177"/>
      <c r="AP4" t="s">
        <v>2852</v>
      </c>
      <c r="AS4" t="str">
        <f ca="1">IF(AND(技能数据库!M72&gt;0,AN11=0,加速!H11&lt;1.31),"低延迟","")&amp;IF(AND(COUNTIF(配装计算器!N24,"*叠峰意斩岳*")+COUNTIF(配装计算器!N24,"*叠峰意碧归*")&gt;0,技能数计算!$AN$11&gt;0),"橙武","")</f>
        <v>橙武</v>
      </c>
      <c r="AU4" t="s">
        <v>2768</v>
      </c>
      <c r="AV4">
        <v>2</v>
      </c>
      <c r="AW4" t="s">
        <v>2776</v>
      </c>
      <c r="AX4">
        <v>2</v>
      </c>
      <c r="AY4" t="s">
        <v>3013</v>
      </c>
      <c r="AZ4">
        <v>2</v>
      </c>
      <c r="BA4" t="s">
        <v>3013</v>
      </c>
      <c r="BB4">
        <v>2</v>
      </c>
      <c r="BC4" t="s">
        <v>3013</v>
      </c>
      <c r="BD4">
        <v>2</v>
      </c>
      <c r="BE4" t="s">
        <v>2776</v>
      </c>
      <c r="BF4">
        <v>0</v>
      </c>
      <c r="BG4" t="s">
        <v>2768</v>
      </c>
      <c r="BH4">
        <v>2</v>
      </c>
      <c r="BI4" t="s">
        <v>2768</v>
      </c>
      <c r="BJ4">
        <v>2</v>
      </c>
      <c r="BK4" s="176" t="s">
        <v>2794</v>
      </c>
      <c r="BL4">
        <v>2</v>
      </c>
      <c r="BM4" s="176" t="str">
        <f>IF(秋,"金蛇锥-金环戴","金蛇锥")</f>
        <v>金蛇锥</v>
      </c>
      <c r="BN4">
        <v>2</v>
      </c>
      <c r="BO4" s="176" t="str">
        <f>IF(秋,"金蛇锥-金环戴","金蛇锥")</f>
        <v>金蛇锥</v>
      </c>
      <c r="BP4">
        <v>2</v>
      </c>
      <c r="BQ4" s="176" t="str">
        <f>IF(秋,"金蛇锥-金环戴","金蛇锥-吹风醒")</f>
        <v>金蛇锥-吹风醒</v>
      </c>
      <c r="BR4">
        <v>2</v>
      </c>
      <c r="BS4" s="176" t="str">
        <f>IF(秋,"金蛇锥-金环戴","金蛇锥-吹风醒")</f>
        <v>金蛇锥-吹风醒</v>
      </c>
      <c r="BT4">
        <v>2</v>
      </c>
      <c r="BU4" s="176" t="str">
        <f>IF(秋,"金蛇锥-金环戴","金蛇锥-吹风醒")</f>
        <v>金蛇锥-吹风醒</v>
      </c>
      <c r="BV4">
        <v>2</v>
      </c>
      <c r="BW4" s="179" t="str">
        <f>IF(秋,"金蛇锥-金环戴","金蛇锥")</f>
        <v>金蛇锥</v>
      </c>
      <c r="BX4" s="179">
        <v>2</v>
      </c>
      <c r="BY4" s="176" t="str">
        <f>IF(秋,"金蛇锥-金环戴","金蛇锥")</f>
        <v>金蛇锥</v>
      </c>
      <c r="BZ4">
        <v>2</v>
      </c>
      <c r="CA4" s="176" t="str">
        <f>IF(秋,"金蛇锥-金环戴","金蛇锥")</f>
        <v>金蛇锥</v>
      </c>
      <c r="CB4">
        <v>2</v>
      </c>
    </row>
    <row r="5" spans="1:80">
      <c r="A5" s="178">
        <f ca="1">IFERROR(IF(A4+加速!$L$11&lt;$AS$1,IF(COUNTIF(B4,"*轻*")&gt;0,A4+加速!$L$9,A4+加速!$L$11)+V4,IF(COUNTIF(INDEX(AU5:CB5,1,$AT$1),"*云景*")+COUNTIF(INDEX(AU5:CB5,1,$AT$1),"*鹤归*")+COUNTIF(INDEX(AU5:CB5,1,$AT$1),"*听雷*")&gt;0,A4+加速!$L$11,"")),"")</f>
        <v>2.58</v>
      </c>
      <c r="B5" s="167" t="str">
        <f ca="1">IF(A5&lt;&gt;"",IF(AND(A5+加速!$L$11&gt;$AS$1,IF(AND(配装计算器!$K$30&lt;&gt;"∞",0),"梦泉虎跑-轻",INDEX(AU5:CB5,1,$AT$1))="云栖松"),"夕照雷峰",IF(AND(配装计算器!$K$30&lt;&gt;"∞",0),"梦泉虎跑-轻",INDEX(AU5:CB5,1,$AT$1))),"")</f>
        <v>叠2-夕照雷峰</v>
      </c>
      <c r="C5">
        <f ca="1" t="shared" ref="C5:C68" si="5">IFERROR(IF(COUNTIF(B5,"*夕照雷峰*")&gt;0,15,MAX(0,C4-(A5-A4))),"")</f>
        <v>15</v>
      </c>
      <c r="D5">
        <f ca="1">IF(B5&lt;&gt;"",IF(C4&lt;=加速!$L$11*(1-E5),0,1),"")</f>
        <v>1</v>
      </c>
      <c r="E5">
        <f ca="1" t="shared" si="2"/>
        <v>0</v>
      </c>
      <c r="G5">
        <f ca="1" t="shared" ref="G5:G67" si="6">IF(B5&lt;&gt;"",IF(AND(碧归&gt;0,COUNTIF(B4,"*风来吴山*")&gt;0),8,MAX(0,G4-COUNTIF(B5,"*云飞*")-COUNTIF(B5,"*鹤*")-COUNTIF(B5,"*夕*"))),"")</f>
        <v>0</v>
      </c>
      <c r="H5">
        <f ca="1">IF(B5&lt;&gt;"",IF(AND(COUNTIF(B4,"*轻*莺鸣柳*")&gt;0,COUNTIF(B5,"*轻*")&lt;1),MAX(0,15+I4-(A5-A4)+COUNTIF(B4,"*平湖*")*0),IF(AND(E5=0,MAX(0,H4-(A5-A4))&lt;=加速!$H$11),0,MAX(0,H4-(A5-A4)))),"")</f>
        <v>0</v>
      </c>
      <c r="I5">
        <f ca="1">IF(B5&lt;&gt;"",IF(COUNTIF(B5,"*轻*")&lt;1,0,IF(COUNTIF(B5,"*莺鸣*")&gt;0,8,MAX(0,I4-(A5-A4)))),"")</f>
        <v>0</v>
      </c>
      <c r="J5">
        <f ca="1">IF(B5&lt;&gt;"",IF(AND(J4=1,OR(COUNTIF(B5,"*云景*")&gt;0,AND(落剑5=1,COUNTIF(B3:B5,"*鹤归*")&gt;0))),1,IF(COUNTIF(B4,"*鹤归*")&gt;0,4+_666三听,MAX(J4-1,0))),"")</f>
        <v>0</v>
      </c>
      <c r="K5">
        <f ca="1">IF(A5&lt;&gt;"",IF(AND(配装计算器!$K$30&lt;&gt;"∞",0),2,INDEX(AU5:CB5,1,$AT$2)),"")</f>
        <v>2</v>
      </c>
      <c r="L5">
        <f ca="1">IFERROR(IF(AND(COUNTIF(B5,"*-峰插*"),技能数据库!$M$72&gt;0),0,IF(COUNTIF(B5,"*鹤归*")&gt;0,16-加速!$L$11,MAX(0,L4-(A5-A4)))),0)</f>
        <v>0</v>
      </c>
      <c r="M5">
        <f ca="1">IF(COUNTIF(IF(AND(配装计算器!$K$30&lt;&gt;"∞",0),INDEX(AU4:CB4,1,$AT$1),INDEX(AU6:CB6,1,$AT$1)),"*鹤归*")=1,L5,0)</f>
        <v>0</v>
      </c>
      <c r="N5">
        <f ca="1">IFERROR(IF(AND(COUNTIF(B5,"*-峰插*"),技能数据库!$M$72&gt;0),0,IF(COUNTIF(B5,"*云飞*")&gt;0,4-COUNTIF(B5,"*玉山揽云*")*4--COUNTIF(B5,"*烟流暮景*")*4-COUNTIF(B5,"*云景*")*加速!$L$11-IF(J5&gt;0,2,0),MAX(0,N4-(A5-A4)-IF(J5&gt;0,2,0)))),0)</f>
        <v>0</v>
      </c>
      <c r="O5">
        <f ca="1">IF(AND(COUNTIF(IF(AND(配装计算器!$K$30&lt;&gt;"∞",0),INDEX(AU4:CB4,1,$AT$1),INDEX(AU6:CB6,1,$AT$1)),"*云飞*")=1,COUNTIF(IF(AND(配装计算器!$K$30&lt;&gt;"∞",0),INDEX(AU4:CB4,1,$AT$1),INDEX(AU6:CB6,1,$AT$1)),"*玉山*")=0),N5,0)</f>
        <v>0</v>
      </c>
      <c r="P5">
        <f ca="1">IFERROR(IF(COUNTIF(B5,"*云栖松*")&gt;0,50-加速!$L$11,MAX(0,P4-(A5-A4))),0)</f>
        <v>0</v>
      </c>
      <c r="Q5">
        <f ca="1">IF(COUNTIF(IF(AND(配装计算器!$K$30&lt;&gt;"∞",0),INDEX(AU4:CB4,1,$AT$1),INDEX(AU6:CB6,1,$AT$1)),"*云栖松*")=1,P5,0)</f>
        <v>0</v>
      </c>
      <c r="R5">
        <f ca="1">IFERROR(IF(COUNTIF(B5,"*莺鸣柳*")&gt;0,45-加速!$L$9,MAX(0,R4-(A5-A4))),0)</f>
        <v>0</v>
      </c>
      <c r="S5">
        <f ca="1">IF(COUNTIF(IF(AND(配装计算器!$K$30&lt;&gt;"∞",0),INDEX(AU4:CB4,1,$AT$1),INDEX(AU6:CB6,1,$AT$1)),"*莺鸣柳*")=1,R5,0)</f>
        <v>0</v>
      </c>
      <c r="T5">
        <f ca="1" t="shared" ref="T5:T68" si="7">IF(COUNTIF(B5,"*岚尘金蛇*")+COUNTIF(B5,"*千切子寒光*")&gt;0,A5,T4)</f>
        <v>0</v>
      </c>
      <c r="U5">
        <f ca="1">IF(金蛇,IF(COUNTIF(B5,"*金环戴*")+COUNTIF(B5,"*吹风醒*")&gt;0,IF(A5&lt;=3,7.125-2.625-A5-加速!$L$11,A5-T5),0),0)+IF(金蛇,IF(COUNTIF(B5,"*千切子裂光*")&gt;0,2+加速!$K$9-(A5+加速!$L$11-T5),0),0)</f>
        <v>0</v>
      </c>
      <c r="V5">
        <f ca="1" t="shared" ref="V5:V68" si="8">MAX(0,M5+O5+Q5+S5+AD5)+U5</f>
        <v>0</v>
      </c>
      <c r="W5">
        <f ca="1" t="shared" si="0"/>
        <v>0</v>
      </c>
      <c r="X5">
        <f ca="1">INDEX(加速!$I$13:$I$21,技能数计算!W5+1)</f>
        <v>0</v>
      </c>
      <c r="Y5">
        <f ca="1" t="shared" si="3"/>
        <v>0.5</v>
      </c>
      <c r="Z5">
        <f ca="1" t="shared" si="4"/>
        <v>0</v>
      </c>
      <c r="AA5">
        <f ca="1">MAX(0,IFERROR(IF(COUNTIF(B5,"*叠*")&gt;0,IF(AC4&lt;3,8-A6+A5,AA4+6.875-A6+A5),AA4-A6+A5),AA4-加速!$L$11))</f>
        <v>6.71</v>
      </c>
      <c r="AB5">
        <f ca="1">MAX(0,IF(COUNTIF(IF(AND(配装计算器!$K$30&lt;&gt;"∞",0),INDEX(AU5:CB5,1,$AT$1),INDEX(AU5:CB5,1,$AT$1)),"*叠1*")=1,4*25-加速!$L$11,AB4-A5+A4)-IF(OR(COUNTIF(OFFSET(AT5,0,$AT$1,1,1),"*听雷*")&gt;0,AND(碧归&gt;0,COUNTIF(OFFSET(AT5,0,$AT$1,1,1),"*风来*")&gt;0)),0,1)*1.5)</f>
        <v>91.63</v>
      </c>
      <c r="AC5">
        <f ca="1" t="shared" si="1"/>
        <v>2</v>
      </c>
      <c r="AD5">
        <f ca="1">IF(COUNTIF(IF(AND(配装计算器!$K$30&lt;&gt;"∞",0),INDEX(AU5:CB5,1,$AT$1),INDEX(AU6:CB6,1,$AT$1)),"*叠1*")=1,AB5*0+AE4,0)</f>
        <v>0</v>
      </c>
      <c r="AE5">
        <f ca="1">IF($AN$11&gt;0,IF(COUNTIF(B6,"*叠1*")&gt;0,50-加速!$H$11,MAX(0,AE4-(A6-A5))),0)</f>
        <v>44.88</v>
      </c>
      <c r="AG5" s="177"/>
      <c r="AH5" t="s">
        <v>1028</v>
      </c>
      <c r="AI5" t="s">
        <v>2722</v>
      </c>
      <c r="AJ5">
        <f ca="1">循环比*COUNTIFS($B$3:$B$515,"*"&amp;AI5&amp;"*",$D$3:$D$515,"&gt;0",$I$3:$I$515,"&gt;0")</f>
        <v>0</v>
      </c>
      <c r="AK5" t="s">
        <v>3014</v>
      </c>
      <c r="AL5" s="177"/>
      <c r="AM5" s="177" t="s">
        <v>3015</v>
      </c>
      <c r="AN5" s="177"/>
      <c r="AS5" t="s">
        <v>3016</v>
      </c>
      <c r="AU5" t="s">
        <v>2776</v>
      </c>
      <c r="AV5">
        <v>2</v>
      </c>
      <c r="AW5" t="s">
        <v>2768</v>
      </c>
      <c r="AX5">
        <v>2</v>
      </c>
      <c r="AY5" t="s">
        <v>3017</v>
      </c>
      <c r="AZ5">
        <v>2</v>
      </c>
      <c r="BA5" t="s">
        <v>3017</v>
      </c>
      <c r="BB5">
        <v>2</v>
      </c>
      <c r="BC5" t="s">
        <v>3018</v>
      </c>
      <c r="BD5">
        <v>2</v>
      </c>
      <c r="BE5" t="s">
        <v>2768</v>
      </c>
      <c r="BF5">
        <v>0</v>
      </c>
      <c r="BG5" t="s">
        <v>3017</v>
      </c>
      <c r="BH5">
        <v>2</v>
      </c>
      <c r="BI5" t="s">
        <v>3017</v>
      </c>
      <c r="BJ5">
        <v>2</v>
      </c>
      <c r="BK5" s="176" t="s">
        <v>3019</v>
      </c>
      <c r="BL5">
        <v>2</v>
      </c>
      <c r="BM5" s="176" t="str">
        <f>IF(秋,"夕照雷峰","吹风醒")</f>
        <v>吹风醒</v>
      </c>
      <c r="BN5">
        <v>2</v>
      </c>
      <c r="BO5" s="176" t="str">
        <f>IF(秋,"夕照雷峰","吹风醒")</f>
        <v>吹风醒</v>
      </c>
      <c r="BP5">
        <v>2</v>
      </c>
      <c r="BQ5" s="176" t="s">
        <v>2768</v>
      </c>
      <c r="BR5">
        <v>2</v>
      </c>
      <c r="BS5" s="176" t="s">
        <v>2768</v>
      </c>
      <c r="BT5">
        <v>2</v>
      </c>
      <c r="BU5" s="176" t="str">
        <f>IF(秋,"梦泉虎跑-轻","夕照雷峰")</f>
        <v>夕照雷峰</v>
      </c>
      <c r="BV5">
        <v>2</v>
      </c>
      <c r="BW5" s="179" t="s">
        <v>3009</v>
      </c>
      <c r="BX5" s="179">
        <v>2</v>
      </c>
      <c r="BY5" s="176" t="str">
        <f>IF(秋,"夕照雷峰","吹风醒")</f>
        <v>吹风醒</v>
      </c>
      <c r="BZ5">
        <v>2</v>
      </c>
      <c r="CA5" s="176" t="str">
        <f>IF(秋,"夕照雷峰","吹风醒")</f>
        <v>吹风醒</v>
      </c>
      <c r="CB5">
        <v>2</v>
      </c>
    </row>
    <row r="6" spans="1:80">
      <c r="A6" s="178">
        <f ca="1">IFERROR(IF(A5+加速!$L$11&lt;$AS$1,IF(COUNTIF(B5,"*轻*")&gt;0,A5+加速!$L$9,A5+加速!$L$11)+V5,IF(COUNTIF(INDEX(AU6:CB6,1,$AT$1),"*云景*")+COUNTIF(INDEX(AU6:CB6,1,$AT$1),"*鹤归*")+COUNTIF(INDEX(AU6:CB6,1,$AT$1),"*听雷*")&gt;0,A5+加速!$L$11,"")),"")</f>
        <v>3.87</v>
      </c>
      <c r="B6" s="167" t="str">
        <f ca="1">IF(A6&lt;&gt;"",IF(AND(A6+加速!$L$11&gt;$AS$1,IF(AND(配装计算器!$K$30&lt;&gt;"∞",0),"梦泉虎跑-轻",INDEX(AU6:CB6,1,$AT$1))="云栖松"),"夕照雷峰",IF(AND(配装计算器!$K$30&lt;&gt;"∞",0),"梦泉虎跑-轻",INDEX(AU6:CB6,1,$AT$1))),"")</f>
        <v>风来吴山</v>
      </c>
      <c r="C6">
        <f ca="1" t="shared" si="5"/>
        <v>13.71</v>
      </c>
      <c r="D6">
        <f ca="1">IF(B6&lt;&gt;"",IF(C5&lt;=加速!$L$11*(1-E6),0,1),"")</f>
        <v>1</v>
      </c>
      <c r="E6">
        <f ca="1" t="shared" si="2"/>
        <v>0</v>
      </c>
      <c r="G6">
        <f ca="1" t="shared" si="6"/>
        <v>0</v>
      </c>
      <c r="H6">
        <f ca="1">IF(B6&lt;&gt;"",IF(AND(COUNTIF(B5,"*轻*莺鸣柳*")&gt;0,COUNTIF(B6,"*轻*")&lt;1),MAX(0,15+I5-(A6-A5)+COUNTIF(B5,"*平湖*")*0),IF(AND(E6=0,MAX(0,H5-(A6-A5))&lt;=加速!$H$11),0,MAX(0,H5-(A6-A5)))),"")</f>
        <v>0</v>
      </c>
      <c r="I6">
        <f ca="1" t="shared" ref="I6:I69" si="9">IF(B6&lt;&gt;"",IF(COUNTIF(B6,"*轻*")&lt;1,0,IF(COUNTIF(B6,"*莺鸣*")&gt;0,8,MAX(0,I5-(A6-A5)))),"")</f>
        <v>0</v>
      </c>
      <c r="J6">
        <f ca="1" t="shared" ref="J6:J69" si="10">IF(B6&lt;&gt;"",IF(AND(J5=1,OR(AND(COUNTIF(B6,"*云景*")&gt;0,COUNTIF(B1:B5,"*鹤归*")&gt;0),AND(落剑5=1,COUNTIF(B1:B5,"*鹤归*")&gt;0))),1,IF(COUNTIF(B5,"*鹤归*")&gt;0,4+_666三听,MAX(J5-1,0))),"")</f>
        <v>0</v>
      </c>
      <c r="K6">
        <f ca="1">IF(A6&lt;&gt;"",IF(AND(配装计算器!$K$30&lt;&gt;"∞",0),2,INDEX(AU6:CB6,1,$AT$2)),"")</f>
        <v>2</v>
      </c>
      <c r="L6">
        <f ca="1">IFERROR(IF(AND(COUNTIF(B6,"*-峰插*"),技能数据库!$M$72&gt;0),0,IF(COUNTIF(B6,"*鹤归*")&gt;0,16-加速!$L$11,MAX(0,L5-(A6-A5)))),0)</f>
        <v>0</v>
      </c>
      <c r="M6">
        <f ca="1">IF(COUNTIF(IF(AND(配装计算器!$K$30&lt;&gt;"∞",0),INDEX(AU5:CB5,1,$AT$1),INDEX(AU7:CB7,1,$AT$1)),"*鹤归*")=1,L6,0)</f>
        <v>0</v>
      </c>
      <c r="N6">
        <f ca="1">IFERROR(IF(AND(COUNTIF(B6,"*-峰插*"),技能数据库!$M$72&gt;0),0,IF(COUNTIF(B6,"*云飞*")&gt;0,4-COUNTIF(B6,"*玉山揽云*")*4--COUNTIF(B6,"*烟流暮景*")*4-COUNTIF(B6,"*云景*")*加速!$L$11-IF(J6&gt;0,2,0),MAX(0,N5-(A6-A5)-IF(J6&gt;0,2,0)))),0)</f>
        <v>0</v>
      </c>
      <c r="O6">
        <f ca="1">IF(AND(COUNTIF(IF(AND(配装计算器!$K$30&lt;&gt;"∞",0),INDEX(AU5:CB5,1,$AT$1),INDEX(AU7:CB7,1,$AT$1)),"*云飞*")=1,COUNTIF(IF(AND(配装计算器!$K$30&lt;&gt;"∞",0),INDEX(AU5:CB5,1,$AT$1),INDEX(AU7:CB7,1,$AT$1)),"*玉山*")=0),N6,0)</f>
        <v>0</v>
      </c>
      <c r="P6">
        <f ca="1">IFERROR(IF(COUNTIF(B6,"*云栖松*")&gt;0,50-加速!$L$11,MAX(0,P5-(A6-A5))),0)</f>
        <v>0</v>
      </c>
      <c r="Q6">
        <f ca="1">IF(COUNTIF(IF(AND(配装计算器!$K$30&lt;&gt;"∞",0),INDEX(AU5:CB5,1,$AT$1),INDEX(AU7:CB7,1,$AT$1)),"*云栖松*")=1,P6,0)</f>
        <v>0</v>
      </c>
      <c r="R6">
        <f ca="1">IFERROR(IF(COUNTIF(B6,"*莺鸣柳*")&gt;0,45-加速!$L$9,MAX(0,R5-(A6-A5))),0)</f>
        <v>0</v>
      </c>
      <c r="S6">
        <f ca="1">IF(COUNTIF(IF(AND(配装计算器!$K$30&lt;&gt;"∞",0),INDEX(AU5:CB5,1,$AT$1),INDEX(AU7:CB7,1,$AT$1)),"*莺鸣柳*")=1,R6,0)</f>
        <v>0</v>
      </c>
      <c r="T6">
        <f ca="1" t="shared" si="7"/>
        <v>0</v>
      </c>
      <c r="U6">
        <f ca="1">IF(金蛇,IF(COUNTIF(B6,"*金环戴*")+COUNTIF(B6,"*吹风醒*")&gt;0,IF(A6&lt;=3,7.125-2.625-A6-加速!$L$11,A6-T6),0),0)+IF(金蛇,IF(COUNTIF(B6,"*千切子裂光*")&gt;0,2+加速!$K$9-(A6+加速!$L$11-T6),0),0)</f>
        <v>0</v>
      </c>
      <c r="V6">
        <f ca="1" t="shared" si="8"/>
        <v>0</v>
      </c>
      <c r="W6">
        <f ca="1" t="shared" si="0"/>
        <v>1</v>
      </c>
      <c r="X6">
        <f ca="1">INDEX(加速!$I$13:$I$21,技能数计算!W6+1)</f>
        <v>1</v>
      </c>
      <c r="Y6">
        <f ca="1" t="shared" si="3"/>
        <v>0.5</v>
      </c>
      <c r="Z6">
        <f ca="1" t="shared" si="4"/>
        <v>0</v>
      </c>
      <c r="AA6">
        <f ca="1">MAX(0,IFERROR(IF(COUNTIF(B6,"*叠*")&gt;0,IF(AC5&lt;3,8-A7+A6,AA5+6.875-A7+A6),AA5-A7+A6),AA5-加速!$L$11))</f>
        <v>5.42</v>
      </c>
      <c r="AB6">
        <f ca="1">MAX(0,IF(COUNTIF(IF(AND(配装计算器!$K$30&lt;&gt;"∞",0),INDEX(AU6:CB6,1,$AT$1),INDEX(AU6:CB6,1,$AT$1)),"*叠1*")=1,4*25-加速!$L$11,AB5-A6+A5)-IF(OR(COUNTIF(OFFSET(AT6,0,$AT$1,1,1),"*听雷*")&gt;0,AND(碧归&gt;0,COUNTIF(OFFSET(AT6,0,$AT$1,1,1),"*风来*")&gt;0)),0,1)*1.5)</f>
        <v>90.34</v>
      </c>
      <c r="AC6">
        <f ca="1" t="shared" si="1"/>
        <v>2</v>
      </c>
      <c r="AD6">
        <f ca="1">IF(COUNTIF(IF(AND(配装计算器!$K$30&lt;&gt;"∞",0),INDEX(AU6:CB6,1,$AT$1),INDEX(AU7:CB7,1,$AT$1)),"*叠1*")=1,AB6*0+AE5,0)</f>
        <v>0</v>
      </c>
      <c r="AE6">
        <f ca="1">IF($AN$11&gt;0,IF(COUNTIF(B7,"*叠1*")&gt;0,50-加速!$H$11,MAX(0,AE5-(A7-A6))),0)</f>
        <v>43.59</v>
      </c>
      <c r="AG6" s="177"/>
      <c r="AH6" t="s">
        <v>1028</v>
      </c>
      <c r="AI6" t="s">
        <v>2726</v>
      </c>
      <c r="AJ6">
        <f ca="1">循环比*(COUNTIFS($B$3:$B$515,"*莺鸣柳*",$D$3:$D$515,"&gt;0",$I$3:$I$515,"=0")+COUNTIFS($B$3:$B$515,"*黄龙吐翠*",$D$3:$D$515,"&gt;0",$I$3:$I$515,"=0",$AC$3:$AC$515,"=0"))</f>
        <v>0</v>
      </c>
      <c r="AK6" t="s">
        <v>2750</v>
      </c>
      <c r="AL6" s="177"/>
      <c r="AM6" s="177" t="s">
        <v>3020</v>
      </c>
      <c r="AN6" s="177"/>
      <c r="AS6">
        <f ca="1">IF(加速!L11&lt;=1.218,1,0)*0</f>
        <v>0</v>
      </c>
      <c r="AU6" t="s">
        <v>2768</v>
      </c>
      <c r="AV6">
        <v>2</v>
      </c>
      <c r="AW6" s="180" t="s">
        <v>2789</v>
      </c>
      <c r="AX6">
        <v>2</v>
      </c>
      <c r="AY6" t="s">
        <v>2808</v>
      </c>
      <c r="AZ6">
        <v>2</v>
      </c>
      <c r="BA6" t="s">
        <v>2808</v>
      </c>
      <c r="BB6">
        <v>2</v>
      </c>
      <c r="BC6" t="s">
        <v>2768</v>
      </c>
      <c r="BD6">
        <v>2</v>
      </c>
      <c r="BE6" t="s">
        <v>2776</v>
      </c>
      <c r="BF6">
        <v>0</v>
      </c>
      <c r="BG6" t="s">
        <v>2768</v>
      </c>
      <c r="BH6">
        <v>2</v>
      </c>
      <c r="BI6" t="s">
        <v>2789</v>
      </c>
      <c r="BJ6">
        <v>2</v>
      </c>
      <c r="BK6" s="176" t="s">
        <v>2768</v>
      </c>
      <c r="BL6">
        <v>2</v>
      </c>
      <c r="BM6" s="176" t="str">
        <f>IF(秋,"梦泉虎跑-轻","夕照雷峰")</f>
        <v>夕照雷峰</v>
      </c>
      <c r="BN6">
        <v>2</v>
      </c>
      <c r="BO6" s="176" t="str">
        <f>IF(秋,"梦泉虎跑-轻","夕照雷峰")</f>
        <v>夕照雷峰</v>
      </c>
      <c r="BP6">
        <v>2</v>
      </c>
      <c r="BQ6" s="176" t="s">
        <v>3021</v>
      </c>
      <c r="BR6">
        <v>2</v>
      </c>
      <c r="BS6" s="176" t="s">
        <v>3021</v>
      </c>
      <c r="BT6">
        <v>2</v>
      </c>
      <c r="BU6" s="176" t="str">
        <f>IF(秋,"九溪弥烟-轻-血毒金蛇锥","梦泉虎跑-轻")</f>
        <v>梦泉虎跑-轻</v>
      </c>
      <c r="BV6">
        <v>2</v>
      </c>
      <c r="BW6" s="179" t="s">
        <v>2768</v>
      </c>
      <c r="BX6" s="179">
        <v>2</v>
      </c>
      <c r="BY6" s="176" t="str">
        <f>IF(秋,"梦泉虎跑-轻","夕照雷峰")</f>
        <v>夕照雷峰</v>
      </c>
      <c r="BZ6">
        <v>2</v>
      </c>
      <c r="CA6" s="176" t="str">
        <f>IF(秋,"梦泉虎跑-轻","夕照雷峰")</f>
        <v>夕照雷峰</v>
      </c>
      <c r="CB6">
        <v>2</v>
      </c>
    </row>
    <row r="7" spans="1:80">
      <c r="A7" s="178">
        <f ca="1">IFERROR(IF(A6+加速!$L$11&lt;$AS$1,IF(COUNTIF(B6,"*轻*")&gt;0,A6+加速!$L$9,A6+加速!$L$11)+V6,IF(COUNTIF(INDEX(AU7:CB7,1,$AT$1),"*云景*")+COUNTIF(INDEX(AU7:CB7,1,$AT$1),"*鹤归*")+COUNTIF(INDEX(AU7:CB7,1,$AT$1),"*听雷*")&gt;0,A6+加速!$L$11,"")),"")</f>
        <v>5.16</v>
      </c>
      <c r="B7" s="167" t="str">
        <f ca="1">IF(A7&lt;&gt;"",IF(AND(A7+加速!$L$11&gt;$AS$1,IF(AND(配装计算器!$K$30&lt;&gt;"∞",0),"梦泉虎跑-轻",INDEX(AU7:CB7,1,$AT$1))="云栖松"),"夕照雷峰",IF(AND(配装计算器!$K$30&lt;&gt;"∞",0),"梦泉虎跑-轻",INDEX(AU7:CB7,1,$AT$1))),"")</f>
        <v>叠3-云飞玉皇</v>
      </c>
      <c r="C7">
        <f ca="1" t="shared" si="5"/>
        <v>12.42</v>
      </c>
      <c r="D7">
        <f ca="1">IF(B7&lt;&gt;"",IF(C6&lt;=加速!$L$11*(1-E7),0,1),"")</f>
        <v>1</v>
      </c>
      <c r="E7">
        <f ca="1" t="shared" si="2"/>
        <v>1</v>
      </c>
      <c r="G7">
        <f ca="1" t="shared" si="6"/>
        <v>8</v>
      </c>
      <c r="H7">
        <f ca="1">IF(B7&lt;&gt;"",IF(AND(COUNTIF(B6,"*轻*莺鸣柳*")&gt;0,COUNTIF(B7,"*轻*")&lt;1),MAX(0,15+I6-(A7-A6)+COUNTIF(B6,"*平湖*")*0),IF(AND(E7=0,MAX(0,H6-(A7-A6))&lt;=加速!$H$11),0,MAX(0,H6-(A7-A6)))),"")</f>
        <v>0</v>
      </c>
      <c r="I7">
        <f ca="1" t="shared" si="9"/>
        <v>0</v>
      </c>
      <c r="J7">
        <f ca="1" t="shared" si="10"/>
        <v>0</v>
      </c>
      <c r="K7">
        <f ca="1">IF(A7&lt;&gt;"",IF(AND(配装计算器!$K$30&lt;&gt;"∞",0),2,INDEX(AU7:CB7,1,$AT$2)),"")</f>
        <v>2</v>
      </c>
      <c r="L7">
        <f ca="1">IFERROR(IF(AND(COUNTIF(B7,"*-峰插*"),技能数据库!$M$72&gt;0),0,IF(COUNTIF(B7,"*鹤归*")&gt;0,16-加速!$L$11,MAX(0,L6-(A7-A6)))),0)</f>
        <v>0</v>
      </c>
      <c r="M7">
        <f ca="1">IF(COUNTIF(IF(AND(配装计算器!$K$30&lt;&gt;"∞",0),INDEX(AU6:CB6,1,$AT$1),INDEX(AU8:CB8,1,$AT$1)),"*鹤归*")=1,L7,0)</f>
        <v>0</v>
      </c>
      <c r="N7">
        <f ca="1">IFERROR(IF(AND(COUNTIF(B7,"*-峰插*"),技能数据库!$M$72&gt;0),0,IF(COUNTIF(B7,"*云飞*")&gt;0,4-COUNTIF(B7,"*玉山揽云*")*4--COUNTIF(B7,"*烟流暮景*")*4-COUNTIF(B7,"*云景*")*加速!$L$11-IF(J7&gt;0,2,0),MAX(0,N6-(A7-A6)-IF(J7&gt;0,2,0)))),0)</f>
        <v>4</v>
      </c>
      <c r="O7">
        <f ca="1">IF(AND(COUNTIF(IF(AND(配装计算器!$K$30&lt;&gt;"∞",0),INDEX(AU6:CB6,1,$AT$1),INDEX(AU8:CB8,1,$AT$1)),"*云飞*")=1,COUNTIF(IF(AND(配装计算器!$K$30&lt;&gt;"∞",0),INDEX(AU6:CB6,1,$AT$1),INDEX(AU8:CB8,1,$AT$1)),"*玉山*")=0),N7,0)</f>
        <v>0</v>
      </c>
      <c r="P7">
        <f ca="1">IFERROR(IF(COUNTIF(B7,"*云栖松*")&gt;0,50-加速!$L$11,MAX(0,P6-(A7-A6))),0)</f>
        <v>0</v>
      </c>
      <c r="Q7">
        <f ca="1">IF(COUNTIF(IF(AND(配装计算器!$K$30&lt;&gt;"∞",0),INDEX(AU6:CB6,1,$AT$1),INDEX(AU8:CB8,1,$AT$1)),"*云栖松*")=1,P7,0)</f>
        <v>0</v>
      </c>
      <c r="R7">
        <f ca="1">IFERROR(IF(COUNTIF(B7,"*莺鸣柳*")&gt;0,45-加速!$L$9,MAX(0,R6-(A7-A6))),0)</f>
        <v>0</v>
      </c>
      <c r="S7">
        <f ca="1">IF(COUNTIF(IF(AND(配装计算器!$K$30&lt;&gt;"∞",0),INDEX(AU6:CB6,1,$AT$1),INDEX(AU8:CB8,1,$AT$1)),"*莺鸣柳*")=1,R7,0)</f>
        <v>0</v>
      </c>
      <c r="T7">
        <f ca="1" t="shared" si="7"/>
        <v>0</v>
      </c>
      <c r="U7">
        <f ca="1">IF(金蛇,IF(COUNTIF(B7,"*金环戴*")+COUNTIF(B7,"*吹风醒*")&gt;0,IF(A7&lt;=3,7.125-2.625-A7-加速!$L$11,A7-T7),0),0)+IF(金蛇,IF(COUNTIF(B7,"*千切子裂光*")&gt;0,2+加速!$K$9-(A7+加速!$L$11-T7),0),0)</f>
        <v>0</v>
      </c>
      <c r="V7">
        <f ca="1" t="shared" si="8"/>
        <v>0</v>
      </c>
      <c r="W7">
        <f ca="1" t="shared" si="0"/>
        <v>2</v>
      </c>
      <c r="X7">
        <f ca="1">INDEX(加速!$I$13:$I$21,技能数计算!W7+1)</f>
        <v>3</v>
      </c>
      <c r="Y7">
        <f ca="1" t="shared" si="3"/>
        <v>0.5</v>
      </c>
      <c r="Z7">
        <f ca="1" t="shared" si="4"/>
        <v>0</v>
      </c>
      <c r="AA7">
        <f ca="1">MAX(0,IFERROR(IF(COUNTIF(B7,"*叠*")&gt;0,IF(AC6&lt;3,8-A8+A7,AA6+6.875-A8+A7),AA6-A8+A7),AA6-加速!$L$11))</f>
        <v>6.71</v>
      </c>
      <c r="AB7">
        <f ca="1">MAX(0,IF(COUNTIF(IF(AND(配装计算器!$K$30&lt;&gt;"∞",0),INDEX(AU7:CB7,1,$AT$1),INDEX(AU7:CB7,1,$AT$1)),"*叠1*")=1,4*25-加速!$L$11,AB6-A7+A6)-IF(OR(COUNTIF(OFFSET(AT7,0,$AT$1,1,1),"*听雷*")&gt;0,AND(碧归&gt;0,COUNTIF(OFFSET(AT7,0,$AT$1,1,1),"*风来*")&gt;0)),0,1)*1.5)</f>
        <v>87.55</v>
      </c>
      <c r="AC7">
        <f ca="1" t="shared" si="1"/>
        <v>3</v>
      </c>
      <c r="AD7">
        <f ca="1">IF(COUNTIF(IF(AND(配装计算器!$K$30&lt;&gt;"∞",0),INDEX(AU7:CB7,1,$AT$1),INDEX(AU8:CB8,1,$AT$1)),"*叠1*")=1,AB7*0+AE6,0)</f>
        <v>0</v>
      </c>
      <c r="AE7">
        <f ca="1">IF($AN$11&gt;0,IF(COUNTIF(B8,"*叠1*")&gt;0,50-加速!$H$11,MAX(0,AE6-(A8-A7))),0)</f>
        <v>42.3</v>
      </c>
      <c r="AG7" s="177"/>
      <c r="AH7" t="s">
        <v>1028</v>
      </c>
      <c r="AI7" t="s">
        <v>2726</v>
      </c>
      <c r="AJ7">
        <f ca="1">循环比*COUNTIFS($B$3:$B$515,"*莺鸣柳*",$D$3:$D$515,"=0",$I$3:$I$515,"&gt;0")</f>
        <v>0</v>
      </c>
      <c r="AK7" t="s">
        <v>2949</v>
      </c>
      <c r="AL7" s="177"/>
      <c r="AM7" s="177">
        <f>48+128+84+14+14+14+65</f>
        <v>367</v>
      </c>
      <c r="AN7" s="177"/>
      <c r="AU7" s="180" t="s">
        <v>2789</v>
      </c>
      <c r="AV7">
        <v>2</v>
      </c>
      <c r="AW7" s="176" t="s">
        <v>2794</v>
      </c>
      <c r="AX7">
        <v>2</v>
      </c>
      <c r="AY7" t="s">
        <v>3022</v>
      </c>
      <c r="AZ7">
        <v>2</v>
      </c>
      <c r="BA7" t="s">
        <v>3022</v>
      </c>
      <c r="BB7">
        <v>2</v>
      </c>
      <c r="BC7" t="s">
        <v>3023</v>
      </c>
      <c r="BD7">
        <v>2</v>
      </c>
      <c r="BE7" t="s">
        <v>3012</v>
      </c>
      <c r="BF7">
        <v>2</v>
      </c>
      <c r="BG7" s="182" t="s">
        <v>3023</v>
      </c>
      <c r="BH7">
        <v>2</v>
      </c>
      <c r="BI7" s="182" t="s">
        <v>3023</v>
      </c>
      <c r="BJ7">
        <v>2</v>
      </c>
      <c r="BK7" s="176" t="s">
        <v>3023</v>
      </c>
      <c r="BL7">
        <v>2</v>
      </c>
      <c r="BM7" s="176" t="str">
        <f>IF(秋,"九溪弥烟-轻-血毒金蛇锥","梦泉虎跑-轻")</f>
        <v>梦泉虎跑-轻</v>
      </c>
      <c r="BN7">
        <v>2</v>
      </c>
      <c r="BO7" s="176" t="str">
        <f>IF(秋,"九溪弥烟-轻-血毒金蛇锥","梦泉虎跑-轻")</f>
        <v>梦泉虎跑-轻</v>
      </c>
      <c r="BP7">
        <v>2</v>
      </c>
      <c r="BQ7" t="s">
        <v>3010</v>
      </c>
      <c r="BR7">
        <v>2</v>
      </c>
      <c r="BS7" t="s">
        <v>3024</v>
      </c>
      <c r="BT7">
        <v>2</v>
      </c>
      <c r="BU7" s="176" t="s">
        <v>2794</v>
      </c>
      <c r="BV7">
        <v>1</v>
      </c>
      <c r="BW7" s="179" t="s">
        <v>2776</v>
      </c>
      <c r="BX7" s="179">
        <v>2</v>
      </c>
      <c r="BY7" s="176" t="str">
        <f>IF(秋,"九溪弥烟-轻-血毒金蛇锥","梦泉虎跑-轻")</f>
        <v>梦泉虎跑-轻</v>
      </c>
      <c r="BZ7">
        <v>2</v>
      </c>
      <c r="CA7" s="176" t="str">
        <f>IF(秋,"九溪弥烟-轻-血毒金蛇锥","梦泉虎跑-轻")</f>
        <v>梦泉虎跑-轻</v>
      </c>
      <c r="CB7">
        <v>2</v>
      </c>
    </row>
    <row r="8" spans="1:80">
      <c r="A8" s="178">
        <f ca="1">IFERROR(IF(A7+加速!$L$11&lt;$AS$1,IF(COUNTIF(B7,"*轻*")&gt;0,A7+加速!$L$9,A7+加速!$L$11)+V7,IF(COUNTIF(INDEX(AU8:CB8,1,$AT$1),"*云景*")+COUNTIF(INDEX(AU8:CB8,1,$AT$1),"*鹤归*")+COUNTIF(INDEX(AU8:CB8,1,$AT$1),"*听雷*")&gt;0,A7+加速!$L$11,"")),"")</f>
        <v>6.45</v>
      </c>
      <c r="B8" s="167" t="str">
        <f ca="1">IF(A8&lt;&gt;"",IF(AND(A8+加速!$L$11&gt;$AS$1,IF(AND(配装计算器!$K$30&lt;&gt;"∞",0),"梦泉虎跑-轻",INDEX(AU8:CB8,1,$AT$1))="云栖松"),"夕照雷峰",IF(AND(配装计算器!$K$30&lt;&gt;"∞",0),"梦泉虎跑-轻",INDEX(AU8:CB8,1,$AT$1))),"")</f>
        <v>云飞玉皇-玉山揽云</v>
      </c>
      <c r="C8">
        <f ca="1" t="shared" si="5"/>
        <v>11.13</v>
      </c>
      <c r="D8">
        <f ca="1">IF(B8&lt;&gt;"",IF(C7&lt;=加速!$L$11*(1-E8),0,1),"")</f>
        <v>1</v>
      </c>
      <c r="E8">
        <f ca="1" t="shared" si="2"/>
        <v>1</v>
      </c>
      <c r="G8">
        <f ca="1" t="shared" si="6"/>
        <v>7</v>
      </c>
      <c r="H8">
        <f ca="1">IF(B8&lt;&gt;"",IF(AND(COUNTIF(B7,"*轻*莺鸣柳*")&gt;0,COUNTIF(B8,"*轻*")&lt;1),MAX(0,15+I7-(A8-A7)+COUNTIF(B7,"*平湖*")*0),IF(AND(E8=0,MAX(0,H7-(A8-A7))&lt;=加速!$H$11),0,MAX(0,H7-(A8-A7)))),"")</f>
        <v>0</v>
      </c>
      <c r="I8">
        <f ca="1" t="shared" si="9"/>
        <v>0</v>
      </c>
      <c r="J8">
        <f ca="1" t="shared" si="10"/>
        <v>0</v>
      </c>
      <c r="K8">
        <f ca="1">IF(A8&lt;&gt;"",IF(AND(配装计算器!$K$30&lt;&gt;"∞",0),2,INDEX(AU8:CB8,1,$AT$2)),"")</f>
        <v>2</v>
      </c>
      <c r="L8">
        <f ca="1">IFERROR(IF(AND(COUNTIF(B8,"*-峰插*"),技能数据库!$M$72&gt;0),0,IF(COUNTIF(B8,"*鹤归*")&gt;0,16-加速!$L$11,MAX(0,L7-(A8-A7)))),0)</f>
        <v>0</v>
      </c>
      <c r="M8">
        <f ca="1">IF(COUNTIF(IF(AND(配装计算器!$K$30&lt;&gt;"∞",0),INDEX(AU7:CB7,1,$AT$1),INDEX(AU9:CB9,1,$AT$1)),"*鹤归*")=1,L8,0)</f>
        <v>0</v>
      </c>
      <c r="N8">
        <f ca="1">IFERROR(IF(AND(COUNTIF(B8,"*-峰插*"),技能数据库!$M$72&gt;0),0,IF(COUNTIF(B8,"*云飞*")&gt;0,4-COUNTIF(B8,"*玉山揽云*")*4--COUNTIF(B8,"*烟流暮景*")*4-COUNTIF(B8,"*云景*")*加速!$L$11-IF(J8&gt;0,2,0),MAX(0,N7-(A8-A7)-IF(J8&gt;0,2,0)))),0)</f>
        <v>0</v>
      </c>
      <c r="O8">
        <f ca="1">IF(AND(COUNTIF(IF(AND(配装计算器!$K$30&lt;&gt;"∞",0),INDEX(AU7:CB7,1,$AT$1),INDEX(AU9:CB9,1,$AT$1)),"*云飞*")=1,COUNTIF(IF(AND(配装计算器!$K$30&lt;&gt;"∞",0),INDEX(AU7:CB7,1,$AT$1),INDEX(AU9:CB9,1,$AT$1)),"*玉山*")=0),N8,0)</f>
        <v>0</v>
      </c>
      <c r="P8">
        <f ca="1">IFERROR(IF(COUNTIF(B8,"*云栖松*")&gt;0,50-加速!$L$11,MAX(0,P7-(A8-A7))),0)</f>
        <v>0</v>
      </c>
      <c r="Q8">
        <f ca="1">IF(COUNTIF(IF(AND(配装计算器!$K$30&lt;&gt;"∞",0),INDEX(AU7:CB7,1,$AT$1),INDEX(AU9:CB9,1,$AT$1)),"*云栖松*")=1,P8,0)</f>
        <v>0</v>
      </c>
      <c r="R8">
        <f ca="1">IFERROR(IF(COUNTIF(B8,"*莺鸣柳*")&gt;0,45-加速!$L$9,MAX(0,R7-(A8-A7))),0)</f>
        <v>0</v>
      </c>
      <c r="S8">
        <f ca="1">IF(COUNTIF(IF(AND(配装计算器!$K$30&lt;&gt;"∞",0),INDEX(AU7:CB7,1,$AT$1),INDEX(AU9:CB9,1,$AT$1)),"*莺鸣柳*")=1,R8,0)</f>
        <v>0</v>
      </c>
      <c r="T8">
        <f ca="1" t="shared" si="7"/>
        <v>0</v>
      </c>
      <c r="U8">
        <f ca="1">IF(金蛇,IF(COUNTIF(B8,"*金环戴*")+COUNTIF(B8,"*吹风醒*")&gt;0,IF(A8&lt;=3,7.125-2.625-A8-加速!$L$11,A8-T8),0),0)+IF(金蛇,IF(COUNTIF(B8,"*千切子裂光*")&gt;0,2+加速!$K$9-(A8+加速!$L$11-T8),0),0)</f>
        <v>0</v>
      </c>
      <c r="V8">
        <f ca="1" t="shared" si="8"/>
        <v>0</v>
      </c>
      <c r="W8">
        <f ca="1" t="shared" si="0"/>
        <v>3</v>
      </c>
      <c r="X8">
        <f ca="1">INDEX(加速!$I$13:$I$21,技能数计算!W8+1)</f>
        <v>2</v>
      </c>
      <c r="Y8">
        <f ca="1" t="shared" si="3"/>
        <v>0.5</v>
      </c>
      <c r="Z8">
        <f ca="1" t="shared" si="4"/>
        <v>0</v>
      </c>
      <c r="AA8">
        <f ca="1">MAX(0,IFERROR(IF(COUNTIF(B8,"*叠*")&gt;0,IF(AC7&lt;3,8-A9+A8,AA7+6.875-A9+A8),AA7-A9+A8),AA7-加速!$L$11))</f>
        <v>5.42</v>
      </c>
      <c r="AB8">
        <f ca="1">MAX(0,IF(COUNTIF(IF(AND(配装计算器!$K$30&lt;&gt;"∞",0),INDEX(AU8:CB8,1,$AT$1),INDEX(AU8:CB8,1,$AT$1)),"*叠1*")=1,4*25-加速!$L$11,AB7-A8+A7)-IF(OR(COUNTIF(OFFSET(AT8,0,$AT$1,1,1),"*听雷*")&gt;0,AND(碧归&gt;0,COUNTIF(OFFSET(AT8,0,$AT$1,1,1),"*风来*")&gt;0)),0,1)*1.5)</f>
        <v>84.76</v>
      </c>
      <c r="AC8">
        <f ca="1" t="shared" si="1"/>
        <v>3</v>
      </c>
      <c r="AD8">
        <f ca="1">IF(COUNTIF(IF(AND(配装计算器!$K$30&lt;&gt;"∞",0),INDEX(AU8:CB8,1,$AT$1),INDEX(AU9:CB9,1,$AT$1)),"*叠1*")=1,AB8*0+AE7,0)</f>
        <v>0</v>
      </c>
      <c r="AE8">
        <f ca="1">IF($AN$11&gt;0,IF(COUNTIF(B9,"*叠1*")&gt;0,50-加速!$H$11,MAX(0,AE7-(A9-A8))),0)</f>
        <v>41.01</v>
      </c>
      <c r="AG8" s="177"/>
      <c r="AH8" t="s">
        <v>1028</v>
      </c>
      <c r="AI8" t="s">
        <v>2726</v>
      </c>
      <c r="AJ8">
        <f ca="1">循环比*COUNTIFS($B$3:$B$515,"*莺鸣柳*",$D$3:$D$515,"&gt;0",$I$3:$I$515,"&gt;0")</f>
        <v>0</v>
      </c>
      <c r="AK8" t="s">
        <v>3014</v>
      </c>
      <c r="AL8" s="177"/>
      <c r="AM8" s="177" t="s">
        <v>3025</v>
      </c>
      <c r="AN8" s="183">
        <f>IF(AND(装备选择!BJ13&lt;15900,COUNTIF(装备选择!N13,"*大橙武*")&gt;0),1,0)*内置配装器+技能数据库!M65*自输入属性</f>
        <v>0</v>
      </c>
      <c r="AU8" s="176" t="s">
        <v>2794</v>
      </c>
      <c r="AV8">
        <v>2</v>
      </c>
      <c r="AW8" s="176" t="s">
        <v>2776</v>
      </c>
      <c r="AX8">
        <v>2</v>
      </c>
      <c r="AY8" t="s">
        <v>2776</v>
      </c>
      <c r="AZ8">
        <v>2</v>
      </c>
      <c r="BA8" t="s">
        <v>2776</v>
      </c>
      <c r="BB8">
        <v>2</v>
      </c>
      <c r="BC8" t="s">
        <v>2768</v>
      </c>
      <c r="BD8">
        <v>2</v>
      </c>
      <c r="BE8" t="s">
        <v>2776</v>
      </c>
      <c r="BF8">
        <v>2</v>
      </c>
      <c r="BG8" s="176" t="s">
        <v>2768</v>
      </c>
      <c r="BH8">
        <v>2</v>
      </c>
      <c r="BI8" s="176" t="s">
        <v>3026</v>
      </c>
      <c r="BJ8">
        <v>2</v>
      </c>
      <c r="BK8" s="176" t="s">
        <v>2768</v>
      </c>
      <c r="BL8">
        <v>2</v>
      </c>
      <c r="BM8" t="s">
        <v>3009</v>
      </c>
      <c r="BN8">
        <v>2</v>
      </c>
      <c r="BO8" t="s">
        <v>3009</v>
      </c>
      <c r="BP8">
        <v>2</v>
      </c>
      <c r="BQ8" t="s">
        <v>3027</v>
      </c>
      <c r="BR8">
        <v>2</v>
      </c>
      <c r="BS8" s="179" t="s">
        <v>2794</v>
      </c>
      <c r="BT8">
        <v>2</v>
      </c>
      <c r="BU8" t="s">
        <v>3028</v>
      </c>
      <c r="BV8">
        <v>1</v>
      </c>
      <c r="BW8" s="181" t="s">
        <v>2789</v>
      </c>
      <c r="BX8" s="179">
        <v>2</v>
      </c>
      <c r="BY8" t="s">
        <v>3009</v>
      </c>
      <c r="BZ8">
        <v>2</v>
      </c>
      <c r="CA8" t="s">
        <v>3009</v>
      </c>
      <c r="CB8">
        <v>2</v>
      </c>
    </row>
    <row r="9" spans="1:80">
      <c r="A9" s="178">
        <f ca="1">IFERROR(IF(A8+加速!$L$11&lt;$AS$1,IF(COUNTIF(B8,"*轻*")&gt;0,A8+加速!$L$9,A8+加速!$L$11)+V8,IF(COUNTIF(INDEX(AU9:CB9,1,$AT$1),"*云景*")+COUNTIF(INDEX(AU9:CB9,1,$AT$1),"*鹤归*")+COUNTIF(INDEX(AU9:CB9,1,$AT$1),"*听雷*")&gt;0,A8+加速!$L$11,"")),"")</f>
        <v>7.74</v>
      </c>
      <c r="B9" s="167" t="str">
        <f ca="1">IF(A9&lt;&gt;"",IF(AND(A9+加速!$L$11&gt;$AS$1,IF(AND(配装计算器!$K$30&lt;&gt;"∞",0),"梦泉虎跑-轻",INDEX(AU9:CB9,1,$AT$1))="云栖松"),"夕照雷峰",IF(AND(配装计算器!$K$30&lt;&gt;"∞",0),"梦泉虎跑-轻",INDEX(AU9:CB9,1,$AT$1))),"")</f>
        <v>云飞玉皇-玉山揽云</v>
      </c>
      <c r="C9">
        <f ca="1" t="shared" si="5"/>
        <v>9.84</v>
      </c>
      <c r="D9">
        <f ca="1">IF(B9&lt;&gt;"",IF(C8&lt;=加速!$L$11*(1-E9),0,1),"")</f>
        <v>1</v>
      </c>
      <c r="E9">
        <f ca="1" t="shared" si="2"/>
        <v>1</v>
      </c>
      <c r="G9">
        <f ca="1" t="shared" si="6"/>
        <v>6</v>
      </c>
      <c r="H9">
        <f ca="1">IF(B9&lt;&gt;"",IF(AND(COUNTIF(B8,"*轻*莺鸣柳*")&gt;0,COUNTIF(B9,"*轻*")&lt;1),MAX(0,15+I8-(A9-A8)+COUNTIF(B8,"*平湖*")*0),IF(AND(E9=0,MAX(0,H8-(A9-A8))&lt;=加速!$H$11),0,MAX(0,H8-(A9-A8)))),"")</f>
        <v>0</v>
      </c>
      <c r="I9">
        <f ca="1" t="shared" si="9"/>
        <v>0</v>
      </c>
      <c r="J9">
        <f ca="1" t="shared" si="10"/>
        <v>0</v>
      </c>
      <c r="K9">
        <f ca="1">IF(A9&lt;&gt;"",IF(AND(配装计算器!$K$30&lt;&gt;"∞",0),2,INDEX(AU9:CB9,1,$AT$2)),"")</f>
        <v>2</v>
      </c>
      <c r="L9">
        <f ca="1">IFERROR(IF(AND(COUNTIF(B9,"*-峰插*"),技能数据库!$M$72&gt;0),0,IF(COUNTIF(B9,"*鹤归*")&gt;0,16-加速!$L$11,MAX(0,L8-(A9-A8)))),0)</f>
        <v>0</v>
      </c>
      <c r="M9">
        <f ca="1">IF(COUNTIF(IF(AND(配装计算器!$K$30&lt;&gt;"∞",0),INDEX(AU8:CB8,1,$AT$1),INDEX(AU10:CB10,1,$AT$1)),"*鹤归*")=1,L9,0)</f>
        <v>0</v>
      </c>
      <c r="N9">
        <f ca="1">IFERROR(IF(AND(COUNTIF(B9,"*-峰插*"),技能数据库!$M$72&gt;0),0,IF(COUNTIF(B9,"*云飞*")&gt;0,4-COUNTIF(B9,"*玉山揽云*")*4--COUNTIF(B9,"*烟流暮景*")*4-COUNTIF(B9,"*云景*")*加速!$L$11-IF(J9&gt;0,2,0),MAX(0,N8-(A9-A8)-IF(J9&gt;0,2,0)))),0)</f>
        <v>0</v>
      </c>
      <c r="O9">
        <f ca="1">IF(AND(COUNTIF(IF(AND(配装计算器!$K$30&lt;&gt;"∞",0),INDEX(AU8:CB8,1,$AT$1),INDEX(AU10:CB10,1,$AT$1)),"*云飞*")=1,COUNTIF(IF(AND(配装计算器!$K$30&lt;&gt;"∞",0),INDEX(AU8:CB8,1,$AT$1),INDEX(AU10:CB10,1,$AT$1)),"*玉山*")=0),N9,0)</f>
        <v>0</v>
      </c>
      <c r="P9">
        <f ca="1">IFERROR(IF(COUNTIF(B9,"*云栖松*")&gt;0,50-加速!$L$11,MAX(0,P8-(A9-A8))),0)</f>
        <v>0</v>
      </c>
      <c r="Q9">
        <f ca="1">IF(COUNTIF(IF(AND(配装计算器!$K$30&lt;&gt;"∞",0),INDEX(AU8:CB8,1,$AT$1),INDEX(AU10:CB10,1,$AT$1)),"*云栖松*")=1,P9,0)</f>
        <v>0</v>
      </c>
      <c r="R9">
        <f ca="1">IFERROR(IF(COUNTIF(B9,"*莺鸣柳*")&gt;0,45-加速!$L$9,MAX(0,R8-(A9-A8))),0)</f>
        <v>0</v>
      </c>
      <c r="S9">
        <f ca="1">IF(COUNTIF(IF(AND(配装计算器!$K$30&lt;&gt;"∞",0),INDEX(AU8:CB8,1,$AT$1),INDEX(AU10:CB10,1,$AT$1)),"*莺鸣柳*")=1,R9,0)</f>
        <v>0</v>
      </c>
      <c r="T9">
        <f ca="1" t="shared" si="7"/>
        <v>0</v>
      </c>
      <c r="U9">
        <f ca="1">IF(金蛇,IF(COUNTIF(B9,"*金环戴*")+COUNTIF(B9,"*吹风醒*")&gt;0,IF(A9&lt;=3,7.125-2.625-A9-加速!$L$11,A9-T9),0),0)+IF(金蛇,IF(COUNTIF(B9,"*千切子裂光*")&gt;0,2+加速!$K$9-(A9+加速!$L$11-T9),0),0)</f>
        <v>0</v>
      </c>
      <c r="V9">
        <f ca="1" t="shared" si="8"/>
        <v>0</v>
      </c>
      <c r="W9">
        <f ca="1" t="shared" si="0"/>
        <v>4</v>
      </c>
      <c r="X9">
        <f ca="1">INDEX(加速!$I$13:$I$21,技能数计算!W9+1)</f>
        <v>3</v>
      </c>
      <c r="Y9">
        <f ca="1" t="shared" si="3"/>
        <v>0.5</v>
      </c>
      <c r="Z9">
        <f ca="1" t="shared" si="4"/>
        <v>0</v>
      </c>
      <c r="AA9">
        <f ca="1">MAX(0,IFERROR(IF(COUNTIF(B9,"*叠*")&gt;0,IF(AC8&lt;3,8-A10+A9,AA8+6.875-A10+A9),AA8-A10+A9),AA8-加速!$L$11))</f>
        <v>4.13</v>
      </c>
      <c r="AB9">
        <f ca="1">MAX(0,IF(COUNTIF(IF(AND(配装计算器!$K$30&lt;&gt;"∞",0),INDEX(AU9:CB9,1,$AT$1),INDEX(AU9:CB9,1,$AT$1)),"*叠1*")=1,4*25-加速!$L$11,AB8-A9+A8)-IF(OR(COUNTIF(OFFSET(AT9,0,$AT$1,1,1),"*听雷*")&gt;0,AND(碧归&gt;0,COUNTIF(OFFSET(AT9,0,$AT$1,1,1),"*风来*")&gt;0)),0,1)*1.5)</f>
        <v>81.97</v>
      </c>
      <c r="AC9">
        <f ca="1" t="shared" si="1"/>
        <v>3</v>
      </c>
      <c r="AD9">
        <f ca="1">IF(COUNTIF(IF(AND(配装计算器!$K$30&lt;&gt;"∞",0),INDEX(AU9:CB9,1,$AT$1),INDEX(AU10:CB10,1,$AT$1)),"*叠1*")=1,AB9*0+AE8,0)</f>
        <v>0</v>
      </c>
      <c r="AE9">
        <f ca="1">IF($AN$11&gt;0,IF(COUNTIF(B10,"*叠1*")&gt;0,50-加速!$H$11,MAX(0,AE8-(A10-A9))),0)</f>
        <v>39.72</v>
      </c>
      <c r="AG9" s="177"/>
      <c r="AH9" t="s">
        <v>1028</v>
      </c>
      <c r="AI9" t="s">
        <v>2741</v>
      </c>
      <c r="AJ9">
        <f ca="1">循环比*COUNTIFS($B$3:$B$515,"*"&amp;AI9&amp;"*",$D$3:$D$515,"=0",$I$3:$I$515,"=0")</f>
        <v>0</v>
      </c>
      <c r="AL9" s="177"/>
      <c r="AM9" s="177" t="s">
        <v>3029</v>
      </c>
      <c r="AN9" s="183">
        <f>IF(AND(装备选择!BJ14&lt;15900,COUNTIF(装备选择!N14,"*大橙武*")&gt;0),1,0)*内置配装器+技能数据库!M66*自输入属性</f>
        <v>0</v>
      </c>
      <c r="AU9" s="176" t="s">
        <v>2776</v>
      </c>
      <c r="AV9">
        <v>2</v>
      </c>
      <c r="AW9" s="176" t="s">
        <v>2768</v>
      </c>
      <c r="AX9">
        <v>2</v>
      </c>
      <c r="AY9" t="s">
        <v>2768</v>
      </c>
      <c r="AZ9">
        <v>2</v>
      </c>
      <c r="BA9" t="s">
        <v>2768</v>
      </c>
      <c r="BB9">
        <v>2</v>
      </c>
      <c r="BC9" t="s">
        <v>2776</v>
      </c>
      <c r="BD9">
        <v>2</v>
      </c>
      <c r="BE9" t="s">
        <v>3017</v>
      </c>
      <c r="BF9">
        <v>2</v>
      </c>
      <c r="BG9" s="176" t="s">
        <v>2768</v>
      </c>
      <c r="BH9">
        <v>2</v>
      </c>
      <c r="BI9" s="176" t="s">
        <v>3026</v>
      </c>
      <c r="BJ9">
        <v>2</v>
      </c>
      <c r="BK9" s="176" t="s">
        <v>2808</v>
      </c>
      <c r="BL9">
        <v>2</v>
      </c>
      <c r="BM9" s="176" t="str">
        <f>IF(秋,"云飞玉皇-蛇牙锥心","云飞玉皇-血毒金蛇锥")</f>
        <v>云飞玉皇-血毒金蛇锥</v>
      </c>
      <c r="BN9">
        <v>2</v>
      </c>
      <c r="BO9" s="176" t="str">
        <f>IF(秋,"云飞玉皇-蛇牙锥心","云飞玉皇-血毒金蛇锥")</f>
        <v>云飞玉皇-血毒金蛇锥</v>
      </c>
      <c r="BP9">
        <v>2</v>
      </c>
      <c r="BQ9" t="s">
        <v>3018</v>
      </c>
      <c r="BR9">
        <v>2</v>
      </c>
      <c r="BS9" s="179" t="s">
        <v>3030</v>
      </c>
      <c r="BT9">
        <v>2</v>
      </c>
      <c r="BU9" t="s">
        <v>2768</v>
      </c>
      <c r="BV9">
        <v>1</v>
      </c>
      <c r="BW9" s="179" t="s">
        <v>2768</v>
      </c>
      <c r="BX9" s="179">
        <v>2</v>
      </c>
      <c r="BY9" t="str">
        <f>IF(秋,"夕照雷峰-蛇牙锥心","夕照雷峰")</f>
        <v>夕照雷峰</v>
      </c>
      <c r="BZ9">
        <v>2</v>
      </c>
      <c r="CA9" s="176" t="str">
        <f>IF(秋,"鹤归孤山-蛇牙锥心","鹤归孤山")</f>
        <v>鹤归孤山</v>
      </c>
      <c r="CB9">
        <v>2</v>
      </c>
    </row>
    <row r="10" spans="1:80">
      <c r="A10" s="178">
        <f ca="1">IFERROR(IF(A9+加速!$L$11&lt;$AS$1,IF(COUNTIF(B9,"*轻*")&gt;0,A9+加速!$L$9,A9+加速!$L$11)+V9,IF(COUNTIF(INDEX(AU10:CB10,1,$AT$1),"*云景*")+COUNTIF(INDEX(AU10:CB10,1,$AT$1),"*鹤归*")+COUNTIF(INDEX(AU10:CB10,1,$AT$1),"*听雷*")&gt;0,A9+加速!$L$11,"")),"")</f>
        <v>9.03</v>
      </c>
      <c r="B10" s="167" t="str">
        <f ca="1">IF(A10&lt;&gt;"",IF(AND(A10+加速!$L$11&gt;$AS$1,IF(AND(配装计算器!$K$30&lt;&gt;"∞",0),"梦泉虎跑-轻",INDEX(AU10:CB10,1,$AT$1))="云栖松"),"夕照雷峰",IF(AND(配装计算器!$K$30&lt;&gt;"∞",0),"梦泉虎跑-轻",INDEX(AU10:CB10,1,$AT$1))),"")</f>
        <v>云飞玉皇-玉山揽云</v>
      </c>
      <c r="C10">
        <f ca="1" t="shared" si="5"/>
        <v>8.55</v>
      </c>
      <c r="D10">
        <f ca="1">IF(B10&lt;&gt;"",IF(C9&lt;=加速!$L$11*(1-E10),0,1),"")</f>
        <v>1</v>
      </c>
      <c r="E10">
        <f ca="1" t="shared" si="2"/>
        <v>1</v>
      </c>
      <c r="G10">
        <f ca="1" t="shared" si="6"/>
        <v>5</v>
      </c>
      <c r="H10">
        <f ca="1">IF(B10&lt;&gt;"",IF(AND(COUNTIF(B9,"*轻*莺鸣柳*")&gt;0,COUNTIF(B10,"*轻*")&lt;1),MAX(0,15+I9-(A10-A9)+COUNTIF(B9,"*平湖*")*0),IF(AND(E10=0,MAX(0,H9-(A10-A9))&lt;=加速!$H$11),0,MAX(0,H9-(A10-A9)))),"")</f>
        <v>0</v>
      </c>
      <c r="I10">
        <f ca="1" t="shared" si="9"/>
        <v>0</v>
      </c>
      <c r="J10">
        <f ca="1" t="shared" si="10"/>
        <v>0</v>
      </c>
      <c r="K10">
        <f ca="1">IF(A10&lt;&gt;"",IF(AND(配装计算器!$K$30&lt;&gt;"∞",0),2,INDEX(AU10:CB10,1,$AT$2)),"")</f>
        <v>2</v>
      </c>
      <c r="L10">
        <f ca="1">IFERROR(IF(AND(COUNTIF(B10,"*-峰插*"),技能数据库!$M$72&gt;0),0,IF(COUNTIF(B10,"*鹤归*")&gt;0,16-加速!$L$11,MAX(0,L9-(A10-A9)))),0)</f>
        <v>0</v>
      </c>
      <c r="M10">
        <f ca="1">IF(COUNTIF(IF(AND(配装计算器!$K$30&lt;&gt;"∞",0),INDEX(AU9:CB9,1,$AT$1),INDEX(AU11:CB11,1,$AT$1)),"*鹤归*")=1,L10,0)</f>
        <v>0</v>
      </c>
      <c r="N10">
        <f ca="1">IFERROR(IF(AND(COUNTIF(B10,"*-峰插*"),技能数据库!$M$72&gt;0),0,IF(COUNTIF(B10,"*云飞*")&gt;0,4-COUNTIF(B10,"*玉山揽云*")*4--COUNTIF(B10,"*烟流暮景*")*4-COUNTIF(B10,"*云景*")*加速!$L$11-IF(J10&gt;0,2,0),MAX(0,N9-(A10-A9)-IF(J10&gt;0,2,0)))),0)</f>
        <v>0</v>
      </c>
      <c r="O10">
        <f ca="1">IF(AND(COUNTIF(IF(AND(配装计算器!$K$30&lt;&gt;"∞",0),INDEX(AU9:CB9,1,$AT$1),INDEX(AU11:CB11,1,$AT$1)),"*云飞*")=1,COUNTIF(IF(AND(配装计算器!$K$30&lt;&gt;"∞",0),INDEX(AU9:CB9,1,$AT$1),INDEX(AU11:CB11,1,$AT$1)),"*玉山*")=0),N10,0)</f>
        <v>0</v>
      </c>
      <c r="P10">
        <f ca="1">IFERROR(IF(COUNTIF(B10,"*云栖松*")&gt;0,50-加速!$L$11,MAX(0,P9-(A10-A9))),0)</f>
        <v>0</v>
      </c>
      <c r="Q10">
        <f ca="1">IF(COUNTIF(IF(AND(配装计算器!$K$30&lt;&gt;"∞",0),INDEX(AU9:CB9,1,$AT$1),INDEX(AU11:CB11,1,$AT$1)),"*云栖松*")=1,P10,0)</f>
        <v>0</v>
      </c>
      <c r="R10">
        <f ca="1">IFERROR(IF(COUNTIF(B10,"*莺鸣柳*")&gt;0,45-加速!$L$9,MAX(0,R9-(A10-A9))),0)</f>
        <v>0</v>
      </c>
      <c r="S10">
        <f ca="1">IF(COUNTIF(IF(AND(配装计算器!$K$30&lt;&gt;"∞",0),INDEX(AU9:CB9,1,$AT$1),INDEX(AU11:CB11,1,$AT$1)),"*莺鸣柳*")=1,R10,0)</f>
        <v>0</v>
      </c>
      <c r="T10">
        <f ca="1" t="shared" si="7"/>
        <v>0</v>
      </c>
      <c r="U10">
        <f ca="1">IF(金蛇,IF(COUNTIF(B10,"*金环戴*")+COUNTIF(B10,"*吹风醒*")&gt;0,IF(A10&lt;=3,7.125-2.625-A10-加速!$L$11,A10-T10),0),0)+IF(金蛇,IF(COUNTIF(B10,"*千切子裂光*")&gt;0,2+加速!$K$9-(A10+加速!$L$11-T10),0),0)</f>
        <v>0</v>
      </c>
      <c r="V10">
        <f ca="1" t="shared" si="8"/>
        <v>0</v>
      </c>
      <c r="W10">
        <f ca="1" t="shared" si="0"/>
        <v>5</v>
      </c>
      <c r="X10">
        <f ca="1">INDEX(加速!$I$13:$I$21,技能数计算!W10+1)</f>
        <v>2</v>
      </c>
      <c r="Y10">
        <f ca="1" t="shared" si="3"/>
        <v>0.5</v>
      </c>
      <c r="Z10">
        <f ca="1" t="shared" si="4"/>
        <v>0</v>
      </c>
      <c r="AA10">
        <f ca="1">MAX(0,IFERROR(IF(COUNTIF(B10,"*叠*")&gt;0,IF(AC9&lt;3,8-A11+A10,AA9+6.875-A11+A10),AA9-A11+A10),AA9-加速!$L$11))</f>
        <v>2.84</v>
      </c>
      <c r="AB10">
        <f ca="1">MAX(0,IF(COUNTIF(IF(AND(配装计算器!$K$30&lt;&gt;"∞",0),INDEX(AU10:CB10,1,$AT$1),INDEX(AU10:CB10,1,$AT$1)),"*叠1*")=1,4*25-加速!$L$11,AB9-A10+A9)-IF(OR(COUNTIF(OFFSET(AT10,0,$AT$1,1,1),"*听雷*")&gt;0,AND(碧归&gt;0,COUNTIF(OFFSET(AT10,0,$AT$1,1,1),"*风来*")&gt;0)),0,1)*1.5)</f>
        <v>79.18</v>
      </c>
      <c r="AC10">
        <f ca="1" t="shared" si="1"/>
        <v>3</v>
      </c>
      <c r="AD10">
        <f ca="1">IF(COUNTIF(IF(AND(配装计算器!$K$30&lt;&gt;"∞",0),INDEX(AU10:CB10,1,$AT$1),INDEX(AU11:CB11,1,$AT$1)),"*叠1*")=1,AB10*0+AE9,0)</f>
        <v>0</v>
      </c>
      <c r="AE10">
        <f ca="1">IF($AN$11&gt;0,IF(COUNTIF(B11,"*叠1*")&gt;0,50-加速!$H$11,MAX(0,AE9-(A11-A10))),0)</f>
        <v>38.43</v>
      </c>
      <c r="AG10" s="177"/>
      <c r="AH10" t="s">
        <v>1028</v>
      </c>
      <c r="AI10" t="s">
        <v>2741</v>
      </c>
      <c r="AJ10">
        <f ca="1">循环比*COUNTIFS($B$3:$B$515,"*"&amp;AI10&amp;"*",$D$3:$D$515,"=0",$I$3:$I$515,"&gt;0")</f>
        <v>0</v>
      </c>
      <c r="AK10" t="s">
        <v>2949</v>
      </c>
      <c r="AL10" s="177"/>
      <c r="AM10" s="177" t="s">
        <v>3031</v>
      </c>
      <c r="AN10" s="183">
        <f>IF(AND(装备选择!BJ13&gt;15900,COUNTIF(装备选择!N13,"*大橙武*")&gt;0),1,0)*内置配装器+技能数据库!M65*自输入属性</f>
        <v>1</v>
      </c>
      <c r="AU10" s="176" t="s">
        <v>2768</v>
      </c>
      <c r="AV10">
        <v>2</v>
      </c>
      <c r="AW10" s="176" t="s">
        <v>2776</v>
      </c>
      <c r="AX10">
        <v>2</v>
      </c>
      <c r="AY10" t="s">
        <v>2789</v>
      </c>
      <c r="AZ10">
        <v>2</v>
      </c>
      <c r="BA10" t="s">
        <v>2789</v>
      </c>
      <c r="BB10">
        <v>2</v>
      </c>
      <c r="BC10" t="s">
        <v>2789</v>
      </c>
      <c r="BD10">
        <v>2</v>
      </c>
      <c r="BE10" t="s">
        <v>2768</v>
      </c>
      <c r="BF10">
        <v>2</v>
      </c>
      <c r="BG10" s="176" t="s">
        <v>2789</v>
      </c>
      <c r="BH10">
        <v>2</v>
      </c>
      <c r="BI10" s="176" t="s">
        <v>3026</v>
      </c>
      <c r="BJ10">
        <v>2</v>
      </c>
      <c r="BK10" t="s">
        <v>2789</v>
      </c>
      <c r="BL10">
        <v>2</v>
      </c>
      <c r="BM10" t="s">
        <v>2768</v>
      </c>
      <c r="BN10">
        <v>2</v>
      </c>
      <c r="BO10" t="s">
        <v>2768</v>
      </c>
      <c r="BP10">
        <v>2</v>
      </c>
      <c r="BQ10" t="s">
        <v>2768</v>
      </c>
      <c r="BR10">
        <v>2</v>
      </c>
      <c r="BS10" s="179" t="s">
        <v>2768</v>
      </c>
      <c r="BT10">
        <v>2</v>
      </c>
      <c r="BU10" t="s">
        <v>3011</v>
      </c>
      <c r="BV10">
        <v>2</v>
      </c>
      <c r="BW10" s="182" t="s">
        <v>2794</v>
      </c>
      <c r="BX10" s="179">
        <v>2</v>
      </c>
      <c r="BY10" s="176" t="str">
        <f>IF(秋,"云飞玉皇","云飞玉皇-血毒金蛇锥")</f>
        <v>云飞玉皇-血毒金蛇锥</v>
      </c>
      <c r="BZ10">
        <v>2</v>
      </c>
      <c r="CA10" s="176" t="str">
        <f>IF(秋,"云飞玉皇","云飞玉皇-血毒金蛇锥")</f>
        <v>云飞玉皇-血毒金蛇锥</v>
      </c>
      <c r="CB10">
        <v>2</v>
      </c>
    </row>
    <row r="11" spans="1:80">
      <c r="A11" s="178">
        <f ca="1">IFERROR(IF(A10+加速!$L$11&lt;$AS$1,IF(COUNTIF(B10,"*轻*")&gt;0,A10+加速!$L$9,A10+加速!$L$11)+V10,IF(COUNTIF(INDEX(AU11:CB11,1,$AT$1),"*云景*")+COUNTIF(INDEX(AU11:CB11,1,$AT$1),"*鹤归*")+COUNTIF(INDEX(AU11:CB11,1,$AT$1),"*听雷*")&gt;0,A10+加速!$L$11,"")),"")</f>
        <v>10.32</v>
      </c>
      <c r="B11" s="167" t="str">
        <f ca="1">IF(A11&lt;&gt;"",IF(AND(A11+加速!$L$11&gt;$AS$1,IF(AND(配装计算器!$K$30&lt;&gt;"∞",0),"梦泉虎跑-轻",INDEX(AU11:CB11,1,$AT$1))="云栖松"),"夕照雷峰",IF(AND(配装计算器!$K$30&lt;&gt;"∞",0),"梦泉虎跑-轻",INDEX(AU11:CB11,1,$AT$1))),"")</f>
        <v>云飞玉皇-玉山揽云</v>
      </c>
      <c r="C11">
        <f ca="1" t="shared" si="5"/>
        <v>7.26</v>
      </c>
      <c r="D11">
        <f ca="1">IF(B11&lt;&gt;"",IF(C10&lt;=加速!$L$11*(1-E11),0,1),"")</f>
        <v>1</v>
      </c>
      <c r="E11">
        <f ca="1" t="shared" si="2"/>
        <v>1</v>
      </c>
      <c r="G11">
        <f ca="1" t="shared" si="6"/>
        <v>4</v>
      </c>
      <c r="H11">
        <f ca="1">IF(B11&lt;&gt;"",IF(AND(COUNTIF(B10,"*轻*莺鸣柳*")&gt;0,COUNTIF(B11,"*轻*")&lt;1),MAX(0,15+I10-(A11-A10)+COUNTIF(B10,"*平湖*")*0),IF(AND(E11=0,MAX(0,H10-(A11-A10))&lt;=加速!$H$11),0,MAX(0,H10-(A11-A10)))),"")</f>
        <v>0</v>
      </c>
      <c r="I11">
        <f ca="1" t="shared" si="9"/>
        <v>0</v>
      </c>
      <c r="J11">
        <f ca="1" t="shared" si="10"/>
        <v>0</v>
      </c>
      <c r="K11">
        <f ca="1">IF(A11&lt;&gt;"",IF(AND(配装计算器!$K$30&lt;&gt;"∞",0),2,INDEX(AU11:CB11,1,$AT$2)),"")</f>
        <v>2</v>
      </c>
      <c r="L11">
        <f ca="1">IFERROR(IF(AND(COUNTIF(B11,"*-峰插*"),技能数据库!$M$72&gt;0),0,IF(COUNTIF(B11,"*鹤归*")&gt;0,16-加速!$L$11,MAX(0,L10-(A11-A10)))),0)</f>
        <v>0</v>
      </c>
      <c r="M11">
        <f ca="1">IF(COUNTIF(IF(AND(配装计算器!$K$30&lt;&gt;"∞",0),INDEX(AU10:CB10,1,$AT$1),INDEX(AU12:CB12,1,$AT$1)),"*鹤归*")=1,L11,0)</f>
        <v>0</v>
      </c>
      <c r="N11">
        <f ca="1">IFERROR(IF(AND(COUNTIF(B11,"*-峰插*"),技能数据库!$M$72&gt;0),0,IF(COUNTIF(B11,"*云飞*")&gt;0,4-COUNTIF(B11,"*玉山揽云*")*4--COUNTIF(B11,"*烟流暮景*")*4-COUNTIF(B11,"*云景*")*加速!$L$11-IF(J11&gt;0,2,0),MAX(0,N10-(A11-A10)-IF(J11&gt;0,2,0)))),0)</f>
        <v>0</v>
      </c>
      <c r="O11">
        <f ca="1">IF(AND(COUNTIF(IF(AND(配装计算器!$K$30&lt;&gt;"∞",0),INDEX(AU10:CB10,1,$AT$1),INDEX(AU12:CB12,1,$AT$1)),"*云飞*")=1,COUNTIF(IF(AND(配装计算器!$K$30&lt;&gt;"∞",0),INDEX(AU10:CB10,1,$AT$1),INDEX(AU12:CB12,1,$AT$1)),"*玉山*")=0),N11,0)</f>
        <v>0</v>
      </c>
      <c r="P11">
        <f ca="1">IFERROR(IF(COUNTIF(B11,"*云栖松*")&gt;0,50-加速!$L$11,MAX(0,P10-(A11-A10))),0)</f>
        <v>0</v>
      </c>
      <c r="Q11">
        <f ca="1">IF(COUNTIF(IF(AND(配装计算器!$K$30&lt;&gt;"∞",0),INDEX(AU10:CB10,1,$AT$1),INDEX(AU12:CB12,1,$AT$1)),"*云栖松*")=1,P11,0)</f>
        <v>0</v>
      </c>
      <c r="R11">
        <f ca="1">IFERROR(IF(COUNTIF(B11,"*莺鸣柳*")&gt;0,45-加速!$L$9,MAX(0,R10-(A11-A10))),0)</f>
        <v>0</v>
      </c>
      <c r="S11">
        <f ca="1">IF(COUNTIF(IF(AND(配装计算器!$K$30&lt;&gt;"∞",0),INDEX(AU10:CB10,1,$AT$1),INDEX(AU12:CB12,1,$AT$1)),"*莺鸣柳*")=1,R11,0)</f>
        <v>0</v>
      </c>
      <c r="T11">
        <f ca="1" t="shared" si="7"/>
        <v>0</v>
      </c>
      <c r="U11">
        <f ca="1">IF(金蛇,IF(COUNTIF(B11,"*金环戴*")+COUNTIF(B11,"*吹风醒*")&gt;0,IF(A11&lt;=3,7.125-2.625-A11-加速!$L$11,A11-T11),0),0)+IF(金蛇,IF(COUNTIF(B11,"*千切子裂光*")&gt;0,2+加速!$K$9-(A11+加速!$L$11-T11),0),0)</f>
        <v>0</v>
      </c>
      <c r="V11">
        <f ca="1" t="shared" si="8"/>
        <v>0</v>
      </c>
      <c r="W11">
        <f ca="1" t="shared" si="0"/>
        <v>6</v>
      </c>
      <c r="X11">
        <f ca="1">INDEX(加速!$I$13:$I$21,技能数计算!W11+1)</f>
        <v>3</v>
      </c>
      <c r="Y11">
        <f ca="1" t="shared" si="3"/>
        <v>0.5</v>
      </c>
      <c r="Z11">
        <f ca="1" t="shared" si="4"/>
        <v>0</v>
      </c>
      <c r="AA11">
        <f ca="1">MAX(0,IFERROR(IF(COUNTIF(B11,"*叠*")&gt;0,IF(AC10&lt;3,8-A12+A11,AA10+6.875-A12+A11),AA10-A12+A11),AA10-加速!$L$11))</f>
        <v>1.55</v>
      </c>
      <c r="AB11">
        <f ca="1">MAX(0,IF(COUNTIF(IF(AND(配装计算器!$K$30&lt;&gt;"∞",0),INDEX(AU11:CB11,1,$AT$1),INDEX(AU11:CB11,1,$AT$1)),"*叠1*")=1,4*25-加速!$L$11,AB10-A11+A10)-IF(OR(COUNTIF(OFFSET(AT11,0,$AT$1,1,1),"*听雷*")&gt;0,AND(碧归&gt;0,COUNTIF(OFFSET(AT11,0,$AT$1,1,1),"*风来*")&gt;0)),0,1)*1.5)</f>
        <v>76.39</v>
      </c>
      <c r="AC11">
        <f ca="1" t="shared" si="1"/>
        <v>3</v>
      </c>
      <c r="AD11">
        <f ca="1">IF(COUNTIF(IF(AND(配装计算器!$K$30&lt;&gt;"∞",0),INDEX(AU11:CB11,1,$AT$1),INDEX(AU12:CB12,1,$AT$1)),"*叠1*")=1,AB11*0+AE10,0)</f>
        <v>0</v>
      </c>
      <c r="AE11">
        <f ca="1">IF($AN$11&gt;0,IF(COUNTIF(B12,"*叠1*")&gt;0,50-加速!$H$11,MAX(0,AE10-(A12-A11))),0)</f>
        <v>37.14</v>
      </c>
      <c r="AG11" s="177"/>
      <c r="AH11" t="s">
        <v>1028</v>
      </c>
      <c r="AI11" t="s">
        <v>2741</v>
      </c>
      <c r="AJ11">
        <f ca="1">循环比*COUNTIFS($B$3:$B$515,"*"&amp;AI11&amp;"*",$D$3:$D$515,"&gt;0",$I$3:$I$515,"&gt;0")</f>
        <v>0</v>
      </c>
      <c r="AK11" t="s">
        <v>3014</v>
      </c>
      <c r="AL11" s="177"/>
      <c r="AM11" s="177" t="s">
        <v>3032</v>
      </c>
      <c r="AN11" s="183">
        <f>IF(AND(装备选择!BJ14&gt;15900,COUNTIF(装备选择!N14,"*大橙武*")&gt;0),1,0)*内置配装器+技能数据库!M66*自输入属性</f>
        <v>1</v>
      </c>
      <c r="AU11" s="176" t="s">
        <v>2776</v>
      </c>
      <c r="AV11">
        <v>2</v>
      </c>
      <c r="AW11" s="176" t="s">
        <v>2768</v>
      </c>
      <c r="AX11">
        <v>2</v>
      </c>
      <c r="AY11" t="s">
        <v>2776</v>
      </c>
      <c r="AZ11">
        <v>2</v>
      </c>
      <c r="BA11" t="s">
        <v>2776</v>
      </c>
      <c r="BB11">
        <v>2</v>
      </c>
      <c r="BC11" t="s">
        <v>2794</v>
      </c>
      <c r="BD11">
        <v>2</v>
      </c>
      <c r="BE11" t="s">
        <v>3023</v>
      </c>
      <c r="BF11">
        <v>2</v>
      </c>
      <c r="BG11" s="176" t="s">
        <v>2776</v>
      </c>
      <c r="BH11">
        <v>2</v>
      </c>
      <c r="BI11" s="176" t="s">
        <v>3026</v>
      </c>
      <c r="BJ11">
        <v>2</v>
      </c>
      <c r="BK11" t="s">
        <v>2776</v>
      </c>
      <c r="BL11">
        <v>2</v>
      </c>
      <c r="BM11" s="180" t="s">
        <v>2789</v>
      </c>
      <c r="BN11">
        <v>2</v>
      </c>
      <c r="BO11" s="180" t="s">
        <v>2789</v>
      </c>
      <c r="BP11">
        <v>2</v>
      </c>
      <c r="BQ11" t="s">
        <v>3023</v>
      </c>
      <c r="BR11">
        <v>2</v>
      </c>
      <c r="BS11" s="182" t="s">
        <v>3023</v>
      </c>
      <c r="BT11">
        <v>2</v>
      </c>
      <c r="BU11" t="s">
        <v>2768</v>
      </c>
      <c r="BV11">
        <v>2</v>
      </c>
      <c r="BW11" s="182" t="s">
        <v>2776</v>
      </c>
      <c r="BX11" s="179">
        <v>2</v>
      </c>
      <c r="BY11" t="s">
        <v>2768</v>
      </c>
      <c r="BZ11">
        <v>2</v>
      </c>
      <c r="CA11" s="176" t="s">
        <v>2768</v>
      </c>
      <c r="CB11">
        <v>2</v>
      </c>
    </row>
    <row r="12" spans="1:80">
      <c r="A12" s="178">
        <f ca="1">IFERROR(IF(A11+加速!$L$11&lt;$AS$1,IF(COUNTIF(B11,"*轻*")&gt;0,A11+加速!$L$9,A11+加速!$L$11)+V11,IF(COUNTIF(INDEX(AU12:CB12,1,$AT$1),"*云景*")+COUNTIF(INDEX(AU12:CB12,1,$AT$1),"*鹤归*")+COUNTIF(INDEX(AU12:CB12,1,$AT$1),"*听雷*")&gt;0,A11+加速!$L$11,"")),"")</f>
        <v>11.61</v>
      </c>
      <c r="B12" s="167" t="str">
        <f ca="1">IF(A12&lt;&gt;"",IF(AND(A12+加速!$L$11&gt;$AS$1,IF(AND(配装计算器!$K$30&lt;&gt;"∞",0),"梦泉虎跑-轻",INDEX(AU12:CB12,1,$AT$1))="云栖松"),"夕照雷峰",IF(AND(配装计算器!$K$30&lt;&gt;"∞",0),"梦泉虎跑-轻",INDEX(AU12:CB12,1,$AT$1))),"")</f>
        <v>云飞玉皇-玉山揽云-叠</v>
      </c>
      <c r="C12">
        <f ca="1" t="shared" si="5"/>
        <v>5.97</v>
      </c>
      <c r="D12">
        <f ca="1">IF(B12&lt;&gt;"",IF(C11&lt;=加速!$L$11*(1-E12),0,1),"")</f>
        <v>1</v>
      </c>
      <c r="E12">
        <f ca="1" t="shared" si="2"/>
        <v>1</v>
      </c>
      <c r="G12">
        <f ca="1" t="shared" si="6"/>
        <v>3</v>
      </c>
      <c r="H12">
        <f ca="1">IF(B12&lt;&gt;"",IF(AND(COUNTIF(B11,"*轻*莺鸣柳*")&gt;0,COUNTIF(B12,"*轻*")&lt;1),MAX(0,15+I11-(A12-A11)+COUNTIF(B11,"*平湖*")*0),IF(AND(E12=0,MAX(0,H11-(A12-A11))&lt;=加速!$H$11),0,MAX(0,H11-(A12-A11)))),"")</f>
        <v>0</v>
      </c>
      <c r="I12">
        <f ca="1" t="shared" si="9"/>
        <v>0</v>
      </c>
      <c r="J12">
        <f ca="1" t="shared" si="10"/>
        <v>0</v>
      </c>
      <c r="K12">
        <f ca="1">IF(A12&lt;&gt;"",IF(AND(配装计算器!$K$30&lt;&gt;"∞",0),2,INDEX(AU12:CB12,1,$AT$2)),"")</f>
        <v>2</v>
      </c>
      <c r="L12">
        <f ca="1">IFERROR(IF(AND(COUNTIF(B12,"*-峰插*"),技能数据库!$M$72&gt;0),0,IF(COUNTIF(B12,"*鹤归*")&gt;0,16-加速!$L$11,MAX(0,L11-(A12-A11)))),0)</f>
        <v>0</v>
      </c>
      <c r="M12">
        <f ca="1">IF(COUNTIF(IF(AND(配装计算器!$K$30&lt;&gt;"∞",0),INDEX(AU11:CB11,1,$AT$1),INDEX(AU13:CB13,1,$AT$1)),"*鹤归*")=1,L12,0)</f>
        <v>0</v>
      </c>
      <c r="N12">
        <f ca="1">IFERROR(IF(AND(COUNTIF(B12,"*-峰插*"),技能数据库!$M$72&gt;0),0,IF(COUNTIF(B12,"*云飞*")&gt;0,4-COUNTIF(B12,"*玉山揽云*")*4--COUNTIF(B12,"*烟流暮景*")*4-COUNTIF(B12,"*云景*")*加速!$L$11-IF(J12&gt;0,2,0),MAX(0,N11-(A12-A11)-IF(J12&gt;0,2,0)))),0)</f>
        <v>0</v>
      </c>
      <c r="O12">
        <f ca="1">IF(AND(COUNTIF(IF(AND(配装计算器!$K$30&lt;&gt;"∞",0),INDEX(AU11:CB11,1,$AT$1),INDEX(AU13:CB13,1,$AT$1)),"*云飞*")=1,COUNTIF(IF(AND(配装计算器!$K$30&lt;&gt;"∞",0),INDEX(AU11:CB11,1,$AT$1),INDEX(AU13:CB13,1,$AT$1)),"*玉山*")=0),N12,0)</f>
        <v>0</v>
      </c>
      <c r="P12">
        <f ca="1">IFERROR(IF(COUNTIF(B12,"*云栖松*")&gt;0,50-加速!$L$11,MAX(0,P11-(A12-A11))),0)</f>
        <v>0</v>
      </c>
      <c r="Q12">
        <f ca="1">IF(COUNTIF(IF(AND(配装计算器!$K$30&lt;&gt;"∞",0),INDEX(AU11:CB11,1,$AT$1),INDEX(AU13:CB13,1,$AT$1)),"*云栖松*")=1,P12,0)</f>
        <v>0</v>
      </c>
      <c r="R12">
        <f ca="1">IFERROR(IF(COUNTIF(B12,"*莺鸣柳*")&gt;0,45-加速!$L$9,MAX(0,R11-(A12-A11))),0)</f>
        <v>0</v>
      </c>
      <c r="S12">
        <f ca="1">IF(COUNTIF(IF(AND(配装计算器!$K$30&lt;&gt;"∞",0),INDEX(AU11:CB11,1,$AT$1),INDEX(AU13:CB13,1,$AT$1)),"*莺鸣柳*")=1,R12,0)</f>
        <v>0</v>
      </c>
      <c r="T12">
        <f ca="1" t="shared" si="7"/>
        <v>0</v>
      </c>
      <c r="U12">
        <f ca="1">IF(金蛇,IF(COUNTIF(B12,"*金环戴*")+COUNTIF(B12,"*吹风醒*")&gt;0,IF(A12&lt;=3,7.125-2.625-A12-加速!$L$11,A12-T12),0),0)+IF(金蛇,IF(COUNTIF(B12,"*千切子裂光*")&gt;0,2+加速!$K$9-(A12+加速!$L$11-T12),0),0)</f>
        <v>0</v>
      </c>
      <c r="V12">
        <f ca="1" t="shared" si="8"/>
        <v>0</v>
      </c>
      <c r="W12">
        <f ca="1" t="shared" si="0"/>
        <v>7</v>
      </c>
      <c r="X12">
        <f ca="1">INDEX(加速!$I$13:$I$21,技能数计算!W12+1)</f>
        <v>2</v>
      </c>
      <c r="Y12">
        <f ca="1" t="shared" si="3"/>
        <v>0.5</v>
      </c>
      <c r="Z12">
        <f ca="1" t="shared" si="4"/>
        <v>0</v>
      </c>
      <c r="AA12">
        <f ca="1">MAX(0,IFERROR(IF(COUNTIF(B12,"*叠*")&gt;0,IF(AC11&lt;3,8-A13+A12,AA11+6.875-A13+A12),AA11-A13+A12),AA11-加速!$L$11))</f>
        <v>7.135</v>
      </c>
      <c r="AB12">
        <f ca="1">MAX(0,IF(COUNTIF(IF(AND(配装计算器!$K$30&lt;&gt;"∞",0),INDEX(AU12:CB12,1,$AT$1),INDEX(AU12:CB12,1,$AT$1)),"*叠1*")=1,4*25-加速!$L$11,AB11-A12+A11)-IF(OR(COUNTIF(OFFSET(AT12,0,$AT$1,1,1),"*听雷*")&gt;0,AND(碧归&gt;0,COUNTIF(OFFSET(AT12,0,$AT$1,1,1),"*风来*")&gt;0)),0,1)*1.5)</f>
        <v>73.6</v>
      </c>
      <c r="AC12">
        <f ca="1" t="shared" si="1"/>
        <v>3</v>
      </c>
      <c r="AD12">
        <f ca="1">IF(COUNTIF(IF(AND(配装计算器!$K$30&lt;&gt;"∞",0),INDEX(AU12:CB12,1,$AT$1),INDEX(AU13:CB13,1,$AT$1)),"*叠1*")=1,AB12*0+AE11,0)</f>
        <v>0</v>
      </c>
      <c r="AE12">
        <f ca="1">IF($AN$11&gt;0,IF(COUNTIF(B13,"*叠1*")&gt;0,50-加速!$H$11,MAX(0,AE11-(A13-A12))),0)</f>
        <v>35.85</v>
      </c>
      <c r="AG12" s="177"/>
      <c r="AH12" t="s">
        <v>1028</v>
      </c>
      <c r="AI12" t="s">
        <v>2754</v>
      </c>
      <c r="AJ12">
        <f ca="1">AJ2*2+AJ9*2</f>
        <v>0</v>
      </c>
      <c r="AL12" s="177"/>
      <c r="AM12" s="167" t="s">
        <v>3033</v>
      </c>
      <c r="AN12" s="183">
        <f ca="1">COUNTIF($B$3:$B$515,"*云飞*")+COUNTIF($B$3:$B$515,"*夕照*")+COUNTIF($B$3:$B$515,"*鹤归*")+COUNTIF($B$3:$B$515,"*风来*")</f>
        <v>157</v>
      </c>
      <c r="AO12" s="167" t="s">
        <v>3034</v>
      </c>
      <c r="AU12" s="176" t="s">
        <v>2768</v>
      </c>
      <c r="AV12">
        <v>2</v>
      </c>
      <c r="AW12" s="176" t="s">
        <v>2808</v>
      </c>
      <c r="AX12">
        <v>2</v>
      </c>
      <c r="AY12" t="s">
        <v>3035</v>
      </c>
      <c r="AZ12">
        <v>2</v>
      </c>
      <c r="BA12" t="s">
        <v>3035</v>
      </c>
      <c r="BB12">
        <v>2</v>
      </c>
      <c r="BC12" s="182" t="s">
        <v>3036</v>
      </c>
      <c r="BD12">
        <v>2</v>
      </c>
      <c r="BE12" s="182" t="s">
        <v>2768</v>
      </c>
      <c r="BF12">
        <v>2</v>
      </c>
      <c r="BG12" s="176" t="s">
        <v>3035</v>
      </c>
      <c r="BH12">
        <v>2</v>
      </c>
      <c r="BI12" s="176" t="s">
        <v>3036</v>
      </c>
      <c r="BJ12">
        <v>2</v>
      </c>
      <c r="BK12" s="180" t="s">
        <v>3036</v>
      </c>
      <c r="BL12">
        <v>2</v>
      </c>
      <c r="BM12" s="176" t="s">
        <v>2794</v>
      </c>
      <c r="BN12">
        <v>2</v>
      </c>
      <c r="BO12" s="176" t="s">
        <v>2794</v>
      </c>
      <c r="BP12">
        <v>2</v>
      </c>
      <c r="BQ12" t="s">
        <v>2768</v>
      </c>
      <c r="BR12">
        <v>2</v>
      </c>
      <c r="BS12" s="182" t="s">
        <v>2768</v>
      </c>
      <c r="BT12">
        <v>2</v>
      </c>
      <c r="BU12" t="s">
        <v>3018</v>
      </c>
      <c r="BV12">
        <v>2</v>
      </c>
      <c r="BW12" s="182" t="s">
        <v>2768</v>
      </c>
      <c r="BX12" s="179">
        <v>2</v>
      </c>
      <c r="BY12" s="180" t="s">
        <v>2789</v>
      </c>
      <c r="BZ12">
        <v>2</v>
      </c>
      <c r="CA12" s="176" t="s">
        <v>2776</v>
      </c>
      <c r="CB12">
        <v>2</v>
      </c>
    </row>
    <row r="13" spans="1:80">
      <c r="A13" s="178">
        <f ca="1">IFERROR(IF(A12+加速!$L$11&lt;$AS$1,IF(COUNTIF(B12,"*轻*")&gt;0,A12+加速!$L$9,A12+加速!$L$11)+V12,IF(COUNTIF(INDEX(AU13:CB13,1,$AT$1),"*云景*")+COUNTIF(INDEX(AU13:CB13,1,$AT$1),"*鹤归*")+COUNTIF(INDEX(AU13:CB13,1,$AT$1),"*听雷*")&gt;0,A12+加速!$L$11,"")),"")</f>
        <v>12.9</v>
      </c>
      <c r="B13" s="167" t="str">
        <f ca="1">IF(A13&lt;&gt;"",IF(AND(A13+加速!$L$11&gt;$AS$1,IF(AND(配装计算器!$K$30&lt;&gt;"∞",0),"梦泉虎跑-轻",INDEX(AU13:CB13,1,$AT$1))="云栖松"),"夕照雷峰",IF(AND(配装计算器!$K$30&lt;&gt;"∞",0),"梦泉虎跑-轻",INDEX(AU13:CB13,1,$AT$1))),"")</f>
        <v>鹤归孤山</v>
      </c>
      <c r="C13">
        <f ca="1" t="shared" si="5"/>
        <v>4.68000000000001</v>
      </c>
      <c r="D13">
        <f ca="1">IF(B13&lt;&gt;"",IF(C12&lt;=加速!$L$11*(1-E13),0,1),"")</f>
        <v>1</v>
      </c>
      <c r="E13">
        <f ca="1" t="shared" si="2"/>
        <v>1</v>
      </c>
      <c r="G13">
        <f ca="1" t="shared" si="6"/>
        <v>2</v>
      </c>
      <c r="H13">
        <f ca="1">IF(B13&lt;&gt;"",IF(AND(COUNTIF(B12,"*轻*莺鸣柳*")&gt;0,COUNTIF(B13,"*轻*")&lt;1),MAX(0,15+I12-(A13-A12)+COUNTIF(B12,"*平湖*")*0),IF(AND(E13=0,MAX(0,H12-(A13-A12))&lt;=加速!$H$11),0,MAX(0,H12-(A13-A12)))),"")</f>
        <v>0</v>
      </c>
      <c r="I13">
        <f ca="1" t="shared" si="9"/>
        <v>0</v>
      </c>
      <c r="J13">
        <f ca="1" t="shared" si="10"/>
        <v>0</v>
      </c>
      <c r="K13">
        <f ca="1">IF(A13&lt;&gt;"",IF(AND(配装计算器!$K$30&lt;&gt;"∞",0),2,INDEX(AU13:CB13,1,$AT$2)),"")</f>
        <v>2</v>
      </c>
      <c r="L13">
        <f ca="1">IFERROR(IF(AND(COUNTIF(B13,"*-峰插*"),技能数据库!$M$72&gt;0),0,IF(COUNTIF(B13,"*鹤归*")&gt;0,16-加速!$L$11,MAX(0,L12-(A13-A12)))),0)</f>
        <v>14.71</v>
      </c>
      <c r="M13">
        <f ca="1">IF(COUNTIF(IF(AND(配装计算器!$K$30&lt;&gt;"∞",0),INDEX(AU12:CB12,1,$AT$1),INDEX(AU14:CB14,1,$AT$1)),"*鹤归*")=1,L13,0)</f>
        <v>0</v>
      </c>
      <c r="N13">
        <f ca="1">IFERROR(IF(AND(COUNTIF(B13,"*-峰插*"),技能数据库!$M$72&gt;0),0,IF(COUNTIF(B13,"*云飞*")&gt;0,4-COUNTIF(B13,"*玉山揽云*")*4--COUNTIF(B13,"*烟流暮景*")*4-COUNTIF(B13,"*云景*")*加速!$L$11-IF(J13&gt;0,2,0),MAX(0,N12-(A13-A12)-IF(J13&gt;0,2,0)))),0)</f>
        <v>0</v>
      </c>
      <c r="O13">
        <f ca="1">IF(AND(COUNTIF(IF(AND(配装计算器!$K$30&lt;&gt;"∞",0),INDEX(AU12:CB12,1,$AT$1),INDEX(AU14:CB14,1,$AT$1)),"*云飞*")=1,COUNTIF(IF(AND(配装计算器!$K$30&lt;&gt;"∞",0),INDEX(AU12:CB12,1,$AT$1),INDEX(AU14:CB14,1,$AT$1)),"*玉山*")=0),N13,0)</f>
        <v>0</v>
      </c>
      <c r="P13">
        <f ca="1">IFERROR(IF(COUNTIF(B13,"*云栖松*")&gt;0,50-加速!$L$11,MAX(0,P12-(A13-A12))),0)</f>
        <v>0</v>
      </c>
      <c r="Q13">
        <f ca="1">IF(COUNTIF(IF(AND(配装计算器!$K$30&lt;&gt;"∞",0),INDEX(AU12:CB12,1,$AT$1),INDEX(AU14:CB14,1,$AT$1)),"*云栖松*")=1,P13,0)</f>
        <v>0</v>
      </c>
      <c r="R13">
        <f ca="1">IFERROR(IF(COUNTIF(B13,"*莺鸣柳*")&gt;0,45-加速!$L$9,MAX(0,R12-(A13-A12))),0)</f>
        <v>0</v>
      </c>
      <c r="S13">
        <f ca="1">IF(COUNTIF(IF(AND(配装计算器!$K$30&lt;&gt;"∞",0),INDEX(AU12:CB12,1,$AT$1),INDEX(AU14:CB14,1,$AT$1)),"*莺鸣柳*")=1,R13,0)</f>
        <v>0</v>
      </c>
      <c r="T13">
        <f ca="1" t="shared" si="7"/>
        <v>0</v>
      </c>
      <c r="U13">
        <f ca="1">IF(金蛇,IF(COUNTIF(B13,"*金环戴*")+COUNTIF(B13,"*吹风醒*")&gt;0,IF(A13&lt;=3,7.125-2.625-A13-加速!$L$11,A13-T13),0),0)+IF(金蛇,IF(COUNTIF(B13,"*千切子裂光*")&gt;0,2+加速!$K$9-(A13+加速!$L$11-T13),0),0)</f>
        <v>0</v>
      </c>
      <c r="V13">
        <f ca="1" t="shared" si="8"/>
        <v>0</v>
      </c>
      <c r="W13">
        <f ca="1" t="shared" si="0"/>
        <v>0</v>
      </c>
      <c r="X13">
        <f ca="1">INDEX(加速!$I$13:$I$21,技能数计算!W13+1)</f>
        <v>0</v>
      </c>
      <c r="Y13">
        <f ca="1" t="shared" si="3"/>
        <v>0.5</v>
      </c>
      <c r="Z13">
        <f ca="1" t="shared" si="4"/>
        <v>0</v>
      </c>
      <c r="AA13">
        <f ca="1">MAX(0,IFERROR(IF(COUNTIF(B13,"*叠*")&gt;0,IF(AC12&lt;3,8-A14+A13,AA12+6.875-A14+A13),AA12-A14+A13),AA12-加速!$L$11))</f>
        <v>5.845</v>
      </c>
      <c r="AB13">
        <f ca="1">MAX(0,IF(COUNTIF(IF(AND(配装计算器!$K$30&lt;&gt;"∞",0),INDEX(AU13:CB13,1,$AT$1),INDEX(AU13:CB13,1,$AT$1)),"*叠1*")=1,4*25-加速!$L$11,AB12-A13+A12)-IF(OR(COUNTIF(OFFSET(AT13,0,$AT$1,1,1),"*听雷*")&gt;0,AND(碧归&gt;0,COUNTIF(OFFSET(AT13,0,$AT$1,1,1),"*风来*")&gt;0)),0,1)*1.5)</f>
        <v>70.81</v>
      </c>
      <c r="AC13">
        <f ca="1" t="shared" si="1"/>
        <v>3</v>
      </c>
      <c r="AD13">
        <f ca="1">IF(COUNTIF(IF(AND(配装计算器!$K$30&lt;&gt;"∞",0),INDEX(AU13:CB13,1,$AT$1),INDEX(AU14:CB14,1,$AT$1)),"*叠1*")=1,AB13*0+AE12,0)</f>
        <v>0</v>
      </c>
      <c r="AE13">
        <f ca="1">IF($AN$11&gt;0,IF(COUNTIF(B14,"*叠1*")&gt;0,50-加速!$H$11,MAX(0,AE12-(A14-A13))),0)</f>
        <v>34.56</v>
      </c>
      <c r="AG13" s="177"/>
      <c r="AH13" t="s">
        <v>1028</v>
      </c>
      <c r="AI13" t="s">
        <v>2754</v>
      </c>
      <c r="AJ13">
        <f ca="1">AJ3*2</f>
        <v>8</v>
      </c>
      <c r="AK13" t="s">
        <v>2750</v>
      </c>
      <c r="AL13" s="177"/>
      <c r="AM13" s="183" t="s">
        <v>3037</v>
      </c>
      <c r="AN13" s="184">
        <f ca="1">(COUNTIF($B$3:$B$515,"*鹤归*")+COUNTIF($B$3:$B$515,"*云景*"))/AN12</f>
        <v>0.127388535031847</v>
      </c>
      <c r="AO13" s="167">
        <f>INT((6-1.3125)/1.3125)+1</f>
        <v>4</v>
      </c>
      <c r="AU13" s="176" t="s">
        <v>2776</v>
      </c>
      <c r="AV13">
        <v>2</v>
      </c>
      <c r="AW13" t="str">
        <f>IF($AN$11=1,"云飞玉皇-玉山揽云","夕照雷峰")</f>
        <v>云飞玉皇-玉山揽云</v>
      </c>
      <c r="AX13">
        <v>2</v>
      </c>
      <c r="AY13" t="s">
        <v>2768</v>
      </c>
      <c r="AZ13">
        <v>2</v>
      </c>
      <c r="BA13" t="s">
        <v>2768</v>
      </c>
      <c r="BB13">
        <v>2</v>
      </c>
      <c r="BC13" s="176" t="s">
        <v>3026</v>
      </c>
      <c r="BD13">
        <v>2</v>
      </c>
      <c r="BE13" s="176" t="s">
        <v>2768</v>
      </c>
      <c r="BF13">
        <v>2</v>
      </c>
      <c r="BG13" t="s">
        <v>2768</v>
      </c>
      <c r="BH13">
        <v>2</v>
      </c>
      <c r="BI13" t="s">
        <v>2794</v>
      </c>
      <c r="BJ13">
        <v>2</v>
      </c>
      <c r="BK13" t="s">
        <v>3026</v>
      </c>
      <c r="BL13">
        <v>2</v>
      </c>
      <c r="BM13" s="176" t="s">
        <v>2776</v>
      </c>
      <c r="BN13">
        <v>2</v>
      </c>
      <c r="BO13" s="176" t="s">
        <v>2776</v>
      </c>
      <c r="BP13">
        <v>2</v>
      </c>
      <c r="BQ13" t="s">
        <v>2776</v>
      </c>
      <c r="BR13">
        <v>2</v>
      </c>
      <c r="BS13" s="182" t="s">
        <v>2776</v>
      </c>
      <c r="BT13">
        <v>2</v>
      </c>
      <c r="BU13" t="s">
        <v>2768</v>
      </c>
      <c r="BV13">
        <v>2</v>
      </c>
      <c r="BW13" s="182" t="s">
        <v>2776</v>
      </c>
      <c r="BX13" s="179">
        <v>2</v>
      </c>
      <c r="BY13" s="176" t="s">
        <v>2794</v>
      </c>
      <c r="BZ13">
        <v>2</v>
      </c>
      <c r="CA13" s="176" t="s">
        <v>2768</v>
      </c>
      <c r="CB13">
        <v>2</v>
      </c>
    </row>
    <row r="14" spans="1:80">
      <c r="A14" s="178">
        <f ca="1">IFERROR(IF(A13+加速!$L$11&lt;$AS$1,IF(COUNTIF(B13,"*轻*")&gt;0,A13+加速!$L$9,A13+加速!$L$11)+V13,IF(COUNTIF(INDEX(AU14:CB14,1,$AT$1),"*云景*")+COUNTIF(INDEX(AU14:CB14,1,$AT$1),"*鹤归*")+COUNTIF(INDEX(AU14:CB14,1,$AT$1),"*听雷*")&gt;0,A13+加速!$L$11,"")),"")</f>
        <v>14.19</v>
      </c>
      <c r="B14" s="167" t="str">
        <f ca="1">IF(A14&lt;&gt;"",IF(AND(A14+加速!$L$11&gt;$AS$1,IF(AND(配装计算器!$K$30&lt;&gt;"∞",0),"梦泉虎跑-轻",INDEX(AU14:CB14,1,$AT$1))="云栖松"),"夕照雷峰",IF(AND(配装计算器!$K$30&lt;&gt;"∞",0),"梦泉虎跑-轻",INDEX(AU14:CB14,1,$AT$1))),"")</f>
        <v>云飞玉皇</v>
      </c>
      <c r="C14">
        <f ca="1" t="shared" si="5"/>
        <v>3.39000000000001</v>
      </c>
      <c r="D14">
        <f ca="1">IF(B14&lt;&gt;"",IF(C13&lt;=加速!$L$11*(1-E14),0,1),"")</f>
        <v>1</v>
      </c>
      <c r="E14">
        <f ca="1" t="shared" si="2"/>
        <v>0</v>
      </c>
      <c r="G14">
        <f ca="1" t="shared" si="6"/>
        <v>1</v>
      </c>
      <c r="H14">
        <f ca="1">IF(B14&lt;&gt;"",IF(AND(COUNTIF(B13,"*轻*莺鸣柳*")&gt;0,COUNTIF(B14,"*轻*")&lt;1),MAX(0,15+I13-(A14-A13)+COUNTIF(B13,"*平湖*")*0),IF(AND(E14=0,MAX(0,H13-(A14-A13))&lt;=加速!$H$11),0,MAX(0,H13-(A14-A13)))),"")</f>
        <v>0</v>
      </c>
      <c r="I14">
        <f ca="1" t="shared" si="9"/>
        <v>0</v>
      </c>
      <c r="J14">
        <f ca="1" t="shared" si="10"/>
        <v>4</v>
      </c>
      <c r="K14">
        <f ca="1">IF(A14&lt;&gt;"",IF(AND(配装计算器!$K$30&lt;&gt;"∞",0),2,INDEX(AU14:CB14,1,$AT$2)),"")</f>
        <v>2</v>
      </c>
      <c r="L14">
        <f ca="1">IFERROR(IF(AND(COUNTIF(B14,"*-峰插*"),技能数据库!$M$72&gt;0),0,IF(COUNTIF(B14,"*鹤归*")&gt;0,16-加速!$L$11,MAX(0,L13-(A14-A13)))),0)</f>
        <v>13.42</v>
      </c>
      <c r="M14">
        <f ca="1">IF(COUNTIF(IF(AND(配装计算器!$K$30&lt;&gt;"∞",0),INDEX(AU13:CB13,1,$AT$1),INDEX(AU15:CB15,1,$AT$1)),"*鹤归*")=1,L14,0)</f>
        <v>0</v>
      </c>
      <c r="N14">
        <f ca="1">IFERROR(IF(AND(COUNTIF(B14,"*-峰插*"),技能数据库!$M$72&gt;0),0,IF(COUNTIF(B14,"*云飞*")&gt;0,4-COUNTIF(B14,"*玉山揽云*")*4--COUNTIF(B14,"*烟流暮景*")*4-COUNTIF(B14,"*云景*")*加速!$L$11-IF(J14&gt;0,2,0),MAX(0,N13-(A14-A13)-IF(J14&gt;0,2,0)))),0)</f>
        <v>2</v>
      </c>
      <c r="O14">
        <f ca="1">IF(AND(COUNTIF(IF(AND(配装计算器!$K$30&lt;&gt;"∞",0),INDEX(AU13:CB13,1,$AT$1),INDEX(AU15:CB15,1,$AT$1)),"*云飞*")=1,COUNTIF(IF(AND(配装计算器!$K$30&lt;&gt;"∞",0),INDEX(AU13:CB13,1,$AT$1),INDEX(AU15:CB15,1,$AT$1)),"*玉山*")=0),N14,0)</f>
        <v>0</v>
      </c>
      <c r="P14">
        <f ca="1">IFERROR(IF(COUNTIF(B14,"*云栖松*")&gt;0,50-加速!$L$11,MAX(0,P13-(A14-A13))),0)</f>
        <v>0</v>
      </c>
      <c r="Q14">
        <f ca="1">IF(COUNTIF(IF(AND(配装计算器!$K$30&lt;&gt;"∞",0),INDEX(AU13:CB13,1,$AT$1),INDEX(AU15:CB15,1,$AT$1)),"*云栖松*")=1,P14,0)</f>
        <v>0</v>
      </c>
      <c r="R14">
        <f ca="1">IFERROR(IF(COUNTIF(B14,"*莺鸣柳*")&gt;0,45-加速!$L$9,MAX(0,R13-(A14-A13))),0)</f>
        <v>0</v>
      </c>
      <c r="S14">
        <f ca="1">IF(COUNTIF(IF(AND(配装计算器!$K$30&lt;&gt;"∞",0),INDEX(AU13:CB13,1,$AT$1),INDEX(AU15:CB15,1,$AT$1)),"*莺鸣柳*")=1,R14,0)</f>
        <v>0</v>
      </c>
      <c r="T14">
        <f ca="1" t="shared" si="7"/>
        <v>0</v>
      </c>
      <c r="U14">
        <f ca="1">IF(金蛇,IF(COUNTIF(B14,"*金环戴*")+COUNTIF(B14,"*吹风醒*")&gt;0,IF(A14&lt;=3,7.125-2.625-A14-加速!$L$11,A14-T14),0),0)+IF(金蛇,IF(COUNTIF(B14,"*千切子裂光*")&gt;0,2+加速!$K$9-(A14+加速!$L$11-T14),0),0)</f>
        <v>0</v>
      </c>
      <c r="V14">
        <f ca="1" t="shared" si="8"/>
        <v>0</v>
      </c>
      <c r="W14">
        <f ca="1" t="shared" si="0"/>
        <v>0</v>
      </c>
      <c r="X14">
        <f ca="1">INDEX(加速!$I$13:$I$21,技能数计算!W14+1)</f>
        <v>0</v>
      </c>
      <c r="Y14">
        <f ca="1" t="shared" si="3"/>
        <v>0.5</v>
      </c>
      <c r="Z14">
        <f ca="1" t="shared" si="4"/>
        <v>0</v>
      </c>
      <c r="AA14">
        <f ca="1">MAX(0,IFERROR(IF(COUNTIF(B14,"*叠*")&gt;0,IF(AC13&lt;3,8-A15+A14,AA13+6.875-A15+A14),AA13-A15+A14),AA13-加速!$L$11))</f>
        <v>4.555</v>
      </c>
      <c r="AB14">
        <f ca="1">MAX(0,IF(COUNTIF(IF(AND(配装计算器!$K$30&lt;&gt;"∞",0),INDEX(AU14:CB14,1,$AT$1),INDEX(AU14:CB14,1,$AT$1)),"*叠1*")=1,4*25-加速!$L$11,AB13-A14+A13)-IF(OR(COUNTIF(OFFSET(AT14,0,$AT$1,1,1),"*听雷*")&gt;0,AND(碧归&gt;0,COUNTIF(OFFSET(AT14,0,$AT$1,1,1),"*风来*")&gt;0)),0,1)*1.5)</f>
        <v>68.02</v>
      </c>
      <c r="AC14">
        <f ca="1" t="shared" si="1"/>
        <v>3</v>
      </c>
      <c r="AD14">
        <f ca="1">IF(COUNTIF(IF(AND(配装计算器!$K$30&lt;&gt;"∞",0),INDEX(AU14:CB14,1,$AT$1),INDEX(AU15:CB15,1,$AT$1)),"*叠1*")=1,AB14*0+AE13,0)</f>
        <v>0</v>
      </c>
      <c r="AE14">
        <f ca="1">IF($AN$11&gt;0,IF(COUNTIF(B15,"*叠1*")&gt;0,50-加速!$H$11,MAX(0,AE13-(A15-A14))),0)</f>
        <v>33.27</v>
      </c>
      <c r="AH14" t="s">
        <v>1028</v>
      </c>
      <c r="AI14" t="s">
        <v>2754</v>
      </c>
      <c r="AJ14">
        <f ca="1">AJ4+AJ10*2</f>
        <v>0</v>
      </c>
      <c r="AK14" t="s">
        <v>2949</v>
      </c>
      <c r="AM14" s="167" t="s">
        <v>3038</v>
      </c>
      <c r="AN14" s="185">
        <f ca="1">1-AN13</f>
        <v>0.872611464968153</v>
      </c>
      <c r="AO14" s="167">
        <f>INT((6)/1.3125)+1</f>
        <v>5</v>
      </c>
      <c r="AU14" t="s">
        <v>2768</v>
      </c>
      <c r="AV14">
        <v>2</v>
      </c>
      <c r="AW14" t="str">
        <f>IF($AN$11=1,"云飞玉皇-玉山揽云","云飞玉皇")</f>
        <v>云飞玉皇-玉山揽云</v>
      </c>
      <c r="AX14">
        <v>2</v>
      </c>
      <c r="AY14" t="s">
        <v>2776</v>
      </c>
      <c r="AZ14">
        <v>2</v>
      </c>
      <c r="BA14" t="s">
        <v>2776</v>
      </c>
      <c r="BB14">
        <v>2</v>
      </c>
      <c r="BC14" s="176" t="s">
        <v>3026</v>
      </c>
      <c r="BD14">
        <v>2</v>
      </c>
      <c r="BE14" s="176" t="s">
        <v>2789</v>
      </c>
      <c r="BF14">
        <v>2</v>
      </c>
      <c r="BG14" t="s">
        <v>2776</v>
      </c>
      <c r="BH14">
        <v>2</v>
      </c>
      <c r="BI14" t="s">
        <v>2776</v>
      </c>
      <c r="BJ14">
        <v>2</v>
      </c>
      <c r="BK14" t="s">
        <v>3026</v>
      </c>
      <c r="BL14">
        <v>2</v>
      </c>
      <c r="BM14" s="176" t="s">
        <v>2768</v>
      </c>
      <c r="BN14">
        <v>2</v>
      </c>
      <c r="BO14" s="176" t="s">
        <v>2768</v>
      </c>
      <c r="BP14">
        <v>2</v>
      </c>
      <c r="BQ14" t="s">
        <v>2789</v>
      </c>
      <c r="BR14">
        <v>2</v>
      </c>
      <c r="BS14" s="182" t="s">
        <v>2768</v>
      </c>
      <c r="BT14">
        <v>2</v>
      </c>
      <c r="BU14" s="182" t="s">
        <v>3023</v>
      </c>
      <c r="BV14">
        <v>2</v>
      </c>
      <c r="BW14" s="182" t="s">
        <v>2768</v>
      </c>
      <c r="BX14" s="179">
        <v>2</v>
      </c>
      <c r="BY14" s="176" t="s">
        <v>2776</v>
      </c>
      <c r="BZ14">
        <v>2</v>
      </c>
      <c r="CA14" s="176" t="s">
        <v>2808</v>
      </c>
      <c r="CB14">
        <v>2</v>
      </c>
    </row>
    <row r="15" spans="1:80">
      <c r="A15" s="178">
        <f ca="1">IFERROR(IF(A14+加速!$L$11&lt;$AS$1,IF(COUNTIF(B14,"*轻*")&gt;0,A14+加速!$L$9,A14+加速!$L$11)+V14,IF(COUNTIF(INDEX(AU15:CB15,1,$AT$1),"*云景*")+COUNTIF(INDEX(AU15:CB15,1,$AT$1),"*鹤归*")+COUNTIF(INDEX(AU15:CB15,1,$AT$1),"*听雷*")&gt;0,A14+加速!$L$11,"")),"")</f>
        <v>15.48</v>
      </c>
      <c r="B15" s="167" t="str">
        <f ca="1">IF(A15&lt;&gt;"",IF(AND(A15+加速!$L$11&gt;$AS$1,IF(AND(配装计算器!$K$30&lt;&gt;"∞",0),"梦泉虎跑-轻",INDEX(AU15:CB15,1,$AT$1))="云栖松"),"夕照雷峰",IF(AND(配装计算器!$K$30&lt;&gt;"∞",0),"梦泉虎跑-轻",INDEX(AU15:CB15,1,$AT$1))),"")</f>
        <v>夕照雷峰</v>
      </c>
      <c r="C15">
        <f ca="1" t="shared" si="5"/>
        <v>15</v>
      </c>
      <c r="D15">
        <f ca="1">IF(B15&lt;&gt;"",IF(C14&lt;=加速!$L$11*(1-E15),0,1),"")</f>
        <v>1</v>
      </c>
      <c r="E15">
        <f ca="1" t="shared" si="2"/>
        <v>0</v>
      </c>
      <c r="G15">
        <f ca="1" t="shared" si="6"/>
        <v>0</v>
      </c>
      <c r="H15">
        <f ca="1">IF(B15&lt;&gt;"",IF(AND(COUNTIF(B14,"*轻*莺鸣柳*")&gt;0,COUNTIF(B15,"*轻*")&lt;1),MAX(0,15+I14-(A15-A14)+COUNTIF(B14,"*平湖*")*0),IF(AND(E15=0,MAX(0,H14-(A15-A14))&lt;=加速!$H$11),0,MAX(0,H14-(A15-A14)))),"")</f>
        <v>0</v>
      </c>
      <c r="I15">
        <f ca="1" t="shared" si="9"/>
        <v>0</v>
      </c>
      <c r="J15">
        <f ca="1" t="shared" si="10"/>
        <v>3</v>
      </c>
      <c r="K15">
        <f ca="1">IF(A15&lt;&gt;"",IF(AND(配装计算器!$K$30&lt;&gt;"∞",0),2,INDEX(AU15:CB15,1,$AT$2)),"")</f>
        <v>2</v>
      </c>
      <c r="L15">
        <f ca="1">IFERROR(IF(AND(COUNTIF(B15,"*-峰插*"),技能数据库!$M$72&gt;0),0,IF(COUNTIF(B15,"*鹤归*")&gt;0,16-加速!$L$11,MAX(0,L14-(A15-A14)))),0)</f>
        <v>12.13</v>
      </c>
      <c r="M15">
        <f ca="1">IF(COUNTIF(IF(AND(配装计算器!$K$30&lt;&gt;"∞",0),INDEX(AU14:CB14,1,$AT$1),INDEX(AU16:CB16,1,$AT$1)),"*鹤归*")=1,L15,0)</f>
        <v>0</v>
      </c>
      <c r="N15">
        <f ca="1">IFERROR(IF(AND(COUNTIF(B15,"*-峰插*"),技能数据库!$M$72&gt;0),0,IF(COUNTIF(B15,"*云飞*")&gt;0,4-COUNTIF(B15,"*玉山揽云*")*4--COUNTIF(B15,"*烟流暮景*")*4-COUNTIF(B15,"*云景*")*加速!$L$11-IF(J15&gt;0,2,0),MAX(0,N14-(A15-A14)-IF(J15&gt;0,2,0)))),0)</f>
        <v>0</v>
      </c>
      <c r="O15">
        <f ca="1">IF(AND(COUNTIF(IF(AND(配装计算器!$K$30&lt;&gt;"∞",0),INDEX(AU14:CB14,1,$AT$1),INDEX(AU16:CB16,1,$AT$1)),"*云飞*")=1,COUNTIF(IF(AND(配装计算器!$K$30&lt;&gt;"∞",0),INDEX(AU14:CB14,1,$AT$1),INDEX(AU16:CB16,1,$AT$1)),"*玉山*")=0),N15,0)</f>
        <v>0</v>
      </c>
      <c r="P15">
        <f ca="1">IFERROR(IF(COUNTIF(B15,"*云栖松*")&gt;0,50-加速!$L$11,MAX(0,P14-(A15-A14))),0)</f>
        <v>0</v>
      </c>
      <c r="Q15">
        <f ca="1">IF(COUNTIF(IF(AND(配装计算器!$K$30&lt;&gt;"∞",0),INDEX(AU14:CB14,1,$AT$1),INDEX(AU16:CB16,1,$AT$1)),"*云栖松*")=1,P15,0)</f>
        <v>0</v>
      </c>
      <c r="R15">
        <f ca="1">IFERROR(IF(COUNTIF(B15,"*莺鸣柳*")&gt;0,45-加速!$L$9,MAX(0,R14-(A15-A14))),0)</f>
        <v>0</v>
      </c>
      <c r="S15">
        <f ca="1">IF(COUNTIF(IF(AND(配装计算器!$K$30&lt;&gt;"∞",0),INDEX(AU14:CB14,1,$AT$1),INDEX(AU16:CB16,1,$AT$1)),"*莺鸣柳*")=1,R15,0)</f>
        <v>0</v>
      </c>
      <c r="T15">
        <f ca="1" t="shared" si="7"/>
        <v>0</v>
      </c>
      <c r="U15">
        <f ca="1">IF(金蛇,IF(COUNTIF(B15,"*金环戴*")+COUNTIF(B15,"*吹风醒*")&gt;0,IF(A15&lt;=3,7.125-2.625-A15-加速!$L$11,A15-T15),0),0)+IF(金蛇,IF(COUNTIF(B15,"*千切子裂光*")&gt;0,2+加速!$K$9-(A15+加速!$L$11-T15),0),0)</f>
        <v>0</v>
      </c>
      <c r="V15">
        <f ca="1" t="shared" si="8"/>
        <v>0</v>
      </c>
      <c r="W15">
        <f ca="1" t="shared" si="0"/>
        <v>0</v>
      </c>
      <c r="X15">
        <f ca="1">INDEX(加速!$I$13:$I$21,技能数计算!W15+1)</f>
        <v>0</v>
      </c>
      <c r="Y15">
        <f ca="1" t="shared" si="3"/>
        <v>0.5</v>
      </c>
      <c r="Z15">
        <f ca="1" t="shared" si="4"/>
        <v>0</v>
      </c>
      <c r="AA15">
        <f ca="1">MAX(0,IFERROR(IF(COUNTIF(B15,"*叠*")&gt;0,IF(AC14&lt;3,8-A16+A15,AA14+6.875-A16+A15),AA14-A16+A15),AA14-加速!$L$11))</f>
        <v>3.265</v>
      </c>
      <c r="AB15">
        <f ca="1">MAX(0,IF(COUNTIF(IF(AND(配装计算器!$K$30&lt;&gt;"∞",0),INDEX(AU15:CB15,1,$AT$1),INDEX(AU15:CB15,1,$AT$1)),"*叠1*")=1,4*25-加速!$L$11,AB14-A15+A14)-IF(OR(COUNTIF(OFFSET(AT15,0,$AT$1,1,1),"*听雷*")&gt;0,AND(碧归&gt;0,COUNTIF(OFFSET(AT15,0,$AT$1,1,1),"*风来*")&gt;0)),0,1)*1.5)</f>
        <v>65.23</v>
      </c>
      <c r="AC15">
        <f ca="1" t="shared" si="1"/>
        <v>3</v>
      </c>
      <c r="AD15">
        <f ca="1">IF(COUNTIF(IF(AND(配装计算器!$K$30&lt;&gt;"∞",0),INDEX(AU15:CB15,1,$AT$1),INDEX(AU16:CB16,1,$AT$1)),"*叠1*")=1,AB15*0+AE14,0)</f>
        <v>0</v>
      </c>
      <c r="AE15">
        <f ca="1">IF($AN$11&gt;0,IF(COUNTIF(B16,"*叠1*")&gt;0,50-加速!$H$11,MAX(0,AE14-(A16-A15))),0)</f>
        <v>31.98</v>
      </c>
      <c r="AH15" t="s">
        <v>1028</v>
      </c>
      <c r="AI15" t="s">
        <v>2754</v>
      </c>
      <c r="AJ15">
        <f ca="1">AJ5+AJ11*2</f>
        <v>0</v>
      </c>
      <c r="AK15" t="s">
        <v>3014</v>
      </c>
      <c r="AM15" s="167" t="s">
        <v>3039</v>
      </c>
      <c r="AN15">
        <f ca="1">SUMPRODUCT(AN13:AN14,AO13:AO14)</f>
        <v>4.87261146496815</v>
      </c>
      <c r="AU15" t="str">
        <f>IF($AN$11=1,"云飞玉皇-玉山揽云","夕照雷峰")</f>
        <v>云飞玉皇-玉山揽云</v>
      </c>
      <c r="AV15">
        <v>2</v>
      </c>
      <c r="AW15" t="str">
        <f>IF($AN$11=1,"云飞玉皇-玉山揽云","夕照雷峰")</f>
        <v>云飞玉皇-玉山揽云</v>
      </c>
      <c r="AX15">
        <v>2</v>
      </c>
      <c r="AY15" t="s">
        <v>2768</v>
      </c>
      <c r="AZ15">
        <v>2</v>
      </c>
      <c r="BA15" t="s">
        <v>2768</v>
      </c>
      <c r="BB15">
        <v>2</v>
      </c>
      <c r="BC15" s="176" t="s">
        <v>3026</v>
      </c>
      <c r="BD15">
        <v>2</v>
      </c>
      <c r="BE15" s="176" t="s">
        <v>2776</v>
      </c>
      <c r="BF15">
        <v>2</v>
      </c>
      <c r="BG15" t="s">
        <v>2768</v>
      </c>
      <c r="BH15">
        <v>2</v>
      </c>
      <c r="BI15" t="s">
        <v>2768</v>
      </c>
      <c r="BJ15">
        <v>2</v>
      </c>
      <c r="BK15" t="s">
        <v>3026</v>
      </c>
      <c r="BL15">
        <v>2</v>
      </c>
      <c r="BM15" s="176" t="s">
        <v>2776</v>
      </c>
      <c r="BN15">
        <v>2</v>
      </c>
      <c r="BO15" s="176" t="s">
        <v>2776</v>
      </c>
      <c r="BP15">
        <v>2</v>
      </c>
      <c r="BQ15" t="str">
        <f>IF(秋,"夕照雷峰","千切子寒光-千切子裂光")</f>
        <v>千切子寒光-千切子裂光</v>
      </c>
      <c r="BR15">
        <v>2</v>
      </c>
      <c r="BS15" s="182" t="s">
        <v>2768</v>
      </c>
      <c r="BT15">
        <v>2</v>
      </c>
      <c r="BU15" s="186" t="str">
        <f>IF(秋,"夕照雷峰","千切子寒光")</f>
        <v>千切子寒光</v>
      </c>
      <c r="BV15">
        <v>2</v>
      </c>
      <c r="BW15" s="182" t="s">
        <v>2808</v>
      </c>
      <c r="BX15" s="179">
        <v>2</v>
      </c>
      <c r="BY15" s="176" t="s">
        <v>2768</v>
      </c>
      <c r="BZ15">
        <v>2</v>
      </c>
      <c r="CA15" t="str">
        <f>IF(0,"风来吴山","风来吴山")</f>
        <v>风来吴山</v>
      </c>
      <c r="CB15">
        <v>2</v>
      </c>
    </row>
    <row r="16" spans="1:80">
      <c r="A16" s="178">
        <f ca="1">IFERROR(IF(A15+加速!$L$11&lt;$AS$1,IF(COUNTIF(B15,"*轻*")&gt;0,A15+加速!$L$9,A15+加速!$L$11)+V15,IF(COUNTIF(INDEX(AU16:CB16,1,$AT$1),"*云景*")+COUNTIF(INDEX(AU16:CB16,1,$AT$1),"*鹤归*")+COUNTIF(INDEX(AU16:CB16,1,$AT$1),"*听雷*")&gt;0,A15+加速!$L$11,"")),"")</f>
        <v>16.77</v>
      </c>
      <c r="B16" s="167" t="str">
        <f ca="1">IF(A16&lt;&gt;"",IF(AND(A16+加速!$L$11&gt;$AS$1,IF(AND(配装计算器!$K$30&lt;&gt;"∞",0),"梦泉虎跑-轻",INDEX(AU16:CB16,1,$AT$1))="云栖松"),"夕照雷峰",IF(AND(配装计算器!$K$30&lt;&gt;"∞",0),"梦泉虎跑-轻",INDEX(AU16:CB16,1,$AT$1))),"")</f>
        <v>云飞玉皇</v>
      </c>
      <c r="C16">
        <f ca="1" t="shared" si="5"/>
        <v>13.71</v>
      </c>
      <c r="D16">
        <f ca="1">IF(B16&lt;&gt;"",IF(C15&lt;=加速!$L$11*(1-E16),0,1),"")</f>
        <v>1</v>
      </c>
      <c r="E16">
        <f ca="1" t="shared" si="2"/>
        <v>0</v>
      </c>
      <c r="G16">
        <f ca="1" t="shared" si="6"/>
        <v>0</v>
      </c>
      <c r="H16">
        <f ca="1">IF(B16&lt;&gt;"",IF(AND(COUNTIF(B15,"*轻*莺鸣柳*")&gt;0,COUNTIF(B16,"*轻*")&lt;1),MAX(0,15+I15-(A16-A15)+COUNTIF(B15,"*平湖*")*0),IF(AND(E16=0,MAX(0,H15-(A16-A15))&lt;=加速!$H$11),0,MAX(0,H15-(A16-A15)))),"")</f>
        <v>0</v>
      </c>
      <c r="I16">
        <f ca="1" t="shared" si="9"/>
        <v>0</v>
      </c>
      <c r="J16">
        <f ca="1" t="shared" si="10"/>
        <v>2</v>
      </c>
      <c r="K16">
        <f ca="1">IF(A16&lt;&gt;"",IF(AND(配装计算器!$K$30&lt;&gt;"∞",0),2,INDEX(AU16:CB16,1,$AT$2)),"")</f>
        <v>2</v>
      </c>
      <c r="L16">
        <f ca="1">IFERROR(IF(AND(COUNTIF(B16,"*-峰插*"),技能数据库!$M$72&gt;0),0,IF(COUNTIF(B16,"*鹤归*")&gt;0,16-加速!$L$11,MAX(0,L15-(A16-A15)))),0)</f>
        <v>10.84</v>
      </c>
      <c r="M16">
        <f ca="1">IF(COUNTIF(IF(AND(配装计算器!$K$30&lt;&gt;"∞",0),INDEX(AU15:CB15,1,$AT$1),INDEX(AU17:CB17,1,$AT$1)),"*鹤归*")=1,L16,0)</f>
        <v>0</v>
      </c>
      <c r="N16">
        <f ca="1">IFERROR(IF(AND(COUNTIF(B16,"*-峰插*"),技能数据库!$M$72&gt;0),0,IF(COUNTIF(B16,"*云飞*")&gt;0,4-COUNTIF(B16,"*玉山揽云*")*4--COUNTIF(B16,"*烟流暮景*")*4-COUNTIF(B16,"*云景*")*加速!$L$11-IF(J16&gt;0,2,0),MAX(0,N15-(A16-A15)-IF(J16&gt;0,2,0)))),0)</f>
        <v>2</v>
      </c>
      <c r="O16">
        <f ca="1">IF(AND(COUNTIF(IF(AND(配装计算器!$K$30&lt;&gt;"∞",0),INDEX(AU15:CB15,1,$AT$1),INDEX(AU17:CB17,1,$AT$1)),"*云飞*")=1,COUNTIF(IF(AND(配装计算器!$K$30&lt;&gt;"∞",0),INDEX(AU15:CB15,1,$AT$1),INDEX(AU17:CB17,1,$AT$1)),"*玉山*")=0),N16,0)</f>
        <v>0</v>
      </c>
      <c r="P16">
        <f ca="1">IFERROR(IF(COUNTIF(B16,"*云栖松*")&gt;0,50-加速!$L$11,MAX(0,P15-(A16-A15))),0)</f>
        <v>0</v>
      </c>
      <c r="Q16">
        <f ca="1">IF(COUNTIF(IF(AND(配装计算器!$K$30&lt;&gt;"∞",0),INDEX(AU15:CB15,1,$AT$1),INDEX(AU17:CB17,1,$AT$1)),"*云栖松*")=1,P16,0)</f>
        <v>0</v>
      </c>
      <c r="R16">
        <f ca="1">IFERROR(IF(COUNTIF(B16,"*莺鸣柳*")&gt;0,45-加速!$L$9,MAX(0,R15-(A16-A15))),0)</f>
        <v>0</v>
      </c>
      <c r="S16">
        <f ca="1">IF(COUNTIF(IF(AND(配装计算器!$K$30&lt;&gt;"∞",0),INDEX(AU15:CB15,1,$AT$1),INDEX(AU17:CB17,1,$AT$1)),"*莺鸣柳*")=1,R16,0)</f>
        <v>0</v>
      </c>
      <c r="T16">
        <f ca="1" t="shared" si="7"/>
        <v>0</v>
      </c>
      <c r="U16">
        <f ca="1">IF(金蛇,IF(COUNTIF(B16,"*金环戴*")+COUNTIF(B16,"*吹风醒*")&gt;0,IF(A16&lt;=3,7.125-2.625-A16-加速!$L$11,A16-T16),0),0)+IF(金蛇,IF(COUNTIF(B16,"*千切子裂光*")&gt;0,2+加速!$K$9-(A16+加速!$L$11-T16),0),0)</f>
        <v>0</v>
      </c>
      <c r="V16">
        <f ca="1" t="shared" si="8"/>
        <v>0</v>
      </c>
      <c r="W16">
        <f ca="1" t="shared" si="0"/>
        <v>0</v>
      </c>
      <c r="X16">
        <f ca="1">INDEX(加速!$I$13:$I$21,技能数计算!W16+1)</f>
        <v>0</v>
      </c>
      <c r="Y16">
        <f ca="1" t="shared" si="3"/>
        <v>0.5</v>
      </c>
      <c r="Z16">
        <f ca="1" t="shared" si="4"/>
        <v>0</v>
      </c>
      <c r="AA16">
        <f ca="1">MAX(0,IFERROR(IF(COUNTIF(B16,"*叠*")&gt;0,IF(AC15&lt;3,8-A17+A16,AA15+6.875-A17+A16),AA15-A17+A16),AA15-加速!$L$11))</f>
        <v>1.975</v>
      </c>
      <c r="AB16">
        <f ca="1">MAX(0,IF(COUNTIF(IF(AND(配装计算器!$K$30&lt;&gt;"∞",0),INDEX(AU16:CB16,1,$AT$1),INDEX(AU16:CB16,1,$AT$1)),"*叠1*")=1,4*25-加速!$L$11,AB15-A16+A15)-IF(OR(COUNTIF(OFFSET(AT16,0,$AT$1,1,1),"*听雷*")&gt;0,AND(碧归&gt;0,COUNTIF(OFFSET(AT16,0,$AT$1,1,1),"*风来*")&gt;0)),0,1)*1.5)</f>
        <v>62.44</v>
      </c>
      <c r="AC16">
        <f ca="1" t="shared" si="1"/>
        <v>3</v>
      </c>
      <c r="AD16">
        <f ca="1">IF(COUNTIF(IF(AND(配装计算器!$K$30&lt;&gt;"∞",0),INDEX(AU16:CB16,1,$AT$1),INDEX(AU17:CB17,1,$AT$1)),"*叠1*")=1,AB16*0+AE15,0)</f>
        <v>0</v>
      </c>
      <c r="AE16">
        <f ca="1">IF($AN$11&gt;0,IF(COUNTIF(B17,"*叠1*")&gt;0,50-加速!$H$11,MAX(0,AE15-(A17-A16))),0)</f>
        <v>30.69</v>
      </c>
      <c r="AH16" t="s">
        <v>1825</v>
      </c>
      <c r="AI16" t="s">
        <v>2768</v>
      </c>
      <c r="AJ16">
        <f ca="1">循环比*COUNTIFS($B$3:$B$515,"*"&amp;AI16&amp;"*",$D$3:$D$515,"=0",$H$3:$H$515,"=0",$G$3:$G$515,"=0",$K$3:$K$515,"=0")</f>
        <v>0</v>
      </c>
      <c r="AM16" s="167" t="s">
        <v>3040</v>
      </c>
      <c r="AN16" s="184">
        <f ca="1">1-(COUNTIF($B$3:$B$515,"*夕照*"))/AN12</f>
        <v>0.585987261146497</v>
      </c>
      <c r="AU16" t="str">
        <f>IF($AN$11=1,"云飞玉皇-玉山揽云","云飞玉皇")</f>
        <v>云飞玉皇-玉山揽云</v>
      </c>
      <c r="AV16">
        <v>2</v>
      </c>
      <c r="AW16" t="str">
        <f>IF($AN$11=1,橙武补雾锁,"夕照雷峰")</f>
        <v>云飞玉皇-玉山揽云</v>
      </c>
      <c r="AX16">
        <v>2</v>
      </c>
      <c r="AY16" t="s">
        <v>2776</v>
      </c>
      <c r="AZ16">
        <v>2</v>
      </c>
      <c r="BA16" t="s">
        <v>2776</v>
      </c>
      <c r="BB16">
        <v>2</v>
      </c>
      <c r="BC16" s="176" t="s">
        <v>3026</v>
      </c>
      <c r="BD16">
        <v>2</v>
      </c>
      <c r="BE16" s="176" t="s">
        <v>3035</v>
      </c>
      <c r="BF16">
        <v>2</v>
      </c>
      <c r="BG16" t="s">
        <v>2776</v>
      </c>
      <c r="BH16">
        <v>2</v>
      </c>
      <c r="BI16" t="s">
        <v>2776</v>
      </c>
      <c r="BJ16">
        <v>2</v>
      </c>
      <c r="BK16" s="176" t="s">
        <v>3026</v>
      </c>
      <c r="BL16">
        <v>2</v>
      </c>
      <c r="BM16" s="176" t="s">
        <v>2768</v>
      </c>
      <c r="BN16">
        <v>2</v>
      </c>
      <c r="BO16" s="176" t="s">
        <v>2768</v>
      </c>
      <c r="BP16">
        <v>2</v>
      </c>
      <c r="BQ16" t="str">
        <f>IF(秋,"鹤归孤山-叠-蛇牙锥心","鹤归孤山-叠")</f>
        <v>鹤归孤山-叠</v>
      </c>
      <c r="BR16">
        <v>2</v>
      </c>
      <c r="BS16" s="187" t="str">
        <f>IF(秋,"云景·云飞玉皇-叠-蛇牙锥心","云景·云飞玉皇-叠")</f>
        <v>云景·云飞玉皇-叠</v>
      </c>
      <c r="BT16">
        <v>2</v>
      </c>
      <c r="BU16" s="186" t="str">
        <f>IF(秋,"夕照雷峰","千切子裂光")</f>
        <v>千切子裂光</v>
      </c>
      <c r="BV16">
        <v>2</v>
      </c>
      <c r="BW16" s="179" t="s">
        <v>2768</v>
      </c>
      <c r="BX16" s="179">
        <v>2</v>
      </c>
      <c r="BY16" s="176" t="s">
        <v>2776</v>
      </c>
      <c r="BZ16">
        <v>2</v>
      </c>
      <c r="CA16" t="str">
        <f>IF(0,"云飞玉皇-玉山揽云","云飞玉皇")</f>
        <v>云飞玉皇</v>
      </c>
      <c r="CB16">
        <v>2</v>
      </c>
    </row>
    <row r="17" spans="1:80">
      <c r="A17" s="178">
        <f ca="1">IFERROR(IF(A16+加速!$L$11&lt;$AS$1,IF(COUNTIF(B16,"*轻*")&gt;0,A16+加速!$L$9,A16+加速!$L$11)+V16,IF(COUNTIF(INDEX(AU17:CB17,1,$AT$1),"*云景*")+COUNTIF(INDEX(AU17:CB17,1,$AT$1),"*鹤归*")+COUNTIF(INDEX(AU17:CB17,1,$AT$1),"*听雷*")&gt;0,A16+加速!$L$11,"")),"")</f>
        <v>18.06</v>
      </c>
      <c r="B17" s="167" t="str">
        <f ca="1">IF(A17&lt;&gt;"",IF(AND(A17+加速!$L$11&gt;$AS$1,IF(AND(配装计算器!$K$30&lt;&gt;"∞",0),"梦泉虎跑-轻",INDEX(AU17:CB17,1,$AT$1))="云栖松"),"夕照雷峰",IF(AND(配装计算器!$K$30&lt;&gt;"∞",0),"梦泉虎跑-轻",INDEX(AU17:CB17,1,$AT$1))),"")</f>
        <v>夕照雷峰</v>
      </c>
      <c r="C17">
        <f ca="1" t="shared" si="5"/>
        <v>15</v>
      </c>
      <c r="D17">
        <f ca="1">IF(B17&lt;&gt;"",IF(C16&lt;=加速!$L$11*(1-E17),0,1),"")</f>
        <v>1</v>
      </c>
      <c r="E17">
        <f ca="1" t="shared" si="2"/>
        <v>0</v>
      </c>
      <c r="G17">
        <f ca="1" t="shared" si="6"/>
        <v>0</v>
      </c>
      <c r="H17">
        <f ca="1">IF(B17&lt;&gt;"",IF(AND(COUNTIF(B16,"*轻*莺鸣柳*")&gt;0,COUNTIF(B17,"*轻*")&lt;1),MAX(0,15+I16-(A17-A16)+COUNTIF(B16,"*平湖*")*0),IF(AND(E17=0,MAX(0,H16-(A17-A16))&lt;=加速!$H$11),0,MAX(0,H16-(A17-A16)))),"")</f>
        <v>0</v>
      </c>
      <c r="I17">
        <f ca="1" t="shared" si="9"/>
        <v>0</v>
      </c>
      <c r="J17">
        <f ca="1" t="shared" si="10"/>
        <v>1</v>
      </c>
      <c r="K17">
        <f ca="1">IF(A17&lt;&gt;"",IF(AND(配装计算器!$K$30&lt;&gt;"∞",0),2,INDEX(AU17:CB17,1,$AT$2)),"")</f>
        <v>2</v>
      </c>
      <c r="L17">
        <f ca="1">IFERROR(IF(AND(COUNTIF(B17,"*-峰插*"),技能数据库!$M$72&gt;0),0,IF(COUNTIF(B17,"*鹤归*")&gt;0,16-加速!$L$11,MAX(0,L16-(A17-A16)))),0)</f>
        <v>9.55</v>
      </c>
      <c r="M17">
        <f ca="1">IF(COUNTIF(IF(AND(配装计算器!$K$30&lt;&gt;"∞",0),INDEX(AU16:CB16,1,$AT$1),INDEX(AU18:CB18,1,$AT$1)),"*鹤归*")=1,L17,0)</f>
        <v>0</v>
      </c>
      <c r="N17">
        <f ca="1">IFERROR(IF(AND(COUNTIF(B17,"*-峰插*"),技能数据库!$M$72&gt;0),0,IF(COUNTIF(B17,"*云飞*")&gt;0,4-COUNTIF(B17,"*玉山揽云*")*4--COUNTIF(B17,"*烟流暮景*")*4-COUNTIF(B17,"*云景*")*加速!$L$11-IF(J17&gt;0,2,0),MAX(0,N16-(A17-A16)-IF(J17&gt;0,2,0)))),0)</f>
        <v>0</v>
      </c>
      <c r="O17">
        <f ca="1">IF(AND(COUNTIF(IF(AND(配装计算器!$K$30&lt;&gt;"∞",0),INDEX(AU16:CB16,1,$AT$1),INDEX(AU18:CB18,1,$AT$1)),"*云飞*")=1,COUNTIF(IF(AND(配装计算器!$K$30&lt;&gt;"∞",0),INDEX(AU16:CB16,1,$AT$1),INDEX(AU18:CB18,1,$AT$1)),"*玉山*")=0),N17,0)</f>
        <v>0</v>
      </c>
      <c r="P17">
        <f ca="1">IFERROR(IF(COUNTIF(B17,"*云栖松*")&gt;0,50-加速!$L$11,MAX(0,P16-(A17-A16))),0)</f>
        <v>0</v>
      </c>
      <c r="Q17">
        <f ca="1">IF(COUNTIF(IF(AND(配装计算器!$K$30&lt;&gt;"∞",0),INDEX(AU16:CB16,1,$AT$1),INDEX(AU18:CB18,1,$AT$1)),"*云栖松*")=1,P17,0)</f>
        <v>0</v>
      </c>
      <c r="R17">
        <f ca="1">IFERROR(IF(COUNTIF(B17,"*莺鸣柳*")&gt;0,45-加速!$L$9,MAX(0,R16-(A17-A16))),0)</f>
        <v>0</v>
      </c>
      <c r="S17">
        <f ca="1">IF(COUNTIF(IF(AND(配装计算器!$K$30&lt;&gt;"∞",0),INDEX(AU16:CB16,1,$AT$1),INDEX(AU18:CB18,1,$AT$1)),"*莺鸣柳*")=1,R17,0)</f>
        <v>0</v>
      </c>
      <c r="T17">
        <f ca="1" t="shared" si="7"/>
        <v>0</v>
      </c>
      <c r="U17">
        <f ca="1">IF(金蛇,IF(COUNTIF(B17,"*金环戴*")+COUNTIF(B17,"*吹风醒*")&gt;0,IF(A17&lt;=3,7.125-2.625-A17-加速!$L$11,A17-T17),0),0)+IF(金蛇,IF(COUNTIF(B17,"*千切子裂光*")&gt;0,2+加速!$K$9-(A17+加速!$L$11-T17),0),0)</f>
        <v>0</v>
      </c>
      <c r="V17">
        <f ca="1" t="shared" si="8"/>
        <v>0</v>
      </c>
      <c r="W17">
        <f ca="1" t="shared" si="0"/>
        <v>0</v>
      </c>
      <c r="X17">
        <f ca="1">INDEX(加速!$I$13:$I$21,技能数计算!W17+1)</f>
        <v>0</v>
      </c>
      <c r="Y17">
        <f ca="1" t="shared" si="3"/>
        <v>0.5</v>
      </c>
      <c r="Z17">
        <f ca="1" t="shared" si="4"/>
        <v>0</v>
      </c>
      <c r="AA17">
        <f ca="1">MAX(0,IFERROR(IF(COUNTIF(B17,"*叠*")&gt;0,IF(AC16&lt;3,8-A18+A17,AA16+6.875-A18+A17),AA16-A18+A17),AA16-加速!$L$11))</f>
        <v>0.685000000000006</v>
      </c>
      <c r="AB17">
        <f ca="1">MAX(0,IF(COUNTIF(IF(AND(配装计算器!$K$30&lt;&gt;"∞",0),INDEX(AU17:CB17,1,$AT$1),INDEX(AU17:CB17,1,$AT$1)),"*叠1*")=1,4*25-加速!$L$11,AB16-A17+A16)-IF(OR(COUNTIF(OFFSET(AT17,0,$AT$1,1,1),"*听雷*")&gt;0,AND(碧归&gt;0,COUNTIF(OFFSET(AT17,0,$AT$1,1,1),"*风来*")&gt;0)),0,1)*1.5)</f>
        <v>59.65</v>
      </c>
      <c r="AC17">
        <f ca="1" t="shared" si="1"/>
        <v>3</v>
      </c>
      <c r="AD17">
        <f ca="1">IF(COUNTIF(IF(AND(配装计算器!$K$30&lt;&gt;"∞",0),INDEX(AU17:CB17,1,$AT$1),INDEX(AU18:CB18,1,$AT$1)),"*叠1*")=1,AB17*0+AE16,0)</f>
        <v>0</v>
      </c>
      <c r="AE17">
        <f ca="1">IF($AN$11&gt;0,IF(COUNTIF(B18,"*叠1*")&gt;0,50-加速!$H$11,MAX(0,AE16-(A18-A17))),0)</f>
        <v>29.4</v>
      </c>
      <c r="AH17" t="s">
        <v>1825</v>
      </c>
      <c r="AI17" t="s">
        <v>2768</v>
      </c>
      <c r="AJ17">
        <f ca="1">循环比*COUNTIFS($B$3:$B$515,"*"&amp;AI17&amp;"*",$D$3:$D$515,"&gt;0",$H$3:$H$515,"=0",$G$3:$G$515,"=0",$K$3:$K$515,"=0",$AC$3:$AC$515,"=0")</f>
        <v>12</v>
      </c>
      <c r="AK17" t="s">
        <v>2750</v>
      </c>
      <c r="AM17" s="167" t="s">
        <v>3041</v>
      </c>
      <c r="AN17" s="185">
        <f ca="1">1-AN16</f>
        <v>0.414012738853503</v>
      </c>
      <c r="AO17" s="167">
        <v>2</v>
      </c>
      <c r="AU17" t="str">
        <f>IF($AN$11=1,"云飞玉皇-玉山揽云","夕照雷峰")</f>
        <v>云飞玉皇-玉山揽云</v>
      </c>
      <c r="AV17">
        <v>2</v>
      </c>
      <c r="AW17" t="str">
        <f>IF($AN$11=1,"云飞玉皇-玉山揽云","夕照雷峰")</f>
        <v>云飞玉皇-玉山揽云</v>
      </c>
      <c r="AX17">
        <v>2</v>
      </c>
      <c r="AY17" t="s">
        <v>3042</v>
      </c>
      <c r="AZ17">
        <v>2</v>
      </c>
      <c r="BA17" t="s">
        <v>3042</v>
      </c>
      <c r="BB17">
        <v>2</v>
      </c>
      <c r="BC17" t="s">
        <v>3013</v>
      </c>
      <c r="BD17">
        <v>2</v>
      </c>
      <c r="BE17" t="s">
        <v>2768</v>
      </c>
      <c r="BF17">
        <v>2</v>
      </c>
      <c r="BG17" t="s">
        <v>2768</v>
      </c>
      <c r="BH17">
        <v>2</v>
      </c>
      <c r="BI17" t="s">
        <v>2768</v>
      </c>
      <c r="BJ17">
        <v>2</v>
      </c>
      <c r="BK17" s="176" t="s">
        <v>2776</v>
      </c>
      <c r="BL17">
        <v>2</v>
      </c>
      <c r="BM17" s="176" t="s">
        <v>2808</v>
      </c>
      <c r="BN17">
        <v>2</v>
      </c>
      <c r="BO17" s="176" t="s">
        <v>2808</v>
      </c>
      <c r="BP17">
        <v>2</v>
      </c>
      <c r="BQ17" t="s">
        <v>2776</v>
      </c>
      <c r="BR17">
        <v>2</v>
      </c>
      <c r="BS17" s="186" t="str">
        <f>IF(秋,"夕照雷峰","千切子寒光")</f>
        <v>千切子寒光</v>
      </c>
      <c r="BT17">
        <v>2</v>
      </c>
      <c r="BU17" s="176" t="s">
        <v>2789</v>
      </c>
      <c r="BV17">
        <v>2</v>
      </c>
      <c r="BW17" s="179" t="s">
        <v>2776</v>
      </c>
      <c r="BX17" s="179">
        <v>2</v>
      </c>
      <c r="BY17" s="176" t="s">
        <v>2768</v>
      </c>
      <c r="BZ17">
        <v>2</v>
      </c>
      <c r="CA17" s="180" t="str">
        <f>IF(0,"云飞玉皇-玉山揽云","夕照雷峰")</f>
        <v>夕照雷峰</v>
      </c>
      <c r="CB17">
        <v>2</v>
      </c>
    </row>
    <row r="18" spans="1:80">
      <c r="A18" s="178">
        <f ca="1">IFERROR(IF(A17+加速!$L$11&lt;$AS$1,IF(COUNTIF(B17,"*轻*")&gt;0,A17+加速!$L$9,A17+加速!$L$11)+V17,IF(COUNTIF(INDEX(AU18:CB18,1,$AT$1),"*云景*")+COUNTIF(INDEX(AU18:CB18,1,$AT$1),"*鹤归*")+COUNTIF(INDEX(AU18:CB18,1,$AT$1),"*听雷*")&gt;0,A17+加速!$L$11,"")),"")</f>
        <v>19.35</v>
      </c>
      <c r="B18" s="167" t="str">
        <f ca="1">IF(A18&lt;&gt;"",IF(AND(A18+加速!$L$11&gt;$AS$1,IF(AND(配装计算器!$K$30&lt;&gt;"∞",0),"梦泉虎跑-轻",INDEX(AU18:CB18,1,$AT$1))="云栖松"),"夕照雷峰",IF(AND(配装计算器!$K$30&lt;&gt;"∞",0),"梦泉虎跑-轻",INDEX(AU18:CB18,1,$AT$1))),"")</f>
        <v>云景·云飞玉皇</v>
      </c>
      <c r="C18">
        <f ca="1" t="shared" si="5"/>
        <v>13.71</v>
      </c>
      <c r="D18">
        <f ca="1">IF(B18&lt;&gt;"",IF(C17&lt;=加速!$L$11*(1-E18),0,1),"")</f>
        <v>1</v>
      </c>
      <c r="E18">
        <f ca="1" t="shared" si="2"/>
        <v>1</v>
      </c>
      <c r="G18">
        <f ca="1" t="shared" si="6"/>
        <v>0</v>
      </c>
      <c r="H18">
        <f ca="1">IF(B18&lt;&gt;"",IF(AND(COUNTIF(B17,"*轻*莺鸣柳*")&gt;0,COUNTIF(B18,"*轻*")&lt;1),MAX(0,15+I17-(A18-A17)+COUNTIF(B17,"*平湖*")*0),IF(AND(E18=0,MAX(0,H17-(A18-A17))&lt;=加速!$H$11),0,MAX(0,H17-(A18-A17)))),"")</f>
        <v>0</v>
      </c>
      <c r="I18">
        <f ca="1" t="shared" si="9"/>
        <v>0</v>
      </c>
      <c r="J18">
        <f ca="1" t="shared" si="10"/>
        <v>1</v>
      </c>
      <c r="K18">
        <f ca="1">IF(A18&lt;&gt;"",IF(AND(配装计算器!$K$30&lt;&gt;"∞",0),2,INDEX(AU18:CB18,1,$AT$2)),"")</f>
        <v>2</v>
      </c>
      <c r="L18">
        <f ca="1">IFERROR(IF(AND(COUNTIF(B18,"*-峰插*"),技能数据库!$M$72&gt;0),0,IF(COUNTIF(B18,"*鹤归*")&gt;0,16-加速!$L$11,MAX(0,L17-(A18-A17)))),0)</f>
        <v>8.26000000000001</v>
      </c>
      <c r="M18">
        <f ca="1">IF(COUNTIF(IF(AND(配装计算器!$K$30&lt;&gt;"∞",0),INDEX(AU17:CB17,1,$AT$1),INDEX(AU19:CB19,1,$AT$1)),"*鹤归*")=1,L18,0)</f>
        <v>0</v>
      </c>
      <c r="N18">
        <f ca="1">IFERROR(IF(AND(COUNTIF(B18,"*-峰插*"),技能数据库!$M$72&gt;0),0,IF(COUNTIF(B18,"*云飞*")&gt;0,4-COUNTIF(B18,"*玉山揽云*")*4--COUNTIF(B18,"*烟流暮景*")*4-COUNTIF(B18,"*云景*")*加速!$L$11-IF(J18&gt;0,2,0),MAX(0,N17-(A18-A17)-IF(J18&gt;0,2,0)))),0)</f>
        <v>0.71</v>
      </c>
      <c r="O18">
        <f ca="1">IF(AND(COUNTIF(IF(AND(配装计算器!$K$30&lt;&gt;"∞",0),INDEX(AU17:CB17,1,$AT$1),INDEX(AU19:CB19,1,$AT$1)),"*云飞*")=1,COUNTIF(IF(AND(配装计算器!$K$30&lt;&gt;"∞",0),INDEX(AU17:CB17,1,$AT$1),INDEX(AU19:CB19,1,$AT$1)),"*玉山*")=0),N18,0)</f>
        <v>0</v>
      </c>
      <c r="P18">
        <f ca="1">IFERROR(IF(COUNTIF(B18,"*云栖松*")&gt;0,50-加速!$L$11,MAX(0,P17-(A18-A17))),0)</f>
        <v>0</v>
      </c>
      <c r="Q18">
        <f ca="1">IF(COUNTIF(IF(AND(配装计算器!$K$30&lt;&gt;"∞",0),INDEX(AU17:CB17,1,$AT$1),INDEX(AU19:CB19,1,$AT$1)),"*云栖松*")=1,P18,0)</f>
        <v>0</v>
      </c>
      <c r="R18">
        <f ca="1">IFERROR(IF(COUNTIF(B18,"*莺鸣柳*")&gt;0,45-加速!$L$9,MAX(0,R17-(A18-A17))),0)</f>
        <v>0</v>
      </c>
      <c r="S18">
        <f ca="1">IF(COUNTIF(IF(AND(配装计算器!$K$30&lt;&gt;"∞",0),INDEX(AU17:CB17,1,$AT$1),INDEX(AU19:CB19,1,$AT$1)),"*莺鸣柳*")=1,R18,0)</f>
        <v>0</v>
      </c>
      <c r="T18">
        <f ca="1" t="shared" si="7"/>
        <v>0</v>
      </c>
      <c r="U18">
        <f ca="1">IF(金蛇,IF(COUNTIF(B18,"*金环戴*")+COUNTIF(B18,"*吹风醒*")&gt;0,IF(A18&lt;=3,7.125-2.625-A18-加速!$L$11,A18-T18),0),0)+IF(金蛇,IF(COUNTIF(B18,"*千切子裂光*")&gt;0,2+加速!$K$9-(A18+加速!$L$11-T18),0),0)</f>
        <v>0</v>
      </c>
      <c r="V18">
        <f ca="1" t="shared" si="8"/>
        <v>0</v>
      </c>
      <c r="W18">
        <f ca="1" t="shared" si="0"/>
        <v>0</v>
      </c>
      <c r="X18">
        <f ca="1">INDEX(加速!$I$13:$I$21,技能数计算!W18+1)</f>
        <v>0</v>
      </c>
      <c r="Y18">
        <f ca="1" t="shared" si="3"/>
        <v>0.5</v>
      </c>
      <c r="Z18">
        <f ca="1" t="shared" si="4"/>
        <v>0</v>
      </c>
      <c r="AA18">
        <f ca="1">MAX(0,IFERROR(IF(COUNTIF(B18,"*叠*")&gt;0,IF(AC17&lt;3,8-A19+A18,AA17+6.875-A19+A18),AA17-A19+A18),AA17-加速!$L$11))</f>
        <v>0</v>
      </c>
      <c r="AB18">
        <f ca="1">MAX(0,IF(COUNTIF(IF(AND(配装计算器!$K$30&lt;&gt;"∞",0),INDEX(AU18:CB18,1,$AT$1),INDEX(AU18:CB18,1,$AT$1)),"*叠1*")=1,4*25-加速!$L$11,AB17-A18+A17)-IF(OR(COUNTIF(OFFSET(AT18,0,$AT$1,1,1),"*听雷*")&gt;0,AND(碧归&gt;0,COUNTIF(OFFSET(AT18,0,$AT$1,1,1),"*风来*")&gt;0)),0,1)*1.5)</f>
        <v>56.86</v>
      </c>
      <c r="AC18">
        <f ca="1" t="shared" si="1"/>
        <v>3</v>
      </c>
      <c r="AD18">
        <f ca="1">IF(COUNTIF(IF(AND(配装计算器!$K$30&lt;&gt;"∞",0),INDEX(AU18:CB18,1,$AT$1),INDEX(AU19:CB19,1,$AT$1)),"*叠1*")=1,AB18*0+AE17,0)</f>
        <v>0</v>
      </c>
      <c r="AE18">
        <f ca="1">IF($AN$11&gt;0,IF(COUNTIF(B19,"*叠1*")&gt;0,50-加速!$H$11,MAX(0,AE17-(A19-A18))),0)</f>
        <v>28.11</v>
      </c>
      <c r="AH18" t="s">
        <v>1825</v>
      </c>
      <c r="AI18" t="s">
        <v>2768</v>
      </c>
      <c r="AJ18">
        <f ca="1">循环比*COUNTIFS($B$3:$B$515,"*"&amp;AI18&amp;"*",$D$3:$D$515,"=0",$H$3:$H$515,"&gt;0",$G$3:$G$515,"=0",$K$3:$K$515,"=0")</f>
        <v>0</v>
      </c>
      <c r="AK18" t="s">
        <v>2948</v>
      </c>
      <c r="AM18" s="167" t="s">
        <v>3043</v>
      </c>
      <c r="AN18" s="185">
        <f ca="1">AN16</f>
        <v>0.585987261146497</v>
      </c>
      <c r="AO18" s="167">
        <v>1</v>
      </c>
      <c r="AU18" t="str">
        <f>IF($AN$11=1,橙武补雾锁,"夕照雷峰")</f>
        <v>云飞玉皇-玉山揽云</v>
      </c>
      <c r="AV18">
        <v>2</v>
      </c>
      <c r="AW18" t="s">
        <v>2776</v>
      </c>
      <c r="AX18">
        <v>2</v>
      </c>
      <c r="AY18" t="s">
        <v>2808</v>
      </c>
      <c r="AZ18">
        <v>2</v>
      </c>
      <c r="BA18" t="s">
        <v>2808</v>
      </c>
      <c r="BB18">
        <v>2</v>
      </c>
      <c r="BC18" t="s">
        <v>2808</v>
      </c>
      <c r="BD18">
        <v>2</v>
      </c>
      <c r="BE18" t="s">
        <v>2776</v>
      </c>
      <c r="BF18">
        <v>2</v>
      </c>
      <c r="BG18" t="s">
        <v>2808</v>
      </c>
      <c r="BH18">
        <v>2</v>
      </c>
      <c r="BI18" t="s">
        <v>2808</v>
      </c>
      <c r="BJ18">
        <v>2</v>
      </c>
      <c r="BK18" s="176" t="s">
        <v>2794</v>
      </c>
      <c r="BL18">
        <v>2</v>
      </c>
      <c r="BM18" t="str">
        <f>IF(0,"云飞玉皇-玉山揽云","夕照雷峰")</f>
        <v>夕照雷峰</v>
      </c>
      <c r="BN18">
        <v>2</v>
      </c>
      <c r="BO18" t="str">
        <f>IF(0,"云飞玉皇-玉山揽云","夕照雷峰")</f>
        <v>夕照雷峰</v>
      </c>
      <c r="BP18">
        <v>2</v>
      </c>
      <c r="BQ18" t="s">
        <v>2768</v>
      </c>
      <c r="BR18">
        <v>2</v>
      </c>
      <c r="BS18" s="186" t="str">
        <f>IF(秋,"夕照雷峰","千切子裂光")</f>
        <v>千切子裂光</v>
      </c>
      <c r="BT18">
        <v>2</v>
      </c>
      <c r="BU18" s="176" t="s">
        <v>2776</v>
      </c>
      <c r="BV18">
        <v>2</v>
      </c>
      <c r="BW18" s="179" t="str">
        <f>IF(秋,"夕照雷峰","千切子寒光")</f>
        <v>千切子寒光</v>
      </c>
      <c r="BX18" s="179">
        <v>2</v>
      </c>
      <c r="BY18" s="176" t="s">
        <v>2808</v>
      </c>
      <c r="BZ18">
        <v>2</v>
      </c>
      <c r="CA18" s="176" t="str">
        <f>IF(秋,"夕照雷峰","千切子寒光")</f>
        <v>千切子寒光</v>
      </c>
      <c r="CB18">
        <v>2</v>
      </c>
    </row>
    <row r="19" spans="1:80">
      <c r="A19" s="178">
        <f ca="1">IFERROR(IF(A18+加速!$L$11&lt;$AS$1,IF(COUNTIF(B18,"*轻*")&gt;0,A18+加速!$L$9,A18+加速!$L$11)+V18,IF(COUNTIF(INDEX(AU19:CB19,1,$AT$1),"*云景*")+COUNTIF(INDEX(AU19:CB19,1,$AT$1),"*鹤归*")+COUNTIF(INDEX(AU19:CB19,1,$AT$1),"*听雷*")&gt;0,A18+加速!$L$11,"")),"")</f>
        <v>20.64</v>
      </c>
      <c r="B19" s="167" t="str">
        <f ca="1">IF(A19&lt;&gt;"",IF(AND(A19+加速!$L$11&gt;$AS$1,IF(AND(配装计算器!$K$30&lt;&gt;"∞",0),"梦泉虎跑-轻",INDEX(AU19:CB19,1,$AT$1))="云栖松"),"夕照雷峰",IF(AND(配装计算器!$K$30&lt;&gt;"∞",0),"梦泉虎跑-轻",INDEX(AU19:CB19,1,$AT$1))),"")</f>
        <v>夕照雷峰</v>
      </c>
      <c r="C19">
        <f ca="1" t="shared" si="5"/>
        <v>15</v>
      </c>
      <c r="D19">
        <f ca="1">IF(B19&lt;&gt;"",IF(C18&lt;=加速!$L$11*(1-E19),0,1),"")</f>
        <v>1</v>
      </c>
      <c r="E19">
        <f ca="1" t="shared" si="2"/>
        <v>0</v>
      </c>
      <c r="G19">
        <f ca="1" t="shared" si="6"/>
        <v>0</v>
      </c>
      <c r="H19">
        <f ca="1">IF(B19&lt;&gt;"",IF(AND(COUNTIF(B18,"*轻*莺鸣柳*")&gt;0,COUNTIF(B19,"*轻*")&lt;1),MAX(0,15+I18-(A19-A18)+COUNTIF(B18,"*平湖*")*0),IF(AND(E19=0,MAX(0,H18-(A19-A18))&lt;=加速!$H$11),0,MAX(0,H18-(A19-A18)))),"")</f>
        <v>0</v>
      </c>
      <c r="I19">
        <f ca="1" t="shared" si="9"/>
        <v>0</v>
      </c>
      <c r="J19">
        <f ca="1" t="shared" si="10"/>
        <v>0</v>
      </c>
      <c r="K19">
        <f ca="1">IF(A19&lt;&gt;"",IF(AND(配装计算器!$K$30&lt;&gt;"∞",0),2,INDEX(AU19:CB19,1,$AT$2)),"")</f>
        <v>2</v>
      </c>
      <c r="L19">
        <f ca="1">IFERROR(IF(AND(COUNTIF(B19,"*-峰插*"),技能数据库!$M$72&gt;0),0,IF(COUNTIF(B19,"*鹤归*")&gt;0,16-加速!$L$11,MAX(0,L18-(A19-A18)))),0)</f>
        <v>6.97000000000001</v>
      </c>
      <c r="M19">
        <f ca="1">IF(COUNTIF(IF(AND(配装计算器!$K$30&lt;&gt;"∞",0),INDEX(AU18:CB18,1,$AT$1),INDEX(AU20:CB20,1,$AT$1)),"*鹤归*")=1,L19,0)</f>
        <v>0</v>
      </c>
      <c r="N19">
        <f ca="1">IFERROR(IF(AND(COUNTIF(B19,"*-峰插*"),技能数据库!$M$72&gt;0),0,IF(COUNTIF(B19,"*云飞*")&gt;0,4-COUNTIF(B19,"*玉山揽云*")*4--COUNTIF(B19,"*烟流暮景*")*4-COUNTIF(B19,"*云景*")*加速!$L$11-IF(J19&gt;0,2,0),MAX(0,N18-(A19-A18)-IF(J19&gt;0,2,0)))),0)</f>
        <v>0</v>
      </c>
      <c r="O19">
        <f ca="1">IF(AND(COUNTIF(IF(AND(配装计算器!$K$30&lt;&gt;"∞",0),INDEX(AU18:CB18,1,$AT$1),INDEX(AU20:CB20,1,$AT$1)),"*云飞*")=1,COUNTIF(IF(AND(配装计算器!$K$30&lt;&gt;"∞",0),INDEX(AU18:CB18,1,$AT$1),INDEX(AU20:CB20,1,$AT$1)),"*玉山*")=0),N19,0)</f>
        <v>0</v>
      </c>
      <c r="P19">
        <f ca="1">IFERROR(IF(COUNTIF(B19,"*云栖松*")&gt;0,50-加速!$L$11,MAX(0,P18-(A19-A18))),0)</f>
        <v>0</v>
      </c>
      <c r="Q19">
        <f ca="1">IF(COUNTIF(IF(AND(配装计算器!$K$30&lt;&gt;"∞",0),INDEX(AU18:CB18,1,$AT$1),INDEX(AU20:CB20,1,$AT$1)),"*云栖松*")=1,P19,0)</f>
        <v>0</v>
      </c>
      <c r="R19">
        <f ca="1">IFERROR(IF(COUNTIF(B19,"*莺鸣柳*")&gt;0,45-加速!$L$9,MAX(0,R18-(A19-A18))),0)</f>
        <v>0</v>
      </c>
      <c r="S19">
        <f ca="1">IF(COUNTIF(IF(AND(配装计算器!$K$30&lt;&gt;"∞",0),INDEX(AU18:CB18,1,$AT$1),INDEX(AU20:CB20,1,$AT$1)),"*莺鸣柳*")=1,R19,0)</f>
        <v>0</v>
      </c>
      <c r="T19">
        <f ca="1" t="shared" si="7"/>
        <v>0</v>
      </c>
      <c r="U19">
        <f ca="1">IF(金蛇,IF(COUNTIF(B19,"*金环戴*")+COUNTIF(B19,"*吹风醒*")&gt;0,IF(A19&lt;=3,7.125-2.625-A19-加速!$L$11,A19-T19),0),0)+IF(金蛇,IF(COUNTIF(B19,"*千切子裂光*")&gt;0,2+加速!$K$9-(A19+加速!$L$11-T19),0),0)</f>
        <v>0</v>
      </c>
      <c r="V19">
        <f ca="1" t="shared" si="8"/>
        <v>0</v>
      </c>
      <c r="W19">
        <f ca="1" t="shared" si="0"/>
        <v>0</v>
      </c>
      <c r="X19">
        <f ca="1">INDEX(加速!$I$13:$I$21,技能数计算!W19+1)</f>
        <v>0</v>
      </c>
      <c r="Y19">
        <f ca="1" t="shared" si="3"/>
        <v>0.5</v>
      </c>
      <c r="Z19">
        <f ca="1" t="shared" si="4"/>
        <v>0</v>
      </c>
      <c r="AA19">
        <f ca="1">MAX(0,IFERROR(IF(COUNTIF(B19,"*叠*")&gt;0,IF(AC18&lt;3,8-A20+A19,AA18+6.875-A20+A19),AA18-A20+A19),AA18-加速!$L$11))</f>
        <v>0</v>
      </c>
      <c r="AB19">
        <f ca="1">MAX(0,IF(COUNTIF(IF(AND(配装计算器!$K$30&lt;&gt;"∞",0),INDEX(AU19:CB19,1,$AT$1),INDEX(AU19:CB19,1,$AT$1)),"*叠1*")=1,4*25-加速!$L$11,AB18-A19+A18)-IF(OR(COUNTIF(OFFSET(AT19,0,$AT$1,1,1),"*听雷*")&gt;0,AND(碧归&gt;0,COUNTIF(OFFSET(AT19,0,$AT$1,1,1),"*风来*")&gt;0)),0,1)*1.5)</f>
        <v>54.07</v>
      </c>
      <c r="AC19">
        <f ca="1" t="shared" si="1"/>
        <v>0</v>
      </c>
      <c r="AD19">
        <f ca="1">IF(COUNTIF(IF(AND(配装计算器!$K$30&lt;&gt;"∞",0),INDEX(AU19:CB19,1,$AT$1),INDEX(AU20:CB20,1,$AT$1)),"*叠1*")=1,AB19*0+AE18,0)</f>
        <v>0</v>
      </c>
      <c r="AE19">
        <f ca="1">IF($AN$11&gt;0,IF(COUNTIF(B20,"*叠1*")&gt;0,50-加速!$H$11,MAX(0,AE18-(A20-A19))),0)</f>
        <v>26.82</v>
      </c>
      <c r="AH19" t="s">
        <v>1825</v>
      </c>
      <c r="AI19" t="s">
        <v>2768</v>
      </c>
      <c r="AJ19">
        <f ca="1">循环比*COUNTIFS($B$3:$B$515,"*"&amp;AI19&amp;"*",$D$3:$D$515,"&gt;0",$H$3:$H$515,"&gt;0",$G$3:$G$515,"=0",$K$3:$K$515,"=0")</f>
        <v>0</v>
      </c>
      <c r="AK19" t="s">
        <v>3044</v>
      </c>
      <c r="AM19" s="167" t="s">
        <v>3045</v>
      </c>
      <c r="AN19">
        <f ca="1">SUMPRODUCT(AN17:AN18,AO17:AO18)</f>
        <v>1.4140127388535</v>
      </c>
      <c r="AU19" t="str">
        <f>IF($AN$11=1,"云飞玉皇-玉山揽云","夕照雷峰")</f>
        <v>云飞玉皇-玉山揽云</v>
      </c>
      <c r="AV19">
        <v>2</v>
      </c>
      <c r="AW19" t="s">
        <v>2768</v>
      </c>
      <c r="AX19">
        <v>2</v>
      </c>
      <c r="AY19" t="s">
        <v>2768</v>
      </c>
      <c r="AZ19">
        <v>2</v>
      </c>
      <c r="BA19" t="s">
        <v>2768</v>
      </c>
      <c r="BB19">
        <v>2</v>
      </c>
      <c r="BC19" t="s">
        <v>2768</v>
      </c>
      <c r="BD19">
        <v>2</v>
      </c>
      <c r="BE19" t="s">
        <v>2768</v>
      </c>
      <c r="BF19">
        <v>2</v>
      </c>
      <c r="BG19" t="s">
        <v>2768</v>
      </c>
      <c r="BH19">
        <v>2</v>
      </c>
      <c r="BI19" s="176" t="s">
        <v>2768</v>
      </c>
      <c r="BJ19">
        <v>2</v>
      </c>
      <c r="BK19" s="176" t="s">
        <v>2768</v>
      </c>
      <c r="BL19">
        <v>2</v>
      </c>
      <c r="BM19" t="str">
        <f>IF(0,"云飞玉皇-玉山揽云","云飞玉皇")</f>
        <v>云飞玉皇</v>
      </c>
      <c r="BN19">
        <v>2</v>
      </c>
      <c r="BO19" t="str">
        <f>IF(0,"云飞玉皇-玉山揽云","云飞玉皇")</f>
        <v>云飞玉皇</v>
      </c>
      <c r="BP19">
        <v>2</v>
      </c>
      <c r="BQ19" t="s">
        <v>2776</v>
      </c>
      <c r="BR19">
        <v>2</v>
      </c>
      <c r="BS19" s="176" t="s">
        <v>2768</v>
      </c>
      <c r="BT19">
        <v>2</v>
      </c>
      <c r="BU19" t="str">
        <f>IF(秋,"鹤归孤山-叠-蛇牙锥心","鹤归孤山-叠")</f>
        <v>鹤归孤山-叠</v>
      </c>
      <c r="BV19">
        <v>2</v>
      </c>
      <c r="BW19" s="179" t="str">
        <f>IF(秋,"夕照雷峰","千切子裂光")</f>
        <v>千切子裂光</v>
      </c>
      <c r="BX19" s="179">
        <v>2</v>
      </c>
      <c r="BY19" t="str">
        <f>IF(0,"云飞玉皇-玉山揽云","夕照雷峰")</f>
        <v>夕照雷峰</v>
      </c>
      <c r="BZ19">
        <v>2</v>
      </c>
      <c r="CA19" s="176" t="str">
        <f>IF(秋,"夕照雷峰","千切子裂光")</f>
        <v>千切子裂光</v>
      </c>
      <c r="CB19">
        <v>2</v>
      </c>
    </row>
    <row r="20" spans="1:80">
      <c r="A20" s="178">
        <f ca="1">IFERROR(IF(A19+加速!$L$11&lt;$AS$1,IF(COUNTIF(B19,"*轻*")&gt;0,A19+加速!$L$9,A19+加速!$L$11)+V19,IF(COUNTIF(INDEX(AU20:CB20,1,$AT$1),"*云景*")+COUNTIF(INDEX(AU20:CB20,1,$AT$1),"*鹤归*")+COUNTIF(INDEX(AU20:CB20,1,$AT$1),"*听雷*")&gt;0,A19+加速!$L$11,"")),"")</f>
        <v>21.93</v>
      </c>
      <c r="B20" s="167" t="str">
        <f ca="1">IF(A20&lt;&gt;"",IF(AND(A20+加速!$L$11&gt;$AS$1,IF(AND(配装计算器!$K$30&lt;&gt;"∞",0),"梦泉虎跑-轻",INDEX(AU20:CB20,1,$AT$1))="云栖松"),"夕照雷峰",IF(AND(配装计算器!$K$30&lt;&gt;"∞",0),"梦泉虎跑-轻",INDEX(AU20:CB20,1,$AT$1))),"")</f>
        <v>云飞玉皇</v>
      </c>
      <c r="C20">
        <f ca="1" t="shared" si="5"/>
        <v>13.71</v>
      </c>
      <c r="D20">
        <f ca="1">IF(B20&lt;&gt;"",IF(C19&lt;=加速!$L$11*(1-E20),0,1),"")</f>
        <v>1</v>
      </c>
      <c r="E20">
        <f ca="1" t="shared" si="2"/>
        <v>0</v>
      </c>
      <c r="G20">
        <f ca="1" t="shared" si="6"/>
        <v>0</v>
      </c>
      <c r="H20">
        <f ca="1">IF(B20&lt;&gt;"",IF(AND(COUNTIF(B19,"*轻*莺鸣柳*")&gt;0,COUNTIF(B20,"*轻*")&lt;1),MAX(0,15+I19-(A20-A19)+COUNTIF(B19,"*平湖*")*0),IF(AND(E20=0,MAX(0,H19-(A20-A19))&lt;=加速!$H$11),0,MAX(0,H19-(A20-A19)))),"")</f>
        <v>0</v>
      </c>
      <c r="I20">
        <f ca="1" t="shared" si="9"/>
        <v>0</v>
      </c>
      <c r="J20">
        <f ca="1" t="shared" si="10"/>
        <v>0</v>
      </c>
      <c r="K20">
        <f ca="1">IF(A20&lt;&gt;"",IF(AND(配装计算器!$K$30&lt;&gt;"∞",0),2,INDEX(AU20:CB20,1,$AT$2)),"")</f>
        <v>2</v>
      </c>
      <c r="L20">
        <f ca="1">IFERROR(IF(AND(COUNTIF(B20,"*-峰插*"),技能数据库!$M$72&gt;0),0,IF(COUNTIF(B20,"*鹤归*")&gt;0,16-加速!$L$11,MAX(0,L19-(A20-A19)))),0)</f>
        <v>5.68000000000001</v>
      </c>
      <c r="M20">
        <f ca="1">IF(COUNTIF(IF(AND(配装计算器!$K$30&lt;&gt;"∞",0),INDEX(AU19:CB19,1,$AT$1),INDEX(AU21:CB21,1,$AT$1)),"*鹤归*")=1,L20,0)</f>
        <v>0</v>
      </c>
      <c r="N20">
        <f ca="1">IFERROR(IF(AND(COUNTIF(B20,"*-峰插*"),技能数据库!$M$72&gt;0),0,IF(COUNTIF(B20,"*云飞*")&gt;0,4-COUNTIF(B20,"*玉山揽云*")*4--COUNTIF(B20,"*烟流暮景*")*4-COUNTIF(B20,"*云景*")*加速!$L$11-IF(J20&gt;0,2,0),MAX(0,N19-(A20-A19)-IF(J20&gt;0,2,0)))),0)</f>
        <v>4</v>
      </c>
      <c r="O20">
        <f ca="1">IF(AND(COUNTIF(IF(AND(配装计算器!$K$30&lt;&gt;"∞",0),INDEX(AU19:CB19,1,$AT$1),INDEX(AU21:CB21,1,$AT$1)),"*云飞*")=1,COUNTIF(IF(AND(配装计算器!$K$30&lt;&gt;"∞",0),INDEX(AU19:CB19,1,$AT$1),INDEX(AU21:CB21,1,$AT$1)),"*玉山*")=0),N20,0)</f>
        <v>0</v>
      </c>
      <c r="P20">
        <f ca="1">IFERROR(IF(COUNTIF(B20,"*云栖松*")&gt;0,50-加速!$L$11,MAX(0,P19-(A20-A19))),0)</f>
        <v>0</v>
      </c>
      <c r="Q20">
        <f ca="1">IF(COUNTIF(IF(AND(配装计算器!$K$30&lt;&gt;"∞",0),INDEX(AU19:CB19,1,$AT$1),INDEX(AU21:CB21,1,$AT$1)),"*云栖松*")=1,P20,0)</f>
        <v>0</v>
      </c>
      <c r="R20">
        <f ca="1">IFERROR(IF(COUNTIF(B20,"*莺鸣柳*")&gt;0,45-加速!$L$9,MAX(0,R19-(A20-A19))),0)</f>
        <v>0</v>
      </c>
      <c r="S20">
        <f ca="1">IF(COUNTIF(IF(AND(配装计算器!$K$30&lt;&gt;"∞",0),INDEX(AU19:CB19,1,$AT$1),INDEX(AU21:CB21,1,$AT$1)),"*莺鸣柳*")=1,R20,0)</f>
        <v>0</v>
      </c>
      <c r="T20">
        <f ca="1" t="shared" si="7"/>
        <v>0</v>
      </c>
      <c r="U20">
        <f ca="1">IF(金蛇,IF(COUNTIF(B20,"*金环戴*")+COUNTIF(B20,"*吹风醒*")&gt;0,IF(A20&lt;=3,7.125-2.625-A20-加速!$L$11,A20-T20),0),0)+IF(金蛇,IF(COUNTIF(B20,"*千切子裂光*")&gt;0,2+加速!$K$9-(A20+加速!$L$11-T20),0),0)</f>
        <v>0</v>
      </c>
      <c r="V20">
        <f ca="1" t="shared" si="8"/>
        <v>0</v>
      </c>
      <c r="W20">
        <f ca="1" t="shared" si="0"/>
        <v>0</v>
      </c>
      <c r="X20">
        <f ca="1">INDEX(加速!$I$13:$I$21,技能数计算!W20+1)</f>
        <v>0</v>
      </c>
      <c r="Y20">
        <f ca="1" t="shared" si="3"/>
        <v>0.5</v>
      </c>
      <c r="Z20">
        <f ca="1" t="shared" si="4"/>
        <v>0</v>
      </c>
      <c r="AA20">
        <f ca="1">MAX(0,IFERROR(IF(COUNTIF(B20,"*叠*")&gt;0,IF(AC19&lt;3,8-A21+A20,AA19+6.875-A21+A20),AA19-A21+A20),AA19-加速!$L$11))</f>
        <v>0</v>
      </c>
      <c r="AB20">
        <f ca="1">MAX(0,IF(COUNTIF(IF(AND(配装计算器!$K$30&lt;&gt;"∞",0),INDEX(AU20:CB20,1,$AT$1),INDEX(AU20:CB20,1,$AT$1)),"*叠1*")=1,4*25-加速!$L$11,AB19-A20+A19)-IF(OR(COUNTIF(OFFSET(AT20,0,$AT$1,1,1),"*听雷*")&gt;0,AND(碧归&gt;0,COUNTIF(OFFSET(AT20,0,$AT$1,1,1),"*风来*")&gt;0)),0,1)*1.5)</f>
        <v>51.28</v>
      </c>
      <c r="AC20">
        <f ca="1" t="shared" si="1"/>
        <v>0</v>
      </c>
      <c r="AD20">
        <f ca="1">IF(COUNTIF(IF(AND(配装计算器!$K$30&lt;&gt;"∞",0),INDEX(AU20:CB20,1,$AT$1),INDEX(AU21:CB21,1,$AT$1)),"*叠1*")=1,AB20*0+AE19,0)</f>
        <v>0</v>
      </c>
      <c r="AE20">
        <f ca="1">IF($AN$11&gt;0,IF(COUNTIF(B21,"*叠1*")&gt;0,50-加速!$H$11,MAX(0,AE19-(A21-A20))),0)</f>
        <v>25.53</v>
      </c>
      <c r="AH20" t="s">
        <v>1825</v>
      </c>
      <c r="AI20" t="s">
        <v>2768</v>
      </c>
      <c r="AJ20">
        <f ca="1">循环比*COUNTIFS($B$3:$B$515,"*"&amp;AI20&amp;"*",$D$3:$D$515,"=0",$H$3:$H$515,"=0",$G$3:$G$515,"=0",$K$3:$K$515,"=2",$AC$3:$AC$515,"=0")</f>
        <v>0</v>
      </c>
      <c r="AK20" t="s">
        <v>3046</v>
      </c>
      <c r="AM20" t="s">
        <v>3047</v>
      </c>
      <c r="AN20">
        <f ca="1">AN15+AN19</f>
        <v>6.28662420382166</v>
      </c>
      <c r="AU20" t="s">
        <v>2776</v>
      </c>
      <c r="AV20">
        <v>2</v>
      </c>
      <c r="AW20" s="176" t="s">
        <v>2794</v>
      </c>
      <c r="AX20">
        <v>2</v>
      </c>
      <c r="AY20" t="s">
        <v>2768</v>
      </c>
      <c r="AZ20">
        <v>2</v>
      </c>
      <c r="BA20" t="s">
        <v>2768</v>
      </c>
      <c r="BB20">
        <v>2</v>
      </c>
      <c r="BC20" t="s">
        <v>2768</v>
      </c>
      <c r="BD20">
        <v>2</v>
      </c>
      <c r="BE20" t="s">
        <v>2776</v>
      </c>
      <c r="BF20">
        <v>2</v>
      </c>
      <c r="BG20" s="176" t="s">
        <v>2768</v>
      </c>
      <c r="BH20">
        <v>2</v>
      </c>
      <c r="BI20" s="176" t="s">
        <v>2776</v>
      </c>
      <c r="BJ20">
        <v>2</v>
      </c>
      <c r="BK20" s="176" t="s">
        <v>2776</v>
      </c>
      <c r="BL20">
        <v>2</v>
      </c>
      <c r="BM20" s="176" t="str">
        <f>IF(秋,"夕照雷峰","千切子寒光")</f>
        <v>千切子寒光</v>
      </c>
      <c r="BN20">
        <v>2</v>
      </c>
      <c r="BO20" s="176" t="str">
        <f>IF(秋,"夕照雷峰","千切子寒光-千切子裂光")</f>
        <v>千切子寒光-千切子裂光</v>
      </c>
      <c r="BP20">
        <v>2</v>
      </c>
      <c r="BQ20" t="s">
        <v>2768</v>
      </c>
      <c r="BR20">
        <v>2</v>
      </c>
      <c r="BS20" s="176" t="s">
        <v>2776</v>
      </c>
      <c r="BT20">
        <v>2</v>
      </c>
      <c r="BU20" t="s">
        <v>2768</v>
      </c>
      <c r="BV20">
        <v>2</v>
      </c>
      <c r="BW20" s="179" t="s">
        <v>2768</v>
      </c>
      <c r="BX20" s="179">
        <v>2</v>
      </c>
      <c r="BY20" t="str">
        <f>IF(0,"云飞玉皇-玉山揽云","云飞玉皇")</f>
        <v>云飞玉皇</v>
      </c>
      <c r="BZ20">
        <v>2</v>
      </c>
      <c r="CA20" t="str">
        <f>IF(0,"云飞玉皇-玉山揽云","云飞玉皇")</f>
        <v>云飞玉皇</v>
      </c>
      <c r="CB20">
        <v>2</v>
      </c>
    </row>
    <row r="21" spans="1:80">
      <c r="A21" s="178">
        <f ca="1">IFERROR(IF(A20+加速!$L$11&lt;$AS$1,IF(COUNTIF(B20,"*轻*")&gt;0,A20+加速!$L$9,A20+加速!$L$11)+V20,IF(COUNTIF(INDEX(AU21:CB21,1,$AT$1),"*云景*")+COUNTIF(INDEX(AU21:CB21,1,$AT$1),"*鹤归*")+COUNTIF(INDEX(AU21:CB21,1,$AT$1),"*听雷*")&gt;0,A20+加速!$L$11,"")),"")</f>
        <v>23.22</v>
      </c>
      <c r="B21" s="167" t="str">
        <f ca="1">IF(A21&lt;&gt;"",IF(AND(A21+加速!$L$11&gt;$AS$1,IF(AND(配装计算器!$K$30&lt;&gt;"∞",0),"梦泉虎跑-轻",INDEX(AU21:CB21,1,$AT$1))="云栖松"),"夕照雷峰",IF(AND(配装计算器!$K$30&lt;&gt;"∞",0),"梦泉虎跑-轻",INDEX(AU21:CB21,1,$AT$1))),"")</f>
        <v>夕照雷峰</v>
      </c>
      <c r="C21">
        <f ca="1" t="shared" si="5"/>
        <v>15</v>
      </c>
      <c r="D21">
        <f ca="1">IF(B21&lt;&gt;"",IF(C20&lt;=加速!$L$11*(1-E21),0,1),"")</f>
        <v>1</v>
      </c>
      <c r="E21">
        <f ca="1" t="shared" si="2"/>
        <v>0</v>
      </c>
      <c r="G21">
        <f ca="1" t="shared" si="6"/>
        <v>0</v>
      </c>
      <c r="H21">
        <f ca="1">IF(B21&lt;&gt;"",IF(AND(COUNTIF(B20,"*轻*莺鸣柳*")&gt;0,COUNTIF(B21,"*轻*")&lt;1),MAX(0,15+I20-(A21-A20)+COUNTIF(B20,"*平湖*")*0),IF(AND(E21=0,MAX(0,H20-(A21-A20))&lt;=加速!$H$11),0,MAX(0,H20-(A21-A20)))),"")</f>
        <v>0</v>
      </c>
      <c r="I21">
        <f ca="1" t="shared" si="9"/>
        <v>0</v>
      </c>
      <c r="J21">
        <f ca="1" t="shared" si="10"/>
        <v>0</v>
      </c>
      <c r="K21">
        <f ca="1">IF(A21&lt;&gt;"",IF(AND(配装计算器!$K$30&lt;&gt;"∞",0),2,INDEX(AU21:CB21,1,$AT$2)),"")</f>
        <v>2</v>
      </c>
      <c r="L21">
        <f ca="1">IFERROR(IF(AND(COUNTIF(B21,"*-峰插*"),技能数据库!$M$72&gt;0),0,IF(COUNTIF(B21,"*鹤归*")&gt;0,16-加速!$L$11,MAX(0,L20-(A21-A20)))),0)</f>
        <v>4.39000000000001</v>
      </c>
      <c r="M21">
        <f ca="1">IF(COUNTIF(IF(AND(配装计算器!$K$30&lt;&gt;"∞",0),INDEX(AU20:CB20,1,$AT$1),INDEX(AU22:CB22,1,$AT$1)),"*鹤归*")=1,L21,0)</f>
        <v>0</v>
      </c>
      <c r="N21">
        <f ca="1">IFERROR(IF(AND(COUNTIF(B21,"*-峰插*"),技能数据库!$M$72&gt;0),0,IF(COUNTIF(B21,"*云飞*")&gt;0,4-COUNTIF(B21,"*玉山揽云*")*4--COUNTIF(B21,"*烟流暮景*")*4-COUNTIF(B21,"*云景*")*加速!$L$11-IF(J21&gt;0,2,0),MAX(0,N20-(A21-A20)-IF(J21&gt;0,2,0)))),0)</f>
        <v>2.71</v>
      </c>
      <c r="O21">
        <f ca="1">IF(AND(COUNTIF(IF(AND(配装计算器!$K$30&lt;&gt;"∞",0),INDEX(AU20:CB20,1,$AT$1),INDEX(AU22:CB22,1,$AT$1)),"*云飞*")=1,COUNTIF(IF(AND(配装计算器!$K$30&lt;&gt;"∞",0),INDEX(AU20:CB20,1,$AT$1),INDEX(AU22:CB22,1,$AT$1)),"*玉山*")=0),N21,0)</f>
        <v>0</v>
      </c>
      <c r="P21">
        <f ca="1">IFERROR(IF(COUNTIF(B21,"*云栖松*")&gt;0,50-加速!$L$11,MAX(0,P20-(A21-A20))),0)</f>
        <v>0</v>
      </c>
      <c r="Q21">
        <f ca="1">IF(COUNTIF(IF(AND(配装计算器!$K$30&lt;&gt;"∞",0),INDEX(AU20:CB20,1,$AT$1),INDEX(AU22:CB22,1,$AT$1)),"*云栖松*")=1,P21,0)</f>
        <v>0</v>
      </c>
      <c r="R21">
        <f ca="1">IFERROR(IF(COUNTIF(B21,"*莺鸣柳*")&gt;0,45-加速!$L$9,MAX(0,R20-(A21-A20))),0)</f>
        <v>0</v>
      </c>
      <c r="S21">
        <f ca="1">IF(COUNTIF(IF(AND(配装计算器!$K$30&lt;&gt;"∞",0),INDEX(AU20:CB20,1,$AT$1),INDEX(AU22:CB22,1,$AT$1)),"*莺鸣柳*")=1,R21,0)</f>
        <v>0</v>
      </c>
      <c r="T21">
        <f ca="1" t="shared" si="7"/>
        <v>0</v>
      </c>
      <c r="U21">
        <f ca="1">IF(金蛇,IF(COUNTIF(B21,"*金环戴*")+COUNTIF(B21,"*吹风醒*")&gt;0,IF(A21&lt;=3,7.125-2.625-A21-加速!$L$11,A21-T21),0),0)+IF(金蛇,IF(COUNTIF(B21,"*千切子裂光*")&gt;0,2+加速!$K$9-(A21+加速!$L$11-T21),0),0)</f>
        <v>0</v>
      </c>
      <c r="V21">
        <f ca="1" t="shared" si="8"/>
        <v>0</v>
      </c>
      <c r="W21">
        <f ca="1" t="shared" si="0"/>
        <v>0</v>
      </c>
      <c r="X21">
        <f ca="1">INDEX(加速!$I$13:$I$21,技能数计算!W21+1)</f>
        <v>0</v>
      </c>
      <c r="Y21">
        <f ca="1" t="shared" si="3"/>
        <v>0.5</v>
      </c>
      <c r="Z21">
        <f ca="1" t="shared" si="4"/>
        <v>0</v>
      </c>
      <c r="AA21">
        <f ca="1">MAX(0,IFERROR(IF(COUNTIF(B21,"*叠*")&gt;0,IF(AC20&lt;3,8-A22+A21,AA20+6.875-A22+A21),AA20-A22+A21),AA20-加速!$L$11))</f>
        <v>0</v>
      </c>
      <c r="AB21">
        <f ca="1">MAX(0,IF(COUNTIF(IF(AND(配装计算器!$K$30&lt;&gt;"∞",0),INDEX(AU21:CB21,1,$AT$1),INDEX(AU21:CB21,1,$AT$1)),"*叠1*")=1,4*25-加速!$L$11,AB20-A21+A20)-IF(OR(COUNTIF(OFFSET(AT21,0,$AT$1,1,1),"*听雷*")&gt;0,AND(碧归&gt;0,COUNTIF(OFFSET(AT21,0,$AT$1,1,1),"*风来*")&gt;0)),0,1)*1.5)</f>
        <v>48.49</v>
      </c>
      <c r="AC21">
        <f ca="1" t="shared" si="1"/>
        <v>0</v>
      </c>
      <c r="AD21">
        <f ca="1">IF(COUNTIF(IF(AND(配装计算器!$K$30&lt;&gt;"∞",0),INDEX(AU21:CB21,1,$AT$1),INDEX(AU22:CB22,1,$AT$1)),"*叠1*")=1,AB21*0+AE20,0)</f>
        <v>0</v>
      </c>
      <c r="AE21">
        <f ca="1">IF($AN$11&gt;0,IF(COUNTIF(B22,"*叠1*")&gt;0,50-加速!$H$11,MAX(0,AE20-(A22-A21))),0)</f>
        <v>24.24</v>
      </c>
      <c r="AH21" t="s">
        <v>1825</v>
      </c>
      <c r="AI21" t="s">
        <v>2768</v>
      </c>
      <c r="AJ21">
        <f ca="1">循环比*COUNTIFS($B$3:$B$515,"*"&amp;AI21&amp;"*",$D$3:$D$515,"&gt;0",$H$3:$H$515,"=0",$G$3:$G$515,"=0",$K$3:$K$515,"=2",$AC$3:$AC$515,"=0")+AN40</f>
        <v>24</v>
      </c>
      <c r="AK21" t="s">
        <v>3048</v>
      </c>
      <c r="AM21" t="s">
        <v>3049</v>
      </c>
      <c r="AN21">
        <v>37</v>
      </c>
      <c r="AU21" s="176" t="s">
        <v>2794</v>
      </c>
      <c r="AV21">
        <v>2</v>
      </c>
      <c r="AW21" s="176" t="s">
        <v>2768</v>
      </c>
      <c r="AX21">
        <v>2</v>
      </c>
      <c r="AY21" t="s">
        <v>2776</v>
      </c>
      <c r="AZ21">
        <v>2</v>
      </c>
      <c r="BA21" t="s">
        <v>2776</v>
      </c>
      <c r="BB21">
        <v>2</v>
      </c>
      <c r="BC21" t="s">
        <v>2776</v>
      </c>
      <c r="BD21">
        <v>1</v>
      </c>
      <c r="BE21" t="s">
        <v>3042</v>
      </c>
      <c r="BF21">
        <v>2</v>
      </c>
      <c r="BG21" s="176" t="s">
        <v>2776</v>
      </c>
      <c r="BH21">
        <v>2</v>
      </c>
      <c r="BI21" t="s">
        <v>2768</v>
      </c>
      <c r="BJ21">
        <v>2</v>
      </c>
      <c r="BK21" t="s">
        <v>2768</v>
      </c>
      <c r="BL21">
        <v>1</v>
      </c>
      <c r="BM21" s="176" t="str">
        <f>IF(秋,"夕照雷峰","千切子裂光")</f>
        <v>千切子裂光</v>
      </c>
      <c r="BN21">
        <v>2</v>
      </c>
      <c r="BO21" s="176" t="str">
        <f>IF(秋,"夕照雷峰","夕照雷峰")</f>
        <v>夕照雷峰</v>
      </c>
      <c r="BP21">
        <v>2</v>
      </c>
      <c r="BQ21" t="s">
        <v>3013</v>
      </c>
      <c r="BR21">
        <v>2</v>
      </c>
      <c r="BS21" s="176" t="s">
        <v>2768</v>
      </c>
      <c r="BT21">
        <v>2</v>
      </c>
      <c r="BU21" t="s">
        <v>2776</v>
      </c>
      <c r="BV21">
        <v>2</v>
      </c>
      <c r="BW21" s="179" t="s">
        <v>2776</v>
      </c>
      <c r="BX21" s="179">
        <v>2</v>
      </c>
      <c r="BY21" s="176" t="str">
        <f>IF(秋,"夕照雷峰","千切子寒光")</f>
        <v>千切子寒光</v>
      </c>
      <c r="BZ21">
        <v>2</v>
      </c>
      <c r="CA21" s="176" t="s">
        <v>2794</v>
      </c>
      <c r="CB21">
        <v>2</v>
      </c>
    </row>
    <row r="22" spans="1:80">
      <c r="A22" s="178">
        <f ca="1">IFERROR(IF(A21+加速!$L$11&lt;$AS$1,IF(COUNTIF(B21,"*轻*")&gt;0,A21+加速!$L$9,A21+加速!$L$11)+V21,IF(COUNTIF(INDEX(AU22:CB22,1,$AT$1),"*云景*")+COUNTIF(INDEX(AU22:CB22,1,$AT$1),"*鹤归*")+COUNTIF(INDEX(AU22:CB22,1,$AT$1),"*听雷*")&gt;0,A21+加速!$L$11,"")),"")</f>
        <v>24.51</v>
      </c>
      <c r="B22" s="167" t="str">
        <f ca="1">IF(A22&lt;&gt;"",IF(AND(A22+加速!$L$11&gt;$AS$1,IF(AND(配装计算器!$K$30&lt;&gt;"∞",0),"梦泉虎跑-轻",INDEX(AU22:CB22,1,$AT$1))="云栖松"),"夕照雷峰",IF(AND(配装计算器!$K$30&lt;&gt;"∞",0),"梦泉虎跑-轻",INDEX(AU22:CB22,1,$AT$1))),"")</f>
        <v>夕照雷峰</v>
      </c>
      <c r="C22">
        <f ca="1" t="shared" si="5"/>
        <v>15</v>
      </c>
      <c r="D22">
        <f ca="1">IF(B22&lt;&gt;"",IF(C21&lt;=加速!$L$11*(1-E22),0,1),"")</f>
        <v>1</v>
      </c>
      <c r="E22">
        <f ca="1" t="shared" si="2"/>
        <v>0</v>
      </c>
      <c r="G22">
        <f ca="1" t="shared" si="6"/>
        <v>0</v>
      </c>
      <c r="H22">
        <f ca="1">IF(B22&lt;&gt;"",IF(AND(COUNTIF(B21,"*轻*莺鸣柳*")&gt;0,COUNTIF(B22,"*轻*")&lt;1),MAX(0,15+I21-(A22-A21)+COUNTIF(B21,"*平湖*")*0),IF(AND(E22=0,MAX(0,H21-(A22-A21))&lt;=加速!$H$11),0,MAX(0,H21-(A22-A21)))),"")</f>
        <v>0</v>
      </c>
      <c r="I22">
        <f ca="1" t="shared" si="9"/>
        <v>0</v>
      </c>
      <c r="J22">
        <f ca="1" t="shared" si="10"/>
        <v>0</v>
      </c>
      <c r="K22">
        <f ca="1">IF(A22&lt;&gt;"",IF(AND(配装计算器!$K$30&lt;&gt;"∞",0),2,INDEX(AU22:CB22,1,$AT$2)),"")</f>
        <v>1</v>
      </c>
      <c r="L22">
        <f ca="1">IFERROR(IF(AND(COUNTIF(B22,"*-峰插*"),技能数据库!$M$72&gt;0),0,IF(COUNTIF(B22,"*鹤归*")&gt;0,16-加速!$L$11,MAX(0,L21-(A22-A21)))),0)</f>
        <v>3.10000000000001</v>
      </c>
      <c r="M22">
        <f ca="1">IF(COUNTIF(IF(AND(配装计算器!$K$30&lt;&gt;"∞",0),INDEX(AU21:CB21,1,$AT$1),INDEX(AU23:CB23,1,$AT$1)),"*鹤归*")=1,L22,0)</f>
        <v>0</v>
      </c>
      <c r="N22">
        <f ca="1">IFERROR(IF(AND(COUNTIF(B22,"*-峰插*"),技能数据库!$M$72&gt;0),0,IF(COUNTIF(B22,"*云飞*")&gt;0,4-COUNTIF(B22,"*玉山揽云*")*4--COUNTIF(B22,"*烟流暮景*")*4-COUNTIF(B22,"*云景*")*加速!$L$11-IF(J22&gt;0,2,0),MAX(0,N21-(A22-A21)-IF(J22&gt;0,2,0)))),0)</f>
        <v>1.42</v>
      </c>
      <c r="O22">
        <f ca="1">IF(AND(COUNTIF(IF(AND(配装计算器!$K$30&lt;&gt;"∞",0),INDEX(AU21:CB21,1,$AT$1),INDEX(AU23:CB23,1,$AT$1)),"*云飞*")=1,COUNTIF(IF(AND(配装计算器!$K$30&lt;&gt;"∞",0),INDEX(AU21:CB21,1,$AT$1),INDEX(AU23:CB23,1,$AT$1)),"*玉山*")=0),N22,0)</f>
        <v>0</v>
      </c>
      <c r="P22">
        <f ca="1">IFERROR(IF(COUNTIF(B22,"*云栖松*")&gt;0,50-加速!$L$11,MAX(0,P21-(A22-A21))),0)</f>
        <v>0</v>
      </c>
      <c r="Q22">
        <f ca="1">IF(COUNTIF(IF(AND(配装计算器!$K$30&lt;&gt;"∞",0),INDEX(AU21:CB21,1,$AT$1),INDEX(AU23:CB23,1,$AT$1)),"*云栖松*")=1,P22,0)</f>
        <v>0</v>
      </c>
      <c r="R22">
        <f ca="1">IFERROR(IF(COUNTIF(B22,"*莺鸣柳*")&gt;0,45-加速!$L$9,MAX(0,R21-(A22-A21))),0)</f>
        <v>0</v>
      </c>
      <c r="S22">
        <f ca="1">IF(COUNTIF(IF(AND(配装计算器!$K$30&lt;&gt;"∞",0),INDEX(AU21:CB21,1,$AT$1),INDEX(AU23:CB23,1,$AT$1)),"*莺鸣柳*")=1,R22,0)</f>
        <v>0</v>
      </c>
      <c r="T22">
        <f ca="1" t="shared" si="7"/>
        <v>0</v>
      </c>
      <c r="U22">
        <f ca="1">IF(金蛇,IF(COUNTIF(B22,"*金环戴*")+COUNTIF(B22,"*吹风醒*")&gt;0,IF(A22&lt;=3,7.125-2.625-A22-加速!$L$11,A22-T22),0),0)+IF(金蛇,IF(COUNTIF(B22,"*千切子裂光*")&gt;0,2+加速!$K$9-(A22+加速!$L$11-T22),0),0)</f>
        <v>0</v>
      </c>
      <c r="V22">
        <f ca="1" t="shared" si="8"/>
        <v>0</v>
      </c>
      <c r="W22">
        <f ca="1" t="shared" si="0"/>
        <v>0</v>
      </c>
      <c r="X22">
        <f ca="1">INDEX(加速!$I$13:$I$21,技能数计算!W22+1)</f>
        <v>0</v>
      </c>
      <c r="Y22">
        <f ca="1" t="shared" si="3"/>
        <v>0.5</v>
      </c>
      <c r="Z22">
        <f ca="1" t="shared" si="4"/>
        <v>0</v>
      </c>
      <c r="AA22">
        <f ca="1">MAX(0,IFERROR(IF(COUNTIF(B22,"*叠*")&gt;0,IF(AC21&lt;3,8-A23+A22,AA21+6.875-A23+A22),AA21-A23+A22),AA21-加速!$L$11))</f>
        <v>0</v>
      </c>
      <c r="AB22">
        <f ca="1">MAX(0,IF(COUNTIF(IF(AND(配装计算器!$K$30&lt;&gt;"∞",0),INDEX(AU22:CB22,1,$AT$1),INDEX(AU22:CB22,1,$AT$1)),"*叠1*")=1,4*25-加速!$L$11,AB21-A22+A21)-IF(OR(COUNTIF(OFFSET(AT22,0,$AT$1,1,1),"*听雷*")&gt;0,AND(碧归&gt;0,COUNTIF(OFFSET(AT22,0,$AT$1,1,1),"*风来*")&gt;0)),0,1)*1.5)</f>
        <v>45.7</v>
      </c>
      <c r="AC22">
        <f ca="1" t="shared" si="1"/>
        <v>0</v>
      </c>
      <c r="AD22">
        <f ca="1">IF(COUNTIF(IF(AND(配装计算器!$K$30&lt;&gt;"∞",0),INDEX(AU22:CB22,1,$AT$1),INDEX(AU23:CB23,1,$AT$1)),"*叠1*")=1,AB22*0+AE21,0)</f>
        <v>0</v>
      </c>
      <c r="AE22">
        <f ca="1">IF($AN$11&gt;0,IF(COUNTIF(B23,"*叠1*")&gt;0,50-加速!$H$11,MAX(0,AE21-(A23-A22))),0)</f>
        <v>22.95</v>
      </c>
      <c r="AH22" t="s">
        <v>1825</v>
      </c>
      <c r="AI22" t="s">
        <v>2768</v>
      </c>
      <c r="AJ22">
        <f ca="1">循环比*COUNTIFS($B$3:$B$515,"*"&amp;AI22&amp;"*",$D$3:$D$515,"=0",$H$3:$H$515,"&gt;0",$G$3:$G$515,"=0",$K$3:$K$515,"=2")</f>
        <v>0</v>
      </c>
      <c r="AK22" t="s">
        <v>3050</v>
      </c>
      <c r="AM22" t="s">
        <v>3051</v>
      </c>
      <c r="AN22">
        <f>1024/AN21/(AM7/240)</f>
        <v>18.0985345018043</v>
      </c>
      <c r="AU22" s="176" t="s">
        <v>2768</v>
      </c>
      <c r="AV22">
        <v>2</v>
      </c>
      <c r="AW22" s="176" t="s">
        <v>2776</v>
      </c>
      <c r="AX22">
        <v>2</v>
      </c>
      <c r="AY22" t="s">
        <v>2794</v>
      </c>
      <c r="AZ22">
        <v>2</v>
      </c>
      <c r="BA22" t="s">
        <v>2794</v>
      </c>
      <c r="BB22">
        <v>2</v>
      </c>
      <c r="BC22" t="s">
        <v>2768</v>
      </c>
      <c r="BD22">
        <v>1</v>
      </c>
      <c r="BE22" t="s">
        <v>2808</v>
      </c>
      <c r="BF22">
        <v>2</v>
      </c>
      <c r="BG22" t="s">
        <v>2768</v>
      </c>
      <c r="BH22">
        <v>1</v>
      </c>
      <c r="BI22" s="176" t="s">
        <v>2768</v>
      </c>
      <c r="BJ22">
        <v>1</v>
      </c>
      <c r="BK22" t="s">
        <v>2776</v>
      </c>
      <c r="BL22">
        <v>1</v>
      </c>
      <c r="BM22" t="str">
        <f>IF(0,"云飞玉皇-玉山揽云","夕照雷峰")</f>
        <v>夕照雷峰</v>
      </c>
      <c r="BN22">
        <v>2</v>
      </c>
      <c r="BO22" t="str">
        <f>IF(0,"云飞玉皇-玉山揽云","夕照雷峰")</f>
        <v>夕照雷峰</v>
      </c>
      <c r="BP22">
        <v>2</v>
      </c>
      <c r="BQ22" t="s">
        <v>2808</v>
      </c>
      <c r="BR22">
        <v>2</v>
      </c>
      <c r="BS22" s="176" t="s">
        <v>2794</v>
      </c>
      <c r="BT22">
        <v>2</v>
      </c>
      <c r="BU22" t="s">
        <v>2768</v>
      </c>
      <c r="BV22">
        <v>2</v>
      </c>
      <c r="BW22" s="179" t="s">
        <v>2768</v>
      </c>
      <c r="BX22" s="179">
        <v>2</v>
      </c>
      <c r="BY22" s="176" t="str">
        <f>IF(秋,"夕照雷峰","千切子裂光")</f>
        <v>千切子裂光</v>
      </c>
      <c r="BZ22">
        <v>2</v>
      </c>
      <c r="CA22" s="176" t="s">
        <v>2768</v>
      </c>
      <c r="CB22">
        <v>2</v>
      </c>
    </row>
    <row r="23" spans="1:80">
      <c r="A23" s="178">
        <f ca="1">IFERROR(IF(A22+加速!$L$11&lt;$AS$1,IF(COUNTIF(B22,"*轻*")&gt;0,A22+加速!$L$9,A22+加速!$L$11)+V22,IF(COUNTIF(INDEX(AU23:CB23,1,$AT$1),"*云景*")+COUNTIF(INDEX(AU23:CB23,1,$AT$1),"*鹤归*")+COUNTIF(INDEX(AU23:CB23,1,$AT$1),"*听雷*")&gt;0,A22+加速!$L$11,"")),"")</f>
        <v>25.8</v>
      </c>
      <c r="B23" s="167" t="str">
        <f ca="1">IF(A23&lt;&gt;"",IF(AND(A23+加速!$L$11&gt;$AS$1,IF(AND(配装计算器!$K$30&lt;&gt;"∞",0),"梦泉虎跑-轻",INDEX(AU23:CB23,1,$AT$1))="云栖松"),"夕照雷峰",IF(AND(配装计算器!$K$30&lt;&gt;"∞",0),"梦泉虎跑-轻",INDEX(AU23:CB23,1,$AT$1))),"")</f>
        <v>夕照雷峰</v>
      </c>
      <c r="C23">
        <f ca="1" t="shared" si="5"/>
        <v>15</v>
      </c>
      <c r="D23">
        <f ca="1">IF(B23&lt;&gt;"",IF(C22&lt;=加速!$L$11*(1-E23),0,1),"")</f>
        <v>1</v>
      </c>
      <c r="E23">
        <f ca="1" t="shared" si="2"/>
        <v>0</v>
      </c>
      <c r="G23">
        <f ca="1" t="shared" si="6"/>
        <v>0</v>
      </c>
      <c r="H23">
        <f ca="1">IF(B23&lt;&gt;"",IF(AND(COUNTIF(B22,"*轻*莺鸣柳*")&gt;0,COUNTIF(B23,"*轻*")&lt;1),MAX(0,15+I22-(A23-A22)+COUNTIF(B22,"*平湖*")*0),IF(AND(E23=0,MAX(0,H22-(A23-A22))&lt;=加速!$H$11),0,MAX(0,H22-(A23-A22)))),"")</f>
        <v>0</v>
      </c>
      <c r="I23">
        <f ca="1" t="shared" si="9"/>
        <v>0</v>
      </c>
      <c r="J23">
        <f ca="1" t="shared" si="10"/>
        <v>0</v>
      </c>
      <c r="K23">
        <f ca="1">IF(A23&lt;&gt;"",IF(AND(配装计算器!$K$30&lt;&gt;"∞",0),2,INDEX(AU23:CB23,1,$AT$2)),"")</f>
        <v>1</v>
      </c>
      <c r="L23">
        <f ca="1">IFERROR(IF(AND(COUNTIF(B23,"*-峰插*"),技能数据库!$M$72&gt;0),0,IF(COUNTIF(B23,"*鹤归*")&gt;0,16-加速!$L$11,MAX(0,L22-(A23-A22)))),0)</f>
        <v>1.81000000000001</v>
      </c>
      <c r="M23">
        <f ca="1">IF(COUNTIF(IF(AND(配装计算器!$K$30&lt;&gt;"∞",0),INDEX(AU22:CB22,1,$AT$1),INDEX(AU24:CB24,1,$AT$1)),"*鹤归*")=1,L23,0)</f>
        <v>0</v>
      </c>
      <c r="N23">
        <f ca="1">IFERROR(IF(AND(COUNTIF(B23,"*-峰插*"),技能数据库!$M$72&gt;0),0,IF(COUNTIF(B23,"*云飞*")&gt;0,4-COUNTIF(B23,"*玉山揽云*")*4--COUNTIF(B23,"*烟流暮景*")*4-COUNTIF(B23,"*云景*")*加速!$L$11-IF(J23&gt;0,2,0),MAX(0,N22-(A23-A22)-IF(J23&gt;0,2,0)))),0)</f>
        <v>0.130000000000003</v>
      </c>
      <c r="O23">
        <f ca="1">IF(AND(COUNTIF(IF(AND(配装计算器!$K$30&lt;&gt;"∞",0),INDEX(AU22:CB22,1,$AT$1),INDEX(AU24:CB24,1,$AT$1)),"*云飞*")=1,COUNTIF(IF(AND(配装计算器!$K$30&lt;&gt;"∞",0),INDEX(AU22:CB22,1,$AT$1),INDEX(AU24:CB24,1,$AT$1)),"*玉山*")=0),N23,0)</f>
        <v>0.130000000000003</v>
      </c>
      <c r="P23">
        <f ca="1">IFERROR(IF(COUNTIF(B23,"*云栖松*")&gt;0,50-加速!$L$11,MAX(0,P22-(A23-A22))),0)</f>
        <v>0</v>
      </c>
      <c r="Q23">
        <f ca="1">IF(COUNTIF(IF(AND(配装计算器!$K$30&lt;&gt;"∞",0),INDEX(AU22:CB22,1,$AT$1),INDEX(AU24:CB24,1,$AT$1)),"*云栖松*")=1,P23,0)</f>
        <v>0</v>
      </c>
      <c r="R23">
        <f ca="1">IFERROR(IF(COUNTIF(B23,"*莺鸣柳*")&gt;0,45-加速!$L$9,MAX(0,R22-(A23-A22))),0)</f>
        <v>0</v>
      </c>
      <c r="S23">
        <f ca="1">IF(COUNTIF(IF(AND(配装计算器!$K$30&lt;&gt;"∞",0),INDEX(AU22:CB22,1,$AT$1),INDEX(AU24:CB24,1,$AT$1)),"*莺鸣柳*")=1,R23,0)</f>
        <v>0</v>
      </c>
      <c r="T23">
        <f ca="1" t="shared" si="7"/>
        <v>0</v>
      </c>
      <c r="U23">
        <f ca="1">IF(金蛇,IF(COUNTIF(B23,"*金环戴*")+COUNTIF(B23,"*吹风醒*")&gt;0,IF(A23&lt;=3,7.125-2.625-A23-加速!$L$11,A23-T23),0),0)+IF(金蛇,IF(COUNTIF(B23,"*千切子裂光*")&gt;0,2+加速!$K$9-(A23+加速!$L$11-T23),0),0)</f>
        <v>0</v>
      </c>
      <c r="V23">
        <f ca="1" t="shared" si="8"/>
        <v>0.130000000000003</v>
      </c>
      <c r="W23">
        <f ca="1" t="shared" si="0"/>
        <v>0</v>
      </c>
      <c r="X23">
        <f ca="1">INDEX(加速!$I$13:$I$21,技能数计算!W23+1)</f>
        <v>0</v>
      </c>
      <c r="Y23">
        <f ca="1" t="shared" si="3"/>
        <v>0.5</v>
      </c>
      <c r="Z23">
        <f ca="1" t="shared" si="4"/>
        <v>0</v>
      </c>
      <c r="AA23">
        <f ca="1">MAX(0,IFERROR(IF(COUNTIF(B23,"*叠*")&gt;0,IF(AC22&lt;3,8-A24+A23,AA22+6.875-A24+A23),AA22-A24+A23),AA22-加速!$L$11))</f>
        <v>0</v>
      </c>
      <c r="AB23">
        <f ca="1">MAX(0,IF(COUNTIF(IF(AND(配装计算器!$K$30&lt;&gt;"∞",0),INDEX(AU23:CB23,1,$AT$1),INDEX(AU23:CB23,1,$AT$1)),"*叠1*")=1,4*25-加速!$L$11,AB22-A23+A22)-IF(OR(COUNTIF(OFFSET(AT23,0,$AT$1,1,1),"*听雷*")&gt;0,AND(碧归&gt;0,COUNTIF(OFFSET(AT23,0,$AT$1,1,1),"*风来*")&gt;0)),0,1)*1.5)</f>
        <v>42.91</v>
      </c>
      <c r="AC23">
        <f ca="1" t="shared" si="1"/>
        <v>0</v>
      </c>
      <c r="AD23">
        <f ca="1">IF(COUNTIF(IF(AND(配装计算器!$K$30&lt;&gt;"∞",0),INDEX(AU23:CB23,1,$AT$1),INDEX(AU24:CB24,1,$AT$1)),"*叠1*")=1,AB23*0+AE22,0)</f>
        <v>0</v>
      </c>
      <c r="AE23">
        <f ca="1">IF($AN$11&gt;0,IF(COUNTIF(B24,"*叠1*")&gt;0,50-加速!$H$11,MAX(0,AE22-(A24-A23))),0)</f>
        <v>21.53</v>
      </c>
      <c r="AH23" t="s">
        <v>1825</v>
      </c>
      <c r="AI23" t="s">
        <v>2768</v>
      </c>
      <c r="AJ23">
        <f ca="1">循环比*COUNTIFS($B$3:$B$515,"*"&amp;AI23&amp;"*",$D$3:$D$515,"&gt;0",$H$3:$H$515,"&gt;0",$G$3:$G$515,"=0",$K$3:$K$515,"=2")+AN39</f>
        <v>0</v>
      </c>
      <c r="AK23" t="s">
        <v>3052</v>
      </c>
      <c r="AM23" t="s">
        <v>2318</v>
      </c>
      <c r="AN23">
        <v>40</v>
      </c>
      <c r="AU23" s="176" t="s">
        <v>2776</v>
      </c>
      <c r="AV23">
        <v>2</v>
      </c>
      <c r="AW23" s="176" t="s">
        <v>2768</v>
      </c>
      <c r="AX23">
        <v>2</v>
      </c>
      <c r="AY23" t="s">
        <v>2768</v>
      </c>
      <c r="AZ23">
        <v>2</v>
      </c>
      <c r="BA23" t="s">
        <v>2768</v>
      </c>
      <c r="BB23">
        <v>2</v>
      </c>
      <c r="BC23" t="s">
        <v>2794</v>
      </c>
      <c r="BD23">
        <v>2</v>
      </c>
      <c r="BE23" t="s">
        <v>2768</v>
      </c>
      <c r="BF23">
        <v>2</v>
      </c>
      <c r="BG23" s="176" t="s">
        <v>2768</v>
      </c>
      <c r="BH23">
        <v>1</v>
      </c>
      <c r="BI23" s="176" t="s">
        <v>2768</v>
      </c>
      <c r="BJ23">
        <v>1</v>
      </c>
      <c r="BK23" t="s">
        <v>2768</v>
      </c>
      <c r="BL23">
        <v>0</v>
      </c>
      <c r="BM23" s="176" t="str">
        <f>IF(秋,"云飞玉皇","夕照雷峰")</f>
        <v>夕照雷峰</v>
      </c>
      <c r="BN23">
        <v>2</v>
      </c>
      <c r="BO23" t="s">
        <v>2776</v>
      </c>
      <c r="BP23">
        <v>2</v>
      </c>
      <c r="BQ23" t="s">
        <v>2768</v>
      </c>
      <c r="BR23">
        <v>2</v>
      </c>
      <c r="BS23" t="s">
        <v>2768</v>
      </c>
      <c r="BT23">
        <v>2</v>
      </c>
      <c r="BU23" t="s">
        <v>2776</v>
      </c>
      <c r="BV23">
        <v>2</v>
      </c>
      <c r="BW23" s="179" t="s">
        <v>3021</v>
      </c>
      <c r="BX23" s="179">
        <v>2</v>
      </c>
      <c r="BY23" t="str">
        <f>IF(0,"云飞玉皇-玉山揽云","夕照雷峰")</f>
        <v>夕照雷峰</v>
      </c>
      <c r="BZ23">
        <v>2</v>
      </c>
      <c r="CA23" s="176" t="s">
        <v>2776</v>
      </c>
      <c r="CB23">
        <v>2</v>
      </c>
    </row>
    <row r="24" spans="1:80">
      <c r="A24" s="178">
        <f ca="1">IFERROR(IF(A23+加速!$L$11&lt;$AS$1,IF(COUNTIF(B23,"*轻*")&gt;0,A23+加速!$L$9,A23+加速!$L$11)+V23,IF(COUNTIF(INDEX(AU24:CB24,1,$AT$1),"*云景*")+COUNTIF(INDEX(AU24:CB24,1,$AT$1),"*鹤归*")+COUNTIF(INDEX(AU24:CB24,1,$AT$1),"*听雷*")&gt;0,A23+加速!$L$11,"")),"")</f>
        <v>27.22</v>
      </c>
      <c r="B24" s="167" t="str">
        <f ca="1">IF(A24&lt;&gt;"",IF(AND(A24+加速!$L$11&gt;$AS$1,IF(AND(配装计算器!$K$30&lt;&gt;"∞",0),"梦泉虎跑-轻",INDEX(AU24:CB24,1,$AT$1))="云栖松"),"夕照雷峰",IF(AND(配装计算器!$K$30&lt;&gt;"∞",0),"梦泉虎跑-轻",INDEX(AU24:CB24,1,$AT$1))),"")</f>
        <v>云飞玉皇</v>
      </c>
      <c r="C24">
        <f ca="1" t="shared" si="5"/>
        <v>13.58</v>
      </c>
      <c r="D24">
        <f ca="1">IF(B24&lt;&gt;"",IF(C23&lt;=加速!$L$11*(1-E24),0,1),"")</f>
        <v>1</v>
      </c>
      <c r="E24">
        <f ca="1" t="shared" si="2"/>
        <v>0</v>
      </c>
      <c r="G24">
        <f ca="1" t="shared" si="6"/>
        <v>0</v>
      </c>
      <c r="H24">
        <f ca="1">IF(B24&lt;&gt;"",IF(AND(COUNTIF(B23,"*轻*莺鸣柳*")&gt;0,COUNTIF(B24,"*轻*")&lt;1),MAX(0,15+I23-(A24-A23)+COUNTIF(B23,"*平湖*")*0),IF(AND(E24=0,MAX(0,H23-(A24-A23))&lt;=加速!$H$11),0,MAX(0,H23-(A24-A23)))),"")</f>
        <v>0</v>
      </c>
      <c r="I24">
        <f ca="1" t="shared" si="9"/>
        <v>0</v>
      </c>
      <c r="J24">
        <f ca="1" t="shared" si="10"/>
        <v>0</v>
      </c>
      <c r="K24">
        <f ca="1">IF(A24&lt;&gt;"",IF(AND(配装计算器!$K$30&lt;&gt;"∞",0),2,INDEX(AU24:CB24,1,$AT$2)),"")</f>
        <v>0</v>
      </c>
      <c r="L24">
        <f ca="1">IFERROR(IF(AND(COUNTIF(B24,"*-峰插*"),技能数据库!$M$72&gt;0),0,IF(COUNTIF(B24,"*鹤归*")&gt;0,16-加速!$L$11,MAX(0,L23-(A24-A23)))),0)</f>
        <v>0.390000000000008</v>
      </c>
      <c r="M24">
        <f ca="1">IF(COUNTIF(IF(AND(配装计算器!$K$30&lt;&gt;"∞",0),INDEX(AU23:CB23,1,$AT$1),INDEX(AU25:CB25,1,$AT$1)),"*鹤归*")=1,L24,0)</f>
        <v>0.390000000000008</v>
      </c>
      <c r="N24">
        <f ca="1">IFERROR(IF(AND(COUNTIF(B24,"*-峰插*"),技能数据库!$M$72&gt;0),0,IF(COUNTIF(B24,"*云飞*")&gt;0,4-COUNTIF(B24,"*玉山揽云*")*4--COUNTIF(B24,"*烟流暮景*")*4-COUNTIF(B24,"*云景*")*加速!$L$11-IF(J24&gt;0,2,0),MAX(0,N23-(A24-A23)-IF(J24&gt;0,2,0)))),0)</f>
        <v>4</v>
      </c>
      <c r="O24">
        <f ca="1">IF(AND(COUNTIF(IF(AND(配装计算器!$K$30&lt;&gt;"∞",0),INDEX(AU23:CB23,1,$AT$1),INDEX(AU25:CB25,1,$AT$1)),"*云飞*")=1,COUNTIF(IF(AND(配装计算器!$K$30&lt;&gt;"∞",0),INDEX(AU23:CB23,1,$AT$1),INDEX(AU25:CB25,1,$AT$1)),"*玉山*")=0),N24,0)</f>
        <v>0</v>
      </c>
      <c r="P24">
        <f ca="1">IFERROR(IF(COUNTIF(B24,"*云栖松*")&gt;0,50-加速!$L$11,MAX(0,P23-(A24-A23))),0)</f>
        <v>0</v>
      </c>
      <c r="Q24">
        <f ca="1">IF(COUNTIF(IF(AND(配装计算器!$K$30&lt;&gt;"∞",0),INDEX(AU23:CB23,1,$AT$1),INDEX(AU25:CB25,1,$AT$1)),"*云栖松*")=1,P24,0)</f>
        <v>0</v>
      </c>
      <c r="R24">
        <f ca="1">IFERROR(IF(COUNTIF(B24,"*莺鸣柳*")&gt;0,45-加速!$L$9,MAX(0,R23-(A24-A23))),0)</f>
        <v>0</v>
      </c>
      <c r="S24">
        <f ca="1">IF(COUNTIF(IF(AND(配装计算器!$K$30&lt;&gt;"∞",0),INDEX(AU23:CB23,1,$AT$1),INDEX(AU25:CB25,1,$AT$1)),"*莺鸣柳*")=1,R24,0)</f>
        <v>0</v>
      </c>
      <c r="T24">
        <f ca="1" t="shared" si="7"/>
        <v>0</v>
      </c>
      <c r="U24">
        <f ca="1">IF(金蛇,IF(COUNTIF(B24,"*金环戴*")+COUNTIF(B24,"*吹风醒*")&gt;0,IF(A24&lt;=3,7.125-2.625-A24-加速!$L$11,A24-T24),0),0)+IF(金蛇,IF(COUNTIF(B24,"*千切子裂光*")&gt;0,2+加速!$K$9-(A24+加速!$L$11-T24),0),0)</f>
        <v>0</v>
      </c>
      <c r="V24">
        <f ca="1" t="shared" si="8"/>
        <v>0.390000000000008</v>
      </c>
      <c r="W24">
        <f ca="1" t="shared" si="0"/>
        <v>0</v>
      </c>
      <c r="X24">
        <f ca="1">INDEX(加速!$I$13:$I$21,技能数计算!W24+1)</f>
        <v>0</v>
      </c>
      <c r="Y24">
        <f ca="1" t="shared" si="3"/>
        <v>0.5</v>
      </c>
      <c r="Z24">
        <f ca="1" t="shared" si="4"/>
        <v>0</v>
      </c>
      <c r="AA24">
        <f ca="1">MAX(0,IFERROR(IF(COUNTIF(B24,"*叠*")&gt;0,IF(AC23&lt;3,8-A25+A24,AA23+6.875-A25+A24),AA23-A25+A24),AA23-加速!$L$11))</f>
        <v>0</v>
      </c>
      <c r="AB24">
        <f ca="1">MAX(0,IF(COUNTIF(IF(AND(配装计算器!$K$30&lt;&gt;"∞",0),INDEX(AU24:CB24,1,$AT$1),INDEX(AU24:CB24,1,$AT$1)),"*叠1*")=1,4*25-加速!$L$11,AB23-A24+A23)-IF(OR(COUNTIF(OFFSET(AT24,0,$AT$1,1,1),"*听雷*")&gt;0,AND(碧归&gt;0,COUNTIF(OFFSET(AT24,0,$AT$1,1,1),"*风来*")&gt;0)),0,1)*1.5)</f>
        <v>39.99</v>
      </c>
      <c r="AC24">
        <f ca="1" t="shared" si="1"/>
        <v>0</v>
      </c>
      <c r="AD24">
        <f ca="1">IF(COUNTIF(IF(AND(配装计算器!$K$30&lt;&gt;"∞",0),INDEX(AU24:CB24,1,$AT$1),INDEX(AU25:CB25,1,$AT$1)),"*叠1*")=1,AB24*0+AE23,0)</f>
        <v>0</v>
      </c>
      <c r="AE24">
        <f ca="1">IF($AN$11&gt;0,IF(COUNTIF(B25,"*叠1*")&gt;0,50-加速!$H$11,MAX(0,AE23-(A25-A24))),0)</f>
        <v>19.85</v>
      </c>
      <c r="AH24" t="s">
        <v>1825</v>
      </c>
      <c r="AI24" t="s">
        <v>2768</v>
      </c>
      <c r="AJ24">
        <f ca="1">循环比*COUNTIFS($B$3:$B$515,"*"&amp;AI24&amp;"*",$D$3:$D$515,"=0",$H$3:$H$515,"=0",$G$3:$G$515,"=0",$K$3:$K$515,"=1",$AC$3:$AC$515,"=0")</f>
        <v>0</v>
      </c>
      <c r="AK24" t="s">
        <v>3053</v>
      </c>
      <c r="AM24" t="s">
        <v>3054</v>
      </c>
      <c r="AN24">
        <f>((AS1-AN22)/(AN22+AN23)+1)*$AN$9</f>
        <v>0</v>
      </c>
      <c r="AU24" s="176" t="s">
        <v>2768</v>
      </c>
      <c r="AV24">
        <v>2</v>
      </c>
      <c r="AW24" s="176" t="s">
        <v>2776</v>
      </c>
      <c r="AX24">
        <v>2</v>
      </c>
      <c r="AY24" t="s">
        <v>2776</v>
      </c>
      <c r="AZ24">
        <v>2</v>
      </c>
      <c r="BA24" t="s">
        <v>2776</v>
      </c>
      <c r="BB24">
        <v>2</v>
      </c>
      <c r="BC24" t="s">
        <v>2768</v>
      </c>
      <c r="BD24">
        <v>2</v>
      </c>
      <c r="BE24" t="s">
        <v>2768</v>
      </c>
      <c r="BF24">
        <v>2</v>
      </c>
      <c r="BG24" t="s">
        <v>3055</v>
      </c>
      <c r="BH24">
        <v>0</v>
      </c>
      <c r="BI24" s="176" t="s">
        <v>2776</v>
      </c>
      <c r="BJ24">
        <v>0</v>
      </c>
      <c r="BK24" t="s">
        <v>3056</v>
      </c>
      <c r="BL24">
        <v>0</v>
      </c>
      <c r="BM24" s="176" t="str">
        <f>IF(秋,"夕照雷峰","云飞玉皇")</f>
        <v>云飞玉皇</v>
      </c>
      <c r="BN24">
        <v>2</v>
      </c>
      <c r="BO24" s="176" t="s">
        <v>2794</v>
      </c>
      <c r="BP24">
        <v>2</v>
      </c>
      <c r="BQ24" t="s">
        <v>2768</v>
      </c>
      <c r="BR24">
        <v>2</v>
      </c>
      <c r="BS24" t="s">
        <v>2776</v>
      </c>
      <c r="BT24">
        <v>2</v>
      </c>
      <c r="BU24" t="s">
        <v>2768</v>
      </c>
      <c r="BV24">
        <v>2</v>
      </c>
      <c r="BW24" s="179" t="s">
        <v>2768</v>
      </c>
      <c r="BX24" s="179">
        <v>2</v>
      </c>
      <c r="BY24" t="s">
        <v>2776</v>
      </c>
      <c r="BZ24">
        <v>2</v>
      </c>
      <c r="CA24" s="176" t="s">
        <v>2768</v>
      </c>
      <c r="CB24">
        <v>2</v>
      </c>
    </row>
    <row r="25" spans="1:80">
      <c r="A25" s="178">
        <f ca="1">IFERROR(IF(A24+加速!$L$11&lt;$AS$1,IF(COUNTIF(B24,"*轻*")&gt;0,A24+加速!$L$9,A24+加速!$L$11)+V24,IF(COUNTIF(INDEX(AU25:CB25,1,$AT$1),"*云景*")+COUNTIF(INDEX(AU25:CB25,1,$AT$1),"*鹤归*")+COUNTIF(INDEX(AU25:CB25,1,$AT$1),"*听雷*")&gt;0,A24+加速!$L$11,"")),"")</f>
        <v>28.9</v>
      </c>
      <c r="B25" s="167" t="str">
        <f ca="1">IF(A25&lt;&gt;"",IF(AND(A25+加速!$L$11&gt;$AS$1,IF(AND(配装计算器!$K$30&lt;&gt;"∞",0),"梦泉虎跑-轻",INDEX(AU25:CB25,1,$AT$1))="云栖松"),"夕照雷峰",IF(AND(配装计算器!$K$30&lt;&gt;"∞",0),"梦泉虎跑-轻",INDEX(AU25:CB25,1,$AT$1))),"")</f>
        <v>鹤归孤山</v>
      </c>
      <c r="C25">
        <f ca="1" t="shared" si="5"/>
        <v>11.9</v>
      </c>
      <c r="D25">
        <f ca="1">IF(B25&lt;&gt;"",IF(C24&lt;=加速!$L$11*(1-E25),0,1),"")</f>
        <v>1</v>
      </c>
      <c r="E25">
        <f ca="1" t="shared" si="2"/>
        <v>1</v>
      </c>
      <c r="G25">
        <f ca="1" t="shared" si="6"/>
        <v>0</v>
      </c>
      <c r="H25">
        <f ca="1">IF(B25&lt;&gt;"",IF(AND(COUNTIF(B24,"*轻*莺鸣柳*")&gt;0,COUNTIF(B25,"*轻*")&lt;1),MAX(0,15+I24-(A25-A24)+COUNTIF(B24,"*平湖*")*0),IF(AND(E25=0,MAX(0,H24-(A25-A24))&lt;=加速!$H$11),0,MAX(0,H24-(A25-A24)))),"")</f>
        <v>0</v>
      </c>
      <c r="I25">
        <f ca="1" t="shared" si="9"/>
        <v>0</v>
      </c>
      <c r="J25">
        <f ca="1" t="shared" si="10"/>
        <v>0</v>
      </c>
      <c r="K25">
        <f ca="1">IF(A25&lt;&gt;"",IF(AND(配装计算器!$K$30&lt;&gt;"∞",0),2,INDEX(AU25:CB25,1,$AT$2)),"")</f>
        <v>0</v>
      </c>
      <c r="L25">
        <f ca="1">IFERROR(IF(AND(COUNTIF(B25,"*-峰插*"),技能数据库!$M$72&gt;0),0,IF(COUNTIF(B25,"*鹤归*")&gt;0,16-加速!$L$11,MAX(0,L24-(A25-A24)))),0)</f>
        <v>14.71</v>
      </c>
      <c r="M25">
        <f ca="1">IF(COUNTIF(IF(AND(配装计算器!$K$30&lt;&gt;"∞",0),INDEX(AU24:CB24,1,$AT$1),INDEX(AU26:CB26,1,$AT$1)),"*鹤归*")=1,L25,0)</f>
        <v>0</v>
      </c>
      <c r="N25">
        <f ca="1">IFERROR(IF(AND(COUNTIF(B25,"*-峰插*"),技能数据库!$M$72&gt;0),0,IF(COUNTIF(B25,"*云飞*")&gt;0,4-COUNTIF(B25,"*玉山揽云*")*4--COUNTIF(B25,"*烟流暮景*")*4-COUNTIF(B25,"*云景*")*加速!$L$11-IF(J25&gt;0,2,0),MAX(0,N24-(A25-A24)-IF(J25&gt;0,2,0)))),0)</f>
        <v>2.31999999999999</v>
      </c>
      <c r="O25">
        <f ca="1">IF(AND(COUNTIF(IF(AND(配装计算器!$K$30&lt;&gt;"∞",0),INDEX(AU24:CB24,1,$AT$1),INDEX(AU26:CB26,1,$AT$1)),"*云飞*")=1,COUNTIF(IF(AND(配装计算器!$K$30&lt;&gt;"∞",0),INDEX(AU24:CB24,1,$AT$1),INDEX(AU26:CB26,1,$AT$1)),"*玉山*")=0),N25,0)</f>
        <v>0</v>
      </c>
      <c r="P25">
        <f ca="1">IFERROR(IF(COUNTIF(B25,"*云栖松*")&gt;0,50-加速!$L$11,MAX(0,P24-(A25-A24))),0)</f>
        <v>0</v>
      </c>
      <c r="Q25">
        <f ca="1">IF(COUNTIF(IF(AND(配装计算器!$K$30&lt;&gt;"∞",0),INDEX(AU24:CB24,1,$AT$1),INDEX(AU26:CB26,1,$AT$1)),"*云栖松*")=1,P25,0)</f>
        <v>0</v>
      </c>
      <c r="R25">
        <f ca="1">IFERROR(IF(COUNTIF(B25,"*莺鸣柳*")&gt;0,45-加速!$L$9,MAX(0,R24-(A25-A24))),0)</f>
        <v>0</v>
      </c>
      <c r="S25">
        <f ca="1">IF(COUNTIF(IF(AND(配装计算器!$K$30&lt;&gt;"∞",0),INDEX(AU24:CB24,1,$AT$1),INDEX(AU26:CB26,1,$AT$1)),"*莺鸣柳*")=1,R25,0)</f>
        <v>0</v>
      </c>
      <c r="T25">
        <f ca="1" t="shared" si="7"/>
        <v>0</v>
      </c>
      <c r="U25">
        <f ca="1">IF(金蛇,IF(COUNTIF(B25,"*金环戴*")+COUNTIF(B25,"*吹风醒*")&gt;0,IF(A25&lt;=3,7.125-2.625-A25-加速!$L$11,A25-T25),0),0)+IF(金蛇,IF(COUNTIF(B25,"*千切子裂光*")&gt;0,2+加速!$K$9-(A25+加速!$L$11-T25),0),0)</f>
        <v>0</v>
      </c>
      <c r="V25">
        <f ca="1" t="shared" si="8"/>
        <v>0</v>
      </c>
      <c r="W25">
        <f ca="1" t="shared" si="0"/>
        <v>0</v>
      </c>
      <c r="X25">
        <f ca="1">INDEX(加速!$I$13:$I$21,技能数计算!W25+1)</f>
        <v>0</v>
      </c>
      <c r="Y25">
        <f ca="1" t="shared" si="3"/>
        <v>0.5</v>
      </c>
      <c r="Z25">
        <f ca="1" t="shared" si="4"/>
        <v>0</v>
      </c>
      <c r="AA25">
        <f ca="1">MAX(0,IFERROR(IF(COUNTIF(B25,"*叠*")&gt;0,IF(AC24&lt;3,8-A26+A25,AA24+6.875-A26+A25),AA24-A26+A25),AA24-加速!$L$11))</f>
        <v>0</v>
      </c>
      <c r="AB25">
        <f ca="1">MAX(0,IF(COUNTIF(IF(AND(配装计算器!$K$30&lt;&gt;"∞",0),INDEX(AU25:CB25,1,$AT$1),INDEX(AU25:CB25,1,$AT$1)),"*叠1*")=1,4*25-加速!$L$11,AB24-A25+A24)-IF(OR(COUNTIF(OFFSET(AT25,0,$AT$1,1,1),"*听雷*")&gt;0,AND(碧归&gt;0,COUNTIF(OFFSET(AT25,0,$AT$1,1,1),"*风来*")&gt;0)),0,1)*1.5)</f>
        <v>36.81</v>
      </c>
      <c r="AC25">
        <f ca="1" t="shared" si="1"/>
        <v>0</v>
      </c>
      <c r="AD25">
        <f ca="1">IF(COUNTIF(IF(AND(配装计算器!$K$30&lt;&gt;"∞",0),INDEX(AU25:CB25,1,$AT$1),INDEX(AU26:CB26,1,$AT$1)),"*叠1*")=1,AB25*0+AE24,0)</f>
        <v>0</v>
      </c>
      <c r="AE25">
        <f ca="1">IF($AN$11&gt;0,IF(COUNTIF(B26,"*叠1*")&gt;0,50-加速!$H$11,MAX(0,AE24-(A26-A25))),0)</f>
        <v>18.56</v>
      </c>
      <c r="AH25" t="s">
        <v>1825</v>
      </c>
      <c r="AI25" t="s">
        <v>2768</v>
      </c>
      <c r="AJ25">
        <f ca="1">循环比*COUNTIFS($B$3:$B$515,"*"&amp;AI25&amp;"*",$D$3:$D$515,"&gt;0",$H$3:$H$515,"=0",$G$3:$G$515,"=0",$K$3:$K$515,"=1",$AC$3:$AC$515,"=0")</f>
        <v>12</v>
      </c>
      <c r="AK25" t="s">
        <v>3057</v>
      </c>
      <c r="AM25" t="s">
        <v>3058</v>
      </c>
      <c r="AN25">
        <f ca="1">AN24*AN20</f>
        <v>0</v>
      </c>
      <c r="AU25" s="176" t="s">
        <v>2776</v>
      </c>
      <c r="AV25">
        <v>2</v>
      </c>
      <c r="AW25" s="176" t="s">
        <v>2768</v>
      </c>
      <c r="AX25">
        <v>2</v>
      </c>
      <c r="AY25" t="s">
        <v>2768</v>
      </c>
      <c r="AZ25">
        <v>2</v>
      </c>
      <c r="BA25" t="s">
        <v>2768</v>
      </c>
      <c r="BB25">
        <v>2</v>
      </c>
      <c r="BC25" t="s">
        <v>2776</v>
      </c>
      <c r="BD25">
        <v>2</v>
      </c>
      <c r="BE25" t="s">
        <v>2768</v>
      </c>
      <c r="BF25">
        <v>2</v>
      </c>
      <c r="BG25" t="s">
        <v>2776</v>
      </c>
      <c r="BH25">
        <v>2</v>
      </c>
      <c r="BI25" t="s">
        <v>2794</v>
      </c>
      <c r="BJ25">
        <v>0</v>
      </c>
      <c r="BK25" t="s">
        <v>2768</v>
      </c>
      <c r="BL25">
        <v>2</v>
      </c>
      <c r="BM25" s="176" t="s">
        <v>2794</v>
      </c>
      <c r="BN25">
        <v>2</v>
      </c>
      <c r="BO25" s="176" t="s">
        <v>2768</v>
      </c>
      <c r="BP25">
        <v>2</v>
      </c>
      <c r="BQ25" t="s">
        <v>2776</v>
      </c>
      <c r="BR25">
        <v>1</v>
      </c>
      <c r="BS25" t="s">
        <v>2768</v>
      </c>
      <c r="BT25">
        <v>2</v>
      </c>
      <c r="BU25" t="s">
        <v>2808</v>
      </c>
      <c r="BV25">
        <v>2</v>
      </c>
      <c r="BW25" s="179" t="s">
        <v>3028</v>
      </c>
      <c r="BX25" s="179">
        <v>2</v>
      </c>
      <c r="BY25" s="176" t="s">
        <v>2794</v>
      </c>
      <c r="BZ25">
        <v>2</v>
      </c>
      <c r="CA25" s="176" t="s">
        <v>2808</v>
      </c>
      <c r="CB25">
        <v>2</v>
      </c>
    </row>
    <row r="26" spans="1:80">
      <c r="A26" s="178">
        <f ca="1">IFERROR(IF(A25+加速!$L$11&lt;$AS$1,IF(COUNTIF(B25,"*轻*")&gt;0,A25+加速!$L$9,A25+加速!$L$11)+V25,IF(COUNTIF(INDEX(AU26:CB26,1,$AT$1),"*云景*")+COUNTIF(INDEX(AU26:CB26,1,$AT$1),"*鹤归*")+COUNTIF(INDEX(AU26:CB26,1,$AT$1),"*听雷*")&gt;0,A25+加速!$L$11,"")),"")</f>
        <v>30.19</v>
      </c>
      <c r="B26" s="167" t="str">
        <f ca="1">IF(A26&lt;&gt;"",IF(AND(A26+加速!$L$11&gt;$AS$1,IF(AND(配装计算器!$K$30&lt;&gt;"∞",0),"梦泉虎跑-轻",INDEX(AU26:CB26,1,$AT$1))="云栖松"),"夕照雷峰",IF(AND(配装计算器!$K$30&lt;&gt;"∞",0),"梦泉虎跑-轻",INDEX(AU26:CB26,1,$AT$1))),"")</f>
        <v>夕照雷峰</v>
      </c>
      <c r="C26">
        <f ca="1" t="shared" si="5"/>
        <v>15</v>
      </c>
      <c r="D26">
        <f ca="1">IF(B26&lt;&gt;"",IF(C25&lt;=加速!$L$11*(1-E26),0,1),"")</f>
        <v>1</v>
      </c>
      <c r="E26">
        <f ca="1" t="shared" si="2"/>
        <v>0</v>
      </c>
      <c r="G26">
        <f ca="1" t="shared" si="6"/>
        <v>0</v>
      </c>
      <c r="H26">
        <f ca="1">IF(B26&lt;&gt;"",IF(AND(COUNTIF(B25,"*轻*莺鸣柳*")&gt;0,COUNTIF(B26,"*轻*")&lt;1),MAX(0,15+I25-(A26-A25)+COUNTIF(B25,"*平湖*")*0),IF(AND(E26=0,MAX(0,H25-(A26-A25))&lt;=加速!$H$11),0,MAX(0,H25-(A26-A25)))),"")</f>
        <v>0</v>
      </c>
      <c r="I26">
        <f ca="1" t="shared" si="9"/>
        <v>0</v>
      </c>
      <c r="J26">
        <f ca="1" t="shared" si="10"/>
        <v>4</v>
      </c>
      <c r="K26">
        <f ca="1">IF(A26&lt;&gt;"",IF(AND(配装计算器!$K$30&lt;&gt;"∞",0),2,INDEX(AU26:CB26,1,$AT$2)),"")</f>
        <v>2</v>
      </c>
      <c r="L26">
        <f ca="1">IFERROR(IF(AND(COUNTIF(B26,"*-峰插*"),技能数据库!$M$72&gt;0),0,IF(COUNTIF(B26,"*鹤归*")&gt;0,16-加速!$L$11,MAX(0,L25-(A26-A25)))),0)</f>
        <v>13.42</v>
      </c>
      <c r="M26">
        <f ca="1">IF(COUNTIF(IF(AND(配装计算器!$K$30&lt;&gt;"∞",0),INDEX(AU25:CB25,1,$AT$1),INDEX(AU27:CB27,1,$AT$1)),"*鹤归*")=1,L26,0)</f>
        <v>0</v>
      </c>
      <c r="N26">
        <f ca="1">IFERROR(IF(AND(COUNTIF(B26,"*-峰插*"),技能数据库!$M$72&gt;0),0,IF(COUNTIF(B26,"*云飞*")&gt;0,4-COUNTIF(B26,"*玉山揽云*")*4--COUNTIF(B26,"*烟流暮景*")*4-COUNTIF(B26,"*云景*")*加速!$L$11-IF(J26&gt;0,2,0),MAX(0,N25-(A26-A25)-IF(J26&gt;0,2,0)))),0)</f>
        <v>0</v>
      </c>
      <c r="O26">
        <f ca="1">IF(AND(COUNTIF(IF(AND(配装计算器!$K$30&lt;&gt;"∞",0),INDEX(AU25:CB25,1,$AT$1),INDEX(AU27:CB27,1,$AT$1)),"*云飞*")=1,COUNTIF(IF(AND(配装计算器!$K$30&lt;&gt;"∞",0),INDEX(AU25:CB25,1,$AT$1),INDEX(AU27:CB27,1,$AT$1)),"*玉山*")=0),N26,0)</f>
        <v>0</v>
      </c>
      <c r="P26">
        <f ca="1">IFERROR(IF(COUNTIF(B26,"*云栖松*")&gt;0,50-加速!$L$11,MAX(0,P25-(A26-A25))),0)</f>
        <v>0</v>
      </c>
      <c r="Q26">
        <f ca="1">IF(COUNTIF(IF(AND(配装计算器!$K$30&lt;&gt;"∞",0),INDEX(AU25:CB25,1,$AT$1),INDEX(AU27:CB27,1,$AT$1)),"*云栖松*")=1,P26,0)</f>
        <v>0</v>
      </c>
      <c r="R26">
        <f ca="1">IFERROR(IF(COUNTIF(B26,"*莺鸣柳*")&gt;0,45-加速!$L$9,MAX(0,R25-(A26-A25))),0)</f>
        <v>0</v>
      </c>
      <c r="S26">
        <f ca="1">IF(COUNTIF(IF(AND(配装计算器!$K$30&lt;&gt;"∞",0),INDEX(AU25:CB25,1,$AT$1),INDEX(AU27:CB27,1,$AT$1)),"*莺鸣柳*")=1,R26,0)</f>
        <v>0</v>
      </c>
      <c r="T26">
        <f ca="1" t="shared" si="7"/>
        <v>0</v>
      </c>
      <c r="U26">
        <f ca="1">IF(金蛇,IF(COUNTIF(B26,"*金环戴*")+COUNTIF(B26,"*吹风醒*")&gt;0,IF(A26&lt;=3,7.125-2.625-A26-加速!$L$11,A26-T26),0),0)+IF(金蛇,IF(COUNTIF(B26,"*千切子裂光*")&gt;0,2+加速!$K$9-(A26+加速!$L$11-T26),0),0)</f>
        <v>0</v>
      </c>
      <c r="V26">
        <f ca="1" t="shared" si="8"/>
        <v>0</v>
      </c>
      <c r="W26">
        <f ca="1" t="shared" si="0"/>
        <v>0</v>
      </c>
      <c r="X26">
        <f ca="1">INDEX(加速!$I$13:$I$21,技能数计算!W26+1)</f>
        <v>0</v>
      </c>
      <c r="Y26">
        <f ca="1" t="shared" si="3"/>
        <v>0.5</v>
      </c>
      <c r="Z26">
        <f ca="1" t="shared" si="4"/>
        <v>0</v>
      </c>
      <c r="AA26">
        <f ca="1">MAX(0,IFERROR(IF(COUNTIF(B26,"*叠*")&gt;0,IF(AC25&lt;3,8-A27+A26,AA25+6.875-A27+A26),AA25-A27+A26),AA25-加速!$L$11))</f>
        <v>0</v>
      </c>
      <c r="AB26">
        <f ca="1">MAX(0,IF(COUNTIF(IF(AND(配装计算器!$K$30&lt;&gt;"∞",0),INDEX(AU26:CB26,1,$AT$1),INDEX(AU26:CB26,1,$AT$1)),"*叠1*")=1,4*25-加速!$L$11,AB25-A26+A25)-IF(OR(COUNTIF(OFFSET(AT26,0,$AT$1,1,1),"*听雷*")&gt;0,AND(碧归&gt;0,COUNTIF(OFFSET(AT26,0,$AT$1,1,1),"*风来*")&gt;0)),0,1)*1.5)</f>
        <v>34.02</v>
      </c>
      <c r="AC26">
        <f ca="1" t="shared" si="1"/>
        <v>0</v>
      </c>
      <c r="AD26">
        <f ca="1">IF(COUNTIF(IF(AND(配装计算器!$K$30&lt;&gt;"∞",0),INDEX(AU26:CB26,1,$AT$1),INDEX(AU27:CB27,1,$AT$1)),"*叠1*")=1,AB26*0+AE25,0)</f>
        <v>0</v>
      </c>
      <c r="AE26">
        <f ca="1">IF($AN$11&gt;0,IF(COUNTIF(B27,"*叠1*")&gt;0,50-加速!$H$11,MAX(0,AE25-(A27-A26))),0)</f>
        <v>17.27</v>
      </c>
      <c r="AH26" t="s">
        <v>1825</v>
      </c>
      <c r="AI26" s="161" t="s">
        <v>2772</v>
      </c>
      <c r="AJ26">
        <f ca="1">AJ16+AJ20+AJ24</f>
        <v>0</v>
      </c>
      <c r="AM26" t="s">
        <v>3059</v>
      </c>
      <c r="AN26">
        <f ca="1">IFERROR(1-AN25/COUNTIF(B3:B515,"&gt;"""),1)</f>
        <v>1</v>
      </c>
      <c r="AU26" s="176" t="s">
        <v>2768</v>
      </c>
      <c r="AV26">
        <v>1</v>
      </c>
      <c r="AW26" t="s">
        <v>3056</v>
      </c>
      <c r="AX26">
        <v>1</v>
      </c>
      <c r="AY26" t="s">
        <v>2776</v>
      </c>
      <c r="AZ26">
        <v>2</v>
      </c>
      <c r="BA26" t="s">
        <v>2776</v>
      </c>
      <c r="BB26">
        <v>2</v>
      </c>
      <c r="BC26" t="s">
        <v>2768</v>
      </c>
      <c r="BD26">
        <v>2</v>
      </c>
      <c r="BE26" t="s">
        <v>2776</v>
      </c>
      <c r="BF26">
        <v>2</v>
      </c>
      <c r="BG26" t="s">
        <v>2768</v>
      </c>
      <c r="BH26">
        <v>2</v>
      </c>
      <c r="BI26" t="s">
        <v>2768</v>
      </c>
      <c r="BJ26">
        <v>2</v>
      </c>
      <c r="BK26" t="s">
        <v>2768</v>
      </c>
      <c r="BL26">
        <v>2</v>
      </c>
      <c r="BM26" s="176" t="s">
        <v>2768</v>
      </c>
      <c r="BN26">
        <v>2</v>
      </c>
      <c r="BO26" s="176" t="s">
        <v>2776</v>
      </c>
      <c r="BP26">
        <v>2</v>
      </c>
      <c r="BQ26" t="s">
        <v>3055</v>
      </c>
      <c r="BR26">
        <v>2</v>
      </c>
      <c r="BS26" t="s">
        <v>2776</v>
      </c>
      <c r="BT26">
        <v>1</v>
      </c>
      <c r="BU26" t="s">
        <v>2768</v>
      </c>
      <c r="BV26">
        <v>2</v>
      </c>
      <c r="BW26" s="182" t="s">
        <v>2794</v>
      </c>
      <c r="BX26" s="179">
        <v>2</v>
      </c>
      <c r="BY26" s="176" t="s">
        <v>2768</v>
      </c>
      <c r="BZ26">
        <v>2</v>
      </c>
      <c r="CA26" t="s">
        <v>2768</v>
      </c>
      <c r="CB26">
        <v>2</v>
      </c>
    </row>
    <row r="27" spans="1:80">
      <c r="A27" s="178">
        <f ca="1">IFERROR(IF(A26+加速!$L$11&lt;$AS$1,IF(COUNTIF(B26,"*轻*")&gt;0,A26+加速!$L$9,A26+加速!$L$11)+V26,IF(COUNTIF(INDEX(AU27:CB27,1,$AT$1),"*云景*")+COUNTIF(INDEX(AU27:CB27,1,$AT$1),"*鹤归*")+COUNTIF(INDEX(AU27:CB27,1,$AT$1),"*听雷*")&gt;0,A26+加速!$L$11,"")),"")</f>
        <v>31.48</v>
      </c>
      <c r="B27" s="167" t="str">
        <f ca="1">IF(A27&lt;&gt;"",IF(AND(A27+加速!$L$11&gt;$AS$1,IF(AND(配装计算器!$K$30&lt;&gt;"∞",0),"梦泉虎跑-轻",INDEX(AU27:CB27,1,$AT$1))="云栖松"),"夕照雷峰",IF(AND(配装计算器!$K$30&lt;&gt;"∞",0),"梦泉虎跑-轻",INDEX(AU27:CB27,1,$AT$1))),"")</f>
        <v>云飞玉皇</v>
      </c>
      <c r="C27">
        <f ca="1" t="shared" si="5"/>
        <v>13.71</v>
      </c>
      <c r="D27">
        <f ca="1">IF(B27&lt;&gt;"",IF(C26&lt;=加速!$L$11*(1-E27),0,1),"")</f>
        <v>1</v>
      </c>
      <c r="E27">
        <f ca="1" t="shared" si="2"/>
        <v>0</v>
      </c>
      <c r="G27">
        <f ca="1" t="shared" si="6"/>
        <v>0</v>
      </c>
      <c r="H27">
        <f ca="1">IF(B27&lt;&gt;"",IF(AND(COUNTIF(B26,"*轻*莺鸣柳*")&gt;0,COUNTIF(B27,"*轻*")&lt;1),MAX(0,15+I26-(A27-A26)+COUNTIF(B26,"*平湖*")*0),IF(AND(E27=0,MAX(0,H26-(A27-A26))&lt;=加速!$H$11),0,MAX(0,H26-(A27-A26)))),"")</f>
        <v>0</v>
      </c>
      <c r="I27">
        <f ca="1" t="shared" si="9"/>
        <v>0</v>
      </c>
      <c r="J27">
        <f ca="1" t="shared" si="10"/>
        <v>3</v>
      </c>
      <c r="K27">
        <f ca="1">IF(A27&lt;&gt;"",IF(AND(配装计算器!$K$30&lt;&gt;"∞",0),2,INDEX(AU27:CB27,1,$AT$2)),"")</f>
        <v>2</v>
      </c>
      <c r="L27">
        <f ca="1">IFERROR(IF(AND(COUNTIF(B27,"*-峰插*"),技能数据库!$M$72&gt;0),0,IF(COUNTIF(B27,"*鹤归*")&gt;0,16-加速!$L$11,MAX(0,L26-(A27-A26)))),0)</f>
        <v>12.13</v>
      </c>
      <c r="M27">
        <f ca="1">IF(COUNTIF(IF(AND(配装计算器!$K$30&lt;&gt;"∞",0),INDEX(AU26:CB26,1,$AT$1),INDEX(AU28:CB28,1,$AT$1)),"*鹤归*")=1,L27,0)</f>
        <v>0</v>
      </c>
      <c r="N27">
        <f ca="1">IFERROR(IF(AND(COUNTIF(B27,"*-峰插*"),技能数据库!$M$72&gt;0),0,IF(COUNTIF(B27,"*云飞*")&gt;0,4-COUNTIF(B27,"*玉山揽云*")*4--COUNTIF(B27,"*烟流暮景*")*4-COUNTIF(B27,"*云景*")*加速!$L$11-IF(J27&gt;0,2,0),MAX(0,N26-(A27-A26)-IF(J27&gt;0,2,0)))),0)</f>
        <v>2</v>
      </c>
      <c r="O27">
        <f ca="1">IF(AND(COUNTIF(IF(AND(配装计算器!$K$30&lt;&gt;"∞",0),INDEX(AU26:CB26,1,$AT$1),INDEX(AU28:CB28,1,$AT$1)),"*云飞*")=1,COUNTIF(IF(AND(配装计算器!$K$30&lt;&gt;"∞",0),INDEX(AU26:CB26,1,$AT$1),INDEX(AU28:CB28,1,$AT$1)),"*玉山*")=0),N27,0)</f>
        <v>0</v>
      </c>
      <c r="P27">
        <f ca="1">IFERROR(IF(COUNTIF(B27,"*云栖松*")&gt;0,50-加速!$L$11,MAX(0,P26-(A27-A26))),0)</f>
        <v>0</v>
      </c>
      <c r="Q27">
        <f ca="1">IF(COUNTIF(IF(AND(配装计算器!$K$30&lt;&gt;"∞",0),INDEX(AU26:CB26,1,$AT$1),INDEX(AU28:CB28,1,$AT$1)),"*云栖松*")=1,P27,0)</f>
        <v>0</v>
      </c>
      <c r="R27">
        <f ca="1">IFERROR(IF(COUNTIF(B27,"*莺鸣柳*")&gt;0,45-加速!$L$9,MAX(0,R26-(A27-A26))),0)</f>
        <v>0</v>
      </c>
      <c r="S27">
        <f ca="1">IF(COUNTIF(IF(AND(配装计算器!$K$30&lt;&gt;"∞",0),INDEX(AU26:CB26,1,$AT$1),INDEX(AU28:CB28,1,$AT$1)),"*莺鸣柳*")=1,R27,0)</f>
        <v>0</v>
      </c>
      <c r="T27">
        <f ca="1" t="shared" si="7"/>
        <v>0</v>
      </c>
      <c r="U27">
        <f ca="1">IF(金蛇,IF(COUNTIF(B27,"*金环戴*")+COUNTIF(B27,"*吹风醒*")&gt;0,IF(A27&lt;=3,7.125-2.625-A27-加速!$L$11,A27-T27),0),0)+IF(金蛇,IF(COUNTIF(B27,"*千切子裂光*")&gt;0,2+加速!$K$9-(A27+加速!$L$11-T27),0),0)</f>
        <v>0</v>
      </c>
      <c r="V27">
        <f ca="1" t="shared" si="8"/>
        <v>0</v>
      </c>
      <c r="W27">
        <f ca="1" t="shared" si="0"/>
        <v>0</v>
      </c>
      <c r="X27">
        <f ca="1">INDEX(加速!$I$13:$I$21,技能数计算!W27+1)</f>
        <v>0</v>
      </c>
      <c r="Y27">
        <f ca="1" t="shared" si="3"/>
        <v>0.5</v>
      </c>
      <c r="Z27">
        <f ca="1" t="shared" si="4"/>
        <v>0</v>
      </c>
      <c r="AA27">
        <f ca="1">MAX(0,IFERROR(IF(COUNTIF(B27,"*叠*")&gt;0,IF(AC26&lt;3,8-A28+A27,AA26+6.875-A28+A27),AA26-A28+A27),AA26-加速!$L$11))</f>
        <v>0</v>
      </c>
      <c r="AB27">
        <f ca="1">MAX(0,IF(COUNTIF(IF(AND(配装计算器!$K$30&lt;&gt;"∞",0),INDEX(AU27:CB27,1,$AT$1),INDEX(AU27:CB27,1,$AT$1)),"*叠1*")=1,4*25-加速!$L$11,AB26-A27+A26)-IF(OR(COUNTIF(OFFSET(AT27,0,$AT$1,1,1),"*听雷*")&gt;0,AND(碧归&gt;0,COUNTIF(OFFSET(AT27,0,$AT$1,1,1),"*风来*")&gt;0)),0,1)*1.5)</f>
        <v>31.23</v>
      </c>
      <c r="AC27">
        <f ca="1" t="shared" si="1"/>
        <v>0</v>
      </c>
      <c r="AD27">
        <f ca="1">IF(COUNTIF(IF(AND(配装计算器!$K$30&lt;&gt;"∞",0),INDEX(AU27:CB27,1,$AT$1),INDEX(AU28:CB28,1,$AT$1)),"*叠1*")=1,AB27*0+AE26,0)</f>
        <v>0</v>
      </c>
      <c r="AE27">
        <f ca="1">IF($AN$11&gt;0,IF(COUNTIF(B28,"*叠1*")&gt;0,50-加速!$H$11,MAX(0,AE26-(A28-A27))),0)</f>
        <v>15.98</v>
      </c>
      <c r="AH27" t="s">
        <v>1825</v>
      </c>
      <c r="AI27" s="161" t="s">
        <v>2772</v>
      </c>
      <c r="AJ27">
        <f ca="1">AJ17+AJ21+AJ25+AJ90</f>
        <v>48</v>
      </c>
      <c r="AK27" t="s">
        <v>2750</v>
      </c>
      <c r="AM27" s="167" t="s">
        <v>3060</v>
      </c>
      <c r="AN27">
        <f ca="1">(AN15-AN16+1)*AN24</f>
        <v>0</v>
      </c>
      <c r="AU27" t="s">
        <v>2776</v>
      </c>
      <c r="AV27">
        <v>1</v>
      </c>
      <c r="AW27" t="s">
        <v>2768</v>
      </c>
      <c r="AX27">
        <v>2</v>
      </c>
      <c r="AY27" t="s">
        <v>2768</v>
      </c>
      <c r="AZ27">
        <v>2</v>
      </c>
      <c r="BA27" t="s">
        <v>2768</v>
      </c>
      <c r="BB27">
        <v>2</v>
      </c>
      <c r="BC27" t="s">
        <v>2776</v>
      </c>
      <c r="BD27">
        <v>2</v>
      </c>
      <c r="BE27" t="s">
        <v>2768</v>
      </c>
      <c r="BF27">
        <v>1</v>
      </c>
      <c r="BG27" t="s">
        <v>2776</v>
      </c>
      <c r="BH27">
        <v>2</v>
      </c>
      <c r="BI27" t="s">
        <v>2776</v>
      </c>
      <c r="BJ27">
        <v>2</v>
      </c>
      <c r="BK27" t="s">
        <v>2776</v>
      </c>
      <c r="BL27">
        <v>2</v>
      </c>
      <c r="BM27" s="176" t="s">
        <v>2776</v>
      </c>
      <c r="BN27">
        <v>2</v>
      </c>
      <c r="BO27" s="176" t="s">
        <v>2768</v>
      </c>
      <c r="BP27">
        <v>2</v>
      </c>
      <c r="BQ27" t="s">
        <v>2768</v>
      </c>
      <c r="BR27">
        <v>2</v>
      </c>
      <c r="BS27" t="s">
        <v>2768</v>
      </c>
      <c r="BT27">
        <v>1</v>
      </c>
      <c r="BU27" s="176" t="s">
        <v>2768</v>
      </c>
      <c r="BV27">
        <v>2</v>
      </c>
      <c r="BW27" s="182" t="s">
        <v>2768</v>
      </c>
      <c r="BX27" s="179">
        <v>2</v>
      </c>
      <c r="BY27" s="176" t="s">
        <v>2776</v>
      </c>
      <c r="BZ27">
        <v>2</v>
      </c>
      <c r="CA27" t="s">
        <v>2776</v>
      </c>
      <c r="CB27">
        <v>2</v>
      </c>
    </row>
    <row r="28" spans="1:80">
      <c r="A28" s="178">
        <f ca="1">IFERROR(IF(A27+加速!$L$11&lt;$AS$1,IF(COUNTIF(B27,"*轻*")&gt;0,A27+加速!$L$9,A27+加速!$L$11)+V27,IF(COUNTIF(INDEX(AU28:CB28,1,$AT$1),"*云景*")+COUNTIF(INDEX(AU28:CB28,1,$AT$1),"*鹤归*")+COUNTIF(INDEX(AU28:CB28,1,$AT$1),"*听雷*")&gt;0,A27+加速!$L$11,"")),"")</f>
        <v>32.77</v>
      </c>
      <c r="B28" s="167" t="str">
        <f ca="1">IF(A28&lt;&gt;"",IF(AND(A28+加速!$L$11&gt;$AS$1,IF(AND(配装计算器!$K$30&lt;&gt;"∞",0),"梦泉虎跑-轻",INDEX(AU28:CB28,1,$AT$1))="云栖松"),"夕照雷峰",IF(AND(配装计算器!$K$30&lt;&gt;"∞",0),"梦泉虎跑-轻",INDEX(AU28:CB28,1,$AT$1))),"")</f>
        <v>夕照雷峰</v>
      </c>
      <c r="C28">
        <f ca="1" t="shared" si="5"/>
        <v>15</v>
      </c>
      <c r="D28">
        <f ca="1">IF(B28&lt;&gt;"",IF(C27&lt;=加速!$L$11*(1-E28),0,1),"")</f>
        <v>1</v>
      </c>
      <c r="E28">
        <f ca="1" t="shared" si="2"/>
        <v>0</v>
      </c>
      <c r="G28">
        <f ca="1" t="shared" si="6"/>
        <v>0</v>
      </c>
      <c r="H28">
        <f ca="1">IF(B28&lt;&gt;"",IF(AND(COUNTIF(B27,"*轻*莺鸣柳*")&gt;0,COUNTIF(B28,"*轻*")&lt;1),MAX(0,15+I27-(A28-A27)+COUNTIF(B27,"*平湖*")*0),IF(AND(E28=0,MAX(0,H27-(A28-A27))&lt;=加速!$H$11),0,MAX(0,H27-(A28-A27)))),"")</f>
        <v>0</v>
      </c>
      <c r="I28">
        <f ca="1" t="shared" si="9"/>
        <v>0</v>
      </c>
      <c r="J28">
        <f ca="1" t="shared" si="10"/>
        <v>2</v>
      </c>
      <c r="K28">
        <f ca="1">IF(A28&lt;&gt;"",IF(AND(配装计算器!$K$30&lt;&gt;"∞",0),2,INDEX(AU28:CB28,1,$AT$2)),"")</f>
        <v>2</v>
      </c>
      <c r="L28">
        <f ca="1">IFERROR(IF(AND(COUNTIF(B28,"*-峰插*"),技能数据库!$M$72&gt;0),0,IF(COUNTIF(B28,"*鹤归*")&gt;0,16-加速!$L$11,MAX(0,L27-(A28-A27)))),0)</f>
        <v>10.84</v>
      </c>
      <c r="M28">
        <f ca="1">IF(COUNTIF(IF(AND(配装计算器!$K$30&lt;&gt;"∞",0),INDEX(AU27:CB27,1,$AT$1),INDEX(AU29:CB29,1,$AT$1)),"*鹤归*")=1,L28,0)</f>
        <v>0</v>
      </c>
      <c r="N28">
        <f ca="1">IFERROR(IF(AND(COUNTIF(B28,"*-峰插*"),技能数据库!$M$72&gt;0),0,IF(COUNTIF(B28,"*云飞*")&gt;0,4-COUNTIF(B28,"*玉山揽云*")*4--COUNTIF(B28,"*烟流暮景*")*4-COUNTIF(B28,"*云景*")*加速!$L$11-IF(J28&gt;0,2,0),MAX(0,N27-(A28-A27)-IF(J28&gt;0,2,0)))),0)</f>
        <v>0</v>
      </c>
      <c r="O28">
        <f ca="1">IF(AND(COUNTIF(IF(AND(配装计算器!$K$30&lt;&gt;"∞",0),INDEX(AU27:CB27,1,$AT$1),INDEX(AU29:CB29,1,$AT$1)),"*云飞*")=1,COUNTIF(IF(AND(配装计算器!$K$30&lt;&gt;"∞",0),INDEX(AU27:CB27,1,$AT$1),INDEX(AU29:CB29,1,$AT$1)),"*玉山*")=0),N28,0)</f>
        <v>0</v>
      </c>
      <c r="P28">
        <f ca="1">IFERROR(IF(COUNTIF(B28,"*云栖松*")&gt;0,50-加速!$L$11,MAX(0,P27-(A28-A27))),0)</f>
        <v>0</v>
      </c>
      <c r="Q28">
        <f ca="1">IF(COUNTIF(IF(AND(配装计算器!$K$30&lt;&gt;"∞",0),INDEX(AU27:CB27,1,$AT$1),INDEX(AU29:CB29,1,$AT$1)),"*云栖松*")=1,P28,0)</f>
        <v>0</v>
      </c>
      <c r="R28">
        <f ca="1">IFERROR(IF(COUNTIF(B28,"*莺鸣柳*")&gt;0,45-加速!$L$9,MAX(0,R27-(A28-A27))),0)</f>
        <v>0</v>
      </c>
      <c r="S28">
        <f ca="1">IF(COUNTIF(IF(AND(配装计算器!$K$30&lt;&gt;"∞",0),INDEX(AU27:CB27,1,$AT$1),INDEX(AU29:CB29,1,$AT$1)),"*莺鸣柳*")=1,R28,0)</f>
        <v>0</v>
      </c>
      <c r="T28">
        <f ca="1" t="shared" si="7"/>
        <v>0</v>
      </c>
      <c r="U28">
        <f ca="1">IF(金蛇,IF(COUNTIF(B28,"*金环戴*")+COUNTIF(B28,"*吹风醒*")&gt;0,IF(A28&lt;=3,7.125-2.625-A28-加速!$L$11,A28-T28),0),0)+IF(金蛇,IF(COUNTIF(B28,"*千切子裂光*")&gt;0,2+加速!$K$9-(A28+加速!$L$11-T28),0),0)</f>
        <v>0</v>
      </c>
      <c r="V28">
        <f ca="1" t="shared" si="8"/>
        <v>0</v>
      </c>
      <c r="W28">
        <f ca="1" t="shared" si="0"/>
        <v>0</v>
      </c>
      <c r="X28">
        <f ca="1">INDEX(加速!$I$13:$I$21,技能数计算!W28+1)</f>
        <v>0</v>
      </c>
      <c r="Y28">
        <f ca="1" t="shared" si="3"/>
        <v>0.5</v>
      </c>
      <c r="Z28">
        <f ca="1" t="shared" si="4"/>
        <v>0</v>
      </c>
      <c r="AA28">
        <f ca="1">MAX(0,IFERROR(IF(COUNTIF(B28,"*叠*")&gt;0,IF(AC27&lt;3,8-A29+A28,AA27+6.875-A29+A28),AA27-A29+A28),AA27-加速!$L$11))</f>
        <v>0</v>
      </c>
      <c r="AB28">
        <f ca="1">MAX(0,IF(COUNTIF(IF(AND(配装计算器!$K$30&lt;&gt;"∞",0),INDEX(AU28:CB28,1,$AT$1),INDEX(AU28:CB28,1,$AT$1)),"*叠1*")=1,4*25-加速!$L$11,AB27-A28+A27)-IF(OR(COUNTIF(OFFSET(AT28,0,$AT$1,1,1),"*听雷*")&gt;0,AND(碧归&gt;0,COUNTIF(OFFSET(AT28,0,$AT$1,1,1),"*风来*")&gt;0)),0,1)*1.5)</f>
        <v>28.44</v>
      </c>
      <c r="AC28">
        <f ca="1" t="shared" si="1"/>
        <v>0</v>
      </c>
      <c r="AD28">
        <f ca="1">IF(COUNTIF(IF(AND(配装计算器!$K$30&lt;&gt;"∞",0),INDEX(AU28:CB28,1,$AT$1),INDEX(AU29:CB29,1,$AT$1)),"*叠1*")=1,AB28*0+AE27,0)</f>
        <v>0</v>
      </c>
      <c r="AE28">
        <f ca="1">IF($AN$11&gt;0,IF(COUNTIF(B29,"*叠1*")&gt;0,50-加速!$H$11,MAX(0,AE27-(A29-A28))),0)</f>
        <v>14.69</v>
      </c>
      <c r="AH28" t="s">
        <v>1825</v>
      </c>
      <c r="AI28" s="161" t="s">
        <v>2772</v>
      </c>
      <c r="AJ28">
        <f ca="1">AJ18+AJ22+AJ104</f>
        <v>0</v>
      </c>
      <c r="AK28" t="s">
        <v>2948</v>
      </c>
      <c r="AM28" s="167" t="s">
        <v>3061</v>
      </c>
      <c r="AN28">
        <f ca="1">(AN16+AN17)*AN24</f>
        <v>0</v>
      </c>
      <c r="AU28" t="s">
        <v>2768</v>
      </c>
      <c r="AV28">
        <v>1</v>
      </c>
      <c r="AW28" t="s">
        <v>2768</v>
      </c>
      <c r="AX28">
        <v>2</v>
      </c>
      <c r="AY28" t="s">
        <v>2776</v>
      </c>
      <c r="AZ28">
        <v>1</v>
      </c>
      <c r="BA28" t="s">
        <v>2776</v>
      </c>
      <c r="BB28">
        <v>1</v>
      </c>
      <c r="BC28" t="s">
        <v>2768</v>
      </c>
      <c r="BD28">
        <v>2</v>
      </c>
      <c r="BE28" t="s">
        <v>2768</v>
      </c>
      <c r="BF28">
        <v>1</v>
      </c>
      <c r="BG28" t="s">
        <v>2768</v>
      </c>
      <c r="BH28">
        <v>1</v>
      </c>
      <c r="BI28" t="s">
        <v>2768</v>
      </c>
      <c r="BJ28">
        <v>2</v>
      </c>
      <c r="BK28" t="s">
        <v>2768</v>
      </c>
      <c r="BL28">
        <v>1</v>
      </c>
      <c r="BM28" s="176" t="s">
        <v>2768</v>
      </c>
      <c r="BN28">
        <v>2</v>
      </c>
      <c r="BO28" s="176" t="s">
        <v>2776</v>
      </c>
      <c r="BP28">
        <v>2</v>
      </c>
      <c r="BQ28" t="s">
        <v>2776</v>
      </c>
      <c r="BR28">
        <v>2</v>
      </c>
      <c r="BS28" t="s">
        <v>3056</v>
      </c>
      <c r="BT28">
        <v>0</v>
      </c>
      <c r="BU28" s="176" t="s">
        <v>2776</v>
      </c>
      <c r="BV28">
        <v>2</v>
      </c>
      <c r="BW28" s="182" t="s">
        <v>2776</v>
      </c>
      <c r="BX28" s="179">
        <v>2</v>
      </c>
      <c r="BY28" s="176" t="s">
        <v>2768</v>
      </c>
      <c r="BZ28">
        <v>2</v>
      </c>
      <c r="CA28" t="s">
        <v>2768</v>
      </c>
      <c r="CB28">
        <v>2</v>
      </c>
    </row>
    <row r="29" spans="1:80">
      <c r="A29" s="178">
        <f ca="1">IFERROR(IF(A28+加速!$L$11&lt;$AS$1,IF(COUNTIF(B28,"*轻*")&gt;0,A28+加速!$L$9,A28+加速!$L$11)+V28,IF(COUNTIF(INDEX(AU29:CB29,1,$AT$1),"*云景*")+COUNTIF(INDEX(AU29:CB29,1,$AT$1),"*鹤归*")+COUNTIF(INDEX(AU29:CB29,1,$AT$1),"*听雷*")&gt;0,A28+加速!$L$11,"")),"")</f>
        <v>34.06</v>
      </c>
      <c r="B29" s="167" t="str">
        <f ca="1">IF(A29&lt;&gt;"",IF(AND(A29+加速!$L$11&gt;$AS$1,IF(AND(配装计算器!$K$30&lt;&gt;"∞",0),"梦泉虎跑-轻",INDEX(AU29:CB29,1,$AT$1))="云栖松"),"夕照雷峰",IF(AND(配装计算器!$K$30&lt;&gt;"∞",0),"梦泉虎跑-轻",INDEX(AU29:CB29,1,$AT$1))),"")</f>
        <v>云飞玉皇</v>
      </c>
      <c r="C29">
        <f ca="1" t="shared" si="5"/>
        <v>13.71</v>
      </c>
      <c r="D29">
        <f ca="1">IF(B29&lt;&gt;"",IF(C28&lt;=加速!$L$11*(1-E29),0,1),"")</f>
        <v>1</v>
      </c>
      <c r="E29">
        <f ca="1" t="shared" si="2"/>
        <v>0</v>
      </c>
      <c r="G29">
        <f ca="1" t="shared" si="6"/>
        <v>0</v>
      </c>
      <c r="H29">
        <f ca="1">IF(B29&lt;&gt;"",IF(AND(COUNTIF(B28,"*轻*莺鸣柳*")&gt;0,COUNTIF(B29,"*轻*")&lt;1),MAX(0,15+I28-(A29-A28)+COUNTIF(B28,"*平湖*")*0),IF(AND(E29=0,MAX(0,H28-(A29-A28))&lt;=加速!$H$11),0,MAX(0,H28-(A29-A28)))),"")</f>
        <v>0</v>
      </c>
      <c r="I29">
        <f ca="1" t="shared" si="9"/>
        <v>0</v>
      </c>
      <c r="J29">
        <f ca="1" t="shared" si="10"/>
        <v>1</v>
      </c>
      <c r="K29">
        <f ca="1">IF(A29&lt;&gt;"",IF(AND(配装计算器!$K$30&lt;&gt;"∞",0),2,INDEX(AU29:CB29,1,$AT$2)),"")</f>
        <v>1</v>
      </c>
      <c r="L29">
        <f ca="1">IFERROR(IF(AND(COUNTIF(B29,"*-峰插*"),技能数据库!$M$72&gt;0),0,IF(COUNTIF(B29,"*鹤归*")&gt;0,16-加速!$L$11,MAX(0,L28-(A29-A28)))),0)</f>
        <v>9.55</v>
      </c>
      <c r="M29">
        <f ca="1">IF(COUNTIF(IF(AND(配装计算器!$K$30&lt;&gt;"∞",0),INDEX(AU28:CB28,1,$AT$1),INDEX(AU30:CB30,1,$AT$1)),"*鹤归*")=1,L29,0)</f>
        <v>0</v>
      </c>
      <c r="N29">
        <f ca="1">IFERROR(IF(AND(COUNTIF(B29,"*-峰插*"),技能数据库!$M$72&gt;0),0,IF(COUNTIF(B29,"*云飞*")&gt;0,4-COUNTIF(B29,"*玉山揽云*")*4--COUNTIF(B29,"*烟流暮景*")*4-COUNTIF(B29,"*云景*")*加速!$L$11-IF(J29&gt;0,2,0),MAX(0,N28-(A29-A28)-IF(J29&gt;0,2,0)))),0)</f>
        <v>2</v>
      </c>
      <c r="O29">
        <f ca="1">IF(AND(COUNTIF(IF(AND(配装计算器!$K$30&lt;&gt;"∞",0),INDEX(AU28:CB28,1,$AT$1),INDEX(AU30:CB30,1,$AT$1)),"*云飞*")=1,COUNTIF(IF(AND(配装计算器!$K$30&lt;&gt;"∞",0),INDEX(AU28:CB28,1,$AT$1),INDEX(AU30:CB30,1,$AT$1)),"*玉山*")=0),N29,0)</f>
        <v>0</v>
      </c>
      <c r="P29">
        <f ca="1">IFERROR(IF(COUNTIF(B29,"*云栖松*")&gt;0,50-加速!$L$11,MAX(0,P28-(A29-A28))),0)</f>
        <v>0</v>
      </c>
      <c r="Q29">
        <f ca="1">IF(COUNTIF(IF(AND(配装计算器!$K$30&lt;&gt;"∞",0),INDEX(AU28:CB28,1,$AT$1),INDEX(AU30:CB30,1,$AT$1)),"*云栖松*")=1,P29,0)</f>
        <v>0</v>
      </c>
      <c r="R29">
        <f ca="1">IFERROR(IF(COUNTIF(B29,"*莺鸣柳*")&gt;0,45-加速!$L$9,MAX(0,R28-(A29-A28))),0)</f>
        <v>0</v>
      </c>
      <c r="S29">
        <f ca="1">IF(COUNTIF(IF(AND(配装计算器!$K$30&lt;&gt;"∞",0),INDEX(AU28:CB28,1,$AT$1),INDEX(AU30:CB30,1,$AT$1)),"*莺鸣柳*")=1,R29,0)</f>
        <v>0</v>
      </c>
      <c r="T29">
        <f ca="1" t="shared" si="7"/>
        <v>0</v>
      </c>
      <c r="U29">
        <f ca="1">IF(金蛇,IF(COUNTIF(B29,"*金环戴*")+COUNTIF(B29,"*吹风醒*")&gt;0,IF(A29&lt;=3,7.125-2.625-A29-加速!$L$11,A29-T29),0),0)+IF(金蛇,IF(COUNTIF(B29,"*千切子裂光*")&gt;0,2+加速!$K$9-(A29+加速!$L$11-T29),0),0)</f>
        <v>0</v>
      </c>
      <c r="V29">
        <f ca="1" t="shared" si="8"/>
        <v>0</v>
      </c>
      <c r="W29">
        <f ca="1" t="shared" si="0"/>
        <v>0</v>
      </c>
      <c r="X29">
        <f ca="1">INDEX(加速!$I$13:$I$21,技能数计算!W29+1)</f>
        <v>0</v>
      </c>
      <c r="Y29">
        <f ca="1" t="shared" si="3"/>
        <v>0.5</v>
      </c>
      <c r="Z29">
        <f ca="1" t="shared" si="4"/>
        <v>0</v>
      </c>
      <c r="AA29">
        <f ca="1">MAX(0,IFERROR(IF(COUNTIF(B29,"*叠*")&gt;0,IF(AC28&lt;3,8-A30+A29,AA28+6.875-A30+A29),AA28-A30+A29),AA28-加速!$L$11))</f>
        <v>0</v>
      </c>
      <c r="AB29">
        <f ca="1">MAX(0,IF(COUNTIF(IF(AND(配装计算器!$K$30&lt;&gt;"∞",0),INDEX(AU29:CB29,1,$AT$1),INDEX(AU29:CB29,1,$AT$1)),"*叠1*")=1,4*25-加速!$L$11,AB28-A29+A28)-IF(OR(COUNTIF(OFFSET(AT29,0,$AT$1,1,1),"*听雷*")&gt;0,AND(碧归&gt;0,COUNTIF(OFFSET(AT29,0,$AT$1,1,1),"*风来*")&gt;0)),0,1)*1.5)</f>
        <v>25.65</v>
      </c>
      <c r="AC29">
        <f ca="1" t="shared" si="1"/>
        <v>0</v>
      </c>
      <c r="AD29">
        <f ca="1">IF(COUNTIF(IF(AND(配装计算器!$K$30&lt;&gt;"∞",0),INDEX(AU29:CB29,1,$AT$1),INDEX(AU30:CB30,1,$AT$1)),"*叠1*")=1,AB29*0+AE28,0)</f>
        <v>0</v>
      </c>
      <c r="AE29">
        <f ca="1">IF($AN$11&gt;0,IF(COUNTIF(B30,"*叠1*")&gt;0,50-加速!$H$11,MAX(0,AE28-(A30-A29))),0)</f>
        <v>13.4</v>
      </c>
      <c r="AH29" t="s">
        <v>1825</v>
      </c>
      <c r="AI29" s="161" t="s">
        <v>2772</v>
      </c>
      <c r="AJ29">
        <f ca="1">AJ19+AJ23+AJ64</f>
        <v>0</v>
      </c>
      <c r="AK29" t="s">
        <v>3044</v>
      </c>
      <c r="AM29" t="s">
        <v>3062</v>
      </c>
      <c r="AN29">
        <v>307</v>
      </c>
      <c r="AU29" t="s">
        <v>2768</v>
      </c>
      <c r="AV29">
        <v>1</v>
      </c>
      <c r="AW29" t="s">
        <v>2768</v>
      </c>
      <c r="AX29">
        <v>2</v>
      </c>
      <c r="AY29" t="s">
        <v>2768</v>
      </c>
      <c r="AZ29">
        <v>1</v>
      </c>
      <c r="BA29" t="s">
        <v>2768</v>
      </c>
      <c r="BB29">
        <v>1</v>
      </c>
      <c r="BC29" t="s">
        <v>2776</v>
      </c>
      <c r="BD29">
        <v>2</v>
      </c>
      <c r="BE29" t="s">
        <v>2794</v>
      </c>
      <c r="BF29">
        <v>1</v>
      </c>
      <c r="BG29" t="s">
        <v>2776</v>
      </c>
      <c r="BH29">
        <v>1</v>
      </c>
      <c r="BI29" t="s">
        <v>2776</v>
      </c>
      <c r="BJ29">
        <v>1</v>
      </c>
      <c r="BK29" t="s">
        <v>2768</v>
      </c>
      <c r="BL29">
        <v>1</v>
      </c>
      <c r="BM29" s="176" t="s">
        <v>2776</v>
      </c>
      <c r="BN29">
        <v>2</v>
      </c>
      <c r="BO29" s="176" t="s">
        <v>2768</v>
      </c>
      <c r="BP29">
        <v>2</v>
      </c>
      <c r="BQ29" t="s">
        <v>2768</v>
      </c>
      <c r="BR29">
        <v>2</v>
      </c>
      <c r="BS29" t="s">
        <v>2768</v>
      </c>
      <c r="BT29">
        <v>2</v>
      </c>
      <c r="BU29" t="s">
        <v>2768</v>
      </c>
      <c r="BV29">
        <v>1</v>
      </c>
      <c r="BW29" s="182" t="s">
        <v>2768</v>
      </c>
      <c r="BX29" s="179">
        <v>1</v>
      </c>
      <c r="BY29" s="176" t="s">
        <v>2776</v>
      </c>
      <c r="BZ29">
        <v>2</v>
      </c>
      <c r="CA29" t="s">
        <v>2768</v>
      </c>
      <c r="CB29">
        <v>2</v>
      </c>
    </row>
    <row r="30" spans="1:80">
      <c r="A30" s="178">
        <f ca="1">IFERROR(IF(A29+加速!$L$11&lt;$AS$1,IF(COUNTIF(B29,"*轻*")&gt;0,A29+加速!$L$9,A29+加速!$L$11)+V29,IF(COUNTIF(INDEX(AU30:CB30,1,$AT$1),"*云景*")+COUNTIF(INDEX(AU30:CB30,1,$AT$1),"*鹤归*")+COUNTIF(INDEX(AU30:CB30,1,$AT$1),"*听雷*")&gt;0,A29+加速!$L$11,"")),"")</f>
        <v>35.35</v>
      </c>
      <c r="B30" s="167" t="str">
        <f ca="1">IF(A30&lt;&gt;"",IF(AND(A30+加速!$L$11&gt;$AS$1,IF(AND(配装计算器!$K$30&lt;&gt;"∞",0),"梦泉虎跑-轻",INDEX(AU30:CB30,1,$AT$1))="云栖松"),"夕照雷峰",IF(AND(配装计算器!$K$30&lt;&gt;"∞",0),"梦泉虎跑-轻",INDEX(AU30:CB30,1,$AT$1))),"")</f>
        <v>夕照雷峰</v>
      </c>
      <c r="C30">
        <f ca="1" t="shared" si="5"/>
        <v>15</v>
      </c>
      <c r="D30">
        <f ca="1">IF(B30&lt;&gt;"",IF(C29&lt;=加速!$L$11*(1-E30),0,1),"")</f>
        <v>1</v>
      </c>
      <c r="E30">
        <f ca="1" t="shared" si="2"/>
        <v>0</v>
      </c>
      <c r="G30">
        <f ca="1" t="shared" si="6"/>
        <v>0</v>
      </c>
      <c r="H30">
        <f ca="1">IF(B30&lt;&gt;"",IF(AND(COUNTIF(B29,"*轻*莺鸣柳*")&gt;0,COUNTIF(B30,"*轻*")&lt;1),MAX(0,15+I29-(A30-A29)+COUNTIF(B29,"*平湖*")*0),IF(AND(E30=0,MAX(0,H29-(A30-A29))&lt;=加速!$H$11),0,MAX(0,H29-(A30-A29)))),"")</f>
        <v>0</v>
      </c>
      <c r="I30">
        <f ca="1" t="shared" si="9"/>
        <v>0</v>
      </c>
      <c r="J30">
        <f ca="1" t="shared" si="10"/>
        <v>1</v>
      </c>
      <c r="K30">
        <f ca="1">IF(A30&lt;&gt;"",IF(AND(配装计算器!$K$30&lt;&gt;"∞",0),2,INDEX(AU30:CB30,1,$AT$2)),"")</f>
        <v>1</v>
      </c>
      <c r="L30">
        <f ca="1">IFERROR(IF(AND(COUNTIF(B30,"*-峰插*"),技能数据库!$M$72&gt;0),0,IF(COUNTIF(B30,"*鹤归*")&gt;0,16-加速!$L$11,MAX(0,L29-(A30-A29)))),0)</f>
        <v>8.26000000000001</v>
      </c>
      <c r="M30">
        <f ca="1">IF(COUNTIF(IF(AND(配装计算器!$K$30&lt;&gt;"∞",0),INDEX(AU29:CB29,1,$AT$1),INDEX(AU31:CB31,1,$AT$1)),"*鹤归*")=1,L30,0)</f>
        <v>0</v>
      </c>
      <c r="N30">
        <f ca="1">IFERROR(IF(AND(COUNTIF(B30,"*-峰插*"),技能数据库!$M$72&gt;0),0,IF(COUNTIF(B30,"*云飞*")&gt;0,4-COUNTIF(B30,"*玉山揽云*")*4--COUNTIF(B30,"*烟流暮景*")*4-COUNTIF(B30,"*云景*")*加速!$L$11-IF(J30&gt;0,2,0),MAX(0,N29-(A30-A29)-IF(J30&gt;0,2,0)))),0)</f>
        <v>0</v>
      </c>
      <c r="O30">
        <f ca="1">IF(AND(COUNTIF(IF(AND(配装计算器!$K$30&lt;&gt;"∞",0),INDEX(AU29:CB29,1,$AT$1),INDEX(AU31:CB31,1,$AT$1)),"*云飞*")=1,COUNTIF(IF(AND(配装计算器!$K$30&lt;&gt;"∞",0),INDEX(AU29:CB29,1,$AT$1),INDEX(AU31:CB31,1,$AT$1)),"*玉山*")=0),N30,0)</f>
        <v>0</v>
      </c>
      <c r="P30">
        <f ca="1">IFERROR(IF(COUNTIF(B30,"*云栖松*")&gt;0,50-加速!$L$11,MAX(0,P29-(A30-A29))),0)</f>
        <v>0</v>
      </c>
      <c r="Q30">
        <f ca="1">IF(COUNTIF(IF(AND(配装计算器!$K$30&lt;&gt;"∞",0),INDEX(AU29:CB29,1,$AT$1),INDEX(AU31:CB31,1,$AT$1)),"*云栖松*")=1,P30,0)</f>
        <v>0</v>
      </c>
      <c r="R30">
        <f ca="1">IFERROR(IF(COUNTIF(B30,"*莺鸣柳*")&gt;0,45-加速!$L$9,MAX(0,R29-(A30-A29))),0)</f>
        <v>0</v>
      </c>
      <c r="S30">
        <f ca="1">IF(COUNTIF(IF(AND(配装计算器!$K$30&lt;&gt;"∞",0),INDEX(AU29:CB29,1,$AT$1),INDEX(AU31:CB31,1,$AT$1)),"*莺鸣柳*")=1,R30,0)</f>
        <v>0</v>
      </c>
      <c r="T30">
        <f ca="1" t="shared" si="7"/>
        <v>0</v>
      </c>
      <c r="U30">
        <f ca="1">IF(金蛇,IF(COUNTIF(B30,"*金环戴*")+COUNTIF(B30,"*吹风醒*")&gt;0,IF(A30&lt;=3,7.125-2.625-A30-加速!$L$11,A30-T30),0),0)+IF(金蛇,IF(COUNTIF(B30,"*千切子裂光*")&gt;0,2+加速!$K$9-(A30+加速!$L$11-T30),0),0)</f>
        <v>0</v>
      </c>
      <c r="V30">
        <f ca="1" t="shared" si="8"/>
        <v>0</v>
      </c>
      <c r="W30">
        <f ca="1" t="shared" si="0"/>
        <v>0</v>
      </c>
      <c r="X30">
        <f ca="1">INDEX(加速!$I$13:$I$21,技能数计算!W30+1)</f>
        <v>0</v>
      </c>
      <c r="Y30">
        <f ca="1" t="shared" si="3"/>
        <v>0.5</v>
      </c>
      <c r="Z30">
        <f ca="1" t="shared" si="4"/>
        <v>0</v>
      </c>
      <c r="AA30">
        <f ca="1">MAX(0,IFERROR(IF(COUNTIF(B30,"*叠*")&gt;0,IF(AC29&lt;3,8-A31+A30,AA29+6.875-A31+A30),AA29-A31+A30),AA29-加速!$L$11))</f>
        <v>0</v>
      </c>
      <c r="AB30">
        <f ca="1">MAX(0,IF(COUNTIF(IF(AND(配装计算器!$K$30&lt;&gt;"∞",0),INDEX(AU30:CB30,1,$AT$1),INDEX(AU30:CB30,1,$AT$1)),"*叠1*")=1,4*25-加速!$L$11,AB29-A30+A29)-IF(OR(COUNTIF(OFFSET(AT30,0,$AT$1,1,1),"*听雷*")&gt;0,AND(碧归&gt;0,COUNTIF(OFFSET(AT30,0,$AT$1,1,1),"*风来*")&gt;0)),0,1)*1.5)</f>
        <v>22.86</v>
      </c>
      <c r="AC30">
        <f ca="1" t="shared" si="1"/>
        <v>0</v>
      </c>
      <c r="AD30">
        <f ca="1">IF(COUNTIF(IF(AND(配装计算器!$K$30&lt;&gt;"∞",0),INDEX(AU30:CB30,1,$AT$1),INDEX(AU31:CB31,1,$AT$1)),"*叠1*")=1,AB30*0+AE29,0)</f>
        <v>0</v>
      </c>
      <c r="AE30">
        <f ca="1">IF($AN$11&gt;0,IF(COUNTIF(B31,"*叠1*")&gt;0,50-加速!$H$11,MAX(0,AE29-(A31-A30))),0)</f>
        <v>12.11</v>
      </c>
      <c r="AH30" t="s">
        <v>1825</v>
      </c>
      <c r="AI30" t="s">
        <v>2776</v>
      </c>
      <c r="AJ30">
        <f ca="1">循环比*COUNTIFS($B$3:$B$515,AI30&amp;"*",$D$3:$D$515,"&gt;0",$H$3:$H$515,"=0",$G$3:$G$515,"=0",$K$3:$K$515,"=0",$AC$3:$AC$515,"=0")</f>
        <v>8</v>
      </c>
      <c r="AK30" t="s">
        <v>2750</v>
      </c>
      <c r="AM30" t="s">
        <v>2827</v>
      </c>
      <c r="AN30">
        <f ca="1">AN29/1024*(COUNTIF(B3:B515,"*云飞*")*循环比+AN27)*技能数据库!M66</f>
        <v>23.0849609375</v>
      </c>
      <c r="AU30" t="s">
        <v>3063</v>
      </c>
      <c r="AV30">
        <v>2</v>
      </c>
      <c r="AW30" t="s">
        <v>2776</v>
      </c>
      <c r="AX30">
        <v>2</v>
      </c>
      <c r="AY30" t="s">
        <v>2768</v>
      </c>
      <c r="AZ30">
        <v>0</v>
      </c>
      <c r="BA30" t="s">
        <v>2768</v>
      </c>
      <c r="BB30">
        <v>0</v>
      </c>
      <c r="BC30" t="s">
        <v>2768</v>
      </c>
      <c r="BD30">
        <v>1</v>
      </c>
      <c r="BE30" t="s">
        <v>2776</v>
      </c>
      <c r="BF30">
        <v>2</v>
      </c>
      <c r="BG30" t="s">
        <v>2768</v>
      </c>
      <c r="BH30">
        <v>0</v>
      </c>
      <c r="BI30" t="s">
        <v>2768</v>
      </c>
      <c r="BJ30">
        <v>1</v>
      </c>
      <c r="BK30" t="s">
        <v>2794</v>
      </c>
      <c r="BL30">
        <v>0</v>
      </c>
      <c r="BM30" s="176" t="s">
        <v>2768</v>
      </c>
      <c r="BN30">
        <v>2</v>
      </c>
      <c r="BO30" t="s">
        <v>3056</v>
      </c>
      <c r="BP30">
        <v>1</v>
      </c>
      <c r="BQ30" t="s">
        <v>2776</v>
      </c>
      <c r="BR30">
        <v>1</v>
      </c>
      <c r="BS30" t="s">
        <v>2768</v>
      </c>
      <c r="BT30">
        <v>2</v>
      </c>
      <c r="BU30" s="176" t="s">
        <v>2768</v>
      </c>
      <c r="BV30">
        <v>1</v>
      </c>
      <c r="BW30" s="182" t="s">
        <v>2776</v>
      </c>
      <c r="BX30" s="179">
        <v>1</v>
      </c>
      <c r="BY30" t="s">
        <v>2768</v>
      </c>
      <c r="BZ30">
        <v>2</v>
      </c>
      <c r="CA30" t="s">
        <v>2768</v>
      </c>
      <c r="CB30">
        <v>2</v>
      </c>
    </row>
    <row r="31" spans="1:80">
      <c r="A31" s="178">
        <f ca="1">IFERROR(IF(A30+加速!$L$11&lt;$AS$1,IF(COUNTIF(B30,"*轻*")&gt;0,A30+加速!$L$9,A30+加速!$L$11)+V30,IF(COUNTIF(INDEX(AU31:CB31,1,$AT$1),"*云景*")+COUNTIF(INDEX(AU31:CB31,1,$AT$1),"*鹤归*")+COUNTIF(INDEX(AU31:CB31,1,$AT$1),"*听雷*")&gt;0,A30+加速!$L$11,"")),"")</f>
        <v>36.64</v>
      </c>
      <c r="B31" s="167" t="str">
        <f ca="1">IF(A31&lt;&gt;"",IF(AND(A31+加速!$L$11&gt;$AS$1,IF(AND(配装计算器!$K$30&lt;&gt;"∞",0),"梦泉虎跑-轻",INDEX(AU31:CB31,1,$AT$1))="云栖松"),"夕照雷峰",IF(AND(配装计算器!$K$30&lt;&gt;"∞",0),"梦泉虎跑-轻",INDEX(AU31:CB31,1,$AT$1))),"")</f>
        <v>云飞玉皇</v>
      </c>
      <c r="C31">
        <f ca="1" t="shared" si="5"/>
        <v>13.71</v>
      </c>
      <c r="D31">
        <f ca="1">IF(B31&lt;&gt;"",IF(C30&lt;=加速!$L$11*(1-E31),0,1),"")</f>
        <v>1</v>
      </c>
      <c r="E31">
        <f ca="1" t="shared" si="2"/>
        <v>0</v>
      </c>
      <c r="G31">
        <f ca="1" t="shared" si="6"/>
        <v>0</v>
      </c>
      <c r="H31">
        <f ca="1">IF(B31&lt;&gt;"",IF(AND(COUNTIF(B30,"*轻*莺鸣柳*")&gt;0,COUNTIF(B31,"*轻*")&lt;1),MAX(0,15+I30-(A31-A30)+COUNTIF(B30,"*平湖*")*0),IF(AND(E31=0,MAX(0,H30-(A31-A30))&lt;=加速!$H$11),0,MAX(0,H30-(A31-A30)))),"")</f>
        <v>0</v>
      </c>
      <c r="I31">
        <f ca="1" t="shared" si="9"/>
        <v>0</v>
      </c>
      <c r="J31">
        <f ca="1" t="shared" si="10"/>
        <v>0</v>
      </c>
      <c r="K31">
        <f ca="1">IF(A31&lt;&gt;"",IF(AND(配装计算器!$K$30&lt;&gt;"∞",0),2,INDEX(AU31:CB31,1,$AT$2)),"")</f>
        <v>0</v>
      </c>
      <c r="L31">
        <f ca="1">IFERROR(IF(AND(COUNTIF(B31,"*-峰插*"),技能数据库!$M$72&gt;0),0,IF(COUNTIF(B31,"*鹤归*")&gt;0,16-加速!$L$11,MAX(0,L30-(A31-A30)))),0)</f>
        <v>6.97000000000001</v>
      </c>
      <c r="M31">
        <f ca="1">IF(COUNTIF(IF(AND(配装计算器!$K$30&lt;&gt;"∞",0),INDEX(AU30:CB30,1,$AT$1),INDEX(AU32:CB32,1,$AT$1)),"*鹤归*")=1,L31,0)</f>
        <v>0</v>
      </c>
      <c r="N31">
        <f ca="1">IFERROR(IF(AND(COUNTIF(B31,"*-峰插*"),技能数据库!$M$72&gt;0),0,IF(COUNTIF(B31,"*云飞*")&gt;0,4-COUNTIF(B31,"*玉山揽云*")*4--COUNTIF(B31,"*烟流暮景*")*4-COUNTIF(B31,"*云景*")*加速!$L$11-IF(J31&gt;0,2,0),MAX(0,N30-(A31-A30)-IF(J31&gt;0,2,0)))),0)</f>
        <v>4</v>
      </c>
      <c r="O31">
        <f ca="1">IF(AND(COUNTIF(IF(AND(配装计算器!$K$30&lt;&gt;"∞",0),INDEX(AU30:CB30,1,$AT$1),INDEX(AU32:CB32,1,$AT$1)),"*云飞*")=1,COUNTIF(IF(AND(配装计算器!$K$30&lt;&gt;"∞",0),INDEX(AU30:CB30,1,$AT$1),INDEX(AU32:CB32,1,$AT$1)),"*玉山*")=0),N31,0)</f>
        <v>0</v>
      </c>
      <c r="P31">
        <f ca="1">IFERROR(IF(COUNTIF(B31,"*云栖松*")&gt;0,50-加速!$L$11,MAX(0,P30-(A31-A30))),0)</f>
        <v>0</v>
      </c>
      <c r="Q31">
        <f ca="1">IF(COUNTIF(IF(AND(配装计算器!$K$30&lt;&gt;"∞",0),INDEX(AU30:CB30,1,$AT$1),INDEX(AU32:CB32,1,$AT$1)),"*云栖松*")=1,P31,0)</f>
        <v>0</v>
      </c>
      <c r="R31">
        <f ca="1">IFERROR(IF(COUNTIF(B31,"*莺鸣柳*")&gt;0,45-加速!$L$9,MAX(0,R30-(A31-A30))),0)</f>
        <v>0</v>
      </c>
      <c r="S31">
        <f ca="1">IF(COUNTIF(IF(AND(配装计算器!$K$30&lt;&gt;"∞",0),INDEX(AU30:CB30,1,$AT$1),INDEX(AU32:CB32,1,$AT$1)),"*莺鸣柳*")=1,R31,0)</f>
        <v>0</v>
      </c>
      <c r="T31">
        <f ca="1" t="shared" si="7"/>
        <v>0</v>
      </c>
      <c r="U31">
        <f ca="1">IF(金蛇,IF(COUNTIF(B31,"*金环戴*")+COUNTIF(B31,"*吹风醒*")&gt;0,IF(A31&lt;=3,7.125-2.625-A31-加速!$L$11,A31-T31),0),0)+IF(金蛇,IF(COUNTIF(B31,"*千切子裂光*")&gt;0,2+加速!$K$9-(A31+加速!$L$11-T31),0),0)</f>
        <v>0</v>
      </c>
      <c r="V31">
        <f ca="1" t="shared" si="8"/>
        <v>0</v>
      </c>
      <c r="W31">
        <f ca="1" t="shared" si="0"/>
        <v>0</v>
      </c>
      <c r="X31">
        <f ca="1">INDEX(加速!$I$13:$I$21,技能数计算!W31+1)</f>
        <v>0</v>
      </c>
      <c r="Y31">
        <f ca="1" t="shared" si="3"/>
        <v>0.5</v>
      </c>
      <c r="Z31">
        <f ca="1" t="shared" si="4"/>
        <v>0</v>
      </c>
      <c r="AA31">
        <f ca="1">MAX(0,IFERROR(IF(COUNTIF(B31,"*叠*")&gt;0,IF(AC30&lt;3,8-A32+A31,AA30+6.875-A32+A31),AA30-A32+A31),AA30-加速!$L$11))</f>
        <v>0</v>
      </c>
      <c r="AB31">
        <f ca="1">MAX(0,IF(COUNTIF(IF(AND(配装计算器!$K$30&lt;&gt;"∞",0),INDEX(AU31:CB31,1,$AT$1),INDEX(AU31:CB31,1,$AT$1)),"*叠1*")=1,4*25-加速!$L$11,AB30-A31+A30)-IF(OR(COUNTIF(OFFSET(AT31,0,$AT$1,1,1),"*听雷*")&gt;0,AND(碧归&gt;0,COUNTIF(OFFSET(AT31,0,$AT$1,1,1),"*风来*")&gt;0)),0,1)*1.5)</f>
        <v>20.07</v>
      </c>
      <c r="AC31">
        <f ca="1" t="shared" si="1"/>
        <v>0</v>
      </c>
      <c r="AD31">
        <f ca="1">IF(COUNTIF(IF(AND(配装计算器!$K$30&lt;&gt;"∞",0),INDEX(AU31:CB31,1,$AT$1),INDEX(AU32:CB32,1,$AT$1)),"*叠1*")=1,AB31*0+AE30,0)</f>
        <v>0</v>
      </c>
      <c r="AE31">
        <f ca="1">IF($AN$11&gt;0,IF(COUNTIF(B32,"*叠1*")&gt;0,50-加速!$H$11,MAX(0,AE30-(A32-A31))),0)</f>
        <v>10.82</v>
      </c>
      <c r="AH31" t="s">
        <v>1825</v>
      </c>
      <c r="AI31" t="s">
        <v>2776</v>
      </c>
      <c r="AJ31">
        <f ca="1">循环比*COUNTIFS($B$3:$B$515,AI31&amp;"*",$D$3:$D$515,"&gt;0",$H$3:$H$515,"&gt;0",$G$3:$G$515,"=0",$K$3:$K$515,"=0")</f>
        <v>0</v>
      </c>
      <c r="AK31" t="s">
        <v>3044</v>
      </c>
      <c r="AM31" s="167" t="s">
        <v>3064</v>
      </c>
      <c r="AN31">
        <f ca="1">COUNTIF(H3:H515,"&gt;0")/AN12-AN32</f>
        <v>0</v>
      </c>
      <c r="AU31" t="s">
        <v>2776</v>
      </c>
      <c r="AV31">
        <v>1</v>
      </c>
      <c r="AW31" t="s">
        <v>2768</v>
      </c>
      <c r="AX31">
        <v>2</v>
      </c>
      <c r="AY31" t="s">
        <v>2722</v>
      </c>
      <c r="AZ31">
        <v>0</v>
      </c>
      <c r="BA31" t="s">
        <v>2722</v>
      </c>
      <c r="BB31">
        <v>0</v>
      </c>
      <c r="BC31" t="s">
        <v>2768</v>
      </c>
      <c r="BD31">
        <v>1</v>
      </c>
      <c r="BE31" t="s">
        <v>2768</v>
      </c>
      <c r="BF31">
        <v>2</v>
      </c>
      <c r="BG31" t="s">
        <v>2768</v>
      </c>
      <c r="BH31">
        <v>0</v>
      </c>
      <c r="BI31" t="s">
        <v>2776</v>
      </c>
      <c r="BJ31">
        <v>0</v>
      </c>
      <c r="BK31" t="s">
        <v>2776</v>
      </c>
      <c r="BL31">
        <v>0</v>
      </c>
      <c r="BM31" t="s">
        <v>3056</v>
      </c>
      <c r="BN31">
        <v>1</v>
      </c>
      <c r="BO31" t="s">
        <v>2768</v>
      </c>
      <c r="BP31">
        <v>2</v>
      </c>
      <c r="BQ31" t="s">
        <v>2768</v>
      </c>
      <c r="BR31">
        <v>1</v>
      </c>
      <c r="BS31" t="s">
        <v>2776</v>
      </c>
      <c r="BT31">
        <v>2</v>
      </c>
      <c r="BU31" t="s">
        <v>3055</v>
      </c>
      <c r="BV31">
        <v>0</v>
      </c>
      <c r="BW31" s="182" t="s">
        <v>2768</v>
      </c>
      <c r="BX31" s="179">
        <v>1</v>
      </c>
      <c r="BY31" t="s">
        <v>2776</v>
      </c>
      <c r="BZ31">
        <v>2</v>
      </c>
      <c r="CA31" t="s">
        <v>2776</v>
      </c>
      <c r="CB31">
        <v>2</v>
      </c>
    </row>
    <row r="32" spans="1:80">
      <c r="A32" s="178">
        <f ca="1">IFERROR(IF(A31+加速!$L$11&lt;$AS$1,IF(COUNTIF(B31,"*轻*")&gt;0,A31+加速!$L$9,A31+加速!$L$11)+V31,IF(COUNTIF(INDEX(AU32:CB32,1,$AT$1),"*云景*")+COUNTIF(INDEX(AU32:CB32,1,$AT$1),"*鹤归*")+COUNTIF(INDEX(AU32:CB32,1,$AT$1),"*听雷*")&gt;0,A31+加速!$L$11,"")),"")</f>
        <v>37.93</v>
      </c>
      <c r="B32" s="167" t="str">
        <f ca="1">IF(A32&lt;&gt;"",IF(AND(A32+加速!$L$11&gt;$AS$1,IF(AND(配装计算器!$K$30&lt;&gt;"∞",0),"梦泉虎跑-轻",INDEX(AU32:CB32,1,$AT$1))="云栖松"),"夕照雷峰",IF(AND(配装计算器!$K$30&lt;&gt;"∞",0),"梦泉虎跑-轻",INDEX(AU32:CB32,1,$AT$1))),"")</f>
        <v>夕照雷峰</v>
      </c>
      <c r="C32">
        <f ca="1" t="shared" si="5"/>
        <v>15</v>
      </c>
      <c r="D32">
        <f ca="1">IF(B32&lt;&gt;"",IF(C31&lt;=加速!$L$11*(1-E32),0,1),"")</f>
        <v>1</v>
      </c>
      <c r="E32">
        <f ca="1" t="shared" si="2"/>
        <v>0</v>
      </c>
      <c r="G32">
        <f ca="1" t="shared" si="6"/>
        <v>0</v>
      </c>
      <c r="H32">
        <f ca="1">IF(B32&lt;&gt;"",IF(AND(COUNTIF(B31,"*轻*莺鸣柳*")&gt;0,COUNTIF(B32,"*轻*")&lt;1),MAX(0,15+I31-(A32-A31)+COUNTIF(B31,"*平湖*")*0),IF(AND(E32=0,MAX(0,H31-(A32-A31))&lt;=加速!$H$11),0,MAX(0,H31-(A32-A31)))),"")</f>
        <v>0</v>
      </c>
      <c r="I32">
        <f ca="1" t="shared" si="9"/>
        <v>0</v>
      </c>
      <c r="J32">
        <f ca="1" t="shared" si="10"/>
        <v>0</v>
      </c>
      <c r="K32">
        <f ca="1">IF(A32&lt;&gt;"",IF(AND(配装计算器!$K$30&lt;&gt;"∞",0),2,INDEX(AU32:CB32,1,$AT$2)),"")</f>
        <v>0</v>
      </c>
      <c r="L32">
        <f ca="1">IFERROR(IF(AND(COUNTIF(B32,"*-峰插*"),技能数据库!$M$72&gt;0),0,IF(COUNTIF(B32,"*鹤归*")&gt;0,16-加速!$L$11,MAX(0,L31-(A32-A31)))),0)</f>
        <v>5.68000000000001</v>
      </c>
      <c r="M32">
        <f ca="1">IF(COUNTIF(IF(AND(配装计算器!$K$30&lt;&gt;"∞",0),INDEX(AU31:CB31,1,$AT$1),INDEX(AU33:CB33,1,$AT$1)),"*鹤归*")=1,L32,0)</f>
        <v>0</v>
      </c>
      <c r="N32">
        <f ca="1">IFERROR(IF(AND(COUNTIF(B32,"*-峰插*"),技能数据库!$M$72&gt;0),0,IF(COUNTIF(B32,"*云飞*")&gt;0,4-COUNTIF(B32,"*玉山揽云*")*4--COUNTIF(B32,"*烟流暮景*")*4-COUNTIF(B32,"*云景*")*加速!$L$11-IF(J32&gt;0,2,0),MAX(0,N31-(A32-A31)-IF(J32&gt;0,2,0)))),0)</f>
        <v>2.71</v>
      </c>
      <c r="O32">
        <f ca="1">IF(AND(COUNTIF(IF(AND(配装计算器!$K$30&lt;&gt;"∞",0),INDEX(AU31:CB31,1,$AT$1),INDEX(AU33:CB33,1,$AT$1)),"*云飞*")=1,COUNTIF(IF(AND(配装计算器!$K$30&lt;&gt;"∞",0),INDEX(AU31:CB31,1,$AT$1),INDEX(AU33:CB33,1,$AT$1)),"*玉山*")=0),N32,0)</f>
        <v>0</v>
      </c>
      <c r="P32">
        <f ca="1">IFERROR(IF(COUNTIF(B32,"*云栖松*")&gt;0,50-加速!$L$11,MAX(0,P31-(A32-A31))),0)</f>
        <v>0</v>
      </c>
      <c r="Q32">
        <f ca="1">IF(COUNTIF(IF(AND(配装计算器!$K$30&lt;&gt;"∞",0),INDEX(AU31:CB31,1,$AT$1),INDEX(AU33:CB33,1,$AT$1)),"*云栖松*")=1,P32,0)</f>
        <v>0</v>
      </c>
      <c r="R32">
        <f ca="1">IFERROR(IF(COUNTIF(B32,"*莺鸣柳*")&gt;0,45-加速!$L$9,MAX(0,R31-(A32-A31))),0)</f>
        <v>0</v>
      </c>
      <c r="S32">
        <f ca="1">IF(COUNTIF(IF(AND(配装计算器!$K$30&lt;&gt;"∞",0),INDEX(AU31:CB31,1,$AT$1),INDEX(AU33:CB33,1,$AT$1)),"*莺鸣柳*")=1,R32,0)</f>
        <v>0</v>
      </c>
      <c r="T32">
        <f ca="1" t="shared" si="7"/>
        <v>0</v>
      </c>
      <c r="U32">
        <f ca="1">IF(金蛇,IF(COUNTIF(B32,"*金环戴*")+COUNTIF(B32,"*吹风醒*")&gt;0,IF(A32&lt;=3,7.125-2.625-A32-加速!$L$11,A32-T32),0),0)+IF(金蛇,IF(COUNTIF(B32,"*千切子裂光*")&gt;0,2+加速!$K$9-(A32+加速!$L$11-T32),0),0)</f>
        <v>0</v>
      </c>
      <c r="V32">
        <f ca="1" t="shared" si="8"/>
        <v>0</v>
      </c>
      <c r="W32">
        <f ca="1" t="shared" si="0"/>
        <v>0</v>
      </c>
      <c r="X32">
        <f ca="1">INDEX(加速!$I$13:$I$21,技能数计算!W32+1)</f>
        <v>0</v>
      </c>
      <c r="Y32">
        <f ca="1" t="shared" si="3"/>
        <v>0.5</v>
      </c>
      <c r="Z32">
        <f ca="1" t="shared" si="4"/>
        <v>0</v>
      </c>
      <c r="AA32">
        <f ca="1">MAX(0,IFERROR(IF(COUNTIF(B32,"*叠*")&gt;0,IF(AC31&lt;3,8-A33+A32,AA31+6.875-A33+A32),AA31-A33+A32),AA31-加速!$L$11))</f>
        <v>0</v>
      </c>
      <c r="AB32">
        <f ca="1">MAX(0,IF(COUNTIF(IF(AND(配装计算器!$K$30&lt;&gt;"∞",0),INDEX(AU32:CB32,1,$AT$1),INDEX(AU32:CB32,1,$AT$1)),"*叠1*")=1,4*25-加速!$L$11,AB31-A32+A31)-IF(OR(COUNTIF(OFFSET(AT32,0,$AT$1,1,1),"*听雷*")&gt;0,AND(碧归&gt;0,COUNTIF(OFFSET(AT32,0,$AT$1,1,1),"*风来*")&gt;0)),0,1)*1.5)</f>
        <v>17.28</v>
      </c>
      <c r="AC32">
        <f ca="1" t="shared" si="1"/>
        <v>0</v>
      </c>
      <c r="AD32">
        <f ca="1">IF(COUNTIF(IF(AND(配装计算器!$K$30&lt;&gt;"∞",0),INDEX(AU32:CB32,1,$AT$1),INDEX(AU33:CB33,1,$AT$1)),"*叠1*")=1,AB32*0+AE31,0)</f>
        <v>0</v>
      </c>
      <c r="AE32">
        <f ca="1">IF($AN$11&gt;0,IF(COUNTIF(B33,"*叠1*")&gt;0,50-加速!$H$11,MAX(0,AE31-(A33-A32))),0)</f>
        <v>9.53000000000002</v>
      </c>
      <c r="AH32" t="s">
        <v>1825</v>
      </c>
      <c r="AI32" t="s">
        <v>2780</v>
      </c>
      <c r="AJ32">
        <f ca="1">AJ30+AJ84</f>
        <v>8</v>
      </c>
      <c r="AK32" t="s">
        <v>2750</v>
      </c>
      <c r="AM32" s="167" t="s">
        <v>3065</v>
      </c>
      <c r="AN32">
        <f ca="1">COUNTIFS(H3:H515,"&gt;0",G3:G515,"&gt;0")/AN12</f>
        <v>0</v>
      </c>
      <c r="AU32" t="s">
        <v>2768</v>
      </c>
      <c r="AV32">
        <v>2</v>
      </c>
      <c r="AW32" t="s">
        <v>2768</v>
      </c>
      <c r="AX32">
        <v>2</v>
      </c>
      <c r="AY32" t="s">
        <v>2776</v>
      </c>
      <c r="AZ32">
        <v>2</v>
      </c>
      <c r="BA32" t="s">
        <v>2776</v>
      </c>
      <c r="BB32">
        <v>2</v>
      </c>
      <c r="BC32" t="s">
        <v>2813</v>
      </c>
      <c r="BD32">
        <v>0</v>
      </c>
      <c r="BE32" t="s">
        <v>2776</v>
      </c>
      <c r="BF32">
        <v>2</v>
      </c>
      <c r="BG32" t="s">
        <v>2776</v>
      </c>
      <c r="BH32">
        <v>0</v>
      </c>
      <c r="BI32" t="s">
        <v>2768</v>
      </c>
      <c r="BJ32">
        <v>0</v>
      </c>
      <c r="BK32" t="s">
        <v>2768</v>
      </c>
      <c r="BL32">
        <v>0</v>
      </c>
      <c r="BM32" t="s">
        <v>2768</v>
      </c>
      <c r="BN32">
        <v>2</v>
      </c>
      <c r="BO32" t="s">
        <v>2768</v>
      </c>
      <c r="BP32">
        <v>2</v>
      </c>
      <c r="BQ32" t="s">
        <v>2776</v>
      </c>
      <c r="BR32">
        <v>1</v>
      </c>
      <c r="BS32" t="s">
        <v>2768</v>
      </c>
      <c r="BT32">
        <v>1</v>
      </c>
      <c r="BU32" t="s">
        <v>2776</v>
      </c>
      <c r="BV32">
        <v>2</v>
      </c>
      <c r="BW32" s="182" t="s">
        <v>2776</v>
      </c>
      <c r="BX32" s="179">
        <v>1</v>
      </c>
      <c r="BY32" t="s">
        <v>2718</v>
      </c>
      <c r="BZ32">
        <v>0</v>
      </c>
      <c r="CA32" t="s">
        <v>2718</v>
      </c>
      <c r="CB32">
        <v>0</v>
      </c>
    </row>
    <row r="33" spans="1:80">
      <c r="A33" s="178">
        <f ca="1">IFERROR(IF(A32+加速!$L$11&lt;$AS$1,IF(COUNTIF(B32,"*轻*")&gt;0,A32+加速!$L$9,A32+加速!$L$11)+V32,IF(COUNTIF(INDEX(AU33:CB33,1,$AT$1),"*云景*")+COUNTIF(INDEX(AU33:CB33,1,$AT$1),"*鹤归*")+COUNTIF(INDEX(AU33:CB33,1,$AT$1),"*听雷*")&gt;0,A32+加速!$L$11,"")),"")</f>
        <v>39.22</v>
      </c>
      <c r="B33" s="167" t="str">
        <f ca="1">IF(A33&lt;&gt;"",IF(AND(A33+加速!$L$11&gt;$AS$1,IF(AND(配装计算器!$K$30&lt;&gt;"∞",0),"梦泉虎跑-轻",INDEX(AU33:CB33,1,$AT$1))="云栖松"),"夕照雷峰",IF(AND(配装计算器!$K$30&lt;&gt;"∞",0),"梦泉虎跑-轻",INDEX(AU33:CB33,1,$AT$1))),"")</f>
        <v>夕照雷峰</v>
      </c>
      <c r="C33">
        <f ca="1" t="shared" si="5"/>
        <v>15</v>
      </c>
      <c r="D33">
        <f ca="1">IF(B33&lt;&gt;"",IF(C32&lt;=加速!$L$11*(1-E33),0,1),"")</f>
        <v>1</v>
      </c>
      <c r="E33">
        <f ca="1" t="shared" si="2"/>
        <v>0</v>
      </c>
      <c r="G33">
        <f ca="1" t="shared" si="6"/>
        <v>0</v>
      </c>
      <c r="H33">
        <f ca="1">IF(B33&lt;&gt;"",IF(AND(COUNTIF(B32,"*轻*莺鸣柳*")&gt;0,COUNTIF(B33,"*轻*")&lt;1),MAX(0,15+I32-(A33-A32)+COUNTIF(B32,"*平湖*")*0),IF(AND(E33=0,MAX(0,H32-(A33-A32))&lt;=加速!$H$11),0,MAX(0,H32-(A33-A32)))),"")</f>
        <v>0</v>
      </c>
      <c r="I33">
        <f ca="1" t="shared" si="9"/>
        <v>0</v>
      </c>
      <c r="J33">
        <f ca="1" t="shared" si="10"/>
        <v>0</v>
      </c>
      <c r="K33">
        <f ca="1">IF(A33&lt;&gt;"",IF(AND(配装计算器!$K$30&lt;&gt;"∞",0),2,INDEX(AU33:CB33,1,$AT$2)),"")</f>
        <v>0</v>
      </c>
      <c r="L33">
        <f ca="1">IFERROR(IF(AND(COUNTIF(B33,"*-峰插*"),技能数据库!$M$72&gt;0),0,IF(COUNTIF(B33,"*鹤归*")&gt;0,16-加速!$L$11,MAX(0,L32-(A33-A32)))),0)</f>
        <v>4.39000000000001</v>
      </c>
      <c r="M33">
        <f ca="1">IF(COUNTIF(IF(AND(配装计算器!$K$30&lt;&gt;"∞",0),INDEX(AU32:CB32,1,$AT$1),INDEX(AU34:CB34,1,$AT$1)),"*鹤归*")=1,L33,0)</f>
        <v>0</v>
      </c>
      <c r="N33">
        <f ca="1">IFERROR(IF(AND(COUNTIF(B33,"*-峰插*"),技能数据库!$M$72&gt;0),0,IF(COUNTIF(B33,"*云飞*")&gt;0,4-COUNTIF(B33,"*玉山揽云*")*4--COUNTIF(B33,"*烟流暮景*")*4-COUNTIF(B33,"*云景*")*加速!$L$11-IF(J33&gt;0,2,0),MAX(0,N32-(A33-A32)-IF(J33&gt;0,2,0)))),0)</f>
        <v>1.42</v>
      </c>
      <c r="O33">
        <f ca="1">IF(AND(COUNTIF(IF(AND(配装计算器!$K$30&lt;&gt;"∞",0),INDEX(AU32:CB32,1,$AT$1),INDEX(AU34:CB34,1,$AT$1)),"*云飞*")=1,COUNTIF(IF(AND(配装计算器!$K$30&lt;&gt;"∞",0),INDEX(AU32:CB32,1,$AT$1),INDEX(AU34:CB34,1,$AT$1)),"*玉山*")=0),N33,0)</f>
        <v>0</v>
      </c>
      <c r="P33">
        <f ca="1">IFERROR(IF(COUNTIF(B33,"*云栖松*")&gt;0,50-加速!$L$11,MAX(0,P32-(A33-A32))),0)</f>
        <v>0</v>
      </c>
      <c r="Q33">
        <f ca="1">IF(COUNTIF(IF(AND(配装计算器!$K$30&lt;&gt;"∞",0),INDEX(AU32:CB32,1,$AT$1),INDEX(AU34:CB34,1,$AT$1)),"*云栖松*")=1,P33,0)</f>
        <v>0</v>
      </c>
      <c r="R33">
        <f ca="1">IFERROR(IF(COUNTIF(B33,"*莺鸣柳*")&gt;0,45-加速!$L$9,MAX(0,R32-(A33-A32))),0)</f>
        <v>0</v>
      </c>
      <c r="S33">
        <f ca="1">IF(COUNTIF(IF(AND(配装计算器!$K$30&lt;&gt;"∞",0),INDEX(AU32:CB32,1,$AT$1),INDEX(AU34:CB34,1,$AT$1)),"*莺鸣柳*")=1,R33,0)</f>
        <v>0</v>
      </c>
      <c r="T33">
        <f ca="1" t="shared" si="7"/>
        <v>0</v>
      </c>
      <c r="U33">
        <f ca="1">IF(金蛇,IF(COUNTIF(B33,"*金环戴*")+COUNTIF(B33,"*吹风醒*")&gt;0,IF(A33&lt;=3,7.125-2.625-A33-加速!$L$11,A33-T33),0),0)+IF(金蛇,IF(COUNTIF(B33,"*千切子裂光*")&gt;0,2+加速!$K$9-(A33+加速!$L$11-T33),0),0)</f>
        <v>0</v>
      </c>
      <c r="V33">
        <f ca="1" t="shared" si="8"/>
        <v>0</v>
      </c>
      <c r="W33">
        <f ca="1" t="shared" si="0"/>
        <v>0</v>
      </c>
      <c r="X33">
        <f ca="1">INDEX(加速!$I$13:$I$21,技能数计算!W33+1)</f>
        <v>0</v>
      </c>
      <c r="Y33">
        <f ca="1" t="shared" si="3"/>
        <v>0.5</v>
      </c>
      <c r="Z33">
        <f ca="1" t="shared" si="4"/>
        <v>0</v>
      </c>
      <c r="AA33">
        <f ca="1">MAX(0,IFERROR(IF(COUNTIF(B33,"*叠*")&gt;0,IF(AC32&lt;3,8-A34+A33,AA32+6.875-A34+A33),AA32-A34+A33),AA32-加速!$L$11))</f>
        <v>0</v>
      </c>
      <c r="AB33">
        <f ca="1">MAX(0,IF(COUNTIF(IF(AND(配装计算器!$K$30&lt;&gt;"∞",0),INDEX(AU33:CB33,1,$AT$1),INDEX(AU33:CB33,1,$AT$1)),"*叠1*")=1,4*25-加速!$L$11,AB32-A33+A32)-IF(OR(COUNTIF(OFFSET(AT33,0,$AT$1,1,1),"*听雷*")&gt;0,AND(碧归&gt;0,COUNTIF(OFFSET(AT33,0,$AT$1,1,1),"*风来*")&gt;0)),0,1)*1.5)</f>
        <v>14.49</v>
      </c>
      <c r="AC33">
        <f ca="1" t="shared" si="1"/>
        <v>0</v>
      </c>
      <c r="AD33">
        <f ca="1">IF(COUNTIF(IF(AND(配装计算器!$K$30&lt;&gt;"∞",0),INDEX(AU33:CB33,1,$AT$1),INDEX(AU34:CB34,1,$AT$1)),"*叠1*")=1,AB33*0+AE32,0)</f>
        <v>0</v>
      </c>
      <c r="AE33">
        <f ca="1">IF($AN$11&gt;0,IF(COUNTIF(B34,"*叠1*")&gt;0,50-加速!$H$11,MAX(0,AE32-(A34-A33))),0)</f>
        <v>8.24000000000002</v>
      </c>
      <c r="AH33" t="s">
        <v>1825</v>
      </c>
      <c r="AI33" t="s">
        <v>2780</v>
      </c>
      <c r="AJ33">
        <f ca="1">AJ31</f>
        <v>0</v>
      </c>
      <c r="AK33" t="s">
        <v>3044</v>
      </c>
      <c r="AM33" s="167" t="s">
        <v>3066</v>
      </c>
      <c r="AN33">
        <f ca="1">1-(AN31+AN32)</f>
        <v>1</v>
      </c>
      <c r="AU33" t="s">
        <v>2768</v>
      </c>
      <c r="AV33">
        <v>2</v>
      </c>
      <c r="AW33" t="s">
        <v>2768</v>
      </c>
      <c r="AX33">
        <v>2</v>
      </c>
      <c r="AY33" t="s">
        <v>2768</v>
      </c>
      <c r="AZ33">
        <v>2</v>
      </c>
      <c r="BA33" t="s">
        <v>2768</v>
      </c>
      <c r="BB33">
        <v>2</v>
      </c>
      <c r="BC33" t="s">
        <v>2776</v>
      </c>
      <c r="BD33">
        <v>2</v>
      </c>
      <c r="BE33" t="s">
        <v>2768</v>
      </c>
      <c r="BF33">
        <v>2</v>
      </c>
      <c r="BG33" t="s">
        <v>3067</v>
      </c>
      <c r="BH33">
        <v>0</v>
      </c>
      <c r="BI33" t="s">
        <v>2768</v>
      </c>
      <c r="BJ33">
        <v>0</v>
      </c>
      <c r="BK33" t="s">
        <v>3068</v>
      </c>
      <c r="BL33">
        <v>2</v>
      </c>
      <c r="BM33" t="s">
        <v>2768</v>
      </c>
      <c r="BN33">
        <v>2</v>
      </c>
      <c r="BO33" t="s">
        <v>2768</v>
      </c>
      <c r="BP33">
        <v>2</v>
      </c>
      <c r="BQ33" t="s">
        <v>2768</v>
      </c>
      <c r="BR33">
        <v>0</v>
      </c>
      <c r="BS33" t="s">
        <v>2768</v>
      </c>
      <c r="BT33">
        <v>1</v>
      </c>
      <c r="BU33" t="s">
        <v>2768</v>
      </c>
      <c r="BV33">
        <v>2</v>
      </c>
      <c r="BW33" s="179" t="s">
        <v>2718</v>
      </c>
      <c r="BX33" s="179">
        <v>0</v>
      </c>
      <c r="BY33" t="s">
        <v>2768</v>
      </c>
      <c r="BZ33">
        <v>2</v>
      </c>
      <c r="CA33" t="s">
        <v>2768</v>
      </c>
      <c r="CB33">
        <v>2</v>
      </c>
    </row>
    <row r="34" spans="1:80">
      <c r="A34" s="178">
        <f ca="1">IFERROR(IF(A33+加速!$L$11&lt;$AS$1,IF(COUNTIF(B33,"*轻*")&gt;0,A33+加速!$L$9,A33+加速!$L$11)+V33,IF(COUNTIF(INDEX(AU34:CB34,1,$AT$1),"*云景*")+COUNTIF(INDEX(AU34:CB34,1,$AT$1),"*鹤归*")+COUNTIF(INDEX(AU34:CB34,1,$AT$1),"*听雷*")&gt;0,A33+加速!$L$11,"")),"")</f>
        <v>40.51</v>
      </c>
      <c r="B34" s="167" t="str">
        <f ca="1">IF(A34&lt;&gt;"",IF(AND(A34+加速!$L$11&gt;$AS$1,IF(AND(配装计算器!$K$30&lt;&gt;"∞",0),"梦泉虎跑-轻",INDEX(AU34:CB34,1,$AT$1))="云栖松"),"夕照雷峰",IF(AND(配装计算器!$K$30&lt;&gt;"∞",0),"梦泉虎跑-轻",INDEX(AU34:CB34,1,$AT$1))),"")</f>
        <v>听雷-轻</v>
      </c>
      <c r="C34">
        <f ca="1" t="shared" si="5"/>
        <v>13.71</v>
      </c>
      <c r="D34">
        <f ca="1">IF(B34&lt;&gt;"",IF(C33&lt;=加速!$L$11*(1-E34),0,1),"")</f>
        <v>1</v>
      </c>
      <c r="E34">
        <f ca="1" t="shared" si="2"/>
        <v>1</v>
      </c>
      <c r="G34">
        <f ca="1" t="shared" si="6"/>
        <v>0</v>
      </c>
      <c r="H34">
        <f ca="1">IF(B34&lt;&gt;"",IF(AND(COUNTIF(B33,"*轻*莺鸣柳*")&gt;0,COUNTIF(B34,"*轻*")&lt;1),MAX(0,15+I33-(A34-A33)+COUNTIF(B33,"*平湖*")*0),IF(AND(E34=0,MAX(0,H33-(A34-A33))&lt;=加速!$H$11),0,MAX(0,H33-(A34-A33)))),"")</f>
        <v>0</v>
      </c>
      <c r="I34">
        <f ca="1" t="shared" si="9"/>
        <v>0</v>
      </c>
      <c r="J34">
        <f ca="1" t="shared" si="10"/>
        <v>0</v>
      </c>
      <c r="K34">
        <f ca="1">IF(A34&lt;&gt;"",IF(AND(配装计算器!$K$30&lt;&gt;"∞",0),2,INDEX(AU34:CB34,1,$AT$2)),"")</f>
        <v>0</v>
      </c>
      <c r="L34">
        <f ca="1">IFERROR(IF(AND(COUNTIF(B34,"*-峰插*"),技能数据库!$M$72&gt;0),0,IF(COUNTIF(B34,"*鹤归*")&gt;0,16-加速!$L$11,MAX(0,L33-(A34-A33)))),0)</f>
        <v>3.10000000000001</v>
      </c>
      <c r="M34">
        <f ca="1">IF(COUNTIF(IF(AND(配装计算器!$K$30&lt;&gt;"∞",0),INDEX(AU33:CB33,1,$AT$1),INDEX(AU35:CB35,1,$AT$1)),"*鹤归*")=1,L34,0)</f>
        <v>0</v>
      </c>
      <c r="N34">
        <f ca="1">IFERROR(IF(AND(COUNTIF(B34,"*-峰插*"),技能数据库!$M$72&gt;0),0,IF(COUNTIF(B34,"*云飞*")&gt;0,4-COUNTIF(B34,"*玉山揽云*")*4--COUNTIF(B34,"*烟流暮景*")*4-COUNTIF(B34,"*云景*")*加速!$L$11-IF(J34&gt;0,2,0),MAX(0,N33-(A34-A33)-IF(J34&gt;0,2,0)))),0)</f>
        <v>0.130000000000003</v>
      </c>
      <c r="O34">
        <f ca="1">IF(AND(COUNTIF(IF(AND(配装计算器!$K$30&lt;&gt;"∞",0),INDEX(AU33:CB33,1,$AT$1),INDEX(AU35:CB35,1,$AT$1)),"*云飞*")=1,COUNTIF(IF(AND(配装计算器!$K$30&lt;&gt;"∞",0),INDEX(AU33:CB33,1,$AT$1),INDEX(AU35:CB35,1,$AT$1)),"*玉山*")=0),N34,0)</f>
        <v>0.130000000000003</v>
      </c>
      <c r="P34">
        <f ca="1">IFERROR(IF(COUNTIF(B34,"*云栖松*")&gt;0,50-加速!$L$11,MAX(0,P33-(A34-A33))),0)</f>
        <v>0</v>
      </c>
      <c r="Q34">
        <f ca="1">IF(COUNTIF(IF(AND(配装计算器!$K$30&lt;&gt;"∞",0),INDEX(AU33:CB33,1,$AT$1),INDEX(AU35:CB35,1,$AT$1)),"*云栖松*")=1,P34,0)</f>
        <v>0</v>
      </c>
      <c r="R34">
        <f ca="1">IFERROR(IF(COUNTIF(B34,"*莺鸣柳*")&gt;0,45-加速!$L$9,MAX(0,R33-(A34-A33))),0)</f>
        <v>0</v>
      </c>
      <c r="S34">
        <f ca="1">IF(COUNTIF(IF(AND(配装计算器!$K$30&lt;&gt;"∞",0),INDEX(AU33:CB33,1,$AT$1),INDEX(AU35:CB35,1,$AT$1)),"*莺鸣柳*")=1,R34,0)</f>
        <v>0</v>
      </c>
      <c r="T34">
        <f ca="1" t="shared" si="7"/>
        <v>0</v>
      </c>
      <c r="U34">
        <f ca="1">IF(金蛇,IF(COUNTIF(B34,"*金环戴*")+COUNTIF(B34,"*吹风醒*")&gt;0,IF(A34&lt;=3,7.125-2.625-A34-加速!$L$11,A34-T34),0),0)+IF(金蛇,IF(COUNTIF(B34,"*千切子裂光*")&gt;0,2+加速!$K$9-(A34+加速!$L$11-T34),0),0)</f>
        <v>0</v>
      </c>
      <c r="V34">
        <f ca="1" t="shared" si="8"/>
        <v>0.130000000000003</v>
      </c>
      <c r="W34">
        <f ca="1" t="shared" si="0"/>
        <v>0</v>
      </c>
      <c r="X34">
        <f ca="1">INDEX(加速!$I$13:$I$21,技能数计算!W34+1)</f>
        <v>0</v>
      </c>
      <c r="Y34">
        <f ca="1" t="shared" si="3"/>
        <v>0.5</v>
      </c>
      <c r="Z34">
        <f ca="1" t="shared" si="4"/>
        <v>0</v>
      </c>
      <c r="AA34">
        <f ca="1">MAX(0,IFERROR(IF(COUNTIF(B34,"*叠*")&gt;0,IF(AC33&lt;3,8-A35+A34,AA33+6.875-A35+A34),AA33-A35+A34),AA33-加速!$L$11))</f>
        <v>0</v>
      </c>
      <c r="AB34">
        <f ca="1">MAX(0,IF(COUNTIF(IF(AND(配装计算器!$K$30&lt;&gt;"∞",0),INDEX(AU34:CB34,1,$AT$1),INDEX(AU34:CB34,1,$AT$1)),"*叠1*")=1,4*25-加速!$L$11,AB33-A34+A33)-IF(OR(COUNTIF(OFFSET(AT34,0,$AT$1,1,1),"*听雷*")&gt;0,AND(碧归&gt;0,COUNTIF(OFFSET(AT34,0,$AT$1,1,1),"*风来*")&gt;0)),0,1)*1.5)</f>
        <v>13.2</v>
      </c>
      <c r="AC34">
        <f ca="1" t="shared" si="1"/>
        <v>0</v>
      </c>
      <c r="AD34">
        <f ca="1">IF(COUNTIF(IF(AND(配装计算器!$K$30&lt;&gt;"∞",0),INDEX(AU34:CB34,1,$AT$1),INDEX(AU35:CB35,1,$AT$1)),"*叠1*")=1,AB34*0+AE33,0)</f>
        <v>0</v>
      </c>
      <c r="AE34">
        <f ca="1">IF($AN$11&gt;0,IF(COUNTIF(B35,"*叠1*")&gt;0,50-加速!$H$11,MAX(0,AE33-(A35-A34))),0)</f>
        <v>6.82000000000001</v>
      </c>
      <c r="AH34" t="s">
        <v>1825</v>
      </c>
      <c r="AI34" t="s">
        <v>2776</v>
      </c>
      <c r="AJ34">
        <f ca="1">循环比*COUNTIFS($B$3:$B$515,AI34&amp;"*",$D$3:$D$515,"&gt;0",$H$3:$H$515,"=0",$G$3:$G$515,"=0",$K$3:$K$515,"=2",$AC$3:$AC$515,"=0")+AN37</f>
        <v>12</v>
      </c>
      <c r="AK34" t="s">
        <v>3069</v>
      </c>
      <c r="AU34" s="176" t="s">
        <v>2794</v>
      </c>
      <c r="AV34">
        <v>2</v>
      </c>
      <c r="AW34" t="s">
        <v>2776</v>
      </c>
      <c r="AX34">
        <v>2</v>
      </c>
      <c r="AY34" t="s">
        <v>2768</v>
      </c>
      <c r="AZ34">
        <v>2</v>
      </c>
      <c r="BA34" t="s">
        <v>2768</v>
      </c>
      <c r="BB34">
        <v>2</v>
      </c>
      <c r="BC34" t="s">
        <v>2768</v>
      </c>
      <c r="BD34">
        <v>2</v>
      </c>
      <c r="BE34" t="s">
        <v>2776</v>
      </c>
      <c r="BF34">
        <v>1</v>
      </c>
      <c r="BG34" t="s">
        <v>2768</v>
      </c>
      <c r="BH34">
        <v>2</v>
      </c>
      <c r="BI34" t="s">
        <v>2722</v>
      </c>
      <c r="BJ34">
        <v>0</v>
      </c>
      <c r="BK34" t="s">
        <v>2768</v>
      </c>
      <c r="BL34">
        <v>2</v>
      </c>
      <c r="BM34" t="s">
        <v>2768</v>
      </c>
      <c r="BN34">
        <v>2</v>
      </c>
      <c r="BO34" t="s">
        <v>2776</v>
      </c>
      <c r="BP34">
        <v>2</v>
      </c>
      <c r="BQ34" t="s">
        <v>2768</v>
      </c>
      <c r="BR34">
        <v>0</v>
      </c>
      <c r="BS34" t="s">
        <v>2768</v>
      </c>
      <c r="BT34">
        <v>0</v>
      </c>
      <c r="BU34" t="s">
        <v>2776</v>
      </c>
      <c r="BV34">
        <v>2</v>
      </c>
      <c r="BW34" s="179" t="s">
        <v>2768</v>
      </c>
      <c r="BX34" s="179">
        <v>1</v>
      </c>
      <c r="BY34" t="s">
        <v>2768</v>
      </c>
      <c r="BZ34">
        <v>2</v>
      </c>
      <c r="CA34" t="s">
        <v>2768</v>
      </c>
      <c r="CB34">
        <v>2</v>
      </c>
    </row>
    <row r="35" spans="1:80">
      <c r="A35" s="178">
        <f ca="1">IFERROR(IF(A34+加速!$L$11&lt;$AS$1,IF(COUNTIF(B34,"*轻*")&gt;0,A34+加速!$L$9,A34+加速!$L$11)+V34,IF(COUNTIF(INDEX(AU35:CB35,1,$AT$1),"*云景*")+COUNTIF(INDEX(AU35:CB35,1,$AT$1),"*鹤归*")+COUNTIF(INDEX(AU35:CB35,1,$AT$1),"*听雷*")&gt;0,A34+加速!$L$11,"")),"")</f>
        <v>41.93</v>
      </c>
      <c r="B35" s="167" t="str">
        <f ca="1">IF(A35&lt;&gt;"",IF(AND(A35+加速!$L$11&gt;$AS$1,IF(AND(配装计算器!$K$30&lt;&gt;"∞",0),"梦泉虎跑-轻",INDEX(AU35:CB35,1,$AT$1))="云栖松"),"夕照雷峰",IF(AND(配装计算器!$K$30&lt;&gt;"∞",0),"梦泉虎跑-轻",INDEX(AU35:CB35,1,$AT$1))),"")</f>
        <v>云飞玉皇</v>
      </c>
      <c r="C35">
        <f ca="1" t="shared" si="5"/>
        <v>12.29</v>
      </c>
      <c r="D35">
        <f ca="1">IF(B35&lt;&gt;"",IF(C34&lt;=加速!$L$11*(1-E35),0,1),"")</f>
        <v>1</v>
      </c>
      <c r="E35">
        <f ca="1" t="shared" si="2"/>
        <v>0</v>
      </c>
      <c r="G35">
        <f ca="1" t="shared" si="6"/>
        <v>0</v>
      </c>
      <c r="H35">
        <f ca="1">IF(B35&lt;&gt;"",IF(AND(COUNTIF(B34,"*轻*莺鸣柳*")&gt;0,COUNTIF(B35,"*轻*")&lt;1),MAX(0,15+I34-(A35-A34)+COUNTIF(B34,"*平湖*")*0),IF(AND(E35=0,MAX(0,H34-(A35-A34))&lt;=加速!$H$11),0,MAX(0,H34-(A35-A34)))),"")</f>
        <v>0</v>
      </c>
      <c r="I35">
        <f ca="1" t="shared" si="9"/>
        <v>0</v>
      </c>
      <c r="J35">
        <f ca="1" t="shared" si="10"/>
        <v>0</v>
      </c>
      <c r="K35">
        <f ca="1">IF(A35&lt;&gt;"",IF(AND(配装计算器!$K$30&lt;&gt;"∞",0),2,INDEX(AU35:CB35,1,$AT$2)),"")</f>
        <v>2</v>
      </c>
      <c r="L35">
        <f ca="1">IFERROR(IF(AND(COUNTIF(B35,"*-峰插*"),技能数据库!$M$72&gt;0),0,IF(COUNTIF(B35,"*鹤归*")&gt;0,16-加速!$L$11,MAX(0,L34-(A35-A34)))),0)</f>
        <v>1.68000000000001</v>
      </c>
      <c r="M35">
        <f ca="1">IF(COUNTIF(IF(AND(配装计算器!$K$30&lt;&gt;"∞",0),INDEX(AU34:CB34,1,$AT$1),INDEX(AU36:CB36,1,$AT$1)),"*鹤归*")=1,L35,0)</f>
        <v>0</v>
      </c>
      <c r="N35">
        <f ca="1">IFERROR(IF(AND(COUNTIF(B35,"*-峰插*"),技能数据库!$M$72&gt;0),0,IF(COUNTIF(B35,"*云飞*")&gt;0,4-COUNTIF(B35,"*玉山揽云*")*4--COUNTIF(B35,"*烟流暮景*")*4-COUNTIF(B35,"*云景*")*加速!$L$11-IF(J35&gt;0,2,0),MAX(0,N34-(A35-A34)-IF(J35&gt;0,2,0)))),0)</f>
        <v>4</v>
      </c>
      <c r="O35">
        <f ca="1">IF(AND(COUNTIF(IF(AND(配装计算器!$K$30&lt;&gt;"∞",0),INDEX(AU34:CB34,1,$AT$1),INDEX(AU36:CB36,1,$AT$1)),"*云飞*")=1,COUNTIF(IF(AND(配装计算器!$K$30&lt;&gt;"∞",0),INDEX(AU34:CB34,1,$AT$1),INDEX(AU36:CB36,1,$AT$1)),"*玉山*")=0),N35,0)</f>
        <v>0</v>
      </c>
      <c r="P35">
        <f ca="1">IFERROR(IF(COUNTIF(B35,"*云栖松*")&gt;0,50-加速!$L$11,MAX(0,P34-(A35-A34))),0)</f>
        <v>0</v>
      </c>
      <c r="Q35">
        <f ca="1">IF(COUNTIF(IF(AND(配装计算器!$K$30&lt;&gt;"∞",0),INDEX(AU34:CB34,1,$AT$1),INDEX(AU36:CB36,1,$AT$1)),"*云栖松*")=1,P35,0)</f>
        <v>0</v>
      </c>
      <c r="R35">
        <f ca="1">IFERROR(IF(COUNTIF(B35,"*莺鸣柳*")&gt;0,45-加速!$L$9,MAX(0,R34-(A35-A34))),0)</f>
        <v>0</v>
      </c>
      <c r="S35">
        <f ca="1">IF(COUNTIF(IF(AND(配装计算器!$K$30&lt;&gt;"∞",0),INDEX(AU34:CB34,1,$AT$1),INDEX(AU36:CB36,1,$AT$1)),"*莺鸣柳*")=1,R35,0)</f>
        <v>0</v>
      </c>
      <c r="T35">
        <f ca="1" t="shared" si="7"/>
        <v>0</v>
      </c>
      <c r="U35">
        <f ca="1">IF(金蛇,IF(COUNTIF(B35,"*金环戴*")+COUNTIF(B35,"*吹风醒*")&gt;0,IF(A35&lt;=3,7.125-2.625-A35-加速!$L$11,A35-T35),0),0)+IF(金蛇,IF(COUNTIF(B35,"*千切子裂光*")&gt;0,2+加速!$K$9-(A35+加速!$L$11-T35),0),0)</f>
        <v>0</v>
      </c>
      <c r="V35">
        <f ca="1" t="shared" si="8"/>
        <v>0</v>
      </c>
      <c r="W35">
        <f ca="1" t="shared" si="0"/>
        <v>0</v>
      </c>
      <c r="X35">
        <f ca="1">INDEX(加速!$I$13:$I$21,技能数计算!W35+1)</f>
        <v>0</v>
      </c>
      <c r="Y35">
        <f ca="1" t="shared" si="3"/>
        <v>0.5</v>
      </c>
      <c r="Z35">
        <f ca="1" t="shared" si="4"/>
        <v>0</v>
      </c>
      <c r="AA35">
        <f ca="1">MAX(0,IFERROR(IF(COUNTIF(B35,"*叠*")&gt;0,IF(AC34&lt;3,8-A36+A35,AA34+6.875-A36+A35),AA34-A36+A35),AA34-加速!$L$11))</f>
        <v>0</v>
      </c>
      <c r="AB35">
        <f ca="1">MAX(0,IF(COUNTIF(IF(AND(配装计算器!$K$30&lt;&gt;"∞",0),INDEX(AU35:CB35,1,$AT$1),INDEX(AU35:CB35,1,$AT$1)),"*叠1*")=1,4*25-加速!$L$11,AB34-A35+A34)-IF(OR(COUNTIF(OFFSET(AT35,0,$AT$1,1,1),"*听雷*")&gt;0,AND(碧归&gt;0,COUNTIF(OFFSET(AT35,0,$AT$1,1,1),"*风来*")&gt;0)),0,1)*1.5)</f>
        <v>10.28</v>
      </c>
      <c r="AC35">
        <f ca="1" t="shared" si="1"/>
        <v>0</v>
      </c>
      <c r="AD35">
        <f ca="1">IF(COUNTIF(IF(AND(配装计算器!$K$30&lt;&gt;"∞",0),INDEX(AU35:CB35,1,$AT$1),INDEX(AU36:CB36,1,$AT$1)),"*叠1*")=1,AB35*0+AE34,0)</f>
        <v>0</v>
      </c>
      <c r="AE35">
        <f ca="1">IF($AN$11&gt;0,IF(COUNTIF(B36,"*叠1*")&gt;0,50-加速!$H$11,MAX(0,AE34-(A36-A35))),0)</f>
        <v>5.53000000000002</v>
      </c>
      <c r="AH35" t="s">
        <v>1825</v>
      </c>
      <c r="AI35" t="s">
        <v>2776</v>
      </c>
      <c r="AJ35">
        <f ca="1">循环比*COUNTIFS($B$3:$B$515,AI35&amp;"*",$D$3:$D$515,"&gt;0",$H$3:$H$515,"&gt;0",$G$3:$G$515,"=0",$K$3:$K$515,"=2")+AN36</f>
        <v>0</v>
      </c>
      <c r="AK35" t="s">
        <v>3070</v>
      </c>
      <c r="AM35" s="167" t="s">
        <v>3071</v>
      </c>
      <c r="AN35">
        <f ca="1">AN32*AN27</f>
        <v>0</v>
      </c>
      <c r="AO35" t="s">
        <v>3072</v>
      </c>
      <c r="AU35" s="176" t="s">
        <v>2776</v>
      </c>
      <c r="AV35">
        <v>2</v>
      </c>
      <c r="AW35" t="s">
        <v>2768</v>
      </c>
      <c r="AX35">
        <v>2</v>
      </c>
      <c r="AY35" t="s">
        <v>2768</v>
      </c>
      <c r="AZ35">
        <v>1</v>
      </c>
      <c r="BA35" t="s">
        <v>2768</v>
      </c>
      <c r="BB35">
        <v>1</v>
      </c>
      <c r="BC35" t="s">
        <v>2768</v>
      </c>
      <c r="BD35">
        <v>2</v>
      </c>
      <c r="BE35" t="s">
        <v>2768</v>
      </c>
      <c r="BF35">
        <v>1</v>
      </c>
      <c r="BG35" t="s">
        <v>2768</v>
      </c>
      <c r="BH35">
        <v>2</v>
      </c>
      <c r="BI35" t="s">
        <v>2776</v>
      </c>
      <c r="BJ35">
        <v>2</v>
      </c>
      <c r="BK35" t="s">
        <v>2776</v>
      </c>
      <c r="BL35">
        <v>2</v>
      </c>
      <c r="BM35" t="s">
        <v>2776</v>
      </c>
      <c r="BN35">
        <v>2</v>
      </c>
      <c r="BO35" t="s">
        <v>2768</v>
      </c>
      <c r="BP35">
        <v>2</v>
      </c>
      <c r="BQ35" t="s">
        <v>3067</v>
      </c>
      <c r="BR35">
        <v>0</v>
      </c>
      <c r="BS35" t="s">
        <v>2776</v>
      </c>
      <c r="BT35">
        <v>0</v>
      </c>
      <c r="BU35" t="s">
        <v>2768</v>
      </c>
      <c r="BV35">
        <v>1</v>
      </c>
      <c r="BW35" s="179" t="s">
        <v>2776</v>
      </c>
      <c r="BX35" s="179">
        <v>1</v>
      </c>
      <c r="BY35" t="s">
        <v>2776</v>
      </c>
      <c r="BZ35">
        <v>2</v>
      </c>
      <c r="CA35" t="s">
        <v>2776</v>
      </c>
      <c r="CB35">
        <v>2</v>
      </c>
    </row>
    <row r="36" spans="1:80">
      <c r="A36" s="178">
        <f ca="1">IFERROR(IF(A35+加速!$L$11&lt;$AS$1,IF(COUNTIF(B35,"*轻*")&gt;0,A35+加速!$L$9,A35+加速!$L$11)+V35,IF(COUNTIF(INDEX(AU36:CB36,1,$AT$1),"*云景*")+COUNTIF(INDEX(AU36:CB36,1,$AT$1),"*鹤归*")+COUNTIF(INDEX(AU36:CB36,1,$AT$1),"*听雷*")&gt;0,A35+加速!$L$11,"")),"")</f>
        <v>43.22</v>
      </c>
      <c r="B36" s="167" t="str">
        <f ca="1">IF(A36&lt;&gt;"",IF(AND(A36+加速!$L$11&gt;$AS$1,IF(AND(配装计算器!$K$30&lt;&gt;"∞",0),"梦泉虎跑-轻",INDEX(AU36:CB36,1,$AT$1))="云栖松"),"夕照雷峰",IF(AND(配装计算器!$K$30&lt;&gt;"∞",0),"梦泉虎跑-轻",INDEX(AU36:CB36,1,$AT$1))),"")</f>
        <v>夕照雷峰</v>
      </c>
      <c r="C36">
        <f ca="1" t="shared" si="5"/>
        <v>15</v>
      </c>
      <c r="D36">
        <f ca="1">IF(B36&lt;&gt;"",IF(C35&lt;=加速!$L$11*(1-E36),0,1),"")</f>
        <v>1</v>
      </c>
      <c r="E36">
        <f ca="1" t="shared" si="2"/>
        <v>0</v>
      </c>
      <c r="G36">
        <f ca="1" t="shared" si="6"/>
        <v>0</v>
      </c>
      <c r="H36">
        <f ca="1">IF(B36&lt;&gt;"",IF(AND(COUNTIF(B35,"*轻*莺鸣柳*")&gt;0,COUNTIF(B36,"*轻*")&lt;1),MAX(0,15+I35-(A36-A35)+COUNTIF(B35,"*平湖*")*0),IF(AND(E36=0,MAX(0,H35-(A36-A35))&lt;=加速!$H$11),0,MAX(0,H35-(A36-A35)))),"")</f>
        <v>0</v>
      </c>
      <c r="I36">
        <f ca="1" t="shared" si="9"/>
        <v>0</v>
      </c>
      <c r="J36">
        <f ca="1" t="shared" si="10"/>
        <v>0</v>
      </c>
      <c r="K36">
        <f ca="1">IF(A36&lt;&gt;"",IF(AND(配装计算器!$K$30&lt;&gt;"∞",0),2,INDEX(AU36:CB36,1,$AT$2)),"")</f>
        <v>2</v>
      </c>
      <c r="L36">
        <f ca="1">IFERROR(IF(AND(COUNTIF(B36,"*-峰插*"),技能数据库!$M$72&gt;0),0,IF(COUNTIF(B36,"*鹤归*")&gt;0,16-加速!$L$11,MAX(0,L35-(A36-A35)))),0)</f>
        <v>0.390000000000008</v>
      </c>
      <c r="M36">
        <f ca="1">IF(COUNTIF(IF(AND(配装计算器!$K$30&lt;&gt;"∞",0),INDEX(AU35:CB35,1,$AT$1),INDEX(AU37:CB37,1,$AT$1)),"*鹤归*")=1,L36,0)</f>
        <v>0</v>
      </c>
      <c r="N36">
        <f ca="1">IFERROR(IF(AND(COUNTIF(B36,"*-峰插*"),技能数据库!$M$72&gt;0),0,IF(COUNTIF(B36,"*云飞*")&gt;0,4-COUNTIF(B36,"*玉山揽云*")*4--COUNTIF(B36,"*烟流暮景*")*4-COUNTIF(B36,"*云景*")*加速!$L$11-IF(J36&gt;0,2,0),MAX(0,N35-(A36-A35)-IF(J36&gt;0,2,0)))),0)</f>
        <v>2.71</v>
      </c>
      <c r="O36">
        <f ca="1">IF(AND(COUNTIF(IF(AND(配装计算器!$K$30&lt;&gt;"∞",0),INDEX(AU35:CB35,1,$AT$1),INDEX(AU37:CB37,1,$AT$1)),"*云飞*")=1,COUNTIF(IF(AND(配装计算器!$K$30&lt;&gt;"∞",0),INDEX(AU35:CB35,1,$AT$1),INDEX(AU37:CB37,1,$AT$1)),"*玉山*")=0),N36,0)</f>
        <v>0</v>
      </c>
      <c r="P36">
        <f ca="1">IFERROR(IF(COUNTIF(B36,"*云栖松*")&gt;0,50-加速!$L$11,MAX(0,P35-(A36-A35))),0)</f>
        <v>0</v>
      </c>
      <c r="Q36">
        <f ca="1">IF(COUNTIF(IF(AND(配装计算器!$K$30&lt;&gt;"∞",0),INDEX(AU35:CB35,1,$AT$1),INDEX(AU37:CB37,1,$AT$1)),"*云栖松*")=1,P36,0)</f>
        <v>0</v>
      </c>
      <c r="R36">
        <f ca="1">IFERROR(IF(COUNTIF(B36,"*莺鸣柳*")&gt;0,45-加速!$L$9,MAX(0,R35-(A36-A35))),0)</f>
        <v>0</v>
      </c>
      <c r="S36">
        <f ca="1">IF(COUNTIF(IF(AND(配装计算器!$K$30&lt;&gt;"∞",0),INDEX(AU35:CB35,1,$AT$1),INDEX(AU37:CB37,1,$AT$1)),"*莺鸣柳*")=1,R36,0)</f>
        <v>0</v>
      </c>
      <c r="T36">
        <f ca="1" t="shared" si="7"/>
        <v>0</v>
      </c>
      <c r="U36">
        <f ca="1">IF(金蛇,IF(COUNTIF(B36,"*金环戴*")+COUNTIF(B36,"*吹风醒*")&gt;0,IF(A36&lt;=3,7.125-2.625-A36-加速!$L$11,A36-T36),0),0)+IF(金蛇,IF(COUNTIF(B36,"*千切子裂光*")&gt;0,2+加速!$K$9-(A36+加速!$L$11-T36),0),0)</f>
        <v>0</v>
      </c>
      <c r="V36">
        <f ca="1" t="shared" si="8"/>
        <v>0</v>
      </c>
      <c r="W36">
        <f ca="1" t="shared" si="0"/>
        <v>0</v>
      </c>
      <c r="X36">
        <f ca="1">INDEX(加速!$I$13:$I$21,技能数计算!W36+1)</f>
        <v>0</v>
      </c>
      <c r="Y36">
        <f ca="1" t="shared" si="3"/>
        <v>0.5</v>
      </c>
      <c r="Z36">
        <f ca="1" t="shared" si="4"/>
        <v>0</v>
      </c>
      <c r="AA36">
        <f ca="1">MAX(0,IFERROR(IF(COUNTIF(B36,"*叠*")&gt;0,IF(AC35&lt;3,8-A37+A36,AA35+6.875-A37+A36),AA35-A37+A36),AA35-加速!$L$11))</f>
        <v>0</v>
      </c>
      <c r="AB36">
        <f ca="1">MAX(0,IF(COUNTIF(IF(AND(配装计算器!$K$30&lt;&gt;"∞",0),INDEX(AU36:CB36,1,$AT$1),INDEX(AU36:CB36,1,$AT$1)),"*叠1*")=1,4*25-加速!$L$11,AB35-A36+A35)-IF(OR(COUNTIF(OFFSET(AT36,0,$AT$1,1,1),"*听雷*")&gt;0,AND(碧归&gt;0,COUNTIF(OFFSET(AT36,0,$AT$1,1,1),"*风来*")&gt;0)),0,1)*1.5)</f>
        <v>7.49000000000002</v>
      </c>
      <c r="AC36">
        <f ca="1" t="shared" si="1"/>
        <v>0</v>
      </c>
      <c r="AD36">
        <f ca="1">IF(COUNTIF(IF(AND(配装计算器!$K$30&lt;&gt;"∞",0),INDEX(AU36:CB36,1,$AT$1),INDEX(AU37:CB37,1,$AT$1)),"*叠1*")=1,AB36*0+AE35,0)</f>
        <v>0</v>
      </c>
      <c r="AE36">
        <f ca="1">IF($AN$11&gt;0,IF(COUNTIF(B37,"*叠1*")&gt;0,50-加速!$H$11,MAX(0,AE35-(A37-A36))),0)</f>
        <v>4.24000000000002</v>
      </c>
      <c r="AH36" t="s">
        <v>1825</v>
      </c>
      <c r="AI36" t="s">
        <v>2780</v>
      </c>
      <c r="AJ36">
        <f ca="1">AJ34+AJ87</f>
        <v>12</v>
      </c>
      <c r="AK36" t="s">
        <v>3069</v>
      </c>
      <c r="AM36" s="167" t="s">
        <v>3073</v>
      </c>
      <c r="AN36">
        <f ca="1">AN31*AN27</f>
        <v>0</v>
      </c>
      <c r="AO36" t="s">
        <v>3072</v>
      </c>
      <c r="AU36" s="176" t="s">
        <v>2768</v>
      </c>
      <c r="AV36">
        <v>1</v>
      </c>
      <c r="AW36" t="s">
        <v>2722</v>
      </c>
      <c r="AX36">
        <v>0</v>
      </c>
      <c r="AY36" t="s">
        <v>2776</v>
      </c>
      <c r="AZ36">
        <v>1</v>
      </c>
      <c r="BA36" t="s">
        <v>2776</v>
      </c>
      <c r="BB36">
        <v>1</v>
      </c>
      <c r="BC36" t="s">
        <v>2768</v>
      </c>
      <c r="BD36">
        <v>1</v>
      </c>
      <c r="BE36" t="s">
        <v>2768</v>
      </c>
      <c r="BF36">
        <v>1</v>
      </c>
      <c r="BG36" s="176" t="s">
        <v>2794</v>
      </c>
      <c r="BH36">
        <v>1</v>
      </c>
      <c r="BI36" t="s">
        <v>2768</v>
      </c>
      <c r="BJ36">
        <v>2</v>
      </c>
      <c r="BK36" t="s">
        <v>2768</v>
      </c>
      <c r="BL36">
        <v>2</v>
      </c>
      <c r="BM36" t="s">
        <v>2768</v>
      </c>
      <c r="BN36">
        <v>2</v>
      </c>
      <c r="BO36" t="s">
        <v>2768</v>
      </c>
      <c r="BP36">
        <v>2</v>
      </c>
      <c r="BQ36" t="s">
        <v>2776</v>
      </c>
      <c r="BR36">
        <v>2</v>
      </c>
      <c r="BS36" t="s">
        <v>2768</v>
      </c>
      <c r="BT36">
        <v>0</v>
      </c>
      <c r="BU36" t="s">
        <v>2776</v>
      </c>
      <c r="BV36">
        <v>1</v>
      </c>
      <c r="BW36" s="179" t="s">
        <v>2718</v>
      </c>
      <c r="BX36" s="179">
        <v>0</v>
      </c>
      <c r="BY36" t="s">
        <v>2718</v>
      </c>
      <c r="BZ36">
        <v>0</v>
      </c>
      <c r="CA36" t="s">
        <v>2718</v>
      </c>
      <c r="CB36">
        <v>0</v>
      </c>
    </row>
    <row r="37" spans="1:80">
      <c r="A37" s="178">
        <f ca="1">IFERROR(IF(A36+加速!$L$11&lt;$AS$1,IF(COUNTIF(B36,"*轻*")&gt;0,A36+加速!$L$9,A36+加速!$L$11)+V36,IF(COUNTIF(INDEX(AU37:CB37,1,$AT$1),"*云景*")+COUNTIF(INDEX(AU37:CB37,1,$AT$1),"*鹤归*")+COUNTIF(INDEX(AU37:CB37,1,$AT$1),"*听雷*")&gt;0,A36+加速!$L$11,"")),"")</f>
        <v>44.51</v>
      </c>
      <c r="B37" s="167" t="str">
        <f ca="1">IF(A37&lt;&gt;"",IF(AND(A37+加速!$L$11&gt;$AS$1,IF(AND(配装计算器!$K$30&lt;&gt;"∞",0),"梦泉虎跑-轻",INDEX(AU37:CB37,1,$AT$1))="云栖松"),"夕照雷峰",IF(AND(配装计算器!$K$30&lt;&gt;"∞",0),"梦泉虎跑-轻",INDEX(AU37:CB37,1,$AT$1))),"")</f>
        <v>夕照雷峰</v>
      </c>
      <c r="C37">
        <f ca="1" t="shared" si="5"/>
        <v>15</v>
      </c>
      <c r="D37">
        <f ca="1">IF(B37&lt;&gt;"",IF(C36&lt;=加速!$L$11*(1-E37),0,1),"")</f>
        <v>1</v>
      </c>
      <c r="E37">
        <f ca="1" t="shared" si="2"/>
        <v>0</v>
      </c>
      <c r="G37">
        <f ca="1" t="shared" si="6"/>
        <v>0</v>
      </c>
      <c r="H37">
        <f ca="1">IF(B37&lt;&gt;"",IF(AND(COUNTIF(B36,"*轻*莺鸣柳*")&gt;0,COUNTIF(B37,"*轻*")&lt;1),MAX(0,15+I36-(A37-A36)+COUNTIF(B36,"*平湖*")*0),IF(AND(E37=0,MAX(0,H36-(A37-A36))&lt;=加速!$H$11),0,MAX(0,H36-(A37-A36)))),"")</f>
        <v>0</v>
      </c>
      <c r="I37">
        <f ca="1" t="shared" si="9"/>
        <v>0</v>
      </c>
      <c r="J37">
        <f ca="1" t="shared" si="10"/>
        <v>0</v>
      </c>
      <c r="K37">
        <f ca="1">IF(A37&lt;&gt;"",IF(AND(配装计算器!$K$30&lt;&gt;"∞",0),2,INDEX(AU37:CB37,1,$AT$2)),"")</f>
        <v>2</v>
      </c>
      <c r="L37">
        <f ca="1">IFERROR(IF(AND(COUNTIF(B37,"*-峰插*"),技能数据库!$M$72&gt;0),0,IF(COUNTIF(B37,"*鹤归*")&gt;0,16-加速!$L$11,MAX(0,L36-(A37-A36)))),0)</f>
        <v>0</v>
      </c>
      <c r="M37">
        <f ca="1">IF(COUNTIF(IF(AND(配装计算器!$K$30&lt;&gt;"∞",0),INDEX(AU36:CB36,1,$AT$1),INDEX(AU38:CB38,1,$AT$1)),"*鹤归*")=1,L37,0)</f>
        <v>0</v>
      </c>
      <c r="N37">
        <f ca="1">IFERROR(IF(AND(COUNTIF(B37,"*-峰插*"),技能数据库!$M$72&gt;0),0,IF(COUNTIF(B37,"*云飞*")&gt;0,4-COUNTIF(B37,"*玉山揽云*")*4--COUNTIF(B37,"*烟流暮景*")*4-COUNTIF(B37,"*云景*")*加速!$L$11-IF(J37&gt;0,2,0),MAX(0,N36-(A37-A36)-IF(J37&gt;0,2,0)))),0)</f>
        <v>1.42</v>
      </c>
      <c r="O37">
        <f ca="1">IF(AND(COUNTIF(IF(AND(配装计算器!$K$30&lt;&gt;"∞",0),INDEX(AU36:CB36,1,$AT$1),INDEX(AU38:CB38,1,$AT$1)),"*云飞*")=1,COUNTIF(IF(AND(配装计算器!$K$30&lt;&gt;"∞",0),INDEX(AU36:CB36,1,$AT$1),INDEX(AU38:CB38,1,$AT$1)),"*玉山*")=0),N37,0)</f>
        <v>0</v>
      </c>
      <c r="P37">
        <f ca="1">IFERROR(IF(COUNTIF(B37,"*云栖松*")&gt;0,50-加速!$L$11,MAX(0,P36-(A37-A36))),0)</f>
        <v>0</v>
      </c>
      <c r="Q37">
        <f ca="1">IF(COUNTIF(IF(AND(配装计算器!$K$30&lt;&gt;"∞",0),INDEX(AU36:CB36,1,$AT$1),INDEX(AU38:CB38,1,$AT$1)),"*云栖松*")=1,P37,0)</f>
        <v>0</v>
      </c>
      <c r="R37">
        <f ca="1">IFERROR(IF(COUNTIF(B37,"*莺鸣柳*")&gt;0,45-加速!$L$9,MAX(0,R36-(A37-A36))),0)</f>
        <v>0</v>
      </c>
      <c r="S37">
        <f ca="1">IF(COUNTIF(IF(AND(配装计算器!$K$30&lt;&gt;"∞",0),INDEX(AU36:CB36,1,$AT$1),INDEX(AU38:CB38,1,$AT$1)),"*莺鸣柳*")=1,R37,0)</f>
        <v>0</v>
      </c>
      <c r="T37">
        <f ca="1" t="shared" si="7"/>
        <v>0</v>
      </c>
      <c r="U37">
        <f ca="1">IF(金蛇,IF(COUNTIF(B37,"*金环戴*")+COUNTIF(B37,"*吹风醒*")&gt;0,IF(A37&lt;=3,7.125-2.625-A37-加速!$L$11,A37-T37),0),0)+IF(金蛇,IF(COUNTIF(B37,"*千切子裂光*")&gt;0,2+加速!$K$9-(A37+加速!$L$11-T37),0),0)</f>
        <v>0</v>
      </c>
      <c r="V37">
        <f ca="1" t="shared" si="8"/>
        <v>0</v>
      </c>
      <c r="W37">
        <f ca="1" t="shared" si="0"/>
        <v>0</v>
      </c>
      <c r="X37">
        <f ca="1">INDEX(加速!$I$13:$I$21,技能数计算!W37+1)</f>
        <v>0</v>
      </c>
      <c r="Y37">
        <f ca="1" t="shared" si="3"/>
        <v>0.5</v>
      </c>
      <c r="Z37">
        <f ca="1" t="shared" si="4"/>
        <v>0</v>
      </c>
      <c r="AA37">
        <f ca="1">MAX(0,IFERROR(IF(COUNTIF(B37,"*叠*")&gt;0,IF(AC36&lt;3,8-A38+A37,AA36+6.875-A38+A37),AA36-A38+A37),AA36-加速!$L$11))</f>
        <v>0</v>
      </c>
      <c r="AB37">
        <f ca="1">MAX(0,IF(COUNTIF(IF(AND(配装计算器!$K$30&lt;&gt;"∞",0),INDEX(AU37:CB37,1,$AT$1),INDEX(AU37:CB37,1,$AT$1)),"*叠1*")=1,4*25-加速!$L$11,AB36-A37+A36)-IF(OR(COUNTIF(OFFSET(AT37,0,$AT$1,1,1),"*听雷*")&gt;0,AND(碧归&gt;0,COUNTIF(OFFSET(AT37,0,$AT$1,1,1),"*风来*")&gt;0)),0,1)*1.5)</f>
        <v>4.70000000000002</v>
      </c>
      <c r="AC37">
        <f ca="1" t="shared" si="1"/>
        <v>0</v>
      </c>
      <c r="AD37">
        <f ca="1">IF(COUNTIF(IF(AND(配装计算器!$K$30&lt;&gt;"∞",0),INDEX(AU37:CB37,1,$AT$1),INDEX(AU38:CB38,1,$AT$1)),"*叠1*")=1,AB37*0+AE36,0)</f>
        <v>0</v>
      </c>
      <c r="AE37">
        <f ca="1">IF($AN$11&gt;0,IF(COUNTIF(B38,"*叠1*")&gt;0,50-加速!$H$11,MAX(0,AE36-(A38-A37))),0)</f>
        <v>2.95000000000002</v>
      </c>
      <c r="AH37" t="s">
        <v>1825</v>
      </c>
      <c r="AI37" t="s">
        <v>2780</v>
      </c>
      <c r="AJ37">
        <f ca="1">AJ35+AJ71</f>
        <v>0</v>
      </c>
      <c r="AK37" t="s">
        <v>3070</v>
      </c>
      <c r="AM37" s="167" t="s">
        <v>2776</v>
      </c>
      <c r="AN37">
        <f ca="1">AN33*AN27</f>
        <v>0</v>
      </c>
      <c r="AO37" t="s">
        <v>3072</v>
      </c>
      <c r="AU37" s="176" t="s">
        <v>2776</v>
      </c>
      <c r="AV37">
        <v>2</v>
      </c>
      <c r="AW37" t="s">
        <v>3009</v>
      </c>
      <c r="AX37">
        <v>2</v>
      </c>
      <c r="AY37" t="s">
        <v>2768</v>
      </c>
      <c r="AZ37">
        <v>1</v>
      </c>
      <c r="BA37" t="s">
        <v>2768</v>
      </c>
      <c r="BB37">
        <v>1</v>
      </c>
      <c r="BC37" t="s">
        <v>2776</v>
      </c>
      <c r="BD37">
        <v>1</v>
      </c>
      <c r="BE37" t="s">
        <v>2776</v>
      </c>
      <c r="BF37">
        <v>0</v>
      </c>
      <c r="BG37" t="s">
        <v>2776</v>
      </c>
      <c r="BH37">
        <v>1</v>
      </c>
      <c r="BI37" t="s">
        <v>2768</v>
      </c>
      <c r="BJ37">
        <v>2</v>
      </c>
      <c r="BK37" t="s">
        <v>2768</v>
      </c>
      <c r="BL37">
        <v>2</v>
      </c>
      <c r="BM37" t="s">
        <v>2768</v>
      </c>
      <c r="BN37">
        <v>2</v>
      </c>
      <c r="BO37" t="s">
        <v>2768</v>
      </c>
      <c r="BP37">
        <v>2</v>
      </c>
      <c r="BQ37" t="s">
        <v>2768</v>
      </c>
      <c r="BR37">
        <v>2</v>
      </c>
      <c r="BS37" t="s">
        <v>3074</v>
      </c>
      <c r="BT37">
        <v>2</v>
      </c>
      <c r="BU37" t="s">
        <v>2768</v>
      </c>
      <c r="BV37">
        <v>0</v>
      </c>
      <c r="BW37" s="179" t="s">
        <v>2718</v>
      </c>
      <c r="BX37" s="179">
        <v>0</v>
      </c>
      <c r="BY37" t="s">
        <v>2768</v>
      </c>
      <c r="BZ37">
        <v>2</v>
      </c>
      <c r="CA37" t="s">
        <v>2768</v>
      </c>
      <c r="CB37">
        <v>2</v>
      </c>
    </row>
    <row r="38" spans="1:80">
      <c r="A38" s="178">
        <f ca="1">IFERROR(IF(A37+加速!$L$11&lt;$AS$1,IF(COUNTIF(B37,"*轻*")&gt;0,A37+加速!$L$9,A37+加速!$L$11)+V37,IF(COUNTIF(INDEX(AU38:CB38,1,$AT$1),"*云景*")+COUNTIF(INDEX(AU38:CB38,1,$AT$1),"*鹤归*")+COUNTIF(INDEX(AU38:CB38,1,$AT$1),"*听雷*")&gt;0,A37+加速!$L$11,"")),"")</f>
        <v>45.8</v>
      </c>
      <c r="B38" s="167" t="str">
        <f ca="1">IF(A38&lt;&gt;"",IF(AND(A38+加速!$L$11&gt;$AS$1,IF(AND(配装计算器!$K$30&lt;&gt;"∞",0),"梦泉虎跑-轻",INDEX(AU38:CB38,1,$AT$1))="云栖松"),"夕照雷峰",IF(AND(配装计算器!$K$30&lt;&gt;"∞",0),"梦泉虎跑-轻",INDEX(AU38:CB38,1,$AT$1))),"")</f>
        <v>鹤归孤山</v>
      </c>
      <c r="C38">
        <f ca="1" t="shared" si="5"/>
        <v>13.71</v>
      </c>
      <c r="D38">
        <f ca="1">IF(B38&lt;&gt;"",IF(C37&lt;=加速!$L$11*(1-E38),0,1),"")</f>
        <v>1</v>
      </c>
      <c r="E38">
        <f ca="1" t="shared" si="2"/>
        <v>1</v>
      </c>
      <c r="G38">
        <f ca="1" t="shared" si="6"/>
        <v>0</v>
      </c>
      <c r="H38">
        <f ca="1">IF(B38&lt;&gt;"",IF(AND(COUNTIF(B37,"*轻*莺鸣柳*")&gt;0,COUNTIF(B38,"*轻*")&lt;1),MAX(0,15+I37-(A38-A37)+COUNTIF(B37,"*平湖*")*0),IF(AND(E38=0,MAX(0,H37-(A38-A37))&lt;=加速!$H$11),0,MAX(0,H37-(A38-A37)))),"")</f>
        <v>0</v>
      </c>
      <c r="I38">
        <f ca="1" t="shared" si="9"/>
        <v>0</v>
      </c>
      <c r="J38">
        <f ca="1" t="shared" si="10"/>
        <v>0</v>
      </c>
      <c r="K38">
        <f ca="1">IF(A38&lt;&gt;"",IF(AND(配装计算器!$K$30&lt;&gt;"∞",0),2,INDEX(AU38:CB38,1,$AT$2)),"")</f>
        <v>1</v>
      </c>
      <c r="L38">
        <f ca="1">IFERROR(IF(AND(COUNTIF(B38,"*-峰插*"),技能数据库!$M$72&gt;0),0,IF(COUNTIF(B38,"*鹤归*")&gt;0,16-加速!$L$11,MAX(0,L37-(A38-A37)))),0)</f>
        <v>14.71</v>
      </c>
      <c r="M38">
        <f ca="1">IF(COUNTIF(IF(AND(配装计算器!$K$30&lt;&gt;"∞",0),INDEX(AU37:CB37,1,$AT$1),INDEX(AU39:CB39,1,$AT$1)),"*鹤归*")=1,L38,0)</f>
        <v>0</v>
      </c>
      <c r="N38">
        <f ca="1">IFERROR(IF(AND(COUNTIF(B38,"*-峰插*"),技能数据库!$M$72&gt;0),0,IF(COUNTIF(B38,"*云飞*")&gt;0,4-COUNTIF(B38,"*玉山揽云*")*4--COUNTIF(B38,"*烟流暮景*")*4-COUNTIF(B38,"*云景*")*加速!$L$11-IF(J38&gt;0,2,0),MAX(0,N37-(A38-A37)-IF(J38&gt;0,2,0)))),0)</f>
        <v>0.130000000000003</v>
      </c>
      <c r="O38">
        <f ca="1">IF(AND(COUNTIF(IF(AND(配装计算器!$K$30&lt;&gt;"∞",0),INDEX(AU37:CB37,1,$AT$1),INDEX(AU39:CB39,1,$AT$1)),"*云飞*")=1,COUNTIF(IF(AND(配装计算器!$K$30&lt;&gt;"∞",0),INDEX(AU37:CB37,1,$AT$1),INDEX(AU39:CB39,1,$AT$1)),"*玉山*")=0),N38,0)</f>
        <v>0.130000000000003</v>
      </c>
      <c r="P38">
        <f ca="1">IFERROR(IF(COUNTIF(B38,"*云栖松*")&gt;0,50-加速!$L$11,MAX(0,P37-(A38-A37))),0)</f>
        <v>0</v>
      </c>
      <c r="Q38">
        <f ca="1">IF(COUNTIF(IF(AND(配装计算器!$K$30&lt;&gt;"∞",0),INDEX(AU37:CB37,1,$AT$1),INDEX(AU39:CB39,1,$AT$1)),"*云栖松*")=1,P38,0)</f>
        <v>0</v>
      </c>
      <c r="R38">
        <f ca="1">IFERROR(IF(COUNTIF(B38,"*莺鸣柳*")&gt;0,45-加速!$L$9,MAX(0,R37-(A38-A37))),0)</f>
        <v>0</v>
      </c>
      <c r="S38">
        <f ca="1">IF(COUNTIF(IF(AND(配装计算器!$K$30&lt;&gt;"∞",0),INDEX(AU37:CB37,1,$AT$1),INDEX(AU39:CB39,1,$AT$1)),"*莺鸣柳*")=1,R38,0)</f>
        <v>0</v>
      </c>
      <c r="T38">
        <f ca="1" t="shared" si="7"/>
        <v>0</v>
      </c>
      <c r="U38">
        <f ca="1">IF(金蛇,IF(COUNTIF(B38,"*金环戴*")+COUNTIF(B38,"*吹风醒*")&gt;0,IF(A38&lt;=3,7.125-2.625-A38-加速!$L$11,A38-T38),0),0)+IF(金蛇,IF(COUNTIF(B38,"*千切子裂光*")&gt;0,2+加速!$K$9-(A38+加速!$L$11-T38),0),0)</f>
        <v>0</v>
      </c>
      <c r="V38">
        <f ca="1" t="shared" si="8"/>
        <v>0.130000000000003</v>
      </c>
      <c r="W38">
        <f ca="1" t="shared" si="0"/>
        <v>0</v>
      </c>
      <c r="X38">
        <f ca="1">INDEX(加速!$I$13:$I$21,技能数计算!W38+1)</f>
        <v>0</v>
      </c>
      <c r="Y38">
        <f ca="1" t="shared" si="3"/>
        <v>0.5</v>
      </c>
      <c r="Z38">
        <f ca="1" t="shared" si="4"/>
        <v>0</v>
      </c>
      <c r="AA38">
        <f ca="1">MAX(0,IFERROR(IF(COUNTIF(B38,"*叠*")&gt;0,IF(AC37&lt;3,8-A39+A38,AA37+6.875-A39+A38),AA37-A39+A38),AA37-加速!$L$11))</f>
        <v>0</v>
      </c>
      <c r="AB38">
        <f ca="1">MAX(0,IF(COUNTIF(IF(AND(配装计算器!$K$30&lt;&gt;"∞",0),INDEX(AU38:CB38,1,$AT$1),INDEX(AU38:CB38,1,$AT$1)),"*叠1*")=1,4*25-加速!$L$11,AB37-A38+A37)-IF(OR(COUNTIF(OFFSET(AT38,0,$AT$1,1,1),"*听雷*")&gt;0,AND(碧归&gt;0,COUNTIF(OFFSET(AT38,0,$AT$1,1,1),"*风来*")&gt;0)),0,1)*1.5)</f>
        <v>1.91000000000003</v>
      </c>
      <c r="AC38">
        <f ca="1" t="shared" si="1"/>
        <v>0</v>
      </c>
      <c r="AD38">
        <f ca="1">IF(COUNTIF(IF(AND(配装计算器!$K$30&lt;&gt;"∞",0),INDEX(AU38:CB38,1,$AT$1),INDEX(AU39:CB39,1,$AT$1)),"*叠1*")=1,AB38*0+AE37,0)</f>
        <v>0</v>
      </c>
      <c r="AE38">
        <f ca="1">IF($AN$11&gt;0,IF(COUNTIF(B39,"*叠1*")&gt;0,50-加速!$H$11,MAX(0,AE37-(A39-A38))),0)</f>
        <v>1.53000000000002</v>
      </c>
      <c r="AH38" t="s">
        <v>1825</v>
      </c>
      <c r="AI38" t="s">
        <v>2776</v>
      </c>
      <c r="AJ38">
        <f ca="1">循环比*COUNTIFS($B$3:$B$515,AI38&amp;"*",$D$3:$D$515,"&gt;0",$H$3:$H$515,"=0",$G$3:$G$515,"=0",$K$3:$K$515,"=1",$AC$3:$AC$515,"=0")</f>
        <v>8</v>
      </c>
      <c r="AK38" t="s">
        <v>3057</v>
      </c>
      <c r="AM38" s="167" t="s">
        <v>3075</v>
      </c>
      <c r="AN38">
        <f ca="1">AN32*AN28</f>
        <v>0</v>
      </c>
      <c r="AO38" t="s">
        <v>3072</v>
      </c>
      <c r="AU38" s="176" t="s">
        <v>2768</v>
      </c>
      <c r="AV38">
        <v>1</v>
      </c>
      <c r="AW38" t="s">
        <v>2776</v>
      </c>
      <c r="AX38">
        <v>2</v>
      </c>
      <c r="AY38" t="s">
        <v>2768</v>
      </c>
      <c r="AZ38">
        <v>0</v>
      </c>
      <c r="BA38" t="s">
        <v>2768</v>
      </c>
      <c r="BB38">
        <v>0</v>
      </c>
      <c r="BC38" t="s">
        <v>2768</v>
      </c>
      <c r="BD38">
        <v>1</v>
      </c>
      <c r="BE38" t="s">
        <v>2722</v>
      </c>
      <c r="BF38">
        <v>0</v>
      </c>
      <c r="BG38" t="s">
        <v>2768</v>
      </c>
      <c r="BH38">
        <v>1</v>
      </c>
      <c r="BI38" s="176" t="s">
        <v>2794</v>
      </c>
      <c r="BJ38">
        <v>1</v>
      </c>
      <c r="BK38" s="176" t="s">
        <v>3056</v>
      </c>
      <c r="BL38">
        <v>2</v>
      </c>
      <c r="BM38" t="s">
        <v>2768</v>
      </c>
      <c r="BN38">
        <v>2</v>
      </c>
      <c r="BO38" t="s">
        <v>2776</v>
      </c>
      <c r="BP38">
        <v>2</v>
      </c>
      <c r="BQ38" t="s">
        <v>2768</v>
      </c>
      <c r="BR38">
        <v>2</v>
      </c>
      <c r="BS38" t="s">
        <v>2768</v>
      </c>
      <c r="BT38">
        <v>2</v>
      </c>
      <c r="BU38" t="s">
        <v>2768</v>
      </c>
      <c r="BV38">
        <v>0</v>
      </c>
      <c r="BW38" s="179" t="s">
        <v>2768</v>
      </c>
      <c r="BX38" s="179">
        <v>2</v>
      </c>
      <c r="BY38" t="s">
        <v>2768</v>
      </c>
      <c r="BZ38">
        <v>1</v>
      </c>
      <c r="CA38" t="s">
        <v>2768</v>
      </c>
      <c r="CB38">
        <v>1</v>
      </c>
    </row>
    <row r="39" spans="1:80">
      <c r="A39" s="178">
        <f ca="1">IFERROR(IF(A38+加速!$L$11&lt;$AS$1,IF(COUNTIF(B38,"*轻*")&gt;0,A38+加速!$L$9,A38+加速!$L$11)+V38,IF(COUNTIF(INDEX(AU39:CB39,1,$AT$1),"*云景*")+COUNTIF(INDEX(AU39:CB39,1,$AT$1),"*鹤归*")+COUNTIF(INDEX(AU39:CB39,1,$AT$1),"*听雷*")&gt;0,A38+加速!$L$11,"")),"")</f>
        <v>47.22</v>
      </c>
      <c r="B39" s="167" t="str">
        <f ca="1">IF(A39&lt;&gt;"",IF(AND(A39+加速!$L$11&gt;$AS$1,IF(AND(配装计算器!$K$30&lt;&gt;"∞",0),"梦泉虎跑-轻",INDEX(AU39:CB39,1,$AT$1))="云栖松"),"夕照雷峰",IF(AND(配装计算器!$K$30&lt;&gt;"∞",0),"梦泉虎跑-轻",INDEX(AU39:CB39,1,$AT$1))),"")</f>
        <v>云飞玉皇</v>
      </c>
      <c r="C39">
        <f ca="1" t="shared" si="5"/>
        <v>12.29</v>
      </c>
      <c r="D39">
        <f ca="1">IF(B39&lt;&gt;"",IF(C38&lt;=加速!$L$11*(1-E39),0,1),"")</f>
        <v>1</v>
      </c>
      <c r="E39">
        <f ca="1" t="shared" si="2"/>
        <v>0</v>
      </c>
      <c r="G39">
        <f ca="1" t="shared" si="6"/>
        <v>0</v>
      </c>
      <c r="H39">
        <f ca="1">IF(B39&lt;&gt;"",IF(AND(COUNTIF(B38,"*轻*莺鸣柳*")&gt;0,COUNTIF(B39,"*轻*")&lt;1),MAX(0,15+I38-(A39-A38)+COUNTIF(B38,"*平湖*")*0),IF(AND(E39=0,MAX(0,H38-(A39-A38))&lt;=加速!$H$11),0,MAX(0,H38-(A39-A38)))),"")</f>
        <v>0</v>
      </c>
      <c r="I39">
        <f ca="1" t="shared" si="9"/>
        <v>0</v>
      </c>
      <c r="J39">
        <f ca="1" t="shared" si="10"/>
        <v>4</v>
      </c>
      <c r="K39">
        <f ca="1">IF(A39&lt;&gt;"",IF(AND(配装计算器!$K$30&lt;&gt;"∞",0),2,INDEX(AU39:CB39,1,$AT$2)),"")</f>
        <v>1</v>
      </c>
      <c r="L39">
        <f ca="1">IFERROR(IF(AND(COUNTIF(B39,"*-峰插*"),技能数据库!$M$72&gt;0),0,IF(COUNTIF(B39,"*鹤归*")&gt;0,16-加速!$L$11,MAX(0,L38-(A39-A38)))),0)</f>
        <v>13.29</v>
      </c>
      <c r="M39">
        <f ca="1">IF(COUNTIF(IF(AND(配装计算器!$K$30&lt;&gt;"∞",0),INDEX(AU38:CB38,1,$AT$1),INDEX(AU40:CB40,1,$AT$1)),"*鹤归*")=1,L39,0)</f>
        <v>0</v>
      </c>
      <c r="N39">
        <f ca="1">IFERROR(IF(AND(COUNTIF(B39,"*-峰插*"),技能数据库!$M$72&gt;0),0,IF(COUNTIF(B39,"*云飞*")&gt;0,4-COUNTIF(B39,"*玉山揽云*")*4--COUNTIF(B39,"*烟流暮景*")*4-COUNTIF(B39,"*云景*")*加速!$L$11-IF(J39&gt;0,2,0),MAX(0,N38-(A39-A38)-IF(J39&gt;0,2,0)))),0)</f>
        <v>2</v>
      </c>
      <c r="O39">
        <f ca="1">IF(AND(COUNTIF(IF(AND(配装计算器!$K$30&lt;&gt;"∞",0),INDEX(AU38:CB38,1,$AT$1),INDEX(AU40:CB40,1,$AT$1)),"*云飞*")=1,COUNTIF(IF(AND(配装计算器!$K$30&lt;&gt;"∞",0),INDEX(AU38:CB38,1,$AT$1),INDEX(AU40:CB40,1,$AT$1)),"*玉山*")=0),N39,0)</f>
        <v>0</v>
      </c>
      <c r="P39">
        <f ca="1">IFERROR(IF(COUNTIF(B39,"*云栖松*")&gt;0,50-加速!$L$11,MAX(0,P38-(A39-A38))),0)</f>
        <v>0</v>
      </c>
      <c r="Q39">
        <f ca="1">IF(COUNTIF(IF(AND(配装计算器!$K$30&lt;&gt;"∞",0),INDEX(AU38:CB38,1,$AT$1),INDEX(AU40:CB40,1,$AT$1)),"*云栖松*")=1,P39,0)</f>
        <v>0</v>
      </c>
      <c r="R39">
        <f ca="1">IFERROR(IF(COUNTIF(B39,"*莺鸣柳*")&gt;0,45-加速!$L$9,MAX(0,R38-(A39-A38))),0)</f>
        <v>0</v>
      </c>
      <c r="S39">
        <f ca="1">IF(COUNTIF(IF(AND(配装计算器!$K$30&lt;&gt;"∞",0),INDEX(AU38:CB38,1,$AT$1),INDEX(AU40:CB40,1,$AT$1)),"*莺鸣柳*")=1,R39,0)</f>
        <v>0</v>
      </c>
      <c r="T39">
        <f ca="1" t="shared" si="7"/>
        <v>0</v>
      </c>
      <c r="U39">
        <f ca="1">IF(金蛇,IF(COUNTIF(B39,"*金环戴*")+COUNTIF(B39,"*吹风醒*")&gt;0,IF(A39&lt;=3,7.125-2.625-A39-加速!$L$11,A39-T39),0),0)+IF(金蛇,IF(COUNTIF(B39,"*千切子裂光*")&gt;0,2+加速!$K$9-(A39+加速!$L$11-T39),0),0)</f>
        <v>0</v>
      </c>
      <c r="V39">
        <f ca="1" t="shared" si="8"/>
        <v>0</v>
      </c>
      <c r="W39">
        <f ca="1" t="shared" si="0"/>
        <v>0</v>
      </c>
      <c r="X39">
        <f ca="1">INDEX(加速!$I$13:$I$21,技能数计算!W39+1)</f>
        <v>0</v>
      </c>
      <c r="Y39">
        <f ca="1" t="shared" si="3"/>
        <v>0.5</v>
      </c>
      <c r="Z39">
        <f ca="1" t="shared" si="4"/>
        <v>0</v>
      </c>
      <c r="AA39">
        <f ca="1">MAX(0,IFERROR(IF(COUNTIF(B39,"*叠*")&gt;0,IF(AC38&lt;3,8-A40+A39,AA38+6.875-A40+A39),AA38-A40+A39),AA38-加速!$L$11))</f>
        <v>0</v>
      </c>
      <c r="AB39">
        <f ca="1">MAX(0,IF(COUNTIF(IF(AND(配装计算器!$K$30&lt;&gt;"∞",0),INDEX(AU39:CB39,1,$AT$1),INDEX(AU39:CB39,1,$AT$1)),"*叠1*")=1,4*25-加速!$L$11,AB38-A39+A38)-IF(OR(COUNTIF(OFFSET(AT39,0,$AT$1,1,1),"*听雷*")&gt;0,AND(碧归&gt;0,COUNTIF(OFFSET(AT39,0,$AT$1,1,1),"*风来*")&gt;0)),0,1)*1.5)</f>
        <v>0</v>
      </c>
      <c r="AC39">
        <f ca="1" t="shared" si="1"/>
        <v>0</v>
      </c>
      <c r="AD39">
        <f ca="1">IF(COUNTIF(IF(AND(配装计算器!$K$30&lt;&gt;"∞",0),INDEX(AU39:CB39,1,$AT$1),INDEX(AU40:CB40,1,$AT$1)),"*叠1*")=1,AB39*0+AE38,0)</f>
        <v>0</v>
      </c>
      <c r="AE39">
        <f ca="1">IF($AN$11&gt;0,IF(COUNTIF(B40,"*叠1*")&gt;0,50-加速!$H$11,MAX(0,AE38-(A40-A39))),0)</f>
        <v>0.240000000000016</v>
      </c>
      <c r="AH39" t="s">
        <v>1825</v>
      </c>
      <c r="AI39" t="s">
        <v>2780</v>
      </c>
      <c r="AJ39">
        <f ca="1">AJ38+AJ70</f>
        <v>8</v>
      </c>
      <c r="AK39" t="s">
        <v>3057</v>
      </c>
      <c r="AM39" s="167" t="s">
        <v>3076</v>
      </c>
      <c r="AN39">
        <f ca="1">AN31*AN28</f>
        <v>0</v>
      </c>
      <c r="AO39" t="s">
        <v>3072</v>
      </c>
      <c r="AU39" s="176" t="s">
        <v>2776</v>
      </c>
      <c r="AV39">
        <v>1</v>
      </c>
      <c r="AW39" t="s">
        <v>2768</v>
      </c>
      <c r="AX39">
        <v>2</v>
      </c>
      <c r="AY39" t="s">
        <v>3010</v>
      </c>
      <c r="AZ39">
        <v>2</v>
      </c>
      <c r="BA39" t="s">
        <v>3010</v>
      </c>
      <c r="BB39">
        <v>2</v>
      </c>
      <c r="BC39" t="s">
        <v>2768</v>
      </c>
      <c r="BD39">
        <v>0</v>
      </c>
      <c r="BE39" t="s">
        <v>2722</v>
      </c>
      <c r="BF39">
        <v>2</v>
      </c>
      <c r="BG39" t="s">
        <v>3011</v>
      </c>
      <c r="BH39">
        <v>2</v>
      </c>
      <c r="BI39" t="s">
        <v>2776</v>
      </c>
      <c r="BJ39">
        <v>1</v>
      </c>
      <c r="BK39" s="176" t="s">
        <v>2768</v>
      </c>
      <c r="BL39">
        <v>2</v>
      </c>
      <c r="BM39" t="s">
        <v>2776</v>
      </c>
      <c r="BN39">
        <v>2</v>
      </c>
      <c r="BO39" t="s">
        <v>2768</v>
      </c>
      <c r="BP39">
        <v>1</v>
      </c>
      <c r="BQ39" t="s">
        <v>2768</v>
      </c>
      <c r="BR39">
        <v>1</v>
      </c>
      <c r="BS39" t="s">
        <v>2776</v>
      </c>
      <c r="BT39">
        <v>2</v>
      </c>
      <c r="BU39" t="s">
        <v>2776</v>
      </c>
      <c r="BV39">
        <v>0</v>
      </c>
      <c r="BW39" s="179" t="s">
        <v>2722</v>
      </c>
      <c r="BX39" s="179">
        <v>2</v>
      </c>
      <c r="BY39" t="s">
        <v>2776</v>
      </c>
      <c r="BZ39">
        <v>1</v>
      </c>
      <c r="CA39" t="s">
        <v>2776</v>
      </c>
      <c r="CB39">
        <v>1</v>
      </c>
    </row>
    <row r="40" spans="1:80">
      <c r="A40" s="178">
        <f ca="1">IFERROR(IF(A39+加速!$L$11&lt;$AS$1,IF(COUNTIF(B39,"*轻*")&gt;0,A39+加速!$L$9,A39+加速!$L$11)+V39,IF(COUNTIF(INDEX(AU40:CB40,1,$AT$1),"*云景*")+COUNTIF(INDEX(AU40:CB40,1,$AT$1),"*鹤归*")+COUNTIF(INDEX(AU40:CB40,1,$AT$1),"*听雷*")&gt;0,A39+加速!$L$11,"")),"")</f>
        <v>48.51</v>
      </c>
      <c r="B40" s="167" t="str">
        <f ca="1">IF(A40&lt;&gt;"",IF(AND(A40+加速!$L$11&gt;$AS$1,IF(AND(配装计算器!$K$30&lt;&gt;"∞",0),"梦泉虎跑-轻",INDEX(AU40:CB40,1,$AT$1))="云栖松"),"夕照雷峰",IF(AND(配装计算器!$K$30&lt;&gt;"∞",0),"梦泉虎跑-轻",INDEX(AU40:CB40,1,$AT$1))),"")</f>
        <v>夕照雷峰</v>
      </c>
      <c r="C40">
        <f ca="1" t="shared" si="5"/>
        <v>15</v>
      </c>
      <c r="D40">
        <f ca="1">IF(B40&lt;&gt;"",IF(C39&lt;=加速!$L$11*(1-E40),0,1),"")</f>
        <v>1</v>
      </c>
      <c r="E40">
        <f ca="1" t="shared" si="2"/>
        <v>0</v>
      </c>
      <c r="G40">
        <f ca="1" t="shared" si="6"/>
        <v>0</v>
      </c>
      <c r="H40">
        <f ca="1">IF(B40&lt;&gt;"",IF(AND(COUNTIF(B39,"*轻*莺鸣柳*")&gt;0,COUNTIF(B40,"*轻*")&lt;1),MAX(0,15+I39-(A40-A39)+COUNTIF(B39,"*平湖*")*0),IF(AND(E40=0,MAX(0,H39-(A40-A39))&lt;=加速!$H$11),0,MAX(0,H39-(A40-A39)))),"")</f>
        <v>0</v>
      </c>
      <c r="I40">
        <f ca="1" t="shared" si="9"/>
        <v>0</v>
      </c>
      <c r="J40">
        <f ca="1" t="shared" si="10"/>
        <v>3</v>
      </c>
      <c r="K40">
        <f ca="1">IF(A40&lt;&gt;"",IF(AND(配装计算器!$K$30&lt;&gt;"∞",0),2,INDEX(AU40:CB40,1,$AT$2)),"")</f>
        <v>0</v>
      </c>
      <c r="L40">
        <f ca="1">IFERROR(IF(AND(COUNTIF(B40,"*-峰插*"),技能数据库!$M$72&gt;0),0,IF(COUNTIF(B40,"*鹤归*")&gt;0,16-加速!$L$11,MAX(0,L39-(A40-A39)))),0)</f>
        <v>12</v>
      </c>
      <c r="M40">
        <f ca="1">IF(COUNTIF(IF(AND(配装计算器!$K$30&lt;&gt;"∞",0),INDEX(AU39:CB39,1,$AT$1),INDEX(AU41:CB41,1,$AT$1)),"*鹤归*")=1,L40,0)</f>
        <v>0</v>
      </c>
      <c r="N40">
        <f ca="1">IFERROR(IF(AND(COUNTIF(B40,"*-峰插*"),技能数据库!$M$72&gt;0),0,IF(COUNTIF(B40,"*云飞*")&gt;0,4-COUNTIF(B40,"*玉山揽云*")*4--COUNTIF(B40,"*烟流暮景*")*4-COUNTIF(B40,"*云景*")*加速!$L$11-IF(J40&gt;0,2,0),MAX(0,N39-(A40-A39)-IF(J40&gt;0,2,0)))),0)</f>
        <v>0</v>
      </c>
      <c r="O40">
        <f ca="1">IF(AND(COUNTIF(IF(AND(配装计算器!$K$30&lt;&gt;"∞",0),INDEX(AU39:CB39,1,$AT$1),INDEX(AU41:CB41,1,$AT$1)),"*云飞*")=1,COUNTIF(IF(AND(配装计算器!$K$30&lt;&gt;"∞",0),INDEX(AU39:CB39,1,$AT$1),INDEX(AU41:CB41,1,$AT$1)),"*玉山*")=0),N40,0)</f>
        <v>0</v>
      </c>
      <c r="P40">
        <f ca="1">IFERROR(IF(COUNTIF(B40,"*云栖松*")&gt;0,50-加速!$L$11,MAX(0,P39-(A40-A39))),0)</f>
        <v>0</v>
      </c>
      <c r="Q40">
        <f ca="1">IF(COUNTIF(IF(AND(配装计算器!$K$30&lt;&gt;"∞",0),INDEX(AU39:CB39,1,$AT$1),INDEX(AU41:CB41,1,$AT$1)),"*云栖松*")=1,P40,0)</f>
        <v>0</v>
      </c>
      <c r="R40">
        <f ca="1">IFERROR(IF(COUNTIF(B40,"*莺鸣柳*")&gt;0,45-加速!$L$9,MAX(0,R39-(A40-A39))),0)</f>
        <v>0</v>
      </c>
      <c r="S40">
        <f ca="1">IF(COUNTIF(IF(AND(配装计算器!$K$30&lt;&gt;"∞",0),INDEX(AU39:CB39,1,$AT$1),INDEX(AU41:CB41,1,$AT$1)),"*莺鸣柳*")=1,R40,0)</f>
        <v>0</v>
      </c>
      <c r="T40">
        <f ca="1" t="shared" si="7"/>
        <v>0</v>
      </c>
      <c r="U40">
        <f ca="1">IF(金蛇,IF(COUNTIF(B40,"*金环戴*")+COUNTIF(B40,"*吹风醒*")&gt;0,IF(A40&lt;=3,7.125-2.625-A40-加速!$L$11,A40-T40),0),0)+IF(金蛇,IF(COUNTIF(B40,"*千切子裂光*")&gt;0,2+加速!$K$9-(A40+加速!$L$11-T40),0),0)</f>
        <v>0</v>
      </c>
      <c r="V40">
        <f ca="1" t="shared" si="8"/>
        <v>0.240000000000016</v>
      </c>
      <c r="W40">
        <f ca="1" t="shared" si="0"/>
        <v>0</v>
      </c>
      <c r="X40">
        <f ca="1">INDEX(加速!$I$13:$I$21,技能数计算!W40+1)</f>
        <v>0</v>
      </c>
      <c r="Y40">
        <f ca="1" t="shared" si="3"/>
        <v>0.5</v>
      </c>
      <c r="Z40">
        <f ca="1" t="shared" si="4"/>
        <v>0</v>
      </c>
      <c r="AA40">
        <f ca="1">MAX(0,IFERROR(IF(COUNTIF(B40,"*叠*")&gt;0,IF(AC39&lt;3,8-A41+A40,AA39+6.875-A41+A40),AA39-A41+A40),AA39-加速!$L$11))</f>
        <v>0</v>
      </c>
      <c r="AB40">
        <f ca="1">MAX(0,IF(COUNTIF(IF(AND(配装计算器!$K$30&lt;&gt;"∞",0),INDEX(AU40:CB40,1,$AT$1),INDEX(AU40:CB40,1,$AT$1)),"*叠1*")=1,4*25-加速!$L$11,AB39-A40+A39)-IF(OR(COUNTIF(OFFSET(AT40,0,$AT$1,1,1),"*听雷*")&gt;0,AND(碧归&gt;0,COUNTIF(OFFSET(AT40,0,$AT$1,1,1),"*风来*")&gt;0)),0,1)*1.5)</f>
        <v>0</v>
      </c>
      <c r="AC40">
        <f ca="1" t="shared" si="1"/>
        <v>0</v>
      </c>
      <c r="AD40">
        <f ca="1">IF(COUNTIF(IF(AND(配装计算器!$K$30&lt;&gt;"∞",0),INDEX(AU40:CB40,1,$AT$1),INDEX(AU41:CB41,1,$AT$1)),"*叠1*")=1,AB40*0+AE39,0)</f>
        <v>0.240000000000016</v>
      </c>
      <c r="AE40">
        <f ca="1">IF($AN$11&gt;0,IF(COUNTIF(B41,"*叠1*")&gt;0,50-加速!$H$11,MAX(0,AE39-(A41-A40))),0)</f>
        <v>48.75</v>
      </c>
      <c r="AH40" t="s">
        <v>1825</v>
      </c>
      <c r="AI40" s="161" t="s">
        <v>2783</v>
      </c>
      <c r="AJ40">
        <f ca="1">AJ30+AJ34+AJ38+AJ70+AJ84+AJ87+AJ91</f>
        <v>28</v>
      </c>
      <c r="AK40" t="s">
        <v>2750</v>
      </c>
      <c r="AM40" s="167" t="s">
        <v>2768</v>
      </c>
      <c r="AN40">
        <f ca="1">AN33*AN28</f>
        <v>0</v>
      </c>
      <c r="AO40" t="s">
        <v>3072</v>
      </c>
      <c r="AU40" t="s">
        <v>2722</v>
      </c>
      <c r="AV40">
        <v>0</v>
      </c>
      <c r="AW40" t="str">
        <f>IF(山重水复,"风来吴山","夕照雷峰")</f>
        <v>夕照雷峰</v>
      </c>
      <c r="AX40">
        <v>2</v>
      </c>
      <c r="AY40" t="s">
        <v>3013</v>
      </c>
      <c r="AZ40">
        <v>2</v>
      </c>
      <c r="BA40" t="s">
        <v>3013</v>
      </c>
      <c r="BB40">
        <v>2</v>
      </c>
      <c r="BC40" t="s">
        <v>2768</v>
      </c>
      <c r="BD40">
        <v>0</v>
      </c>
      <c r="BE40" t="s">
        <v>2768</v>
      </c>
      <c r="BF40">
        <v>2</v>
      </c>
      <c r="BG40" t="s">
        <v>2768</v>
      </c>
      <c r="BH40">
        <v>2</v>
      </c>
      <c r="BI40" t="s">
        <v>2768</v>
      </c>
      <c r="BJ40">
        <v>0</v>
      </c>
      <c r="BK40" s="176" t="s">
        <v>2768</v>
      </c>
      <c r="BL40">
        <v>2</v>
      </c>
      <c r="BM40" t="s">
        <v>2768</v>
      </c>
      <c r="BN40">
        <v>1</v>
      </c>
      <c r="BO40" t="s">
        <v>2722</v>
      </c>
      <c r="BP40">
        <v>0</v>
      </c>
      <c r="BQ40" t="s">
        <v>2776</v>
      </c>
      <c r="BR40">
        <v>1</v>
      </c>
      <c r="BS40" t="s">
        <v>2768</v>
      </c>
      <c r="BT40">
        <v>2</v>
      </c>
      <c r="BU40" t="s">
        <v>3067</v>
      </c>
      <c r="BV40">
        <v>0</v>
      </c>
      <c r="BW40" s="179" t="s">
        <v>3009</v>
      </c>
      <c r="BX40" s="179">
        <v>2</v>
      </c>
      <c r="BY40" t="s">
        <v>2768</v>
      </c>
      <c r="BZ40">
        <v>1</v>
      </c>
      <c r="CA40" t="s">
        <v>2768</v>
      </c>
      <c r="CB40">
        <v>1</v>
      </c>
    </row>
    <row r="41" spans="1:80">
      <c r="A41" s="178">
        <f ca="1">IFERROR(IF(A40+加速!$L$11&lt;$AS$1,IF(COUNTIF(B40,"*轻*")&gt;0,A40+加速!$L$9,A40+加速!$L$11)+V40,IF(COUNTIF(INDEX(AU41:CB41,1,$AT$1),"*云景*")+COUNTIF(INDEX(AU41:CB41,1,$AT$1),"*鹤归*")+COUNTIF(INDEX(AU41:CB41,1,$AT$1),"*听雷*")&gt;0,A40+加速!$L$11,"")),"")</f>
        <v>50.04</v>
      </c>
      <c r="B41" s="167" t="str">
        <f ca="1">IF(A41&lt;&gt;"",IF(AND(A41+加速!$L$11&gt;$AS$1,IF(AND(配装计算器!$K$30&lt;&gt;"∞",0),"梦泉虎跑-轻",INDEX(AU41:CB41,1,$AT$1))="云栖松"),"夕照雷峰",IF(AND(配装计算器!$K$30&lt;&gt;"∞",0),"梦泉虎跑-轻",INDEX(AU41:CB41,1,$AT$1))),"")</f>
        <v>叠1-云飞玉皇</v>
      </c>
      <c r="C41">
        <f ca="1" t="shared" si="5"/>
        <v>13.47</v>
      </c>
      <c r="D41">
        <f ca="1">IF(B41&lt;&gt;"",IF(C40&lt;=加速!$L$11*(1-E41),0,1),"")</f>
        <v>1</v>
      </c>
      <c r="E41">
        <f ca="1" t="shared" si="2"/>
        <v>1</v>
      </c>
      <c r="G41">
        <f ca="1" t="shared" si="6"/>
        <v>0</v>
      </c>
      <c r="H41">
        <f ca="1">IF(B41&lt;&gt;"",IF(AND(COUNTIF(B40,"*轻*莺鸣柳*")&gt;0,COUNTIF(B41,"*轻*")&lt;1),MAX(0,15+I40-(A41-A40)+COUNTIF(B40,"*平湖*")*0),IF(AND(E41=0,MAX(0,H40-(A41-A40))&lt;=加速!$H$11),0,MAX(0,H40-(A41-A40)))),"")</f>
        <v>0</v>
      </c>
      <c r="I41">
        <f ca="1" t="shared" si="9"/>
        <v>0</v>
      </c>
      <c r="J41">
        <f ca="1" t="shared" si="10"/>
        <v>2</v>
      </c>
      <c r="K41">
        <f ca="1">IF(A41&lt;&gt;"",IF(AND(配装计算器!$K$30&lt;&gt;"∞",0),2,INDEX(AU41:CB41,1,$AT$2)),"")</f>
        <v>2</v>
      </c>
      <c r="L41">
        <f ca="1">IFERROR(IF(AND(COUNTIF(B41,"*-峰插*"),技能数据库!$M$72&gt;0),0,IF(COUNTIF(B41,"*鹤归*")&gt;0,16-加速!$L$11,MAX(0,L40-(A41-A40)))),0)</f>
        <v>10.47</v>
      </c>
      <c r="M41">
        <f ca="1">IF(COUNTIF(IF(AND(配装计算器!$K$30&lt;&gt;"∞",0),INDEX(AU40:CB40,1,$AT$1),INDEX(AU42:CB42,1,$AT$1)),"*鹤归*")=1,L41,0)</f>
        <v>0</v>
      </c>
      <c r="N41">
        <f ca="1">IFERROR(IF(AND(COUNTIF(B41,"*-峰插*"),技能数据库!$M$72&gt;0),0,IF(COUNTIF(B41,"*云飞*")&gt;0,4-COUNTIF(B41,"*玉山揽云*")*4--COUNTIF(B41,"*烟流暮景*")*4-COUNTIF(B41,"*云景*")*加速!$L$11-IF(J41&gt;0,2,0),MAX(0,N40-(A41-A40)-IF(J41&gt;0,2,0)))),0)</f>
        <v>2</v>
      </c>
      <c r="O41">
        <f ca="1">IF(AND(COUNTIF(IF(AND(配装计算器!$K$30&lt;&gt;"∞",0),INDEX(AU40:CB40,1,$AT$1),INDEX(AU42:CB42,1,$AT$1)),"*云飞*")=1,COUNTIF(IF(AND(配装计算器!$K$30&lt;&gt;"∞",0),INDEX(AU40:CB40,1,$AT$1),INDEX(AU42:CB42,1,$AT$1)),"*玉山*")=0),N41,0)</f>
        <v>0</v>
      </c>
      <c r="P41">
        <f ca="1">IFERROR(IF(COUNTIF(B41,"*云栖松*")&gt;0,50-加速!$L$11,MAX(0,P40-(A41-A40))),0)</f>
        <v>0</v>
      </c>
      <c r="Q41">
        <f ca="1">IF(COUNTIF(IF(AND(配装计算器!$K$30&lt;&gt;"∞",0),INDEX(AU40:CB40,1,$AT$1),INDEX(AU42:CB42,1,$AT$1)),"*云栖松*")=1,P41,0)</f>
        <v>0</v>
      </c>
      <c r="R41">
        <f ca="1">IFERROR(IF(COUNTIF(B41,"*莺鸣柳*")&gt;0,45-加速!$L$9,MAX(0,R40-(A41-A40))),0)</f>
        <v>0</v>
      </c>
      <c r="S41">
        <f ca="1">IF(COUNTIF(IF(AND(配装计算器!$K$30&lt;&gt;"∞",0),INDEX(AU40:CB40,1,$AT$1),INDEX(AU42:CB42,1,$AT$1)),"*莺鸣柳*")=1,R41,0)</f>
        <v>0</v>
      </c>
      <c r="T41">
        <f ca="1" t="shared" si="7"/>
        <v>0</v>
      </c>
      <c r="U41">
        <f ca="1">IF(金蛇,IF(COUNTIF(B41,"*金环戴*")+COUNTIF(B41,"*吹风醒*")&gt;0,IF(A41&lt;=3,7.125-2.625-A41-加速!$L$11,A41-T41),0),0)+IF(金蛇,IF(COUNTIF(B41,"*千切子裂光*")&gt;0,2+加速!$K$9-(A41+加速!$L$11-T41),0),0)</f>
        <v>0</v>
      </c>
      <c r="V41">
        <f ca="1" t="shared" si="8"/>
        <v>0</v>
      </c>
      <c r="W41">
        <f ca="1" t="shared" si="0"/>
        <v>0</v>
      </c>
      <c r="X41">
        <f ca="1">INDEX(加速!$I$13:$I$21,技能数计算!W41+1)</f>
        <v>0</v>
      </c>
      <c r="Y41">
        <f ca="1" t="shared" si="3"/>
        <v>0.5</v>
      </c>
      <c r="Z41">
        <f ca="1" t="shared" si="4"/>
        <v>0</v>
      </c>
      <c r="AA41">
        <f ca="1">MAX(0,IFERROR(IF(COUNTIF(B41,"*叠*")&gt;0,IF(AC40&lt;3,8-A42+A41,AA40+6.875-A42+A41),AA40-A42+A41),AA40-加速!$L$11))</f>
        <v>6.71</v>
      </c>
      <c r="AB41">
        <f ca="1">MAX(0,IF(COUNTIF(IF(AND(配装计算器!$K$30&lt;&gt;"∞",0),INDEX(AU41:CB41,1,$AT$1),INDEX(AU41:CB41,1,$AT$1)),"*叠1*")=1,4*25-加速!$L$11,AB40-A41+A40)-IF(OR(COUNTIF(OFFSET(AT41,0,$AT$1,1,1),"*听雷*")&gt;0,AND(碧归&gt;0,COUNTIF(OFFSET(AT41,0,$AT$1,1,1),"*风来*")&gt;0)),0,1)*1.5)</f>
        <v>97.21</v>
      </c>
      <c r="AC41">
        <f ca="1" t="shared" si="1"/>
        <v>1</v>
      </c>
      <c r="AD41">
        <f ca="1">IF(COUNTIF(IF(AND(配装计算器!$K$30&lt;&gt;"∞",0),INDEX(AU41:CB41,1,$AT$1),INDEX(AU42:CB42,1,$AT$1)),"*叠1*")=1,AB41*0+AE40,0)</f>
        <v>0</v>
      </c>
      <c r="AE41">
        <f ca="1">IF($AN$11&gt;0,IF(COUNTIF(B42,"*叠1*")&gt;0,50-加速!$H$11,MAX(0,AE40-(A42-A41))),0)</f>
        <v>47.46</v>
      </c>
      <c r="AH41" t="s">
        <v>1825</v>
      </c>
      <c r="AI41" s="161" t="s">
        <v>2783</v>
      </c>
      <c r="AJ41">
        <f ca="1">AJ31+AJ35+AJ66+AJ69+AJ71</f>
        <v>0</v>
      </c>
      <c r="AK41" t="s">
        <v>3044</v>
      </c>
      <c r="AM41" s="167" t="s">
        <v>3077</v>
      </c>
      <c r="AN41">
        <f ca="1">(AN15-AN16)*AN24*(AN31+AN32)</f>
        <v>0</v>
      </c>
      <c r="AU41" t="s">
        <v>3009</v>
      </c>
      <c r="AV41">
        <v>2</v>
      </c>
      <c r="AW41" s="176" t="s">
        <v>2794</v>
      </c>
      <c r="AX41">
        <v>2</v>
      </c>
      <c r="AY41" t="s">
        <v>3017</v>
      </c>
      <c r="AZ41">
        <v>2</v>
      </c>
      <c r="BA41" t="s">
        <v>3017</v>
      </c>
      <c r="BB41">
        <v>2</v>
      </c>
      <c r="BC41" t="s">
        <v>3010</v>
      </c>
      <c r="BD41">
        <v>2</v>
      </c>
      <c r="BE41" t="s">
        <v>2776</v>
      </c>
      <c r="BF41">
        <v>2</v>
      </c>
      <c r="BG41" t="s">
        <v>3018</v>
      </c>
      <c r="BH41">
        <v>2</v>
      </c>
      <c r="BI41" t="s">
        <v>3011</v>
      </c>
      <c r="BJ41">
        <v>2</v>
      </c>
      <c r="BK41" s="176" t="s">
        <v>2776</v>
      </c>
      <c r="BL41">
        <v>2</v>
      </c>
      <c r="BM41" t="s">
        <v>2722</v>
      </c>
      <c r="BN41">
        <v>0</v>
      </c>
      <c r="BO41" t="s">
        <v>3009</v>
      </c>
      <c r="BP41">
        <v>2</v>
      </c>
      <c r="BQ41" t="s">
        <v>2768</v>
      </c>
      <c r="BR41">
        <v>1</v>
      </c>
      <c r="BS41" t="s">
        <v>2768</v>
      </c>
      <c r="BT41">
        <v>1</v>
      </c>
      <c r="BU41" t="s">
        <v>2768</v>
      </c>
      <c r="BV41">
        <v>2</v>
      </c>
      <c r="BW41" s="179" t="s">
        <v>3078</v>
      </c>
      <c r="BX41" s="179">
        <v>2</v>
      </c>
      <c r="BY41" t="s">
        <v>2722</v>
      </c>
      <c r="BZ41">
        <v>0</v>
      </c>
      <c r="CA41" t="s">
        <v>2722</v>
      </c>
      <c r="CB41">
        <v>0</v>
      </c>
    </row>
    <row r="42" spans="1:80">
      <c r="A42" s="178">
        <f ca="1">IFERROR(IF(A41+加速!$L$11&lt;$AS$1,IF(COUNTIF(B41,"*轻*")&gt;0,A41+加速!$L$9,A41+加速!$L$11)+V41,IF(COUNTIF(INDEX(AU42:CB42,1,$AT$1),"*云景*")+COUNTIF(INDEX(AU42:CB42,1,$AT$1),"*鹤归*")+COUNTIF(INDEX(AU42:CB42,1,$AT$1),"*听雷*")&gt;0,A41+加速!$L$11,"")),"")</f>
        <v>51.33</v>
      </c>
      <c r="B42" s="167" t="str">
        <f ca="1">IF(A42&lt;&gt;"",IF(AND(A42+加速!$L$11&gt;$AS$1,IF(AND(配装计算器!$K$30&lt;&gt;"∞",0),"梦泉虎跑-轻",INDEX(AU42:CB42,1,$AT$1))="云栖松"),"夕照雷峰",IF(AND(配装计算器!$K$30&lt;&gt;"∞",0),"梦泉虎跑-轻",INDEX(AU42:CB42,1,$AT$1))),"")</f>
        <v>夕照雷峰</v>
      </c>
      <c r="C42">
        <f ca="1" t="shared" si="5"/>
        <v>15</v>
      </c>
      <c r="D42">
        <f ca="1">IF(B42&lt;&gt;"",IF(C41&lt;=加速!$L$11*(1-E42),0,1),"")</f>
        <v>1</v>
      </c>
      <c r="E42">
        <f ca="1" t="shared" si="2"/>
        <v>0</v>
      </c>
      <c r="G42">
        <f ca="1" t="shared" si="6"/>
        <v>0</v>
      </c>
      <c r="H42">
        <f ca="1">IF(B42&lt;&gt;"",IF(AND(COUNTIF(B41,"*轻*莺鸣柳*")&gt;0,COUNTIF(B42,"*轻*")&lt;1),MAX(0,15+I41-(A42-A41)+COUNTIF(B41,"*平湖*")*0),IF(AND(E42=0,MAX(0,H41-(A42-A41))&lt;=加速!$H$11),0,MAX(0,H41-(A42-A41)))),"")</f>
        <v>0</v>
      </c>
      <c r="I42">
        <f ca="1" t="shared" si="9"/>
        <v>0</v>
      </c>
      <c r="J42">
        <f ca="1" t="shared" si="10"/>
        <v>1</v>
      </c>
      <c r="K42">
        <f ca="1">IF(A42&lt;&gt;"",IF(AND(配装计算器!$K$30&lt;&gt;"∞",0),2,INDEX(AU42:CB42,1,$AT$2)),"")</f>
        <v>2</v>
      </c>
      <c r="L42">
        <f ca="1">IFERROR(IF(AND(COUNTIF(B42,"*-峰插*"),技能数据库!$M$72&gt;0),0,IF(COUNTIF(B42,"*鹤归*")&gt;0,16-加速!$L$11,MAX(0,L41-(A42-A41)))),0)</f>
        <v>9.17999999999999</v>
      </c>
      <c r="M42">
        <f ca="1">IF(COUNTIF(IF(AND(配装计算器!$K$30&lt;&gt;"∞",0),INDEX(AU41:CB41,1,$AT$1),INDEX(AU43:CB43,1,$AT$1)),"*鹤归*")=1,L42,0)</f>
        <v>0</v>
      </c>
      <c r="N42">
        <f ca="1">IFERROR(IF(AND(COUNTIF(B42,"*-峰插*"),技能数据库!$M$72&gt;0),0,IF(COUNTIF(B42,"*云飞*")&gt;0,4-COUNTIF(B42,"*玉山揽云*")*4--COUNTIF(B42,"*烟流暮景*")*4-COUNTIF(B42,"*云景*")*加速!$L$11-IF(J42&gt;0,2,0),MAX(0,N41-(A42-A41)-IF(J42&gt;0,2,0)))),0)</f>
        <v>0</v>
      </c>
      <c r="O42">
        <f ca="1">IF(AND(COUNTIF(IF(AND(配装计算器!$K$30&lt;&gt;"∞",0),INDEX(AU41:CB41,1,$AT$1),INDEX(AU43:CB43,1,$AT$1)),"*云飞*")=1,COUNTIF(IF(AND(配装计算器!$K$30&lt;&gt;"∞",0),INDEX(AU41:CB41,1,$AT$1),INDEX(AU43:CB43,1,$AT$1)),"*玉山*")=0),N42,0)</f>
        <v>0</v>
      </c>
      <c r="P42">
        <f ca="1">IFERROR(IF(COUNTIF(B42,"*云栖松*")&gt;0,50-加速!$L$11,MAX(0,P41-(A42-A41))),0)</f>
        <v>0</v>
      </c>
      <c r="Q42">
        <f ca="1">IF(COUNTIF(IF(AND(配装计算器!$K$30&lt;&gt;"∞",0),INDEX(AU41:CB41,1,$AT$1),INDEX(AU43:CB43,1,$AT$1)),"*云栖松*")=1,P42,0)</f>
        <v>0</v>
      </c>
      <c r="R42">
        <f ca="1">IFERROR(IF(COUNTIF(B42,"*莺鸣柳*")&gt;0,45-加速!$L$9,MAX(0,R41-(A42-A41))),0)</f>
        <v>0</v>
      </c>
      <c r="S42">
        <f ca="1">IF(COUNTIF(IF(AND(配装计算器!$K$30&lt;&gt;"∞",0),INDEX(AU41:CB41,1,$AT$1),INDEX(AU43:CB43,1,$AT$1)),"*莺鸣柳*")=1,R42,0)</f>
        <v>0</v>
      </c>
      <c r="T42">
        <f ca="1" t="shared" si="7"/>
        <v>0</v>
      </c>
      <c r="U42">
        <f ca="1">IF(金蛇,IF(COUNTIF(B42,"*金环戴*")+COUNTIF(B42,"*吹风醒*")&gt;0,IF(A42&lt;=3,7.125-2.625-A42-加速!$L$11,A42-T42),0),0)+IF(金蛇,IF(COUNTIF(B42,"*千切子裂光*")&gt;0,2+加速!$K$9-(A42+加速!$L$11-T42),0),0)</f>
        <v>0</v>
      </c>
      <c r="V42">
        <f ca="1" t="shared" si="8"/>
        <v>0</v>
      </c>
      <c r="W42">
        <f ca="1" t="shared" si="0"/>
        <v>0</v>
      </c>
      <c r="X42">
        <f ca="1">INDEX(加速!$I$13:$I$21,技能数计算!W42+1)</f>
        <v>0</v>
      </c>
      <c r="Y42">
        <f ca="1" t="shared" si="3"/>
        <v>0.5</v>
      </c>
      <c r="Z42">
        <f ca="1" t="shared" si="4"/>
        <v>0</v>
      </c>
      <c r="AA42">
        <f ca="1">MAX(0,IFERROR(IF(COUNTIF(B42,"*叠*")&gt;0,IF(AC41&lt;3,8-A43+A42,AA41+6.875-A43+A42),AA41-A43+A42),AA41-加速!$L$11))</f>
        <v>5.42</v>
      </c>
      <c r="AB42">
        <f ca="1">MAX(0,IF(COUNTIF(IF(AND(配装计算器!$K$30&lt;&gt;"∞",0),INDEX(AU42:CB42,1,$AT$1),INDEX(AU42:CB42,1,$AT$1)),"*叠1*")=1,4*25-加速!$L$11,AB41-A42+A41)-IF(OR(COUNTIF(OFFSET(AT42,0,$AT$1,1,1),"*听雷*")&gt;0,AND(碧归&gt;0,COUNTIF(OFFSET(AT42,0,$AT$1,1,1),"*风来*")&gt;0)),0,1)*1.5)</f>
        <v>94.42</v>
      </c>
      <c r="AC42">
        <f ca="1" t="shared" si="1"/>
        <v>1</v>
      </c>
      <c r="AD42">
        <f ca="1">IF(COUNTIF(IF(AND(配装计算器!$K$30&lt;&gt;"∞",0),INDEX(AU42:CB42,1,$AT$1),INDEX(AU43:CB43,1,$AT$1)),"*叠1*")=1,AB42*0+AE41,0)</f>
        <v>0</v>
      </c>
      <c r="AE42">
        <f ca="1">IF($AN$11&gt;0,IF(COUNTIF(B43,"*叠1*")&gt;0,50-加速!$H$11,MAX(0,AE41-(A43-A42))),0)</f>
        <v>46.17</v>
      </c>
      <c r="AH42" t="s">
        <v>1825</v>
      </c>
      <c r="AI42" t="s">
        <v>2786</v>
      </c>
      <c r="AJ42">
        <f ca="1">AJ30+AJ34+AJ38+AJ70+AJ84+AJ87+AJ91</f>
        <v>28</v>
      </c>
      <c r="AK42" t="s">
        <v>2750</v>
      </c>
      <c r="AM42" s="167" t="s">
        <v>2902</v>
      </c>
      <c r="AN42">
        <f ca="1">(AN15-AN16)*AN24*AN33</f>
        <v>0</v>
      </c>
      <c r="AU42" t="s">
        <v>2768</v>
      </c>
      <c r="AV42">
        <v>2</v>
      </c>
      <c r="AW42" s="176" t="s">
        <v>2776</v>
      </c>
      <c r="AX42">
        <v>2</v>
      </c>
      <c r="AY42" t="s">
        <v>2808</v>
      </c>
      <c r="AZ42">
        <v>2</v>
      </c>
      <c r="BA42" t="s">
        <v>2808</v>
      </c>
      <c r="BB42">
        <v>2</v>
      </c>
      <c r="BC42" t="s">
        <v>3013</v>
      </c>
      <c r="BD42">
        <v>2</v>
      </c>
      <c r="BE42" t="s">
        <v>2794</v>
      </c>
      <c r="BF42">
        <v>1</v>
      </c>
      <c r="BG42" t="s">
        <v>2768</v>
      </c>
      <c r="BH42">
        <v>2</v>
      </c>
      <c r="BI42" t="s">
        <v>2768</v>
      </c>
      <c r="BJ42">
        <v>2</v>
      </c>
      <c r="BK42" t="s">
        <v>2768</v>
      </c>
      <c r="BL42">
        <v>1</v>
      </c>
      <c r="BM42" t="s">
        <v>3009</v>
      </c>
      <c r="BN42">
        <v>2</v>
      </c>
      <c r="BO42" t="s">
        <v>2776</v>
      </c>
      <c r="BP42">
        <v>2</v>
      </c>
      <c r="BQ42" t="s">
        <v>2768</v>
      </c>
      <c r="BR42">
        <v>0</v>
      </c>
      <c r="BS42" t="s">
        <v>2768</v>
      </c>
      <c r="BT42">
        <v>1</v>
      </c>
      <c r="BU42" t="s">
        <v>2768</v>
      </c>
      <c r="BV42">
        <v>2</v>
      </c>
      <c r="BW42" s="179" t="s">
        <v>2768</v>
      </c>
      <c r="BX42" s="179">
        <v>2</v>
      </c>
      <c r="BY42" t="s">
        <v>3009</v>
      </c>
      <c r="BZ42">
        <v>2</v>
      </c>
      <c r="CA42" t="s">
        <v>3009</v>
      </c>
      <c r="CB42">
        <v>2</v>
      </c>
    </row>
    <row r="43" spans="1:80">
      <c r="A43" s="178">
        <f ca="1">IFERROR(IF(A42+加速!$L$11&lt;$AS$1,IF(COUNTIF(B42,"*轻*")&gt;0,A42+加速!$L$9,A42+加速!$L$11)+V42,IF(COUNTIF(INDEX(AU43:CB43,1,$AT$1),"*云景*")+COUNTIF(INDEX(AU43:CB43,1,$AT$1),"*鹤归*")+COUNTIF(INDEX(AU43:CB43,1,$AT$1),"*听雷*")&gt;0,A42+加速!$L$11,"")),"")</f>
        <v>52.62</v>
      </c>
      <c r="B43" s="167" t="str">
        <f ca="1">IF(A43&lt;&gt;"",IF(AND(A43+加速!$L$11&gt;$AS$1,IF(AND(配装计算器!$K$30&lt;&gt;"∞",0),"梦泉虎跑-轻",INDEX(AU43:CB43,1,$AT$1))="云栖松"),"夕照雷峰",IF(AND(配装计算器!$K$30&lt;&gt;"∞",0),"梦泉虎跑-轻",INDEX(AU43:CB43,1,$AT$1))),"")</f>
        <v>叠2-云景·云飞玉皇</v>
      </c>
      <c r="C43">
        <f ca="1" t="shared" si="5"/>
        <v>13.71</v>
      </c>
      <c r="D43">
        <f ca="1">IF(B43&lt;&gt;"",IF(C42&lt;=加速!$L$11*(1-E43),0,1),"")</f>
        <v>1</v>
      </c>
      <c r="E43">
        <f ca="1" t="shared" si="2"/>
        <v>1</v>
      </c>
      <c r="G43">
        <f ca="1" t="shared" si="6"/>
        <v>0</v>
      </c>
      <c r="H43">
        <f ca="1">IF(B43&lt;&gt;"",IF(AND(COUNTIF(B42,"*轻*莺鸣柳*")&gt;0,COUNTIF(B43,"*轻*")&lt;1),MAX(0,15+I42-(A43-A42)+COUNTIF(B42,"*平湖*")*0),IF(AND(E43=0,MAX(0,H42-(A43-A42))&lt;=加速!$H$11),0,MAX(0,H42-(A43-A42)))),"")</f>
        <v>0</v>
      </c>
      <c r="I43">
        <f ca="1" t="shared" si="9"/>
        <v>0</v>
      </c>
      <c r="J43">
        <f ca="1" t="shared" si="10"/>
        <v>1</v>
      </c>
      <c r="K43">
        <f ca="1">IF(A43&lt;&gt;"",IF(AND(配装计算器!$K$30&lt;&gt;"∞",0),2,INDEX(AU43:CB43,1,$AT$2)),"")</f>
        <v>2</v>
      </c>
      <c r="L43">
        <f ca="1">IFERROR(IF(AND(COUNTIF(B43,"*-峰插*"),技能数据库!$M$72&gt;0),0,IF(COUNTIF(B43,"*鹤归*")&gt;0,16-加速!$L$11,MAX(0,L42-(A43-A42)))),0)</f>
        <v>7.88999999999999</v>
      </c>
      <c r="M43">
        <f ca="1">IF(COUNTIF(IF(AND(配装计算器!$K$30&lt;&gt;"∞",0),INDEX(AU42:CB42,1,$AT$1),INDEX(AU44:CB44,1,$AT$1)),"*鹤归*")=1,L43,0)</f>
        <v>0</v>
      </c>
      <c r="N43">
        <f ca="1">IFERROR(IF(AND(COUNTIF(B43,"*-峰插*"),技能数据库!$M$72&gt;0),0,IF(COUNTIF(B43,"*云飞*")&gt;0,4-COUNTIF(B43,"*玉山揽云*")*4--COUNTIF(B43,"*烟流暮景*")*4-COUNTIF(B43,"*云景*")*加速!$L$11-IF(J43&gt;0,2,0),MAX(0,N42-(A43-A42)-IF(J43&gt;0,2,0)))),0)</f>
        <v>0.71</v>
      </c>
      <c r="O43">
        <f ca="1">IF(AND(COUNTIF(IF(AND(配装计算器!$K$30&lt;&gt;"∞",0),INDEX(AU42:CB42,1,$AT$1),INDEX(AU44:CB44,1,$AT$1)),"*云飞*")=1,COUNTIF(IF(AND(配装计算器!$K$30&lt;&gt;"∞",0),INDEX(AU42:CB42,1,$AT$1),INDEX(AU44:CB44,1,$AT$1)),"*玉山*")=0),N43,0)</f>
        <v>0</v>
      </c>
      <c r="P43">
        <f ca="1">IFERROR(IF(COUNTIF(B43,"*云栖松*")&gt;0,50-加速!$L$11,MAX(0,P42-(A43-A42))),0)</f>
        <v>0</v>
      </c>
      <c r="Q43">
        <f ca="1">IF(COUNTIF(IF(AND(配装计算器!$K$30&lt;&gt;"∞",0),INDEX(AU42:CB42,1,$AT$1),INDEX(AU44:CB44,1,$AT$1)),"*云栖松*")=1,P43,0)</f>
        <v>0</v>
      </c>
      <c r="R43">
        <f ca="1">IFERROR(IF(COUNTIF(B43,"*莺鸣柳*")&gt;0,45-加速!$L$9,MAX(0,R42-(A43-A42))),0)</f>
        <v>0</v>
      </c>
      <c r="S43">
        <f ca="1">IF(COUNTIF(IF(AND(配装计算器!$K$30&lt;&gt;"∞",0),INDEX(AU42:CB42,1,$AT$1),INDEX(AU44:CB44,1,$AT$1)),"*莺鸣柳*")=1,R43,0)</f>
        <v>0</v>
      </c>
      <c r="T43">
        <f ca="1" t="shared" si="7"/>
        <v>0</v>
      </c>
      <c r="U43">
        <f ca="1">IF(金蛇,IF(COUNTIF(B43,"*金环戴*")+COUNTIF(B43,"*吹风醒*")&gt;0,IF(A43&lt;=3,7.125-2.625-A43-加速!$L$11,A43-T43),0),0)+IF(金蛇,IF(COUNTIF(B43,"*千切子裂光*")&gt;0,2+加速!$K$9-(A43+加速!$L$11-T43),0),0)</f>
        <v>0</v>
      </c>
      <c r="V43">
        <f ca="1" t="shared" si="8"/>
        <v>0</v>
      </c>
      <c r="W43">
        <f ca="1" t="shared" si="0"/>
        <v>0</v>
      </c>
      <c r="X43">
        <f ca="1">INDEX(加速!$I$13:$I$21,技能数计算!W43+1)</f>
        <v>0</v>
      </c>
      <c r="Y43">
        <f ca="1" t="shared" si="3"/>
        <v>0.5</v>
      </c>
      <c r="Z43">
        <f ca="1" t="shared" si="4"/>
        <v>0</v>
      </c>
      <c r="AA43">
        <f ca="1">MAX(0,IFERROR(IF(COUNTIF(B43,"*叠*")&gt;0,IF(AC42&lt;3,8-A44+A43,AA42+6.875-A44+A43),AA42-A44+A43),AA42-加速!$L$11))</f>
        <v>6.71</v>
      </c>
      <c r="AB43">
        <f ca="1">MAX(0,IF(COUNTIF(IF(AND(配装计算器!$K$30&lt;&gt;"∞",0),INDEX(AU43:CB43,1,$AT$1),INDEX(AU43:CB43,1,$AT$1)),"*叠1*")=1,4*25-加速!$L$11,AB42-A43+A42)-IF(OR(COUNTIF(OFFSET(AT43,0,$AT$1,1,1),"*听雷*")&gt;0,AND(碧归&gt;0,COUNTIF(OFFSET(AT43,0,$AT$1,1,1),"*风来*")&gt;0)),0,1)*1.5)</f>
        <v>91.63</v>
      </c>
      <c r="AC43">
        <f ca="1" t="shared" si="1"/>
        <v>2</v>
      </c>
      <c r="AD43">
        <f ca="1">IF(COUNTIF(IF(AND(配装计算器!$K$30&lt;&gt;"∞",0),INDEX(AU43:CB43,1,$AT$1),INDEX(AU44:CB44,1,$AT$1)),"*叠1*")=1,AB43*0+AE42,0)</f>
        <v>0</v>
      </c>
      <c r="AE43">
        <f ca="1">IF($AN$11&gt;0,IF(COUNTIF(B44,"*叠1*")&gt;0,50-加速!$H$11,MAX(0,AE42-(A44-A43))),0)</f>
        <v>44.88</v>
      </c>
      <c r="AH43" t="s">
        <v>1825</v>
      </c>
      <c r="AI43" t="s">
        <v>2786</v>
      </c>
      <c r="AJ43">
        <f ca="1">AJ31+AJ35+AJ66+AJ69+AJ71</f>
        <v>0</v>
      </c>
      <c r="AK43" t="s">
        <v>3044</v>
      </c>
      <c r="AM43" s="167" t="s">
        <v>3079</v>
      </c>
      <c r="AN43">
        <f ca="1">AN16*AN24*(AN31+AN32)</f>
        <v>0</v>
      </c>
      <c r="AU43" t="s">
        <v>2776</v>
      </c>
      <c r="AV43">
        <v>2</v>
      </c>
      <c r="AW43" s="176" t="s">
        <v>2768</v>
      </c>
      <c r="AX43">
        <v>2</v>
      </c>
      <c r="AY43" t="s">
        <v>3022</v>
      </c>
      <c r="AZ43">
        <v>2</v>
      </c>
      <c r="BA43" t="s">
        <v>3022</v>
      </c>
      <c r="BB43">
        <v>2</v>
      </c>
      <c r="BC43" t="s">
        <v>3018</v>
      </c>
      <c r="BD43">
        <v>2</v>
      </c>
      <c r="BE43" t="s">
        <v>2768</v>
      </c>
      <c r="BF43">
        <v>1</v>
      </c>
      <c r="BG43" s="182" t="s">
        <v>3023</v>
      </c>
      <c r="BH43">
        <v>2</v>
      </c>
      <c r="BI43" t="s">
        <v>3018</v>
      </c>
      <c r="BJ43">
        <v>2</v>
      </c>
      <c r="BK43" s="176" t="s">
        <v>2768</v>
      </c>
      <c r="BL43">
        <v>1</v>
      </c>
      <c r="BM43" t="s">
        <v>2776</v>
      </c>
      <c r="BN43">
        <v>2</v>
      </c>
      <c r="BO43" t="s">
        <v>2768</v>
      </c>
      <c r="BP43">
        <v>2</v>
      </c>
      <c r="BQ43" t="s">
        <v>3010</v>
      </c>
      <c r="BR43">
        <v>2</v>
      </c>
      <c r="BS43" t="s">
        <v>2776</v>
      </c>
      <c r="BT43">
        <v>0</v>
      </c>
      <c r="BU43" s="176" t="s">
        <v>2794</v>
      </c>
      <c r="BV43">
        <v>1</v>
      </c>
      <c r="BW43" s="179" t="str">
        <f>IF(山重水复,"风来吴山","夕照雷峰")</f>
        <v>夕照雷峰</v>
      </c>
      <c r="BX43" s="179">
        <v>2</v>
      </c>
      <c r="BY43" s="176" t="s">
        <v>2794</v>
      </c>
      <c r="BZ43">
        <v>2</v>
      </c>
      <c r="CA43" s="176" t="s">
        <v>2794</v>
      </c>
      <c r="CB43">
        <v>2</v>
      </c>
    </row>
    <row r="44" spans="1:80">
      <c r="A44" s="178">
        <f ca="1">IFERROR(IF(A43+加速!$L$11&lt;$AS$1,IF(COUNTIF(B43,"*轻*")&gt;0,A43+加速!$L$9,A43+加速!$L$11)+V43,IF(COUNTIF(INDEX(AU44:CB44,1,$AT$1),"*云景*")+COUNTIF(INDEX(AU44:CB44,1,$AT$1),"*鹤归*")+COUNTIF(INDEX(AU44:CB44,1,$AT$1),"*听雷*")&gt;0,A43+加速!$L$11,"")),"")</f>
        <v>53.91</v>
      </c>
      <c r="B44" s="167" t="str">
        <f ca="1">IF(A44&lt;&gt;"",IF(AND(A44+加速!$L$11&gt;$AS$1,IF(AND(配装计算器!$K$30&lt;&gt;"∞",0),"梦泉虎跑-轻",INDEX(AU44:CB44,1,$AT$1))="云栖松"),"夕照雷峰",IF(AND(配装计算器!$K$30&lt;&gt;"∞",0),"梦泉虎跑-轻",INDEX(AU44:CB44,1,$AT$1))),"")</f>
        <v>夕照雷峰</v>
      </c>
      <c r="C44">
        <f ca="1" t="shared" si="5"/>
        <v>15</v>
      </c>
      <c r="D44">
        <f ca="1">IF(B44&lt;&gt;"",IF(C43&lt;=加速!$L$11*(1-E44),0,1),"")</f>
        <v>1</v>
      </c>
      <c r="E44">
        <f ca="1" t="shared" si="2"/>
        <v>0</v>
      </c>
      <c r="G44">
        <f ca="1" t="shared" si="6"/>
        <v>0</v>
      </c>
      <c r="H44">
        <f ca="1">IF(B44&lt;&gt;"",IF(AND(COUNTIF(B43,"*轻*莺鸣柳*")&gt;0,COUNTIF(B44,"*轻*")&lt;1),MAX(0,15+I43-(A44-A43)+COUNTIF(B43,"*平湖*")*0),IF(AND(E44=0,MAX(0,H43-(A44-A43))&lt;=加速!$H$11),0,MAX(0,H43-(A44-A43)))),"")</f>
        <v>0</v>
      </c>
      <c r="I44">
        <f ca="1" t="shared" si="9"/>
        <v>0</v>
      </c>
      <c r="J44">
        <f ca="1" t="shared" si="10"/>
        <v>0</v>
      </c>
      <c r="K44">
        <f ca="1">IF(A44&lt;&gt;"",IF(AND(配装计算器!$K$30&lt;&gt;"∞",0),2,INDEX(AU44:CB44,1,$AT$2)),"")</f>
        <v>2</v>
      </c>
      <c r="L44">
        <f ca="1">IFERROR(IF(AND(COUNTIF(B44,"*-峰插*"),技能数据库!$M$72&gt;0),0,IF(COUNTIF(B44,"*鹤归*")&gt;0,16-加速!$L$11,MAX(0,L43-(A44-A43)))),0)</f>
        <v>6.59999999999999</v>
      </c>
      <c r="M44">
        <f ca="1">IF(COUNTIF(IF(AND(配装计算器!$K$30&lt;&gt;"∞",0),INDEX(AU43:CB43,1,$AT$1),INDEX(AU45:CB45,1,$AT$1)),"*鹤归*")=1,L44,0)</f>
        <v>0</v>
      </c>
      <c r="N44">
        <f ca="1">IFERROR(IF(AND(COUNTIF(B44,"*-峰插*"),技能数据库!$M$72&gt;0),0,IF(COUNTIF(B44,"*云飞*")&gt;0,4-COUNTIF(B44,"*玉山揽云*")*4--COUNTIF(B44,"*烟流暮景*")*4-COUNTIF(B44,"*云景*")*加速!$L$11-IF(J44&gt;0,2,0),MAX(0,N43-(A44-A43)-IF(J44&gt;0,2,0)))),0)</f>
        <v>0</v>
      </c>
      <c r="O44">
        <f ca="1">IF(AND(COUNTIF(IF(AND(配装计算器!$K$30&lt;&gt;"∞",0),INDEX(AU43:CB43,1,$AT$1),INDEX(AU45:CB45,1,$AT$1)),"*云飞*")=1,COUNTIF(IF(AND(配装计算器!$K$30&lt;&gt;"∞",0),INDEX(AU43:CB43,1,$AT$1),INDEX(AU45:CB45,1,$AT$1)),"*玉山*")=0),N44,0)</f>
        <v>0</v>
      </c>
      <c r="P44">
        <f ca="1">IFERROR(IF(COUNTIF(B44,"*云栖松*")&gt;0,50-加速!$L$11,MAX(0,P43-(A44-A43))),0)</f>
        <v>0</v>
      </c>
      <c r="Q44">
        <f ca="1">IF(COUNTIF(IF(AND(配装计算器!$K$30&lt;&gt;"∞",0),INDEX(AU43:CB43,1,$AT$1),INDEX(AU45:CB45,1,$AT$1)),"*云栖松*")=1,P44,0)</f>
        <v>0</v>
      </c>
      <c r="R44">
        <f ca="1">IFERROR(IF(COUNTIF(B44,"*莺鸣柳*")&gt;0,45-加速!$L$9,MAX(0,R43-(A44-A43))),0)</f>
        <v>0</v>
      </c>
      <c r="S44">
        <f ca="1">IF(COUNTIF(IF(AND(配装计算器!$K$30&lt;&gt;"∞",0),INDEX(AU43:CB43,1,$AT$1),INDEX(AU45:CB45,1,$AT$1)),"*莺鸣柳*")=1,R44,0)</f>
        <v>0</v>
      </c>
      <c r="T44">
        <f ca="1" t="shared" si="7"/>
        <v>0</v>
      </c>
      <c r="U44">
        <f ca="1">IF(金蛇,IF(COUNTIF(B44,"*金环戴*")+COUNTIF(B44,"*吹风醒*")&gt;0,IF(A44&lt;=3,7.125-2.625-A44-加速!$L$11,A44-T44),0),0)+IF(金蛇,IF(COUNTIF(B44,"*千切子裂光*")&gt;0,2+加速!$K$9-(A44+加速!$L$11-T44),0),0)</f>
        <v>0</v>
      </c>
      <c r="V44">
        <f ca="1" t="shared" si="8"/>
        <v>0</v>
      </c>
      <c r="W44">
        <f ca="1" t="shared" si="0"/>
        <v>0</v>
      </c>
      <c r="X44">
        <f ca="1">INDEX(加速!$I$13:$I$21,技能数计算!W44+1)</f>
        <v>0</v>
      </c>
      <c r="Y44">
        <f ca="1" t="shared" si="3"/>
        <v>0.5</v>
      </c>
      <c r="Z44">
        <f ca="1" t="shared" si="4"/>
        <v>0</v>
      </c>
      <c r="AA44">
        <f ca="1">MAX(0,IFERROR(IF(COUNTIF(B44,"*叠*")&gt;0,IF(AC43&lt;3,8-A45+A44,AA43+6.875-A45+A44),AA43-A45+A44),AA43-加速!$L$11))</f>
        <v>5.42</v>
      </c>
      <c r="AB44">
        <f ca="1">MAX(0,IF(COUNTIF(IF(AND(配装计算器!$K$30&lt;&gt;"∞",0),INDEX(AU44:CB44,1,$AT$1),INDEX(AU44:CB44,1,$AT$1)),"*叠1*")=1,4*25-加速!$L$11,AB43-A44+A43)-IF(OR(COUNTIF(OFFSET(AT44,0,$AT$1,1,1),"*听雷*")&gt;0,AND(碧归&gt;0,COUNTIF(OFFSET(AT44,0,$AT$1,1,1),"*风来*")&gt;0)),0,1)*1.5)</f>
        <v>88.84</v>
      </c>
      <c r="AC44">
        <f ca="1" t="shared" si="1"/>
        <v>2</v>
      </c>
      <c r="AD44">
        <f ca="1">IF(COUNTIF(IF(AND(配装计算器!$K$30&lt;&gt;"∞",0),INDEX(AU44:CB44,1,$AT$1),INDEX(AU45:CB45,1,$AT$1)),"*叠1*")=1,AB44*0+AE43,0)</f>
        <v>0</v>
      </c>
      <c r="AE44">
        <f ca="1">IF($AN$11&gt;0,IF(COUNTIF(B45,"*叠1*")&gt;0,50-加速!$H$11,MAX(0,AE43-(A45-A44))),0)</f>
        <v>43.59</v>
      </c>
      <c r="AH44" t="s">
        <v>1825</v>
      </c>
      <c r="AI44" t="s">
        <v>2723</v>
      </c>
      <c r="AM44" s="167" t="s">
        <v>2906</v>
      </c>
      <c r="AN44">
        <f ca="1">AN16*AN24*AN33</f>
        <v>0</v>
      </c>
      <c r="AU44" t="s">
        <v>2768</v>
      </c>
      <c r="AV44">
        <v>2</v>
      </c>
      <c r="AW44" s="176" t="s">
        <v>2776</v>
      </c>
      <c r="AX44">
        <v>2</v>
      </c>
      <c r="AY44" t="s">
        <v>2776</v>
      </c>
      <c r="AZ44">
        <v>2</v>
      </c>
      <c r="BA44" t="s">
        <v>2776</v>
      </c>
      <c r="BB44">
        <v>2</v>
      </c>
      <c r="BC44" t="s">
        <v>2768</v>
      </c>
      <c r="BD44">
        <v>2</v>
      </c>
      <c r="BE44" t="s">
        <v>2776</v>
      </c>
      <c r="BF44">
        <v>1</v>
      </c>
      <c r="BG44" s="176" t="s">
        <v>2768</v>
      </c>
      <c r="BH44">
        <v>2</v>
      </c>
      <c r="BI44" t="s">
        <v>2768</v>
      </c>
      <c r="BJ44">
        <v>2</v>
      </c>
      <c r="BK44" s="176" t="s">
        <v>2768</v>
      </c>
      <c r="BL44">
        <v>0</v>
      </c>
      <c r="BM44" t="s">
        <v>2768</v>
      </c>
      <c r="BN44">
        <v>2</v>
      </c>
      <c r="BO44" t="str">
        <f>IF(山重水复,"风来吴山","夕照雷峰")</f>
        <v>夕照雷峰</v>
      </c>
      <c r="BP44">
        <v>2</v>
      </c>
      <c r="BQ44" t="s">
        <v>3013</v>
      </c>
      <c r="BR44">
        <v>2</v>
      </c>
      <c r="BS44" t="s">
        <v>2768</v>
      </c>
      <c r="BT44">
        <v>0</v>
      </c>
      <c r="BU44" t="s">
        <v>2776</v>
      </c>
      <c r="BV44">
        <v>1</v>
      </c>
      <c r="BW44" s="182" t="s">
        <v>2794</v>
      </c>
      <c r="BX44" s="179">
        <v>2</v>
      </c>
      <c r="BY44" s="176" t="s">
        <v>2776</v>
      </c>
      <c r="BZ44">
        <v>2</v>
      </c>
      <c r="CA44" s="176" t="s">
        <v>2776</v>
      </c>
      <c r="CB44">
        <v>2</v>
      </c>
    </row>
    <row r="45" spans="1:80">
      <c r="A45" s="178">
        <f ca="1">IFERROR(IF(A44+加速!$L$11&lt;$AS$1,IF(COUNTIF(B44,"*轻*")&gt;0,A44+加速!$L$9,A44+加速!$L$11)+V44,IF(COUNTIF(INDEX(AU45:CB45,1,$AT$1),"*云景*")+COUNTIF(INDEX(AU45:CB45,1,$AT$1),"*鹤归*")+COUNTIF(INDEX(AU45:CB45,1,$AT$1),"*听雷*")&gt;0,A44+加速!$L$11,"")),"")</f>
        <v>55.2</v>
      </c>
      <c r="B45" s="167" t="str">
        <f ca="1">IF(A45&lt;&gt;"",IF(AND(A45+加速!$L$11&gt;$AS$1,IF(AND(配装计算器!$K$30&lt;&gt;"∞",0),"梦泉虎跑-轻",INDEX(AU45:CB45,1,$AT$1))="云栖松"),"夕照雷峰",IF(AND(配装计算器!$K$30&lt;&gt;"∞",0),"梦泉虎跑-轻",INDEX(AU45:CB45,1,$AT$1))),"")</f>
        <v>叠3-云飞玉皇</v>
      </c>
      <c r="C45">
        <f ca="1" t="shared" si="5"/>
        <v>13.71</v>
      </c>
      <c r="D45">
        <f ca="1">IF(B45&lt;&gt;"",IF(C44&lt;=加速!$L$11*(1-E45),0,1),"")</f>
        <v>1</v>
      </c>
      <c r="E45">
        <f ca="1" t="shared" si="2"/>
        <v>1</v>
      </c>
      <c r="G45">
        <f ca="1" t="shared" si="6"/>
        <v>0</v>
      </c>
      <c r="H45">
        <f ca="1">IF(B45&lt;&gt;"",IF(AND(COUNTIF(B44,"*轻*莺鸣柳*")&gt;0,COUNTIF(B45,"*轻*")&lt;1),MAX(0,15+I44-(A45-A44)+COUNTIF(B44,"*平湖*")*0),IF(AND(E45=0,MAX(0,H44-(A45-A44))&lt;=加速!$H$11),0,MAX(0,H44-(A45-A44)))),"")</f>
        <v>0</v>
      </c>
      <c r="I45">
        <f ca="1" t="shared" si="9"/>
        <v>0</v>
      </c>
      <c r="J45">
        <f ca="1" t="shared" si="10"/>
        <v>0</v>
      </c>
      <c r="K45">
        <f ca="1">IF(A45&lt;&gt;"",IF(AND(配装计算器!$K$30&lt;&gt;"∞",0),2,INDEX(AU45:CB45,1,$AT$2)),"")</f>
        <v>2</v>
      </c>
      <c r="L45">
        <f ca="1">IFERROR(IF(AND(COUNTIF(B45,"*-峰插*"),技能数据库!$M$72&gt;0),0,IF(COUNTIF(B45,"*鹤归*")&gt;0,16-加速!$L$11,MAX(0,L44-(A45-A44)))),0)</f>
        <v>5.30999999999999</v>
      </c>
      <c r="M45">
        <f ca="1">IF(COUNTIF(IF(AND(配装计算器!$K$30&lt;&gt;"∞",0),INDEX(AU44:CB44,1,$AT$1),INDEX(AU46:CB46,1,$AT$1)),"*鹤归*")=1,L45,0)</f>
        <v>0</v>
      </c>
      <c r="N45">
        <f ca="1">IFERROR(IF(AND(COUNTIF(B45,"*-峰插*"),技能数据库!$M$72&gt;0),0,IF(COUNTIF(B45,"*云飞*")&gt;0,4-COUNTIF(B45,"*玉山揽云*")*4--COUNTIF(B45,"*烟流暮景*")*4-COUNTIF(B45,"*云景*")*加速!$L$11-IF(J45&gt;0,2,0),MAX(0,N44-(A45-A44)-IF(J45&gt;0,2,0)))),0)</f>
        <v>4</v>
      </c>
      <c r="O45">
        <f ca="1">IF(AND(COUNTIF(IF(AND(配装计算器!$K$30&lt;&gt;"∞",0),INDEX(AU44:CB44,1,$AT$1),INDEX(AU46:CB46,1,$AT$1)),"*云飞*")=1,COUNTIF(IF(AND(配装计算器!$K$30&lt;&gt;"∞",0),INDEX(AU44:CB44,1,$AT$1),INDEX(AU46:CB46,1,$AT$1)),"*玉山*")=0),N45,0)</f>
        <v>0</v>
      </c>
      <c r="P45">
        <f ca="1">IFERROR(IF(COUNTIF(B45,"*云栖松*")&gt;0,50-加速!$L$11,MAX(0,P44-(A45-A44))),0)</f>
        <v>0</v>
      </c>
      <c r="Q45">
        <f ca="1">IF(COUNTIF(IF(AND(配装计算器!$K$30&lt;&gt;"∞",0),INDEX(AU44:CB44,1,$AT$1),INDEX(AU46:CB46,1,$AT$1)),"*云栖松*")=1,P45,0)</f>
        <v>0</v>
      </c>
      <c r="R45">
        <f ca="1">IFERROR(IF(COUNTIF(B45,"*莺鸣柳*")&gt;0,45-加速!$L$9,MAX(0,R44-(A45-A44))),0)</f>
        <v>0</v>
      </c>
      <c r="S45">
        <f ca="1">IF(COUNTIF(IF(AND(配装计算器!$K$30&lt;&gt;"∞",0),INDEX(AU44:CB44,1,$AT$1),INDEX(AU46:CB46,1,$AT$1)),"*莺鸣柳*")=1,R45,0)</f>
        <v>0</v>
      </c>
      <c r="T45">
        <f ca="1" t="shared" si="7"/>
        <v>0</v>
      </c>
      <c r="U45">
        <f ca="1">IF(金蛇,IF(COUNTIF(B45,"*金环戴*")+COUNTIF(B45,"*吹风醒*")&gt;0,IF(A45&lt;=3,7.125-2.625-A45-加速!$L$11,A45-T45),0),0)+IF(金蛇,IF(COUNTIF(B45,"*千切子裂光*")&gt;0,2+加速!$K$9-(A45+加速!$L$11-T45),0),0)</f>
        <v>0</v>
      </c>
      <c r="V45">
        <f ca="1" t="shared" si="8"/>
        <v>0</v>
      </c>
      <c r="W45">
        <f ca="1" t="shared" si="0"/>
        <v>0</v>
      </c>
      <c r="X45">
        <f ca="1">INDEX(加速!$I$13:$I$21,技能数计算!W45+1)</f>
        <v>0</v>
      </c>
      <c r="Y45">
        <f ca="1" t="shared" si="3"/>
        <v>0.5</v>
      </c>
      <c r="Z45">
        <f ca="1" t="shared" si="4"/>
        <v>0</v>
      </c>
      <c r="AA45">
        <f ca="1">MAX(0,IFERROR(IF(COUNTIF(B45,"*叠*")&gt;0,IF(AC44&lt;3,8-A46+A45,AA44+6.875-A46+A45),AA44-A46+A45),AA44-加速!$L$11))</f>
        <v>6.71</v>
      </c>
      <c r="AB45">
        <f ca="1">MAX(0,IF(COUNTIF(IF(AND(配装计算器!$K$30&lt;&gt;"∞",0),INDEX(AU45:CB45,1,$AT$1),INDEX(AU45:CB45,1,$AT$1)),"*叠1*")=1,4*25-加速!$L$11,AB44-A45+A44)-IF(OR(COUNTIF(OFFSET(AT45,0,$AT$1,1,1),"*听雷*")&gt;0,AND(碧归&gt;0,COUNTIF(OFFSET(AT45,0,$AT$1,1,1),"*风来*")&gt;0)),0,1)*1.5)</f>
        <v>86.05</v>
      </c>
      <c r="AC45">
        <f ca="1" t="shared" si="1"/>
        <v>3</v>
      </c>
      <c r="AD45">
        <f ca="1">IF(COUNTIF(IF(AND(配装计算器!$K$30&lt;&gt;"∞",0),INDEX(AU45:CB45,1,$AT$1),INDEX(AU46:CB46,1,$AT$1)),"*叠1*")=1,AB45*0+AE44,0)</f>
        <v>0</v>
      </c>
      <c r="AE45">
        <f ca="1">IF($AN$11&gt;0,IF(COUNTIF(B46,"*叠1*")&gt;0,50-加速!$H$11,MAX(0,AE44-(A46-A45))),0)</f>
        <v>42.3</v>
      </c>
      <c r="AH45" t="s">
        <v>1825</v>
      </c>
      <c r="AI45" t="s">
        <v>2723</v>
      </c>
      <c r="AK45" t="s">
        <v>2750</v>
      </c>
      <c r="AM45" s="167" t="s">
        <v>3080</v>
      </c>
      <c r="AN45">
        <f ca="1">AN30*(AN31+AN32)</f>
        <v>0</v>
      </c>
      <c r="AU45" t="s">
        <v>2768</v>
      </c>
      <c r="AV45">
        <v>2</v>
      </c>
      <c r="AW45" s="176" t="s">
        <v>2768</v>
      </c>
      <c r="AX45">
        <v>2</v>
      </c>
      <c r="AY45" t="s">
        <v>2768</v>
      </c>
      <c r="AZ45">
        <v>2</v>
      </c>
      <c r="BA45" t="s">
        <v>2768</v>
      </c>
      <c r="BB45">
        <v>2</v>
      </c>
      <c r="BC45" t="s">
        <v>3023</v>
      </c>
      <c r="BD45">
        <v>2</v>
      </c>
      <c r="BE45" t="s">
        <v>2768</v>
      </c>
      <c r="BF45">
        <v>0</v>
      </c>
      <c r="BG45" s="176" t="s">
        <v>2768</v>
      </c>
      <c r="BH45">
        <v>2</v>
      </c>
      <c r="BI45" s="182" t="s">
        <v>3023</v>
      </c>
      <c r="BJ45">
        <v>2</v>
      </c>
      <c r="BK45" s="176" t="s">
        <v>2776</v>
      </c>
      <c r="BL45">
        <v>0</v>
      </c>
      <c r="BM45" t="str">
        <f>IF(山重水复,"风来吴山","夕照雷峰")</f>
        <v>夕照雷峰</v>
      </c>
      <c r="BN45">
        <v>2</v>
      </c>
      <c r="BO45" s="176" t="s">
        <v>2794</v>
      </c>
      <c r="BP45">
        <v>2</v>
      </c>
      <c r="BQ45" t="s">
        <v>3018</v>
      </c>
      <c r="BR45">
        <v>2</v>
      </c>
      <c r="BS45" t="s">
        <v>3012</v>
      </c>
      <c r="BT45">
        <v>2</v>
      </c>
      <c r="BU45" t="s">
        <v>2768</v>
      </c>
      <c r="BV45">
        <v>1</v>
      </c>
      <c r="BW45" s="182" t="s">
        <v>2776</v>
      </c>
      <c r="BX45" s="179">
        <v>2</v>
      </c>
      <c r="BY45" s="176" t="s">
        <v>2768</v>
      </c>
      <c r="BZ45">
        <v>2</v>
      </c>
      <c r="CA45" s="176" t="s">
        <v>2768</v>
      </c>
      <c r="CB45">
        <v>2</v>
      </c>
    </row>
    <row r="46" spans="1:80">
      <c r="A46" s="178">
        <f ca="1">IFERROR(IF(A45+加速!$L$11&lt;$AS$1,IF(COUNTIF(B45,"*轻*")&gt;0,A45+加速!$L$9,A45+加速!$L$11)+V45,IF(COUNTIF(INDEX(AU46:CB46,1,$AT$1),"*云景*")+COUNTIF(INDEX(AU46:CB46,1,$AT$1),"*鹤归*")+COUNTIF(INDEX(AU46:CB46,1,$AT$1),"*听雷*")&gt;0,A45+加速!$L$11,"")),"")</f>
        <v>56.49</v>
      </c>
      <c r="B46" s="167" t="str">
        <f ca="1">IF(A46&lt;&gt;"",IF(AND(A46+加速!$L$11&gt;$AS$1,IF(AND(配装计算器!$K$30&lt;&gt;"∞",0),"梦泉虎跑-轻",INDEX(AU46:CB46,1,$AT$1))="云栖松"),"夕照雷峰",IF(AND(配装计算器!$K$30&lt;&gt;"∞",0),"梦泉虎跑-轻",INDEX(AU46:CB46,1,$AT$1))),"")</f>
        <v>云飞玉皇-玉山揽云</v>
      </c>
      <c r="C46">
        <f ca="1" t="shared" si="5"/>
        <v>12.42</v>
      </c>
      <c r="D46">
        <f ca="1">IF(B46&lt;&gt;"",IF(C45&lt;=加速!$L$11*(1-E46),0,1),"")</f>
        <v>1</v>
      </c>
      <c r="E46">
        <f ca="1" t="shared" si="2"/>
        <v>1</v>
      </c>
      <c r="G46">
        <f ca="1" t="shared" si="6"/>
        <v>0</v>
      </c>
      <c r="H46">
        <f ca="1">IF(B46&lt;&gt;"",IF(AND(COUNTIF(B45,"*轻*莺鸣柳*")&gt;0,COUNTIF(B46,"*轻*")&lt;1),MAX(0,15+I45-(A46-A45)+COUNTIF(B45,"*平湖*")*0),IF(AND(E46=0,MAX(0,H45-(A46-A45))&lt;=加速!$H$11),0,MAX(0,H45-(A46-A45)))),"")</f>
        <v>0</v>
      </c>
      <c r="I46">
        <f ca="1" t="shared" si="9"/>
        <v>0</v>
      </c>
      <c r="J46">
        <f ca="1" t="shared" si="10"/>
        <v>0</v>
      </c>
      <c r="K46">
        <f ca="1">IF(A46&lt;&gt;"",IF(AND(配装计算器!$K$30&lt;&gt;"∞",0),2,INDEX(AU46:CB46,1,$AT$2)),"")</f>
        <v>2</v>
      </c>
      <c r="L46">
        <f ca="1">IFERROR(IF(AND(COUNTIF(B46,"*-峰插*"),技能数据库!$M$72&gt;0),0,IF(COUNTIF(B46,"*鹤归*")&gt;0,16-加速!$L$11,MAX(0,L45-(A46-A45)))),0)</f>
        <v>4.01999999999999</v>
      </c>
      <c r="M46">
        <f ca="1">IF(COUNTIF(IF(AND(配装计算器!$K$30&lt;&gt;"∞",0),INDEX(AU45:CB45,1,$AT$1),INDEX(AU47:CB47,1,$AT$1)),"*鹤归*")=1,L46,0)</f>
        <v>0</v>
      </c>
      <c r="N46">
        <f ca="1">IFERROR(IF(AND(COUNTIF(B46,"*-峰插*"),技能数据库!$M$72&gt;0),0,IF(COUNTIF(B46,"*云飞*")&gt;0,4-COUNTIF(B46,"*玉山揽云*")*4--COUNTIF(B46,"*烟流暮景*")*4-COUNTIF(B46,"*云景*")*加速!$L$11-IF(J46&gt;0,2,0),MAX(0,N45-(A46-A45)-IF(J46&gt;0,2,0)))),0)</f>
        <v>0</v>
      </c>
      <c r="O46">
        <f ca="1">IF(AND(COUNTIF(IF(AND(配装计算器!$K$30&lt;&gt;"∞",0),INDEX(AU45:CB45,1,$AT$1),INDEX(AU47:CB47,1,$AT$1)),"*云飞*")=1,COUNTIF(IF(AND(配装计算器!$K$30&lt;&gt;"∞",0),INDEX(AU45:CB45,1,$AT$1),INDEX(AU47:CB47,1,$AT$1)),"*玉山*")=0),N46,0)</f>
        <v>0</v>
      </c>
      <c r="P46">
        <f ca="1">IFERROR(IF(COUNTIF(B46,"*云栖松*")&gt;0,50-加速!$L$11,MAX(0,P45-(A46-A45))),0)</f>
        <v>0</v>
      </c>
      <c r="Q46">
        <f ca="1">IF(COUNTIF(IF(AND(配装计算器!$K$30&lt;&gt;"∞",0),INDEX(AU45:CB45,1,$AT$1),INDEX(AU47:CB47,1,$AT$1)),"*云栖松*")=1,P46,0)</f>
        <v>0</v>
      </c>
      <c r="R46">
        <f ca="1">IFERROR(IF(COUNTIF(B46,"*莺鸣柳*")&gt;0,45-加速!$L$9,MAX(0,R45-(A46-A45))),0)</f>
        <v>0</v>
      </c>
      <c r="S46">
        <f ca="1">IF(COUNTIF(IF(AND(配装计算器!$K$30&lt;&gt;"∞",0),INDEX(AU45:CB45,1,$AT$1),INDEX(AU47:CB47,1,$AT$1)),"*莺鸣柳*")=1,R46,0)</f>
        <v>0</v>
      </c>
      <c r="T46">
        <f ca="1" t="shared" si="7"/>
        <v>0</v>
      </c>
      <c r="U46">
        <f ca="1">IF(金蛇,IF(COUNTIF(B46,"*金环戴*")+COUNTIF(B46,"*吹风醒*")&gt;0,IF(A46&lt;=3,7.125-2.625-A46-加速!$L$11,A46-T46),0),0)+IF(金蛇,IF(COUNTIF(B46,"*千切子裂光*")&gt;0,2+加速!$K$9-(A46+加速!$L$11-T46),0),0)</f>
        <v>0</v>
      </c>
      <c r="V46">
        <f ca="1" t="shared" si="8"/>
        <v>0</v>
      </c>
      <c r="W46">
        <f ca="1" t="shared" si="0"/>
        <v>0</v>
      </c>
      <c r="X46">
        <f ca="1">INDEX(加速!$I$13:$I$21,技能数计算!W46+1)</f>
        <v>0</v>
      </c>
      <c r="Y46">
        <f ca="1" t="shared" si="3"/>
        <v>0.5</v>
      </c>
      <c r="Z46">
        <f ca="1" t="shared" si="4"/>
        <v>0</v>
      </c>
      <c r="AA46">
        <f ca="1">MAX(0,IFERROR(IF(COUNTIF(B46,"*叠*")&gt;0,IF(AC45&lt;3,8-A47+A46,AA45+6.875-A47+A46),AA45-A47+A46),AA45-加速!$L$11))</f>
        <v>5.42</v>
      </c>
      <c r="AB46">
        <f ca="1">MAX(0,IF(COUNTIF(IF(AND(配装计算器!$K$30&lt;&gt;"∞",0),INDEX(AU46:CB46,1,$AT$1),INDEX(AU46:CB46,1,$AT$1)),"*叠1*")=1,4*25-加速!$L$11,AB45-A46+A45)-IF(OR(COUNTIF(OFFSET(AT46,0,$AT$1,1,1),"*听雷*")&gt;0,AND(碧归&gt;0,COUNTIF(OFFSET(AT46,0,$AT$1,1,1),"*风来*")&gt;0)),0,1)*1.5)</f>
        <v>83.26</v>
      </c>
      <c r="AC46">
        <f ca="1" t="shared" si="1"/>
        <v>3</v>
      </c>
      <c r="AD46">
        <f ca="1">IF(COUNTIF(IF(AND(配装计算器!$K$30&lt;&gt;"∞",0),INDEX(AU46:CB46,1,$AT$1),INDEX(AU47:CB47,1,$AT$1)),"*叠1*")=1,AB46*0+AE45,0)</f>
        <v>0</v>
      </c>
      <c r="AE46">
        <f ca="1">IF($AN$11&gt;0,IF(COUNTIF(B47,"*叠1*")&gt;0,50-加速!$H$11,MAX(0,AE45-(A47-A46))),0)</f>
        <v>41.01</v>
      </c>
      <c r="AH46" t="s">
        <v>1825</v>
      </c>
      <c r="AI46" t="s">
        <v>2723</v>
      </c>
      <c r="AK46" t="s">
        <v>2948</v>
      </c>
      <c r="AM46" s="167" t="s">
        <v>2827</v>
      </c>
      <c r="AN46">
        <f ca="1">AN30*AN33</f>
        <v>23.0849609375</v>
      </c>
      <c r="AU46" s="176" t="s">
        <v>2794</v>
      </c>
      <c r="AV46">
        <v>2</v>
      </c>
      <c r="AW46" s="176" t="s">
        <v>2808</v>
      </c>
      <c r="AX46">
        <v>2</v>
      </c>
      <c r="AY46" t="s">
        <v>2768</v>
      </c>
      <c r="AZ46">
        <v>2</v>
      </c>
      <c r="BA46" t="s">
        <v>2768</v>
      </c>
      <c r="BB46">
        <v>2</v>
      </c>
      <c r="BC46" t="s">
        <v>2768</v>
      </c>
      <c r="BD46">
        <v>2</v>
      </c>
      <c r="BE46" t="s">
        <v>3011</v>
      </c>
      <c r="BF46">
        <v>2</v>
      </c>
      <c r="BG46" s="176" t="s">
        <v>2768</v>
      </c>
      <c r="BH46">
        <v>2</v>
      </c>
      <c r="BI46" s="176" t="s">
        <v>3026</v>
      </c>
      <c r="BJ46">
        <v>2</v>
      </c>
      <c r="BK46" s="176" t="s">
        <v>2768</v>
      </c>
      <c r="BL46">
        <v>0</v>
      </c>
      <c r="BM46" s="176" t="s">
        <v>2794</v>
      </c>
      <c r="BN46">
        <v>2</v>
      </c>
      <c r="BO46" s="176" t="s">
        <v>2776</v>
      </c>
      <c r="BP46">
        <v>2</v>
      </c>
      <c r="BQ46" t="s">
        <v>2768</v>
      </c>
      <c r="BR46">
        <v>2</v>
      </c>
      <c r="BS46" s="179" t="s">
        <v>2794</v>
      </c>
      <c r="BT46">
        <v>2</v>
      </c>
      <c r="BU46" t="s">
        <v>3011</v>
      </c>
      <c r="BV46">
        <v>2</v>
      </c>
      <c r="BW46" s="182" t="s">
        <v>2768</v>
      </c>
      <c r="BX46" s="179">
        <v>2</v>
      </c>
      <c r="BY46" s="176" t="s">
        <v>2776</v>
      </c>
      <c r="BZ46">
        <v>2</v>
      </c>
      <c r="CA46" s="176" t="s">
        <v>2776</v>
      </c>
      <c r="CB46">
        <v>2</v>
      </c>
    </row>
    <row r="47" spans="1:80">
      <c r="A47" s="178">
        <f ca="1">IFERROR(IF(A46+加速!$L$11&lt;$AS$1,IF(COUNTIF(B46,"*轻*")&gt;0,A46+加速!$L$9,A46+加速!$L$11)+V46,IF(COUNTIF(INDEX(AU47:CB47,1,$AT$1),"*云景*")+COUNTIF(INDEX(AU47:CB47,1,$AT$1),"*鹤归*")+COUNTIF(INDEX(AU47:CB47,1,$AT$1),"*听雷*")&gt;0,A46+加速!$L$11,"")),"")</f>
        <v>57.78</v>
      </c>
      <c r="B47" s="167" t="str">
        <f ca="1">IF(A47&lt;&gt;"",IF(AND(A47+加速!$L$11&gt;$AS$1,IF(AND(配装计算器!$K$30&lt;&gt;"∞",0),"梦泉虎跑-轻",INDEX(AU47:CB47,1,$AT$1))="云栖松"),"夕照雷峰",IF(AND(配装计算器!$K$30&lt;&gt;"∞",0),"梦泉虎跑-轻",INDEX(AU47:CB47,1,$AT$1))),"")</f>
        <v>云飞玉皇-玉山揽云</v>
      </c>
      <c r="C47">
        <f ca="1" t="shared" si="5"/>
        <v>11.13</v>
      </c>
      <c r="D47">
        <f ca="1">IF(B47&lt;&gt;"",IF(C46&lt;=加速!$L$11*(1-E47),0,1),"")</f>
        <v>1</v>
      </c>
      <c r="E47">
        <f ca="1" t="shared" si="2"/>
        <v>1</v>
      </c>
      <c r="G47">
        <f ca="1" t="shared" si="6"/>
        <v>0</v>
      </c>
      <c r="H47">
        <f ca="1">IF(B47&lt;&gt;"",IF(AND(COUNTIF(B46,"*轻*莺鸣柳*")&gt;0,COUNTIF(B47,"*轻*")&lt;1),MAX(0,15+I46-(A47-A46)+COUNTIF(B46,"*平湖*")*0),IF(AND(E47=0,MAX(0,H46-(A47-A46))&lt;=加速!$H$11),0,MAX(0,H46-(A47-A46)))),"")</f>
        <v>0</v>
      </c>
      <c r="I47">
        <f ca="1" t="shared" si="9"/>
        <v>0</v>
      </c>
      <c r="J47">
        <f ca="1" t="shared" si="10"/>
        <v>0</v>
      </c>
      <c r="K47">
        <f ca="1">IF(A47&lt;&gt;"",IF(AND(配装计算器!$K$30&lt;&gt;"∞",0),2,INDEX(AU47:CB47,1,$AT$2)),"")</f>
        <v>2</v>
      </c>
      <c r="L47">
        <f ca="1">IFERROR(IF(AND(COUNTIF(B47,"*-峰插*"),技能数据库!$M$72&gt;0),0,IF(COUNTIF(B47,"*鹤归*")&gt;0,16-加速!$L$11,MAX(0,L46-(A47-A46)))),0)</f>
        <v>2.72999999999999</v>
      </c>
      <c r="M47">
        <f ca="1">IF(COUNTIF(IF(AND(配装计算器!$K$30&lt;&gt;"∞",0),INDEX(AU46:CB46,1,$AT$1),INDEX(AU48:CB48,1,$AT$1)),"*鹤归*")=1,L47,0)</f>
        <v>0</v>
      </c>
      <c r="N47">
        <f ca="1">IFERROR(IF(AND(COUNTIF(B47,"*-峰插*"),技能数据库!$M$72&gt;0),0,IF(COUNTIF(B47,"*云飞*")&gt;0,4-COUNTIF(B47,"*玉山揽云*")*4--COUNTIF(B47,"*烟流暮景*")*4-COUNTIF(B47,"*云景*")*加速!$L$11-IF(J47&gt;0,2,0),MAX(0,N46-(A47-A46)-IF(J47&gt;0,2,0)))),0)</f>
        <v>0</v>
      </c>
      <c r="O47">
        <f ca="1">IF(AND(COUNTIF(IF(AND(配装计算器!$K$30&lt;&gt;"∞",0),INDEX(AU46:CB46,1,$AT$1),INDEX(AU48:CB48,1,$AT$1)),"*云飞*")=1,COUNTIF(IF(AND(配装计算器!$K$30&lt;&gt;"∞",0),INDEX(AU46:CB46,1,$AT$1),INDEX(AU48:CB48,1,$AT$1)),"*玉山*")=0),N47,0)</f>
        <v>0</v>
      </c>
      <c r="P47">
        <f ca="1">IFERROR(IF(COUNTIF(B47,"*云栖松*")&gt;0,50-加速!$L$11,MAX(0,P46-(A47-A46))),0)</f>
        <v>0</v>
      </c>
      <c r="Q47">
        <f ca="1">IF(COUNTIF(IF(AND(配装计算器!$K$30&lt;&gt;"∞",0),INDEX(AU46:CB46,1,$AT$1),INDEX(AU48:CB48,1,$AT$1)),"*云栖松*")=1,P47,0)</f>
        <v>0</v>
      </c>
      <c r="R47">
        <f ca="1">IFERROR(IF(COUNTIF(B47,"*莺鸣柳*")&gt;0,45-加速!$L$9,MAX(0,R46-(A47-A46))),0)</f>
        <v>0</v>
      </c>
      <c r="S47">
        <f ca="1">IF(COUNTIF(IF(AND(配装计算器!$K$30&lt;&gt;"∞",0),INDEX(AU46:CB46,1,$AT$1),INDEX(AU48:CB48,1,$AT$1)),"*莺鸣柳*")=1,R47,0)</f>
        <v>0</v>
      </c>
      <c r="T47">
        <f ca="1" t="shared" si="7"/>
        <v>0</v>
      </c>
      <c r="U47">
        <f ca="1">IF(金蛇,IF(COUNTIF(B47,"*金环戴*")+COUNTIF(B47,"*吹风醒*")&gt;0,IF(A47&lt;=3,7.125-2.625-A47-加速!$L$11,A47-T47),0),0)+IF(金蛇,IF(COUNTIF(B47,"*千切子裂光*")&gt;0,2+加速!$K$9-(A47+加速!$L$11-T47),0),0)</f>
        <v>0</v>
      </c>
      <c r="V47">
        <f ca="1" t="shared" si="8"/>
        <v>0</v>
      </c>
      <c r="W47">
        <f ca="1" t="shared" si="0"/>
        <v>0</v>
      </c>
      <c r="X47">
        <f ca="1">INDEX(加速!$I$13:$I$21,技能数计算!W47+1)</f>
        <v>0</v>
      </c>
      <c r="Y47">
        <f ca="1" t="shared" si="3"/>
        <v>0.5</v>
      </c>
      <c r="Z47">
        <f ca="1" t="shared" si="4"/>
        <v>0</v>
      </c>
      <c r="AA47">
        <f ca="1">MAX(0,IFERROR(IF(COUNTIF(B47,"*叠*")&gt;0,IF(AC46&lt;3,8-A48+A47,AA46+6.875-A48+A47),AA46-A48+A47),AA46-加速!$L$11))</f>
        <v>4.13</v>
      </c>
      <c r="AB47">
        <f ca="1">MAX(0,IF(COUNTIF(IF(AND(配装计算器!$K$30&lt;&gt;"∞",0),INDEX(AU47:CB47,1,$AT$1),INDEX(AU47:CB47,1,$AT$1)),"*叠1*")=1,4*25-加速!$L$11,AB46-A47+A46)-IF(OR(COUNTIF(OFFSET(AT47,0,$AT$1,1,1),"*听雷*")&gt;0,AND(碧归&gt;0,COUNTIF(OFFSET(AT47,0,$AT$1,1,1),"*风来*")&gt;0)),0,1)*1.5)</f>
        <v>80.47</v>
      </c>
      <c r="AC47">
        <f ca="1" t="shared" si="1"/>
        <v>3</v>
      </c>
      <c r="AD47">
        <f ca="1">IF(COUNTIF(IF(AND(配装计算器!$K$30&lt;&gt;"∞",0),INDEX(AU47:CB47,1,$AT$1),INDEX(AU48:CB48,1,$AT$1)),"*叠1*")=1,AB47*0+AE46,0)</f>
        <v>0</v>
      </c>
      <c r="AE47">
        <f ca="1">IF($AN$11&gt;0,IF(COUNTIF(B48,"*叠1*")&gt;0,50-加速!$H$11,MAX(0,AE46-(A48-A47))),0)</f>
        <v>39.72</v>
      </c>
      <c r="AH47" t="s">
        <v>1825</v>
      </c>
      <c r="AI47" t="s">
        <v>2723</v>
      </c>
      <c r="AK47" t="s">
        <v>3044</v>
      </c>
      <c r="AU47" s="176" t="s">
        <v>2776</v>
      </c>
      <c r="AV47">
        <v>2</v>
      </c>
      <c r="AW47" t="s">
        <v>2768</v>
      </c>
      <c r="AX47">
        <v>2</v>
      </c>
      <c r="AY47" t="s">
        <v>2776</v>
      </c>
      <c r="AZ47">
        <v>2</v>
      </c>
      <c r="BA47" t="s">
        <v>2776</v>
      </c>
      <c r="BB47">
        <v>2</v>
      </c>
      <c r="BC47" t="s">
        <v>2776</v>
      </c>
      <c r="BD47">
        <v>2</v>
      </c>
      <c r="BE47" t="s">
        <v>2768</v>
      </c>
      <c r="BF47">
        <v>2</v>
      </c>
      <c r="BG47" s="176" t="s">
        <v>2776</v>
      </c>
      <c r="BH47">
        <v>2</v>
      </c>
      <c r="BI47" s="176" t="s">
        <v>3026</v>
      </c>
      <c r="BJ47">
        <v>2</v>
      </c>
      <c r="BK47" s="176" t="s">
        <v>3012</v>
      </c>
      <c r="BL47">
        <v>2</v>
      </c>
      <c r="BM47" s="176" t="s">
        <v>2776</v>
      </c>
      <c r="BN47">
        <v>2</v>
      </c>
      <c r="BO47" s="176" t="s">
        <v>2768</v>
      </c>
      <c r="BP47">
        <v>2</v>
      </c>
      <c r="BQ47" t="s">
        <v>3023</v>
      </c>
      <c r="BR47">
        <v>2</v>
      </c>
      <c r="BS47" s="179" t="s">
        <v>3019</v>
      </c>
      <c r="BT47">
        <v>2</v>
      </c>
      <c r="BU47" t="s">
        <v>2768</v>
      </c>
      <c r="BV47">
        <v>2</v>
      </c>
      <c r="BW47" s="182" t="s">
        <v>2776</v>
      </c>
      <c r="BX47" s="179">
        <v>2</v>
      </c>
      <c r="BY47" s="176" t="s">
        <v>2768</v>
      </c>
      <c r="BZ47">
        <v>2</v>
      </c>
      <c r="CA47" s="176" t="s">
        <v>2768</v>
      </c>
      <c r="CB47">
        <v>2</v>
      </c>
    </row>
    <row r="48" spans="1:80">
      <c r="A48" s="178">
        <f ca="1">IFERROR(IF(A47+加速!$L$11&lt;$AS$1,IF(COUNTIF(B47,"*轻*")&gt;0,A47+加速!$L$9,A47+加速!$L$11)+V47,IF(COUNTIF(INDEX(AU48:CB48,1,$AT$1),"*云景*")+COUNTIF(INDEX(AU48:CB48,1,$AT$1),"*鹤归*")+COUNTIF(INDEX(AU48:CB48,1,$AT$1),"*听雷*")&gt;0,A47+加速!$L$11,"")),"")</f>
        <v>59.07</v>
      </c>
      <c r="B48" s="167" t="str">
        <f ca="1">IF(A48&lt;&gt;"",IF(AND(A48+加速!$L$11&gt;$AS$1,IF(AND(配装计算器!$K$30&lt;&gt;"∞",0),"梦泉虎跑-轻",INDEX(AU48:CB48,1,$AT$1))="云栖松"),"夕照雷峰",IF(AND(配装计算器!$K$30&lt;&gt;"∞",0),"梦泉虎跑-轻",INDEX(AU48:CB48,1,$AT$1))),"")</f>
        <v>云飞玉皇-玉山揽云</v>
      </c>
      <c r="C48">
        <f ca="1" t="shared" si="5"/>
        <v>9.84</v>
      </c>
      <c r="D48">
        <f ca="1">IF(B48&lt;&gt;"",IF(C47&lt;=加速!$L$11*(1-E48),0,1),"")</f>
        <v>1</v>
      </c>
      <c r="E48">
        <f ca="1" t="shared" si="2"/>
        <v>1</v>
      </c>
      <c r="G48">
        <f ca="1" t="shared" si="6"/>
        <v>0</v>
      </c>
      <c r="H48">
        <f ca="1">IF(B48&lt;&gt;"",IF(AND(COUNTIF(B47,"*轻*莺鸣柳*")&gt;0,COUNTIF(B48,"*轻*")&lt;1),MAX(0,15+I47-(A48-A47)+COUNTIF(B47,"*平湖*")*0),IF(AND(E48=0,MAX(0,H47-(A48-A47))&lt;=加速!$H$11),0,MAX(0,H47-(A48-A47)))),"")</f>
        <v>0</v>
      </c>
      <c r="I48">
        <f ca="1" t="shared" si="9"/>
        <v>0</v>
      </c>
      <c r="J48">
        <f ca="1" t="shared" si="10"/>
        <v>0</v>
      </c>
      <c r="K48">
        <f ca="1">IF(A48&lt;&gt;"",IF(AND(配装计算器!$K$30&lt;&gt;"∞",0),2,INDEX(AU48:CB48,1,$AT$2)),"")</f>
        <v>2</v>
      </c>
      <c r="L48">
        <f ca="1">IFERROR(IF(AND(COUNTIF(B48,"*-峰插*"),技能数据库!$M$72&gt;0),0,IF(COUNTIF(B48,"*鹤归*")&gt;0,16-加速!$L$11,MAX(0,L47-(A48-A47)))),0)</f>
        <v>1.43999999999999</v>
      </c>
      <c r="M48">
        <f ca="1">IF(COUNTIF(IF(AND(配装计算器!$K$30&lt;&gt;"∞",0),INDEX(AU47:CB47,1,$AT$1),INDEX(AU49:CB49,1,$AT$1)),"*鹤归*")=1,L48,0)</f>
        <v>0</v>
      </c>
      <c r="N48">
        <f ca="1">IFERROR(IF(AND(COUNTIF(B48,"*-峰插*"),技能数据库!$M$72&gt;0),0,IF(COUNTIF(B48,"*云飞*")&gt;0,4-COUNTIF(B48,"*玉山揽云*")*4--COUNTIF(B48,"*烟流暮景*")*4-COUNTIF(B48,"*云景*")*加速!$L$11-IF(J48&gt;0,2,0),MAX(0,N47-(A48-A47)-IF(J48&gt;0,2,0)))),0)</f>
        <v>0</v>
      </c>
      <c r="O48">
        <f ca="1">IF(AND(COUNTIF(IF(AND(配装计算器!$K$30&lt;&gt;"∞",0),INDEX(AU47:CB47,1,$AT$1),INDEX(AU49:CB49,1,$AT$1)),"*云飞*")=1,COUNTIF(IF(AND(配装计算器!$K$30&lt;&gt;"∞",0),INDEX(AU47:CB47,1,$AT$1),INDEX(AU49:CB49,1,$AT$1)),"*玉山*")=0),N48,0)</f>
        <v>0</v>
      </c>
      <c r="P48">
        <f ca="1">IFERROR(IF(COUNTIF(B48,"*云栖松*")&gt;0,50-加速!$L$11,MAX(0,P47-(A48-A47))),0)</f>
        <v>0</v>
      </c>
      <c r="Q48">
        <f ca="1">IF(COUNTIF(IF(AND(配装计算器!$K$30&lt;&gt;"∞",0),INDEX(AU47:CB47,1,$AT$1),INDEX(AU49:CB49,1,$AT$1)),"*云栖松*")=1,P48,0)</f>
        <v>0</v>
      </c>
      <c r="R48">
        <f ca="1">IFERROR(IF(COUNTIF(B48,"*莺鸣柳*")&gt;0,45-加速!$L$9,MAX(0,R47-(A48-A47))),0)</f>
        <v>0</v>
      </c>
      <c r="S48">
        <f ca="1">IF(COUNTIF(IF(AND(配装计算器!$K$30&lt;&gt;"∞",0),INDEX(AU47:CB47,1,$AT$1),INDEX(AU49:CB49,1,$AT$1)),"*莺鸣柳*")=1,R48,0)</f>
        <v>0</v>
      </c>
      <c r="T48">
        <f ca="1" t="shared" si="7"/>
        <v>0</v>
      </c>
      <c r="U48">
        <f ca="1">IF(金蛇,IF(COUNTIF(B48,"*金环戴*")+COUNTIF(B48,"*吹风醒*")&gt;0,IF(A48&lt;=3,7.125-2.625-A48-加速!$L$11,A48-T48),0),0)+IF(金蛇,IF(COUNTIF(B48,"*千切子裂光*")&gt;0,2+加速!$K$9-(A48+加速!$L$11-T48),0),0)</f>
        <v>0</v>
      </c>
      <c r="V48">
        <f ca="1" t="shared" si="8"/>
        <v>0</v>
      </c>
      <c r="W48">
        <f ca="1" t="shared" si="0"/>
        <v>0</v>
      </c>
      <c r="X48">
        <f ca="1">INDEX(加速!$I$13:$I$21,技能数计算!W48+1)</f>
        <v>0</v>
      </c>
      <c r="Y48">
        <f ca="1" t="shared" si="3"/>
        <v>0.5</v>
      </c>
      <c r="Z48">
        <f ca="1" t="shared" si="4"/>
        <v>0</v>
      </c>
      <c r="AA48">
        <f ca="1">MAX(0,IFERROR(IF(COUNTIF(B48,"*叠*")&gt;0,IF(AC47&lt;3,8-A49+A48,AA47+6.875-A49+A48),AA47-A49+A48),AA47-加速!$L$11))</f>
        <v>2.84</v>
      </c>
      <c r="AB48">
        <f ca="1">MAX(0,IF(COUNTIF(IF(AND(配装计算器!$K$30&lt;&gt;"∞",0),INDEX(AU48:CB48,1,$AT$1),INDEX(AU48:CB48,1,$AT$1)),"*叠1*")=1,4*25-加速!$L$11,AB47-A48+A47)-IF(OR(COUNTIF(OFFSET(AT48,0,$AT$1,1,1),"*听雷*")&gt;0,AND(碧归&gt;0,COUNTIF(OFFSET(AT48,0,$AT$1,1,1),"*风来*")&gt;0)),0,1)*1.5)</f>
        <v>77.68</v>
      </c>
      <c r="AC48">
        <f ca="1" t="shared" si="1"/>
        <v>3</v>
      </c>
      <c r="AD48">
        <f ca="1">IF(COUNTIF(IF(AND(配装计算器!$K$30&lt;&gt;"∞",0),INDEX(AU48:CB48,1,$AT$1),INDEX(AU49:CB49,1,$AT$1)),"*叠1*")=1,AB48*0+AE47,0)</f>
        <v>0</v>
      </c>
      <c r="AE48">
        <f ca="1">IF($AN$11&gt;0,IF(COUNTIF(B49,"*叠1*")&gt;0,50-加速!$H$11,MAX(0,AE47-(A49-A48))),0)</f>
        <v>38.43</v>
      </c>
      <c r="AH48" t="s">
        <v>1825</v>
      </c>
      <c r="AI48" t="s">
        <v>2789</v>
      </c>
      <c r="AJ48">
        <f ca="1">SUMIFS($X$4:$X$515,$D$4:$D$515,"&gt;0",$H$4:$H$515,"&gt;0")</f>
        <v>0</v>
      </c>
      <c r="AK48" t="s">
        <v>3044</v>
      </c>
      <c r="AU48" s="176" t="s">
        <v>2768</v>
      </c>
      <c r="AV48">
        <v>2</v>
      </c>
      <c r="AW48" t="s">
        <v>2776</v>
      </c>
      <c r="AX48">
        <v>2</v>
      </c>
      <c r="AY48" t="s">
        <v>3035</v>
      </c>
      <c r="AZ48">
        <v>2</v>
      </c>
      <c r="BA48" t="s">
        <v>3035</v>
      </c>
      <c r="BB48">
        <v>2</v>
      </c>
      <c r="BC48" t="s">
        <v>2768</v>
      </c>
      <c r="BD48">
        <v>2</v>
      </c>
      <c r="BE48" t="s">
        <v>3019</v>
      </c>
      <c r="BF48">
        <v>2</v>
      </c>
      <c r="BG48" s="176" t="s">
        <v>3035</v>
      </c>
      <c r="BH48">
        <v>2</v>
      </c>
      <c r="BI48" s="176" t="s">
        <v>3026</v>
      </c>
      <c r="BJ48">
        <v>2</v>
      </c>
      <c r="BK48" s="176" t="s">
        <v>2794</v>
      </c>
      <c r="BL48">
        <v>2</v>
      </c>
      <c r="BM48" s="176" t="s">
        <v>2768</v>
      </c>
      <c r="BN48">
        <v>2</v>
      </c>
      <c r="BO48" s="176" t="s">
        <v>2776</v>
      </c>
      <c r="BP48">
        <v>2</v>
      </c>
      <c r="BQ48" t="s">
        <v>2768</v>
      </c>
      <c r="BR48">
        <v>2</v>
      </c>
      <c r="BS48" s="179" t="s">
        <v>2768</v>
      </c>
      <c r="BT48">
        <v>2</v>
      </c>
      <c r="BU48" t="s">
        <v>3018</v>
      </c>
      <c r="BV48">
        <v>2</v>
      </c>
      <c r="BW48" s="182" t="s">
        <v>2768</v>
      </c>
      <c r="BX48" s="179">
        <v>2</v>
      </c>
      <c r="BY48" s="176" t="s">
        <v>2808</v>
      </c>
      <c r="BZ48">
        <v>2</v>
      </c>
      <c r="CA48" s="176" t="s">
        <v>2808</v>
      </c>
      <c r="CB48">
        <v>2</v>
      </c>
    </row>
    <row r="49" spans="1:80">
      <c r="A49" s="178">
        <f ca="1">IFERROR(IF(A48+加速!$L$11&lt;$AS$1,IF(COUNTIF(B48,"*轻*")&gt;0,A48+加速!$L$9,A48+加速!$L$11)+V48,IF(COUNTIF(INDEX(AU49:CB49,1,$AT$1),"*云景*")+COUNTIF(INDEX(AU49:CB49,1,$AT$1),"*鹤归*")+COUNTIF(INDEX(AU49:CB49,1,$AT$1),"*听雷*")&gt;0,A48+加速!$L$11,"")),"")</f>
        <v>60.36</v>
      </c>
      <c r="B49" s="167" t="str">
        <f ca="1">IF(A49&lt;&gt;"",IF(AND(A49+加速!$L$11&gt;$AS$1,IF(AND(配装计算器!$K$30&lt;&gt;"∞",0),"梦泉虎跑-轻",INDEX(AU49:CB49,1,$AT$1))="云栖松"),"夕照雷峰",IF(AND(配装计算器!$K$30&lt;&gt;"∞",0),"梦泉虎跑-轻",INDEX(AU49:CB49,1,$AT$1))),"")</f>
        <v>云飞玉皇-玉山揽云</v>
      </c>
      <c r="C49">
        <f ca="1" t="shared" si="5"/>
        <v>8.55</v>
      </c>
      <c r="D49">
        <f ca="1">IF(B49&lt;&gt;"",IF(C48&lt;=加速!$L$11*(1-E49),0,1),"")</f>
        <v>1</v>
      </c>
      <c r="E49">
        <f ca="1" t="shared" si="2"/>
        <v>1</v>
      </c>
      <c r="G49">
        <f ca="1" t="shared" si="6"/>
        <v>0</v>
      </c>
      <c r="H49">
        <f ca="1">IF(B49&lt;&gt;"",IF(AND(COUNTIF(B48,"*轻*莺鸣柳*")&gt;0,COUNTIF(B49,"*轻*")&lt;1),MAX(0,15+I48-(A49-A48)+COUNTIF(B48,"*平湖*")*0),IF(AND(E49=0,MAX(0,H48-(A49-A48))&lt;=加速!$H$11),0,MAX(0,H48-(A49-A48)))),"")</f>
        <v>0</v>
      </c>
      <c r="I49">
        <f ca="1" t="shared" si="9"/>
        <v>0</v>
      </c>
      <c r="J49">
        <f ca="1" t="shared" si="10"/>
        <v>0</v>
      </c>
      <c r="K49">
        <f ca="1">IF(A49&lt;&gt;"",IF(AND(配装计算器!$K$30&lt;&gt;"∞",0),2,INDEX(AU49:CB49,1,$AT$2)),"")</f>
        <v>2</v>
      </c>
      <c r="L49">
        <f ca="1">IFERROR(IF(AND(COUNTIF(B49,"*-峰插*"),技能数据库!$M$72&gt;0),0,IF(COUNTIF(B49,"*鹤归*")&gt;0,16-加速!$L$11,MAX(0,L48-(A49-A48)))),0)</f>
        <v>0.149999999999991</v>
      </c>
      <c r="M49">
        <f ca="1">IF(COUNTIF(IF(AND(配装计算器!$K$30&lt;&gt;"∞",0),INDEX(AU48:CB48,1,$AT$1),INDEX(AU50:CB50,1,$AT$1)),"*鹤归*")=1,L49,0)</f>
        <v>0</v>
      </c>
      <c r="N49">
        <f ca="1">IFERROR(IF(AND(COUNTIF(B49,"*-峰插*"),技能数据库!$M$72&gt;0),0,IF(COUNTIF(B49,"*云飞*")&gt;0,4-COUNTIF(B49,"*玉山揽云*")*4--COUNTIF(B49,"*烟流暮景*")*4-COUNTIF(B49,"*云景*")*加速!$L$11-IF(J49&gt;0,2,0),MAX(0,N48-(A49-A48)-IF(J49&gt;0,2,0)))),0)</f>
        <v>0</v>
      </c>
      <c r="O49">
        <f ca="1">IF(AND(COUNTIF(IF(AND(配装计算器!$K$30&lt;&gt;"∞",0),INDEX(AU48:CB48,1,$AT$1),INDEX(AU50:CB50,1,$AT$1)),"*云飞*")=1,COUNTIF(IF(AND(配装计算器!$K$30&lt;&gt;"∞",0),INDEX(AU48:CB48,1,$AT$1),INDEX(AU50:CB50,1,$AT$1)),"*玉山*")=0),N49,0)</f>
        <v>0</v>
      </c>
      <c r="P49">
        <f ca="1">IFERROR(IF(COUNTIF(B49,"*云栖松*")&gt;0,50-加速!$L$11,MAX(0,P48-(A49-A48))),0)</f>
        <v>0</v>
      </c>
      <c r="Q49">
        <f ca="1">IF(COUNTIF(IF(AND(配装计算器!$K$30&lt;&gt;"∞",0),INDEX(AU48:CB48,1,$AT$1),INDEX(AU50:CB50,1,$AT$1)),"*云栖松*")=1,P49,0)</f>
        <v>0</v>
      </c>
      <c r="R49">
        <f ca="1">IFERROR(IF(COUNTIF(B49,"*莺鸣柳*")&gt;0,45-加速!$L$9,MAX(0,R48-(A49-A48))),0)</f>
        <v>0</v>
      </c>
      <c r="S49">
        <f ca="1">IF(COUNTIF(IF(AND(配装计算器!$K$30&lt;&gt;"∞",0),INDEX(AU48:CB48,1,$AT$1),INDEX(AU50:CB50,1,$AT$1)),"*莺鸣柳*")=1,R49,0)</f>
        <v>0</v>
      </c>
      <c r="T49">
        <f ca="1" t="shared" si="7"/>
        <v>0</v>
      </c>
      <c r="U49">
        <f ca="1">IF(金蛇,IF(COUNTIF(B49,"*金环戴*")+COUNTIF(B49,"*吹风醒*")&gt;0,IF(A49&lt;=3,7.125-2.625-A49-加速!$L$11,A49-T49),0),0)+IF(金蛇,IF(COUNTIF(B49,"*千切子裂光*")&gt;0,2+加速!$K$9-(A49+加速!$L$11-T49),0),0)</f>
        <v>0</v>
      </c>
      <c r="V49">
        <f ca="1" t="shared" si="8"/>
        <v>0</v>
      </c>
      <c r="W49">
        <f ca="1" t="shared" si="0"/>
        <v>0</v>
      </c>
      <c r="X49">
        <f ca="1">INDEX(加速!$I$13:$I$21,技能数计算!W49+1)</f>
        <v>0</v>
      </c>
      <c r="Y49">
        <f ca="1" t="shared" si="3"/>
        <v>0.5</v>
      </c>
      <c r="Z49">
        <f ca="1" t="shared" si="4"/>
        <v>0</v>
      </c>
      <c r="AA49">
        <f ca="1">MAX(0,IFERROR(IF(COUNTIF(B49,"*叠*")&gt;0,IF(AC48&lt;3,8-A50+A49,AA48+6.875-A50+A49),AA48-A50+A49),AA48-加速!$L$11))</f>
        <v>1.55</v>
      </c>
      <c r="AB49">
        <f ca="1">MAX(0,IF(COUNTIF(IF(AND(配装计算器!$K$30&lt;&gt;"∞",0),INDEX(AU49:CB49,1,$AT$1),INDEX(AU49:CB49,1,$AT$1)),"*叠1*")=1,4*25-加速!$L$11,AB48-A49+A48)-IF(OR(COUNTIF(OFFSET(AT49,0,$AT$1,1,1),"*听雷*")&gt;0,AND(碧归&gt;0,COUNTIF(OFFSET(AT49,0,$AT$1,1,1),"*风来*")&gt;0)),0,1)*1.5)</f>
        <v>74.89</v>
      </c>
      <c r="AC49">
        <f ca="1" t="shared" si="1"/>
        <v>3</v>
      </c>
      <c r="AD49">
        <f ca="1">IF(COUNTIF(IF(AND(配装计算器!$K$30&lt;&gt;"∞",0),INDEX(AU49:CB49,1,$AT$1),INDEX(AU50:CB50,1,$AT$1)),"*叠1*")=1,AB49*0+AE48,0)</f>
        <v>0</v>
      </c>
      <c r="AE49">
        <f ca="1">IF($AN$11&gt;0,IF(COUNTIF(B50,"*叠1*")&gt;0,50-加速!$H$11,MAX(0,AE48-(A50-A49))),0)</f>
        <v>37.14</v>
      </c>
      <c r="AH49" t="s">
        <v>1825</v>
      </c>
      <c r="AI49" t="s">
        <v>2794</v>
      </c>
      <c r="AJ49">
        <f ca="1">循环比*COUNTIFS($B$3:$B$515,"*"&amp;AI49&amp;"*",$D$3:$D$515,"&gt;0",$H$3:$H$515,"=0",$G$3:$G$515,"=0",$AC$3:$AC$515,"=0")</f>
        <v>8</v>
      </c>
      <c r="AK49" t="s">
        <v>2750</v>
      </c>
      <c r="AM49" s="167" t="s">
        <v>3081</v>
      </c>
      <c r="AN49">
        <f ca="1">COUNTIF(B3:B515,"*听雷-轻*")+COUNTIF(B3:B515,"*平湖*")+COUNTIF(B3:B515,"*虎跑*")</f>
        <v>4</v>
      </c>
      <c r="AU49" s="176" t="s">
        <v>2776</v>
      </c>
      <c r="AV49">
        <v>2</v>
      </c>
      <c r="AW49" t="s">
        <v>2768</v>
      </c>
      <c r="AX49">
        <v>2</v>
      </c>
      <c r="AY49" t="s">
        <v>2768</v>
      </c>
      <c r="AZ49">
        <v>2</v>
      </c>
      <c r="BA49" t="s">
        <v>2768</v>
      </c>
      <c r="BB49">
        <v>2</v>
      </c>
      <c r="BC49" t="s">
        <v>2794</v>
      </c>
      <c r="BD49">
        <v>2</v>
      </c>
      <c r="BE49" t="s">
        <v>2768</v>
      </c>
      <c r="BF49">
        <v>2</v>
      </c>
      <c r="BG49" t="s">
        <v>2768</v>
      </c>
      <c r="BH49">
        <v>2</v>
      </c>
      <c r="BI49" s="176" t="s">
        <v>3026</v>
      </c>
      <c r="BJ49">
        <v>2</v>
      </c>
      <c r="BK49" s="176" t="s">
        <v>3019</v>
      </c>
      <c r="BL49">
        <v>2</v>
      </c>
      <c r="BM49" s="176" t="s">
        <v>2776</v>
      </c>
      <c r="BN49">
        <v>2</v>
      </c>
      <c r="BO49" s="176" t="s">
        <v>2768</v>
      </c>
      <c r="BP49">
        <v>2</v>
      </c>
      <c r="BQ49" t="s">
        <v>2776</v>
      </c>
      <c r="BR49">
        <v>2</v>
      </c>
      <c r="BS49" s="182" t="s">
        <v>3023</v>
      </c>
      <c r="BT49">
        <v>2</v>
      </c>
      <c r="BU49" t="s">
        <v>2768</v>
      </c>
      <c r="BV49">
        <v>2</v>
      </c>
      <c r="BW49" s="182" t="s">
        <v>2808</v>
      </c>
      <c r="BX49" s="179">
        <v>2</v>
      </c>
      <c r="BY49" t="s">
        <v>2768</v>
      </c>
      <c r="BZ49">
        <v>2</v>
      </c>
      <c r="CA49" t="s">
        <v>2768</v>
      </c>
      <c r="CB49">
        <v>2</v>
      </c>
    </row>
    <row r="50" spans="1:80">
      <c r="A50" s="178">
        <f ca="1">IFERROR(IF(A49+加速!$L$11&lt;$AS$1,IF(COUNTIF(B49,"*轻*")&gt;0,A49+加速!$L$9,A49+加速!$L$11)+V49,IF(COUNTIF(INDEX(AU50:CB50,1,$AT$1),"*云景*")+COUNTIF(INDEX(AU50:CB50,1,$AT$1),"*鹤归*")+COUNTIF(INDEX(AU50:CB50,1,$AT$1),"*听雷*")&gt;0,A49+加速!$L$11,"")),"")</f>
        <v>61.65</v>
      </c>
      <c r="B50" s="167" t="str">
        <f ca="1">IF(A50&lt;&gt;"",IF(AND(A50+加速!$L$11&gt;$AS$1,IF(AND(配装计算器!$K$30&lt;&gt;"∞",0),"梦泉虎跑-轻",INDEX(AU50:CB50,1,$AT$1))="云栖松"),"夕照雷峰",IF(AND(配装计算器!$K$30&lt;&gt;"∞",0),"梦泉虎跑-轻",INDEX(AU50:CB50,1,$AT$1))),"")</f>
        <v>云飞玉皇-玉山揽云-叠</v>
      </c>
      <c r="C50">
        <f ca="1" t="shared" si="5"/>
        <v>7.26000000000001</v>
      </c>
      <c r="D50">
        <f ca="1">IF(B50&lt;&gt;"",IF(C49&lt;=加速!$L$11*(1-E50),0,1),"")</f>
        <v>1</v>
      </c>
      <c r="E50">
        <f ca="1" t="shared" si="2"/>
        <v>1</v>
      </c>
      <c r="G50">
        <f ca="1" t="shared" si="6"/>
        <v>0</v>
      </c>
      <c r="H50">
        <f ca="1">IF(B50&lt;&gt;"",IF(AND(COUNTIF(B49,"*轻*莺鸣柳*")&gt;0,COUNTIF(B50,"*轻*")&lt;1),MAX(0,15+I49-(A50-A49)+COUNTIF(B49,"*平湖*")*0),IF(AND(E50=0,MAX(0,H49-(A50-A49))&lt;=加速!$H$11),0,MAX(0,H49-(A50-A49)))),"")</f>
        <v>0</v>
      </c>
      <c r="I50">
        <f ca="1" t="shared" si="9"/>
        <v>0</v>
      </c>
      <c r="J50">
        <f ca="1" t="shared" si="10"/>
        <v>0</v>
      </c>
      <c r="K50">
        <f ca="1">IF(A50&lt;&gt;"",IF(AND(配装计算器!$K$30&lt;&gt;"∞",0),2,INDEX(AU50:CB50,1,$AT$2)),"")</f>
        <v>2</v>
      </c>
      <c r="L50">
        <f ca="1">IFERROR(IF(AND(COUNTIF(B50,"*-峰插*"),技能数据库!$M$72&gt;0),0,IF(COUNTIF(B50,"*鹤归*")&gt;0,16-加速!$L$11,MAX(0,L49-(A50-A49)))),0)</f>
        <v>0</v>
      </c>
      <c r="M50">
        <f ca="1">IF(COUNTIF(IF(AND(配装计算器!$K$30&lt;&gt;"∞",0),INDEX(AU49:CB49,1,$AT$1),INDEX(AU51:CB51,1,$AT$1)),"*鹤归*")=1,L50,0)</f>
        <v>0</v>
      </c>
      <c r="N50">
        <f ca="1">IFERROR(IF(AND(COUNTIF(B50,"*-峰插*"),技能数据库!$M$72&gt;0),0,IF(COUNTIF(B50,"*云飞*")&gt;0,4-COUNTIF(B50,"*玉山揽云*")*4--COUNTIF(B50,"*烟流暮景*")*4-COUNTIF(B50,"*云景*")*加速!$L$11-IF(J50&gt;0,2,0),MAX(0,N49-(A50-A49)-IF(J50&gt;0,2,0)))),0)</f>
        <v>0</v>
      </c>
      <c r="O50">
        <f ca="1">IF(AND(COUNTIF(IF(AND(配装计算器!$K$30&lt;&gt;"∞",0),INDEX(AU49:CB49,1,$AT$1),INDEX(AU51:CB51,1,$AT$1)),"*云飞*")=1,COUNTIF(IF(AND(配装计算器!$K$30&lt;&gt;"∞",0),INDEX(AU49:CB49,1,$AT$1),INDEX(AU51:CB51,1,$AT$1)),"*玉山*")=0),N50,0)</f>
        <v>0</v>
      </c>
      <c r="P50">
        <f ca="1">IFERROR(IF(COUNTIF(B50,"*云栖松*")&gt;0,50-加速!$L$11,MAX(0,P49-(A50-A49))),0)</f>
        <v>0</v>
      </c>
      <c r="Q50">
        <f ca="1">IF(COUNTIF(IF(AND(配装计算器!$K$30&lt;&gt;"∞",0),INDEX(AU49:CB49,1,$AT$1),INDEX(AU51:CB51,1,$AT$1)),"*云栖松*")=1,P50,0)</f>
        <v>0</v>
      </c>
      <c r="R50">
        <f ca="1">IFERROR(IF(COUNTIF(B50,"*莺鸣柳*")&gt;0,45-加速!$L$9,MAX(0,R49-(A50-A49))),0)</f>
        <v>0</v>
      </c>
      <c r="S50">
        <f ca="1">IF(COUNTIF(IF(AND(配装计算器!$K$30&lt;&gt;"∞",0),INDEX(AU49:CB49,1,$AT$1),INDEX(AU51:CB51,1,$AT$1)),"*莺鸣柳*")=1,R50,0)</f>
        <v>0</v>
      </c>
      <c r="T50">
        <f ca="1" t="shared" si="7"/>
        <v>0</v>
      </c>
      <c r="U50">
        <f ca="1">IF(金蛇,IF(COUNTIF(B50,"*金环戴*")+COUNTIF(B50,"*吹风醒*")&gt;0,IF(A50&lt;=3,7.125-2.625-A50-加速!$L$11,A50-T50),0),0)+IF(金蛇,IF(COUNTIF(B50,"*千切子裂光*")&gt;0,2+加速!$K$9-(A50+加速!$L$11-T50),0),0)</f>
        <v>0</v>
      </c>
      <c r="V50">
        <f ca="1" t="shared" si="8"/>
        <v>0</v>
      </c>
      <c r="W50">
        <f ca="1" t="shared" si="0"/>
        <v>0</v>
      </c>
      <c r="X50">
        <f ca="1">INDEX(加速!$I$13:$I$21,技能数计算!W50+1)</f>
        <v>0</v>
      </c>
      <c r="Y50">
        <f ca="1" t="shared" si="3"/>
        <v>0.5</v>
      </c>
      <c r="Z50">
        <f ca="1" t="shared" si="4"/>
        <v>0</v>
      </c>
      <c r="AA50">
        <f ca="1">MAX(0,IFERROR(IF(COUNTIF(B50,"*叠*")&gt;0,IF(AC49&lt;3,8-A51+A50,AA49+6.875-A51+A50),AA49-A51+A50),AA49-加速!$L$11))</f>
        <v>7.13500000000001</v>
      </c>
      <c r="AB50">
        <f ca="1">MAX(0,IF(COUNTIF(IF(AND(配装计算器!$K$30&lt;&gt;"∞",0),INDEX(AU50:CB50,1,$AT$1),INDEX(AU50:CB50,1,$AT$1)),"*叠1*")=1,4*25-加速!$L$11,AB49-A50+A49)-IF(OR(COUNTIF(OFFSET(AT50,0,$AT$1,1,1),"*听雷*")&gt;0,AND(碧归&gt;0,COUNTIF(OFFSET(AT50,0,$AT$1,1,1),"*风来*")&gt;0)),0,1)*1.5)</f>
        <v>72.1000000000001</v>
      </c>
      <c r="AC50">
        <f ca="1" t="shared" si="1"/>
        <v>3</v>
      </c>
      <c r="AD50">
        <f ca="1">IF(COUNTIF(IF(AND(配装计算器!$K$30&lt;&gt;"∞",0),INDEX(AU50:CB50,1,$AT$1),INDEX(AU51:CB51,1,$AT$1)),"*叠1*")=1,AB50*0+AE49,0)</f>
        <v>0</v>
      </c>
      <c r="AE50">
        <f ca="1">IF($AN$11&gt;0,IF(COUNTIF(B51,"*叠1*")&gt;0,50-加速!$H$11,MAX(0,AE49-(A51-A50))),0)</f>
        <v>35.85</v>
      </c>
      <c r="AH50" t="s">
        <v>1825</v>
      </c>
      <c r="AI50" t="s">
        <v>2794</v>
      </c>
      <c r="AJ50">
        <f ca="1">循环比*COUNTIFS($B$3:$B$515,"*"&amp;AI50&amp;"*",$D$3:$D$515,"&gt;0",$H$3:$H$515,"&gt;0",$G$3:$G$515,"=0")</f>
        <v>0</v>
      </c>
      <c r="AK50" t="s">
        <v>3044</v>
      </c>
      <c r="AM50" s="167" t="s">
        <v>3082</v>
      </c>
      <c r="AN50">
        <f ca="1">COUNTIF(B3:B515,"*莺鸣柳*")</f>
        <v>0</v>
      </c>
      <c r="AU50" s="176" t="s">
        <v>2768</v>
      </c>
      <c r="AV50">
        <v>2</v>
      </c>
      <c r="AW50" t="str">
        <f>IF($AN$11=1,"云飞玉皇-玉山揽云","夕照雷峰")</f>
        <v>云飞玉皇-玉山揽云</v>
      </c>
      <c r="AX50">
        <v>2</v>
      </c>
      <c r="AY50" t="s">
        <v>2776</v>
      </c>
      <c r="AZ50">
        <v>2</v>
      </c>
      <c r="BA50" t="s">
        <v>2776</v>
      </c>
      <c r="BB50">
        <v>2</v>
      </c>
      <c r="BC50" s="182" t="s">
        <v>3036</v>
      </c>
      <c r="BD50">
        <v>2</v>
      </c>
      <c r="BE50" t="s">
        <v>2768</v>
      </c>
      <c r="BF50">
        <v>2</v>
      </c>
      <c r="BG50" t="s">
        <v>2776</v>
      </c>
      <c r="BH50">
        <v>2</v>
      </c>
      <c r="BI50" s="176" t="s">
        <v>3036</v>
      </c>
      <c r="BJ50">
        <v>2</v>
      </c>
      <c r="BK50" t="s">
        <v>2768</v>
      </c>
      <c r="BL50">
        <v>2</v>
      </c>
      <c r="BM50" s="176" t="s">
        <v>2768</v>
      </c>
      <c r="BN50">
        <v>2</v>
      </c>
      <c r="BO50" s="176" t="s">
        <v>2808</v>
      </c>
      <c r="BP50">
        <v>2</v>
      </c>
      <c r="BQ50" t="s">
        <v>2768</v>
      </c>
      <c r="BR50">
        <v>2</v>
      </c>
      <c r="BS50" s="182" t="s">
        <v>2768</v>
      </c>
      <c r="BT50">
        <v>2</v>
      </c>
      <c r="BU50" s="182" t="s">
        <v>3023</v>
      </c>
      <c r="BV50">
        <v>2</v>
      </c>
      <c r="BW50" s="179" t="s">
        <v>2768</v>
      </c>
      <c r="BX50" s="179">
        <v>2</v>
      </c>
      <c r="BY50" t="s">
        <v>2776</v>
      </c>
      <c r="BZ50">
        <v>2</v>
      </c>
      <c r="CA50" t="s">
        <v>2776</v>
      </c>
      <c r="CB50">
        <v>2</v>
      </c>
    </row>
    <row r="51" spans="1:80">
      <c r="A51" s="178">
        <f ca="1">IFERROR(IF(A50+加速!$L$11&lt;$AS$1,IF(COUNTIF(B50,"*轻*")&gt;0,A50+加速!$L$9,A50+加速!$L$11)+V50,IF(COUNTIF(INDEX(AU51:CB51,1,$AT$1),"*云景*")+COUNTIF(INDEX(AU51:CB51,1,$AT$1),"*鹤归*")+COUNTIF(INDEX(AU51:CB51,1,$AT$1),"*听雷*")&gt;0,A50+加速!$L$11,"")),"")</f>
        <v>62.94</v>
      </c>
      <c r="B51" s="167" t="str">
        <f ca="1">IF(A51&lt;&gt;"",IF(AND(A51+加速!$L$11&gt;$AS$1,IF(AND(配装计算器!$K$30&lt;&gt;"∞",0),"梦泉虎跑-轻",INDEX(AU51:CB51,1,$AT$1))="云栖松"),"夕照雷峰",IF(AND(配装计算器!$K$30&lt;&gt;"∞",0),"梦泉虎跑-轻",INDEX(AU51:CB51,1,$AT$1))),"")</f>
        <v>鹤归孤山</v>
      </c>
      <c r="C51">
        <f ca="1" t="shared" si="5"/>
        <v>5.97000000000001</v>
      </c>
      <c r="D51">
        <f ca="1">IF(B51&lt;&gt;"",IF(C50&lt;=加速!$L$11*(1-E51),0,1),"")</f>
        <v>1</v>
      </c>
      <c r="E51">
        <f ca="1" t="shared" si="2"/>
        <v>1</v>
      </c>
      <c r="G51">
        <f ca="1" t="shared" si="6"/>
        <v>0</v>
      </c>
      <c r="H51">
        <f ca="1">IF(B51&lt;&gt;"",IF(AND(COUNTIF(B50,"*轻*莺鸣柳*")&gt;0,COUNTIF(B51,"*轻*")&lt;1),MAX(0,15+I50-(A51-A50)+COUNTIF(B50,"*平湖*")*0),IF(AND(E51=0,MAX(0,H50-(A51-A50))&lt;=加速!$H$11),0,MAX(0,H50-(A51-A50)))),"")</f>
        <v>0</v>
      </c>
      <c r="I51">
        <f ca="1" t="shared" si="9"/>
        <v>0</v>
      </c>
      <c r="J51">
        <f ca="1" t="shared" si="10"/>
        <v>0</v>
      </c>
      <c r="K51">
        <f ca="1">IF(A51&lt;&gt;"",IF(AND(配装计算器!$K$30&lt;&gt;"∞",0),2,INDEX(AU51:CB51,1,$AT$2)),"")</f>
        <v>2</v>
      </c>
      <c r="L51">
        <f ca="1">IFERROR(IF(AND(COUNTIF(B51,"*-峰插*"),技能数据库!$M$72&gt;0),0,IF(COUNTIF(B51,"*鹤归*")&gt;0,16-加速!$L$11,MAX(0,L50-(A51-A50)))),0)</f>
        <v>14.71</v>
      </c>
      <c r="M51">
        <f ca="1">IF(COUNTIF(IF(AND(配装计算器!$K$30&lt;&gt;"∞",0),INDEX(AU50:CB50,1,$AT$1),INDEX(AU52:CB52,1,$AT$1)),"*鹤归*")=1,L51,0)</f>
        <v>0</v>
      </c>
      <c r="N51">
        <f ca="1">IFERROR(IF(AND(COUNTIF(B51,"*-峰插*"),技能数据库!$M$72&gt;0),0,IF(COUNTIF(B51,"*云飞*")&gt;0,4-COUNTIF(B51,"*玉山揽云*")*4--COUNTIF(B51,"*烟流暮景*")*4-COUNTIF(B51,"*云景*")*加速!$L$11-IF(J51&gt;0,2,0),MAX(0,N50-(A51-A50)-IF(J51&gt;0,2,0)))),0)</f>
        <v>0</v>
      </c>
      <c r="O51">
        <f ca="1">IF(AND(COUNTIF(IF(AND(配装计算器!$K$30&lt;&gt;"∞",0),INDEX(AU50:CB50,1,$AT$1),INDEX(AU52:CB52,1,$AT$1)),"*云飞*")=1,COUNTIF(IF(AND(配装计算器!$K$30&lt;&gt;"∞",0),INDEX(AU50:CB50,1,$AT$1),INDEX(AU52:CB52,1,$AT$1)),"*玉山*")=0),N51,0)</f>
        <v>0</v>
      </c>
      <c r="P51">
        <f ca="1">IFERROR(IF(COUNTIF(B51,"*云栖松*")&gt;0,50-加速!$L$11,MAX(0,P50-(A51-A50))),0)</f>
        <v>0</v>
      </c>
      <c r="Q51">
        <f ca="1">IF(COUNTIF(IF(AND(配装计算器!$K$30&lt;&gt;"∞",0),INDEX(AU50:CB50,1,$AT$1),INDEX(AU52:CB52,1,$AT$1)),"*云栖松*")=1,P51,0)</f>
        <v>0</v>
      </c>
      <c r="R51">
        <f ca="1">IFERROR(IF(COUNTIF(B51,"*莺鸣柳*")&gt;0,45-加速!$L$9,MAX(0,R50-(A51-A50))),0)</f>
        <v>0</v>
      </c>
      <c r="S51">
        <f ca="1">IF(COUNTIF(IF(AND(配装计算器!$K$30&lt;&gt;"∞",0),INDEX(AU50:CB50,1,$AT$1),INDEX(AU52:CB52,1,$AT$1)),"*莺鸣柳*")=1,R51,0)</f>
        <v>0</v>
      </c>
      <c r="T51">
        <f ca="1" t="shared" si="7"/>
        <v>0</v>
      </c>
      <c r="U51">
        <f ca="1">IF(金蛇,IF(COUNTIF(B51,"*金环戴*")+COUNTIF(B51,"*吹风醒*")&gt;0,IF(A51&lt;=3,7.125-2.625-A51-加速!$L$11,A51-T51),0),0)+IF(金蛇,IF(COUNTIF(B51,"*千切子裂光*")&gt;0,2+加速!$K$9-(A51+加速!$L$11-T51),0),0)</f>
        <v>0</v>
      </c>
      <c r="V51">
        <f ca="1" t="shared" si="8"/>
        <v>0</v>
      </c>
      <c r="W51">
        <f ca="1" t="shared" si="0"/>
        <v>0</v>
      </c>
      <c r="X51">
        <f ca="1">INDEX(加速!$I$13:$I$21,技能数计算!W51+1)</f>
        <v>0</v>
      </c>
      <c r="Y51">
        <f ca="1" t="shared" si="3"/>
        <v>0.5</v>
      </c>
      <c r="Z51">
        <f ca="1" t="shared" si="4"/>
        <v>0</v>
      </c>
      <c r="AA51">
        <f ca="1">MAX(0,IFERROR(IF(COUNTIF(B51,"*叠*")&gt;0,IF(AC50&lt;3,8-A52+A51,AA50+6.875-A52+A51),AA50-A52+A51),AA50-加速!$L$11))</f>
        <v>5.845</v>
      </c>
      <c r="AB51">
        <f ca="1">MAX(0,IF(COUNTIF(IF(AND(配装计算器!$K$30&lt;&gt;"∞",0),INDEX(AU51:CB51,1,$AT$1),INDEX(AU51:CB51,1,$AT$1)),"*叠1*")=1,4*25-加速!$L$11,AB50-A51+A50)-IF(OR(COUNTIF(OFFSET(AT51,0,$AT$1,1,1),"*听雷*")&gt;0,AND(碧归&gt;0,COUNTIF(OFFSET(AT51,0,$AT$1,1,1),"*风来*")&gt;0)),0,1)*1.5)</f>
        <v>69.3100000000001</v>
      </c>
      <c r="AC51">
        <f ca="1" t="shared" si="1"/>
        <v>3</v>
      </c>
      <c r="AD51">
        <f ca="1">IF(COUNTIF(IF(AND(配装计算器!$K$30&lt;&gt;"∞",0),INDEX(AU51:CB51,1,$AT$1),INDEX(AU52:CB52,1,$AT$1)),"*叠1*")=1,AB51*0+AE50,0)</f>
        <v>0</v>
      </c>
      <c r="AE51">
        <f ca="1">IF($AN$11&gt;0,IF(COUNTIF(B52,"*叠1*")&gt;0,50-加速!$H$11,MAX(0,AE50-(A52-A51))),0)</f>
        <v>34.56</v>
      </c>
      <c r="AH51" t="s">
        <v>1825</v>
      </c>
      <c r="AI51" t="s">
        <v>2798</v>
      </c>
      <c r="AJ51">
        <f ca="1">AJ49</f>
        <v>8</v>
      </c>
      <c r="AK51" t="s">
        <v>2750</v>
      </c>
      <c r="AM51" s="167" t="s">
        <v>3049</v>
      </c>
      <c r="AN51">
        <v>25</v>
      </c>
      <c r="AU51" s="176" t="s">
        <v>2776</v>
      </c>
      <c r="AV51">
        <v>2</v>
      </c>
      <c r="AW51" t="str">
        <f>IF($AN$11=1,"云飞玉皇-玉山揽云","夕照雷峰")</f>
        <v>云飞玉皇-玉山揽云</v>
      </c>
      <c r="AX51">
        <v>2</v>
      </c>
      <c r="AY51" t="s">
        <v>2768</v>
      </c>
      <c r="AZ51">
        <v>2</v>
      </c>
      <c r="BA51" t="s">
        <v>2768</v>
      </c>
      <c r="BB51">
        <v>2</v>
      </c>
      <c r="BC51" s="176" t="s">
        <v>3026</v>
      </c>
      <c r="BD51">
        <v>2</v>
      </c>
      <c r="BE51" t="s">
        <v>2768</v>
      </c>
      <c r="BF51">
        <v>2</v>
      </c>
      <c r="BG51" t="s">
        <v>2768</v>
      </c>
      <c r="BH51">
        <v>2</v>
      </c>
      <c r="BI51" t="s">
        <v>2794</v>
      </c>
      <c r="BJ51">
        <v>2</v>
      </c>
      <c r="BK51" t="s">
        <v>3023</v>
      </c>
      <c r="BL51">
        <v>2</v>
      </c>
      <c r="BM51" s="176" t="s">
        <v>2808</v>
      </c>
      <c r="BN51">
        <v>2</v>
      </c>
      <c r="BO51" t="s">
        <v>2768</v>
      </c>
      <c r="BP51">
        <v>2</v>
      </c>
      <c r="BQ51" t="s">
        <v>2768</v>
      </c>
      <c r="BR51">
        <v>2</v>
      </c>
      <c r="BS51" s="182" t="s">
        <v>2776</v>
      </c>
      <c r="BT51">
        <v>2</v>
      </c>
      <c r="BU51" s="176" t="s">
        <v>2768</v>
      </c>
      <c r="BV51">
        <v>2</v>
      </c>
      <c r="BW51" s="179" t="s">
        <v>2776</v>
      </c>
      <c r="BX51" s="179">
        <v>2</v>
      </c>
      <c r="BY51" t="str">
        <f>IF(山重水复,"风来吴山","夕照雷峰")</f>
        <v>夕照雷峰</v>
      </c>
      <c r="BZ51">
        <v>2</v>
      </c>
      <c r="CA51" t="str">
        <f>IF(山重水复,"风来吴山","夕照雷峰")</f>
        <v>夕照雷峰</v>
      </c>
      <c r="CB51">
        <v>2</v>
      </c>
    </row>
    <row r="52" spans="1:80">
      <c r="A52" s="178">
        <f ca="1">IFERROR(IF(A51+加速!$L$11&lt;$AS$1,IF(COUNTIF(B51,"*轻*")&gt;0,A51+加速!$L$9,A51+加速!$L$11)+V51,IF(COUNTIF(INDEX(AU52:CB52,1,$AT$1),"*云景*")+COUNTIF(INDEX(AU52:CB52,1,$AT$1),"*鹤归*")+COUNTIF(INDEX(AU52:CB52,1,$AT$1),"*听雷*")&gt;0,A51+加速!$L$11,"")),"")</f>
        <v>64.23</v>
      </c>
      <c r="B52" s="167" t="str">
        <f ca="1">IF(A52&lt;&gt;"",IF(AND(A52+加速!$L$11&gt;$AS$1,IF(AND(配装计算器!$K$30&lt;&gt;"∞",0),"梦泉虎跑-轻",INDEX(AU52:CB52,1,$AT$1))="云栖松"),"夕照雷峰",IF(AND(配装计算器!$K$30&lt;&gt;"∞",0),"梦泉虎跑-轻",INDEX(AU52:CB52,1,$AT$1))),"")</f>
        <v>云飞玉皇</v>
      </c>
      <c r="C52">
        <f ca="1" t="shared" si="5"/>
        <v>4.68</v>
      </c>
      <c r="D52">
        <f ca="1">IF(B52&lt;&gt;"",IF(C51&lt;=加速!$L$11*(1-E52),0,1),"")</f>
        <v>1</v>
      </c>
      <c r="E52">
        <f ca="1" t="shared" si="2"/>
        <v>0</v>
      </c>
      <c r="G52">
        <f ca="1" t="shared" si="6"/>
        <v>0</v>
      </c>
      <c r="H52">
        <f ca="1">IF(B52&lt;&gt;"",IF(AND(COUNTIF(B51,"*轻*莺鸣柳*")&gt;0,COUNTIF(B52,"*轻*")&lt;1),MAX(0,15+I51-(A52-A51)+COUNTIF(B51,"*平湖*")*0),IF(AND(E52=0,MAX(0,H51-(A52-A51))&lt;=加速!$H$11),0,MAX(0,H51-(A52-A51)))),"")</f>
        <v>0</v>
      </c>
      <c r="I52">
        <f ca="1" t="shared" si="9"/>
        <v>0</v>
      </c>
      <c r="J52">
        <f ca="1" t="shared" si="10"/>
        <v>4</v>
      </c>
      <c r="K52">
        <f ca="1">IF(A52&lt;&gt;"",IF(AND(配装计算器!$K$30&lt;&gt;"∞",0),2,INDEX(AU52:CB52,1,$AT$2)),"")</f>
        <v>2</v>
      </c>
      <c r="L52">
        <f ca="1">IFERROR(IF(AND(COUNTIF(B52,"*-峰插*"),技能数据库!$M$72&gt;0),0,IF(COUNTIF(B52,"*鹤归*")&gt;0,16-加速!$L$11,MAX(0,L51-(A52-A51)))),0)</f>
        <v>13.42</v>
      </c>
      <c r="M52">
        <f ca="1">IF(COUNTIF(IF(AND(配装计算器!$K$30&lt;&gt;"∞",0),INDEX(AU51:CB51,1,$AT$1),INDEX(AU53:CB53,1,$AT$1)),"*鹤归*")=1,L52,0)</f>
        <v>0</v>
      </c>
      <c r="N52">
        <f ca="1">IFERROR(IF(AND(COUNTIF(B52,"*-峰插*"),技能数据库!$M$72&gt;0),0,IF(COUNTIF(B52,"*云飞*")&gt;0,4-COUNTIF(B52,"*玉山揽云*")*4--COUNTIF(B52,"*烟流暮景*")*4-COUNTIF(B52,"*云景*")*加速!$L$11-IF(J52&gt;0,2,0),MAX(0,N51-(A52-A51)-IF(J52&gt;0,2,0)))),0)</f>
        <v>2</v>
      </c>
      <c r="O52">
        <f ca="1">IF(AND(COUNTIF(IF(AND(配装计算器!$K$30&lt;&gt;"∞",0),INDEX(AU51:CB51,1,$AT$1),INDEX(AU53:CB53,1,$AT$1)),"*云飞*")=1,COUNTIF(IF(AND(配装计算器!$K$30&lt;&gt;"∞",0),INDEX(AU51:CB51,1,$AT$1),INDEX(AU53:CB53,1,$AT$1)),"*玉山*")=0),N52,0)</f>
        <v>0</v>
      </c>
      <c r="P52">
        <f ca="1">IFERROR(IF(COUNTIF(B52,"*云栖松*")&gt;0,50-加速!$L$11,MAX(0,P51-(A52-A51))),0)</f>
        <v>0</v>
      </c>
      <c r="Q52">
        <f ca="1">IF(COUNTIF(IF(AND(配装计算器!$K$30&lt;&gt;"∞",0),INDEX(AU51:CB51,1,$AT$1),INDEX(AU53:CB53,1,$AT$1)),"*云栖松*")=1,P52,0)</f>
        <v>0</v>
      </c>
      <c r="R52">
        <f ca="1">IFERROR(IF(COUNTIF(B52,"*莺鸣柳*")&gt;0,45-加速!$L$9,MAX(0,R51-(A52-A51))),0)</f>
        <v>0</v>
      </c>
      <c r="S52">
        <f ca="1">IF(COUNTIF(IF(AND(配装计算器!$K$30&lt;&gt;"∞",0),INDEX(AU51:CB51,1,$AT$1),INDEX(AU53:CB53,1,$AT$1)),"*莺鸣柳*")=1,R52,0)</f>
        <v>0</v>
      </c>
      <c r="T52">
        <f ca="1" t="shared" si="7"/>
        <v>0</v>
      </c>
      <c r="U52">
        <f ca="1">IF(金蛇,IF(COUNTIF(B52,"*金环戴*")+COUNTIF(B52,"*吹风醒*")&gt;0,IF(A52&lt;=3,7.125-2.625-A52-加速!$L$11,A52-T52),0),0)+IF(金蛇,IF(COUNTIF(B52,"*千切子裂光*")&gt;0,2+加速!$K$9-(A52+加速!$L$11-T52),0),0)</f>
        <v>0</v>
      </c>
      <c r="V52">
        <f ca="1" t="shared" si="8"/>
        <v>0</v>
      </c>
      <c r="W52">
        <f ca="1" t="shared" si="0"/>
        <v>0</v>
      </c>
      <c r="X52">
        <f ca="1">INDEX(加速!$I$13:$I$21,技能数计算!W52+1)</f>
        <v>0</v>
      </c>
      <c r="Y52">
        <f ca="1" t="shared" si="3"/>
        <v>0.5</v>
      </c>
      <c r="Z52">
        <f ca="1" t="shared" si="4"/>
        <v>0</v>
      </c>
      <c r="AA52">
        <f ca="1">MAX(0,IFERROR(IF(COUNTIF(B52,"*叠*")&gt;0,IF(AC51&lt;3,8-A53+A52,AA51+6.875-A53+A52),AA51-A53+A52),AA51-加速!$L$11))</f>
        <v>4.55499999999999</v>
      </c>
      <c r="AB52">
        <f ca="1">MAX(0,IF(COUNTIF(IF(AND(配装计算器!$K$30&lt;&gt;"∞",0),INDEX(AU52:CB52,1,$AT$1),INDEX(AU52:CB52,1,$AT$1)),"*叠1*")=1,4*25-加速!$L$11,AB51-A52+A51)-IF(OR(COUNTIF(OFFSET(AT52,0,$AT$1,1,1),"*听雷*")&gt;0,AND(碧归&gt;0,COUNTIF(OFFSET(AT52,0,$AT$1,1,1),"*风来*")&gt;0)),0,1)*1.5)</f>
        <v>66.5200000000001</v>
      </c>
      <c r="AC52">
        <f ca="1" t="shared" si="1"/>
        <v>3</v>
      </c>
      <c r="AD52">
        <f ca="1">IF(COUNTIF(IF(AND(配装计算器!$K$30&lt;&gt;"∞",0),INDEX(AU52:CB52,1,$AT$1),INDEX(AU53:CB53,1,$AT$1)),"*叠1*")=1,AB52*0+AE51,0)</f>
        <v>0</v>
      </c>
      <c r="AE52">
        <f ca="1">IF($AN$11&gt;0,IF(COUNTIF(B53,"*叠1*")&gt;0,50-加速!$H$11,MAX(0,AE51-(A53-A52))),0)</f>
        <v>33.27</v>
      </c>
      <c r="AH52" t="s">
        <v>1825</v>
      </c>
      <c r="AI52" t="s">
        <v>2798</v>
      </c>
      <c r="AJ52">
        <f ca="1">AJ50+AJ65</f>
        <v>0</v>
      </c>
      <c r="AK52" t="s">
        <v>3044</v>
      </c>
      <c r="AM52" s="167" t="s">
        <v>3083</v>
      </c>
      <c r="AN52">
        <f ca="1">AN50*AN51/1024*AN8</f>
        <v>0</v>
      </c>
      <c r="AU52" t="s">
        <v>2768</v>
      </c>
      <c r="AV52">
        <v>2</v>
      </c>
      <c r="AW52" t="str">
        <f>IF($AN$11=1,"云飞玉皇-玉山揽云","云飞玉皇")</f>
        <v>云飞玉皇-玉山揽云</v>
      </c>
      <c r="AX52">
        <v>2</v>
      </c>
      <c r="AY52" t="s">
        <v>2776</v>
      </c>
      <c r="AZ52">
        <v>2</v>
      </c>
      <c r="BA52" t="s">
        <v>2776</v>
      </c>
      <c r="BB52">
        <v>2</v>
      </c>
      <c r="BC52" s="176" t="s">
        <v>3026</v>
      </c>
      <c r="BD52">
        <v>2</v>
      </c>
      <c r="BE52" t="s">
        <v>3042</v>
      </c>
      <c r="BF52">
        <v>2</v>
      </c>
      <c r="BG52" t="s">
        <v>2776</v>
      </c>
      <c r="BH52">
        <v>2</v>
      </c>
      <c r="BI52" t="s">
        <v>2776</v>
      </c>
      <c r="BJ52">
        <v>2</v>
      </c>
      <c r="BK52" t="s">
        <v>2768</v>
      </c>
      <c r="BL52">
        <v>2</v>
      </c>
      <c r="BM52" t="s">
        <v>2768</v>
      </c>
      <c r="BN52">
        <v>2</v>
      </c>
      <c r="BO52" t="s">
        <v>2776</v>
      </c>
      <c r="BP52">
        <v>2</v>
      </c>
      <c r="BQ52" t="s">
        <v>3035</v>
      </c>
      <c r="BR52">
        <v>2</v>
      </c>
      <c r="BS52" s="182" t="s">
        <v>2768</v>
      </c>
      <c r="BT52">
        <v>2</v>
      </c>
      <c r="BU52" s="176" t="s">
        <v>2768</v>
      </c>
      <c r="BV52">
        <v>2</v>
      </c>
      <c r="BW52" s="179" t="s">
        <v>2768</v>
      </c>
      <c r="BX52" s="179">
        <v>2</v>
      </c>
      <c r="BY52" t="s">
        <v>2768</v>
      </c>
      <c r="BZ52">
        <v>2</v>
      </c>
      <c r="CA52" t="s">
        <v>2768</v>
      </c>
      <c r="CB52">
        <v>2</v>
      </c>
    </row>
    <row r="53" spans="1:80">
      <c r="A53" s="178">
        <f ca="1">IFERROR(IF(A52+加速!$L$11&lt;$AS$1,IF(COUNTIF(B52,"*轻*")&gt;0,A52+加速!$L$9,A52+加速!$L$11)+V52,IF(COUNTIF(INDEX(AU53:CB53,1,$AT$1),"*云景*")+COUNTIF(INDEX(AU53:CB53,1,$AT$1),"*鹤归*")+COUNTIF(INDEX(AU53:CB53,1,$AT$1),"*听雷*")&gt;0,A52+加速!$L$11,"")),"")</f>
        <v>65.52</v>
      </c>
      <c r="B53" s="167" t="str">
        <f ca="1">IF(A53&lt;&gt;"",IF(AND(A53+加速!$L$11&gt;$AS$1,IF(AND(配装计算器!$K$30&lt;&gt;"∞",0),"梦泉虎跑-轻",INDEX(AU53:CB53,1,$AT$1))="云栖松"),"夕照雷峰",IF(AND(配装计算器!$K$30&lt;&gt;"∞",0),"梦泉虎跑-轻",INDEX(AU53:CB53,1,$AT$1))),"")</f>
        <v>夕照雷峰</v>
      </c>
      <c r="C53">
        <f ca="1" t="shared" si="5"/>
        <v>15</v>
      </c>
      <c r="D53">
        <f ca="1">IF(B53&lt;&gt;"",IF(C52&lt;=加速!$L$11*(1-E53),0,1),"")</f>
        <v>1</v>
      </c>
      <c r="E53">
        <f ca="1" t="shared" si="2"/>
        <v>0</v>
      </c>
      <c r="G53">
        <f ca="1" t="shared" si="6"/>
        <v>0</v>
      </c>
      <c r="H53">
        <f ca="1">IF(B53&lt;&gt;"",IF(AND(COUNTIF(B52,"*轻*莺鸣柳*")&gt;0,COUNTIF(B53,"*轻*")&lt;1),MAX(0,15+I52-(A53-A52)+COUNTIF(B52,"*平湖*")*0),IF(AND(E53=0,MAX(0,H52-(A53-A52))&lt;=加速!$H$11),0,MAX(0,H52-(A53-A52)))),"")</f>
        <v>0</v>
      </c>
      <c r="I53">
        <f ca="1" t="shared" si="9"/>
        <v>0</v>
      </c>
      <c r="J53">
        <f ca="1" t="shared" si="10"/>
        <v>3</v>
      </c>
      <c r="K53">
        <f ca="1">IF(A53&lt;&gt;"",IF(AND(配装计算器!$K$30&lt;&gt;"∞",0),2,INDEX(AU53:CB53,1,$AT$2)),"")</f>
        <v>2</v>
      </c>
      <c r="L53">
        <f ca="1">IFERROR(IF(AND(COUNTIF(B53,"*-峰插*"),技能数据库!$M$72&gt;0),0,IF(COUNTIF(B53,"*鹤归*")&gt;0,16-加速!$L$11,MAX(0,L52-(A53-A52)))),0)</f>
        <v>12.13</v>
      </c>
      <c r="M53">
        <f ca="1">IF(COUNTIF(IF(AND(配装计算器!$K$30&lt;&gt;"∞",0),INDEX(AU52:CB52,1,$AT$1),INDEX(AU54:CB54,1,$AT$1)),"*鹤归*")=1,L53,0)</f>
        <v>0</v>
      </c>
      <c r="N53">
        <f ca="1">IFERROR(IF(AND(COUNTIF(B53,"*-峰插*"),技能数据库!$M$72&gt;0),0,IF(COUNTIF(B53,"*云飞*")&gt;0,4-COUNTIF(B53,"*玉山揽云*")*4--COUNTIF(B53,"*烟流暮景*")*4-COUNTIF(B53,"*云景*")*加速!$L$11-IF(J53&gt;0,2,0),MAX(0,N52-(A53-A52)-IF(J53&gt;0,2,0)))),0)</f>
        <v>0</v>
      </c>
      <c r="O53">
        <f ca="1">IF(AND(COUNTIF(IF(AND(配装计算器!$K$30&lt;&gt;"∞",0),INDEX(AU52:CB52,1,$AT$1),INDEX(AU54:CB54,1,$AT$1)),"*云飞*")=1,COUNTIF(IF(AND(配装计算器!$K$30&lt;&gt;"∞",0),INDEX(AU52:CB52,1,$AT$1),INDEX(AU54:CB54,1,$AT$1)),"*玉山*")=0),N53,0)</f>
        <v>0</v>
      </c>
      <c r="P53">
        <f ca="1">IFERROR(IF(COUNTIF(B53,"*云栖松*")&gt;0,50-加速!$L$11,MAX(0,P52-(A53-A52))),0)</f>
        <v>0</v>
      </c>
      <c r="Q53">
        <f ca="1">IF(COUNTIF(IF(AND(配装计算器!$K$30&lt;&gt;"∞",0),INDEX(AU52:CB52,1,$AT$1),INDEX(AU54:CB54,1,$AT$1)),"*云栖松*")=1,P53,0)</f>
        <v>0</v>
      </c>
      <c r="R53">
        <f ca="1">IFERROR(IF(COUNTIF(B53,"*莺鸣柳*")&gt;0,45-加速!$L$9,MAX(0,R52-(A53-A52))),0)</f>
        <v>0</v>
      </c>
      <c r="S53">
        <f ca="1">IF(COUNTIF(IF(AND(配装计算器!$K$30&lt;&gt;"∞",0),INDEX(AU52:CB52,1,$AT$1),INDEX(AU54:CB54,1,$AT$1)),"*莺鸣柳*")=1,R53,0)</f>
        <v>0</v>
      </c>
      <c r="T53">
        <f ca="1" t="shared" si="7"/>
        <v>0</v>
      </c>
      <c r="U53">
        <f ca="1">IF(金蛇,IF(COUNTIF(B53,"*金环戴*")+COUNTIF(B53,"*吹风醒*")&gt;0,IF(A53&lt;=3,7.125-2.625-A53-加速!$L$11,A53-T53),0),0)+IF(金蛇,IF(COUNTIF(B53,"*千切子裂光*")&gt;0,2+加速!$K$9-(A53+加速!$L$11-T53),0),0)</f>
        <v>0</v>
      </c>
      <c r="V53">
        <f ca="1" t="shared" si="8"/>
        <v>0</v>
      </c>
      <c r="W53">
        <f ca="1" t="shared" si="0"/>
        <v>0</v>
      </c>
      <c r="X53">
        <f ca="1">INDEX(加速!$I$13:$I$21,技能数计算!W53+1)</f>
        <v>0</v>
      </c>
      <c r="Y53">
        <f ca="1" t="shared" si="3"/>
        <v>0.5</v>
      </c>
      <c r="Z53">
        <f ca="1" t="shared" si="4"/>
        <v>0</v>
      </c>
      <c r="AA53">
        <f ca="1">MAX(0,IFERROR(IF(COUNTIF(B53,"*叠*")&gt;0,IF(AC52&lt;3,8-A54+A53,AA52+6.875-A54+A53),AA52-A54+A53),AA52-加速!$L$11))</f>
        <v>3.26499999999999</v>
      </c>
      <c r="AB53">
        <f ca="1">MAX(0,IF(COUNTIF(IF(AND(配装计算器!$K$30&lt;&gt;"∞",0),INDEX(AU53:CB53,1,$AT$1),INDEX(AU53:CB53,1,$AT$1)),"*叠1*")=1,4*25-加速!$L$11,AB52-A53+A52)-IF(OR(COUNTIF(OFFSET(AT53,0,$AT$1,1,1),"*听雷*")&gt;0,AND(碧归&gt;0,COUNTIF(OFFSET(AT53,0,$AT$1,1,1),"*风来*")&gt;0)),0,1)*1.5)</f>
        <v>63.73</v>
      </c>
      <c r="AC53">
        <f ca="1" t="shared" si="1"/>
        <v>3</v>
      </c>
      <c r="AD53">
        <f ca="1">IF(COUNTIF(IF(AND(配装计算器!$K$30&lt;&gt;"∞",0),INDEX(AU53:CB53,1,$AT$1),INDEX(AU54:CB54,1,$AT$1)),"*叠1*")=1,AB53*0+AE52,0)</f>
        <v>0</v>
      </c>
      <c r="AE53">
        <f ca="1">IF($AN$11&gt;0,IF(COUNTIF(B54,"*叠1*")&gt;0,50-加速!$H$11,MAX(0,AE52-(A54-A53))),0)</f>
        <v>31.98</v>
      </c>
      <c r="AH53" t="s">
        <v>1825</v>
      </c>
      <c r="AI53" t="s">
        <v>2801</v>
      </c>
      <c r="AJ53">
        <f ca="1">循环比*COUNTIFS($J$3:$J$515,"&gt;0",$D$3:$D$515,"=0",$H$3:$H$515,"=0")</f>
        <v>0</v>
      </c>
      <c r="AU53" t="str">
        <f>IF($AN$11=1,"云飞玉皇-玉山揽云","夕照雷峰")</f>
        <v>云飞玉皇-玉山揽云</v>
      </c>
      <c r="AV53">
        <v>2</v>
      </c>
      <c r="AW53" t="str">
        <f>IF($AN$11=1,"云飞玉皇-玉山揽云","夕照雷峰")</f>
        <v>云飞玉皇-玉山揽云</v>
      </c>
      <c r="AX53">
        <v>2</v>
      </c>
      <c r="AY53" t="s">
        <v>3042</v>
      </c>
      <c r="AZ53">
        <v>2</v>
      </c>
      <c r="BA53" t="s">
        <v>3042</v>
      </c>
      <c r="BB53">
        <v>2</v>
      </c>
      <c r="BC53" s="176" t="s">
        <v>3026</v>
      </c>
      <c r="BD53">
        <v>2</v>
      </c>
      <c r="BE53" t="s">
        <v>3084</v>
      </c>
      <c r="BF53">
        <v>2</v>
      </c>
      <c r="BG53" t="s">
        <v>2768</v>
      </c>
      <c r="BH53">
        <v>2</v>
      </c>
      <c r="BI53" t="s">
        <v>2768</v>
      </c>
      <c r="BJ53">
        <v>2</v>
      </c>
      <c r="BK53" t="s">
        <v>2808</v>
      </c>
      <c r="BL53">
        <v>2</v>
      </c>
      <c r="BM53" t="s">
        <v>2776</v>
      </c>
      <c r="BN53">
        <v>2</v>
      </c>
      <c r="BO53" t="s">
        <v>2768</v>
      </c>
      <c r="BP53">
        <v>2</v>
      </c>
      <c r="BQ53" t="s">
        <v>2776</v>
      </c>
      <c r="BR53">
        <v>2</v>
      </c>
      <c r="BS53" s="182" t="s">
        <v>3085</v>
      </c>
      <c r="BT53">
        <v>2</v>
      </c>
      <c r="BU53" s="176" t="s">
        <v>2768</v>
      </c>
      <c r="BV53">
        <v>2</v>
      </c>
      <c r="BW53" s="179" t="str">
        <f>IF($AN$11=1,"云飞玉皇-玉山揽云","夕照雷峰")</f>
        <v>云飞玉皇-玉山揽云</v>
      </c>
      <c r="BX53" s="179">
        <v>2</v>
      </c>
      <c r="BY53" t="s">
        <v>2768</v>
      </c>
      <c r="BZ53">
        <v>2</v>
      </c>
      <c r="CA53" t="s">
        <v>2768</v>
      </c>
      <c r="CB53">
        <v>2</v>
      </c>
    </row>
    <row r="54" spans="1:80">
      <c r="A54" s="178">
        <f ca="1">IFERROR(IF(A53+加速!$L$11&lt;$AS$1,IF(COUNTIF(B53,"*轻*")&gt;0,A53+加速!$L$9,A53+加速!$L$11)+V53,IF(COUNTIF(INDEX(AU54:CB54,1,$AT$1),"*云景*")+COUNTIF(INDEX(AU54:CB54,1,$AT$1),"*鹤归*")+COUNTIF(INDEX(AU54:CB54,1,$AT$1),"*听雷*")&gt;0,A53+加速!$L$11,"")),"")</f>
        <v>66.81</v>
      </c>
      <c r="B54" s="167" t="str">
        <f ca="1">IF(A54&lt;&gt;"",IF(AND(A54+加速!$L$11&gt;$AS$1,IF(AND(配装计算器!$K$30&lt;&gt;"∞",0),"梦泉虎跑-轻",INDEX(AU54:CB54,1,$AT$1))="云栖松"),"夕照雷峰",IF(AND(配装计算器!$K$30&lt;&gt;"∞",0),"梦泉虎跑-轻",INDEX(AU54:CB54,1,$AT$1))),"")</f>
        <v>云飞玉皇</v>
      </c>
      <c r="C54">
        <f ca="1" t="shared" si="5"/>
        <v>13.71</v>
      </c>
      <c r="D54">
        <f ca="1">IF(B54&lt;&gt;"",IF(C53&lt;=加速!$L$11*(1-E54),0,1),"")</f>
        <v>1</v>
      </c>
      <c r="E54">
        <f ca="1" t="shared" si="2"/>
        <v>0</v>
      </c>
      <c r="G54">
        <f ca="1" t="shared" si="6"/>
        <v>0</v>
      </c>
      <c r="H54">
        <f ca="1">IF(B54&lt;&gt;"",IF(AND(COUNTIF(B53,"*轻*莺鸣柳*")&gt;0,COUNTIF(B54,"*轻*")&lt;1),MAX(0,15+I53-(A54-A53)+COUNTIF(B53,"*平湖*")*0),IF(AND(E54=0,MAX(0,H53-(A54-A53))&lt;=加速!$H$11),0,MAX(0,H53-(A54-A53)))),"")</f>
        <v>0</v>
      </c>
      <c r="I54">
        <f ca="1" t="shared" si="9"/>
        <v>0</v>
      </c>
      <c r="J54">
        <f ca="1" t="shared" si="10"/>
        <v>2</v>
      </c>
      <c r="K54">
        <f ca="1">IF(A54&lt;&gt;"",IF(AND(配装计算器!$K$30&lt;&gt;"∞",0),2,INDEX(AU54:CB54,1,$AT$2)),"")</f>
        <v>2</v>
      </c>
      <c r="L54">
        <f ca="1">IFERROR(IF(AND(COUNTIF(B54,"*-峰插*"),技能数据库!$M$72&gt;0),0,IF(COUNTIF(B54,"*鹤归*")&gt;0,16-加速!$L$11,MAX(0,L53-(A54-A53)))),0)</f>
        <v>10.84</v>
      </c>
      <c r="M54">
        <f ca="1">IF(COUNTIF(IF(AND(配装计算器!$K$30&lt;&gt;"∞",0),INDEX(AU53:CB53,1,$AT$1),INDEX(AU55:CB55,1,$AT$1)),"*鹤归*")=1,L54,0)</f>
        <v>0</v>
      </c>
      <c r="N54">
        <f ca="1">IFERROR(IF(AND(COUNTIF(B54,"*-峰插*"),技能数据库!$M$72&gt;0),0,IF(COUNTIF(B54,"*云飞*")&gt;0,4-COUNTIF(B54,"*玉山揽云*")*4--COUNTIF(B54,"*烟流暮景*")*4-COUNTIF(B54,"*云景*")*加速!$L$11-IF(J54&gt;0,2,0),MAX(0,N53-(A54-A53)-IF(J54&gt;0,2,0)))),0)</f>
        <v>2</v>
      </c>
      <c r="O54">
        <f ca="1">IF(AND(COUNTIF(IF(AND(配装计算器!$K$30&lt;&gt;"∞",0),INDEX(AU53:CB53,1,$AT$1),INDEX(AU55:CB55,1,$AT$1)),"*云飞*")=1,COUNTIF(IF(AND(配装计算器!$K$30&lt;&gt;"∞",0),INDEX(AU53:CB53,1,$AT$1),INDEX(AU55:CB55,1,$AT$1)),"*玉山*")=0),N54,0)</f>
        <v>0</v>
      </c>
      <c r="P54">
        <f ca="1">IFERROR(IF(COUNTIF(B54,"*云栖松*")&gt;0,50-加速!$L$11,MAX(0,P53-(A54-A53))),0)</f>
        <v>0</v>
      </c>
      <c r="Q54">
        <f ca="1">IF(COUNTIF(IF(AND(配装计算器!$K$30&lt;&gt;"∞",0),INDEX(AU53:CB53,1,$AT$1),INDEX(AU55:CB55,1,$AT$1)),"*云栖松*")=1,P54,0)</f>
        <v>0</v>
      </c>
      <c r="R54">
        <f ca="1">IFERROR(IF(COUNTIF(B54,"*莺鸣柳*")&gt;0,45-加速!$L$9,MAX(0,R53-(A54-A53))),0)</f>
        <v>0</v>
      </c>
      <c r="S54">
        <f ca="1">IF(COUNTIF(IF(AND(配装计算器!$K$30&lt;&gt;"∞",0),INDEX(AU53:CB53,1,$AT$1),INDEX(AU55:CB55,1,$AT$1)),"*莺鸣柳*")=1,R54,0)</f>
        <v>0</v>
      </c>
      <c r="T54">
        <f ca="1" t="shared" si="7"/>
        <v>0</v>
      </c>
      <c r="U54">
        <f ca="1">IF(金蛇,IF(COUNTIF(B54,"*金环戴*")+COUNTIF(B54,"*吹风醒*")&gt;0,IF(A54&lt;=3,7.125-2.625-A54-加速!$L$11,A54-T54),0),0)+IF(金蛇,IF(COUNTIF(B54,"*千切子裂光*")&gt;0,2+加速!$K$9-(A54+加速!$L$11-T54),0),0)</f>
        <v>0</v>
      </c>
      <c r="V54">
        <f ca="1" t="shared" si="8"/>
        <v>0</v>
      </c>
      <c r="W54">
        <f ca="1" t="shared" si="0"/>
        <v>0</v>
      </c>
      <c r="X54">
        <f ca="1">INDEX(加速!$I$13:$I$21,技能数计算!W54+1)</f>
        <v>0</v>
      </c>
      <c r="Y54">
        <f ca="1" t="shared" si="3"/>
        <v>0.5</v>
      </c>
      <c r="Z54">
        <f ca="1" t="shared" si="4"/>
        <v>0</v>
      </c>
      <c r="AA54">
        <f ca="1">MAX(0,IFERROR(IF(COUNTIF(B54,"*叠*")&gt;0,IF(AC53&lt;3,8-A55+A54,AA53+6.875-A55+A54),AA53-A55+A54),AA53-加速!$L$11))</f>
        <v>1.97499999999998</v>
      </c>
      <c r="AB54">
        <f ca="1">MAX(0,IF(COUNTIF(IF(AND(配装计算器!$K$30&lt;&gt;"∞",0),INDEX(AU54:CB54,1,$AT$1),INDEX(AU54:CB54,1,$AT$1)),"*叠1*")=1,4*25-加速!$L$11,AB53-A54+A53)-IF(OR(COUNTIF(OFFSET(AT54,0,$AT$1,1,1),"*听雷*")&gt;0,AND(碧归&gt;0,COUNTIF(OFFSET(AT54,0,$AT$1,1,1),"*风来*")&gt;0)),0,1)*1.5)</f>
        <v>60.94</v>
      </c>
      <c r="AC54">
        <f ca="1" t="shared" si="1"/>
        <v>3</v>
      </c>
      <c r="AD54">
        <f ca="1">IF(COUNTIF(IF(AND(配装计算器!$K$30&lt;&gt;"∞",0),INDEX(AU54:CB54,1,$AT$1),INDEX(AU55:CB55,1,$AT$1)),"*叠1*")=1,AB54*0+AE53,0)</f>
        <v>0</v>
      </c>
      <c r="AE54">
        <f ca="1">IF($AN$11&gt;0,IF(COUNTIF(B55,"*叠1*")&gt;0,50-加速!$H$11,MAX(0,AE53-(A55-A54))),0)</f>
        <v>30.69</v>
      </c>
      <c r="AH54" t="s">
        <v>1825</v>
      </c>
      <c r="AI54" t="s">
        <v>2801</v>
      </c>
      <c r="AJ54">
        <f ca="1">循环比*COUNTIFS($J$3:$J$515,"&gt;0",$D$3:$D$515,"&gt;0",$H$3:$H$515,"=0",$AC$3:$AC$515,"=0")</f>
        <v>28</v>
      </c>
      <c r="AK54" t="s">
        <v>2750</v>
      </c>
      <c r="AM54" s="167" t="s">
        <v>2915</v>
      </c>
      <c r="AN54">
        <f ca="1">AN52</f>
        <v>0</v>
      </c>
      <c r="AU54" t="str">
        <f>IF($AN$11=1,"云飞玉皇-玉山揽云","云飞玉皇")</f>
        <v>云飞玉皇-玉山揽云</v>
      </c>
      <c r="AV54">
        <v>2</v>
      </c>
      <c r="AW54" t="str">
        <f>IF($AN$11=1,橙武补雾锁,"鹤归孤山")</f>
        <v>云飞玉皇-玉山揽云</v>
      </c>
      <c r="AX54">
        <v>2</v>
      </c>
      <c r="AY54" t="s">
        <v>2808</v>
      </c>
      <c r="AZ54">
        <v>2</v>
      </c>
      <c r="BA54" t="s">
        <v>2808</v>
      </c>
      <c r="BB54">
        <v>2</v>
      </c>
      <c r="BC54" s="176" t="s">
        <v>3026</v>
      </c>
      <c r="BD54">
        <v>2</v>
      </c>
      <c r="BE54" t="s">
        <v>2768</v>
      </c>
      <c r="BF54">
        <v>2</v>
      </c>
      <c r="BG54" t="s">
        <v>2808</v>
      </c>
      <c r="BH54">
        <v>2</v>
      </c>
      <c r="BI54" t="s">
        <v>2776</v>
      </c>
      <c r="BJ54">
        <v>2</v>
      </c>
      <c r="BK54" t="s">
        <v>2768</v>
      </c>
      <c r="BL54">
        <v>2</v>
      </c>
      <c r="BM54" t="s">
        <v>2768</v>
      </c>
      <c r="BN54">
        <v>2</v>
      </c>
      <c r="BO54" t="str">
        <f>IF(0,"云飞玉皇-玉山揽云","夕照雷峰")</f>
        <v>夕照雷峰</v>
      </c>
      <c r="BP54">
        <v>2</v>
      </c>
      <c r="BQ54" t="s">
        <v>2768</v>
      </c>
      <c r="BR54">
        <v>2</v>
      </c>
      <c r="BS54" s="182" t="s">
        <v>3084</v>
      </c>
      <c r="BT54">
        <v>2</v>
      </c>
      <c r="BU54" s="176" t="s">
        <v>2776</v>
      </c>
      <c r="BV54">
        <v>2</v>
      </c>
      <c r="BW54" s="179" t="str">
        <f>IF($AN$11=1,"云飞玉皇-玉山揽云","夕照雷峰")</f>
        <v>云飞玉皇-玉山揽云</v>
      </c>
      <c r="BX54" s="179">
        <v>2</v>
      </c>
      <c r="BY54" t="s">
        <v>2776</v>
      </c>
      <c r="BZ54">
        <v>2</v>
      </c>
      <c r="CA54" t="s">
        <v>2776</v>
      </c>
      <c r="CB54">
        <v>2</v>
      </c>
    </row>
    <row r="55" spans="1:80">
      <c r="A55" s="178">
        <f ca="1">IFERROR(IF(A54+加速!$L$11&lt;$AS$1,IF(COUNTIF(B54,"*轻*")&gt;0,A54+加速!$L$9,A54+加速!$L$11)+V54,IF(COUNTIF(INDEX(AU55:CB55,1,$AT$1),"*云景*")+COUNTIF(INDEX(AU55:CB55,1,$AT$1),"*鹤归*")+COUNTIF(INDEX(AU55:CB55,1,$AT$1),"*听雷*")&gt;0,A54+加速!$L$11,"")),"")</f>
        <v>68.1</v>
      </c>
      <c r="B55" s="167" t="str">
        <f ca="1">IF(A55&lt;&gt;"",IF(AND(A55+加速!$L$11&gt;$AS$1,IF(AND(配装计算器!$K$30&lt;&gt;"∞",0),"梦泉虎跑-轻",INDEX(AU55:CB55,1,$AT$1))="云栖松"),"夕照雷峰",IF(AND(配装计算器!$K$30&lt;&gt;"∞",0),"梦泉虎跑-轻",INDEX(AU55:CB55,1,$AT$1))),"")</f>
        <v>夕照雷峰</v>
      </c>
      <c r="C55">
        <f ca="1" t="shared" si="5"/>
        <v>15</v>
      </c>
      <c r="D55">
        <f ca="1">IF(B55&lt;&gt;"",IF(C54&lt;=加速!$L$11*(1-E55),0,1),"")</f>
        <v>1</v>
      </c>
      <c r="E55">
        <f ca="1" t="shared" si="2"/>
        <v>0</v>
      </c>
      <c r="G55">
        <f ca="1" t="shared" si="6"/>
        <v>0</v>
      </c>
      <c r="H55">
        <f ca="1">IF(B55&lt;&gt;"",IF(AND(COUNTIF(B54,"*轻*莺鸣柳*")&gt;0,COUNTIF(B55,"*轻*")&lt;1),MAX(0,15+I54-(A55-A54)+COUNTIF(B54,"*平湖*")*0),IF(AND(E55=0,MAX(0,H54-(A55-A54))&lt;=加速!$H$11),0,MAX(0,H54-(A55-A54)))),"")</f>
        <v>0</v>
      </c>
      <c r="I55">
        <f ca="1" t="shared" si="9"/>
        <v>0</v>
      </c>
      <c r="J55">
        <f ca="1" t="shared" si="10"/>
        <v>1</v>
      </c>
      <c r="K55">
        <f ca="1">IF(A55&lt;&gt;"",IF(AND(配装计算器!$K$30&lt;&gt;"∞",0),2,INDEX(AU55:CB55,1,$AT$2)),"")</f>
        <v>2</v>
      </c>
      <c r="L55">
        <f ca="1">IFERROR(IF(AND(COUNTIF(B55,"*-峰插*"),技能数据库!$M$72&gt;0),0,IF(COUNTIF(B55,"*鹤归*")&gt;0,16-加速!$L$11,MAX(0,L54-(A55-A54)))),0)</f>
        <v>9.54999999999998</v>
      </c>
      <c r="M55">
        <f ca="1">IF(COUNTIF(IF(AND(配装计算器!$K$30&lt;&gt;"∞",0),INDEX(AU54:CB54,1,$AT$1),INDEX(AU56:CB56,1,$AT$1)),"*鹤归*")=1,L55,0)</f>
        <v>0</v>
      </c>
      <c r="N55">
        <f ca="1">IFERROR(IF(AND(COUNTIF(B55,"*-峰插*"),技能数据库!$M$72&gt;0),0,IF(COUNTIF(B55,"*云飞*")&gt;0,4-COUNTIF(B55,"*玉山揽云*")*4--COUNTIF(B55,"*烟流暮景*")*4-COUNTIF(B55,"*云景*")*加速!$L$11-IF(J55&gt;0,2,0),MAX(0,N54-(A55-A54)-IF(J55&gt;0,2,0)))),0)</f>
        <v>0</v>
      </c>
      <c r="O55">
        <f ca="1">IF(AND(COUNTIF(IF(AND(配装计算器!$K$30&lt;&gt;"∞",0),INDEX(AU54:CB54,1,$AT$1),INDEX(AU56:CB56,1,$AT$1)),"*云飞*")=1,COUNTIF(IF(AND(配装计算器!$K$30&lt;&gt;"∞",0),INDEX(AU54:CB54,1,$AT$1),INDEX(AU56:CB56,1,$AT$1)),"*玉山*")=0),N55,0)</f>
        <v>0</v>
      </c>
      <c r="P55">
        <f ca="1">IFERROR(IF(COUNTIF(B55,"*云栖松*")&gt;0,50-加速!$L$11,MAX(0,P54-(A55-A54))),0)</f>
        <v>0</v>
      </c>
      <c r="Q55">
        <f ca="1">IF(COUNTIF(IF(AND(配装计算器!$K$30&lt;&gt;"∞",0),INDEX(AU54:CB54,1,$AT$1),INDEX(AU56:CB56,1,$AT$1)),"*云栖松*")=1,P55,0)</f>
        <v>0</v>
      </c>
      <c r="R55">
        <f ca="1">IFERROR(IF(COUNTIF(B55,"*莺鸣柳*")&gt;0,45-加速!$L$9,MAX(0,R54-(A55-A54))),0)</f>
        <v>0</v>
      </c>
      <c r="S55">
        <f ca="1">IF(COUNTIF(IF(AND(配装计算器!$K$30&lt;&gt;"∞",0),INDEX(AU54:CB54,1,$AT$1),INDEX(AU56:CB56,1,$AT$1)),"*莺鸣柳*")=1,R55,0)</f>
        <v>0</v>
      </c>
      <c r="T55">
        <f ca="1" t="shared" si="7"/>
        <v>0</v>
      </c>
      <c r="U55">
        <f ca="1">IF(金蛇,IF(COUNTIF(B55,"*金环戴*")+COUNTIF(B55,"*吹风醒*")&gt;0,IF(A55&lt;=3,7.125-2.625-A55-加速!$L$11,A55-T55),0),0)+IF(金蛇,IF(COUNTIF(B55,"*千切子裂光*")&gt;0,2+加速!$K$9-(A55+加速!$L$11-T55),0),0)</f>
        <v>0</v>
      </c>
      <c r="V55">
        <f ca="1" t="shared" si="8"/>
        <v>0</v>
      </c>
      <c r="W55">
        <f ca="1" t="shared" si="0"/>
        <v>0</v>
      </c>
      <c r="X55">
        <f ca="1">INDEX(加速!$I$13:$I$21,技能数计算!W55+1)</f>
        <v>0</v>
      </c>
      <c r="Y55">
        <f ca="1" t="shared" si="3"/>
        <v>0.5</v>
      </c>
      <c r="Z55">
        <f ca="1" t="shared" si="4"/>
        <v>0</v>
      </c>
      <c r="AA55">
        <f ca="1">MAX(0,IFERROR(IF(COUNTIF(B55,"*叠*")&gt;0,IF(AC54&lt;3,8-A56+A55,AA54+6.875-A56+A55),AA54-A56+A55),AA54-加速!$L$11))</f>
        <v>0.684999999999974</v>
      </c>
      <c r="AB55">
        <f ca="1">MAX(0,IF(COUNTIF(IF(AND(配装计算器!$K$30&lt;&gt;"∞",0),INDEX(AU55:CB55,1,$AT$1),INDEX(AU55:CB55,1,$AT$1)),"*叠1*")=1,4*25-加速!$L$11,AB54-A55+A54)-IF(OR(COUNTIF(OFFSET(AT55,0,$AT$1,1,1),"*听雷*")&gt;0,AND(碧归&gt;0,COUNTIF(OFFSET(AT55,0,$AT$1,1,1),"*风来*")&gt;0)),0,1)*1.5)</f>
        <v>58.15</v>
      </c>
      <c r="AC55">
        <f ca="1" t="shared" si="1"/>
        <v>3</v>
      </c>
      <c r="AD55">
        <f ca="1">IF(COUNTIF(IF(AND(配装计算器!$K$30&lt;&gt;"∞",0),INDEX(AU55:CB55,1,$AT$1),INDEX(AU56:CB56,1,$AT$1)),"*叠1*")=1,AB55*0+AE54,0)</f>
        <v>0</v>
      </c>
      <c r="AE55">
        <f ca="1">IF($AN$11&gt;0,IF(COUNTIF(B56,"*叠1*")&gt;0,50-加速!$H$11,MAX(0,AE54-(A56-A55))),0)</f>
        <v>29.4</v>
      </c>
      <c r="AH55" t="s">
        <v>1825</v>
      </c>
      <c r="AI55" t="s">
        <v>2801</v>
      </c>
      <c r="AJ55">
        <f ca="1">循环比*COUNTIFS($J$3:$J$515,"&gt;0",$D$3:$D$515,"=0",$H$3:$H$515,"&gt;0")</f>
        <v>0</v>
      </c>
      <c r="AK55" t="s">
        <v>2948</v>
      </c>
      <c r="AM55" t="s">
        <v>3086</v>
      </c>
      <c r="AN55">
        <v>205</v>
      </c>
      <c r="AU55" t="str">
        <f>IF($AN$11=1,"云飞玉皇-玉山揽云","夕照雷峰")</f>
        <v>云飞玉皇-玉山揽云</v>
      </c>
      <c r="AV55">
        <v>2</v>
      </c>
      <c r="AW55" s="176" t="str">
        <f>IF($AN$11=1,"夕照雷峰","夕照雷峰")</f>
        <v>夕照雷峰</v>
      </c>
      <c r="AX55">
        <v>2</v>
      </c>
      <c r="AY55" t="s">
        <v>2768</v>
      </c>
      <c r="AZ55">
        <v>2</v>
      </c>
      <c r="BA55" t="s">
        <v>2768</v>
      </c>
      <c r="BB55">
        <v>2</v>
      </c>
      <c r="BC55" t="s">
        <v>3013</v>
      </c>
      <c r="BD55">
        <v>2</v>
      </c>
      <c r="BE55" t="s">
        <v>2794</v>
      </c>
      <c r="BF55">
        <v>2</v>
      </c>
      <c r="BG55" t="s">
        <v>2768</v>
      </c>
      <c r="BH55">
        <v>2</v>
      </c>
      <c r="BI55" t="s">
        <v>2768</v>
      </c>
      <c r="BJ55">
        <v>2</v>
      </c>
      <c r="BK55" t="s">
        <v>2776</v>
      </c>
      <c r="BL55">
        <v>2</v>
      </c>
      <c r="BM55" t="str">
        <f>IF(0,"云飞玉皇-玉山揽云","夕照雷峰")</f>
        <v>夕照雷峰</v>
      </c>
      <c r="BN55">
        <v>2</v>
      </c>
      <c r="BO55" t="str">
        <f>IF(0,"云飞玉皇-玉山揽云","夕照雷峰")</f>
        <v>夕照雷峰</v>
      </c>
      <c r="BP55">
        <v>2</v>
      </c>
      <c r="BQ55" t="s">
        <v>2776</v>
      </c>
      <c r="BR55">
        <v>2</v>
      </c>
      <c r="BS55" s="176" t="s">
        <v>2768</v>
      </c>
      <c r="BT55">
        <v>2</v>
      </c>
      <c r="BU55" s="176" t="s">
        <v>3035</v>
      </c>
      <c r="BV55">
        <v>2</v>
      </c>
      <c r="BW55" s="179" t="str">
        <f>IF($AN$11=1,"云飞玉皇-玉山揽云","云飞玉皇")</f>
        <v>云飞玉皇-玉山揽云</v>
      </c>
      <c r="BX55" s="179">
        <v>2</v>
      </c>
      <c r="BY55" s="176" t="s">
        <v>2794</v>
      </c>
      <c r="BZ55">
        <v>2</v>
      </c>
      <c r="CA55" s="176" t="s">
        <v>2794</v>
      </c>
      <c r="CB55">
        <v>2</v>
      </c>
    </row>
    <row r="56" spans="1:80">
      <c r="A56" s="178">
        <f ca="1">IFERROR(IF(A55+加速!$L$11&lt;$AS$1,IF(COUNTIF(B55,"*轻*")&gt;0,A55+加速!$L$9,A55+加速!$L$11)+V55,IF(COUNTIF(INDEX(AU56:CB56,1,$AT$1),"*云景*")+COUNTIF(INDEX(AU56:CB56,1,$AT$1),"*鹤归*")+COUNTIF(INDEX(AU56:CB56,1,$AT$1),"*听雷*")&gt;0,A55+加速!$L$11,"")),"")</f>
        <v>69.39</v>
      </c>
      <c r="B56" s="167" t="str">
        <f ca="1">IF(A56&lt;&gt;"",IF(AND(A56+加速!$L$11&gt;$AS$1,IF(AND(配装计算器!$K$30&lt;&gt;"∞",0),"梦泉虎跑-轻",INDEX(AU56:CB56,1,$AT$1))="云栖松"),"夕照雷峰",IF(AND(配装计算器!$K$30&lt;&gt;"∞",0),"梦泉虎跑-轻",INDEX(AU56:CB56,1,$AT$1))),"")</f>
        <v>云景·云飞玉皇</v>
      </c>
      <c r="C56">
        <f ca="1" t="shared" si="5"/>
        <v>13.71</v>
      </c>
      <c r="D56">
        <f ca="1">IF(B56&lt;&gt;"",IF(C55&lt;=加速!$L$11*(1-E56),0,1),"")</f>
        <v>1</v>
      </c>
      <c r="E56">
        <f ca="1" t="shared" si="2"/>
        <v>1</v>
      </c>
      <c r="G56">
        <f ca="1" t="shared" si="6"/>
        <v>0</v>
      </c>
      <c r="H56">
        <f ca="1">IF(B56&lt;&gt;"",IF(AND(COUNTIF(B55,"*轻*莺鸣柳*")&gt;0,COUNTIF(B56,"*轻*")&lt;1),MAX(0,15+I55-(A56-A55)+COUNTIF(B55,"*平湖*")*0),IF(AND(E56=0,MAX(0,H55-(A56-A55))&lt;=加速!$H$11),0,MAX(0,H55-(A56-A55)))),"")</f>
        <v>0</v>
      </c>
      <c r="I56">
        <f ca="1" t="shared" si="9"/>
        <v>0</v>
      </c>
      <c r="J56">
        <f ca="1" t="shared" si="10"/>
        <v>1</v>
      </c>
      <c r="K56">
        <f ca="1">IF(A56&lt;&gt;"",IF(AND(配装计算器!$K$30&lt;&gt;"∞",0),2,INDEX(AU56:CB56,1,$AT$2)),"")</f>
        <v>2</v>
      </c>
      <c r="L56">
        <f ca="1">IFERROR(IF(AND(COUNTIF(B56,"*-峰插*"),技能数据库!$M$72&gt;0),0,IF(COUNTIF(B56,"*鹤归*")&gt;0,16-加速!$L$11,MAX(0,L55-(A56-A55)))),0)</f>
        <v>8.25999999999997</v>
      </c>
      <c r="M56">
        <f ca="1">IF(COUNTIF(IF(AND(配装计算器!$K$30&lt;&gt;"∞",0),INDEX(AU55:CB55,1,$AT$1),INDEX(AU57:CB57,1,$AT$1)),"*鹤归*")=1,L56,0)</f>
        <v>0</v>
      </c>
      <c r="N56">
        <f ca="1">IFERROR(IF(AND(COUNTIF(B56,"*-峰插*"),技能数据库!$M$72&gt;0),0,IF(COUNTIF(B56,"*云飞*")&gt;0,4-COUNTIF(B56,"*玉山揽云*")*4--COUNTIF(B56,"*烟流暮景*")*4-COUNTIF(B56,"*云景*")*加速!$L$11-IF(J56&gt;0,2,0),MAX(0,N55-(A56-A55)-IF(J56&gt;0,2,0)))),0)</f>
        <v>0.71</v>
      </c>
      <c r="O56">
        <f ca="1">IF(AND(COUNTIF(IF(AND(配装计算器!$K$30&lt;&gt;"∞",0),INDEX(AU55:CB55,1,$AT$1),INDEX(AU57:CB57,1,$AT$1)),"*云飞*")=1,COUNTIF(IF(AND(配装计算器!$K$30&lt;&gt;"∞",0),INDEX(AU55:CB55,1,$AT$1),INDEX(AU57:CB57,1,$AT$1)),"*玉山*")=0),N56,0)</f>
        <v>0</v>
      </c>
      <c r="P56">
        <f ca="1">IFERROR(IF(COUNTIF(B56,"*云栖松*")&gt;0,50-加速!$L$11,MAX(0,P55-(A56-A55))),0)</f>
        <v>0</v>
      </c>
      <c r="Q56">
        <f ca="1">IF(COUNTIF(IF(AND(配装计算器!$K$30&lt;&gt;"∞",0),INDEX(AU55:CB55,1,$AT$1),INDEX(AU57:CB57,1,$AT$1)),"*云栖松*")=1,P56,0)</f>
        <v>0</v>
      </c>
      <c r="R56">
        <f ca="1">IFERROR(IF(COUNTIF(B56,"*莺鸣柳*")&gt;0,45-加速!$L$9,MAX(0,R55-(A56-A55))),0)</f>
        <v>0</v>
      </c>
      <c r="S56">
        <f ca="1">IF(COUNTIF(IF(AND(配装计算器!$K$30&lt;&gt;"∞",0),INDEX(AU55:CB55,1,$AT$1),INDEX(AU57:CB57,1,$AT$1)),"*莺鸣柳*")=1,R56,0)</f>
        <v>0</v>
      </c>
      <c r="T56">
        <f ca="1" t="shared" si="7"/>
        <v>0</v>
      </c>
      <c r="U56">
        <f ca="1">IF(金蛇,IF(COUNTIF(B56,"*金环戴*")+COUNTIF(B56,"*吹风醒*")&gt;0,IF(A56&lt;=3,7.125-2.625-A56-加速!$L$11,A56-T56),0),0)+IF(金蛇,IF(COUNTIF(B56,"*千切子裂光*")&gt;0,2+加速!$K$9-(A56+加速!$L$11-T56),0),0)</f>
        <v>0</v>
      </c>
      <c r="V56">
        <f ca="1" t="shared" si="8"/>
        <v>0</v>
      </c>
      <c r="W56">
        <f ca="1" t="shared" si="0"/>
        <v>0</v>
      </c>
      <c r="X56">
        <f ca="1">INDEX(加速!$I$13:$I$21,技能数计算!W56+1)</f>
        <v>0</v>
      </c>
      <c r="Y56">
        <f ca="1" t="shared" si="3"/>
        <v>0.5</v>
      </c>
      <c r="Z56">
        <f ca="1" t="shared" si="4"/>
        <v>0</v>
      </c>
      <c r="AA56">
        <f ca="1">MAX(0,IFERROR(IF(COUNTIF(B56,"*叠*")&gt;0,IF(AC55&lt;3,8-A57+A56,AA55+6.875-A57+A56),AA55-A57+A56),AA55-加速!$L$11))</f>
        <v>0</v>
      </c>
      <c r="AB56">
        <f ca="1">MAX(0,IF(COUNTIF(IF(AND(配装计算器!$K$30&lt;&gt;"∞",0),INDEX(AU56:CB56,1,$AT$1),INDEX(AU56:CB56,1,$AT$1)),"*叠1*")=1,4*25-加速!$L$11,AB55-A56+A55)-IF(OR(COUNTIF(OFFSET(AT56,0,$AT$1,1,1),"*听雷*")&gt;0,AND(碧归&gt;0,COUNTIF(OFFSET(AT56,0,$AT$1,1,1),"*风来*")&gt;0)),0,1)*1.5)</f>
        <v>55.36</v>
      </c>
      <c r="AC56">
        <f ca="1" t="shared" si="1"/>
        <v>3</v>
      </c>
      <c r="AD56">
        <f ca="1">IF(COUNTIF(IF(AND(配装计算器!$K$30&lt;&gt;"∞",0),INDEX(AU56:CB56,1,$AT$1),INDEX(AU57:CB57,1,$AT$1)),"*叠1*")=1,AB56*0+AE55,0)</f>
        <v>0</v>
      </c>
      <c r="AE56">
        <f ca="1">IF($AN$11&gt;0,IF(COUNTIF(B57,"*叠1*")&gt;0,50-加速!$H$11,MAX(0,AE55-(A57-A56))),0)</f>
        <v>28.11</v>
      </c>
      <c r="AH56" t="s">
        <v>1825</v>
      </c>
      <c r="AI56" t="s">
        <v>2801</v>
      </c>
      <c r="AJ56">
        <f ca="1">循环比*COUNTIFS($J$3:$J$515,"&gt;0",$D$3:$D$515,"&gt;0",$H$3:$H$515,"&gt;0")</f>
        <v>0</v>
      </c>
      <c r="AK56" t="s">
        <v>3044</v>
      </c>
      <c r="AM56" t="s">
        <v>2920</v>
      </c>
      <c r="AN56">
        <f ca="1">AN55/1024*(COUNTIF(B29:B541,"*听雷*")*循环比)*技能数据库!M65</f>
        <v>0.80078125</v>
      </c>
      <c r="AU56" t="str">
        <f>IF($AN$11=1,橙武补雾锁,"夕照雷峰")</f>
        <v>云飞玉皇-玉山揽云</v>
      </c>
      <c r="AV56">
        <v>2</v>
      </c>
      <c r="AW56" t="str">
        <f>IF($AN$11=1,"鹤归孤山","云飞玉皇")</f>
        <v>鹤归孤山</v>
      </c>
      <c r="AX56">
        <v>2</v>
      </c>
      <c r="AY56" t="s">
        <v>2768</v>
      </c>
      <c r="AZ56">
        <v>2</v>
      </c>
      <c r="BA56" t="s">
        <v>2768</v>
      </c>
      <c r="BB56">
        <v>2</v>
      </c>
      <c r="BC56" t="s">
        <v>2808</v>
      </c>
      <c r="BD56">
        <v>2</v>
      </c>
      <c r="BE56" t="s">
        <v>2768</v>
      </c>
      <c r="BF56">
        <v>2</v>
      </c>
      <c r="BG56" s="176" t="s">
        <v>2768</v>
      </c>
      <c r="BH56">
        <v>2</v>
      </c>
      <c r="BI56" t="s">
        <v>2808</v>
      </c>
      <c r="BJ56">
        <v>2</v>
      </c>
      <c r="BK56" t="s">
        <v>3036</v>
      </c>
      <c r="BL56">
        <v>2</v>
      </c>
      <c r="BM56" t="str">
        <f>IF(0,"云飞玉皇-玉山揽云","夕照雷峰")</f>
        <v>夕照雷峰</v>
      </c>
      <c r="BN56">
        <v>2</v>
      </c>
      <c r="BO56" t="str">
        <f>IF(0,"云飞玉皇-玉山揽云","云飞玉皇")</f>
        <v>云飞玉皇</v>
      </c>
      <c r="BP56">
        <v>2</v>
      </c>
      <c r="BQ56" t="s">
        <v>2768</v>
      </c>
      <c r="BR56">
        <v>2</v>
      </c>
      <c r="BS56" s="176" t="s">
        <v>2768</v>
      </c>
      <c r="BT56">
        <v>2</v>
      </c>
      <c r="BU56" t="s">
        <v>2768</v>
      </c>
      <c r="BV56">
        <v>2</v>
      </c>
      <c r="BW56" s="182" t="s">
        <v>2794</v>
      </c>
      <c r="BX56" s="179">
        <v>2</v>
      </c>
      <c r="BY56" s="176" t="str">
        <f>IF(0,"云飞玉皇-玉山揽云","夕照雷峰")</f>
        <v>夕照雷峰</v>
      </c>
      <c r="BZ56">
        <v>2</v>
      </c>
      <c r="CA56" t="str">
        <f>IF(0,"云飞玉皇-玉山揽云","夕照雷峰")</f>
        <v>夕照雷峰</v>
      </c>
      <c r="CB56">
        <v>2</v>
      </c>
    </row>
    <row r="57" spans="1:80">
      <c r="A57" s="178">
        <f ca="1">IFERROR(IF(A56+加速!$L$11&lt;$AS$1,IF(COUNTIF(B56,"*轻*")&gt;0,A56+加速!$L$9,A56+加速!$L$11)+V56,IF(COUNTIF(INDEX(AU57:CB57,1,$AT$1),"*云景*")+COUNTIF(INDEX(AU57:CB57,1,$AT$1),"*鹤归*")+COUNTIF(INDEX(AU57:CB57,1,$AT$1),"*听雷*")&gt;0,A56+加速!$L$11,"")),"")</f>
        <v>70.68</v>
      </c>
      <c r="B57" s="167" t="str">
        <f ca="1">IF(A57&lt;&gt;"",IF(AND(A57+加速!$L$11&gt;$AS$1,IF(AND(配装计算器!$K$30&lt;&gt;"∞",0),"梦泉虎跑-轻",INDEX(AU57:CB57,1,$AT$1))="云栖松"),"夕照雷峰",IF(AND(配装计算器!$K$30&lt;&gt;"∞",0),"梦泉虎跑-轻",INDEX(AU57:CB57,1,$AT$1))),"")</f>
        <v>夕照雷峰</v>
      </c>
      <c r="C57">
        <f ca="1" t="shared" si="5"/>
        <v>15</v>
      </c>
      <c r="D57">
        <f ca="1">IF(B57&lt;&gt;"",IF(C56&lt;=加速!$L$11*(1-E57),0,1),"")</f>
        <v>1</v>
      </c>
      <c r="E57">
        <f ca="1" t="shared" si="2"/>
        <v>0</v>
      </c>
      <c r="G57">
        <f ca="1" t="shared" si="6"/>
        <v>0</v>
      </c>
      <c r="H57">
        <f ca="1">IF(B57&lt;&gt;"",IF(AND(COUNTIF(B56,"*轻*莺鸣柳*")&gt;0,COUNTIF(B57,"*轻*")&lt;1),MAX(0,15+I56-(A57-A56)+COUNTIF(B56,"*平湖*")*0),IF(AND(E57=0,MAX(0,H56-(A57-A56))&lt;=加速!$H$11),0,MAX(0,H56-(A57-A56)))),"")</f>
        <v>0</v>
      </c>
      <c r="I57">
        <f ca="1" t="shared" si="9"/>
        <v>0</v>
      </c>
      <c r="J57">
        <f ca="1" t="shared" si="10"/>
        <v>0</v>
      </c>
      <c r="K57">
        <f ca="1">IF(A57&lt;&gt;"",IF(AND(配装计算器!$K$30&lt;&gt;"∞",0),2,INDEX(AU57:CB57,1,$AT$2)),"")</f>
        <v>2</v>
      </c>
      <c r="L57">
        <f ca="1">IFERROR(IF(AND(COUNTIF(B57,"*-峰插*"),技能数据库!$M$72&gt;0),0,IF(COUNTIF(B57,"*鹤归*")&gt;0,16-加速!$L$11,MAX(0,L56-(A57-A56)))),0)</f>
        <v>6.96999999999996</v>
      </c>
      <c r="M57">
        <f ca="1">IF(COUNTIF(IF(AND(配装计算器!$K$30&lt;&gt;"∞",0),INDEX(AU56:CB56,1,$AT$1),INDEX(AU58:CB58,1,$AT$1)),"*鹤归*")=1,L57,0)</f>
        <v>0</v>
      </c>
      <c r="N57">
        <f ca="1">IFERROR(IF(AND(COUNTIF(B57,"*-峰插*"),技能数据库!$M$72&gt;0),0,IF(COUNTIF(B57,"*云飞*")&gt;0,4-COUNTIF(B57,"*玉山揽云*")*4--COUNTIF(B57,"*烟流暮景*")*4-COUNTIF(B57,"*云景*")*加速!$L$11-IF(J57&gt;0,2,0),MAX(0,N56-(A57-A56)-IF(J57&gt;0,2,0)))),0)</f>
        <v>0</v>
      </c>
      <c r="O57">
        <f ca="1">IF(AND(COUNTIF(IF(AND(配装计算器!$K$30&lt;&gt;"∞",0),INDEX(AU56:CB56,1,$AT$1),INDEX(AU58:CB58,1,$AT$1)),"*云飞*")=1,COUNTIF(IF(AND(配装计算器!$K$30&lt;&gt;"∞",0),INDEX(AU56:CB56,1,$AT$1),INDEX(AU58:CB58,1,$AT$1)),"*玉山*")=0),N57,0)</f>
        <v>0</v>
      </c>
      <c r="P57">
        <f ca="1">IFERROR(IF(COUNTIF(B57,"*云栖松*")&gt;0,50-加速!$L$11,MAX(0,P56-(A57-A56))),0)</f>
        <v>0</v>
      </c>
      <c r="Q57">
        <f ca="1">IF(COUNTIF(IF(AND(配装计算器!$K$30&lt;&gt;"∞",0),INDEX(AU56:CB56,1,$AT$1),INDEX(AU58:CB58,1,$AT$1)),"*云栖松*")=1,P57,0)</f>
        <v>0</v>
      </c>
      <c r="R57">
        <f ca="1">IFERROR(IF(COUNTIF(B57,"*莺鸣柳*")&gt;0,45-加速!$L$9,MAX(0,R56-(A57-A56))),0)</f>
        <v>0</v>
      </c>
      <c r="S57">
        <f ca="1">IF(COUNTIF(IF(AND(配装计算器!$K$30&lt;&gt;"∞",0),INDEX(AU56:CB56,1,$AT$1),INDEX(AU58:CB58,1,$AT$1)),"*莺鸣柳*")=1,R57,0)</f>
        <v>0</v>
      </c>
      <c r="T57">
        <f ca="1" t="shared" si="7"/>
        <v>0</v>
      </c>
      <c r="U57">
        <f ca="1">IF(金蛇,IF(COUNTIF(B57,"*金环戴*")+COUNTIF(B57,"*吹风醒*")&gt;0,IF(A57&lt;=3,7.125-2.625-A57-加速!$L$11,A57-T57),0),0)+IF(金蛇,IF(COUNTIF(B57,"*千切子裂光*")&gt;0,2+加速!$K$9-(A57+加速!$L$11-T57),0),0)</f>
        <v>0</v>
      </c>
      <c r="V57">
        <f ca="1" t="shared" si="8"/>
        <v>0</v>
      </c>
      <c r="W57">
        <f ca="1" t="shared" si="0"/>
        <v>0</v>
      </c>
      <c r="X57">
        <f ca="1">INDEX(加速!$I$13:$I$21,技能数计算!W57+1)</f>
        <v>0</v>
      </c>
      <c r="Y57">
        <f ca="1" t="shared" si="3"/>
        <v>0.5</v>
      </c>
      <c r="Z57">
        <f ca="1" t="shared" si="4"/>
        <v>0</v>
      </c>
      <c r="AA57">
        <f ca="1">MAX(0,IFERROR(IF(COUNTIF(B57,"*叠*")&gt;0,IF(AC56&lt;3,8-A58+A57,AA56+6.875-A58+A57),AA56-A58+A57),AA56-加速!$L$11))</f>
        <v>0</v>
      </c>
      <c r="AB57">
        <f ca="1">MAX(0,IF(COUNTIF(IF(AND(配装计算器!$K$30&lt;&gt;"∞",0),INDEX(AU57:CB57,1,$AT$1),INDEX(AU57:CB57,1,$AT$1)),"*叠1*")=1,4*25-加速!$L$11,AB56-A57+A56)-IF(OR(COUNTIF(OFFSET(AT57,0,$AT$1,1,1),"*听雷*")&gt;0,AND(碧归&gt;0,COUNTIF(OFFSET(AT57,0,$AT$1,1,1),"*风来*")&gt;0)),0,1)*1.5)</f>
        <v>52.57</v>
      </c>
      <c r="AC57">
        <f ca="1" t="shared" si="1"/>
        <v>0</v>
      </c>
      <c r="AD57">
        <f ca="1">IF(COUNTIF(IF(AND(配装计算器!$K$30&lt;&gt;"∞",0),INDEX(AU57:CB57,1,$AT$1),INDEX(AU58:CB58,1,$AT$1)),"*叠1*")=1,AB57*0+AE56,0)</f>
        <v>0</v>
      </c>
      <c r="AE57">
        <f ca="1">IF($AN$11&gt;0,IF(COUNTIF(B58,"*叠1*")&gt;0,50-加速!$H$11,MAX(0,AE56-(A58-A57))),0)</f>
        <v>26.82</v>
      </c>
      <c r="AH57" t="s">
        <v>1825</v>
      </c>
      <c r="AI57" t="s">
        <v>2792</v>
      </c>
      <c r="AJ57">
        <f ca="1">AJ26/2+AJ93</f>
        <v>0</v>
      </c>
      <c r="AM57" t="s">
        <v>3064</v>
      </c>
      <c r="AN57">
        <f ca="1">IFERROR(COUNTIF(I3:I515,"&gt;0")/COUNTIF($B$3:$B$515,"*听雷*"),0)</f>
        <v>0</v>
      </c>
      <c r="AU57" t="str">
        <f>IF($AN$11=1,"云飞玉皇-玉山揽云","夕照雷峰")</f>
        <v>云飞玉皇-玉山揽云</v>
      </c>
      <c r="AV57">
        <v>2</v>
      </c>
      <c r="AW57" t="str">
        <f>IF($AN$11=1,"云飞玉皇","夕照雷峰")</f>
        <v>云飞玉皇</v>
      </c>
      <c r="AX57">
        <v>2</v>
      </c>
      <c r="AY57" t="s">
        <v>2776</v>
      </c>
      <c r="AZ57">
        <v>2</v>
      </c>
      <c r="BA57" t="s">
        <v>2776</v>
      </c>
      <c r="BB57">
        <v>2</v>
      </c>
      <c r="BC57" t="s">
        <v>2768</v>
      </c>
      <c r="BD57">
        <v>2</v>
      </c>
      <c r="BE57" t="s">
        <v>2776</v>
      </c>
      <c r="BF57">
        <v>2</v>
      </c>
      <c r="BG57" s="176" t="s">
        <v>2776</v>
      </c>
      <c r="BH57">
        <v>2</v>
      </c>
      <c r="BI57" t="s">
        <v>2768</v>
      </c>
      <c r="BJ57">
        <v>2</v>
      </c>
      <c r="BK57" t="s">
        <v>3026</v>
      </c>
      <c r="BL57">
        <v>2</v>
      </c>
      <c r="BM57" t="str">
        <f>IF(0,"云飞玉皇-玉山揽云","云飞玉皇")</f>
        <v>云飞玉皇</v>
      </c>
      <c r="BN57">
        <v>2</v>
      </c>
      <c r="BO57" s="176" t="s">
        <v>2794</v>
      </c>
      <c r="BP57">
        <v>2</v>
      </c>
      <c r="BQ57" t="s">
        <v>3013</v>
      </c>
      <c r="BR57">
        <v>2</v>
      </c>
      <c r="BS57" s="176" t="s">
        <v>2768</v>
      </c>
      <c r="BT57">
        <v>2</v>
      </c>
      <c r="BU57" t="s">
        <v>2776</v>
      </c>
      <c r="BV57">
        <v>2</v>
      </c>
      <c r="BW57" s="182" t="str">
        <f>IF($AN$11=1,橙武补雾锁,"夕照雷峰")</f>
        <v>云飞玉皇-玉山揽云</v>
      </c>
      <c r="BX57" s="179">
        <v>2</v>
      </c>
      <c r="BY57" s="176" t="str">
        <f>IF(0,"云飞玉皇-玉山揽云","云飞玉皇")</f>
        <v>云飞玉皇</v>
      </c>
      <c r="BZ57">
        <v>2</v>
      </c>
      <c r="CA57" t="str">
        <f>IF(0,"云飞玉皇-玉山揽云","云飞玉皇")</f>
        <v>云飞玉皇</v>
      </c>
      <c r="CB57">
        <v>2</v>
      </c>
    </row>
    <row r="58" spans="1:80">
      <c r="A58" s="178">
        <f ca="1">IFERROR(IF(A57+加速!$L$11&lt;$AS$1,IF(COUNTIF(B57,"*轻*")&gt;0,A57+加速!$L$9,A57+加速!$L$11)+V57,IF(COUNTIF(INDEX(AU58:CB58,1,$AT$1),"*云景*")+COUNTIF(INDEX(AU58:CB58,1,$AT$1),"*鹤归*")+COUNTIF(INDEX(AU58:CB58,1,$AT$1),"*听雷*")&gt;0,A57+加速!$L$11,"")),"")</f>
        <v>71.97</v>
      </c>
      <c r="B58" s="167" t="str">
        <f ca="1">IF(A58&lt;&gt;"",IF(AND(A58+加速!$L$11&gt;$AS$1,IF(AND(配装计算器!$K$30&lt;&gt;"∞",0),"梦泉虎跑-轻",INDEX(AU58:CB58,1,$AT$1))="云栖松"),"夕照雷峰",IF(AND(配装计算器!$K$30&lt;&gt;"∞",0),"梦泉虎跑-轻",INDEX(AU58:CB58,1,$AT$1))),"")</f>
        <v>云飞玉皇</v>
      </c>
      <c r="C58">
        <f ca="1" t="shared" si="5"/>
        <v>13.71</v>
      </c>
      <c r="D58">
        <f ca="1">IF(B58&lt;&gt;"",IF(C57&lt;=加速!$L$11*(1-E58),0,1),"")</f>
        <v>1</v>
      </c>
      <c r="E58">
        <f ca="1" t="shared" si="2"/>
        <v>0</v>
      </c>
      <c r="G58">
        <f ca="1" t="shared" si="6"/>
        <v>0</v>
      </c>
      <c r="H58">
        <f ca="1">IF(B58&lt;&gt;"",IF(AND(COUNTIF(B57,"*轻*莺鸣柳*")&gt;0,COUNTIF(B58,"*轻*")&lt;1),MAX(0,15+I57-(A58-A57)+COUNTIF(B57,"*平湖*")*0),IF(AND(E58=0,MAX(0,H57-(A58-A57))&lt;=加速!$H$11),0,MAX(0,H57-(A58-A57)))),"")</f>
        <v>0</v>
      </c>
      <c r="I58">
        <f ca="1" t="shared" si="9"/>
        <v>0</v>
      </c>
      <c r="J58">
        <f ca="1" t="shared" si="10"/>
        <v>0</v>
      </c>
      <c r="K58">
        <f ca="1">IF(A58&lt;&gt;"",IF(AND(配装计算器!$K$30&lt;&gt;"∞",0),2,INDEX(AU58:CB58,1,$AT$2)),"")</f>
        <v>2</v>
      </c>
      <c r="L58">
        <f ca="1">IFERROR(IF(AND(COUNTIF(B58,"*-峰插*"),技能数据库!$M$72&gt;0),0,IF(COUNTIF(B58,"*鹤归*")&gt;0,16-加速!$L$11,MAX(0,L57-(A58-A57)))),0)</f>
        <v>5.67999999999996</v>
      </c>
      <c r="M58">
        <f ca="1">IF(COUNTIF(IF(AND(配装计算器!$K$30&lt;&gt;"∞",0),INDEX(AU57:CB57,1,$AT$1),INDEX(AU59:CB59,1,$AT$1)),"*鹤归*")=1,L58,0)</f>
        <v>0</v>
      </c>
      <c r="N58">
        <f ca="1">IFERROR(IF(AND(COUNTIF(B58,"*-峰插*"),技能数据库!$M$72&gt;0),0,IF(COUNTIF(B58,"*云飞*")&gt;0,4-COUNTIF(B58,"*玉山揽云*")*4--COUNTIF(B58,"*烟流暮景*")*4-COUNTIF(B58,"*云景*")*加速!$L$11-IF(J58&gt;0,2,0),MAX(0,N57-(A58-A57)-IF(J58&gt;0,2,0)))),0)</f>
        <v>4</v>
      </c>
      <c r="O58">
        <f ca="1">IF(AND(COUNTIF(IF(AND(配装计算器!$K$30&lt;&gt;"∞",0),INDEX(AU57:CB57,1,$AT$1),INDEX(AU59:CB59,1,$AT$1)),"*云飞*")=1,COUNTIF(IF(AND(配装计算器!$K$30&lt;&gt;"∞",0),INDEX(AU57:CB57,1,$AT$1),INDEX(AU59:CB59,1,$AT$1)),"*玉山*")=0),N58,0)</f>
        <v>0</v>
      </c>
      <c r="P58">
        <f ca="1">IFERROR(IF(COUNTIF(B58,"*云栖松*")&gt;0,50-加速!$L$11,MAX(0,P57-(A58-A57))),0)</f>
        <v>0</v>
      </c>
      <c r="Q58">
        <f ca="1">IF(COUNTIF(IF(AND(配装计算器!$K$30&lt;&gt;"∞",0),INDEX(AU57:CB57,1,$AT$1),INDEX(AU59:CB59,1,$AT$1)),"*云栖松*")=1,P58,0)</f>
        <v>0</v>
      </c>
      <c r="R58">
        <f ca="1">IFERROR(IF(COUNTIF(B58,"*莺鸣柳*")&gt;0,45-加速!$L$9,MAX(0,R57-(A58-A57))),0)</f>
        <v>0</v>
      </c>
      <c r="S58">
        <f ca="1">IF(COUNTIF(IF(AND(配装计算器!$K$30&lt;&gt;"∞",0),INDEX(AU57:CB57,1,$AT$1),INDEX(AU59:CB59,1,$AT$1)),"*莺鸣柳*")=1,R58,0)</f>
        <v>0</v>
      </c>
      <c r="T58">
        <f ca="1" t="shared" si="7"/>
        <v>0</v>
      </c>
      <c r="U58">
        <f ca="1">IF(金蛇,IF(COUNTIF(B58,"*金环戴*")+COUNTIF(B58,"*吹风醒*")&gt;0,IF(A58&lt;=3,7.125-2.625-A58-加速!$L$11,A58-T58),0),0)+IF(金蛇,IF(COUNTIF(B58,"*千切子裂光*")&gt;0,2+加速!$K$9-(A58+加速!$L$11-T58),0),0)</f>
        <v>0</v>
      </c>
      <c r="V58">
        <f ca="1" t="shared" si="8"/>
        <v>0</v>
      </c>
      <c r="W58">
        <f ca="1" t="shared" si="0"/>
        <v>0</v>
      </c>
      <c r="X58">
        <f ca="1">INDEX(加速!$I$13:$I$21,技能数计算!W58+1)</f>
        <v>0</v>
      </c>
      <c r="Y58">
        <f ca="1" t="shared" si="3"/>
        <v>0.5</v>
      </c>
      <c r="Z58">
        <f ca="1" t="shared" si="4"/>
        <v>0</v>
      </c>
      <c r="AA58">
        <f ca="1">MAX(0,IFERROR(IF(COUNTIF(B58,"*叠*")&gt;0,IF(AC57&lt;3,8-A59+A58,AA57+6.875-A59+A58),AA57-A59+A58),AA57-加速!$L$11))</f>
        <v>0</v>
      </c>
      <c r="AB58">
        <f ca="1">MAX(0,IF(COUNTIF(IF(AND(配装计算器!$K$30&lt;&gt;"∞",0),INDEX(AU58:CB58,1,$AT$1),INDEX(AU58:CB58,1,$AT$1)),"*叠1*")=1,4*25-加速!$L$11,AB57-A58+A57)-IF(OR(COUNTIF(OFFSET(AT58,0,$AT$1,1,1),"*听雷*")&gt;0,AND(碧归&gt;0,COUNTIF(OFFSET(AT58,0,$AT$1,1,1),"*风来*")&gt;0)),0,1)*1.5)</f>
        <v>49.78</v>
      </c>
      <c r="AC58">
        <f ca="1" t="shared" si="1"/>
        <v>0</v>
      </c>
      <c r="AD58">
        <f ca="1">IF(COUNTIF(IF(AND(配装计算器!$K$30&lt;&gt;"∞",0),INDEX(AU58:CB58,1,$AT$1),INDEX(AU59:CB59,1,$AT$1)),"*叠1*")=1,AB58*0+AE57,0)</f>
        <v>0</v>
      </c>
      <c r="AE58">
        <f ca="1">IF($AN$11&gt;0,IF(COUNTIF(B59,"*叠1*")&gt;0,50-加速!$H$11,MAX(0,AE57-(A59-A58))),0)</f>
        <v>25.53</v>
      </c>
      <c r="AH58" t="s">
        <v>1825</v>
      </c>
      <c r="AI58" t="s">
        <v>2792</v>
      </c>
      <c r="AJ58">
        <f ca="1">(AJ27+AJ40)/2+AJ49+AJ133</f>
        <v>46</v>
      </c>
      <c r="AK58" t="s">
        <v>2750</v>
      </c>
      <c r="AM58" t="s">
        <v>3087</v>
      </c>
      <c r="AN58">
        <f ca="1">AN56*AN57</f>
        <v>0</v>
      </c>
      <c r="AU58" t="s">
        <v>2776</v>
      </c>
      <c r="AV58">
        <v>2</v>
      </c>
      <c r="AW58" t="str">
        <f>IF($AN$11=1,"夕照雷峰","云飞玉皇")</f>
        <v>夕照雷峰</v>
      </c>
      <c r="AX58">
        <v>2</v>
      </c>
      <c r="AY58" t="s">
        <v>2794</v>
      </c>
      <c r="AZ58">
        <v>2</v>
      </c>
      <c r="BA58" t="s">
        <v>2794</v>
      </c>
      <c r="BB58">
        <v>2</v>
      </c>
      <c r="BC58" t="s">
        <v>2768</v>
      </c>
      <c r="BD58">
        <v>2</v>
      </c>
      <c r="BE58" t="s">
        <v>2768</v>
      </c>
      <c r="BF58">
        <v>2</v>
      </c>
      <c r="BG58" t="s">
        <v>2768</v>
      </c>
      <c r="BH58">
        <v>1</v>
      </c>
      <c r="BI58" s="176" t="s">
        <v>2776</v>
      </c>
      <c r="BJ58">
        <v>2</v>
      </c>
      <c r="BK58" t="s">
        <v>3026</v>
      </c>
      <c r="BL58">
        <v>2</v>
      </c>
      <c r="BM58" t="str">
        <f>IF(0,"云飞玉皇-玉山揽云","夕照雷峰")</f>
        <v>夕照雷峰</v>
      </c>
      <c r="BN58">
        <v>2</v>
      </c>
      <c r="BO58" s="176" t="str">
        <f>IF(0,橙武补雾锁,"夕照雷峰")</f>
        <v>夕照雷峰</v>
      </c>
      <c r="BP58">
        <v>2</v>
      </c>
      <c r="BQ58" t="s">
        <v>2808</v>
      </c>
      <c r="BR58">
        <v>2</v>
      </c>
      <c r="BS58" s="176" t="s">
        <v>2776</v>
      </c>
      <c r="BT58">
        <v>2</v>
      </c>
      <c r="BU58" t="s">
        <v>2768</v>
      </c>
      <c r="BV58">
        <v>2</v>
      </c>
      <c r="BW58" s="182" t="s">
        <v>2776</v>
      </c>
      <c r="BX58" s="179">
        <v>2</v>
      </c>
      <c r="BY58" s="176" t="str">
        <f>IF(0,橙武补雾锁,"夕照雷峰")</f>
        <v>夕照雷峰</v>
      </c>
      <c r="BZ58">
        <v>2</v>
      </c>
      <c r="CA58" t="str">
        <f>IF(0,橙武补雾锁,"夕照雷峰")</f>
        <v>夕照雷峰</v>
      </c>
      <c r="CB58">
        <v>2</v>
      </c>
    </row>
    <row r="59" spans="1:80">
      <c r="A59" s="178">
        <f ca="1">IFERROR(IF(A58+加速!$L$11&lt;$AS$1,IF(COUNTIF(B58,"*轻*")&gt;0,A58+加速!$L$9,A58+加速!$L$11)+V58,IF(COUNTIF(INDEX(AU59:CB59,1,$AT$1),"*云景*")+COUNTIF(INDEX(AU59:CB59,1,$AT$1),"*鹤归*")+COUNTIF(INDEX(AU59:CB59,1,$AT$1),"*听雷*")&gt;0,A58+加速!$L$11,"")),"")</f>
        <v>73.26</v>
      </c>
      <c r="B59" s="167" t="str">
        <f ca="1">IF(A59&lt;&gt;"",IF(AND(A59+加速!$L$11&gt;$AS$1,IF(AND(配装计算器!$K$30&lt;&gt;"∞",0),"梦泉虎跑-轻",INDEX(AU59:CB59,1,$AT$1))="云栖松"),"夕照雷峰",IF(AND(配装计算器!$K$30&lt;&gt;"∞",0),"梦泉虎跑-轻",INDEX(AU59:CB59,1,$AT$1))),"")</f>
        <v>夕照雷峰</v>
      </c>
      <c r="C59">
        <f ca="1" t="shared" si="5"/>
        <v>15</v>
      </c>
      <c r="D59">
        <f ca="1">IF(B59&lt;&gt;"",IF(C58&lt;=加速!$L$11*(1-E59),0,1),"")</f>
        <v>1</v>
      </c>
      <c r="E59">
        <f ca="1" t="shared" si="2"/>
        <v>0</v>
      </c>
      <c r="G59">
        <f ca="1" t="shared" si="6"/>
        <v>0</v>
      </c>
      <c r="H59">
        <f ca="1">IF(B59&lt;&gt;"",IF(AND(COUNTIF(B58,"*轻*莺鸣柳*")&gt;0,COUNTIF(B59,"*轻*")&lt;1),MAX(0,15+I58-(A59-A58)+COUNTIF(B58,"*平湖*")*0),IF(AND(E59=0,MAX(0,H58-(A59-A58))&lt;=加速!$H$11),0,MAX(0,H58-(A59-A58)))),"")</f>
        <v>0</v>
      </c>
      <c r="I59">
        <f ca="1" t="shared" si="9"/>
        <v>0</v>
      </c>
      <c r="J59">
        <f ca="1" t="shared" si="10"/>
        <v>0</v>
      </c>
      <c r="K59">
        <f ca="1">IF(A59&lt;&gt;"",IF(AND(配装计算器!$K$30&lt;&gt;"∞",0),2,INDEX(AU59:CB59,1,$AT$2)),"")</f>
        <v>2</v>
      </c>
      <c r="L59">
        <f ca="1">IFERROR(IF(AND(COUNTIF(B59,"*-峰插*"),技能数据库!$M$72&gt;0),0,IF(COUNTIF(B59,"*鹤归*")&gt;0,16-加速!$L$11,MAX(0,L58-(A59-A58)))),0)</f>
        <v>4.38999999999995</v>
      </c>
      <c r="M59">
        <f ca="1">IF(COUNTIF(IF(AND(配装计算器!$K$30&lt;&gt;"∞",0),INDEX(AU58:CB58,1,$AT$1),INDEX(AU60:CB60,1,$AT$1)),"*鹤归*")=1,L59,0)</f>
        <v>0</v>
      </c>
      <c r="N59">
        <f ca="1">IFERROR(IF(AND(COUNTIF(B59,"*-峰插*"),技能数据库!$M$72&gt;0),0,IF(COUNTIF(B59,"*云飞*")&gt;0,4-COUNTIF(B59,"*玉山揽云*")*4--COUNTIF(B59,"*烟流暮景*")*4-COUNTIF(B59,"*云景*")*加速!$L$11-IF(J59&gt;0,2,0),MAX(0,N58-(A59-A58)-IF(J59&gt;0,2,0)))),0)</f>
        <v>2.70999999999999</v>
      </c>
      <c r="O59">
        <f ca="1">IF(AND(COUNTIF(IF(AND(配装计算器!$K$30&lt;&gt;"∞",0),INDEX(AU58:CB58,1,$AT$1),INDEX(AU60:CB60,1,$AT$1)),"*云飞*")=1,COUNTIF(IF(AND(配装计算器!$K$30&lt;&gt;"∞",0),INDEX(AU58:CB58,1,$AT$1),INDEX(AU60:CB60,1,$AT$1)),"*玉山*")=0),N59,0)</f>
        <v>0</v>
      </c>
      <c r="P59">
        <f ca="1">IFERROR(IF(COUNTIF(B59,"*云栖松*")&gt;0,50-加速!$L$11,MAX(0,P58-(A59-A58))),0)</f>
        <v>0</v>
      </c>
      <c r="Q59">
        <f ca="1">IF(COUNTIF(IF(AND(配装计算器!$K$30&lt;&gt;"∞",0),INDEX(AU58:CB58,1,$AT$1),INDEX(AU60:CB60,1,$AT$1)),"*云栖松*")=1,P59,0)</f>
        <v>0</v>
      </c>
      <c r="R59">
        <f ca="1">IFERROR(IF(COUNTIF(B59,"*莺鸣柳*")&gt;0,45-加速!$L$9,MAX(0,R58-(A59-A58))),0)</f>
        <v>0</v>
      </c>
      <c r="S59">
        <f ca="1">IF(COUNTIF(IF(AND(配装计算器!$K$30&lt;&gt;"∞",0),INDEX(AU58:CB58,1,$AT$1),INDEX(AU60:CB60,1,$AT$1)),"*莺鸣柳*")=1,R59,0)</f>
        <v>0</v>
      </c>
      <c r="T59">
        <f ca="1" t="shared" si="7"/>
        <v>0</v>
      </c>
      <c r="U59">
        <f ca="1">IF(金蛇,IF(COUNTIF(B59,"*金环戴*")+COUNTIF(B59,"*吹风醒*")&gt;0,IF(A59&lt;=3,7.125-2.625-A59-加速!$L$11,A59-T59),0),0)+IF(金蛇,IF(COUNTIF(B59,"*千切子裂光*")&gt;0,2+加速!$K$9-(A59+加速!$L$11-T59),0),0)</f>
        <v>0</v>
      </c>
      <c r="V59">
        <f ca="1" t="shared" si="8"/>
        <v>0</v>
      </c>
      <c r="W59">
        <f ca="1" t="shared" si="0"/>
        <v>0</v>
      </c>
      <c r="X59">
        <f ca="1">INDEX(加速!$I$13:$I$21,技能数计算!W59+1)</f>
        <v>0</v>
      </c>
      <c r="Y59">
        <f ca="1" t="shared" si="3"/>
        <v>0.5</v>
      </c>
      <c r="Z59">
        <f ca="1" t="shared" si="4"/>
        <v>0</v>
      </c>
      <c r="AA59">
        <f ca="1">MAX(0,IFERROR(IF(COUNTIF(B59,"*叠*")&gt;0,IF(AC58&lt;3,8-A60+A59,AA58+6.875-A60+A59),AA58-A60+A59),AA58-加速!$L$11))</f>
        <v>0</v>
      </c>
      <c r="AB59">
        <f ca="1">MAX(0,IF(COUNTIF(IF(AND(配装计算器!$K$30&lt;&gt;"∞",0),INDEX(AU59:CB59,1,$AT$1),INDEX(AU59:CB59,1,$AT$1)),"*叠1*")=1,4*25-加速!$L$11,AB58-A59+A58)-IF(OR(COUNTIF(OFFSET(AT59,0,$AT$1,1,1),"*听雷*")&gt;0,AND(碧归&gt;0,COUNTIF(OFFSET(AT59,0,$AT$1,1,1),"*风来*")&gt;0)),0,1)*1.5)</f>
        <v>46.99</v>
      </c>
      <c r="AC59">
        <f ca="1" t="shared" si="1"/>
        <v>0</v>
      </c>
      <c r="AD59">
        <f ca="1">IF(COUNTIF(IF(AND(配装计算器!$K$30&lt;&gt;"∞",0),INDEX(AU59:CB59,1,$AT$1),INDEX(AU60:CB60,1,$AT$1)),"*叠1*")=1,AB59*0+AE58,0)</f>
        <v>0</v>
      </c>
      <c r="AE59">
        <f ca="1">IF($AN$11&gt;0,IF(COUNTIF(B60,"*叠1*")&gt;0,50-加速!$H$11,MAX(0,AE58-(A60-A59))),0)</f>
        <v>24.24</v>
      </c>
      <c r="AH59" t="s">
        <v>1825</v>
      </c>
      <c r="AI59" t="s">
        <v>2792</v>
      </c>
      <c r="AJ59">
        <f ca="1">AJ28/2+AJ97/2+AJ102</f>
        <v>0</v>
      </c>
      <c r="AK59" t="s">
        <v>2948</v>
      </c>
      <c r="AM59" t="s">
        <v>2920</v>
      </c>
      <c r="AN59">
        <f ca="1">AN56-AN58</f>
        <v>0.80078125</v>
      </c>
      <c r="AU59" s="176" t="s">
        <v>2794</v>
      </c>
      <c r="AV59">
        <v>2</v>
      </c>
      <c r="AW59" t="str">
        <f>IF($AN$11=1,"云飞玉皇","夕照雷峰")</f>
        <v>云飞玉皇</v>
      </c>
      <c r="AX59">
        <v>2</v>
      </c>
      <c r="AY59" t="s">
        <v>2768</v>
      </c>
      <c r="AZ59">
        <v>2</v>
      </c>
      <c r="BA59" t="s">
        <v>2768</v>
      </c>
      <c r="BB59">
        <v>2</v>
      </c>
      <c r="BC59" t="s">
        <v>2776</v>
      </c>
      <c r="BD59">
        <v>1</v>
      </c>
      <c r="BE59" t="s">
        <v>2776</v>
      </c>
      <c r="BF59">
        <v>2</v>
      </c>
      <c r="BG59" s="176" t="s">
        <v>2768</v>
      </c>
      <c r="BH59">
        <v>1</v>
      </c>
      <c r="BI59" t="s">
        <v>2768</v>
      </c>
      <c r="BJ59">
        <v>2</v>
      </c>
      <c r="BK59" t="s">
        <v>3026</v>
      </c>
      <c r="BL59">
        <v>2</v>
      </c>
      <c r="BM59" s="176" t="s">
        <v>2794</v>
      </c>
      <c r="BN59">
        <v>2</v>
      </c>
      <c r="BO59" s="176" t="s">
        <v>2776</v>
      </c>
      <c r="BP59">
        <v>2</v>
      </c>
      <c r="BQ59" t="s">
        <v>2768</v>
      </c>
      <c r="BR59">
        <v>2</v>
      </c>
      <c r="BS59" s="176" t="s">
        <v>2768</v>
      </c>
      <c r="BT59">
        <v>2</v>
      </c>
      <c r="BU59" t="s">
        <v>2776</v>
      </c>
      <c r="BV59">
        <v>2</v>
      </c>
      <c r="BW59" s="182" t="s">
        <v>2768</v>
      </c>
      <c r="BX59" s="179">
        <v>2</v>
      </c>
      <c r="BY59" s="176" t="str">
        <f>IF(0,"云飞玉皇-玉山揽云","云景·云飞玉皇")</f>
        <v>云景·云飞玉皇</v>
      </c>
      <c r="BZ59">
        <v>2</v>
      </c>
      <c r="CA59" t="str">
        <f>IF(0,"云飞玉皇-玉山揽云","云景·云飞玉皇")</f>
        <v>云景·云飞玉皇</v>
      </c>
      <c r="CB59">
        <v>2</v>
      </c>
    </row>
    <row r="60" spans="1:80">
      <c r="A60" s="178">
        <f ca="1">IFERROR(IF(A59+加速!$L$11&lt;$AS$1,IF(COUNTIF(B59,"*轻*")&gt;0,A59+加速!$L$9,A59+加速!$L$11)+V59,IF(COUNTIF(INDEX(AU60:CB60,1,$AT$1),"*云景*")+COUNTIF(INDEX(AU60:CB60,1,$AT$1),"*鹤归*")+COUNTIF(INDEX(AU60:CB60,1,$AT$1),"*听雷*")&gt;0,A59+加速!$L$11,"")),"")</f>
        <v>74.5500000000001</v>
      </c>
      <c r="B60" s="167" t="str">
        <f ca="1">IF(A60&lt;&gt;"",IF(AND(A60+加速!$L$11&gt;$AS$1,IF(AND(配装计算器!$K$30&lt;&gt;"∞",0),"梦泉虎跑-轻",INDEX(AU60:CB60,1,$AT$1))="云栖松"),"夕照雷峰",IF(AND(配装计算器!$K$30&lt;&gt;"∞",0),"梦泉虎跑-轻",INDEX(AU60:CB60,1,$AT$1))),"")</f>
        <v>夕照雷峰</v>
      </c>
      <c r="C60">
        <f ca="1" t="shared" si="5"/>
        <v>15</v>
      </c>
      <c r="D60">
        <f ca="1">IF(B60&lt;&gt;"",IF(C59&lt;=加速!$L$11*(1-E60),0,1),"")</f>
        <v>1</v>
      </c>
      <c r="E60">
        <f ca="1" t="shared" si="2"/>
        <v>0</v>
      </c>
      <c r="G60">
        <f ca="1" t="shared" si="6"/>
        <v>0</v>
      </c>
      <c r="H60">
        <f ca="1">IF(B60&lt;&gt;"",IF(AND(COUNTIF(B59,"*轻*莺鸣柳*")&gt;0,COUNTIF(B60,"*轻*")&lt;1),MAX(0,15+I59-(A60-A59)+COUNTIF(B59,"*平湖*")*0),IF(AND(E60=0,MAX(0,H59-(A60-A59))&lt;=加速!$H$11),0,MAX(0,H59-(A60-A59)))),"")</f>
        <v>0</v>
      </c>
      <c r="I60">
        <f ca="1" t="shared" si="9"/>
        <v>0</v>
      </c>
      <c r="J60">
        <f ca="1" t="shared" si="10"/>
        <v>0</v>
      </c>
      <c r="K60">
        <f ca="1">IF(A60&lt;&gt;"",IF(AND(配装计算器!$K$30&lt;&gt;"∞",0),2,INDEX(AU60:CB60,1,$AT$2)),"")</f>
        <v>1</v>
      </c>
      <c r="L60">
        <f ca="1">IFERROR(IF(AND(COUNTIF(B60,"*-峰插*"),技能数据库!$M$72&gt;0),0,IF(COUNTIF(B60,"*鹤归*")&gt;0,16-加速!$L$11,MAX(0,L59-(A60-A59)))),0)</f>
        <v>3.09999999999994</v>
      </c>
      <c r="M60">
        <f ca="1">IF(COUNTIF(IF(AND(配装计算器!$K$30&lt;&gt;"∞",0),INDEX(AU59:CB59,1,$AT$1),INDEX(AU61:CB61,1,$AT$1)),"*鹤归*")=1,L60,0)</f>
        <v>0</v>
      </c>
      <c r="N60">
        <f ca="1">IFERROR(IF(AND(COUNTIF(B60,"*-峰插*"),技能数据库!$M$72&gt;0),0,IF(COUNTIF(B60,"*云飞*")&gt;0,4-COUNTIF(B60,"*玉山揽云*")*4--COUNTIF(B60,"*烟流暮景*")*4-COUNTIF(B60,"*云景*")*加速!$L$11-IF(J60&gt;0,2,0),MAX(0,N59-(A60-A59)-IF(J60&gt;0,2,0)))),0)</f>
        <v>1.41999999999999</v>
      </c>
      <c r="O60">
        <f ca="1">IF(AND(COUNTIF(IF(AND(配装计算器!$K$30&lt;&gt;"∞",0),INDEX(AU59:CB59,1,$AT$1),INDEX(AU61:CB61,1,$AT$1)),"*云飞*")=1,COUNTIF(IF(AND(配装计算器!$K$30&lt;&gt;"∞",0),INDEX(AU59:CB59,1,$AT$1),INDEX(AU61:CB61,1,$AT$1)),"*玉山*")=0),N60,0)</f>
        <v>0</v>
      </c>
      <c r="P60">
        <f ca="1">IFERROR(IF(COUNTIF(B60,"*云栖松*")&gt;0,50-加速!$L$11,MAX(0,P59-(A60-A59))),0)</f>
        <v>0</v>
      </c>
      <c r="Q60">
        <f ca="1">IF(COUNTIF(IF(AND(配装计算器!$K$30&lt;&gt;"∞",0),INDEX(AU59:CB59,1,$AT$1),INDEX(AU61:CB61,1,$AT$1)),"*云栖松*")=1,P60,0)</f>
        <v>0</v>
      </c>
      <c r="R60">
        <f ca="1">IFERROR(IF(COUNTIF(B60,"*莺鸣柳*")&gt;0,45-加速!$L$9,MAX(0,R59-(A60-A59))),0)</f>
        <v>0</v>
      </c>
      <c r="S60">
        <f ca="1">IF(COUNTIF(IF(AND(配装计算器!$K$30&lt;&gt;"∞",0),INDEX(AU59:CB59,1,$AT$1),INDEX(AU61:CB61,1,$AT$1)),"*莺鸣柳*")=1,R60,0)</f>
        <v>0</v>
      </c>
      <c r="T60">
        <f ca="1" t="shared" si="7"/>
        <v>0</v>
      </c>
      <c r="U60">
        <f ca="1">IF(金蛇,IF(COUNTIF(B60,"*金环戴*")+COUNTIF(B60,"*吹风醒*")&gt;0,IF(A60&lt;=3,7.125-2.625-A60-加速!$L$11,A60-T60),0),0)+IF(金蛇,IF(COUNTIF(B60,"*千切子裂光*")&gt;0,2+加速!$K$9-(A60+加速!$L$11-T60),0),0)</f>
        <v>0</v>
      </c>
      <c r="V60">
        <f ca="1" t="shared" si="8"/>
        <v>0</v>
      </c>
      <c r="W60">
        <f ca="1" t="shared" si="0"/>
        <v>0</v>
      </c>
      <c r="X60">
        <f ca="1">INDEX(加速!$I$13:$I$21,技能数计算!W60+1)</f>
        <v>0</v>
      </c>
      <c r="Y60">
        <f ca="1" t="shared" si="3"/>
        <v>0.5</v>
      </c>
      <c r="Z60">
        <f ca="1" t="shared" si="4"/>
        <v>0</v>
      </c>
      <c r="AA60">
        <f ca="1">MAX(0,IFERROR(IF(COUNTIF(B60,"*叠*")&gt;0,IF(AC59&lt;3,8-A61+A60,AA59+6.875-A61+A60),AA59-A61+A60),AA59-加速!$L$11))</f>
        <v>0</v>
      </c>
      <c r="AB60">
        <f ca="1">MAX(0,IF(COUNTIF(IF(AND(配装计算器!$K$30&lt;&gt;"∞",0),INDEX(AU60:CB60,1,$AT$1),INDEX(AU60:CB60,1,$AT$1)),"*叠1*")=1,4*25-加速!$L$11,AB59-A60+A59)-IF(OR(COUNTIF(OFFSET(AT60,0,$AT$1,1,1),"*听雷*")&gt;0,AND(碧归&gt;0,COUNTIF(OFFSET(AT60,0,$AT$1,1,1),"*风来*")&gt;0)),0,1)*1.5)</f>
        <v>44.2</v>
      </c>
      <c r="AC60">
        <f ca="1" t="shared" si="1"/>
        <v>0</v>
      </c>
      <c r="AD60">
        <f ca="1">IF(COUNTIF(IF(AND(配装计算器!$K$30&lt;&gt;"∞",0),INDEX(AU60:CB60,1,$AT$1),INDEX(AU61:CB61,1,$AT$1)),"*叠1*")=1,AB60*0+AE59,0)</f>
        <v>0</v>
      </c>
      <c r="AE60">
        <f ca="1">IF($AN$11&gt;0,IF(COUNTIF(B61,"*叠1*")&gt;0,50-加速!$H$11,MAX(0,AE59-(A61-A60))),0)</f>
        <v>22.9499999999999</v>
      </c>
      <c r="AH60" t="s">
        <v>1825</v>
      </c>
      <c r="AI60" t="s">
        <v>2792</v>
      </c>
      <c r="AJ60">
        <f ca="1">(AJ29+AJ41)/2+AJ65+AJ50+$AJ$48/16</f>
        <v>0</v>
      </c>
      <c r="AK60" t="s">
        <v>3044</v>
      </c>
      <c r="AU60" s="176" t="s">
        <v>2768</v>
      </c>
      <c r="AV60">
        <v>2</v>
      </c>
      <c r="AW60" t="str">
        <f>IF($AN$11=1,"夕照雷峰","云景·云飞玉皇-黄龙吐翠")</f>
        <v>夕照雷峰</v>
      </c>
      <c r="AX60">
        <f>IF($AN$11=1,2,1)</f>
        <v>2</v>
      </c>
      <c r="AY60" t="s">
        <v>2776</v>
      </c>
      <c r="AZ60">
        <v>2</v>
      </c>
      <c r="BA60" t="s">
        <v>2776</v>
      </c>
      <c r="BB60">
        <v>2</v>
      </c>
      <c r="BC60" t="s">
        <v>2768</v>
      </c>
      <c r="BD60">
        <v>1</v>
      </c>
      <c r="BE60" t="s">
        <v>2768</v>
      </c>
      <c r="BF60">
        <v>2</v>
      </c>
      <c r="BG60" t="s">
        <v>3055</v>
      </c>
      <c r="BH60">
        <v>0</v>
      </c>
      <c r="BI60" t="s">
        <v>2768</v>
      </c>
      <c r="BJ60">
        <v>1</v>
      </c>
      <c r="BK60" t="s">
        <v>3026</v>
      </c>
      <c r="BL60">
        <v>2</v>
      </c>
      <c r="BM60" s="176" t="str">
        <f>IF(0,橙武补雾锁,"夕照雷峰")</f>
        <v>夕照雷峰</v>
      </c>
      <c r="BN60">
        <v>2</v>
      </c>
      <c r="BO60" s="176" t="s">
        <v>2768</v>
      </c>
      <c r="BP60">
        <v>2</v>
      </c>
      <c r="BQ60" t="s">
        <v>2768</v>
      </c>
      <c r="BR60">
        <v>2</v>
      </c>
      <c r="BS60" s="176" t="s">
        <v>2794</v>
      </c>
      <c r="BT60">
        <v>2</v>
      </c>
      <c r="BU60" t="s">
        <v>2768</v>
      </c>
      <c r="BV60">
        <v>2</v>
      </c>
      <c r="BW60" s="182" t="s">
        <v>2776</v>
      </c>
      <c r="BX60" s="179">
        <v>2</v>
      </c>
      <c r="BY60" s="176" t="str">
        <f>IF(0,"云飞玉皇-玉山揽云","夕照雷峰")</f>
        <v>夕照雷峰</v>
      </c>
      <c r="BZ60">
        <v>2</v>
      </c>
      <c r="CA60" t="str">
        <f>IF(0,"云飞玉皇-玉山揽云","夕照雷峰")</f>
        <v>夕照雷峰</v>
      </c>
      <c r="CB60">
        <v>2</v>
      </c>
    </row>
    <row r="61" spans="1:80">
      <c r="A61" s="178">
        <f ca="1">IFERROR(IF(A60+加速!$L$11&lt;$AS$1,IF(COUNTIF(B60,"*轻*")&gt;0,A60+加速!$L$9,A60+加速!$L$11)+V60,IF(COUNTIF(INDEX(AU61:CB61,1,$AT$1),"*云景*")+COUNTIF(INDEX(AU61:CB61,1,$AT$1),"*鹤归*")+COUNTIF(INDEX(AU61:CB61,1,$AT$1),"*听雷*")&gt;0,A60+加速!$L$11,"")),"")</f>
        <v>75.8400000000001</v>
      </c>
      <c r="B61" s="167" t="str">
        <f ca="1">IF(A61&lt;&gt;"",IF(AND(A61+加速!$L$11&gt;$AS$1,IF(AND(配装计算器!$K$30&lt;&gt;"∞",0),"梦泉虎跑-轻",INDEX(AU61:CB61,1,$AT$1))="云栖松"),"夕照雷峰",IF(AND(配装计算器!$K$30&lt;&gt;"∞",0),"梦泉虎跑-轻",INDEX(AU61:CB61,1,$AT$1))),"")</f>
        <v>夕照雷峰</v>
      </c>
      <c r="C61">
        <f ca="1" t="shared" si="5"/>
        <v>15</v>
      </c>
      <c r="D61">
        <f ca="1">IF(B61&lt;&gt;"",IF(C60&lt;=加速!$L$11*(1-E61),0,1),"")</f>
        <v>1</v>
      </c>
      <c r="E61">
        <f ca="1" t="shared" si="2"/>
        <v>0</v>
      </c>
      <c r="G61">
        <f ca="1" t="shared" si="6"/>
        <v>0</v>
      </c>
      <c r="H61">
        <f ca="1">IF(B61&lt;&gt;"",IF(AND(COUNTIF(B60,"*轻*莺鸣柳*")&gt;0,COUNTIF(B61,"*轻*")&lt;1),MAX(0,15+I60-(A61-A60)+COUNTIF(B60,"*平湖*")*0),IF(AND(E61=0,MAX(0,H60-(A61-A60))&lt;=加速!$H$11),0,MAX(0,H60-(A61-A60)))),"")</f>
        <v>0</v>
      </c>
      <c r="I61">
        <f ca="1" t="shared" si="9"/>
        <v>0</v>
      </c>
      <c r="J61">
        <f ca="1" t="shared" si="10"/>
        <v>0</v>
      </c>
      <c r="K61">
        <f ca="1">IF(A61&lt;&gt;"",IF(AND(配装计算器!$K$30&lt;&gt;"∞",0),2,INDEX(AU61:CB61,1,$AT$2)),"")</f>
        <v>1</v>
      </c>
      <c r="L61">
        <f ca="1">IFERROR(IF(AND(COUNTIF(B61,"*-峰插*"),技能数据库!$M$72&gt;0),0,IF(COUNTIF(B61,"*鹤归*")&gt;0,16-加速!$L$11,MAX(0,L60-(A61-A60)))),0)</f>
        <v>1.80999999999994</v>
      </c>
      <c r="M61">
        <f ca="1">IF(COUNTIF(IF(AND(配装计算器!$K$30&lt;&gt;"∞",0),INDEX(AU60:CB60,1,$AT$1),INDEX(AU62:CB62,1,$AT$1)),"*鹤归*")=1,L61,0)</f>
        <v>0</v>
      </c>
      <c r="N61">
        <f ca="1">IFERROR(IF(AND(COUNTIF(B61,"*-峰插*"),技能数据库!$M$72&gt;0),0,IF(COUNTIF(B61,"*云飞*")&gt;0,4-COUNTIF(B61,"*玉山揽云*")*4--COUNTIF(B61,"*烟流暮景*")*4-COUNTIF(B61,"*云景*")*加速!$L$11-IF(J61&gt;0,2,0),MAX(0,N60-(A61-A60)-IF(J61&gt;0,2,0)))),0)</f>
        <v>0.129999999999981</v>
      </c>
      <c r="O61">
        <f ca="1">IF(AND(COUNTIF(IF(AND(配装计算器!$K$30&lt;&gt;"∞",0),INDEX(AU60:CB60,1,$AT$1),INDEX(AU62:CB62,1,$AT$1)),"*云飞*")=1,COUNTIF(IF(AND(配装计算器!$K$30&lt;&gt;"∞",0),INDEX(AU60:CB60,1,$AT$1),INDEX(AU62:CB62,1,$AT$1)),"*玉山*")=0),N61,0)</f>
        <v>0.129999999999981</v>
      </c>
      <c r="P61">
        <f ca="1">IFERROR(IF(COUNTIF(B61,"*云栖松*")&gt;0,50-加速!$L$11,MAX(0,P60-(A61-A60))),0)</f>
        <v>0</v>
      </c>
      <c r="Q61">
        <f ca="1">IF(COUNTIF(IF(AND(配装计算器!$K$30&lt;&gt;"∞",0),INDEX(AU60:CB60,1,$AT$1),INDEX(AU62:CB62,1,$AT$1)),"*云栖松*")=1,P61,0)</f>
        <v>0</v>
      </c>
      <c r="R61">
        <f ca="1">IFERROR(IF(COUNTIF(B61,"*莺鸣柳*")&gt;0,45-加速!$L$9,MAX(0,R60-(A61-A60))),0)</f>
        <v>0</v>
      </c>
      <c r="S61">
        <f ca="1">IF(COUNTIF(IF(AND(配装计算器!$K$30&lt;&gt;"∞",0),INDEX(AU60:CB60,1,$AT$1),INDEX(AU62:CB62,1,$AT$1)),"*莺鸣柳*")=1,R61,0)</f>
        <v>0</v>
      </c>
      <c r="T61">
        <f ca="1" t="shared" si="7"/>
        <v>0</v>
      </c>
      <c r="U61">
        <f ca="1">IF(金蛇,IF(COUNTIF(B61,"*金环戴*")+COUNTIF(B61,"*吹风醒*")&gt;0,IF(A61&lt;=3,7.125-2.625-A61-加速!$L$11,A61-T61),0),0)+IF(金蛇,IF(COUNTIF(B61,"*千切子裂光*")&gt;0,2+加速!$K$9-(A61+加速!$L$11-T61),0),0)</f>
        <v>0</v>
      </c>
      <c r="V61">
        <f ca="1" t="shared" si="8"/>
        <v>0.129999999999981</v>
      </c>
      <c r="W61">
        <f ca="1" t="shared" si="0"/>
        <v>0</v>
      </c>
      <c r="X61">
        <f ca="1">INDEX(加速!$I$13:$I$21,技能数计算!W61+1)</f>
        <v>0</v>
      </c>
      <c r="Y61">
        <f ca="1" t="shared" si="3"/>
        <v>0.5</v>
      </c>
      <c r="Z61">
        <f ca="1" t="shared" si="4"/>
        <v>0</v>
      </c>
      <c r="AA61">
        <f ca="1">MAX(0,IFERROR(IF(COUNTIF(B61,"*叠*")&gt;0,IF(AC60&lt;3,8-A62+A61,AA60+6.875-A62+A61),AA60-A62+A61),AA60-加速!$L$11))</f>
        <v>0</v>
      </c>
      <c r="AB61">
        <f ca="1">MAX(0,IF(COUNTIF(IF(AND(配装计算器!$K$30&lt;&gt;"∞",0),INDEX(AU61:CB61,1,$AT$1),INDEX(AU61:CB61,1,$AT$1)),"*叠1*")=1,4*25-加速!$L$11,AB60-A61+A60)-IF(OR(COUNTIF(OFFSET(AT61,0,$AT$1,1,1),"*听雷*")&gt;0,AND(碧归&gt;0,COUNTIF(OFFSET(AT61,0,$AT$1,1,1),"*风来*")&gt;0)),0,1)*1.5)</f>
        <v>41.41</v>
      </c>
      <c r="AC61">
        <f ca="1" t="shared" si="1"/>
        <v>0</v>
      </c>
      <c r="AD61">
        <f ca="1">IF(COUNTIF(IF(AND(配装计算器!$K$30&lt;&gt;"∞",0),INDEX(AU61:CB61,1,$AT$1),INDEX(AU62:CB62,1,$AT$1)),"*叠1*")=1,AB61*0+AE60,0)</f>
        <v>0</v>
      </c>
      <c r="AE61">
        <f ca="1">IF($AN$11&gt;0,IF(COUNTIF(B62,"*叠1*")&gt;0,50-加速!$H$11,MAX(0,AE60-(A62-A61))),0)</f>
        <v>21.53</v>
      </c>
      <c r="AH61" t="s">
        <v>1028</v>
      </c>
      <c r="AI61" t="s">
        <v>2723</v>
      </c>
      <c r="AM61" t="s">
        <v>3088</v>
      </c>
      <c r="AN61">
        <f ca="1">INT(AS1/(6+(加速!L11*(1+2/3))/2))*IF(MAX(额外属性!D171,额外属性!D172)&gt;1,1,0)+COUNTIF($B:$B,"*莺鸣柳*")*IF(MAX(额外属性!D171,额外属性!D171)=1,1,0)</f>
        <v>0</v>
      </c>
      <c r="AU61" s="176" t="s">
        <v>2776</v>
      </c>
      <c r="AV61">
        <v>2</v>
      </c>
      <c r="AW61" t="str">
        <f>IF($AN$11=1,"云飞玉皇","夕照雷峰")</f>
        <v>云飞玉皇</v>
      </c>
      <c r="AX61">
        <v>2</v>
      </c>
      <c r="AY61" t="s">
        <v>2768</v>
      </c>
      <c r="AZ61">
        <v>2</v>
      </c>
      <c r="BA61" t="s">
        <v>2768</v>
      </c>
      <c r="BB61">
        <v>2</v>
      </c>
      <c r="BC61" t="s">
        <v>2794</v>
      </c>
      <c r="BD61">
        <v>2</v>
      </c>
      <c r="BE61" t="s">
        <v>2776</v>
      </c>
      <c r="BF61">
        <v>2</v>
      </c>
      <c r="BG61" t="s">
        <v>2776</v>
      </c>
      <c r="BH61">
        <v>2</v>
      </c>
      <c r="BI61" s="176" t="s">
        <v>2768</v>
      </c>
      <c r="BJ61">
        <v>1</v>
      </c>
      <c r="BK61" t="s">
        <v>2776</v>
      </c>
      <c r="BL61">
        <v>2</v>
      </c>
      <c r="BM61" s="176" t="s">
        <v>2776</v>
      </c>
      <c r="BN61">
        <v>2</v>
      </c>
      <c r="BO61" s="176" t="s">
        <v>2776</v>
      </c>
      <c r="BP61">
        <v>2</v>
      </c>
      <c r="BQ61" t="s">
        <v>2776</v>
      </c>
      <c r="BR61">
        <v>1</v>
      </c>
      <c r="BS61" t="s">
        <v>2768</v>
      </c>
      <c r="BT61">
        <v>2</v>
      </c>
      <c r="BU61" t="s">
        <v>2808</v>
      </c>
      <c r="BV61">
        <v>2</v>
      </c>
      <c r="BW61" s="182" t="s">
        <v>2768</v>
      </c>
      <c r="BX61" s="179">
        <v>2</v>
      </c>
      <c r="BY61" t="s">
        <v>2776</v>
      </c>
      <c r="BZ61">
        <v>2</v>
      </c>
      <c r="CA61" t="s">
        <v>2776</v>
      </c>
      <c r="CB61">
        <v>2</v>
      </c>
    </row>
    <row r="62" spans="1:80">
      <c r="A62" s="178">
        <f ca="1">IFERROR(IF(A61+加速!$L$11&lt;$AS$1,IF(COUNTIF(B61,"*轻*")&gt;0,A61+加速!$L$9,A61+加速!$L$11)+V61,IF(COUNTIF(INDEX(AU62:CB62,1,$AT$1),"*云景*")+COUNTIF(INDEX(AU62:CB62,1,$AT$1),"*鹤归*")+COUNTIF(INDEX(AU62:CB62,1,$AT$1),"*听雷*")&gt;0,A61+加速!$L$11,"")),"")</f>
        <v>77.26</v>
      </c>
      <c r="B62" s="167" t="str">
        <f ca="1">IF(A62&lt;&gt;"",IF(AND(A62+加速!$L$11&gt;$AS$1,IF(AND(配装计算器!$K$30&lt;&gt;"∞",0),"梦泉虎跑-轻",INDEX(AU62:CB62,1,$AT$1))="云栖松"),"夕照雷峰",IF(AND(配装计算器!$K$30&lt;&gt;"∞",0),"梦泉虎跑-轻",INDEX(AU62:CB62,1,$AT$1))),"")</f>
        <v>云飞玉皇</v>
      </c>
      <c r="C62">
        <f ca="1" t="shared" si="5"/>
        <v>13.58</v>
      </c>
      <c r="D62">
        <f ca="1">IF(B62&lt;&gt;"",IF(C61&lt;=加速!$L$11*(1-E62),0,1),"")</f>
        <v>1</v>
      </c>
      <c r="E62">
        <f ca="1" t="shared" si="2"/>
        <v>0</v>
      </c>
      <c r="G62">
        <f ca="1" t="shared" si="6"/>
        <v>0</v>
      </c>
      <c r="H62">
        <f ca="1">IF(B62&lt;&gt;"",IF(AND(COUNTIF(B61,"*轻*莺鸣柳*")&gt;0,COUNTIF(B62,"*轻*")&lt;1),MAX(0,15+I61-(A62-A61)+COUNTIF(B61,"*平湖*")*0),IF(AND(E62=0,MAX(0,H61-(A62-A61))&lt;=加速!$H$11),0,MAX(0,H61-(A62-A61)))),"")</f>
        <v>0</v>
      </c>
      <c r="I62">
        <f ca="1" t="shared" si="9"/>
        <v>0</v>
      </c>
      <c r="J62">
        <f ca="1" t="shared" si="10"/>
        <v>0</v>
      </c>
      <c r="K62">
        <f ca="1">IF(A62&lt;&gt;"",IF(AND(配装计算器!$K$30&lt;&gt;"∞",0),2,INDEX(AU62:CB62,1,$AT$2)),"")</f>
        <v>0</v>
      </c>
      <c r="L62">
        <f ca="1">IFERROR(IF(AND(COUNTIF(B62,"*-峰插*"),技能数据库!$M$72&gt;0),0,IF(COUNTIF(B62,"*鹤归*")&gt;0,16-加速!$L$11,MAX(0,L61-(A62-A61)))),0)</f>
        <v>0.389999999999951</v>
      </c>
      <c r="M62">
        <f ca="1">IF(COUNTIF(IF(AND(配装计算器!$K$30&lt;&gt;"∞",0),INDEX(AU61:CB61,1,$AT$1),INDEX(AU63:CB63,1,$AT$1)),"*鹤归*")=1,L62,0)</f>
        <v>0.389999999999951</v>
      </c>
      <c r="N62">
        <f ca="1">IFERROR(IF(AND(COUNTIF(B62,"*-峰插*"),技能数据库!$M$72&gt;0),0,IF(COUNTIF(B62,"*云飞*")&gt;0,4-COUNTIF(B62,"*玉山揽云*")*4--COUNTIF(B62,"*烟流暮景*")*4-COUNTIF(B62,"*云景*")*加速!$L$11-IF(J62&gt;0,2,0),MAX(0,N61-(A62-A61)-IF(J62&gt;0,2,0)))),0)</f>
        <v>4</v>
      </c>
      <c r="O62">
        <f ca="1">IF(AND(COUNTIF(IF(AND(配装计算器!$K$30&lt;&gt;"∞",0),INDEX(AU61:CB61,1,$AT$1),INDEX(AU63:CB63,1,$AT$1)),"*云飞*")=1,COUNTIF(IF(AND(配装计算器!$K$30&lt;&gt;"∞",0),INDEX(AU61:CB61,1,$AT$1),INDEX(AU63:CB63,1,$AT$1)),"*玉山*")=0),N62,0)</f>
        <v>0</v>
      </c>
      <c r="P62">
        <f ca="1">IFERROR(IF(COUNTIF(B62,"*云栖松*")&gt;0,50-加速!$L$11,MAX(0,P61-(A62-A61))),0)</f>
        <v>0</v>
      </c>
      <c r="Q62">
        <f ca="1">IF(COUNTIF(IF(AND(配装计算器!$K$30&lt;&gt;"∞",0),INDEX(AU61:CB61,1,$AT$1),INDEX(AU63:CB63,1,$AT$1)),"*云栖松*")=1,P62,0)</f>
        <v>0</v>
      </c>
      <c r="R62">
        <f ca="1">IFERROR(IF(COUNTIF(B62,"*莺鸣柳*")&gt;0,45-加速!$L$9,MAX(0,R61-(A62-A61))),0)</f>
        <v>0</v>
      </c>
      <c r="S62">
        <f ca="1">IF(COUNTIF(IF(AND(配装计算器!$K$30&lt;&gt;"∞",0),INDEX(AU61:CB61,1,$AT$1),INDEX(AU63:CB63,1,$AT$1)),"*莺鸣柳*")=1,R62,0)</f>
        <v>0</v>
      </c>
      <c r="T62">
        <f ca="1" t="shared" si="7"/>
        <v>0</v>
      </c>
      <c r="U62">
        <f ca="1">IF(金蛇,IF(COUNTIF(B62,"*金环戴*")+COUNTIF(B62,"*吹风醒*")&gt;0,IF(A62&lt;=3,7.125-2.625-A62-加速!$L$11,A62-T62),0),0)+IF(金蛇,IF(COUNTIF(B62,"*千切子裂光*")&gt;0,2+加速!$K$9-(A62+加速!$L$11-T62),0),0)</f>
        <v>0</v>
      </c>
      <c r="V62">
        <f ca="1" t="shared" si="8"/>
        <v>0.389999999999951</v>
      </c>
      <c r="W62">
        <f ca="1" t="shared" si="0"/>
        <v>0</v>
      </c>
      <c r="X62">
        <f ca="1">INDEX(加速!$I$13:$I$21,技能数计算!W62+1)</f>
        <v>0</v>
      </c>
      <c r="Y62">
        <f ca="1" t="shared" si="3"/>
        <v>0.5</v>
      </c>
      <c r="Z62">
        <f ca="1" t="shared" si="4"/>
        <v>0</v>
      </c>
      <c r="AA62">
        <f ca="1">MAX(0,IFERROR(IF(COUNTIF(B62,"*叠*")&gt;0,IF(AC61&lt;3,8-A63+A62,AA61+6.875-A63+A62),AA61-A63+A62),AA61-加速!$L$11))</f>
        <v>0</v>
      </c>
      <c r="AB62">
        <f ca="1">MAX(0,IF(COUNTIF(IF(AND(配装计算器!$K$30&lt;&gt;"∞",0),INDEX(AU62:CB62,1,$AT$1),INDEX(AU62:CB62,1,$AT$1)),"*叠1*")=1,4*25-加速!$L$11,AB61-A62+A61)-IF(OR(COUNTIF(OFFSET(AT62,0,$AT$1,1,1),"*听雷*")&gt;0,AND(碧归&gt;0,COUNTIF(OFFSET(AT62,0,$AT$1,1,1),"*风来*")&gt;0)),0,1)*1.5)</f>
        <v>38.49</v>
      </c>
      <c r="AC62">
        <f ca="1" t="shared" si="1"/>
        <v>0</v>
      </c>
      <c r="AD62">
        <f ca="1">IF(COUNTIF(IF(AND(配装计算器!$K$30&lt;&gt;"∞",0),INDEX(AU62:CB62,1,$AT$1),INDEX(AU63:CB63,1,$AT$1)),"*叠1*")=1,AB62*0+AE61,0)</f>
        <v>0</v>
      </c>
      <c r="AE62">
        <f ca="1">IF($AN$11&gt;0,IF(COUNTIF(B63,"*叠1*")&gt;0,50-加速!$H$11,MAX(0,AE61-(A63-A62))),0)</f>
        <v>19.85</v>
      </c>
      <c r="AH62" t="s">
        <v>1028</v>
      </c>
      <c r="AI62" t="s">
        <v>2723</v>
      </c>
      <c r="AK62" t="s">
        <v>2949</v>
      </c>
      <c r="AM62" t="s">
        <v>2750</v>
      </c>
      <c r="AN62">
        <f ca="1">AN61*AN33*听晓</f>
        <v>0</v>
      </c>
      <c r="AU62" s="176" t="s">
        <v>2768</v>
      </c>
      <c r="AV62">
        <v>2</v>
      </c>
      <c r="AW62" t="s">
        <v>2768</v>
      </c>
      <c r="AX62">
        <v>2</v>
      </c>
      <c r="AY62" t="s">
        <v>2776</v>
      </c>
      <c r="AZ62">
        <v>2</v>
      </c>
      <c r="BA62" t="s">
        <v>2776</v>
      </c>
      <c r="BB62">
        <v>2</v>
      </c>
      <c r="BC62" t="s">
        <v>2768</v>
      </c>
      <c r="BD62">
        <v>2</v>
      </c>
      <c r="BE62" t="s">
        <v>2768</v>
      </c>
      <c r="BF62">
        <v>1</v>
      </c>
      <c r="BG62" t="s">
        <v>2768</v>
      </c>
      <c r="BH62">
        <v>2</v>
      </c>
      <c r="BI62" s="176" t="s">
        <v>2776</v>
      </c>
      <c r="BJ62">
        <v>0</v>
      </c>
      <c r="BK62" t="s">
        <v>2794</v>
      </c>
      <c r="BL62">
        <v>2</v>
      </c>
      <c r="BM62" s="176" t="s">
        <v>2768</v>
      </c>
      <c r="BN62">
        <v>2</v>
      </c>
      <c r="BO62" s="176" t="s">
        <v>2768</v>
      </c>
      <c r="BP62">
        <v>2</v>
      </c>
      <c r="BQ62" t="s">
        <v>3055</v>
      </c>
      <c r="BR62">
        <v>2</v>
      </c>
      <c r="BS62" t="s">
        <v>2776</v>
      </c>
      <c r="BT62">
        <v>2</v>
      </c>
      <c r="BU62" t="s">
        <v>2768</v>
      </c>
      <c r="BV62">
        <v>2</v>
      </c>
      <c r="BW62" s="179" t="s">
        <v>2776</v>
      </c>
      <c r="BX62" s="179">
        <v>2</v>
      </c>
      <c r="BY62" t="s">
        <v>2768</v>
      </c>
      <c r="BZ62">
        <v>2</v>
      </c>
      <c r="CA62" t="s">
        <v>2768</v>
      </c>
      <c r="CB62">
        <v>2</v>
      </c>
    </row>
    <row r="63" spans="1:80">
      <c r="A63" s="178">
        <f ca="1">IFERROR(IF(A62+加速!$L$11&lt;$AS$1,IF(COUNTIF(B62,"*轻*")&gt;0,A62+加速!$L$9,A62+加速!$L$11)+V62,IF(COUNTIF(INDEX(AU63:CB63,1,$AT$1),"*云景*")+COUNTIF(INDEX(AU63:CB63,1,$AT$1),"*鹤归*")+COUNTIF(INDEX(AU63:CB63,1,$AT$1),"*听雷*")&gt;0,A62+加速!$L$11,"")),"")</f>
        <v>78.94</v>
      </c>
      <c r="B63" s="167" t="str">
        <f ca="1">IF(A63&lt;&gt;"",IF(AND(A63+加速!$L$11&gt;$AS$1,IF(AND(配装计算器!$K$30&lt;&gt;"∞",0),"梦泉虎跑-轻",INDEX(AU63:CB63,1,$AT$1))="云栖松"),"夕照雷峰",IF(AND(配装计算器!$K$30&lt;&gt;"∞",0),"梦泉虎跑-轻",INDEX(AU63:CB63,1,$AT$1))),"")</f>
        <v>鹤归孤山</v>
      </c>
      <c r="C63">
        <f ca="1" t="shared" si="5"/>
        <v>11.9000000000001</v>
      </c>
      <c r="D63">
        <f ca="1">IF(B63&lt;&gt;"",IF(C62&lt;=加速!$L$11*(1-E63),0,1),"")</f>
        <v>1</v>
      </c>
      <c r="E63">
        <f ca="1" t="shared" si="2"/>
        <v>1</v>
      </c>
      <c r="G63">
        <f ca="1" t="shared" si="6"/>
        <v>0</v>
      </c>
      <c r="H63">
        <f ca="1">IF(B63&lt;&gt;"",IF(AND(COUNTIF(B62,"*轻*莺鸣柳*")&gt;0,COUNTIF(B63,"*轻*")&lt;1),MAX(0,15+I62-(A63-A62)+COUNTIF(B62,"*平湖*")*0),IF(AND(E63=0,MAX(0,H62-(A63-A62))&lt;=加速!$H$11),0,MAX(0,H62-(A63-A62)))),"")</f>
        <v>0</v>
      </c>
      <c r="I63">
        <f ca="1" t="shared" si="9"/>
        <v>0</v>
      </c>
      <c r="J63">
        <f ca="1" t="shared" si="10"/>
        <v>0</v>
      </c>
      <c r="K63">
        <f ca="1">IF(A63&lt;&gt;"",IF(AND(配装计算器!$K$30&lt;&gt;"∞",0),2,INDEX(AU63:CB63,1,$AT$2)),"")</f>
        <v>0</v>
      </c>
      <c r="L63">
        <f ca="1">IFERROR(IF(AND(COUNTIF(B63,"*-峰插*"),技能数据库!$M$72&gt;0),0,IF(COUNTIF(B63,"*鹤归*")&gt;0,16-加速!$L$11,MAX(0,L62-(A63-A62)))),0)</f>
        <v>14.71</v>
      </c>
      <c r="M63">
        <f ca="1">IF(COUNTIF(IF(AND(配装计算器!$K$30&lt;&gt;"∞",0),INDEX(AU62:CB62,1,$AT$1),INDEX(AU64:CB64,1,$AT$1)),"*鹤归*")=1,L63,0)</f>
        <v>0</v>
      </c>
      <c r="N63">
        <f ca="1">IFERROR(IF(AND(COUNTIF(B63,"*-峰插*"),技能数据库!$M$72&gt;0),0,IF(COUNTIF(B63,"*云飞*")&gt;0,4-COUNTIF(B63,"*玉山揽云*")*4--COUNTIF(B63,"*烟流暮景*")*4-COUNTIF(B63,"*云景*")*加速!$L$11-IF(J63&gt;0,2,0),MAX(0,N62-(A63-A62)-IF(J63&gt;0,2,0)))),0)</f>
        <v>2.32000000000005</v>
      </c>
      <c r="O63">
        <f ca="1">IF(AND(COUNTIF(IF(AND(配装计算器!$K$30&lt;&gt;"∞",0),INDEX(AU62:CB62,1,$AT$1),INDEX(AU64:CB64,1,$AT$1)),"*云飞*")=1,COUNTIF(IF(AND(配装计算器!$K$30&lt;&gt;"∞",0),INDEX(AU62:CB62,1,$AT$1),INDEX(AU64:CB64,1,$AT$1)),"*玉山*")=0),N63,0)</f>
        <v>0</v>
      </c>
      <c r="P63">
        <f ca="1">IFERROR(IF(COUNTIF(B63,"*云栖松*")&gt;0,50-加速!$L$11,MAX(0,P62-(A63-A62))),0)</f>
        <v>0</v>
      </c>
      <c r="Q63">
        <f ca="1">IF(COUNTIF(IF(AND(配装计算器!$K$30&lt;&gt;"∞",0),INDEX(AU62:CB62,1,$AT$1),INDEX(AU64:CB64,1,$AT$1)),"*云栖松*")=1,P63,0)</f>
        <v>0</v>
      </c>
      <c r="R63">
        <f ca="1">IFERROR(IF(COUNTIF(B63,"*莺鸣柳*")&gt;0,45-加速!$L$9,MAX(0,R62-(A63-A62))),0)</f>
        <v>0</v>
      </c>
      <c r="S63">
        <f ca="1">IF(COUNTIF(IF(AND(配装计算器!$K$30&lt;&gt;"∞",0),INDEX(AU62:CB62,1,$AT$1),INDEX(AU64:CB64,1,$AT$1)),"*莺鸣柳*")=1,R63,0)</f>
        <v>0</v>
      </c>
      <c r="T63">
        <f ca="1" t="shared" si="7"/>
        <v>0</v>
      </c>
      <c r="U63">
        <f ca="1">IF(金蛇,IF(COUNTIF(B63,"*金环戴*")+COUNTIF(B63,"*吹风醒*")&gt;0,IF(A63&lt;=3,7.125-2.625-A63-加速!$L$11,A63-T63),0),0)+IF(金蛇,IF(COUNTIF(B63,"*千切子裂光*")&gt;0,2+加速!$K$9-(A63+加速!$L$11-T63),0),0)</f>
        <v>0</v>
      </c>
      <c r="V63">
        <f ca="1" t="shared" si="8"/>
        <v>0</v>
      </c>
      <c r="W63">
        <f ca="1" t="shared" si="0"/>
        <v>0</v>
      </c>
      <c r="X63">
        <f ca="1">INDEX(加速!$I$13:$I$21,技能数计算!W63+1)</f>
        <v>0</v>
      </c>
      <c r="Y63">
        <f ca="1" t="shared" si="3"/>
        <v>0.5</v>
      </c>
      <c r="Z63">
        <f ca="1" t="shared" si="4"/>
        <v>0</v>
      </c>
      <c r="AA63">
        <f ca="1">MAX(0,IFERROR(IF(COUNTIF(B63,"*叠*")&gt;0,IF(AC62&lt;3,8-A64+A63,AA62+6.875-A64+A63),AA62-A64+A63),AA62-加速!$L$11))</f>
        <v>0</v>
      </c>
      <c r="AB63">
        <f ca="1">MAX(0,IF(COUNTIF(IF(AND(配装计算器!$K$30&lt;&gt;"∞",0),INDEX(AU63:CB63,1,$AT$1),INDEX(AU63:CB63,1,$AT$1)),"*叠1*")=1,4*25-加速!$L$11,AB62-A63+A62)-IF(OR(COUNTIF(OFFSET(AT63,0,$AT$1,1,1),"*听雷*")&gt;0,AND(碧归&gt;0,COUNTIF(OFFSET(AT63,0,$AT$1,1,1),"*风来*")&gt;0)),0,1)*1.5)</f>
        <v>35.3100000000001</v>
      </c>
      <c r="AC63">
        <f ca="1" t="shared" si="1"/>
        <v>0</v>
      </c>
      <c r="AD63">
        <f ca="1">IF(COUNTIF(IF(AND(配装计算器!$K$30&lt;&gt;"∞",0),INDEX(AU63:CB63,1,$AT$1),INDEX(AU64:CB64,1,$AT$1)),"*叠1*")=1,AB63*0+AE62,0)</f>
        <v>0</v>
      </c>
      <c r="AE63">
        <f ca="1">IF($AN$11&gt;0,IF(COUNTIF(B64,"*叠1*")&gt;0,50-加速!$H$11,MAX(0,AE62-(A64-A63))),0)</f>
        <v>18.56</v>
      </c>
      <c r="AH63" t="s">
        <v>1028</v>
      </c>
      <c r="AI63" t="s">
        <v>2723</v>
      </c>
      <c r="AK63" t="s">
        <v>3014</v>
      </c>
      <c r="AM63" t="s">
        <v>3089</v>
      </c>
      <c r="AN63">
        <f ca="1">(AN61-AN62)*听晓</f>
        <v>0</v>
      </c>
      <c r="AU63" s="176" t="s">
        <v>2776</v>
      </c>
      <c r="AV63">
        <v>2</v>
      </c>
      <c r="AW63" t="s">
        <v>2768</v>
      </c>
      <c r="AX63">
        <v>2</v>
      </c>
      <c r="AY63" t="s">
        <v>2768</v>
      </c>
      <c r="AZ63">
        <v>2</v>
      </c>
      <c r="BA63" t="s">
        <v>2768</v>
      </c>
      <c r="BB63">
        <v>2</v>
      </c>
      <c r="BC63" t="s">
        <v>2776</v>
      </c>
      <c r="BD63">
        <v>2</v>
      </c>
      <c r="BE63" t="s">
        <v>2768</v>
      </c>
      <c r="BF63">
        <v>1</v>
      </c>
      <c r="BG63" t="s">
        <v>2776</v>
      </c>
      <c r="BH63">
        <v>2</v>
      </c>
      <c r="BI63" t="s">
        <v>2794</v>
      </c>
      <c r="BJ63">
        <v>0</v>
      </c>
      <c r="BK63" t="s">
        <v>2768</v>
      </c>
      <c r="BL63">
        <v>2</v>
      </c>
      <c r="BM63" s="176" t="s">
        <v>2776</v>
      </c>
      <c r="BN63">
        <v>2</v>
      </c>
      <c r="BO63" t="s">
        <v>3056</v>
      </c>
      <c r="BP63">
        <v>1</v>
      </c>
      <c r="BQ63" t="s">
        <v>2768</v>
      </c>
      <c r="BR63">
        <v>2</v>
      </c>
      <c r="BS63" t="s">
        <v>2768</v>
      </c>
      <c r="BT63">
        <v>2</v>
      </c>
      <c r="BU63" s="176" t="s">
        <v>2768</v>
      </c>
      <c r="BV63">
        <v>2</v>
      </c>
      <c r="BW63" s="179" t="s">
        <v>2718</v>
      </c>
      <c r="BX63" s="179">
        <v>0</v>
      </c>
      <c r="BY63" t="s">
        <v>2718</v>
      </c>
      <c r="BZ63">
        <v>0</v>
      </c>
      <c r="CA63" t="s">
        <v>2768</v>
      </c>
      <c r="CB63">
        <v>2</v>
      </c>
    </row>
    <row r="64" spans="1:80">
      <c r="A64" s="178">
        <f ca="1">IFERROR(IF(A63+加速!$L$11&lt;$AS$1,IF(COUNTIF(B63,"*轻*")&gt;0,A63+加速!$L$9,A63+加速!$L$11)+V63,IF(COUNTIF(INDEX(AU64:CB64,1,$AT$1),"*云景*")+COUNTIF(INDEX(AU64:CB64,1,$AT$1),"*鹤归*")+COUNTIF(INDEX(AU64:CB64,1,$AT$1),"*听雷*")&gt;0,A63+加速!$L$11,"")),"")</f>
        <v>80.23</v>
      </c>
      <c r="B64" s="167" t="str">
        <f ca="1">IF(A64&lt;&gt;"",IF(AND(A64+加速!$L$11&gt;$AS$1,IF(AND(配装计算器!$K$30&lt;&gt;"∞",0),"梦泉虎跑-轻",INDEX(AU64:CB64,1,$AT$1))="云栖松"),"夕照雷峰",IF(AND(配装计算器!$K$30&lt;&gt;"∞",0),"梦泉虎跑-轻",INDEX(AU64:CB64,1,$AT$1))),"")</f>
        <v>夕照雷峰</v>
      </c>
      <c r="C64">
        <f ca="1" t="shared" si="5"/>
        <v>15</v>
      </c>
      <c r="D64">
        <f ca="1">IF(B64&lt;&gt;"",IF(C63&lt;=加速!$L$11*(1-E64),0,1),"")</f>
        <v>1</v>
      </c>
      <c r="E64">
        <f ca="1" t="shared" si="2"/>
        <v>0</v>
      </c>
      <c r="G64">
        <f ca="1" t="shared" si="6"/>
        <v>0</v>
      </c>
      <c r="H64">
        <f ca="1">IF(B64&lt;&gt;"",IF(AND(COUNTIF(B63,"*轻*莺鸣柳*")&gt;0,COUNTIF(B64,"*轻*")&lt;1),MAX(0,15+I63-(A64-A63)+COUNTIF(B63,"*平湖*")*0),IF(AND(E64=0,MAX(0,H63-(A64-A63))&lt;=加速!$H$11),0,MAX(0,H63-(A64-A63)))),"")</f>
        <v>0</v>
      </c>
      <c r="I64">
        <f ca="1" t="shared" si="9"/>
        <v>0</v>
      </c>
      <c r="J64">
        <f ca="1" t="shared" si="10"/>
        <v>4</v>
      </c>
      <c r="K64">
        <f ca="1">IF(A64&lt;&gt;"",IF(AND(配装计算器!$K$30&lt;&gt;"∞",0),2,INDEX(AU64:CB64,1,$AT$2)),"")</f>
        <v>2</v>
      </c>
      <c r="L64">
        <f ca="1">IFERROR(IF(AND(COUNTIF(B64,"*-峰插*"),技能数据库!$M$72&gt;0),0,IF(COUNTIF(B64,"*鹤归*")&gt;0,16-加速!$L$11,MAX(0,L63-(A64-A63)))),0)</f>
        <v>13.42</v>
      </c>
      <c r="M64">
        <f ca="1">IF(COUNTIF(IF(AND(配装计算器!$K$30&lt;&gt;"∞",0),INDEX(AU63:CB63,1,$AT$1),INDEX(AU65:CB65,1,$AT$1)),"*鹤归*")=1,L64,0)</f>
        <v>0</v>
      </c>
      <c r="N64">
        <f ca="1">IFERROR(IF(AND(COUNTIF(B64,"*-峰插*"),技能数据库!$M$72&gt;0),0,IF(COUNTIF(B64,"*云飞*")&gt;0,4-COUNTIF(B64,"*玉山揽云*")*4--COUNTIF(B64,"*烟流暮景*")*4-COUNTIF(B64,"*云景*")*加速!$L$11-IF(J64&gt;0,2,0),MAX(0,N63-(A64-A63)-IF(J64&gt;0,2,0)))),0)</f>
        <v>0</v>
      </c>
      <c r="O64">
        <f ca="1">IF(AND(COUNTIF(IF(AND(配装计算器!$K$30&lt;&gt;"∞",0),INDEX(AU63:CB63,1,$AT$1),INDEX(AU65:CB65,1,$AT$1)),"*云飞*")=1,COUNTIF(IF(AND(配装计算器!$K$30&lt;&gt;"∞",0),INDEX(AU63:CB63,1,$AT$1),INDEX(AU65:CB65,1,$AT$1)),"*玉山*")=0),N64,0)</f>
        <v>0</v>
      </c>
      <c r="P64">
        <f ca="1">IFERROR(IF(COUNTIF(B64,"*云栖松*")&gt;0,50-加速!$L$11,MAX(0,P63-(A64-A63))),0)</f>
        <v>0</v>
      </c>
      <c r="Q64">
        <f ca="1">IF(COUNTIF(IF(AND(配装计算器!$K$30&lt;&gt;"∞",0),INDEX(AU63:CB63,1,$AT$1),INDEX(AU65:CB65,1,$AT$1)),"*云栖松*")=1,P64,0)</f>
        <v>0</v>
      </c>
      <c r="R64">
        <f ca="1">IFERROR(IF(COUNTIF(B64,"*莺鸣柳*")&gt;0,45-加速!$L$9,MAX(0,R63-(A64-A63))),0)</f>
        <v>0</v>
      </c>
      <c r="S64">
        <f ca="1">IF(COUNTIF(IF(AND(配装计算器!$K$30&lt;&gt;"∞",0),INDEX(AU63:CB63,1,$AT$1),INDEX(AU65:CB65,1,$AT$1)),"*莺鸣柳*")=1,R64,0)</f>
        <v>0</v>
      </c>
      <c r="T64">
        <f ca="1" t="shared" si="7"/>
        <v>0</v>
      </c>
      <c r="U64">
        <f ca="1">IF(金蛇,IF(COUNTIF(B64,"*金环戴*")+COUNTIF(B64,"*吹风醒*")&gt;0,IF(A64&lt;=3,7.125-2.625-A64-加速!$L$11,A64-T64),0),0)+IF(金蛇,IF(COUNTIF(B64,"*千切子裂光*")&gt;0,2+加速!$K$9-(A64+加速!$L$11-T64),0),0)</f>
        <v>0</v>
      </c>
      <c r="V64">
        <f ca="1" t="shared" si="8"/>
        <v>0</v>
      </c>
      <c r="W64">
        <f ca="1" t="shared" si="0"/>
        <v>0</v>
      </c>
      <c r="X64">
        <f ca="1">INDEX(加速!$I$13:$I$21,技能数计算!W64+1)</f>
        <v>0</v>
      </c>
      <c r="Y64">
        <f ca="1" t="shared" si="3"/>
        <v>0.5</v>
      </c>
      <c r="Z64">
        <f ca="1" t="shared" si="4"/>
        <v>0</v>
      </c>
      <c r="AA64">
        <f ca="1">MAX(0,IFERROR(IF(COUNTIF(B64,"*叠*")&gt;0,IF(AC63&lt;3,8-A65+A64,AA63+6.875-A65+A64),AA63-A65+A64),AA63-加速!$L$11))</f>
        <v>0</v>
      </c>
      <c r="AB64">
        <f ca="1">MAX(0,IF(COUNTIF(IF(AND(配装计算器!$K$30&lt;&gt;"∞",0),INDEX(AU64:CB64,1,$AT$1),INDEX(AU64:CB64,1,$AT$1)),"*叠1*")=1,4*25-加速!$L$11,AB63-A64+A63)-IF(OR(COUNTIF(OFFSET(AT64,0,$AT$1,1,1),"*听雷*")&gt;0,AND(碧归&gt;0,COUNTIF(OFFSET(AT64,0,$AT$1,1,1),"*风来*")&gt;0)),0,1)*1.5)</f>
        <v>32.5200000000001</v>
      </c>
      <c r="AC64">
        <f ca="1" t="shared" si="1"/>
        <v>0</v>
      </c>
      <c r="AD64">
        <f ca="1">IF(COUNTIF(IF(AND(配装计算器!$K$30&lt;&gt;"∞",0),INDEX(AU64:CB64,1,$AT$1),INDEX(AU65:CB65,1,$AT$1)),"*叠1*")=1,AB64*0+AE63,0)</f>
        <v>0</v>
      </c>
      <c r="AE64">
        <f ca="1">IF($AN$11&gt;0,IF(COUNTIF(B65,"*叠1*")&gt;0,50-加速!$H$11,MAX(0,AE63-(A65-A64))),0)</f>
        <v>17.27</v>
      </c>
      <c r="AH64" t="s">
        <v>1825</v>
      </c>
      <c r="AI64" t="s">
        <v>2768</v>
      </c>
      <c r="AJ64">
        <f ca="1">循环比*COUNTIFS($B$3:$B$515,"*"&amp;AI64&amp;"*",$D$3:$D$515,"&gt;0",$H$3:$H$515,"&gt;0",$G$3:$G$515,"&gt;0",$K$3:$K$515,"=2")+AN38</f>
        <v>0</v>
      </c>
      <c r="AK64" t="s">
        <v>3090</v>
      </c>
      <c r="AM64" t="s">
        <v>3091</v>
      </c>
      <c r="AN64">
        <f ca="1">IF((8.875)-5*加速!L11&gt;加速!M9,1,0)</f>
        <v>1</v>
      </c>
      <c r="AU64" s="176" t="s">
        <v>2768</v>
      </c>
      <c r="AV64">
        <v>1</v>
      </c>
      <c r="AW64" t="s">
        <v>2776</v>
      </c>
      <c r="AX64">
        <v>2</v>
      </c>
      <c r="AY64" t="s">
        <v>2776</v>
      </c>
      <c r="AZ64">
        <v>1</v>
      </c>
      <c r="BA64" t="s">
        <v>2776</v>
      </c>
      <c r="BB64">
        <v>1</v>
      </c>
      <c r="BC64" t="s">
        <v>2768</v>
      </c>
      <c r="BD64">
        <v>2</v>
      </c>
      <c r="BE64" t="s">
        <v>3042</v>
      </c>
      <c r="BF64">
        <v>0</v>
      </c>
      <c r="BG64" t="s">
        <v>2768</v>
      </c>
      <c r="BH64">
        <v>1</v>
      </c>
      <c r="BI64" t="s">
        <v>2768</v>
      </c>
      <c r="BJ64">
        <v>2</v>
      </c>
      <c r="BK64" t="s">
        <v>2776</v>
      </c>
      <c r="BL64">
        <v>2</v>
      </c>
      <c r="BM64" s="176" t="s">
        <v>2768</v>
      </c>
      <c r="BN64">
        <v>2</v>
      </c>
      <c r="BO64" t="s">
        <v>2768</v>
      </c>
      <c r="BP64">
        <v>2</v>
      </c>
      <c r="BQ64" t="s">
        <v>2776</v>
      </c>
      <c r="BR64">
        <v>2</v>
      </c>
      <c r="BS64" t="s">
        <v>2776</v>
      </c>
      <c r="BT64">
        <v>1</v>
      </c>
      <c r="BU64" s="176" t="s">
        <v>2776</v>
      </c>
      <c r="BV64">
        <v>2</v>
      </c>
      <c r="BW64" s="179" t="s">
        <v>2768</v>
      </c>
      <c r="BX64" s="179">
        <v>2</v>
      </c>
      <c r="BY64" t="s">
        <v>2768</v>
      </c>
      <c r="BZ64">
        <v>2</v>
      </c>
      <c r="CA64" t="s">
        <v>2768</v>
      </c>
      <c r="CB64">
        <v>2</v>
      </c>
    </row>
    <row r="65" spans="1:80">
      <c r="A65" s="178">
        <f ca="1">IFERROR(IF(A64+加速!$L$11&lt;$AS$1,IF(COUNTIF(B64,"*轻*")&gt;0,A64+加速!$L$9,A64+加速!$L$11)+V64,IF(COUNTIF(INDEX(AU65:CB65,1,$AT$1),"*云景*")+COUNTIF(INDEX(AU65:CB65,1,$AT$1),"*鹤归*")+COUNTIF(INDEX(AU65:CB65,1,$AT$1),"*听雷*")&gt;0,A64+加速!$L$11,"")),"")</f>
        <v>81.52</v>
      </c>
      <c r="B65" s="167" t="str">
        <f ca="1">IF(A65&lt;&gt;"",IF(AND(A65+加速!$L$11&gt;$AS$1,IF(AND(配装计算器!$K$30&lt;&gt;"∞",0),"梦泉虎跑-轻",INDEX(AU65:CB65,1,$AT$1))="云栖松"),"夕照雷峰",IF(AND(配装计算器!$K$30&lt;&gt;"∞",0),"梦泉虎跑-轻",INDEX(AU65:CB65,1,$AT$1))),"")</f>
        <v>云飞玉皇</v>
      </c>
      <c r="C65">
        <f ca="1" t="shared" si="5"/>
        <v>13.71</v>
      </c>
      <c r="D65">
        <f ca="1">IF(B65&lt;&gt;"",IF(C64&lt;=加速!$L$11*(1-E65),0,1),"")</f>
        <v>1</v>
      </c>
      <c r="E65">
        <f ca="1" t="shared" si="2"/>
        <v>0</v>
      </c>
      <c r="G65">
        <f ca="1" t="shared" si="6"/>
        <v>0</v>
      </c>
      <c r="H65">
        <f ca="1">IF(B65&lt;&gt;"",IF(AND(COUNTIF(B64,"*轻*莺鸣柳*")&gt;0,COUNTIF(B65,"*轻*")&lt;1),MAX(0,15+I64-(A65-A64)+COUNTIF(B64,"*平湖*")*0),IF(AND(E65=0,MAX(0,H64-(A65-A64))&lt;=加速!$H$11),0,MAX(0,H64-(A65-A64)))),"")</f>
        <v>0</v>
      </c>
      <c r="I65">
        <f ca="1" t="shared" si="9"/>
        <v>0</v>
      </c>
      <c r="J65">
        <f ca="1" t="shared" si="10"/>
        <v>3</v>
      </c>
      <c r="K65">
        <f ca="1">IF(A65&lt;&gt;"",IF(AND(配装计算器!$K$30&lt;&gt;"∞",0),2,INDEX(AU65:CB65,1,$AT$2)),"")</f>
        <v>2</v>
      </c>
      <c r="L65">
        <f ca="1">IFERROR(IF(AND(COUNTIF(B65,"*-峰插*"),技能数据库!$M$72&gt;0),0,IF(COUNTIF(B65,"*鹤归*")&gt;0,16-加速!$L$11,MAX(0,L64-(A65-A64)))),0)</f>
        <v>12.13</v>
      </c>
      <c r="M65">
        <f ca="1">IF(COUNTIF(IF(AND(配装计算器!$K$30&lt;&gt;"∞",0),INDEX(AU64:CB64,1,$AT$1),INDEX(AU66:CB66,1,$AT$1)),"*鹤归*")=1,L65,0)</f>
        <v>0</v>
      </c>
      <c r="N65">
        <f ca="1">IFERROR(IF(AND(COUNTIF(B65,"*-峰插*"),技能数据库!$M$72&gt;0),0,IF(COUNTIF(B65,"*云飞*")&gt;0,4-COUNTIF(B65,"*玉山揽云*")*4--COUNTIF(B65,"*烟流暮景*")*4-COUNTIF(B65,"*云景*")*加速!$L$11-IF(J65&gt;0,2,0),MAX(0,N64-(A65-A64)-IF(J65&gt;0,2,0)))),0)</f>
        <v>2</v>
      </c>
      <c r="O65">
        <f ca="1">IF(AND(COUNTIF(IF(AND(配装计算器!$K$30&lt;&gt;"∞",0),INDEX(AU64:CB64,1,$AT$1),INDEX(AU66:CB66,1,$AT$1)),"*云飞*")=1,COUNTIF(IF(AND(配装计算器!$K$30&lt;&gt;"∞",0),INDEX(AU64:CB64,1,$AT$1),INDEX(AU66:CB66,1,$AT$1)),"*玉山*")=0),N65,0)</f>
        <v>0</v>
      </c>
      <c r="P65">
        <f ca="1">IFERROR(IF(COUNTIF(B65,"*云栖松*")&gt;0,50-加速!$L$11,MAX(0,P64-(A65-A64))),0)</f>
        <v>0</v>
      </c>
      <c r="Q65">
        <f ca="1">IF(COUNTIF(IF(AND(配装计算器!$K$30&lt;&gt;"∞",0),INDEX(AU64:CB64,1,$AT$1),INDEX(AU66:CB66,1,$AT$1)),"*云栖松*")=1,P65,0)</f>
        <v>0</v>
      </c>
      <c r="R65">
        <f ca="1">IFERROR(IF(COUNTIF(B65,"*莺鸣柳*")&gt;0,45-加速!$L$9,MAX(0,R64-(A65-A64))),0)</f>
        <v>0</v>
      </c>
      <c r="S65">
        <f ca="1">IF(COUNTIF(IF(AND(配装计算器!$K$30&lt;&gt;"∞",0),INDEX(AU64:CB64,1,$AT$1),INDEX(AU66:CB66,1,$AT$1)),"*莺鸣柳*")=1,R65,0)</f>
        <v>0</v>
      </c>
      <c r="T65">
        <f ca="1" t="shared" si="7"/>
        <v>0</v>
      </c>
      <c r="U65">
        <f ca="1">IF(金蛇,IF(COUNTIF(B65,"*金环戴*")+COUNTIF(B65,"*吹风醒*")&gt;0,IF(A65&lt;=3,7.125-2.625-A65-加速!$L$11,A65-T65),0),0)+IF(金蛇,IF(COUNTIF(B65,"*千切子裂光*")&gt;0,2+加速!$K$9-(A65+加速!$L$11-T65),0),0)</f>
        <v>0</v>
      </c>
      <c r="V65">
        <f ca="1" t="shared" si="8"/>
        <v>0</v>
      </c>
      <c r="W65">
        <f ca="1" t="shared" si="0"/>
        <v>0</v>
      </c>
      <c r="X65">
        <f ca="1">INDEX(加速!$I$13:$I$21,技能数计算!W65+1)</f>
        <v>0</v>
      </c>
      <c r="Y65">
        <f ca="1" t="shared" si="3"/>
        <v>0.5</v>
      </c>
      <c r="Z65">
        <f ca="1" t="shared" si="4"/>
        <v>0</v>
      </c>
      <c r="AA65">
        <f ca="1">MAX(0,IFERROR(IF(COUNTIF(B65,"*叠*")&gt;0,IF(AC64&lt;3,8-A66+A65,AA64+6.875-A66+A65),AA64-A66+A65),AA64-加速!$L$11))</f>
        <v>0</v>
      </c>
      <c r="AB65">
        <f ca="1">MAX(0,IF(COUNTIF(IF(AND(配装计算器!$K$30&lt;&gt;"∞",0),INDEX(AU65:CB65,1,$AT$1),INDEX(AU65:CB65,1,$AT$1)),"*叠1*")=1,4*25-加速!$L$11,AB64-A65+A64)-IF(OR(COUNTIF(OFFSET(AT65,0,$AT$1,1,1),"*听雷*")&gt;0,AND(碧归&gt;0,COUNTIF(OFFSET(AT65,0,$AT$1,1,1),"*风来*")&gt;0)),0,1)*1.5)</f>
        <v>29.73</v>
      </c>
      <c r="AC65">
        <f ca="1" t="shared" si="1"/>
        <v>0</v>
      </c>
      <c r="AD65">
        <f ca="1">IF(COUNTIF(IF(AND(配装计算器!$K$30&lt;&gt;"∞",0),INDEX(AU65:CB65,1,$AT$1),INDEX(AU66:CB66,1,$AT$1)),"*叠1*")=1,AB65*0+AE64,0)</f>
        <v>0</v>
      </c>
      <c r="AE65">
        <f ca="1">IF($AN$11&gt;0,IF(COUNTIF(B66,"*叠1*")&gt;0,50-加速!$H$11,MAX(0,AE64-(A66-A65))),0)</f>
        <v>15.98</v>
      </c>
      <c r="AH65" t="s">
        <v>1825</v>
      </c>
      <c r="AI65" t="s">
        <v>2794</v>
      </c>
      <c r="AJ65">
        <f ca="1">循环比*COUNTIFS($B$3:$B$515,"*"&amp;AI65&amp;"*",$D$3:$D$515,"&gt;0",$H$3:$H$515,"&gt;0",$G$3:$G$515,"&gt;0")</f>
        <v>0</v>
      </c>
      <c r="AK65" t="s">
        <v>3092</v>
      </c>
      <c r="AU65" t="s">
        <v>2776</v>
      </c>
      <c r="AV65">
        <v>1</v>
      </c>
      <c r="AW65" t="s">
        <v>2768</v>
      </c>
      <c r="AX65">
        <v>2</v>
      </c>
      <c r="AY65" t="s">
        <v>2768</v>
      </c>
      <c r="AZ65">
        <v>1</v>
      </c>
      <c r="BA65" t="s">
        <v>2768</v>
      </c>
      <c r="BB65">
        <v>1</v>
      </c>
      <c r="BC65" t="s">
        <v>2776</v>
      </c>
      <c r="BD65">
        <v>2</v>
      </c>
      <c r="BE65" t="s">
        <v>2776</v>
      </c>
      <c r="BF65">
        <v>0</v>
      </c>
      <c r="BG65" t="s">
        <v>2776</v>
      </c>
      <c r="BH65">
        <v>1</v>
      </c>
      <c r="BI65" t="s">
        <v>2776</v>
      </c>
      <c r="BJ65">
        <v>2</v>
      </c>
      <c r="BK65" t="s">
        <v>2768</v>
      </c>
      <c r="BL65">
        <v>1</v>
      </c>
      <c r="BM65" t="s">
        <v>3056</v>
      </c>
      <c r="BN65">
        <v>1</v>
      </c>
      <c r="BO65" t="s">
        <v>2768</v>
      </c>
      <c r="BP65">
        <v>2</v>
      </c>
      <c r="BQ65" t="s">
        <v>2768</v>
      </c>
      <c r="BR65">
        <v>2</v>
      </c>
      <c r="BS65" t="s">
        <v>2768</v>
      </c>
      <c r="BT65">
        <v>1</v>
      </c>
      <c r="BU65" t="s">
        <v>2768</v>
      </c>
      <c r="BV65">
        <v>1</v>
      </c>
      <c r="BW65" s="179" t="s">
        <v>2768</v>
      </c>
      <c r="BX65" s="179">
        <v>2</v>
      </c>
      <c r="BY65" t="s">
        <v>2776</v>
      </c>
      <c r="BZ65">
        <v>2</v>
      </c>
      <c r="CA65" t="s">
        <v>2776</v>
      </c>
      <c r="CB65">
        <v>2</v>
      </c>
    </row>
    <row r="66" spans="1:80">
      <c r="A66" s="178">
        <f ca="1">IFERROR(IF(A65+加速!$L$11&lt;$AS$1,IF(COUNTIF(B65,"*轻*")&gt;0,A65+加速!$L$9,A65+加速!$L$11)+V65,IF(COUNTIF(INDEX(AU66:CB66,1,$AT$1),"*云景*")+COUNTIF(INDEX(AU66:CB66,1,$AT$1),"*鹤归*")+COUNTIF(INDEX(AU66:CB66,1,$AT$1),"*听雷*")&gt;0,A65+加速!$L$11,"")),"")</f>
        <v>82.81</v>
      </c>
      <c r="B66" s="167" t="str">
        <f ca="1">IF(A66&lt;&gt;"",IF(AND(A66+加速!$L$11&gt;$AS$1,IF(AND(配装计算器!$K$30&lt;&gt;"∞",0),"梦泉虎跑-轻",INDEX(AU66:CB66,1,$AT$1))="云栖松"),"夕照雷峰",IF(AND(配装计算器!$K$30&lt;&gt;"∞",0),"梦泉虎跑-轻",INDEX(AU66:CB66,1,$AT$1))),"")</f>
        <v>夕照雷峰</v>
      </c>
      <c r="C66">
        <f ca="1" t="shared" si="5"/>
        <v>15</v>
      </c>
      <c r="D66">
        <f ca="1">IF(B66&lt;&gt;"",IF(C65&lt;=加速!$L$11*(1-E66),0,1),"")</f>
        <v>1</v>
      </c>
      <c r="E66">
        <f ca="1" t="shared" si="2"/>
        <v>0</v>
      </c>
      <c r="G66">
        <f ca="1" t="shared" si="6"/>
        <v>0</v>
      </c>
      <c r="H66">
        <f ca="1">IF(B66&lt;&gt;"",IF(AND(COUNTIF(B65,"*轻*莺鸣柳*")&gt;0,COUNTIF(B66,"*轻*")&lt;1),MAX(0,15+I65-(A66-A65)+COUNTIF(B65,"*平湖*")*0),IF(AND(E66=0,MAX(0,H65-(A66-A65))&lt;=加速!$H$11),0,MAX(0,H65-(A66-A65)))),"")</f>
        <v>0</v>
      </c>
      <c r="I66">
        <f ca="1" t="shared" si="9"/>
        <v>0</v>
      </c>
      <c r="J66">
        <f ca="1" t="shared" si="10"/>
        <v>2</v>
      </c>
      <c r="K66">
        <f ca="1">IF(A66&lt;&gt;"",IF(AND(配装计算器!$K$30&lt;&gt;"∞",0),2,INDEX(AU66:CB66,1,$AT$2)),"")</f>
        <v>2</v>
      </c>
      <c r="L66">
        <f ca="1">IFERROR(IF(AND(COUNTIF(B66,"*-峰插*"),技能数据库!$M$72&gt;0),0,IF(COUNTIF(B66,"*鹤归*")&gt;0,16-加速!$L$11,MAX(0,L65-(A66-A65)))),0)</f>
        <v>10.84</v>
      </c>
      <c r="M66">
        <f ca="1">IF(COUNTIF(IF(AND(配装计算器!$K$30&lt;&gt;"∞",0),INDEX(AU65:CB65,1,$AT$1),INDEX(AU67:CB67,1,$AT$1)),"*鹤归*")=1,L66,0)</f>
        <v>0</v>
      </c>
      <c r="N66">
        <f ca="1">IFERROR(IF(AND(COUNTIF(B66,"*-峰插*"),技能数据库!$M$72&gt;0),0,IF(COUNTIF(B66,"*云飞*")&gt;0,4-COUNTIF(B66,"*玉山揽云*")*4--COUNTIF(B66,"*烟流暮景*")*4-COUNTIF(B66,"*云景*")*加速!$L$11-IF(J66&gt;0,2,0),MAX(0,N65-(A66-A65)-IF(J66&gt;0,2,0)))),0)</f>
        <v>0</v>
      </c>
      <c r="O66">
        <f ca="1">IF(AND(COUNTIF(IF(AND(配装计算器!$K$30&lt;&gt;"∞",0),INDEX(AU65:CB65,1,$AT$1),INDEX(AU67:CB67,1,$AT$1)),"*云飞*")=1,COUNTIF(IF(AND(配装计算器!$K$30&lt;&gt;"∞",0),INDEX(AU65:CB65,1,$AT$1),INDEX(AU67:CB67,1,$AT$1)),"*玉山*")=0),N66,0)</f>
        <v>0</v>
      </c>
      <c r="P66">
        <f ca="1">IFERROR(IF(COUNTIF(B66,"*云栖松*")&gt;0,50-加速!$L$11,MAX(0,P65-(A66-A65))),0)</f>
        <v>0</v>
      </c>
      <c r="Q66">
        <f ca="1">IF(COUNTIF(IF(AND(配装计算器!$K$30&lt;&gt;"∞",0),INDEX(AU65:CB65,1,$AT$1),INDEX(AU67:CB67,1,$AT$1)),"*云栖松*")=1,P66,0)</f>
        <v>0</v>
      </c>
      <c r="R66">
        <f ca="1">IFERROR(IF(COUNTIF(B66,"*莺鸣柳*")&gt;0,45-加速!$L$9,MAX(0,R65-(A66-A65))),0)</f>
        <v>0</v>
      </c>
      <c r="S66">
        <f ca="1">IF(COUNTIF(IF(AND(配装计算器!$K$30&lt;&gt;"∞",0),INDEX(AU65:CB65,1,$AT$1),INDEX(AU67:CB67,1,$AT$1)),"*莺鸣柳*")=1,R66,0)</f>
        <v>0</v>
      </c>
      <c r="T66">
        <f ca="1" t="shared" si="7"/>
        <v>0</v>
      </c>
      <c r="U66">
        <f ca="1">IF(金蛇,IF(COUNTIF(B66,"*金环戴*")+COUNTIF(B66,"*吹风醒*")&gt;0,IF(A66&lt;=3,7.125-2.625-A66-加速!$L$11,A66-T66),0),0)+IF(金蛇,IF(COUNTIF(B66,"*千切子裂光*")&gt;0,2+加速!$K$9-(A66+加速!$L$11-T66),0),0)</f>
        <v>0</v>
      </c>
      <c r="V66">
        <f ca="1" t="shared" si="8"/>
        <v>0</v>
      </c>
      <c r="W66">
        <f ca="1" t="shared" si="0"/>
        <v>0</v>
      </c>
      <c r="X66">
        <f ca="1">INDEX(加速!$I$13:$I$21,技能数计算!W66+1)</f>
        <v>0</v>
      </c>
      <c r="Y66">
        <f ca="1" t="shared" si="3"/>
        <v>0.5</v>
      </c>
      <c r="Z66">
        <f ca="1" t="shared" si="4"/>
        <v>0</v>
      </c>
      <c r="AA66">
        <f ca="1">MAX(0,IFERROR(IF(COUNTIF(B66,"*叠*")&gt;0,IF(AC65&lt;3,8-A67+A66,AA65+6.875-A67+A66),AA65-A67+A66),AA65-加速!$L$11))</f>
        <v>0</v>
      </c>
      <c r="AB66">
        <f ca="1">MAX(0,IF(COUNTIF(IF(AND(配装计算器!$K$30&lt;&gt;"∞",0),INDEX(AU66:CB66,1,$AT$1),INDEX(AU66:CB66,1,$AT$1)),"*叠1*")=1,4*25-加速!$L$11,AB65-A66+A65)-IF(OR(COUNTIF(OFFSET(AT66,0,$AT$1,1,1),"*听雷*")&gt;0,AND(碧归&gt;0,COUNTIF(OFFSET(AT66,0,$AT$1,1,1),"*风来*")&gt;0)),0,1)*1.5)</f>
        <v>26.94</v>
      </c>
      <c r="AC66">
        <f ca="1" t="shared" si="1"/>
        <v>0</v>
      </c>
      <c r="AD66">
        <f ca="1">IF(COUNTIF(IF(AND(配装计算器!$K$30&lt;&gt;"∞",0),INDEX(AU66:CB66,1,$AT$1),INDEX(AU67:CB67,1,$AT$1)),"*叠1*")=1,AB66*0+AE65,0)</f>
        <v>0</v>
      </c>
      <c r="AE66">
        <f ca="1">IF($AN$11&gt;0,IF(COUNTIF(B67,"*叠1*")&gt;0,50-加速!$H$11,MAX(0,AE65-(A67-A66))),0)</f>
        <v>14.69</v>
      </c>
      <c r="AH66" t="s">
        <v>1825</v>
      </c>
      <c r="AI66" t="s">
        <v>2776</v>
      </c>
      <c r="AJ66">
        <f ca="1">循环比*COUNTIFS($B$3:$B$515,AI66&amp;"*",$D$3:$D$515,"&gt;0",$H$3:$H$515,"&gt;0",$G$3:$G$515,"&gt;0",$K$3:$K$515,"=2")+AN35</f>
        <v>0</v>
      </c>
      <c r="AK66" t="s">
        <v>3093</v>
      </c>
      <c r="AM66" t="s">
        <v>3094</v>
      </c>
      <c r="AN66" t="s">
        <v>3026</v>
      </c>
      <c r="AU66" t="s">
        <v>2768</v>
      </c>
      <c r="AV66">
        <v>1</v>
      </c>
      <c r="AW66" t="s">
        <v>2768</v>
      </c>
      <c r="AX66">
        <v>2</v>
      </c>
      <c r="AY66" t="s">
        <v>2768</v>
      </c>
      <c r="AZ66">
        <v>0</v>
      </c>
      <c r="BA66" t="s">
        <v>2768</v>
      </c>
      <c r="BB66">
        <v>0</v>
      </c>
      <c r="BC66" t="s">
        <v>2768</v>
      </c>
      <c r="BD66">
        <v>2</v>
      </c>
      <c r="BE66" t="s">
        <v>2768</v>
      </c>
      <c r="BF66">
        <v>1</v>
      </c>
      <c r="BG66" t="s">
        <v>2768</v>
      </c>
      <c r="BH66">
        <v>0</v>
      </c>
      <c r="BI66" t="s">
        <v>2768</v>
      </c>
      <c r="BJ66">
        <v>2</v>
      </c>
      <c r="BK66" t="s">
        <v>2776</v>
      </c>
      <c r="BL66">
        <v>1</v>
      </c>
      <c r="BM66" t="s">
        <v>2768</v>
      </c>
      <c r="BN66">
        <v>2</v>
      </c>
      <c r="BO66" t="s">
        <v>2768</v>
      </c>
      <c r="BP66">
        <v>2</v>
      </c>
      <c r="BQ66" t="s">
        <v>2776</v>
      </c>
      <c r="BR66">
        <v>1</v>
      </c>
      <c r="BS66" t="s">
        <v>3056</v>
      </c>
      <c r="BT66">
        <v>0</v>
      </c>
      <c r="BU66" s="176" t="s">
        <v>2768</v>
      </c>
      <c r="BV66">
        <v>1</v>
      </c>
      <c r="BW66" s="179" t="s">
        <v>2776</v>
      </c>
      <c r="BX66" s="179">
        <v>2</v>
      </c>
      <c r="BY66" t="s">
        <v>2718</v>
      </c>
      <c r="BZ66">
        <v>0</v>
      </c>
      <c r="CA66" t="s">
        <v>2718</v>
      </c>
      <c r="CB66">
        <v>0</v>
      </c>
    </row>
    <row r="67" spans="1:80">
      <c r="A67" s="178">
        <f ca="1">IFERROR(IF(A66+加速!$L$11&lt;$AS$1,IF(COUNTIF(B66,"*轻*")&gt;0,A66+加速!$L$9,A66+加速!$L$11)+V66,IF(COUNTIF(INDEX(AU67:CB67,1,$AT$1),"*云景*")+COUNTIF(INDEX(AU67:CB67,1,$AT$1),"*鹤归*")+COUNTIF(INDEX(AU67:CB67,1,$AT$1),"*听雷*")&gt;0,A66+加速!$L$11,"")),"")</f>
        <v>84.1</v>
      </c>
      <c r="B67" s="167" t="str">
        <f ca="1">IF(A67&lt;&gt;"",IF(AND(A67+加速!$L$11&gt;$AS$1,IF(AND(配装计算器!$K$30&lt;&gt;"∞",0),"梦泉虎跑-轻",INDEX(AU67:CB67,1,$AT$1))="云栖松"),"夕照雷峰",IF(AND(配装计算器!$K$30&lt;&gt;"∞",0),"梦泉虎跑-轻",INDEX(AU67:CB67,1,$AT$1))),"")</f>
        <v>云飞玉皇</v>
      </c>
      <c r="C67">
        <f ca="1" t="shared" si="5"/>
        <v>13.71</v>
      </c>
      <c r="D67">
        <f ca="1">IF(B67&lt;&gt;"",IF(C66&lt;=加速!$L$11*(1-E67),0,1),"")</f>
        <v>1</v>
      </c>
      <c r="E67">
        <f ca="1" t="shared" si="2"/>
        <v>0</v>
      </c>
      <c r="G67">
        <f ca="1" t="shared" si="6"/>
        <v>0</v>
      </c>
      <c r="H67">
        <f ca="1">IF(B67&lt;&gt;"",IF(AND(COUNTIF(B66,"*轻*莺鸣柳*")&gt;0,COUNTIF(B67,"*轻*")&lt;1),MAX(0,15+I66-(A67-A66)+COUNTIF(B66,"*平湖*")*0),IF(AND(E67=0,MAX(0,H66-(A67-A66))&lt;=加速!$H$11),0,MAX(0,H66-(A67-A66)))),"")</f>
        <v>0</v>
      </c>
      <c r="I67">
        <f ca="1" t="shared" si="9"/>
        <v>0</v>
      </c>
      <c r="J67">
        <f ca="1" t="shared" si="10"/>
        <v>1</v>
      </c>
      <c r="K67">
        <f ca="1">IF(A67&lt;&gt;"",IF(AND(配装计算器!$K$30&lt;&gt;"∞",0),2,INDEX(AU67:CB67,1,$AT$2)),"")</f>
        <v>1</v>
      </c>
      <c r="L67">
        <f ca="1">IFERROR(IF(AND(COUNTIF(B67,"*-峰插*"),技能数据库!$M$72&gt;0),0,IF(COUNTIF(B67,"*鹤归*")&gt;0,16-加速!$L$11,MAX(0,L66-(A67-A66)))),0)</f>
        <v>9.54999999999998</v>
      </c>
      <c r="M67">
        <f ca="1">IF(COUNTIF(IF(AND(配装计算器!$K$30&lt;&gt;"∞",0),INDEX(AU66:CB66,1,$AT$1),INDEX(AU68:CB68,1,$AT$1)),"*鹤归*")=1,L67,0)</f>
        <v>0</v>
      </c>
      <c r="N67">
        <f ca="1">IFERROR(IF(AND(COUNTIF(B67,"*-峰插*"),技能数据库!$M$72&gt;0),0,IF(COUNTIF(B67,"*云飞*")&gt;0,4-COUNTIF(B67,"*玉山揽云*")*4--COUNTIF(B67,"*烟流暮景*")*4-COUNTIF(B67,"*云景*")*加速!$L$11-IF(J67&gt;0,2,0),MAX(0,N66-(A67-A66)-IF(J67&gt;0,2,0)))),0)</f>
        <v>2</v>
      </c>
      <c r="O67">
        <f ca="1">IF(AND(COUNTIF(IF(AND(配装计算器!$K$30&lt;&gt;"∞",0),INDEX(AU66:CB66,1,$AT$1),INDEX(AU68:CB68,1,$AT$1)),"*云飞*")=1,COUNTIF(IF(AND(配装计算器!$K$30&lt;&gt;"∞",0),INDEX(AU66:CB66,1,$AT$1),INDEX(AU68:CB68,1,$AT$1)),"*玉山*")=0),N67,0)</f>
        <v>0</v>
      </c>
      <c r="P67">
        <f ca="1">IFERROR(IF(COUNTIF(B67,"*云栖松*")&gt;0,50-加速!$L$11,MAX(0,P66-(A67-A66))),0)</f>
        <v>0</v>
      </c>
      <c r="Q67">
        <f ca="1">IF(COUNTIF(IF(AND(配装计算器!$K$30&lt;&gt;"∞",0),INDEX(AU66:CB66,1,$AT$1),INDEX(AU68:CB68,1,$AT$1)),"*云栖松*")=1,P67,0)</f>
        <v>0</v>
      </c>
      <c r="R67">
        <f ca="1">IFERROR(IF(COUNTIF(B67,"*莺鸣柳*")&gt;0,45-加速!$L$9,MAX(0,R66-(A67-A66))),0)</f>
        <v>0</v>
      </c>
      <c r="S67">
        <f ca="1">IF(COUNTIF(IF(AND(配装计算器!$K$30&lt;&gt;"∞",0),INDEX(AU66:CB66,1,$AT$1),INDEX(AU68:CB68,1,$AT$1)),"*莺鸣柳*")=1,R67,0)</f>
        <v>0</v>
      </c>
      <c r="T67">
        <f ca="1" t="shared" si="7"/>
        <v>0</v>
      </c>
      <c r="U67">
        <f ca="1">IF(金蛇,IF(COUNTIF(B67,"*金环戴*")+COUNTIF(B67,"*吹风醒*")&gt;0,IF(A67&lt;=3,7.125-2.625-A67-加速!$L$11,A67-T67),0),0)+IF(金蛇,IF(COUNTIF(B67,"*千切子裂光*")&gt;0,2+加速!$K$9-(A67+加速!$L$11-T67),0),0)</f>
        <v>0</v>
      </c>
      <c r="V67">
        <f ca="1" t="shared" si="8"/>
        <v>0</v>
      </c>
      <c r="W67">
        <f ca="1" t="shared" ref="W67:W130" si="11">IF(COUNTIF(B67,"*风来吴山*")&gt;0,1,IF(W66+1&gt;风车GCD,0,IF(W66&gt;0,W66+1,0)))</f>
        <v>0</v>
      </c>
      <c r="X67">
        <f ca="1">INDEX(加速!$I$13:$I$21,技能数计算!W67+1)</f>
        <v>0</v>
      </c>
      <c r="Y67">
        <f ca="1" t="shared" si="3"/>
        <v>0.5</v>
      </c>
      <c r="Z67">
        <f ca="1" t="shared" si="4"/>
        <v>0</v>
      </c>
      <c r="AA67">
        <f ca="1">MAX(0,IFERROR(IF(COUNTIF(B67,"*叠*")&gt;0,IF(AC66&lt;3,8-A68+A67,AA66+6.875-A68+A67),AA66-A68+A67),AA66-加速!$L$11))</f>
        <v>0</v>
      </c>
      <c r="AB67">
        <f ca="1">MAX(0,IF(COUNTIF(IF(AND(配装计算器!$K$30&lt;&gt;"∞",0),INDEX(AU67:CB67,1,$AT$1),INDEX(AU67:CB67,1,$AT$1)),"*叠1*")=1,4*25-加速!$L$11,AB66-A67+A66)-IF(OR(COUNTIF(OFFSET(AT67,0,$AT$1,1,1),"*听雷*")&gt;0,AND(碧归&gt;0,COUNTIF(OFFSET(AT67,0,$AT$1,1,1),"*风来*")&gt;0)),0,1)*1.5)</f>
        <v>24.15</v>
      </c>
      <c r="AC67">
        <f ca="1" t="shared" ref="AC67:AC130" si="12">IF(AND(AA67=0,E67=0),0,IF(AND(COUNTIF(B67,"*叠*")&gt;0,OR(AA66=0,AA66&gt;=5)),AC66+1,AC66))</f>
        <v>0</v>
      </c>
      <c r="AD67">
        <f ca="1">IF(COUNTIF(IF(AND(配装计算器!$K$30&lt;&gt;"∞",0),INDEX(AU67:CB67,1,$AT$1),INDEX(AU68:CB68,1,$AT$1)),"*叠1*")=1,AB67*0+AE66,0)</f>
        <v>0</v>
      </c>
      <c r="AE67">
        <f ca="1">IF($AN$11&gt;0,IF(COUNTIF(B68,"*叠1*")&gt;0,50-加速!$H$11,MAX(0,AE66-(A68-A67))),0)</f>
        <v>13.4</v>
      </c>
      <c r="AH67" t="s">
        <v>1825</v>
      </c>
      <c r="AI67" t="s">
        <v>2780</v>
      </c>
      <c r="AJ67">
        <f ca="1">AJ66+AJ69</f>
        <v>0</v>
      </c>
      <c r="AK67" t="s">
        <v>3093</v>
      </c>
      <c r="AM67" t="s">
        <v>3095</v>
      </c>
      <c r="AN67">
        <f ca="1">IF(23-加速!$L$9-3*加速!$L$11-MAX(16,加速!$L$11*12)&gt;加速!$L$11,1,0)</f>
        <v>1</v>
      </c>
      <c r="AU67" t="s">
        <v>2768</v>
      </c>
      <c r="AV67">
        <v>1</v>
      </c>
      <c r="AW67" t="s">
        <v>2768</v>
      </c>
      <c r="AX67">
        <v>2</v>
      </c>
      <c r="AY67" t="s">
        <v>2722</v>
      </c>
      <c r="AZ67">
        <v>0</v>
      </c>
      <c r="BA67" t="s">
        <v>2722</v>
      </c>
      <c r="BB67">
        <v>0</v>
      </c>
      <c r="BC67" t="s">
        <v>2776</v>
      </c>
      <c r="BD67">
        <v>2</v>
      </c>
      <c r="BE67" t="s">
        <v>2768</v>
      </c>
      <c r="BF67">
        <v>1</v>
      </c>
      <c r="BG67" t="s">
        <v>2768</v>
      </c>
      <c r="BH67">
        <v>0</v>
      </c>
      <c r="BI67" t="s">
        <v>2776</v>
      </c>
      <c r="BJ67">
        <v>1</v>
      </c>
      <c r="BK67" t="s">
        <v>2768</v>
      </c>
      <c r="BL67">
        <v>0</v>
      </c>
      <c r="BM67" t="s">
        <v>2768</v>
      </c>
      <c r="BN67">
        <v>2</v>
      </c>
      <c r="BO67" t="s">
        <v>2776</v>
      </c>
      <c r="BP67">
        <v>2</v>
      </c>
      <c r="BQ67" t="s">
        <v>2768</v>
      </c>
      <c r="BR67">
        <v>1</v>
      </c>
      <c r="BS67" t="s">
        <v>2768</v>
      </c>
      <c r="BT67">
        <v>2</v>
      </c>
      <c r="BU67" t="s">
        <v>3055</v>
      </c>
      <c r="BV67">
        <v>0</v>
      </c>
      <c r="BW67" s="179" t="s">
        <v>2768</v>
      </c>
      <c r="BX67" s="179">
        <v>2</v>
      </c>
      <c r="BY67" s="176" t="s">
        <v>2794</v>
      </c>
      <c r="BZ67">
        <v>0</v>
      </c>
      <c r="CA67" t="s">
        <v>2768</v>
      </c>
      <c r="CB67">
        <v>2</v>
      </c>
    </row>
    <row r="68" spans="1:80">
      <c r="A68" s="178">
        <f ca="1">IFERROR(IF(A67+加速!$L$11&lt;$AS$1,IF(COUNTIF(B67,"*轻*")&gt;0,A67+加速!$L$9,A67+加速!$L$11)+V67,IF(COUNTIF(INDEX(AU68:CB68,1,$AT$1),"*云景*")+COUNTIF(INDEX(AU68:CB68,1,$AT$1),"*鹤归*")+COUNTIF(INDEX(AU68:CB68,1,$AT$1),"*听雷*")&gt;0,A67+加速!$L$11,"")),"")</f>
        <v>85.39</v>
      </c>
      <c r="B68" s="167" t="str">
        <f ca="1">IF(A68&lt;&gt;"",IF(AND(A68+加速!$L$11&gt;$AS$1,IF(AND(配装计算器!$K$30&lt;&gt;"∞",0),"梦泉虎跑-轻",INDEX(AU68:CB68,1,$AT$1))="云栖松"),"夕照雷峰",IF(AND(配装计算器!$K$30&lt;&gt;"∞",0),"梦泉虎跑-轻",INDEX(AU68:CB68,1,$AT$1))),"")</f>
        <v>夕照雷峰</v>
      </c>
      <c r="C68">
        <f ca="1" t="shared" si="5"/>
        <v>15</v>
      </c>
      <c r="D68">
        <f ca="1">IF(B68&lt;&gt;"",IF(C67&lt;=加速!$L$11*(1-E68),0,1),"")</f>
        <v>1</v>
      </c>
      <c r="E68">
        <f ca="1" t="shared" ref="E68:E131" si="13">IF(OR(COUNTIF(B68,"*夕照雷峰*")&gt;0,COUNTIF(B68,"云飞玉皇*")&gt;0,COUNTIF(B68,"风来吴山*")&gt;0),COUNTIF(B68,"*云景*")+COUNTIF(B68,"*玉山揽云*")+COUNTIF(B68,"*烟流暮景*"),1)</f>
        <v>0</v>
      </c>
      <c r="G68">
        <f ca="1" t="shared" ref="G68:G131" si="14">IF(B68&lt;&gt;"",IF(AND(碧归&gt;0,COUNTIF(B67,"*风来吴山*")&gt;0),8,MAX(0,G67-COUNTIF(B68,"*云飞*")-COUNTIF(B68,"*鹤*")-COUNTIF(B68,"*夕*"))),"")</f>
        <v>0</v>
      </c>
      <c r="H68">
        <f ca="1">IF(B68&lt;&gt;"",IF(AND(COUNTIF(B67,"*轻*莺鸣柳*")&gt;0,COUNTIF(B68,"*轻*")&lt;1),MAX(0,15+I67-(A68-A67)+COUNTIF(B67,"*平湖*")*0),IF(AND(E68=0,MAX(0,H67-(A68-A67))&lt;=加速!$H$11),0,MAX(0,H67-(A68-A67)))),"")</f>
        <v>0</v>
      </c>
      <c r="I68">
        <f ca="1" t="shared" si="9"/>
        <v>0</v>
      </c>
      <c r="J68">
        <f ca="1" t="shared" si="10"/>
        <v>1</v>
      </c>
      <c r="K68">
        <f ca="1">IF(A68&lt;&gt;"",IF(AND(配装计算器!$K$30&lt;&gt;"∞",0),2,INDEX(AU68:CB68,1,$AT$2)),"")</f>
        <v>1</v>
      </c>
      <c r="L68">
        <f ca="1">IFERROR(IF(AND(COUNTIF(B68,"*-峰插*"),技能数据库!$M$72&gt;0),0,IF(COUNTIF(B68,"*鹤归*")&gt;0,16-加速!$L$11,MAX(0,L67-(A68-A67)))),0)</f>
        <v>8.25999999999997</v>
      </c>
      <c r="M68">
        <f ca="1">IF(COUNTIF(IF(AND(配装计算器!$K$30&lt;&gt;"∞",0),INDEX(AU67:CB67,1,$AT$1),INDEX(AU69:CB69,1,$AT$1)),"*鹤归*")=1,L68,0)</f>
        <v>0</v>
      </c>
      <c r="N68">
        <f ca="1">IFERROR(IF(AND(COUNTIF(B68,"*-峰插*"),技能数据库!$M$72&gt;0),0,IF(COUNTIF(B68,"*云飞*")&gt;0,4-COUNTIF(B68,"*玉山揽云*")*4--COUNTIF(B68,"*烟流暮景*")*4-COUNTIF(B68,"*云景*")*加速!$L$11-IF(J68&gt;0,2,0),MAX(0,N67-(A68-A67)-IF(J68&gt;0,2,0)))),0)</f>
        <v>0</v>
      </c>
      <c r="O68">
        <f ca="1">IF(AND(COUNTIF(IF(AND(配装计算器!$K$30&lt;&gt;"∞",0),INDEX(AU67:CB67,1,$AT$1),INDEX(AU69:CB69,1,$AT$1)),"*云飞*")=1,COUNTIF(IF(AND(配装计算器!$K$30&lt;&gt;"∞",0),INDEX(AU67:CB67,1,$AT$1),INDEX(AU69:CB69,1,$AT$1)),"*玉山*")=0),N68,0)</f>
        <v>0</v>
      </c>
      <c r="P68">
        <f ca="1">IFERROR(IF(COUNTIF(B68,"*云栖松*")&gt;0,50-加速!$L$11,MAX(0,P67-(A68-A67))),0)</f>
        <v>0</v>
      </c>
      <c r="Q68">
        <f ca="1">IF(COUNTIF(IF(AND(配装计算器!$K$30&lt;&gt;"∞",0),INDEX(AU67:CB67,1,$AT$1),INDEX(AU69:CB69,1,$AT$1)),"*云栖松*")=1,P68,0)</f>
        <v>0</v>
      </c>
      <c r="R68">
        <f ca="1">IFERROR(IF(COUNTIF(B68,"*莺鸣柳*")&gt;0,45-加速!$L$9,MAX(0,R67-(A68-A67))),0)</f>
        <v>0</v>
      </c>
      <c r="S68">
        <f ca="1">IF(COUNTIF(IF(AND(配装计算器!$K$30&lt;&gt;"∞",0),INDEX(AU67:CB67,1,$AT$1),INDEX(AU69:CB69,1,$AT$1)),"*莺鸣柳*")=1,R68,0)</f>
        <v>0</v>
      </c>
      <c r="T68">
        <f ca="1" t="shared" si="7"/>
        <v>0</v>
      </c>
      <c r="U68">
        <f ca="1">IF(金蛇,IF(COUNTIF(B68,"*金环戴*")+COUNTIF(B68,"*吹风醒*")&gt;0,IF(A68&lt;=3,7.125-2.625-A68-加速!$L$11,A68-T68),0),0)+IF(金蛇,IF(COUNTIF(B68,"*千切子裂光*")&gt;0,2+加速!$K$9-(A68+加速!$L$11-T68),0),0)</f>
        <v>0</v>
      </c>
      <c r="V68">
        <f ca="1" t="shared" si="8"/>
        <v>0</v>
      </c>
      <c r="W68">
        <f ca="1" t="shared" si="11"/>
        <v>0</v>
      </c>
      <c r="X68">
        <f ca="1">INDEX(加速!$I$13:$I$21,技能数计算!W68+1)</f>
        <v>0</v>
      </c>
      <c r="Y68">
        <f ca="1" t="shared" ref="Y68:Y131" si="15">IF(COUNTIF(B68,"*岚尘金蛇*"),A68+2.6125+0.5,Y67)</f>
        <v>0.5</v>
      </c>
      <c r="Z68">
        <f ca="1" t="shared" ref="Z68:Z131" si="16">IF(金蛇,IF(COUNTIF(B68,"*虎跑*")&gt;0,INT((A68-Y68)/3),0),0)</f>
        <v>0</v>
      </c>
      <c r="AA68">
        <f ca="1">MAX(0,IFERROR(IF(COUNTIF(B68,"*叠*")&gt;0,IF(AC67&lt;3,8-A69+A68,AA67+6.875-A69+A68),AA67-A69+A68),AA67-加速!$L$11))</f>
        <v>0</v>
      </c>
      <c r="AB68">
        <f ca="1">MAX(0,IF(COUNTIF(IF(AND(配装计算器!$K$30&lt;&gt;"∞",0),INDEX(AU68:CB68,1,$AT$1),INDEX(AU68:CB68,1,$AT$1)),"*叠1*")=1,4*25-加速!$L$11,AB67-A68+A67)-IF(OR(COUNTIF(OFFSET(AT68,0,$AT$1,1,1),"*听雷*")&gt;0,AND(碧归&gt;0,COUNTIF(OFFSET(AT68,0,$AT$1,1,1),"*风来*")&gt;0)),0,1)*1.5)</f>
        <v>21.36</v>
      </c>
      <c r="AC68">
        <f ca="1" t="shared" si="12"/>
        <v>0</v>
      </c>
      <c r="AD68">
        <f ca="1">IF(COUNTIF(IF(AND(配装计算器!$K$30&lt;&gt;"∞",0),INDEX(AU68:CB68,1,$AT$1),INDEX(AU69:CB69,1,$AT$1)),"*叠1*")=1,AB68*0+AE67,0)</f>
        <v>0</v>
      </c>
      <c r="AE68">
        <f ca="1">IF($AN$11&gt;0,IF(COUNTIF(B69,"*叠1*")&gt;0,50-加速!$H$11,MAX(0,AE67-(A69-A68))),0)</f>
        <v>12.11</v>
      </c>
      <c r="AH68" t="s">
        <v>1028</v>
      </c>
      <c r="AI68" t="s">
        <v>2723</v>
      </c>
      <c r="AK68" t="s">
        <v>2750</v>
      </c>
      <c r="AU68" t="s">
        <v>3063</v>
      </c>
      <c r="AV68">
        <v>2</v>
      </c>
      <c r="AW68" t="s">
        <v>2776</v>
      </c>
      <c r="AX68">
        <v>2</v>
      </c>
      <c r="AY68" t="s">
        <v>2776</v>
      </c>
      <c r="AZ68">
        <v>2</v>
      </c>
      <c r="BA68" t="s">
        <v>2776</v>
      </c>
      <c r="BB68">
        <v>2</v>
      </c>
      <c r="BC68" t="s">
        <v>2768</v>
      </c>
      <c r="BD68">
        <v>1</v>
      </c>
      <c r="BE68" t="s">
        <v>2794</v>
      </c>
      <c r="BF68">
        <v>0</v>
      </c>
      <c r="BG68" t="s">
        <v>2776</v>
      </c>
      <c r="BH68">
        <v>0</v>
      </c>
      <c r="BI68" t="s">
        <v>2768</v>
      </c>
      <c r="BJ68">
        <v>1</v>
      </c>
      <c r="BK68" t="s">
        <v>3056</v>
      </c>
      <c r="BL68">
        <v>0</v>
      </c>
      <c r="BM68" t="s">
        <v>2768</v>
      </c>
      <c r="BN68">
        <v>2</v>
      </c>
      <c r="BO68" t="s">
        <v>2768</v>
      </c>
      <c r="BP68">
        <v>2</v>
      </c>
      <c r="BQ68" t="s">
        <v>2776</v>
      </c>
      <c r="BR68">
        <v>1</v>
      </c>
      <c r="BS68" t="s">
        <v>2768</v>
      </c>
      <c r="BT68">
        <v>2</v>
      </c>
      <c r="BU68" t="s">
        <v>2776</v>
      </c>
      <c r="BV68">
        <v>2</v>
      </c>
      <c r="BW68" s="179" t="s">
        <v>2768</v>
      </c>
      <c r="BX68" s="179">
        <v>1</v>
      </c>
      <c r="BY68" s="176" t="s">
        <v>2768</v>
      </c>
      <c r="BZ68">
        <v>2</v>
      </c>
      <c r="CA68" t="s">
        <v>2768</v>
      </c>
      <c r="CB68">
        <v>2</v>
      </c>
    </row>
    <row r="69" spans="1:80">
      <c r="A69" s="178">
        <f ca="1">IFERROR(IF(A68+加速!$L$11&lt;$AS$1,IF(COUNTIF(B68,"*轻*")&gt;0,A68+加速!$L$9,A68+加速!$L$11)+V68,IF(COUNTIF(INDEX(AU69:CB69,1,$AT$1),"*云景*")+COUNTIF(INDEX(AU69:CB69,1,$AT$1),"*鹤归*")+COUNTIF(INDEX(AU69:CB69,1,$AT$1),"*听雷*")&gt;0,A68+加速!$L$11,"")),"")</f>
        <v>86.68</v>
      </c>
      <c r="B69" s="167" t="str">
        <f ca="1">IF(A69&lt;&gt;"",IF(AND(A69+加速!$L$11&gt;$AS$1,IF(AND(配装计算器!$K$30&lt;&gt;"∞",0),"梦泉虎跑-轻",INDEX(AU69:CB69,1,$AT$1))="云栖松"),"夕照雷峰",IF(AND(配装计算器!$K$30&lt;&gt;"∞",0),"梦泉虎跑-轻",INDEX(AU69:CB69,1,$AT$1))),"")</f>
        <v>云飞玉皇</v>
      </c>
      <c r="C69">
        <f ca="1" t="shared" ref="C69:C132" si="17">IFERROR(IF(COUNTIF(B69,"*夕照雷峰*")&gt;0,15,MAX(0,C68-(A69-A68))),"")</f>
        <v>13.71</v>
      </c>
      <c r="D69">
        <f ca="1">IF(B69&lt;&gt;"",IF(C68&lt;=加速!$L$11*(1-E69),0,1),"")</f>
        <v>1</v>
      </c>
      <c r="E69">
        <f ca="1" t="shared" si="13"/>
        <v>0</v>
      </c>
      <c r="G69">
        <f ca="1" t="shared" si="14"/>
        <v>0</v>
      </c>
      <c r="H69">
        <f ca="1">IF(B69&lt;&gt;"",IF(AND(COUNTIF(B68,"*轻*莺鸣柳*")&gt;0,COUNTIF(B69,"*轻*")&lt;1),MAX(0,15+I68-(A69-A68)+COUNTIF(B68,"*平湖*")*0),IF(AND(E69=0,MAX(0,H68-(A69-A68))&lt;=加速!$H$11),0,MAX(0,H68-(A69-A68)))),"")</f>
        <v>0</v>
      </c>
      <c r="I69">
        <f ca="1" t="shared" si="9"/>
        <v>0</v>
      </c>
      <c r="J69">
        <f ca="1" t="shared" si="10"/>
        <v>0</v>
      </c>
      <c r="K69">
        <f ca="1">IF(A69&lt;&gt;"",IF(AND(配装计算器!$K$30&lt;&gt;"∞",0),2,INDEX(AU69:CB69,1,$AT$2)),"")</f>
        <v>0</v>
      </c>
      <c r="L69">
        <f ca="1">IFERROR(IF(AND(COUNTIF(B69,"*-峰插*"),技能数据库!$M$72&gt;0),0,IF(COUNTIF(B69,"*鹤归*")&gt;0,16-加速!$L$11,MAX(0,L68-(A69-A68)))),0)</f>
        <v>6.96999999999996</v>
      </c>
      <c r="M69">
        <f ca="1">IF(COUNTIF(IF(AND(配装计算器!$K$30&lt;&gt;"∞",0),INDEX(AU68:CB68,1,$AT$1),INDEX(AU70:CB70,1,$AT$1)),"*鹤归*")=1,L69,0)</f>
        <v>0</v>
      </c>
      <c r="N69">
        <f ca="1">IFERROR(IF(AND(COUNTIF(B69,"*-峰插*"),技能数据库!$M$72&gt;0),0,IF(COUNTIF(B69,"*云飞*")&gt;0,4-COUNTIF(B69,"*玉山揽云*")*4--COUNTIF(B69,"*烟流暮景*")*4-COUNTIF(B69,"*云景*")*加速!$L$11-IF(J69&gt;0,2,0),MAX(0,N68-(A69-A68)-IF(J69&gt;0,2,0)))),0)</f>
        <v>4</v>
      </c>
      <c r="O69">
        <f ca="1">IF(AND(COUNTIF(IF(AND(配装计算器!$K$30&lt;&gt;"∞",0),INDEX(AU68:CB68,1,$AT$1),INDEX(AU70:CB70,1,$AT$1)),"*云飞*")=1,COUNTIF(IF(AND(配装计算器!$K$30&lt;&gt;"∞",0),INDEX(AU68:CB68,1,$AT$1),INDEX(AU70:CB70,1,$AT$1)),"*玉山*")=0),N69,0)</f>
        <v>0</v>
      </c>
      <c r="P69">
        <f ca="1">IFERROR(IF(COUNTIF(B69,"*云栖松*")&gt;0,50-加速!$L$11,MAX(0,P68-(A69-A68))),0)</f>
        <v>0</v>
      </c>
      <c r="Q69">
        <f ca="1">IF(COUNTIF(IF(AND(配装计算器!$K$30&lt;&gt;"∞",0),INDEX(AU68:CB68,1,$AT$1),INDEX(AU70:CB70,1,$AT$1)),"*云栖松*")=1,P69,0)</f>
        <v>0</v>
      </c>
      <c r="R69">
        <f ca="1">IFERROR(IF(COUNTIF(B69,"*莺鸣柳*")&gt;0,45-加速!$L$9,MAX(0,R68-(A69-A68))),0)</f>
        <v>0</v>
      </c>
      <c r="S69">
        <f ca="1">IF(COUNTIF(IF(AND(配装计算器!$K$30&lt;&gt;"∞",0),INDEX(AU68:CB68,1,$AT$1),INDEX(AU70:CB70,1,$AT$1)),"*莺鸣柳*")=1,R69,0)</f>
        <v>0</v>
      </c>
      <c r="T69">
        <f ca="1" t="shared" ref="T69:T132" si="18">IF(COUNTIF(B69,"*岚尘金蛇*")+COUNTIF(B69,"*千切子寒光*")&gt;0,A69,T68)</f>
        <v>0</v>
      </c>
      <c r="U69">
        <f ca="1">IF(金蛇,IF(COUNTIF(B69,"*金环戴*")+COUNTIF(B69,"*吹风醒*")&gt;0,IF(A69&lt;=3,7.125-2.625-A69-加速!$L$11,A69-T69),0),0)+IF(金蛇,IF(COUNTIF(B69,"*千切子裂光*")&gt;0,2+加速!$K$9-(A69+加速!$L$11-T69),0),0)</f>
        <v>0</v>
      </c>
      <c r="V69">
        <f ca="1" t="shared" ref="V69:V132" si="19">MAX(0,M69+O69+Q69+S69+AD69)+U69</f>
        <v>0</v>
      </c>
      <c r="W69">
        <f ca="1" t="shared" si="11"/>
        <v>0</v>
      </c>
      <c r="X69">
        <f ca="1">INDEX(加速!$I$13:$I$21,技能数计算!W69+1)</f>
        <v>0</v>
      </c>
      <c r="Y69">
        <f ca="1" t="shared" si="15"/>
        <v>0.5</v>
      </c>
      <c r="Z69">
        <f ca="1" t="shared" si="16"/>
        <v>0</v>
      </c>
      <c r="AA69">
        <f ca="1">MAX(0,IFERROR(IF(COUNTIF(B69,"*叠*")&gt;0,IF(AC68&lt;3,8-A70+A69,AA68+6.875-A70+A69),AA68-A70+A69),AA68-加速!$L$11))</f>
        <v>0</v>
      </c>
      <c r="AB69">
        <f ca="1">MAX(0,IF(COUNTIF(IF(AND(配装计算器!$K$30&lt;&gt;"∞",0),INDEX(AU69:CB69,1,$AT$1),INDEX(AU69:CB69,1,$AT$1)),"*叠1*")=1,4*25-加速!$L$11,AB68-A69+A68)-IF(OR(COUNTIF(OFFSET(AT69,0,$AT$1,1,1),"*听雷*")&gt;0,AND(碧归&gt;0,COUNTIF(OFFSET(AT69,0,$AT$1,1,1),"*风来*")&gt;0)),0,1)*1.5)</f>
        <v>18.57</v>
      </c>
      <c r="AC69">
        <f ca="1" t="shared" si="12"/>
        <v>0</v>
      </c>
      <c r="AD69">
        <f ca="1">IF(COUNTIF(IF(AND(配装计算器!$K$30&lt;&gt;"∞",0),INDEX(AU69:CB69,1,$AT$1),INDEX(AU70:CB70,1,$AT$1)),"*叠1*")=1,AB69*0+AE68,0)</f>
        <v>0</v>
      </c>
      <c r="AE69">
        <f ca="1">IF($AN$11&gt;0,IF(COUNTIF(B70,"*叠1*")&gt;0,50-加速!$H$11,MAX(0,AE68-(A70-A69))),0)</f>
        <v>10.82</v>
      </c>
      <c r="AH69" t="s">
        <v>1825</v>
      </c>
      <c r="AI69" t="s">
        <v>2808</v>
      </c>
      <c r="AJ69">
        <f ca="1">循环比*COUNTIFS($B$3:$B$515,"*"&amp;AI69&amp;"*",$D$3:$D$515,"&gt;0",$H$3:$H$515,"&gt;0",$G$3:$G$515,"&gt;0",$K$3:$K$515,"=2")</f>
        <v>0</v>
      </c>
      <c r="AK69" t="s">
        <v>3093</v>
      </c>
      <c r="AM69" t="s">
        <v>2750</v>
      </c>
      <c r="AN69">
        <f ca="1">COUNTIFS($D$3:$D$515,"&gt;0",$AC$3:$AC$515,0)</f>
        <v>88</v>
      </c>
      <c r="AO69">
        <f ca="1">IFERROR(AN69/SUM($AN$69:$AN$72),0)*叠峰意</f>
        <v>0.55</v>
      </c>
      <c r="AU69" t="s">
        <v>2776</v>
      </c>
      <c r="AV69">
        <v>1</v>
      </c>
      <c r="AW69" t="s">
        <v>2768</v>
      </c>
      <c r="AX69">
        <v>2</v>
      </c>
      <c r="AY69" t="s">
        <v>2768</v>
      </c>
      <c r="AZ69">
        <v>2</v>
      </c>
      <c r="BA69" t="s">
        <v>2768</v>
      </c>
      <c r="BB69">
        <v>2</v>
      </c>
      <c r="BC69" t="s">
        <v>2768</v>
      </c>
      <c r="BD69">
        <v>1</v>
      </c>
      <c r="BE69" t="s">
        <v>2776</v>
      </c>
      <c r="BF69">
        <v>0</v>
      </c>
      <c r="BG69" t="s">
        <v>3067</v>
      </c>
      <c r="BH69">
        <v>0</v>
      </c>
      <c r="BI69" t="s">
        <v>2776</v>
      </c>
      <c r="BJ69">
        <v>0</v>
      </c>
      <c r="BK69" t="s">
        <v>2768</v>
      </c>
      <c r="BL69">
        <v>2</v>
      </c>
      <c r="BM69" t="s">
        <v>2776</v>
      </c>
      <c r="BN69">
        <v>2</v>
      </c>
      <c r="BO69" t="s">
        <v>2768</v>
      </c>
      <c r="BP69">
        <v>2</v>
      </c>
      <c r="BQ69" t="s">
        <v>2768</v>
      </c>
      <c r="BR69">
        <v>0</v>
      </c>
      <c r="BS69" t="s">
        <v>2776</v>
      </c>
      <c r="BT69">
        <v>2</v>
      </c>
      <c r="BU69" t="s">
        <v>2768</v>
      </c>
      <c r="BV69">
        <v>2</v>
      </c>
      <c r="BW69" s="179" t="s">
        <v>2768</v>
      </c>
      <c r="BX69" s="179">
        <v>1</v>
      </c>
      <c r="BY69" s="176" t="s">
        <v>2776</v>
      </c>
      <c r="BZ69">
        <v>2</v>
      </c>
      <c r="CA69" t="s">
        <v>2776</v>
      </c>
      <c r="CB69">
        <v>2</v>
      </c>
    </row>
    <row r="70" spans="1:80">
      <c r="A70" s="178">
        <f ca="1">IFERROR(IF(A69+加速!$L$11&lt;$AS$1,IF(COUNTIF(B69,"*轻*")&gt;0,A69+加速!$L$9,A69+加速!$L$11)+V69,IF(COUNTIF(INDEX(AU70:CB70,1,$AT$1),"*云景*")+COUNTIF(INDEX(AU70:CB70,1,$AT$1),"*鹤归*")+COUNTIF(INDEX(AU70:CB70,1,$AT$1),"*听雷*")&gt;0,A69+加速!$L$11,"")),"")</f>
        <v>87.97</v>
      </c>
      <c r="B70" s="167" t="str">
        <f ca="1">IF(A70&lt;&gt;"",IF(AND(A70+加速!$L$11&gt;$AS$1,IF(AND(配装计算器!$K$30&lt;&gt;"∞",0),"梦泉虎跑-轻",INDEX(AU70:CB70,1,$AT$1))="云栖松"),"夕照雷峰",IF(AND(配装计算器!$K$30&lt;&gt;"∞",0),"梦泉虎跑-轻",INDEX(AU70:CB70,1,$AT$1))),"")</f>
        <v>夕照雷峰</v>
      </c>
      <c r="C70">
        <f ca="1" t="shared" si="17"/>
        <v>15</v>
      </c>
      <c r="D70">
        <f ca="1">IF(B70&lt;&gt;"",IF(C69&lt;=加速!$L$11*(1-E70),0,1),"")</f>
        <v>1</v>
      </c>
      <c r="E70">
        <f ca="1" t="shared" si="13"/>
        <v>0</v>
      </c>
      <c r="G70">
        <f ca="1" t="shared" si="14"/>
        <v>0</v>
      </c>
      <c r="H70">
        <f ca="1">IF(B70&lt;&gt;"",IF(AND(COUNTIF(B69,"*轻*莺鸣柳*")&gt;0,COUNTIF(B70,"*轻*")&lt;1),MAX(0,15+I69-(A70-A69)+COUNTIF(B69,"*平湖*")*0),IF(AND(E70=0,MAX(0,H69-(A70-A69))&lt;=加速!$H$11),0,MAX(0,H69-(A70-A69)))),"")</f>
        <v>0</v>
      </c>
      <c r="I70">
        <f ca="1" t="shared" ref="I70:I133" si="20">IF(B70&lt;&gt;"",IF(COUNTIF(B70,"*轻*")&lt;1,0,IF(COUNTIF(B70,"*莺鸣*")&gt;0,8,MAX(0,I69-(A70-A69)))),"")</f>
        <v>0</v>
      </c>
      <c r="J70">
        <f ca="1" t="shared" ref="J70:J133" si="21">IF(B70&lt;&gt;"",IF(AND(J69=1,OR(AND(COUNTIF(B70,"*云景*")&gt;0,COUNTIF(B65:B69,"*鹤归*")&gt;0),AND(落剑5=1,COUNTIF(B65:B69,"*鹤归*")&gt;0))),1,IF(COUNTIF(B69,"*鹤归*")&gt;0,4+_666三听,MAX(J69-1,0))),"")</f>
        <v>0</v>
      </c>
      <c r="K70">
        <f ca="1">IF(A70&lt;&gt;"",IF(AND(配装计算器!$K$30&lt;&gt;"∞",0),2,INDEX(AU70:CB70,1,$AT$2)),"")</f>
        <v>0</v>
      </c>
      <c r="L70">
        <f ca="1">IFERROR(IF(AND(COUNTIF(B70,"*-峰插*"),技能数据库!$M$72&gt;0),0,IF(COUNTIF(B70,"*鹤归*")&gt;0,16-加速!$L$11,MAX(0,L69-(A70-A69)))),0)</f>
        <v>5.67999999999996</v>
      </c>
      <c r="M70">
        <f ca="1">IF(COUNTIF(IF(AND(配装计算器!$K$30&lt;&gt;"∞",0),INDEX(AU69:CB69,1,$AT$1),INDEX(AU71:CB71,1,$AT$1)),"*鹤归*")=1,L70,0)</f>
        <v>0</v>
      </c>
      <c r="N70">
        <f ca="1">IFERROR(IF(AND(COUNTIF(B70,"*-峰插*"),技能数据库!$M$72&gt;0),0,IF(COUNTIF(B70,"*云飞*")&gt;0,4-COUNTIF(B70,"*玉山揽云*")*4--COUNTIF(B70,"*烟流暮景*")*4-COUNTIF(B70,"*云景*")*加速!$L$11-IF(J70&gt;0,2,0),MAX(0,N69-(A70-A69)-IF(J70&gt;0,2,0)))),0)</f>
        <v>2.70999999999999</v>
      </c>
      <c r="O70">
        <f ca="1">IF(AND(COUNTIF(IF(AND(配装计算器!$K$30&lt;&gt;"∞",0),INDEX(AU69:CB69,1,$AT$1),INDEX(AU71:CB71,1,$AT$1)),"*云飞*")=1,COUNTIF(IF(AND(配装计算器!$K$30&lt;&gt;"∞",0),INDEX(AU69:CB69,1,$AT$1),INDEX(AU71:CB71,1,$AT$1)),"*玉山*")=0),N70,0)</f>
        <v>0</v>
      </c>
      <c r="P70">
        <f ca="1">IFERROR(IF(COUNTIF(B70,"*云栖松*")&gt;0,50-加速!$L$11,MAX(0,P69-(A70-A69))),0)</f>
        <v>0</v>
      </c>
      <c r="Q70">
        <f ca="1">IF(COUNTIF(IF(AND(配装计算器!$K$30&lt;&gt;"∞",0),INDEX(AU69:CB69,1,$AT$1),INDEX(AU71:CB71,1,$AT$1)),"*云栖松*")=1,P70,0)</f>
        <v>0</v>
      </c>
      <c r="R70">
        <f ca="1">IFERROR(IF(COUNTIF(B70,"*莺鸣柳*")&gt;0,45-加速!$L$9,MAX(0,R69-(A70-A69))),0)</f>
        <v>0</v>
      </c>
      <c r="S70">
        <f ca="1">IF(COUNTIF(IF(AND(配装计算器!$K$30&lt;&gt;"∞",0),INDEX(AU69:CB69,1,$AT$1),INDEX(AU71:CB71,1,$AT$1)),"*莺鸣柳*")=1,R70,0)</f>
        <v>0</v>
      </c>
      <c r="T70">
        <f ca="1" t="shared" si="18"/>
        <v>0</v>
      </c>
      <c r="U70">
        <f ca="1">IF(金蛇,IF(COUNTIF(B70,"*金环戴*")+COUNTIF(B70,"*吹风醒*")&gt;0,IF(A70&lt;=3,7.125-2.625-A70-加速!$L$11,A70-T70),0),0)+IF(金蛇,IF(COUNTIF(B70,"*千切子裂光*")&gt;0,2+加速!$K$9-(A70+加速!$L$11-T70),0),0)</f>
        <v>0</v>
      </c>
      <c r="V70">
        <f ca="1" t="shared" si="19"/>
        <v>0</v>
      </c>
      <c r="W70">
        <f ca="1" t="shared" si="11"/>
        <v>0</v>
      </c>
      <c r="X70">
        <f ca="1">INDEX(加速!$I$13:$I$21,技能数计算!W70+1)</f>
        <v>0</v>
      </c>
      <c r="Y70">
        <f ca="1" t="shared" si="15"/>
        <v>0.5</v>
      </c>
      <c r="Z70">
        <f ca="1" t="shared" si="16"/>
        <v>0</v>
      </c>
      <c r="AA70">
        <f ca="1">MAX(0,IFERROR(IF(COUNTIF(B70,"*叠*")&gt;0,IF(AC69&lt;3,8-A71+A70,AA69+6.875-A71+A70),AA69-A71+A70),AA69-加速!$L$11))</f>
        <v>0</v>
      </c>
      <c r="AB70">
        <f ca="1">MAX(0,IF(COUNTIF(IF(AND(配装计算器!$K$30&lt;&gt;"∞",0),INDEX(AU70:CB70,1,$AT$1),INDEX(AU70:CB70,1,$AT$1)),"*叠1*")=1,4*25-加速!$L$11,AB69-A70+A69)-IF(OR(COUNTIF(OFFSET(AT70,0,$AT$1,1,1),"*听雷*")&gt;0,AND(碧归&gt;0,COUNTIF(OFFSET(AT70,0,$AT$1,1,1),"*风来*")&gt;0)),0,1)*1.5)</f>
        <v>15.78</v>
      </c>
      <c r="AC70">
        <f ca="1" t="shared" si="12"/>
        <v>0</v>
      </c>
      <c r="AD70">
        <f ca="1">IF(COUNTIF(IF(AND(配装计算器!$K$30&lt;&gt;"∞",0),INDEX(AU70:CB70,1,$AT$1),INDEX(AU71:CB71,1,$AT$1)),"*叠1*")=1,AB70*0+AE69,0)</f>
        <v>0</v>
      </c>
      <c r="AE70">
        <f ca="1">IF($AN$11&gt;0,IF(COUNTIF(B71,"*叠1*")&gt;0,50-加速!$H$11,MAX(0,AE69-(A71-A70))),0)</f>
        <v>9.52999999999996</v>
      </c>
      <c r="AH70" t="s">
        <v>1825</v>
      </c>
      <c r="AI70" t="s">
        <v>2808</v>
      </c>
      <c r="AJ70">
        <f ca="1">循环比*COUNTIFS($B$3:$B$515,"*"&amp;AI70&amp;"*",$D$3:$D$515,"&gt;0",$H$3:$H$515,"=0",$G$3:$G$515,"=0",$K$3:$K$515,"=1",$AC$3:$AC$515,"=0")</f>
        <v>0</v>
      </c>
      <c r="AK70" t="s">
        <v>3057</v>
      </c>
      <c r="AM70" t="s">
        <v>3096</v>
      </c>
      <c r="AN70">
        <f ca="1">COUNTIFS($D$3:$D$515,"&gt;0",$AC$3:$AC$515,1)</f>
        <v>10</v>
      </c>
      <c r="AO70">
        <f ca="1">IFERROR(AN70/SUM($AN$69:$AN$72),0)*叠峰意</f>
        <v>0.0625</v>
      </c>
      <c r="AU70" t="s">
        <v>2768</v>
      </c>
      <c r="AV70">
        <v>2</v>
      </c>
      <c r="AW70" t="s">
        <v>2722</v>
      </c>
      <c r="AX70">
        <v>0</v>
      </c>
      <c r="AY70" t="s">
        <v>2768</v>
      </c>
      <c r="AZ70">
        <v>2</v>
      </c>
      <c r="BA70" t="s">
        <v>2768</v>
      </c>
      <c r="BB70">
        <v>2</v>
      </c>
      <c r="BC70" t="s">
        <v>2813</v>
      </c>
      <c r="BD70">
        <v>0</v>
      </c>
      <c r="BE70" t="s">
        <v>2768</v>
      </c>
      <c r="BF70">
        <v>0</v>
      </c>
      <c r="BG70" t="s">
        <v>2768</v>
      </c>
      <c r="BH70">
        <v>2</v>
      </c>
      <c r="BI70" t="s">
        <v>2768</v>
      </c>
      <c r="BJ70">
        <v>0</v>
      </c>
      <c r="BK70" t="s">
        <v>2768</v>
      </c>
      <c r="BL70">
        <v>2</v>
      </c>
      <c r="BM70" t="s">
        <v>2768</v>
      </c>
      <c r="BN70">
        <v>2</v>
      </c>
      <c r="BO70" t="s">
        <v>2768</v>
      </c>
      <c r="BP70">
        <v>2</v>
      </c>
      <c r="BQ70" t="s">
        <v>2768</v>
      </c>
      <c r="BR70">
        <v>0</v>
      </c>
      <c r="BS70" t="s">
        <v>2768</v>
      </c>
      <c r="BT70">
        <v>1</v>
      </c>
      <c r="BU70" t="s">
        <v>2776</v>
      </c>
      <c r="BV70">
        <v>2</v>
      </c>
      <c r="BW70" s="179" t="s">
        <v>2776</v>
      </c>
      <c r="BX70" s="179">
        <v>1</v>
      </c>
      <c r="BY70" s="176" t="s">
        <v>2768</v>
      </c>
      <c r="BZ70">
        <v>1</v>
      </c>
      <c r="CA70" t="s">
        <v>2718</v>
      </c>
      <c r="CB70">
        <v>0</v>
      </c>
    </row>
    <row r="71" spans="1:80">
      <c r="A71" s="178">
        <f ca="1">IFERROR(IF(A70+加速!$L$11&lt;$AS$1,IF(COUNTIF(B70,"*轻*")&gt;0,A70+加速!$L$9,A70+加速!$L$11)+V70,IF(COUNTIF(INDEX(AU71:CB71,1,$AT$1),"*云景*")+COUNTIF(INDEX(AU71:CB71,1,$AT$1),"*鹤归*")+COUNTIF(INDEX(AU71:CB71,1,$AT$1),"*听雷*")&gt;0,A70+加速!$L$11,"")),"")</f>
        <v>89.26</v>
      </c>
      <c r="B71" s="167" t="str">
        <f ca="1">IF(A71&lt;&gt;"",IF(AND(A71+加速!$L$11&gt;$AS$1,IF(AND(配装计算器!$K$30&lt;&gt;"∞",0),"梦泉虎跑-轻",INDEX(AU71:CB71,1,$AT$1))="云栖松"),"夕照雷峰",IF(AND(配装计算器!$K$30&lt;&gt;"∞",0),"梦泉虎跑-轻",INDEX(AU71:CB71,1,$AT$1))),"")</f>
        <v>夕照雷峰</v>
      </c>
      <c r="C71">
        <f ca="1" t="shared" si="17"/>
        <v>15</v>
      </c>
      <c r="D71">
        <f ca="1">IF(B71&lt;&gt;"",IF(C70&lt;=加速!$L$11*(1-E71),0,1),"")</f>
        <v>1</v>
      </c>
      <c r="E71">
        <f ca="1" t="shared" si="13"/>
        <v>0</v>
      </c>
      <c r="G71">
        <f ca="1" t="shared" si="14"/>
        <v>0</v>
      </c>
      <c r="H71">
        <f ca="1">IF(B71&lt;&gt;"",IF(AND(COUNTIF(B70,"*轻*莺鸣柳*")&gt;0,COUNTIF(B71,"*轻*")&lt;1),MAX(0,15+I70-(A71-A70)+COUNTIF(B70,"*平湖*")*0),IF(AND(E71=0,MAX(0,H70-(A71-A70))&lt;=加速!$H$11),0,MAX(0,H70-(A71-A70)))),"")</f>
        <v>0</v>
      </c>
      <c r="I71">
        <f ca="1" t="shared" si="20"/>
        <v>0</v>
      </c>
      <c r="J71">
        <f ca="1" t="shared" si="21"/>
        <v>0</v>
      </c>
      <c r="K71">
        <f ca="1">IF(A71&lt;&gt;"",IF(AND(配装计算器!$K$30&lt;&gt;"∞",0),2,INDEX(AU71:CB71,1,$AT$2)),"")</f>
        <v>0</v>
      </c>
      <c r="L71">
        <f ca="1">IFERROR(IF(AND(COUNTIF(B71,"*-峰插*"),技能数据库!$M$72&gt;0),0,IF(COUNTIF(B71,"*鹤归*")&gt;0,16-加速!$L$11,MAX(0,L70-(A71-A70)))),0)</f>
        <v>4.38999999999995</v>
      </c>
      <c r="M71">
        <f ca="1">IF(COUNTIF(IF(AND(配装计算器!$K$30&lt;&gt;"∞",0),INDEX(AU70:CB70,1,$AT$1),INDEX(AU72:CB72,1,$AT$1)),"*鹤归*")=1,L71,0)</f>
        <v>0</v>
      </c>
      <c r="N71">
        <f ca="1">IFERROR(IF(AND(COUNTIF(B71,"*-峰插*"),技能数据库!$M$72&gt;0),0,IF(COUNTIF(B71,"*云飞*")&gt;0,4-COUNTIF(B71,"*玉山揽云*")*4--COUNTIF(B71,"*烟流暮景*")*4-COUNTIF(B71,"*云景*")*加速!$L$11-IF(J71&gt;0,2,0),MAX(0,N70-(A71-A70)-IF(J71&gt;0,2,0)))),0)</f>
        <v>1.41999999999999</v>
      </c>
      <c r="O71">
        <f ca="1">IF(AND(COUNTIF(IF(AND(配装计算器!$K$30&lt;&gt;"∞",0),INDEX(AU70:CB70,1,$AT$1),INDEX(AU72:CB72,1,$AT$1)),"*云飞*")=1,COUNTIF(IF(AND(配装计算器!$K$30&lt;&gt;"∞",0),INDEX(AU70:CB70,1,$AT$1),INDEX(AU72:CB72,1,$AT$1)),"*玉山*")=0),N71,0)</f>
        <v>0</v>
      </c>
      <c r="P71">
        <f ca="1">IFERROR(IF(COUNTIF(B71,"*云栖松*")&gt;0,50-加速!$L$11,MAX(0,P70-(A71-A70))),0)</f>
        <v>0</v>
      </c>
      <c r="Q71">
        <f ca="1">IF(COUNTIF(IF(AND(配装计算器!$K$30&lt;&gt;"∞",0),INDEX(AU70:CB70,1,$AT$1),INDEX(AU72:CB72,1,$AT$1)),"*云栖松*")=1,P71,0)</f>
        <v>0</v>
      </c>
      <c r="R71">
        <f ca="1">IFERROR(IF(COUNTIF(B71,"*莺鸣柳*")&gt;0,45-加速!$L$9,MAX(0,R70-(A71-A70))),0)</f>
        <v>0</v>
      </c>
      <c r="S71">
        <f ca="1">IF(COUNTIF(IF(AND(配装计算器!$K$30&lt;&gt;"∞",0),INDEX(AU70:CB70,1,$AT$1),INDEX(AU72:CB72,1,$AT$1)),"*莺鸣柳*")=1,R71,0)</f>
        <v>0</v>
      </c>
      <c r="T71">
        <f ca="1" t="shared" si="18"/>
        <v>0</v>
      </c>
      <c r="U71">
        <f ca="1">IF(金蛇,IF(COUNTIF(B71,"*金环戴*")+COUNTIF(B71,"*吹风醒*")&gt;0,IF(A71&lt;=3,7.125-2.625-A71-加速!$L$11,A71-T71),0),0)+IF(金蛇,IF(COUNTIF(B71,"*千切子裂光*")&gt;0,2+加速!$K$9-(A71+加速!$L$11-T71),0),0)</f>
        <v>0</v>
      </c>
      <c r="V71">
        <f ca="1" t="shared" si="19"/>
        <v>0</v>
      </c>
      <c r="W71">
        <f ca="1" t="shared" si="11"/>
        <v>0</v>
      </c>
      <c r="X71">
        <f ca="1">INDEX(加速!$I$13:$I$21,技能数计算!W71+1)</f>
        <v>0</v>
      </c>
      <c r="Y71">
        <f ca="1" t="shared" si="15"/>
        <v>0.5</v>
      </c>
      <c r="Z71">
        <f ca="1" t="shared" si="16"/>
        <v>0</v>
      </c>
      <c r="AA71">
        <f ca="1">MAX(0,IFERROR(IF(COUNTIF(B71,"*叠*")&gt;0,IF(AC70&lt;3,8-A72+A71,AA70+6.875-A72+A71),AA70-A72+A71),AA70-加速!$L$11))</f>
        <v>0</v>
      </c>
      <c r="AB71">
        <f ca="1">MAX(0,IF(COUNTIF(IF(AND(配装计算器!$K$30&lt;&gt;"∞",0),INDEX(AU71:CB71,1,$AT$1),INDEX(AU71:CB71,1,$AT$1)),"*叠1*")=1,4*25-加速!$L$11,AB70-A71+A70)-IF(OR(COUNTIF(OFFSET(AT71,0,$AT$1,1,1),"*听雷*")&gt;0,AND(碧归&gt;0,COUNTIF(OFFSET(AT71,0,$AT$1,1,1),"*风来*")&gt;0)),0,1)*1.5)</f>
        <v>12.99</v>
      </c>
      <c r="AC71">
        <f ca="1" t="shared" si="12"/>
        <v>0</v>
      </c>
      <c r="AD71">
        <f ca="1">IF(COUNTIF(IF(AND(配装计算器!$K$30&lt;&gt;"∞",0),INDEX(AU71:CB71,1,$AT$1),INDEX(AU72:CB72,1,$AT$1)),"*叠1*")=1,AB71*0+AE70,0)</f>
        <v>0</v>
      </c>
      <c r="AE71">
        <f ca="1">IF($AN$11&gt;0,IF(COUNTIF(B72,"*叠1*")&gt;0,50-加速!$H$11,MAX(0,AE70-(A72-A71))),0)</f>
        <v>8.23999999999995</v>
      </c>
      <c r="AH71" t="s">
        <v>1825</v>
      </c>
      <c r="AI71" t="s">
        <v>2808</v>
      </c>
      <c r="AJ71">
        <f ca="1">循环比*COUNTIFS($B$3:$B$515,"*"&amp;AI71&amp;"*",$D$3:$D$515,"&gt;0",$H$3:$H$515,"&gt;0",$G$3:$G$515,"=0",$K$3:$K$515,"=2")</f>
        <v>0</v>
      </c>
      <c r="AK71" t="s">
        <v>3070</v>
      </c>
      <c r="AM71" t="s">
        <v>3097</v>
      </c>
      <c r="AN71">
        <f ca="1">COUNTIFS($D$3:$D$515,"&gt;0",$AC$3:$AC$515,2)</f>
        <v>10</v>
      </c>
      <c r="AO71">
        <f ca="1">IFERROR(AN71/SUM($AN$69:$AN$72),0)*叠峰意</f>
        <v>0.0625</v>
      </c>
      <c r="AU71" t="s">
        <v>2768</v>
      </c>
      <c r="AV71">
        <v>2</v>
      </c>
      <c r="AW71" t="s">
        <v>3009</v>
      </c>
      <c r="AX71">
        <v>2</v>
      </c>
      <c r="AY71" t="s">
        <v>2768</v>
      </c>
      <c r="AZ71">
        <v>1</v>
      </c>
      <c r="BA71" t="s">
        <v>2768</v>
      </c>
      <c r="BB71">
        <v>1</v>
      </c>
      <c r="BC71" t="s">
        <v>2776</v>
      </c>
      <c r="BD71">
        <v>2</v>
      </c>
      <c r="BE71" t="s">
        <v>2776</v>
      </c>
      <c r="BF71">
        <v>0</v>
      </c>
      <c r="BG71" t="s">
        <v>2768</v>
      </c>
      <c r="BH71">
        <v>2</v>
      </c>
      <c r="BI71" t="s">
        <v>2768</v>
      </c>
      <c r="BJ71">
        <v>0</v>
      </c>
      <c r="BK71" t="s">
        <v>2776</v>
      </c>
      <c r="BL71">
        <v>2</v>
      </c>
      <c r="BM71" t="s">
        <v>2768</v>
      </c>
      <c r="BN71">
        <v>2</v>
      </c>
      <c r="BO71" t="s">
        <v>2776</v>
      </c>
      <c r="BP71">
        <v>2</v>
      </c>
      <c r="BQ71" t="s">
        <v>3067</v>
      </c>
      <c r="BR71">
        <v>0</v>
      </c>
      <c r="BS71" t="s">
        <v>2768</v>
      </c>
      <c r="BT71">
        <v>1</v>
      </c>
      <c r="BU71" t="s">
        <v>2768</v>
      </c>
      <c r="BV71">
        <v>1</v>
      </c>
      <c r="BW71" s="179" t="s">
        <v>2768</v>
      </c>
      <c r="BX71" s="179">
        <v>1</v>
      </c>
      <c r="BY71" s="176" t="s">
        <v>2776</v>
      </c>
      <c r="BZ71">
        <v>1</v>
      </c>
      <c r="CA71" t="s">
        <v>2768</v>
      </c>
      <c r="CB71">
        <v>2</v>
      </c>
    </row>
    <row r="72" spans="1:80">
      <c r="A72" s="178">
        <f ca="1">IFERROR(IF(A71+加速!$L$11&lt;$AS$1,IF(COUNTIF(B71,"*轻*")&gt;0,A71+加速!$L$9,A71+加速!$L$11)+V71,IF(COUNTIF(INDEX(AU72:CB72,1,$AT$1),"*云景*")+COUNTIF(INDEX(AU72:CB72,1,$AT$1),"*鹤归*")+COUNTIF(INDEX(AU72:CB72,1,$AT$1),"*听雷*")&gt;0,A71+加速!$L$11,"")),"")</f>
        <v>90.5500000000001</v>
      </c>
      <c r="B72" s="167" t="str">
        <f ca="1">IF(A72&lt;&gt;"",IF(AND(A72+加速!$L$11&gt;$AS$1,IF(AND(配装计算器!$K$30&lt;&gt;"∞",0),"梦泉虎跑-轻",INDEX(AU72:CB72,1,$AT$1))="云栖松"),"夕照雷峰",IF(AND(配装计算器!$K$30&lt;&gt;"∞",0),"梦泉虎跑-轻",INDEX(AU72:CB72,1,$AT$1))),"")</f>
        <v>听雷-轻</v>
      </c>
      <c r="C72">
        <f ca="1" t="shared" si="17"/>
        <v>13.71</v>
      </c>
      <c r="D72">
        <f ca="1">IF(B72&lt;&gt;"",IF(C71&lt;=加速!$L$11*(1-E72),0,1),"")</f>
        <v>1</v>
      </c>
      <c r="E72">
        <f ca="1" t="shared" si="13"/>
        <v>1</v>
      </c>
      <c r="G72">
        <f ca="1" t="shared" si="14"/>
        <v>0</v>
      </c>
      <c r="H72">
        <f ca="1">IF(B72&lt;&gt;"",IF(AND(COUNTIF(B71,"*轻*莺鸣柳*")&gt;0,COUNTIF(B72,"*轻*")&lt;1),MAX(0,15+I71-(A72-A71)+COUNTIF(B71,"*平湖*")*0),IF(AND(E72=0,MAX(0,H71-(A72-A71))&lt;=加速!$H$11),0,MAX(0,H71-(A72-A71)))),"")</f>
        <v>0</v>
      </c>
      <c r="I72">
        <f ca="1" t="shared" si="20"/>
        <v>0</v>
      </c>
      <c r="J72">
        <f ca="1" t="shared" si="21"/>
        <v>0</v>
      </c>
      <c r="K72">
        <f ca="1">IF(A72&lt;&gt;"",IF(AND(配装计算器!$K$30&lt;&gt;"∞",0),2,INDEX(AU72:CB72,1,$AT$2)),"")</f>
        <v>0</v>
      </c>
      <c r="L72">
        <f ca="1">IFERROR(IF(AND(COUNTIF(B72,"*-峰插*"),技能数据库!$M$72&gt;0),0,IF(COUNTIF(B72,"*鹤归*")&gt;0,16-加速!$L$11,MAX(0,L71-(A72-A71)))),0)</f>
        <v>3.09999999999994</v>
      </c>
      <c r="M72">
        <f ca="1">IF(COUNTIF(IF(AND(配装计算器!$K$30&lt;&gt;"∞",0),INDEX(AU71:CB71,1,$AT$1),INDEX(AU73:CB73,1,$AT$1)),"*鹤归*")=1,L72,0)</f>
        <v>0</v>
      </c>
      <c r="N72">
        <f ca="1">IFERROR(IF(AND(COUNTIF(B72,"*-峰插*"),技能数据库!$M$72&gt;0),0,IF(COUNTIF(B72,"*云飞*")&gt;0,4-COUNTIF(B72,"*玉山揽云*")*4--COUNTIF(B72,"*烟流暮景*")*4-COUNTIF(B72,"*云景*")*加速!$L$11-IF(J72&gt;0,2,0),MAX(0,N71-(A72-A71)-IF(J72&gt;0,2,0)))),0)</f>
        <v>0.129999999999981</v>
      </c>
      <c r="O72">
        <f ca="1">IF(AND(COUNTIF(IF(AND(配装计算器!$K$30&lt;&gt;"∞",0),INDEX(AU71:CB71,1,$AT$1),INDEX(AU73:CB73,1,$AT$1)),"*云飞*")=1,COUNTIF(IF(AND(配装计算器!$K$30&lt;&gt;"∞",0),INDEX(AU71:CB71,1,$AT$1),INDEX(AU73:CB73,1,$AT$1)),"*玉山*")=0),N72,0)</f>
        <v>0.129999999999981</v>
      </c>
      <c r="P72">
        <f ca="1">IFERROR(IF(COUNTIF(B72,"*云栖松*")&gt;0,50-加速!$L$11,MAX(0,P71-(A72-A71))),0)</f>
        <v>0</v>
      </c>
      <c r="Q72">
        <f ca="1">IF(COUNTIF(IF(AND(配装计算器!$K$30&lt;&gt;"∞",0),INDEX(AU71:CB71,1,$AT$1),INDEX(AU73:CB73,1,$AT$1)),"*云栖松*")=1,P72,0)</f>
        <v>0</v>
      </c>
      <c r="R72">
        <f ca="1">IFERROR(IF(COUNTIF(B72,"*莺鸣柳*")&gt;0,45-加速!$L$9,MAX(0,R71-(A72-A71))),0)</f>
        <v>0</v>
      </c>
      <c r="S72">
        <f ca="1">IF(COUNTIF(IF(AND(配装计算器!$K$30&lt;&gt;"∞",0),INDEX(AU71:CB71,1,$AT$1),INDEX(AU73:CB73,1,$AT$1)),"*莺鸣柳*")=1,R72,0)</f>
        <v>0</v>
      </c>
      <c r="T72">
        <f ca="1" t="shared" si="18"/>
        <v>0</v>
      </c>
      <c r="U72">
        <f ca="1">IF(金蛇,IF(COUNTIF(B72,"*金环戴*")+COUNTIF(B72,"*吹风醒*")&gt;0,IF(A72&lt;=3,7.125-2.625-A72-加速!$L$11,A72-T72),0),0)+IF(金蛇,IF(COUNTIF(B72,"*千切子裂光*")&gt;0,2+加速!$K$9-(A72+加速!$L$11-T72),0),0)</f>
        <v>0</v>
      </c>
      <c r="V72">
        <f ca="1" t="shared" si="19"/>
        <v>0.129999999999981</v>
      </c>
      <c r="W72">
        <f ca="1" t="shared" si="11"/>
        <v>0</v>
      </c>
      <c r="X72">
        <f ca="1">INDEX(加速!$I$13:$I$21,技能数计算!W72+1)</f>
        <v>0</v>
      </c>
      <c r="Y72">
        <f ca="1" t="shared" si="15"/>
        <v>0.5</v>
      </c>
      <c r="Z72">
        <f ca="1" t="shared" si="16"/>
        <v>0</v>
      </c>
      <c r="AA72">
        <f ca="1">MAX(0,IFERROR(IF(COUNTIF(B72,"*叠*")&gt;0,IF(AC71&lt;3,8-A73+A72,AA71+6.875-A73+A72),AA71-A73+A72),AA71-加速!$L$11))</f>
        <v>0</v>
      </c>
      <c r="AB72">
        <f ca="1">MAX(0,IF(COUNTIF(IF(AND(配装计算器!$K$30&lt;&gt;"∞",0),INDEX(AU72:CB72,1,$AT$1),INDEX(AU72:CB72,1,$AT$1)),"*叠1*")=1,4*25-加速!$L$11,AB71-A72+A71)-IF(OR(COUNTIF(OFFSET(AT72,0,$AT$1,1,1),"*听雷*")&gt;0,AND(碧归&gt;0,COUNTIF(OFFSET(AT72,0,$AT$1,1,1),"*风来*")&gt;0)),0,1)*1.5)</f>
        <v>11.7</v>
      </c>
      <c r="AC72">
        <f ca="1" t="shared" si="12"/>
        <v>0</v>
      </c>
      <c r="AD72">
        <f ca="1">IF(COUNTIF(IF(AND(配装计算器!$K$30&lt;&gt;"∞",0),INDEX(AU72:CB72,1,$AT$1),INDEX(AU73:CB73,1,$AT$1)),"*叠1*")=1,AB72*0+AE71,0)</f>
        <v>0</v>
      </c>
      <c r="AE72">
        <f ca="1">IF($AN$11&gt;0,IF(COUNTIF(B73,"*叠1*")&gt;0,50-加速!$H$11,MAX(0,AE71-(A73-A72))),0)</f>
        <v>6.81999999999996</v>
      </c>
      <c r="AH72" t="s">
        <v>1825</v>
      </c>
      <c r="AI72" s="161" t="s">
        <v>2810</v>
      </c>
      <c r="AJ72">
        <f>AS1/(1/(407/240*0.1)+10)</f>
        <v>13.210200927357</v>
      </c>
      <c r="AK72" t="s">
        <v>3098</v>
      </c>
      <c r="AM72" t="s">
        <v>3099</v>
      </c>
      <c r="AN72">
        <f ca="1">COUNTIFS($D$3:$D$515,"&gt;0",$AC$3:$AC$515,3)</f>
        <v>52</v>
      </c>
      <c r="AO72">
        <f ca="1">IFERROR(AN72/SUM($AN$69:$AN$72),0)*叠峰意</f>
        <v>0.325</v>
      </c>
      <c r="AU72" s="176" t="s">
        <v>2794</v>
      </c>
      <c r="AV72">
        <v>2</v>
      </c>
      <c r="AW72" t="s">
        <v>2776</v>
      </c>
      <c r="AX72">
        <v>2</v>
      </c>
      <c r="AY72" t="s">
        <v>2776</v>
      </c>
      <c r="AZ72">
        <v>1</v>
      </c>
      <c r="BA72" t="s">
        <v>2776</v>
      </c>
      <c r="BB72">
        <v>1</v>
      </c>
      <c r="BC72" t="s">
        <v>2768</v>
      </c>
      <c r="BD72">
        <v>2</v>
      </c>
      <c r="BE72" t="s">
        <v>3012</v>
      </c>
      <c r="BF72">
        <v>2</v>
      </c>
      <c r="BG72" s="176" t="s">
        <v>2794</v>
      </c>
      <c r="BH72">
        <v>1</v>
      </c>
      <c r="BI72" t="s">
        <v>2722</v>
      </c>
      <c r="BJ72">
        <v>0</v>
      </c>
      <c r="BK72" t="s">
        <v>2768</v>
      </c>
      <c r="BL72">
        <v>1</v>
      </c>
      <c r="BM72" t="s">
        <v>2768</v>
      </c>
      <c r="BN72">
        <v>2</v>
      </c>
      <c r="BO72" t="s">
        <v>2768</v>
      </c>
      <c r="BP72">
        <v>1</v>
      </c>
      <c r="BQ72" t="s">
        <v>2776</v>
      </c>
      <c r="BR72">
        <v>2</v>
      </c>
      <c r="BS72" t="s">
        <v>2768</v>
      </c>
      <c r="BT72">
        <v>0</v>
      </c>
      <c r="BU72" t="s">
        <v>2776</v>
      </c>
      <c r="BV72">
        <v>1</v>
      </c>
      <c r="BW72" s="179" t="s">
        <v>2722</v>
      </c>
      <c r="BX72" s="179">
        <v>0</v>
      </c>
      <c r="BY72" s="176" t="s">
        <v>2768</v>
      </c>
      <c r="BZ72">
        <v>1</v>
      </c>
      <c r="CA72" t="s">
        <v>2768</v>
      </c>
      <c r="CB72">
        <v>1</v>
      </c>
    </row>
    <row r="73" spans="1:80">
      <c r="A73" s="178">
        <f ca="1">IFERROR(IF(A72+加速!$L$11&lt;$AS$1,IF(COUNTIF(B72,"*轻*")&gt;0,A72+加速!$L$9,A72+加速!$L$11)+V72,IF(COUNTIF(INDEX(AU73:CB73,1,$AT$1),"*云景*")+COUNTIF(INDEX(AU73:CB73,1,$AT$1),"*鹤归*")+COUNTIF(INDEX(AU73:CB73,1,$AT$1),"*听雷*")&gt;0,A72+加速!$L$11,"")),"")</f>
        <v>91.97</v>
      </c>
      <c r="B73" s="167" t="str">
        <f ca="1">IF(A73&lt;&gt;"",IF(AND(A73+加速!$L$11&gt;$AS$1,IF(AND(配装计算器!$K$30&lt;&gt;"∞",0),"梦泉虎跑-轻",INDEX(AU73:CB73,1,$AT$1))="云栖松"),"夕照雷峰",IF(AND(配装计算器!$K$30&lt;&gt;"∞",0),"梦泉虎跑-轻",INDEX(AU73:CB73,1,$AT$1))),"")</f>
        <v>云飞玉皇</v>
      </c>
      <c r="C73">
        <f ca="1" t="shared" si="17"/>
        <v>12.29</v>
      </c>
      <c r="D73">
        <f ca="1">IF(B73&lt;&gt;"",IF(C72&lt;=加速!$L$11*(1-E73),0,1),"")</f>
        <v>1</v>
      </c>
      <c r="E73">
        <f ca="1" t="shared" si="13"/>
        <v>0</v>
      </c>
      <c r="G73">
        <f ca="1" t="shared" si="14"/>
        <v>0</v>
      </c>
      <c r="H73">
        <f ca="1">IF(B73&lt;&gt;"",IF(AND(COUNTIF(B72,"*轻*莺鸣柳*")&gt;0,COUNTIF(B73,"*轻*")&lt;1),MAX(0,15+I72-(A73-A72)+COUNTIF(B72,"*平湖*")*0),IF(AND(E73=0,MAX(0,H72-(A73-A72))&lt;=加速!$H$11),0,MAX(0,H72-(A73-A72)))),"")</f>
        <v>0</v>
      </c>
      <c r="I73">
        <f ca="1" t="shared" si="20"/>
        <v>0</v>
      </c>
      <c r="J73">
        <f ca="1" t="shared" si="21"/>
        <v>0</v>
      </c>
      <c r="K73">
        <f ca="1">IF(A73&lt;&gt;"",IF(AND(配装计算器!$K$30&lt;&gt;"∞",0),2,INDEX(AU73:CB73,1,$AT$2)),"")</f>
        <v>2</v>
      </c>
      <c r="L73">
        <f ca="1">IFERROR(IF(AND(COUNTIF(B73,"*-峰插*"),技能数据库!$M$72&gt;0),0,IF(COUNTIF(B73,"*鹤归*")&gt;0,16-加速!$L$11,MAX(0,L72-(A73-A72)))),0)</f>
        <v>1.67999999999996</v>
      </c>
      <c r="M73">
        <f ca="1">IF(COUNTIF(IF(AND(配装计算器!$K$30&lt;&gt;"∞",0),INDEX(AU72:CB72,1,$AT$1),INDEX(AU74:CB74,1,$AT$1)),"*鹤归*")=1,L73,0)</f>
        <v>0</v>
      </c>
      <c r="N73">
        <f ca="1">IFERROR(IF(AND(COUNTIF(B73,"*-峰插*"),技能数据库!$M$72&gt;0),0,IF(COUNTIF(B73,"*云飞*")&gt;0,4-COUNTIF(B73,"*玉山揽云*")*4--COUNTIF(B73,"*烟流暮景*")*4-COUNTIF(B73,"*云景*")*加速!$L$11-IF(J73&gt;0,2,0),MAX(0,N72-(A73-A72)-IF(J73&gt;0,2,0)))),0)</f>
        <v>4</v>
      </c>
      <c r="O73">
        <f ca="1">IF(AND(COUNTIF(IF(AND(配装计算器!$K$30&lt;&gt;"∞",0),INDEX(AU72:CB72,1,$AT$1),INDEX(AU74:CB74,1,$AT$1)),"*云飞*")=1,COUNTIF(IF(AND(配装计算器!$K$30&lt;&gt;"∞",0),INDEX(AU72:CB72,1,$AT$1),INDEX(AU74:CB74,1,$AT$1)),"*玉山*")=0),N73,0)</f>
        <v>0</v>
      </c>
      <c r="P73">
        <f ca="1">IFERROR(IF(COUNTIF(B73,"*云栖松*")&gt;0,50-加速!$L$11,MAX(0,P72-(A73-A72))),0)</f>
        <v>0</v>
      </c>
      <c r="Q73">
        <f ca="1">IF(COUNTIF(IF(AND(配装计算器!$K$30&lt;&gt;"∞",0),INDEX(AU72:CB72,1,$AT$1),INDEX(AU74:CB74,1,$AT$1)),"*云栖松*")=1,P73,0)</f>
        <v>0</v>
      </c>
      <c r="R73">
        <f ca="1">IFERROR(IF(COUNTIF(B73,"*莺鸣柳*")&gt;0,45-加速!$L$9,MAX(0,R72-(A73-A72))),0)</f>
        <v>0</v>
      </c>
      <c r="S73">
        <f ca="1">IF(COUNTIF(IF(AND(配装计算器!$K$30&lt;&gt;"∞",0),INDEX(AU72:CB72,1,$AT$1),INDEX(AU74:CB74,1,$AT$1)),"*莺鸣柳*")=1,R73,0)</f>
        <v>0</v>
      </c>
      <c r="T73">
        <f ca="1" t="shared" si="18"/>
        <v>0</v>
      </c>
      <c r="U73">
        <f ca="1">IF(金蛇,IF(COUNTIF(B73,"*金环戴*")+COUNTIF(B73,"*吹风醒*")&gt;0,IF(A73&lt;=3,7.125-2.625-A73-加速!$L$11,A73-T73),0),0)+IF(金蛇,IF(COUNTIF(B73,"*千切子裂光*")&gt;0,2+加速!$K$9-(A73+加速!$L$11-T73),0),0)</f>
        <v>0</v>
      </c>
      <c r="V73">
        <f ca="1" t="shared" si="19"/>
        <v>0</v>
      </c>
      <c r="W73">
        <f ca="1" t="shared" si="11"/>
        <v>0</v>
      </c>
      <c r="X73">
        <f ca="1">INDEX(加速!$I$13:$I$21,技能数计算!W73+1)</f>
        <v>0</v>
      </c>
      <c r="Y73">
        <f ca="1" t="shared" si="15"/>
        <v>0.5</v>
      </c>
      <c r="Z73">
        <f ca="1" t="shared" si="16"/>
        <v>0</v>
      </c>
      <c r="AA73">
        <f ca="1">MAX(0,IFERROR(IF(COUNTIF(B73,"*叠*")&gt;0,IF(AC72&lt;3,8-A74+A73,AA72+6.875-A74+A73),AA72-A74+A73),AA72-加速!$L$11))</f>
        <v>0</v>
      </c>
      <c r="AB73">
        <f ca="1">MAX(0,IF(COUNTIF(IF(AND(配装计算器!$K$30&lt;&gt;"∞",0),INDEX(AU73:CB73,1,$AT$1),INDEX(AU73:CB73,1,$AT$1)),"*叠1*")=1,4*25-加速!$L$11,AB72-A73+A72)-IF(OR(COUNTIF(OFFSET(AT73,0,$AT$1,1,1),"*听雷*")&gt;0,AND(碧归&gt;0,COUNTIF(OFFSET(AT73,0,$AT$1,1,1),"*风来*")&gt;0)),0,1)*1.5)</f>
        <v>8.78000000000002</v>
      </c>
      <c r="AC73">
        <f ca="1" t="shared" si="12"/>
        <v>0</v>
      </c>
      <c r="AD73">
        <f ca="1">IF(COUNTIF(IF(AND(配装计算器!$K$30&lt;&gt;"∞",0),INDEX(AU73:CB73,1,$AT$1),INDEX(AU74:CB74,1,$AT$1)),"*叠1*")=1,AB73*0+AE72,0)</f>
        <v>0</v>
      </c>
      <c r="AE73">
        <f ca="1">IF($AN$11&gt;0,IF(COUNTIF(B74,"*叠1*")&gt;0,50-加速!$H$11,MAX(0,AE72-(A74-A73))),0)</f>
        <v>5.52999999999996</v>
      </c>
      <c r="AH73" t="s">
        <v>1825</v>
      </c>
      <c r="AI73" s="161" t="s">
        <v>2815</v>
      </c>
      <c r="AJ73">
        <f ca="1">AS1/(1/(407/240*(额外属性!Y8+0.13+0.2*23/51))+10)</f>
        <v>19.7781222910296</v>
      </c>
      <c r="AK73" t="s">
        <v>3098</v>
      </c>
      <c r="AU73" s="176" t="s">
        <v>2776</v>
      </c>
      <c r="AV73">
        <v>2</v>
      </c>
      <c r="AW73" t="s">
        <v>2768</v>
      </c>
      <c r="AX73">
        <v>2</v>
      </c>
      <c r="AY73" t="s">
        <v>2768</v>
      </c>
      <c r="AZ73">
        <v>1</v>
      </c>
      <c r="BA73" t="s">
        <v>2768</v>
      </c>
      <c r="BB73">
        <v>1</v>
      </c>
      <c r="BC73" t="s">
        <v>2768</v>
      </c>
      <c r="BD73">
        <v>2</v>
      </c>
      <c r="BE73" t="s">
        <v>2776</v>
      </c>
      <c r="BF73">
        <v>2</v>
      </c>
      <c r="BG73" t="s">
        <v>2776</v>
      </c>
      <c r="BH73">
        <v>1</v>
      </c>
      <c r="BI73" t="s">
        <v>2776</v>
      </c>
      <c r="BJ73">
        <v>2</v>
      </c>
      <c r="BK73" t="s">
        <v>2768</v>
      </c>
      <c r="BL73">
        <v>1</v>
      </c>
      <c r="BM73" t="s">
        <v>2776</v>
      </c>
      <c r="BN73">
        <v>2</v>
      </c>
      <c r="BO73" t="s">
        <v>2722</v>
      </c>
      <c r="BP73">
        <v>0</v>
      </c>
      <c r="BQ73" t="s">
        <v>2768</v>
      </c>
      <c r="BR73">
        <v>2</v>
      </c>
      <c r="BS73" t="s">
        <v>2776</v>
      </c>
      <c r="BT73">
        <v>0</v>
      </c>
      <c r="BU73" t="s">
        <v>2768</v>
      </c>
      <c r="BV73">
        <v>0</v>
      </c>
      <c r="BW73" s="179" t="s">
        <v>3009</v>
      </c>
      <c r="BX73" s="179">
        <v>2</v>
      </c>
      <c r="BY73" t="s">
        <v>2776</v>
      </c>
      <c r="BZ73">
        <v>1</v>
      </c>
      <c r="CA73" t="s">
        <v>2776</v>
      </c>
      <c r="CB73">
        <v>1</v>
      </c>
    </row>
    <row r="74" spans="1:80">
      <c r="A74" s="178">
        <f ca="1">IFERROR(IF(A73+加速!$L$11&lt;$AS$1,IF(COUNTIF(B73,"*轻*")&gt;0,A73+加速!$L$9,A73+加速!$L$11)+V73,IF(COUNTIF(INDEX(AU74:CB74,1,$AT$1),"*云景*")+COUNTIF(INDEX(AU74:CB74,1,$AT$1),"*鹤归*")+COUNTIF(INDEX(AU74:CB74,1,$AT$1),"*听雷*")&gt;0,A73+加速!$L$11,"")),"")</f>
        <v>93.26</v>
      </c>
      <c r="B74" s="167" t="str">
        <f ca="1">IF(A74&lt;&gt;"",IF(AND(A74+加速!$L$11&gt;$AS$1,IF(AND(配装计算器!$K$30&lt;&gt;"∞",0),"梦泉虎跑-轻",INDEX(AU74:CB74,1,$AT$1))="云栖松"),"夕照雷峰",IF(AND(配装计算器!$K$30&lt;&gt;"∞",0),"梦泉虎跑-轻",INDEX(AU74:CB74,1,$AT$1))),"")</f>
        <v>夕照雷峰</v>
      </c>
      <c r="C74">
        <f ca="1" t="shared" si="17"/>
        <v>15</v>
      </c>
      <c r="D74">
        <f ca="1">IF(B74&lt;&gt;"",IF(C73&lt;=加速!$L$11*(1-E74),0,1),"")</f>
        <v>1</v>
      </c>
      <c r="E74">
        <f ca="1" t="shared" si="13"/>
        <v>0</v>
      </c>
      <c r="G74">
        <f ca="1" t="shared" si="14"/>
        <v>0</v>
      </c>
      <c r="H74">
        <f ca="1">IF(B74&lt;&gt;"",IF(AND(COUNTIF(B73,"*轻*莺鸣柳*")&gt;0,COUNTIF(B74,"*轻*")&lt;1),MAX(0,15+I73-(A74-A73)+COUNTIF(B73,"*平湖*")*0),IF(AND(E74=0,MAX(0,H73-(A74-A73))&lt;=加速!$H$11),0,MAX(0,H73-(A74-A73)))),"")</f>
        <v>0</v>
      </c>
      <c r="I74">
        <f ca="1" t="shared" si="20"/>
        <v>0</v>
      </c>
      <c r="J74">
        <f ca="1" t="shared" si="21"/>
        <v>0</v>
      </c>
      <c r="K74">
        <f ca="1">IF(A74&lt;&gt;"",IF(AND(配装计算器!$K$30&lt;&gt;"∞",0),2,INDEX(AU74:CB74,1,$AT$2)),"")</f>
        <v>2</v>
      </c>
      <c r="L74">
        <f ca="1">IFERROR(IF(AND(COUNTIF(B74,"*-峰插*"),技能数据库!$M$72&gt;0),0,IF(COUNTIF(B74,"*鹤归*")&gt;0,16-加速!$L$11,MAX(0,L73-(A74-A73)))),0)</f>
        <v>0.389999999999951</v>
      </c>
      <c r="M74">
        <f ca="1">IF(COUNTIF(IF(AND(配装计算器!$K$30&lt;&gt;"∞",0),INDEX(AU73:CB73,1,$AT$1),INDEX(AU75:CB75,1,$AT$1)),"*鹤归*")=1,L74,0)</f>
        <v>0</v>
      </c>
      <c r="N74">
        <f ca="1">IFERROR(IF(AND(COUNTIF(B74,"*-峰插*"),技能数据库!$M$72&gt;0),0,IF(COUNTIF(B74,"*云飞*")&gt;0,4-COUNTIF(B74,"*玉山揽云*")*4--COUNTIF(B74,"*烟流暮景*")*4-COUNTIF(B74,"*云景*")*加速!$L$11-IF(J74&gt;0,2,0),MAX(0,N73-(A74-A73)-IF(J74&gt;0,2,0)))),0)</f>
        <v>2.70999999999999</v>
      </c>
      <c r="O74">
        <f ca="1">IF(AND(COUNTIF(IF(AND(配装计算器!$K$30&lt;&gt;"∞",0),INDEX(AU73:CB73,1,$AT$1),INDEX(AU75:CB75,1,$AT$1)),"*云飞*")=1,COUNTIF(IF(AND(配装计算器!$K$30&lt;&gt;"∞",0),INDEX(AU73:CB73,1,$AT$1),INDEX(AU75:CB75,1,$AT$1)),"*玉山*")=0),N74,0)</f>
        <v>0</v>
      </c>
      <c r="P74">
        <f ca="1">IFERROR(IF(COUNTIF(B74,"*云栖松*")&gt;0,50-加速!$L$11,MAX(0,P73-(A74-A73))),0)</f>
        <v>0</v>
      </c>
      <c r="Q74">
        <f ca="1">IF(COUNTIF(IF(AND(配装计算器!$K$30&lt;&gt;"∞",0),INDEX(AU73:CB73,1,$AT$1),INDEX(AU75:CB75,1,$AT$1)),"*云栖松*")=1,P74,0)</f>
        <v>0</v>
      </c>
      <c r="R74">
        <f ca="1">IFERROR(IF(COUNTIF(B74,"*莺鸣柳*")&gt;0,45-加速!$L$9,MAX(0,R73-(A74-A73))),0)</f>
        <v>0</v>
      </c>
      <c r="S74">
        <f ca="1">IF(COUNTIF(IF(AND(配装计算器!$K$30&lt;&gt;"∞",0),INDEX(AU73:CB73,1,$AT$1),INDEX(AU75:CB75,1,$AT$1)),"*莺鸣柳*")=1,R74,0)</f>
        <v>0</v>
      </c>
      <c r="T74">
        <f ca="1" t="shared" si="18"/>
        <v>0</v>
      </c>
      <c r="U74">
        <f ca="1">IF(金蛇,IF(COUNTIF(B74,"*金环戴*")+COUNTIF(B74,"*吹风醒*")&gt;0,IF(A74&lt;=3,7.125-2.625-A74-加速!$L$11,A74-T74),0),0)+IF(金蛇,IF(COUNTIF(B74,"*千切子裂光*")&gt;0,2+加速!$K$9-(A74+加速!$L$11-T74),0),0)</f>
        <v>0</v>
      </c>
      <c r="V74">
        <f ca="1" t="shared" si="19"/>
        <v>0</v>
      </c>
      <c r="W74">
        <f ca="1" t="shared" si="11"/>
        <v>0</v>
      </c>
      <c r="X74">
        <f ca="1">INDEX(加速!$I$13:$I$21,技能数计算!W74+1)</f>
        <v>0</v>
      </c>
      <c r="Y74">
        <f ca="1" t="shared" si="15"/>
        <v>0.5</v>
      </c>
      <c r="Z74">
        <f ca="1" t="shared" si="16"/>
        <v>0</v>
      </c>
      <c r="AA74">
        <f ca="1">MAX(0,IFERROR(IF(COUNTIF(B74,"*叠*")&gt;0,IF(AC73&lt;3,8-A75+A74,AA73+6.875-A75+A74),AA73-A75+A74),AA73-加速!$L$11))</f>
        <v>0</v>
      </c>
      <c r="AB74">
        <f ca="1">MAX(0,IF(COUNTIF(IF(AND(配装计算器!$K$30&lt;&gt;"∞",0),INDEX(AU74:CB74,1,$AT$1),INDEX(AU74:CB74,1,$AT$1)),"*叠1*")=1,4*25-加速!$L$11,AB73-A74+A73)-IF(OR(COUNTIF(OFFSET(AT74,0,$AT$1,1,1),"*听雷*")&gt;0,AND(碧归&gt;0,COUNTIF(OFFSET(AT74,0,$AT$1,1,1),"*风来*")&gt;0)),0,1)*1.5)</f>
        <v>5.99000000000001</v>
      </c>
      <c r="AC74">
        <f ca="1" t="shared" si="12"/>
        <v>0</v>
      </c>
      <c r="AD74">
        <f ca="1">IF(COUNTIF(IF(AND(配装计算器!$K$30&lt;&gt;"∞",0),INDEX(AU74:CB74,1,$AT$1),INDEX(AU75:CB75,1,$AT$1)),"*叠1*")=1,AB74*0+AE73,0)</f>
        <v>0</v>
      </c>
      <c r="AE74">
        <f ca="1">IF($AN$11&gt;0,IF(COUNTIF(B75,"*叠1*")&gt;0,50-加速!$H$11,MAX(0,AE73-(A75-A74))),0)</f>
        <v>4.23999999999995</v>
      </c>
      <c r="AH74" t="s">
        <v>1825</v>
      </c>
      <c r="AI74" s="161" t="s">
        <v>2832</v>
      </c>
      <c r="AJ74">
        <f>12*(INT((AS1-10)/51.5)+1)</f>
        <v>48</v>
      </c>
      <c r="AK74" t="s">
        <v>3098</v>
      </c>
      <c r="AU74" s="176" t="s">
        <v>2768</v>
      </c>
      <c r="AV74">
        <v>1</v>
      </c>
      <c r="AW74" s="180" t="s">
        <v>2789</v>
      </c>
      <c r="AX74">
        <v>2</v>
      </c>
      <c r="AY74" t="s">
        <v>2768</v>
      </c>
      <c r="AZ74">
        <v>0</v>
      </c>
      <c r="BA74" t="s">
        <v>2768</v>
      </c>
      <c r="BB74">
        <v>0</v>
      </c>
      <c r="BC74" t="s">
        <v>2768</v>
      </c>
      <c r="BD74">
        <v>1</v>
      </c>
      <c r="BE74" t="s">
        <v>3017</v>
      </c>
      <c r="BF74">
        <v>2</v>
      </c>
      <c r="BG74" t="s">
        <v>2768</v>
      </c>
      <c r="BH74">
        <v>1</v>
      </c>
      <c r="BI74" t="s">
        <v>2768</v>
      </c>
      <c r="BJ74">
        <v>2</v>
      </c>
      <c r="BK74" t="s">
        <v>2768</v>
      </c>
      <c r="BL74">
        <v>0</v>
      </c>
      <c r="BM74" t="s">
        <v>2768</v>
      </c>
      <c r="BN74">
        <v>1</v>
      </c>
      <c r="BO74" t="s">
        <v>3009</v>
      </c>
      <c r="BP74">
        <v>2</v>
      </c>
      <c r="BQ74" t="s">
        <v>2768</v>
      </c>
      <c r="BR74">
        <v>2</v>
      </c>
      <c r="BS74" t="s">
        <v>2768</v>
      </c>
      <c r="BT74">
        <v>0</v>
      </c>
      <c r="BU74" t="s">
        <v>2768</v>
      </c>
      <c r="BV74">
        <v>0</v>
      </c>
      <c r="BW74" s="179" t="s">
        <v>2776</v>
      </c>
      <c r="BX74" s="179">
        <v>2</v>
      </c>
      <c r="BY74" t="s">
        <v>2768</v>
      </c>
      <c r="BZ74">
        <v>1</v>
      </c>
      <c r="CA74" t="s">
        <v>2768</v>
      </c>
      <c r="CB74">
        <v>1</v>
      </c>
    </row>
    <row r="75" spans="1:80">
      <c r="A75" s="178">
        <f ca="1">IFERROR(IF(A74+加速!$L$11&lt;$AS$1,IF(COUNTIF(B74,"*轻*")&gt;0,A74+加速!$L$9,A74+加速!$L$11)+V74,IF(COUNTIF(INDEX(AU75:CB75,1,$AT$1),"*云景*")+COUNTIF(INDEX(AU75:CB75,1,$AT$1),"*鹤归*")+COUNTIF(INDEX(AU75:CB75,1,$AT$1),"*听雷*")&gt;0,A74+加速!$L$11,"")),"")</f>
        <v>94.5500000000001</v>
      </c>
      <c r="B75" s="167" t="str">
        <f ca="1">IF(A75&lt;&gt;"",IF(AND(A75+加速!$L$11&gt;$AS$1,IF(AND(配装计算器!$K$30&lt;&gt;"∞",0),"梦泉虎跑-轻",INDEX(AU75:CB75,1,$AT$1))="云栖松"),"夕照雷峰",IF(AND(配装计算器!$K$30&lt;&gt;"∞",0),"梦泉虎跑-轻",INDEX(AU75:CB75,1,$AT$1))),"")</f>
        <v>夕照雷峰</v>
      </c>
      <c r="C75">
        <f ca="1" t="shared" si="17"/>
        <v>15</v>
      </c>
      <c r="D75">
        <f ca="1">IF(B75&lt;&gt;"",IF(C74&lt;=加速!$L$11*(1-E75),0,1),"")</f>
        <v>1</v>
      </c>
      <c r="E75">
        <f ca="1" t="shared" si="13"/>
        <v>0</v>
      </c>
      <c r="G75">
        <f ca="1" t="shared" si="14"/>
        <v>0</v>
      </c>
      <c r="H75">
        <f ca="1">IF(B75&lt;&gt;"",IF(AND(COUNTIF(B74,"*轻*莺鸣柳*")&gt;0,COUNTIF(B75,"*轻*")&lt;1),MAX(0,15+I74-(A75-A74)+COUNTIF(B74,"*平湖*")*0),IF(AND(E75=0,MAX(0,H74-(A75-A74))&lt;=加速!$H$11),0,MAX(0,H74-(A75-A74)))),"")</f>
        <v>0</v>
      </c>
      <c r="I75">
        <f ca="1" t="shared" si="20"/>
        <v>0</v>
      </c>
      <c r="J75">
        <f ca="1" t="shared" si="21"/>
        <v>0</v>
      </c>
      <c r="K75">
        <f ca="1">IF(A75&lt;&gt;"",IF(AND(配装计算器!$K$30&lt;&gt;"∞",0),2,INDEX(AU75:CB75,1,$AT$2)),"")</f>
        <v>2</v>
      </c>
      <c r="L75">
        <f ca="1">IFERROR(IF(AND(COUNTIF(B75,"*-峰插*"),技能数据库!$M$72&gt;0),0,IF(COUNTIF(B75,"*鹤归*")&gt;0,16-加速!$L$11,MAX(0,L74-(A75-A74)))),0)</f>
        <v>0</v>
      </c>
      <c r="M75">
        <f ca="1">IF(COUNTIF(IF(AND(配装计算器!$K$30&lt;&gt;"∞",0),INDEX(AU74:CB74,1,$AT$1),INDEX(AU76:CB76,1,$AT$1)),"*鹤归*")=1,L75,0)</f>
        <v>0</v>
      </c>
      <c r="N75">
        <f ca="1">IFERROR(IF(AND(COUNTIF(B75,"*-峰插*"),技能数据库!$M$72&gt;0),0,IF(COUNTIF(B75,"*云飞*")&gt;0,4-COUNTIF(B75,"*玉山揽云*")*4--COUNTIF(B75,"*烟流暮景*")*4-COUNTIF(B75,"*云景*")*加速!$L$11-IF(J75&gt;0,2,0),MAX(0,N74-(A75-A74)-IF(J75&gt;0,2,0)))),0)</f>
        <v>1.41999999999999</v>
      </c>
      <c r="O75">
        <f ca="1">IF(AND(COUNTIF(IF(AND(配装计算器!$K$30&lt;&gt;"∞",0),INDEX(AU74:CB74,1,$AT$1),INDEX(AU76:CB76,1,$AT$1)),"*云飞*")=1,COUNTIF(IF(AND(配装计算器!$K$30&lt;&gt;"∞",0),INDEX(AU74:CB74,1,$AT$1),INDEX(AU76:CB76,1,$AT$1)),"*玉山*")=0),N75,0)</f>
        <v>0</v>
      </c>
      <c r="P75">
        <f ca="1">IFERROR(IF(COUNTIF(B75,"*云栖松*")&gt;0,50-加速!$L$11,MAX(0,P74-(A75-A74))),0)</f>
        <v>0</v>
      </c>
      <c r="Q75">
        <f ca="1">IF(COUNTIF(IF(AND(配装计算器!$K$30&lt;&gt;"∞",0),INDEX(AU74:CB74,1,$AT$1),INDEX(AU76:CB76,1,$AT$1)),"*云栖松*")=1,P75,0)</f>
        <v>0</v>
      </c>
      <c r="R75">
        <f ca="1">IFERROR(IF(COUNTIF(B75,"*莺鸣柳*")&gt;0,45-加速!$L$9,MAX(0,R74-(A75-A74))),0)</f>
        <v>0</v>
      </c>
      <c r="S75">
        <f ca="1">IF(COUNTIF(IF(AND(配装计算器!$K$30&lt;&gt;"∞",0),INDEX(AU74:CB74,1,$AT$1),INDEX(AU76:CB76,1,$AT$1)),"*莺鸣柳*")=1,R75,0)</f>
        <v>0</v>
      </c>
      <c r="T75">
        <f ca="1" t="shared" si="18"/>
        <v>0</v>
      </c>
      <c r="U75">
        <f ca="1">IF(金蛇,IF(COUNTIF(B75,"*金环戴*")+COUNTIF(B75,"*吹风醒*")&gt;0,IF(A75&lt;=3,7.125-2.625-A75-加速!$L$11,A75-T75),0),0)+IF(金蛇,IF(COUNTIF(B75,"*千切子裂光*")&gt;0,2+加速!$K$9-(A75+加速!$L$11-T75),0),0)</f>
        <v>0</v>
      </c>
      <c r="V75">
        <f ca="1" t="shared" si="19"/>
        <v>0</v>
      </c>
      <c r="W75">
        <f ca="1" t="shared" si="11"/>
        <v>0</v>
      </c>
      <c r="X75">
        <f ca="1">INDEX(加速!$I$13:$I$21,技能数计算!W75+1)</f>
        <v>0</v>
      </c>
      <c r="Y75">
        <f ca="1" t="shared" si="15"/>
        <v>0.5</v>
      </c>
      <c r="Z75">
        <f ca="1" t="shared" si="16"/>
        <v>0</v>
      </c>
      <c r="AA75">
        <f ca="1">MAX(0,IFERROR(IF(COUNTIF(B75,"*叠*")&gt;0,IF(AC74&lt;3,8-A76+A75,AA74+6.875-A76+A75),AA74-A76+A75),AA74-加速!$L$11))</f>
        <v>0</v>
      </c>
      <c r="AB75">
        <f ca="1">MAX(0,IF(COUNTIF(IF(AND(配装计算器!$K$30&lt;&gt;"∞",0),INDEX(AU75:CB75,1,$AT$1),INDEX(AU75:CB75,1,$AT$1)),"*叠1*")=1,4*25-加速!$L$11,AB74-A75+A74)-IF(OR(COUNTIF(OFFSET(AT75,0,$AT$1,1,1),"*听雷*")&gt;0,AND(碧归&gt;0,COUNTIF(OFFSET(AT75,0,$AT$1,1,1),"*风来*")&gt;0)),0,1)*1.5)</f>
        <v>3.2</v>
      </c>
      <c r="AC75">
        <f ca="1" t="shared" si="12"/>
        <v>0</v>
      </c>
      <c r="AD75">
        <f ca="1">IF(COUNTIF(IF(AND(配装计算器!$K$30&lt;&gt;"∞",0),INDEX(AU75:CB75,1,$AT$1),INDEX(AU76:CB76,1,$AT$1)),"*叠1*")=1,AB75*0+AE74,0)</f>
        <v>0</v>
      </c>
      <c r="AE75">
        <f ca="1">IF($AN$11&gt;0,IF(COUNTIF(B76,"*叠1*")&gt;0,50-加速!$H$11,MAX(0,AE74-(A76-A75))),0)</f>
        <v>2.94999999999995</v>
      </c>
      <c r="AH75" t="s">
        <v>1825</v>
      </c>
      <c r="AI75" t="s">
        <v>2902</v>
      </c>
      <c r="AJ75">
        <f ca="1">循环比*COUNTIFS($B$3:$B$515,"*"&amp;AI75&amp;"*",$D$3:$D$515,"&gt;0",$H$3:$H$515,"=0",$AC$3:$AC$515,"=0")</f>
        <v>0</v>
      </c>
      <c r="AK75" t="s">
        <v>2750</v>
      </c>
      <c r="AU75" s="176" t="s">
        <v>2776</v>
      </c>
      <c r="AV75">
        <v>2</v>
      </c>
      <c r="AW75" s="176" t="s">
        <v>2794</v>
      </c>
      <c r="AX75">
        <v>2</v>
      </c>
      <c r="AY75" t="s">
        <v>3010</v>
      </c>
      <c r="AZ75">
        <v>2</v>
      </c>
      <c r="BA75" t="s">
        <v>3010</v>
      </c>
      <c r="BB75">
        <v>2</v>
      </c>
      <c r="BC75" t="s">
        <v>2776</v>
      </c>
      <c r="BD75">
        <v>1</v>
      </c>
      <c r="BE75" t="s">
        <v>2768</v>
      </c>
      <c r="BF75">
        <v>2</v>
      </c>
      <c r="BG75" t="s">
        <v>3011</v>
      </c>
      <c r="BH75">
        <v>2</v>
      </c>
      <c r="BI75" t="s">
        <v>2768</v>
      </c>
      <c r="BJ75">
        <v>2</v>
      </c>
      <c r="BK75" t="s">
        <v>2776</v>
      </c>
      <c r="BL75">
        <v>0</v>
      </c>
      <c r="BM75" t="s">
        <v>2722</v>
      </c>
      <c r="BN75">
        <v>0</v>
      </c>
      <c r="BO75" t="s">
        <v>2776</v>
      </c>
      <c r="BP75">
        <v>2</v>
      </c>
      <c r="BQ75" t="s">
        <v>2768</v>
      </c>
      <c r="BR75">
        <v>1</v>
      </c>
      <c r="BS75" t="s">
        <v>3074</v>
      </c>
      <c r="BT75">
        <v>2</v>
      </c>
      <c r="BU75" t="s">
        <v>2776</v>
      </c>
      <c r="BV75">
        <v>0</v>
      </c>
      <c r="BW75" s="179" t="s">
        <v>2768</v>
      </c>
      <c r="BX75" s="179">
        <v>2</v>
      </c>
      <c r="BY75" t="s">
        <v>2722</v>
      </c>
      <c r="BZ75">
        <v>0</v>
      </c>
      <c r="CA75" t="s">
        <v>2722</v>
      </c>
      <c r="CB75">
        <v>0</v>
      </c>
    </row>
    <row r="76" spans="1:80">
      <c r="A76" s="178">
        <f ca="1">IFERROR(IF(A75+加速!$L$11&lt;$AS$1,IF(COUNTIF(B75,"*轻*")&gt;0,A75+加速!$L$9,A75+加速!$L$11)+V75,IF(COUNTIF(INDEX(AU76:CB76,1,$AT$1),"*云景*")+COUNTIF(INDEX(AU76:CB76,1,$AT$1),"*鹤归*")+COUNTIF(INDEX(AU76:CB76,1,$AT$1),"*听雷*")&gt;0,A75+加速!$L$11,"")),"")</f>
        <v>95.8400000000001</v>
      </c>
      <c r="B76" s="167" t="str">
        <f ca="1">IF(A76&lt;&gt;"",IF(AND(A76+加速!$L$11&gt;$AS$1,IF(AND(配装计算器!$K$30&lt;&gt;"∞",0),"梦泉虎跑-轻",INDEX(AU76:CB76,1,$AT$1))="云栖松"),"夕照雷峰",IF(AND(配装计算器!$K$30&lt;&gt;"∞",0),"梦泉虎跑-轻",INDEX(AU76:CB76,1,$AT$1))),"")</f>
        <v>鹤归孤山</v>
      </c>
      <c r="C76">
        <f ca="1" t="shared" si="17"/>
        <v>13.71</v>
      </c>
      <c r="D76">
        <f ca="1">IF(B76&lt;&gt;"",IF(C75&lt;=加速!$L$11*(1-E76),0,1),"")</f>
        <v>1</v>
      </c>
      <c r="E76">
        <f ca="1" t="shared" si="13"/>
        <v>1</v>
      </c>
      <c r="G76">
        <f ca="1" t="shared" si="14"/>
        <v>0</v>
      </c>
      <c r="H76">
        <f ca="1">IF(B76&lt;&gt;"",IF(AND(COUNTIF(B75,"*轻*莺鸣柳*")&gt;0,COUNTIF(B76,"*轻*")&lt;1),MAX(0,15+I75-(A76-A75)+COUNTIF(B75,"*平湖*")*0),IF(AND(E76=0,MAX(0,H75-(A76-A75))&lt;=加速!$H$11),0,MAX(0,H75-(A76-A75)))),"")</f>
        <v>0</v>
      </c>
      <c r="I76">
        <f ca="1" t="shared" si="20"/>
        <v>0</v>
      </c>
      <c r="J76">
        <f ca="1" t="shared" si="21"/>
        <v>0</v>
      </c>
      <c r="K76">
        <f ca="1">IF(A76&lt;&gt;"",IF(AND(配装计算器!$K$30&lt;&gt;"∞",0),2,INDEX(AU76:CB76,1,$AT$2)),"")</f>
        <v>1</v>
      </c>
      <c r="L76">
        <f ca="1">IFERROR(IF(AND(COUNTIF(B76,"*-峰插*"),技能数据库!$M$72&gt;0),0,IF(COUNTIF(B76,"*鹤归*")&gt;0,16-加速!$L$11,MAX(0,L75-(A76-A75)))),0)</f>
        <v>14.71</v>
      </c>
      <c r="M76">
        <f ca="1">IF(COUNTIF(IF(AND(配装计算器!$K$30&lt;&gt;"∞",0),INDEX(AU75:CB75,1,$AT$1),INDEX(AU77:CB77,1,$AT$1)),"*鹤归*")=1,L76,0)</f>
        <v>0</v>
      </c>
      <c r="N76">
        <f ca="1">IFERROR(IF(AND(COUNTIF(B76,"*-峰插*"),技能数据库!$M$72&gt;0),0,IF(COUNTIF(B76,"*云飞*")&gt;0,4-COUNTIF(B76,"*玉山揽云*")*4--COUNTIF(B76,"*烟流暮景*")*4-COUNTIF(B76,"*云景*")*加速!$L$11-IF(J76&gt;0,2,0),MAX(0,N75-(A76-A75)-IF(J76&gt;0,2,0)))),0)</f>
        <v>0.129999999999981</v>
      </c>
      <c r="O76">
        <f ca="1">IF(AND(COUNTIF(IF(AND(配装计算器!$K$30&lt;&gt;"∞",0),INDEX(AU75:CB75,1,$AT$1),INDEX(AU77:CB77,1,$AT$1)),"*云飞*")=1,COUNTIF(IF(AND(配装计算器!$K$30&lt;&gt;"∞",0),INDEX(AU75:CB75,1,$AT$1),INDEX(AU77:CB77,1,$AT$1)),"*玉山*")=0),N76,0)</f>
        <v>0.129999999999981</v>
      </c>
      <c r="P76">
        <f ca="1">IFERROR(IF(COUNTIF(B76,"*云栖松*")&gt;0,50-加速!$L$11,MAX(0,P75-(A76-A75))),0)</f>
        <v>0</v>
      </c>
      <c r="Q76">
        <f ca="1">IF(COUNTIF(IF(AND(配装计算器!$K$30&lt;&gt;"∞",0),INDEX(AU75:CB75,1,$AT$1),INDEX(AU77:CB77,1,$AT$1)),"*云栖松*")=1,P76,0)</f>
        <v>0</v>
      </c>
      <c r="R76">
        <f ca="1">IFERROR(IF(COUNTIF(B76,"*莺鸣柳*")&gt;0,45-加速!$L$9,MAX(0,R75-(A76-A75))),0)</f>
        <v>0</v>
      </c>
      <c r="S76">
        <f ca="1">IF(COUNTIF(IF(AND(配装计算器!$K$30&lt;&gt;"∞",0),INDEX(AU75:CB75,1,$AT$1),INDEX(AU77:CB77,1,$AT$1)),"*莺鸣柳*")=1,R76,0)</f>
        <v>0</v>
      </c>
      <c r="T76">
        <f ca="1" t="shared" si="18"/>
        <v>0</v>
      </c>
      <c r="U76">
        <f ca="1">IF(金蛇,IF(COUNTIF(B76,"*金环戴*")+COUNTIF(B76,"*吹风醒*")&gt;0,IF(A76&lt;=3,7.125-2.625-A76-加速!$L$11,A76-T76),0),0)+IF(金蛇,IF(COUNTIF(B76,"*千切子裂光*")&gt;0,2+加速!$K$9-(A76+加速!$L$11-T76),0),0)</f>
        <v>0</v>
      </c>
      <c r="V76">
        <f ca="1" t="shared" si="19"/>
        <v>0.129999999999981</v>
      </c>
      <c r="W76">
        <f ca="1" t="shared" si="11"/>
        <v>0</v>
      </c>
      <c r="X76">
        <f ca="1">INDEX(加速!$I$13:$I$21,技能数计算!W76+1)</f>
        <v>0</v>
      </c>
      <c r="Y76">
        <f ca="1" t="shared" si="15"/>
        <v>0.5</v>
      </c>
      <c r="Z76">
        <f ca="1" t="shared" si="16"/>
        <v>0</v>
      </c>
      <c r="AA76">
        <f ca="1">MAX(0,IFERROR(IF(COUNTIF(B76,"*叠*")&gt;0,IF(AC75&lt;3,8-A77+A76,AA75+6.875-A77+A76),AA75-A77+A76),AA75-加速!$L$11))</f>
        <v>0</v>
      </c>
      <c r="AB76">
        <f ca="1">MAX(0,IF(COUNTIF(IF(AND(配装计算器!$K$30&lt;&gt;"∞",0),INDEX(AU76:CB76,1,$AT$1),INDEX(AU76:CB76,1,$AT$1)),"*叠1*")=1,4*25-加速!$L$11,AB75-A76+A75)-IF(OR(COUNTIF(OFFSET(AT76,0,$AT$1,1,1),"*听雷*")&gt;0,AND(碧归&gt;0,COUNTIF(OFFSET(AT76,0,$AT$1,1,1),"*风来*")&gt;0)),0,1)*1.5)</f>
        <v>0.409999999999997</v>
      </c>
      <c r="AC76">
        <f ca="1" t="shared" si="12"/>
        <v>0</v>
      </c>
      <c r="AD76">
        <f ca="1">IF(COUNTIF(IF(AND(配装计算器!$K$30&lt;&gt;"∞",0),INDEX(AU76:CB76,1,$AT$1),INDEX(AU77:CB77,1,$AT$1)),"*叠1*")=1,AB76*0+AE75,0)</f>
        <v>0</v>
      </c>
      <c r="AE76">
        <f ca="1">IF($AN$11&gt;0,IF(COUNTIF(B77,"*叠1*")&gt;0,50-加速!$H$11,MAX(0,AE75-(A77-A76))),0)</f>
        <v>1.52999999999996</v>
      </c>
      <c r="AH76" t="s">
        <v>1825</v>
      </c>
      <c r="AI76" t="s">
        <v>2902</v>
      </c>
      <c r="AJ76">
        <f ca="1">循环比*COUNTIFS($B$3:$B$515,"*"&amp;AI76&amp;"*",$D$3:$D$515,"&gt;0",$H$3:$H$515,"&gt;0")</f>
        <v>0</v>
      </c>
      <c r="AK76" t="s">
        <v>3044</v>
      </c>
      <c r="AU76" s="176" t="s">
        <v>2768</v>
      </c>
      <c r="AV76">
        <v>1</v>
      </c>
      <c r="AW76" s="176" t="s">
        <v>2776</v>
      </c>
      <c r="AX76">
        <v>2</v>
      </c>
      <c r="AY76" t="s">
        <v>3013</v>
      </c>
      <c r="AZ76">
        <v>2</v>
      </c>
      <c r="BA76" t="s">
        <v>3013</v>
      </c>
      <c r="BB76">
        <v>2</v>
      </c>
      <c r="BC76" t="s">
        <v>2768</v>
      </c>
      <c r="BD76">
        <v>1</v>
      </c>
      <c r="BE76" t="s">
        <v>3023</v>
      </c>
      <c r="BF76">
        <v>2</v>
      </c>
      <c r="BG76" t="s">
        <v>2768</v>
      </c>
      <c r="BH76">
        <v>2</v>
      </c>
      <c r="BI76" s="176" t="s">
        <v>2794</v>
      </c>
      <c r="BJ76">
        <v>1</v>
      </c>
      <c r="BK76" t="s">
        <v>2768</v>
      </c>
      <c r="BL76">
        <v>0</v>
      </c>
      <c r="BM76" t="s">
        <v>3009</v>
      </c>
      <c r="BN76">
        <v>2</v>
      </c>
      <c r="BO76" t="s">
        <v>2768</v>
      </c>
      <c r="BP76">
        <v>2</v>
      </c>
      <c r="BQ76" t="s">
        <v>2776</v>
      </c>
      <c r="BR76">
        <v>1</v>
      </c>
      <c r="BS76" t="s">
        <v>2768</v>
      </c>
      <c r="BT76">
        <v>2</v>
      </c>
      <c r="BU76" t="s">
        <v>3067</v>
      </c>
      <c r="BV76">
        <v>0</v>
      </c>
      <c r="BW76" s="181" t="s">
        <v>2789</v>
      </c>
      <c r="BX76" s="179">
        <v>2</v>
      </c>
      <c r="BY76" t="s">
        <v>3009</v>
      </c>
      <c r="BZ76">
        <v>2</v>
      </c>
      <c r="CA76" t="s">
        <v>3009</v>
      </c>
      <c r="CB76">
        <v>2</v>
      </c>
    </row>
    <row r="77" spans="1:80">
      <c r="A77" s="178">
        <f ca="1">IFERROR(IF(A76+加速!$L$11&lt;$AS$1,IF(COUNTIF(B76,"*轻*")&gt;0,A76+加速!$L$9,A76+加速!$L$11)+V76,IF(COUNTIF(INDEX(AU77:CB77,1,$AT$1),"*云景*")+COUNTIF(INDEX(AU77:CB77,1,$AT$1),"*鹤归*")+COUNTIF(INDEX(AU77:CB77,1,$AT$1),"*听雷*")&gt;0,A76+加速!$L$11,"")),"")</f>
        <v>97.26</v>
      </c>
      <c r="B77" s="167" t="str">
        <f ca="1">IF(A77&lt;&gt;"",IF(AND(A77+加速!$L$11&gt;$AS$1,IF(AND(配装计算器!$K$30&lt;&gt;"∞",0),"梦泉虎跑-轻",INDEX(AU77:CB77,1,$AT$1))="云栖松"),"夕照雷峰",IF(AND(配装计算器!$K$30&lt;&gt;"∞",0),"梦泉虎跑-轻",INDEX(AU77:CB77,1,$AT$1))),"")</f>
        <v>云飞玉皇</v>
      </c>
      <c r="C77">
        <f ca="1" t="shared" si="17"/>
        <v>12.29</v>
      </c>
      <c r="D77">
        <f ca="1">IF(B77&lt;&gt;"",IF(C76&lt;=加速!$L$11*(1-E77),0,1),"")</f>
        <v>1</v>
      </c>
      <c r="E77">
        <f ca="1" t="shared" si="13"/>
        <v>0</v>
      </c>
      <c r="G77">
        <f ca="1" t="shared" si="14"/>
        <v>0</v>
      </c>
      <c r="H77">
        <f ca="1">IF(B77&lt;&gt;"",IF(AND(COUNTIF(B76,"*轻*莺鸣柳*")&gt;0,COUNTIF(B77,"*轻*")&lt;1),MAX(0,15+I76-(A77-A76)+COUNTIF(B76,"*平湖*")*0),IF(AND(E77=0,MAX(0,H76-(A77-A76))&lt;=加速!$H$11),0,MAX(0,H76-(A77-A76)))),"")</f>
        <v>0</v>
      </c>
      <c r="I77">
        <f ca="1" t="shared" si="20"/>
        <v>0</v>
      </c>
      <c r="J77">
        <f ca="1" t="shared" si="21"/>
        <v>4</v>
      </c>
      <c r="K77">
        <f ca="1">IF(A77&lt;&gt;"",IF(AND(配装计算器!$K$30&lt;&gt;"∞",0),2,INDEX(AU77:CB77,1,$AT$2)),"")</f>
        <v>1</v>
      </c>
      <c r="L77">
        <f ca="1">IFERROR(IF(AND(COUNTIF(B77,"*-峰插*"),技能数据库!$M$72&gt;0),0,IF(COUNTIF(B77,"*鹤归*")&gt;0,16-加速!$L$11,MAX(0,L76-(A77-A76)))),0)</f>
        <v>13.29</v>
      </c>
      <c r="M77">
        <f ca="1">IF(COUNTIF(IF(AND(配装计算器!$K$30&lt;&gt;"∞",0),INDEX(AU76:CB76,1,$AT$1),INDEX(AU78:CB78,1,$AT$1)),"*鹤归*")=1,L77,0)</f>
        <v>0</v>
      </c>
      <c r="N77">
        <f ca="1">IFERROR(IF(AND(COUNTIF(B77,"*-峰插*"),技能数据库!$M$72&gt;0),0,IF(COUNTIF(B77,"*云飞*")&gt;0,4-COUNTIF(B77,"*玉山揽云*")*4--COUNTIF(B77,"*烟流暮景*")*4-COUNTIF(B77,"*云景*")*加速!$L$11-IF(J77&gt;0,2,0),MAX(0,N76-(A77-A76)-IF(J77&gt;0,2,0)))),0)</f>
        <v>2</v>
      </c>
      <c r="O77">
        <f ca="1">IF(AND(COUNTIF(IF(AND(配装计算器!$K$30&lt;&gt;"∞",0),INDEX(AU76:CB76,1,$AT$1),INDEX(AU78:CB78,1,$AT$1)),"*云飞*")=1,COUNTIF(IF(AND(配装计算器!$K$30&lt;&gt;"∞",0),INDEX(AU76:CB76,1,$AT$1),INDEX(AU78:CB78,1,$AT$1)),"*玉山*")=0),N77,0)</f>
        <v>0</v>
      </c>
      <c r="P77">
        <f ca="1">IFERROR(IF(COUNTIF(B77,"*云栖松*")&gt;0,50-加速!$L$11,MAX(0,P76-(A77-A76))),0)</f>
        <v>0</v>
      </c>
      <c r="Q77">
        <f ca="1">IF(COUNTIF(IF(AND(配装计算器!$K$30&lt;&gt;"∞",0),INDEX(AU76:CB76,1,$AT$1),INDEX(AU78:CB78,1,$AT$1)),"*云栖松*")=1,P77,0)</f>
        <v>0</v>
      </c>
      <c r="R77">
        <f ca="1">IFERROR(IF(COUNTIF(B77,"*莺鸣柳*")&gt;0,45-加速!$L$9,MAX(0,R76-(A77-A76))),0)</f>
        <v>0</v>
      </c>
      <c r="S77">
        <f ca="1">IF(COUNTIF(IF(AND(配装计算器!$K$30&lt;&gt;"∞",0),INDEX(AU76:CB76,1,$AT$1),INDEX(AU78:CB78,1,$AT$1)),"*莺鸣柳*")=1,R77,0)</f>
        <v>0</v>
      </c>
      <c r="T77">
        <f ca="1" t="shared" si="18"/>
        <v>0</v>
      </c>
      <c r="U77">
        <f ca="1">IF(金蛇,IF(COUNTIF(B77,"*金环戴*")+COUNTIF(B77,"*吹风醒*")&gt;0,IF(A77&lt;=3,7.125-2.625-A77-加速!$L$11,A77-T77),0),0)+IF(金蛇,IF(COUNTIF(B77,"*千切子裂光*")&gt;0,2+加速!$K$9-(A77+加速!$L$11-T77),0),0)</f>
        <v>0</v>
      </c>
      <c r="V77">
        <f ca="1" t="shared" si="19"/>
        <v>0</v>
      </c>
      <c r="W77">
        <f ca="1" t="shared" si="11"/>
        <v>0</v>
      </c>
      <c r="X77">
        <f ca="1">INDEX(加速!$I$13:$I$21,技能数计算!W77+1)</f>
        <v>0</v>
      </c>
      <c r="Y77">
        <f ca="1" t="shared" si="15"/>
        <v>0.5</v>
      </c>
      <c r="Z77">
        <f ca="1" t="shared" si="16"/>
        <v>0</v>
      </c>
      <c r="AA77">
        <f ca="1">MAX(0,IFERROR(IF(COUNTIF(B77,"*叠*")&gt;0,IF(AC76&lt;3,8-A78+A77,AA76+6.875-A78+A77),AA76-A78+A77),AA76-加速!$L$11))</f>
        <v>0</v>
      </c>
      <c r="AB77">
        <f ca="1">MAX(0,IF(COUNTIF(IF(AND(配装计算器!$K$30&lt;&gt;"∞",0),INDEX(AU77:CB77,1,$AT$1),INDEX(AU77:CB77,1,$AT$1)),"*叠1*")=1,4*25-加速!$L$11,AB76-A77+A76)-IF(OR(COUNTIF(OFFSET(AT77,0,$AT$1,1,1),"*听雷*")&gt;0,AND(碧归&gt;0,COUNTIF(OFFSET(AT77,0,$AT$1,1,1),"*风来*")&gt;0)),0,1)*1.5)</f>
        <v>0</v>
      </c>
      <c r="AC77">
        <f ca="1" t="shared" si="12"/>
        <v>0</v>
      </c>
      <c r="AD77">
        <f ca="1">IF(COUNTIF(IF(AND(配装计算器!$K$30&lt;&gt;"∞",0),INDEX(AU77:CB77,1,$AT$1),INDEX(AU78:CB78,1,$AT$1)),"*叠1*")=1,AB77*0+AE76,0)</f>
        <v>0</v>
      </c>
      <c r="AE77">
        <f ca="1">IF($AN$11&gt;0,IF(COUNTIF(B78,"*叠1*")&gt;0,50-加速!$H$11,MAX(0,AE76-(A78-A77))),0)</f>
        <v>0.239999999999952</v>
      </c>
      <c r="AH77" t="s">
        <v>1825</v>
      </c>
      <c r="AI77" t="s">
        <v>2906</v>
      </c>
      <c r="AJ77">
        <f ca="1">循环比*COUNTIFS($B$3:$B$515,"*"&amp;AI77&amp;"*",$D$3:$D$515,"&gt;0",$H$3:$H$515,"=0",$AC$3:$AC$515,"=0")</f>
        <v>0</v>
      </c>
      <c r="AK77" t="s">
        <v>2750</v>
      </c>
      <c r="AU77" s="176" t="s">
        <v>2776</v>
      </c>
      <c r="AV77">
        <v>1</v>
      </c>
      <c r="AW77" s="176" t="s">
        <v>2768</v>
      </c>
      <c r="AX77">
        <v>2</v>
      </c>
      <c r="AY77" t="s">
        <v>3017</v>
      </c>
      <c r="AZ77">
        <v>2</v>
      </c>
      <c r="BA77" t="s">
        <v>3017</v>
      </c>
      <c r="BB77">
        <v>2</v>
      </c>
      <c r="BC77" t="s">
        <v>2768</v>
      </c>
      <c r="BD77">
        <v>0</v>
      </c>
      <c r="BE77" s="182" t="s">
        <v>2768</v>
      </c>
      <c r="BF77">
        <v>2</v>
      </c>
      <c r="BG77" t="s">
        <v>3018</v>
      </c>
      <c r="BH77">
        <v>2</v>
      </c>
      <c r="BI77" t="s">
        <v>2776</v>
      </c>
      <c r="BJ77">
        <v>1</v>
      </c>
      <c r="BK77" t="s">
        <v>3067</v>
      </c>
      <c r="BL77">
        <v>2</v>
      </c>
      <c r="BM77" t="s">
        <v>2776</v>
      </c>
      <c r="BN77">
        <v>2</v>
      </c>
      <c r="BO77" s="180" t="s">
        <v>2789</v>
      </c>
      <c r="BP77">
        <v>2</v>
      </c>
      <c r="BQ77" t="s">
        <v>2768</v>
      </c>
      <c r="BR77">
        <v>1</v>
      </c>
      <c r="BS77" t="s">
        <v>2776</v>
      </c>
      <c r="BT77">
        <v>2</v>
      </c>
      <c r="BU77" t="s">
        <v>2768</v>
      </c>
      <c r="BV77">
        <v>2</v>
      </c>
      <c r="BW77" s="182" t="s">
        <v>2794</v>
      </c>
      <c r="BX77" s="179">
        <v>2</v>
      </c>
      <c r="BY77" t="s">
        <v>2768</v>
      </c>
      <c r="BZ77">
        <v>2</v>
      </c>
      <c r="CA77" s="176" t="s">
        <v>2794</v>
      </c>
      <c r="CB77">
        <v>2</v>
      </c>
    </row>
    <row r="78" spans="1:80">
      <c r="A78" s="178">
        <f ca="1">IFERROR(IF(A77+加速!$L$11&lt;$AS$1,IF(COUNTIF(B77,"*轻*")&gt;0,A77+加速!$L$9,A77+加速!$L$11)+V77,IF(COUNTIF(INDEX(AU78:CB78,1,$AT$1),"*云景*")+COUNTIF(INDEX(AU78:CB78,1,$AT$1),"*鹤归*")+COUNTIF(INDEX(AU78:CB78,1,$AT$1),"*听雷*")&gt;0,A77+加速!$L$11,"")),"")</f>
        <v>98.5500000000001</v>
      </c>
      <c r="B78" s="167" t="str">
        <f ca="1">IF(A78&lt;&gt;"",IF(AND(A78+加速!$L$11&gt;$AS$1,IF(AND(配装计算器!$K$30&lt;&gt;"∞",0),"梦泉虎跑-轻",INDEX(AU78:CB78,1,$AT$1))="云栖松"),"夕照雷峰",IF(AND(配装计算器!$K$30&lt;&gt;"∞",0),"梦泉虎跑-轻",INDEX(AU78:CB78,1,$AT$1))),"")</f>
        <v>夕照雷峰</v>
      </c>
      <c r="C78">
        <f ca="1" t="shared" si="17"/>
        <v>15</v>
      </c>
      <c r="D78">
        <f ca="1">IF(B78&lt;&gt;"",IF(C77&lt;=加速!$L$11*(1-E78),0,1),"")</f>
        <v>1</v>
      </c>
      <c r="E78">
        <f ca="1" t="shared" si="13"/>
        <v>0</v>
      </c>
      <c r="G78">
        <f ca="1" t="shared" si="14"/>
        <v>0</v>
      </c>
      <c r="H78">
        <f ca="1">IF(B78&lt;&gt;"",IF(AND(COUNTIF(B77,"*轻*莺鸣柳*")&gt;0,COUNTIF(B78,"*轻*")&lt;1),MAX(0,15+I77-(A78-A77)+COUNTIF(B77,"*平湖*")*0),IF(AND(E78=0,MAX(0,H77-(A78-A77))&lt;=加速!$H$11),0,MAX(0,H77-(A78-A77)))),"")</f>
        <v>0</v>
      </c>
      <c r="I78">
        <f ca="1" t="shared" si="20"/>
        <v>0</v>
      </c>
      <c r="J78">
        <f ca="1" t="shared" si="21"/>
        <v>3</v>
      </c>
      <c r="K78">
        <f ca="1">IF(A78&lt;&gt;"",IF(AND(配装计算器!$K$30&lt;&gt;"∞",0),2,INDEX(AU78:CB78,1,$AT$2)),"")</f>
        <v>0</v>
      </c>
      <c r="L78">
        <f ca="1">IFERROR(IF(AND(COUNTIF(B78,"*-峰插*"),技能数据库!$M$72&gt;0),0,IF(COUNTIF(B78,"*鹤归*")&gt;0,16-加速!$L$11,MAX(0,L77-(A78-A77)))),0)</f>
        <v>12</v>
      </c>
      <c r="M78">
        <f ca="1">IF(COUNTIF(IF(AND(配装计算器!$K$30&lt;&gt;"∞",0),INDEX(AU77:CB77,1,$AT$1),INDEX(AU79:CB79,1,$AT$1)),"*鹤归*")=1,L78,0)</f>
        <v>0</v>
      </c>
      <c r="N78">
        <f ca="1">IFERROR(IF(AND(COUNTIF(B78,"*-峰插*"),技能数据库!$M$72&gt;0),0,IF(COUNTIF(B78,"*云飞*")&gt;0,4-COUNTIF(B78,"*玉山揽云*")*4--COUNTIF(B78,"*烟流暮景*")*4-COUNTIF(B78,"*云景*")*加速!$L$11-IF(J78&gt;0,2,0),MAX(0,N77-(A78-A77)-IF(J78&gt;0,2,0)))),0)</f>
        <v>0</v>
      </c>
      <c r="O78">
        <f ca="1">IF(AND(COUNTIF(IF(AND(配装计算器!$K$30&lt;&gt;"∞",0),INDEX(AU77:CB77,1,$AT$1),INDEX(AU79:CB79,1,$AT$1)),"*云飞*")=1,COUNTIF(IF(AND(配装计算器!$K$30&lt;&gt;"∞",0),INDEX(AU77:CB77,1,$AT$1),INDEX(AU79:CB79,1,$AT$1)),"*玉山*")=0),N78,0)</f>
        <v>0</v>
      </c>
      <c r="P78">
        <f ca="1">IFERROR(IF(COUNTIF(B78,"*云栖松*")&gt;0,50-加速!$L$11,MAX(0,P77-(A78-A77))),0)</f>
        <v>0</v>
      </c>
      <c r="Q78">
        <f ca="1">IF(COUNTIF(IF(AND(配装计算器!$K$30&lt;&gt;"∞",0),INDEX(AU77:CB77,1,$AT$1),INDEX(AU79:CB79,1,$AT$1)),"*云栖松*")=1,P78,0)</f>
        <v>0</v>
      </c>
      <c r="R78">
        <f ca="1">IFERROR(IF(COUNTIF(B78,"*莺鸣柳*")&gt;0,45-加速!$L$9,MAX(0,R77-(A78-A77))),0)</f>
        <v>0</v>
      </c>
      <c r="S78">
        <f ca="1">IF(COUNTIF(IF(AND(配装计算器!$K$30&lt;&gt;"∞",0),INDEX(AU77:CB77,1,$AT$1),INDEX(AU79:CB79,1,$AT$1)),"*莺鸣柳*")=1,R78,0)</f>
        <v>0</v>
      </c>
      <c r="T78">
        <f ca="1" t="shared" si="18"/>
        <v>0</v>
      </c>
      <c r="U78">
        <f ca="1">IF(金蛇,IF(COUNTIF(B78,"*金环戴*")+COUNTIF(B78,"*吹风醒*")&gt;0,IF(A78&lt;=3,7.125-2.625-A78-加速!$L$11,A78-T78),0),0)+IF(金蛇,IF(COUNTIF(B78,"*千切子裂光*")&gt;0,2+加速!$K$9-(A78+加速!$L$11-T78),0),0)</f>
        <v>0</v>
      </c>
      <c r="V78">
        <f ca="1" t="shared" si="19"/>
        <v>0.239999999999952</v>
      </c>
      <c r="W78">
        <f ca="1" t="shared" si="11"/>
        <v>0</v>
      </c>
      <c r="X78">
        <f ca="1">INDEX(加速!$I$13:$I$21,技能数计算!W78+1)</f>
        <v>0</v>
      </c>
      <c r="Y78">
        <f ca="1" t="shared" si="15"/>
        <v>0.5</v>
      </c>
      <c r="Z78">
        <f ca="1" t="shared" si="16"/>
        <v>0</v>
      </c>
      <c r="AA78">
        <f ca="1">MAX(0,IFERROR(IF(COUNTIF(B78,"*叠*")&gt;0,IF(AC77&lt;3,8-A79+A78,AA77+6.875-A79+A78),AA77-A79+A78),AA77-加速!$L$11))</f>
        <v>0</v>
      </c>
      <c r="AB78">
        <f ca="1">MAX(0,IF(COUNTIF(IF(AND(配装计算器!$K$30&lt;&gt;"∞",0),INDEX(AU78:CB78,1,$AT$1),INDEX(AU78:CB78,1,$AT$1)),"*叠1*")=1,4*25-加速!$L$11,AB77-A78+A77)-IF(OR(COUNTIF(OFFSET(AT78,0,$AT$1,1,1),"*听雷*")&gt;0,AND(碧归&gt;0,COUNTIF(OFFSET(AT78,0,$AT$1,1,1),"*风来*")&gt;0)),0,1)*1.5)</f>
        <v>0</v>
      </c>
      <c r="AC78">
        <f ca="1" t="shared" si="12"/>
        <v>0</v>
      </c>
      <c r="AD78">
        <f ca="1">IF(COUNTIF(IF(AND(配装计算器!$K$30&lt;&gt;"∞",0),INDEX(AU78:CB78,1,$AT$1),INDEX(AU79:CB79,1,$AT$1)),"*叠1*")=1,AB78*0+AE77,0)</f>
        <v>0.239999999999952</v>
      </c>
      <c r="AE78">
        <f ca="1">IF($AN$11&gt;0,IF(COUNTIF(B79,"*叠1*")&gt;0,50-加速!$H$11,MAX(0,AE77-(A79-A78))),0)</f>
        <v>48.75</v>
      </c>
      <c r="AH78" t="s">
        <v>1825</v>
      </c>
      <c r="AI78" t="s">
        <v>2906</v>
      </c>
      <c r="AJ78">
        <f ca="1">循环比*COUNTIFS($B$3:$B$515,"*"&amp;AI78&amp;"*",$D$3:$D$515,"&gt;0",$H$3:$H$515,"&gt;0")</f>
        <v>0</v>
      </c>
      <c r="AK78" t="s">
        <v>3044</v>
      </c>
      <c r="AU78" t="s">
        <v>2722</v>
      </c>
      <c r="AV78">
        <v>0</v>
      </c>
      <c r="AW78" s="176" t="s">
        <v>2776</v>
      </c>
      <c r="AX78">
        <v>2</v>
      </c>
      <c r="AY78" t="s">
        <v>2808</v>
      </c>
      <c r="AZ78">
        <v>2</v>
      </c>
      <c r="BA78" t="s">
        <v>2808</v>
      </c>
      <c r="BB78">
        <v>2</v>
      </c>
      <c r="BC78" t="s">
        <v>2768</v>
      </c>
      <c r="BD78">
        <v>0</v>
      </c>
      <c r="BE78" s="176" t="s">
        <v>2768</v>
      </c>
      <c r="BF78">
        <v>2</v>
      </c>
      <c r="BG78" t="s">
        <v>2768</v>
      </c>
      <c r="BH78">
        <v>2</v>
      </c>
      <c r="BI78" t="s">
        <v>2768</v>
      </c>
      <c r="BJ78">
        <v>0</v>
      </c>
      <c r="BK78" s="176" t="s">
        <v>2768</v>
      </c>
      <c r="BL78">
        <v>2</v>
      </c>
      <c r="BM78" t="s">
        <v>2768</v>
      </c>
      <c r="BN78">
        <v>2</v>
      </c>
      <c r="BO78" s="176" t="s">
        <v>2794</v>
      </c>
      <c r="BP78">
        <v>2</v>
      </c>
      <c r="BQ78" t="s">
        <v>2768</v>
      </c>
      <c r="BR78">
        <v>0</v>
      </c>
      <c r="BS78" t="s">
        <v>2768</v>
      </c>
      <c r="BT78">
        <v>2</v>
      </c>
      <c r="BU78" t="s">
        <v>2768</v>
      </c>
      <c r="BV78">
        <v>2</v>
      </c>
      <c r="BW78" s="182" t="s">
        <v>2776</v>
      </c>
      <c r="BX78" s="179">
        <v>2</v>
      </c>
      <c r="BY78" t="s">
        <v>2776</v>
      </c>
      <c r="BZ78">
        <v>2</v>
      </c>
      <c r="CA78" s="176" t="s">
        <v>2776</v>
      </c>
      <c r="CB78">
        <v>2</v>
      </c>
    </row>
    <row r="79" spans="1:80">
      <c r="A79" s="178">
        <f ca="1">IFERROR(IF(A78+加速!$L$11&lt;$AS$1,IF(COUNTIF(B78,"*轻*")&gt;0,A78+加速!$L$9,A78+加速!$L$11)+V78,IF(COUNTIF(INDEX(AU79:CB79,1,$AT$1),"*云景*")+COUNTIF(INDEX(AU79:CB79,1,$AT$1),"*鹤归*")+COUNTIF(INDEX(AU79:CB79,1,$AT$1),"*听雷*")&gt;0,A78+加速!$L$11,"")),"")</f>
        <v>100.08</v>
      </c>
      <c r="B79" s="167" t="str">
        <f ca="1">IF(A79&lt;&gt;"",IF(AND(A79+加速!$L$11&gt;$AS$1,IF(AND(配装计算器!$K$30&lt;&gt;"∞",0),"梦泉虎跑-轻",INDEX(AU79:CB79,1,$AT$1))="云栖松"),"夕照雷峰",IF(AND(配装计算器!$K$30&lt;&gt;"∞",0),"梦泉虎跑-轻",INDEX(AU79:CB79,1,$AT$1))),"")</f>
        <v>叠1-云飞玉皇</v>
      </c>
      <c r="C79">
        <f ca="1" t="shared" si="17"/>
        <v>13.47</v>
      </c>
      <c r="D79">
        <f ca="1">IF(B79&lt;&gt;"",IF(C78&lt;=加速!$L$11*(1-E79),0,1),"")</f>
        <v>1</v>
      </c>
      <c r="E79">
        <f ca="1" t="shared" si="13"/>
        <v>1</v>
      </c>
      <c r="G79">
        <f ca="1" t="shared" si="14"/>
        <v>0</v>
      </c>
      <c r="H79">
        <f ca="1">IF(B79&lt;&gt;"",IF(AND(COUNTIF(B78,"*轻*莺鸣柳*")&gt;0,COUNTIF(B79,"*轻*")&lt;1),MAX(0,15+I78-(A79-A78)+COUNTIF(B78,"*平湖*")*0),IF(AND(E79=0,MAX(0,H78-(A79-A78))&lt;=加速!$H$11),0,MAX(0,H78-(A79-A78)))),"")</f>
        <v>0</v>
      </c>
      <c r="I79">
        <f ca="1" t="shared" si="20"/>
        <v>0</v>
      </c>
      <c r="J79">
        <f ca="1" t="shared" si="21"/>
        <v>2</v>
      </c>
      <c r="K79">
        <f ca="1">IF(A79&lt;&gt;"",IF(AND(配装计算器!$K$30&lt;&gt;"∞",0),2,INDEX(AU79:CB79,1,$AT$2)),"")</f>
        <v>2</v>
      </c>
      <c r="L79">
        <f ca="1">IFERROR(IF(AND(COUNTIF(B79,"*-峰插*"),技能数据库!$M$72&gt;0),0,IF(COUNTIF(B79,"*鹤归*")&gt;0,16-加速!$L$11,MAX(0,L78-(A79-A78)))),0)</f>
        <v>10.47</v>
      </c>
      <c r="M79">
        <f ca="1">IF(COUNTIF(IF(AND(配装计算器!$K$30&lt;&gt;"∞",0),INDEX(AU78:CB78,1,$AT$1),INDEX(AU80:CB80,1,$AT$1)),"*鹤归*")=1,L79,0)</f>
        <v>0</v>
      </c>
      <c r="N79">
        <f ca="1">IFERROR(IF(AND(COUNTIF(B79,"*-峰插*"),技能数据库!$M$72&gt;0),0,IF(COUNTIF(B79,"*云飞*")&gt;0,4-COUNTIF(B79,"*玉山揽云*")*4--COUNTIF(B79,"*烟流暮景*")*4-COUNTIF(B79,"*云景*")*加速!$L$11-IF(J79&gt;0,2,0),MAX(0,N78-(A79-A78)-IF(J79&gt;0,2,0)))),0)</f>
        <v>2</v>
      </c>
      <c r="O79">
        <f ca="1">IF(AND(COUNTIF(IF(AND(配装计算器!$K$30&lt;&gt;"∞",0),INDEX(AU78:CB78,1,$AT$1),INDEX(AU80:CB80,1,$AT$1)),"*云飞*")=1,COUNTIF(IF(AND(配装计算器!$K$30&lt;&gt;"∞",0),INDEX(AU78:CB78,1,$AT$1),INDEX(AU80:CB80,1,$AT$1)),"*玉山*")=0),N79,0)</f>
        <v>0</v>
      </c>
      <c r="P79">
        <f ca="1">IFERROR(IF(COUNTIF(B79,"*云栖松*")&gt;0,50-加速!$L$11,MAX(0,P78-(A79-A78))),0)</f>
        <v>0</v>
      </c>
      <c r="Q79">
        <f ca="1">IF(COUNTIF(IF(AND(配装计算器!$K$30&lt;&gt;"∞",0),INDEX(AU78:CB78,1,$AT$1),INDEX(AU80:CB80,1,$AT$1)),"*云栖松*")=1,P79,0)</f>
        <v>0</v>
      </c>
      <c r="R79">
        <f ca="1">IFERROR(IF(COUNTIF(B79,"*莺鸣柳*")&gt;0,45-加速!$L$9,MAX(0,R78-(A79-A78))),0)</f>
        <v>0</v>
      </c>
      <c r="S79">
        <f ca="1">IF(COUNTIF(IF(AND(配装计算器!$K$30&lt;&gt;"∞",0),INDEX(AU78:CB78,1,$AT$1),INDEX(AU80:CB80,1,$AT$1)),"*莺鸣柳*")=1,R79,0)</f>
        <v>0</v>
      </c>
      <c r="T79">
        <f ca="1" t="shared" si="18"/>
        <v>0</v>
      </c>
      <c r="U79">
        <f ca="1">IF(金蛇,IF(COUNTIF(B79,"*金环戴*")+COUNTIF(B79,"*吹风醒*")&gt;0,IF(A79&lt;=3,7.125-2.625-A79-加速!$L$11,A79-T79),0),0)+IF(金蛇,IF(COUNTIF(B79,"*千切子裂光*")&gt;0,2+加速!$K$9-(A79+加速!$L$11-T79),0),0)</f>
        <v>0</v>
      </c>
      <c r="V79">
        <f ca="1" t="shared" si="19"/>
        <v>0</v>
      </c>
      <c r="W79">
        <f ca="1" t="shared" si="11"/>
        <v>0</v>
      </c>
      <c r="X79">
        <f ca="1">INDEX(加速!$I$13:$I$21,技能数计算!W79+1)</f>
        <v>0</v>
      </c>
      <c r="Y79">
        <f ca="1" t="shared" si="15"/>
        <v>0.5</v>
      </c>
      <c r="Z79">
        <f ca="1" t="shared" si="16"/>
        <v>0</v>
      </c>
      <c r="AA79">
        <f ca="1">MAX(0,IFERROR(IF(COUNTIF(B79,"*叠*")&gt;0,IF(AC78&lt;3,8-A80+A79,AA78+6.875-A80+A79),AA78-A80+A79),AA78-加速!$L$11))</f>
        <v>6.70999999999999</v>
      </c>
      <c r="AB79">
        <f ca="1">MAX(0,IF(COUNTIF(IF(AND(配装计算器!$K$30&lt;&gt;"∞",0),INDEX(AU79:CB79,1,$AT$1),INDEX(AU79:CB79,1,$AT$1)),"*叠1*")=1,4*25-加速!$L$11,AB78-A79+A78)-IF(OR(COUNTIF(OFFSET(AT79,0,$AT$1,1,1),"*听雷*")&gt;0,AND(碧归&gt;0,COUNTIF(OFFSET(AT79,0,$AT$1,1,1),"*风来*")&gt;0)),0,1)*1.5)</f>
        <v>97.21</v>
      </c>
      <c r="AC79">
        <f ca="1" t="shared" si="12"/>
        <v>1</v>
      </c>
      <c r="AD79">
        <f ca="1">IF(COUNTIF(IF(AND(配装计算器!$K$30&lt;&gt;"∞",0),INDEX(AU79:CB79,1,$AT$1),INDEX(AU80:CB80,1,$AT$1)),"*叠1*")=1,AB79*0+AE78,0)</f>
        <v>0</v>
      </c>
      <c r="AE79">
        <f ca="1">IF($AN$11&gt;0,IF(COUNTIF(B80,"*叠1*")&gt;0,50-加速!$H$11,MAX(0,AE78-(A80-A79))),0)</f>
        <v>47.46</v>
      </c>
      <c r="AH79" t="s">
        <v>1825</v>
      </c>
      <c r="AI79" t="s">
        <v>2827</v>
      </c>
      <c r="AJ79">
        <f ca="1">AN46</f>
        <v>23.0849609375</v>
      </c>
      <c r="AK79" t="s">
        <v>2750</v>
      </c>
      <c r="AU79" t="s">
        <v>3009</v>
      </c>
      <c r="AV79">
        <v>2</v>
      </c>
      <c r="AW79" s="176" t="s">
        <v>2768</v>
      </c>
      <c r="AX79">
        <v>2</v>
      </c>
      <c r="AY79" t="s">
        <v>3022</v>
      </c>
      <c r="AZ79">
        <v>2</v>
      </c>
      <c r="BA79" t="s">
        <v>3022</v>
      </c>
      <c r="BB79">
        <v>2</v>
      </c>
      <c r="BC79" t="s">
        <v>3010</v>
      </c>
      <c r="BD79">
        <v>2</v>
      </c>
      <c r="BE79" s="176" t="s">
        <v>2789</v>
      </c>
      <c r="BF79">
        <v>2</v>
      </c>
      <c r="BG79" s="182" t="s">
        <v>3023</v>
      </c>
      <c r="BH79">
        <v>2</v>
      </c>
      <c r="BI79" t="s">
        <v>3011</v>
      </c>
      <c r="BJ79">
        <v>2</v>
      </c>
      <c r="BK79" s="176" t="s">
        <v>2776</v>
      </c>
      <c r="BL79">
        <v>2</v>
      </c>
      <c r="BM79" s="180" t="s">
        <v>2789</v>
      </c>
      <c r="BN79">
        <v>2</v>
      </c>
      <c r="BO79" s="176" t="s">
        <v>2776</v>
      </c>
      <c r="BP79">
        <v>2</v>
      </c>
      <c r="BQ79" t="s">
        <v>3010</v>
      </c>
      <c r="BR79">
        <v>2</v>
      </c>
      <c r="BS79" t="s">
        <v>2768</v>
      </c>
      <c r="BT79">
        <v>1</v>
      </c>
      <c r="BU79" s="176" t="s">
        <v>2794</v>
      </c>
      <c r="BV79">
        <v>1</v>
      </c>
      <c r="BW79" s="182" t="s">
        <v>2768</v>
      </c>
      <c r="BX79" s="179">
        <v>2</v>
      </c>
      <c r="BY79" t="s">
        <v>2768</v>
      </c>
      <c r="BZ79">
        <v>2</v>
      </c>
      <c r="CA79" s="176" t="s">
        <v>2768</v>
      </c>
      <c r="CB79">
        <v>2</v>
      </c>
    </row>
    <row r="80" spans="1:80">
      <c r="A80" s="178">
        <f ca="1">IFERROR(IF(A79+加速!$L$11&lt;$AS$1,IF(COUNTIF(B79,"*轻*")&gt;0,A79+加速!$L$9,A79+加速!$L$11)+V79,IF(COUNTIF(INDEX(AU80:CB80,1,$AT$1),"*云景*")+COUNTIF(INDEX(AU80:CB80,1,$AT$1),"*鹤归*")+COUNTIF(INDEX(AU80:CB80,1,$AT$1),"*听雷*")&gt;0,A79+加速!$L$11,"")),"")</f>
        <v>101.37</v>
      </c>
      <c r="B80" s="167" t="str">
        <f ca="1">IF(A80&lt;&gt;"",IF(AND(A80+加速!$L$11&gt;$AS$1,IF(AND(配装计算器!$K$30&lt;&gt;"∞",0),"梦泉虎跑-轻",INDEX(AU80:CB80,1,$AT$1))="云栖松"),"夕照雷峰",IF(AND(配装计算器!$K$30&lt;&gt;"∞",0),"梦泉虎跑-轻",INDEX(AU80:CB80,1,$AT$1))),"")</f>
        <v>夕照雷峰</v>
      </c>
      <c r="C80">
        <f ca="1" t="shared" si="17"/>
        <v>15</v>
      </c>
      <c r="D80">
        <f ca="1">IF(B80&lt;&gt;"",IF(C79&lt;=加速!$L$11*(1-E80),0,1),"")</f>
        <v>1</v>
      </c>
      <c r="E80">
        <f ca="1" t="shared" si="13"/>
        <v>0</v>
      </c>
      <c r="G80">
        <f ca="1" t="shared" si="14"/>
        <v>0</v>
      </c>
      <c r="H80">
        <f ca="1">IF(B80&lt;&gt;"",IF(AND(COUNTIF(B79,"*轻*莺鸣柳*")&gt;0,COUNTIF(B80,"*轻*")&lt;1),MAX(0,15+I79-(A80-A79)+COUNTIF(B79,"*平湖*")*0),IF(AND(E80=0,MAX(0,H79-(A80-A79))&lt;=加速!$H$11),0,MAX(0,H79-(A80-A79)))),"")</f>
        <v>0</v>
      </c>
      <c r="I80">
        <f ca="1" t="shared" si="20"/>
        <v>0</v>
      </c>
      <c r="J80">
        <f ca="1" t="shared" si="21"/>
        <v>1</v>
      </c>
      <c r="K80">
        <f ca="1">IF(A80&lt;&gt;"",IF(AND(配装计算器!$K$30&lt;&gt;"∞",0),2,INDEX(AU80:CB80,1,$AT$2)),"")</f>
        <v>2</v>
      </c>
      <c r="L80">
        <f ca="1">IFERROR(IF(AND(COUNTIF(B80,"*-峰插*"),技能数据库!$M$72&gt;0),0,IF(COUNTIF(B80,"*鹤归*")&gt;0,16-加速!$L$11,MAX(0,L79-(A80-A79)))),0)</f>
        <v>9.18000000000004</v>
      </c>
      <c r="M80">
        <f ca="1">IF(COUNTIF(IF(AND(配装计算器!$K$30&lt;&gt;"∞",0),INDEX(AU79:CB79,1,$AT$1),INDEX(AU81:CB81,1,$AT$1)),"*鹤归*")=1,L80,0)</f>
        <v>0</v>
      </c>
      <c r="N80">
        <f ca="1">IFERROR(IF(AND(COUNTIF(B80,"*-峰插*"),技能数据库!$M$72&gt;0),0,IF(COUNTIF(B80,"*云飞*")&gt;0,4-COUNTIF(B80,"*玉山揽云*")*4--COUNTIF(B80,"*烟流暮景*")*4-COUNTIF(B80,"*云景*")*加速!$L$11-IF(J80&gt;0,2,0),MAX(0,N79-(A80-A79)-IF(J80&gt;0,2,0)))),0)</f>
        <v>0</v>
      </c>
      <c r="O80">
        <f ca="1">IF(AND(COUNTIF(IF(AND(配装计算器!$K$30&lt;&gt;"∞",0),INDEX(AU79:CB79,1,$AT$1),INDEX(AU81:CB81,1,$AT$1)),"*云飞*")=1,COUNTIF(IF(AND(配装计算器!$K$30&lt;&gt;"∞",0),INDEX(AU79:CB79,1,$AT$1),INDEX(AU81:CB81,1,$AT$1)),"*玉山*")=0),N80,0)</f>
        <v>0</v>
      </c>
      <c r="P80">
        <f ca="1">IFERROR(IF(COUNTIF(B80,"*云栖松*")&gt;0,50-加速!$L$11,MAX(0,P79-(A80-A79))),0)</f>
        <v>0</v>
      </c>
      <c r="Q80">
        <f ca="1">IF(COUNTIF(IF(AND(配装计算器!$K$30&lt;&gt;"∞",0),INDEX(AU79:CB79,1,$AT$1),INDEX(AU81:CB81,1,$AT$1)),"*云栖松*")=1,P80,0)</f>
        <v>0</v>
      </c>
      <c r="R80">
        <f ca="1">IFERROR(IF(COUNTIF(B80,"*莺鸣柳*")&gt;0,45-加速!$L$9,MAX(0,R79-(A80-A79))),0)</f>
        <v>0</v>
      </c>
      <c r="S80">
        <f ca="1">IF(COUNTIF(IF(AND(配装计算器!$K$30&lt;&gt;"∞",0),INDEX(AU79:CB79,1,$AT$1),INDEX(AU81:CB81,1,$AT$1)),"*莺鸣柳*")=1,R80,0)</f>
        <v>0</v>
      </c>
      <c r="T80">
        <f ca="1" t="shared" si="18"/>
        <v>0</v>
      </c>
      <c r="U80">
        <f ca="1">IF(金蛇,IF(COUNTIF(B80,"*金环戴*")+COUNTIF(B80,"*吹风醒*")&gt;0,IF(A80&lt;=3,7.125-2.625-A80-加速!$L$11,A80-T80),0),0)+IF(金蛇,IF(COUNTIF(B80,"*千切子裂光*")&gt;0,2+加速!$K$9-(A80+加速!$L$11-T80),0),0)</f>
        <v>0</v>
      </c>
      <c r="V80">
        <f ca="1" t="shared" si="19"/>
        <v>0</v>
      </c>
      <c r="W80">
        <f ca="1" t="shared" si="11"/>
        <v>0</v>
      </c>
      <c r="X80">
        <f ca="1">INDEX(加速!$I$13:$I$21,技能数计算!W80+1)</f>
        <v>0</v>
      </c>
      <c r="Y80">
        <f ca="1" t="shared" si="15"/>
        <v>0.5</v>
      </c>
      <c r="Z80">
        <f ca="1" t="shared" si="16"/>
        <v>0</v>
      </c>
      <c r="AA80">
        <f ca="1">MAX(0,IFERROR(IF(COUNTIF(B80,"*叠*")&gt;0,IF(AC79&lt;3,8-A81+A80,AA79+6.875-A81+A80),AA79-A81+A80),AA79-加速!$L$11))</f>
        <v>5.41999999999999</v>
      </c>
      <c r="AB80">
        <f ca="1">MAX(0,IF(COUNTIF(IF(AND(配装计算器!$K$30&lt;&gt;"∞",0),INDEX(AU80:CB80,1,$AT$1),INDEX(AU80:CB80,1,$AT$1)),"*叠1*")=1,4*25-加速!$L$11,AB79-A80+A79)-IF(OR(COUNTIF(OFFSET(AT80,0,$AT$1,1,1),"*听雷*")&gt;0,AND(碧归&gt;0,COUNTIF(OFFSET(AT80,0,$AT$1,1,1),"*风来*")&gt;0)),0,1)*1.5)</f>
        <v>94.42</v>
      </c>
      <c r="AC80">
        <f ca="1" t="shared" si="12"/>
        <v>1</v>
      </c>
      <c r="AD80">
        <f ca="1">IF(COUNTIF(IF(AND(配装计算器!$K$30&lt;&gt;"∞",0),INDEX(AU80:CB80,1,$AT$1),INDEX(AU81:CB81,1,$AT$1)),"*叠1*")=1,AB80*0+AE79,0)</f>
        <v>0</v>
      </c>
      <c r="AE80">
        <f ca="1">IF($AN$11&gt;0,IF(COUNTIF(B81,"*叠1*")&gt;0,50-加速!$H$11,MAX(0,AE79-(A81-A80))),0)</f>
        <v>46.17</v>
      </c>
      <c r="AH80" t="s">
        <v>1825</v>
      </c>
      <c r="AI80" t="s">
        <v>2827</v>
      </c>
      <c r="AJ80">
        <f ca="1">AN45</f>
        <v>0</v>
      </c>
      <c r="AK80" t="s">
        <v>3044</v>
      </c>
      <c r="AU80" t="s">
        <v>2768</v>
      </c>
      <c r="AV80">
        <v>2</v>
      </c>
      <c r="AW80" s="176" t="s">
        <v>2808</v>
      </c>
      <c r="AX80">
        <v>2</v>
      </c>
      <c r="AY80" t="s">
        <v>2776</v>
      </c>
      <c r="AZ80">
        <v>2</v>
      </c>
      <c r="BA80" t="s">
        <v>2776</v>
      </c>
      <c r="BB80">
        <v>2</v>
      </c>
      <c r="BC80" t="s">
        <v>3013</v>
      </c>
      <c r="BD80">
        <v>2</v>
      </c>
      <c r="BE80" s="176" t="s">
        <v>2776</v>
      </c>
      <c r="BF80">
        <v>2</v>
      </c>
      <c r="BG80" s="176" t="s">
        <v>2768</v>
      </c>
      <c r="BH80">
        <v>2</v>
      </c>
      <c r="BI80" t="s">
        <v>2768</v>
      </c>
      <c r="BJ80">
        <v>2</v>
      </c>
      <c r="BK80" s="176" t="s">
        <v>2768</v>
      </c>
      <c r="BL80">
        <v>2</v>
      </c>
      <c r="BM80" s="176" t="s">
        <v>2794</v>
      </c>
      <c r="BN80">
        <v>2</v>
      </c>
      <c r="BO80" s="176" t="s">
        <v>2768</v>
      </c>
      <c r="BP80">
        <v>2</v>
      </c>
      <c r="BQ80" t="s">
        <v>3013</v>
      </c>
      <c r="BR80">
        <v>2</v>
      </c>
      <c r="BS80" t="s">
        <v>2768</v>
      </c>
      <c r="BT80">
        <v>1</v>
      </c>
      <c r="BU80" t="s">
        <v>2776</v>
      </c>
      <c r="BV80">
        <v>1</v>
      </c>
      <c r="BW80" s="182" t="s">
        <v>2776</v>
      </c>
      <c r="BX80" s="179">
        <v>2</v>
      </c>
      <c r="BY80" s="180" t="s">
        <v>2789</v>
      </c>
      <c r="BZ80">
        <v>2</v>
      </c>
      <c r="CA80" s="176" t="s">
        <v>2776</v>
      </c>
      <c r="CB80">
        <v>2</v>
      </c>
    </row>
    <row r="81" spans="1:80">
      <c r="A81" s="178">
        <f ca="1">IFERROR(IF(A80+加速!$L$11&lt;$AS$1,IF(COUNTIF(B80,"*轻*")&gt;0,A80+加速!$L$9,A80+加速!$L$11)+V80,IF(COUNTIF(INDEX(AU81:CB81,1,$AT$1),"*云景*")+COUNTIF(INDEX(AU81:CB81,1,$AT$1),"*鹤归*")+COUNTIF(INDEX(AU81:CB81,1,$AT$1),"*听雷*")&gt;0,A80+加速!$L$11,"")),"")</f>
        <v>102.66</v>
      </c>
      <c r="B81" s="167" t="str">
        <f ca="1">IF(A81&lt;&gt;"",IF(AND(A81+加速!$L$11&gt;$AS$1,IF(AND(配装计算器!$K$30&lt;&gt;"∞",0),"梦泉虎跑-轻",INDEX(AU81:CB81,1,$AT$1))="云栖松"),"夕照雷峰",IF(AND(配装计算器!$K$30&lt;&gt;"∞",0),"梦泉虎跑-轻",INDEX(AU81:CB81,1,$AT$1))),"")</f>
        <v>叠2-云景·云飞玉皇</v>
      </c>
      <c r="C81">
        <f ca="1" t="shared" si="17"/>
        <v>13.71</v>
      </c>
      <c r="D81">
        <f ca="1">IF(B81&lt;&gt;"",IF(C80&lt;=加速!$L$11*(1-E81),0,1),"")</f>
        <v>1</v>
      </c>
      <c r="E81">
        <f ca="1" t="shared" si="13"/>
        <v>1</v>
      </c>
      <c r="G81">
        <f ca="1" t="shared" si="14"/>
        <v>0</v>
      </c>
      <c r="H81">
        <f ca="1">IF(B81&lt;&gt;"",IF(AND(COUNTIF(B80,"*轻*莺鸣柳*")&gt;0,COUNTIF(B81,"*轻*")&lt;1),MAX(0,15+I80-(A81-A80)+COUNTIF(B80,"*平湖*")*0),IF(AND(E81=0,MAX(0,H80-(A81-A80))&lt;=加速!$H$11),0,MAX(0,H80-(A81-A80)))),"")</f>
        <v>0</v>
      </c>
      <c r="I81">
        <f ca="1" t="shared" si="20"/>
        <v>0</v>
      </c>
      <c r="J81">
        <f ca="1" t="shared" si="21"/>
        <v>1</v>
      </c>
      <c r="K81">
        <f ca="1">IF(A81&lt;&gt;"",IF(AND(配装计算器!$K$30&lt;&gt;"∞",0),2,INDEX(AU81:CB81,1,$AT$2)),"")</f>
        <v>2</v>
      </c>
      <c r="L81">
        <f ca="1">IFERROR(IF(AND(COUNTIF(B81,"*-峰插*"),技能数据库!$M$72&gt;0),0,IF(COUNTIF(B81,"*鹤归*")&gt;0,16-加速!$L$11,MAX(0,L80-(A81-A80)))),0)</f>
        <v>7.89000000000004</v>
      </c>
      <c r="M81">
        <f ca="1">IF(COUNTIF(IF(AND(配装计算器!$K$30&lt;&gt;"∞",0),INDEX(AU80:CB80,1,$AT$1),INDEX(AU82:CB82,1,$AT$1)),"*鹤归*")=1,L81,0)</f>
        <v>0</v>
      </c>
      <c r="N81">
        <f ca="1">IFERROR(IF(AND(COUNTIF(B81,"*-峰插*"),技能数据库!$M$72&gt;0),0,IF(COUNTIF(B81,"*云飞*")&gt;0,4-COUNTIF(B81,"*玉山揽云*")*4--COUNTIF(B81,"*烟流暮景*")*4-COUNTIF(B81,"*云景*")*加速!$L$11-IF(J81&gt;0,2,0),MAX(0,N80-(A81-A80)-IF(J81&gt;0,2,0)))),0)</f>
        <v>0.71</v>
      </c>
      <c r="O81">
        <f ca="1">IF(AND(COUNTIF(IF(AND(配装计算器!$K$30&lt;&gt;"∞",0),INDEX(AU80:CB80,1,$AT$1),INDEX(AU82:CB82,1,$AT$1)),"*云飞*")=1,COUNTIF(IF(AND(配装计算器!$K$30&lt;&gt;"∞",0),INDEX(AU80:CB80,1,$AT$1),INDEX(AU82:CB82,1,$AT$1)),"*玉山*")=0),N81,0)</f>
        <v>0</v>
      </c>
      <c r="P81">
        <f ca="1">IFERROR(IF(COUNTIF(B81,"*云栖松*")&gt;0,50-加速!$L$11,MAX(0,P80-(A81-A80))),0)</f>
        <v>0</v>
      </c>
      <c r="Q81">
        <f ca="1">IF(COUNTIF(IF(AND(配装计算器!$K$30&lt;&gt;"∞",0),INDEX(AU80:CB80,1,$AT$1),INDEX(AU82:CB82,1,$AT$1)),"*云栖松*")=1,P81,0)</f>
        <v>0</v>
      </c>
      <c r="R81">
        <f ca="1">IFERROR(IF(COUNTIF(B81,"*莺鸣柳*")&gt;0,45-加速!$L$9,MAX(0,R80-(A81-A80))),0)</f>
        <v>0</v>
      </c>
      <c r="S81">
        <f ca="1">IF(COUNTIF(IF(AND(配装计算器!$K$30&lt;&gt;"∞",0),INDEX(AU80:CB80,1,$AT$1),INDEX(AU82:CB82,1,$AT$1)),"*莺鸣柳*")=1,R81,0)</f>
        <v>0</v>
      </c>
      <c r="T81">
        <f ca="1" t="shared" si="18"/>
        <v>0</v>
      </c>
      <c r="U81">
        <f ca="1">IF(金蛇,IF(COUNTIF(B81,"*金环戴*")+COUNTIF(B81,"*吹风醒*")&gt;0,IF(A81&lt;=3,7.125-2.625-A81-加速!$L$11,A81-T81),0),0)+IF(金蛇,IF(COUNTIF(B81,"*千切子裂光*")&gt;0,2+加速!$K$9-(A81+加速!$L$11-T81),0),0)</f>
        <v>0</v>
      </c>
      <c r="V81">
        <f ca="1" t="shared" si="19"/>
        <v>0</v>
      </c>
      <c r="W81">
        <f ca="1" t="shared" si="11"/>
        <v>0</v>
      </c>
      <c r="X81">
        <f ca="1">INDEX(加速!$I$13:$I$21,技能数计算!W81+1)</f>
        <v>0</v>
      </c>
      <c r="Y81">
        <f ca="1" t="shared" si="15"/>
        <v>0.5</v>
      </c>
      <c r="Z81">
        <f ca="1" t="shared" si="16"/>
        <v>0</v>
      </c>
      <c r="AA81">
        <f ca="1">MAX(0,IFERROR(IF(COUNTIF(B81,"*叠*")&gt;0,IF(AC80&lt;3,8-A82+A81,AA80+6.875-A82+A81),AA80-A82+A81),AA80-加速!$L$11))</f>
        <v>6.70999999999999</v>
      </c>
      <c r="AB81">
        <f ca="1">MAX(0,IF(COUNTIF(IF(AND(配装计算器!$K$30&lt;&gt;"∞",0),INDEX(AU81:CB81,1,$AT$1),INDEX(AU81:CB81,1,$AT$1)),"*叠1*")=1,4*25-加速!$L$11,AB80-A81+A80)-IF(OR(COUNTIF(OFFSET(AT81,0,$AT$1,1,1),"*听雷*")&gt;0,AND(碧归&gt;0,COUNTIF(OFFSET(AT81,0,$AT$1,1,1),"*风来*")&gt;0)),0,1)*1.5)</f>
        <v>91.63</v>
      </c>
      <c r="AC81">
        <f ca="1" t="shared" si="12"/>
        <v>2</v>
      </c>
      <c r="AD81">
        <f ca="1">IF(COUNTIF(IF(AND(配装计算器!$K$30&lt;&gt;"∞",0),INDEX(AU81:CB81,1,$AT$1),INDEX(AU82:CB82,1,$AT$1)),"*叠1*")=1,AB81*0+AE80,0)</f>
        <v>0</v>
      </c>
      <c r="AE81">
        <f ca="1">IF($AN$11&gt;0,IF(COUNTIF(B82,"*叠1*")&gt;0,50-加速!$H$11,MAX(0,AE80-(A82-A81))),0)</f>
        <v>44.88</v>
      </c>
      <c r="AH81" t="s">
        <v>1028</v>
      </c>
      <c r="AI81" t="s">
        <v>2915</v>
      </c>
      <c r="AJ81">
        <f ca="1">AN54</f>
        <v>0</v>
      </c>
      <c r="AK81" t="s">
        <v>3014</v>
      </c>
      <c r="AU81" t="s">
        <v>2776</v>
      </c>
      <c r="AV81">
        <v>2</v>
      </c>
      <c r="AW81" t="s">
        <v>2768</v>
      </c>
      <c r="AX81">
        <v>2</v>
      </c>
      <c r="AY81" t="s">
        <v>2768</v>
      </c>
      <c r="AZ81">
        <v>2</v>
      </c>
      <c r="BA81" t="s">
        <v>2768</v>
      </c>
      <c r="BB81">
        <v>2</v>
      </c>
      <c r="BC81" t="s">
        <v>3018</v>
      </c>
      <c r="BD81">
        <v>2</v>
      </c>
      <c r="BE81" s="176" t="s">
        <v>3035</v>
      </c>
      <c r="BF81">
        <v>2</v>
      </c>
      <c r="BG81" s="176" t="s">
        <v>2768</v>
      </c>
      <c r="BH81">
        <v>2</v>
      </c>
      <c r="BI81" t="s">
        <v>3018</v>
      </c>
      <c r="BJ81">
        <v>2</v>
      </c>
      <c r="BK81" s="176" t="s">
        <v>2768</v>
      </c>
      <c r="BL81">
        <v>1</v>
      </c>
      <c r="BM81" s="176" t="s">
        <v>2776</v>
      </c>
      <c r="BN81">
        <v>2</v>
      </c>
      <c r="BO81" s="176" t="s">
        <v>2776</v>
      </c>
      <c r="BP81">
        <v>2</v>
      </c>
      <c r="BQ81" t="s">
        <v>3018</v>
      </c>
      <c r="BR81">
        <v>2</v>
      </c>
      <c r="BS81" t="s">
        <v>2776</v>
      </c>
      <c r="BT81">
        <v>0</v>
      </c>
      <c r="BU81" t="s">
        <v>2768</v>
      </c>
      <c r="BV81">
        <v>1</v>
      </c>
      <c r="BW81" s="182" t="s">
        <v>2768</v>
      </c>
      <c r="BX81" s="179">
        <v>2</v>
      </c>
      <c r="BY81" s="176" t="s">
        <v>2794</v>
      </c>
      <c r="BZ81">
        <v>2</v>
      </c>
      <c r="CA81" s="176" t="s">
        <v>2768</v>
      </c>
      <c r="CB81">
        <v>2</v>
      </c>
    </row>
    <row r="82" spans="1:80">
      <c r="A82" s="178">
        <f ca="1">IFERROR(IF(A81+加速!$L$11&lt;$AS$1,IF(COUNTIF(B81,"*轻*")&gt;0,A81+加速!$L$9,A81+加速!$L$11)+V81,IF(COUNTIF(INDEX(AU82:CB82,1,$AT$1),"*云景*")+COUNTIF(INDEX(AU82:CB82,1,$AT$1),"*鹤归*")+COUNTIF(INDEX(AU82:CB82,1,$AT$1),"*听雷*")&gt;0,A81+加速!$L$11,"")),"")</f>
        <v>103.95</v>
      </c>
      <c r="B82" s="167" t="str">
        <f ca="1">IF(A82&lt;&gt;"",IF(AND(A82+加速!$L$11&gt;$AS$1,IF(AND(配装计算器!$K$30&lt;&gt;"∞",0),"梦泉虎跑-轻",INDEX(AU82:CB82,1,$AT$1))="云栖松"),"夕照雷峰",IF(AND(配装计算器!$K$30&lt;&gt;"∞",0),"梦泉虎跑-轻",INDEX(AU82:CB82,1,$AT$1))),"")</f>
        <v>风来吴山</v>
      </c>
      <c r="C82">
        <f ca="1" t="shared" si="17"/>
        <v>12.42</v>
      </c>
      <c r="D82">
        <f ca="1">IF(B82&lt;&gt;"",IF(C81&lt;=加速!$L$11*(1-E82),0,1),"")</f>
        <v>1</v>
      </c>
      <c r="E82">
        <f ca="1" t="shared" si="13"/>
        <v>0</v>
      </c>
      <c r="G82">
        <f ca="1" t="shared" si="14"/>
        <v>0</v>
      </c>
      <c r="H82">
        <f ca="1">IF(B82&lt;&gt;"",IF(AND(COUNTIF(B81,"*轻*莺鸣柳*")&gt;0,COUNTIF(B82,"*轻*")&lt;1),MAX(0,15+I81-(A82-A81)+COUNTIF(B81,"*平湖*")*0),IF(AND(E82=0,MAX(0,H81-(A82-A81))&lt;=加速!$H$11),0,MAX(0,H81-(A82-A81)))),"")</f>
        <v>0</v>
      </c>
      <c r="I82">
        <f ca="1" t="shared" si="20"/>
        <v>0</v>
      </c>
      <c r="J82">
        <f ca="1" t="shared" si="21"/>
        <v>0</v>
      </c>
      <c r="K82">
        <f ca="1">IF(A82&lt;&gt;"",IF(AND(配装计算器!$K$30&lt;&gt;"∞",0),2,INDEX(AU82:CB82,1,$AT$2)),"")</f>
        <v>2</v>
      </c>
      <c r="L82">
        <f ca="1">IFERROR(IF(AND(COUNTIF(B82,"*-峰插*"),技能数据库!$M$72&gt;0),0,IF(COUNTIF(B82,"*鹤归*")&gt;0,16-加速!$L$11,MAX(0,L81-(A82-A81)))),0)</f>
        <v>6.60000000000003</v>
      </c>
      <c r="M82">
        <f ca="1">IF(COUNTIF(IF(AND(配装计算器!$K$30&lt;&gt;"∞",0),INDEX(AU81:CB81,1,$AT$1),INDEX(AU83:CB83,1,$AT$1)),"*鹤归*")=1,L82,0)</f>
        <v>0</v>
      </c>
      <c r="N82">
        <f ca="1">IFERROR(IF(AND(COUNTIF(B82,"*-峰插*"),技能数据库!$M$72&gt;0),0,IF(COUNTIF(B82,"*云飞*")&gt;0,4-COUNTIF(B82,"*玉山揽云*")*4--COUNTIF(B82,"*烟流暮景*")*4-COUNTIF(B82,"*云景*")*加速!$L$11-IF(J82&gt;0,2,0),MAX(0,N81-(A82-A81)-IF(J82&gt;0,2,0)))),0)</f>
        <v>0</v>
      </c>
      <c r="O82">
        <f ca="1">IF(AND(COUNTIF(IF(AND(配装计算器!$K$30&lt;&gt;"∞",0),INDEX(AU81:CB81,1,$AT$1),INDEX(AU83:CB83,1,$AT$1)),"*云飞*")=1,COUNTIF(IF(AND(配装计算器!$K$30&lt;&gt;"∞",0),INDEX(AU81:CB81,1,$AT$1),INDEX(AU83:CB83,1,$AT$1)),"*玉山*")=0),N82,0)</f>
        <v>0</v>
      </c>
      <c r="P82">
        <f ca="1">IFERROR(IF(COUNTIF(B82,"*云栖松*")&gt;0,50-加速!$L$11,MAX(0,P81-(A82-A81))),0)</f>
        <v>0</v>
      </c>
      <c r="Q82">
        <f ca="1">IF(COUNTIF(IF(AND(配装计算器!$K$30&lt;&gt;"∞",0),INDEX(AU81:CB81,1,$AT$1),INDEX(AU83:CB83,1,$AT$1)),"*云栖松*")=1,P82,0)</f>
        <v>0</v>
      </c>
      <c r="R82">
        <f ca="1">IFERROR(IF(COUNTIF(B82,"*莺鸣柳*")&gt;0,45-加速!$L$9,MAX(0,R81-(A82-A81))),0)</f>
        <v>0</v>
      </c>
      <c r="S82">
        <f ca="1">IF(COUNTIF(IF(AND(配装计算器!$K$30&lt;&gt;"∞",0),INDEX(AU81:CB81,1,$AT$1),INDEX(AU83:CB83,1,$AT$1)),"*莺鸣柳*")=1,R82,0)</f>
        <v>0</v>
      </c>
      <c r="T82">
        <f ca="1" t="shared" si="18"/>
        <v>0</v>
      </c>
      <c r="U82">
        <f ca="1">IF(金蛇,IF(COUNTIF(B82,"*金环戴*")+COUNTIF(B82,"*吹风醒*")&gt;0,IF(A82&lt;=3,7.125-2.625-A82-加速!$L$11,A82-T82),0),0)+IF(金蛇,IF(COUNTIF(B82,"*千切子裂光*")&gt;0,2+加速!$K$9-(A82+加速!$L$11-T82),0),0)</f>
        <v>0</v>
      </c>
      <c r="V82">
        <f ca="1" t="shared" si="19"/>
        <v>0</v>
      </c>
      <c r="W82">
        <f ca="1" t="shared" si="11"/>
        <v>1</v>
      </c>
      <c r="X82">
        <f ca="1">INDEX(加速!$I$13:$I$21,技能数计算!W82+1)</f>
        <v>1</v>
      </c>
      <c r="Y82">
        <f ca="1" t="shared" si="15"/>
        <v>0.5</v>
      </c>
      <c r="Z82">
        <f ca="1" t="shared" si="16"/>
        <v>0</v>
      </c>
      <c r="AA82">
        <f ca="1">MAX(0,IFERROR(IF(COUNTIF(B82,"*叠*")&gt;0,IF(AC81&lt;3,8-A83+A82,AA81+6.875-A83+A82),AA81-A83+A82),AA81-加速!$L$11))</f>
        <v>5.41999999999999</v>
      </c>
      <c r="AB82">
        <f ca="1">MAX(0,IF(COUNTIF(IF(AND(配装计算器!$K$30&lt;&gt;"∞",0),INDEX(AU82:CB82,1,$AT$1),INDEX(AU82:CB82,1,$AT$1)),"*叠1*")=1,4*25-加速!$L$11,AB81-A82+A81)-IF(OR(COUNTIF(OFFSET(AT82,0,$AT$1,1,1),"*听雷*")&gt;0,AND(碧归&gt;0,COUNTIF(OFFSET(AT82,0,$AT$1,1,1),"*风来*")&gt;0)),0,1)*1.5)</f>
        <v>90.34</v>
      </c>
      <c r="AC82">
        <f ca="1" t="shared" si="12"/>
        <v>2</v>
      </c>
      <c r="AD82">
        <f ca="1">IF(COUNTIF(IF(AND(配装计算器!$K$30&lt;&gt;"∞",0),INDEX(AU82:CB82,1,$AT$1),INDEX(AU83:CB83,1,$AT$1)),"*叠1*")=1,AB82*0+AE81,0)</f>
        <v>0</v>
      </c>
      <c r="AE82">
        <f ca="1">IF($AN$11&gt;0,IF(COUNTIF(B83,"*叠1*")&gt;0,50-加速!$H$11,MAX(0,AE81-(A83-A82))),0)</f>
        <v>43.59</v>
      </c>
      <c r="AH82" t="s">
        <v>1825</v>
      </c>
      <c r="AI82" t="s">
        <v>2917</v>
      </c>
      <c r="AJ82">
        <f>AS1/(1/(407/240)+10)</f>
        <v>19.830626450116</v>
      </c>
      <c r="AK82" t="s">
        <v>3098</v>
      </c>
      <c r="AU82" t="s">
        <v>2768</v>
      </c>
      <c r="AV82">
        <v>2</v>
      </c>
      <c r="AW82" t="s">
        <v>2776</v>
      </c>
      <c r="AX82">
        <v>2</v>
      </c>
      <c r="AY82" t="s">
        <v>2789</v>
      </c>
      <c r="AZ82">
        <v>2</v>
      </c>
      <c r="BA82" t="s">
        <v>2789</v>
      </c>
      <c r="BB82">
        <v>2</v>
      </c>
      <c r="BC82" t="s">
        <v>2768</v>
      </c>
      <c r="BD82">
        <v>2</v>
      </c>
      <c r="BE82" t="s">
        <v>2768</v>
      </c>
      <c r="BF82">
        <v>2</v>
      </c>
      <c r="BG82" s="176" t="s">
        <v>2789</v>
      </c>
      <c r="BH82">
        <v>2</v>
      </c>
      <c r="BI82" t="s">
        <v>2789</v>
      </c>
      <c r="BJ82">
        <v>2</v>
      </c>
      <c r="BK82" s="176" t="s">
        <v>2768</v>
      </c>
      <c r="BL82">
        <v>1</v>
      </c>
      <c r="BM82" s="176" t="s">
        <v>2768</v>
      </c>
      <c r="BN82">
        <v>2</v>
      </c>
      <c r="BO82" s="176" t="s">
        <v>2768</v>
      </c>
      <c r="BP82">
        <v>2</v>
      </c>
      <c r="BQ82" t="s">
        <v>2768</v>
      </c>
      <c r="BR82">
        <v>2</v>
      </c>
      <c r="BS82" t="s">
        <v>2768</v>
      </c>
      <c r="BT82">
        <v>0</v>
      </c>
      <c r="BU82" t="s">
        <v>3011</v>
      </c>
      <c r="BV82">
        <v>2</v>
      </c>
      <c r="BW82" s="182" t="s">
        <v>2808</v>
      </c>
      <c r="BX82" s="179">
        <v>2</v>
      </c>
      <c r="BY82" s="176" t="s">
        <v>2776</v>
      </c>
      <c r="BZ82">
        <v>2</v>
      </c>
      <c r="CA82" s="176" t="s">
        <v>2808</v>
      </c>
      <c r="CB82">
        <v>2</v>
      </c>
    </row>
    <row r="83" spans="1:80">
      <c r="A83" s="178">
        <f ca="1">IFERROR(IF(A82+加速!$L$11&lt;$AS$1,IF(COUNTIF(B82,"*轻*")&gt;0,A82+加速!$L$9,A82+加速!$L$11)+V82,IF(COUNTIF(INDEX(AU83:CB83,1,$AT$1),"*云景*")+COUNTIF(INDEX(AU83:CB83,1,$AT$1),"*鹤归*")+COUNTIF(INDEX(AU83:CB83,1,$AT$1),"*听雷*")&gt;0,A82+加速!$L$11,"")),"")</f>
        <v>105.24</v>
      </c>
      <c r="B83" s="167" t="str">
        <f ca="1">IF(A83&lt;&gt;"",IF(AND(A83+加速!$L$11&gt;$AS$1,IF(AND(配装计算器!$K$30&lt;&gt;"∞",0),"梦泉虎跑-轻",INDEX(AU83:CB83,1,$AT$1))="云栖松"),"夕照雷峰",IF(AND(配装计算器!$K$30&lt;&gt;"∞",0),"梦泉虎跑-轻",INDEX(AU83:CB83,1,$AT$1))),"")</f>
        <v>叠3-云飞玉皇</v>
      </c>
      <c r="C83">
        <f ca="1" t="shared" si="17"/>
        <v>11.13</v>
      </c>
      <c r="D83">
        <f ca="1">IF(B83&lt;&gt;"",IF(C82&lt;=加速!$L$11*(1-E83),0,1),"")</f>
        <v>1</v>
      </c>
      <c r="E83">
        <f ca="1" t="shared" si="13"/>
        <v>1</v>
      </c>
      <c r="G83">
        <f ca="1" t="shared" si="14"/>
        <v>8</v>
      </c>
      <c r="H83">
        <f ca="1">IF(B83&lt;&gt;"",IF(AND(COUNTIF(B82,"*轻*莺鸣柳*")&gt;0,COUNTIF(B83,"*轻*")&lt;1),MAX(0,15+I82-(A83-A82)+COUNTIF(B82,"*平湖*")*0),IF(AND(E83=0,MAX(0,H82-(A83-A82))&lt;=加速!$H$11),0,MAX(0,H82-(A83-A82)))),"")</f>
        <v>0</v>
      </c>
      <c r="I83">
        <f ca="1" t="shared" si="20"/>
        <v>0</v>
      </c>
      <c r="J83">
        <f ca="1" t="shared" si="21"/>
        <v>0</v>
      </c>
      <c r="K83">
        <f ca="1">IF(A83&lt;&gt;"",IF(AND(配装计算器!$K$30&lt;&gt;"∞",0),2,INDEX(AU83:CB83,1,$AT$2)),"")</f>
        <v>2</v>
      </c>
      <c r="L83">
        <f ca="1">IFERROR(IF(AND(COUNTIF(B83,"*-峰插*"),技能数据库!$M$72&gt;0),0,IF(COUNTIF(B83,"*鹤归*")&gt;0,16-加速!$L$11,MAX(0,L82-(A83-A82)))),0)</f>
        <v>5.31000000000002</v>
      </c>
      <c r="M83">
        <f ca="1">IF(COUNTIF(IF(AND(配装计算器!$K$30&lt;&gt;"∞",0),INDEX(AU82:CB82,1,$AT$1),INDEX(AU84:CB84,1,$AT$1)),"*鹤归*")=1,L83,0)</f>
        <v>0</v>
      </c>
      <c r="N83">
        <f ca="1">IFERROR(IF(AND(COUNTIF(B83,"*-峰插*"),技能数据库!$M$72&gt;0),0,IF(COUNTIF(B83,"*云飞*")&gt;0,4-COUNTIF(B83,"*玉山揽云*")*4--COUNTIF(B83,"*烟流暮景*")*4-COUNTIF(B83,"*云景*")*加速!$L$11-IF(J83&gt;0,2,0),MAX(0,N82-(A83-A82)-IF(J83&gt;0,2,0)))),0)</f>
        <v>4</v>
      </c>
      <c r="O83">
        <f ca="1">IF(AND(COUNTIF(IF(AND(配装计算器!$K$30&lt;&gt;"∞",0),INDEX(AU82:CB82,1,$AT$1),INDEX(AU84:CB84,1,$AT$1)),"*云飞*")=1,COUNTIF(IF(AND(配装计算器!$K$30&lt;&gt;"∞",0),INDEX(AU82:CB82,1,$AT$1),INDEX(AU84:CB84,1,$AT$1)),"*玉山*")=0),N83,0)</f>
        <v>0</v>
      </c>
      <c r="P83">
        <f ca="1">IFERROR(IF(COUNTIF(B83,"*云栖松*")&gt;0,50-加速!$L$11,MAX(0,P82-(A83-A82))),0)</f>
        <v>0</v>
      </c>
      <c r="Q83">
        <f ca="1">IF(COUNTIF(IF(AND(配装计算器!$K$30&lt;&gt;"∞",0),INDEX(AU82:CB82,1,$AT$1),INDEX(AU84:CB84,1,$AT$1)),"*云栖松*")=1,P83,0)</f>
        <v>0</v>
      </c>
      <c r="R83">
        <f ca="1">IFERROR(IF(COUNTIF(B83,"*莺鸣柳*")&gt;0,45-加速!$L$9,MAX(0,R82-(A83-A82))),0)</f>
        <v>0</v>
      </c>
      <c r="S83">
        <f ca="1">IF(COUNTIF(IF(AND(配装计算器!$K$30&lt;&gt;"∞",0),INDEX(AU82:CB82,1,$AT$1),INDEX(AU84:CB84,1,$AT$1)),"*莺鸣柳*")=1,R83,0)</f>
        <v>0</v>
      </c>
      <c r="T83">
        <f ca="1" t="shared" si="18"/>
        <v>0</v>
      </c>
      <c r="U83">
        <f ca="1">IF(金蛇,IF(COUNTIF(B83,"*金环戴*")+COUNTIF(B83,"*吹风醒*")&gt;0,IF(A83&lt;=3,7.125-2.625-A83-加速!$L$11,A83-T83),0),0)+IF(金蛇,IF(COUNTIF(B83,"*千切子裂光*")&gt;0,2+加速!$K$9-(A83+加速!$L$11-T83),0),0)</f>
        <v>0</v>
      </c>
      <c r="V83">
        <f ca="1" t="shared" si="19"/>
        <v>0</v>
      </c>
      <c r="W83">
        <f ca="1" t="shared" si="11"/>
        <v>2</v>
      </c>
      <c r="X83">
        <f ca="1">INDEX(加速!$I$13:$I$21,技能数计算!W83+1)</f>
        <v>3</v>
      </c>
      <c r="Y83">
        <f ca="1" t="shared" si="15"/>
        <v>0.5</v>
      </c>
      <c r="Z83">
        <f ca="1" t="shared" si="16"/>
        <v>0</v>
      </c>
      <c r="AA83">
        <f ca="1">MAX(0,IFERROR(IF(COUNTIF(B83,"*叠*")&gt;0,IF(AC82&lt;3,8-A84+A83,AA82+6.875-A84+A83),AA82-A84+A83),AA82-加速!$L$11))</f>
        <v>6.70999999999999</v>
      </c>
      <c r="AB83">
        <f ca="1">MAX(0,IF(COUNTIF(IF(AND(配装计算器!$K$30&lt;&gt;"∞",0),INDEX(AU83:CB83,1,$AT$1),INDEX(AU83:CB83,1,$AT$1)),"*叠1*")=1,4*25-加速!$L$11,AB82-A83+A82)-IF(OR(COUNTIF(OFFSET(AT83,0,$AT$1,1,1),"*听雷*")&gt;0,AND(碧归&gt;0,COUNTIF(OFFSET(AT83,0,$AT$1,1,1),"*风来*")&gt;0)),0,1)*1.5)</f>
        <v>87.55</v>
      </c>
      <c r="AC83">
        <f ca="1" t="shared" si="12"/>
        <v>3</v>
      </c>
      <c r="AD83">
        <f ca="1">IF(COUNTIF(IF(AND(配装计算器!$K$30&lt;&gt;"∞",0),INDEX(AU83:CB83,1,$AT$1),INDEX(AU84:CB84,1,$AT$1)),"*叠1*")=1,AB83*0+AE82,0)</f>
        <v>0</v>
      </c>
      <c r="AE83">
        <f ca="1">IF($AN$11&gt;0,IF(COUNTIF(B84,"*叠1*")&gt;0,50-加速!$H$11,MAX(0,AE82-(A84-A83))),0)</f>
        <v>42.3</v>
      </c>
      <c r="AH83" t="s">
        <v>1028</v>
      </c>
      <c r="AI83" t="s">
        <v>2773</v>
      </c>
      <c r="AJ83">
        <f ca="1">循环比*COUNTIFS($B$3:$B$515,"*"&amp;AI83&amp;"*",$I$3:$I$515,"=0")*(5)</f>
        <v>0</v>
      </c>
      <c r="AU83" s="180" t="s">
        <v>2789</v>
      </c>
      <c r="AV83">
        <v>2</v>
      </c>
      <c r="AW83" t="s">
        <v>2768</v>
      </c>
      <c r="AX83">
        <v>2</v>
      </c>
      <c r="AY83" t="s">
        <v>2776</v>
      </c>
      <c r="AZ83">
        <v>2</v>
      </c>
      <c r="BA83" t="s">
        <v>2776</v>
      </c>
      <c r="BB83">
        <v>2</v>
      </c>
      <c r="BC83" t="s">
        <v>3023</v>
      </c>
      <c r="BD83">
        <v>2</v>
      </c>
      <c r="BE83" t="s">
        <v>2776</v>
      </c>
      <c r="BF83">
        <v>2</v>
      </c>
      <c r="BG83" s="176" t="s">
        <v>2776</v>
      </c>
      <c r="BH83">
        <v>2</v>
      </c>
      <c r="BI83" s="182" t="s">
        <v>3023</v>
      </c>
      <c r="BJ83">
        <v>2</v>
      </c>
      <c r="BK83" s="176" t="s">
        <v>2776</v>
      </c>
      <c r="BL83">
        <v>0</v>
      </c>
      <c r="BM83" s="176" t="s">
        <v>2776</v>
      </c>
      <c r="BN83">
        <v>2</v>
      </c>
      <c r="BO83" s="176" t="s">
        <v>2808</v>
      </c>
      <c r="BP83">
        <v>2</v>
      </c>
      <c r="BQ83" t="s">
        <v>3023</v>
      </c>
      <c r="BR83">
        <v>2</v>
      </c>
      <c r="BS83" t="s">
        <v>3024</v>
      </c>
      <c r="BT83">
        <v>2</v>
      </c>
      <c r="BU83" t="s">
        <v>2768</v>
      </c>
      <c r="BV83">
        <v>2</v>
      </c>
      <c r="BW83" s="179" t="s">
        <v>2768</v>
      </c>
      <c r="BX83" s="179">
        <v>2</v>
      </c>
      <c r="BY83" s="176" t="s">
        <v>2768</v>
      </c>
      <c r="BZ83">
        <v>2</v>
      </c>
      <c r="CA83" s="180" t="s">
        <v>2789</v>
      </c>
      <c r="CB83">
        <v>2</v>
      </c>
    </row>
    <row r="84" spans="1:80">
      <c r="A84" s="178">
        <f ca="1">IFERROR(IF(A83+加速!$L$11&lt;$AS$1,IF(COUNTIF(B83,"*轻*")&gt;0,A83+加速!$L$9,A83+加速!$L$11)+V83,IF(COUNTIF(INDEX(AU84:CB84,1,$AT$1),"*云景*")+COUNTIF(INDEX(AU84:CB84,1,$AT$1),"*鹤归*")+COUNTIF(INDEX(AU84:CB84,1,$AT$1),"*听雷*")&gt;0,A83+加速!$L$11,"")),"")</f>
        <v>106.53</v>
      </c>
      <c r="B84" s="167" t="str">
        <f ca="1">IF(A84&lt;&gt;"",IF(AND(A84+加速!$L$11&gt;$AS$1,IF(AND(配装计算器!$K$30&lt;&gt;"∞",0),"梦泉虎跑-轻",INDEX(AU84:CB84,1,$AT$1))="云栖松"),"夕照雷峰",IF(AND(配装计算器!$K$30&lt;&gt;"∞",0),"梦泉虎跑-轻",INDEX(AU84:CB84,1,$AT$1))),"")</f>
        <v>云飞玉皇-玉山揽云</v>
      </c>
      <c r="C84">
        <f ca="1" t="shared" si="17"/>
        <v>9.83999999999997</v>
      </c>
      <c r="D84">
        <f ca="1">IF(B84&lt;&gt;"",IF(C83&lt;=加速!$L$11*(1-E84),0,1),"")</f>
        <v>1</v>
      </c>
      <c r="E84">
        <f ca="1" t="shared" si="13"/>
        <v>1</v>
      </c>
      <c r="G84">
        <f ca="1" t="shared" si="14"/>
        <v>7</v>
      </c>
      <c r="H84">
        <f ca="1">IF(B84&lt;&gt;"",IF(AND(COUNTIF(B83,"*轻*莺鸣柳*")&gt;0,COUNTIF(B84,"*轻*")&lt;1),MAX(0,15+I83-(A84-A83)+COUNTIF(B83,"*平湖*")*0),IF(AND(E84=0,MAX(0,H83-(A84-A83))&lt;=加速!$H$11),0,MAX(0,H83-(A84-A83)))),"")</f>
        <v>0</v>
      </c>
      <c r="I84">
        <f ca="1" t="shared" si="20"/>
        <v>0</v>
      </c>
      <c r="J84">
        <f ca="1" t="shared" si="21"/>
        <v>0</v>
      </c>
      <c r="K84">
        <f ca="1">IF(A84&lt;&gt;"",IF(AND(配装计算器!$K$30&lt;&gt;"∞",0),2,INDEX(AU84:CB84,1,$AT$2)),"")</f>
        <v>2</v>
      </c>
      <c r="L84">
        <f ca="1">IFERROR(IF(AND(COUNTIF(B84,"*-峰插*"),技能数据库!$M$72&gt;0),0,IF(COUNTIF(B84,"*鹤归*")&gt;0,16-加速!$L$11,MAX(0,L83-(A84-A83)))),0)</f>
        <v>4.02000000000002</v>
      </c>
      <c r="M84">
        <f ca="1">IF(COUNTIF(IF(AND(配装计算器!$K$30&lt;&gt;"∞",0),INDEX(AU83:CB83,1,$AT$1),INDEX(AU85:CB85,1,$AT$1)),"*鹤归*")=1,L84,0)</f>
        <v>0</v>
      </c>
      <c r="N84">
        <f ca="1">IFERROR(IF(AND(COUNTIF(B84,"*-峰插*"),技能数据库!$M$72&gt;0),0,IF(COUNTIF(B84,"*云飞*")&gt;0,4-COUNTIF(B84,"*玉山揽云*")*4--COUNTIF(B84,"*烟流暮景*")*4-COUNTIF(B84,"*云景*")*加速!$L$11-IF(J84&gt;0,2,0),MAX(0,N83-(A84-A83)-IF(J84&gt;0,2,0)))),0)</f>
        <v>0</v>
      </c>
      <c r="O84">
        <f ca="1">IF(AND(COUNTIF(IF(AND(配装计算器!$K$30&lt;&gt;"∞",0),INDEX(AU83:CB83,1,$AT$1),INDEX(AU85:CB85,1,$AT$1)),"*云飞*")=1,COUNTIF(IF(AND(配装计算器!$K$30&lt;&gt;"∞",0),INDEX(AU83:CB83,1,$AT$1),INDEX(AU85:CB85,1,$AT$1)),"*玉山*")=0),N84,0)</f>
        <v>0</v>
      </c>
      <c r="P84">
        <f ca="1">IFERROR(IF(COUNTIF(B84,"*云栖松*")&gt;0,50-加速!$L$11,MAX(0,P83-(A84-A83))),0)</f>
        <v>0</v>
      </c>
      <c r="Q84">
        <f ca="1">IF(COUNTIF(IF(AND(配装计算器!$K$30&lt;&gt;"∞",0),INDEX(AU83:CB83,1,$AT$1),INDEX(AU85:CB85,1,$AT$1)),"*云栖松*")=1,P84,0)</f>
        <v>0</v>
      </c>
      <c r="R84">
        <f ca="1">IFERROR(IF(COUNTIF(B84,"*莺鸣柳*")&gt;0,45-加速!$L$9,MAX(0,R83-(A84-A83))),0)</f>
        <v>0</v>
      </c>
      <c r="S84">
        <f ca="1">IF(COUNTIF(IF(AND(配装计算器!$K$30&lt;&gt;"∞",0),INDEX(AU83:CB83,1,$AT$1),INDEX(AU85:CB85,1,$AT$1)),"*莺鸣柳*")=1,R84,0)</f>
        <v>0</v>
      </c>
      <c r="T84">
        <f ca="1" t="shared" si="18"/>
        <v>0</v>
      </c>
      <c r="U84">
        <f ca="1">IF(金蛇,IF(COUNTIF(B84,"*金环戴*")+COUNTIF(B84,"*吹风醒*")&gt;0,IF(A84&lt;=3,7.125-2.625-A84-加速!$L$11,A84-T84),0),0)+IF(金蛇,IF(COUNTIF(B84,"*千切子裂光*")&gt;0,2+加速!$K$9-(A84+加速!$L$11-T84),0),0)</f>
        <v>0</v>
      </c>
      <c r="V84">
        <f ca="1" t="shared" si="19"/>
        <v>0</v>
      </c>
      <c r="W84">
        <f ca="1" t="shared" si="11"/>
        <v>3</v>
      </c>
      <c r="X84">
        <f ca="1">INDEX(加速!$I$13:$I$21,技能数计算!W84+1)</f>
        <v>2</v>
      </c>
      <c r="Y84">
        <f ca="1" t="shared" si="15"/>
        <v>0.5</v>
      </c>
      <c r="Z84">
        <f ca="1" t="shared" si="16"/>
        <v>0</v>
      </c>
      <c r="AA84">
        <f ca="1">MAX(0,IFERROR(IF(COUNTIF(B84,"*叠*")&gt;0,IF(AC83&lt;3,8-A85+A84,AA83+6.875-A85+A84),AA83-A85+A84),AA83-加速!$L$11))</f>
        <v>5.41999999999999</v>
      </c>
      <c r="AB84">
        <f ca="1">MAX(0,IF(COUNTIF(IF(AND(配装计算器!$K$30&lt;&gt;"∞",0),INDEX(AU84:CB84,1,$AT$1),INDEX(AU84:CB84,1,$AT$1)),"*叠1*")=1,4*25-加速!$L$11,AB83-A84+A83)-IF(OR(COUNTIF(OFFSET(AT84,0,$AT$1,1,1),"*听雷*")&gt;0,AND(碧归&gt;0,COUNTIF(OFFSET(AT84,0,$AT$1,1,1),"*风来*")&gt;0)),0,1)*1.5)</f>
        <v>84.76</v>
      </c>
      <c r="AC84">
        <f ca="1" t="shared" si="12"/>
        <v>3</v>
      </c>
      <c r="AD84">
        <f ca="1">IF(COUNTIF(IF(AND(配装计算器!$K$30&lt;&gt;"∞",0),INDEX(AU84:CB84,1,$AT$1),INDEX(AU85:CB85,1,$AT$1)),"*叠1*")=1,AB84*0+AE83,0)</f>
        <v>0</v>
      </c>
      <c r="AE84">
        <f ca="1">IF($AN$11&gt;0,IF(COUNTIF(B85,"*叠1*")&gt;0,50-加速!$H$11,MAX(0,AE83-(A85-A84))),0)</f>
        <v>41.01</v>
      </c>
      <c r="AH84" t="s">
        <v>1825</v>
      </c>
      <c r="AI84" t="s">
        <v>2808</v>
      </c>
      <c r="AJ84">
        <f ca="1">循环比*COUNTIFS($B$3:$B$515,"*"&amp;AI84&amp;"*",$D$3:$D$515,"&gt;0",$H$3:$H$515,"=0",$G$3:$G$515,"=0",$K$3:$K$515,"=0",$AC$3:$AC$515,"=0")</f>
        <v>0</v>
      </c>
      <c r="AK84" t="s">
        <v>2750</v>
      </c>
      <c r="AU84" s="176" t="s">
        <v>2794</v>
      </c>
      <c r="AV84">
        <v>2</v>
      </c>
      <c r="AW84" t="s">
        <v>2768</v>
      </c>
      <c r="AX84">
        <v>2</v>
      </c>
      <c r="AY84" t="s">
        <v>3035</v>
      </c>
      <c r="AZ84">
        <v>2</v>
      </c>
      <c r="BA84" t="s">
        <v>3035</v>
      </c>
      <c r="BB84">
        <v>2</v>
      </c>
      <c r="BC84" t="s">
        <v>2768</v>
      </c>
      <c r="BD84">
        <v>2</v>
      </c>
      <c r="BE84" t="s">
        <v>2768</v>
      </c>
      <c r="BF84">
        <v>2</v>
      </c>
      <c r="BG84" s="176" t="s">
        <v>3035</v>
      </c>
      <c r="BH84">
        <v>2</v>
      </c>
      <c r="BI84" s="176" t="s">
        <v>3026</v>
      </c>
      <c r="BJ84">
        <v>2</v>
      </c>
      <c r="BK84" t="s">
        <v>2768</v>
      </c>
      <c r="BL84">
        <v>0</v>
      </c>
      <c r="BM84" s="176" t="s">
        <v>2768</v>
      </c>
      <c r="BN84">
        <v>2</v>
      </c>
      <c r="BO84" t="s">
        <v>2768</v>
      </c>
      <c r="BP84">
        <v>2</v>
      </c>
      <c r="BQ84" t="s">
        <v>2768</v>
      </c>
      <c r="BR84">
        <v>2</v>
      </c>
      <c r="BS84" s="179" t="s">
        <v>2794</v>
      </c>
      <c r="BT84">
        <v>2</v>
      </c>
      <c r="BU84" t="s">
        <v>3018</v>
      </c>
      <c r="BV84">
        <v>2</v>
      </c>
      <c r="BW84" s="179" t="s">
        <v>2776</v>
      </c>
      <c r="BX84" s="179">
        <v>2</v>
      </c>
      <c r="BY84" s="176" t="s">
        <v>2776</v>
      </c>
      <c r="BZ84">
        <v>2</v>
      </c>
      <c r="CA84" t="s">
        <v>2776</v>
      </c>
      <c r="CB84">
        <v>2</v>
      </c>
    </row>
    <row r="85" spans="1:80">
      <c r="A85" s="178">
        <f ca="1">IFERROR(IF(A84+加速!$L$11&lt;$AS$1,IF(COUNTIF(B84,"*轻*")&gt;0,A84+加速!$L$9,A84+加速!$L$11)+V84,IF(COUNTIF(INDEX(AU85:CB85,1,$AT$1),"*云景*")+COUNTIF(INDEX(AU85:CB85,1,$AT$1),"*鹤归*")+COUNTIF(INDEX(AU85:CB85,1,$AT$1),"*听雷*")&gt;0,A84+加速!$L$11,"")),"")</f>
        <v>107.82</v>
      </c>
      <c r="B85" s="167" t="str">
        <f ca="1">IF(A85&lt;&gt;"",IF(AND(A85+加速!$L$11&gt;$AS$1,IF(AND(配装计算器!$K$30&lt;&gt;"∞",0),"梦泉虎跑-轻",INDEX(AU85:CB85,1,$AT$1))="云栖松"),"夕照雷峰",IF(AND(配装计算器!$K$30&lt;&gt;"∞",0),"梦泉虎跑-轻",INDEX(AU85:CB85,1,$AT$1))),"")</f>
        <v>云飞玉皇-玉山揽云</v>
      </c>
      <c r="C85">
        <f ca="1" t="shared" si="17"/>
        <v>8.54999999999997</v>
      </c>
      <c r="D85">
        <f ca="1">IF(B85&lt;&gt;"",IF(C84&lt;=加速!$L$11*(1-E85),0,1),"")</f>
        <v>1</v>
      </c>
      <c r="E85">
        <f ca="1" t="shared" si="13"/>
        <v>1</v>
      </c>
      <c r="G85">
        <f ca="1" t="shared" si="14"/>
        <v>6</v>
      </c>
      <c r="H85">
        <f ca="1">IF(B85&lt;&gt;"",IF(AND(COUNTIF(B84,"*轻*莺鸣柳*")&gt;0,COUNTIF(B85,"*轻*")&lt;1),MAX(0,15+I84-(A85-A84)+COUNTIF(B84,"*平湖*")*0),IF(AND(E85=0,MAX(0,H84-(A85-A84))&lt;=加速!$H$11),0,MAX(0,H84-(A85-A84)))),"")</f>
        <v>0</v>
      </c>
      <c r="I85">
        <f ca="1" t="shared" si="20"/>
        <v>0</v>
      </c>
      <c r="J85">
        <f ca="1" t="shared" si="21"/>
        <v>0</v>
      </c>
      <c r="K85">
        <f ca="1">IF(A85&lt;&gt;"",IF(AND(配装计算器!$K$30&lt;&gt;"∞",0),2,INDEX(AU85:CB85,1,$AT$2)),"")</f>
        <v>2</v>
      </c>
      <c r="L85">
        <f ca="1">IFERROR(IF(AND(COUNTIF(B85,"*-峰插*"),技能数据库!$M$72&gt;0),0,IF(COUNTIF(B85,"*鹤归*")&gt;0,16-加速!$L$11,MAX(0,L84-(A85-A84)))),0)</f>
        <v>2.73000000000001</v>
      </c>
      <c r="M85">
        <f ca="1">IF(COUNTIF(IF(AND(配装计算器!$K$30&lt;&gt;"∞",0),INDEX(AU84:CB84,1,$AT$1),INDEX(AU86:CB86,1,$AT$1)),"*鹤归*")=1,L85,0)</f>
        <v>0</v>
      </c>
      <c r="N85">
        <f ca="1">IFERROR(IF(AND(COUNTIF(B85,"*-峰插*"),技能数据库!$M$72&gt;0),0,IF(COUNTIF(B85,"*云飞*")&gt;0,4-COUNTIF(B85,"*玉山揽云*")*4--COUNTIF(B85,"*烟流暮景*")*4-COUNTIF(B85,"*云景*")*加速!$L$11-IF(J85&gt;0,2,0),MAX(0,N84-(A85-A84)-IF(J85&gt;0,2,0)))),0)</f>
        <v>0</v>
      </c>
      <c r="O85">
        <f ca="1">IF(AND(COUNTIF(IF(AND(配装计算器!$K$30&lt;&gt;"∞",0),INDEX(AU84:CB84,1,$AT$1),INDEX(AU86:CB86,1,$AT$1)),"*云飞*")=1,COUNTIF(IF(AND(配装计算器!$K$30&lt;&gt;"∞",0),INDEX(AU84:CB84,1,$AT$1),INDEX(AU86:CB86,1,$AT$1)),"*玉山*")=0),N85,0)</f>
        <v>0</v>
      </c>
      <c r="P85">
        <f ca="1">IFERROR(IF(COUNTIF(B85,"*云栖松*")&gt;0,50-加速!$L$11,MAX(0,P84-(A85-A84))),0)</f>
        <v>0</v>
      </c>
      <c r="Q85">
        <f ca="1">IF(COUNTIF(IF(AND(配装计算器!$K$30&lt;&gt;"∞",0),INDEX(AU84:CB84,1,$AT$1),INDEX(AU86:CB86,1,$AT$1)),"*云栖松*")=1,P85,0)</f>
        <v>0</v>
      </c>
      <c r="R85">
        <f ca="1">IFERROR(IF(COUNTIF(B85,"*莺鸣柳*")&gt;0,45-加速!$L$9,MAX(0,R84-(A85-A84))),0)</f>
        <v>0</v>
      </c>
      <c r="S85">
        <f ca="1">IF(COUNTIF(IF(AND(配装计算器!$K$30&lt;&gt;"∞",0),INDEX(AU84:CB84,1,$AT$1),INDEX(AU86:CB86,1,$AT$1)),"*莺鸣柳*")=1,R85,0)</f>
        <v>0</v>
      </c>
      <c r="T85">
        <f ca="1" t="shared" si="18"/>
        <v>0</v>
      </c>
      <c r="U85">
        <f ca="1">IF(金蛇,IF(COUNTIF(B85,"*金环戴*")+COUNTIF(B85,"*吹风醒*")&gt;0,IF(A85&lt;=3,7.125-2.625-A85-加速!$L$11,A85-T85),0),0)+IF(金蛇,IF(COUNTIF(B85,"*千切子裂光*")&gt;0,2+加速!$K$9-(A85+加速!$L$11-T85),0),0)</f>
        <v>0</v>
      </c>
      <c r="V85">
        <f ca="1" t="shared" si="19"/>
        <v>0</v>
      </c>
      <c r="W85">
        <f ca="1" t="shared" si="11"/>
        <v>4</v>
      </c>
      <c r="X85">
        <f ca="1">INDEX(加速!$I$13:$I$21,技能数计算!W85+1)</f>
        <v>3</v>
      </c>
      <c r="Y85">
        <f ca="1" t="shared" si="15"/>
        <v>0.5</v>
      </c>
      <c r="Z85">
        <f ca="1" t="shared" si="16"/>
        <v>0</v>
      </c>
      <c r="AA85">
        <f ca="1">MAX(0,IFERROR(IF(COUNTIF(B85,"*叠*")&gt;0,IF(AC84&lt;3,8-A86+A85,AA84+6.875-A86+A85),AA84-A86+A85),AA84-加速!$L$11))</f>
        <v>4.12999999999998</v>
      </c>
      <c r="AB85">
        <f ca="1">MAX(0,IF(COUNTIF(IF(AND(配装计算器!$K$30&lt;&gt;"∞",0),INDEX(AU85:CB85,1,$AT$1),INDEX(AU85:CB85,1,$AT$1)),"*叠1*")=1,4*25-加速!$L$11,AB84-A85+A84)-IF(OR(COUNTIF(OFFSET(AT85,0,$AT$1,1,1),"*听雷*")&gt;0,AND(碧归&gt;0,COUNTIF(OFFSET(AT85,0,$AT$1,1,1),"*风来*")&gt;0)),0,1)*1.5)</f>
        <v>81.97</v>
      </c>
      <c r="AC85">
        <f ca="1" t="shared" si="12"/>
        <v>3</v>
      </c>
      <c r="AD85">
        <f ca="1">IF(COUNTIF(IF(AND(配装计算器!$K$30&lt;&gt;"∞",0),INDEX(AU85:CB85,1,$AT$1),INDEX(AU86:CB86,1,$AT$1)),"*叠1*")=1,AB85*0+AE84,0)</f>
        <v>0</v>
      </c>
      <c r="AE85">
        <f ca="1">IF($AN$11&gt;0,IF(COUNTIF(B86,"*叠1*")&gt;0,50-加速!$H$11,MAX(0,AE84-(A86-A85))),0)</f>
        <v>39.72</v>
      </c>
      <c r="AH85" t="s">
        <v>1028</v>
      </c>
      <c r="AI85" t="s">
        <v>2920</v>
      </c>
      <c r="AJ85">
        <f ca="1">AN59</f>
        <v>0.80078125</v>
      </c>
      <c r="AK85" t="s">
        <v>2750</v>
      </c>
      <c r="AU85" s="176" t="s">
        <v>2776</v>
      </c>
      <c r="AV85">
        <v>2</v>
      </c>
      <c r="AW85" t="s">
        <v>2768</v>
      </c>
      <c r="AX85">
        <v>2</v>
      </c>
      <c r="AY85" t="s">
        <v>2768</v>
      </c>
      <c r="AZ85">
        <v>2</v>
      </c>
      <c r="BA85" t="s">
        <v>2768</v>
      </c>
      <c r="BB85">
        <v>2</v>
      </c>
      <c r="BC85" t="s">
        <v>2776</v>
      </c>
      <c r="BD85">
        <v>2</v>
      </c>
      <c r="BE85" t="s">
        <v>2776</v>
      </c>
      <c r="BF85">
        <v>2</v>
      </c>
      <c r="BG85" t="s">
        <v>2768</v>
      </c>
      <c r="BH85">
        <v>2</v>
      </c>
      <c r="BI85" s="176" t="s">
        <v>3026</v>
      </c>
      <c r="BJ85">
        <v>2</v>
      </c>
      <c r="BK85" t="s">
        <v>3012</v>
      </c>
      <c r="BL85">
        <v>2</v>
      </c>
      <c r="BM85" s="176" t="s">
        <v>2808</v>
      </c>
      <c r="BN85">
        <v>2</v>
      </c>
      <c r="BO85" t="s">
        <v>2776</v>
      </c>
      <c r="BP85">
        <v>2</v>
      </c>
      <c r="BQ85" t="s">
        <v>2776</v>
      </c>
      <c r="BR85">
        <v>2</v>
      </c>
      <c r="BS85" s="179" t="s">
        <v>3019</v>
      </c>
      <c r="BT85">
        <v>2</v>
      </c>
      <c r="BU85" t="s">
        <v>2768</v>
      </c>
      <c r="BV85">
        <v>2</v>
      </c>
      <c r="BW85" s="179" t="s">
        <v>2768</v>
      </c>
      <c r="BX85" s="179">
        <v>2</v>
      </c>
      <c r="BY85" s="176" t="s">
        <v>2768</v>
      </c>
      <c r="BZ85">
        <v>2</v>
      </c>
      <c r="CA85" t="s">
        <v>2768</v>
      </c>
      <c r="CB85">
        <v>2</v>
      </c>
    </row>
    <row r="86" spans="1:80">
      <c r="A86" s="178">
        <f ca="1">IFERROR(IF(A85+加速!$L$11&lt;$AS$1,IF(COUNTIF(B85,"*轻*")&gt;0,A85+加速!$L$9,A85+加速!$L$11)+V85,IF(COUNTIF(INDEX(AU86:CB86,1,$AT$1),"*云景*")+COUNTIF(INDEX(AU86:CB86,1,$AT$1),"*鹤归*")+COUNTIF(INDEX(AU86:CB86,1,$AT$1),"*听雷*")&gt;0,A85+加速!$L$11,"")),"")</f>
        <v>109.11</v>
      </c>
      <c r="B86" s="167" t="str">
        <f ca="1">IF(A86&lt;&gt;"",IF(AND(A86+加速!$L$11&gt;$AS$1,IF(AND(配装计算器!$K$30&lt;&gt;"∞",0),"梦泉虎跑-轻",INDEX(AU86:CB86,1,$AT$1))="云栖松"),"夕照雷峰",IF(AND(配装计算器!$K$30&lt;&gt;"∞",0),"梦泉虎跑-轻",INDEX(AU86:CB86,1,$AT$1))),"")</f>
        <v>云飞玉皇-玉山揽云</v>
      </c>
      <c r="C86">
        <f ca="1" t="shared" si="17"/>
        <v>7.25999999999996</v>
      </c>
      <c r="D86">
        <f ca="1">IF(B86&lt;&gt;"",IF(C85&lt;=加速!$L$11*(1-E86),0,1),"")</f>
        <v>1</v>
      </c>
      <c r="E86">
        <f ca="1" t="shared" si="13"/>
        <v>1</v>
      </c>
      <c r="G86">
        <f ca="1" t="shared" si="14"/>
        <v>5</v>
      </c>
      <c r="H86">
        <f ca="1">IF(B86&lt;&gt;"",IF(AND(COUNTIF(B85,"*轻*莺鸣柳*")&gt;0,COUNTIF(B86,"*轻*")&lt;1),MAX(0,15+I85-(A86-A85)+COUNTIF(B85,"*平湖*")*0),IF(AND(E86=0,MAX(0,H85-(A86-A85))&lt;=加速!$H$11),0,MAX(0,H85-(A86-A85)))),"")</f>
        <v>0</v>
      </c>
      <c r="I86">
        <f ca="1" t="shared" si="20"/>
        <v>0</v>
      </c>
      <c r="J86">
        <f ca="1" t="shared" si="21"/>
        <v>0</v>
      </c>
      <c r="K86">
        <f ca="1">IF(A86&lt;&gt;"",IF(AND(配装计算器!$K$30&lt;&gt;"∞",0),2,INDEX(AU86:CB86,1,$AT$2)),"")</f>
        <v>2</v>
      </c>
      <c r="L86">
        <f ca="1">IFERROR(IF(AND(COUNTIF(B86,"*-峰插*"),技能数据库!$M$72&gt;0),0,IF(COUNTIF(B86,"*鹤归*")&gt;0,16-加速!$L$11,MAX(0,L85-(A86-A85)))),0)</f>
        <v>1.44</v>
      </c>
      <c r="M86">
        <f ca="1">IF(COUNTIF(IF(AND(配装计算器!$K$30&lt;&gt;"∞",0),INDEX(AU85:CB85,1,$AT$1),INDEX(AU87:CB87,1,$AT$1)),"*鹤归*")=1,L86,0)</f>
        <v>0</v>
      </c>
      <c r="N86">
        <f ca="1">IFERROR(IF(AND(COUNTIF(B86,"*-峰插*"),技能数据库!$M$72&gt;0),0,IF(COUNTIF(B86,"*云飞*")&gt;0,4-COUNTIF(B86,"*玉山揽云*")*4--COUNTIF(B86,"*烟流暮景*")*4-COUNTIF(B86,"*云景*")*加速!$L$11-IF(J86&gt;0,2,0),MAX(0,N85-(A86-A85)-IF(J86&gt;0,2,0)))),0)</f>
        <v>0</v>
      </c>
      <c r="O86">
        <f ca="1">IF(AND(COUNTIF(IF(AND(配装计算器!$K$30&lt;&gt;"∞",0),INDEX(AU85:CB85,1,$AT$1),INDEX(AU87:CB87,1,$AT$1)),"*云飞*")=1,COUNTIF(IF(AND(配装计算器!$K$30&lt;&gt;"∞",0),INDEX(AU85:CB85,1,$AT$1),INDEX(AU87:CB87,1,$AT$1)),"*玉山*")=0),N86,0)</f>
        <v>0</v>
      </c>
      <c r="P86">
        <f ca="1">IFERROR(IF(COUNTIF(B86,"*云栖松*")&gt;0,50-加速!$L$11,MAX(0,P85-(A86-A85))),0)</f>
        <v>0</v>
      </c>
      <c r="Q86">
        <f ca="1">IF(COUNTIF(IF(AND(配装计算器!$K$30&lt;&gt;"∞",0),INDEX(AU85:CB85,1,$AT$1),INDEX(AU87:CB87,1,$AT$1)),"*云栖松*")=1,P86,0)</f>
        <v>0</v>
      </c>
      <c r="R86">
        <f ca="1">IFERROR(IF(COUNTIF(B86,"*莺鸣柳*")&gt;0,45-加速!$L$9,MAX(0,R85-(A86-A85))),0)</f>
        <v>0</v>
      </c>
      <c r="S86">
        <f ca="1">IF(COUNTIF(IF(AND(配装计算器!$K$30&lt;&gt;"∞",0),INDEX(AU85:CB85,1,$AT$1),INDEX(AU87:CB87,1,$AT$1)),"*莺鸣柳*")=1,R86,0)</f>
        <v>0</v>
      </c>
      <c r="T86">
        <f ca="1" t="shared" si="18"/>
        <v>0</v>
      </c>
      <c r="U86">
        <f ca="1">IF(金蛇,IF(COUNTIF(B86,"*金环戴*")+COUNTIF(B86,"*吹风醒*")&gt;0,IF(A86&lt;=3,7.125-2.625-A86-加速!$L$11,A86-T86),0),0)+IF(金蛇,IF(COUNTIF(B86,"*千切子裂光*")&gt;0,2+加速!$K$9-(A86+加速!$L$11-T86),0),0)</f>
        <v>0</v>
      </c>
      <c r="V86">
        <f ca="1" t="shared" si="19"/>
        <v>0</v>
      </c>
      <c r="W86">
        <f ca="1" t="shared" si="11"/>
        <v>5</v>
      </c>
      <c r="X86">
        <f ca="1">INDEX(加速!$I$13:$I$21,技能数计算!W86+1)</f>
        <v>2</v>
      </c>
      <c r="Y86">
        <f ca="1" t="shared" si="15"/>
        <v>0.5</v>
      </c>
      <c r="Z86">
        <f ca="1" t="shared" si="16"/>
        <v>0</v>
      </c>
      <c r="AA86">
        <f ca="1">MAX(0,IFERROR(IF(COUNTIF(B86,"*叠*")&gt;0,IF(AC85&lt;3,8-A87+A86,AA85+6.875-A87+A86),AA85-A87+A86),AA85-加速!$L$11))</f>
        <v>2.83999999999997</v>
      </c>
      <c r="AB86">
        <f ca="1">MAX(0,IF(COUNTIF(IF(AND(配装计算器!$K$30&lt;&gt;"∞",0),INDEX(AU86:CB86,1,$AT$1),INDEX(AU86:CB86,1,$AT$1)),"*叠1*")=1,4*25-加速!$L$11,AB85-A86+A85)-IF(OR(COUNTIF(OFFSET(AT86,0,$AT$1,1,1),"*听雷*")&gt;0,AND(碧归&gt;0,COUNTIF(OFFSET(AT86,0,$AT$1,1,1),"*风来*")&gt;0)),0,1)*1.5)</f>
        <v>79.1799999999999</v>
      </c>
      <c r="AC86">
        <f ca="1" t="shared" si="12"/>
        <v>3</v>
      </c>
      <c r="AD86">
        <f ca="1">IF(COUNTIF(IF(AND(配装计算器!$K$30&lt;&gt;"∞",0),INDEX(AU86:CB86,1,$AT$1),INDEX(AU87:CB87,1,$AT$1)),"*叠1*")=1,AB86*0+AE85,0)</f>
        <v>0</v>
      </c>
      <c r="AE86">
        <f ca="1">IF($AN$11&gt;0,IF(COUNTIF(B87,"*叠1*")&gt;0,50-加速!$H$11,MAX(0,AE85-(A87-A86))),0)</f>
        <v>38.4299999999999</v>
      </c>
      <c r="AH86" t="s">
        <v>1028</v>
      </c>
      <c r="AI86" t="s">
        <v>2920</v>
      </c>
      <c r="AJ86">
        <f ca="1">AN58</f>
        <v>0</v>
      </c>
      <c r="AK86" t="s">
        <v>3014</v>
      </c>
      <c r="AU86" s="176" t="s">
        <v>2768</v>
      </c>
      <c r="AV86">
        <v>2</v>
      </c>
      <c r="AW86" t="s">
        <v>2776</v>
      </c>
      <c r="AX86">
        <v>2</v>
      </c>
      <c r="AY86" t="s">
        <v>2776</v>
      </c>
      <c r="AZ86">
        <v>2</v>
      </c>
      <c r="BA86" t="s">
        <v>2776</v>
      </c>
      <c r="BB86">
        <v>2</v>
      </c>
      <c r="BC86" t="s">
        <v>2789</v>
      </c>
      <c r="BD86">
        <v>2</v>
      </c>
      <c r="BE86" t="s">
        <v>3042</v>
      </c>
      <c r="BF86">
        <v>2</v>
      </c>
      <c r="BG86" t="s">
        <v>2776</v>
      </c>
      <c r="BH86">
        <v>2</v>
      </c>
      <c r="BI86" s="176" t="s">
        <v>3026</v>
      </c>
      <c r="BJ86">
        <v>2</v>
      </c>
      <c r="BK86" s="176" t="s">
        <v>2794</v>
      </c>
      <c r="BL86">
        <v>2</v>
      </c>
      <c r="BM86" t="s">
        <v>2768</v>
      </c>
      <c r="BN86">
        <v>2</v>
      </c>
      <c r="BO86" t="s">
        <v>2768</v>
      </c>
      <c r="BP86">
        <v>2</v>
      </c>
      <c r="BQ86" t="s">
        <v>2789</v>
      </c>
      <c r="BR86">
        <v>2</v>
      </c>
      <c r="BS86" s="179" t="s">
        <v>2768</v>
      </c>
      <c r="BT86">
        <v>2</v>
      </c>
      <c r="BU86" s="182" t="s">
        <v>3023</v>
      </c>
      <c r="BV86">
        <v>2</v>
      </c>
      <c r="BW86" s="179" t="s">
        <v>2768</v>
      </c>
      <c r="BX86" s="179">
        <v>2</v>
      </c>
      <c r="BY86" s="176" t="s">
        <v>2808</v>
      </c>
      <c r="BZ86">
        <v>2</v>
      </c>
      <c r="CA86" t="s">
        <v>2768</v>
      </c>
      <c r="CB86">
        <v>2</v>
      </c>
    </row>
    <row r="87" spans="1:80">
      <c r="A87" s="178">
        <f ca="1">IFERROR(IF(A86+加速!$L$11&lt;$AS$1,IF(COUNTIF(B86,"*轻*")&gt;0,A86+加速!$L$9,A86+加速!$L$11)+V86,IF(COUNTIF(INDEX(AU87:CB87,1,$AT$1),"*云景*")+COUNTIF(INDEX(AU87:CB87,1,$AT$1),"*鹤归*")+COUNTIF(INDEX(AU87:CB87,1,$AT$1),"*听雷*")&gt;0,A86+加速!$L$11,"")),"")</f>
        <v>110.4</v>
      </c>
      <c r="B87" s="167" t="str">
        <f ca="1">IF(A87&lt;&gt;"",IF(AND(A87+加速!$L$11&gt;$AS$1,IF(AND(配装计算器!$K$30&lt;&gt;"∞",0),"梦泉虎跑-轻",INDEX(AU87:CB87,1,$AT$1))="云栖松"),"夕照雷峰",IF(AND(配装计算器!$K$30&lt;&gt;"∞",0),"梦泉虎跑-轻",INDEX(AU87:CB87,1,$AT$1))),"")</f>
        <v>云飞玉皇-玉山揽云</v>
      </c>
      <c r="C87">
        <f ca="1" t="shared" si="17"/>
        <v>5.96999999999996</v>
      </c>
      <c r="D87">
        <f ca="1">IF(B87&lt;&gt;"",IF(C86&lt;=加速!$L$11*(1-E87),0,1),"")</f>
        <v>1</v>
      </c>
      <c r="E87">
        <f ca="1" t="shared" si="13"/>
        <v>1</v>
      </c>
      <c r="G87">
        <f ca="1" t="shared" si="14"/>
        <v>4</v>
      </c>
      <c r="H87">
        <f ca="1">IF(B87&lt;&gt;"",IF(AND(COUNTIF(B86,"*轻*莺鸣柳*")&gt;0,COUNTIF(B87,"*轻*")&lt;1),MAX(0,15+I86-(A87-A86)+COUNTIF(B86,"*平湖*")*0),IF(AND(E87=0,MAX(0,H86-(A87-A86))&lt;=加速!$H$11),0,MAX(0,H86-(A87-A86)))),"")</f>
        <v>0</v>
      </c>
      <c r="I87">
        <f ca="1" t="shared" si="20"/>
        <v>0</v>
      </c>
      <c r="J87">
        <f ca="1" t="shared" si="21"/>
        <v>0</v>
      </c>
      <c r="K87">
        <f ca="1">IF(A87&lt;&gt;"",IF(AND(配装计算器!$K$30&lt;&gt;"∞",0),2,INDEX(AU87:CB87,1,$AT$2)),"")</f>
        <v>2</v>
      </c>
      <c r="L87">
        <f ca="1">IFERROR(IF(AND(COUNTIF(B87,"*-峰插*"),技能数据库!$M$72&gt;0),0,IF(COUNTIF(B87,"*鹤归*")&gt;0,16-加速!$L$11,MAX(0,L86-(A87-A86)))),0)</f>
        <v>0.149999999999999</v>
      </c>
      <c r="M87">
        <f ca="1">IF(COUNTIF(IF(AND(配装计算器!$K$30&lt;&gt;"∞",0),INDEX(AU86:CB86,1,$AT$1),INDEX(AU88:CB88,1,$AT$1)),"*鹤归*")=1,L87,0)</f>
        <v>0</v>
      </c>
      <c r="N87">
        <f ca="1">IFERROR(IF(AND(COUNTIF(B87,"*-峰插*"),技能数据库!$M$72&gt;0),0,IF(COUNTIF(B87,"*云飞*")&gt;0,4-COUNTIF(B87,"*玉山揽云*")*4--COUNTIF(B87,"*烟流暮景*")*4-COUNTIF(B87,"*云景*")*加速!$L$11-IF(J87&gt;0,2,0),MAX(0,N86-(A87-A86)-IF(J87&gt;0,2,0)))),0)</f>
        <v>0</v>
      </c>
      <c r="O87">
        <f ca="1">IF(AND(COUNTIF(IF(AND(配装计算器!$K$30&lt;&gt;"∞",0),INDEX(AU86:CB86,1,$AT$1),INDEX(AU88:CB88,1,$AT$1)),"*云飞*")=1,COUNTIF(IF(AND(配装计算器!$K$30&lt;&gt;"∞",0),INDEX(AU86:CB86,1,$AT$1),INDEX(AU88:CB88,1,$AT$1)),"*玉山*")=0),N87,0)</f>
        <v>0</v>
      </c>
      <c r="P87">
        <f ca="1">IFERROR(IF(COUNTIF(B87,"*云栖松*")&gt;0,50-加速!$L$11,MAX(0,P86-(A87-A86))),0)</f>
        <v>0</v>
      </c>
      <c r="Q87">
        <f ca="1">IF(COUNTIF(IF(AND(配装计算器!$K$30&lt;&gt;"∞",0),INDEX(AU86:CB86,1,$AT$1),INDEX(AU88:CB88,1,$AT$1)),"*云栖松*")=1,P87,0)</f>
        <v>0</v>
      </c>
      <c r="R87">
        <f ca="1">IFERROR(IF(COUNTIF(B87,"*莺鸣柳*")&gt;0,45-加速!$L$9,MAX(0,R86-(A87-A86))),0)</f>
        <v>0</v>
      </c>
      <c r="S87">
        <f ca="1">IF(COUNTIF(IF(AND(配装计算器!$K$30&lt;&gt;"∞",0),INDEX(AU86:CB86,1,$AT$1),INDEX(AU88:CB88,1,$AT$1)),"*莺鸣柳*")=1,R87,0)</f>
        <v>0</v>
      </c>
      <c r="T87">
        <f ca="1" t="shared" si="18"/>
        <v>0</v>
      </c>
      <c r="U87">
        <f ca="1">IF(金蛇,IF(COUNTIF(B87,"*金环戴*")+COUNTIF(B87,"*吹风醒*")&gt;0,IF(A87&lt;=3,7.125-2.625-A87-加速!$L$11,A87-T87),0),0)+IF(金蛇,IF(COUNTIF(B87,"*千切子裂光*")&gt;0,2+加速!$K$9-(A87+加速!$L$11-T87),0),0)</f>
        <v>0</v>
      </c>
      <c r="V87">
        <f ca="1" t="shared" si="19"/>
        <v>0</v>
      </c>
      <c r="W87">
        <f ca="1" t="shared" si="11"/>
        <v>6</v>
      </c>
      <c r="X87">
        <f ca="1">INDEX(加速!$I$13:$I$21,技能数计算!W87+1)</f>
        <v>3</v>
      </c>
      <c r="Y87">
        <f ca="1" t="shared" si="15"/>
        <v>0.5</v>
      </c>
      <c r="Z87">
        <f ca="1" t="shared" si="16"/>
        <v>0</v>
      </c>
      <c r="AA87">
        <f ca="1">MAX(0,IFERROR(IF(COUNTIF(B87,"*叠*")&gt;0,IF(AC86&lt;3,8-A88+A87,AA86+6.875-A88+A87),AA86-A88+A87),AA86-加速!$L$11))</f>
        <v>1.54999999999997</v>
      </c>
      <c r="AB87">
        <f ca="1">MAX(0,IF(COUNTIF(IF(AND(配装计算器!$K$30&lt;&gt;"∞",0),INDEX(AU87:CB87,1,$AT$1),INDEX(AU87:CB87,1,$AT$1)),"*叠1*")=1,4*25-加速!$L$11,AB86-A87+A86)-IF(OR(COUNTIF(OFFSET(AT87,0,$AT$1,1,1),"*听雷*")&gt;0,AND(碧归&gt;0,COUNTIF(OFFSET(AT87,0,$AT$1,1,1),"*风来*")&gt;0)),0,1)*1.5)</f>
        <v>76.3899999999999</v>
      </c>
      <c r="AC87">
        <f ca="1" t="shared" si="12"/>
        <v>3</v>
      </c>
      <c r="AD87">
        <f ca="1">IF(COUNTIF(IF(AND(配装计算器!$K$30&lt;&gt;"∞",0),INDEX(AU87:CB87,1,$AT$1),INDEX(AU88:CB88,1,$AT$1)),"*叠1*")=1,AB87*0+AE86,0)</f>
        <v>0</v>
      </c>
      <c r="AE87">
        <f ca="1">IF($AN$11&gt;0,IF(COUNTIF(B88,"*叠1*")&gt;0,50-加速!$H$11,MAX(0,AE86-(A88-A87))),0)</f>
        <v>37.1399999999999</v>
      </c>
      <c r="AH87" t="s">
        <v>1825</v>
      </c>
      <c r="AI87" t="s">
        <v>2808</v>
      </c>
      <c r="AJ87">
        <f ca="1">循环比*COUNTIFS($B$3:$B$515,"*"&amp;AI70&amp;"*",$D$3:$D$515,"&gt;0",$H$3:$H$515,"=0",$G$3:$G$515,"=0",$K$3:$K$515,"=2",$AC$3:$AC$515,"=0")</f>
        <v>0</v>
      </c>
      <c r="AK87" t="s">
        <v>3069</v>
      </c>
      <c r="AU87" s="176" t="s">
        <v>2776</v>
      </c>
      <c r="AV87">
        <v>2</v>
      </c>
      <c r="AW87" t="s">
        <v>2768</v>
      </c>
      <c r="AX87">
        <v>2</v>
      </c>
      <c r="AY87" t="s">
        <v>2768</v>
      </c>
      <c r="AZ87">
        <v>2</v>
      </c>
      <c r="BA87" t="s">
        <v>2768</v>
      </c>
      <c r="BB87">
        <v>2</v>
      </c>
      <c r="BC87" t="s">
        <v>2794</v>
      </c>
      <c r="BD87">
        <v>2</v>
      </c>
      <c r="BE87" t="s">
        <v>2808</v>
      </c>
      <c r="BF87">
        <v>2</v>
      </c>
      <c r="BG87" t="s">
        <v>2768</v>
      </c>
      <c r="BH87">
        <v>2</v>
      </c>
      <c r="BI87" s="176" t="s">
        <v>3026</v>
      </c>
      <c r="BJ87">
        <v>2</v>
      </c>
      <c r="BK87" s="176" t="s">
        <v>3019</v>
      </c>
      <c r="BL87">
        <v>2</v>
      </c>
      <c r="BM87" t="s">
        <v>2776</v>
      </c>
      <c r="BN87">
        <v>2</v>
      </c>
      <c r="BO87" t="s">
        <v>2768</v>
      </c>
      <c r="BP87">
        <v>2</v>
      </c>
      <c r="BQ87" t="s">
        <v>2768</v>
      </c>
      <c r="BR87">
        <v>2</v>
      </c>
      <c r="BS87" s="182" t="s">
        <v>3023</v>
      </c>
      <c r="BT87">
        <v>2</v>
      </c>
      <c r="BU87" s="176" t="s">
        <v>2768</v>
      </c>
      <c r="BV87">
        <v>2</v>
      </c>
      <c r="BW87" s="179" t="s">
        <v>2768</v>
      </c>
      <c r="BX87" s="179">
        <v>2</v>
      </c>
      <c r="BY87" t="s">
        <v>2768</v>
      </c>
      <c r="BZ87">
        <v>2</v>
      </c>
      <c r="CA87" t="s">
        <v>2768</v>
      </c>
      <c r="CB87">
        <v>2</v>
      </c>
    </row>
    <row r="88" spans="1:80">
      <c r="A88" s="178">
        <f ca="1">IFERROR(IF(A87+加速!$L$11&lt;$AS$1,IF(COUNTIF(B87,"*轻*")&gt;0,A87+加速!$L$9,A87+加速!$L$11)+V87,IF(COUNTIF(INDEX(AU88:CB88,1,$AT$1),"*云景*")+COUNTIF(INDEX(AU88:CB88,1,$AT$1),"*鹤归*")+COUNTIF(INDEX(AU88:CB88,1,$AT$1),"*听雷*")&gt;0,A87+加速!$L$11,"")),"")</f>
        <v>111.69</v>
      </c>
      <c r="B88" s="167" t="str">
        <f ca="1">IF(A88&lt;&gt;"",IF(AND(A88+加速!$L$11&gt;$AS$1,IF(AND(配装计算器!$K$30&lt;&gt;"∞",0),"梦泉虎跑-轻",INDEX(AU88:CB88,1,$AT$1))="云栖松"),"夕照雷峰",IF(AND(配装计算器!$K$30&lt;&gt;"∞",0),"梦泉虎跑-轻",INDEX(AU88:CB88,1,$AT$1))),"")</f>
        <v>云飞玉皇-玉山揽云-叠</v>
      </c>
      <c r="C88">
        <f ca="1" t="shared" si="17"/>
        <v>4.67999999999995</v>
      </c>
      <c r="D88">
        <f ca="1">IF(B88&lt;&gt;"",IF(C87&lt;=加速!$L$11*(1-E88),0,1),"")</f>
        <v>1</v>
      </c>
      <c r="E88">
        <f ca="1" t="shared" si="13"/>
        <v>1</v>
      </c>
      <c r="G88">
        <f ca="1" t="shared" si="14"/>
        <v>3</v>
      </c>
      <c r="H88">
        <f ca="1">IF(B88&lt;&gt;"",IF(AND(COUNTIF(B87,"*轻*莺鸣柳*")&gt;0,COUNTIF(B88,"*轻*")&lt;1),MAX(0,15+I87-(A88-A87)+COUNTIF(B87,"*平湖*")*0),IF(AND(E88=0,MAX(0,H87-(A88-A87))&lt;=加速!$H$11),0,MAX(0,H87-(A88-A87)))),"")</f>
        <v>0</v>
      </c>
      <c r="I88">
        <f ca="1" t="shared" si="20"/>
        <v>0</v>
      </c>
      <c r="J88">
        <f ca="1" t="shared" si="21"/>
        <v>0</v>
      </c>
      <c r="K88">
        <f ca="1">IF(A88&lt;&gt;"",IF(AND(配装计算器!$K$30&lt;&gt;"∞",0),2,INDEX(AU88:CB88,1,$AT$2)),"")</f>
        <v>2</v>
      </c>
      <c r="L88">
        <f ca="1">IFERROR(IF(AND(COUNTIF(B88,"*-峰插*"),技能数据库!$M$72&gt;0),0,IF(COUNTIF(B88,"*鹤归*")&gt;0,16-加速!$L$11,MAX(0,L87-(A88-A87)))),0)</f>
        <v>0</v>
      </c>
      <c r="M88">
        <f ca="1">IF(COUNTIF(IF(AND(配装计算器!$K$30&lt;&gt;"∞",0),INDEX(AU87:CB87,1,$AT$1),INDEX(AU89:CB89,1,$AT$1)),"*鹤归*")=1,L88,0)</f>
        <v>0</v>
      </c>
      <c r="N88">
        <f ca="1">IFERROR(IF(AND(COUNTIF(B88,"*-峰插*"),技能数据库!$M$72&gt;0),0,IF(COUNTIF(B88,"*云飞*")&gt;0,4-COUNTIF(B88,"*玉山揽云*")*4--COUNTIF(B88,"*烟流暮景*")*4-COUNTIF(B88,"*云景*")*加速!$L$11-IF(J88&gt;0,2,0),MAX(0,N87-(A88-A87)-IF(J88&gt;0,2,0)))),0)</f>
        <v>0</v>
      </c>
      <c r="O88">
        <f ca="1">IF(AND(COUNTIF(IF(AND(配装计算器!$K$30&lt;&gt;"∞",0),INDEX(AU87:CB87,1,$AT$1),INDEX(AU89:CB89,1,$AT$1)),"*云飞*")=1,COUNTIF(IF(AND(配装计算器!$K$30&lt;&gt;"∞",0),INDEX(AU87:CB87,1,$AT$1),INDEX(AU89:CB89,1,$AT$1)),"*玉山*")=0),N88,0)</f>
        <v>0</v>
      </c>
      <c r="P88">
        <f ca="1">IFERROR(IF(COUNTIF(B88,"*云栖松*")&gt;0,50-加速!$L$11,MAX(0,P87-(A88-A87))),0)</f>
        <v>0</v>
      </c>
      <c r="Q88">
        <f ca="1">IF(COUNTIF(IF(AND(配装计算器!$K$30&lt;&gt;"∞",0),INDEX(AU87:CB87,1,$AT$1),INDEX(AU89:CB89,1,$AT$1)),"*云栖松*")=1,P88,0)</f>
        <v>0</v>
      </c>
      <c r="R88">
        <f ca="1">IFERROR(IF(COUNTIF(B88,"*莺鸣柳*")&gt;0,45-加速!$L$9,MAX(0,R87-(A88-A87))),0)</f>
        <v>0</v>
      </c>
      <c r="S88">
        <f ca="1">IF(COUNTIF(IF(AND(配装计算器!$K$30&lt;&gt;"∞",0),INDEX(AU87:CB87,1,$AT$1),INDEX(AU89:CB89,1,$AT$1)),"*莺鸣柳*")=1,R88,0)</f>
        <v>0</v>
      </c>
      <c r="T88">
        <f ca="1" t="shared" si="18"/>
        <v>0</v>
      </c>
      <c r="U88">
        <f ca="1">IF(金蛇,IF(COUNTIF(B88,"*金环戴*")+COUNTIF(B88,"*吹风醒*")&gt;0,IF(A88&lt;=3,7.125-2.625-A88-加速!$L$11,A88-T88),0),0)+IF(金蛇,IF(COUNTIF(B88,"*千切子裂光*")&gt;0,2+加速!$K$9-(A88+加速!$L$11-T88),0),0)</f>
        <v>0</v>
      </c>
      <c r="V88">
        <f ca="1" t="shared" si="19"/>
        <v>0</v>
      </c>
      <c r="W88">
        <f ca="1" t="shared" si="11"/>
        <v>7</v>
      </c>
      <c r="X88">
        <f ca="1">INDEX(加速!$I$13:$I$21,技能数计算!W88+1)</f>
        <v>2</v>
      </c>
      <c r="Y88">
        <f ca="1" t="shared" si="15"/>
        <v>0.5</v>
      </c>
      <c r="Z88">
        <f ca="1" t="shared" si="16"/>
        <v>0</v>
      </c>
      <c r="AA88">
        <f ca="1">MAX(0,IFERROR(IF(COUNTIF(B88,"*叠*")&gt;0,IF(AC87&lt;3,8-A89+A88,AA87+6.875-A89+A88),AA87-A89+A88),AA87-加速!$L$11))</f>
        <v>7.13499999999996</v>
      </c>
      <c r="AB88">
        <f ca="1">MAX(0,IF(COUNTIF(IF(AND(配装计算器!$K$30&lt;&gt;"∞",0),INDEX(AU88:CB88,1,$AT$1),INDEX(AU88:CB88,1,$AT$1)),"*叠1*")=1,4*25-加速!$L$11,AB87-A88+A87)-IF(OR(COUNTIF(OFFSET(AT88,0,$AT$1,1,1),"*听雷*")&gt;0,AND(碧归&gt;0,COUNTIF(OFFSET(AT88,0,$AT$1,1,1),"*风来*")&gt;0)),0,1)*1.5)</f>
        <v>73.5999999999999</v>
      </c>
      <c r="AC88">
        <f ca="1" t="shared" si="12"/>
        <v>3</v>
      </c>
      <c r="AD88">
        <f ca="1">IF(COUNTIF(IF(AND(配装计算器!$K$30&lt;&gt;"∞",0),INDEX(AU88:CB88,1,$AT$1),INDEX(AU89:CB89,1,$AT$1)),"*叠1*")=1,AB88*0+AE87,0)</f>
        <v>0</v>
      </c>
      <c r="AE88">
        <f ca="1">IF($AN$11&gt;0,IF(COUNTIF(B89,"*叠1*")&gt;0,50-加速!$H$11,MAX(0,AE87-(A89-A88))),0)</f>
        <v>35.8499999999999</v>
      </c>
      <c r="AH88" t="s">
        <v>1825</v>
      </c>
      <c r="AI88" t="s">
        <v>2820</v>
      </c>
      <c r="AJ88">
        <f ca="1">AN62</f>
        <v>0</v>
      </c>
      <c r="AK88" t="s">
        <v>2750</v>
      </c>
      <c r="AU88" s="176" t="s">
        <v>2768</v>
      </c>
      <c r="AV88">
        <v>2</v>
      </c>
      <c r="AW88" s="176" t="s">
        <v>2794</v>
      </c>
      <c r="AX88">
        <v>2</v>
      </c>
      <c r="AY88" t="s">
        <v>2776</v>
      </c>
      <c r="AZ88">
        <v>2</v>
      </c>
      <c r="BA88" t="s">
        <v>2776</v>
      </c>
      <c r="BB88">
        <v>2</v>
      </c>
      <c r="BC88" s="182" t="s">
        <v>3036</v>
      </c>
      <c r="BD88">
        <v>2</v>
      </c>
      <c r="BE88" t="s">
        <v>2768</v>
      </c>
      <c r="BF88">
        <v>2</v>
      </c>
      <c r="BG88" t="s">
        <v>2776</v>
      </c>
      <c r="BH88">
        <v>2</v>
      </c>
      <c r="BI88" s="176" t="s">
        <v>3036</v>
      </c>
      <c r="BJ88">
        <v>2</v>
      </c>
      <c r="BK88" s="176" t="s">
        <v>2768</v>
      </c>
      <c r="BL88">
        <v>2</v>
      </c>
      <c r="BM88" t="s">
        <v>2768</v>
      </c>
      <c r="BN88">
        <v>2</v>
      </c>
      <c r="BO88" t="s">
        <v>2768</v>
      </c>
      <c r="BP88">
        <v>2</v>
      </c>
      <c r="BQ88" t="s">
        <v>3035</v>
      </c>
      <c r="BR88">
        <v>2</v>
      </c>
      <c r="BS88" s="182" t="s">
        <v>2768</v>
      </c>
      <c r="BT88">
        <v>2</v>
      </c>
      <c r="BU88" s="176" t="s">
        <v>2768</v>
      </c>
      <c r="BV88">
        <v>2</v>
      </c>
      <c r="BW88" s="179" t="s">
        <v>2776</v>
      </c>
      <c r="BX88" s="179">
        <v>2</v>
      </c>
      <c r="BY88" t="s">
        <v>2776</v>
      </c>
      <c r="BZ88">
        <v>2</v>
      </c>
      <c r="CA88" t="s">
        <v>2776</v>
      </c>
      <c r="CB88">
        <v>2</v>
      </c>
    </row>
    <row r="89" spans="1:80">
      <c r="A89" s="178">
        <f ca="1">IFERROR(IF(A88+加速!$L$11&lt;$AS$1,IF(COUNTIF(B88,"*轻*")&gt;0,A88+加速!$L$9,A88+加速!$L$11)+V88,IF(COUNTIF(INDEX(AU89:CB89,1,$AT$1),"*云景*")+COUNTIF(INDEX(AU89:CB89,1,$AT$1),"*鹤归*")+COUNTIF(INDEX(AU89:CB89,1,$AT$1),"*听雷*")&gt;0,A88+加速!$L$11,"")),"")</f>
        <v>112.98</v>
      </c>
      <c r="B89" s="167" t="str">
        <f ca="1">IF(A89&lt;&gt;"",IF(AND(A89+加速!$L$11&gt;$AS$1,IF(AND(配装计算器!$K$30&lt;&gt;"∞",0),"梦泉虎跑-轻",INDEX(AU89:CB89,1,$AT$1))="云栖松"),"夕照雷峰",IF(AND(配装计算器!$K$30&lt;&gt;"∞",0),"梦泉虎跑-轻",INDEX(AU89:CB89,1,$AT$1))),"")</f>
        <v>鹤归孤山</v>
      </c>
      <c r="C89">
        <f ca="1" t="shared" si="17"/>
        <v>3.38999999999994</v>
      </c>
      <c r="D89">
        <f ca="1">IF(B89&lt;&gt;"",IF(C88&lt;=加速!$L$11*(1-E89),0,1),"")</f>
        <v>1</v>
      </c>
      <c r="E89">
        <f ca="1" t="shared" si="13"/>
        <v>1</v>
      </c>
      <c r="G89">
        <f ca="1" t="shared" si="14"/>
        <v>2</v>
      </c>
      <c r="H89">
        <f ca="1">IF(B89&lt;&gt;"",IF(AND(COUNTIF(B88,"*轻*莺鸣柳*")&gt;0,COUNTIF(B89,"*轻*")&lt;1),MAX(0,15+I88-(A89-A88)+COUNTIF(B88,"*平湖*")*0),IF(AND(E89=0,MAX(0,H88-(A89-A88))&lt;=加速!$H$11),0,MAX(0,H88-(A89-A88)))),"")</f>
        <v>0</v>
      </c>
      <c r="I89">
        <f ca="1" t="shared" si="20"/>
        <v>0</v>
      </c>
      <c r="J89">
        <f ca="1" t="shared" si="21"/>
        <v>0</v>
      </c>
      <c r="K89">
        <f ca="1">IF(A89&lt;&gt;"",IF(AND(配装计算器!$K$30&lt;&gt;"∞",0),2,INDEX(AU89:CB89,1,$AT$2)),"")</f>
        <v>2</v>
      </c>
      <c r="L89">
        <f ca="1">IFERROR(IF(AND(COUNTIF(B89,"*-峰插*"),技能数据库!$M$72&gt;0),0,IF(COUNTIF(B89,"*鹤归*")&gt;0,16-加速!$L$11,MAX(0,L88-(A89-A88)))),0)</f>
        <v>14.71</v>
      </c>
      <c r="M89">
        <f ca="1">IF(COUNTIF(IF(AND(配装计算器!$K$30&lt;&gt;"∞",0),INDEX(AU88:CB88,1,$AT$1),INDEX(AU90:CB90,1,$AT$1)),"*鹤归*")=1,L89,0)</f>
        <v>0</v>
      </c>
      <c r="N89">
        <f ca="1">IFERROR(IF(AND(COUNTIF(B89,"*-峰插*"),技能数据库!$M$72&gt;0),0,IF(COUNTIF(B89,"*云飞*")&gt;0,4-COUNTIF(B89,"*玉山揽云*")*4--COUNTIF(B89,"*烟流暮景*")*4-COUNTIF(B89,"*云景*")*加速!$L$11-IF(J89&gt;0,2,0),MAX(0,N88-(A89-A88)-IF(J89&gt;0,2,0)))),0)</f>
        <v>0</v>
      </c>
      <c r="O89">
        <f ca="1">IF(AND(COUNTIF(IF(AND(配装计算器!$K$30&lt;&gt;"∞",0),INDEX(AU88:CB88,1,$AT$1),INDEX(AU90:CB90,1,$AT$1)),"*云飞*")=1,COUNTIF(IF(AND(配装计算器!$K$30&lt;&gt;"∞",0),INDEX(AU88:CB88,1,$AT$1),INDEX(AU90:CB90,1,$AT$1)),"*玉山*")=0),N89,0)</f>
        <v>0</v>
      </c>
      <c r="P89">
        <f ca="1">IFERROR(IF(COUNTIF(B89,"*云栖松*")&gt;0,50-加速!$L$11,MAX(0,P88-(A89-A88))),0)</f>
        <v>0</v>
      </c>
      <c r="Q89">
        <f ca="1">IF(COUNTIF(IF(AND(配装计算器!$K$30&lt;&gt;"∞",0),INDEX(AU88:CB88,1,$AT$1),INDEX(AU90:CB90,1,$AT$1)),"*云栖松*")=1,P89,0)</f>
        <v>0</v>
      </c>
      <c r="R89">
        <f ca="1">IFERROR(IF(COUNTIF(B89,"*莺鸣柳*")&gt;0,45-加速!$L$9,MAX(0,R88-(A89-A88))),0)</f>
        <v>0</v>
      </c>
      <c r="S89">
        <f ca="1">IF(COUNTIF(IF(AND(配装计算器!$K$30&lt;&gt;"∞",0),INDEX(AU88:CB88,1,$AT$1),INDEX(AU90:CB90,1,$AT$1)),"*莺鸣柳*")=1,R89,0)</f>
        <v>0</v>
      </c>
      <c r="T89">
        <f ca="1" t="shared" si="18"/>
        <v>0</v>
      </c>
      <c r="U89">
        <f ca="1">IF(金蛇,IF(COUNTIF(B89,"*金环戴*")+COUNTIF(B89,"*吹风醒*")&gt;0,IF(A89&lt;=3,7.125-2.625-A89-加速!$L$11,A89-T89),0),0)+IF(金蛇,IF(COUNTIF(B89,"*千切子裂光*")&gt;0,2+加速!$K$9-(A89+加速!$L$11-T89),0),0)</f>
        <v>0</v>
      </c>
      <c r="V89">
        <f ca="1" t="shared" si="19"/>
        <v>0</v>
      </c>
      <c r="W89">
        <f ca="1" t="shared" si="11"/>
        <v>0</v>
      </c>
      <c r="X89">
        <f ca="1">INDEX(加速!$I$13:$I$21,技能数计算!W89+1)</f>
        <v>0</v>
      </c>
      <c r="Y89">
        <f ca="1" t="shared" si="15"/>
        <v>0.5</v>
      </c>
      <c r="Z89">
        <f ca="1" t="shared" si="16"/>
        <v>0</v>
      </c>
      <c r="AA89">
        <f ca="1">MAX(0,IFERROR(IF(COUNTIF(B89,"*叠*")&gt;0,IF(AC88&lt;3,8-A90+A89,AA88+6.875-A90+A89),AA88-A90+A89),AA88-加速!$L$11))</f>
        <v>5.84499999999996</v>
      </c>
      <c r="AB89">
        <f ca="1">MAX(0,IF(COUNTIF(IF(AND(配装计算器!$K$30&lt;&gt;"∞",0),INDEX(AU89:CB89,1,$AT$1),INDEX(AU89:CB89,1,$AT$1)),"*叠1*")=1,4*25-加速!$L$11,AB88-A89+A88)-IF(OR(COUNTIF(OFFSET(AT89,0,$AT$1,1,1),"*听雷*")&gt;0,AND(碧归&gt;0,COUNTIF(OFFSET(AT89,0,$AT$1,1,1),"*风来*")&gt;0)),0,1)*1.5)</f>
        <v>70.8099999999999</v>
      </c>
      <c r="AC89">
        <f ca="1" t="shared" si="12"/>
        <v>3</v>
      </c>
      <c r="AD89">
        <f ca="1">IF(COUNTIF(IF(AND(配装计算器!$K$30&lt;&gt;"∞",0),INDEX(AU89:CB89,1,$AT$1),INDEX(AU90:CB90,1,$AT$1)),"*叠1*")=1,AB89*0+AE88,0)</f>
        <v>0</v>
      </c>
      <c r="AE89">
        <f ca="1">IF($AN$11&gt;0,IF(COUNTIF(B90,"*叠1*")&gt;0,50-加速!$H$11,MAX(0,AE88-(A90-A89))),0)</f>
        <v>34.5599999999999</v>
      </c>
      <c r="AH89" t="s">
        <v>1825</v>
      </c>
      <c r="AI89" t="s">
        <v>2820</v>
      </c>
      <c r="AJ89">
        <f ca="1">AN63</f>
        <v>0</v>
      </c>
      <c r="AK89" t="s">
        <v>3044</v>
      </c>
      <c r="AU89" s="176" t="s">
        <v>2776</v>
      </c>
      <c r="AV89">
        <v>2</v>
      </c>
      <c r="AW89" s="176" t="s">
        <v>2768</v>
      </c>
      <c r="AX89">
        <v>2</v>
      </c>
      <c r="AY89" t="s">
        <v>3042</v>
      </c>
      <c r="AZ89">
        <v>2</v>
      </c>
      <c r="BA89" t="s">
        <v>3042</v>
      </c>
      <c r="BB89">
        <v>2</v>
      </c>
      <c r="BC89" s="176" t="s">
        <v>3026</v>
      </c>
      <c r="BD89">
        <v>2</v>
      </c>
      <c r="BE89" t="s">
        <v>2768</v>
      </c>
      <c r="BF89">
        <v>2</v>
      </c>
      <c r="BG89" t="s">
        <v>2768</v>
      </c>
      <c r="BH89">
        <v>2</v>
      </c>
      <c r="BI89" t="s">
        <v>2794</v>
      </c>
      <c r="BJ89">
        <v>2</v>
      </c>
      <c r="BK89" s="176" t="s">
        <v>3023</v>
      </c>
      <c r="BL89">
        <v>2</v>
      </c>
      <c r="BM89" t="s">
        <v>2768</v>
      </c>
      <c r="BN89">
        <v>2</v>
      </c>
      <c r="BO89" t="s">
        <v>2776</v>
      </c>
      <c r="BP89">
        <v>2</v>
      </c>
      <c r="BQ89" t="s">
        <v>2776</v>
      </c>
      <c r="BR89">
        <v>2</v>
      </c>
      <c r="BS89" s="182" t="s">
        <v>2776</v>
      </c>
      <c r="BT89">
        <v>2</v>
      </c>
      <c r="BU89" s="176" t="s">
        <v>2789</v>
      </c>
      <c r="BV89">
        <v>2</v>
      </c>
      <c r="BW89" s="182" t="s">
        <v>2794</v>
      </c>
      <c r="BX89" s="179">
        <v>2</v>
      </c>
      <c r="BY89" t="s">
        <v>2768</v>
      </c>
      <c r="BZ89">
        <v>2</v>
      </c>
      <c r="CA89" s="176" t="s">
        <v>2794</v>
      </c>
      <c r="CB89">
        <v>2</v>
      </c>
    </row>
    <row r="90" spans="1:80">
      <c r="A90" s="178">
        <f ca="1">IFERROR(IF(A89+加速!$L$11&lt;$AS$1,IF(COUNTIF(B89,"*轻*")&gt;0,A89+加速!$L$9,A89+加速!$L$11)+V89,IF(COUNTIF(INDEX(AU90:CB90,1,$AT$1),"*云景*")+COUNTIF(INDEX(AU90:CB90,1,$AT$1),"*鹤归*")+COUNTIF(INDEX(AU90:CB90,1,$AT$1),"*听雷*")&gt;0,A89+加速!$L$11,"")),"")</f>
        <v>114.27</v>
      </c>
      <c r="B90" s="167" t="str">
        <f ca="1">IF(A90&lt;&gt;"",IF(AND(A90+加速!$L$11&gt;$AS$1,IF(AND(配装计算器!$K$30&lt;&gt;"∞",0),"梦泉虎跑-轻",INDEX(AU90:CB90,1,$AT$1))="云栖松"),"夕照雷峰",IF(AND(配装计算器!$K$30&lt;&gt;"∞",0),"梦泉虎跑-轻",INDEX(AU90:CB90,1,$AT$1))),"")</f>
        <v>云飞玉皇</v>
      </c>
      <c r="C90">
        <f ca="1" t="shared" si="17"/>
        <v>2.09999999999994</v>
      </c>
      <c r="D90">
        <f ca="1">IF(B90&lt;&gt;"",IF(C89&lt;=加速!$L$11*(1-E90),0,1),"")</f>
        <v>1</v>
      </c>
      <c r="E90">
        <f ca="1" t="shared" si="13"/>
        <v>0</v>
      </c>
      <c r="G90">
        <f ca="1" t="shared" si="14"/>
        <v>1</v>
      </c>
      <c r="H90">
        <f ca="1">IF(B90&lt;&gt;"",IF(AND(COUNTIF(B89,"*轻*莺鸣柳*")&gt;0,COUNTIF(B90,"*轻*")&lt;1),MAX(0,15+I89-(A90-A89)+COUNTIF(B89,"*平湖*")*0),IF(AND(E90=0,MAX(0,H89-(A90-A89))&lt;=加速!$H$11),0,MAX(0,H89-(A90-A89)))),"")</f>
        <v>0</v>
      </c>
      <c r="I90">
        <f ca="1" t="shared" si="20"/>
        <v>0</v>
      </c>
      <c r="J90">
        <f ca="1" t="shared" si="21"/>
        <v>4</v>
      </c>
      <c r="K90">
        <f ca="1">IF(A90&lt;&gt;"",IF(AND(配装计算器!$K$30&lt;&gt;"∞",0),2,INDEX(AU90:CB90,1,$AT$2)),"")</f>
        <v>2</v>
      </c>
      <c r="L90">
        <f ca="1">IFERROR(IF(AND(COUNTIF(B90,"*-峰插*"),技能数据库!$M$72&gt;0),0,IF(COUNTIF(B90,"*鹤归*")&gt;0,16-加速!$L$11,MAX(0,L89-(A90-A89)))),0)</f>
        <v>13.42</v>
      </c>
      <c r="M90">
        <f ca="1">IF(COUNTIF(IF(AND(配装计算器!$K$30&lt;&gt;"∞",0),INDEX(AU89:CB89,1,$AT$1),INDEX(AU91:CB91,1,$AT$1)),"*鹤归*")=1,L90,0)</f>
        <v>0</v>
      </c>
      <c r="N90">
        <f ca="1">IFERROR(IF(AND(COUNTIF(B90,"*-峰插*"),技能数据库!$M$72&gt;0),0,IF(COUNTIF(B90,"*云飞*")&gt;0,4-COUNTIF(B90,"*玉山揽云*")*4--COUNTIF(B90,"*烟流暮景*")*4-COUNTIF(B90,"*云景*")*加速!$L$11-IF(J90&gt;0,2,0),MAX(0,N89-(A90-A89)-IF(J90&gt;0,2,0)))),0)</f>
        <v>2</v>
      </c>
      <c r="O90">
        <f ca="1">IF(AND(COUNTIF(IF(AND(配装计算器!$K$30&lt;&gt;"∞",0),INDEX(AU89:CB89,1,$AT$1),INDEX(AU91:CB91,1,$AT$1)),"*云飞*")=1,COUNTIF(IF(AND(配装计算器!$K$30&lt;&gt;"∞",0),INDEX(AU89:CB89,1,$AT$1),INDEX(AU91:CB91,1,$AT$1)),"*玉山*")=0),N90,0)</f>
        <v>0</v>
      </c>
      <c r="P90">
        <f ca="1">IFERROR(IF(COUNTIF(B90,"*云栖松*")&gt;0,50-加速!$L$11,MAX(0,P89-(A90-A89))),0)</f>
        <v>0</v>
      </c>
      <c r="Q90">
        <f ca="1">IF(COUNTIF(IF(AND(配装计算器!$K$30&lt;&gt;"∞",0),INDEX(AU89:CB89,1,$AT$1),INDEX(AU91:CB91,1,$AT$1)),"*云栖松*")=1,P90,0)</f>
        <v>0</v>
      </c>
      <c r="R90">
        <f ca="1">IFERROR(IF(COUNTIF(B90,"*莺鸣柳*")&gt;0,45-加速!$L$9,MAX(0,R89-(A90-A89))),0)</f>
        <v>0</v>
      </c>
      <c r="S90">
        <f ca="1">IF(COUNTIF(IF(AND(配装计算器!$K$30&lt;&gt;"∞",0),INDEX(AU89:CB89,1,$AT$1),INDEX(AU91:CB91,1,$AT$1)),"*莺鸣柳*")=1,R90,0)</f>
        <v>0</v>
      </c>
      <c r="T90">
        <f ca="1" t="shared" si="18"/>
        <v>0</v>
      </c>
      <c r="U90">
        <f ca="1">IF(金蛇,IF(COUNTIF(B90,"*金环戴*")+COUNTIF(B90,"*吹风醒*")&gt;0,IF(A90&lt;=3,7.125-2.625-A90-加速!$L$11,A90-T90),0),0)+IF(金蛇,IF(COUNTIF(B90,"*千切子裂光*")&gt;0,2+加速!$K$9-(A90+加速!$L$11-T90),0),0)</f>
        <v>0</v>
      </c>
      <c r="V90">
        <f ca="1" t="shared" si="19"/>
        <v>0</v>
      </c>
      <c r="W90">
        <f ca="1" t="shared" si="11"/>
        <v>0</v>
      </c>
      <c r="X90">
        <f ca="1">INDEX(加速!$I$13:$I$21,技能数计算!W90+1)</f>
        <v>0</v>
      </c>
      <c r="Y90">
        <f ca="1" t="shared" si="15"/>
        <v>0.5</v>
      </c>
      <c r="Z90">
        <f ca="1" t="shared" si="16"/>
        <v>0</v>
      </c>
      <c r="AA90">
        <f ca="1">MAX(0,IFERROR(IF(COUNTIF(B90,"*叠*")&gt;0,IF(AC89&lt;3,8-A91+A90,AA89+6.875-A91+A90),AA89-A91+A90),AA89-加速!$L$11))</f>
        <v>4.55499999999995</v>
      </c>
      <c r="AB90">
        <f ca="1">MAX(0,IF(COUNTIF(IF(AND(配装计算器!$K$30&lt;&gt;"∞",0),INDEX(AU90:CB90,1,$AT$1),INDEX(AU90:CB90,1,$AT$1)),"*叠1*")=1,4*25-加速!$L$11,AB89-A90+A89)-IF(OR(COUNTIF(OFFSET(AT90,0,$AT$1,1,1),"*听雷*")&gt;0,AND(碧归&gt;0,COUNTIF(OFFSET(AT90,0,$AT$1,1,1),"*风来*")&gt;0)),0,1)*1.5)</f>
        <v>68.0199999999999</v>
      </c>
      <c r="AC90">
        <f ca="1" t="shared" si="12"/>
        <v>3</v>
      </c>
      <c r="AD90">
        <f ca="1">IF(COUNTIF(IF(AND(配装计算器!$K$30&lt;&gt;"∞",0),INDEX(AU90:CB90,1,$AT$1),INDEX(AU91:CB91,1,$AT$1)),"*叠1*")=1,AB90*0+AE89,0)</f>
        <v>0</v>
      </c>
      <c r="AE90">
        <f ca="1">IF($AN$11&gt;0,IF(COUNTIF(B91,"*叠1*")&gt;0,50-加速!$H$11,MAX(0,AE89-(A91-A90))),0)</f>
        <v>33.2699999999999</v>
      </c>
      <c r="AH90" t="s">
        <v>1825</v>
      </c>
      <c r="AI90" t="s">
        <v>2768</v>
      </c>
      <c r="AJ90">
        <f ca="1">循环比*COUNTIFS($B$3:$B$515,"*"&amp;AI90&amp;"*",$D$3:$D$515,"&gt;0",$H$3:$H$515,"=0",$G$3:$G$515,"&gt;0",$K$3:$K$515,"=2",$AC$3:$AC$515,"=0")</f>
        <v>0</v>
      </c>
      <c r="AK90" t="s">
        <v>3100</v>
      </c>
      <c r="AU90" t="s">
        <v>2768</v>
      </c>
      <c r="AV90">
        <v>2</v>
      </c>
      <c r="AW90" s="176" t="s">
        <v>2776</v>
      </c>
      <c r="AX90">
        <v>2</v>
      </c>
      <c r="AY90" t="s">
        <v>2808</v>
      </c>
      <c r="AZ90">
        <v>2</v>
      </c>
      <c r="BA90" t="s">
        <v>2808</v>
      </c>
      <c r="BB90">
        <v>2</v>
      </c>
      <c r="BC90" s="176" t="s">
        <v>3026</v>
      </c>
      <c r="BD90">
        <v>2</v>
      </c>
      <c r="BE90" t="s">
        <v>2768</v>
      </c>
      <c r="BF90">
        <v>2</v>
      </c>
      <c r="BG90" t="s">
        <v>2808</v>
      </c>
      <c r="BH90">
        <v>2</v>
      </c>
      <c r="BI90" t="s">
        <v>2776</v>
      </c>
      <c r="BJ90">
        <v>2</v>
      </c>
      <c r="BK90" s="176" t="s">
        <v>2768</v>
      </c>
      <c r="BL90">
        <v>2</v>
      </c>
      <c r="BM90" t="s">
        <v>2768</v>
      </c>
      <c r="BN90">
        <v>2</v>
      </c>
      <c r="BO90" s="176" t="s">
        <v>2794</v>
      </c>
      <c r="BP90">
        <v>2</v>
      </c>
      <c r="BQ90" t="s">
        <v>2768</v>
      </c>
      <c r="BR90">
        <v>2</v>
      </c>
      <c r="BS90" s="182" t="s">
        <v>2768</v>
      </c>
      <c r="BT90">
        <v>2</v>
      </c>
      <c r="BU90" s="176" t="s">
        <v>2776</v>
      </c>
      <c r="BV90">
        <v>2</v>
      </c>
      <c r="BW90" s="182" t="s">
        <v>2768</v>
      </c>
      <c r="BX90" s="179">
        <v>2</v>
      </c>
      <c r="BY90" t="s">
        <v>2768</v>
      </c>
      <c r="BZ90">
        <v>2</v>
      </c>
      <c r="CA90" s="176" t="s">
        <v>2768</v>
      </c>
      <c r="CB90">
        <v>2</v>
      </c>
    </row>
    <row r="91" spans="1:80">
      <c r="A91" s="178">
        <f ca="1">IFERROR(IF(A90+加速!$L$11&lt;$AS$1,IF(COUNTIF(B90,"*轻*")&gt;0,A90+加速!$L$9,A90+加速!$L$11)+V90,IF(COUNTIF(INDEX(AU91:CB91,1,$AT$1),"*云景*")+COUNTIF(INDEX(AU91:CB91,1,$AT$1),"*鹤归*")+COUNTIF(INDEX(AU91:CB91,1,$AT$1),"*听雷*")&gt;0,A90+加速!$L$11,"")),"")</f>
        <v>115.56</v>
      </c>
      <c r="B91" s="167" t="str">
        <f ca="1">IF(A91&lt;&gt;"",IF(AND(A91+加速!$L$11&gt;$AS$1,IF(AND(配装计算器!$K$30&lt;&gt;"∞",0),"梦泉虎跑-轻",INDEX(AU91:CB91,1,$AT$1))="云栖松"),"夕照雷峰",IF(AND(配装计算器!$K$30&lt;&gt;"∞",0),"梦泉虎跑-轻",INDEX(AU91:CB91,1,$AT$1))),"")</f>
        <v>夕照雷峰</v>
      </c>
      <c r="C91">
        <f ca="1" t="shared" si="17"/>
        <v>15</v>
      </c>
      <c r="D91">
        <f ca="1">IF(B91&lt;&gt;"",IF(C90&lt;=加速!$L$11*(1-E91),0,1),"")</f>
        <v>1</v>
      </c>
      <c r="E91">
        <f ca="1" t="shared" si="13"/>
        <v>0</v>
      </c>
      <c r="G91">
        <f ca="1" t="shared" si="14"/>
        <v>0</v>
      </c>
      <c r="H91">
        <f ca="1">IF(B91&lt;&gt;"",IF(AND(COUNTIF(B90,"*轻*莺鸣柳*")&gt;0,COUNTIF(B91,"*轻*")&lt;1),MAX(0,15+I90-(A91-A90)+COUNTIF(B90,"*平湖*")*0),IF(AND(E91=0,MAX(0,H90-(A91-A90))&lt;=加速!$H$11),0,MAX(0,H90-(A91-A90)))),"")</f>
        <v>0</v>
      </c>
      <c r="I91">
        <f ca="1" t="shared" si="20"/>
        <v>0</v>
      </c>
      <c r="J91">
        <f ca="1" t="shared" si="21"/>
        <v>3</v>
      </c>
      <c r="K91">
        <f ca="1">IF(A91&lt;&gt;"",IF(AND(配装计算器!$K$30&lt;&gt;"∞",0),2,INDEX(AU91:CB91,1,$AT$2)),"")</f>
        <v>2</v>
      </c>
      <c r="L91">
        <f ca="1">IFERROR(IF(AND(COUNTIF(B91,"*-峰插*"),技能数据库!$M$72&gt;0),0,IF(COUNTIF(B91,"*鹤归*")&gt;0,16-加速!$L$11,MAX(0,L90-(A91-A90)))),0)</f>
        <v>12.13</v>
      </c>
      <c r="M91">
        <f ca="1">IF(COUNTIF(IF(AND(配装计算器!$K$30&lt;&gt;"∞",0),INDEX(AU90:CB90,1,$AT$1),INDEX(AU92:CB92,1,$AT$1)),"*鹤归*")=1,L91,0)</f>
        <v>0</v>
      </c>
      <c r="N91">
        <f ca="1">IFERROR(IF(AND(COUNTIF(B91,"*-峰插*"),技能数据库!$M$72&gt;0),0,IF(COUNTIF(B91,"*云飞*")&gt;0,4-COUNTIF(B91,"*玉山揽云*")*4--COUNTIF(B91,"*烟流暮景*")*4-COUNTIF(B91,"*云景*")*加速!$L$11-IF(J91&gt;0,2,0),MAX(0,N90-(A91-A90)-IF(J91&gt;0,2,0)))),0)</f>
        <v>0</v>
      </c>
      <c r="O91">
        <f ca="1">IF(AND(COUNTIF(IF(AND(配装计算器!$K$30&lt;&gt;"∞",0),INDEX(AU90:CB90,1,$AT$1),INDEX(AU92:CB92,1,$AT$1)),"*云飞*")=1,COUNTIF(IF(AND(配装计算器!$K$30&lt;&gt;"∞",0),INDEX(AU90:CB90,1,$AT$1),INDEX(AU92:CB92,1,$AT$1)),"*玉山*")=0),N91,0)</f>
        <v>0</v>
      </c>
      <c r="P91">
        <f ca="1">IFERROR(IF(COUNTIF(B91,"*云栖松*")&gt;0,50-加速!$L$11,MAX(0,P90-(A91-A90))),0)</f>
        <v>0</v>
      </c>
      <c r="Q91">
        <f ca="1">IF(COUNTIF(IF(AND(配装计算器!$K$30&lt;&gt;"∞",0),INDEX(AU90:CB90,1,$AT$1),INDEX(AU92:CB92,1,$AT$1)),"*云栖松*")=1,P91,0)</f>
        <v>0</v>
      </c>
      <c r="R91">
        <f ca="1">IFERROR(IF(COUNTIF(B91,"*莺鸣柳*")&gt;0,45-加速!$L$9,MAX(0,R90-(A91-A90))),0)</f>
        <v>0</v>
      </c>
      <c r="S91">
        <f ca="1">IF(COUNTIF(IF(AND(配装计算器!$K$30&lt;&gt;"∞",0),INDEX(AU90:CB90,1,$AT$1),INDEX(AU92:CB92,1,$AT$1)),"*莺鸣柳*")=1,R91,0)</f>
        <v>0</v>
      </c>
      <c r="T91">
        <f ca="1" t="shared" si="18"/>
        <v>0</v>
      </c>
      <c r="U91">
        <f ca="1">IF(金蛇,IF(COUNTIF(B91,"*金环戴*")+COUNTIF(B91,"*吹风醒*")&gt;0,IF(A91&lt;=3,7.125-2.625-A91-加速!$L$11,A91-T91),0),0)+IF(金蛇,IF(COUNTIF(B91,"*千切子裂光*")&gt;0,2+加速!$K$9-(A91+加速!$L$11-T91),0),0)</f>
        <v>0</v>
      </c>
      <c r="V91">
        <f ca="1" t="shared" si="19"/>
        <v>0</v>
      </c>
      <c r="W91">
        <f ca="1" t="shared" si="11"/>
        <v>0</v>
      </c>
      <c r="X91">
        <f ca="1">INDEX(加速!$I$13:$I$21,技能数计算!W91+1)</f>
        <v>0</v>
      </c>
      <c r="Y91">
        <f ca="1" t="shared" si="15"/>
        <v>0.5</v>
      </c>
      <c r="Z91">
        <f ca="1" t="shared" si="16"/>
        <v>0</v>
      </c>
      <c r="AA91">
        <f ca="1">MAX(0,IFERROR(IF(COUNTIF(B91,"*叠*")&gt;0,IF(AC90&lt;3,8-A92+A91,AA90+6.875-A92+A91),AA90-A92+A91),AA90-加速!$L$11))</f>
        <v>3.26499999999994</v>
      </c>
      <c r="AB91">
        <f ca="1">MAX(0,IF(COUNTIF(IF(AND(配装计算器!$K$30&lt;&gt;"∞",0),INDEX(AU91:CB91,1,$AT$1),INDEX(AU91:CB91,1,$AT$1)),"*叠1*")=1,4*25-加速!$L$11,AB90-A91+A90)-IF(OR(COUNTIF(OFFSET(AT91,0,$AT$1,1,1),"*听雷*")&gt;0,AND(碧归&gt;0,COUNTIF(OFFSET(AT91,0,$AT$1,1,1),"*风来*")&gt;0)),0,1)*1.5)</f>
        <v>65.2299999999999</v>
      </c>
      <c r="AC91">
        <f ca="1" t="shared" si="12"/>
        <v>3</v>
      </c>
      <c r="AD91">
        <f ca="1">IF(COUNTIF(IF(AND(配装计算器!$K$30&lt;&gt;"∞",0),INDEX(AU91:CB91,1,$AT$1),INDEX(AU92:CB92,1,$AT$1)),"*叠1*")=1,AB91*0+AE90,0)</f>
        <v>0</v>
      </c>
      <c r="AE91">
        <f ca="1">IF($AN$11&gt;0,IF(COUNTIF(B92,"*叠1*")&gt;0,50-加速!$H$11,MAX(0,AE90-(A92-A91))),0)</f>
        <v>31.9799999999999</v>
      </c>
      <c r="AH91" t="s">
        <v>1825</v>
      </c>
      <c r="AI91" t="s">
        <v>2776</v>
      </c>
      <c r="AJ91">
        <f ca="1">循环比*COUNTIFS($B$3:$B$515,"*"&amp;AI91&amp;"*",$D$3:$D$515,"&gt;0",$H$3:$H$515,"=0",$G$3:$G$515,"&gt;0",$K$3:$K$515,"=2",$AC$3:$AC$515,"=0")</f>
        <v>0</v>
      </c>
      <c r="AK91" t="s">
        <v>3100</v>
      </c>
      <c r="AU91" t="str">
        <f>IF($AN$11=1,"云飞玉皇-玉山揽云","夕照雷峰")</f>
        <v>云飞玉皇-玉山揽云</v>
      </c>
      <c r="AV91">
        <v>2</v>
      </c>
      <c r="AW91" s="176" t="s">
        <v>2768</v>
      </c>
      <c r="AX91">
        <v>2</v>
      </c>
      <c r="AY91" t="s">
        <v>2768</v>
      </c>
      <c r="AZ91">
        <v>2</v>
      </c>
      <c r="BA91" t="s">
        <v>2768</v>
      </c>
      <c r="BB91">
        <v>2</v>
      </c>
      <c r="BC91" s="176" t="s">
        <v>3026</v>
      </c>
      <c r="BD91">
        <v>2</v>
      </c>
      <c r="BE91" t="s">
        <v>2776</v>
      </c>
      <c r="BF91">
        <v>2</v>
      </c>
      <c r="BG91" t="s">
        <v>2768</v>
      </c>
      <c r="BH91">
        <v>2</v>
      </c>
      <c r="BI91" t="s">
        <v>2768</v>
      </c>
      <c r="BJ91">
        <v>2</v>
      </c>
      <c r="BK91" s="176" t="s">
        <v>2808</v>
      </c>
      <c r="BL91">
        <v>2</v>
      </c>
      <c r="BM91" t="s">
        <v>2776</v>
      </c>
      <c r="BN91">
        <v>2</v>
      </c>
      <c r="BO91" s="176" t="s">
        <v>2768</v>
      </c>
      <c r="BP91">
        <v>2</v>
      </c>
      <c r="BQ91" t="s">
        <v>2776</v>
      </c>
      <c r="BR91">
        <v>2</v>
      </c>
      <c r="BS91" s="182" t="s">
        <v>3085</v>
      </c>
      <c r="BT91">
        <v>2</v>
      </c>
      <c r="BU91" s="176" t="s">
        <v>3035</v>
      </c>
      <c r="BV91">
        <v>2</v>
      </c>
      <c r="BW91" s="182" t="s">
        <v>2776</v>
      </c>
      <c r="BX91" s="179">
        <v>2</v>
      </c>
      <c r="BY91" t="s">
        <v>2768</v>
      </c>
      <c r="BZ91">
        <v>2</v>
      </c>
      <c r="CA91" s="176" t="s">
        <v>2776</v>
      </c>
      <c r="CB91">
        <v>2</v>
      </c>
    </row>
    <row r="92" spans="1:80">
      <c r="A92" s="178">
        <f ca="1">IFERROR(IF(A91+加速!$L$11&lt;$AS$1,IF(COUNTIF(B91,"*轻*")&gt;0,A91+加速!$L$9,A91+加速!$L$11)+V91,IF(COUNTIF(INDEX(AU92:CB92,1,$AT$1),"*云景*")+COUNTIF(INDEX(AU92:CB92,1,$AT$1),"*鹤归*")+COUNTIF(INDEX(AU92:CB92,1,$AT$1),"*听雷*")&gt;0,A91+加速!$L$11,"")),"")</f>
        <v>116.85</v>
      </c>
      <c r="B92" s="167" t="str">
        <f ca="1">IF(A92&lt;&gt;"",IF(AND(A92+加速!$L$11&gt;$AS$1,IF(AND(配装计算器!$K$30&lt;&gt;"∞",0),"梦泉虎跑-轻",INDEX(AU92:CB92,1,$AT$1))="云栖松"),"夕照雷峰",IF(AND(配装计算器!$K$30&lt;&gt;"∞",0),"梦泉虎跑-轻",INDEX(AU92:CB92,1,$AT$1))),"")</f>
        <v>云飞玉皇</v>
      </c>
      <c r="C92">
        <f ca="1" t="shared" si="17"/>
        <v>13.71</v>
      </c>
      <c r="D92">
        <f ca="1">IF(B92&lt;&gt;"",IF(C91&lt;=加速!$L$11*(1-E92),0,1),"")</f>
        <v>1</v>
      </c>
      <c r="E92">
        <f ca="1" t="shared" si="13"/>
        <v>0</v>
      </c>
      <c r="G92">
        <f ca="1" t="shared" si="14"/>
        <v>0</v>
      </c>
      <c r="H92">
        <f ca="1">IF(B92&lt;&gt;"",IF(AND(COUNTIF(B91,"*轻*莺鸣柳*")&gt;0,COUNTIF(B92,"*轻*")&lt;1),MAX(0,15+I91-(A92-A91)+COUNTIF(B91,"*平湖*")*0),IF(AND(E92=0,MAX(0,H91-(A92-A91))&lt;=加速!$H$11),0,MAX(0,H91-(A92-A91)))),"")</f>
        <v>0</v>
      </c>
      <c r="I92">
        <f ca="1" t="shared" si="20"/>
        <v>0</v>
      </c>
      <c r="J92">
        <f ca="1" t="shared" si="21"/>
        <v>2</v>
      </c>
      <c r="K92">
        <f ca="1">IF(A92&lt;&gt;"",IF(AND(配装计算器!$K$30&lt;&gt;"∞",0),2,INDEX(AU92:CB92,1,$AT$2)),"")</f>
        <v>2</v>
      </c>
      <c r="L92">
        <f ca="1">IFERROR(IF(AND(COUNTIF(B92,"*-峰插*"),技能数据库!$M$72&gt;0),0,IF(COUNTIF(B92,"*鹤归*")&gt;0,16-加速!$L$11,MAX(0,L91-(A92-A91)))),0)</f>
        <v>10.84</v>
      </c>
      <c r="M92">
        <f ca="1">IF(COUNTIF(IF(AND(配装计算器!$K$30&lt;&gt;"∞",0),INDEX(AU91:CB91,1,$AT$1),INDEX(AU93:CB93,1,$AT$1)),"*鹤归*")=1,L92,0)</f>
        <v>0</v>
      </c>
      <c r="N92">
        <f ca="1">IFERROR(IF(AND(COUNTIF(B92,"*-峰插*"),技能数据库!$M$72&gt;0),0,IF(COUNTIF(B92,"*云飞*")&gt;0,4-COUNTIF(B92,"*玉山揽云*")*4--COUNTIF(B92,"*烟流暮景*")*4-COUNTIF(B92,"*云景*")*加速!$L$11-IF(J92&gt;0,2,0),MAX(0,N91-(A92-A91)-IF(J92&gt;0,2,0)))),0)</f>
        <v>2</v>
      </c>
      <c r="O92">
        <f ca="1">IF(AND(COUNTIF(IF(AND(配装计算器!$K$30&lt;&gt;"∞",0),INDEX(AU91:CB91,1,$AT$1),INDEX(AU93:CB93,1,$AT$1)),"*云飞*")=1,COUNTIF(IF(AND(配装计算器!$K$30&lt;&gt;"∞",0),INDEX(AU91:CB91,1,$AT$1),INDEX(AU93:CB93,1,$AT$1)),"*玉山*")=0),N92,0)</f>
        <v>0</v>
      </c>
      <c r="P92">
        <f ca="1">IFERROR(IF(COUNTIF(B92,"*云栖松*")&gt;0,50-加速!$L$11,MAX(0,P91-(A92-A91))),0)</f>
        <v>0</v>
      </c>
      <c r="Q92">
        <f ca="1">IF(COUNTIF(IF(AND(配装计算器!$K$30&lt;&gt;"∞",0),INDEX(AU91:CB91,1,$AT$1),INDEX(AU93:CB93,1,$AT$1)),"*云栖松*")=1,P92,0)</f>
        <v>0</v>
      </c>
      <c r="R92">
        <f ca="1">IFERROR(IF(COUNTIF(B92,"*莺鸣柳*")&gt;0,45-加速!$L$9,MAX(0,R91-(A92-A91))),0)</f>
        <v>0</v>
      </c>
      <c r="S92">
        <f ca="1">IF(COUNTIF(IF(AND(配装计算器!$K$30&lt;&gt;"∞",0),INDEX(AU91:CB91,1,$AT$1),INDEX(AU93:CB93,1,$AT$1)),"*莺鸣柳*")=1,R92,0)</f>
        <v>0</v>
      </c>
      <c r="T92">
        <f ca="1" t="shared" si="18"/>
        <v>0</v>
      </c>
      <c r="U92">
        <f ca="1">IF(金蛇,IF(COUNTIF(B92,"*金环戴*")+COUNTIF(B92,"*吹风醒*")&gt;0,IF(A92&lt;=3,7.125-2.625-A92-加速!$L$11,A92-T92),0),0)+IF(金蛇,IF(COUNTIF(B92,"*千切子裂光*")&gt;0,2+加速!$K$9-(A92+加速!$L$11-T92),0),0)</f>
        <v>0</v>
      </c>
      <c r="V92">
        <f ca="1" t="shared" si="19"/>
        <v>0</v>
      </c>
      <c r="W92">
        <f ca="1" t="shared" si="11"/>
        <v>0</v>
      </c>
      <c r="X92">
        <f ca="1">INDEX(加速!$I$13:$I$21,技能数计算!W92+1)</f>
        <v>0</v>
      </c>
      <c r="Y92">
        <f ca="1" t="shared" si="15"/>
        <v>0.5</v>
      </c>
      <c r="Z92">
        <f ca="1" t="shared" si="16"/>
        <v>0</v>
      </c>
      <c r="AA92">
        <f ca="1">MAX(0,IFERROR(IF(COUNTIF(B92,"*叠*")&gt;0,IF(AC91&lt;3,8-A93+A92,AA91+6.875-A93+A92),AA91-A93+A92),AA91-加速!$L$11))</f>
        <v>1.97499999999994</v>
      </c>
      <c r="AB92">
        <f ca="1">MAX(0,IF(COUNTIF(IF(AND(配装计算器!$K$30&lt;&gt;"∞",0),INDEX(AU92:CB92,1,$AT$1),INDEX(AU92:CB92,1,$AT$1)),"*叠1*")=1,4*25-加速!$L$11,AB91-A92+A91)-IF(OR(COUNTIF(OFFSET(AT92,0,$AT$1,1,1),"*听雷*")&gt;0,AND(碧归&gt;0,COUNTIF(OFFSET(AT92,0,$AT$1,1,1),"*风来*")&gt;0)),0,1)*1.5)</f>
        <v>62.4399999999999</v>
      </c>
      <c r="AC92">
        <f ca="1" t="shared" si="12"/>
        <v>3</v>
      </c>
      <c r="AD92">
        <f ca="1">IF(COUNTIF(IF(AND(配装计算器!$K$30&lt;&gt;"∞",0),INDEX(AU92:CB92,1,$AT$1),INDEX(AU93:CB93,1,$AT$1)),"*叠1*")=1,AB92*0+AE91,0)</f>
        <v>0</v>
      </c>
      <c r="AE92">
        <f ca="1">IF($AN$11&gt;0,IF(COUNTIF(B93,"*叠1*")&gt;0,50-加速!$H$11,MAX(0,AE91-(A93-A92))),0)</f>
        <v>30.6899999999999</v>
      </c>
      <c r="AH92" t="s">
        <v>1825</v>
      </c>
      <c r="AI92" t="s">
        <v>2780</v>
      </c>
      <c r="AJ92">
        <f ca="1">AJ91</f>
        <v>0</v>
      </c>
      <c r="AK92" t="s">
        <v>3100</v>
      </c>
      <c r="AU92" t="str">
        <f>IF($AN$11=1,"云飞玉皇-玉山揽云","云飞玉皇")</f>
        <v>云飞玉皇-玉山揽云</v>
      </c>
      <c r="AV92">
        <v>2</v>
      </c>
      <c r="AW92" s="176" t="s">
        <v>2776</v>
      </c>
      <c r="AX92">
        <v>2</v>
      </c>
      <c r="AY92" t="s">
        <v>2768</v>
      </c>
      <c r="AZ92">
        <v>2</v>
      </c>
      <c r="BA92" t="s">
        <v>2768</v>
      </c>
      <c r="BB92">
        <v>2</v>
      </c>
      <c r="BC92" s="176" t="s">
        <v>3026</v>
      </c>
      <c r="BD92">
        <v>2</v>
      </c>
      <c r="BE92" t="s">
        <v>2768</v>
      </c>
      <c r="BF92">
        <v>1</v>
      </c>
      <c r="BG92" s="176" t="s">
        <v>2768</v>
      </c>
      <c r="BH92">
        <v>2</v>
      </c>
      <c r="BI92" t="s">
        <v>2776</v>
      </c>
      <c r="BJ92">
        <v>2</v>
      </c>
      <c r="BK92" t="s">
        <v>2789</v>
      </c>
      <c r="BL92">
        <v>2</v>
      </c>
      <c r="BM92" t="s">
        <v>2768</v>
      </c>
      <c r="BN92">
        <v>2</v>
      </c>
      <c r="BO92" s="176" t="s">
        <v>2776</v>
      </c>
      <c r="BP92">
        <v>2</v>
      </c>
      <c r="BQ92" t="s">
        <v>2768</v>
      </c>
      <c r="BR92">
        <v>2</v>
      </c>
      <c r="BS92" s="182" t="s">
        <v>3084</v>
      </c>
      <c r="BT92">
        <v>2</v>
      </c>
      <c r="BU92" t="s">
        <v>2768</v>
      </c>
      <c r="BV92">
        <v>2</v>
      </c>
      <c r="BW92" s="182" t="s">
        <v>2768</v>
      </c>
      <c r="BX92" s="179">
        <v>2</v>
      </c>
      <c r="BY92" t="s">
        <v>2776</v>
      </c>
      <c r="BZ92">
        <v>2</v>
      </c>
      <c r="CA92" s="176" t="s">
        <v>2768</v>
      </c>
      <c r="CB92">
        <v>2</v>
      </c>
    </row>
    <row r="93" spans="1:80">
      <c r="A93" s="178">
        <f ca="1">IFERROR(IF(A92+加速!$L$11&lt;$AS$1,IF(COUNTIF(B92,"*轻*")&gt;0,A92+加速!$L$9,A92+加速!$L$11)+V92,IF(COUNTIF(INDEX(AU93:CB93,1,$AT$1),"*云景*")+COUNTIF(INDEX(AU93:CB93,1,$AT$1),"*鹤归*")+COUNTIF(INDEX(AU93:CB93,1,$AT$1),"*听雷*")&gt;0,A92+加速!$L$11,"")),"")</f>
        <v>118.14</v>
      </c>
      <c r="B93" s="167" t="str">
        <f ca="1">IF(A93&lt;&gt;"",IF(AND(A93+加速!$L$11&gt;$AS$1,IF(AND(配装计算器!$K$30&lt;&gt;"∞",0),"梦泉虎跑-轻",INDEX(AU93:CB93,1,$AT$1))="云栖松"),"夕照雷峰",IF(AND(配装计算器!$K$30&lt;&gt;"∞",0),"梦泉虎跑-轻",INDEX(AU93:CB93,1,$AT$1))),"")</f>
        <v>夕照雷峰</v>
      </c>
      <c r="C93">
        <f ca="1" t="shared" si="17"/>
        <v>15</v>
      </c>
      <c r="D93">
        <f ca="1">IF(B93&lt;&gt;"",IF(C92&lt;=加速!$L$11*(1-E93),0,1),"")</f>
        <v>1</v>
      </c>
      <c r="E93">
        <f ca="1" t="shared" si="13"/>
        <v>0</v>
      </c>
      <c r="G93">
        <f ca="1" t="shared" si="14"/>
        <v>0</v>
      </c>
      <c r="H93">
        <f ca="1">IF(B93&lt;&gt;"",IF(AND(COUNTIF(B92,"*轻*莺鸣柳*")&gt;0,COUNTIF(B93,"*轻*")&lt;1),MAX(0,15+I92-(A93-A92)+COUNTIF(B92,"*平湖*")*0),IF(AND(E93=0,MAX(0,H92-(A93-A92))&lt;=加速!$H$11),0,MAX(0,H92-(A93-A92)))),"")</f>
        <v>0</v>
      </c>
      <c r="I93">
        <f ca="1" t="shared" si="20"/>
        <v>0</v>
      </c>
      <c r="J93">
        <f ca="1" t="shared" si="21"/>
        <v>1</v>
      </c>
      <c r="K93">
        <f ca="1">IF(A93&lt;&gt;"",IF(AND(配装计算器!$K$30&lt;&gt;"∞",0),2,INDEX(AU93:CB93,1,$AT$2)),"")</f>
        <v>2</v>
      </c>
      <c r="L93">
        <f ca="1">IFERROR(IF(AND(COUNTIF(B93,"*-峰插*"),技能数据库!$M$72&gt;0),0,IF(COUNTIF(B93,"*鹤归*")&gt;0,16-加速!$L$11,MAX(0,L92-(A93-A92)))),0)</f>
        <v>9.54999999999998</v>
      </c>
      <c r="M93">
        <f ca="1">IF(COUNTIF(IF(AND(配装计算器!$K$30&lt;&gt;"∞",0),INDEX(AU92:CB92,1,$AT$1),INDEX(AU94:CB94,1,$AT$1)),"*鹤归*")=1,L93,0)</f>
        <v>0</v>
      </c>
      <c r="N93">
        <f ca="1">IFERROR(IF(AND(COUNTIF(B93,"*-峰插*"),技能数据库!$M$72&gt;0),0,IF(COUNTIF(B93,"*云飞*")&gt;0,4-COUNTIF(B93,"*玉山揽云*")*4--COUNTIF(B93,"*烟流暮景*")*4-COUNTIF(B93,"*云景*")*加速!$L$11-IF(J93&gt;0,2,0),MAX(0,N92-(A93-A92)-IF(J93&gt;0,2,0)))),0)</f>
        <v>0</v>
      </c>
      <c r="O93">
        <f ca="1">IF(AND(COUNTIF(IF(AND(配装计算器!$K$30&lt;&gt;"∞",0),INDEX(AU92:CB92,1,$AT$1),INDEX(AU94:CB94,1,$AT$1)),"*云飞*")=1,COUNTIF(IF(AND(配装计算器!$K$30&lt;&gt;"∞",0),INDEX(AU92:CB92,1,$AT$1),INDEX(AU94:CB94,1,$AT$1)),"*玉山*")=0),N93,0)</f>
        <v>0</v>
      </c>
      <c r="P93">
        <f ca="1">IFERROR(IF(COUNTIF(B93,"*云栖松*")&gt;0,50-加速!$L$11,MAX(0,P92-(A93-A92))),0)</f>
        <v>0</v>
      </c>
      <c r="Q93">
        <f ca="1">IF(COUNTIF(IF(AND(配装计算器!$K$30&lt;&gt;"∞",0),INDEX(AU92:CB92,1,$AT$1),INDEX(AU94:CB94,1,$AT$1)),"*云栖松*")=1,P93,0)</f>
        <v>0</v>
      </c>
      <c r="R93">
        <f ca="1">IFERROR(IF(COUNTIF(B93,"*莺鸣柳*")&gt;0,45-加速!$L$9,MAX(0,R92-(A93-A92))),0)</f>
        <v>0</v>
      </c>
      <c r="S93">
        <f ca="1">IF(COUNTIF(IF(AND(配装计算器!$K$30&lt;&gt;"∞",0),INDEX(AU92:CB92,1,$AT$1),INDEX(AU94:CB94,1,$AT$1)),"*莺鸣柳*")=1,R93,0)</f>
        <v>0</v>
      </c>
      <c r="T93">
        <f ca="1" t="shared" si="18"/>
        <v>0</v>
      </c>
      <c r="U93">
        <f ca="1">IF(金蛇,IF(COUNTIF(B93,"*金环戴*")+COUNTIF(B93,"*吹风醒*")&gt;0,IF(A93&lt;=3,7.125-2.625-A93-加速!$L$11,A93-T93),0),0)+IF(金蛇,IF(COUNTIF(B93,"*千切子裂光*")&gt;0,2+加速!$K$9-(A93+加速!$L$11-T93),0),0)</f>
        <v>0</v>
      </c>
      <c r="V93">
        <f ca="1" t="shared" si="19"/>
        <v>0</v>
      </c>
      <c r="W93">
        <f ca="1" t="shared" si="11"/>
        <v>0</v>
      </c>
      <c r="X93">
        <f ca="1">INDEX(加速!$I$13:$I$21,技能数计算!W93+1)</f>
        <v>0</v>
      </c>
      <c r="Y93">
        <f ca="1" t="shared" si="15"/>
        <v>0.5</v>
      </c>
      <c r="Z93">
        <f ca="1" t="shared" si="16"/>
        <v>0</v>
      </c>
      <c r="AA93">
        <f ca="1">MAX(0,IFERROR(IF(COUNTIF(B93,"*叠*")&gt;0,IF(AC92&lt;3,8-A94+A93,AA92+6.875-A94+A93),AA92-A94+A93),AA92-加速!$L$11))</f>
        <v>0.684999999999931</v>
      </c>
      <c r="AB93">
        <f ca="1">MAX(0,IF(COUNTIF(IF(AND(配装计算器!$K$30&lt;&gt;"∞",0),INDEX(AU93:CB93,1,$AT$1),INDEX(AU93:CB93,1,$AT$1)),"*叠1*")=1,4*25-加速!$L$11,AB92-A93+A92)-IF(OR(COUNTIF(OFFSET(AT93,0,$AT$1,1,1),"*听雷*")&gt;0,AND(碧归&gt;0,COUNTIF(OFFSET(AT93,0,$AT$1,1,1),"*风来*")&gt;0)),0,1)*1.5)</f>
        <v>59.6499999999999</v>
      </c>
      <c r="AC93">
        <f ca="1" t="shared" si="12"/>
        <v>3</v>
      </c>
      <c r="AD93">
        <f ca="1">IF(COUNTIF(IF(AND(配装计算器!$K$30&lt;&gt;"∞",0),INDEX(AU93:CB93,1,$AT$1),INDEX(AU94:CB94,1,$AT$1)),"*叠1*")=1,AB93*0+AE92,0)</f>
        <v>0</v>
      </c>
      <c r="AE93">
        <f ca="1">IF($AN$11&gt;0,IF(COUNTIF(B94,"*叠1*")&gt;0,50-加速!$H$11,MAX(0,AE92-(A94-A93))),0)</f>
        <v>29.3999999999999</v>
      </c>
      <c r="AH93" t="s">
        <v>1825</v>
      </c>
      <c r="AI93" t="s">
        <v>2794</v>
      </c>
      <c r="AJ93">
        <f ca="1">循环比*COUNTIFS($B$3:$B$515,"*"&amp;AI93&amp;"*",$D$3:$D$515,"=0",$H$3:$H$515,"&gt;0",$G$3:$G$515,"=0")</f>
        <v>0</v>
      </c>
      <c r="AK93" t="s">
        <v>2948</v>
      </c>
      <c r="AU93" t="str">
        <f>IF($AN$11=1,"云飞玉皇-玉山揽云","夕照雷峰")</f>
        <v>云飞玉皇-玉山揽云</v>
      </c>
      <c r="AV93">
        <v>2</v>
      </c>
      <c r="AW93" s="176" t="str">
        <f t="shared" ref="AW93:AW97" si="22">IF($AN$11=1,"云飞玉皇-玉山揽云","夕照雷峰")</f>
        <v>云飞玉皇-玉山揽云</v>
      </c>
      <c r="AX93">
        <v>2</v>
      </c>
      <c r="AY93" t="s">
        <v>2776</v>
      </c>
      <c r="AZ93">
        <v>2</v>
      </c>
      <c r="BA93" t="s">
        <v>2776</v>
      </c>
      <c r="BB93">
        <v>2</v>
      </c>
      <c r="BC93" t="s">
        <v>3013</v>
      </c>
      <c r="BD93">
        <v>2</v>
      </c>
      <c r="BE93" t="s">
        <v>2768</v>
      </c>
      <c r="BF93">
        <v>1</v>
      </c>
      <c r="BG93" s="176" t="s">
        <v>2776</v>
      </c>
      <c r="BH93">
        <v>2</v>
      </c>
      <c r="BI93" t="s">
        <v>2768</v>
      </c>
      <c r="BJ93">
        <v>2</v>
      </c>
      <c r="BK93" t="s">
        <v>2776</v>
      </c>
      <c r="BL93">
        <v>2</v>
      </c>
      <c r="BM93" s="176" t="s">
        <v>2794</v>
      </c>
      <c r="BN93">
        <v>2</v>
      </c>
      <c r="BO93" s="176" t="s">
        <v>2768</v>
      </c>
      <c r="BP93">
        <v>2</v>
      </c>
      <c r="BQ93" t="s">
        <v>3013</v>
      </c>
      <c r="BR93">
        <v>2</v>
      </c>
      <c r="BS93" s="176" t="s">
        <v>2768</v>
      </c>
      <c r="BT93">
        <v>2</v>
      </c>
      <c r="BU93" t="s">
        <v>2776</v>
      </c>
      <c r="BV93">
        <v>2</v>
      </c>
      <c r="BW93" s="182" t="s">
        <v>2776</v>
      </c>
      <c r="BX93" s="179">
        <v>2</v>
      </c>
      <c r="BY93" s="176" t="s">
        <v>2794</v>
      </c>
      <c r="BZ93">
        <v>2</v>
      </c>
      <c r="CA93" s="176" t="s">
        <v>2808</v>
      </c>
      <c r="CB93">
        <v>2</v>
      </c>
    </row>
    <row r="94" spans="1:80">
      <c r="A94" s="178">
        <f ca="1">IFERROR(IF(A93+加速!$L$11&lt;$AS$1,IF(COUNTIF(B93,"*轻*")&gt;0,A93+加速!$L$9,A93+加速!$L$11)+V93,IF(COUNTIF(INDEX(AU94:CB94,1,$AT$1),"*云景*")+COUNTIF(INDEX(AU94:CB94,1,$AT$1),"*鹤归*")+COUNTIF(INDEX(AU94:CB94,1,$AT$1),"*听雷*")&gt;0,A93+加速!$L$11,"")),"")</f>
        <v>119.43</v>
      </c>
      <c r="B94" s="167" t="str">
        <f ca="1">IF(A94&lt;&gt;"",IF(AND(A94+加速!$L$11&gt;$AS$1,IF(AND(配装计算器!$K$30&lt;&gt;"∞",0),"梦泉虎跑-轻",INDEX(AU94:CB94,1,$AT$1))="云栖松"),"夕照雷峰",IF(AND(配装计算器!$K$30&lt;&gt;"∞",0),"梦泉虎跑-轻",INDEX(AU94:CB94,1,$AT$1))),"")</f>
        <v>云景·云飞玉皇</v>
      </c>
      <c r="C94">
        <f ca="1" t="shared" si="17"/>
        <v>13.71</v>
      </c>
      <c r="D94">
        <f ca="1">IF(B94&lt;&gt;"",IF(C93&lt;=加速!$L$11*(1-E94),0,1),"")</f>
        <v>1</v>
      </c>
      <c r="E94">
        <f ca="1" t="shared" si="13"/>
        <v>1</v>
      </c>
      <c r="G94">
        <f ca="1" t="shared" si="14"/>
        <v>0</v>
      </c>
      <c r="H94">
        <f ca="1">IF(B94&lt;&gt;"",IF(AND(COUNTIF(B93,"*轻*莺鸣柳*")&gt;0,COUNTIF(B94,"*轻*")&lt;1),MAX(0,15+I93-(A94-A93)+COUNTIF(B93,"*平湖*")*0),IF(AND(E94=0,MAX(0,H93-(A94-A93))&lt;=加速!$H$11),0,MAX(0,H93-(A94-A93)))),"")</f>
        <v>0</v>
      </c>
      <c r="I94">
        <f ca="1" t="shared" si="20"/>
        <v>0</v>
      </c>
      <c r="J94">
        <f ca="1" t="shared" si="21"/>
        <v>1</v>
      </c>
      <c r="K94">
        <f ca="1">IF(A94&lt;&gt;"",IF(AND(配装计算器!$K$30&lt;&gt;"∞",0),2,INDEX(AU94:CB94,1,$AT$2)),"")</f>
        <v>2</v>
      </c>
      <c r="L94">
        <f ca="1">IFERROR(IF(AND(COUNTIF(B94,"*-峰插*"),技能数据库!$M$72&gt;0),0,IF(COUNTIF(B94,"*鹤归*")&gt;0,16-加速!$L$11,MAX(0,L93-(A94-A93)))),0)</f>
        <v>8.25999999999997</v>
      </c>
      <c r="M94">
        <f ca="1">IF(COUNTIF(IF(AND(配装计算器!$K$30&lt;&gt;"∞",0),INDEX(AU93:CB93,1,$AT$1),INDEX(AU95:CB95,1,$AT$1)),"*鹤归*")=1,L94,0)</f>
        <v>0</v>
      </c>
      <c r="N94">
        <f ca="1">IFERROR(IF(AND(COUNTIF(B94,"*-峰插*"),技能数据库!$M$72&gt;0),0,IF(COUNTIF(B94,"*云飞*")&gt;0,4-COUNTIF(B94,"*玉山揽云*")*4--COUNTIF(B94,"*烟流暮景*")*4-COUNTIF(B94,"*云景*")*加速!$L$11-IF(J94&gt;0,2,0),MAX(0,N93-(A94-A93)-IF(J94&gt;0,2,0)))),0)</f>
        <v>0.71</v>
      </c>
      <c r="O94">
        <f ca="1">IF(AND(COUNTIF(IF(AND(配装计算器!$K$30&lt;&gt;"∞",0),INDEX(AU93:CB93,1,$AT$1),INDEX(AU95:CB95,1,$AT$1)),"*云飞*")=1,COUNTIF(IF(AND(配装计算器!$K$30&lt;&gt;"∞",0),INDEX(AU93:CB93,1,$AT$1),INDEX(AU95:CB95,1,$AT$1)),"*玉山*")=0),N94,0)</f>
        <v>0</v>
      </c>
      <c r="P94">
        <f ca="1">IFERROR(IF(COUNTIF(B94,"*云栖松*")&gt;0,50-加速!$L$11,MAX(0,P93-(A94-A93))),0)</f>
        <v>0</v>
      </c>
      <c r="Q94">
        <f ca="1">IF(COUNTIF(IF(AND(配装计算器!$K$30&lt;&gt;"∞",0),INDEX(AU93:CB93,1,$AT$1),INDEX(AU95:CB95,1,$AT$1)),"*云栖松*")=1,P94,0)</f>
        <v>0</v>
      </c>
      <c r="R94">
        <f ca="1">IFERROR(IF(COUNTIF(B94,"*莺鸣柳*")&gt;0,45-加速!$L$9,MAX(0,R93-(A94-A93))),0)</f>
        <v>0</v>
      </c>
      <c r="S94">
        <f ca="1">IF(COUNTIF(IF(AND(配装计算器!$K$30&lt;&gt;"∞",0),INDEX(AU93:CB93,1,$AT$1),INDEX(AU95:CB95,1,$AT$1)),"*莺鸣柳*")=1,R94,0)</f>
        <v>0</v>
      </c>
      <c r="T94">
        <f ca="1" t="shared" si="18"/>
        <v>0</v>
      </c>
      <c r="U94">
        <f ca="1">IF(金蛇,IF(COUNTIF(B94,"*金环戴*")+COUNTIF(B94,"*吹风醒*")&gt;0,IF(A94&lt;=3,7.125-2.625-A94-加速!$L$11,A94-T94),0),0)+IF(金蛇,IF(COUNTIF(B94,"*千切子裂光*")&gt;0,2+加速!$K$9-(A94+加速!$L$11-T94),0),0)</f>
        <v>0</v>
      </c>
      <c r="V94">
        <f ca="1" t="shared" si="19"/>
        <v>0</v>
      </c>
      <c r="W94">
        <f ca="1" t="shared" si="11"/>
        <v>0</v>
      </c>
      <c r="X94">
        <f ca="1">INDEX(加速!$I$13:$I$21,技能数计算!W94+1)</f>
        <v>0</v>
      </c>
      <c r="Y94">
        <f ca="1" t="shared" si="15"/>
        <v>0.5</v>
      </c>
      <c r="Z94">
        <f ca="1" t="shared" si="16"/>
        <v>0</v>
      </c>
      <c r="AA94">
        <f ca="1">MAX(0,IFERROR(IF(COUNTIF(B94,"*叠*")&gt;0,IF(AC93&lt;3,8-A95+A94,AA93+6.875-A95+A94),AA93-A95+A94),AA93-加速!$L$11))</f>
        <v>0</v>
      </c>
      <c r="AB94">
        <f ca="1">MAX(0,IF(COUNTIF(IF(AND(配装计算器!$K$30&lt;&gt;"∞",0),INDEX(AU94:CB94,1,$AT$1),INDEX(AU94:CB94,1,$AT$1)),"*叠1*")=1,4*25-加速!$L$11,AB93-A94+A93)-IF(OR(COUNTIF(OFFSET(AT94,0,$AT$1,1,1),"*听雷*")&gt;0,AND(碧归&gt;0,COUNTIF(OFFSET(AT94,0,$AT$1,1,1),"*风来*")&gt;0)),0,1)*1.5)</f>
        <v>56.8599999999999</v>
      </c>
      <c r="AC94">
        <f ca="1" t="shared" si="12"/>
        <v>3</v>
      </c>
      <c r="AD94">
        <f ca="1">IF(COUNTIF(IF(AND(配装计算器!$K$30&lt;&gt;"∞",0),INDEX(AU94:CB94,1,$AT$1),INDEX(AU95:CB95,1,$AT$1)),"*叠1*")=1,AB94*0+AE93,0)</f>
        <v>0</v>
      </c>
      <c r="AE94">
        <f ca="1">IF($AN$11&gt;0,IF(COUNTIF(B95,"*叠1*")&gt;0,50-加速!$H$11,MAX(0,AE93-(A95-A94))),0)</f>
        <v>28.1099999999999</v>
      </c>
      <c r="AH94" t="s">
        <v>1825</v>
      </c>
      <c r="AI94" t="s">
        <v>2798</v>
      </c>
      <c r="AJ94">
        <f ca="1">AJ93</f>
        <v>0</v>
      </c>
      <c r="AK94" t="s">
        <v>2948</v>
      </c>
      <c r="AU94" t="str">
        <f>IF($AN$11=1,橙武补雾锁,"夕照雷峰")</f>
        <v>云飞玉皇-玉山揽云</v>
      </c>
      <c r="AV94">
        <v>2</v>
      </c>
      <c r="AW94" t="str">
        <f>IF($AN$11=1,"云飞玉皇-玉山揽云","云景·云飞玉皇-黄龙吐翠")</f>
        <v>云飞玉皇-玉山揽云</v>
      </c>
      <c r="AX94">
        <f>IF($AN$11=1,2,1)</f>
        <v>2</v>
      </c>
      <c r="AY94" t="s">
        <v>2794</v>
      </c>
      <c r="AZ94">
        <v>2</v>
      </c>
      <c r="BA94" t="s">
        <v>2794</v>
      </c>
      <c r="BB94">
        <v>2</v>
      </c>
      <c r="BC94" t="s">
        <v>2808</v>
      </c>
      <c r="BD94">
        <v>2</v>
      </c>
      <c r="BE94" t="s">
        <v>2794</v>
      </c>
      <c r="BF94">
        <v>1</v>
      </c>
      <c r="BG94" t="s">
        <v>2768</v>
      </c>
      <c r="BH94">
        <v>1</v>
      </c>
      <c r="BI94" t="s">
        <v>2808</v>
      </c>
      <c r="BJ94">
        <v>2</v>
      </c>
      <c r="BK94" s="180" t="s">
        <v>3036</v>
      </c>
      <c r="BL94">
        <v>2</v>
      </c>
      <c r="BM94" s="176" t="s">
        <v>2768</v>
      </c>
      <c r="BN94">
        <v>2</v>
      </c>
      <c r="BO94" s="176" t="s">
        <v>2776</v>
      </c>
      <c r="BP94">
        <v>2</v>
      </c>
      <c r="BQ94" t="s">
        <v>2808</v>
      </c>
      <c r="BR94">
        <v>2</v>
      </c>
      <c r="BS94" s="176" t="s">
        <v>2768</v>
      </c>
      <c r="BT94">
        <v>2</v>
      </c>
      <c r="BU94" t="s">
        <v>2768</v>
      </c>
      <c r="BV94">
        <v>2</v>
      </c>
      <c r="BW94" s="182" t="str">
        <f t="shared" ref="BW94" si="23">IF($AN$11=1,"云飞玉皇-玉山揽云","夕照雷峰")</f>
        <v>云飞玉皇-玉山揽云</v>
      </c>
      <c r="BX94" s="179">
        <v>2</v>
      </c>
      <c r="BY94" s="176" t="s">
        <v>2768</v>
      </c>
      <c r="BZ94">
        <v>2</v>
      </c>
      <c r="CA94" t="s">
        <v>2768</v>
      </c>
      <c r="CB94">
        <v>2</v>
      </c>
    </row>
    <row r="95" spans="1:80">
      <c r="A95" s="178">
        <f ca="1">IFERROR(IF(A94+加速!$L$11&lt;$AS$1,IF(COUNTIF(B94,"*轻*")&gt;0,A94+加速!$L$9,A94+加速!$L$11)+V94,IF(COUNTIF(INDEX(AU95:CB95,1,$AT$1),"*云景*")+COUNTIF(INDEX(AU95:CB95,1,$AT$1),"*鹤归*")+COUNTIF(INDEX(AU95:CB95,1,$AT$1),"*听雷*")&gt;0,A94+加速!$L$11,"")),"")</f>
        <v>120.72</v>
      </c>
      <c r="B95" s="167" t="str">
        <f ca="1">IF(A95&lt;&gt;"",IF(AND(A95+加速!$L$11&gt;$AS$1,IF(AND(配装计算器!$K$30&lt;&gt;"∞",0),"梦泉虎跑-轻",INDEX(AU95:CB95,1,$AT$1))="云栖松"),"夕照雷峰",IF(AND(配装计算器!$K$30&lt;&gt;"∞",0),"梦泉虎跑-轻",INDEX(AU95:CB95,1,$AT$1))),"")</f>
        <v>夕照雷峰</v>
      </c>
      <c r="C95">
        <f ca="1" t="shared" si="17"/>
        <v>15</v>
      </c>
      <c r="D95">
        <f ca="1">IF(B95&lt;&gt;"",IF(C94&lt;=加速!$L$11*(1-E95),0,1),"")</f>
        <v>1</v>
      </c>
      <c r="E95">
        <f ca="1" t="shared" si="13"/>
        <v>0</v>
      </c>
      <c r="G95">
        <f ca="1" t="shared" si="14"/>
        <v>0</v>
      </c>
      <c r="H95">
        <f ca="1">IF(B95&lt;&gt;"",IF(AND(COUNTIF(B94,"*轻*莺鸣柳*")&gt;0,COUNTIF(B95,"*轻*")&lt;1),MAX(0,15+I94-(A95-A94)+COUNTIF(B94,"*平湖*")*0),IF(AND(E95=0,MAX(0,H94-(A95-A94))&lt;=加速!$H$11),0,MAX(0,H94-(A95-A94)))),"")</f>
        <v>0</v>
      </c>
      <c r="I95">
        <f ca="1" t="shared" si="20"/>
        <v>0</v>
      </c>
      <c r="J95">
        <f ca="1" t="shared" si="21"/>
        <v>0</v>
      </c>
      <c r="K95">
        <f ca="1">IF(A95&lt;&gt;"",IF(AND(配装计算器!$K$30&lt;&gt;"∞",0),2,INDEX(AU95:CB95,1,$AT$2)),"")</f>
        <v>2</v>
      </c>
      <c r="L95">
        <f ca="1">IFERROR(IF(AND(COUNTIF(B95,"*-峰插*"),技能数据库!$M$72&gt;0),0,IF(COUNTIF(B95,"*鹤归*")&gt;0,16-加速!$L$11,MAX(0,L94-(A95-A94)))),0)</f>
        <v>6.96999999999996</v>
      </c>
      <c r="M95">
        <f ca="1">IF(COUNTIF(IF(AND(配装计算器!$K$30&lt;&gt;"∞",0),INDEX(AU94:CB94,1,$AT$1),INDEX(AU96:CB96,1,$AT$1)),"*鹤归*")=1,L95,0)</f>
        <v>0</v>
      </c>
      <c r="N95">
        <f ca="1">IFERROR(IF(AND(COUNTIF(B95,"*-峰插*"),技能数据库!$M$72&gt;0),0,IF(COUNTIF(B95,"*云飞*")&gt;0,4-COUNTIF(B95,"*玉山揽云*")*4--COUNTIF(B95,"*烟流暮景*")*4-COUNTIF(B95,"*云景*")*加速!$L$11-IF(J95&gt;0,2,0),MAX(0,N94-(A95-A94)-IF(J95&gt;0,2,0)))),0)</f>
        <v>0</v>
      </c>
      <c r="O95">
        <f ca="1">IF(AND(COUNTIF(IF(AND(配装计算器!$K$30&lt;&gt;"∞",0),INDEX(AU94:CB94,1,$AT$1),INDEX(AU96:CB96,1,$AT$1)),"*云飞*")=1,COUNTIF(IF(AND(配装计算器!$K$30&lt;&gt;"∞",0),INDEX(AU94:CB94,1,$AT$1),INDEX(AU96:CB96,1,$AT$1)),"*玉山*")=0),N95,0)</f>
        <v>0</v>
      </c>
      <c r="P95">
        <f ca="1">IFERROR(IF(COUNTIF(B95,"*云栖松*")&gt;0,50-加速!$L$11,MAX(0,P94-(A95-A94))),0)</f>
        <v>0</v>
      </c>
      <c r="Q95">
        <f ca="1">IF(COUNTIF(IF(AND(配装计算器!$K$30&lt;&gt;"∞",0),INDEX(AU94:CB94,1,$AT$1),INDEX(AU96:CB96,1,$AT$1)),"*云栖松*")=1,P95,0)</f>
        <v>0</v>
      </c>
      <c r="R95">
        <f ca="1">IFERROR(IF(COUNTIF(B95,"*莺鸣柳*")&gt;0,45-加速!$L$9,MAX(0,R94-(A95-A94))),0)</f>
        <v>0</v>
      </c>
      <c r="S95">
        <f ca="1">IF(COUNTIF(IF(AND(配装计算器!$K$30&lt;&gt;"∞",0),INDEX(AU94:CB94,1,$AT$1),INDEX(AU96:CB96,1,$AT$1)),"*莺鸣柳*")=1,R95,0)</f>
        <v>0</v>
      </c>
      <c r="T95">
        <f ca="1" t="shared" si="18"/>
        <v>0</v>
      </c>
      <c r="U95">
        <f ca="1">IF(金蛇,IF(COUNTIF(B95,"*金环戴*")+COUNTIF(B95,"*吹风醒*")&gt;0,IF(A95&lt;=3,7.125-2.625-A95-加速!$L$11,A95-T95),0),0)+IF(金蛇,IF(COUNTIF(B95,"*千切子裂光*")&gt;0,2+加速!$K$9-(A95+加速!$L$11-T95),0),0)</f>
        <v>0</v>
      </c>
      <c r="V95">
        <f ca="1" t="shared" si="19"/>
        <v>0</v>
      </c>
      <c r="W95">
        <f ca="1" t="shared" si="11"/>
        <v>0</v>
      </c>
      <c r="X95">
        <f ca="1">INDEX(加速!$I$13:$I$21,技能数计算!W95+1)</f>
        <v>0</v>
      </c>
      <c r="Y95">
        <f ca="1" t="shared" si="15"/>
        <v>0.5</v>
      </c>
      <c r="Z95">
        <f ca="1" t="shared" si="16"/>
        <v>0</v>
      </c>
      <c r="AA95">
        <f ca="1">MAX(0,IFERROR(IF(COUNTIF(B95,"*叠*")&gt;0,IF(AC94&lt;3,8-A96+A95,AA94+6.875-A96+A95),AA94-A96+A95),AA94-加速!$L$11))</f>
        <v>0</v>
      </c>
      <c r="AB95">
        <f ca="1">MAX(0,IF(COUNTIF(IF(AND(配装计算器!$K$30&lt;&gt;"∞",0),INDEX(AU95:CB95,1,$AT$1),INDEX(AU95:CB95,1,$AT$1)),"*叠1*")=1,4*25-加速!$L$11,AB94-A95+A94)-IF(OR(COUNTIF(OFFSET(AT95,0,$AT$1,1,1),"*听雷*")&gt;0,AND(碧归&gt;0,COUNTIF(OFFSET(AT95,0,$AT$1,1,1),"*风来*")&gt;0)),0,1)*1.5)</f>
        <v>54.0699999999999</v>
      </c>
      <c r="AC95">
        <f ca="1" t="shared" si="12"/>
        <v>0</v>
      </c>
      <c r="AD95">
        <f ca="1">IF(COUNTIF(IF(AND(配装计算器!$K$30&lt;&gt;"∞",0),INDEX(AU95:CB95,1,$AT$1),INDEX(AU96:CB96,1,$AT$1)),"*叠1*")=1,AB95*0+AE94,0)</f>
        <v>0</v>
      </c>
      <c r="AE95">
        <f ca="1">IF($AN$11&gt;0,IF(COUNTIF(B96,"*叠1*")&gt;0,50-加速!$H$11,MAX(0,AE94-(A96-A95))),0)</f>
        <v>26.8199999999999</v>
      </c>
      <c r="AH95" t="s">
        <v>1825</v>
      </c>
      <c r="AI95" t="s">
        <v>2776</v>
      </c>
      <c r="AJ95">
        <f ca="1">循环比*COUNTIFS($B$3:$B$515,"*"&amp;AI95&amp;"*",$D$3:$D$515,"=0",$H$3:$H$515,"&gt;0",$G$3:$G$515,"=0",$K$3:$K$515,"=2")</f>
        <v>0</v>
      </c>
      <c r="AK95" t="s">
        <v>3101</v>
      </c>
      <c r="AU95" t="str">
        <f>IF($AN$11=1,"云飞玉皇-玉山揽云","夕照雷峰")</f>
        <v>云飞玉皇-玉山揽云</v>
      </c>
      <c r="AV95">
        <v>2</v>
      </c>
      <c r="AW95" t="str">
        <f>IF($AN$11=1,橙武补雾锁,"夕照雷峰")</f>
        <v>云飞玉皇-玉山揽云</v>
      </c>
      <c r="AX95">
        <v>2</v>
      </c>
      <c r="AY95" t="s">
        <v>2768</v>
      </c>
      <c r="AZ95">
        <v>2</v>
      </c>
      <c r="BA95" t="s">
        <v>2768</v>
      </c>
      <c r="BB95">
        <v>2</v>
      </c>
      <c r="BC95" t="s">
        <v>2768</v>
      </c>
      <c r="BD95">
        <v>2</v>
      </c>
      <c r="BE95" t="s">
        <v>2776</v>
      </c>
      <c r="BF95">
        <v>2</v>
      </c>
      <c r="BG95" s="176" t="s">
        <v>2768</v>
      </c>
      <c r="BH95">
        <v>1</v>
      </c>
      <c r="BI95" s="176" t="s">
        <v>2768</v>
      </c>
      <c r="BJ95">
        <v>2</v>
      </c>
      <c r="BK95" t="s">
        <v>3026</v>
      </c>
      <c r="BL95">
        <v>2</v>
      </c>
      <c r="BM95" s="176" t="s">
        <v>2776</v>
      </c>
      <c r="BN95">
        <v>2</v>
      </c>
      <c r="BO95" s="176" t="str">
        <f>IF(0,"云飞玉皇-玉山揽云","夕照雷峰")</f>
        <v>夕照雷峰</v>
      </c>
      <c r="BP95">
        <v>2</v>
      </c>
      <c r="BQ95" t="s">
        <v>2768</v>
      </c>
      <c r="BR95">
        <v>2</v>
      </c>
      <c r="BS95" s="176" t="s">
        <v>2768</v>
      </c>
      <c r="BT95">
        <v>2</v>
      </c>
      <c r="BU95" t="s">
        <v>2776</v>
      </c>
      <c r="BV95">
        <v>2</v>
      </c>
      <c r="BW95" s="179" t="str">
        <f>IF($AN$11=1,"云飞玉皇-玉山揽云","云飞玉皇")</f>
        <v>云飞玉皇-玉山揽云</v>
      </c>
      <c r="BX95" s="179">
        <v>2</v>
      </c>
      <c r="BY95" s="176" t="s">
        <v>2776</v>
      </c>
      <c r="BZ95">
        <v>2</v>
      </c>
      <c r="CA95" t="s">
        <v>2776</v>
      </c>
      <c r="CB95">
        <v>2</v>
      </c>
    </row>
    <row r="96" spans="1:80">
      <c r="A96" s="178">
        <f ca="1">IFERROR(IF(A95+加速!$L$11&lt;$AS$1,IF(COUNTIF(B95,"*轻*")&gt;0,A95+加速!$L$9,A95+加速!$L$11)+V95,IF(COUNTIF(INDEX(AU96:CB96,1,$AT$1),"*云景*")+COUNTIF(INDEX(AU96:CB96,1,$AT$1),"*鹤归*")+COUNTIF(INDEX(AU96:CB96,1,$AT$1),"*听雷*")&gt;0,A95+加速!$L$11,"")),"")</f>
        <v>122.01</v>
      </c>
      <c r="B96" s="167" t="str">
        <f ca="1">IF(A96&lt;&gt;"",IF(AND(A96+加速!$L$11&gt;$AS$1,IF(AND(配装计算器!$K$30&lt;&gt;"∞",0),"梦泉虎跑-轻",INDEX(AU96:CB96,1,$AT$1))="云栖松"),"夕照雷峰",IF(AND(配装计算器!$K$30&lt;&gt;"∞",0),"梦泉虎跑-轻",INDEX(AU96:CB96,1,$AT$1))),"")</f>
        <v>云飞玉皇</v>
      </c>
      <c r="C96">
        <f ca="1" t="shared" si="17"/>
        <v>13.71</v>
      </c>
      <c r="D96">
        <f ca="1">IF(B96&lt;&gt;"",IF(C95&lt;=加速!$L$11*(1-E96),0,1),"")</f>
        <v>1</v>
      </c>
      <c r="E96">
        <f ca="1" t="shared" si="13"/>
        <v>0</v>
      </c>
      <c r="G96">
        <f ca="1" t="shared" si="14"/>
        <v>0</v>
      </c>
      <c r="H96">
        <f ca="1">IF(B96&lt;&gt;"",IF(AND(COUNTIF(B95,"*轻*莺鸣柳*")&gt;0,COUNTIF(B96,"*轻*")&lt;1),MAX(0,15+I95-(A96-A95)+COUNTIF(B95,"*平湖*")*0),IF(AND(E96=0,MAX(0,H95-(A96-A95))&lt;=加速!$H$11),0,MAX(0,H95-(A96-A95)))),"")</f>
        <v>0</v>
      </c>
      <c r="I96">
        <f ca="1" t="shared" si="20"/>
        <v>0</v>
      </c>
      <c r="J96">
        <f ca="1" t="shared" si="21"/>
        <v>0</v>
      </c>
      <c r="K96">
        <f ca="1">IF(A96&lt;&gt;"",IF(AND(配装计算器!$K$30&lt;&gt;"∞",0),2,INDEX(AU96:CB96,1,$AT$2)),"")</f>
        <v>2</v>
      </c>
      <c r="L96">
        <f ca="1">IFERROR(IF(AND(COUNTIF(B96,"*-峰插*"),技能数据库!$M$72&gt;0),0,IF(COUNTIF(B96,"*鹤归*")&gt;0,16-加速!$L$11,MAX(0,L95-(A96-A95)))),0)</f>
        <v>5.67999999999996</v>
      </c>
      <c r="M96">
        <f ca="1">IF(COUNTIF(IF(AND(配装计算器!$K$30&lt;&gt;"∞",0),INDEX(AU95:CB95,1,$AT$1),INDEX(AU97:CB97,1,$AT$1)),"*鹤归*")=1,L96,0)</f>
        <v>0</v>
      </c>
      <c r="N96">
        <f ca="1">IFERROR(IF(AND(COUNTIF(B96,"*-峰插*"),技能数据库!$M$72&gt;0),0,IF(COUNTIF(B96,"*云飞*")&gt;0,4-COUNTIF(B96,"*玉山揽云*")*4--COUNTIF(B96,"*烟流暮景*")*4-COUNTIF(B96,"*云景*")*加速!$L$11-IF(J96&gt;0,2,0),MAX(0,N95-(A96-A95)-IF(J96&gt;0,2,0)))),0)</f>
        <v>4</v>
      </c>
      <c r="O96">
        <f ca="1">IF(AND(COUNTIF(IF(AND(配装计算器!$K$30&lt;&gt;"∞",0),INDEX(AU95:CB95,1,$AT$1),INDEX(AU97:CB97,1,$AT$1)),"*云飞*")=1,COUNTIF(IF(AND(配装计算器!$K$30&lt;&gt;"∞",0),INDEX(AU95:CB95,1,$AT$1),INDEX(AU97:CB97,1,$AT$1)),"*玉山*")=0),N96,0)</f>
        <v>0</v>
      </c>
      <c r="P96">
        <f ca="1">IFERROR(IF(COUNTIF(B96,"*云栖松*")&gt;0,50-加速!$L$11,MAX(0,P95-(A96-A95))),0)</f>
        <v>0</v>
      </c>
      <c r="Q96">
        <f ca="1">IF(COUNTIF(IF(AND(配装计算器!$K$30&lt;&gt;"∞",0),INDEX(AU95:CB95,1,$AT$1),INDEX(AU97:CB97,1,$AT$1)),"*云栖松*")=1,P96,0)</f>
        <v>0</v>
      </c>
      <c r="R96">
        <f ca="1">IFERROR(IF(COUNTIF(B96,"*莺鸣柳*")&gt;0,45-加速!$L$9,MAX(0,R95-(A96-A95))),0)</f>
        <v>0</v>
      </c>
      <c r="S96">
        <f ca="1">IF(COUNTIF(IF(AND(配装计算器!$K$30&lt;&gt;"∞",0),INDEX(AU95:CB95,1,$AT$1),INDEX(AU97:CB97,1,$AT$1)),"*莺鸣柳*")=1,R96,0)</f>
        <v>0</v>
      </c>
      <c r="T96">
        <f ca="1" t="shared" si="18"/>
        <v>0</v>
      </c>
      <c r="U96">
        <f ca="1">IF(金蛇,IF(COUNTIF(B96,"*金环戴*")+COUNTIF(B96,"*吹风醒*")&gt;0,IF(A96&lt;=3,7.125-2.625-A96-加速!$L$11,A96-T96),0),0)+IF(金蛇,IF(COUNTIF(B96,"*千切子裂光*")&gt;0,2+加速!$K$9-(A96+加速!$L$11-T96),0),0)</f>
        <v>0</v>
      </c>
      <c r="V96">
        <f ca="1" t="shared" si="19"/>
        <v>0</v>
      </c>
      <c r="W96">
        <f ca="1" t="shared" si="11"/>
        <v>0</v>
      </c>
      <c r="X96">
        <f ca="1">INDEX(加速!$I$13:$I$21,技能数计算!W96+1)</f>
        <v>0</v>
      </c>
      <c r="Y96">
        <f ca="1" t="shared" si="15"/>
        <v>0.5</v>
      </c>
      <c r="Z96">
        <f ca="1" t="shared" si="16"/>
        <v>0</v>
      </c>
      <c r="AA96">
        <f ca="1">MAX(0,IFERROR(IF(COUNTIF(B96,"*叠*")&gt;0,IF(AC95&lt;3,8-A97+A96,AA95+6.875-A97+A96),AA95-A97+A96),AA95-加速!$L$11))</f>
        <v>0</v>
      </c>
      <c r="AB96">
        <f ca="1">MAX(0,IF(COUNTIF(IF(AND(配装计算器!$K$30&lt;&gt;"∞",0),INDEX(AU96:CB96,1,$AT$1),INDEX(AU96:CB96,1,$AT$1)),"*叠1*")=1,4*25-加速!$L$11,AB95-A96+A95)-IF(OR(COUNTIF(OFFSET(AT96,0,$AT$1,1,1),"*听雷*")&gt;0,AND(碧归&gt;0,COUNTIF(OFFSET(AT96,0,$AT$1,1,1),"*风来*")&gt;0)),0,1)*1.5)</f>
        <v>51.2799999999999</v>
      </c>
      <c r="AC96">
        <f ca="1" t="shared" si="12"/>
        <v>0</v>
      </c>
      <c r="AD96">
        <f ca="1">IF(COUNTIF(IF(AND(配装计算器!$K$30&lt;&gt;"∞",0),INDEX(AU96:CB96,1,$AT$1),INDEX(AU97:CB97,1,$AT$1)),"*叠1*")=1,AB96*0+AE95,0)</f>
        <v>0</v>
      </c>
      <c r="AE96">
        <f ca="1">IF($AN$11&gt;0,IF(COUNTIF(B97,"*叠1*")&gt;0,50-加速!$H$11,MAX(0,AE95-(A97-A96))),0)</f>
        <v>25.5299999999999</v>
      </c>
      <c r="AH96" t="s">
        <v>1825</v>
      </c>
      <c r="AI96" t="s">
        <v>2780</v>
      </c>
      <c r="AJ96">
        <f ca="1">AJ95</f>
        <v>0</v>
      </c>
      <c r="AK96" t="s">
        <v>3101</v>
      </c>
      <c r="AU96" t="s">
        <v>2776</v>
      </c>
      <c r="AV96">
        <v>2</v>
      </c>
      <c r="AW96" t="str">
        <f t="shared" si="22"/>
        <v>云飞玉皇-玉山揽云</v>
      </c>
      <c r="AX96">
        <v>2</v>
      </c>
      <c r="AY96" t="s">
        <v>2776</v>
      </c>
      <c r="AZ96">
        <v>2</v>
      </c>
      <c r="BA96" t="s">
        <v>2776</v>
      </c>
      <c r="BB96">
        <v>2</v>
      </c>
      <c r="BC96" t="s">
        <v>2768</v>
      </c>
      <c r="BD96">
        <v>2</v>
      </c>
      <c r="BE96" t="s">
        <v>2768</v>
      </c>
      <c r="BF96">
        <v>2</v>
      </c>
      <c r="BG96" t="s">
        <v>3055</v>
      </c>
      <c r="BH96">
        <v>0</v>
      </c>
      <c r="BI96" s="176" t="s">
        <v>2776</v>
      </c>
      <c r="BJ96">
        <v>2</v>
      </c>
      <c r="BK96" t="s">
        <v>3026</v>
      </c>
      <c r="BL96">
        <v>2</v>
      </c>
      <c r="BM96" s="176" t="s">
        <v>2768</v>
      </c>
      <c r="BN96">
        <v>2</v>
      </c>
      <c r="BO96" t="str">
        <f>IF(0,"云飞玉皇-玉山揽云","云飞玉皇")</f>
        <v>云飞玉皇</v>
      </c>
      <c r="BP96">
        <v>2</v>
      </c>
      <c r="BQ96" t="s">
        <v>2768</v>
      </c>
      <c r="BR96">
        <v>2</v>
      </c>
      <c r="BS96" s="176" t="s">
        <v>2776</v>
      </c>
      <c r="BT96">
        <v>2</v>
      </c>
      <c r="BU96" t="s">
        <v>2768</v>
      </c>
      <c r="BV96">
        <v>2</v>
      </c>
      <c r="BW96" s="182" t="s">
        <v>3063</v>
      </c>
      <c r="BX96" s="179">
        <v>0</v>
      </c>
      <c r="BY96" s="176" t="s">
        <v>2768</v>
      </c>
      <c r="BZ96">
        <v>2</v>
      </c>
      <c r="CA96" t="str">
        <f>IF(秋,"云栖松","泉凝月")</f>
        <v>泉凝月</v>
      </c>
      <c r="CB96">
        <v>2</v>
      </c>
    </row>
    <row r="97" spans="1:80">
      <c r="A97" s="178">
        <f ca="1">IFERROR(IF(A96+加速!$L$11&lt;$AS$1,IF(COUNTIF(B96,"*轻*")&gt;0,A96+加速!$L$9,A96+加速!$L$11)+V96,IF(COUNTIF(INDEX(AU97:CB97,1,$AT$1),"*云景*")+COUNTIF(INDEX(AU97:CB97,1,$AT$1),"*鹤归*")+COUNTIF(INDEX(AU97:CB97,1,$AT$1),"*听雷*")&gt;0,A96+加速!$L$11,"")),"")</f>
        <v>123.3</v>
      </c>
      <c r="B97" s="167" t="str">
        <f ca="1">IF(A97&lt;&gt;"",IF(AND(A97+加速!$L$11&gt;$AS$1,IF(AND(配装计算器!$K$30&lt;&gt;"∞",0),"梦泉虎跑-轻",INDEX(AU97:CB97,1,$AT$1))="云栖松"),"夕照雷峰",IF(AND(配装计算器!$K$30&lt;&gt;"∞",0),"梦泉虎跑-轻",INDEX(AU97:CB97,1,$AT$1))),"")</f>
        <v>夕照雷峰</v>
      </c>
      <c r="C97">
        <f ca="1" t="shared" si="17"/>
        <v>15</v>
      </c>
      <c r="D97">
        <f ca="1">IF(B97&lt;&gt;"",IF(C96&lt;=加速!$L$11*(1-E97),0,1),"")</f>
        <v>1</v>
      </c>
      <c r="E97">
        <f ca="1" t="shared" si="13"/>
        <v>0</v>
      </c>
      <c r="G97">
        <f ca="1" t="shared" si="14"/>
        <v>0</v>
      </c>
      <c r="H97">
        <f ca="1">IF(B97&lt;&gt;"",IF(AND(COUNTIF(B96,"*轻*莺鸣柳*")&gt;0,COUNTIF(B97,"*轻*")&lt;1),MAX(0,15+I96-(A97-A96)+COUNTIF(B96,"*平湖*")*0),IF(AND(E97=0,MAX(0,H96-(A97-A96))&lt;=加速!$H$11),0,MAX(0,H96-(A97-A96)))),"")</f>
        <v>0</v>
      </c>
      <c r="I97">
        <f ca="1" t="shared" si="20"/>
        <v>0</v>
      </c>
      <c r="J97">
        <f ca="1" t="shared" si="21"/>
        <v>0</v>
      </c>
      <c r="K97">
        <f ca="1">IF(A97&lt;&gt;"",IF(AND(配装计算器!$K$30&lt;&gt;"∞",0),2,INDEX(AU97:CB97,1,$AT$2)),"")</f>
        <v>2</v>
      </c>
      <c r="L97">
        <f ca="1">IFERROR(IF(AND(COUNTIF(B97,"*-峰插*"),技能数据库!$M$72&gt;0),0,IF(COUNTIF(B97,"*鹤归*")&gt;0,16-加速!$L$11,MAX(0,L96-(A97-A96)))),0)</f>
        <v>4.38999999999995</v>
      </c>
      <c r="M97">
        <f ca="1">IF(COUNTIF(IF(AND(配装计算器!$K$30&lt;&gt;"∞",0),INDEX(AU96:CB96,1,$AT$1),INDEX(AU98:CB98,1,$AT$1)),"*鹤归*")=1,L97,0)</f>
        <v>0</v>
      </c>
      <c r="N97">
        <f ca="1">IFERROR(IF(AND(COUNTIF(B97,"*-峰插*"),技能数据库!$M$72&gt;0),0,IF(COUNTIF(B97,"*云飞*")&gt;0,4-COUNTIF(B97,"*玉山揽云*")*4--COUNTIF(B97,"*烟流暮景*")*4-COUNTIF(B97,"*云景*")*加速!$L$11-IF(J97&gt;0,2,0),MAX(0,N96-(A97-A96)-IF(J97&gt;0,2,0)))),0)</f>
        <v>2.70999999999999</v>
      </c>
      <c r="O97">
        <f ca="1">IF(AND(COUNTIF(IF(AND(配装计算器!$K$30&lt;&gt;"∞",0),INDEX(AU96:CB96,1,$AT$1),INDEX(AU98:CB98,1,$AT$1)),"*云飞*")=1,COUNTIF(IF(AND(配装计算器!$K$30&lt;&gt;"∞",0),INDEX(AU96:CB96,1,$AT$1),INDEX(AU98:CB98,1,$AT$1)),"*玉山*")=0),N97,0)</f>
        <v>0</v>
      </c>
      <c r="P97">
        <f ca="1">IFERROR(IF(COUNTIF(B97,"*云栖松*")&gt;0,50-加速!$L$11,MAX(0,P96-(A97-A96))),0)</f>
        <v>0</v>
      </c>
      <c r="Q97">
        <f ca="1">IF(COUNTIF(IF(AND(配装计算器!$K$30&lt;&gt;"∞",0),INDEX(AU96:CB96,1,$AT$1),INDEX(AU98:CB98,1,$AT$1)),"*云栖松*")=1,P97,0)</f>
        <v>0</v>
      </c>
      <c r="R97">
        <f ca="1">IFERROR(IF(COUNTIF(B97,"*莺鸣柳*")&gt;0,45-加速!$L$9,MAX(0,R96-(A97-A96))),0)</f>
        <v>0</v>
      </c>
      <c r="S97">
        <f ca="1">IF(COUNTIF(IF(AND(配装计算器!$K$30&lt;&gt;"∞",0),INDEX(AU96:CB96,1,$AT$1),INDEX(AU98:CB98,1,$AT$1)),"*莺鸣柳*")=1,R97,0)</f>
        <v>0</v>
      </c>
      <c r="T97">
        <f ca="1" t="shared" si="18"/>
        <v>0</v>
      </c>
      <c r="U97">
        <f ca="1">IF(金蛇,IF(COUNTIF(B97,"*金环戴*")+COUNTIF(B97,"*吹风醒*")&gt;0,IF(A97&lt;=3,7.125-2.625-A97-加速!$L$11,A97-T97),0),0)+IF(金蛇,IF(COUNTIF(B97,"*千切子裂光*")&gt;0,2+加速!$K$9-(A97+加速!$L$11-T97),0),0)</f>
        <v>0</v>
      </c>
      <c r="V97">
        <f ca="1" t="shared" si="19"/>
        <v>0</v>
      </c>
      <c r="W97">
        <f ca="1" t="shared" si="11"/>
        <v>0</v>
      </c>
      <c r="X97">
        <f ca="1">INDEX(加速!$I$13:$I$21,技能数计算!W97+1)</f>
        <v>0</v>
      </c>
      <c r="Y97">
        <f ca="1" t="shared" si="15"/>
        <v>0.5</v>
      </c>
      <c r="Z97">
        <f ca="1" t="shared" si="16"/>
        <v>0</v>
      </c>
      <c r="AA97">
        <f ca="1">MAX(0,IFERROR(IF(COUNTIF(B97,"*叠*")&gt;0,IF(AC96&lt;3,8-A98+A97,AA96+6.875-A98+A97),AA96-A98+A97),AA96-加速!$L$11))</f>
        <v>0</v>
      </c>
      <c r="AB97">
        <f ca="1">MAX(0,IF(COUNTIF(IF(AND(配装计算器!$K$30&lt;&gt;"∞",0),INDEX(AU97:CB97,1,$AT$1),INDEX(AU97:CB97,1,$AT$1)),"*叠1*")=1,4*25-加速!$L$11,AB96-A97+A96)-IF(OR(COUNTIF(OFFSET(AT97,0,$AT$1,1,1),"*听雷*")&gt;0,AND(碧归&gt;0,COUNTIF(OFFSET(AT97,0,$AT$1,1,1),"*风来*")&gt;0)),0,1)*1.5)</f>
        <v>48.4899999999999</v>
      </c>
      <c r="AC97">
        <f ca="1" t="shared" si="12"/>
        <v>0</v>
      </c>
      <c r="AD97">
        <f ca="1">IF(COUNTIF(IF(AND(配装计算器!$K$30&lt;&gt;"∞",0),INDEX(AU97:CB97,1,$AT$1),INDEX(AU98:CB98,1,$AT$1)),"*叠1*")=1,AB97*0+AE96,0)</f>
        <v>0</v>
      </c>
      <c r="AE97">
        <f ca="1">IF($AN$11&gt;0,IF(COUNTIF(B98,"*叠1*")&gt;0,50-加速!$H$11,MAX(0,AE96-(A98-A97))),0)</f>
        <v>24.2399999999999</v>
      </c>
      <c r="AH97" t="s">
        <v>1825</v>
      </c>
      <c r="AI97" s="161" t="s">
        <v>2783</v>
      </c>
      <c r="AJ97">
        <f ca="1">AJ95+AJ100</f>
        <v>0</v>
      </c>
      <c r="AK97" t="s">
        <v>2948</v>
      </c>
      <c r="AU97" s="176" t="s">
        <v>2794</v>
      </c>
      <c r="AV97">
        <v>2</v>
      </c>
      <c r="AW97" t="str">
        <f t="shared" si="22"/>
        <v>云飞玉皇-玉山揽云</v>
      </c>
      <c r="AX97">
        <v>2</v>
      </c>
      <c r="AY97" t="s">
        <v>2768</v>
      </c>
      <c r="AZ97">
        <v>2</v>
      </c>
      <c r="BA97" t="s">
        <v>2768</v>
      </c>
      <c r="BB97">
        <v>2</v>
      </c>
      <c r="BC97" t="s">
        <v>2776</v>
      </c>
      <c r="BD97">
        <v>1</v>
      </c>
      <c r="BE97" t="s">
        <v>2776</v>
      </c>
      <c r="BF97">
        <v>2</v>
      </c>
      <c r="BG97" t="s">
        <v>2776</v>
      </c>
      <c r="BH97">
        <v>2</v>
      </c>
      <c r="BI97" t="s">
        <v>2768</v>
      </c>
      <c r="BJ97">
        <v>2</v>
      </c>
      <c r="BK97" t="s">
        <v>3026</v>
      </c>
      <c r="BL97">
        <v>2</v>
      </c>
      <c r="BM97" s="176" t="s">
        <v>2776</v>
      </c>
      <c r="BN97">
        <v>2</v>
      </c>
      <c r="BO97" t="str">
        <f>IF(秋,"云栖松","泉凝月")</f>
        <v>泉凝月</v>
      </c>
      <c r="BP97">
        <v>2</v>
      </c>
      <c r="BQ97" t="s">
        <v>2776</v>
      </c>
      <c r="BR97">
        <v>1</v>
      </c>
      <c r="BS97" s="176" t="s">
        <v>2768</v>
      </c>
      <c r="BT97">
        <v>2</v>
      </c>
      <c r="BU97" t="s">
        <v>2808</v>
      </c>
      <c r="BV97">
        <v>2</v>
      </c>
      <c r="BW97" s="179" t="s">
        <v>2768</v>
      </c>
      <c r="BX97" s="179">
        <v>2</v>
      </c>
      <c r="BY97" s="176" t="s">
        <v>2776</v>
      </c>
      <c r="BZ97">
        <v>2</v>
      </c>
      <c r="CA97" t="s">
        <v>2768</v>
      </c>
      <c r="CB97">
        <v>2</v>
      </c>
    </row>
    <row r="98" spans="1:80">
      <c r="A98" s="178">
        <f ca="1">IFERROR(IF(A97+加速!$L$11&lt;$AS$1,IF(COUNTIF(B97,"*轻*")&gt;0,A97+加速!$L$9,A97+加速!$L$11)+V97,IF(COUNTIF(INDEX(AU98:CB98,1,$AT$1),"*云景*")+COUNTIF(INDEX(AU98:CB98,1,$AT$1),"*鹤归*")+COUNTIF(INDEX(AU98:CB98,1,$AT$1),"*听雷*")&gt;0,A97+加速!$L$11,"")),"")</f>
        <v>124.59</v>
      </c>
      <c r="B98" s="167" t="str">
        <f ca="1">IF(A98&lt;&gt;"",IF(AND(A98+加速!$L$11&gt;$AS$1,IF(AND(配装计算器!$K$30&lt;&gt;"∞",0),"梦泉虎跑-轻",INDEX(AU98:CB98,1,$AT$1))="云栖松"),"夕照雷峰",IF(AND(配装计算器!$K$30&lt;&gt;"∞",0),"梦泉虎跑-轻",INDEX(AU98:CB98,1,$AT$1))),"")</f>
        <v>夕照雷峰</v>
      </c>
      <c r="C98">
        <f ca="1" t="shared" si="17"/>
        <v>15</v>
      </c>
      <c r="D98">
        <f ca="1">IF(B98&lt;&gt;"",IF(C97&lt;=加速!$L$11*(1-E98),0,1),"")</f>
        <v>1</v>
      </c>
      <c r="E98">
        <f ca="1" t="shared" si="13"/>
        <v>0</v>
      </c>
      <c r="G98">
        <f ca="1" t="shared" si="14"/>
        <v>0</v>
      </c>
      <c r="H98">
        <f ca="1">IF(B98&lt;&gt;"",IF(AND(COUNTIF(B97,"*轻*莺鸣柳*")&gt;0,COUNTIF(B98,"*轻*")&lt;1),MAX(0,15+I97-(A98-A97)+COUNTIF(B97,"*平湖*")*0),IF(AND(E98=0,MAX(0,H97-(A98-A97))&lt;=加速!$H$11),0,MAX(0,H97-(A98-A97)))),"")</f>
        <v>0</v>
      </c>
      <c r="I98">
        <f ca="1" t="shared" si="20"/>
        <v>0</v>
      </c>
      <c r="J98">
        <f ca="1" t="shared" si="21"/>
        <v>0</v>
      </c>
      <c r="K98">
        <f ca="1">IF(A98&lt;&gt;"",IF(AND(配装计算器!$K$30&lt;&gt;"∞",0),2,INDEX(AU98:CB98,1,$AT$2)),"")</f>
        <v>1</v>
      </c>
      <c r="L98">
        <f ca="1">IFERROR(IF(AND(COUNTIF(B98,"*-峰插*"),技能数据库!$M$72&gt;0),0,IF(COUNTIF(B98,"*鹤归*")&gt;0,16-加速!$L$11,MAX(0,L97-(A98-A97)))),0)</f>
        <v>3.09999999999994</v>
      </c>
      <c r="M98">
        <f ca="1">IF(COUNTIF(IF(AND(配装计算器!$K$30&lt;&gt;"∞",0),INDEX(AU97:CB97,1,$AT$1),INDEX(AU99:CB99,1,$AT$1)),"*鹤归*")=1,L98,0)</f>
        <v>0</v>
      </c>
      <c r="N98">
        <f ca="1">IFERROR(IF(AND(COUNTIF(B98,"*-峰插*"),技能数据库!$M$72&gt;0),0,IF(COUNTIF(B98,"*云飞*")&gt;0,4-COUNTIF(B98,"*玉山揽云*")*4--COUNTIF(B98,"*烟流暮景*")*4-COUNTIF(B98,"*云景*")*加速!$L$11-IF(J98&gt;0,2,0),MAX(0,N97-(A98-A97)-IF(J98&gt;0,2,0)))),0)</f>
        <v>1.41999999999999</v>
      </c>
      <c r="O98">
        <f ca="1">IF(AND(COUNTIF(IF(AND(配装计算器!$K$30&lt;&gt;"∞",0),INDEX(AU97:CB97,1,$AT$1),INDEX(AU99:CB99,1,$AT$1)),"*云飞*")=1,COUNTIF(IF(AND(配装计算器!$K$30&lt;&gt;"∞",0),INDEX(AU97:CB97,1,$AT$1),INDEX(AU99:CB99,1,$AT$1)),"*玉山*")=0),N98,0)</f>
        <v>0</v>
      </c>
      <c r="P98">
        <f ca="1">IFERROR(IF(COUNTIF(B98,"*云栖松*")&gt;0,50-加速!$L$11,MAX(0,P97-(A98-A97))),0)</f>
        <v>0</v>
      </c>
      <c r="Q98">
        <f ca="1">IF(COUNTIF(IF(AND(配装计算器!$K$30&lt;&gt;"∞",0),INDEX(AU97:CB97,1,$AT$1),INDEX(AU99:CB99,1,$AT$1)),"*云栖松*")=1,P98,0)</f>
        <v>0</v>
      </c>
      <c r="R98">
        <f ca="1">IFERROR(IF(COUNTIF(B98,"*莺鸣柳*")&gt;0,45-加速!$L$9,MAX(0,R97-(A98-A97))),0)</f>
        <v>0</v>
      </c>
      <c r="S98">
        <f ca="1">IF(COUNTIF(IF(AND(配装计算器!$K$30&lt;&gt;"∞",0),INDEX(AU97:CB97,1,$AT$1),INDEX(AU99:CB99,1,$AT$1)),"*莺鸣柳*")=1,R98,0)</f>
        <v>0</v>
      </c>
      <c r="T98">
        <f ca="1" t="shared" si="18"/>
        <v>0</v>
      </c>
      <c r="U98">
        <f ca="1">IF(金蛇,IF(COUNTIF(B98,"*金环戴*")+COUNTIF(B98,"*吹风醒*")&gt;0,IF(A98&lt;=3,7.125-2.625-A98-加速!$L$11,A98-T98),0),0)+IF(金蛇,IF(COUNTIF(B98,"*千切子裂光*")&gt;0,2+加速!$K$9-(A98+加速!$L$11-T98),0),0)</f>
        <v>0</v>
      </c>
      <c r="V98">
        <f ca="1" t="shared" si="19"/>
        <v>0</v>
      </c>
      <c r="W98">
        <f ca="1" t="shared" si="11"/>
        <v>0</v>
      </c>
      <c r="X98">
        <f ca="1">INDEX(加速!$I$13:$I$21,技能数计算!W98+1)</f>
        <v>0</v>
      </c>
      <c r="Y98">
        <f ca="1" t="shared" si="15"/>
        <v>0.5</v>
      </c>
      <c r="Z98">
        <f ca="1" t="shared" si="16"/>
        <v>0</v>
      </c>
      <c r="AA98">
        <f ca="1">MAX(0,IFERROR(IF(COUNTIF(B98,"*叠*")&gt;0,IF(AC97&lt;3,8-A99+A98,AA97+6.875-A99+A98),AA97-A99+A98),AA97-加速!$L$11))</f>
        <v>0</v>
      </c>
      <c r="AB98">
        <f ca="1">MAX(0,IF(COUNTIF(IF(AND(配装计算器!$K$30&lt;&gt;"∞",0),INDEX(AU98:CB98,1,$AT$1),INDEX(AU98:CB98,1,$AT$1)),"*叠1*")=1,4*25-加速!$L$11,AB97-A98+A97)-IF(OR(COUNTIF(OFFSET(AT98,0,$AT$1,1,1),"*听雷*")&gt;0,AND(碧归&gt;0,COUNTIF(OFFSET(AT98,0,$AT$1,1,1),"*风来*")&gt;0)),0,1)*1.5)</f>
        <v>45.6999999999999</v>
      </c>
      <c r="AC98">
        <f ca="1" t="shared" si="12"/>
        <v>0</v>
      </c>
      <c r="AD98">
        <f ca="1">IF(COUNTIF(IF(AND(配装计算器!$K$30&lt;&gt;"∞",0),INDEX(AU98:CB98,1,$AT$1),INDEX(AU99:CB99,1,$AT$1)),"*叠1*")=1,AB98*0+AE97,0)</f>
        <v>0</v>
      </c>
      <c r="AE98">
        <f ca="1">IF($AN$11&gt;0,IF(COUNTIF(B99,"*叠1*")&gt;0,50-加速!$H$11,MAX(0,AE97-(A99-A98))),0)</f>
        <v>22.9499999999999</v>
      </c>
      <c r="AH98" t="s">
        <v>1825</v>
      </c>
      <c r="AI98" t="s">
        <v>2786</v>
      </c>
      <c r="AJ98">
        <f ca="1">AJ95+AJ100</f>
        <v>0</v>
      </c>
      <c r="AK98" t="s">
        <v>2948</v>
      </c>
      <c r="AU98" s="176" t="s">
        <v>2768</v>
      </c>
      <c r="AV98">
        <v>2</v>
      </c>
      <c r="AW98" t="s">
        <v>2776</v>
      </c>
      <c r="AX98">
        <v>2</v>
      </c>
      <c r="AY98" t="s">
        <v>2776</v>
      </c>
      <c r="AZ98">
        <v>2</v>
      </c>
      <c r="BA98" t="s">
        <v>2776</v>
      </c>
      <c r="BB98">
        <v>2</v>
      </c>
      <c r="BC98" t="s">
        <v>2768</v>
      </c>
      <c r="BD98">
        <v>1</v>
      </c>
      <c r="BE98" t="s">
        <v>2768</v>
      </c>
      <c r="BF98">
        <v>2</v>
      </c>
      <c r="BG98" t="s">
        <v>2768</v>
      </c>
      <c r="BH98">
        <v>2</v>
      </c>
      <c r="BI98" s="176" t="s">
        <v>2768</v>
      </c>
      <c r="BJ98">
        <v>1</v>
      </c>
      <c r="BK98" s="176" t="s">
        <v>3026</v>
      </c>
      <c r="BL98">
        <v>2</v>
      </c>
      <c r="BM98" s="176" t="str">
        <f>IF(0,"云飞玉皇-玉山揽云","夕照雷峰")</f>
        <v>夕照雷峰</v>
      </c>
      <c r="BN98">
        <v>2</v>
      </c>
      <c r="BO98" t="s">
        <v>2768</v>
      </c>
      <c r="BP98">
        <v>2</v>
      </c>
      <c r="BQ98" t="s">
        <v>3055</v>
      </c>
      <c r="BR98">
        <v>2</v>
      </c>
      <c r="BS98" s="176" t="s">
        <v>2794</v>
      </c>
      <c r="BT98">
        <v>2</v>
      </c>
      <c r="BU98" t="s">
        <v>2768</v>
      </c>
      <c r="BV98">
        <v>2</v>
      </c>
      <c r="BW98" s="179" t="s">
        <v>1886</v>
      </c>
      <c r="BX98" s="179">
        <v>2</v>
      </c>
      <c r="BY98" s="176" t="str">
        <f>IF(0,"云飞玉皇-玉山揽云","夕照雷峰")</f>
        <v>夕照雷峰</v>
      </c>
      <c r="BZ98">
        <v>2</v>
      </c>
      <c r="CA98" t="s">
        <v>1886</v>
      </c>
      <c r="CB98">
        <v>2</v>
      </c>
    </row>
    <row r="99" spans="1:80">
      <c r="A99" s="178">
        <f ca="1">IFERROR(IF(A98+加速!$L$11&lt;$AS$1,IF(COUNTIF(B98,"*轻*")&gt;0,A98+加速!$L$9,A98+加速!$L$11)+V98,IF(COUNTIF(INDEX(AU99:CB99,1,$AT$1),"*云景*")+COUNTIF(INDEX(AU99:CB99,1,$AT$1),"*鹤归*")+COUNTIF(INDEX(AU99:CB99,1,$AT$1),"*听雷*")&gt;0,A98+加速!$L$11,"")),"")</f>
        <v>125.88</v>
      </c>
      <c r="B99" s="167" t="str">
        <f ca="1">IF(A99&lt;&gt;"",IF(AND(A99+加速!$L$11&gt;$AS$1,IF(AND(配装计算器!$K$30&lt;&gt;"∞",0),"梦泉虎跑-轻",INDEX(AU99:CB99,1,$AT$1))="云栖松"),"夕照雷峰",IF(AND(配装计算器!$K$30&lt;&gt;"∞",0),"梦泉虎跑-轻",INDEX(AU99:CB99,1,$AT$1))),"")</f>
        <v>夕照雷峰</v>
      </c>
      <c r="C99">
        <f ca="1" t="shared" si="17"/>
        <v>15</v>
      </c>
      <c r="D99">
        <f ca="1">IF(B99&lt;&gt;"",IF(C98&lt;=加速!$L$11*(1-E99),0,1),"")</f>
        <v>1</v>
      </c>
      <c r="E99">
        <f ca="1" t="shared" si="13"/>
        <v>0</v>
      </c>
      <c r="G99">
        <f ca="1" t="shared" si="14"/>
        <v>0</v>
      </c>
      <c r="H99">
        <f ca="1">IF(B99&lt;&gt;"",IF(AND(COUNTIF(B98,"*轻*莺鸣柳*")&gt;0,COUNTIF(B99,"*轻*")&lt;1),MAX(0,15+I98-(A99-A98)+COUNTIF(B98,"*平湖*")*0),IF(AND(E99=0,MAX(0,H98-(A99-A98))&lt;=加速!$H$11),0,MAX(0,H98-(A99-A98)))),"")</f>
        <v>0</v>
      </c>
      <c r="I99">
        <f ca="1" t="shared" si="20"/>
        <v>0</v>
      </c>
      <c r="J99">
        <f ca="1" t="shared" si="21"/>
        <v>0</v>
      </c>
      <c r="K99">
        <f ca="1">IF(A99&lt;&gt;"",IF(AND(配装计算器!$K$30&lt;&gt;"∞",0),2,INDEX(AU99:CB99,1,$AT$2)),"")</f>
        <v>1</v>
      </c>
      <c r="L99">
        <f ca="1">IFERROR(IF(AND(COUNTIF(B99,"*-峰插*"),技能数据库!$M$72&gt;0),0,IF(COUNTIF(B99,"*鹤归*")&gt;0,16-加速!$L$11,MAX(0,L98-(A99-A98)))),0)</f>
        <v>1.80999999999994</v>
      </c>
      <c r="M99">
        <f ca="1">IF(COUNTIF(IF(AND(配装计算器!$K$30&lt;&gt;"∞",0),INDEX(AU98:CB98,1,$AT$1),INDEX(AU100:CB100,1,$AT$1)),"*鹤归*")=1,L99,0)</f>
        <v>0</v>
      </c>
      <c r="N99">
        <f ca="1">IFERROR(IF(AND(COUNTIF(B99,"*-峰插*"),技能数据库!$M$72&gt;0),0,IF(COUNTIF(B99,"*云飞*")&gt;0,4-COUNTIF(B99,"*玉山揽云*")*4--COUNTIF(B99,"*烟流暮景*")*4-COUNTIF(B99,"*云景*")*加速!$L$11-IF(J99&gt;0,2,0),MAX(0,N98-(A99-A98)-IF(J99&gt;0,2,0)))),0)</f>
        <v>0.129999999999981</v>
      </c>
      <c r="O99">
        <f ca="1">IF(AND(COUNTIF(IF(AND(配装计算器!$K$30&lt;&gt;"∞",0),INDEX(AU98:CB98,1,$AT$1),INDEX(AU100:CB100,1,$AT$1)),"*云飞*")=1,COUNTIF(IF(AND(配装计算器!$K$30&lt;&gt;"∞",0),INDEX(AU98:CB98,1,$AT$1),INDEX(AU100:CB100,1,$AT$1)),"*玉山*")=0),N99,0)</f>
        <v>0.129999999999981</v>
      </c>
      <c r="P99">
        <f ca="1">IFERROR(IF(COUNTIF(B99,"*云栖松*")&gt;0,50-加速!$L$11,MAX(0,P98-(A99-A98))),0)</f>
        <v>0</v>
      </c>
      <c r="Q99">
        <f ca="1">IF(COUNTIF(IF(AND(配装计算器!$K$30&lt;&gt;"∞",0),INDEX(AU98:CB98,1,$AT$1),INDEX(AU100:CB100,1,$AT$1)),"*云栖松*")=1,P99,0)</f>
        <v>0</v>
      </c>
      <c r="R99">
        <f ca="1">IFERROR(IF(COUNTIF(B99,"*莺鸣柳*")&gt;0,45-加速!$L$9,MAX(0,R98-(A99-A98))),0)</f>
        <v>0</v>
      </c>
      <c r="S99">
        <f ca="1">IF(COUNTIF(IF(AND(配装计算器!$K$30&lt;&gt;"∞",0),INDEX(AU98:CB98,1,$AT$1),INDEX(AU100:CB100,1,$AT$1)),"*莺鸣柳*")=1,R99,0)</f>
        <v>0</v>
      </c>
      <c r="T99">
        <f ca="1" t="shared" si="18"/>
        <v>0</v>
      </c>
      <c r="U99">
        <f ca="1">IF(金蛇,IF(COUNTIF(B99,"*金环戴*")+COUNTIF(B99,"*吹风醒*")&gt;0,IF(A99&lt;=3,7.125-2.625-A99-加速!$L$11,A99-T99),0),0)+IF(金蛇,IF(COUNTIF(B99,"*千切子裂光*")&gt;0,2+加速!$K$9-(A99+加速!$L$11-T99),0),0)</f>
        <v>0</v>
      </c>
      <c r="V99">
        <f ca="1" t="shared" si="19"/>
        <v>0.129999999999981</v>
      </c>
      <c r="W99">
        <f ca="1" t="shared" si="11"/>
        <v>0</v>
      </c>
      <c r="X99">
        <f ca="1">INDEX(加速!$I$13:$I$21,技能数计算!W99+1)</f>
        <v>0</v>
      </c>
      <c r="Y99">
        <f ca="1" t="shared" si="15"/>
        <v>0.5</v>
      </c>
      <c r="Z99">
        <f ca="1" t="shared" si="16"/>
        <v>0</v>
      </c>
      <c r="AA99">
        <f ca="1">MAX(0,IFERROR(IF(COUNTIF(B99,"*叠*")&gt;0,IF(AC98&lt;3,8-A100+A99,AA98+6.875-A100+A99),AA98-A100+A99),AA98-加速!$L$11))</f>
        <v>0</v>
      </c>
      <c r="AB99">
        <f ca="1">MAX(0,IF(COUNTIF(IF(AND(配装计算器!$K$30&lt;&gt;"∞",0),INDEX(AU99:CB99,1,$AT$1),INDEX(AU99:CB99,1,$AT$1)),"*叠1*")=1,4*25-加速!$L$11,AB98-A99+A98)-IF(OR(COUNTIF(OFFSET(AT99,0,$AT$1,1,1),"*听雷*")&gt;0,AND(碧归&gt;0,COUNTIF(OFFSET(AT99,0,$AT$1,1,1),"*风来*")&gt;0)),0,1)*1.5)</f>
        <v>42.9099999999999</v>
      </c>
      <c r="AC99">
        <f ca="1" t="shared" si="12"/>
        <v>0</v>
      </c>
      <c r="AD99">
        <f ca="1">IF(COUNTIF(IF(AND(配装计算器!$K$30&lt;&gt;"∞",0),INDEX(AU99:CB99,1,$AT$1),INDEX(AU100:CB100,1,$AT$1)),"*叠1*")=1,AB99*0+AE98,0)</f>
        <v>0</v>
      </c>
      <c r="AE99">
        <f ca="1">IF($AN$11&gt;0,IF(COUNTIF(B100,"*叠1*")&gt;0,50-加速!$H$11,MAX(0,AE98-(A100-A99))),0)</f>
        <v>21.5299999999999</v>
      </c>
      <c r="AH99" t="s">
        <v>1825</v>
      </c>
      <c r="AI99" t="s">
        <v>2718</v>
      </c>
      <c r="AJ99">
        <f ca="1">循环比*COUNTIFS($B$3:$B$515,"*"&amp;AI99&amp;"*",$D$3:$D$515,"&gt;0",$H$3:$H$515,"=0",$G$3:$G$515,"=0",$K$3:$K$515,"&gt;=0",$AC$3:$AC$515,"=0")</f>
        <v>0</v>
      </c>
      <c r="AK99" t="s">
        <v>2750</v>
      </c>
      <c r="AU99" s="176" t="s">
        <v>2776</v>
      </c>
      <c r="AV99">
        <v>2</v>
      </c>
      <c r="AW99" t="s">
        <v>2768</v>
      </c>
      <c r="AX99">
        <v>2</v>
      </c>
      <c r="AY99" t="s">
        <v>2768</v>
      </c>
      <c r="AZ99">
        <v>2</v>
      </c>
      <c r="BA99" t="s">
        <v>2768</v>
      </c>
      <c r="BB99">
        <v>2</v>
      </c>
      <c r="BC99" t="s">
        <v>2794</v>
      </c>
      <c r="BD99">
        <v>2</v>
      </c>
      <c r="BE99" t="s">
        <v>2776</v>
      </c>
      <c r="BF99">
        <v>1</v>
      </c>
      <c r="BG99" t="s">
        <v>2776</v>
      </c>
      <c r="BH99">
        <v>2</v>
      </c>
      <c r="BI99" s="176" t="s">
        <v>2768</v>
      </c>
      <c r="BJ99">
        <v>1</v>
      </c>
      <c r="BK99" s="176" t="s">
        <v>2776</v>
      </c>
      <c r="BL99">
        <v>2</v>
      </c>
      <c r="BM99" t="str">
        <f>IF(0,"云飞玉皇-玉山揽云","云飞玉皇")</f>
        <v>云飞玉皇</v>
      </c>
      <c r="BN99">
        <v>2</v>
      </c>
      <c r="BO99" t="s">
        <v>1886</v>
      </c>
      <c r="BP99">
        <v>2</v>
      </c>
      <c r="BQ99" t="s">
        <v>2768</v>
      </c>
      <c r="BR99">
        <v>2</v>
      </c>
      <c r="BS99" t="s">
        <v>2768</v>
      </c>
      <c r="BT99">
        <v>2</v>
      </c>
      <c r="BU99" s="176" t="s">
        <v>2768</v>
      </c>
      <c r="BV99">
        <v>2</v>
      </c>
      <c r="BW99" s="179" t="s">
        <v>2853</v>
      </c>
      <c r="BX99" s="179">
        <v>2</v>
      </c>
      <c r="BY99" t="str">
        <f>IF(0,"云飞玉皇-玉山揽云","云飞玉皇")</f>
        <v>云飞玉皇</v>
      </c>
      <c r="BZ99">
        <v>2</v>
      </c>
      <c r="CA99" t="s">
        <v>2853</v>
      </c>
      <c r="CB99">
        <v>2</v>
      </c>
    </row>
    <row r="100" spans="1:80">
      <c r="A100" s="178">
        <f ca="1">IFERROR(IF(A99+加速!$L$11&lt;$AS$1,IF(COUNTIF(B99,"*轻*")&gt;0,A99+加速!$L$9,A99+加速!$L$11)+V99,IF(COUNTIF(INDEX(AU100:CB100,1,$AT$1),"*云景*")+COUNTIF(INDEX(AU100:CB100,1,$AT$1),"*鹤归*")+COUNTIF(INDEX(AU100:CB100,1,$AT$1),"*听雷*")&gt;0,A99+加速!$L$11,"")),"")</f>
        <v>127.3</v>
      </c>
      <c r="B100" s="167" t="str">
        <f ca="1">IF(A100&lt;&gt;"",IF(AND(A100+加速!$L$11&gt;$AS$1,IF(AND(配装计算器!$K$30&lt;&gt;"∞",0),"梦泉虎跑-轻",INDEX(AU100:CB100,1,$AT$1))="云栖松"),"夕照雷峰",IF(AND(配装计算器!$K$30&lt;&gt;"∞",0),"梦泉虎跑-轻",INDEX(AU100:CB100,1,$AT$1))),"")</f>
        <v>云飞玉皇</v>
      </c>
      <c r="C100">
        <f ca="1" t="shared" si="17"/>
        <v>13.58</v>
      </c>
      <c r="D100">
        <f ca="1">IF(B100&lt;&gt;"",IF(C99&lt;=加速!$L$11*(1-E100),0,1),"")</f>
        <v>1</v>
      </c>
      <c r="E100">
        <f ca="1" t="shared" si="13"/>
        <v>0</v>
      </c>
      <c r="G100">
        <f ca="1" t="shared" si="14"/>
        <v>0</v>
      </c>
      <c r="H100">
        <f ca="1">IF(B100&lt;&gt;"",IF(AND(COUNTIF(B99,"*轻*莺鸣柳*")&gt;0,COUNTIF(B100,"*轻*")&lt;1),MAX(0,15+I99-(A100-A99)+COUNTIF(B99,"*平湖*")*0),IF(AND(E100=0,MAX(0,H99-(A100-A99))&lt;=加速!$H$11),0,MAX(0,H99-(A100-A99)))),"")</f>
        <v>0</v>
      </c>
      <c r="I100">
        <f ca="1" t="shared" si="20"/>
        <v>0</v>
      </c>
      <c r="J100">
        <f ca="1" t="shared" si="21"/>
        <v>0</v>
      </c>
      <c r="K100">
        <f ca="1">IF(A100&lt;&gt;"",IF(AND(配装计算器!$K$30&lt;&gt;"∞",0),2,INDEX(AU100:CB100,1,$AT$2)),"")</f>
        <v>0</v>
      </c>
      <c r="L100">
        <f ca="1">IFERROR(IF(AND(COUNTIF(B100,"*-峰插*"),技能数据库!$M$72&gt;0),0,IF(COUNTIF(B100,"*鹤归*")&gt;0,16-加速!$L$11,MAX(0,L99-(A100-A99)))),0)</f>
        <v>0.389999999999951</v>
      </c>
      <c r="M100">
        <f ca="1">IF(COUNTIF(IF(AND(配装计算器!$K$30&lt;&gt;"∞",0),INDEX(AU99:CB99,1,$AT$1),INDEX(AU101:CB101,1,$AT$1)),"*鹤归*")=1,L100,0)</f>
        <v>0.389999999999951</v>
      </c>
      <c r="N100">
        <f ca="1">IFERROR(IF(AND(COUNTIF(B100,"*-峰插*"),技能数据库!$M$72&gt;0),0,IF(COUNTIF(B100,"*云飞*")&gt;0,4-COUNTIF(B100,"*玉山揽云*")*4--COUNTIF(B100,"*烟流暮景*")*4-COUNTIF(B100,"*云景*")*加速!$L$11-IF(J100&gt;0,2,0),MAX(0,N99-(A100-A99)-IF(J100&gt;0,2,0)))),0)</f>
        <v>4</v>
      </c>
      <c r="O100">
        <f ca="1">IF(AND(COUNTIF(IF(AND(配装计算器!$K$30&lt;&gt;"∞",0),INDEX(AU99:CB99,1,$AT$1),INDEX(AU101:CB101,1,$AT$1)),"*云飞*")=1,COUNTIF(IF(AND(配装计算器!$K$30&lt;&gt;"∞",0),INDEX(AU99:CB99,1,$AT$1),INDEX(AU101:CB101,1,$AT$1)),"*玉山*")=0),N100,0)</f>
        <v>0</v>
      </c>
      <c r="P100">
        <f ca="1">IFERROR(IF(COUNTIF(B100,"*云栖松*")&gt;0,50-加速!$L$11,MAX(0,P99-(A100-A99))),0)</f>
        <v>0</v>
      </c>
      <c r="Q100">
        <f ca="1">IF(COUNTIF(IF(AND(配装计算器!$K$30&lt;&gt;"∞",0),INDEX(AU99:CB99,1,$AT$1),INDEX(AU101:CB101,1,$AT$1)),"*云栖松*")=1,P100,0)</f>
        <v>0</v>
      </c>
      <c r="R100">
        <f ca="1">IFERROR(IF(COUNTIF(B100,"*莺鸣柳*")&gt;0,45-加速!$L$9,MAX(0,R99-(A100-A99))),0)</f>
        <v>0</v>
      </c>
      <c r="S100">
        <f ca="1">IF(COUNTIF(IF(AND(配装计算器!$K$30&lt;&gt;"∞",0),INDEX(AU99:CB99,1,$AT$1),INDEX(AU101:CB101,1,$AT$1)),"*莺鸣柳*")=1,R100,0)</f>
        <v>0</v>
      </c>
      <c r="T100">
        <f ca="1" t="shared" si="18"/>
        <v>0</v>
      </c>
      <c r="U100">
        <f ca="1">IF(金蛇,IF(COUNTIF(B100,"*金环戴*")+COUNTIF(B100,"*吹风醒*")&gt;0,IF(A100&lt;=3,7.125-2.625-A100-加速!$L$11,A100-T100),0),0)+IF(金蛇,IF(COUNTIF(B100,"*千切子裂光*")&gt;0,2+加速!$K$9-(A100+加速!$L$11-T100),0),0)</f>
        <v>0</v>
      </c>
      <c r="V100">
        <f ca="1" t="shared" si="19"/>
        <v>0.389999999999951</v>
      </c>
      <c r="W100">
        <f ca="1" t="shared" si="11"/>
        <v>0</v>
      </c>
      <c r="X100">
        <f ca="1">INDEX(加速!$I$13:$I$21,技能数计算!W100+1)</f>
        <v>0</v>
      </c>
      <c r="Y100">
        <f ca="1" t="shared" si="15"/>
        <v>0.5</v>
      </c>
      <c r="Z100">
        <f ca="1" t="shared" si="16"/>
        <v>0</v>
      </c>
      <c r="AA100">
        <f ca="1">MAX(0,IFERROR(IF(COUNTIF(B100,"*叠*")&gt;0,IF(AC99&lt;3,8-A101+A100,AA99+6.875-A101+A100),AA99-A101+A100),AA99-加速!$L$11))</f>
        <v>0</v>
      </c>
      <c r="AB100">
        <f ca="1">MAX(0,IF(COUNTIF(IF(AND(配装计算器!$K$30&lt;&gt;"∞",0),INDEX(AU100:CB100,1,$AT$1),INDEX(AU100:CB100,1,$AT$1)),"*叠1*")=1,4*25-加速!$L$11,AB99-A100+A99)-IF(OR(COUNTIF(OFFSET(AT100,0,$AT$1,1,1),"*听雷*")&gt;0,AND(碧归&gt;0,COUNTIF(OFFSET(AT100,0,$AT$1,1,1),"*风来*")&gt;0)),0,1)*1.5)</f>
        <v>39.9899999999999</v>
      </c>
      <c r="AC100">
        <f ca="1" t="shared" si="12"/>
        <v>0</v>
      </c>
      <c r="AD100">
        <f ca="1">IF(COUNTIF(IF(AND(配装计算器!$K$30&lt;&gt;"∞",0),INDEX(AU100:CB100,1,$AT$1),INDEX(AU101:CB101,1,$AT$1)),"*叠1*")=1,AB100*0+AE99,0)</f>
        <v>0</v>
      </c>
      <c r="AE100">
        <f ca="1">IF($AN$11&gt;0,IF(COUNTIF(B101,"*叠1*")&gt;0,50-加速!$H$11,MAX(0,AE99-(A101-A100))),0)</f>
        <v>19.8499999999999</v>
      </c>
      <c r="AH100" t="s">
        <v>1825</v>
      </c>
      <c r="AI100" t="s">
        <v>2776</v>
      </c>
      <c r="AJ100">
        <f ca="1">循环比*COUNTIFS($B$3:$B$515,AI100&amp;"*",$D$3:$D$515,"=0",$H$3:$H$515,"&gt;0",$G$3:$G$515,"&gt;0",$K$3:$K$515,"=2")</f>
        <v>0</v>
      </c>
      <c r="AK100" t="s">
        <v>3102</v>
      </c>
      <c r="AU100" s="176" t="s">
        <v>2768</v>
      </c>
      <c r="AV100">
        <v>2</v>
      </c>
      <c r="AW100" t="s">
        <v>2768</v>
      </c>
      <c r="AX100">
        <v>2</v>
      </c>
      <c r="AY100" t="s">
        <v>2776</v>
      </c>
      <c r="AZ100">
        <v>1</v>
      </c>
      <c r="BA100" t="s">
        <v>2776</v>
      </c>
      <c r="BB100">
        <v>1</v>
      </c>
      <c r="BC100" t="s">
        <v>2768</v>
      </c>
      <c r="BD100">
        <v>2</v>
      </c>
      <c r="BE100" t="s">
        <v>2768</v>
      </c>
      <c r="BF100">
        <v>1</v>
      </c>
      <c r="BG100" t="s">
        <v>2768</v>
      </c>
      <c r="BH100">
        <v>1</v>
      </c>
      <c r="BI100" s="176" t="s">
        <v>2776</v>
      </c>
      <c r="BJ100">
        <v>0</v>
      </c>
      <c r="BK100" s="176" t="s">
        <v>2794</v>
      </c>
      <c r="BL100">
        <v>2</v>
      </c>
      <c r="BM100" t="str">
        <f>IF(秋,"云栖松","泉凝月")</f>
        <v>泉凝月</v>
      </c>
      <c r="BN100">
        <v>2</v>
      </c>
      <c r="BO100" t="s">
        <v>2853</v>
      </c>
      <c r="BP100">
        <v>2</v>
      </c>
      <c r="BQ100" t="s">
        <v>2776</v>
      </c>
      <c r="BR100">
        <v>2</v>
      </c>
      <c r="BS100" t="s">
        <v>2776</v>
      </c>
      <c r="BT100">
        <v>2</v>
      </c>
      <c r="BU100" s="176" t="s">
        <v>2776</v>
      </c>
      <c r="BV100">
        <v>2</v>
      </c>
      <c r="BW100" s="182" t="s">
        <v>2850</v>
      </c>
      <c r="BX100" s="179">
        <v>2</v>
      </c>
      <c r="BY100" t="str">
        <f>IF(秋,"云栖松","泉凝月")</f>
        <v>泉凝月</v>
      </c>
      <c r="BZ100">
        <v>2</v>
      </c>
      <c r="CA100" s="176" t="s">
        <v>2850</v>
      </c>
      <c r="CB100">
        <f>IF(0,2,0)</f>
        <v>0</v>
      </c>
    </row>
    <row r="101" spans="1:80">
      <c r="A101" s="178">
        <f ca="1">IFERROR(IF(A100+加速!$L$11&lt;$AS$1,IF(COUNTIF(B100,"*轻*")&gt;0,A100+加速!$L$9,A100+加速!$L$11)+V100,IF(COUNTIF(INDEX(AU101:CB101,1,$AT$1),"*云景*")+COUNTIF(INDEX(AU101:CB101,1,$AT$1),"*鹤归*")+COUNTIF(INDEX(AU101:CB101,1,$AT$1),"*听雷*")&gt;0,A100+加速!$L$11,"")),"")</f>
        <v>128.98</v>
      </c>
      <c r="B101" s="167" t="str">
        <f ca="1">IF(A101&lt;&gt;"",IF(AND(A101+加速!$L$11&gt;$AS$1,IF(AND(配装计算器!$K$30&lt;&gt;"∞",0),"梦泉虎跑-轻",INDEX(AU101:CB101,1,$AT$1))="云栖松"),"夕照雷峰",IF(AND(配装计算器!$K$30&lt;&gt;"∞",0),"梦泉虎跑-轻",INDEX(AU101:CB101,1,$AT$1))),"")</f>
        <v>鹤归孤山</v>
      </c>
      <c r="C101">
        <f ca="1" t="shared" si="17"/>
        <v>11.9000000000001</v>
      </c>
      <c r="D101">
        <f ca="1">IF(B101&lt;&gt;"",IF(C100&lt;=加速!$L$11*(1-E101),0,1),"")</f>
        <v>1</v>
      </c>
      <c r="E101">
        <f ca="1" t="shared" si="13"/>
        <v>1</v>
      </c>
      <c r="G101">
        <f ca="1" t="shared" si="14"/>
        <v>0</v>
      </c>
      <c r="H101">
        <f ca="1">IF(B101&lt;&gt;"",IF(AND(COUNTIF(B100,"*轻*莺鸣柳*")&gt;0,COUNTIF(B101,"*轻*")&lt;1),MAX(0,15+I100-(A101-A100)+COUNTIF(B100,"*平湖*")*0),IF(AND(E101=0,MAX(0,H100-(A101-A100))&lt;=加速!$H$11),0,MAX(0,H100-(A101-A100)))),"")</f>
        <v>0</v>
      </c>
      <c r="I101">
        <f ca="1" t="shared" si="20"/>
        <v>0</v>
      </c>
      <c r="J101">
        <f ca="1" t="shared" si="21"/>
        <v>0</v>
      </c>
      <c r="K101">
        <f ca="1">IF(A101&lt;&gt;"",IF(AND(配装计算器!$K$30&lt;&gt;"∞",0),2,INDEX(AU101:CB101,1,$AT$2)),"")</f>
        <v>0</v>
      </c>
      <c r="L101">
        <f ca="1">IFERROR(IF(AND(COUNTIF(B101,"*-峰插*"),技能数据库!$M$72&gt;0),0,IF(COUNTIF(B101,"*鹤归*")&gt;0,16-加速!$L$11,MAX(0,L100-(A101-A100)))),0)</f>
        <v>14.71</v>
      </c>
      <c r="M101">
        <f ca="1">IF(COUNTIF(IF(AND(配装计算器!$K$30&lt;&gt;"∞",0),INDEX(AU100:CB100,1,$AT$1),INDEX(AU102:CB102,1,$AT$1)),"*鹤归*")=1,L101,0)</f>
        <v>0</v>
      </c>
      <c r="N101">
        <f ca="1">IFERROR(IF(AND(COUNTIF(B101,"*-峰插*"),技能数据库!$M$72&gt;0),0,IF(COUNTIF(B101,"*云飞*")&gt;0,4-COUNTIF(B101,"*玉山揽云*")*4--COUNTIF(B101,"*烟流暮景*")*4-COUNTIF(B101,"*云景*")*加速!$L$11-IF(J101&gt;0,2,0),MAX(0,N100-(A101-A100)-IF(J101&gt;0,2,0)))),0)</f>
        <v>2.32000000000005</v>
      </c>
      <c r="O101">
        <f ca="1">IF(AND(COUNTIF(IF(AND(配装计算器!$K$30&lt;&gt;"∞",0),INDEX(AU100:CB100,1,$AT$1),INDEX(AU102:CB102,1,$AT$1)),"*云飞*")=1,COUNTIF(IF(AND(配装计算器!$K$30&lt;&gt;"∞",0),INDEX(AU100:CB100,1,$AT$1),INDEX(AU102:CB102,1,$AT$1)),"*玉山*")=0),N101,0)</f>
        <v>0</v>
      </c>
      <c r="P101">
        <f ca="1">IFERROR(IF(COUNTIF(B101,"*云栖松*")&gt;0,50-加速!$L$11,MAX(0,P100-(A101-A100))),0)</f>
        <v>0</v>
      </c>
      <c r="Q101">
        <f ca="1">IF(COUNTIF(IF(AND(配装计算器!$K$30&lt;&gt;"∞",0),INDEX(AU100:CB100,1,$AT$1),INDEX(AU102:CB102,1,$AT$1)),"*云栖松*")=1,P101,0)</f>
        <v>0</v>
      </c>
      <c r="R101">
        <f ca="1">IFERROR(IF(COUNTIF(B101,"*莺鸣柳*")&gt;0,45-加速!$L$9,MAX(0,R100-(A101-A100))),0)</f>
        <v>0</v>
      </c>
      <c r="S101">
        <f ca="1">IF(COUNTIF(IF(AND(配装计算器!$K$30&lt;&gt;"∞",0),INDEX(AU100:CB100,1,$AT$1),INDEX(AU102:CB102,1,$AT$1)),"*莺鸣柳*")=1,R101,0)</f>
        <v>0</v>
      </c>
      <c r="T101">
        <f ca="1" t="shared" si="18"/>
        <v>0</v>
      </c>
      <c r="U101">
        <f ca="1">IF(金蛇,IF(COUNTIF(B101,"*金环戴*")+COUNTIF(B101,"*吹风醒*")&gt;0,IF(A101&lt;=3,7.125-2.625-A101-加速!$L$11,7.125+加速!$K$9-(A101+加速!$L$11-T101)),0),0)+IF(金蛇,IF(COUNTIF(B101,"*千切子裂光*")&gt;0,2+加速!$K$9-(A101+加速!$L$11-T101),0),0)</f>
        <v>0</v>
      </c>
      <c r="V101">
        <f ca="1" t="shared" si="19"/>
        <v>0</v>
      </c>
      <c r="W101">
        <f ca="1" t="shared" si="11"/>
        <v>0</v>
      </c>
      <c r="X101">
        <f ca="1">INDEX(加速!$I$13:$I$21,技能数计算!W101+1)</f>
        <v>0</v>
      </c>
      <c r="Y101">
        <f ca="1" t="shared" si="15"/>
        <v>0.5</v>
      </c>
      <c r="Z101">
        <f ca="1" t="shared" si="16"/>
        <v>0</v>
      </c>
      <c r="AA101">
        <f ca="1">MAX(0,IFERROR(IF(COUNTIF(B101,"*叠*")&gt;0,IF(AC100&lt;3,8-A102+A101,AA100+6.875-A102+A101),AA100-A102+A101),AA100-加速!$L$11))</f>
        <v>0</v>
      </c>
      <c r="AB101">
        <f ca="1">MAX(0,IF(COUNTIF(IF(AND(配装计算器!$K$30&lt;&gt;"∞",0),INDEX(AU101:CB101,1,$AT$1),INDEX(AU101:CB101,1,$AT$1)),"*叠1*")=1,4*25-加速!$L$11,AB100-A101+A100)-IF(OR(COUNTIF(OFFSET(AT101,0,$AT$1,1,1),"*听雷*")&gt;0,AND(碧归&gt;0,COUNTIF(OFFSET(AT101,0,$AT$1,1,1),"*风来*")&gt;0)),0,1)*1.5)</f>
        <v>36.8099999999999</v>
      </c>
      <c r="AC101">
        <f ca="1" t="shared" si="12"/>
        <v>0</v>
      </c>
      <c r="AD101">
        <f ca="1">IF(COUNTIF(IF(AND(配装计算器!$K$30&lt;&gt;"∞",0),INDEX(AU101:CB101,1,$AT$1),INDEX(AU102:CB102,1,$AT$1)),"*叠1*")=1,AB101*0+AE100,0)</f>
        <v>0</v>
      </c>
      <c r="AE101">
        <f ca="1">IF($AN$11&gt;0,IF(COUNTIF(B102,"*叠1*")&gt;0,50-加速!$H$11,MAX(0,AE100-(A102-A101))),0)</f>
        <v>18.5599999999999</v>
      </c>
      <c r="AH101" t="s">
        <v>1825</v>
      </c>
      <c r="AI101" t="s">
        <v>2780</v>
      </c>
      <c r="AJ101">
        <f ca="1">AJ100</f>
        <v>0</v>
      </c>
      <c r="AK101" t="s">
        <v>3102</v>
      </c>
      <c r="AU101" s="176" t="s">
        <v>2776</v>
      </c>
      <c r="AV101">
        <v>2</v>
      </c>
      <c r="AW101" t="s">
        <v>2768</v>
      </c>
      <c r="AX101">
        <v>2</v>
      </c>
      <c r="AY101" t="s">
        <v>2768</v>
      </c>
      <c r="AZ101">
        <v>1</v>
      </c>
      <c r="BA101" t="s">
        <v>2768</v>
      </c>
      <c r="BB101">
        <v>1</v>
      </c>
      <c r="BC101" t="s">
        <v>2776</v>
      </c>
      <c r="BD101">
        <v>2</v>
      </c>
      <c r="BE101" t="s">
        <v>2768</v>
      </c>
      <c r="BF101">
        <v>1</v>
      </c>
      <c r="BG101" t="s">
        <v>2776</v>
      </c>
      <c r="BH101">
        <v>1</v>
      </c>
      <c r="BI101" t="s">
        <v>2794</v>
      </c>
      <c r="BJ101">
        <v>0</v>
      </c>
      <c r="BK101" s="176" t="s">
        <v>2768</v>
      </c>
      <c r="BL101">
        <v>2</v>
      </c>
      <c r="BM101" t="s">
        <v>2768</v>
      </c>
      <c r="BN101">
        <v>2</v>
      </c>
      <c r="BO101" s="176" t="s">
        <v>2850</v>
      </c>
      <c r="BP101">
        <f>IF(0,2,0)</f>
        <v>0</v>
      </c>
      <c r="BQ101" t="s">
        <v>2768</v>
      </c>
      <c r="BR101">
        <v>2</v>
      </c>
      <c r="BS101" t="s">
        <v>2768</v>
      </c>
      <c r="BT101">
        <v>2</v>
      </c>
      <c r="BU101" t="s">
        <v>2768</v>
      </c>
      <c r="BV101">
        <v>1</v>
      </c>
      <c r="BW101" s="182" t="str">
        <f>IF(秋,"金环戴","吹风醒")</f>
        <v>吹风醒</v>
      </c>
      <c r="BX101" s="179">
        <v>2</v>
      </c>
      <c r="BY101" t="s">
        <v>2768</v>
      </c>
      <c r="BZ101">
        <v>2</v>
      </c>
      <c r="CA101" s="176" t="str">
        <f>IF(秋,"金环戴","吹风醒")</f>
        <v>吹风醒</v>
      </c>
      <c r="CB101">
        <v>2</v>
      </c>
    </row>
    <row r="102" spans="1:80">
      <c r="A102" s="178">
        <f ca="1">IFERROR(IF(A101+加速!$L$11&lt;$AS$1,IF(COUNTIF(B101,"*轻*")&gt;0,A101+加速!$L$9,A101+加速!$L$11)+V101,IF(COUNTIF(INDEX(AU102:CB102,1,$AT$1),"*云景*")+COUNTIF(INDEX(AU102:CB102,1,$AT$1),"*鹤归*")+COUNTIF(INDEX(AU102:CB102,1,$AT$1),"*听雷*")&gt;0,A101+加速!$L$11,"")),"")</f>
        <v>130.27</v>
      </c>
      <c r="B102" s="167" t="str">
        <f ca="1">IF(A102&lt;&gt;"",IF(AND(A102+加速!$L$11&gt;$AS$1,IF(AND(配装计算器!$K$30&lt;&gt;"∞",0),"梦泉虎跑-轻",INDEX(AU102:CB102,1,$AT$1))="云栖松"),"夕照雷峰",IF(AND(配装计算器!$K$30&lt;&gt;"∞",0),"梦泉虎跑-轻",INDEX(AU102:CB102,1,$AT$1))),"")</f>
        <v>夕照雷峰</v>
      </c>
      <c r="C102">
        <f ca="1" t="shared" si="17"/>
        <v>15</v>
      </c>
      <c r="D102">
        <f ca="1">IF(B102&lt;&gt;"",IF(C101&lt;=加速!$L$11*(1-E102),0,1),"")</f>
        <v>1</v>
      </c>
      <c r="E102">
        <f ca="1" t="shared" si="13"/>
        <v>0</v>
      </c>
      <c r="G102">
        <f ca="1" t="shared" si="14"/>
        <v>0</v>
      </c>
      <c r="H102">
        <f ca="1">IF(B102&lt;&gt;"",IF(AND(COUNTIF(B101,"*轻*莺鸣柳*")&gt;0,COUNTIF(B102,"*轻*")&lt;1),MAX(0,15+I101-(A102-A101)+COUNTIF(B101,"*平湖*")*0),IF(AND(E102=0,MAX(0,H101-(A102-A101))&lt;=加速!$H$11),0,MAX(0,H101-(A102-A101)))),"")</f>
        <v>0</v>
      </c>
      <c r="I102">
        <f ca="1" t="shared" si="20"/>
        <v>0</v>
      </c>
      <c r="J102">
        <f ca="1" t="shared" si="21"/>
        <v>4</v>
      </c>
      <c r="K102">
        <f ca="1">IF(A102&lt;&gt;"",IF(AND(配装计算器!$K$30&lt;&gt;"∞",0),2,INDEX(AU102:CB102,1,$AT$2)),"")</f>
        <v>2</v>
      </c>
      <c r="L102">
        <f ca="1">IFERROR(IF(AND(COUNTIF(B102,"*-峰插*"),技能数据库!$M$72&gt;0),0,IF(COUNTIF(B102,"*鹤归*")&gt;0,16-加速!$L$11,MAX(0,L101-(A102-A101)))),0)</f>
        <v>13.42</v>
      </c>
      <c r="M102">
        <f ca="1">IF(COUNTIF(IF(AND(配装计算器!$K$30&lt;&gt;"∞",0),INDEX(AU101:CB101,1,$AT$1),INDEX(AU103:CB103,1,$AT$1)),"*鹤归*")=1,L102,0)</f>
        <v>0</v>
      </c>
      <c r="N102">
        <f ca="1">IFERROR(IF(AND(COUNTIF(B102,"*-峰插*"),技能数据库!$M$72&gt;0),0,IF(COUNTIF(B102,"*云飞*")&gt;0,4-COUNTIF(B102,"*玉山揽云*")*4--COUNTIF(B102,"*烟流暮景*")*4-COUNTIF(B102,"*云景*")*加速!$L$11-IF(J102&gt;0,2,0),MAX(0,N101-(A102-A101)-IF(J102&gt;0,2,0)))),0)</f>
        <v>0</v>
      </c>
      <c r="O102">
        <f ca="1">IF(AND(COUNTIF(IF(AND(配装计算器!$K$30&lt;&gt;"∞",0),INDEX(AU101:CB101,1,$AT$1),INDEX(AU103:CB103,1,$AT$1)),"*云飞*")=1,COUNTIF(IF(AND(配装计算器!$K$30&lt;&gt;"∞",0),INDEX(AU101:CB101,1,$AT$1),INDEX(AU103:CB103,1,$AT$1)),"*玉山*")=0),N102,0)</f>
        <v>0</v>
      </c>
      <c r="P102">
        <f ca="1">IFERROR(IF(COUNTIF(B102,"*云栖松*")&gt;0,50-加速!$L$11,MAX(0,P101-(A102-A101))),0)</f>
        <v>0</v>
      </c>
      <c r="Q102">
        <f ca="1">IF(COUNTIF(IF(AND(配装计算器!$K$30&lt;&gt;"∞",0),INDEX(AU101:CB101,1,$AT$1),INDEX(AU103:CB103,1,$AT$1)),"*云栖松*")=1,P102,0)</f>
        <v>0</v>
      </c>
      <c r="R102">
        <f ca="1">IFERROR(IF(COUNTIF(B102,"*莺鸣柳*")&gt;0,45-加速!$L$9,MAX(0,R101-(A102-A101))),0)</f>
        <v>0</v>
      </c>
      <c r="S102">
        <f ca="1">IF(COUNTIF(IF(AND(配装计算器!$K$30&lt;&gt;"∞",0),INDEX(AU101:CB101,1,$AT$1),INDEX(AU103:CB103,1,$AT$1)),"*莺鸣柳*")=1,R102,0)</f>
        <v>0</v>
      </c>
      <c r="T102">
        <f ca="1" t="shared" si="18"/>
        <v>0</v>
      </c>
      <c r="U102">
        <f ca="1">IF(金蛇,IF(COUNTIF(B102,"*金环戴*")+COUNTIF(B102,"*吹风醒*")&gt;0,IF(A102&lt;=3,7.125-2.625-A102-加速!$L$11,7.125+加速!$K$9-(A102+加速!$L$11-T102)),0),0)+IF(金蛇,IF(COUNTIF(B102,"*千切子裂光*")&gt;0,2+加速!$K$9-(A102+加速!$L$11-T102),0),0)</f>
        <v>0</v>
      </c>
      <c r="V102">
        <f ca="1" t="shared" si="19"/>
        <v>0</v>
      </c>
      <c r="W102">
        <f ca="1" t="shared" si="11"/>
        <v>0</v>
      </c>
      <c r="X102">
        <f ca="1">INDEX(加速!$I$13:$I$21,技能数计算!W102+1)</f>
        <v>0</v>
      </c>
      <c r="Y102">
        <f ca="1" t="shared" si="15"/>
        <v>0.5</v>
      </c>
      <c r="Z102">
        <f ca="1" t="shared" si="16"/>
        <v>0</v>
      </c>
      <c r="AA102">
        <f ca="1">MAX(0,IFERROR(IF(COUNTIF(B102,"*叠*")&gt;0,IF(AC101&lt;3,8-A103+A102,AA101+6.875-A103+A102),AA101-A103+A102),AA101-加速!$L$11))</f>
        <v>0</v>
      </c>
      <c r="AB102">
        <f ca="1">MAX(0,IF(COUNTIF(IF(AND(配装计算器!$K$30&lt;&gt;"∞",0),INDEX(AU102:CB102,1,$AT$1),INDEX(AU102:CB102,1,$AT$1)),"*叠1*")=1,4*25-加速!$L$11,AB101-A102+A101)-IF(OR(COUNTIF(OFFSET(AT102,0,$AT$1,1,1),"*听雷*")&gt;0,AND(碧归&gt;0,COUNTIF(OFFSET(AT102,0,$AT$1,1,1),"*风来*")&gt;0)),0,1)*1.5)</f>
        <v>34.0199999999999</v>
      </c>
      <c r="AC102">
        <f ca="1" t="shared" si="12"/>
        <v>0</v>
      </c>
      <c r="AD102">
        <f ca="1">IF(COUNTIF(IF(AND(配装计算器!$K$30&lt;&gt;"∞",0),INDEX(AU102:CB102,1,$AT$1),INDEX(AU103:CB103,1,$AT$1)),"*叠1*")=1,AB102*0+AE101,0)</f>
        <v>0</v>
      </c>
      <c r="AE102">
        <f ca="1">IF($AN$11&gt;0,IF(COUNTIF(B103,"*叠1*")&gt;0,50-加速!$H$11,MAX(0,AE101-(A103-A102))),0)</f>
        <v>17.27</v>
      </c>
      <c r="AH102" t="s">
        <v>1825</v>
      </c>
      <c r="AI102" t="s">
        <v>2794</v>
      </c>
      <c r="AJ102">
        <f ca="1">循环比*COUNTIFS($B$3:$B$515,"*"&amp;AI102&amp;"*",$D$3:$D$515,"=0",$H$3:$H$515,"&gt;0",$G$3:$G$515,"&gt;0")</f>
        <v>0</v>
      </c>
      <c r="AK102" t="s">
        <v>3103</v>
      </c>
      <c r="AU102" s="176" t="s">
        <v>2768</v>
      </c>
      <c r="AV102">
        <v>1</v>
      </c>
      <c r="AW102" t="s">
        <v>2776</v>
      </c>
      <c r="AX102">
        <v>2</v>
      </c>
      <c r="AY102" t="s">
        <v>2768</v>
      </c>
      <c r="AZ102">
        <v>0</v>
      </c>
      <c r="BA102" t="s">
        <v>2768</v>
      </c>
      <c r="BB102">
        <v>0</v>
      </c>
      <c r="BC102" t="s">
        <v>2768</v>
      </c>
      <c r="BD102">
        <v>2</v>
      </c>
      <c r="BE102" t="s">
        <v>2776</v>
      </c>
      <c r="BF102">
        <v>0</v>
      </c>
      <c r="BG102" t="s">
        <v>2768</v>
      </c>
      <c r="BH102">
        <v>0</v>
      </c>
      <c r="BI102" t="s">
        <v>2768</v>
      </c>
      <c r="BJ102">
        <v>2</v>
      </c>
      <c r="BK102" s="176" t="s">
        <v>2776</v>
      </c>
      <c r="BL102">
        <v>2</v>
      </c>
      <c r="BM102" t="s">
        <v>1886</v>
      </c>
      <c r="BN102">
        <v>2</v>
      </c>
      <c r="BO102" s="176" t="str">
        <f>IF(秋,"金环戴","吹风醒")</f>
        <v>吹风醒</v>
      </c>
      <c r="BP102">
        <v>2</v>
      </c>
      <c r="BQ102" t="s">
        <v>2776</v>
      </c>
      <c r="BR102">
        <v>1</v>
      </c>
      <c r="BS102" t="s">
        <v>2776</v>
      </c>
      <c r="BT102">
        <v>1</v>
      </c>
      <c r="BU102" s="176" t="s">
        <v>2768</v>
      </c>
      <c r="BV102">
        <v>1</v>
      </c>
      <c r="BW102" s="182" t="s">
        <v>2768</v>
      </c>
      <c r="BX102" s="179">
        <v>2</v>
      </c>
      <c r="BY102" t="s">
        <v>1886</v>
      </c>
      <c r="BZ102">
        <v>2</v>
      </c>
      <c r="CA102" s="176" t="s">
        <v>2768</v>
      </c>
      <c r="CB102">
        <v>2</v>
      </c>
    </row>
    <row r="103" spans="1:80">
      <c r="A103" s="178">
        <f ca="1">IFERROR(IF(A102+加速!$L$11&lt;$AS$1,IF(COUNTIF(B102,"*轻*")&gt;0,A102+加速!$L$9,A102+加速!$L$11)+V102,IF(COUNTIF(INDEX(AU103:CB103,1,$AT$1),"*云景*")+COUNTIF(INDEX(AU103:CB103,1,$AT$1),"*鹤归*")+COUNTIF(INDEX(AU103:CB103,1,$AT$1),"*听雷*")&gt;0,A102+加速!$L$11,"")),"")</f>
        <v>131.56</v>
      </c>
      <c r="B103" s="167" t="str">
        <f ca="1">IF(A103&lt;&gt;"",IF(AND(A103+加速!$L$11&gt;$AS$1,IF(AND(配装计算器!$K$30&lt;&gt;"∞",0),"梦泉虎跑-轻",INDEX(AU103:CB103,1,$AT$1))="云栖松"),"夕照雷峰",IF(AND(配装计算器!$K$30&lt;&gt;"∞",0),"梦泉虎跑-轻",INDEX(AU103:CB103,1,$AT$1))),"")</f>
        <v>云飞玉皇</v>
      </c>
      <c r="C103">
        <f ca="1" t="shared" si="17"/>
        <v>13.71</v>
      </c>
      <c r="D103">
        <f ca="1">IF(B103&lt;&gt;"",IF(C102&lt;=加速!$L$11*(1-E103),0,1),"")</f>
        <v>1</v>
      </c>
      <c r="E103">
        <f ca="1" t="shared" si="13"/>
        <v>0</v>
      </c>
      <c r="G103">
        <f ca="1" t="shared" si="14"/>
        <v>0</v>
      </c>
      <c r="H103">
        <f ca="1">IF(B103&lt;&gt;"",IF(AND(COUNTIF(B102,"*轻*莺鸣柳*")&gt;0,COUNTIF(B103,"*轻*")&lt;1),MAX(0,15+I102-(A103-A102)+COUNTIF(B102,"*平湖*")*0),IF(AND(E103=0,MAX(0,H102-(A103-A102))&lt;=加速!$H$11),0,MAX(0,H102-(A103-A102)))),"")</f>
        <v>0</v>
      </c>
      <c r="I103">
        <f ca="1" t="shared" si="20"/>
        <v>0</v>
      </c>
      <c r="J103">
        <f ca="1" t="shared" si="21"/>
        <v>3</v>
      </c>
      <c r="K103">
        <f ca="1">IF(A103&lt;&gt;"",IF(AND(配装计算器!$K$30&lt;&gt;"∞",0),2,INDEX(AU103:CB103,1,$AT$2)),"")</f>
        <v>2</v>
      </c>
      <c r="L103">
        <f ca="1">IFERROR(IF(AND(COUNTIF(B103,"*-峰插*"),技能数据库!$M$72&gt;0),0,IF(COUNTIF(B103,"*鹤归*")&gt;0,16-加速!$L$11,MAX(0,L102-(A103-A102)))),0)</f>
        <v>12.13</v>
      </c>
      <c r="M103">
        <f ca="1">IF(COUNTIF(IF(AND(配装计算器!$K$30&lt;&gt;"∞",0),INDEX(AU102:CB102,1,$AT$1),INDEX(AU104:CB104,1,$AT$1)),"*鹤归*")=1,L103,0)</f>
        <v>0</v>
      </c>
      <c r="N103">
        <f ca="1">IFERROR(IF(AND(COUNTIF(B103,"*-峰插*"),技能数据库!$M$72&gt;0),0,IF(COUNTIF(B103,"*云飞*")&gt;0,4-COUNTIF(B103,"*玉山揽云*")*4--COUNTIF(B103,"*烟流暮景*")*4-COUNTIF(B103,"*云景*")*加速!$L$11-IF(J103&gt;0,2,0),MAX(0,N102-(A103-A102)-IF(J103&gt;0,2,0)))),0)</f>
        <v>2</v>
      </c>
      <c r="O103">
        <f ca="1">IF(AND(COUNTIF(IF(AND(配装计算器!$K$30&lt;&gt;"∞",0),INDEX(AU102:CB102,1,$AT$1),INDEX(AU104:CB104,1,$AT$1)),"*云飞*")=1,COUNTIF(IF(AND(配装计算器!$K$30&lt;&gt;"∞",0),INDEX(AU102:CB102,1,$AT$1),INDEX(AU104:CB104,1,$AT$1)),"*玉山*")=0),N103,0)</f>
        <v>0</v>
      </c>
      <c r="P103">
        <f ca="1">IFERROR(IF(COUNTIF(B103,"*云栖松*")&gt;0,50-加速!$L$11,MAX(0,P102-(A103-A102))),0)</f>
        <v>0</v>
      </c>
      <c r="Q103">
        <f ca="1">IF(COUNTIF(IF(AND(配装计算器!$K$30&lt;&gt;"∞",0),INDEX(AU102:CB102,1,$AT$1),INDEX(AU104:CB104,1,$AT$1)),"*云栖松*")=1,P103,0)</f>
        <v>0</v>
      </c>
      <c r="R103">
        <f ca="1">IFERROR(IF(COUNTIF(B103,"*莺鸣柳*")&gt;0,45-加速!$L$9,MAX(0,R102-(A103-A102))),0)</f>
        <v>0</v>
      </c>
      <c r="S103">
        <f ca="1">IF(COUNTIF(IF(AND(配装计算器!$K$30&lt;&gt;"∞",0),INDEX(AU102:CB102,1,$AT$1),INDEX(AU104:CB104,1,$AT$1)),"*莺鸣柳*")=1,R103,0)</f>
        <v>0</v>
      </c>
      <c r="T103">
        <f ca="1" t="shared" si="18"/>
        <v>0</v>
      </c>
      <c r="U103">
        <f ca="1">IF(金蛇,IF(COUNTIF(B103,"*金环戴*")+COUNTIF(B103,"*吹风醒*")&gt;0,IF(A103&lt;=3,7.125-2.625-A103-加速!$L$11,7.125+加速!$K$9-(A103+加速!$L$11-T103)),0),0)+IF(金蛇,IF(COUNTIF(B103,"*千切子裂光*")&gt;0,2+加速!$K$9-(A103+加速!$L$11-T103),0),0)</f>
        <v>0</v>
      </c>
      <c r="V103">
        <f ca="1" t="shared" si="19"/>
        <v>0</v>
      </c>
      <c r="W103">
        <f ca="1" t="shared" si="11"/>
        <v>0</v>
      </c>
      <c r="X103">
        <f ca="1">INDEX(加速!$I$13:$I$21,技能数计算!W103+1)</f>
        <v>0</v>
      </c>
      <c r="Y103">
        <f ca="1" t="shared" si="15"/>
        <v>0.5</v>
      </c>
      <c r="Z103">
        <f ca="1" t="shared" si="16"/>
        <v>0</v>
      </c>
      <c r="AA103">
        <f ca="1">MAX(0,IFERROR(IF(COUNTIF(B103,"*叠*")&gt;0,IF(AC102&lt;3,8-A104+A103,AA102+6.875-A104+A103),AA102-A104+A103),AA102-加速!$L$11))</f>
        <v>0</v>
      </c>
      <c r="AB103">
        <f ca="1">MAX(0,IF(COUNTIF(IF(AND(配装计算器!$K$30&lt;&gt;"∞",0),INDEX(AU103:CB103,1,$AT$1),INDEX(AU103:CB103,1,$AT$1)),"*叠1*")=1,4*25-加速!$L$11,AB102-A103+A102)-IF(OR(COUNTIF(OFFSET(AT103,0,$AT$1,1,1),"*听雷*")&gt;0,AND(碧归&gt;0,COUNTIF(OFFSET(AT103,0,$AT$1,1,1),"*风来*")&gt;0)),0,1)*1.5)</f>
        <v>31.2299999999999</v>
      </c>
      <c r="AC103">
        <f ca="1" t="shared" si="12"/>
        <v>0</v>
      </c>
      <c r="AD103">
        <f ca="1">IF(COUNTIF(IF(AND(配装计算器!$K$30&lt;&gt;"∞",0),INDEX(AU103:CB103,1,$AT$1),INDEX(AU104:CB104,1,$AT$1)),"*叠1*")=1,AB103*0+AE102,0)</f>
        <v>0</v>
      </c>
      <c r="AE103">
        <f ca="1">IF($AN$11&gt;0,IF(COUNTIF(B104,"*叠1*")&gt;0,50-加速!$H$11,MAX(0,AE102-(A104-A103))),0)</f>
        <v>15.98</v>
      </c>
      <c r="AH103" t="s">
        <v>1825</v>
      </c>
      <c r="AI103" t="s">
        <v>2798</v>
      </c>
      <c r="AJ103">
        <f ca="1">AJ102</f>
        <v>0</v>
      </c>
      <c r="AK103" t="s">
        <v>3103</v>
      </c>
      <c r="AU103" t="s">
        <v>2776</v>
      </c>
      <c r="AV103">
        <v>1</v>
      </c>
      <c r="AW103" t="s">
        <v>2768</v>
      </c>
      <c r="AX103">
        <v>2</v>
      </c>
      <c r="AY103" t="s">
        <v>2722</v>
      </c>
      <c r="AZ103">
        <v>0</v>
      </c>
      <c r="BA103" t="s">
        <v>2722</v>
      </c>
      <c r="BB103">
        <v>0</v>
      </c>
      <c r="BC103" t="s">
        <v>2776</v>
      </c>
      <c r="BD103">
        <v>2</v>
      </c>
      <c r="BE103" t="s">
        <v>2722</v>
      </c>
      <c r="BF103">
        <v>0</v>
      </c>
      <c r="BG103" t="s">
        <v>2768</v>
      </c>
      <c r="BH103">
        <v>0</v>
      </c>
      <c r="BI103" t="s">
        <v>2776</v>
      </c>
      <c r="BJ103">
        <v>2</v>
      </c>
      <c r="BK103" t="s">
        <v>2768</v>
      </c>
      <c r="BL103">
        <v>1</v>
      </c>
      <c r="BM103" t="s">
        <v>2853</v>
      </c>
      <c r="BN103">
        <v>2</v>
      </c>
      <c r="BO103" t="str">
        <f>IF(秋,"夕照雷峰","云飞玉皇")</f>
        <v>云飞玉皇</v>
      </c>
      <c r="BP103">
        <v>2</v>
      </c>
      <c r="BQ103" t="s">
        <v>2768</v>
      </c>
      <c r="BR103">
        <v>1</v>
      </c>
      <c r="BS103" t="s">
        <v>2768</v>
      </c>
      <c r="BT103">
        <v>1</v>
      </c>
      <c r="BU103" t="s">
        <v>3055</v>
      </c>
      <c r="BV103">
        <v>0</v>
      </c>
      <c r="BW103" s="182" t="str">
        <f>IF(秋,"云飞玉皇","云飞玉皇·云景")</f>
        <v>云飞玉皇·云景</v>
      </c>
      <c r="BX103" s="179">
        <v>2</v>
      </c>
      <c r="BY103" t="s">
        <v>2853</v>
      </c>
      <c r="BZ103">
        <v>2</v>
      </c>
      <c r="CA103" s="176" t="str">
        <f>IF(秋,"云飞玉皇","云飞玉皇·云景")</f>
        <v>云飞玉皇·云景</v>
      </c>
      <c r="CB103">
        <v>2</v>
      </c>
    </row>
    <row r="104" spans="1:80">
      <c r="A104" s="178">
        <f ca="1">IFERROR(IF(A103+加速!$L$11&lt;$AS$1,IF(COUNTIF(B103,"*轻*")&gt;0,A103+加速!$L$9,A103+加速!$L$11)+V103,IF(COUNTIF(INDEX(AU104:CB104,1,$AT$1),"*云景*")+COUNTIF(INDEX(AU104:CB104,1,$AT$1),"*鹤归*")+COUNTIF(INDEX(AU104:CB104,1,$AT$1),"*听雷*")&gt;0,A103+加速!$L$11,"")),"")</f>
        <v>132.85</v>
      </c>
      <c r="B104" s="167" t="str">
        <f ca="1">IF(A104&lt;&gt;"",IF(AND(A104+加速!$L$11&gt;$AS$1,IF(AND(配装计算器!$K$30&lt;&gt;"∞",0),"梦泉虎跑-轻",INDEX(AU104:CB104,1,$AT$1))="云栖松"),"夕照雷峰",IF(AND(配装计算器!$K$30&lt;&gt;"∞",0),"梦泉虎跑-轻",INDEX(AU104:CB104,1,$AT$1))),"")</f>
        <v>夕照雷峰</v>
      </c>
      <c r="C104">
        <f ca="1" t="shared" si="17"/>
        <v>15</v>
      </c>
      <c r="D104">
        <f ca="1">IF(B104&lt;&gt;"",IF(C103&lt;=加速!$L$11*(1-E104),0,1),"")</f>
        <v>1</v>
      </c>
      <c r="E104">
        <f ca="1" t="shared" si="13"/>
        <v>0</v>
      </c>
      <c r="G104">
        <f ca="1" t="shared" si="14"/>
        <v>0</v>
      </c>
      <c r="H104">
        <f ca="1">IF(B104&lt;&gt;"",IF(AND(COUNTIF(B103,"*轻*莺鸣柳*")&gt;0,COUNTIF(B104,"*轻*")&lt;1),MAX(0,15+I103-(A104-A103)+COUNTIF(B103,"*平湖*")*0),IF(AND(E104=0,MAX(0,H103-(A104-A103))&lt;=加速!$H$11),0,MAX(0,H103-(A104-A103)))),"")</f>
        <v>0</v>
      </c>
      <c r="I104">
        <f ca="1" t="shared" si="20"/>
        <v>0</v>
      </c>
      <c r="J104">
        <f ca="1" t="shared" si="21"/>
        <v>2</v>
      </c>
      <c r="K104">
        <f ca="1">IF(A104&lt;&gt;"",IF(AND(配装计算器!$K$30&lt;&gt;"∞",0),2,INDEX(AU104:CB104,1,$AT$2)),"")</f>
        <v>2</v>
      </c>
      <c r="L104">
        <f ca="1">IFERROR(IF(AND(COUNTIF(B104,"*-峰插*"),技能数据库!$M$72&gt;0),0,IF(COUNTIF(B104,"*鹤归*")&gt;0,16-加速!$L$11,MAX(0,L103-(A104-A103)))),0)</f>
        <v>10.84</v>
      </c>
      <c r="M104">
        <f ca="1">IF(COUNTIF(IF(AND(配装计算器!$K$30&lt;&gt;"∞",0),INDEX(AU103:CB103,1,$AT$1),INDEX(AU105:CB105,1,$AT$1)),"*鹤归*")=1,L104,0)</f>
        <v>0</v>
      </c>
      <c r="N104">
        <f ca="1">IFERROR(IF(AND(COUNTIF(B104,"*-峰插*"),技能数据库!$M$72&gt;0),0,IF(COUNTIF(B104,"*云飞*")&gt;0,4-COUNTIF(B104,"*玉山揽云*")*4--COUNTIF(B104,"*烟流暮景*")*4-COUNTIF(B104,"*云景*")*加速!$L$11-IF(J104&gt;0,2,0),MAX(0,N103-(A104-A103)-IF(J104&gt;0,2,0)))),0)</f>
        <v>0</v>
      </c>
      <c r="O104">
        <f ca="1">IF(AND(COUNTIF(IF(AND(配装计算器!$K$30&lt;&gt;"∞",0),INDEX(AU103:CB103,1,$AT$1),INDEX(AU105:CB105,1,$AT$1)),"*云飞*")=1,COUNTIF(IF(AND(配装计算器!$K$30&lt;&gt;"∞",0),INDEX(AU103:CB103,1,$AT$1),INDEX(AU105:CB105,1,$AT$1)),"*玉山*")=0),N104,0)</f>
        <v>0</v>
      </c>
      <c r="P104">
        <f ca="1">IFERROR(IF(COUNTIF(B104,"*云栖松*")&gt;0,50-加速!$L$11,MAX(0,P103-(A104-A103))),0)</f>
        <v>0</v>
      </c>
      <c r="Q104">
        <f ca="1">IF(COUNTIF(IF(AND(配装计算器!$K$30&lt;&gt;"∞",0),INDEX(AU103:CB103,1,$AT$1),INDEX(AU105:CB105,1,$AT$1)),"*云栖松*")=1,P104,0)</f>
        <v>0</v>
      </c>
      <c r="R104">
        <f ca="1">IFERROR(IF(COUNTIF(B104,"*莺鸣柳*")&gt;0,45-加速!$L$9,MAX(0,R103-(A104-A103))),0)</f>
        <v>0</v>
      </c>
      <c r="S104">
        <f ca="1">IF(COUNTIF(IF(AND(配装计算器!$K$30&lt;&gt;"∞",0),INDEX(AU103:CB103,1,$AT$1),INDEX(AU105:CB105,1,$AT$1)),"*莺鸣柳*")=1,R104,0)</f>
        <v>0</v>
      </c>
      <c r="T104">
        <f ca="1" t="shared" si="18"/>
        <v>0</v>
      </c>
      <c r="U104">
        <f ca="1">IF(金蛇,IF(COUNTIF(B104,"*金环戴*")+COUNTIF(B104,"*吹风醒*")&gt;0,IF(A104&lt;=3,7.125-2.625-A104-加速!$L$11,7.125+加速!$K$9-(A104+加速!$L$11-T104)),0),0)+IF(金蛇,IF(COUNTIF(B104,"*千切子裂光*")&gt;0,2+加速!$K$9-(A104+加速!$L$11-T104),0),0)</f>
        <v>0</v>
      </c>
      <c r="V104">
        <f ca="1" t="shared" si="19"/>
        <v>0</v>
      </c>
      <c r="W104">
        <f ca="1" t="shared" si="11"/>
        <v>0</v>
      </c>
      <c r="X104">
        <f ca="1">INDEX(加速!$I$13:$I$21,技能数计算!W104+1)</f>
        <v>0</v>
      </c>
      <c r="Y104">
        <f ca="1" t="shared" si="15"/>
        <v>0.5</v>
      </c>
      <c r="Z104">
        <f ca="1" t="shared" si="16"/>
        <v>0</v>
      </c>
      <c r="AA104">
        <f ca="1">MAX(0,IFERROR(IF(COUNTIF(B104,"*叠*")&gt;0,IF(AC103&lt;3,8-A105+A104,AA103+6.875-A105+A104),AA103-A105+A104),AA103-加速!$L$11))</f>
        <v>0</v>
      </c>
      <c r="AB104">
        <f ca="1">MAX(0,IF(COUNTIF(IF(AND(配装计算器!$K$30&lt;&gt;"∞",0),INDEX(AU104:CB104,1,$AT$1),INDEX(AU104:CB104,1,$AT$1)),"*叠1*")=1,4*25-加速!$L$11,AB103-A104+A103)-IF(OR(COUNTIF(OFFSET(AT104,0,$AT$1,1,1),"*听雷*")&gt;0,AND(碧归&gt;0,COUNTIF(OFFSET(AT104,0,$AT$1,1,1),"*风来*")&gt;0)),0,1)*1.5)</f>
        <v>28.44</v>
      </c>
      <c r="AC104">
        <f ca="1" t="shared" si="12"/>
        <v>0</v>
      </c>
      <c r="AD104">
        <f ca="1">IF(COUNTIF(IF(AND(配装计算器!$K$30&lt;&gt;"∞",0),INDEX(AU104:CB104,1,$AT$1),INDEX(AU105:CB105,1,$AT$1)),"*叠1*")=1,AB104*0+AE103,0)</f>
        <v>0</v>
      </c>
      <c r="AE104">
        <f ca="1">IF($AN$11&gt;0,IF(COUNTIF(B105,"*叠1*")&gt;0,50-加速!$H$11,MAX(0,AE103-(A105-A104))),0)</f>
        <v>14.69</v>
      </c>
      <c r="AH104" t="s">
        <v>1825</v>
      </c>
      <c r="AI104" t="s">
        <v>2768</v>
      </c>
      <c r="AJ104">
        <f ca="1">循环比*COUNTIFS($B$3:$B$515,"*"&amp;AI104&amp;"*",$D$3:$D$515,"=0",$H$3:$H$515,"&gt;0",$G$3:$G$515,"&gt;0",$K$3:$K$515,"=2")</f>
        <v>0</v>
      </c>
      <c r="AK104" t="s">
        <v>3102</v>
      </c>
      <c r="AU104" t="s">
        <v>2768</v>
      </c>
      <c r="AV104">
        <v>1</v>
      </c>
      <c r="AW104" t="s">
        <v>2722</v>
      </c>
      <c r="AX104">
        <v>0</v>
      </c>
      <c r="AY104" t="s">
        <v>2776</v>
      </c>
      <c r="AZ104">
        <v>2</v>
      </c>
      <c r="BA104" t="s">
        <v>2776</v>
      </c>
      <c r="BB104">
        <v>2</v>
      </c>
      <c r="BC104" t="s">
        <v>2768</v>
      </c>
      <c r="BD104">
        <v>2</v>
      </c>
      <c r="BE104" t="s">
        <v>2722</v>
      </c>
      <c r="BF104">
        <v>2</v>
      </c>
      <c r="BG104" t="s">
        <v>2776</v>
      </c>
      <c r="BH104">
        <v>0</v>
      </c>
      <c r="BI104" t="s">
        <v>2768</v>
      </c>
      <c r="BJ104">
        <v>2</v>
      </c>
      <c r="BK104" t="s">
        <v>2776</v>
      </c>
      <c r="BL104">
        <v>1</v>
      </c>
      <c r="BM104" s="176" t="s">
        <v>2850</v>
      </c>
      <c r="BN104">
        <f>IF(0,2,0)</f>
        <v>0</v>
      </c>
      <c r="BO104" s="176" t="str">
        <f>IF(秋,"梦泉虎跑-轻","夕照雷峰")</f>
        <v>夕照雷峰</v>
      </c>
      <c r="BP104">
        <v>2</v>
      </c>
      <c r="BQ104" t="s">
        <v>2776</v>
      </c>
      <c r="BR104">
        <v>1</v>
      </c>
      <c r="BS104" t="s">
        <v>3056</v>
      </c>
      <c r="BT104">
        <v>0</v>
      </c>
      <c r="BU104" t="s">
        <v>2776</v>
      </c>
      <c r="BV104">
        <v>2</v>
      </c>
      <c r="BW104" s="179" t="s">
        <v>2722</v>
      </c>
      <c r="BX104" s="179">
        <v>2</v>
      </c>
      <c r="BY104" s="176" t="s">
        <v>2850</v>
      </c>
      <c r="BZ104">
        <f>IF(0,2,0)</f>
        <v>0</v>
      </c>
      <c r="CA104" t="str">
        <f>IF(0,"云飞玉皇","夕照雷峰")</f>
        <v>夕照雷峰</v>
      </c>
      <c r="CB104">
        <f>IF(0,2,2)</f>
        <v>2</v>
      </c>
    </row>
    <row r="105" spans="1:80">
      <c r="A105" s="178">
        <f ca="1">IFERROR(IF(A104+加速!$L$11&lt;$AS$1,IF(COUNTIF(B104,"*轻*")&gt;0,A104+加速!$L$9,A104+加速!$L$11)+V104,IF(COUNTIF(INDEX(AU105:CB105,1,$AT$1),"*云景*")+COUNTIF(INDEX(AU105:CB105,1,$AT$1),"*鹤归*")+COUNTIF(INDEX(AU105:CB105,1,$AT$1),"*听雷*")&gt;0,A104+加速!$L$11,"")),"")</f>
        <v>134.14</v>
      </c>
      <c r="B105" s="167" t="str">
        <f ca="1">IF(A105&lt;&gt;"",IF(AND(A105+加速!$L$11&gt;$AS$1,IF(AND(配装计算器!$K$30&lt;&gt;"∞",0),"梦泉虎跑-轻",INDEX(AU105:CB105,1,$AT$1))="云栖松"),"夕照雷峰",IF(AND(配装计算器!$K$30&lt;&gt;"∞",0),"梦泉虎跑-轻",INDEX(AU105:CB105,1,$AT$1))),"")</f>
        <v>云飞玉皇</v>
      </c>
      <c r="C105">
        <f ca="1" t="shared" si="17"/>
        <v>13.71</v>
      </c>
      <c r="D105">
        <f ca="1">IF(B105&lt;&gt;"",IF(C104&lt;=加速!$L$11*(1-E105),0,1),"")</f>
        <v>1</v>
      </c>
      <c r="E105">
        <f ca="1" t="shared" si="13"/>
        <v>0</v>
      </c>
      <c r="G105">
        <f ca="1" t="shared" si="14"/>
        <v>0</v>
      </c>
      <c r="H105">
        <f ca="1">IF(B105&lt;&gt;"",IF(AND(COUNTIF(B104,"*轻*莺鸣柳*")&gt;0,COUNTIF(B105,"*轻*")&lt;1),MAX(0,15+I104-(A105-A104)+COUNTIF(B104,"*平湖*")*0),IF(AND(E105=0,MAX(0,H104-(A105-A104))&lt;=加速!$H$11),0,MAX(0,H104-(A105-A104)))),"")</f>
        <v>0</v>
      </c>
      <c r="I105">
        <f ca="1" t="shared" si="20"/>
        <v>0</v>
      </c>
      <c r="J105">
        <f ca="1" t="shared" si="21"/>
        <v>1</v>
      </c>
      <c r="K105">
        <f ca="1">IF(A105&lt;&gt;"",IF(AND(配装计算器!$K$30&lt;&gt;"∞",0),2,INDEX(AU105:CB105,1,$AT$2)),"")</f>
        <v>1</v>
      </c>
      <c r="L105">
        <f ca="1">IFERROR(IF(AND(COUNTIF(B105,"*-峰插*"),技能数据库!$M$72&gt;0),0,IF(COUNTIF(B105,"*鹤归*")&gt;0,16-加速!$L$11,MAX(0,L104-(A105-A104)))),0)</f>
        <v>9.55000000000003</v>
      </c>
      <c r="M105">
        <f ca="1">IF(COUNTIF(IF(AND(配装计算器!$K$30&lt;&gt;"∞",0),INDEX(AU104:CB104,1,$AT$1),INDEX(AU106:CB106,1,$AT$1)),"*鹤归*")=1,L105,0)</f>
        <v>0</v>
      </c>
      <c r="N105">
        <f ca="1">IFERROR(IF(AND(COUNTIF(B105,"*-峰插*"),技能数据库!$M$72&gt;0),0,IF(COUNTIF(B105,"*云飞*")&gt;0,4-COUNTIF(B105,"*玉山揽云*")*4--COUNTIF(B105,"*烟流暮景*")*4-COUNTIF(B105,"*云景*")*加速!$L$11-IF(J105&gt;0,2,0),MAX(0,N104-(A105-A104)-IF(J105&gt;0,2,0)))),0)</f>
        <v>2</v>
      </c>
      <c r="O105">
        <f ca="1">IF(AND(COUNTIF(IF(AND(配装计算器!$K$30&lt;&gt;"∞",0),INDEX(AU104:CB104,1,$AT$1),INDEX(AU106:CB106,1,$AT$1)),"*云飞*")=1,COUNTIF(IF(AND(配装计算器!$K$30&lt;&gt;"∞",0),INDEX(AU104:CB104,1,$AT$1),INDEX(AU106:CB106,1,$AT$1)),"*玉山*")=0),N105,0)</f>
        <v>0</v>
      </c>
      <c r="P105">
        <f ca="1">IFERROR(IF(COUNTIF(B105,"*云栖松*")&gt;0,50-加速!$L$11,MAX(0,P104-(A105-A104))),0)</f>
        <v>0</v>
      </c>
      <c r="Q105">
        <f ca="1">IF(COUNTIF(IF(AND(配装计算器!$K$30&lt;&gt;"∞",0),INDEX(AU104:CB104,1,$AT$1),INDEX(AU106:CB106,1,$AT$1)),"*云栖松*")=1,P105,0)</f>
        <v>0</v>
      </c>
      <c r="R105">
        <f ca="1">IFERROR(IF(COUNTIF(B105,"*莺鸣柳*")&gt;0,45-加速!$L$9,MAX(0,R104-(A105-A104))),0)</f>
        <v>0</v>
      </c>
      <c r="S105">
        <f ca="1">IF(COUNTIF(IF(AND(配装计算器!$K$30&lt;&gt;"∞",0),INDEX(AU104:CB104,1,$AT$1),INDEX(AU106:CB106,1,$AT$1)),"*莺鸣柳*")=1,R105,0)</f>
        <v>0</v>
      </c>
      <c r="T105">
        <f ca="1" t="shared" si="18"/>
        <v>0</v>
      </c>
      <c r="U105">
        <f ca="1">IF(金蛇,IF(COUNTIF(B105,"*金环戴*")+COUNTIF(B105,"*吹风醒*")&gt;0,IF(A105&lt;=3,7.125-2.625-A105-加速!$L$11,7.125+加速!$K$9-(A105+加速!$L$11-T105)),0),0)+IF(金蛇,IF(COUNTIF(B105,"*千切子裂光*")&gt;0,2+加速!$K$9-(A105+加速!$L$11-T105),0),0)</f>
        <v>0</v>
      </c>
      <c r="V105">
        <f ca="1" t="shared" si="19"/>
        <v>0</v>
      </c>
      <c r="W105">
        <f ca="1" t="shared" si="11"/>
        <v>0</v>
      </c>
      <c r="X105">
        <f ca="1">INDEX(加速!$I$13:$I$21,技能数计算!W105+1)</f>
        <v>0</v>
      </c>
      <c r="Y105">
        <f ca="1" t="shared" si="15"/>
        <v>0.5</v>
      </c>
      <c r="Z105">
        <f ca="1" t="shared" si="16"/>
        <v>0</v>
      </c>
      <c r="AA105">
        <f ca="1">MAX(0,IFERROR(IF(COUNTIF(B105,"*叠*")&gt;0,IF(AC104&lt;3,8-A106+A105,AA104+6.875-A106+A105),AA104-A106+A105),AA104-加速!$L$11))</f>
        <v>0</v>
      </c>
      <c r="AB105">
        <f ca="1">MAX(0,IF(COUNTIF(IF(AND(配装计算器!$K$30&lt;&gt;"∞",0),INDEX(AU105:CB105,1,$AT$1),INDEX(AU105:CB105,1,$AT$1)),"*叠1*")=1,4*25-加速!$L$11,AB104-A105+A104)-IF(OR(COUNTIF(OFFSET(AT105,0,$AT$1,1,1),"*听雷*")&gt;0,AND(碧归&gt;0,COUNTIF(OFFSET(AT105,0,$AT$1,1,1),"*风来*")&gt;0)),0,1)*1.5)</f>
        <v>25.65</v>
      </c>
      <c r="AC105">
        <f ca="1" t="shared" si="12"/>
        <v>0</v>
      </c>
      <c r="AD105">
        <f ca="1">IF(COUNTIF(IF(AND(配装计算器!$K$30&lt;&gt;"∞",0),INDEX(AU105:CB105,1,$AT$1),INDEX(AU106:CB106,1,$AT$1)),"*叠1*")=1,AB105*0+AE104,0)</f>
        <v>0</v>
      </c>
      <c r="AE105">
        <f ca="1">IF($AN$11&gt;0,IF(COUNTIF(B106,"*叠1*")&gt;0,50-加速!$H$11,MAX(0,AE104-(A106-A105))),0)</f>
        <v>13.4</v>
      </c>
      <c r="AH105" t="s">
        <v>1825</v>
      </c>
      <c r="AI105" t="s">
        <v>2902</v>
      </c>
      <c r="AJ105">
        <f ca="1">循环比*COUNTIFS($B$3:$B$515,"*"&amp;AI105&amp;"*",$D$3:$D$515,"=0",$H$3:$H$515,"&gt;0")</f>
        <v>0</v>
      </c>
      <c r="AK105" t="s">
        <v>2948</v>
      </c>
      <c r="AU105" t="s">
        <v>2768</v>
      </c>
      <c r="AV105">
        <v>1</v>
      </c>
      <c r="AW105" t="s">
        <v>3009</v>
      </c>
      <c r="AX105">
        <v>2</v>
      </c>
      <c r="AY105" t="s">
        <v>2768</v>
      </c>
      <c r="AZ105">
        <v>2</v>
      </c>
      <c r="BA105" t="s">
        <v>2768</v>
      </c>
      <c r="BB105">
        <v>2</v>
      </c>
      <c r="BC105" t="s">
        <v>2776</v>
      </c>
      <c r="BD105">
        <v>2</v>
      </c>
      <c r="BE105" t="s">
        <v>2768</v>
      </c>
      <c r="BF105">
        <v>2</v>
      </c>
      <c r="BG105" t="s">
        <v>3067</v>
      </c>
      <c r="BH105">
        <v>0</v>
      </c>
      <c r="BI105" t="s">
        <v>2776</v>
      </c>
      <c r="BJ105">
        <v>1</v>
      </c>
      <c r="BK105" t="s">
        <v>2768</v>
      </c>
      <c r="BL105">
        <v>0</v>
      </c>
      <c r="BM105" s="176" t="str">
        <f>IF(秋,"金环戴","吹风醒")</f>
        <v>吹风醒</v>
      </c>
      <c r="BN105">
        <v>2</v>
      </c>
      <c r="BO105" s="176" t="str">
        <f>IF(秋,"九溪弥烟-轻-血毒金蛇锥","梦泉虎跑-轻")</f>
        <v>梦泉虎跑-轻</v>
      </c>
      <c r="BP105">
        <v>0</v>
      </c>
      <c r="BQ105" t="s">
        <v>2768</v>
      </c>
      <c r="BR105">
        <v>0</v>
      </c>
      <c r="BS105" t="s">
        <v>2768</v>
      </c>
      <c r="BT105">
        <v>2</v>
      </c>
      <c r="BU105" t="s">
        <v>2768</v>
      </c>
      <c r="BV105">
        <v>2</v>
      </c>
      <c r="BW105" s="179" t="s">
        <v>3009</v>
      </c>
      <c r="BX105" s="179">
        <v>2</v>
      </c>
      <c r="BY105" s="176" t="str">
        <f>IF(秋,"金环戴","吹风醒")</f>
        <v>吹风醒</v>
      </c>
      <c r="BZ105">
        <v>2</v>
      </c>
      <c r="CA105" t="str">
        <f>IF(0,"云飞玉皇","夕照雷峰")</f>
        <v>夕照雷峰</v>
      </c>
      <c r="CB105">
        <v>2</v>
      </c>
    </row>
    <row r="106" spans="1:80">
      <c r="A106" s="178">
        <f ca="1">IFERROR(IF(A105+加速!$L$11&lt;$AS$1,IF(COUNTIF(B105,"*轻*")&gt;0,A105+加速!$L$9,A105+加速!$L$11)+V105,IF(COUNTIF(INDEX(AU106:CB106,1,$AT$1),"*云景*")+COUNTIF(INDEX(AU106:CB106,1,$AT$1),"*鹤归*")+COUNTIF(INDEX(AU106:CB106,1,$AT$1),"*听雷*")&gt;0,A105+加速!$L$11,"")),"")</f>
        <v>135.43</v>
      </c>
      <c r="B106" s="167" t="str">
        <f ca="1">IF(A106&lt;&gt;"",IF(AND(A106+加速!$L$11&gt;$AS$1,IF(AND(配装计算器!$K$30&lt;&gt;"∞",0),"梦泉虎跑-轻",INDEX(AU106:CB106,1,$AT$1))="云栖松"),"夕照雷峰",IF(AND(配装计算器!$K$30&lt;&gt;"∞",0),"梦泉虎跑-轻",INDEX(AU106:CB106,1,$AT$1))),"")</f>
        <v>夕照雷峰</v>
      </c>
      <c r="C106">
        <f ca="1" t="shared" si="17"/>
        <v>15</v>
      </c>
      <c r="D106">
        <f ca="1">IF(B106&lt;&gt;"",IF(C105&lt;=加速!$L$11*(1-E106),0,1),"")</f>
        <v>1</v>
      </c>
      <c r="E106">
        <f ca="1" t="shared" si="13"/>
        <v>0</v>
      </c>
      <c r="G106">
        <f ca="1" t="shared" si="14"/>
        <v>0</v>
      </c>
      <c r="H106">
        <f ca="1">IF(B106&lt;&gt;"",IF(AND(COUNTIF(B105,"*轻*莺鸣柳*")&gt;0,COUNTIF(B106,"*轻*")&lt;1),MAX(0,15+I105-(A106-A105)+COUNTIF(B105,"*平湖*")*0),IF(AND(E106=0,MAX(0,H105-(A106-A105))&lt;=加速!$H$11),0,MAX(0,H105-(A106-A105)))),"")</f>
        <v>0</v>
      </c>
      <c r="I106">
        <f ca="1" t="shared" si="20"/>
        <v>0</v>
      </c>
      <c r="J106">
        <f ca="1" t="shared" si="21"/>
        <v>1</v>
      </c>
      <c r="K106">
        <f ca="1">IF(A106&lt;&gt;"",IF(AND(配装计算器!$K$30&lt;&gt;"∞",0),2,INDEX(AU106:CB106,1,$AT$2)),"")</f>
        <v>1</v>
      </c>
      <c r="L106">
        <f ca="1">IFERROR(IF(AND(COUNTIF(B106,"*-峰插*"),技能数据库!$M$72&gt;0),0,IF(COUNTIF(B106,"*鹤归*")&gt;0,16-加速!$L$11,MAX(0,L105-(A106-A105)))),0)</f>
        <v>8.26000000000004</v>
      </c>
      <c r="M106">
        <f ca="1">IF(COUNTIF(IF(AND(配装计算器!$K$30&lt;&gt;"∞",0),INDEX(AU105:CB105,1,$AT$1),INDEX(AU107:CB107,1,$AT$1)),"*鹤归*")=1,L106,0)</f>
        <v>0</v>
      </c>
      <c r="N106">
        <f ca="1">IFERROR(IF(AND(COUNTIF(B106,"*-峰插*"),技能数据库!$M$72&gt;0),0,IF(COUNTIF(B106,"*云飞*")&gt;0,4-COUNTIF(B106,"*玉山揽云*")*4--COUNTIF(B106,"*烟流暮景*")*4-COUNTIF(B106,"*云景*")*加速!$L$11-IF(J106&gt;0,2,0),MAX(0,N105-(A106-A105)-IF(J106&gt;0,2,0)))),0)</f>
        <v>0</v>
      </c>
      <c r="O106">
        <f ca="1">IF(AND(COUNTIF(IF(AND(配装计算器!$K$30&lt;&gt;"∞",0),INDEX(AU105:CB105,1,$AT$1),INDEX(AU107:CB107,1,$AT$1)),"*云飞*")=1,COUNTIF(IF(AND(配装计算器!$K$30&lt;&gt;"∞",0),INDEX(AU105:CB105,1,$AT$1),INDEX(AU107:CB107,1,$AT$1)),"*玉山*")=0),N106,0)</f>
        <v>0</v>
      </c>
      <c r="P106">
        <f ca="1">IFERROR(IF(COUNTIF(B106,"*云栖松*")&gt;0,50-加速!$L$11,MAX(0,P105-(A106-A105))),0)</f>
        <v>0</v>
      </c>
      <c r="Q106">
        <f ca="1">IF(COUNTIF(IF(AND(配装计算器!$K$30&lt;&gt;"∞",0),INDEX(AU105:CB105,1,$AT$1),INDEX(AU107:CB107,1,$AT$1)),"*云栖松*")=1,P106,0)</f>
        <v>0</v>
      </c>
      <c r="R106">
        <f ca="1">IFERROR(IF(COUNTIF(B106,"*莺鸣柳*")&gt;0,45-加速!$L$9,MAX(0,R105-(A106-A105))),0)</f>
        <v>0</v>
      </c>
      <c r="S106">
        <f ca="1">IF(COUNTIF(IF(AND(配装计算器!$K$30&lt;&gt;"∞",0),INDEX(AU105:CB105,1,$AT$1),INDEX(AU107:CB107,1,$AT$1)),"*莺鸣柳*")=1,R106,0)</f>
        <v>0</v>
      </c>
      <c r="T106">
        <f ca="1" t="shared" si="18"/>
        <v>0</v>
      </c>
      <c r="U106">
        <f ca="1">IF(金蛇,IF(COUNTIF(B106,"*金环戴*")+COUNTIF(B106,"*吹风醒*")&gt;0,IF(A106&lt;=3,7.125-2.625-A106-加速!$L$11,7.125+加速!$K$9-(A106+加速!$L$11-T106)),0),0)+IF(金蛇,IF(COUNTIF(B106,"*千切子裂光*")&gt;0,2+加速!$K$9-(A106+加速!$L$11-T106),0),0)</f>
        <v>0</v>
      </c>
      <c r="V106">
        <f ca="1" t="shared" si="19"/>
        <v>0</v>
      </c>
      <c r="W106">
        <f ca="1" t="shared" si="11"/>
        <v>0</v>
      </c>
      <c r="X106">
        <f ca="1">INDEX(加速!$I$13:$I$21,技能数计算!W106+1)</f>
        <v>0</v>
      </c>
      <c r="Y106">
        <f ca="1" t="shared" si="15"/>
        <v>0.5</v>
      </c>
      <c r="Z106">
        <f ca="1" t="shared" si="16"/>
        <v>0</v>
      </c>
      <c r="AA106">
        <f ca="1">MAX(0,IFERROR(IF(COUNTIF(B106,"*叠*")&gt;0,IF(AC105&lt;3,8-A107+A106,AA105+6.875-A107+A106),AA105-A107+A106),AA105-加速!$L$11))</f>
        <v>0</v>
      </c>
      <c r="AB106">
        <f ca="1">MAX(0,IF(COUNTIF(IF(AND(配装计算器!$K$30&lt;&gt;"∞",0),INDEX(AU106:CB106,1,$AT$1),INDEX(AU106:CB106,1,$AT$1)),"*叠1*")=1,4*25-加速!$L$11,AB105-A106+A105)-IF(OR(COUNTIF(OFFSET(AT106,0,$AT$1,1,1),"*听雷*")&gt;0,AND(碧归&gt;0,COUNTIF(OFFSET(AT106,0,$AT$1,1,1),"*风来*")&gt;0)),0,1)*1.5)</f>
        <v>22.86</v>
      </c>
      <c r="AC106">
        <f ca="1" t="shared" si="12"/>
        <v>0</v>
      </c>
      <c r="AD106">
        <f ca="1">IF(COUNTIF(IF(AND(配装计算器!$K$30&lt;&gt;"∞",0),INDEX(AU106:CB106,1,$AT$1),INDEX(AU107:CB107,1,$AT$1)),"*叠1*")=1,AB106*0+AE105,0)</f>
        <v>0</v>
      </c>
      <c r="AE106">
        <f ca="1">IF($AN$11&gt;0,IF(COUNTIF(B107,"*叠1*")&gt;0,50-加速!$H$11,MAX(0,AE105-(A107-A106))),0)</f>
        <v>12.11</v>
      </c>
      <c r="AH106" t="s">
        <v>1825</v>
      </c>
      <c r="AI106" s="161" t="s">
        <v>2922</v>
      </c>
      <c r="AJ106">
        <f>AS1/(1/(407/240)+10)</f>
        <v>19.830626450116</v>
      </c>
      <c r="AK106" t="s">
        <v>3098</v>
      </c>
      <c r="AU106" t="s">
        <v>3063</v>
      </c>
      <c r="AV106">
        <v>2</v>
      </c>
      <c r="AW106" t="s">
        <v>2776</v>
      </c>
      <c r="AX106">
        <v>2</v>
      </c>
      <c r="AY106" t="s">
        <v>2768</v>
      </c>
      <c r="AZ106">
        <v>2</v>
      </c>
      <c r="BA106" t="s">
        <v>2768</v>
      </c>
      <c r="BB106">
        <v>2</v>
      </c>
      <c r="BC106" t="s">
        <v>2768</v>
      </c>
      <c r="BD106">
        <v>1</v>
      </c>
      <c r="BE106" t="s">
        <v>2776</v>
      </c>
      <c r="BF106">
        <v>2</v>
      </c>
      <c r="BG106" t="s">
        <v>2768</v>
      </c>
      <c r="BH106">
        <v>2</v>
      </c>
      <c r="BI106" t="s">
        <v>2768</v>
      </c>
      <c r="BJ106">
        <v>1</v>
      </c>
      <c r="BK106" t="s">
        <v>3056</v>
      </c>
      <c r="BL106">
        <v>0</v>
      </c>
      <c r="BM106" t="str">
        <f>IF(秋,"夕照雷峰","云飞玉皇")</f>
        <v>云飞玉皇</v>
      </c>
      <c r="BN106">
        <v>2</v>
      </c>
      <c r="BO106" t="s">
        <v>3009</v>
      </c>
      <c r="BP106">
        <v>2</v>
      </c>
      <c r="BQ106" t="str">
        <f>IF(秋,"云栖松","泉凝月")</f>
        <v>泉凝月</v>
      </c>
      <c r="BR106">
        <v>0</v>
      </c>
      <c r="BS106" t="s">
        <v>2768</v>
      </c>
      <c r="BT106">
        <v>2</v>
      </c>
      <c r="BU106" t="s">
        <v>2776</v>
      </c>
      <c r="BV106">
        <v>2</v>
      </c>
      <c r="BW106" s="179" t="s">
        <v>2768</v>
      </c>
      <c r="BX106" s="179">
        <v>2</v>
      </c>
      <c r="BY106" t="str">
        <f>IF(秋,"夕照雷峰","云飞玉皇")</f>
        <v>云飞玉皇</v>
      </c>
      <c r="BZ106">
        <v>2</v>
      </c>
      <c r="CA106" s="176" t="str">
        <f>IF(秋,"夕照雷峰","云飞玉皇")</f>
        <v>云飞玉皇</v>
      </c>
      <c r="CB106">
        <v>2</v>
      </c>
    </row>
    <row r="107" spans="1:80">
      <c r="A107" s="178">
        <f ca="1">IFERROR(IF(A106+加速!$L$11&lt;$AS$1,IF(COUNTIF(B106,"*轻*")&gt;0,A106+加速!$L$9,A106+加速!$L$11)+V106,IF(COUNTIF(INDEX(AU107:CB107,1,$AT$1),"*云景*")+COUNTIF(INDEX(AU107:CB107,1,$AT$1),"*鹤归*")+COUNTIF(INDEX(AU107:CB107,1,$AT$1),"*听雷*")&gt;0,A106+加速!$L$11,"")),"")</f>
        <v>136.72</v>
      </c>
      <c r="B107" s="167" t="str">
        <f ca="1">IF(A107&lt;&gt;"",IF(AND(A107+加速!$L$11&gt;$AS$1,IF(AND(配装计算器!$K$30&lt;&gt;"∞",0),"梦泉虎跑-轻",INDEX(AU107:CB107,1,$AT$1))="云栖松"),"夕照雷峰",IF(AND(配装计算器!$K$30&lt;&gt;"∞",0),"梦泉虎跑-轻",INDEX(AU107:CB107,1,$AT$1))),"")</f>
        <v>云飞玉皇</v>
      </c>
      <c r="C107">
        <f ca="1" t="shared" si="17"/>
        <v>13.71</v>
      </c>
      <c r="D107">
        <f ca="1">IF(B107&lt;&gt;"",IF(C106&lt;=加速!$L$11*(1-E107),0,1),"")</f>
        <v>1</v>
      </c>
      <c r="E107">
        <f ca="1" t="shared" si="13"/>
        <v>0</v>
      </c>
      <c r="G107">
        <f ca="1" t="shared" si="14"/>
        <v>0</v>
      </c>
      <c r="H107">
        <f ca="1">IF(B107&lt;&gt;"",IF(AND(COUNTIF(B106,"*轻*莺鸣柳*")&gt;0,COUNTIF(B107,"*轻*")&lt;1),MAX(0,15+I106-(A107-A106)+COUNTIF(B106,"*平湖*")*0),IF(AND(E107=0,MAX(0,H106-(A107-A106))&lt;=加速!$H$11),0,MAX(0,H106-(A107-A106)))),"")</f>
        <v>0</v>
      </c>
      <c r="I107">
        <f ca="1" t="shared" si="20"/>
        <v>0</v>
      </c>
      <c r="J107">
        <f ca="1" t="shared" si="21"/>
        <v>0</v>
      </c>
      <c r="K107">
        <f ca="1">IF(A107&lt;&gt;"",IF(AND(配装计算器!$K$30&lt;&gt;"∞",0),2,INDEX(AU107:CB107,1,$AT$2)),"")</f>
        <v>0</v>
      </c>
      <c r="L107">
        <f ca="1">IFERROR(IF(AND(COUNTIF(B107,"*-峰插*"),技能数据库!$M$72&gt;0),0,IF(COUNTIF(B107,"*鹤归*")&gt;0,16-加速!$L$11,MAX(0,L106-(A107-A106)))),0)</f>
        <v>6.97000000000005</v>
      </c>
      <c r="M107">
        <f ca="1">IF(COUNTIF(IF(AND(配装计算器!$K$30&lt;&gt;"∞",0),INDEX(AU106:CB106,1,$AT$1),INDEX(AU108:CB108,1,$AT$1)),"*鹤归*")=1,L107,0)</f>
        <v>0</v>
      </c>
      <c r="N107">
        <f ca="1">IFERROR(IF(AND(COUNTIF(B107,"*-峰插*"),技能数据库!$M$72&gt;0),0,IF(COUNTIF(B107,"*云飞*")&gt;0,4-COUNTIF(B107,"*玉山揽云*")*4--COUNTIF(B107,"*烟流暮景*")*4-COUNTIF(B107,"*云景*")*加速!$L$11-IF(J107&gt;0,2,0),MAX(0,N106-(A107-A106)-IF(J107&gt;0,2,0)))),0)</f>
        <v>4</v>
      </c>
      <c r="O107">
        <f ca="1">IF(AND(COUNTIF(IF(AND(配装计算器!$K$30&lt;&gt;"∞",0),INDEX(AU106:CB106,1,$AT$1),INDEX(AU108:CB108,1,$AT$1)),"*云飞*")=1,COUNTIF(IF(AND(配装计算器!$K$30&lt;&gt;"∞",0),INDEX(AU106:CB106,1,$AT$1),INDEX(AU108:CB108,1,$AT$1)),"*玉山*")=0),N107,0)</f>
        <v>0</v>
      </c>
      <c r="P107">
        <f ca="1">IFERROR(IF(COUNTIF(B107,"*云栖松*")&gt;0,50-加速!$L$11,MAX(0,P106-(A107-A106))),0)</f>
        <v>0</v>
      </c>
      <c r="Q107">
        <f ca="1">IF(COUNTIF(IF(AND(配装计算器!$K$30&lt;&gt;"∞",0),INDEX(AU106:CB106,1,$AT$1),INDEX(AU108:CB108,1,$AT$1)),"*云栖松*")=1,P107,0)</f>
        <v>0</v>
      </c>
      <c r="R107">
        <f ca="1">IFERROR(IF(COUNTIF(B107,"*莺鸣柳*")&gt;0,45-加速!$L$9,MAX(0,R106-(A107-A106))),0)</f>
        <v>0</v>
      </c>
      <c r="S107">
        <f ca="1">IF(COUNTIF(IF(AND(配装计算器!$K$30&lt;&gt;"∞",0),INDEX(AU106:CB106,1,$AT$1),INDEX(AU108:CB108,1,$AT$1)),"*莺鸣柳*")=1,R107,0)</f>
        <v>0</v>
      </c>
      <c r="T107">
        <f ca="1" t="shared" si="18"/>
        <v>0</v>
      </c>
      <c r="U107">
        <f ca="1">IF(金蛇,IF(COUNTIF(B107,"*金环戴*")+COUNTIF(B107,"*吹风醒*")&gt;0,IF(A107&lt;=3,7.125-2.625-A107-加速!$L$11,7.125+加速!$K$9-(A107+加速!$L$11-T107)),0),0)+IF(金蛇,IF(COUNTIF(B107,"*千切子裂光*")&gt;0,2+加速!$K$9-(A107+加速!$L$11-T107),0),0)</f>
        <v>0</v>
      </c>
      <c r="V107">
        <f ca="1" t="shared" si="19"/>
        <v>0</v>
      </c>
      <c r="W107">
        <f ca="1" t="shared" si="11"/>
        <v>0</v>
      </c>
      <c r="X107">
        <f ca="1">INDEX(加速!$I$13:$I$21,技能数计算!W107+1)</f>
        <v>0</v>
      </c>
      <c r="Y107">
        <f ca="1" t="shared" si="15"/>
        <v>0.5</v>
      </c>
      <c r="Z107">
        <f ca="1" t="shared" si="16"/>
        <v>0</v>
      </c>
      <c r="AA107">
        <f ca="1">MAX(0,IFERROR(IF(COUNTIF(B107,"*叠*")&gt;0,IF(AC106&lt;3,8-A108+A107,AA106+6.875-A108+A107),AA106-A108+A107),AA106-加速!$L$11))</f>
        <v>0</v>
      </c>
      <c r="AB107">
        <f ca="1">MAX(0,IF(COUNTIF(IF(AND(配装计算器!$K$30&lt;&gt;"∞",0),INDEX(AU107:CB107,1,$AT$1),INDEX(AU107:CB107,1,$AT$1)),"*叠1*")=1,4*25-加速!$L$11,AB106-A107+A106)-IF(OR(COUNTIF(OFFSET(AT107,0,$AT$1,1,1),"*听雷*")&gt;0,AND(碧归&gt;0,COUNTIF(OFFSET(AT107,0,$AT$1,1,1),"*风来*")&gt;0)),0,1)*1.5)</f>
        <v>20.07</v>
      </c>
      <c r="AC107">
        <f ca="1" t="shared" si="12"/>
        <v>0</v>
      </c>
      <c r="AD107">
        <f ca="1">IF(COUNTIF(IF(AND(配装计算器!$K$30&lt;&gt;"∞",0),INDEX(AU107:CB107,1,$AT$1),INDEX(AU108:CB108,1,$AT$1)),"*叠1*")=1,AB107*0+AE106,0)</f>
        <v>0</v>
      </c>
      <c r="AE107">
        <f ca="1">IF($AN$11&gt;0,IF(COUNTIF(B108,"*叠1*")&gt;0,50-加速!$H$11,MAX(0,AE106-(A108-A107))),0)</f>
        <v>10.82</v>
      </c>
      <c r="AH107" t="s">
        <v>1825</v>
      </c>
      <c r="AI107" s="161" t="s">
        <v>2844</v>
      </c>
      <c r="AJ107">
        <f ca="1">循环比*COUNTIFS($B$3:$B$515,"*"&amp;AI107&amp;"*",$D$3:$D$515,"=0")</f>
        <v>0</v>
      </c>
      <c r="AU107" t="s">
        <v>2776</v>
      </c>
      <c r="AV107">
        <v>1</v>
      </c>
      <c r="AW107" t="s">
        <v>2768</v>
      </c>
      <c r="AX107">
        <v>2</v>
      </c>
      <c r="AY107" t="s">
        <v>2768</v>
      </c>
      <c r="AZ107">
        <v>1</v>
      </c>
      <c r="BA107" t="s">
        <v>2768</v>
      </c>
      <c r="BB107">
        <v>1</v>
      </c>
      <c r="BC107" t="s">
        <v>2768</v>
      </c>
      <c r="BD107">
        <v>1</v>
      </c>
      <c r="BE107" t="s">
        <v>2794</v>
      </c>
      <c r="BF107">
        <v>1</v>
      </c>
      <c r="BG107" t="s">
        <v>2768</v>
      </c>
      <c r="BH107">
        <v>2</v>
      </c>
      <c r="BI107" t="s">
        <v>2776</v>
      </c>
      <c r="BJ107">
        <v>0</v>
      </c>
      <c r="BK107" t="s">
        <v>2768</v>
      </c>
      <c r="BL107">
        <v>2</v>
      </c>
      <c r="BM107" s="176" t="str">
        <f>IF(秋,"梦泉虎跑-轻","夕照雷峰")</f>
        <v>夕照雷峰</v>
      </c>
      <c r="BN107">
        <v>2</v>
      </c>
      <c r="BO107" s="176" t="str">
        <f>IF(秋,"云飞玉皇-蛇牙锥心","云飞玉皇-血毒金蛇锥")</f>
        <v>云飞玉皇-血毒金蛇锥</v>
      </c>
      <c r="BP107">
        <v>2</v>
      </c>
      <c r="BQ107" t="s">
        <v>2768</v>
      </c>
      <c r="BR107">
        <v>0</v>
      </c>
      <c r="BS107" t="s">
        <v>2776</v>
      </c>
      <c r="BT107">
        <v>2</v>
      </c>
      <c r="BU107" t="s">
        <v>2768</v>
      </c>
      <c r="BV107">
        <v>1</v>
      </c>
      <c r="BW107" s="179" t="s">
        <v>2776</v>
      </c>
      <c r="BX107" s="179">
        <v>2</v>
      </c>
      <c r="BY107" s="176" t="str">
        <f>IF(秋,"梦泉虎跑-轻","夕照雷峰")</f>
        <v>夕照雷峰</v>
      </c>
      <c r="BZ107">
        <v>2</v>
      </c>
      <c r="CA107" s="176" t="str">
        <f>IF(秋,"梦泉虎跑-轻","夕照雷峰")</f>
        <v>夕照雷峰</v>
      </c>
      <c r="CB107">
        <v>1</v>
      </c>
    </row>
    <row r="108" spans="1:80">
      <c r="A108" s="178">
        <f ca="1">IFERROR(IF(A107+加速!$L$11&lt;$AS$1,IF(COUNTIF(B107,"*轻*")&gt;0,A107+加速!$L$9,A107+加速!$L$11)+V107,IF(COUNTIF(INDEX(AU108:CB108,1,$AT$1),"*云景*")+COUNTIF(INDEX(AU108:CB108,1,$AT$1),"*鹤归*")+COUNTIF(INDEX(AU108:CB108,1,$AT$1),"*听雷*")&gt;0,A107+加速!$L$11,"")),"")</f>
        <v>138.01</v>
      </c>
      <c r="B108" s="167" t="str">
        <f ca="1">IF(A108&lt;&gt;"",IF(AND(A108+加速!$L$11&gt;$AS$1,IF(AND(配装计算器!$K$30&lt;&gt;"∞",0),"梦泉虎跑-轻",INDEX(AU108:CB108,1,$AT$1))="云栖松"),"夕照雷峰",IF(AND(配装计算器!$K$30&lt;&gt;"∞",0),"梦泉虎跑-轻",INDEX(AU108:CB108,1,$AT$1))),"")</f>
        <v>夕照雷峰</v>
      </c>
      <c r="C108">
        <f ca="1" t="shared" si="17"/>
        <v>15</v>
      </c>
      <c r="D108">
        <f ca="1">IF(B108&lt;&gt;"",IF(C107&lt;=加速!$L$11*(1-E108),0,1),"")</f>
        <v>1</v>
      </c>
      <c r="E108">
        <f ca="1" t="shared" si="13"/>
        <v>0</v>
      </c>
      <c r="G108">
        <f ca="1" t="shared" si="14"/>
        <v>0</v>
      </c>
      <c r="H108">
        <f ca="1">IF(B108&lt;&gt;"",IF(AND(COUNTIF(B107,"*轻*莺鸣柳*")&gt;0,COUNTIF(B108,"*轻*")&lt;1),MAX(0,15+I107-(A108-A107)+COUNTIF(B107,"*平湖*")*0),IF(AND(E108=0,MAX(0,H107-(A108-A107))&lt;=加速!$H$11),0,MAX(0,H107-(A108-A107)))),"")</f>
        <v>0</v>
      </c>
      <c r="I108">
        <f ca="1" t="shared" si="20"/>
        <v>0</v>
      </c>
      <c r="J108">
        <f ca="1" t="shared" si="21"/>
        <v>0</v>
      </c>
      <c r="K108">
        <f ca="1">IF(A108&lt;&gt;"",IF(AND(配装计算器!$K$30&lt;&gt;"∞",0),2,INDEX(AU108:CB108,1,$AT$2)),"")</f>
        <v>0</v>
      </c>
      <c r="L108">
        <f ca="1">IFERROR(IF(AND(COUNTIF(B108,"*-峰插*"),技能数据库!$M$72&gt;0),0,IF(COUNTIF(B108,"*鹤归*")&gt;0,16-加速!$L$11,MAX(0,L107-(A108-A107)))),0)</f>
        <v>5.68000000000006</v>
      </c>
      <c r="M108">
        <f ca="1">IF(COUNTIF(IF(AND(配装计算器!$K$30&lt;&gt;"∞",0),INDEX(AU107:CB107,1,$AT$1),INDEX(AU109:CB109,1,$AT$1)),"*鹤归*")=1,L108,0)</f>
        <v>0</v>
      </c>
      <c r="N108">
        <f ca="1">IFERROR(IF(AND(COUNTIF(B108,"*-峰插*"),技能数据库!$M$72&gt;0),0,IF(COUNTIF(B108,"*云飞*")&gt;0,4-COUNTIF(B108,"*玉山揽云*")*4--COUNTIF(B108,"*烟流暮景*")*4-COUNTIF(B108,"*云景*")*加速!$L$11-IF(J108&gt;0,2,0),MAX(0,N107-(A108-A107)-IF(J108&gt;0,2,0)))),0)</f>
        <v>2.71000000000001</v>
      </c>
      <c r="O108">
        <f ca="1">IF(AND(COUNTIF(IF(AND(配装计算器!$K$30&lt;&gt;"∞",0),INDEX(AU107:CB107,1,$AT$1),INDEX(AU109:CB109,1,$AT$1)),"*云飞*")=1,COUNTIF(IF(AND(配装计算器!$K$30&lt;&gt;"∞",0),INDEX(AU107:CB107,1,$AT$1),INDEX(AU109:CB109,1,$AT$1)),"*玉山*")=0),N108,0)</f>
        <v>0</v>
      </c>
      <c r="P108">
        <f ca="1">IFERROR(IF(COUNTIF(B108,"*云栖松*")&gt;0,50-加速!$L$11,MAX(0,P107-(A108-A107))),0)</f>
        <v>0</v>
      </c>
      <c r="Q108">
        <f ca="1">IF(COUNTIF(IF(AND(配装计算器!$K$30&lt;&gt;"∞",0),INDEX(AU107:CB107,1,$AT$1),INDEX(AU109:CB109,1,$AT$1)),"*云栖松*")=1,P108,0)</f>
        <v>0</v>
      </c>
      <c r="R108">
        <f ca="1">IFERROR(IF(COUNTIF(B108,"*莺鸣柳*")&gt;0,45-加速!$L$9,MAX(0,R107-(A108-A107))),0)</f>
        <v>0</v>
      </c>
      <c r="S108">
        <f ca="1">IF(COUNTIF(IF(AND(配装计算器!$K$30&lt;&gt;"∞",0),INDEX(AU107:CB107,1,$AT$1),INDEX(AU109:CB109,1,$AT$1)),"*莺鸣柳*")=1,R108,0)</f>
        <v>0</v>
      </c>
      <c r="T108">
        <f ca="1" t="shared" si="18"/>
        <v>0</v>
      </c>
      <c r="U108">
        <f ca="1">IF(金蛇,IF(COUNTIF(B108,"*金环戴*")+COUNTIF(B108,"*吹风醒*")&gt;0,IF(A108&lt;=3,7.125-2.625-A108-加速!$L$11,7.125+加速!$K$9-(A108+加速!$L$11-T108)),0),0)+IF(金蛇,IF(COUNTIF(B108,"*千切子裂光*")&gt;0,2+加速!$K$9-(A108+加速!$L$11-T108),0),0)</f>
        <v>0</v>
      </c>
      <c r="V108">
        <f ca="1" t="shared" si="19"/>
        <v>0</v>
      </c>
      <c r="W108">
        <f ca="1" t="shared" si="11"/>
        <v>0</v>
      </c>
      <c r="X108">
        <f ca="1">INDEX(加速!$I$13:$I$21,技能数计算!W108+1)</f>
        <v>0</v>
      </c>
      <c r="Y108">
        <f ca="1" t="shared" si="15"/>
        <v>0.5</v>
      </c>
      <c r="Z108">
        <f ca="1" t="shared" si="16"/>
        <v>0</v>
      </c>
      <c r="AA108">
        <f ca="1">MAX(0,IFERROR(IF(COUNTIF(B108,"*叠*")&gt;0,IF(AC107&lt;3,8-A109+A108,AA107+6.875-A109+A108),AA107-A109+A108),AA107-加速!$L$11))</f>
        <v>0</v>
      </c>
      <c r="AB108">
        <f ca="1">MAX(0,IF(COUNTIF(IF(AND(配装计算器!$K$30&lt;&gt;"∞",0),INDEX(AU108:CB108,1,$AT$1),INDEX(AU108:CB108,1,$AT$1)),"*叠1*")=1,4*25-加速!$L$11,AB107-A108+A107)-IF(OR(COUNTIF(OFFSET(AT108,0,$AT$1,1,1),"*听雷*")&gt;0,AND(碧归&gt;0,COUNTIF(OFFSET(AT108,0,$AT$1,1,1),"*风来*")&gt;0)),0,1)*1.5)</f>
        <v>17.28</v>
      </c>
      <c r="AC108">
        <f ca="1" t="shared" si="12"/>
        <v>0</v>
      </c>
      <c r="AD108">
        <f ca="1">IF(COUNTIF(IF(AND(配装计算器!$K$30&lt;&gt;"∞",0),INDEX(AU108:CB108,1,$AT$1),INDEX(AU109:CB109,1,$AT$1)),"*叠1*")=1,AB108*0+AE107,0)</f>
        <v>0</v>
      </c>
      <c r="AE108">
        <f ca="1">IF($AN$11&gt;0,IF(COUNTIF(B109,"*叠1*")&gt;0,50-加速!$H$11,MAX(0,AE107-(A109-A108))),0)</f>
        <v>9.53</v>
      </c>
      <c r="AH108" t="s">
        <v>1825</v>
      </c>
      <c r="AI108" s="161" t="s">
        <v>2847</v>
      </c>
      <c r="AJ108">
        <f ca="1">循环比*COUNTIFS($B$3:$B$515,"*"&amp;AI108&amp;"*",$D$3:$D$515,"=0")</f>
        <v>0</v>
      </c>
      <c r="AU108" t="s">
        <v>2768</v>
      </c>
      <c r="AV108">
        <v>2</v>
      </c>
      <c r="AW108" t="str">
        <f>IF(山重水复,"风来吴山","夕照雷峰")</f>
        <v>夕照雷峰</v>
      </c>
      <c r="AX108">
        <v>2</v>
      </c>
      <c r="AY108" t="s">
        <v>2776</v>
      </c>
      <c r="AZ108">
        <v>1</v>
      </c>
      <c r="BA108" t="s">
        <v>2776</v>
      </c>
      <c r="BB108">
        <v>1</v>
      </c>
      <c r="BC108" t="s">
        <v>2813</v>
      </c>
      <c r="BD108">
        <v>0</v>
      </c>
      <c r="BE108" t="s">
        <v>2768</v>
      </c>
      <c r="BF108">
        <v>1</v>
      </c>
      <c r="BG108" s="176" t="s">
        <v>2794</v>
      </c>
      <c r="BH108">
        <v>1</v>
      </c>
      <c r="BI108" t="s">
        <v>2768</v>
      </c>
      <c r="BJ108">
        <v>0</v>
      </c>
      <c r="BK108" t="s">
        <v>2768</v>
      </c>
      <c r="BL108">
        <v>2</v>
      </c>
      <c r="BM108" s="176" t="str">
        <f>IF(秋,"九溪弥烟-轻-血毒金蛇锥","梦泉虎跑-轻")</f>
        <v>梦泉虎跑-轻</v>
      </c>
      <c r="BN108">
        <v>0</v>
      </c>
      <c r="BO108" t="s">
        <v>2768</v>
      </c>
      <c r="BP108">
        <v>2</v>
      </c>
      <c r="BQ108" t="s">
        <v>2776</v>
      </c>
      <c r="BR108">
        <v>2</v>
      </c>
      <c r="BS108" t="s">
        <v>2768</v>
      </c>
      <c r="BT108">
        <v>1</v>
      </c>
      <c r="BU108" t="s">
        <v>2776</v>
      </c>
      <c r="BV108">
        <v>1</v>
      </c>
      <c r="BW108" s="179" t="s">
        <v>2768</v>
      </c>
      <c r="BX108" s="179">
        <v>2</v>
      </c>
      <c r="BY108" s="176" t="str">
        <f>IF(秋,"九溪弥烟-轻-血毒金蛇锥","梦泉虎跑-轻")</f>
        <v>梦泉虎跑-轻</v>
      </c>
      <c r="BZ108">
        <v>0</v>
      </c>
      <c r="CA108" s="176" t="str">
        <f>IF(秋,"九溪弥烟-轻-血毒金蛇锥","梦泉虎跑-轻")</f>
        <v>梦泉虎跑-轻</v>
      </c>
      <c r="CB108">
        <v>0</v>
      </c>
    </row>
    <row r="109" spans="1:80">
      <c r="A109" s="178">
        <f ca="1">IFERROR(IF(A108+加速!$L$11&lt;$AS$1,IF(COUNTIF(B108,"*轻*")&gt;0,A108+加速!$L$9,A108+加速!$L$11)+V108,IF(COUNTIF(INDEX(AU109:CB109,1,$AT$1),"*云景*")+COUNTIF(INDEX(AU109:CB109,1,$AT$1),"*鹤归*")+COUNTIF(INDEX(AU109:CB109,1,$AT$1),"*听雷*")&gt;0,A108+加速!$L$11,"")),"")</f>
        <v>139.3</v>
      </c>
      <c r="B109" s="167" t="str">
        <f ca="1">IF(A109&lt;&gt;"",IF(AND(A109+加速!$L$11&gt;$AS$1,IF(AND(配装计算器!$K$30&lt;&gt;"∞",0),"梦泉虎跑-轻",INDEX(AU109:CB109,1,$AT$1))="云栖松"),"夕照雷峰",IF(AND(配装计算器!$K$30&lt;&gt;"∞",0),"梦泉虎跑-轻",INDEX(AU109:CB109,1,$AT$1))),"")</f>
        <v>夕照雷峰</v>
      </c>
      <c r="C109">
        <f ca="1" t="shared" si="17"/>
        <v>15</v>
      </c>
      <c r="D109">
        <f ca="1">IF(B109&lt;&gt;"",IF(C108&lt;=加速!$L$11*(1-E109),0,1),"")</f>
        <v>1</v>
      </c>
      <c r="E109">
        <f ca="1" t="shared" si="13"/>
        <v>0</v>
      </c>
      <c r="G109">
        <f ca="1" t="shared" si="14"/>
        <v>0</v>
      </c>
      <c r="H109">
        <f ca="1">IF(B109&lt;&gt;"",IF(AND(COUNTIF(B108,"*轻*莺鸣柳*")&gt;0,COUNTIF(B109,"*轻*")&lt;1),MAX(0,15+I108-(A109-A108)+COUNTIF(B108,"*平湖*")*0),IF(AND(E109=0,MAX(0,H108-(A109-A108))&lt;=加速!$H$11),0,MAX(0,H108-(A109-A108)))),"")</f>
        <v>0</v>
      </c>
      <c r="I109">
        <f ca="1" t="shared" si="20"/>
        <v>0</v>
      </c>
      <c r="J109">
        <f ca="1" t="shared" si="21"/>
        <v>0</v>
      </c>
      <c r="K109">
        <f ca="1">IF(A109&lt;&gt;"",IF(AND(配装计算器!$K$30&lt;&gt;"∞",0),2,INDEX(AU109:CB109,1,$AT$2)),"")</f>
        <v>0</v>
      </c>
      <c r="L109">
        <f ca="1">IFERROR(IF(AND(COUNTIF(B109,"*-峰插*"),技能数据库!$M$72&gt;0),0,IF(COUNTIF(B109,"*鹤归*")&gt;0,16-加速!$L$11,MAX(0,L108-(A109-A108)))),0)</f>
        <v>4.39000000000006</v>
      </c>
      <c r="M109">
        <f ca="1">IF(COUNTIF(IF(AND(配装计算器!$K$30&lt;&gt;"∞",0),INDEX(AU108:CB108,1,$AT$1),INDEX(AU110:CB110,1,$AT$1)),"*鹤归*")=1,L109,0)</f>
        <v>0</v>
      </c>
      <c r="N109">
        <f ca="1">IFERROR(IF(AND(COUNTIF(B109,"*-峰插*"),技能数据库!$M$72&gt;0),0,IF(COUNTIF(B109,"*云飞*")&gt;0,4-COUNTIF(B109,"*玉山揽云*")*4--COUNTIF(B109,"*烟流暮景*")*4-COUNTIF(B109,"*云景*")*加速!$L$11-IF(J109&gt;0,2,0),MAX(0,N108-(A109-A108)-IF(J109&gt;0,2,0)))),0)</f>
        <v>1.42000000000002</v>
      </c>
      <c r="O109">
        <f ca="1">IF(AND(COUNTIF(IF(AND(配装计算器!$K$30&lt;&gt;"∞",0),INDEX(AU108:CB108,1,$AT$1),INDEX(AU110:CB110,1,$AT$1)),"*云飞*")=1,COUNTIF(IF(AND(配装计算器!$K$30&lt;&gt;"∞",0),INDEX(AU108:CB108,1,$AT$1),INDEX(AU110:CB110,1,$AT$1)),"*玉山*")=0),N109,0)</f>
        <v>0</v>
      </c>
      <c r="P109">
        <f ca="1">IFERROR(IF(COUNTIF(B109,"*云栖松*")&gt;0,50-加速!$L$11,MAX(0,P108-(A109-A108))),0)</f>
        <v>0</v>
      </c>
      <c r="Q109">
        <f ca="1">IF(COUNTIF(IF(AND(配装计算器!$K$30&lt;&gt;"∞",0),INDEX(AU108:CB108,1,$AT$1),INDEX(AU110:CB110,1,$AT$1)),"*云栖松*")=1,P109,0)</f>
        <v>0</v>
      </c>
      <c r="R109">
        <f ca="1">IFERROR(IF(COUNTIF(B109,"*莺鸣柳*")&gt;0,45-加速!$L$9,MAX(0,R108-(A109-A108))),0)</f>
        <v>0</v>
      </c>
      <c r="S109">
        <f ca="1">IF(COUNTIF(IF(AND(配装计算器!$K$30&lt;&gt;"∞",0),INDEX(AU108:CB108,1,$AT$1),INDEX(AU110:CB110,1,$AT$1)),"*莺鸣柳*")=1,R109,0)</f>
        <v>0</v>
      </c>
      <c r="T109">
        <f ca="1" t="shared" si="18"/>
        <v>0</v>
      </c>
      <c r="U109">
        <f ca="1">IF(金蛇,IF(COUNTIF(B109,"*金环戴*")+COUNTIF(B109,"*吹风醒*")&gt;0,IF(A109&lt;=3,7.125-2.625-A109-加速!$L$11,7.125+加速!$K$9-(A109+加速!$L$11-T109)),0),0)+IF(金蛇,IF(COUNTIF(B109,"*千切子裂光*")&gt;0,2+加速!$K$9-(A109+加速!$L$11-T109),0),0)</f>
        <v>0</v>
      </c>
      <c r="V109">
        <f ca="1" t="shared" si="19"/>
        <v>0</v>
      </c>
      <c r="W109">
        <f ca="1" t="shared" si="11"/>
        <v>0</v>
      </c>
      <c r="X109">
        <f ca="1">INDEX(加速!$I$13:$I$21,技能数计算!W109+1)</f>
        <v>0</v>
      </c>
      <c r="Y109">
        <f ca="1" t="shared" si="15"/>
        <v>0.5</v>
      </c>
      <c r="Z109">
        <f ca="1" t="shared" si="16"/>
        <v>0</v>
      </c>
      <c r="AA109">
        <f ca="1">MAX(0,IFERROR(IF(COUNTIF(B109,"*叠*")&gt;0,IF(AC108&lt;3,8-A110+A109,AA108+6.875-A110+A109),AA108-A110+A109),AA108-加速!$L$11))</f>
        <v>0</v>
      </c>
      <c r="AB109">
        <f ca="1">MAX(0,IF(COUNTIF(IF(AND(配装计算器!$K$30&lt;&gt;"∞",0),INDEX(AU109:CB109,1,$AT$1),INDEX(AU109:CB109,1,$AT$1)),"*叠1*")=1,4*25-加速!$L$11,AB108-A109+A108)-IF(OR(COUNTIF(OFFSET(AT109,0,$AT$1,1,1),"*听雷*")&gt;0,AND(碧归&gt;0,COUNTIF(OFFSET(AT109,0,$AT$1,1,1),"*风来*")&gt;0)),0,1)*1.5)</f>
        <v>14.49</v>
      </c>
      <c r="AC109">
        <f ca="1" t="shared" si="12"/>
        <v>0</v>
      </c>
      <c r="AD109">
        <f ca="1">IF(COUNTIF(IF(AND(配装计算器!$K$30&lt;&gt;"∞",0),INDEX(AU109:CB109,1,$AT$1),INDEX(AU110:CB110,1,$AT$1)),"*叠1*")=1,AB109*0+AE108,0)</f>
        <v>0</v>
      </c>
      <c r="AE109">
        <f ca="1">IF($AN$11&gt;0,IF(COUNTIF(B110,"*叠1*")&gt;0,50-加速!$H$11,MAX(0,AE108-(A110-A109))),0)</f>
        <v>8.24000000000001</v>
      </c>
      <c r="AH109" t="s">
        <v>1825</v>
      </c>
      <c r="AI109" s="161" t="s">
        <v>2850</v>
      </c>
      <c r="AJ109">
        <f ca="1">循环比*COUNTIFS($B$3:$B$515,AI109&amp;"*",$D$3:$D$515,"=0")</f>
        <v>0</v>
      </c>
      <c r="AU109" t="s">
        <v>2768</v>
      </c>
      <c r="AV109">
        <v>2</v>
      </c>
      <c r="AW109" s="176" t="s">
        <v>2794</v>
      </c>
      <c r="AX109">
        <v>2</v>
      </c>
      <c r="AY109" t="s">
        <v>2768</v>
      </c>
      <c r="AZ109">
        <v>1</v>
      </c>
      <c r="BA109" t="s">
        <v>2768</v>
      </c>
      <c r="BB109">
        <v>1</v>
      </c>
      <c r="BC109" t="s">
        <v>2776</v>
      </c>
      <c r="BD109">
        <v>2</v>
      </c>
      <c r="BE109" t="s">
        <v>2776</v>
      </c>
      <c r="BF109">
        <v>1</v>
      </c>
      <c r="BG109" t="s">
        <v>2776</v>
      </c>
      <c r="BH109">
        <v>1</v>
      </c>
      <c r="BI109" t="s">
        <v>2768</v>
      </c>
      <c r="BJ109">
        <v>0</v>
      </c>
      <c r="BK109" t="s">
        <v>2776</v>
      </c>
      <c r="BL109">
        <v>2</v>
      </c>
      <c r="BM109" t="s">
        <v>3009</v>
      </c>
      <c r="BN109">
        <v>2</v>
      </c>
      <c r="BO109" t="str">
        <f>IF(山重水复,"风来吴山","夕照雷峰")</f>
        <v>夕照雷峰</v>
      </c>
      <c r="BP109">
        <v>2</v>
      </c>
      <c r="BQ109" t="s">
        <v>1886</v>
      </c>
      <c r="BR109">
        <v>2</v>
      </c>
      <c r="BS109" t="str">
        <f>IF(秋,"云栖松","泉凝月")</f>
        <v>泉凝月</v>
      </c>
      <c r="BT109">
        <v>1</v>
      </c>
      <c r="BU109" t="str">
        <f>IF(秋,"云栖松","泉凝月")</f>
        <v>泉凝月</v>
      </c>
      <c r="BV109">
        <v>0</v>
      </c>
      <c r="BW109" s="179" t="s">
        <v>2768</v>
      </c>
      <c r="BX109" s="179">
        <v>2</v>
      </c>
      <c r="BY109" t="s">
        <v>3009</v>
      </c>
      <c r="BZ109">
        <v>2</v>
      </c>
      <c r="CA109" t="s">
        <v>3009</v>
      </c>
      <c r="CB109">
        <v>2</v>
      </c>
    </row>
    <row r="110" spans="1:80">
      <c r="A110" s="178">
        <f ca="1">IFERROR(IF(A109+加速!$L$11&lt;$AS$1,IF(COUNTIF(B109,"*轻*")&gt;0,A109+加速!$L$9,A109+加速!$L$11)+V109,IF(COUNTIF(INDEX(AU110:CB110,1,$AT$1),"*云景*")+COUNTIF(INDEX(AU110:CB110,1,$AT$1),"*鹤归*")+COUNTIF(INDEX(AU110:CB110,1,$AT$1),"*听雷*")&gt;0,A109+加速!$L$11,"")),"")</f>
        <v>140.59</v>
      </c>
      <c r="B110" s="167" t="str">
        <f ca="1">IF(A110&lt;&gt;"",IF(AND(A110+加速!$L$11&gt;$AS$1,IF(AND(配装计算器!$K$30&lt;&gt;"∞",0),"梦泉虎跑-轻",INDEX(AU110:CB110,1,$AT$1))="云栖松"),"夕照雷峰",IF(AND(配装计算器!$K$30&lt;&gt;"∞",0),"梦泉虎跑-轻",INDEX(AU110:CB110,1,$AT$1))),"")</f>
        <v>听雷-轻</v>
      </c>
      <c r="C110">
        <f ca="1" t="shared" si="17"/>
        <v>13.71</v>
      </c>
      <c r="D110">
        <f ca="1">IF(B110&lt;&gt;"",IF(C109&lt;=加速!$L$11*(1-E110),0,1),"")</f>
        <v>1</v>
      </c>
      <c r="E110">
        <f ca="1" t="shared" si="13"/>
        <v>1</v>
      </c>
      <c r="G110">
        <f ca="1" t="shared" si="14"/>
        <v>0</v>
      </c>
      <c r="H110">
        <f ca="1">IF(B110&lt;&gt;"",IF(AND(COUNTIF(B109,"*轻*莺鸣柳*")&gt;0,COUNTIF(B110,"*轻*")&lt;1),MAX(0,15+I109-(A110-A109)+COUNTIF(B109,"*平湖*")*0),IF(AND(E110=0,MAX(0,H109-(A110-A109))&lt;=加速!$H$11),0,MAX(0,H109-(A110-A109)))),"")</f>
        <v>0</v>
      </c>
      <c r="I110">
        <f ca="1" t="shared" si="20"/>
        <v>0</v>
      </c>
      <c r="J110">
        <f ca="1" t="shared" si="21"/>
        <v>0</v>
      </c>
      <c r="K110">
        <f ca="1">IF(A110&lt;&gt;"",IF(AND(配装计算器!$K$30&lt;&gt;"∞",0),2,INDEX(AU110:CB110,1,$AT$2)),"")</f>
        <v>0</v>
      </c>
      <c r="L110">
        <f ca="1">IFERROR(IF(AND(COUNTIF(B110,"*-峰插*"),技能数据库!$M$72&gt;0),0,IF(COUNTIF(B110,"*鹤归*")&gt;0,16-加速!$L$11,MAX(0,L109-(A110-A109)))),0)</f>
        <v>3.10000000000007</v>
      </c>
      <c r="M110">
        <f ca="1">IF(COUNTIF(IF(AND(配装计算器!$K$30&lt;&gt;"∞",0),INDEX(AU109:CB109,1,$AT$1),INDEX(AU111:CB111,1,$AT$1)),"*鹤归*")=1,L110,0)</f>
        <v>0</v>
      </c>
      <c r="N110">
        <f ca="1">IFERROR(IF(AND(COUNTIF(B110,"*-峰插*"),技能数据库!$M$72&gt;0),0,IF(COUNTIF(B110,"*云飞*")&gt;0,4-COUNTIF(B110,"*玉山揽云*")*4--COUNTIF(B110,"*烟流暮景*")*4-COUNTIF(B110,"*云景*")*加速!$L$11-IF(J110&gt;0,2,0),MAX(0,N109-(A110-A109)-IF(J110&gt;0,2,0)))),0)</f>
        <v>0.130000000000024</v>
      </c>
      <c r="O110">
        <f ca="1">IF(AND(COUNTIF(IF(AND(配装计算器!$K$30&lt;&gt;"∞",0),INDEX(AU109:CB109,1,$AT$1),INDEX(AU111:CB111,1,$AT$1)),"*云飞*")=1,COUNTIF(IF(AND(配装计算器!$K$30&lt;&gt;"∞",0),INDEX(AU109:CB109,1,$AT$1),INDEX(AU111:CB111,1,$AT$1)),"*玉山*")=0),N110,0)</f>
        <v>0.130000000000024</v>
      </c>
      <c r="P110">
        <f ca="1">IFERROR(IF(COUNTIF(B110,"*云栖松*")&gt;0,50-加速!$L$11,MAX(0,P109-(A110-A109))),0)</f>
        <v>0</v>
      </c>
      <c r="Q110">
        <f ca="1">IF(COUNTIF(IF(AND(配装计算器!$K$30&lt;&gt;"∞",0),INDEX(AU109:CB109,1,$AT$1),INDEX(AU111:CB111,1,$AT$1)),"*云栖松*")=1,P110,0)</f>
        <v>0</v>
      </c>
      <c r="R110">
        <f ca="1">IFERROR(IF(COUNTIF(B110,"*莺鸣柳*")&gt;0,45-加速!$L$9,MAX(0,R109-(A110-A109))),0)</f>
        <v>0</v>
      </c>
      <c r="S110">
        <f ca="1">IF(COUNTIF(IF(AND(配装计算器!$K$30&lt;&gt;"∞",0),INDEX(AU109:CB109,1,$AT$1),INDEX(AU111:CB111,1,$AT$1)),"*莺鸣柳*")=1,R110,0)</f>
        <v>0</v>
      </c>
      <c r="T110">
        <f ca="1" t="shared" si="18"/>
        <v>0</v>
      </c>
      <c r="U110">
        <f ca="1">IF(金蛇,IF(COUNTIF(B110,"*金环戴*")+COUNTIF(B110,"*吹风醒*")&gt;0,IF(A110&lt;=3,7.125-2.625-A110-加速!$L$11,7.125+加速!$K$9-(A110+加速!$L$11-T110)),0),0)+IF(金蛇,IF(COUNTIF(B110,"*千切子裂光*")&gt;0,2+加速!$K$9-(A110+加速!$L$11-T110),0),0)</f>
        <v>0</v>
      </c>
      <c r="V110">
        <f ca="1" t="shared" si="19"/>
        <v>0.130000000000024</v>
      </c>
      <c r="W110">
        <f ca="1" t="shared" si="11"/>
        <v>0</v>
      </c>
      <c r="X110">
        <f ca="1">INDEX(加速!$I$13:$I$21,技能数计算!W110+1)</f>
        <v>0</v>
      </c>
      <c r="Y110">
        <f ca="1" t="shared" si="15"/>
        <v>0.5</v>
      </c>
      <c r="Z110">
        <f ca="1" t="shared" si="16"/>
        <v>0</v>
      </c>
      <c r="AA110">
        <f ca="1">MAX(0,IFERROR(IF(COUNTIF(B110,"*叠*")&gt;0,IF(AC109&lt;3,8-A111+A110,AA109+6.875-A111+A110),AA109-A111+A110),AA109-加速!$L$11))</f>
        <v>0</v>
      </c>
      <c r="AB110">
        <f ca="1">MAX(0,IF(COUNTIF(IF(AND(配装计算器!$K$30&lt;&gt;"∞",0),INDEX(AU110:CB110,1,$AT$1),INDEX(AU110:CB110,1,$AT$1)),"*叠1*")=1,4*25-加速!$L$11,AB109-A110+A109)-IF(OR(COUNTIF(OFFSET(AT110,0,$AT$1,1,1),"*听雷*")&gt;0,AND(碧归&gt;0,COUNTIF(OFFSET(AT110,0,$AT$1,1,1),"*风来*")&gt;0)),0,1)*1.5)</f>
        <v>13.2</v>
      </c>
      <c r="AC110">
        <f ca="1" t="shared" si="12"/>
        <v>0</v>
      </c>
      <c r="AD110">
        <f ca="1">IF(COUNTIF(IF(AND(配装计算器!$K$30&lt;&gt;"∞",0),INDEX(AU110:CB110,1,$AT$1),INDEX(AU111:CB111,1,$AT$1)),"*叠1*")=1,AB110*0+AE109,0)</f>
        <v>0</v>
      </c>
      <c r="AE110">
        <f ca="1">IF($AN$11&gt;0,IF(COUNTIF(B111,"*叠1*")&gt;0,50-加速!$H$11,MAX(0,AE109-(A111-A110))),0)</f>
        <v>6.81999999999999</v>
      </c>
      <c r="AH110" t="s">
        <v>1825</v>
      </c>
      <c r="AI110" s="161" t="s">
        <v>2853</v>
      </c>
      <c r="AJ110">
        <f ca="1">循环比*COUNTIFS($B$3:$B$515,"*"&amp;AI110&amp;"*",$D$3:$D$515,"=0")</f>
        <v>0</v>
      </c>
      <c r="AU110" s="176" t="s">
        <v>2794</v>
      </c>
      <c r="AV110">
        <v>2</v>
      </c>
      <c r="AW110" s="176" t="s">
        <v>2776</v>
      </c>
      <c r="AX110">
        <v>2</v>
      </c>
      <c r="AY110" t="s">
        <v>2768</v>
      </c>
      <c r="AZ110">
        <v>0</v>
      </c>
      <c r="BA110" t="s">
        <v>2768</v>
      </c>
      <c r="BB110">
        <v>0</v>
      </c>
      <c r="BC110" t="s">
        <v>2768</v>
      </c>
      <c r="BD110">
        <v>2</v>
      </c>
      <c r="BE110" t="s">
        <v>2768</v>
      </c>
      <c r="BF110">
        <v>0</v>
      </c>
      <c r="BG110" t="s">
        <v>2768</v>
      </c>
      <c r="BH110">
        <v>1</v>
      </c>
      <c r="BI110" t="s">
        <v>2722</v>
      </c>
      <c r="BJ110">
        <v>0</v>
      </c>
      <c r="BK110" t="s">
        <v>2768</v>
      </c>
      <c r="BL110">
        <v>1</v>
      </c>
      <c r="BM110" s="176" t="str">
        <f>IF(秋,"云飞玉皇-蛇牙锥心","云飞玉皇-血毒金蛇锥")</f>
        <v>云飞玉皇-血毒金蛇锥</v>
      </c>
      <c r="BN110">
        <v>2</v>
      </c>
      <c r="BO110" s="176" t="s">
        <v>2794</v>
      </c>
      <c r="BP110">
        <v>2</v>
      </c>
      <c r="BQ110" t="s">
        <v>2853</v>
      </c>
      <c r="BR110">
        <v>2</v>
      </c>
      <c r="BS110" t="s">
        <v>2768</v>
      </c>
      <c r="BT110">
        <v>0</v>
      </c>
      <c r="BU110" t="s">
        <v>2768</v>
      </c>
      <c r="BV110">
        <v>0</v>
      </c>
      <c r="BW110" s="182" t="s">
        <v>2794</v>
      </c>
      <c r="BX110" s="179">
        <v>2</v>
      </c>
      <c r="BY110" t="str">
        <f>IF(秋,"夕照雷峰-蛇牙锥心","夕照雷峰")</f>
        <v>夕照雷峰</v>
      </c>
      <c r="BZ110">
        <v>2</v>
      </c>
      <c r="CA110" s="176" t="str">
        <f>IF(秋,"鹤归孤山-蛇牙锥心","鹤归孤山")</f>
        <v>鹤归孤山</v>
      </c>
      <c r="CB110">
        <v>2</v>
      </c>
    </row>
    <row r="111" spans="1:80">
      <c r="A111" s="178">
        <f ca="1">IFERROR(IF(A110+加速!$L$11&lt;$AS$1,IF(COUNTIF(B110,"*轻*")&gt;0,A110+加速!$L$9,A110+加速!$L$11)+V110,IF(COUNTIF(INDEX(AU111:CB111,1,$AT$1),"*云景*")+COUNTIF(INDEX(AU111:CB111,1,$AT$1),"*鹤归*")+COUNTIF(INDEX(AU111:CB111,1,$AT$1),"*听雷*")&gt;0,A110+加速!$L$11,"")),"")</f>
        <v>142.01</v>
      </c>
      <c r="B111" s="167" t="str">
        <f ca="1">IF(A111&lt;&gt;"",IF(AND(A111+加速!$L$11&gt;$AS$1,IF(AND(配装计算器!$K$30&lt;&gt;"∞",0),"梦泉虎跑-轻",INDEX(AU111:CB111,1,$AT$1))="云栖松"),"夕照雷峰",IF(AND(配装计算器!$K$30&lt;&gt;"∞",0),"梦泉虎跑-轻",INDEX(AU111:CB111,1,$AT$1))),"")</f>
        <v>云飞玉皇</v>
      </c>
      <c r="C111">
        <f ca="1" t="shared" si="17"/>
        <v>12.29</v>
      </c>
      <c r="D111">
        <f ca="1">IF(B111&lt;&gt;"",IF(C110&lt;=加速!$L$11*(1-E111),0,1),"")</f>
        <v>1</v>
      </c>
      <c r="E111">
        <f ca="1" t="shared" si="13"/>
        <v>0</v>
      </c>
      <c r="G111">
        <f ca="1" t="shared" si="14"/>
        <v>0</v>
      </c>
      <c r="H111">
        <f ca="1">IF(B111&lt;&gt;"",IF(AND(COUNTIF(B110,"*轻*莺鸣柳*")&gt;0,COUNTIF(B111,"*轻*")&lt;1),MAX(0,15+I110-(A111-A110)+COUNTIF(B110,"*平湖*")*0),IF(AND(E111=0,MAX(0,H110-(A111-A110))&lt;=加速!$H$11),0,MAX(0,H110-(A111-A110)))),"")</f>
        <v>0</v>
      </c>
      <c r="I111">
        <f ca="1" t="shared" si="20"/>
        <v>0</v>
      </c>
      <c r="J111">
        <f ca="1" t="shared" si="21"/>
        <v>0</v>
      </c>
      <c r="K111">
        <f ca="1">IF(A111&lt;&gt;"",IF(AND(配装计算器!$K$30&lt;&gt;"∞",0),2,INDEX(AU111:CB111,1,$AT$2)),"")</f>
        <v>2</v>
      </c>
      <c r="L111">
        <f ca="1">IFERROR(IF(AND(COUNTIF(B111,"*-峰插*"),技能数据库!$M$72&gt;0),0,IF(COUNTIF(B111,"*鹤归*")&gt;0,16-加速!$L$11,MAX(0,L110-(A111-A110)))),0)</f>
        <v>1.68000000000006</v>
      </c>
      <c r="M111">
        <f ca="1">IF(COUNTIF(IF(AND(配装计算器!$K$30&lt;&gt;"∞",0),INDEX(AU110:CB110,1,$AT$1),INDEX(AU112:CB112,1,$AT$1)),"*鹤归*")=1,L111,0)</f>
        <v>0</v>
      </c>
      <c r="N111">
        <f ca="1">IFERROR(IF(AND(COUNTIF(B111,"*-峰插*"),技能数据库!$M$72&gt;0),0,IF(COUNTIF(B111,"*云飞*")&gt;0,4-COUNTIF(B111,"*玉山揽云*")*4--COUNTIF(B111,"*烟流暮景*")*4-COUNTIF(B111,"*云景*")*加速!$L$11-IF(J111&gt;0,2,0),MAX(0,N110-(A111-A110)-IF(J111&gt;0,2,0)))),0)</f>
        <v>4</v>
      </c>
      <c r="O111">
        <f ca="1">IF(AND(COUNTIF(IF(AND(配装计算器!$K$30&lt;&gt;"∞",0),INDEX(AU110:CB110,1,$AT$1),INDEX(AU112:CB112,1,$AT$1)),"*云飞*")=1,COUNTIF(IF(AND(配装计算器!$K$30&lt;&gt;"∞",0),INDEX(AU110:CB110,1,$AT$1),INDEX(AU112:CB112,1,$AT$1)),"*玉山*")=0),N111,0)</f>
        <v>0</v>
      </c>
      <c r="P111">
        <f ca="1">IFERROR(IF(COUNTIF(B111,"*云栖松*")&gt;0,50-加速!$L$11,MAX(0,P110-(A111-A110))),0)</f>
        <v>0</v>
      </c>
      <c r="Q111">
        <f ca="1">IF(COUNTIF(IF(AND(配装计算器!$K$30&lt;&gt;"∞",0),INDEX(AU110:CB110,1,$AT$1),INDEX(AU112:CB112,1,$AT$1)),"*云栖松*")=1,P111,0)</f>
        <v>0</v>
      </c>
      <c r="R111">
        <f ca="1">IFERROR(IF(COUNTIF(B111,"*莺鸣柳*")&gt;0,45-加速!$L$9,MAX(0,R110-(A111-A110))),0)</f>
        <v>0</v>
      </c>
      <c r="S111">
        <f ca="1">IF(COUNTIF(IF(AND(配装计算器!$K$30&lt;&gt;"∞",0),INDEX(AU110:CB110,1,$AT$1),INDEX(AU112:CB112,1,$AT$1)),"*莺鸣柳*")=1,R111,0)</f>
        <v>0</v>
      </c>
      <c r="T111">
        <f ca="1" t="shared" si="18"/>
        <v>0</v>
      </c>
      <c r="U111">
        <f ca="1">IF(金蛇,IF(COUNTIF(B111,"*金环戴*")+COUNTIF(B111,"*吹风醒*")&gt;0,IF(A111&lt;=3,7.125-2.625-A111-加速!$L$11,7.125+加速!$K$9-(A111+加速!$L$11-T111)),0),0)+IF(金蛇,IF(COUNTIF(B111,"*千切子裂光*")&gt;0,2+加速!$K$9-(A111+加速!$L$11-T111),0),0)</f>
        <v>0</v>
      </c>
      <c r="V111">
        <f ca="1" t="shared" si="19"/>
        <v>0</v>
      </c>
      <c r="W111">
        <f ca="1" t="shared" si="11"/>
        <v>0</v>
      </c>
      <c r="X111">
        <f ca="1">INDEX(加速!$I$13:$I$21,技能数计算!W111+1)</f>
        <v>0</v>
      </c>
      <c r="Y111">
        <f ca="1" t="shared" si="15"/>
        <v>0.5</v>
      </c>
      <c r="Z111">
        <f ca="1" t="shared" si="16"/>
        <v>0</v>
      </c>
      <c r="AA111">
        <f ca="1">MAX(0,IFERROR(IF(COUNTIF(B111,"*叠*")&gt;0,IF(AC110&lt;3,8-A112+A111,AA110+6.875-A112+A111),AA110-A112+A111),AA110-加速!$L$11))</f>
        <v>0</v>
      </c>
      <c r="AB111">
        <f ca="1">MAX(0,IF(COUNTIF(IF(AND(配装计算器!$K$30&lt;&gt;"∞",0),INDEX(AU111:CB111,1,$AT$1),INDEX(AU111:CB111,1,$AT$1)),"*叠1*")=1,4*25-加速!$L$11,AB110-A111+A110)-IF(OR(COUNTIF(OFFSET(AT111,0,$AT$1,1,1),"*听雷*")&gt;0,AND(碧归&gt;0,COUNTIF(OFFSET(AT111,0,$AT$1,1,1),"*风来*")&gt;0)),0,1)*1.5)</f>
        <v>10.28</v>
      </c>
      <c r="AC111">
        <f ca="1" t="shared" si="12"/>
        <v>0</v>
      </c>
      <c r="AD111">
        <f ca="1">IF(COUNTIF(IF(AND(配装计算器!$K$30&lt;&gt;"∞",0),INDEX(AU111:CB111,1,$AT$1),INDEX(AU112:CB112,1,$AT$1)),"*叠1*")=1,AB111*0+AE110,0)</f>
        <v>0</v>
      </c>
      <c r="AE111">
        <f ca="1">IF($AN$11&gt;0,IF(COUNTIF(B112,"*叠1*")&gt;0,50-加速!$H$11,MAX(0,AE110-(A112-A111))),0)</f>
        <v>5.53</v>
      </c>
      <c r="AH111" t="s">
        <v>1825</v>
      </c>
      <c r="AI111" s="161" t="s">
        <v>2855</v>
      </c>
      <c r="AJ111">
        <f ca="1">AJ109*5</f>
        <v>0</v>
      </c>
      <c r="AU111" s="176" t="s">
        <v>2776</v>
      </c>
      <c r="AV111">
        <v>2</v>
      </c>
      <c r="AW111" s="176" t="s">
        <v>2768</v>
      </c>
      <c r="AX111">
        <v>2</v>
      </c>
      <c r="AY111" t="s">
        <v>3010</v>
      </c>
      <c r="AZ111">
        <v>2</v>
      </c>
      <c r="BA111" t="s">
        <v>3010</v>
      </c>
      <c r="BB111">
        <v>2</v>
      </c>
      <c r="BC111" t="s">
        <v>2768</v>
      </c>
      <c r="BD111">
        <v>2</v>
      </c>
      <c r="BE111" t="s">
        <v>3011</v>
      </c>
      <c r="BF111">
        <v>2</v>
      </c>
      <c r="BG111" t="s">
        <v>3011</v>
      </c>
      <c r="BH111">
        <v>2</v>
      </c>
      <c r="BI111" t="s">
        <v>2776</v>
      </c>
      <c r="BJ111">
        <v>2</v>
      </c>
      <c r="BK111" t="s">
        <v>2768</v>
      </c>
      <c r="BL111">
        <v>1</v>
      </c>
      <c r="BM111" t="s">
        <v>2768</v>
      </c>
      <c r="BN111">
        <v>2</v>
      </c>
      <c r="BO111" s="176" t="s">
        <v>2776</v>
      </c>
      <c r="BP111">
        <v>2</v>
      </c>
      <c r="BQ111" s="176" t="s">
        <v>2850</v>
      </c>
      <c r="BR111">
        <v>2</v>
      </c>
      <c r="BS111" t="s">
        <v>2776</v>
      </c>
      <c r="BT111">
        <v>0</v>
      </c>
      <c r="BU111" t="s">
        <v>2776</v>
      </c>
      <c r="BV111">
        <v>0</v>
      </c>
      <c r="BW111" s="182" t="s">
        <v>2776</v>
      </c>
      <c r="BX111" s="179">
        <v>2</v>
      </c>
      <c r="BY111" s="176" t="str">
        <f>IF(秋,"云飞玉皇","云飞玉皇-血毒金蛇锥")</f>
        <v>云飞玉皇-血毒金蛇锥</v>
      </c>
      <c r="BZ111">
        <v>2</v>
      </c>
      <c r="CA111" s="176" t="str">
        <f>IF(秋,"云飞玉皇","云飞玉皇-血毒金蛇锥")</f>
        <v>云飞玉皇-血毒金蛇锥</v>
      </c>
      <c r="CB111">
        <v>2</v>
      </c>
    </row>
    <row r="112" spans="1:80">
      <c r="A112" s="178">
        <f ca="1">IFERROR(IF(A111+加速!$L$11&lt;$AS$1,IF(COUNTIF(B111,"*轻*")&gt;0,A111+加速!$L$9,A111+加速!$L$11)+V111,IF(COUNTIF(INDEX(AU112:CB112,1,$AT$1),"*云景*")+COUNTIF(INDEX(AU112:CB112,1,$AT$1),"*鹤归*")+COUNTIF(INDEX(AU112:CB112,1,$AT$1),"*听雷*")&gt;0,A111+加速!$L$11,"")),"")</f>
        <v>143.3</v>
      </c>
      <c r="B112" s="167" t="str">
        <f ca="1">IF(A112&lt;&gt;"",IF(AND(A112+加速!$L$11&gt;$AS$1,IF(AND(配装计算器!$K$30&lt;&gt;"∞",0),"梦泉虎跑-轻",INDEX(AU112:CB112,1,$AT$1))="云栖松"),"夕照雷峰",IF(AND(配装计算器!$K$30&lt;&gt;"∞",0),"梦泉虎跑-轻",INDEX(AU112:CB112,1,$AT$1))),"")</f>
        <v>夕照雷峰</v>
      </c>
      <c r="C112">
        <f ca="1" t="shared" si="17"/>
        <v>15</v>
      </c>
      <c r="D112">
        <f ca="1">IF(B112&lt;&gt;"",IF(C111&lt;=加速!$L$11*(1-E112),0,1),"")</f>
        <v>1</v>
      </c>
      <c r="E112">
        <f ca="1" t="shared" si="13"/>
        <v>0</v>
      </c>
      <c r="G112">
        <f ca="1" t="shared" si="14"/>
        <v>0</v>
      </c>
      <c r="H112">
        <f ca="1">IF(B112&lt;&gt;"",IF(AND(COUNTIF(B111,"*轻*莺鸣柳*")&gt;0,COUNTIF(B112,"*轻*")&lt;1),MAX(0,15+I111-(A112-A111)+COUNTIF(B111,"*平湖*")*0),IF(AND(E112=0,MAX(0,H111-(A112-A111))&lt;=加速!$H$11),0,MAX(0,H111-(A112-A111)))),"")</f>
        <v>0</v>
      </c>
      <c r="I112">
        <f ca="1" t="shared" si="20"/>
        <v>0</v>
      </c>
      <c r="J112">
        <f ca="1" t="shared" si="21"/>
        <v>0</v>
      </c>
      <c r="K112">
        <f ca="1">IF(A112&lt;&gt;"",IF(AND(配装计算器!$K$30&lt;&gt;"∞",0),2,INDEX(AU112:CB112,1,$AT$2)),"")</f>
        <v>2</v>
      </c>
      <c r="L112">
        <f ca="1">IFERROR(IF(AND(COUNTIF(B112,"*-峰插*"),技能数据库!$M$72&gt;0),0,IF(COUNTIF(B112,"*鹤归*")&gt;0,16-加速!$L$11,MAX(0,L111-(A112-A111)))),0)</f>
        <v>0.390000000000065</v>
      </c>
      <c r="M112">
        <f ca="1">IF(COUNTIF(IF(AND(配装计算器!$K$30&lt;&gt;"∞",0),INDEX(AU111:CB111,1,$AT$1),INDEX(AU113:CB113,1,$AT$1)),"*鹤归*")=1,L112,0)</f>
        <v>0</v>
      </c>
      <c r="N112">
        <f ca="1">IFERROR(IF(AND(COUNTIF(B112,"*-峰插*"),技能数据库!$M$72&gt;0),0,IF(COUNTIF(B112,"*云飞*")&gt;0,4-COUNTIF(B112,"*玉山揽云*")*4--COUNTIF(B112,"*烟流暮景*")*4-COUNTIF(B112,"*云景*")*加速!$L$11-IF(J112&gt;0,2,0),MAX(0,N111-(A112-A111)-IF(J112&gt;0,2,0)))),0)</f>
        <v>2.71000000000001</v>
      </c>
      <c r="O112">
        <f ca="1">IF(AND(COUNTIF(IF(AND(配装计算器!$K$30&lt;&gt;"∞",0),INDEX(AU111:CB111,1,$AT$1),INDEX(AU113:CB113,1,$AT$1)),"*云飞*")=1,COUNTIF(IF(AND(配装计算器!$K$30&lt;&gt;"∞",0),INDEX(AU111:CB111,1,$AT$1),INDEX(AU113:CB113,1,$AT$1)),"*玉山*")=0),N112,0)</f>
        <v>0</v>
      </c>
      <c r="P112">
        <f ca="1">IFERROR(IF(COUNTIF(B112,"*云栖松*")&gt;0,50-加速!$L$11,MAX(0,P111-(A112-A111))),0)</f>
        <v>0</v>
      </c>
      <c r="Q112">
        <f ca="1">IF(COUNTIF(IF(AND(配装计算器!$K$30&lt;&gt;"∞",0),INDEX(AU111:CB111,1,$AT$1),INDEX(AU113:CB113,1,$AT$1)),"*云栖松*")=1,P112,0)</f>
        <v>0</v>
      </c>
      <c r="R112">
        <f ca="1">IFERROR(IF(COUNTIF(B112,"*莺鸣柳*")&gt;0,45-加速!$L$9,MAX(0,R111-(A112-A111))),0)</f>
        <v>0</v>
      </c>
      <c r="S112">
        <f ca="1">IF(COUNTIF(IF(AND(配装计算器!$K$30&lt;&gt;"∞",0),INDEX(AU111:CB111,1,$AT$1),INDEX(AU113:CB113,1,$AT$1)),"*莺鸣柳*")=1,R112,0)</f>
        <v>0</v>
      </c>
      <c r="T112">
        <f ca="1" t="shared" si="18"/>
        <v>0</v>
      </c>
      <c r="U112">
        <f ca="1">IF(金蛇,IF(COUNTIF(B112,"*金环戴*")+COUNTIF(B112,"*吹风醒*")&gt;0,IF(A112&lt;=3,7.125-2.625-A112-加速!$L$11,7.125+加速!$K$9-(A112+加速!$L$11-T112)),0),0)+IF(金蛇,IF(COUNTIF(B112,"*千切子裂光*")&gt;0,2+加速!$K$9-(A112+加速!$L$11-T112),0),0)</f>
        <v>0</v>
      </c>
      <c r="V112">
        <f ca="1" t="shared" si="19"/>
        <v>0</v>
      </c>
      <c r="W112">
        <f ca="1" t="shared" si="11"/>
        <v>0</v>
      </c>
      <c r="X112">
        <f ca="1">INDEX(加速!$I$13:$I$21,技能数计算!W112+1)</f>
        <v>0</v>
      </c>
      <c r="Y112">
        <f ca="1" t="shared" si="15"/>
        <v>0.5</v>
      </c>
      <c r="Z112">
        <f ca="1" t="shared" si="16"/>
        <v>0</v>
      </c>
      <c r="AA112">
        <f ca="1">MAX(0,IFERROR(IF(COUNTIF(B112,"*叠*")&gt;0,IF(AC111&lt;3,8-A113+A112,AA111+6.875-A113+A112),AA111-A113+A112),AA111-加速!$L$11))</f>
        <v>0</v>
      </c>
      <c r="AB112">
        <f ca="1">MAX(0,IF(COUNTIF(IF(AND(配装计算器!$K$30&lt;&gt;"∞",0),INDEX(AU112:CB112,1,$AT$1),INDEX(AU112:CB112,1,$AT$1)),"*叠1*")=1,4*25-加速!$L$11,AB111-A112+A111)-IF(OR(COUNTIF(OFFSET(AT112,0,$AT$1,1,1),"*听雷*")&gt;0,AND(碧归&gt;0,COUNTIF(OFFSET(AT112,0,$AT$1,1,1),"*风来*")&gt;0)),0,1)*1.5)</f>
        <v>7.49000000000001</v>
      </c>
      <c r="AC112">
        <f ca="1" t="shared" si="12"/>
        <v>0</v>
      </c>
      <c r="AD112">
        <f ca="1">IF(COUNTIF(IF(AND(配装计算器!$K$30&lt;&gt;"∞",0),INDEX(AU112:CB112,1,$AT$1),INDEX(AU113:CB113,1,$AT$1)),"*叠1*")=1,AB112*0+AE111,0)</f>
        <v>0</v>
      </c>
      <c r="AE112">
        <f ca="1">IF($AN$11&gt;0,IF(COUNTIF(B113,"*叠1*")&gt;0,50-加速!$H$11,MAX(0,AE111-(A113-A112))),0)</f>
        <v>4.24000000000001</v>
      </c>
      <c r="AH112" t="s">
        <v>1825</v>
      </c>
      <c r="AI112" s="161" t="s">
        <v>2857</v>
      </c>
      <c r="AJ112">
        <f>金蛇</f>
        <v>0</v>
      </c>
      <c r="AU112" s="176" t="s">
        <v>2768</v>
      </c>
      <c r="AV112">
        <v>1</v>
      </c>
      <c r="AW112" s="176" t="s">
        <v>2776</v>
      </c>
      <c r="AX112">
        <v>2</v>
      </c>
      <c r="AY112" t="s">
        <v>3013</v>
      </c>
      <c r="AZ112">
        <v>2</v>
      </c>
      <c r="BA112" t="s">
        <v>3013</v>
      </c>
      <c r="BB112">
        <v>2</v>
      </c>
      <c r="BC112" t="s">
        <v>2768</v>
      </c>
      <c r="BD112">
        <v>1</v>
      </c>
      <c r="BE112" t="s">
        <v>2768</v>
      </c>
      <c r="BF112">
        <v>2</v>
      </c>
      <c r="BG112" t="s">
        <v>2768</v>
      </c>
      <c r="BH112">
        <v>2</v>
      </c>
      <c r="BI112" t="s">
        <v>2768</v>
      </c>
      <c r="BJ112">
        <v>2</v>
      </c>
      <c r="BK112" t="s">
        <v>2794</v>
      </c>
      <c r="BL112">
        <v>0</v>
      </c>
      <c r="BM112" t="str">
        <f>IF(山重水复,"风来吴山","夕照雷峰")</f>
        <v>夕照雷峰</v>
      </c>
      <c r="BN112">
        <v>2</v>
      </c>
      <c r="BO112" s="176" t="s">
        <v>2768</v>
      </c>
      <c r="BP112">
        <v>2</v>
      </c>
      <c r="BQ112" s="176" t="str">
        <f>IF(秋,"金环戴","吹风醒")</f>
        <v>吹风醒</v>
      </c>
      <c r="BR112">
        <v>1</v>
      </c>
      <c r="BS112" t="s">
        <v>1886</v>
      </c>
      <c r="BT112">
        <v>0</v>
      </c>
      <c r="BU112" t="s">
        <v>1886</v>
      </c>
      <c r="BV112">
        <v>0</v>
      </c>
      <c r="BW112" s="182" t="s">
        <v>2768</v>
      </c>
      <c r="BX112" s="179">
        <v>2</v>
      </c>
      <c r="BY112" t="s">
        <v>2768</v>
      </c>
      <c r="BZ112">
        <v>2</v>
      </c>
      <c r="CA112" s="176" t="s">
        <v>2768</v>
      </c>
      <c r="CB112">
        <v>2</v>
      </c>
    </row>
    <row r="113" spans="1:80">
      <c r="A113" s="178">
        <f ca="1">IFERROR(IF(A112+加速!$L$11&lt;$AS$1,IF(COUNTIF(B112,"*轻*")&gt;0,A112+加速!$L$9,A112+加速!$L$11)+V112,IF(COUNTIF(INDEX(AU113:CB113,1,$AT$1),"*云景*")+COUNTIF(INDEX(AU113:CB113,1,$AT$1),"*鹤归*")+COUNTIF(INDEX(AU113:CB113,1,$AT$1),"*听雷*")&gt;0,A112+加速!$L$11,"")),"")</f>
        <v>144.59</v>
      </c>
      <c r="B113" s="167" t="str">
        <f ca="1">IF(A113&lt;&gt;"",IF(AND(A113+加速!$L$11&gt;$AS$1,IF(AND(配装计算器!$K$30&lt;&gt;"∞",0),"梦泉虎跑-轻",INDEX(AU113:CB113,1,$AT$1))="云栖松"),"夕照雷峰",IF(AND(配装计算器!$K$30&lt;&gt;"∞",0),"梦泉虎跑-轻",INDEX(AU113:CB113,1,$AT$1))),"")</f>
        <v>夕照雷峰</v>
      </c>
      <c r="C113">
        <f ca="1" t="shared" si="17"/>
        <v>15</v>
      </c>
      <c r="D113">
        <f ca="1">IF(B113&lt;&gt;"",IF(C112&lt;=加速!$L$11*(1-E113),0,1),"")</f>
        <v>1</v>
      </c>
      <c r="E113">
        <f ca="1" t="shared" si="13"/>
        <v>0</v>
      </c>
      <c r="G113">
        <f ca="1" t="shared" si="14"/>
        <v>0</v>
      </c>
      <c r="H113">
        <f ca="1">IF(B113&lt;&gt;"",IF(AND(COUNTIF(B112,"*轻*莺鸣柳*")&gt;0,COUNTIF(B113,"*轻*")&lt;1),MAX(0,15+I112-(A113-A112)+COUNTIF(B112,"*平湖*")*0),IF(AND(E113=0,MAX(0,H112-(A113-A112))&lt;=加速!$H$11),0,MAX(0,H112-(A113-A112)))),"")</f>
        <v>0</v>
      </c>
      <c r="I113">
        <f ca="1" t="shared" si="20"/>
        <v>0</v>
      </c>
      <c r="J113">
        <f ca="1" t="shared" si="21"/>
        <v>0</v>
      </c>
      <c r="K113">
        <f ca="1">IF(A113&lt;&gt;"",IF(AND(配装计算器!$K$30&lt;&gt;"∞",0),2,INDEX(AU113:CB113,1,$AT$2)),"")</f>
        <v>2</v>
      </c>
      <c r="L113">
        <f ca="1">IFERROR(IF(AND(COUNTIF(B113,"*-峰插*"),技能数据库!$M$72&gt;0),0,IF(COUNTIF(B113,"*鹤归*")&gt;0,16-加速!$L$11,MAX(0,L112-(A113-A112)))),0)</f>
        <v>0</v>
      </c>
      <c r="M113">
        <f ca="1">IF(COUNTIF(IF(AND(配装计算器!$K$30&lt;&gt;"∞",0),INDEX(AU112:CB112,1,$AT$1),INDEX(AU114:CB114,1,$AT$1)),"*鹤归*")=1,L113,0)</f>
        <v>0</v>
      </c>
      <c r="N113">
        <f ca="1">IFERROR(IF(AND(COUNTIF(B113,"*-峰插*"),技能数据库!$M$72&gt;0),0,IF(COUNTIF(B113,"*云飞*")&gt;0,4-COUNTIF(B113,"*玉山揽云*")*4--COUNTIF(B113,"*烟流暮景*")*4-COUNTIF(B113,"*云景*")*加速!$L$11-IF(J113&gt;0,2,0),MAX(0,N112-(A113-A112)-IF(J113&gt;0,2,0)))),0)</f>
        <v>1.42000000000002</v>
      </c>
      <c r="O113">
        <f ca="1">IF(AND(COUNTIF(IF(AND(配装计算器!$K$30&lt;&gt;"∞",0),INDEX(AU112:CB112,1,$AT$1),INDEX(AU114:CB114,1,$AT$1)),"*云飞*")=1,COUNTIF(IF(AND(配装计算器!$K$30&lt;&gt;"∞",0),INDEX(AU112:CB112,1,$AT$1),INDEX(AU114:CB114,1,$AT$1)),"*玉山*")=0),N113,0)</f>
        <v>0</v>
      </c>
      <c r="P113">
        <f ca="1">IFERROR(IF(COUNTIF(B113,"*云栖松*")&gt;0,50-加速!$L$11,MAX(0,P112-(A113-A112))),0)</f>
        <v>0</v>
      </c>
      <c r="Q113">
        <f ca="1">IF(COUNTIF(IF(AND(配装计算器!$K$30&lt;&gt;"∞",0),INDEX(AU112:CB112,1,$AT$1),INDEX(AU114:CB114,1,$AT$1)),"*云栖松*")=1,P113,0)</f>
        <v>0</v>
      </c>
      <c r="R113">
        <f ca="1">IFERROR(IF(COUNTIF(B113,"*莺鸣柳*")&gt;0,45-加速!$L$9,MAX(0,R112-(A113-A112))),0)</f>
        <v>0</v>
      </c>
      <c r="S113">
        <f ca="1">IF(COUNTIF(IF(AND(配装计算器!$K$30&lt;&gt;"∞",0),INDEX(AU112:CB112,1,$AT$1),INDEX(AU114:CB114,1,$AT$1)),"*莺鸣柳*")=1,R113,0)</f>
        <v>0</v>
      </c>
      <c r="T113">
        <f ca="1" t="shared" si="18"/>
        <v>0</v>
      </c>
      <c r="U113">
        <f ca="1">IF(金蛇,IF(COUNTIF(B113,"*金环戴*")+COUNTIF(B113,"*吹风醒*")&gt;0,IF(A113&lt;=3,7.125-2.625-A113-加速!$L$11,7.125+加速!$K$9-(A113+加速!$L$11-T113)),0),0)+IF(金蛇,IF(COUNTIF(B113,"*千切子裂光*")&gt;0,2+加速!$K$9-(A113+加速!$L$11-T113),0),0)</f>
        <v>0</v>
      </c>
      <c r="V113">
        <f ca="1" t="shared" si="19"/>
        <v>0</v>
      </c>
      <c r="W113">
        <f ca="1" t="shared" si="11"/>
        <v>0</v>
      </c>
      <c r="X113">
        <f ca="1">INDEX(加速!$I$13:$I$21,技能数计算!W113+1)</f>
        <v>0</v>
      </c>
      <c r="Y113">
        <f ca="1" t="shared" si="15"/>
        <v>0.5</v>
      </c>
      <c r="Z113">
        <f ca="1" t="shared" si="16"/>
        <v>0</v>
      </c>
      <c r="AA113">
        <f ca="1">MAX(0,IFERROR(IF(COUNTIF(B113,"*叠*")&gt;0,IF(AC112&lt;3,8-A114+A113,AA112+6.875-A114+A113),AA112-A114+A113),AA112-加速!$L$11))</f>
        <v>0</v>
      </c>
      <c r="AB113">
        <f ca="1">MAX(0,IF(COUNTIF(IF(AND(配装计算器!$K$30&lt;&gt;"∞",0),INDEX(AU113:CB113,1,$AT$1),INDEX(AU113:CB113,1,$AT$1)),"*叠1*")=1,4*25-加速!$L$11,AB112-A113+A112)-IF(OR(COUNTIF(OFFSET(AT113,0,$AT$1,1,1),"*听雷*")&gt;0,AND(碧归&gt;0,COUNTIF(OFFSET(AT113,0,$AT$1,1,1),"*风来*")&gt;0)),0,1)*1.5)</f>
        <v>4.70000000000002</v>
      </c>
      <c r="AC113">
        <f ca="1" t="shared" si="12"/>
        <v>0</v>
      </c>
      <c r="AD113">
        <f ca="1">IF(COUNTIF(IF(AND(配装计算器!$K$30&lt;&gt;"∞",0),INDEX(AU113:CB113,1,$AT$1),INDEX(AU114:CB114,1,$AT$1)),"*叠1*")=1,AB113*0+AE112,0)</f>
        <v>0</v>
      </c>
      <c r="AE113">
        <f ca="1">IF($AN$11&gt;0,IF(COUNTIF(B114,"*叠1*")&gt;0,50-加速!$H$11,MAX(0,AE112-(A114-A113))),0)</f>
        <v>2.95000000000002</v>
      </c>
      <c r="AH113" t="s">
        <v>1825</v>
      </c>
      <c r="AI113" s="161" t="s">
        <v>2844</v>
      </c>
      <c r="AJ113">
        <f ca="1">循环比*COUNTIFS($B$3:$B$515,"*"&amp;AI113&amp;"*",$D$3:$D$515,"&gt;0",$AC$3:$AC$515,"=0")</f>
        <v>0</v>
      </c>
      <c r="AK113" t="s">
        <v>2750</v>
      </c>
      <c r="AU113" s="176" t="s">
        <v>2776</v>
      </c>
      <c r="AV113">
        <v>2</v>
      </c>
      <c r="AW113" s="176" t="s">
        <v>2768</v>
      </c>
      <c r="AX113">
        <v>2</v>
      </c>
      <c r="AY113" t="s">
        <v>3017</v>
      </c>
      <c r="AZ113">
        <v>2</v>
      </c>
      <c r="BA113" t="s">
        <v>3017</v>
      </c>
      <c r="BB113">
        <v>2</v>
      </c>
      <c r="BC113" t="s">
        <v>2776</v>
      </c>
      <c r="BD113">
        <v>1</v>
      </c>
      <c r="BE113" t="s">
        <v>3019</v>
      </c>
      <c r="BF113">
        <v>2</v>
      </c>
      <c r="BG113" t="s">
        <v>3018</v>
      </c>
      <c r="BH113">
        <v>2</v>
      </c>
      <c r="BI113" t="s">
        <v>2768</v>
      </c>
      <c r="BJ113">
        <v>2</v>
      </c>
      <c r="BK113" t="s">
        <v>2776</v>
      </c>
      <c r="BL113">
        <v>0</v>
      </c>
      <c r="BM113" s="176" t="s">
        <v>2794</v>
      </c>
      <c r="BN113">
        <v>2</v>
      </c>
      <c r="BO113" s="176" t="s">
        <v>2776</v>
      </c>
      <c r="BP113">
        <v>2</v>
      </c>
      <c r="BQ113" s="176" t="str">
        <f>IF(秋,"梦泉虎跑-轻","夕照雷峰")</f>
        <v>夕照雷峰</v>
      </c>
      <c r="BR113">
        <v>1</v>
      </c>
      <c r="BS113" t="s">
        <v>2853</v>
      </c>
      <c r="BT113">
        <v>1</v>
      </c>
      <c r="BU113" t="s">
        <v>2853</v>
      </c>
      <c r="BV113">
        <v>2</v>
      </c>
      <c r="BW113" s="182" t="s">
        <v>2776</v>
      </c>
      <c r="BX113" s="179">
        <v>2</v>
      </c>
      <c r="BY113" t="str">
        <f>IF(山重水复,"风来吴山","夕照雷峰")</f>
        <v>夕照雷峰</v>
      </c>
      <c r="BZ113">
        <v>2</v>
      </c>
      <c r="CA113" s="176" t="s">
        <v>2776</v>
      </c>
      <c r="CB113">
        <v>2</v>
      </c>
    </row>
    <row r="114" spans="1:80">
      <c r="A114" s="178">
        <f ca="1">IFERROR(IF(A113+加速!$L$11&lt;$AS$1,IF(COUNTIF(B113,"*轻*")&gt;0,A113+加速!$L$9,A113+加速!$L$11)+V113,IF(COUNTIF(INDEX(AU114:CB114,1,$AT$1),"*云景*")+COUNTIF(INDEX(AU114:CB114,1,$AT$1),"*鹤归*")+COUNTIF(INDEX(AU114:CB114,1,$AT$1),"*听雷*")&gt;0,A113+加速!$L$11,"")),"")</f>
        <v>145.88</v>
      </c>
      <c r="B114" s="167" t="str">
        <f ca="1">IF(A114&lt;&gt;"",IF(AND(A114+加速!$L$11&gt;$AS$1,IF(AND(配装计算器!$K$30&lt;&gt;"∞",0),"梦泉虎跑-轻",INDEX(AU114:CB114,1,$AT$1))="云栖松"),"夕照雷峰",IF(AND(配装计算器!$K$30&lt;&gt;"∞",0),"梦泉虎跑-轻",INDEX(AU114:CB114,1,$AT$1))),"")</f>
        <v>鹤归孤山</v>
      </c>
      <c r="C114">
        <f ca="1" t="shared" si="17"/>
        <v>13.71</v>
      </c>
      <c r="D114">
        <f ca="1">IF(B114&lt;&gt;"",IF(C113&lt;=加速!$L$11*(1-E114),0,1),"")</f>
        <v>1</v>
      </c>
      <c r="E114">
        <f ca="1" t="shared" si="13"/>
        <v>1</v>
      </c>
      <c r="G114">
        <f ca="1" t="shared" si="14"/>
        <v>0</v>
      </c>
      <c r="H114">
        <f ca="1">IF(B114&lt;&gt;"",IF(AND(COUNTIF(B113,"*轻*莺鸣柳*")&gt;0,COUNTIF(B114,"*轻*")&lt;1),MAX(0,15+I113-(A114-A113)+COUNTIF(B113,"*平湖*")*0),IF(AND(E114=0,MAX(0,H113-(A114-A113))&lt;=加速!$H$11),0,MAX(0,H113-(A114-A113)))),"")</f>
        <v>0</v>
      </c>
      <c r="I114">
        <f ca="1" t="shared" si="20"/>
        <v>0</v>
      </c>
      <c r="J114">
        <f ca="1" t="shared" si="21"/>
        <v>0</v>
      </c>
      <c r="K114">
        <f ca="1">IF(A114&lt;&gt;"",IF(AND(配装计算器!$K$30&lt;&gt;"∞",0),2,INDEX(AU114:CB114,1,$AT$2)),"")</f>
        <v>1</v>
      </c>
      <c r="L114">
        <f ca="1">IFERROR(IF(AND(COUNTIF(B114,"*-峰插*"),技能数据库!$M$72&gt;0),0,IF(COUNTIF(B114,"*鹤归*")&gt;0,16-加速!$L$11,MAX(0,L113-(A114-A113)))),0)</f>
        <v>14.71</v>
      </c>
      <c r="M114">
        <f ca="1">IF(COUNTIF(IF(AND(配装计算器!$K$30&lt;&gt;"∞",0),INDEX(AU113:CB113,1,$AT$1),INDEX(AU115:CB115,1,$AT$1)),"*鹤归*")=1,L114,0)</f>
        <v>0</v>
      </c>
      <c r="N114">
        <f ca="1">IFERROR(IF(AND(COUNTIF(B114,"*-峰插*"),技能数据库!$M$72&gt;0),0,IF(COUNTIF(B114,"*云飞*")&gt;0,4-COUNTIF(B114,"*玉山揽云*")*4--COUNTIF(B114,"*烟流暮景*")*4-COUNTIF(B114,"*云景*")*加速!$L$11-IF(J114&gt;0,2,0),MAX(0,N113-(A114-A113)-IF(J114&gt;0,2,0)))),0)</f>
        <v>0.130000000000024</v>
      </c>
      <c r="O114">
        <f ca="1">IF(AND(COUNTIF(IF(AND(配装计算器!$K$30&lt;&gt;"∞",0),INDEX(AU113:CB113,1,$AT$1),INDEX(AU115:CB115,1,$AT$1)),"*云飞*")=1,COUNTIF(IF(AND(配装计算器!$K$30&lt;&gt;"∞",0),INDEX(AU113:CB113,1,$AT$1),INDEX(AU115:CB115,1,$AT$1)),"*玉山*")=0),N114,0)</f>
        <v>0.130000000000024</v>
      </c>
      <c r="P114">
        <f ca="1">IFERROR(IF(COUNTIF(B114,"*云栖松*")&gt;0,50-加速!$L$11,MAX(0,P113-(A114-A113))),0)</f>
        <v>0</v>
      </c>
      <c r="Q114">
        <f ca="1">IF(COUNTIF(IF(AND(配装计算器!$K$30&lt;&gt;"∞",0),INDEX(AU113:CB113,1,$AT$1),INDEX(AU115:CB115,1,$AT$1)),"*云栖松*")=1,P114,0)</f>
        <v>0</v>
      </c>
      <c r="R114">
        <f ca="1">IFERROR(IF(COUNTIF(B114,"*莺鸣柳*")&gt;0,45-加速!$L$9,MAX(0,R113-(A114-A113))),0)</f>
        <v>0</v>
      </c>
      <c r="S114">
        <f ca="1">IF(COUNTIF(IF(AND(配装计算器!$K$30&lt;&gt;"∞",0),INDEX(AU113:CB113,1,$AT$1),INDEX(AU115:CB115,1,$AT$1)),"*莺鸣柳*")=1,R114,0)</f>
        <v>0</v>
      </c>
      <c r="T114">
        <f ca="1" t="shared" si="18"/>
        <v>0</v>
      </c>
      <c r="U114">
        <f ca="1">IF(金蛇,IF(COUNTIF(B114,"*金环戴*")+COUNTIF(B114,"*吹风醒*")&gt;0,IF(A114&lt;=3,7.125-2.625-A114-加速!$L$11,7.125+加速!$K$9-(A114+加速!$L$11-T114)),0),0)+IF(金蛇,IF(COUNTIF(B114,"*千切子裂光*")&gt;0,2+加速!$K$9-(A114+加速!$L$11-T114),0),0)</f>
        <v>0</v>
      </c>
      <c r="V114">
        <f ca="1" t="shared" si="19"/>
        <v>0.130000000000024</v>
      </c>
      <c r="W114">
        <f ca="1" t="shared" si="11"/>
        <v>0</v>
      </c>
      <c r="X114">
        <f ca="1">INDEX(加速!$I$13:$I$21,技能数计算!W114+1)</f>
        <v>0</v>
      </c>
      <c r="Y114">
        <f ca="1" t="shared" si="15"/>
        <v>0.5</v>
      </c>
      <c r="Z114">
        <f ca="1" t="shared" si="16"/>
        <v>0</v>
      </c>
      <c r="AA114">
        <f ca="1">MAX(0,IFERROR(IF(COUNTIF(B114,"*叠*")&gt;0,IF(AC113&lt;3,8-A115+A114,AA113+6.875-A115+A114),AA113-A115+A114),AA113-加速!$L$11))</f>
        <v>0</v>
      </c>
      <c r="AB114">
        <f ca="1">MAX(0,IF(COUNTIF(IF(AND(配装计算器!$K$30&lt;&gt;"∞",0),INDEX(AU114:CB114,1,$AT$1),INDEX(AU114:CB114,1,$AT$1)),"*叠1*")=1,4*25-加速!$L$11,AB113-A114+A113)-IF(OR(COUNTIF(OFFSET(AT114,0,$AT$1,1,1),"*听雷*")&gt;0,AND(碧归&gt;0,COUNTIF(OFFSET(AT114,0,$AT$1,1,1),"*风来*")&gt;0)),0,1)*1.5)</f>
        <v>1.91000000000003</v>
      </c>
      <c r="AC114">
        <f ca="1" t="shared" si="12"/>
        <v>0</v>
      </c>
      <c r="AD114">
        <f ca="1">IF(COUNTIF(IF(AND(配装计算器!$K$30&lt;&gt;"∞",0),INDEX(AU114:CB114,1,$AT$1),INDEX(AU115:CB115,1,$AT$1)),"*叠1*")=1,AB114*0+AE113,0)</f>
        <v>0</v>
      </c>
      <c r="AE114">
        <f ca="1">IF($AN$11&gt;0,IF(COUNTIF(B115,"*叠1*")&gt;0,50-加速!$H$11,MAX(0,AE113-(A115-A114))),0)</f>
        <v>1.53</v>
      </c>
      <c r="AH114" t="s">
        <v>1825</v>
      </c>
      <c r="AI114" s="161" t="s">
        <v>2847</v>
      </c>
      <c r="AJ114">
        <f ca="1">循环比*COUNTIFS($B$3:$B$515,"*"&amp;AI114&amp;"*",$D$3:$D$515,"&gt;0",$AC$3:$AC$515,"=0")</f>
        <v>0</v>
      </c>
      <c r="AK114" t="s">
        <v>2750</v>
      </c>
      <c r="AU114" s="176" t="s">
        <v>2768</v>
      </c>
      <c r="AV114">
        <v>1</v>
      </c>
      <c r="AW114" s="176" t="s">
        <v>2808</v>
      </c>
      <c r="AX114">
        <v>2</v>
      </c>
      <c r="AY114" t="s">
        <v>2808</v>
      </c>
      <c r="AZ114">
        <v>2</v>
      </c>
      <c r="BA114" t="s">
        <v>2808</v>
      </c>
      <c r="BB114">
        <v>2</v>
      </c>
      <c r="BC114" t="s">
        <v>2768</v>
      </c>
      <c r="BD114">
        <v>1</v>
      </c>
      <c r="BE114" t="s">
        <v>2768</v>
      </c>
      <c r="BF114">
        <v>2</v>
      </c>
      <c r="BG114" t="s">
        <v>2768</v>
      </c>
      <c r="BH114">
        <v>2</v>
      </c>
      <c r="BI114" s="176" t="s">
        <v>2794</v>
      </c>
      <c r="BJ114">
        <v>1</v>
      </c>
      <c r="BK114" t="s">
        <v>2768</v>
      </c>
      <c r="BL114">
        <v>0</v>
      </c>
      <c r="BM114" s="176" t="s">
        <v>2776</v>
      </c>
      <c r="BN114">
        <v>2</v>
      </c>
      <c r="BO114" s="176" t="s">
        <v>2768</v>
      </c>
      <c r="BP114">
        <v>2</v>
      </c>
      <c r="BQ114" t="s">
        <v>3028</v>
      </c>
      <c r="BR114">
        <v>2</v>
      </c>
      <c r="BS114" s="176" t="str">
        <f>IF(秋,"金蛇锥-金环戴","金蛇锥-吹风醒")</f>
        <v>金蛇锥-吹风醒</v>
      </c>
      <c r="BT114">
        <v>0</v>
      </c>
      <c r="BU114" s="176" t="str">
        <f>IF(秋,"金蛇锥-金环戴","金蛇锥-吹风醒")</f>
        <v>金蛇锥-吹风醒</v>
      </c>
      <c r="BV114">
        <v>2</v>
      </c>
      <c r="BW114" s="182" t="s">
        <v>2768</v>
      </c>
      <c r="BX114" s="179">
        <v>2</v>
      </c>
      <c r="BY114" s="176" t="s">
        <v>2794</v>
      </c>
      <c r="BZ114">
        <v>2</v>
      </c>
      <c r="CA114" s="176" t="s">
        <v>2768</v>
      </c>
      <c r="CB114">
        <v>2</v>
      </c>
    </row>
    <row r="115" spans="1:80">
      <c r="A115" s="178">
        <f ca="1">IFERROR(IF(A114+加速!$L$11&lt;$AS$1,IF(COUNTIF(B114,"*轻*")&gt;0,A114+加速!$L$9,A114+加速!$L$11)+V114,IF(COUNTIF(INDEX(AU115:CB115,1,$AT$1),"*云景*")+COUNTIF(INDEX(AU115:CB115,1,$AT$1),"*鹤归*")+COUNTIF(INDEX(AU115:CB115,1,$AT$1),"*听雷*")&gt;0,A114+加速!$L$11,"")),"")</f>
        <v>147.3</v>
      </c>
      <c r="B115" s="167" t="str">
        <f ca="1">IF(A115&lt;&gt;"",IF(AND(A115+加速!$L$11&gt;$AS$1,IF(AND(配装计算器!$K$30&lt;&gt;"∞",0),"梦泉虎跑-轻",INDEX(AU115:CB115,1,$AT$1))="云栖松"),"夕照雷峰",IF(AND(配装计算器!$K$30&lt;&gt;"∞",0),"梦泉虎跑-轻",INDEX(AU115:CB115,1,$AT$1))),"")</f>
        <v>云飞玉皇</v>
      </c>
      <c r="C115">
        <f ca="1" t="shared" si="17"/>
        <v>12.29</v>
      </c>
      <c r="D115">
        <f ca="1">IF(B115&lt;&gt;"",IF(C114&lt;=加速!$L$11*(1-E115),0,1),"")</f>
        <v>1</v>
      </c>
      <c r="E115">
        <f ca="1" t="shared" si="13"/>
        <v>0</v>
      </c>
      <c r="G115">
        <f ca="1" t="shared" si="14"/>
        <v>0</v>
      </c>
      <c r="H115">
        <f ca="1">IF(B115&lt;&gt;"",IF(AND(COUNTIF(B114,"*轻*莺鸣柳*")&gt;0,COUNTIF(B115,"*轻*")&lt;1),MAX(0,15+I114-(A115-A114)+COUNTIF(B114,"*平湖*")*0),IF(AND(E115=0,MAX(0,H114-(A115-A114))&lt;=加速!$H$11),0,MAX(0,H114-(A115-A114)))),"")</f>
        <v>0</v>
      </c>
      <c r="I115">
        <f ca="1" t="shared" si="20"/>
        <v>0</v>
      </c>
      <c r="J115">
        <f ca="1" t="shared" si="21"/>
        <v>4</v>
      </c>
      <c r="K115">
        <f ca="1">IF(A115&lt;&gt;"",IF(AND(配装计算器!$K$30&lt;&gt;"∞",0),2,INDEX(AU115:CB115,1,$AT$2)),"")</f>
        <v>1</v>
      </c>
      <c r="L115">
        <f ca="1">IFERROR(IF(AND(COUNTIF(B115,"*-峰插*"),技能数据库!$M$72&gt;0),0,IF(COUNTIF(B115,"*鹤归*")&gt;0,16-加速!$L$11,MAX(0,L114-(A115-A114)))),0)</f>
        <v>13.29</v>
      </c>
      <c r="M115">
        <f ca="1">IF(COUNTIF(IF(AND(配装计算器!$K$30&lt;&gt;"∞",0),INDEX(AU114:CB114,1,$AT$1),INDEX(AU116:CB116,1,$AT$1)),"*鹤归*")=1,L115,0)</f>
        <v>0</v>
      </c>
      <c r="N115">
        <f ca="1">IFERROR(IF(AND(COUNTIF(B115,"*-峰插*"),技能数据库!$M$72&gt;0),0,IF(COUNTIF(B115,"*云飞*")&gt;0,4-COUNTIF(B115,"*玉山揽云*")*4--COUNTIF(B115,"*烟流暮景*")*4-COUNTIF(B115,"*云景*")*加速!$L$11-IF(J115&gt;0,2,0),MAX(0,N114-(A115-A114)-IF(J115&gt;0,2,0)))),0)</f>
        <v>2</v>
      </c>
      <c r="O115">
        <f ca="1">IF(AND(COUNTIF(IF(AND(配装计算器!$K$30&lt;&gt;"∞",0),INDEX(AU114:CB114,1,$AT$1),INDEX(AU116:CB116,1,$AT$1)),"*云飞*")=1,COUNTIF(IF(AND(配装计算器!$K$30&lt;&gt;"∞",0),INDEX(AU114:CB114,1,$AT$1),INDEX(AU116:CB116,1,$AT$1)),"*玉山*")=0),N115,0)</f>
        <v>0</v>
      </c>
      <c r="P115">
        <f ca="1">IFERROR(IF(COUNTIF(B115,"*云栖松*")&gt;0,50-加速!$L$11,MAX(0,P114-(A115-A114))),0)</f>
        <v>0</v>
      </c>
      <c r="Q115">
        <f ca="1">IF(COUNTIF(IF(AND(配装计算器!$K$30&lt;&gt;"∞",0),INDEX(AU114:CB114,1,$AT$1),INDEX(AU116:CB116,1,$AT$1)),"*云栖松*")=1,P115,0)</f>
        <v>0</v>
      </c>
      <c r="R115">
        <f ca="1">IFERROR(IF(COUNTIF(B115,"*莺鸣柳*")&gt;0,45-加速!$L$9,MAX(0,R114-(A115-A114))),0)</f>
        <v>0</v>
      </c>
      <c r="S115">
        <f ca="1">IF(COUNTIF(IF(AND(配装计算器!$K$30&lt;&gt;"∞",0),INDEX(AU114:CB114,1,$AT$1),INDEX(AU116:CB116,1,$AT$1)),"*莺鸣柳*")=1,R115,0)</f>
        <v>0</v>
      </c>
      <c r="T115">
        <f ca="1" t="shared" si="18"/>
        <v>0</v>
      </c>
      <c r="U115">
        <f ca="1">IF(金蛇,IF(COUNTIF(B115,"*金环戴*")+COUNTIF(B115,"*吹风醒*")&gt;0,IF(A115&lt;=3,7.125-2.625-A115-加速!$L$11,7.125+加速!$K$9-(A115+加速!$L$11-T115)),0),0)+IF(金蛇,IF(COUNTIF(B115,"*千切子裂光*")&gt;0,2+加速!$K$9-(A115+加速!$L$11-T115),0),0)</f>
        <v>0</v>
      </c>
      <c r="V115">
        <f ca="1" t="shared" si="19"/>
        <v>0</v>
      </c>
      <c r="W115">
        <f ca="1" t="shared" si="11"/>
        <v>0</v>
      </c>
      <c r="X115">
        <f ca="1">INDEX(加速!$I$13:$I$21,技能数计算!W115+1)</f>
        <v>0</v>
      </c>
      <c r="Y115">
        <f ca="1" t="shared" si="15"/>
        <v>0.5</v>
      </c>
      <c r="Z115">
        <f ca="1" t="shared" si="16"/>
        <v>0</v>
      </c>
      <c r="AA115">
        <f ca="1">MAX(0,IFERROR(IF(COUNTIF(B115,"*叠*")&gt;0,IF(AC114&lt;3,8-A116+A115,AA114+6.875-A116+A115),AA114-A116+A115),AA114-加速!$L$11))</f>
        <v>0</v>
      </c>
      <c r="AB115">
        <f ca="1">MAX(0,IF(COUNTIF(IF(AND(配装计算器!$K$30&lt;&gt;"∞",0),INDEX(AU115:CB115,1,$AT$1),INDEX(AU115:CB115,1,$AT$1)),"*叠1*")=1,4*25-加速!$L$11,AB114-A115+A114)-IF(OR(COUNTIF(OFFSET(AT115,0,$AT$1,1,1),"*听雷*")&gt;0,AND(碧归&gt;0,COUNTIF(OFFSET(AT115,0,$AT$1,1,1),"*风来*")&gt;0)),0,1)*1.5)</f>
        <v>0</v>
      </c>
      <c r="AC115">
        <f ca="1" t="shared" si="12"/>
        <v>0</v>
      </c>
      <c r="AD115">
        <f ca="1">IF(COUNTIF(IF(AND(配装计算器!$K$30&lt;&gt;"∞",0),INDEX(AU115:CB115,1,$AT$1),INDEX(AU116:CB116,1,$AT$1)),"*叠1*")=1,AB115*0+AE114,0)</f>
        <v>0</v>
      </c>
      <c r="AE115">
        <f ca="1">IF($AN$11&gt;0,IF(COUNTIF(B116,"*叠1*")&gt;0,50-加速!$H$11,MAX(0,AE114-(A116-A115))),0)</f>
        <v>0.240000000000009</v>
      </c>
      <c r="AH115" t="s">
        <v>1825</v>
      </c>
      <c r="AI115" s="161" t="s">
        <v>2850</v>
      </c>
      <c r="AJ115">
        <f ca="1">循环比*COUNTIFS($B$3:$B$515,AI115&amp;"*",$D$3:$D$515,"&gt;0",$AC$3:$AC$515,"=0")</f>
        <v>0</v>
      </c>
      <c r="AK115" t="s">
        <v>2750</v>
      </c>
      <c r="AU115" s="176" t="s">
        <v>2776</v>
      </c>
      <c r="AV115">
        <v>1</v>
      </c>
      <c r="AW115" t="s">
        <v>2768</v>
      </c>
      <c r="AX115">
        <v>2</v>
      </c>
      <c r="AY115" t="s">
        <v>3022</v>
      </c>
      <c r="AZ115">
        <v>2</v>
      </c>
      <c r="BA115" t="s">
        <v>3022</v>
      </c>
      <c r="BB115">
        <v>2</v>
      </c>
      <c r="BC115" t="s">
        <v>2768</v>
      </c>
      <c r="BD115">
        <v>0</v>
      </c>
      <c r="BE115" t="s">
        <v>2768</v>
      </c>
      <c r="BF115">
        <v>2</v>
      </c>
      <c r="BG115" s="182" t="s">
        <v>3023</v>
      </c>
      <c r="BH115">
        <v>2</v>
      </c>
      <c r="BI115" t="s">
        <v>2776</v>
      </c>
      <c r="BJ115">
        <v>1</v>
      </c>
      <c r="BK115" t="s">
        <v>3068</v>
      </c>
      <c r="BL115">
        <v>2</v>
      </c>
      <c r="BM115" s="176" t="s">
        <v>2768</v>
      </c>
      <c r="BN115">
        <v>2</v>
      </c>
      <c r="BO115" s="176" t="s">
        <v>2808</v>
      </c>
      <c r="BP115">
        <v>2</v>
      </c>
      <c r="BQ115" t="s">
        <v>2768</v>
      </c>
      <c r="BR115">
        <v>2</v>
      </c>
      <c r="BS115" t="s">
        <v>2773</v>
      </c>
      <c r="BT115">
        <v>2</v>
      </c>
      <c r="BU115" t="s">
        <v>2773</v>
      </c>
      <c r="BV115">
        <v>2</v>
      </c>
      <c r="BW115" s="182" t="s">
        <v>2808</v>
      </c>
      <c r="BX115" s="179">
        <v>2</v>
      </c>
      <c r="BY115" s="176" t="s">
        <v>2776</v>
      </c>
      <c r="BZ115">
        <v>2</v>
      </c>
      <c r="CA115" s="176" t="s">
        <v>2808</v>
      </c>
      <c r="CB115">
        <v>2</v>
      </c>
    </row>
    <row r="116" spans="1:80">
      <c r="A116" s="178">
        <f ca="1">IFERROR(IF(A115+加速!$L$11&lt;$AS$1,IF(COUNTIF(B115,"*轻*")&gt;0,A115+加速!$L$9,A115+加速!$L$11)+V115,IF(COUNTIF(INDEX(AU116:CB116,1,$AT$1),"*云景*")+COUNTIF(INDEX(AU116:CB116,1,$AT$1),"*鹤归*")+COUNTIF(INDEX(AU116:CB116,1,$AT$1),"*听雷*")&gt;0,A115+加速!$L$11,"")),"")</f>
        <v>148.59</v>
      </c>
      <c r="B116" s="167" t="str">
        <f ca="1">IF(A116&lt;&gt;"",IF(AND(A116+加速!$L$11&gt;$AS$1,IF(AND(配装计算器!$K$30&lt;&gt;"∞",0),"梦泉虎跑-轻",INDEX(AU116:CB116,1,$AT$1))="云栖松"),"夕照雷峰",IF(AND(配装计算器!$K$30&lt;&gt;"∞",0),"梦泉虎跑-轻",INDEX(AU116:CB116,1,$AT$1))),"")</f>
        <v>夕照雷峰</v>
      </c>
      <c r="C116">
        <f ca="1" t="shared" si="17"/>
        <v>15</v>
      </c>
      <c r="D116">
        <f ca="1">IF(B116&lt;&gt;"",IF(C115&lt;=加速!$L$11*(1-E116),0,1),"")</f>
        <v>1</v>
      </c>
      <c r="E116">
        <f ca="1" t="shared" si="13"/>
        <v>0</v>
      </c>
      <c r="G116">
        <f ca="1" t="shared" si="14"/>
        <v>0</v>
      </c>
      <c r="H116">
        <f ca="1">IF(B116&lt;&gt;"",IF(AND(COUNTIF(B115,"*轻*莺鸣柳*")&gt;0,COUNTIF(B116,"*轻*")&lt;1),MAX(0,15+I115-(A116-A115)+COUNTIF(B115,"*平湖*")*0),IF(AND(E116=0,MAX(0,H115-(A116-A115))&lt;=加速!$H$11),0,MAX(0,H115-(A116-A115)))),"")</f>
        <v>0</v>
      </c>
      <c r="I116">
        <f ca="1" t="shared" si="20"/>
        <v>0</v>
      </c>
      <c r="J116">
        <f ca="1" t="shared" si="21"/>
        <v>3</v>
      </c>
      <c r="K116">
        <f ca="1">IF(A116&lt;&gt;"",IF(AND(配装计算器!$K$30&lt;&gt;"∞",0),2,INDEX(AU116:CB116,1,$AT$2)),"")</f>
        <v>0</v>
      </c>
      <c r="L116">
        <f ca="1">IFERROR(IF(AND(COUNTIF(B116,"*-峰插*"),技能数据库!$M$72&gt;0),0,IF(COUNTIF(B116,"*鹤归*")&gt;0,16-加速!$L$11,MAX(0,L115-(A116-A115)))),0)</f>
        <v>12</v>
      </c>
      <c r="M116">
        <f ca="1">IF(COUNTIF(IF(AND(配装计算器!$K$30&lt;&gt;"∞",0),INDEX(AU115:CB115,1,$AT$1),INDEX(AU117:CB117,1,$AT$1)),"*鹤归*")=1,L116,0)</f>
        <v>0</v>
      </c>
      <c r="N116">
        <f ca="1">IFERROR(IF(AND(COUNTIF(B116,"*-峰插*"),技能数据库!$M$72&gt;0),0,IF(COUNTIF(B116,"*云飞*")&gt;0,4-COUNTIF(B116,"*玉山揽云*")*4--COUNTIF(B116,"*烟流暮景*")*4-COUNTIF(B116,"*云景*")*加速!$L$11-IF(J116&gt;0,2,0),MAX(0,N115-(A116-A115)-IF(J116&gt;0,2,0)))),0)</f>
        <v>0</v>
      </c>
      <c r="O116">
        <f ca="1">IF(AND(COUNTIF(IF(AND(配装计算器!$K$30&lt;&gt;"∞",0),INDEX(AU115:CB115,1,$AT$1),INDEX(AU117:CB117,1,$AT$1)),"*云飞*")=1,COUNTIF(IF(AND(配装计算器!$K$30&lt;&gt;"∞",0),INDEX(AU115:CB115,1,$AT$1),INDEX(AU117:CB117,1,$AT$1)),"*玉山*")=0),N116,0)</f>
        <v>0</v>
      </c>
      <c r="P116">
        <f ca="1">IFERROR(IF(COUNTIF(B116,"*云栖松*")&gt;0,50-加速!$L$11,MAX(0,P115-(A116-A115))),0)</f>
        <v>0</v>
      </c>
      <c r="Q116">
        <f ca="1">IF(COUNTIF(IF(AND(配装计算器!$K$30&lt;&gt;"∞",0),INDEX(AU115:CB115,1,$AT$1),INDEX(AU117:CB117,1,$AT$1)),"*云栖松*")=1,P116,0)</f>
        <v>0</v>
      </c>
      <c r="R116">
        <f ca="1">IFERROR(IF(COUNTIF(B116,"*莺鸣柳*")&gt;0,45-加速!$L$9,MAX(0,R115-(A116-A115))),0)</f>
        <v>0</v>
      </c>
      <c r="S116">
        <f ca="1">IF(COUNTIF(IF(AND(配装计算器!$K$30&lt;&gt;"∞",0),INDEX(AU115:CB115,1,$AT$1),INDEX(AU117:CB117,1,$AT$1)),"*莺鸣柳*")=1,R116,0)</f>
        <v>0</v>
      </c>
      <c r="T116">
        <f ca="1" t="shared" si="18"/>
        <v>0</v>
      </c>
      <c r="U116">
        <f ca="1">IF(金蛇,IF(COUNTIF(B116,"*金环戴*")+COUNTIF(B116,"*吹风醒*")&gt;0,IF(A116&lt;=3,7.125-2.625-A116-加速!$L$11,7.125+加速!$K$9-(A116+加速!$L$11-T116)),0),0)+IF(金蛇,IF(COUNTIF(B116,"*千切子裂光*")&gt;0,2+加速!$K$9-(A116+加速!$L$11-T116),0),0)</f>
        <v>0</v>
      </c>
      <c r="V116">
        <f ca="1" t="shared" si="19"/>
        <v>0.240000000000009</v>
      </c>
      <c r="W116">
        <f ca="1" t="shared" si="11"/>
        <v>0</v>
      </c>
      <c r="X116">
        <f ca="1">INDEX(加速!$I$13:$I$21,技能数计算!W116+1)</f>
        <v>0</v>
      </c>
      <c r="Y116">
        <f ca="1" t="shared" si="15"/>
        <v>0.5</v>
      </c>
      <c r="Z116">
        <f ca="1" t="shared" si="16"/>
        <v>0</v>
      </c>
      <c r="AA116">
        <f ca="1">MAX(0,IFERROR(IF(COUNTIF(B116,"*叠*")&gt;0,IF(AC115&lt;3,8-A117+A116,AA115+6.875-A117+A116),AA115-A117+A116),AA115-加速!$L$11))</f>
        <v>0</v>
      </c>
      <c r="AB116">
        <f ca="1">MAX(0,IF(COUNTIF(IF(AND(配装计算器!$K$30&lt;&gt;"∞",0),INDEX(AU116:CB116,1,$AT$1),INDEX(AU116:CB116,1,$AT$1)),"*叠1*")=1,4*25-加速!$L$11,AB115-A116+A115)-IF(OR(COUNTIF(OFFSET(AT116,0,$AT$1,1,1),"*听雷*")&gt;0,AND(碧归&gt;0,COUNTIF(OFFSET(AT116,0,$AT$1,1,1),"*风来*")&gt;0)),0,1)*1.5)</f>
        <v>0</v>
      </c>
      <c r="AC116">
        <f ca="1" t="shared" si="12"/>
        <v>0</v>
      </c>
      <c r="AD116">
        <f ca="1">IF(COUNTIF(IF(AND(配装计算器!$K$30&lt;&gt;"∞",0),INDEX(AU116:CB116,1,$AT$1),INDEX(AU117:CB117,1,$AT$1)),"*叠1*")=1,AB116*0+AE115,0)</f>
        <v>0.240000000000009</v>
      </c>
      <c r="AE116">
        <f ca="1">IF($AN$11&gt;0,IF(COUNTIF(B117,"*叠1*")&gt;0,50-加速!$H$11,MAX(0,AE115-(A117-A116))),0)</f>
        <v>48.75</v>
      </c>
      <c r="AH116" t="s">
        <v>1825</v>
      </c>
      <c r="AI116" s="161" t="s">
        <v>2853</v>
      </c>
      <c r="AJ116">
        <f ca="1">循环比*COUNTIFS($B$3:$B$515,"*"&amp;AI116&amp;"*",$D$3:$D$515,"&gt;0",$AC$3:$AC$515,"=0")</f>
        <v>0</v>
      </c>
      <c r="AK116" t="s">
        <v>2750</v>
      </c>
      <c r="AU116" t="s">
        <v>2722</v>
      </c>
      <c r="AV116">
        <v>0</v>
      </c>
      <c r="AW116" t="s">
        <v>2776</v>
      </c>
      <c r="AX116">
        <v>2</v>
      </c>
      <c r="AY116" t="s">
        <v>2776</v>
      </c>
      <c r="AZ116">
        <v>2</v>
      </c>
      <c r="BA116" t="s">
        <v>2776</v>
      </c>
      <c r="BB116">
        <v>2</v>
      </c>
      <c r="BC116" t="s">
        <v>2768</v>
      </c>
      <c r="BD116">
        <v>0</v>
      </c>
      <c r="BE116" t="s">
        <v>2768</v>
      </c>
      <c r="BF116">
        <v>2</v>
      </c>
      <c r="BG116" s="176" t="s">
        <v>2768</v>
      </c>
      <c r="BH116">
        <v>2</v>
      </c>
      <c r="BI116" t="s">
        <v>2768</v>
      </c>
      <c r="BJ116">
        <v>0</v>
      </c>
      <c r="BK116" t="s">
        <v>2768</v>
      </c>
      <c r="BL116">
        <v>2</v>
      </c>
      <c r="BM116" s="176" t="s">
        <v>2776</v>
      </c>
      <c r="BN116">
        <v>2</v>
      </c>
      <c r="BO116" t="str">
        <f>IF(0,"云飞玉皇-玉山揽云","夕照雷峰")</f>
        <v>夕照雷峰</v>
      </c>
      <c r="BP116">
        <v>2</v>
      </c>
      <c r="BQ116" t="s">
        <v>2768</v>
      </c>
      <c r="BR116">
        <v>2</v>
      </c>
      <c r="BS116" t="s">
        <v>2776</v>
      </c>
      <c r="BT116">
        <v>2</v>
      </c>
      <c r="BU116" s="176" t="s">
        <v>2794</v>
      </c>
      <c r="BV116">
        <v>1</v>
      </c>
      <c r="BW116" s="179" t="s">
        <v>2768</v>
      </c>
      <c r="BX116" s="179">
        <v>2</v>
      </c>
      <c r="BY116" s="176" t="s">
        <v>2768</v>
      </c>
      <c r="BZ116">
        <v>2</v>
      </c>
      <c r="CA116" t="str">
        <f>IF(山重水复,"风来吴山","夕照雷峰")</f>
        <v>夕照雷峰</v>
      </c>
      <c r="CB116">
        <v>2</v>
      </c>
    </row>
    <row r="117" spans="1:80">
      <c r="A117" s="178">
        <f ca="1">IFERROR(IF(A116+加速!$L$11&lt;$AS$1,IF(COUNTIF(B116,"*轻*")&gt;0,A116+加速!$L$9,A116+加速!$L$11)+V116,IF(COUNTIF(INDEX(AU117:CB117,1,$AT$1),"*云景*")+COUNTIF(INDEX(AU117:CB117,1,$AT$1),"*鹤归*")+COUNTIF(INDEX(AU117:CB117,1,$AT$1),"*听雷*")&gt;0,A116+加速!$L$11,"")),"")</f>
        <v>150.12</v>
      </c>
      <c r="B117" s="167" t="str">
        <f ca="1">IF(A117&lt;&gt;"",IF(AND(A117+加速!$L$11&gt;$AS$1,IF(AND(配装计算器!$K$30&lt;&gt;"∞",0),"梦泉虎跑-轻",INDEX(AU117:CB117,1,$AT$1))="云栖松"),"夕照雷峰",IF(AND(配装计算器!$K$30&lt;&gt;"∞",0),"梦泉虎跑-轻",INDEX(AU117:CB117,1,$AT$1))),"")</f>
        <v>叠1-云飞玉皇</v>
      </c>
      <c r="C117">
        <f ca="1" t="shared" si="17"/>
        <v>13.47</v>
      </c>
      <c r="D117">
        <f ca="1">IF(B117&lt;&gt;"",IF(C116&lt;=加速!$L$11*(1-E117),0,1),"")</f>
        <v>1</v>
      </c>
      <c r="E117">
        <f ca="1" t="shared" si="13"/>
        <v>1</v>
      </c>
      <c r="G117">
        <f ca="1" t="shared" si="14"/>
        <v>0</v>
      </c>
      <c r="H117">
        <f ca="1">IF(B117&lt;&gt;"",IF(AND(COUNTIF(B116,"*轻*莺鸣柳*")&gt;0,COUNTIF(B117,"*轻*")&lt;1),MAX(0,15+I116-(A117-A116)+COUNTIF(B116,"*平湖*")*0),IF(AND(E117=0,MAX(0,H116-(A117-A116))&lt;=加速!$H$11),0,MAX(0,H116-(A117-A116)))),"")</f>
        <v>0</v>
      </c>
      <c r="I117">
        <f ca="1" t="shared" si="20"/>
        <v>0</v>
      </c>
      <c r="J117">
        <f ca="1" t="shared" si="21"/>
        <v>2</v>
      </c>
      <c r="K117">
        <f ca="1">IF(A117&lt;&gt;"",IF(AND(配装计算器!$K$30&lt;&gt;"∞",0),2,INDEX(AU117:CB117,1,$AT$2)),"")</f>
        <v>2</v>
      </c>
      <c r="L117">
        <f ca="1">IFERROR(IF(AND(COUNTIF(B117,"*-峰插*"),技能数据库!$M$72&gt;0),0,IF(COUNTIF(B117,"*鹤归*")&gt;0,16-加速!$L$11,MAX(0,L116-(A117-A116)))),0)</f>
        <v>10.47</v>
      </c>
      <c r="M117">
        <f ca="1">IF(COUNTIF(IF(AND(配装计算器!$K$30&lt;&gt;"∞",0),INDEX(AU116:CB116,1,$AT$1),INDEX(AU118:CB118,1,$AT$1)),"*鹤归*")=1,L117,0)</f>
        <v>0</v>
      </c>
      <c r="N117">
        <f ca="1">IFERROR(IF(AND(COUNTIF(B117,"*-峰插*"),技能数据库!$M$72&gt;0),0,IF(COUNTIF(B117,"*云飞*")&gt;0,4-COUNTIF(B117,"*玉山揽云*")*4--COUNTIF(B117,"*烟流暮景*")*4-COUNTIF(B117,"*云景*")*加速!$L$11-IF(J117&gt;0,2,0),MAX(0,N116-(A117-A116)-IF(J117&gt;0,2,0)))),0)</f>
        <v>2</v>
      </c>
      <c r="O117">
        <f ca="1">IF(AND(COUNTIF(IF(AND(配装计算器!$K$30&lt;&gt;"∞",0),INDEX(AU116:CB116,1,$AT$1),INDEX(AU118:CB118,1,$AT$1)),"*云飞*")=1,COUNTIF(IF(AND(配装计算器!$K$30&lt;&gt;"∞",0),INDEX(AU116:CB116,1,$AT$1),INDEX(AU118:CB118,1,$AT$1)),"*玉山*")=0),N117,0)</f>
        <v>0</v>
      </c>
      <c r="P117">
        <f ca="1">IFERROR(IF(COUNTIF(B117,"*云栖松*")&gt;0,50-加速!$L$11,MAX(0,P116-(A117-A116))),0)</f>
        <v>0</v>
      </c>
      <c r="Q117">
        <f ca="1">IF(COUNTIF(IF(AND(配装计算器!$K$30&lt;&gt;"∞",0),INDEX(AU116:CB116,1,$AT$1),INDEX(AU118:CB118,1,$AT$1)),"*云栖松*")=1,P117,0)</f>
        <v>0</v>
      </c>
      <c r="R117">
        <f ca="1">IFERROR(IF(COUNTIF(B117,"*莺鸣柳*")&gt;0,45-加速!$L$9,MAX(0,R116-(A117-A116))),0)</f>
        <v>0</v>
      </c>
      <c r="S117">
        <f ca="1">IF(COUNTIF(IF(AND(配装计算器!$K$30&lt;&gt;"∞",0),INDEX(AU116:CB116,1,$AT$1),INDEX(AU118:CB118,1,$AT$1)),"*莺鸣柳*")=1,R117,0)</f>
        <v>0</v>
      </c>
      <c r="T117">
        <f ca="1" t="shared" si="18"/>
        <v>0</v>
      </c>
      <c r="U117">
        <f ca="1">IF(金蛇,IF(COUNTIF(B117,"*金环戴*")+COUNTIF(B117,"*吹风醒*")&gt;0,IF(A117&lt;=3,7.125-2.625-A117-加速!$L$11,7.125+加速!$K$9-(A117+加速!$L$11-T117)),0),0)+IF(金蛇,IF(COUNTIF(B117,"*千切子裂光*")&gt;0,2+加速!$K$9-(A117+加速!$L$11-T117),0),0)</f>
        <v>0</v>
      </c>
      <c r="V117">
        <f ca="1" t="shared" si="19"/>
        <v>0</v>
      </c>
      <c r="W117">
        <f ca="1" t="shared" si="11"/>
        <v>0</v>
      </c>
      <c r="X117">
        <f ca="1">INDEX(加速!$I$13:$I$21,技能数计算!W117+1)</f>
        <v>0</v>
      </c>
      <c r="Y117">
        <f ca="1" t="shared" si="15"/>
        <v>0.5</v>
      </c>
      <c r="Z117">
        <f ca="1" t="shared" si="16"/>
        <v>0</v>
      </c>
      <c r="AA117">
        <f ca="1">MAX(0,IFERROR(IF(COUNTIF(B117,"*叠*")&gt;0,IF(AC116&lt;3,8-A118+A117,AA116+6.875-A118+A117),AA116-A118+A117),AA116-加速!$L$11))</f>
        <v>6.71000000000001</v>
      </c>
      <c r="AB117">
        <f ca="1">MAX(0,IF(COUNTIF(IF(AND(配装计算器!$K$30&lt;&gt;"∞",0),INDEX(AU117:CB117,1,$AT$1),INDEX(AU117:CB117,1,$AT$1)),"*叠1*")=1,4*25-加速!$L$11,AB116-A117+A116)-IF(OR(COUNTIF(OFFSET(AT117,0,$AT$1,1,1),"*听雷*")&gt;0,AND(碧归&gt;0,COUNTIF(OFFSET(AT117,0,$AT$1,1,1),"*风来*")&gt;0)),0,1)*1.5)</f>
        <v>97.21</v>
      </c>
      <c r="AC117">
        <f ca="1" t="shared" si="12"/>
        <v>1</v>
      </c>
      <c r="AD117">
        <f ca="1">IF(COUNTIF(IF(AND(配装计算器!$K$30&lt;&gt;"∞",0),INDEX(AU117:CB117,1,$AT$1),INDEX(AU118:CB118,1,$AT$1)),"*叠1*")=1,AB117*0+AE116,0)</f>
        <v>0</v>
      </c>
      <c r="AE117">
        <f ca="1">IF($AN$11&gt;0,IF(COUNTIF(B118,"*叠1*")&gt;0,50-加速!$H$11,MAX(0,AE116-(A118-A117))),0)</f>
        <v>47.46</v>
      </c>
      <c r="AH117" t="s">
        <v>1825</v>
      </c>
      <c r="AI117" s="161" t="s">
        <v>2855</v>
      </c>
      <c r="AJ117">
        <f ca="1">AJ115*5</f>
        <v>0</v>
      </c>
      <c r="AK117" t="s">
        <v>2750</v>
      </c>
      <c r="AU117" t="s">
        <v>3009</v>
      </c>
      <c r="AV117">
        <v>2</v>
      </c>
      <c r="AW117" t="s">
        <v>2768</v>
      </c>
      <c r="AX117">
        <v>2</v>
      </c>
      <c r="AY117" t="s">
        <v>2768</v>
      </c>
      <c r="AZ117">
        <v>2</v>
      </c>
      <c r="BA117" t="s">
        <v>2768</v>
      </c>
      <c r="BB117">
        <v>2</v>
      </c>
      <c r="BC117" t="s">
        <v>3010</v>
      </c>
      <c r="BD117">
        <v>2</v>
      </c>
      <c r="BE117" t="s">
        <v>3042</v>
      </c>
      <c r="BF117">
        <v>2</v>
      </c>
      <c r="BG117" s="176" t="s">
        <v>2768</v>
      </c>
      <c r="BH117">
        <v>2</v>
      </c>
      <c r="BI117" t="s">
        <v>3011</v>
      </c>
      <c r="BJ117">
        <v>2</v>
      </c>
      <c r="BK117" t="s">
        <v>2776</v>
      </c>
      <c r="BL117">
        <v>2</v>
      </c>
      <c r="BM117" s="176" t="s">
        <v>2768</v>
      </c>
      <c r="BN117">
        <v>2</v>
      </c>
      <c r="BO117" t="str">
        <f>IF(0,"云飞玉皇-玉山揽云","云飞玉皇")</f>
        <v>云飞玉皇</v>
      </c>
      <c r="BP117">
        <v>2</v>
      </c>
      <c r="BQ117" t="s">
        <v>3010</v>
      </c>
      <c r="BR117">
        <v>2</v>
      </c>
      <c r="BS117" t="s">
        <v>2768</v>
      </c>
      <c r="BT117">
        <v>2</v>
      </c>
      <c r="BU117" t="s">
        <v>3028</v>
      </c>
      <c r="BV117">
        <v>1</v>
      </c>
      <c r="BW117" s="179" t="s">
        <v>2776</v>
      </c>
      <c r="BX117" s="179">
        <v>2</v>
      </c>
      <c r="BY117" s="176" t="s">
        <v>2776</v>
      </c>
      <c r="BZ117">
        <v>2</v>
      </c>
      <c r="CA117" t="str">
        <f>IF(0,"云飞玉皇-玉山揽云","云飞玉皇")</f>
        <v>云飞玉皇</v>
      </c>
      <c r="CB117">
        <v>2</v>
      </c>
    </row>
    <row r="118" spans="1:80">
      <c r="A118" s="178">
        <f ca="1">IFERROR(IF(A117+加速!$L$11&lt;$AS$1,IF(COUNTIF(B117,"*轻*")&gt;0,A117+加速!$L$9,A117+加速!$L$11)+V117,IF(COUNTIF(INDEX(AU118:CB118,1,$AT$1),"*云景*")+COUNTIF(INDEX(AU118:CB118,1,$AT$1),"*鹤归*")+COUNTIF(INDEX(AU118:CB118,1,$AT$1),"*听雷*")&gt;0,A117+加速!$L$11,"")),"")</f>
        <v>151.41</v>
      </c>
      <c r="B118" s="167" t="str">
        <f ca="1">IF(A118&lt;&gt;"",IF(AND(A118+加速!$L$11&gt;$AS$1,IF(AND(配装计算器!$K$30&lt;&gt;"∞",0),"梦泉虎跑-轻",INDEX(AU118:CB118,1,$AT$1))="云栖松"),"夕照雷峰",IF(AND(配装计算器!$K$30&lt;&gt;"∞",0),"梦泉虎跑-轻",INDEX(AU118:CB118,1,$AT$1))),"")</f>
        <v>夕照雷峰</v>
      </c>
      <c r="C118">
        <f ca="1" t="shared" si="17"/>
        <v>15</v>
      </c>
      <c r="D118">
        <f ca="1">IF(B118&lt;&gt;"",IF(C117&lt;=加速!$L$11*(1-E118),0,1),"")</f>
        <v>1</v>
      </c>
      <c r="E118">
        <f ca="1" t="shared" si="13"/>
        <v>0</v>
      </c>
      <c r="G118">
        <f ca="1" t="shared" si="14"/>
        <v>0</v>
      </c>
      <c r="H118">
        <f ca="1">IF(B118&lt;&gt;"",IF(AND(COUNTIF(B117,"*轻*莺鸣柳*")&gt;0,COUNTIF(B118,"*轻*")&lt;1),MAX(0,15+I117-(A118-A117)+COUNTIF(B117,"*平湖*")*0),IF(AND(E118=0,MAX(0,H117-(A118-A117))&lt;=加速!$H$11),0,MAX(0,H117-(A118-A117)))),"")</f>
        <v>0</v>
      </c>
      <c r="I118">
        <f ca="1" t="shared" si="20"/>
        <v>0</v>
      </c>
      <c r="J118">
        <f ca="1" t="shared" si="21"/>
        <v>1</v>
      </c>
      <c r="K118">
        <f ca="1">IF(A118&lt;&gt;"",IF(AND(配装计算器!$K$30&lt;&gt;"∞",0),2,INDEX(AU118:CB118,1,$AT$2)),"")</f>
        <v>2</v>
      </c>
      <c r="L118">
        <f ca="1">IFERROR(IF(AND(COUNTIF(B118,"*-峰插*"),技能数据库!$M$72&gt;0),0,IF(COUNTIF(B118,"*鹤归*")&gt;0,16-加速!$L$11,MAX(0,L117-(A118-A117)))),0)</f>
        <v>9.18</v>
      </c>
      <c r="M118">
        <f ca="1">IF(COUNTIF(IF(AND(配装计算器!$K$30&lt;&gt;"∞",0),INDEX(AU117:CB117,1,$AT$1),INDEX(AU119:CB119,1,$AT$1)),"*鹤归*")=1,L118,0)</f>
        <v>0</v>
      </c>
      <c r="N118">
        <f ca="1">IFERROR(IF(AND(COUNTIF(B118,"*-峰插*"),技能数据库!$M$72&gt;0),0,IF(COUNTIF(B118,"*云飞*")&gt;0,4-COUNTIF(B118,"*玉山揽云*")*4--COUNTIF(B118,"*烟流暮景*")*4-COUNTIF(B118,"*云景*")*加速!$L$11-IF(J118&gt;0,2,0),MAX(0,N117-(A118-A117)-IF(J118&gt;0,2,0)))),0)</f>
        <v>0</v>
      </c>
      <c r="O118">
        <f ca="1">IF(AND(COUNTIF(IF(AND(配装计算器!$K$30&lt;&gt;"∞",0),INDEX(AU117:CB117,1,$AT$1),INDEX(AU119:CB119,1,$AT$1)),"*云飞*")=1,COUNTIF(IF(AND(配装计算器!$K$30&lt;&gt;"∞",0),INDEX(AU117:CB117,1,$AT$1),INDEX(AU119:CB119,1,$AT$1)),"*玉山*")=0),N118,0)</f>
        <v>0</v>
      </c>
      <c r="P118">
        <f ca="1">IFERROR(IF(COUNTIF(B118,"*云栖松*")&gt;0,50-加速!$L$11,MAX(0,P117-(A118-A117))),0)</f>
        <v>0</v>
      </c>
      <c r="Q118">
        <f ca="1">IF(COUNTIF(IF(AND(配装计算器!$K$30&lt;&gt;"∞",0),INDEX(AU117:CB117,1,$AT$1),INDEX(AU119:CB119,1,$AT$1)),"*云栖松*")=1,P118,0)</f>
        <v>0</v>
      </c>
      <c r="R118">
        <f ca="1">IFERROR(IF(COUNTIF(B118,"*莺鸣柳*")&gt;0,45-加速!$L$9,MAX(0,R117-(A118-A117))),0)</f>
        <v>0</v>
      </c>
      <c r="S118">
        <f ca="1">IF(COUNTIF(IF(AND(配装计算器!$K$30&lt;&gt;"∞",0),INDEX(AU117:CB117,1,$AT$1),INDEX(AU119:CB119,1,$AT$1)),"*莺鸣柳*")=1,R118,0)</f>
        <v>0</v>
      </c>
      <c r="T118">
        <f ca="1" t="shared" si="18"/>
        <v>0</v>
      </c>
      <c r="U118">
        <f ca="1">IF(金蛇,IF(COUNTIF(B118,"*金环戴*")+COUNTIF(B118,"*吹风醒*")&gt;0,IF(A118&lt;=3,7.125-2.625-A118-加速!$L$11,7.125+加速!$K$9-(A118+加速!$L$11-T118)),0),0)+IF(金蛇,IF(COUNTIF(B118,"*千切子裂光*")&gt;0,2+加速!$K$9-(A118+加速!$L$11-T118),0),0)</f>
        <v>0</v>
      </c>
      <c r="V118">
        <f ca="1" t="shared" si="19"/>
        <v>0</v>
      </c>
      <c r="W118">
        <f ca="1" t="shared" si="11"/>
        <v>0</v>
      </c>
      <c r="X118">
        <f ca="1">INDEX(加速!$I$13:$I$21,技能数计算!W118+1)</f>
        <v>0</v>
      </c>
      <c r="Y118">
        <f ca="1" t="shared" si="15"/>
        <v>0.5</v>
      </c>
      <c r="Z118">
        <f ca="1" t="shared" si="16"/>
        <v>0</v>
      </c>
      <c r="AA118">
        <f ca="1">MAX(0,IFERROR(IF(COUNTIF(B118,"*叠*")&gt;0,IF(AC117&lt;3,8-A119+A118,AA117+6.875-A119+A118),AA117-A119+A118),AA117-加速!$L$11))</f>
        <v>5.42000000000002</v>
      </c>
      <c r="AB118">
        <f ca="1">MAX(0,IF(COUNTIF(IF(AND(配装计算器!$K$30&lt;&gt;"∞",0),INDEX(AU118:CB118,1,$AT$1),INDEX(AU118:CB118,1,$AT$1)),"*叠1*")=1,4*25-加速!$L$11,AB117-A118+A117)-IF(OR(COUNTIF(OFFSET(AT118,0,$AT$1,1,1),"*听雷*")&gt;0,AND(碧归&gt;0,COUNTIF(OFFSET(AT118,0,$AT$1,1,1),"*风来*")&gt;0)),0,1)*1.5)</f>
        <v>94.42</v>
      </c>
      <c r="AC118">
        <f ca="1" t="shared" si="12"/>
        <v>1</v>
      </c>
      <c r="AD118">
        <f ca="1">IF(COUNTIF(IF(AND(配装计算器!$K$30&lt;&gt;"∞",0),INDEX(AU118:CB118,1,$AT$1),INDEX(AU119:CB119,1,$AT$1)),"*叠1*")=1,AB118*0+AE117,0)</f>
        <v>0</v>
      </c>
      <c r="AE118">
        <f ca="1">IF($AN$11&gt;0,IF(COUNTIF(B119,"*叠1*")&gt;0,50-加速!$H$11,MAX(0,AE117-(A119-A118))),0)</f>
        <v>46.17</v>
      </c>
      <c r="AH118" t="s">
        <v>1825</v>
      </c>
      <c r="AI118" s="161" t="s">
        <v>2857</v>
      </c>
      <c r="AJ118">
        <f ca="1">SUMIF($D$3:$D$515,1,$Z$3:$Z$515)-AJ112</f>
        <v>0</v>
      </c>
      <c r="AK118" t="s">
        <v>2750</v>
      </c>
      <c r="AU118" t="s">
        <v>2768</v>
      </c>
      <c r="AV118">
        <v>2</v>
      </c>
      <c r="AW118" t="s">
        <v>2768</v>
      </c>
      <c r="AX118">
        <v>2</v>
      </c>
      <c r="AY118" t="s">
        <v>2768</v>
      </c>
      <c r="AZ118">
        <v>2</v>
      </c>
      <c r="BA118" t="s">
        <v>2768</v>
      </c>
      <c r="BB118">
        <v>2</v>
      </c>
      <c r="BC118" t="s">
        <v>3013</v>
      </c>
      <c r="BD118">
        <v>2</v>
      </c>
      <c r="BE118" t="s">
        <v>3084</v>
      </c>
      <c r="BF118">
        <v>2</v>
      </c>
      <c r="BG118" s="176" t="s">
        <v>2768</v>
      </c>
      <c r="BH118">
        <v>2</v>
      </c>
      <c r="BI118" t="s">
        <v>2768</v>
      </c>
      <c r="BJ118">
        <v>2</v>
      </c>
      <c r="BK118" t="s">
        <v>2768</v>
      </c>
      <c r="BL118">
        <v>2</v>
      </c>
      <c r="BM118" s="176" t="s">
        <v>2808</v>
      </c>
      <c r="BN118">
        <v>2</v>
      </c>
      <c r="BO118" s="176" t="str">
        <f>IF(秋,"夕照雷峰","千切子寒光-千切子裂光")</f>
        <v>千切子寒光-千切子裂光</v>
      </c>
      <c r="BP118">
        <v>2</v>
      </c>
      <c r="BQ118" t="s">
        <v>3013</v>
      </c>
      <c r="BR118">
        <v>2</v>
      </c>
      <c r="BS118" t="s">
        <v>2768</v>
      </c>
      <c r="BT118">
        <v>2</v>
      </c>
      <c r="BU118" t="s">
        <v>2768</v>
      </c>
      <c r="BV118">
        <v>1</v>
      </c>
      <c r="BW118" s="179" t="s">
        <v>2768</v>
      </c>
      <c r="BX118" s="179">
        <v>2</v>
      </c>
      <c r="BY118" s="176" t="s">
        <v>2768</v>
      </c>
      <c r="BZ118">
        <v>2</v>
      </c>
      <c r="CA118" s="180" t="str">
        <f>IF(0,"云飞玉皇-玉山揽云","夕照雷峰")</f>
        <v>夕照雷峰</v>
      </c>
      <c r="CB118">
        <v>2</v>
      </c>
    </row>
    <row r="119" spans="1:80">
      <c r="A119" s="178">
        <f ca="1">IFERROR(IF(A118+加速!$L$11&lt;$AS$1,IF(COUNTIF(B118,"*轻*")&gt;0,A118+加速!$L$9,A118+加速!$L$11)+V118,IF(COUNTIF(INDEX(AU119:CB119,1,$AT$1),"*云景*")+COUNTIF(INDEX(AU119:CB119,1,$AT$1),"*鹤归*")+COUNTIF(INDEX(AU119:CB119,1,$AT$1),"*听雷*")&gt;0,A118+加速!$L$11,"")),"")</f>
        <v>152.7</v>
      </c>
      <c r="B119" s="167" t="str">
        <f ca="1">IF(A119&lt;&gt;"",IF(AND(A119+加速!$L$11&gt;$AS$1,IF(AND(配装计算器!$K$30&lt;&gt;"∞",0),"梦泉虎跑-轻",INDEX(AU119:CB119,1,$AT$1))="云栖松"),"夕照雷峰",IF(AND(配装计算器!$K$30&lt;&gt;"∞",0),"梦泉虎跑-轻",INDEX(AU119:CB119,1,$AT$1))),"")</f>
        <v>叠2-云景·云飞玉皇</v>
      </c>
      <c r="C119">
        <f ca="1" t="shared" si="17"/>
        <v>13.71</v>
      </c>
      <c r="D119">
        <f ca="1">IF(B119&lt;&gt;"",IF(C118&lt;=加速!$L$11*(1-E119),0,1),"")</f>
        <v>1</v>
      </c>
      <c r="E119">
        <f ca="1" t="shared" si="13"/>
        <v>1</v>
      </c>
      <c r="G119">
        <f ca="1" t="shared" si="14"/>
        <v>0</v>
      </c>
      <c r="H119">
        <f ca="1">IF(B119&lt;&gt;"",IF(AND(COUNTIF(B118,"*轻*莺鸣柳*")&gt;0,COUNTIF(B119,"*轻*")&lt;1),MAX(0,15+I118-(A119-A118)+COUNTIF(B118,"*平湖*")*0),IF(AND(E119=0,MAX(0,H118-(A119-A118))&lt;=加速!$H$11),0,MAX(0,H118-(A119-A118)))),"")</f>
        <v>0</v>
      </c>
      <c r="I119">
        <f ca="1" t="shared" si="20"/>
        <v>0</v>
      </c>
      <c r="J119">
        <f ca="1" t="shared" si="21"/>
        <v>1</v>
      </c>
      <c r="K119">
        <f ca="1">IF(A119&lt;&gt;"",IF(AND(配装计算器!$K$30&lt;&gt;"∞",0),2,INDEX(AU119:CB119,1,$AT$2)),"")</f>
        <v>2</v>
      </c>
      <c r="L119">
        <f ca="1">IFERROR(IF(AND(COUNTIF(B119,"*-峰插*"),技能数据库!$M$72&gt;0),0,IF(COUNTIF(B119,"*鹤归*")&gt;0,16-加速!$L$11,MAX(0,L118-(A119-A118)))),0)</f>
        <v>7.89000000000001</v>
      </c>
      <c r="M119">
        <f ca="1">IF(COUNTIF(IF(AND(配装计算器!$K$30&lt;&gt;"∞",0),INDEX(AU118:CB118,1,$AT$1),INDEX(AU120:CB120,1,$AT$1)),"*鹤归*")=1,L119,0)</f>
        <v>0</v>
      </c>
      <c r="N119">
        <f ca="1">IFERROR(IF(AND(COUNTIF(B119,"*-峰插*"),技能数据库!$M$72&gt;0),0,IF(COUNTIF(B119,"*云飞*")&gt;0,4-COUNTIF(B119,"*玉山揽云*")*4--COUNTIF(B119,"*烟流暮景*")*4-COUNTIF(B119,"*云景*")*加速!$L$11-IF(J119&gt;0,2,0),MAX(0,N118-(A119-A118)-IF(J119&gt;0,2,0)))),0)</f>
        <v>0.71</v>
      </c>
      <c r="O119">
        <f ca="1">IF(AND(COUNTIF(IF(AND(配装计算器!$K$30&lt;&gt;"∞",0),INDEX(AU118:CB118,1,$AT$1),INDEX(AU120:CB120,1,$AT$1)),"*云飞*")=1,COUNTIF(IF(AND(配装计算器!$K$30&lt;&gt;"∞",0),INDEX(AU118:CB118,1,$AT$1),INDEX(AU120:CB120,1,$AT$1)),"*玉山*")=0),N119,0)</f>
        <v>0</v>
      </c>
      <c r="P119">
        <f ca="1">IFERROR(IF(COUNTIF(B119,"*云栖松*")&gt;0,50-加速!$L$11,MAX(0,P118-(A119-A118))),0)</f>
        <v>0</v>
      </c>
      <c r="Q119">
        <f ca="1">IF(COUNTIF(IF(AND(配装计算器!$K$30&lt;&gt;"∞",0),INDEX(AU118:CB118,1,$AT$1),INDEX(AU120:CB120,1,$AT$1)),"*云栖松*")=1,P119,0)</f>
        <v>0</v>
      </c>
      <c r="R119">
        <f ca="1">IFERROR(IF(COUNTIF(B119,"*莺鸣柳*")&gt;0,45-加速!$L$9,MAX(0,R118-(A119-A118))),0)</f>
        <v>0</v>
      </c>
      <c r="S119">
        <f ca="1">IF(COUNTIF(IF(AND(配装计算器!$K$30&lt;&gt;"∞",0),INDEX(AU118:CB118,1,$AT$1),INDEX(AU120:CB120,1,$AT$1)),"*莺鸣柳*")=1,R119,0)</f>
        <v>0</v>
      </c>
      <c r="T119">
        <f ca="1" t="shared" si="18"/>
        <v>0</v>
      </c>
      <c r="U119">
        <f ca="1">IF(金蛇,IF(COUNTIF(B119,"*金环戴*")+COUNTIF(B119,"*吹风醒*")&gt;0,IF(A119&lt;=3,7.125-2.625-A119-加速!$L$11,7.125+加速!$K$9-(A119+加速!$L$11-T119)),0),0)+IF(金蛇,IF(COUNTIF(B119,"*千切子裂光*")&gt;0,2+加速!$K$9-(A119+加速!$L$11-T119),0),0)</f>
        <v>0</v>
      </c>
      <c r="V119">
        <f ca="1" t="shared" si="19"/>
        <v>0</v>
      </c>
      <c r="W119">
        <f ca="1" t="shared" si="11"/>
        <v>0</v>
      </c>
      <c r="X119">
        <f ca="1">INDEX(加速!$I$13:$I$21,技能数计算!W119+1)</f>
        <v>0</v>
      </c>
      <c r="Y119">
        <f ca="1" t="shared" si="15"/>
        <v>0.5</v>
      </c>
      <c r="Z119">
        <f ca="1" t="shared" si="16"/>
        <v>0</v>
      </c>
      <c r="AA119">
        <f ca="1">MAX(0,IFERROR(IF(COUNTIF(B119,"*叠*")&gt;0,IF(AC118&lt;3,8-A120+A119,AA118+6.875-A120+A119),AA118-A120+A119),AA118-加速!$L$11))</f>
        <v>6.71000000000001</v>
      </c>
      <c r="AB119">
        <f ca="1">MAX(0,IF(COUNTIF(IF(AND(配装计算器!$K$30&lt;&gt;"∞",0),INDEX(AU119:CB119,1,$AT$1),INDEX(AU119:CB119,1,$AT$1)),"*叠1*")=1,4*25-加速!$L$11,AB118-A119+A118)-IF(OR(COUNTIF(OFFSET(AT119,0,$AT$1,1,1),"*听雷*")&gt;0,AND(碧归&gt;0,COUNTIF(OFFSET(AT119,0,$AT$1,1,1),"*风来*")&gt;0)),0,1)*1.5)</f>
        <v>91.63</v>
      </c>
      <c r="AC119">
        <f ca="1" t="shared" si="12"/>
        <v>2</v>
      </c>
      <c r="AD119">
        <f ca="1">IF(COUNTIF(IF(AND(配装计算器!$K$30&lt;&gt;"∞",0),INDEX(AU119:CB119,1,$AT$1),INDEX(AU120:CB120,1,$AT$1)),"*叠1*")=1,AB119*0+AE118,0)</f>
        <v>0</v>
      </c>
      <c r="AE119">
        <f ca="1">IF($AN$11&gt;0,IF(COUNTIF(B120,"*叠1*")&gt;0,50-加速!$H$11,MAX(0,AE118-(A120-A119))),0)</f>
        <v>44.88</v>
      </c>
      <c r="AH119" t="s">
        <v>1028</v>
      </c>
      <c r="AI119" s="161" t="s">
        <v>2859</v>
      </c>
      <c r="AJ119">
        <f ca="1">循环比*COUNTIFS($B$3:$B$515,"*轻*"&amp;AI119&amp;"*",$D$3:$D$515,"&gt;0",$AC$3:$AC$515,"=0")/3</f>
        <v>0</v>
      </c>
      <c r="AK119" t="s">
        <v>2750</v>
      </c>
      <c r="AU119" t="s">
        <v>2776</v>
      </c>
      <c r="AV119">
        <v>2</v>
      </c>
      <c r="AW119" t="s">
        <v>2768</v>
      </c>
      <c r="AX119">
        <v>2</v>
      </c>
      <c r="AY119" t="s">
        <v>2776</v>
      </c>
      <c r="AZ119">
        <v>2</v>
      </c>
      <c r="BA119" t="s">
        <v>2776</v>
      </c>
      <c r="BB119">
        <v>2</v>
      </c>
      <c r="BC119" t="s">
        <v>3018</v>
      </c>
      <c r="BD119">
        <v>2</v>
      </c>
      <c r="BE119" t="s">
        <v>2768</v>
      </c>
      <c r="BF119">
        <v>2</v>
      </c>
      <c r="BG119" s="176" t="s">
        <v>2776</v>
      </c>
      <c r="BH119">
        <v>2</v>
      </c>
      <c r="BI119" t="s">
        <v>3018</v>
      </c>
      <c r="BJ119">
        <v>2</v>
      </c>
      <c r="BK119" t="s">
        <v>2768</v>
      </c>
      <c r="BL119">
        <v>2</v>
      </c>
      <c r="BM119" t="str">
        <f>IF(0,"云飞玉皇-玉山揽云","夕照雷峰")</f>
        <v>夕照雷峰</v>
      </c>
      <c r="BN119">
        <v>2</v>
      </c>
      <c r="BO119" s="176" t="str">
        <f>IF(秋,"夕照雷峰","夕照雷峰")</f>
        <v>夕照雷峰</v>
      </c>
      <c r="BP119">
        <v>2</v>
      </c>
      <c r="BQ119" t="s">
        <v>3018</v>
      </c>
      <c r="BR119">
        <v>2</v>
      </c>
      <c r="BS119" t="s">
        <v>2768</v>
      </c>
      <c r="BT119">
        <v>1</v>
      </c>
      <c r="BU119" t="s">
        <v>3011</v>
      </c>
      <c r="BV119">
        <v>2</v>
      </c>
      <c r="BW119" s="179" t="s">
        <v>2768</v>
      </c>
      <c r="BX119" s="179">
        <v>2</v>
      </c>
      <c r="BY119" s="176" t="s">
        <v>2808</v>
      </c>
      <c r="BZ119">
        <v>2</v>
      </c>
      <c r="CA119" s="176" t="str">
        <f>IF(秋,"夕照雷峰","千切子寒光")</f>
        <v>千切子寒光</v>
      </c>
      <c r="CB119">
        <v>2</v>
      </c>
    </row>
    <row r="120" spans="1:80">
      <c r="A120" s="178">
        <f ca="1">IFERROR(IF(A119+加速!$L$11&lt;$AS$1,IF(COUNTIF(B119,"*轻*")&gt;0,A119+加速!$L$9,A119+加速!$L$11)+V119,IF(COUNTIF(INDEX(AU120:CB120,1,$AT$1),"*云景*")+COUNTIF(INDEX(AU120:CB120,1,$AT$1),"*鹤归*")+COUNTIF(INDEX(AU120:CB120,1,$AT$1),"*听雷*")&gt;0,A119+加速!$L$11,"")),"")</f>
        <v>153.99</v>
      </c>
      <c r="B120" s="167" t="str">
        <f ca="1">IF(A120&lt;&gt;"",IF(AND(A120+加速!$L$11&gt;$AS$1,IF(AND(配装计算器!$K$30&lt;&gt;"∞",0),"梦泉虎跑-轻",INDEX(AU120:CB120,1,$AT$1))="云栖松"),"夕照雷峰",IF(AND(配装计算器!$K$30&lt;&gt;"∞",0),"梦泉虎跑-轻",INDEX(AU120:CB120,1,$AT$1))),"")</f>
        <v>夕照雷峰</v>
      </c>
      <c r="C120">
        <f ca="1" t="shared" si="17"/>
        <v>15</v>
      </c>
      <c r="D120">
        <f ca="1">IF(B120&lt;&gt;"",IF(C119&lt;=加速!$L$11*(1-E120),0,1),"")</f>
        <v>1</v>
      </c>
      <c r="E120">
        <f ca="1" t="shared" si="13"/>
        <v>0</v>
      </c>
      <c r="G120">
        <f ca="1" t="shared" si="14"/>
        <v>0</v>
      </c>
      <c r="H120">
        <f ca="1">IF(B120&lt;&gt;"",IF(AND(COUNTIF(B119,"*轻*莺鸣柳*")&gt;0,COUNTIF(B120,"*轻*")&lt;1),MAX(0,15+I119-(A120-A119)+COUNTIF(B119,"*平湖*")*0),IF(AND(E120=0,MAX(0,H119-(A120-A119))&lt;=加速!$H$11),0,MAX(0,H119-(A120-A119)))),"")</f>
        <v>0</v>
      </c>
      <c r="I120">
        <f ca="1" t="shared" si="20"/>
        <v>0</v>
      </c>
      <c r="J120">
        <f ca="1" t="shared" si="21"/>
        <v>0</v>
      </c>
      <c r="K120">
        <f ca="1">IF(A120&lt;&gt;"",IF(AND(配装计算器!$K$30&lt;&gt;"∞",0),2,INDEX(AU120:CB120,1,$AT$2)),"")</f>
        <v>2</v>
      </c>
      <c r="L120">
        <f ca="1">IFERROR(IF(AND(COUNTIF(B120,"*-峰插*"),技能数据库!$M$72&gt;0),0,IF(COUNTIF(B120,"*鹤归*")&gt;0,16-加速!$L$11,MAX(0,L119-(A120-A119)))),0)</f>
        <v>6.60000000000002</v>
      </c>
      <c r="M120">
        <f ca="1">IF(COUNTIF(IF(AND(配装计算器!$K$30&lt;&gt;"∞",0),INDEX(AU119:CB119,1,$AT$1),INDEX(AU121:CB121,1,$AT$1)),"*鹤归*")=1,L120,0)</f>
        <v>0</v>
      </c>
      <c r="N120">
        <f ca="1">IFERROR(IF(AND(COUNTIF(B120,"*-峰插*"),技能数据库!$M$72&gt;0),0,IF(COUNTIF(B120,"*云飞*")&gt;0,4-COUNTIF(B120,"*玉山揽云*")*4--COUNTIF(B120,"*烟流暮景*")*4-COUNTIF(B120,"*云景*")*加速!$L$11-IF(J120&gt;0,2,0),MAX(0,N119-(A120-A119)-IF(J120&gt;0,2,0)))),0)</f>
        <v>0</v>
      </c>
      <c r="O120">
        <f ca="1">IF(AND(COUNTIF(IF(AND(配装计算器!$K$30&lt;&gt;"∞",0),INDEX(AU119:CB119,1,$AT$1),INDEX(AU121:CB121,1,$AT$1)),"*云飞*")=1,COUNTIF(IF(AND(配装计算器!$K$30&lt;&gt;"∞",0),INDEX(AU119:CB119,1,$AT$1),INDEX(AU121:CB121,1,$AT$1)),"*玉山*")=0),N120,0)</f>
        <v>0</v>
      </c>
      <c r="P120">
        <f ca="1">IFERROR(IF(COUNTIF(B120,"*云栖松*")&gt;0,50-加速!$L$11,MAX(0,P119-(A120-A119))),0)</f>
        <v>0</v>
      </c>
      <c r="Q120">
        <f ca="1">IF(COUNTIF(IF(AND(配装计算器!$K$30&lt;&gt;"∞",0),INDEX(AU119:CB119,1,$AT$1),INDEX(AU121:CB121,1,$AT$1)),"*云栖松*")=1,P120,0)</f>
        <v>0</v>
      </c>
      <c r="R120">
        <f ca="1">IFERROR(IF(COUNTIF(B120,"*莺鸣柳*")&gt;0,45-加速!$L$9,MAX(0,R119-(A120-A119))),0)</f>
        <v>0</v>
      </c>
      <c r="S120">
        <f ca="1">IF(COUNTIF(IF(AND(配装计算器!$K$30&lt;&gt;"∞",0),INDEX(AU119:CB119,1,$AT$1),INDEX(AU121:CB121,1,$AT$1)),"*莺鸣柳*")=1,R120,0)</f>
        <v>0</v>
      </c>
      <c r="T120">
        <f ca="1" t="shared" si="18"/>
        <v>0</v>
      </c>
      <c r="U120">
        <f ca="1">IF(金蛇,IF(COUNTIF(B120,"*金环戴*")+COUNTIF(B120,"*吹风醒*")&gt;0,IF(A120&lt;=3,7.125-2.625-A120-加速!$L$11,7.125+加速!$K$9-(A120+加速!$L$11-T120)),0),0)+IF(金蛇,IF(COUNTIF(B120,"*千切子裂光*")&gt;0,2+加速!$K$9-(A120+加速!$L$11-T120),0),0)</f>
        <v>0</v>
      </c>
      <c r="V120">
        <f ca="1" t="shared" si="19"/>
        <v>0</v>
      </c>
      <c r="W120">
        <f ca="1" t="shared" si="11"/>
        <v>0</v>
      </c>
      <c r="X120">
        <f ca="1">INDEX(加速!$I$13:$I$21,技能数计算!W120+1)</f>
        <v>0</v>
      </c>
      <c r="Y120">
        <f ca="1" t="shared" si="15"/>
        <v>0.5</v>
      </c>
      <c r="Z120">
        <f ca="1" t="shared" si="16"/>
        <v>0</v>
      </c>
      <c r="AA120">
        <f ca="1">MAX(0,IFERROR(IF(COUNTIF(B120,"*叠*")&gt;0,IF(AC119&lt;3,8-A121+A120,AA119+6.875-A121+A120),AA119-A121+A120),AA119-加速!$L$11))</f>
        <v>5.42000000000002</v>
      </c>
      <c r="AB120">
        <f ca="1">MAX(0,IF(COUNTIF(IF(AND(配装计算器!$K$30&lt;&gt;"∞",0),INDEX(AU120:CB120,1,$AT$1),INDEX(AU120:CB120,1,$AT$1)),"*叠1*")=1,4*25-加速!$L$11,AB119-A120+A119)-IF(OR(COUNTIF(OFFSET(AT120,0,$AT$1,1,1),"*听雷*")&gt;0,AND(碧归&gt;0,COUNTIF(OFFSET(AT120,0,$AT$1,1,1),"*风来*")&gt;0)),0,1)*1.5)</f>
        <v>88.84</v>
      </c>
      <c r="AC120">
        <f ca="1" t="shared" si="12"/>
        <v>2</v>
      </c>
      <c r="AD120">
        <f ca="1">IF(COUNTIF(IF(AND(配装计算器!$K$30&lt;&gt;"∞",0),INDEX(AU120:CB120,1,$AT$1),INDEX(AU121:CB121,1,$AT$1)),"*叠1*")=1,AB120*0+AE119,0)</f>
        <v>0</v>
      </c>
      <c r="AE120">
        <f ca="1">IF($AN$11&gt;0,IF(COUNTIF(B121,"*叠1*")&gt;0,50-加速!$H$11,MAX(0,AE119-(A121-A120))),0)</f>
        <v>43.59</v>
      </c>
      <c r="AH120" t="s">
        <v>1028</v>
      </c>
      <c r="AI120" s="161" t="s">
        <v>2859</v>
      </c>
      <c r="AJ120">
        <f ca="1">循环比*COUNTIFS($B$3:$B$515,"*轻*"&amp;AI120&amp;"*",$D$3:$D$515,"&gt;0",$AC$3:$AC$515,"=0")*2/3</f>
        <v>0</v>
      </c>
      <c r="AK120" t="s">
        <v>2750</v>
      </c>
      <c r="AU120" t="s">
        <v>2768</v>
      </c>
      <c r="AV120">
        <v>2</v>
      </c>
      <c r="AW120" t="s">
        <v>2776</v>
      </c>
      <c r="AX120">
        <v>2</v>
      </c>
      <c r="AY120" t="s">
        <v>3035</v>
      </c>
      <c r="AZ120">
        <v>2</v>
      </c>
      <c r="BA120" t="s">
        <v>3035</v>
      </c>
      <c r="BB120">
        <v>2</v>
      </c>
      <c r="BC120" t="s">
        <v>2768</v>
      </c>
      <c r="BD120">
        <v>2</v>
      </c>
      <c r="BE120" t="s">
        <v>2794</v>
      </c>
      <c r="BF120">
        <v>2</v>
      </c>
      <c r="BG120" s="176" t="s">
        <v>3035</v>
      </c>
      <c r="BH120">
        <v>2</v>
      </c>
      <c r="BI120" t="s">
        <v>2768</v>
      </c>
      <c r="BJ120">
        <v>2</v>
      </c>
      <c r="BK120" s="176" t="s">
        <v>3056</v>
      </c>
      <c r="BL120">
        <v>2</v>
      </c>
      <c r="BM120" t="str">
        <f>IF(0,"云飞玉皇-玉山揽云","云飞玉皇")</f>
        <v>云飞玉皇</v>
      </c>
      <c r="BN120">
        <v>2</v>
      </c>
      <c r="BO120" t="str">
        <f>IF(0,"云飞玉皇-玉山揽云","夕照雷峰")</f>
        <v>夕照雷峰</v>
      </c>
      <c r="BP120">
        <v>2</v>
      </c>
      <c r="BQ120" t="s">
        <v>2768</v>
      </c>
      <c r="BR120">
        <v>2</v>
      </c>
      <c r="BS120" t="s">
        <v>2776</v>
      </c>
      <c r="BT120">
        <v>1</v>
      </c>
      <c r="BU120" t="s">
        <v>2768</v>
      </c>
      <c r="BV120">
        <v>2</v>
      </c>
      <c r="BW120" s="179" t="s">
        <v>3021</v>
      </c>
      <c r="BX120" s="179">
        <v>2</v>
      </c>
      <c r="BY120" t="str">
        <f>IF(0,"云飞玉皇-玉山揽云","夕照雷峰")</f>
        <v>夕照雷峰</v>
      </c>
      <c r="BZ120">
        <v>2</v>
      </c>
      <c r="CA120" s="176" t="str">
        <f>IF(秋,"夕照雷峰","千切子裂光")</f>
        <v>千切子裂光</v>
      </c>
      <c r="CB120">
        <v>2</v>
      </c>
    </row>
    <row r="121" spans="1:80">
      <c r="A121" s="178">
        <f ca="1">IFERROR(IF(A120+加速!$L$11&lt;$AS$1,IF(COUNTIF(B120,"*轻*")&gt;0,A120+加速!$L$9,A120+加速!$L$11)+V120,IF(COUNTIF(INDEX(AU121:CB121,1,$AT$1),"*云景*")+COUNTIF(INDEX(AU121:CB121,1,$AT$1),"*鹤归*")+COUNTIF(INDEX(AU121:CB121,1,$AT$1),"*听雷*")&gt;0,A120+加速!$L$11,"")),"")</f>
        <v>155.28</v>
      </c>
      <c r="B121" s="167" t="str">
        <f ca="1">IF(A121&lt;&gt;"",IF(AND(A121+加速!$L$11&gt;$AS$1,IF(AND(配装计算器!$K$30&lt;&gt;"∞",0),"梦泉虎跑-轻",INDEX(AU121:CB121,1,$AT$1))="云栖松"),"夕照雷峰",IF(AND(配装计算器!$K$30&lt;&gt;"∞",0),"梦泉虎跑-轻",INDEX(AU121:CB121,1,$AT$1))),"")</f>
        <v>叠3-云飞玉皇</v>
      </c>
      <c r="C121">
        <f ca="1" t="shared" si="17"/>
        <v>13.71</v>
      </c>
      <c r="D121">
        <f ca="1">IF(B121&lt;&gt;"",IF(C120&lt;=加速!$L$11*(1-E121),0,1),"")</f>
        <v>1</v>
      </c>
      <c r="E121">
        <f ca="1" t="shared" si="13"/>
        <v>1</v>
      </c>
      <c r="G121">
        <f ca="1" t="shared" si="14"/>
        <v>0</v>
      </c>
      <c r="H121">
        <f ca="1">IF(B121&lt;&gt;"",IF(AND(COUNTIF(B120,"*轻*莺鸣柳*")&gt;0,COUNTIF(B121,"*轻*")&lt;1),MAX(0,15+I120-(A121-A120)+COUNTIF(B120,"*平湖*")*0),IF(AND(E121=0,MAX(0,H120-(A121-A120))&lt;=加速!$H$11),0,MAX(0,H120-(A121-A120)))),"")</f>
        <v>0</v>
      </c>
      <c r="I121">
        <f ca="1" t="shared" si="20"/>
        <v>0</v>
      </c>
      <c r="J121">
        <f ca="1" t="shared" si="21"/>
        <v>0</v>
      </c>
      <c r="K121">
        <f ca="1">IF(A121&lt;&gt;"",IF(AND(配装计算器!$K$30&lt;&gt;"∞",0),2,INDEX(AU121:CB121,1,$AT$2)),"")</f>
        <v>2</v>
      </c>
      <c r="L121">
        <f ca="1">IFERROR(IF(AND(COUNTIF(B121,"*-峰插*"),技能数据库!$M$72&gt;0),0,IF(COUNTIF(B121,"*鹤归*")&gt;0,16-加速!$L$11,MAX(0,L120-(A121-A120)))),0)</f>
        <v>5.31000000000002</v>
      </c>
      <c r="M121">
        <f ca="1">IF(COUNTIF(IF(AND(配装计算器!$K$30&lt;&gt;"∞",0),INDEX(AU120:CB120,1,$AT$1),INDEX(AU122:CB122,1,$AT$1)),"*鹤归*")=1,L121,0)</f>
        <v>0</v>
      </c>
      <c r="N121">
        <f ca="1">IFERROR(IF(AND(COUNTIF(B121,"*-峰插*"),技能数据库!$M$72&gt;0),0,IF(COUNTIF(B121,"*云飞*")&gt;0,4-COUNTIF(B121,"*玉山揽云*")*4--COUNTIF(B121,"*烟流暮景*")*4-COUNTIF(B121,"*云景*")*加速!$L$11-IF(J121&gt;0,2,0),MAX(0,N120-(A121-A120)-IF(J121&gt;0,2,0)))),0)</f>
        <v>4</v>
      </c>
      <c r="O121">
        <f ca="1">IF(AND(COUNTIF(IF(AND(配装计算器!$K$30&lt;&gt;"∞",0),INDEX(AU120:CB120,1,$AT$1),INDEX(AU122:CB122,1,$AT$1)),"*云飞*")=1,COUNTIF(IF(AND(配装计算器!$K$30&lt;&gt;"∞",0),INDEX(AU120:CB120,1,$AT$1),INDEX(AU122:CB122,1,$AT$1)),"*玉山*")=0),N121,0)</f>
        <v>0</v>
      </c>
      <c r="P121">
        <f ca="1">IFERROR(IF(COUNTIF(B121,"*云栖松*")&gt;0,50-加速!$L$11,MAX(0,P120-(A121-A120))),0)</f>
        <v>0</v>
      </c>
      <c r="Q121">
        <f ca="1">IF(COUNTIF(IF(AND(配装计算器!$K$30&lt;&gt;"∞",0),INDEX(AU120:CB120,1,$AT$1),INDEX(AU122:CB122,1,$AT$1)),"*云栖松*")=1,P121,0)</f>
        <v>0</v>
      </c>
      <c r="R121">
        <f ca="1">IFERROR(IF(COUNTIF(B121,"*莺鸣柳*")&gt;0,45-加速!$L$9,MAX(0,R120-(A121-A120))),0)</f>
        <v>0</v>
      </c>
      <c r="S121">
        <f ca="1">IF(COUNTIF(IF(AND(配装计算器!$K$30&lt;&gt;"∞",0),INDEX(AU120:CB120,1,$AT$1),INDEX(AU122:CB122,1,$AT$1)),"*莺鸣柳*")=1,R121,0)</f>
        <v>0</v>
      </c>
      <c r="T121">
        <f ca="1" t="shared" si="18"/>
        <v>0</v>
      </c>
      <c r="U121">
        <f ca="1">IF(金蛇,IF(COUNTIF(B121,"*金环戴*")+COUNTIF(B121,"*吹风醒*")&gt;0,IF(A121&lt;=3,7.125-2.625-A121-加速!$L$11,7.125+加速!$K$9-(A121+加速!$L$11-T121)),0),0)+IF(金蛇,IF(COUNTIF(B121,"*千切子裂光*")&gt;0,2+加速!$K$9-(A121+加速!$L$11-T121),0),0)</f>
        <v>0</v>
      </c>
      <c r="V121">
        <f ca="1" t="shared" si="19"/>
        <v>0</v>
      </c>
      <c r="W121">
        <f ca="1" t="shared" si="11"/>
        <v>0</v>
      </c>
      <c r="X121">
        <f ca="1">INDEX(加速!$I$13:$I$21,技能数计算!W121+1)</f>
        <v>0</v>
      </c>
      <c r="Y121">
        <f ca="1" t="shared" si="15"/>
        <v>0.5</v>
      </c>
      <c r="Z121">
        <f ca="1" t="shared" si="16"/>
        <v>0</v>
      </c>
      <c r="AA121">
        <f ca="1">MAX(0,IFERROR(IF(COUNTIF(B121,"*叠*")&gt;0,IF(AC120&lt;3,8-A122+A121,AA120+6.875-A122+A121),AA120-A122+A121),AA120-加速!$L$11))</f>
        <v>6.71000000000001</v>
      </c>
      <c r="AB121">
        <f ca="1">MAX(0,IF(COUNTIF(IF(AND(配装计算器!$K$30&lt;&gt;"∞",0),INDEX(AU121:CB121,1,$AT$1),INDEX(AU121:CB121,1,$AT$1)),"*叠1*")=1,4*25-加速!$L$11,AB120-A121+A120)-IF(OR(COUNTIF(OFFSET(AT121,0,$AT$1,1,1),"*听雷*")&gt;0,AND(碧归&gt;0,COUNTIF(OFFSET(AT121,0,$AT$1,1,1),"*风来*")&gt;0)),0,1)*1.5)</f>
        <v>86.05</v>
      </c>
      <c r="AC121">
        <f ca="1" t="shared" si="12"/>
        <v>3</v>
      </c>
      <c r="AD121">
        <f ca="1">IF(COUNTIF(IF(AND(配装计算器!$K$30&lt;&gt;"∞",0),INDEX(AU121:CB121,1,$AT$1),INDEX(AU122:CB122,1,$AT$1)),"*叠1*")=1,AB121*0+AE120,0)</f>
        <v>0</v>
      </c>
      <c r="AE121">
        <f ca="1">IF($AN$11&gt;0,IF(COUNTIF(B122,"*叠1*")&gt;0,50-加速!$H$11,MAX(0,AE120-(A122-A121))),0)</f>
        <v>42.3</v>
      </c>
      <c r="AH121" t="s">
        <v>1825</v>
      </c>
      <c r="AI121" s="161" t="s">
        <v>2859</v>
      </c>
      <c r="AJ121">
        <f ca="1">循环比*COUNTIFS($B$3:$B$515,"*皇*"&amp;AI121&amp;"*",$D$3:$D$515,"&gt;0",$H$3:$H$515,"&gt;0")/3</f>
        <v>0</v>
      </c>
      <c r="AK121" t="s">
        <v>3044</v>
      </c>
      <c r="AU121" t="s">
        <v>2768</v>
      </c>
      <c r="AV121">
        <v>2</v>
      </c>
      <c r="AW121" t="s">
        <v>2768</v>
      </c>
      <c r="AX121">
        <v>2</v>
      </c>
      <c r="AY121" t="s">
        <v>2768</v>
      </c>
      <c r="AZ121">
        <v>2</v>
      </c>
      <c r="BA121" t="s">
        <v>2768</v>
      </c>
      <c r="BB121">
        <v>2</v>
      </c>
      <c r="BC121" t="s">
        <v>3023</v>
      </c>
      <c r="BD121">
        <v>2</v>
      </c>
      <c r="BE121" t="s">
        <v>2768</v>
      </c>
      <c r="BF121">
        <v>2</v>
      </c>
      <c r="BG121" t="s">
        <v>2768</v>
      </c>
      <c r="BH121">
        <v>2</v>
      </c>
      <c r="BI121" s="182" t="s">
        <v>3023</v>
      </c>
      <c r="BJ121">
        <v>2</v>
      </c>
      <c r="BK121" s="176" t="s">
        <v>2768</v>
      </c>
      <c r="BL121">
        <v>2</v>
      </c>
      <c r="BM121" s="176" t="str">
        <f>IF(秋,"夕照雷峰","千切子寒光")</f>
        <v>千切子寒光</v>
      </c>
      <c r="BN121">
        <v>2</v>
      </c>
      <c r="BO121" t="s">
        <v>2776</v>
      </c>
      <c r="BP121">
        <v>2</v>
      </c>
      <c r="BQ121" t="s">
        <v>3023</v>
      </c>
      <c r="BR121">
        <v>2</v>
      </c>
      <c r="BS121" t="s">
        <v>2768</v>
      </c>
      <c r="BT121">
        <v>0</v>
      </c>
      <c r="BU121" t="s">
        <v>3018</v>
      </c>
      <c r="BV121">
        <v>2</v>
      </c>
      <c r="BW121" s="179" t="s">
        <v>2722</v>
      </c>
      <c r="BX121" s="179">
        <v>2</v>
      </c>
      <c r="BY121" t="str">
        <f>IF(0,"云飞玉皇-玉山揽云","云飞玉皇")</f>
        <v>云飞玉皇</v>
      </c>
      <c r="BZ121">
        <v>2</v>
      </c>
      <c r="CA121" t="s">
        <v>2776</v>
      </c>
      <c r="CB121">
        <v>2</v>
      </c>
    </row>
    <row r="122" spans="1:80">
      <c r="A122" s="178">
        <f ca="1">IFERROR(IF(A121+加速!$L$11&lt;$AS$1,IF(COUNTIF(B121,"*轻*")&gt;0,A121+加速!$L$9,A121+加速!$L$11)+V121,IF(COUNTIF(INDEX(AU122:CB122,1,$AT$1),"*云景*")+COUNTIF(INDEX(AU122:CB122,1,$AT$1),"*鹤归*")+COUNTIF(INDEX(AU122:CB122,1,$AT$1),"*听雷*")&gt;0,A121+加速!$L$11,"")),"")</f>
        <v>156.57</v>
      </c>
      <c r="B122" s="167" t="str">
        <f ca="1">IF(A122&lt;&gt;"",IF(AND(A122+加速!$L$11&gt;$AS$1,IF(AND(配装计算器!$K$30&lt;&gt;"∞",0),"梦泉虎跑-轻",INDEX(AU122:CB122,1,$AT$1))="云栖松"),"夕照雷峰",IF(AND(配装计算器!$K$30&lt;&gt;"∞",0),"梦泉虎跑-轻",INDEX(AU122:CB122,1,$AT$1))),"")</f>
        <v>云飞玉皇-玉山揽云</v>
      </c>
      <c r="C122">
        <f ca="1" t="shared" si="17"/>
        <v>12.42</v>
      </c>
      <c r="D122">
        <f ca="1">IF(B122&lt;&gt;"",IF(C121&lt;=加速!$L$11*(1-E122),0,1),"")</f>
        <v>1</v>
      </c>
      <c r="E122">
        <f ca="1" t="shared" si="13"/>
        <v>1</v>
      </c>
      <c r="G122">
        <f ca="1" t="shared" si="14"/>
        <v>0</v>
      </c>
      <c r="H122">
        <f ca="1">IF(B122&lt;&gt;"",IF(AND(COUNTIF(B121,"*轻*莺鸣柳*")&gt;0,COUNTIF(B122,"*轻*")&lt;1),MAX(0,15+I121-(A122-A121)+COUNTIF(B121,"*平湖*")*0),IF(AND(E122=0,MAX(0,H121-(A122-A121))&lt;=加速!$H$11),0,MAX(0,H121-(A122-A121)))),"")</f>
        <v>0</v>
      </c>
      <c r="I122">
        <f ca="1" t="shared" si="20"/>
        <v>0</v>
      </c>
      <c r="J122">
        <f ca="1" t="shared" si="21"/>
        <v>0</v>
      </c>
      <c r="K122">
        <f ca="1">IF(A122&lt;&gt;"",IF(AND(配装计算器!$K$30&lt;&gt;"∞",0),2,INDEX(AU122:CB122,1,$AT$2)),"")</f>
        <v>2</v>
      </c>
      <c r="L122">
        <f ca="1">IFERROR(IF(AND(COUNTIF(B122,"*-峰插*"),技能数据库!$M$72&gt;0),0,IF(COUNTIF(B122,"*鹤归*")&gt;0,16-加速!$L$11,MAX(0,L121-(A122-A121)))),0)</f>
        <v>4.02000000000003</v>
      </c>
      <c r="M122">
        <f ca="1">IF(COUNTIF(IF(AND(配装计算器!$K$30&lt;&gt;"∞",0),INDEX(AU121:CB121,1,$AT$1),INDEX(AU123:CB123,1,$AT$1)),"*鹤归*")=1,L122,0)</f>
        <v>0</v>
      </c>
      <c r="N122">
        <f ca="1">IFERROR(IF(AND(COUNTIF(B122,"*-峰插*"),技能数据库!$M$72&gt;0),0,IF(COUNTIF(B122,"*云飞*")&gt;0,4-COUNTIF(B122,"*玉山揽云*")*4--COUNTIF(B122,"*烟流暮景*")*4-COUNTIF(B122,"*云景*")*加速!$L$11-IF(J122&gt;0,2,0),MAX(0,N121-(A122-A121)-IF(J122&gt;0,2,0)))),0)</f>
        <v>0</v>
      </c>
      <c r="O122">
        <f ca="1">IF(AND(COUNTIF(IF(AND(配装计算器!$K$30&lt;&gt;"∞",0),INDEX(AU121:CB121,1,$AT$1),INDEX(AU123:CB123,1,$AT$1)),"*云飞*")=1,COUNTIF(IF(AND(配装计算器!$K$30&lt;&gt;"∞",0),INDEX(AU121:CB121,1,$AT$1),INDEX(AU123:CB123,1,$AT$1)),"*玉山*")=0),N122,0)</f>
        <v>0</v>
      </c>
      <c r="P122">
        <f ca="1">IFERROR(IF(COUNTIF(B122,"*云栖松*")&gt;0,50-加速!$L$11,MAX(0,P121-(A122-A121))),0)</f>
        <v>0</v>
      </c>
      <c r="Q122">
        <f ca="1">IF(COUNTIF(IF(AND(配装计算器!$K$30&lt;&gt;"∞",0),INDEX(AU121:CB121,1,$AT$1),INDEX(AU123:CB123,1,$AT$1)),"*云栖松*")=1,P122,0)</f>
        <v>0</v>
      </c>
      <c r="R122">
        <f ca="1">IFERROR(IF(COUNTIF(B122,"*莺鸣柳*")&gt;0,45-加速!$L$9,MAX(0,R121-(A122-A121))),0)</f>
        <v>0</v>
      </c>
      <c r="S122">
        <f ca="1">IF(COUNTIF(IF(AND(配装计算器!$K$30&lt;&gt;"∞",0),INDEX(AU121:CB121,1,$AT$1),INDEX(AU123:CB123,1,$AT$1)),"*莺鸣柳*")=1,R122,0)</f>
        <v>0</v>
      </c>
      <c r="T122">
        <f ca="1" t="shared" si="18"/>
        <v>0</v>
      </c>
      <c r="U122">
        <f ca="1">IF(金蛇,IF(COUNTIF(B122,"*金环戴*")+COUNTIF(B122,"*吹风醒*")&gt;0,IF(A122&lt;=3,7.125-2.625-A122-加速!$L$11,7.125+加速!$K$9-(A122+加速!$L$11-T122)),0),0)+IF(金蛇,IF(COUNTIF(B122,"*千切子裂光*")&gt;0,2+加速!$K$9-(A122+加速!$L$11-T122),0),0)</f>
        <v>0</v>
      </c>
      <c r="V122">
        <f ca="1" t="shared" si="19"/>
        <v>0</v>
      </c>
      <c r="W122">
        <f ca="1" t="shared" si="11"/>
        <v>0</v>
      </c>
      <c r="X122">
        <f ca="1">INDEX(加速!$I$13:$I$21,技能数计算!W122+1)</f>
        <v>0</v>
      </c>
      <c r="Y122">
        <f ca="1" t="shared" si="15"/>
        <v>0.5</v>
      </c>
      <c r="Z122">
        <f ca="1" t="shared" si="16"/>
        <v>0</v>
      </c>
      <c r="AA122">
        <f ca="1">MAX(0,IFERROR(IF(COUNTIF(B122,"*叠*")&gt;0,IF(AC121&lt;3,8-A123+A122,AA121+6.875-A123+A122),AA121-A123+A122),AA121-加速!$L$11))</f>
        <v>5.42000000000002</v>
      </c>
      <c r="AB122">
        <f ca="1">MAX(0,IF(COUNTIF(IF(AND(配装计算器!$K$30&lt;&gt;"∞",0),INDEX(AU122:CB122,1,$AT$1),INDEX(AU122:CB122,1,$AT$1)),"*叠1*")=1,4*25-加速!$L$11,AB121-A122+A121)-IF(OR(COUNTIF(OFFSET(AT122,0,$AT$1,1,1),"*听雷*")&gt;0,AND(碧归&gt;0,COUNTIF(OFFSET(AT122,0,$AT$1,1,1),"*风来*")&gt;0)),0,1)*1.5)</f>
        <v>83.26</v>
      </c>
      <c r="AC122">
        <f ca="1" t="shared" si="12"/>
        <v>3</v>
      </c>
      <c r="AD122">
        <f ca="1">IF(COUNTIF(IF(AND(配装计算器!$K$30&lt;&gt;"∞",0),INDEX(AU122:CB122,1,$AT$1),INDEX(AU123:CB123,1,$AT$1)),"*叠1*")=1,AB122*0+AE121,0)</f>
        <v>0</v>
      </c>
      <c r="AE122">
        <f ca="1">IF($AN$11&gt;0,IF(COUNTIF(B123,"*叠1*")&gt;0,50-加速!$H$11,MAX(0,AE121-(A123-A122))),0)</f>
        <v>41.01</v>
      </c>
      <c r="AH122" t="s">
        <v>1825</v>
      </c>
      <c r="AI122" s="161" t="s">
        <v>2859</v>
      </c>
      <c r="AJ122">
        <f ca="1">循环比*COUNTIFS($B$3:$B$515,"*皇*"&amp;AI122&amp;"*",$D$3:$D$515,"&gt;0",$H$3:$H$515,"&gt;0")*2/3</f>
        <v>0</v>
      </c>
      <c r="AK122" t="s">
        <v>3044</v>
      </c>
      <c r="AU122" s="176" t="s">
        <v>2794</v>
      </c>
      <c r="AV122">
        <v>2</v>
      </c>
      <c r="AW122" s="176" t="s">
        <v>2794</v>
      </c>
      <c r="AX122">
        <v>2</v>
      </c>
      <c r="AY122" t="s">
        <v>2776</v>
      </c>
      <c r="AZ122">
        <v>2</v>
      </c>
      <c r="BA122" t="s">
        <v>2776</v>
      </c>
      <c r="BB122">
        <v>2</v>
      </c>
      <c r="BC122" t="s">
        <v>2768</v>
      </c>
      <c r="BD122">
        <v>2</v>
      </c>
      <c r="BE122" t="s">
        <v>2776</v>
      </c>
      <c r="BF122">
        <v>2</v>
      </c>
      <c r="BG122" t="s">
        <v>2776</v>
      </c>
      <c r="BH122">
        <v>2</v>
      </c>
      <c r="BI122" s="176" t="s">
        <v>3026</v>
      </c>
      <c r="BJ122">
        <v>2</v>
      </c>
      <c r="BK122" s="176" t="s">
        <v>2768</v>
      </c>
      <c r="BL122">
        <v>2</v>
      </c>
      <c r="BM122" s="176" t="str">
        <f>IF(秋,"夕照雷峰","千切子裂光")</f>
        <v>千切子裂光</v>
      </c>
      <c r="BN122">
        <v>2</v>
      </c>
      <c r="BO122" s="176" t="s">
        <v>2794</v>
      </c>
      <c r="BP122">
        <v>2</v>
      </c>
      <c r="BQ122" t="s">
        <v>2768</v>
      </c>
      <c r="BR122">
        <v>2</v>
      </c>
      <c r="BS122" t="s">
        <v>3012</v>
      </c>
      <c r="BT122">
        <v>2</v>
      </c>
      <c r="BU122" t="s">
        <v>2768</v>
      </c>
      <c r="BV122">
        <v>2</v>
      </c>
      <c r="BW122" s="179" t="s">
        <v>3028</v>
      </c>
      <c r="BX122" s="179">
        <v>2</v>
      </c>
      <c r="BY122" s="176" t="str">
        <f>IF(秋,"夕照雷峰","千切子寒光")</f>
        <v>千切子寒光</v>
      </c>
      <c r="BZ122">
        <v>2</v>
      </c>
      <c r="CA122" s="176" t="s">
        <v>2794</v>
      </c>
      <c r="CB122">
        <v>2</v>
      </c>
    </row>
    <row r="123" spans="1:80">
      <c r="A123" s="178">
        <f ca="1">IFERROR(IF(A122+加速!$L$11&lt;$AS$1,IF(COUNTIF(B122,"*轻*")&gt;0,A122+加速!$L$9,A122+加速!$L$11)+V122,IF(COUNTIF(INDEX(AU123:CB123,1,$AT$1),"*云景*")+COUNTIF(INDEX(AU123:CB123,1,$AT$1),"*鹤归*")+COUNTIF(INDEX(AU123:CB123,1,$AT$1),"*听雷*")&gt;0,A122+加速!$L$11,"")),"")</f>
        <v>157.86</v>
      </c>
      <c r="B123" s="167" t="str">
        <f ca="1">IF(A123&lt;&gt;"",IF(AND(A123+加速!$L$11&gt;$AS$1,IF(AND(配装计算器!$K$30&lt;&gt;"∞",0),"梦泉虎跑-轻",INDEX(AU123:CB123,1,$AT$1))="云栖松"),"夕照雷峰",IF(AND(配装计算器!$K$30&lt;&gt;"∞",0),"梦泉虎跑-轻",INDEX(AU123:CB123,1,$AT$1))),"")</f>
        <v>云飞玉皇-玉山揽云</v>
      </c>
      <c r="C123">
        <f ca="1" t="shared" si="17"/>
        <v>11.13</v>
      </c>
      <c r="D123">
        <f ca="1">IF(B123&lt;&gt;"",IF(C122&lt;=加速!$L$11*(1-E123),0,1),"")</f>
        <v>1</v>
      </c>
      <c r="E123">
        <f ca="1" t="shared" si="13"/>
        <v>1</v>
      </c>
      <c r="G123">
        <f ca="1" t="shared" si="14"/>
        <v>0</v>
      </c>
      <c r="H123">
        <f ca="1">IF(B123&lt;&gt;"",IF(AND(COUNTIF(B122,"*轻*莺鸣柳*")&gt;0,COUNTIF(B123,"*轻*")&lt;1),MAX(0,15+I122-(A123-A122)+COUNTIF(B122,"*平湖*")*0),IF(AND(E123=0,MAX(0,H122-(A123-A122))&lt;=加速!$H$11),0,MAX(0,H122-(A123-A122)))),"")</f>
        <v>0</v>
      </c>
      <c r="I123">
        <f ca="1" t="shared" si="20"/>
        <v>0</v>
      </c>
      <c r="J123">
        <f ca="1" t="shared" si="21"/>
        <v>0</v>
      </c>
      <c r="K123">
        <f ca="1">IF(A123&lt;&gt;"",IF(AND(配装计算器!$K$30&lt;&gt;"∞",0),2,INDEX(AU123:CB123,1,$AT$2)),"")</f>
        <v>2</v>
      </c>
      <c r="L123">
        <f ca="1">IFERROR(IF(AND(COUNTIF(B123,"*-峰插*"),技能数据库!$M$72&gt;0),0,IF(COUNTIF(B123,"*鹤归*")&gt;0,16-加速!$L$11,MAX(0,L122-(A123-A122)))),0)</f>
        <v>2.73000000000004</v>
      </c>
      <c r="M123">
        <f ca="1">IF(COUNTIF(IF(AND(配装计算器!$K$30&lt;&gt;"∞",0),INDEX(AU122:CB122,1,$AT$1),INDEX(AU124:CB124,1,$AT$1)),"*鹤归*")=1,L123,0)</f>
        <v>0</v>
      </c>
      <c r="N123">
        <f ca="1">IFERROR(IF(AND(COUNTIF(B123,"*-峰插*"),技能数据库!$M$72&gt;0),0,IF(COUNTIF(B123,"*云飞*")&gt;0,4-COUNTIF(B123,"*玉山揽云*")*4--COUNTIF(B123,"*烟流暮景*")*4-COUNTIF(B123,"*云景*")*加速!$L$11-IF(J123&gt;0,2,0),MAX(0,N122-(A123-A122)-IF(J123&gt;0,2,0)))),0)</f>
        <v>0</v>
      </c>
      <c r="O123">
        <f ca="1">IF(AND(COUNTIF(IF(AND(配装计算器!$K$30&lt;&gt;"∞",0),INDEX(AU122:CB122,1,$AT$1),INDEX(AU124:CB124,1,$AT$1)),"*云飞*")=1,COUNTIF(IF(AND(配装计算器!$K$30&lt;&gt;"∞",0),INDEX(AU122:CB122,1,$AT$1),INDEX(AU124:CB124,1,$AT$1)),"*玉山*")=0),N123,0)</f>
        <v>0</v>
      </c>
      <c r="P123">
        <f ca="1">IFERROR(IF(COUNTIF(B123,"*云栖松*")&gt;0,50-加速!$L$11,MAX(0,P122-(A123-A122))),0)</f>
        <v>0</v>
      </c>
      <c r="Q123">
        <f ca="1">IF(COUNTIF(IF(AND(配装计算器!$K$30&lt;&gt;"∞",0),INDEX(AU122:CB122,1,$AT$1),INDEX(AU124:CB124,1,$AT$1)),"*云栖松*")=1,P123,0)</f>
        <v>0</v>
      </c>
      <c r="R123">
        <f ca="1">IFERROR(IF(COUNTIF(B123,"*莺鸣柳*")&gt;0,45-加速!$L$9,MAX(0,R122-(A123-A122))),0)</f>
        <v>0</v>
      </c>
      <c r="S123">
        <f ca="1">IF(COUNTIF(IF(AND(配装计算器!$K$30&lt;&gt;"∞",0),INDEX(AU122:CB122,1,$AT$1),INDEX(AU124:CB124,1,$AT$1)),"*莺鸣柳*")=1,R123,0)</f>
        <v>0</v>
      </c>
      <c r="T123">
        <f ca="1" t="shared" si="18"/>
        <v>0</v>
      </c>
      <c r="U123">
        <f ca="1">IF(金蛇,IF(COUNTIF(B123,"*金环戴*")+COUNTIF(B123,"*吹风醒*")&gt;0,IF(A123&lt;=3,7.125-2.625-A123-加速!$L$11,7.125+加速!$K$9-(A123+加速!$L$11-T123)),0),0)+IF(金蛇,IF(COUNTIF(B123,"*千切子裂光*")&gt;0,2+加速!$K$9-(A123+加速!$L$11-T123),0),0)</f>
        <v>0</v>
      </c>
      <c r="V123">
        <f ca="1" t="shared" si="19"/>
        <v>0</v>
      </c>
      <c r="W123">
        <f ca="1" t="shared" si="11"/>
        <v>0</v>
      </c>
      <c r="X123">
        <f ca="1">INDEX(加速!$I$13:$I$21,技能数计算!W123+1)</f>
        <v>0</v>
      </c>
      <c r="Y123">
        <f ca="1" t="shared" si="15"/>
        <v>0.5</v>
      </c>
      <c r="Z123">
        <f ca="1" t="shared" si="16"/>
        <v>0</v>
      </c>
      <c r="AA123">
        <f ca="1">MAX(0,IFERROR(IF(COUNTIF(B123,"*叠*")&gt;0,IF(AC122&lt;3,8-A124+A123,AA122+6.875-A124+A123),AA122-A124+A123),AA122-加速!$L$11))</f>
        <v>4.13000000000002</v>
      </c>
      <c r="AB123">
        <f ca="1">MAX(0,IF(COUNTIF(IF(AND(配装计算器!$K$30&lt;&gt;"∞",0),INDEX(AU123:CB123,1,$AT$1),INDEX(AU123:CB123,1,$AT$1)),"*叠1*")=1,4*25-加速!$L$11,AB122-A123+A122)-IF(OR(COUNTIF(OFFSET(AT123,0,$AT$1,1,1),"*听雷*")&gt;0,AND(碧归&gt;0,COUNTIF(OFFSET(AT123,0,$AT$1,1,1),"*风来*")&gt;0)),0,1)*1.5)</f>
        <v>80.47</v>
      </c>
      <c r="AC123">
        <f ca="1" t="shared" si="12"/>
        <v>3</v>
      </c>
      <c r="AD123">
        <f ca="1">IF(COUNTIF(IF(AND(配装计算器!$K$30&lt;&gt;"∞",0),INDEX(AU123:CB123,1,$AT$1),INDEX(AU124:CB124,1,$AT$1)),"*叠1*")=1,AB123*0+AE122,0)</f>
        <v>0</v>
      </c>
      <c r="AE123">
        <f ca="1">IF($AN$11&gt;0,IF(COUNTIF(B124,"*叠1*")&gt;0,50-加速!$H$11,MAX(0,AE122-(A124-A123))),0)</f>
        <v>39.7200000000001</v>
      </c>
      <c r="AH123" t="s">
        <v>1028</v>
      </c>
      <c r="AI123" s="161" t="s">
        <v>2861</v>
      </c>
      <c r="AJ123">
        <f ca="1">SUM(AJ119:AJ120)</f>
        <v>0</v>
      </c>
      <c r="AK123" t="s">
        <v>2750</v>
      </c>
      <c r="AU123" s="176" t="s">
        <v>2776</v>
      </c>
      <c r="AV123">
        <v>2</v>
      </c>
      <c r="AW123" s="176" t="s">
        <v>2768</v>
      </c>
      <c r="AX123">
        <v>2</v>
      </c>
      <c r="AY123" t="s">
        <v>2768</v>
      </c>
      <c r="AZ123">
        <v>2</v>
      </c>
      <c r="BA123" t="s">
        <v>2768</v>
      </c>
      <c r="BB123">
        <v>2</v>
      </c>
      <c r="BC123" t="s">
        <v>2776</v>
      </c>
      <c r="BD123">
        <v>2</v>
      </c>
      <c r="BE123" t="s">
        <v>2768</v>
      </c>
      <c r="BF123">
        <v>2</v>
      </c>
      <c r="BG123" t="s">
        <v>2768</v>
      </c>
      <c r="BH123">
        <v>2</v>
      </c>
      <c r="BI123" s="176" t="s">
        <v>3026</v>
      </c>
      <c r="BJ123">
        <v>2</v>
      </c>
      <c r="BK123" s="176" t="s">
        <v>2776</v>
      </c>
      <c r="BL123">
        <v>2</v>
      </c>
      <c r="BM123" t="str">
        <f>IF(0,"云飞玉皇-玉山揽云","夕照雷峰")</f>
        <v>夕照雷峰</v>
      </c>
      <c r="BN123">
        <v>2</v>
      </c>
      <c r="BO123" s="176" t="s">
        <v>2768</v>
      </c>
      <c r="BP123">
        <v>2</v>
      </c>
      <c r="BQ123" t="s">
        <v>2776</v>
      </c>
      <c r="BR123">
        <v>2</v>
      </c>
      <c r="BS123" s="179" t="s">
        <v>2794</v>
      </c>
      <c r="BT123">
        <v>2</v>
      </c>
      <c r="BU123" s="182" t="s">
        <v>3023</v>
      </c>
      <c r="BV123">
        <v>2</v>
      </c>
      <c r="BW123" s="179" t="s">
        <v>2768</v>
      </c>
      <c r="BX123" s="179">
        <v>2</v>
      </c>
      <c r="BY123" s="176" t="str">
        <f>IF(秋,"夕照雷峰","千切子裂光")</f>
        <v>千切子裂光</v>
      </c>
      <c r="BZ123">
        <v>2</v>
      </c>
      <c r="CA123" s="176" t="s">
        <v>2768</v>
      </c>
      <c r="CB123">
        <v>2</v>
      </c>
    </row>
    <row r="124" spans="1:80">
      <c r="A124" s="178">
        <f ca="1">IFERROR(IF(A123+加速!$L$11&lt;$AS$1,IF(COUNTIF(B123,"*轻*")&gt;0,A123+加速!$L$9,A123+加速!$L$11)+V123,IF(COUNTIF(INDEX(AU124:CB124,1,$AT$1),"*云景*")+COUNTIF(INDEX(AU124:CB124,1,$AT$1),"*鹤归*")+COUNTIF(INDEX(AU124:CB124,1,$AT$1),"*听雷*")&gt;0,A123+加速!$L$11,"")),"")</f>
        <v>159.15</v>
      </c>
      <c r="B124" s="167" t="str">
        <f ca="1">IF(A124&lt;&gt;"",IF(AND(A124+加速!$L$11&gt;$AS$1,IF(AND(配装计算器!$K$30&lt;&gt;"∞",0),"梦泉虎跑-轻",INDEX(AU124:CB124,1,$AT$1))="云栖松"),"夕照雷峰",IF(AND(配装计算器!$K$30&lt;&gt;"∞",0),"梦泉虎跑-轻",INDEX(AU124:CB124,1,$AT$1))),"")</f>
        <v>云飞玉皇-玉山揽云</v>
      </c>
      <c r="C124">
        <f ca="1" t="shared" si="17"/>
        <v>9.84000000000003</v>
      </c>
      <c r="D124">
        <f ca="1">IF(B124&lt;&gt;"",IF(C123&lt;=加速!$L$11*(1-E124),0,1),"")</f>
        <v>1</v>
      </c>
      <c r="E124">
        <f ca="1" t="shared" si="13"/>
        <v>1</v>
      </c>
      <c r="G124">
        <f ca="1" t="shared" si="14"/>
        <v>0</v>
      </c>
      <c r="H124">
        <f ca="1">IF(B124&lt;&gt;"",IF(AND(COUNTIF(B123,"*轻*莺鸣柳*")&gt;0,COUNTIF(B124,"*轻*")&lt;1),MAX(0,15+I123-(A124-A123)+COUNTIF(B123,"*平湖*")*0),IF(AND(E124=0,MAX(0,H123-(A124-A123))&lt;=加速!$H$11),0,MAX(0,H123-(A124-A123)))),"")</f>
        <v>0</v>
      </c>
      <c r="I124">
        <f ca="1" t="shared" si="20"/>
        <v>0</v>
      </c>
      <c r="J124">
        <f ca="1" t="shared" si="21"/>
        <v>0</v>
      </c>
      <c r="K124">
        <f ca="1">IF(A124&lt;&gt;"",IF(AND(配装计算器!$K$30&lt;&gt;"∞",0),2,INDEX(AU124:CB124,1,$AT$2)),"")</f>
        <v>2</v>
      </c>
      <c r="L124">
        <f ca="1">IFERROR(IF(AND(COUNTIF(B124,"*-峰插*"),技能数据库!$M$72&gt;0),0,IF(COUNTIF(B124,"*鹤归*")&gt;0,16-加速!$L$11,MAX(0,L123-(A124-A123)))),0)</f>
        <v>1.44000000000005</v>
      </c>
      <c r="M124">
        <f ca="1">IF(COUNTIF(IF(AND(配装计算器!$K$30&lt;&gt;"∞",0),INDEX(AU123:CB123,1,$AT$1),INDEX(AU125:CB125,1,$AT$1)),"*鹤归*")=1,L124,0)</f>
        <v>0</v>
      </c>
      <c r="N124">
        <f ca="1">IFERROR(IF(AND(COUNTIF(B124,"*-峰插*"),技能数据库!$M$72&gt;0),0,IF(COUNTIF(B124,"*云飞*")&gt;0,4-COUNTIF(B124,"*玉山揽云*")*4--COUNTIF(B124,"*烟流暮景*")*4-COUNTIF(B124,"*云景*")*加速!$L$11-IF(J124&gt;0,2,0),MAX(0,N123-(A124-A123)-IF(J124&gt;0,2,0)))),0)</f>
        <v>0</v>
      </c>
      <c r="O124">
        <f ca="1">IF(AND(COUNTIF(IF(AND(配装计算器!$K$30&lt;&gt;"∞",0),INDEX(AU123:CB123,1,$AT$1),INDEX(AU125:CB125,1,$AT$1)),"*云飞*")=1,COUNTIF(IF(AND(配装计算器!$K$30&lt;&gt;"∞",0),INDEX(AU123:CB123,1,$AT$1),INDEX(AU125:CB125,1,$AT$1)),"*玉山*")=0),N124,0)</f>
        <v>0</v>
      </c>
      <c r="P124">
        <f ca="1">IFERROR(IF(COUNTIF(B124,"*云栖松*")&gt;0,50-加速!$L$11,MAX(0,P123-(A124-A123))),0)</f>
        <v>0</v>
      </c>
      <c r="Q124">
        <f ca="1">IF(COUNTIF(IF(AND(配装计算器!$K$30&lt;&gt;"∞",0),INDEX(AU123:CB123,1,$AT$1),INDEX(AU125:CB125,1,$AT$1)),"*云栖松*")=1,P124,0)</f>
        <v>0</v>
      </c>
      <c r="R124">
        <f ca="1">IFERROR(IF(COUNTIF(B124,"*莺鸣柳*")&gt;0,45-加速!$L$9,MAX(0,R123-(A124-A123))),0)</f>
        <v>0</v>
      </c>
      <c r="S124">
        <f ca="1">IF(COUNTIF(IF(AND(配装计算器!$K$30&lt;&gt;"∞",0),INDEX(AU123:CB123,1,$AT$1),INDEX(AU125:CB125,1,$AT$1)),"*莺鸣柳*")=1,R124,0)</f>
        <v>0</v>
      </c>
      <c r="T124">
        <f ca="1" t="shared" si="18"/>
        <v>0</v>
      </c>
      <c r="U124">
        <f ca="1">IF(金蛇,IF(COUNTIF(B124,"*金环戴*")+COUNTIF(B124,"*吹风醒*")&gt;0,IF(A124&lt;=3,7.125-2.625-A124-加速!$L$11,7.125+加速!$K$9-(A124+加速!$L$11-T124)),0),0)+IF(金蛇,IF(COUNTIF(B124,"*千切子裂光*")&gt;0,2+加速!$K$9-(A124+加速!$L$11-T124),0),0)</f>
        <v>0</v>
      </c>
      <c r="V124">
        <f ca="1" t="shared" si="19"/>
        <v>0</v>
      </c>
      <c r="W124">
        <f ca="1" t="shared" si="11"/>
        <v>0</v>
      </c>
      <c r="X124">
        <f ca="1">INDEX(加速!$I$13:$I$21,技能数计算!W124+1)</f>
        <v>0</v>
      </c>
      <c r="Y124">
        <f ca="1" t="shared" si="15"/>
        <v>0.5</v>
      </c>
      <c r="Z124">
        <f ca="1" t="shared" si="16"/>
        <v>0</v>
      </c>
      <c r="AA124">
        <f ca="1">MAX(0,IFERROR(IF(COUNTIF(B124,"*叠*")&gt;0,IF(AC123&lt;3,8-A125+A124,AA123+6.875-A125+A124),AA123-A125+A124),AA123-加速!$L$11))</f>
        <v>2.84000000000003</v>
      </c>
      <c r="AB124">
        <f ca="1">MAX(0,IF(COUNTIF(IF(AND(配装计算器!$K$30&lt;&gt;"∞",0),INDEX(AU124:CB124,1,$AT$1),INDEX(AU124:CB124,1,$AT$1)),"*叠1*")=1,4*25-加速!$L$11,AB123-A124+A123)-IF(OR(COUNTIF(OFFSET(AT124,0,$AT$1,1,1),"*听雷*")&gt;0,AND(碧归&gt;0,COUNTIF(OFFSET(AT124,0,$AT$1,1,1),"*风来*")&gt;0)),0,1)*1.5)</f>
        <v>77.68</v>
      </c>
      <c r="AC124">
        <f ca="1" t="shared" si="12"/>
        <v>3</v>
      </c>
      <c r="AD124">
        <f ca="1">IF(COUNTIF(IF(AND(配装计算器!$K$30&lt;&gt;"∞",0),INDEX(AU124:CB124,1,$AT$1),INDEX(AU125:CB125,1,$AT$1)),"*叠1*")=1,AB124*0+AE123,0)</f>
        <v>0</v>
      </c>
      <c r="AE124">
        <f ca="1">IF($AN$11&gt;0,IF(COUNTIF(B125,"*叠1*")&gt;0,50-加速!$H$11,MAX(0,AE123-(A125-A124))),0)</f>
        <v>38.4300000000001</v>
      </c>
      <c r="AH124" t="s">
        <v>1825</v>
      </c>
      <c r="AI124" s="161" t="s">
        <v>2861</v>
      </c>
      <c r="AJ124">
        <f ca="1">SUM(AJ121:AJ122)</f>
        <v>0</v>
      </c>
      <c r="AK124" t="s">
        <v>3044</v>
      </c>
      <c r="AU124" s="176" t="s">
        <v>2768</v>
      </c>
      <c r="AV124">
        <v>2</v>
      </c>
      <c r="AW124" s="176" t="s">
        <v>2776</v>
      </c>
      <c r="AX124">
        <v>2</v>
      </c>
      <c r="AY124" t="s">
        <v>2776</v>
      </c>
      <c r="AZ124">
        <v>2</v>
      </c>
      <c r="BA124" t="s">
        <v>2776</v>
      </c>
      <c r="BB124">
        <v>2</v>
      </c>
      <c r="BC124" t="s">
        <v>2768</v>
      </c>
      <c r="BD124">
        <v>2</v>
      </c>
      <c r="BE124" t="s">
        <v>2776</v>
      </c>
      <c r="BF124">
        <v>2</v>
      </c>
      <c r="BG124" t="s">
        <v>2776</v>
      </c>
      <c r="BH124">
        <v>2</v>
      </c>
      <c r="BI124" s="176" t="s">
        <v>3026</v>
      </c>
      <c r="BJ124">
        <v>2</v>
      </c>
      <c r="BK124" t="s">
        <v>2768</v>
      </c>
      <c r="BL124">
        <v>1</v>
      </c>
      <c r="BM124" s="176" t="str">
        <f>IF(秋,"云飞玉皇","夕照雷峰")</f>
        <v>夕照雷峰</v>
      </c>
      <c r="BN124">
        <v>2</v>
      </c>
      <c r="BO124" s="176" t="s">
        <v>2776</v>
      </c>
      <c r="BP124">
        <v>2</v>
      </c>
      <c r="BQ124" t="str">
        <f>IF(秋,"夕照雷峰","千切子寒光")</f>
        <v>千切子寒光</v>
      </c>
      <c r="BR124">
        <v>2</v>
      </c>
      <c r="BS124" s="179" t="s">
        <v>3030</v>
      </c>
      <c r="BT124">
        <v>2</v>
      </c>
      <c r="BU124" s="186" t="str">
        <f>IF(秋,"夕照雷峰","千切子寒光")</f>
        <v>千切子寒光</v>
      </c>
      <c r="BV124">
        <v>2</v>
      </c>
      <c r="BW124" s="179" t="str">
        <f>IF(山重水复,"风来吴山","夕照雷峰")</f>
        <v>夕照雷峰</v>
      </c>
      <c r="BX124" s="179">
        <v>2</v>
      </c>
      <c r="BY124" t="str">
        <f>IF(0,"云飞玉皇-玉山揽云","夕照雷峰")</f>
        <v>夕照雷峰</v>
      </c>
      <c r="BZ124">
        <v>2</v>
      </c>
      <c r="CA124" s="176" t="s">
        <v>2776</v>
      </c>
      <c r="CB124">
        <v>2</v>
      </c>
    </row>
    <row r="125" spans="1:80">
      <c r="A125" s="178">
        <f ca="1">IFERROR(IF(A124+加速!$L$11&lt;$AS$1,IF(COUNTIF(B124,"*轻*")&gt;0,A124+加速!$L$9,A124+加速!$L$11)+V124,IF(COUNTIF(INDEX(AU125:CB125,1,$AT$1),"*云景*")+COUNTIF(INDEX(AU125:CB125,1,$AT$1),"*鹤归*")+COUNTIF(INDEX(AU125:CB125,1,$AT$1),"*听雷*")&gt;0,A124+加速!$L$11,"")),"")</f>
        <v>160.44</v>
      </c>
      <c r="B125" s="167" t="str">
        <f ca="1">IF(A125&lt;&gt;"",IF(AND(A125+加速!$L$11&gt;$AS$1,IF(AND(配装计算器!$K$30&lt;&gt;"∞",0),"梦泉虎跑-轻",INDEX(AU125:CB125,1,$AT$1))="云栖松"),"夕照雷峰",IF(AND(配装计算器!$K$30&lt;&gt;"∞",0),"梦泉虎跑-轻",INDEX(AU125:CB125,1,$AT$1))),"")</f>
        <v>云飞玉皇-玉山揽云</v>
      </c>
      <c r="C125">
        <f ca="1" t="shared" si="17"/>
        <v>8.55000000000004</v>
      </c>
      <c r="D125">
        <f ca="1">IF(B125&lt;&gt;"",IF(C124&lt;=加速!$L$11*(1-E125),0,1),"")</f>
        <v>1</v>
      </c>
      <c r="E125">
        <f ca="1" t="shared" si="13"/>
        <v>1</v>
      </c>
      <c r="G125">
        <f ca="1" t="shared" si="14"/>
        <v>0</v>
      </c>
      <c r="H125">
        <f ca="1">IF(B125&lt;&gt;"",IF(AND(COUNTIF(B124,"*轻*莺鸣柳*")&gt;0,COUNTIF(B125,"*轻*")&lt;1),MAX(0,15+I124-(A125-A124)+COUNTIF(B124,"*平湖*")*0),IF(AND(E125=0,MAX(0,H124-(A125-A124))&lt;=加速!$H$11),0,MAX(0,H124-(A125-A124)))),"")</f>
        <v>0</v>
      </c>
      <c r="I125">
        <f ca="1" t="shared" si="20"/>
        <v>0</v>
      </c>
      <c r="J125">
        <f ca="1" t="shared" si="21"/>
        <v>0</v>
      </c>
      <c r="K125">
        <f ca="1">IF(A125&lt;&gt;"",IF(AND(配装计算器!$K$30&lt;&gt;"∞",0),2,INDEX(AU125:CB125,1,$AT$2)),"")</f>
        <v>2</v>
      </c>
      <c r="L125">
        <f ca="1">IFERROR(IF(AND(COUNTIF(B125,"*-峰插*"),技能数据库!$M$72&gt;0),0,IF(COUNTIF(B125,"*鹤归*")&gt;0,16-加速!$L$11,MAX(0,L124-(A125-A124)))),0)</f>
        <v>0.150000000000055</v>
      </c>
      <c r="M125">
        <f ca="1">IF(COUNTIF(IF(AND(配装计算器!$K$30&lt;&gt;"∞",0),INDEX(AU124:CB124,1,$AT$1),INDEX(AU126:CB126,1,$AT$1)),"*鹤归*")=1,L125,0)</f>
        <v>0</v>
      </c>
      <c r="N125">
        <f ca="1">IFERROR(IF(AND(COUNTIF(B125,"*-峰插*"),技能数据库!$M$72&gt;0),0,IF(COUNTIF(B125,"*云飞*")&gt;0,4-COUNTIF(B125,"*玉山揽云*")*4--COUNTIF(B125,"*烟流暮景*")*4-COUNTIF(B125,"*云景*")*加速!$L$11-IF(J125&gt;0,2,0),MAX(0,N124-(A125-A124)-IF(J125&gt;0,2,0)))),0)</f>
        <v>0</v>
      </c>
      <c r="O125">
        <f ca="1">IF(AND(COUNTIF(IF(AND(配装计算器!$K$30&lt;&gt;"∞",0),INDEX(AU124:CB124,1,$AT$1),INDEX(AU126:CB126,1,$AT$1)),"*云飞*")=1,COUNTIF(IF(AND(配装计算器!$K$30&lt;&gt;"∞",0),INDEX(AU124:CB124,1,$AT$1),INDEX(AU126:CB126,1,$AT$1)),"*玉山*")=0),N125,0)</f>
        <v>0</v>
      </c>
      <c r="P125">
        <f ca="1">IFERROR(IF(COUNTIF(B125,"*云栖松*")&gt;0,50-加速!$L$11,MAX(0,P124-(A125-A124))),0)</f>
        <v>0</v>
      </c>
      <c r="Q125">
        <f ca="1">IF(COUNTIF(IF(AND(配装计算器!$K$30&lt;&gt;"∞",0),INDEX(AU124:CB124,1,$AT$1),INDEX(AU126:CB126,1,$AT$1)),"*云栖松*")=1,P125,0)</f>
        <v>0</v>
      </c>
      <c r="R125">
        <f ca="1">IFERROR(IF(COUNTIF(B125,"*莺鸣柳*")&gt;0,45-加速!$L$9,MAX(0,R124-(A125-A124))),0)</f>
        <v>0</v>
      </c>
      <c r="S125">
        <f ca="1">IF(COUNTIF(IF(AND(配装计算器!$K$30&lt;&gt;"∞",0),INDEX(AU124:CB124,1,$AT$1),INDEX(AU126:CB126,1,$AT$1)),"*莺鸣柳*")=1,R125,0)</f>
        <v>0</v>
      </c>
      <c r="T125">
        <f ca="1" t="shared" si="18"/>
        <v>0</v>
      </c>
      <c r="U125">
        <f ca="1">IF(金蛇,IF(COUNTIF(B125,"*金环戴*")+COUNTIF(B125,"*吹风醒*")&gt;0,IF(A125&lt;=3,7.125-2.625-A125-加速!$L$11,7.125+加速!$K$9-(A125+加速!$L$11-T125)),0),0)+IF(金蛇,IF(COUNTIF(B125,"*千切子裂光*")&gt;0,2+加速!$K$9-(A125+加速!$L$11-T125),0),0)</f>
        <v>0</v>
      </c>
      <c r="V125">
        <f ca="1" t="shared" si="19"/>
        <v>0</v>
      </c>
      <c r="W125">
        <f ca="1" t="shared" si="11"/>
        <v>0</v>
      </c>
      <c r="X125">
        <f ca="1">INDEX(加速!$I$13:$I$21,技能数计算!W125+1)</f>
        <v>0</v>
      </c>
      <c r="Y125">
        <f ca="1" t="shared" si="15"/>
        <v>0.5</v>
      </c>
      <c r="Z125">
        <f ca="1" t="shared" si="16"/>
        <v>0</v>
      </c>
      <c r="AA125">
        <f ca="1">MAX(0,IFERROR(IF(COUNTIF(B125,"*叠*")&gt;0,IF(AC124&lt;3,8-A126+A125,AA124+6.875-A126+A125),AA124-A126+A125),AA124-加速!$L$11))</f>
        <v>1.55000000000004</v>
      </c>
      <c r="AB125">
        <f ca="1">MAX(0,IF(COUNTIF(IF(AND(配装计算器!$K$30&lt;&gt;"∞",0),INDEX(AU125:CB125,1,$AT$1),INDEX(AU125:CB125,1,$AT$1)),"*叠1*")=1,4*25-加速!$L$11,AB124-A125+A124)-IF(OR(COUNTIF(OFFSET(AT125,0,$AT$1,1,1),"*听雷*")&gt;0,AND(碧归&gt;0,COUNTIF(OFFSET(AT125,0,$AT$1,1,1),"*风来*")&gt;0)),0,1)*1.5)</f>
        <v>74.8900000000001</v>
      </c>
      <c r="AC125">
        <f ca="1" t="shared" si="12"/>
        <v>3</v>
      </c>
      <c r="AD125">
        <f ca="1">IF(COUNTIF(IF(AND(配装计算器!$K$30&lt;&gt;"∞",0),INDEX(AU125:CB125,1,$AT$1),INDEX(AU126:CB126,1,$AT$1)),"*叠1*")=1,AB125*0+AE124,0)</f>
        <v>0</v>
      </c>
      <c r="AE125">
        <f ca="1">IF($AN$11&gt;0,IF(COUNTIF(B126,"*叠1*")&gt;0,50-加速!$H$11,MAX(0,AE124-(A126-A125))),0)</f>
        <v>37.1400000000001</v>
      </c>
      <c r="AH125" t="s">
        <v>1825</v>
      </c>
      <c r="AI125" s="161" t="s">
        <v>2869</v>
      </c>
      <c r="AJ125">
        <f ca="1">AJ126</f>
        <v>0</v>
      </c>
      <c r="AK125" t="s">
        <v>3044</v>
      </c>
      <c r="AU125" s="176" t="s">
        <v>2776</v>
      </c>
      <c r="AV125">
        <v>2</v>
      </c>
      <c r="AW125" s="176" t="s">
        <v>2768</v>
      </c>
      <c r="AX125">
        <v>2</v>
      </c>
      <c r="AY125" t="s">
        <v>3042</v>
      </c>
      <c r="AZ125">
        <v>2</v>
      </c>
      <c r="BA125" t="s">
        <v>3042</v>
      </c>
      <c r="BB125">
        <v>2</v>
      </c>
      <c r="BC125" t="s">
        <v>2794</v>
      </c>
      <c r="BD125">
        <v>2</v>
      </c>
      <c r="BE125" t="s">
        <v>2768</v>
      </c>
      <c r="BF125">
        <v>2</v>
      </c>
      <c r="BG125" t="s">
        <v>2768</v>
      </c>
      <c r="BH125">
        <v>2</v>
      </c>
      <c r="BI125" s="176" t="s">
        <v>3026</v>
      </c>
      <c r="BJ125">
        <v>2</v>
      </c>
      <c r="BK125" s="176" t="s">
        <v>2768</v>
      </c>
      <c r="BL125">
        <v>1</v>
      </c>
      <c r="BM125" s="176" t="str">
        <f>IF(秋,"夕照雷峰","云飞玉皇")</f>
        <v>云飞玉皇</v>
      </c>
      <c r="BN125">
        <v>2</v>
      </c>
      <c r="BO125" s="176" t="s">
        <v>2768</v>
      </c>
      <c r="BP125">
        <v>2</v>
      </c>
      <c r="BQ125" t="str">
        <f>IF(秋,"夕照雷峰","千切子裂光")</f>
        <v>千切子裂光</v>
      </c>
      <c r="BR125">
        <v>2</v>
      </c>
      <c r="BS125" s="179" t="s">
        <v>2768</v>
      </c>
      <c r="BT125">
        <v>2</v>
      </c>
      <c r="BU125" s="186" t="str">
        <f>IF(秋,"夕照雷峰","千切子裂光")</f>
        <v>千切子裂光</v>
      </c>
      <c r="BV125">
        <v>2</v>
      </c>
      <c r="BW125" s="182" t="s">
        <v>2794</v>
      </c>
      <c r="BX125" s="179">
        <v>2</v>
      </c>
      <c r="BY125" t="s">
        <v>2776</v>
      </c>
      <c r="BZ125">
        <v>2</v>
      </c>
      <c r="CA125" s="176" t="s">
        <v>2768</v>
      </c>
      <c r="CB125">
        <v>2</v>
      </c>
    </row>
    <row r="126" spans="1:80">
      <c r="A126" s="178">
        <f ca="1">IFERROR(IF(A125+加速!$L$11&lt;$AS$1,IF(COUNTIF(B125,"*轻*")&gt;0,A125+加速!$L$9,A125+加速!$L$11)+V125,IF(COUNTIF(INDEX(AU126:CB126,1,$AT$1),"*云景*")+COUNTIF(INDEX(AU126:CB126,1,$AT$1),"*鹤归*")+COUNTIF(INDEX(AU126:CB126,1,$AT$1),"*听雷*")&gt;0,A125+加速!$L$11,"")),"")</f>
        <v>161.73</v>
      </c>
      <c r="B126" s="167" t="str">
        <f ca="1">IF(A126&lt;&gt;"",IF(AND(A126+加速!$L$11&gt;$AS$1,IF(AND(配装计算器!$K$30&lt;&gt;"∞",0),"梦泉虎跑-轻",INDEX(AU126:CB126,1,$AT$1))="云栖松"),"夕照雷峰",IF(AND(配装计算器!$K$30&lt;&gt;"∞",0),"梦泉虎跑-轻",INDEX(AU126:CB126,1,$AT$1))),"")</f>
        <v>云飞玉皇-玉山揽云-叠</v>
      </c>
      <c r="C126">
        <f ca="1" t="shared" si="17"/>
        <v>7.26000000000005</v>
      </c>
      <c r="D126">
        <f ca="1">IF(B126&lt;&gt;"",IF(C125&lt;=加速!$L$11*(1-E126),0,1),"")</f>
        <v>1</v>
      </c>
      <c r="E126">
        <f ca="1" t="shared" si="13"/>
        <v>1</v>
      </c>
      <c r="G126">
        <f ca="1" t="shared" si="14"/>
        <v>0</v>
      </c>
      <c r="H126">
        <f ca="1">IF(B126&lt;&gt;"",IF(AND(COUNTIF(B125,"*轻*莺鸣柳*")&gt;0,COUNTIF(B126,"*轻*")&lt;1),MAX(0,15+I125-(A126-A125)+COUNTIF(B125,"*平湖*")*0),IF(AND(E126=0,MAX(0,H125-(A126-A125))&lt;=加速!$H$11),0,MAX(0,H125-(A126-A125)))),"")</f>
        <v>0</v>
      </c>
      <c r="I126">
        <f ca="1" t="shared" si="20"/>
        <v>0</v>
      </c>
      <c r="J126">
        <f ca="1" t="shared" si="21"/>
        <v>0</v>
      </c>
      <c r="K126">
        <f ca="1">IF(A126&lt;&gt;"",IF(AND(配装计算器!$K$30&lt;&gt;"∞",0),2,INDEX(AU126:CB126,1,$AT$2)),"")</f>
        <v>2</v>
      </c>
      <c r="L126">
        <f ca="1">IFERROR(IF(AND(COUNTIF(B126,"*-峰插*"),技能数据库!$M$72&gt;0),0,IF(COUNTIF(B126,"*鹤归*")&gt;0,16-加速!$L$11,MAX(0,L125-(A126-A125)))),0)</f>
        <v>0</v>
      </c>
      <c r="M126">
        <f ca="1">IF(COUNTIF(IF(AND(配装计算器!$K$30&lt;&gt;"∞",0),INDEX(AU125:CB125,1,$AT$1),INDEX(AU127:CB127,1,$AT$1)),"*鹤归*")=1,L126,0)</f>
        <v>0</v>
      </c>
      <c r="N126">
        <f ca="1">IFERROR(IF(AND(COUNTIF(B126,"*-峰插*"),技能数据库!$M$72&gt;0),0,IF(COUNTIF(B126,"*云飞*")&gt;0,4-COUNTIF(B126,"*玉山揽云*")*4--COUNTIF(B126,"*烟流暮景*")*4-COUNTIF(B126,"*云景*")*加速!$L$11-IF(J126&gt;0,2,0),MAX(0,N125-(A126-A125)-IF(J126&gt;0,2,0)))),0)</f>
        <v>0</v>
      </c>
      <c r="O126">
        <f ca="1">IF(AND(COUNTIF(IF(AND(配装计算器!$K$30&lt;&gt;"∞",0),INDEX(AU125:CB125,1,$AT$1),INDEX(AU127:CB127,1,$AT$1)),"*云飞*")=1,COUNTIF(IF(AND(配装计算器!$K$30&lt;&gt;"∞",0),INDEX(AU125:CB125,1,$AT$1),INDEX(AU127:CB127,1,$AT$1)),"*玉山*")=0),N126,0)</f>
        <v>0</v>
      </c>
      <c r="P126">
        <f ca="1">IFERROR(IF(COUNTIF(B126,"*云栖松*")&gt;0,50-加速!$L$11,MAX(0,P125-(A126-A125))),0)</f>
        <v>0</v>
      </c>
      <c r="Q126">
        <f ca="1">IF(COUNTIF(IF(AND(配装计算器!$K$30&lt;&gt;"∞",0),INDEX(AU125:CB125,1,$AT$1),INDEX(AU127:CB127,1,$AT$1)),"*云栖松*")=1,P126,0)</f>
        <v>0</v>
      </c>
      <c r="R126">
        <f ca="1">IFERROR(IF(COUNTIF(B126,"*莺鸣柳*")&gt;0,45-加速!$L$9,MAX(0,R125-(A126-A125))),0)</f>
        <v>0</v>
      </c>
      <c r="S126">
        <f ca="1">IF(COUNTIF(IF(AND(配装计算器!$K$30&lt;&gt;"∞",0),INDEX(AU125:CB125,1,$AT$1),INDEX(AU127:CB127,1,$AT$1)),"*莺鸣柳*")=1,R126,0)</f>
        <v>0</v>
      </c>
      <c r="T126">
        <f ca="1" t="shared" si="18"/>
        <v>0</v>
      </c>
      <c r="U126">
        <f ca="1">IF(金蛇,IF(COUNTIF(B126,"*金环戴*")+COUNTIF(B126,"*吹风醒*")&gt;0,IF(A126&lt;=3,7.125-2.625-A126-加速!$L$11,7.125+加速!$K$9-(A126+加速!$L$11-T126)),0),0)+IF(金蛇,IF(COUNTIF(B126,"*千切子裂光*")&gt;0,2+加速!$K$9-(A126+加速!$L$11-T126),0),0)</f>
        <v>0</v>
      </c>
      <c r="V126">
        <f ca="1" t="shared" si="19"/>
        <v>0</v>
      </c>
      <c r="W126">
        <f ca="1" t="shared" si="11"/>
        <v>0</v>
      </c>
      <c r="X126">
        <f ca="1">INDEX(加速!$I$13:$I$21,技能数计算!W126+1)</f>
        <v>0</v>
      </c>
      <c r="Y126">
        <f ca="1" t="shared" si="15"/>
        <v>0.5</v>
      </c>
      <c r="Z126">
        <f ca="1" t="shared" si="16"/>
        <v>0</v>
      </c>
      <c r="AA126">
        <f ca="1">MAX(0,IFERROR(IF(COUNTIF(B126,"*叠*")&gt;0,IF(AC125&lt;3,8-A127+A126,AA125+6.875-A127+A126),AA125-A127+A126),AA125-加速!$L$11))</f>
        <v>7.13500000000005</v>
      </c>
      <c r="AB126">
        <f ca="1">MAX(0,IF(COUNTIF(IF(AND(配装计算器!$K$30&lt;&gt;"∞",0),INDEX(AU126:CB126,1,$AT$1),INDEX(AU126:CB126,1,$AT$1)),"*叠1*")=1,4*25-加速!$L$11,AB125-A126+A125)-IF(OR(COUNTIF(OFFSET(AT126,0,$AT$1,1,1),"*听雷*")&gt;0,AND(碧归&gt;0,COUNTIF(OFFSET(AT126,0,$AT$1,1,1),"*风来*")&gt;0)),0,1)*1.5)</f>
        <v>72.1000000000001</v>
      </c>
      <c r="AC126">
        <f ca="1" t="shared" si="12"/>
        <v>3</v>
      </c>
      <c r="AD126">
        <f ca="1">IF(COUNTIF(IF(AND(配装计算器!$K$30&lt;&gt;"∞",0),INDEX(AU126:CB126,1,$AT$1),INDEX(AU127:CB127,1,$AT$1)),"*叠1*")=1,AB126*0+AE125,0)</f>
        <v>0</v>
      </c>
      <c r="AE126">
        <f ca="1">IF($AN$11&gt;0,IF(COUNTIF(B127,"*叠1*")&gt;0,50-加速!$H$11,MAX(0,AE125-(A127-A126))),0)</f>
        <v>35.8500000000001</v>
      </c>
      <c r="AH126" t="s">
        <v>1825</v>
      </c>
      <c r="AI126" s="161" t="s">
        <v>2871</v>
      </c>
      <c r="AJ126">
        <f ca="1">循环比*COUNTIFS($B$3:$B$515,"*蛇牙锥心*",$D$3:$D$515,"&gt;0",$H$3:$H$515,"&gt;0")</f>
        <v>0</v>
      </c>
      <c r="AK126" t="s">
        <v>3044</v>
      </c>
      <c r="AU126" s="176" t="s">
        <v>2768</v>
      </c>
      <c r="AV126">
        <v>2</v>
      </c>
      <c r="AW126" s="176" t="s">
        <v>2776</v>
      </c>
      <c r="AX126">
        <v>2</v>
      </c>
      <c r="AY126" t="s">
        <v>2808</v>
      </c>
      <c r="AZ126">
        <v>2</v>
      </c>
      <c r="BA126" t="s">
        <v>2808</v>
      </c>
      <c r="BB126">
        <v>2</v>
      </c>
      <c r="BC126" s="182" t="s">
        <v>3036</v>
      </c>
      <c r="BD126">
        <v>2</v>
      </c>
      <c r="BE126" t="s">
        <v>2776</v>
      </c>
      <c r="BF126">
        <v>2</v>
      </c>
      <c r="BG126" t="s">
        <v>2808</v>
      </c>
      <c r="BH126">
        <v>2</v>
      </c>
      <c r="BI126" s="176" t="s">
        <v>3036</v>
      </c>
      <c r="BJ126">
        <v>2</v>
      </c>
      <c r="BK126" s="176" t="s">
        <v>2768</v>
      </c>
      <c r="BL126">
        <v>0</v>
      </c>
      <c r="BM126" s="176" t="s">
        <v>2794</v>
      </c>
      <c r="BN126">
        <v>2</v>
      </c>
      <c r="BO126" s="176" t="s">
        <v>2776</v>
      </c>
      <c r="BP126">
        <v>2</v>
      </c>
      <c r="BQ126" t="str">
        <f>IF(秋,"鹤归孤山-叠-蛇牙锥心","鹤归孤山-叠")</f>
        <v>鹤归孤山-叠</v>
      </c>
      <c r="BR126">
        <v>2</v>
      </c>
      <c r="BS126" s="182" t="s">
        <v>3023</v>
      </c>
      <c r="BT126">
        <v>2</v>
      </c>
      <c r="BU126" s="176" t="s">
        <v>2768</v>
      </c>
      <c r="BV126">
        <v>2</v>
      </c>
      <c r="BW126" s="182" t="s">
        <v>2776</v>
      </c>
      <c r="BX126" s="179">
        <v>2</v>
      </c>
      <c r="BY126" s="176" t="s">
        <v>2794</v>
      </c>
      <c r="BZ126">
        <v>2</v>
      </c>
      <c r="CA126" s="176" t="s">
        <v>2808</v>
      </c>
      <c r="CB126">
        <v>2</v>
      </c>
    </row>
    <row r="127" spans="1:80">
      <c r="A127" s="178">
        <f ca="1">IFERROR(IF(A126+加速!$L$11&lt;$AS$1,IF(COUNTIF(B126,"*轻*")&gt;0,A126+加速!$L$9,A126+加速!$L$11)+V126,IF(COUNTIF(INDEX(AU127:CB127,1,$AT$1),"*云景*")+COUNTIF(INDEX(AU127:CB127,1,$AT$1),"*鹤归*")+COUNTIF(INDEX(AU127:CB127,1,$AT$1),"*听雷*")&gt;0,A126+加速!$L$11,"")),"")</f>
        <v>163.02</v>
      </c>
      <c r="B127" s="167" t="str">
        <f ca="1">IF(A127&lt;&gt;"",IF(AND(A127+加速!$L$11&gt;$AS$1,IF(AND(配装计算器!$K$30&lt;&gt;"∞",0),"梦泉虎跑-轻",INDEX(AU127:CB127,1,$AT$1))="云栖松"),"夕照雷峰",IF(AND(配装计算器!$K$30&lt;&gt;"∞",0),"梦泉虎跑-轻",INDEX(AU127:CB127,1,$AT$1))),"")</f>
        <v>鹤归孤山</v>
      </c>
      <c r="C127">
        <f ca="1" t="shared" si="17"/>
        <v>5.97000000000006</v>
      </c>
      <c r="D127">
        <f ca="1">IF(B127&lt;&gt;"",IF(C126&lt;=加速!$L$11*(1-E127),0,1),"")</f>
        <v>1</v>
      </c>
      <c r="E127">
        <f ca="1" t="shared" si="13"/>
        <v>1</v>
      </c>
      <c r="G127">
        <f ca="1" t="shared" si="14"/>
        <v>0</v>
      </c>
      <c r="H127">
        <f ca="1">IF(B127&lt;&gt;"",IF(AND(COUNTIF(B126,"*轻*莺鸣柳*")&gt;0,COUNTIF(B127,"*轻*")&lt;1),MAX(0,15+I126-(A127-A126)+COUNTIF(B126,"*平湖*")*0),IF(AND(E127=0,MAX(0,H126-(A127-A126))&lt;=加速!$H$11),0,MAX(0,H126-(A127-A126)))),"")</f>
        <v>0</v>
      </c>
      <c r="I127">
        <f ca="1" t="shared" si="20"/>
        <v>0</v>
      </c>
      <c r="J127">
        <f ca="1" t="shared" si="21"/>
        <v>0</v>
      </c>
      <c r="K127">
        <f ca="1">IF(A127&lt;&gt;"",IF(AND(配装计算器!$K$30&lt;&gt;"∞",0),2,INDEX(AU127:CB127,1,$AT$2)),"")</f>
        <v>2</v>
      </c>
      <c r="L127">
        <f ca="1">IFERROR(IF(AND(COUNTIF(B127,"*-峰插*"),技能数据库!$M$72&gt;0),0,IF(COUNTIF(B127,"*鹤归*")&gt;0,16-加速!$L$11,MAX(0,L126-(A127-A126)))),0)</f>
        <v>14.71</v>
      </c>
      <c r="M127">
        <f ca="1">IF(COUNTIF(IF(AND(配装计算器!$K$30&lt;&gt;"∞",0),INDEX(AU126:CB126,1,$AT$1),INDEX(AU128:CB128,1,$AT$1)),"*鹤归*")=1,L127,0)</f>
        <v>0</v>
      </c>
      <c r="N127">
        <f ca="1">IFERROR(IF(AND(COUNTIF(B127,"*-峰插*"),技能数据库!$M$72&gt;0),0,IF(COUNTIF(B127,"*云飞*")&gt;0,4-COUNTIF(B127,"*玉山揽云*")*4--COUNTIF(B127,"*烟流暮景*")*4-COUNTIF(B127,"*云景*")*加速!$L$11-IF(J127&gt;0,2,0),MAX(0,N126-(A127-A126)-IF(J127&gt;0,2,0)))),0)</f>
        <v>0</v>
      </c>
      <c r="O127">
        <f ca="1">IF(AND(COUNTIF(IF(AND(配装计算器!$K$30&lt;&gt;"∞",0),INDEX(AU126:CB126,1,$AT$1),INDEX(AU128:CB128,1,$AT$1)),"*云飞*")=1,COUNTIF(IF(AND(配装计算器!$K$30&lt;&gt;"∞",0),INDEX(AU126:CB126,1,$AT$1),INDEX(AU128:CB128,1,$AT$1)),"*玉山*")=0),N127,0)</f>
        <v>0</v>
      </c>
      <c r="P127">
        <f ca="1">IFERROR(IF(COUNTIF(B127,"*云栖松*")&gt;0,50-加速!$L$11,MAX(0,P126-(A127-A126))),0)</f>
        <v>0</v>
      </c>
      <c r="Q127">
        <f ca="1">IF(COUNTIF(IF(AND(配装计算器!$K$30&lt;&gt;"∞",0),INDEX(AU126:CB126,1,$AT$1),INDEX(AU128:CB128,1,$AT$1)),"*云栖松*")=1,P127,0)</f>
        <v>0</v>
      </c>
      <c r="R127">
        <f ca="1">IFERROR(IF(COUNTIF(B127,"*莺鸣柳*")&gt;0,45-加速!$L$9,MAX(0,R126-(A127-A126))),0)</f>
        <v>0</v>
      </c>
      <c r="S127">
        <f ca="1">IF(COUNTIF(IF(AND(配装计算器!$K$30&lt;&gt;"∞",0),INDEX(AU126:CB126,1,$AT$1),INDEX(AU128:CB128,1,$AT$1)),"*莺鸣柳*")=1,R127,0)</f>
        <v>0</v>
      </c>
      <c r="T127">
        <f ca="1" t="shared" si="18"/>
        <v>0</v>
      </c>
      <c r="U127">
        <f ca="1">IF(金蛇,IF(COUNTIF(B127,"*金环戴*")+COUNTIF(B127,"*吹风醒*")&gt;0,IF(A127&lt;=3,7.125-2.625-A127-加速!$L$11,7.125+加速!$K$9-(A127+加速!$L$11-T127)),0),0)+IF(金蛇,IF(COUNTIF(B127,"*千切子裂光*")&gt;0,2+加速!$K$9-(A127+加速!$L$11-T127),0),0)</f>
        <v>0</v>
      </c>
      <c r="V127">
        <f ca="1" t="shared" si="19"/>
        <v>0</v>
      </c>
      <c r="W127">
        <f ca="1" t="shared" si="11"/>
        <v>0</v>
      </c>
      <c r="X127">
        <f ca="1">INDEX(加速!$I$13:$I$21,技能数计算!W127+1)</f>
        <v>0</v>
      </c>
      <c r="Y127">
        <f ca="1" t="shared" si="15"/>
        <v>0.5</v>
      </c>
      <c r="Z127">
        <f ca="1" t="shared" si="16"/>
        <v>0</v>
      </c>
      <c r="AA127">
        <f ca="1">MAX(0,IFERROR(IF(COUNTIF(B127,"*叠*")&gt;0,IF(AC126&lt;3,8-A128+A127,AA126+6.875-A128+A127),AA126-A128+A127),AA126-加速!$L$11))</f>
        <v>5.84500000000006</v>
      </c>
      <c r="AB127">
        <f ca="1">MAX(0,IF(COUNTIF(IF(AND(配装计算器!$K$30&lt;&gt;"∞",0),INDEX(AU127:CB127,1,$AT$1),INDEX(AU127:CB127,1,$AT$1)),"*叠1*")=1,4*25-加速!$L$11,AB126-A127+A126)-IF(OR(COUNTIF(OFFSET(AT127,0,$AT$1,1,1),"*听雷*")&gt;0,AND(碧归&gt;0,COUNTIF(OFFSET(AT127,0,$AT$1,1,1),"*风来*")&gt;0)),0,1)*1.5)</f>
        <v>69.3100000000001</v>
      </c>
      <c r="AC127">
        <f ca="1" t="shared" si="12"/>
        <v>3</v>
      </c>
      <c r="AD127">
        <f ca="1">IF(COUNTIF(IF(AND(配装计算器!$K$30&lt;&gt;"∞",0),INDEX(AU127:CB127,1,$AT$1),INDEX(AU128:CB128,1,$AT$1)),"*叠1*")=1,AB127*0+AE126,0)</f>
        <v>0</v>
      </c>
      <c r="AE127">
        <f ca="1">IF($AN$11&gt;0,IF(COUNTIF(B128,"*叠1*")&gt;0,50-加速!$H$11,MAX(0,AE126-(A128-A127))),0)</f>
        <v>34.5600000000001</v>
      </c>
      <c r="AH127" t="s">
        <v>1825</v>
      </c>
      <c r="AI127" s="161" t="s">
        <v>2885</v>
      </c>
      <c r="AJ127">
        <f ca="1">循环比*COUNTIFS($B$3:$B$515,"*千切子寒光*",$D$3:$D$515,"&gt;0",$H$3:$H$515,"&gt;0")</f>
        <v>0</v>
      </c>
      <c r="AK127" t="s">
        <v>3044</v>
      </c>
      <c r="AU127" s="176" t="s">
        <v>2776</v>
      </c>
      <c r="AV127">
        <v>2</v>
      </c>
      <c r="AW127" s="176" t="s">
        <v>2768</v>
      </c>
      <c r="AX127">
        <v>2</v>
      </c>
      <c r="AY127" t="s">
        <v>2768</v>
      </c>
      <c r="AZ127">
        <v>2</v>
      </c>
      <c r="BA127" t="s">
        <v>2768</v>
      </c>
      <c r="BB127">
        <v>2</v>
      </c>
      <c r="BC127" s="176" t="s">
        <v>3026</v>
      </c>
      <c r="BD127">
        <v>2</v>
      </c>
      <c r="BE127" t="s">
        <v>2768</v>
      </c>
      <c r="BF127">
        <v>1</v>
      </c>
      <c r="BG127" t="s">
        <v>2768</v>
      </c>
      <c r="BH127">
        <v>2</v>
      </c>
      <c r="BI127" t="s">
        <v>2794</v>
      </c>
      <c r="BJ127">
        <v>2</v>
      </c>
      <c r="BK127" s="176" t="s">
        <v>2776</v>
      </c>
      <c r="BL127">
        <v>0</v>
      </c>
      <c r="BM127" s="176" t="s">
        <v>2768</v>
      </c>
      <c r="BN127">
        <v>2</v>
      </c>
      <c r="BO127" s="176" t="s">
        <v>2768</v>
      </c>
      <c r="BP127">
        <v>2</v>
      </c>
      <c r="BQ127" t="s">
        <v>2776</v>
      </c>
      <c r="BR127">
        <v>2</v>
      </c>
      <c r="BS127" s="182" t="s">
        <v>2768</v>
      </c>
      <c r="BT127">
        <v>2</v>
      </c>
      <c r="BU127" s="176" t="s">
        <v>2776</v>
      </c>
      <c r="BV127">
        <v>2</v>
      </c>
      <c r="BW127" s="182" t="s">
        <v>2768</v>
      </c>
      <c r="BX127" s="179">
        <v>1</v>
      </c>
      <c r="BY127" s="176" t="s">
        <v>2768</v>
      </c>
      <c r="BZ127">
        <v>2</v>
      </c>
      <c r="CA127" t="s">
        <v>2768</v>
      </c>
      <c r="CB127">
        <v>2</v>
      </c>
    </row>
    <row r="128" spans="1:80">
      <c r="A128" s="178">
        <f ca="1">IFERROR(IF(A127+加速!$L$11&lt;$AS$1,IF(COUNTIF(B127,"*轻*")&gt;0,A127+加速!$L$9,A127+加速!$L$11)+V127,IF(COUNTIF(INDEX(AU128:CB128,1,$AT$1),"*云景*")+COUNTIF(INDEX(AU128:CB128,1,$AT$1),"*鹤归*")+COUNTIF(INDEX(AU128:CB128,1,$AT$1),"*听雷*")&gt;0,A127+加速!$L$11,"")),"")</f>
        <v>164.31</v>
      </c>
      <c r="B128" s="167" t="str">
        <f ca="1">IF(A128&lt;&gt;"",IF(AND(A128+加速!$L$11&gt;$AS$1,IF(AND(配装计算器!$K$30&lt;&gt;"∞",0),"梦泉虎跑-轻",INDEX(AU128:CB128,1,$AT$1))="云栖松"),"夕照雷峰",IF(AND(配装计算器!$K$30&lt;&gt;"∞",0),"梦泉虎跑-轻",INDEX(AU128:CB128,1,$AT$1))),"")</f>
        <v>云飞玉皇</v>
      </c>
      <c r="C128">
        <f ca="1" t="shared" si="17"/>
        <v>4.68000000000006</v>
      </c>
      <c r="D128">
        <f ca="1">IF(B128&lt;&gt;"",IF(C127&lt;=加速!$L$11*(1-E128),0,1),"")</f>
        <v>1</v>
      </c>
      <c r="E128">
        <f ca="1" t="shared" si="13"/>
        <v>0</v>
      </c>
      <c r="G128">
        <f ca="1" t="shared" si="14"/>
        <v>0</v>
      </c>
      <c r="H128">
        <f ca="1">IF(B128&lt;&gt;"",IF(AND(COUNTIF(B127,"*轻*莺鸣柳*")&gt;0,COUNTIF(B128,"*轻*")&lt;1),MAX(0,15+I127-(A128-A127)+COUNTIF(B127,"*平湖*")*0),IF(AND(E128=0,MAX(0,H127-(A128-A127))&lt;=加速!$H$11),0,MAX(0,H127-(A128-A127)))),"")</f>
        <v>0</v>
      </c>
      <c r="I128">
        <f ca="1" t="shared" si="20"/>
        <v>0</v>
      </c>
      <c r="J128">
        <f ca="1" t="shared" si="21"/>
        <v>4</v>
      </c>
      <c r="K128">
        <f ca="1">IF(A128&lt;&gt;"",IF(AND(配装计算器!$K$30&lt;&gt;"∞",0),2,INDEX(AU128:CB128,1,$AT$2)),"")</f>
        <v>2</v>
      </c>
      <c r="L128">
        <f ca="1">IFERROR(IF(AND(COUNTIF(B128,"*-峰插*"),技能数据库!$M$72&gt;0),0,IF(COUNTIF(B128,"*鹤归*")&gt;0,16-加速!$L$11,MAX(0,L127-(A128-A127)))),0)</f>
        <v>13.42</v>
      </c>
      <c r="M128">
        <f ca="1">IF(COUNTIF(IF(AND(配装计算器!$K$30&lt;&gt;"∞",0),INDEX(AU127:CB127,1,$AT$1),INDEX(AU129:CB129,1,$AT$1)),"*鹤归*")=1,L128,0)</f>
        <v>0</v>
      </c>
      <c r="N128">
        <f ca="1">IFERROR(IF(AND(COUNTIF(B128,"*-峰插*"),技能数据库!$M$72&gt;0),0,IF(COUNTIF(B128,"*云飞*")&gt;0,4-COUNTIF(B128,"*玉山揽云*")*4--COUNTIF(B128,"*烟流暮景*")*4-COUNTIF(B128,"*云景*")*加速!$L$11-IF(J128&gt;0,2,0),MAX(0,N127-(A128-A127)-IF(J128&gt;0,2,0)))),0)</f>
        <v>2</v>
      </c>
      <c r="O128">
        <f ca="1">IF(AND(COUNTIF(IF(AND(配装计算器!$K$30&lt;&gt;"∞",0),INDEX(AU127:CB127,1,$AT$1),INDEX(AU129:CB129,1,$AT$1)),"*云飞*")=1,COUNTIF(IF(AND(配装计算器!$K$30&lt;&gt;"∞",0),INDEX(AU127:CB127,1,$AT$1),INDEX(AU129:CB129,1,$AT$1)),"*玉山*")=0),N128,0)</f>
        <v>0</v>
      </c>
      <c r="P128">
        <f ca="1">IFERROR(IF(COUNTIF(B128,"*云栖松*")&gt;0,50-加速!$L$11,MAX(0,P127-(A128-A127))),0)</f>
        <v>0</v>
      </c>
      <c r="Q128">
        <f ca="1">IF(COUNTIF(IF(AND(配装计算器!$K$30&lt;&gt;"∞",0),INDEX(AU127:CB127,1,$AT$1),INDEX(AU129:CB129,1,$AT$1)),"*云栖松*")=1,P128,0)</f>
        <v>0</v>
      </c>
      <c r="R128">
        <f ca="1">IFERROR(IF(COUNTIF(B128,"*莺鸣柳*")&gt;0,45-加速!$L$9,MAX(0,R127-(A128-A127))),0)</f>
        <v>0</v>
      </c>
      <c r="S128">
        <f ca="1">IF(COUNTIF(IF(AND(配装计算器!$K$30&lt;&gt;"∞",0),INDEX(AU127:CB127,1,$AT$1),INDEX(AU129:CB129,1,$AT$1)),"*莺鸣柳*")=1,R128,0)</f>
        <v>0</v>
      </c>
      <c r="T128">
        <f ca="1" t="shared" si="18"/>
        <v>0</v>
      </c>
      <c r="U128">
        <f ca="1">IF(金蛇,IF(COUNTIF(B128,"*金环戴*")+COUNTIF(B128,"*吹风醒*")&gt;0,IF(A128&lt;=3,7.125-2.625-A128-加速!$L$11,7.125+加速!$K$9-(A128+加速!$L$11-T128)),0),0)+IF(金蛇,IF(COUNTIF(B128,"*千切子裂光*")&gt;0,2+加速!$K$9-(A128+加速!$L$11-T128),0),0)</f>
        <v>0</v>
      </c>
      <c r="V128">
        <f ca="1" t="shared" si="19"/>
        <v>0</v>
      </c>
      <c r="W128">
        <f ca="1" t="shared" si="11"/>
        <v>0</v>
      </c>
      <c r="X128">
        <f ca="1">INDEX(加速!$I$13:$I$21,技能数计算!W128+1)</f>
        <v>0</v>
      </c>
      <c r="Y128">
        <f ca="1" t="shared" si="15"/>
        <v>0.5</v>
      </c>
      <c r="Z128">
        <f ca="1" t="shared" si="16"/>
        <v>0</v>
      </c>
      <c r="AA128">
        <f ca="1">MAX(0,IFERROR(IF(COUNTIF(B128,"*叠*")&gt;0,IF(AC127&lt;3,8-A129+A128,AA127+6.875-A129+A128),AA127-A129+A128),AA127-加速!$L$11))</f>
        <v>4.55500000000006</v>
      </c>
      <c r="AB128">
        <f ca="1">MAX(0,IF(COUNTIF(IF(AND(配装计算器!$K$30&lt;&gt;"∞",0),INDEX(AU128:CB128,1,$AT$1),INDEX(AU128:CB128,1,$AT$1)),"*叠1*")=1,4*25-加速!$L$11,AB127-A128+A127)-IF(OR(COUNTIF(OFFSET(AT128,0,$AT$1,1,1),"*听雷*")&gt;0,AND(碧归&gt;0,COUNTIF(OFFSET(AT128,0,$AT$1,1,1),"*风来*")&gt;0)),0,1)*1.5)</f>
        <v>66.5200000000001</v>
      </c>
      <c r="AC128">
        <f ca="1" t="shared" si="12"/>
        <v>3</v>
      </c>
      <c r="AD128">
        <f ca="1">IF(COUNTIF(IF(AND(配装计算器!$K$30&lt;&gt;"∞",0),INDEX(AU128:CB128,1,$AT$1),INDEX(AU129:CB129,1,$AT$1)),"*叠1*")=1,AB128*0+AE127,0)</f>
        <v>0</v>
      </c>
      <c r="AE128">
        <f ca="1">IF($AN$11&gt;0,IF(COUNTIF(B129,"*叠1*")&gt;0,50-加速!$H$11,MAX(0,AE127-(A129-A128))),0)</f>
        <v>33.2700000000001</v>
      </c>
      <c r="AH128" t="s">
        <v>1825</v>
      </c>
      <c r="AI128" s="161" t="s">
        <v>2897</v>
      </c>
      <c r="AJ128">
        <f ca="1">循环比*COUNTIFS($B$3:$B$515,"*千切子裂光*",$D$3:$D$515,"&gt;0",$H$3:$H$515,"&gt;0")</f>
        <v>0</v>
      </c>
      <c r="AK128" t="s">
        <v>3044</v>
      </c>
      <c r="AU128" t="s">
        <v>2768</v>
      </c>
      <c r="AV128">
        <v>2</v>
      </c>
      <c r="AW128" t="s">
        <v>3056</v>
      </c>
      <c r="AX128">
        <v>1</v>
      </c>
      <c r="AY128" t="s">
        <v>2768</v>
      </c>
      <c r="AZ128">
        <v>2</v>
      </c>
      <c r="BA128" t="s">
        <v>2768</v>
      </c>
      <c r="BB128">
        <v>2</v>
      </c>
      <c r="BC128" s="176" t="s">
        <v>3026</v>
      </c>
      <c r="BD128">
        <v>2</v>
      </c>
      <c r="BE128" t="s">
        <v>2768</v>
      </c>
      <c r="BF128">
        <v>1</v>
      </c>
      <c r="BG128" s="176" t="s">
        <v>2768</v>
      </c>
      <c r="BH128">
        <v>2</v>
      </c>
      <c r="BI128" t="s">
        <v>2776</v>
      </c>
      <c r="BJ128">
        <v>2</v>
      </c>
      <c r="BK128" s="176" t="s">
        <v>2768</v>
      </c>
      <c r="BL128">
        <v>0</v>
      </c>
      <c r="BM128" s="176" t="s">
        <v>2776</v>
      </c>
      <c r="BN128">
        <v>2</v>
      </c>
      <c r="BO128" t="s">
        <v>3056</v>
      </c>
      <c r="BP128">
        <v>1</v>
      </c>
      <c r="BQ128" t="s">
        <v>2768</v>
      </c>
      <c r="BR128">
        <v>2</v>
      </c>
      <c r="BS128" s="182" t="s">
        <v>2776</v>
      </c>
      <c r="BT128">
        <v>2</v>
      </c>
      <c r="BU128" t="str">
        <f>IF(秋,"鹤归孤山-叠-蛇牙锥心","鹤归孤山-叠")</f>
        <v>鹤归孤山-叠</v>
      </c>
      <c r="BV128">
        <v>2</v>
      </c>
      <c r="BW128" s="182" t="s">
        <v>2776</v>
      </c>
      <c r="BX128" s="179">
        <v>1</v>
      </c>
      <c r="BY128" s="176" t="s">
        <v>2776</v>
      </c>
      <c r="BZ128">
        <v>2</v>
      </c>
      <c r="CA128" t="s">
        <v>2776</v>
      </c>
      <c r="CB128">
        <v>2</v>
      </c>
    </row>
    <row r="129" spans="1:80">
      <c r="A129" s="178">
        <f ca="1">IFERROR(IF(A128+加速!$L$11&lt;$AS$1,IF(COUNTIF(B128,"*轻*")&gt;0,A128+加速!$L$9,A128+加速!$L$11)+V128,IF(COUNTIF(INDEX(AU129:CB129,1,$AT$1),"*云景*")+COUNTIF(INDEX(AU129:CB129,1,$AT$1),"*鹤归*")+COUNTIF(INDEX(AU129:CB129,1,$AT$1),"*听雷*")&gt;0,A128+加速!$L$11,"")),"")</f>
        <v>165.6</v>
      </c>
      <c r="B129" s="167" t="str">
        <f ca="1">IF(A129&lt;&gt;"",IF(AND(A129+加速!$L$11&gt;$AS$1,IF(AND(配装计算器!$K$30&lt;&gt;"∞",0),"梦泉虎跑-轻",INDEX(AU129:CB129,1,$AT$1))="云栖松"),"夕照雷峰",IF(AND(配装计算器!$K$30&lt;&gt;"∞",0),"梦泉虎跑-轻",INDEX(AU129:CB129,1,$AT$1))),"")</f>
        <v>夕照雷峰</v>
      </c>
      <c r="C129">
        <f ca="1" t="shared" si="17"/>
        <v>15</v>
      </c>
      <c r="D129">
        <f ca="1">IF(B129&lt;&gt;"",IF(C128&lt;=加速!$L$11*(1-E129),0,1),"")</f>
        <v>1</v>
      </c>
      <c r="E129">
        <f ca="1" t="shared" si="13"/>
        <v>0</v>
      </c>
      <c r="G129">
        <f ca="1" t="shared" si="14"/>
        <v>0</v>
      </c>
      <c r="H129">
        <f ca="1">IF(B129&lt;&gt;"",IF(AND(COUNTIF(B128,"*轻*莺鸣柳*")&gt;0,COUNTIF(B129,"*轻*")&lt;1),MAX(0,15+I128-(A129-A128)+COUNTIF(B128,"*平湖*")*0),IF(AND(E129=0,MAX(0,H128-(A129-A128))&lt;=加速!$H$11),0,MAX(0,H128-(A129-A128)))),"")</f>
        <v>0</v>
      </c>
      <c r="I129">
        <f ca="1" t="shared" si="20"/>
        <v>0</v>
      </c>
      <c r="J129">
        <f ca="1" t="shared" si="21"/>
        <v>3</v>
      </c>
      <c r="K129">
        <f ca="1">IF(A129&lt;&gt;"",IF(AND(配装计算器!$K$30&lt;&gt;"∞",0),2,INDEX(AU129:CB129,1,$AT$2)),"")</f>
        <v>2</v>
      </c>
      <c r="L129">
        <f ca="1">IFERROR(IF(AND(COUNTIF(B129,"*-峰插*"),技能数据库!$M$72&gt;0),0,IF(COUNTIF(B129,"*鹤归*")&gt;0,16-加速!$L$11,MAX(0,L128-(A129-A128)))),0)</f>
        <v>12.13</v>
      </c>
      <c r="M129">
        <f ca="1">IF(COUNTIF(IF(AND(配装计算器!$K$30&lt;&gt;"∞",0),INDEX(AU128:CB128,1,$AT$1),INDEX(AU130:CB130,1,$AT$1)),"*鹤归*")=1,L129,0)</f>
        <v>0</v>
      </c>
      <c r="N129">
        <f ca="1">IFERROR(IF(AND(COUNTIF(B129,"*-峰插*"),技能数据库!$M$72&gt;0),0,IF(COUNTIF(B129,"*云飞*")&gt;0,4-COUNTIF(B129,"*玉山揽云*")*4--COUNTIF(B129,"*烟流暮景*")*4-COUNTIF(B129,"*云景*")*加速!$L$11-IF(J129&gt;0,2,0),MAX(0,N128-(A129-A128)-IF(J129&gt;0,2,0)))),0)</f>
        <v>0</v>
      </c>
      <c r="O129">
        <f ca="1">IF(AND(COUNTIF(IF(AND(配装计算器!$K$30&lt;&gt;"∞",0),INDEX(AU128:CB128,1,$AT$1),INDEX(AU130:CB130,1,$AT$1)),"*云飞*")=1,COUNTIF(IF(AND(配装计算器!$K$30&lt;&gt;"∞",0),INDEX(AU128:CB128,1,$AT$1),INDEX(AU130:CB130,1,$AT$1)),"*玉山*")=0),N129,0)</f>
        <v>0</v>
      </c>
      <c r="P129">
        <f ca="1">IFERROR(IF(COUNTIF(B129,"*云栖松*")&gt;0,50-加速!$L$11,MAX(0,P128-(A129-A128))),0)</f>
        <v>0</v>
      </c>
      <c r="Q129">
        <f ca="1">IF(COUNTIF(IF(AND(配装计算器!$K$30&lt;&gt;"∞",0),INDEX(AU128:CB128,1,$AT$1),INDEX(AU130:CB130,1,$AT$1)),"*云栖松*")=1,P129,0)</f>
        <v>0</v>
      </c>
      <c r="R129">
        <f ca="1">IFERROR(IF(COUNTIF(B129,"*莺鸣柳*")&gt;0,45-加速!$L$9,MAX(0,R128-(A129-A128))),0)</f>
        <v>0</v>
      </c>
      <c r="S129">
        <f ca="1">IF(COUNTIF(IF(AND(配装计算器!$K$30&lt;&gt;"∞",0),INDEX(AU128:CB128,1,$AT$1),INDEX(AU130:CB130,1,$AT$1)),"*莺鸣柳*")=1,R129,0)</f>
        <v>0</v>
      </c>
      <c r="T129">
        <f ca="1" t="shared" si="18"/>
        <v>0</v>
      </c>
      <c r="U129">
        <f ca="1">IF(金蛇,IF(COUNTIF(B129,"*金环戴*")+COUNTIF(B129,"*吹风醒*")&gt;0,IF(A129&lt;=3,7.125-2.625-A129-加速!$L$11,7.125+加速!$K$9-(A129+加速!$L$11-T129)),0),0)+IF(金蛇,IF(COUNTIF(B129,"*千切子裂光*")&gt;0,2+加速!$K$9-(A129+加速!$L$11-T129),0),0)</f>
        <v>0</v>
      </c>
      <c r="V129">
        <f ca="1" t="shared" si="19"/>
        <v>0</v>
      </c>
      <c r="W129">
        <f ca="1" t="shared" si="11"/>
        <v>0</v>
      </c>
      <c r="X129">
        <f ca="1">INDEX(加速!$I$13:$I$21,技能数计算!W129+1)</f>
        <v>0</v>
      </c>
      <c r="Y129">
        <f ca="1" t="shared" si="15"/>
        <v>0.5</v>
      </c>
      <c r="Z129">
        <f ca="1" t="shared" si="16"/>
        <v>0</v>
      </c>
      <c r="AA129">
        <f ca="1">MAX(0,IFERROR(IF(COUNTIF(B129,"*叠*")&gt;0,IF(AC128&lt;3,8-A130+A129,AA128+6.875-A130+A129),AA128-A130+A129),AA128-加速!$L$11))</f>
        <v>3.26500000000007</v>
      </c>
      <c r="AB129">
        <f ca="1">MAX(0,IF(COUNTIF(IF(AND(配装计算器!$K$30&lt;&gt;"∞",0),INDEX(AU129:CB129,1,$AT$1),INDEX(AU129:CB129,1,$AT$1)),"*叠1*")=1,4*25-加速!$L$11,AB128-A129+A128)-IF(OR(COUNTIF(OFFSET(AT129,0,$AT$1,1,1),"*听雷*")&gt;0,AND(碧归&gt;0,COUNTIF(OFFSET(AT129,0,$AT$1,1,1),"*风来*")&gt;0)),0,1)*1.5)</f>
        <v>63.7300000000001</v>
      </c>
      <c r="AC129">
        <f ca="1" t="shared" si="12"/>
        <v>3</v>
      </c>
      <c r="AD129">
        <f ca="1">IF(COUNTIF(IF(AND(配装计算器!$K$30&lt;&gt;"∞",0),INDEX(AU129:CB129,1,$AT$1),INDEX(AU130:CB130,1,$AT$1)),"*叠1*")=1,AB129*0+AE128,0)</f>
        <v>0</v>
      </c>
      <c r="AE129">
        <f ca="1">IF($AN$11&gt;0,IF(COUNTIF(B130,"*叠1*")&gt;0,50-加速!$H$11,MAX(0,AE128-(A130-A129))),0)</f>
        <v>31.9800000000001</v>
      </c>
      <c r="AH129" t="s">
        <v>1825</v>
      </c>
      <c r="AI129" t="s">
        <v>2776</v>
      </c>
      <c r="AJ129">
        <f ca="1">循环比*COUNTIFS($B$3:$B$515,"*"&amp;AI129&amp;"*",$D$3:$D$515,"=0",$H$3:$H$515,"=0",$G$3:$G$515,"=0",$K$3:$K$515,"=2",$AC$3:$AC$515,"=0")</f>
        <v>0</v>
      </c>
      <c r="AK129" t="s">
        <v>3046</v>
      </c>
      <c r="AU129" t="str">
        <f>IF($AN$11=1,"云飞玉皇-玉山揽云","夕照雷峰")</f>
        <v>云飞玉皇-玉山揽云</v>
      </c>
      <c r="AV129">
        <v>2</v>
      </c>
      <c r="AW129" t="s">
        <v>2768</v>
      </c>
      <c r="AX129">
        <v>2</v>
      </c>
      <c r="AY129" t="s">
        <v>2776</v>
      </c>
      <c r="AZ129">
        <v>2</v>
      </c>
      <c r="BA129" t="s">
        <v>2776</v>
      </c>
      <c r="BB129">
        <v>2</v>
      </c>
      <c r="BC129" s="176" t="s">
        <v>3026</v>
      </c>
      <c r="BD129">
        <v>2</v>
      </c>
      <c r="BE129" t="s">
        <v>3042</v>
      </c>
      <c r="BF129">
        <v>0</v>
      </c>
      <c r="BG129" s="176" t="s">
        <v>2776</v>
      </c>
      <c r="BH129">
        <v>2</v>
      </c>
      <c r="BI129" t="s">
        <v>2768</v>
      </c>
      <c r="BJ129">
        <v>2</v>
      </c>
      <c r="BK129" s="176" t="s">
        <v>3012</v>
      </c>
      <c r="BL129">
        <v>2</v>
      </c>
      <c r="BM129" s="176" t="s">
        <v>2768</v>
      </c>
      <c r="BN129">
        <v>2</v>
      </c>
      <c r="BO129" t="s">
        <v>2768</v>
      </c>
      <c r="BP129">
        <v>2</v>
      </c>
      <c r="BQ129" t="s">
        <v>2776</v>
      </c>
      <c r="BR129">
        <v>2</v>
      </c>
      <c r="BS129" s="182" t="s">
        <v>2768</v>
      </c>
      <c r="BT129">
        <v>2</v>
      </c>
      <c r="BU129" t="s">
        <v>2768</v>
      </c>
      <c r="BV129">
        <v>2</v>
      </c>
      <c r="BW129" s="182" t="s">
        <v>2768</v>
      </c>
      <c r="BX129" s="179">
        <v>1</v>
      </c>
      <c r="BY129" s="176" t="s">
        <v>2768</v>
      </c>
      <c r="BZ129">
        <v>2</v>
      </c>
      <c r="CA129" t="s">
        <v>2768</v>
      </c>
      <c r="CB129">
        <v>2</v>
      </c>
    </row>
    <row r="130" spans="1:80">
      <c r="A130" s="178">
        <f ca="1">IFERROR(IF(A129+加速!$L$11&lt;$AS$1,IF(COUNTIF(B129,"*轻*")&gt;0,A129+加速!$L$9,A129+加速!$L$11)+V129,IF(COUNTIF(INDEX(AU130:CB130,1,$AT$1),"*云景*")+COUNTIF(INDEX(AU130:CB130,1,$AT$1),"*鹤归*")+COUNTIF(INDEX(AU130:CB130,1,$AT$1),"*听雷*")&gt;0,A129+加速!$L$11,"")),"")</f>
        <v>166.89</v>
      </c>
      <c r="B130" s="167" t="str">
        <f ca="1">IF(A130&lt;&gt;"",IF(AND(A130+加速!$L$11&gt;$AS$1,IF(AND(配装计算器!$K$30&lt;&gt;"∞",0),"梦泉虎跑-轻",INDEX(AU130:CB130,1,$AT$1))="云栖松"),"夕照雷峰",IF(AND(配装计算器!$K$30&lt;&gt;"∞",0),"梦泉虎跑-轻",INDEX(AU130:CB130,1,$AT$1))),"")</f>
        <v>云飞玉皇</v>
      </c>
      <c r="C130">
        <f ca="1" t="shared" si="17"/>
        <v>13.71</v>
      </c>
      <c r="D130">
        <f ca="1">IF(B130&lt;&gt;"",IF(C129&lt;=加速!$L$11*(1-E130),0,1),"")</f>
        <v>1</v>
      </c>
      <c r="E130">
        <f ca="1" t="shared" si="13"/>
        <v>0</v>
      </c>
      <c r="G130">
        <f ca="1" t="shared" si="14"/>
        <v>0</v>
      </c>
      <c r="H130">
        <f ca="1">IF(B130&lt;&gt;"",IF(AND(COUNTIF(B129,"*轻*莺鸣柳*")&gt;0,COUNTIF(B130,"*轻*")&lt;1),MAX(0,15+I129-(A130-A129)+COUNTIF(B129,"*平湖*")*0),IF(AND(E130=0,MAX(0,H129-(A130-A129))&lt;=加速!$H$11),0,MAX(0,H129-(A130-A129)))),"")</f>
        <v>0</v>
      </c>
      <c r="I130">
        <f ca="1" t="shared" si="20"/>
        <v>0</v>
      </c>
      <c r="J130">
        <f ca="1" t="shared" si="21"/>
        <v>2</v>
      </c>
      <c r="K130">
        <f ca="1">IF(A130&lt;&gt;"",IF(AND(配装计算器!$K$30&lt;&gt;"∞",0),2,INDEX(AU130:CB130,1,$AT$2)),"")</f>
        <v>2</v>
      </c>
      <c r="L130">
        <f ca="1">IFERROR(IF(AND(COUNTIF(B130,"*-峰插*"),技能数据库!$M$72&gt;0),0,IF(COUNTIF(B130,"*鹤归*")&gt;0,16-加速!$L$11,MAX(0,L129-(A130-A129)))),0)</f>
        <v>10.84</v>
      </c>
      <c r="M130">
        <f ca="1">IF(COUNTIF(IF(AND(配装计算器!$K$30&lt;&gt;"∞",0),INDEX(AU129:CB129,1,$AT$1),INDEX(AU131:CB131,1,$AT$1)),"*鹤归*")=1,L130,0)</f>
        <v>0</v>
      </c>
      <c r="N130">
        <f ca="1">IFERROR(IF(AND(COUNTIF(B130,"*-峰插*"),技能数据库!$M$72&gt;0),0,IF(COUNTIF(B130,"*云飞*")&gt;0,4-COUNTIF(B130,"*玉山揽云*")*4--COUNTIF(B130,"*烟流暮景*")*4-COUNTIF(B130,"*云景*")*加速!$L$11-IF(J130&gt;0,2,0),MAX(0,N129-(A130-A129)-IF(J130&gt;0,2,0)))),0)</f>
        <v>2</v>
      </c>
      <c r="O130">
        <f ca="1">IF(AND(COUNTIF(IF(AND(配装计算器!$K$30&lt;&gt;"∞",0),INDEX(AU129:CB129,1,$AT$1),INDEX(AU131:CB131,1,$AT$1)),"*云飞*")=1,COUNTIF(IF(AND(配装计算器!$K$30&lt;&gt;"∞",0),INDEX(AU129:CB129,1,$AT$1),INDEX(AU131:CB131,1,$AT$1)),"*玉山*")=0),N130,0)</f>
        <v>0</v>
      </c>
      <c r="P130">
        <f ca="1">IFERROR(IF(COUNTIF(B130,"*云栖松*")&gt;0,50-加速!$L$11,MAX(0,P129-(A130-A129))),0)</f>
        <v>0</v>
      </c>
      <c r="Q130">
        <f ca="1">IF(COUNTIF(IF(AND(配装计算器!$K$30&lt;&gt;"∞",0),INDEX(AU129:CB129,1,$AT$1),INDEX(AU131:CB131,1,$AT$1)),"*云栖松*")=1,P130,0)</f>
        <v>0</v>
      </c>
      <c r="R130">
        <f ca="1">IFERROR(IF(COUNTIF(B130,"*莺鸣柳*")&gt;0,45-加速!$L$9,MAX(0,R129-(A130-A129))),0)</f>
        <v>0</v>
      </c>
      <c r="S130">
        <f ca="1">IF(COUNTIF(IF(AND(配装计算器!$K$30&lt;&gt;"∞",0),INDEX(AU129:CB129,1,$AT$1),INDEX(AU131:CB131,1,$AT$1)),"*莺鸣柳*")=1,R130,0)</f>
        <v>0</v>
      </c>
      <c r="T130">
        <f ca="1" t="shared" si="18"/>
        <v>0</v>
      </c>
      <c r="U130">
        <f ca="1">IF(金蛇,IF(COUNTIF(B130,"*金环戴*")+COUNTIF(B130,"*吹风醒*")&gt;0,IF(A130&lt;=3,7.125-2.625-A130-加速!$L$11,7.125+加速!$K$9-(A130+加速!$L$11-T130)),0),0)+IF(金蛇,IF(COUNTIF(B130,"*千切子裂光*")&gt;0,2+加速!$K$9-(A130+加速!$L$11-T130),0),0)</f>
        <v>0</v>
      </c>
      <c r="V130">
        <f ca="1" t="shared" si="19"/>
        <v>0</v>
      </c>
      <c r="W130">
        <f ca="1" t="shared" si="11"/>
        <v>0</v>
      </c>
      <c r="X130">
        <f ca="1">INDEX(加速!$I$13:$I$21,技能数计算!W130+1)</f>
        <v>0</v>
      </c>
      <c r="Y130">
        <f ca="1" t="shared" si="15"/>
        <v>0.5</v>
      </c>
      <c r="Z130">
        <f ca="1" t="shared" si="16"/>
        <v>0</v>
      </c>
      <c r="AA130">
        <f ca="1">MAX(0,IFERROR(IF(COUNTIF(B130,"*叠*")&gt;0,IF(AC129&lt;3,8-A131+A130,AA129+6.875-A131+A130),AA129-A131+A130),AA129-加速!$L$11))</f>
        <v>1.97500000000008</v>
      </c>
      <c r="AB130">
        <f ca="1">MAX(0,IF(COUNTIF(IF(AND(配装计算器!$K$30&lt;&gt;"∞",0),INDEX(AU130:CB130,1,$AT$1),INDEX(AU130:CB130,1,$AT$1)),"*叠1*")=1,4*25-加速!$L$11,AB129-A130+A129)-IF(OR(COUNTIF(OFFSET(AT130,0,$AT$1,1,1),"*听雷*")&gt;0,AND(碧归&gt;0,COUNTIF(OFFSET(AT130,0,$AT$1,1,1),"*风来*")&gt;0)),0,1)*1.5)</f>
        <v>60.9400000000001</v>
      </c>
      <c r="AC130">
        <f ca="1" t="shared" si="12"/>
        <v>3</v>
      </c>
      <c r="AD130">
        <f ca="1">IF(COUNTIF(IF(AND(配装计算器!$K$30&lt;&gt;"∞",0),INDEX(AU130:CB130,1,$AT$1),INDEX(AU131:CB131,1,$AT$1)),"*叠1*")=1,AB130*0+AE129,0)</f>
        <v>0</v>
      </c>
      <c r="AE130">
        <f ca="1">IF($AN$11&gt;0,IF(COUNTIF(B131,"*叠1*")&gt;0,50-加速!$H$11,MAX(0,AE129-(A131-A130))),0)</f>
        <v>30.6900000000001</v>
      </c>
      <c r="AH130" t="s">
        <v>1825</v>
      </c>
      <c r="AI130" t="s">
        <v>2780</v>
      </c>
      <c r="AJ130">
        <f ca="1">AJ129</f>
        <v>0</v>
      </c>
      <c r="AK130" t="s">
        <v>3046</v>
      </c>
      <c r="AU130" t="str">
        <f>IF($AN$11=1,"云飞玉皇-玉山揽云","云飞玉皇")</f>
        <v>云飞玉皇-玉山揽云</v>
      </c>
      <c r="AV130">
        <v>2</v>
      </c>
      <c r="AW130" t="s">
        <v>2768</v>
      </c>
      <c r="AX130">
        <v>2</v>
      </c>
      <c r="AY130" t="s">
        <v>2768</v>
      </c>
      <c r="AZ130">
        <v>2</v>
      </c>
      <c r="BA130" t="s">
        <v>2794</v>
      </c>
      <c r="BB130">
        <v>2</v>
      </c>
      <c r="BC130" s="176" t="s">
        <v>3026</v>
      </c>
      <c r="BD130">
        <v>2</v>
      </c>
      <c r="BE130" t="s">
        <v>2776</v>
      </c>
      <c r="BF130">
        <v>0</v>
      </c>
      <c r="BG130" t="s">
        <v>2768</v>
      </c>
      <c r="BH130">
        <v>1</v>
      </c>
      <c r="BI130" t="s">
        <v>2776</v>
      </c>
      <c r="BJ130">
        <v>2</v>
      </c>
      <c r="BK130" s="176" t="s">
        <v>2794</v>
      </c>
      <c r="BL130">
        <v>2</v>
      </c>
      <c r="BM130" s="176" t="s">
        <v>2776</v>
      </c>
      <c r="BN130">
        <v>2</v>
      </c>
      <c r="BO130" t="s">
        <v>2768</v>
      </c>
      <c r="BP130">
        <v>2</v>
      </c>
      <c r="BQ130" t="s">
        <v>2768</v>
      </c>
      <c r="BR130">
        <v>2</v>
      </c>
      <c r="BS130" s="182" t="s">
        <v>2768</v>
      </c>
      <c r="BT130">
        <v>2</v>
      </c>
      <c r="BU130" t="s">
        <v>2776</v>
      </c>
      <c r="BV130">
        <v>2</v>
      </c>
      <c r="BW130" s="182" t="s">
        <v>2776</v>
      </c>
      <c r="BX130" s="179">
        <v>1</v>
      </c>
      <c r="BY130" s="176" t="s">
        <v>2776</v>
      </c>
      <c r="BZ130">
        <v>2</v>
      </c>
      <c r="CA130" t="s">
        <v>2768</v>
      </c>
      <c r="CB130">
        <v>2</v>
      </c>
    </row>
    <row r="131" spans="1:80">
      <c r="A131" s="178">
        <f ca="1">IFERROR(IF(A130+加速!$L$11&lt;$AS$1,IF(COUNTIF(B130,"*轻*")&gt;0,A130+加速!$L$9,A130+加速!$L$11)+V130,IF(COUNTIF(INDEX(AU131:CB131,1,$AT$1),"*云景*")+COUNTIF(INDEX(AU131:CB131,1,$AT$1),"*鹤归*")+COUNTIF(INDEX(AU131:CB131,1,$AT$1),"*听雷*")&gt;0,A130+加速!$L$11,"")),"")</f>
        <v>168.18</v>
      </c>
      <c r="B131" s="167" t="str">
        <f ca="1">IF(A131&lt;&gt;"",IF(AND(A131+加速!$L$11&gt;$AS$1,IF(AND(配装计算器!$K$30&lt;&gt;"∞",0),"梦泉虎跑-轻",INDEX(AU131:CB131,1,$AT$1))="云栖松"),"夕照雷峰",IF(AND(配装计算器!$K$30&lt;&gt;"∞",0),"梦泉虎跑-轻",INDEX(AU131:CB131,1,$AT$1))),"")</f>
        <v>夕照雷峰</v>
      </c>
      <c r="C131">
        <f ca="1" t="shared" si="17"/>
        <v>15</v>
      </c>
      <c r="D131">
        <f ca="1">IF(B131&lt;&gt;"",IF(C130&lt;=加速!$L$11*(1-E131),0,1),"")</f>
        <v>1</v>
      </c>
      <c r="E131">
        <f ca="1" t="shared" si="13"/>
        <v>0</v>
      </c>
      <c r="G131">
        <f ca="1" t="shared" si="14"/>
        <v>0</v>
      </c>
      <c r="H131">
        <f ca="1">IF(B131&lt;&gt;"",IF(AND(COUNTIF(B130,"*轻*莺鸣柳*")&gt;0,COUNTIF(B131,"*轻*")&lt;1),MAX(0,15+I130-(A131-A130)+COUNTIF(B130,"*平湖*")*0),IF(AND(E131=0,MAX(0,H130-(A131-A130))&lt;=加速!$H$11),0,MAX(0,H130-(A131-A130)))),"")</f>
        <v>0</v>
      </c>
      <c r="I131">
        <f ca="1" t="shared" si="20"/>
        <v>0</v>
      </c>
      <c r="J131">
        <f ca="1" t="shared" si="21"/>
        <v>1</v>
      </c>
      <c r="K131">
        <f ca="1">IF(A131&lt;&gt;"",IF(AND(配装计算器!$K$30&lt;&gt;"∞",0),2,INDEX(AU131:CB131,1,$AT$2)),"")</f>
        <v>2</v>
      </c>
      <c r="L131">
        <f ca="1">IFERROR(IF(AND(COUNTIF(B131,"*-峰插*"),技能数据库!$M$72&gt;0),0,IF(COUNTIF(B131,"*鹤归*")&gt;0,16-加速!$L$11,MAX(0,L130-(A131-A130)))),0)</f>
        <v>9.55000000000003</v>
      </c>
      <c r="M131">
        <f ca="1">IF(COUNTIF(IF(AND(配装计算器!$K$30&lt;&gt;"∞",0),INDEX(AU130:CB130,1,$AT$1),INDEX(AU132:CB132,1,$AT$1)),"*鹤归*")=1,L131,0)</f>
        <v>0</v>
      </c>
      <c r="N131">
        <f ca="1">IFERROR(IF(AND(COUNTIF(B131,"*-峰插*"),技能数据库!$M$72&gt;0),0,IF(COUNTIF(B131,"*云飞*")&gt;0,4-COUNTIF(B131,"*玉山揽云*")*4--COUNTIF(B131,"*烟流暮景*")*4-COUNTIF(B131,"*云景*")*加速!$L$11-IF(J131&gt;0,2,0),MAX(0,N130-(A131-A130)-IF(J131&gt;0,2,0)))),0)</f>
        <v>0</v>
      </c>
      <c r="O131">
        <f ca="1">IF(AND(COUNTIF(IF(AND(配装计算器!$K$30&lt;&gt;"∞",0),INDEX(AU130:CB130,1,$AT$1),INDEX(AU132:CB132,1,$AT$1)),"*云飞*")=1,COUNTIF(IF(AND(配装计算器!$K$30&lt;&gt;"∞",0),INDEX(AU130:CB130,1,$AT$1),INDEX(AU132:CB132,1,$AT$1)),"*玉山*")=0),N131,0)</f>
        <v>0</v>
      </c>
      <c r="P131">
        <f ca="1">IFERROR(IF(COUNTIF(B131,"*云栖松*")&gt;0,50-加速!$L$11,MAX(0,P130-(A131-A130))),0)</f>
        <v>0</v>
      </c>
      <c r="Q131">
        <f ca="1">IF(COUNTIF(IF(AND(配装计算器!$K$30&lt;&gt;"∞",0),INDEX(AU130:CB130,1,$AT$1),INDEX(AU132:CB132,1,$AT$1)),"*云栖松*")=1,P131,0)</f>
        <v>0</v>
      </c>
      <c r="R131">
        <f ca="1">IFERROR(IF(COUNTIF(B131,"*莺鸣柳*")&gt;0,45-加速!$L$9,MAX(0,R130-(A131-A130))),0)</f>
        <v>0</v>
      </c>
      <c r="S131">
        <f ca="1">IF(COUNTIF(IF(AND(配装计算器!$K$30&lt;&gt;"∞",0),INDEX(AU130:CB130,1,$AT$1),INDEX(AU132:CB132,1,$AT$1)),"*莺鸣柳*")=1,R131,0)</f>
        <v>0</v>
      </c>
      <c r="T131">
        <f ca="1" t="shared" si="18"/>
        <v>0</v>
      </c>
      <c r="U131">
        <f ca="1">IF(金蛇,IF(COUNTIF(B131,"*金环戴*")+COUNTIF(B131,"*吹风醒*")&gt;0,IF(A131&lt;=3,7.125-2.625-A131-加速!$L$11,7.125+加速!$K$9-(A131+加速!$L$11-T131)),0),0)+IF(金蛇,IF(COUNTIF(B131,"*千切子裂光*")&gt;0,2+加速!$K$9-(A131+加速!$L$11-T131),0),0)</f>
        <v>0</v>
      </c>
      <c r="V131">
        <f ca="1" t="shared" si="19"/>
        <v>0</v>
      </c>
      <c r="W131">
        <f ca="1" t="shared" ref="W131:W194" si="24">IF(COUNTIF(B131,"*风来吴山*")&gt;0,1,IF(W130+1&gt;风车GCD,0,IF(W130&gt;0,W130+1,0)))</f>
        <v>0</v>
      </c>
      <c r="X131">
        <f ca="1">INDEX(加速!$I$13:$I$21,技能数计算!W131+1)</f>
        <v>0</v>
      </c>
      <c r="Y131">
        <f ca="1" t="shared" si="15"/>
        <v>0.5</v>
      </c>
      <c r="Z131">
        <f ca="1" t="shared" si="16"/>
        <v>0</v>
      </c>
      <c r="AA131">
        <f ca="1">MAX(0,IFERROR(IF(COUNTIF(B131,"*叠*")&gt;0,IF(AC130&lt;3,8-A132+A131,AA130+6.875-A132+A131),AA130-A132+A131),AA130-加速!$L$11))</f>
        <v>0.685000000000088</v>
      </c>
      <c r="AB131">
        <f ca="1">MAX(0,IF(COUNTIF(IF(AND(配装计算器!$K$30&lt;&gt;"∞",0),INDEX(AU131:CB131,1,$AT$1),INDEX(AU131:CB131,1,$AT$1)),"*叠1*")=1,4*25-加速!$L$11,AB130-A131+A130)-IF(OR(COUNTIF(OFFSET(AT131,0,$AT$1,1,1),"*听雷*")&gt;0,AND(碧归&gt;0,COUNTIF(OFFSET(AT131,0,$AT$1,1,1),"*风来*")&gt;0)),0,1)*1.5)</f>
        <v>58.1500000000001</v>
      </c>
      <c r="AC131">
        <f ca="1" t="shared" ref="AC131:AC194" si="25">IF(AND(AA131=0,E131=0),0,IF(AND(COUNTIF(B131,"*叠*")&gt;0,OR(AA130=0,AA130&gt;=5)),AC130+1,AC130))</f>
        <v>3</v>
      </c>
      <c r="AD131">
        <f ca="1">IF(COUNTIF(IF(AND(配装计算器!$K$30&lt;&gt;"∞",0),INDEX(AU131:CB131,1,$AT$1),INDEX(AU132:CB132,1,$AT$1)),"*叠1*")=1,AB131*0+AE130,0)</f>
        <v>0</v>
      </c>
      <c r="AE131">
        <f ca="1">IF($AN$11&gt;0,IF(COUNTIF(B132,"*叠1*")&gt;0,50-加速!$H$11,MAX(0,AE130-(A132-A131))),0)</f>
        <v>29.4000000000001</v>
      </c>
      <c r="AH131" t="s">
        <v>1825</v>
      </c>
      <c r="AI131" s="161" t="s">
        <v>2783</v>
      </c>
      <c r="AJ131">
        <f ca="1">AJ129</f>
        <v>0</v>
      </c>
      <c r="AU131" t="str">
        <f>IF($AN$11=1,"云飞玉皇-玉山揽云","夕照雷峰")</f>
        <v>云飞玉皇-玉山揽云</v>
      </c>
      <c r="AV131">
        <v>2</v>
      </c>
      <c r="AW131" t="s">
        <v>2768</v>
      </c>
      <c r="AX131">
        <v>2</v>
      </c>
      <c r="AY131" t="s">
        <v>2794</v>
      </c>
      <c r="AZ131">
        <v>2</v>
      </c>
      <c r="BA131" t="s">
        <v>2768</v>
      </c>
      <c r="BB131">
        <v>2</v>
      </c>
      <c r="BC131" t="s">
        <v>3013</v>
      </c>
      <c r="BD131">
        <v>2</v>
      </c>
      <c r="BE131" t="s">
        <v>2768</v>
      </c>
      <c r="BF131">
        <v>1</v>
      </c>
      <c r="BG131" s="176" t="s">
        <v>2768</v>
      </c>
      <c r="BH131">
        <v>1</v>
      </c>
      <c r="BI131" t="s">
        <v>2768</v>
      </c>
      <c r="BJ131">
        <v>2</v>
      </c>
      <c r="BK131" s="176" t="s">
        <v>3019</v>
      </c>
      <c r="BL131">
        <v>2</v>
      </c>
      <c r="BM131" s="176" t="s">
        <v>2768</v>
      </c>
      <c r="BN131">
        <v>2</v>
      </c>
      <c r="BO131" t="s">
        <v>2768</v>
      </c>
      <c r="BP131">
        <v>2</v>
      </c>
      <c r="BQ131" t="s">
        <v>3013</v>
      </c>
      <c r="BR131">
        <v>2</v>
      </c>
      <c r="BS131" s="187" t="str">
        <f>IF(秋,"云景·云飞玉皇-叠-蛇牙锥心","云景·云飞玉皇-叠")</f>
        <v>云景·云飞玉皇-叠</v>
      </c>
      <c r="BT131">
        <v>2</v>
      </c>
      <c r="BU131" t="s">
        <v>2768</v>
      </c>
      <c r="BV131">
        <v>2</v>
      </c>
      <c r="BW131" s="179" t="s">
        <v>2718</v>
      </c>
      <c r="BX131" s="179">
        <v>1</v>
      </c>
      <c r="BY131" t="s">
        <v>2768</v>
      </c>
      <c r="BZ131">
        <v>2</v>
      </c>
      <c r="CA131" t="s">
        <v>2768</v>
      </c>
      <c r="CB131">
        <v>2</v>
      </c>
    </row>
    <row r="132" spans="1:80">
      <c r="A132" s="178">
        <f ca="1">IFERROR(IF(A131+加速!$L$11&lt;$AS$1,IF(COUNTIF(B131,"*轻*")&gt;0,A131+加速!$L$9,A131+加速!$L$11)+V131,IF(COUNTIF(INDEX(AU132:CB132,1,$AT$1),"*云景*")+COUNTIF(INDEX(AU132:CB132,1,$AT$1),"*鹤归*")+COUNTIF(INDEX(AU132:CB132,1,$AT$1),"*听雷*")&gt;0,A131+加速!$L$11,"")),"")</f>
        <v>169.47</v>
      </c>
      <c r="B132" s="167" t="str">
        <f ca="1">IF(A132&lt;&gt;"",IF(AND(A132+加速!$L$11&gt;$AS$1,IF(AND(配装计算器!$K$30&lt;&gt;"∞",0),"梦泉虎跑-轻",INDEX(AU132:CB132,1,$AT$1))="云栖松"),"夕照雷峰",IF(AND(配装计算器!$K$30&lt;&gt;"∞",0),"梦泉虎跑-轻",INDEX(AU132:CB132,1,$AT$1))),"")</f>
        <v>云景·云飞玉皇</v>
      </c>
      <c r="C132">
        <f ca="1" t="shared" si="17"/>
        <v>13.71</v>
      </c>
      <c r="D132">
        <f ca="1">IF(B132&lt;&gt;"",IF(C131&lt;=加速!$L$11*(1-E132),0,1),"")</f>
        <v>1</v>
      </c>
      <c r="E132">
        <f ca="1" t="shared" ref="E132:E195" si="26">IF(OR(COUNTIF(B132,"*夕照雷峰*")&gt;0,COUNTIF(B132,"云飞玉皇*")&gt;0,COUNTIF(B132,"风来吴山*")&gt;0),COUNTIF(B132,"*云景*")+COUNTIF(B132,"*玉山揽云*")+COUNTIF(B132,"*烟流暮景*"),1)</f>
        <v>1</v>
      </c>
      <c r="G132">
        <f ca="1" t="shared" ref="G132:G195" si="27">IF(B132&lt;&gt;"",IF(AND(碧归&gt;0,COUNTIF(B131,"*风来吴山*")&gt;0),8,MAX(0,G131-COUNTIF(B132,"*云飞*")-COUNTIF(B132,"*鹤*")-COUNTIF(B132,"*夕*"))),"")</f>
        <v>0</v>
      </c>
      <c r="H132">
        <f ca="1">IF(B132&lt;&gt;"",IF(AND(COUNTIF(B131,"*轻*莺鸣柳*")&gt;0,COUNTIF(B132,"*轻*")&lt;1),MAX(0,15+I131-(A132-A131)+COUNTIF(B131,"*平湖*")*0),IF(AND(E132=0,MAX(0,H131-(A132-A131))&lt;=加速!$H$11),0,MAX(0,H131-(A132-A131)))),"")</f>
        <v>0</v>
      </c>
      <c r="I132">
        <f ca="1" t="shared" si="20"/>
        <v>0</v>
      </c>
      <c r="J132">
        <f ca="1" t="shared" si="21"/>
        <v>1</v>
      </c>
      <c r="K132">
        <f ca="1">IF(A132&lt;&gt;"",IF(AND(配装计算器!$K$30&lt;&gt;"∞",0),2,INDEX(AU132:CB132,1,$AT$2)),"")</f>
        <v>2</v>
      </c>
      <c r="L132">
        <f ca="1">IFERROR(IF(AND(COUNTIF(B132,"*-峰插*"),技能数据库!$M$72&gt;0),0,IF(COUNTIF(B132,"*鹤归*")&gt;0,16-加速!$L$11,MAX(0,L131-(A132-A131)))),0)</f>
        <v>8.26000000000004</v>
      </c>
      <c r="M132">
        <f ca="1">IF(COUNTIF(IF(AND(配装计算器!$K$30&lt;&gt;"∞",0),INDEX(AU131:CB131,1,$AT$1),INDEX(AU133:CB133,1,$AT$1)),"*鹤归*")=1,L132,0)</f>
        <v>0</v>
      </c>
      <c r="N132">
        <f ca="1">IFERROR(IF(AND(COUNTIF(B132,"*-峰插*"),技能数据库!$M$72&gt;0),0,IF(COUNTIF(B132,"*云飞*")&gt;0,4-COUNTIF(B132,"*玉山揽云*")*4--COUNTIF(B132,"*烟流暮景*")*4-COUNTIF(B132,"*云景*")*加速!$L$11-IF(J132&gt;0,2,0),MAX(0,N131-(A132-A131)-IF(J132&gt;0,2,0)))),0)</f>
        <v>0.71</v>
      </c>
      <c r="O132">
        <f ca="1">IF(AND(COUNTIF(IF(AND(配装计算器!$K$30&lt;&gt;"∞",0),INDEX(AU131:CB131,1,$AT$1),INDEX(AU133:CB133,1,$AT$1)),"*云飞*")=1,COUNTIF(IF(AND(配装计算器!$K$30&lt;&gt;"∞",0),INDEX(AU131:CB131,1,$AT$1),INDEX(AU133:CB133,1,$AT$1)),"*玉山*")=0),N132,0)</f>
        <v>0</v>
      </c>
      <c r="P132">
        <f ca="1">IFERROR(IF(COUNTIF(B132,"*云栖松*")&gt;0,50-加速!$L$11,MAX(0,P131-(A132-A131))),0)</f>
        <v>0</v>
      </c>
      <c r="Q132">
        <f ca="1">IF(COUNTIF(IF(AND(配装计算器!$K$30&lt;&gt;"∞",0),INDEX(AU131:CB131,1,$AT$1),INDEX(AU133:CB133,1,$AT$1)),"*云栖松*")=1,P132,0)</f>
        <v>0</v>
      </c>
      <c r="R132">
        <f ca="1">IFERROR(IF(COUNTIF(B132,"*莺鸣柳*")&gt;0,45-加速!$L$9,MAX(0,R131-(A132-A131))),0)</f>
        <v>0</v>
      </c>
      <c r="S132">
        <f ca="1">IF(COUNTIF(IF(AND(配装计算器!$K$30&lt;&gt;"∞",0),INDEX(AU131:CB131,1,$AT$1),INDEX(AU133:CB133,1,$AT$1)),"*莺鸣柳*")=1,R132,0)</f>
        <v>0</v>
      </c>
      <c r="T132">
        <f ca="1" t="shared" si="18"/>
        <v>0</v>
      </c>
      <c r="U132">
        <f ca="1">IF(金蛇,IF(COUNTIF(B132,"*金环戴*")+COUNTIF(B132,"*吹风醒*")&gt;0,IF(A132&lt;=3,7.125-2.625-A132-加速!$L$11,7.125+加速!$K$9-(A132+加速!$L$11-T132)),0),0)+IF(金蛇,IF(COUNTIF(B132,"*千切子裂光*")&gt;0,2+加速!$K$9-(A132+加速!$L$11-T132),0),0)</f>
        <v>0</v>
      </c>
      <c r="V132">
        <f ca="1" t="shared" si="19"/>
        <v>0</v>
      </c>
      <c r="W132">
        <f ca="1" t="shared" si="24"/>
        <v>0</v>
      </c>
      <c r="X132">
        <f ca="1">INDEX(加速!$I$13:$I$21,技能数计算!W132+1)</f>
        <v>0</v>
      </c>
      <c r="Y132">
        <f ca="1" t="shared" ref="Y132:Y195" si="28">IF(COUNTIF(B132,"*岚尘金蛇*"),A132+2.6125+0.5,Y131)</f>
        <v>0.5</v>
      </c>
      <c r="Z132">
        <f ca="1" t="shared" ref="Z132:Z195" si="29">IF(金蛇,IF(COUNTIF(B132,"*虎跑*")&gt;0,INT((A132-Y132)/3),0),0)</f>
        <v>0</v>
      </c>
      <c r="AA132">
        <f ca="1">MAX(0,IFERROR(IF(COUNTIF(B132,"*叠*")&gt;0,IF(AC131&lt;3,8-A133+A132,AA131+6.875-A133+A132),AA131-A133+A132),AA131-加速!$L$11))</f>
        <v>0</v>
      </c>
      <c r="AB132">
        <f ca="1">MAX(0,IF(COUNTIF(IF(AND(配装计算器!$K$30&lt;&gt;"∞",0),INDEX(AU132:CB132,1,$AT$1),INDEX(AU132:CB132,1,$AT$1)),"*叠1*")=1,4*25-加速!$L$11,AB131-A132+A131)-IF(OR(COUNTIF(OFFSET(AT132,0,$AT$1,1,1),"*听雷*")&gt;0,AND(碧归&gt;0,COUNTIF(OFFSET(AT132,0,$AT$1,1,1),"*风来*")&gt;0)),0,1)*1.5)</f>
        <v>55.3600000000001</v>
      </c>
      <c r="AC132">
        <f ca="1" t="shared" si="25"/>
        <v>3</v>
      </c>
      <c r="AD132">
        <f ca="1">IF(COUNTIF(IF(AND(配装计算器!$K$30&lt;&gt;"∞",0),INDEX(AU132:CB132,1,$AT$1),INDEX(AU133:CB133,1,$AT$1)),"*叠1*")=1,AB132*0+AE131,0)</f>
        <v>0</v>
      </c>
      <c r="AE132">
        <f ca="1">IF($AN$11&gt;0,IF(COUNTIF(B133,"*叠1*")&gt;0,50-加速!$H$11,MAX(0,AE131-(A133-A132))),0)</f>
        <v>28.1100000000001</v>
      </c>
      <c r="AH132" t="s">
        <v>1825</v>
      </c>
      <c r="AI132" t="s">
        <v>2786</v>
      </c>
      <c r="AJ132">
        <f ca="1">AJ129</f>
        <v>0</v>
      </c>
      <c r="AU132" t="str">
        <f>IF($AN$11=1,橙武补雾锁,"夕照雷峰")</f>
        <v>云飞玉皇-玉山揽云</v>
      </c>
      <c r="AV132">
        <v>2</v>
      </c>
      <c r="AW132" t="s">
        <v>2776</v>
      </c>
      <c r="AX132">
        <v>2</v>
      </c>
      <c r="AY132" t="s">
        <v>2768</v>
      </c>
      <c r="AZ132">
        <v>2</v>
      </c>
      <c r="BA132" t="s">
        <v>2776</v>
      </c>
      <c r="BB132">
        <v>2</v>
      </c>
      <c r="BC132" t="s">
        <v>2808</v>
      </c>
      <c r="BD132">
        <v>2</v>
      </c>
      <c r="BE132" t="s">
        <v>2768</v>
      </c>
      <c r="BF132">
        <v>1</v>
      </c>
      <c r="BG132" t="s">
        <v>3055</v>
      </c>
      <c r="BH132">
        <v>0</v>
      </c>
      <c r="BI132" t="s">
        <v>2808</v>
      </c>
      <c r="BJ132">
        <v>2</v>
      </c>
      <c r="BK132" t="s">
        <v>2768</v>
      </c>
      <c r="BL132">
        <v>2</v>
      </c>
      <c r="BM132" t="s">
        <v>3056</v>
      </c>
      <c r="BN132">
        <v>1</v>
      </c>
      <c r="BO132" t="s">
        <v>2776</v>
      </c>
      <c r="BP132">
        <v>2</v>
      </c>
      <c r="BQ132" t="s">
        <v>2808</v>
      </c>
      <c r="BR132">
        <v>2</v>
      </c>
      <c r="BS132" s="186" t="str">
        <f>IF(秋,"夕照雷峰","千切子寒光")</f>
        <v>千切子寒光</v>
      </c>
      <c r="BT132">
        <v>2</v>
      </c>
      <c r="BU132" t="s">
        <v>2776</v>
      </c>
      <c r="BV132">
        <v>2</v>
      </c>
      <c r="BW132" s="179" t="s">
        <v>2718</v>
      </c>
      <c r="BX132" s="179">
        <v>1</v>
      </c>
      <c r="BY132" t="s">
        <v>2776</v>
      </c>
      <c r="BZ132">
        <v>2</v>
      </c>
      <c r="CA132" t="s">
        <v>2776</v>
      </c>
      <c r="CB132">
        <v>2</v>
      </c>
    </row>
    <row r="133" spans="1:80">
      <c r="A133" s="178">
        <f ca="1">IFERROR(IF(A132+加速!$L$11&lt;$AS$1,IF(COUNTIF(B132,"*轻*")&gt;0,A132+加速!$L$9,A132+加速!$L$11)+V132,IF(COUNTIF(INDEX(AU133:CB133,1,$AT$1),"*云景*")+COUNTIF(INDEX(AU133:CB133,1,$AT$1),"*鹤归*")+COUNTIF(INDEX(AU133:CB133,1,$AT$1),"*听雷*")&gt;0,A132+加速!$L$11,"")),"")</f>
        <v>170.76</v>
      </c>
      <c r="B133" s="167" t="str">
        <f ca="1">IF(A133&lt;&gt;"",IF(AND(A133+加速!$L$11&gt;$AS$1,IF(AND(配装计算器!$K$30&lt;&gt;"∞",0),"梦泉虎跑-轻",INDEX(AU133:CB133,1,$AT$1))="云栖松"),"夕照雷峰",IF(AND(配装计算器!$K$30&lt;&gt;"∞",0),"梦泉虎跑-轻",INDEX(AU133:CB133,1,$AT$1))),"")</f>
        <v>夕照雷峰</v>
      </c>
      <c r="C133">
        <f ca="1" t="shared" ref="C133:C196" si="30">IFERROR(IF(COUNTIF(B133,"*夕照雷峰*")&gt;0,15,MAX(0,C132-(A133-A132))),"")</f>
        <v>15</v>
      </c>
      <c r="D133">
        <f ca="1">IF(B133&lt;&gt;"",IF(C132&lt;=加速!$L$11*(1-E133),0,1),"")</f>
        <v>1</v>
      </c>
      <c r="E133">
        <f ca="1" t="shared" si="26"/>
        <v>0</v>
      </c>
      <c r="G133">
        <f ca="1" t="shared" si="27"/>
        <v>0</v>
      </c>
      <c r="H133">
        <f ca="1">IF(B133&lt;&gt;"",IF(AND(COUNTIF(B132,"*轻*莺鸣柳*")&gt;0,COUNTIF(B133,"*轻*")&lt;1),MAX(0,15+I132-(A133-A132)+COUNTIF(B132,"*平湖*")*0),IF(AND(E133=0,MAX(0,H132-(A133-A132))&lt;=加速!$H$11),0,MAX(0,H132-(A133-A132)))),"")</f>
        <v>0</v>
      </c>
      <c r="I133">
        <f ca="1" t="shared" si="20"/>
        <v>0</v>
      </c>
      <c r="J133">
        <f ca="1" t="shared" si="21"/>
        <v>0</v>
      </c>
      <c r="K133">
        <f ca="1">IF(A133&lt;&gt;"",IF(AND(配装计算器!$K$30&lt;&gt;"∞",0),2,INDEX(AU133:CB133,1,$AT$2)),"")</f>
        <v>2</v>
      </c>
      <c r="L133">
        <f ca="1">IFERROR(IF(AND(COUNTIF(B133,"*-峰插*"),技能数据库!$M$72&gt;0),0,IF(COUNTIF(B133,"*鹤归*")&gt;0,16-加速!$L$11,MAX(0,L132-(A133-A132)))),0)</f>
        <v>6.97000000000005</v>
      </c>
      <c r="M133">
        <f ca="1">IF(COUNTIF(IF(AND(配装计算器!$K$30&lt;&gt;"∞",0),INDEX(AU132:CB132,1,$AT$1),INDEX(AU134:CB134,1,$AT$1)),"*鹤归*")=1,L133,0)</f>
        <v>0</v>
      </c>
      <c r="N133">
        <f ca="1">IFERROR(IF(AND(COUNTIF(B133,"*-峰插*"),技能数据库!$M$72&gt;0),0,IF(COUNTIF(B133,"*云飞*")&gt;0,4-COUNTIF(B133,"*玉山揽云*")*4--COUNTIF(B133,"*烟流暮景*")*4-COUNTIF(B133,"*云景*")*加速!$L$11-IF(J133&gt;0,2,0),MAX(0,N132-(A133-A132)-IF(J133&gt;0,2,0)))),0)</f>
        <v>0</v>
      </c>
      <c r="O133">
        <f ca="1">IF(AND(COUNTIF(IF(AND(配装计算器!$K$30&lt;&gt;"∞",0),INDEX(AU132:CB132,1,$AT$1),INDEX(AU134:CB134,1,$AT$1)),"*云飞*")=1,COUNTIF(IF(AND(配装计算器!$K$30&lt;&gt;"∞",0),INDEX(AU132:CB132,1,$AT$1),INDEX(AU134:CB134,1,$AT$1)),"*玉山*")=0),N133,0)</f>
        <v>0</v>
      </c>
      <c r="P133">
        <f ca="1">IFERROR(IF(COUNTIF(B133,"*云栖松*")&gt;0,50-加速!$L$11,MAX(0,P132-(A133-A132))),0)</f>
        <v>0</v>
      </c>
      <c r="Q133">
        <f ca="1">IF(COUNTIF(IF(AND(配装计算器!$K$30&lt;&gt;"∞",0),INDEX(AU132:CB132,1,$AT$1),INDEX(AU134:CB134,1,$AT$1)),"*云栖松*")=1,P133,0)</f>
        <v>0</v>
      </c>
      <c r="R133">
        <f ca="1">IFERROR(IF(COUNTIF(B133,"*莺鸣柳*")&gt;0,45-加速!$L$9,MAX(0,R132-(A133-A132))),0)</f>
        <v>0</v>
      </c>
      <c r="S133">
        <f ca="1">IF(COUNTIF(IF(AND(配装计算器!$K$30&lt;&gt;"∞",0),INDEX(AU132:CB132,1,$AT$1),INDEX(AU134:CB134,1,$AT$1)),"*莺鸣柳*")=1,R133,0)</f>
        <v>0</v>
      </c>
      <c r="T133">
        <f ca="1" t="shared" ref="T133:T196" si="31">IF(COUNTIF(B133,"*岚尘金蛇*")+COUNTIF(B133,"*千切子寒光*")&gt;0,A133,T132)</f>
        <v>0</v>
      </c>
      <c r="U133">
        <f ca="1">IF(金蛇,IF(COUNTIF(B133,"*金环戴*")+COUNTIF(B133,"*吹风醒*")&gt;0,IF(A133&lt;=3,7.125-2.625-A133-加速!$L$11,7.125+加速!$K$9-(A133+加速!$L$11-T133)),0),0)+IF(金蛇,IF(COUNTIF(B133,"*千切子裂光*")&gt;0,2+加速!$K$9-(A133+加速!$L$11-T133),0),0)</f>
        <v>0</v>
      </c>
      <c r="V133">
        <f ca="1" t="shared" ref="V133:V196" si="32">MAX(0,M133+O133+Q133+S133+AD133)+U133</f>
        <v>0</v>
      </c>
      <c r="W133">
        <f ca="1" t="shared" si="24"/>
        <v>0</v>
      </c>
      <c r="X133">
        <f ca="1">INDEX(加速!$I$13:$I$21,技能数计算!W133+1)</f>
        <v>0</v>
      </c>
      <c r="Y133">
        <f ca="1" t="shared" si="28"/>
        <v>0.5</v>
      </c>
      <c r="Z133">
        <f ca="1" t="shared" si="29"/>
        <v>0</v>
      </c>
      <c r="AA133">
        <f ca="1">MAX(0,IFERROR(IF(COUNTIF(B133,"*叠*")&gt;0,IF(AC132&lt;3,8-A134+A133,AA132+6.875-A134+A133),AA132-A134+A133),AA132-加速!$L$11))</f>
        <v>0</v>
      </c>
      <c r="AB133">
        <f ca="1">MAX(0,IF(COUNTIF(IF(AND(配装计算器!$K$30&lt;&gt;"∞",0),INDEX(AU133:CB133,1,$AT$1),INDEX(AU133:CB133,1,$AT$1)),"*叠1*")=1,4*25-加速!$L$11,AB132-A133+A132)-IF(OR(COUNTIF(OFFSET(AT133,0,$AT$1,1,1),"*听雷*")&gt;0,AND(碧归&gt;0,COUNTIF(OFFSET(AT133,0,$AT$1,1,1),"*风来*")&gt;0)),0,1)*1.5)</f>
        <v>52.5700000000001</v>
      </c>
      <c r="AC133">
        <f ca="1" t="shared" si="25"/>
        <v>0</v>
      </c>
      <c r="AD133">
        <f ca="1">IF(COUNTIF(IF(AND(配装计算器!$K$30&lt;&gt;"∞",0),INDEX(AU133:CB133,1,$AT$1),INDEX(AU134:CB134,1,$AT$1)),"*叠1*")=1,AB133*0+AE132,0)</f>
        <v>0</v>
      </c>
      <c r="AE133">
        <f ca="1">IF($AN$11&gt;0,IF(COUNTIF(B134,"*叠1*")&gt;0,50-加速!$H$11,MAX(0,AE132-(A134-A133))),0)</f>
        <v>26.8200000000001</v>
      </c>
      <c r="AH133" t="s">
        <v>1825</v>
      </c>
      <c r="AI133" t="s">
        <v>2794</v>
      </c>
      <c r="AJ133">
        <f ca="1">循环比*COUNTIFS($B$3:$B$515,"*"&amp;AI133&amp;"*",$D$3:$D$515,"&gt;0",$H$3:$H$515,"=0",$G$3:$G$515,"&gt;0",$AC$3:$AC$515,"=0")</f>
        <v>0</v>
      </c>
      <c r="AK133" t="s">
        <v>3104</v>
      </c>
      <c r="AU133" t="str">
        <f>IF($AN$11=1,"云飞玉皇-玉山揽云","夕照雷峰")</f>
        <v>云飞玉皇-玉山揽云</v>
      </c>
      <c r="AV133">
        <v>2</v>
      </c>
      <c r="AW133" t="s">
        <v>2768</v>
      </c>
      <c r="AX133">
        <v>2</v>
      </c>
      <c r="AY133" t="s">
        <v>2776</v>
      </c>
      <c r="AZ133">
        <v>2</v>
      </c>
      <c r="BA133" t="s">
        <v>2768</v>
      </c>
      <c r="BB133">
        <v>2</v>
      </c>
      <c r="BC133" t="s">
        <v>2768</v>
      </c>
      <c r="BD133">
        <v>2</v>
      </c>
      <c r="BE133" t="s">
        <v>2794</v>
      </c>
      <c r="BF133">
        <v>0</v>
      </c>
      <c r="BG133" t="s">
        <v>2776</v>
      </c>
      <c r="BH133">
        <v>2</v>
      </c>
      <c r="BI133" t="s">
        <v>2768</v>
      </c>
      <c r="BJ133">
        <v>2</v>
      </c>
      <c r="BK133" t="s">
        <v>3023</v>
      </c>
      <c r="BL133">
        <v>2</v>
      </c>
      <c r="BM133" t="s">
        <v>2768</v>
      </c>
      <c r="BN133">
        <v>2</v>
      </c>
      <c r="BO133" t="s">
        <v>2768</v>
      </c>
      <c r="BP133">
        <v>2</v>
      </c>
      <c r="BQ133" t="s">
        <v>2768</v>
      </c>
      <c r="BR133">
        <v>2</v>
      </c>
      <c r="BS133" s="186" t="str">
        <f>IF(秋,"夕照雷峰","千切子裂光")</f>
        <v>千切子裂光</v>
      </c>
      <c r="BT133">
        <v>2</v>
      </c>
      <c r="BU133" t="s">
        <v>2768</v>
      </c>
      <c r="BV133">
        <v>2</v>
      </c>
      <c r="BW133" s="179" t="s">
        <v>2776</v>
      </c>
      <c r="BX133" s="179">
        <v>2</v>
      </c>
      <c r="BY133" t="s">
        <v>2718</v>
      </c>
      <c r="BZ133">
        <v>0</v>
      </c>
      <c r="CA133" t="s">
        <v>2718</v>
      </c>
      <c r="CB133">
        <v>0</v>
      </c>
    </row>
    <row r="134" spans="1:80">
      <c r="A134" s="178">
        <f ca="1">IFERROR(IF(A133+加速!$L$11&lt;$AS$1,IF(COUNTIF(B133,"*轻*")&gt;0,A133+加速!$L$9,A133+加速!$L$11)+V133,IF(COUNTIF(INDEX(AU134:CB134,1,$AT$1),"*云景*")+COUNTIF(INDEX(AU134:CB134,1,$AT$1),"*鹤归*")+COUNTIF(INDEX(AU134:CB134,1,$AT$1),"*听雷*")&gt;0,A133+加速!$L$11,"")),"")</f>
        <v>172.05</v>
      </c>
      <c r="B134" s="167" t="str">
        <f ca="1">IF(A134&lt;&gt;"",IF(AND(A134+加速!$L$11&gt;$AS$1,IF(AND(配装计算器!$K$30&lt;&gt;"∞",0),"梦泉虎跑-轻",INDEX(AU134:CB134,1,$AT$1))="云栖松"),"夕照雷峰",IF(AND(配装计算器!$K$30&lt;&gt;"∞",0),"梦泉虎跑-轻",INDEX(AU134:CB134,1,$AT$1))),"")</f>
        <v>云飞玉皇</v>
      </c>
      <c r="C134">
        <f ca="1" t="shared" si="30"/>
        <v>13.71</v>
      </c>
      <c r="D134">
        <f ca="1">IF(B134&lt;&gt;"",IF(C133&lt;=加速!$L$11*(1-E134),0,1),"")</f>
        <v>1</v>
      </c>
      <c r="E134">
        <f ca="1" t="shared" si="26"/>
        <v>0</v>
      </c>
      <c r="G134">
        <f ca="1" t="shared" si="27"/>
        <v>0</v>
      </c>
      <c r="H134">
        <f ca="1">IF(B134&lt;&gt;"",IF(AND(COUNTIF(B133,"*轻*莺鸣柳*")&gt;0,COUNTIF(B134,"*轻*")&lt;1),MAX(0,15+I133-(A134-A133)+COUNTIF(B133,"*平湖*")*0),IF(AND(E134=0,MAX(0,H133-(A134-A133))&lt;=加速!$H$11),0,MAX(0,H133-(A134-A133)))),"")</f>
        <v>0</v>
      </c>
      <c r="I134">
        <f ca="1" t="shared" ref="I134:I197" si="33">IF(B134&lt;&gt;"",IF(COUNTIF(B134,"*轻*")&lt;1,0,IF(COUNTIF(B134,"*莺鸣*")&gt;0,8,MAX(0,I133-(A134-A133)))),"")</f>
        <v>0</v>
      </c>
      <c r="J134">
        <f ca="1" t="shared" ref="J134:J197" si="34">IF(B134&lt;&gt;"",IF(AND(J133=1,OR(AND(COUNTIF(B134,"*云景*")&gt;0,COUNTIF(B129:B133,"*鹤归*")&gt;0),AND(落剑5=1,COUNTIF(B129:B133,"*鹤归*")&gt;0))),1,IF(COUNTIF(B133,"*鹤归*")&gt;0,4+_666三听,MAX(J133-1,0))),"")</f>
        <v>0</v>
      </c>
      <c r="K134">
        <f ca="1">IF(A134&lt;&gt;"",IF(AND(配装计算器!$K$30&lt;&gt;"∞",0),2,INDEX(AU134:CB134,1,$AT$2)),"")</f>
        <v>2</v>
      </c>
      <c r="L134">
        <f ca="1">IFERROR(IF(AND(COUNTIF(B134,"*-峰插*"),技能数据库!$M$72&gt;0),0,IF(COUNTIF(B134,"*鹤归*")&gt;0,16-加速!$L$11,MAX(0,L133-(A134-A133)))),0)</f>
        <v>5.68000000000006</v>
      </c>
      <c r="M134">
        <f ca="1">IF(COUNTIF(IF(AND(配装计算器!$K$30&lt;&gt;"∞",0),INDEX(AU133:CB133,1,$AT$1),INDEX(AU135:CB135,1,$AT$1)),"*鹤归*")=1,L134,0)</f>
        <v>0</v>
      </c>
      <c r="N134">
        <f ca="1">IFERROR(IF(AND(COUNTIF(B134,"*-峰插*"),技能数据库!$M$72&gt;0),0,IF(COUNTIF(B134,"*云飞*")&gt;0,4-COUNTIF(B134,"*玉山揽云*")*4--COUNTIF(B134,"*烟流暮景*")*4-COUNTIF(B134,"*云景*")*加速!$L$11-IF(J134&gt;0,2,0),MAX(0,N133-(A134-A133)-IF(J134&gt;0,2,0)))),0)</f>
        <v>4</v>
      </c>
      <c r="O134">
        <f ca="1">IF(AND(COUNTIF(IF(AND(配装计算器!$K$30&lt;&gt;"∞",0),INDEX(AU133:CB133,1,$AT$1),INDEX(AU135:CB135,1,$AT$1)),"*云飞*")=1,COUNTIF(IF(AND(配装计算器!$K$30&lt;&gt;"∞",0),INDEX(AU133:CB133,1,$AT$1),INDEX(AU135:CB135,1,$AT$1)),"*玉山*")=0),N134,0)</f>
        <v>0</v>
      </c>
      <c r="P134">
        <f ca="1">IFERROR(IF(COUNTIF(B134,"*云栖松*")&gt;0,50-加速!$L$11,MAX(0,P133-(A134-A133))),0)</f>
        <v>0</v>
      </c>
      <c r="Q134">
        <f ca="1">IF(COUNTIF(IF(AND(配装计算器!$K$30&lt;&gt;"∞",0),INDEX(AU133:CB133,1,$AT$1),INDEX(AU135:CB135,1,$AT$1)),"*云栖松*")=1,P134,0)</f>
        <v>0</v>
      </c>
      <c r="R134">
        <f ca="1">IFERROR(IF(COUNTIF(B134,"*莺鸣柳*")&gt;0,45-加速!$L$9,MAX(0,R133-(A134-A133))),0)</f>
        <v>0</v>
      </c>
      <c r="S134">
        <f ca="1">IF(COUNTIF(IF(AND(配装计算器!$K$30&lt;&gt;"∞",0),INDEX(AU133:CB133,1,$AT$1),INDEX(AU135:CB135,1,$AT$1)),"*莺鸣柳*")=1,R134,0)</f>
        <v>0</v>
      </c>
      <c r="T134">
        <f ca="1" t="shared" si="31"/>
        <v>0</v>
      </c>
      <c r="U134">
        <f ca="1">IF(金蛇,IF(COUNTIF(B134,"*金环戴*")+COUNTIF(B134,"*吹风醒*")&gt;0,IF(A134&lt;=3,7.125-2.625-A134-加速!$L$11,7.125+加速!$K$9-(A134+加速!$L$11-T134)),0),0)+IF(金蛇,IF(COUNTIF(B134,"*千切子裂光*")&gt;0,2+加速!$K$9-(A134+加速!$L$11-T134),0),0)</f>
        <v>0</v>
      </c>
      <c r="V134">
        <f ca="1" t="shared" si="32"/>
        <v>0</v>
      </c>
      <c r="W134">
        <f ca="1" t="shared" si="24"/>
        <v>0</v>
      </c>
      <c r="X134">
        <f ca="1">INDEX(加速!$I$13:$I$21,技能数计算!W134+1)</f>
        <v>0</v>
      </c>
      <c r="Y134">
        <f ca="1" t="shared" si="28"/>
        <v>0.5</v>
      </c>
      <c r="Z134">
        <f ca="1" t="shared" si="29"/>
        <v>0</v>
      </c>
      <c r="AA134">
        <f ca="1">MAX(0,IFERROR(IF(COUNTIF(B134,"*叠*")&gt;0,IF(AC133&lt;3,8-A135+A134,AA133+6.875-A135+A134),AA133-A135+A134),AA133-加速!$L$11))</f>
        <v>0</v>
      </c>
      <c r="AB134">
        <f ca="1">MAX(0,IF(COUNTIF(IF(AND(配装计算器!$K$30&lt;&gt;"∞",0),INDEX(AU134:CB134,1,$AT$1),INDEX(AU134:CB134,1,$AT$1)),"*叠1*")=1,4*25-加速!$L$11,AB133-A134+A133)-IF(OR(COUNTIF(OFFSET(AT134,0,$AT$1,1,1),"*听雷*")&gt;0,AND(碧归&gt;0,COUNTIF(OFFSET(AT134,0,$AT$1,1,1),"*风来*")&gt;0)),0,1)*1.5)</f>
        <v>49.7800000000001</v>
      </c>
      <c r="AC134">
        <f ca="1" t="shared" si="25"/>
        <v>0</v>
      </c>
      <c r="AD134">
        <f ca="1">IF(COUNTIF(IF(AND(配装计算器!$K$30&lt;&gt;"∞",0),INDEX(AU134:CB134,1,$AT$1),INDEX(AU135:CB135,1,$AT$1)),"*叠1*")=1,AB134*0+AE133,0)</f>
        <v>0</v>
      </c>
      <c r="AE134">
        <f ca="1">IF($AN$11&gt;0,IF(COUNTIF(B135,"*叠1*")&gt;0,50-加速!$H$11,MAX(0,AE133-(A135-A134))),0)</f>
        <v>25.5300000000001</v>
      </c>
      <c r="AH134" t="s">
        <v>1825</v>
      </c>
      <c r="AI134" t="s">
        <v>2798</v>
      </c>
      <c r="AJ134">
        <f ca="1">AJ133</f>
        <v>0</v>
      </c>
      <c r="AK134" t="s">
        <v>3104</v>
      </c>
      <c r="AU134" t="s">
        <v>2776</v>
      </c>
      <c r="AV134">
        <v>2</v>
      </c>
      <c r="AW134" t="s">
        <v>2768</v>
      </c>
      <c r="AX134">
        <v>2</v>
      </c>
      <c r="AY134" t="s">
        <v>2768</v>
      </c>
      <c r="AZ134">
        <v>2</v>
      </c>
      <c r="BA134" t="s">
        <v>2776</v>
      </c>
      <c r="BB134">
        <v>2</v>
      </c>
      <c r="BC134" t="s">
        <v>2768</v>
      </c>
      <c r="BD134">
        <v>2</v>
      </c>
      <c r="BE134" t="s">
        <v>2776</v>
      </c>
      <c r="BF134">
        <v>0</v>
      </c>
      <c r="BG134" t="s">
        <v>2768</v>
      </c>
      <c r="BH134">
        <v>2</v>
      </c>
      <c r="BI134" s="176" t="s">
        <v>2776</v>
      </c>
      <c r="BJ134">
        <v>2</v>
      </c>
      <c r="BK134" t="s">
        <v>2768</v>
      </c>
      <c r="BL134">
        <v>2</v>
      </c>
      <c r="BM134" t="s">
        <v>2768</v>
      </c>
      <c r="BN134">
        <v>2</v>
      </c>
      <c r="BO134" t="s">
        <v>2768</v>
      </c>
      <c r="BP134">
        <v>2</v>
      </c>
      <c r="BQ134" t="s">
        <v>2768</v>
      </c>
      <c r="BR134">
        <v>2</v>
      </c>
      <c r="BS134" s="176" t="s">
        <v>2768</v>
      </c>
      <c r="BT134">
        <v>2</v>
      </c>
      <c r="BU134" t="s">
        <v>2808</v>
      </c>
      <c r="BV134">
        <v>2</v>
      </c>
      <c r="BW134" s="179" t="s">
        <v>2768</v>
      </c>
      <c r="BX134" s="179">
        <v>2</v>
      </c>
      <c r="BY134" t="s">
        <v>2768</v>
      </c>
      <c r="BZ134">
        <v>2</v>
      </c>
      <c r="CA134" t="s">
        <v>2768</v>
      </c>
      <c r="CB134">
        <v>2</v>
      </c>
    </row>
    <row r="135" spans="1:80">
      <c r="A135" s="178">
        <f ca="1">IFERROR(IF(A134+加速!$L$11&lt;$AS$1,IF(COUNTIF(B134,"*轻*")&gt;0,A134+加速!$L$9,A134+加速!$L$11)+V134,IF(COUNTIF(INDEX(AU135:CB135,1,$AT$1),"*云景*")+COUNTIF(INDEX(AU135:CB135,1,$AT$1),"*鹤归*")+COUNTIF(INDEX(AU135:CB135,1,$AT$1),"*听雷*")&gt;0,A134+加速!$L$11,"")),"")</f>
        <v>173.34</v>
      </c>
      <c r="B135" s="167" t="str">
        <f ca="1">IF(A135&lt;&gt;"",IF(AND(A135+加速!$L$11&gt;$AS$1,IF(AND(配装计算器!$K$30&lt;&gt;"∞",0),"梦泉虎跑-轻",INDEX(AU135:CB135,1,$AT$1))="云栖松"),"夕照雷峰",IF(AND(配装计算器!$K$30&lt;&gt;"∞",0),"梦泉虎跑-轻",INDEX(AU135:CB135,1,$AT$1))),"")</f>
        <v>夕照雷峰</v>
      </c>
      <c r="C135">
        <f ca="1" t="shared" si="30"/>
        <v>15</v>
      </c>
      <c r="D135">
        <f ca="1">IF(B135&lt;&gt;"",IF(C134&lt;=加速!$L$11*(1-E135),0,1),"")</f>
        <v>1</v>
      </c>
      <c r="E135">
        <f ca="1" t="shared" si="26"/>
        <v>0</v>
      </c>
      <c r="G135">
        <f ca="1" t="shared" si="27"/>
        <v>0</v>
      </c>
      <c r="H135">
        <f ca="1">IF(B135&lt;&gt;"",IF(AND(COUNTIF(B134,"*轻*莺鸣柳*")&gt;0,COUNTIF(B135,"*轻*")&lt;1),MAX(0,15+I134-(A135-A134)+COUNTIF(B134,"*平湖*")*0),IF(AND(E135=0,MAX(0,H134-(A135-A134))&lt;=加速!$H$11),0,MAX(0,H134-(A135-A134)))),"")</f>
        <v>0</v>
      </c>
      <c r="I135">
        <f ca="1" t="shared" si="33"/>
        <v>0</v>
      </c>
      <c r="J135">
        <f ca="1" t="shared" si="34"/>
        <v>0</v>
      </c>
      <c r="K135">
        <f ca="1">IF(A135&lt;&gt;"",IF(AND(配装计算器!$K$30&lt;&gt;"∞",0),2,INDEX(AU135:CB135,1,$AT$2)),"")</f>
        <v>2</v>
      </c>
      <c r="L135">
        <f ca="1">IFERROR(IF(AND(COUNTIF(B135,"*-峰插*"),技能数据库!$M$72&gt;0),0,IF(COUNTIF(B135,"*鹤归*")&gt;0,16-加速!$L$11,MAX(0,L134-(A135-A134)))),0)</f>
        <v>4.39000000000006</v>
      </c>
      <c r="M135">
        <f ca="1">IF(COUNTIF(IF(AND(配装计算器!$K$30&lt;&gt;"∞",0),INDEX(AU134:CB134,1,$AT$1),INDEX(AU136:CB136,1,$AT$1)),"*鹤归*")=1,L135,0)</f>
        <v>0</v>
      </c>
      <c r="N135">
        <f ca="1">IFERROR(IF(AND(COUNTIF(B135,"*-峰插*"),技能数据库!$M$72&gt;0),0,IF(COUNTIF(B135,"*云飞*")&gt;0,4-COUNTIF(B135,"*玉山揽云*")*4--COUNTIF(B135,"*烟流暮景*")*4-COUNTIF(B135,"*云景*")*加速!$L$11-IF(J135&gt;0,2,0),MAX(0,N134-(A135-A134)-IF(J135&gt;0,2,0)))),0)</f>
        <v>2.71000000000001</v>
      </c>
      <c r="O135">
        <f ca="1">IF(AND(COUNTIF(IF(AND(配装计算器!$K$30&lt;&gt;"∞",0),INDEX(AU134:CB134,1,$AT$1),INDEX(AU136:CB136,1,$AT$1)),"*云飞*")=1,COUNTIF(IF(AND(配装计算器!$K$30&lt;&gt;"∞",0),INDEX(AU134:CB134,1,$AT$1),INDEX(AU136:CB136,1,$AT$1)),"*玉山*")=0),N135,0)</f>
        <v>0</v>
      </c>
      <c r="P135">
        <f ca="1">IFERROR(IF(COUNTIF(B135,"*云栖松*")&gt;0,50-加速!$L$11,MAX(0,P134-(A135-A134))),0)</f>
        <v>0</v>
      </c>
      <c r="Q135">
        <f ca="1">IF(COUNTIF(IF(AND(配装计算器!$K$30&lt;&gt;"∞",0),INDEX(AU134:CB134,1,$AT$1),INDEX(AU136:CB136,1,$AT$1)),"*云栖松*")=1,P135,0)</f>
        <v>0</v>
      </c>
      <c r="R135">
        <f ca="1">IFERROR(IF(COUNTIF(B135,"*莺鸣柳*")&gt;0,45-加速!$L$9,MAX(0,R134-(A135-A134))),0)</f>
        <v>0</v>
      </c>
      <c r="S135">
        <f ca="1">IF(COUNTIF(IF(AND(配装计算器!$K$30&lt;&gt;"∞",0),INDEX(AU134:CB134,1,$AT$1),INDEX(AU136:CB136,1,$AT$1)),"*莺鸣柳*")=1,R135,0)</f>
        <v>0</v>
      </c>
      <c r="T135">
        <f ca="1" t="shared" si="31"/>
        <v>0</v>
      </c>
      <c r="U135">
        <f ca="1">IF(金蛇,IF(COUNTIF(B135,"*金环戴*")+COUNTIF(B135,"*吹风醒*")&gt;0,IF(A135&lt;=3,7.125-2.625-A135-加速!$L$11,7.125+加速!$K$9-(A135+加速!$L$11-T135)),0),0)+IF(金蛇,IF(COUNTIF(B135,"*千切子裂光*")&gt;0,2+加速!$K$9-(A135+加速!$L$11-T135),0),0)</f>
        <v>0</v>
      </c>
      <c r="V135">
        <f ca="1" t="shared" si="32"/>
        <v>0</v>
      </c>
      <c r="W135">
        <f ca="1" t="shared" si="24"/>
        <v>0</v>
      </c>
      <c r="X135">
        <f ca="1">INDEX(加速!$I$13:$I$21,技能数计算!W135+1)</f>
        <v>0</v>
      </c>
      <c r="Y135">
        <f ca="1" t="shared" si="28"/>
        <v>0.5</v>
      </c>
      <c r="Z135">
        <f ca="1" t="shared" si="29"/>
        <v>0</v>
      </c>
      <c r="AA135">
        <f ca="1">MAX(0,IFERROR(IF(COUNTIF(B135,"*叠*")&gt;0,IF(AC134&lt;3,8-A136+A135,AA134+6.875-A136+A135),AA134-A136+A135),AA134-加速!$L$11))</f>
        <v>0</v>
      </c>
      <c r="AB135">
        <f ca="1">MAX(0,IF(COUNTIF(IF(AND(配装计算器!$K$30&lt;&gt;"∞",0),INDEX(AU135:CB135,1,$AT$1),INDEX(AU135:CB135,1,$AT$1)),"*叠1*")=1,4*25-加速!$L$11,AB134-A135+A134)-IF(OR(COUNTIF(OFFSET(AT135,0,$AT$1,1,1),"*听雷*")&gt;0,AND(碧归&gt;0,COUNTIF(OFFSET(AT135,0,$AT$1,1,1),"*风来*")&gt;0)),0,1)*1.5)</f>
        <v>46.9900000000001</v>
      </c>
      <c r="AC135">
        <f ca="1" t="shared" si="25"/>
        <v>0</v>
      </c>
      <c r="AD135">
        <f ca="1">IF(COUNTIF(IF(AND(配装计算器!$K$30&lt;&gt;"∞",0),INDEX(AU135:CB135,1,$AT$1),INDEX(AU136:CB136,1,$AT$1)),"*叠1*")=1,AB135*0+AE134,0)</f>
        <v>0</v>
      </c>
      <c r="AE135">
        <f ca="1">IF($AN$11&gt;0,IF(COUNTIF(B136,"*叠1*")&gt;0,50-加速!$H$11,MAX(0,AE134-(A136-A135))),0)</f>
        <v>24.2400000000002</v>
      </c>
      <c r="AH135" t="s">
        <v>1825</v>
      </c>
      <c r="AI135" s="161" t="s">
        <v>2924</v>
      </c>
      <c r="AJ135">
        <f ca="1">(INT(AS1/40.75))*加速!P14+MIN((AS1-INT(AS1/40.75)*40.75),加速!$P$14)</f>
        <v>86.25</v>
      </c>
      <c r="AK135" t="s">
        <v>3098</v>
      </c>
      <c r="AU135" s="176" t="s">
        <v>2794</v>
      </c>
      <c r="AV135">
        <v>2</v>
      </c>
      <c r="AW135" t="s">
        <v>2768</v>
      </c>
      <c r="AX135">
        <v>2</v>
      </c>
      <c r="AY135" t="s">
        <v>2776</v>
      </c>
      <c r="AZ135">
        <v>2</v>
      </c>
      <c r="BA135" t="s">
        <v>2768</v>
      </c>
      <c r="BB135">
        <v>2</v>
      </c>
      <c r="BC135" t="s">
        <v>2776</v>
      </c>
      <c r="BD135">
        <v>1</v>
      </c>
      <c r="BE135" t="s">
        <v>2768</v>
      </c>
      <c r="BF135">
        <v>0</v>
      </c>
      <c r="BG135" t="s">
        <v>2776</v>
      </c>
      <c r="BH135">
        <v>2</v>
      </c>
      <c r="BI135" t="s">
        <v>2768</v>
      </c>
      <c r="BJ135">
        <v>2</v>
      </c>
      <c r="BK135" t="s">
        <v>2808</v>
      </c>
      <c r="BL135">
        <v>2</v>
      </c>
      <c r="BM135" t="s">
        <v>2768</v>
      </c>
      <c r="BN135">
        <v>2</v>
      </c>
      <c r="BO135" t="s">
        <v>2768</v>
      </c>
      <c r="BP135">
        <v>2</v>
      </c>
      <c r="BQ135" t="s">
        <v>2776</v>
      </c>
      <c r="BR135">
        <v>1</v>
      </c>
      <c r="BS135" s="176" t="s">
        <v>2776</v>
      </c>
      <c r="BT135">
        <v>2</v>
      </c>
      <c r="BU135" t="s">
        <v>2768</v>
      </c>
      <c r="BV135">
        <v>2</v>
      </c>
      <c r="BW135" s="179" t="s">
        <v>2768</v>
      </c>
      <c r="BX135" s="179">
        <v>1</v>
      </c>
      <c r="BY135" t="s">
        <v>2768</v>
      </c>
      <c r="BZ135">
        <v>2</v>
      </c>
      <c r="CA135" t="s">
        <v>2768</v>
      </c>
      <c r="CB135">
        <v>2</v>
      </c>
    </row>
    <row r="136" spans="1:80">
      <c r="A136" s="178">
        <f ca="1">IFERROR(IF(A135+加速!$L$11&lt;$AS$1,IF(COUNTIF(B135,"*轻*")&gt;0,A135+加速!$L$9,A135+加速!$L$11)+V135,IF(COUNTIF(INDEX(AU136:CB136,1,$AT$1),"*云景*")+COUNTIF(INDEX(AU136:CB136,1,$AT$1),"*鹤归*")+COUNTIF(INDEX(AU136:CB136,1,$AT$1),"*听雷*")&gt;0,A135+加速!$L$11,"")),"")</f>
        <v>174.63</v>
      </c>
      <c r="B136" s="167" t="str">
        <f ca="1">IF(A136&lt;&gt;"",IF(AND(A136+加速!$L$11&gt;$AS$1,IF(AND(配装计算器!$K$30&lt;&gt;"∞",0),"梦泉虎跑-轻",INDEX(AU136:CB136,1,$AT$1))="云栖松"),"夕照雷峰",IF(AND(配装计算器!$K$30&lt;&gt;"∞",0),"梦泉虎跑-轻",INDEX(AU136:CB136,1,$AT$1))),"")</f>
        <v>夕照雷峰</v>
      </c>
      <c r="C136">
        <f ca="1" t="shared" si="30"/>
        <v>15</v>
      </c>
      <c r="D136">
        <f ca="1">IF(B136&lt;&gt;"",IF(C135&lt;=加速!$L$11*(1-E136),0,1),"")</f>
        <v>1</v>
      </c>
      <c r="E136">
        <f ca="1" t="shared" si="26"/>
        <v>0</v>
      </c>
      <c r="G136">
        <f ca="1" t="shared" si="27"/>
        <v>0</v>
      </c>
      <c r="H136">
        <f ca="1">IF(B136&lt;&gt;"",IF(AND(COUNTIF(B135,"*轻*莺鸣柳*")&gt;0,COUNTIF(B136,"*轻*")&lt;1),MAX(0,15+I135-(A136-A135)+COUNTIF(B135,"*平湖*")*0),IF(AND(E136=0,MAX(0,H135-(A136-A135))&lt;=加速!$H$11),0,MAX(0,H135-(A136-A135)))),"")</f>
        <v>0</v>
      </c>
      <c r="I136">
        <f ca="1" t="shared" si="33"/>
        <v>0</v>
      </c>
      <c r="J136">
        <f ca="1" t="shared" si="34"/>
        <v>0</v>
      </c>
      <c r="K136">
        <f ca="1">IF(A136&lt;&gt;"",IF(AND(配装计算器!$K$30&lt;&gt;"∞",0),2,INDEX(AU136:CB136,1,$AT$2)),"")</f>
        <v>1</v>
      </c>
      <c r="L136">
        <f ca="1">IFERROR(IF(AND(COUNTIF(B136,"*-峰插*"),技能数据库!$M$72&gt;0),0,IF(COUNTIF(B136,"*鹤归*")&gt;0,16-加速!$L$11,MAX(0,L135-(A136-A135)))),0)</f>
        <v>3.10000000000007</v>
      </c>
      <c r="M136">
        <f ca="1">IF(COUNTIF(IF(AND(配装计算器!$K$30&lt;&gt;"∞",0),INDEX(AU135:CB135,1,$AT$1),INDEX(AU137:CB137,1,$AT$1)),"*鹤归*")=1,L136,0)</f>
        <v>0</v>
      </c>
      <c r="N136">
        <f ca="1">IFERROR(IF(AND(COUNTIF(B136,"*-峰插*"),技能数据库!$M$72&gt;0),0,IF(COUNTIF(B136,"*云飞*")&gt;0,4-COUNTIF(B136,"*玉山揽云*")*4--COUNTIF(B136,"*烟流暮景*")*4-COUNTIF(B136,"*云景*")*加速!$L$11-IF(J136&gt;0,2,0),MAX(0,N135-(A136-A135)-IF(J136&gt;0,2,0)))),0)</f>
        <v>1.42000000000002</v>
      </c>
      <c r="O136">
        <f ca="1">IF(AND(COUNTIF(IF(AND(配装计算器!$K$30&lt;&gt;"∞",0),INDEX(AU135:CB135,1,$AT$1),INDEX(AU137:CB137,1,$AT$1)),"*云飞*")=1,COUNTIF(IF(AND(配装计算器!$K$30&lt;&gt;"∞",0),INDEX(AU135:CB135,1,$AT$1),INDEX(AU137:CB137,1,$AT$1)),"*玉山*")=0),N136,0)</f>
        <v>0</v>
      </c>
      <c r="P136">
        <f ca="1">IFERROR(IF(COUNTIF(B136,"*云栖松*")&gt;0,50-加速!$L$11,MAX(0,P135-(A136-A135))),0)</f>
        <v>0</v>
      </c>
      <c r="Q136">
        <f ca="1">IF(COUNTIF(IF(AND(配装计算器!$K$30&lt;&gt;"∞",0),INDEX(AU135:CB135,1,$AT$1),INDEX(AU137:CB137,1,$AT$1)),"*云栖松*")=1,P136,0)</f>
        <v>0</v>
      </c>
      <c r="R136">
        <f ca="1">IFERROR(IF(COUNTIF(B136,"*莺鸣柳*")&gt;0,45-加速!$L$9,MAX(0,R135-(A136-A135))),0)</f>
        <v>0</v>
      </c>
      <c r="S136">
        <f ca="1">IF(COUNTIF(IF(AND(配装计算器!$K$30&lt;&gt;"∞",0),INDEX(AU135:CB135,1,$AT$1),INDEX(AU137:CB137,1,$AT$1)),"*莺鸣柳*")=1,R136,0)</f>
        <v>0</v>
      </c>
      <c r="T136">
        <f ca="1" t="shared" si="31"/>
        <v>0</v>
      </c>
      <c r="U136">
        <f ca="1">IF(金蛇,IF(COUNTIF(B136,"*金环戴*")+COUNTIF(B136,"*吹风醒*")&gt;0,IF(A136&lt;=3,7.125-2.625-A136-加速!$L$11,7.125+加速!$K$9-(A136+加速!$L$11-T136)),0),0)+IF(金蛇,IF(COUNTIF(B136,"*千切子裂光*")&gt;0,2+加速!$K$9-(A136+加速!$L$11-T136),0),0)</f>
        <v>0</v>
      </c>
      <c r="V136">
        <f ca="1" t="shared" si="32"/>
        <v>0</v>
      </c>
      <c r="W136">
        <f ca="1" t="shared" si="24"/>
        <v>0</v>
      </c>
      <c r="X136">
        <f ca="1">INDEX(加速!$I$13:$I$21,技能数计算!W136+1)</f>
        <v>0</v>
      </c>
      <c r="Y136">
        <f ca="1" t="shared" si="28"/>
        <v>0.5</v>
      </c>
      <c r="Z136">
        <f ca="1" t="shared" si="29"/>
        <v>0</v>
      </c>
      <c r="AA136">
        <f ca="1">MAX(0,IFERROR(IF(COUNTIF(B136,"*叠*")&gt;0,IF(AC135&lt;3,8-A137+A136,AA135+6.875-A137+A136),AA135-A137+A136),AA135-加速!$L$11))</f>
        <v>0</v>
      </c>
      <c r="AB136">
        <f ca="1">MAX(0,IF(COUNTIF(IF(AND(配装计算器!$K$30&lt;&gt;"∞",0),INDEX(AU136:CB136,1,$AT$1),INDEX(AU136:CB136,1,$AT$1)),"*叠1*")=1,4*25-加速!$L$11,AB135-A136+A135)-IF(OR(COUNTIF(OFFSET(AT136,0,$AT$1,1,1),"*听雷*")&gt;0,AND(碧归&gt;0,COUNTIF(OFFSET(AT136,0,$AT$1,1,1),"*风来*")&gt;0)),0,1)*1.5)</f>
        <v>44.2000000000001</v>
      </c>
      <c r="AC136">
        <f ca="1" t="shared" si="25"/>
        <v>0</v>
      </c>
      <c r="AD136">
        <f ca="1">IF(COUNTIF(IF(AND(配装计算器!$K$30&lt;&gt;"∞",0),INDEX(AU136:CB136,1,$AT$1),INDEX(AU137:CB137,1,$AT$1)),"*叠1*")=1,AB136*0+AE135,0)</f>
        <v>0</v>
      </c>
      <c r="AE136">
        <f ca="1">IF($AN$11&gt;0,IF(COUNTIF(B137,"*叠1*")&gt;0,50-加速!$H$11,MAX(0,AE135-(A137-A136))),0)</f>
        <v>22.9500000000002</v>
      </c>
      <c r="AH136" t="s">
        <v>1825</v>
      </c>
      <c r="AI136" t="s">
        <v>2776</v>
      </c>
      <c r="AJ136">
        <f ca="1">循环比*COUNTIFS($B$3:$B$515,"*"&amp;AI136&amp;"*",$D$3:$D$515,"=1",$H$3:$H$515,"=0",$G$3:$G$515,"=0",$K$3:$K$515,"=2",$AC$3:$AC$515,"=1")-AJ142</f>
        <v>5</v>
      </c>
      <c r="AK136" t="s">
        <v>3105</v>
      </c>
      <c r="AU136" s="176" t="s">
        <v>2768</v>
      </c>
      <c r="AV136">
        <v>2</v>
      </c>
      <c r="AW136" t="s">
        <v>2776</v>
      </c>
      <c r="AX136">
        <v>2</v>
      </c>
      <c r="AY136" t="s">
        <v>2768</v>
      </c>
      <c r="AZ136">
        <v>2</v>
      </c>
      <c r="BA136" t="s">
        <v>2776</v>
      </c>
      <c r="BB136">
        <v>1</v>
      </c>
      <c r="BC136" t="s">
        <v>2768</v>
      </c>
      <c r="BD136">
        <v>1</v>
      </c>
      <c r="BE136" t="s">
        <v>2776</v>
      </c>
      <c r="BF136">
        <v>0</v>
      </c>
      <c r="BG136" t="s">
        <v>2768</v>
      </c>
      <c r="BH136">
        <v>1</v>
      </c>
      <c r="BI136" t="s">
        <v>2768</v>
      </c>
      <c r="BJ136">
        <v>1</v>
      </c>
      <c r="BK136" t="s">
        <v>2768</v>
      </c>
      <c r="BL136">
        <v>2</v>
      </c>
      <c r="BM136" t="s">
        <v>2776</v>
      </c>
      <c r="BN136">
        <v>2</v>
      </c>
      <c r="BO136" t="s">
        <v>2776</v>
      </c>
      <c r="BP136">
        <v>2</v>
      </c>
      <c r="BQ136" t="s">
        <v>3055</v>
      </c>
      <c r="BR136">
        <v>2</v>
      </c>
      <c r="BS136" s="176" t="s">
        <v>2768</v>
      </c>
      <c r="BT136">
        <v>2</v>
      </c>
      <c r="BU136" s="176" t="s">
        <v>2768</v>
      </c>
      <c r="BV136">
        <v>2</v>
      </c>
      <c r="BW136" s="179" t="s">
        <v>2768</v>
      </c>
      <c r="BX136" s="179">
        <v>1</v>
      </c>
      <c r="BY136" t="s">
        <v>2776</v>
      </c>
      <c r="BZ136">
        <v>2</v>
      </c>
      <c r="CA136" t="s">
        <v>2776</v>
      </c>
      <c r="CB136">
        <v>2</v>
      </c>
    </row>
    <row r="137" spans="1:80">
      <c r="A137" s="178">
        <f ca="1">IFERROR(IF(A136+加速!$L$11&lt;$AS$1,IF(COUNTIF(B136,"*轻*")&gt;0,A136+加速!$L$9,A136+加速!$L$11)+V136,IF(COUNTIF(INDEX(AU137:CB137,1,$AT$1),"*云景*")+COUNTIF(INDEX(AU137:CB137,1,$AT$1),"*鹤归*")+COUNTIF(INDEX(AU137:CB137,1,$AT$1),"*听雷*")&gt;0,A136+加速!$L$11,"")),"")</f>
        <v>175.92</v>
      </c>
      <c r="B137" s="167" t="str">
        <f ca="1">IF(A137&lt;&gt;"",IF(AND(A137+加速!$L$11&gt;$AS$1,IF(AND(配装计算器!$K$30&lt;&gt;"∞",0),"梦泉虎跑-轻",INDEX(AU137:CB137,1,$AT$1))="云栖松"),"夕照雷峰",IF(AND(配装计算器!$K$30&lt;&gt;"∞",0),"梦泉虎跑-轻",INDEX(AU137:CB137,1,$AT$1))),"")</f>
        <v>夕照雷峰</v>
      </c>
      <c r="C137">
        <f ca="1" t="shared" si="30"/>
        <v>15</v>
      </c>
      <c r="D137">
        <f ca="1">IF(B137&lt;&gt;"",IF(C136&lt;=加速!$L$11*(1-E137),0,1),"")</f>
        <v>1</v>
      </c>
      <c r="E137">
        <f ca="1" t="shared" si="26"/>
        <v>0</v>
      </c>
      <c r="G137">
        <f ca="1" t="shared" si="27"/>
        <v>0</v>
      </c>
      <c r="H137">
        <f ca="1">IF(B137&lt;&gt;"",IF(AND(COUNTIF(B136,"*轻*莺鸣柳*")&gt;0,COUNTIF(B137,"*轻*")&lt;1),MAX(0,15+I136-(A137-A136)+COUNTIF(B136,"*平湖*")*0),IF(AND(E137=0,MAX(0,H136-(A137-A136))&lt;=加速!$H$11),0,MAX(0,H136-(A137-A136)))),"")</f>
        <v>0</v>
      </c>
      <c r="I137">
        <f ca="1" t="shared" si="33"/>
        <v>0</v>
      </c>
      <c r="J137">
        <f ca="1" t="shared" si="34"/>
        <v>0</v>
      </c>
      <c r="K137">
        <f ca="1">IF(A137&lt;&gt;"",IF(AND(配装计算器!$K$30&lt;&gt;"∞",0),2,INDEX(AU137:CB137,1,$AT$2)),"")</f>
        <v>1</v>
      </c>
      <c r="L137">
        <f ca="1">IFERROR(IF(AND(COUNTIF(B137,"*-峰插*"),技能数据库!$M$72&gt;0),0,IF(COUNTIF(B137,"*鹤归*")&gt;0,16-加速!$L$11,MAX(0,L136-(A137-A136)))),0)</f>
        <v>1.81000000000008</v>
      </c>
      <c r="M137">
        <f ca="1">IF(COUNTIF(IF(AND(配装计算器!$K$30&lt;&gt;"∞",0),INDEX(AU136:CB136,1,$AT$1),INDEX(AU138:CB138,1,$AT$1)),"*鹤归*")=1,L137,0)</f>
        <v>0</v>
      </c>
      <c r="N137">
        <f ca="1">IFERROR(IF(AND(COUNTIF(B137,"*-峰插*"),技能数据库!$M$72&gt;0),0,IF(COUNTIF(B137,"*云飞*")&gt;0,4-COUNTIF(B137,"*玉山揽云*")*4--COUNTIF(B137,"*烟流暮景*")*4-COUNTIF(B137,"*云景*")*加速!$L$11-IF(J137&gt;0,2,0),MAX(0,N136-(A137-A136)-IF(J137&gt;0,2,0)))),0)</f>
        <v>0.130000000000024</v>
      </c>
      <c r="O137">
        <f ca="1">IF(AND(COUNTIF(IF(AND(配装计算器!$K$30&lt;&gt;"∞",0),INDEX(AU136:CB136,1,$AT$1),INDEX(AU138:CB138,1,$AT$1)),"*云飞*")=1,COUNTIF(IF(AND(配装计算器!$K$30&lt;&gt;"∞",0),INDEX(AU136:CB136,1,$AT$1),INDEX(AU138:CB138,1,$AT$1)),"*玉山*")=0),N137,0)</f>
        <v>0.130000000000024</v>
      </c>
      <c r="P137">
        <f ca="1">IFERROR(IF(COUNTIF(B137,"*云栖松*")&gt;0,50-加速!$L$11,MAX(0,P136-(A137-A136))),0)</f>
        <v>0</v>
      </c>
      <c r="Q137">
        <f ca="1">IF(COUNTIF(IF(AND(配装计算器!$K$30&lt;&gt;"∞",0),INDEX(AU136:CB136,1,$AT$1),INDEX(AU138:CB138,1,$AT$1)),"*云栖松*")=1,P137,0)</f>
        <v>0</v>
      </c>
      <c r="R137">
        <f ca="1">IFERROR(IF(COUNTIF(B137,"*莺鸣柳*")&gt;0,45-加速!$L$9,MAX(0,R136-(A137-A136))),0)</f>
        <v>0</v>
      </c>
      <c r="S137">
        <f ca="1">IF(COUNTIF(IF(AND(配装计算器!$K$30&lt;&gt;"∞",0),INDEX(AU136:CB136,1,$AT$1),INDEX(AU138:CB138,1,$AT$1)),"*莺鸣柳*")=1,R137,0)</f>
        <v>0</v>
      </c>
      <c r="T137">
        <f ca="1" t="shared" si="31"/>
        <v>0</v>
      </c>
      <c r="U137">
        <f ca="1">IF(金蛇,IF(COUNTIF(B137,"*金环戴*")+COUNTIF(B137,"*吹风醒*")&gt;0,IF(A137&lt;=3,7.125-2.625-A137-加速!$L$11,7.125+加速!$K$9-(A137+加速!$L$11-T137)),0),0)+IF(金蛇,IF(COUNTIF(B137,"*千切子裂光*")&gt;0,2+加速!$K$9-(A137+加速!$L$11-T137),0),0)</f>
        <v>0</v>
      </c>
      <c r="V137">
        <f ca="1" t="shared" si="32"/>
        <v>0.130000000000024</v>
      </c>
      <c r="W137">
        <f ca="1" t="shared" si="24"/>
        <v>0</v>
      </c>
      <c r="X137">
        <f ca="1">INDEX(加速!$I$13:$I$21,技能数计算!W137+1)</f>
        <v>0</v>
      </c>
      <c r="Y137">
        <f ca="1" t="shared" si="28"/>
        <v>0.5</v>
      </c>
      <c r="Z137">
        <f ca="1" t="shared" si="29"/>
        <v>0</v>
      </c>
      <c r="AA137">
        <f ca="1">MAX(0,IFERROR(IF(COUNTIF(B137,"*叠*")&gt;0,IF(AC136&lt;3,8-A138+A137,AA136+6.875-A138+A137),AA136-A138+A137),AA136-加速!$L$11))</f>
        <v>0</v>
      </c>
      <c r="AB137">
        <f ca="1">MAX(0,IF(COUNTIF(IF(AND(配装计算器!$K$30&lt;&gt;"∞",0),INDEX(AU137:CB137,1,$AT$1),INDEX(AU137:CB137,1,$AT$1)),"*叠1*")=1,4*25-加速!$L$11,AB136-A137+A136)-IF(OR(COUNTIF(OFFSET(AT137,0,$AT$1,1,1),"*听雷*")&gt;0,AND(碧归&gt;0,COUNTIF(OFFSET(AT137,0,$AT$1,1,1),"*风来*")&gt;0)),0,1)*1.5)</f>
        <v>41.4100000000002</v>
      </c>
      <c r="AC137">
        <f ca="1" t="shared" si="25"/>
        <v>0</v>
      </c>
      <c r="AD137">
        <f ca="1">IF(COUNTIF(IF(AND(配装计算器!$K$30&lt;&gt;"∞",0),INDEX(AU137:CB137,1,$AT$1),INDEX(AU138:CB138,1,$AT$1)),"*叠1*")=1,AB137*0+AE136,0)</f>
        <v>0</v>
      </c>
      <c r="AE137">
        <f ca="1">IF($AN$11&gt;0,IF(COUNTIF(B138,"*叠1*")&gt;0,50-加速!$H$11,MAX(0,AE136-(A138-A137))),0)</f>
        <v>21.5300000000001</v>
      </c>
      <c r="AH137" t="s">
        <v>1825</v>
      </c>
      <c r="AI137" t="s">
        <v>2776</v>
      </c>
      <c r="AJ137">
        <f ca="1">循环比*COUNTIFS($B$3:$B$515,"*"&amp;AI137&amp;"*",$D$3:$D$515,"=1",$H$3:$H$515,"=0",$G$3:$G$515,"=0",$K$3:$K$515,"=2",$AC$3:$AC$515,"=2")-AJ143</f>
        <v>0</v>
      </c>
      <c r="AK137" t="s">
        <v>3106</v>
      </c>
      <c r="AU137" s="176" t="s">
        <v>2776</v>
      </c>
      <c r="AV137">
        <v>2</v>
      </c>
      <c r="AW137" t="s">
        <v>2768</v>
      </c>
      <c r="AX137">
        <v>2</v>
      </c>
      <c r="AY137" t="s">
        <v>2776</v>
      </c>
      <c r="AZ137">
        <v>1</v>
      </c>
      <c r="BA137" t="s">
        <v>2768</v>
      </c>
      <c r="BB137">
        <v>1</v>
      </c>
      <c r="BC137" t="s">
        <v>2794</v>
      </c>
      <c r="BD137">
        <v>2</v>
      </c>
      <c r="BE137" t="s">
        <v>3012</v>
      </c>
      <c r="BF137">
        <v>2</v>
      </c>
      <c r="BG137" t="s">
        <v>2776</v>
      </c>
      <c r="BH137">
        <v>1</v>
      </c>
      <c r="BI137" s="176" t="s">
        <v>2768</v>
      </c>
      <c r="BJ137">
        <v>1</v>
      </c>
      <c r="BK137" t="s">
        <v>2776</v>
      </c>
      <c r="BL137">
        <v>2</v>
      </c>
      <c r="BM137" t="s">
        <v>2768</v>
      </c>
      <c r="BN137">
        <v>2</v>
      </c>
      <c r="BO137" t="s">
        <v>2768</v>
      </c>
      <c r="BP137">
        <v>1</v>
      </c>
      <c r="BQ137" t="s">
        <v>2768</v>
      </c>
      <c r="BR137">
        <v>2</v>
      </c>
      <c r="BS137" s="176" t="s">
        <v>2794</v>
      </c>
      <c r="BT137">
        <v>2</v>
      </c>
      <c r="BU137" s="176" t="s">
        <v>2776</v>
      </c>
      <c r="BV137">
        <v>2</v>
      </c>
      <c r="BW137" s="179" t="s">
        <v>2776</v>
      </c>
      <c r="BX137" s="179">
        <v>1</v>
      </c>
      <c r="BY137" t="s">
        <v>2718</v>
      </c>
      <c r="BZ137">
        <v>0</v>
      </c>
      <c r="CA137" t="s">
        <v>2718</v>
      </c>
      <c r="CB137">
        <v>0</v>
      </c>
    </row>
    <row r="138" spans="1:80">
      <c r="A138" s="178">
        <f ca="1">IFERROR(IF(A137+加速!$L$11&lt;$AS$1,IF(COUNTIF(B137,"*轻*")&gt;0,A137+加速!$L$9,A137+加速!$L$11)+V137,IF(COUNTIF(INDEX(AU138:CB138,1,$AT$1),"*云景*")+COUNTIF(INDEX(AU138:CB138,1,$AT$1),"*鹤归*")+COUNTIF(INDEX(AU138:CB138,1,$AT$1),"*听雷*")&gt;0,A137+加速!$L$11,"")),"")</f>
        <v>177.34</v>
      </c>
      <c r="B138" s="167" t="str">
        <f ca="1">IF(A138&lt;&gt;"",IF(AND(A138+加速!$L$11&gt;$AS$1,IF(AND(配装计算器!$K$30&lt;&gt;"∞",0),"梦泉虎跑-轻",INDEX(AU138:CB138,1,$AT$1))="云栖松"),"夕照雷峰",IF(AND(配装计算器!$K$30&lt;&gt;"∞",0),"梦泉虎跑-轻",INDEX(AU138:CB138,1,$AT$1))),"")</f>
        <v>云飞玉皇</v>
      </c>
      <c r="C138">
        <f ca="1" t="shared" si="30"/>
        <v>13.58</v>
      </c>
      <c r="D138">
        <f ca="1">IF(B138&lt;&gt;"",IF(C137&lt;=加速!$L$11*(1-E138),0,1),"")</f>
        <v>1</v>
      </c>
      <c r="E138">
        <f ca="1" t="shared" si="26"/>
        <v>0</v>
      </c>
      <c r="G138">
        <f ca="1" t="shared" si="27"/>
        <v>0</v>
      </c>
      <c r="H138">
        <f ca="1">IF(B138&lt;&gt;"",IF(AND(COUNTIF(B137,"*轻*莺鸣柳*")&gt;0,COUNTIF(B138,"*轻*")&lt;1),MAX(0,15+I137-(A138-A137)+COUNTIF(B137,"*平湖*")*0),IF(AND(E138=0,MAX(0,H137-(A138-A137))&lt;=加速!$H$11),0,MAX(0,H137-(A138-A137)))),"")</f>
        <v>0</v>
      </c>
      <c r="I138">
        <f ca="1" t="shared" si="33"/>
        <v>0</v>
      </c>
      <c r="J138">
        <f ca="1" t="shared" si="34"/>
        <v>0</v>
      </c>
      <c r="K138">
        <f ca="1">IF(A138&lt;&gt;"",IF(AND(配装计算器!$K$30&lt;&gt;"∞",0),2,INDEX(AU138:CB138,1,$AT$2)),"")</f>
        <v>0</v>
      </c>
      <c r="L138">
        <f ca="1">IFERROR(IF(AND(COUNTIF(B138,"*-峰插*"),技能数据库!$M$72&gt;0),0,IF(COUNTIF(B138,"*鹤归*")&gt;0,16-加速!$L$11,MAX(0,L137-(A138-A137)))),0)</f>
        <v>0.390000000000065</v>
      </c>
      <c r="M138">
        <f ca="1">IF(COUNTIF(IF(AND(配装计算器!$K$30&lt;&gt;"∞",0),INDEX(AU137:CB137,1,$AT$1),INDEX(AU139:CB139,1,$AT$1)),"*鹤归*")=1,L138,0)</f>
        <v>0.390000000000065</v>
      </c>
      <c r="N138">
        <f ca="1">IFERROR(IF(AND(COUNTIF(B138,"*-峰插*"),技能数据库!$M$72&gt;0),0,IF(COUNTIF(B138,"*云飞*")&gt;0,4-COUNTIF(B138,"*玉山揽云*")*4--COUNTIF(B138,"*烟流暮景*")*4-COUNTIF(B138,"*云景*")*加速!$L$11-IF(J138&gt;0,2,0),MAX(0,N137-(A138-A137)-IF(J138&gt;0,2,0)))),0)</f>
        <v>4</v>
      </c>
      <c r="O138">
        <f ca="1">IF(AND(COUNTIF(IF(AND(配装计算器!$K$30&lt;&gt;"∞",0),INDEX(AU137:CB137,1,$AT$1),INDEX(AU139:CB139,1,$AT$1)),"*云飞*")=1,COUNTIF(IF(AND(配装计算器!$K$30&lt;&gt;"∞",0),INDEX(AU137:CB137,1,$AT$1),INDEX(AU139:CB139,1,$AT$1)),"*玉山*")=0),N138,0)</f>
        <v>0</v>
      </c>
      <c r="P138">
        <f ca="1">IFERROR(IF(COUNTIF(B138,"*云栖松*")&gt;0,50-加速!$L$11,MAX(0,P137-(A138-A137))),0)</f>
        <v>0</v>
      </c>
      <c r="Q138">
        <f ca="1">IF(COUNTIF(IF(AND(配装计算器!$K$30&lt;&gt;"∞",0),INDEX(AU137:CB137,1,$AT$1),INDEX(AU139:CB139,1,$AT$1)),"*云栖松*")=1,P138,0)</f>
        <v>0</v>
      </c>
      <c r="R138">
        <f ca="1">IFERROR(IF(COUNTIF(B138,"*莺鸣柳*")&gt;0,45-加速!$L$9,MAX(0,R137-(A138-A137))),0)</f>
        <v>0</v>
      </c>
      <c r="S138">
        <f ca="1">IF(COUNTIF(IF(AND(配装计算器!$K$30&lt;&gt;"∞",0),INDEX(AU137:CB137,1,$AT$1),INDEX(AU139:CB139,1,$AT$1)),"*莺鸣柳*")=1,R138,0)</f>
        <v>0</v>
      </c>
      <c r="T138">
        <f ca="1" t="shared" si="31"/>
        <v>0</v>
      </c>
      <c r="U138">
        <f ca="1">IF(金蛇,IF(COUNTIF(B138,"*金环戴*")+COUNTIF(B138,"*吹风醒*")&gt;0,IF(A138&lt;=3,7.125-2.625-A138-加速!$L$11,7.125+加速!$K$9-(A138+加速!$L$11-T138)),0),0)+IF(金蛇,IF(COUNTIF(B138,"*千切子裂光*")&gt;0,2+加速!$K$9-(A138+加速!$L$11-T138),0),0)</f>
        <v>0</v>
      </c>
      <c r="V138">
        <f ca="1" t="shared" si="32"/>
        <v>0.390000000000065</v>
      </c>
      <c r="W138">
        <f ca="1" t="shared" si="24"/>
        <v>0</v>
      </c>
      <c r="X138">
        <f ca="1">INDEX(加速!$I$13:$I$21,技能数计算!W138+1)</f>
        <v>0</v>
      </c>
      <c r="Y138">
        <f ca="1" t="shared" si="28"/>
        <v>0.5</v>
      </c>
      <c r="Z138">
        <f ca="1" t="shared" si="29"/>
        <v>0</v>
      </c>
      <c r="AA138">
        <f ca="1">MAX(0,IFERROR(IF(COUNTIF(B138,"*叠*")&gt;0,IF(AC137&lt;3,8-A139+A138,AA137+6.875-A139+A138),AA137-A139+A138),AA137-加速!$L$11))</f>
        <v>0</v>
      </c>
      <c r="AB138">
        <f ca="1">MAX(0,IF(COUNTIF(IF(AND(配装计算器!$K$30&lt;&gt;"∞",0),INDEX(AU138:CB138,1,$AT$1),INDEX(AU138:CB138,1,$AT$1)),"*叠1*")=1,4*25-加速!$L$11,AB137-A138+A137)-IF(OR(COUNTIF(OFFSET(AT138,0,$AT$1,1,1),"*听雷*")&gt;0,AND(碧归&gt;0,COUNTIF(OFFSET(AT138,0,$AT$1,1,1),"*风来*")&gt;0)),0,1)*1.5)</f>
        <v>38.4900000000002</v>
      </c>
      <c r="AC138">
        <f ca="1" t="shared" si="25"/>
        <v>0</v>
      </c>
      <c r="AD138">
        <f ca="1">IF(COUNTIF(IF(AND(配装计算器!$K$30&lt;&gt;"∞",0),INDEX(AU138:CB138,1,$AT$1),INDEX(AU139:CB139,1,$AT$1)),"*叠1*")=1,AB138*0+AE137,0)</f>
        <v>0</v>
      </c>
      <c r="AE138">
        <f ca="1">IF($AN$11&gt;0,IF(COUNTIF(B139,"*叠1*")&gt;0,50-加速!$H$11,MAX(0,AE137-(A139-A138))),0)</f>
        <v>19.8500000000001</v>
      </c>
      <c r="AH138" t="s">
        <v>1825</v>
      </c>
      <c r="AI138" t="s">
        <v>2776</v>
      </c>
      <c r="AJ138">
        <f ca="1">循环比*COUNTIFS($B$3:$B$515,"*"&amp;AI138&amp;"*",$D$3:$D$515,"=1",$H$3:$H$515,"=0",$G$3:$G$515,"=0",$K$3:$K$515,"=2",$AC$3:$AC$515,"=3")-AJ144</f>
        <v>18</v>
      </c>
      <c r="AK138" t="s">
        <v>3107</v>
      </c>
      <c r="AU138" s="176" t="s">
        <v>2768</v>
      </c>
      <c r="AV138">
        <v>2</v>
      </c>
      <c r="AW138" t="s">
        <v>2722</v>
      </c>
      <c r="AX138">
        <v>0</v>
      </c>
      <c r="AY138" t="s">
        <v>2768</v>
      </c>
      <c r="AZ138">
        <v>1</v>
      </c>
      <c r="BA138" t="s">
        <v>2768</v>
      </c>
      <c r="BB138">
        <v>0</v>
      </c>
      <c r="BC138" t="s">
        <v>2768</v>
      </c>
      <c r="BD138">
        <v>2</v>
      </c>
      <c r="BE138" t="s">
        <v>2776</v>
      </c>
      <c r="BF138">
        <v>2</v>
      </c>
      <c r="BG138" t="s">
        <v>2768</v>
      </c>
      <c r="BH138">
        <v>0</v>
      </c>
      <c r="BI138" s="176" t="s">
        <v>2776</v>
      </c>
      <c r="BJ138">
        <v>0</v>
      </c>
      <c r="BK138" t="s">
        <v>3036</v>
      </c>
      <c r="BL138">
        <v>2</v>
      </c>
      <c r="BM138" t="s">
        <v>2768</v>
      </c>
      <c r="BN138">
        <v>2</v>
      </c>
      <c r="BO138" t="s">
        <v>2722</v>
      </c>
      <c r="BP138">
        <v>0</v>
      </c>
      <c r="BQ138" t="s">
        <v>2776</v>
      </c>
      <c r="BR138">
        <v>2</v>
      </c>
      <c r="BS138" t="s">
        <v>2768</v>
      </c>
      <c r="BT138">
        <v>2</v>
      </c>
      <c r="BU138" t="s">
        <v>2768</v>
      </c>
      <c r="BV138">
        <v>1</v>
      </c>
      <c r="BW138" s="179" t="s">
        <v>2768</v>
      </c>
      <c r="BX138" s="179">
        <v>1</v>
      </c>
      <c r="BY138" t="s">
        <v>2768</v>
      </c>
      <c r="BZ138">
        <v>2</v>
      </c>
      <c r="CA138" t="s">
        <v>2768</v>
      </c>
      <c r="CB138">
        <v>2</v>
      </c>
    </row>
    <row r="139" spans="1:80">
      <c r="A139" s="178">
        <f ca="1">IFERROR(IF(A138+加速!$L$11&lt;$AS$1,IF(COUNTIF(B138,"*轻*")&gt;0,A138+加速!$L$9,A138+加速!$L$11)+V138,IF(COUNTIF(INDEX(AU139:CB139,1,$AT$1),"*云景*")+COUNTIF(INDEX(AU139:CB139,1,$AT$1),"*鹤归*")+COUNTIF(INDEX(AU139:CB139,1,$AT$1),"*听雷*")&gt;0,A138+加速!$L$11,"")),"")</f>
        <v>179.02</v>
      </c>
      <c r="B139" s="167" t="str">
        <f ca="1">IF(A139&lt;&gt;"",IF(AND(A139+加速!$L$11&gt;$AS$1,IF(AND(配装计算器!$K$30&lt;&gt;"∞",0),"梦泉虎跑-轻",INDEX(AU139:CB139,1,$AT$1))="云栖松"),"夕照雷峰",IF(AND(配装计算器!$K$30&lt;&gt;"∞",0),"梦泉虎跑-轻",INDEX(AU139:CB139,1,$AT$1))),"")</f>
        <v>鹤归孤山</v>
      </c>
      <c r="C139">
        <f ca="1" t="shared" si="30"/>
        <v>11.8999999999999</v>
      </c>
      <c r="D139">
        <f ca="1">IF(B139&lt;&gt;"",IF(C138&lt;=加速!$L$11*(1-E139),0,1),"")</f>
        <v>1</v>
      </c>
      <c r="E139">
        <f ca="1" t="shared" si="26"/>
        <v>1</v>
      </c>
      <c r="G139">
        <f ca="1" t="shared" si="27"/>
        <v>0</v>
      </c>
      <c r="H139">
        <f ca="1">IF(B139&lt;&gt;"",IF(AND(COUNTIF(B138,"*轻*莺鸣柳*")&gt;0,COUNTIF(B139,"*轻*")&lt;1),MAX(0,15+I138-(A139-A138)+COUNTIF(B138,"*平湖*")*0),IF(AND(E139=0,MAX(0,H138-(A139-A138))&lt;=加速!$H$11),0,MAX(0,H138-(A139-A138)))),"")</f>
        <v>0</v>
      </c>
      <c r="I139">
        <f ca="1" t="shared" si="33"/>
        <v>0</v>
      </c>
      <c r="J139">
        <f ca="1" t="shared" si="34"/>
        <v>0</v>
      </c>
      <c r="K139">
        <f ca="1">IF(A139&lt;&gt;"",IF(AND(配装计算器!$K$30&lt;&gt;"∞",0),2,INDEX(AU139:CB139,1,$AT$2)),"")</f>
        <v>0</v>
      </c>
      <c r="L139">
        <f ca="1">IFERROR(IF(AND(COUNTIF(B139,"*-峰插*"),技能数据库!$M$72&gt;0),0,IF(COUNTIF(B139,"*鹤归*")&gt;0,16-加速!$L$11,MAX(0,L138-(A139-A138)))),0)</f>
        <v>14.71</v>
      </c>
      <c r="M139">
        <f ca="1">IF(COUNTIF(IF(AND(配装计算器!$K$30&lt;&gt;"∞",0),INDEX(AU138:CB138,1,$AT$1),INDEX(AU140:CB140,1,$AT$1)),"*鹤归*")=1,L139,0)</f>
        <v>0</v>
      </c>
      <c r="N139">
        <f ca="1">IFERROR(IF(AND(COUNTIF(B139,"*-峰插*"),技能数据库!$M$72&gt;0),0,IF(COUNTIF(B139,"*云飞*")&gt;0,4-COUNTIF(B139,"*玉山揽云*")*4--COUNTIF(B139,"*烟流暮景*")*4-COUNTIF(B139,"*云景*")*加速!$L$11-IF(J139&gt;0,2,0),MAX(0,N138-(A139-A138)-IF(J139&gt;0,2,0)))),0)</f>
        <v>2.31999999999994</v>
      </c>
      <c r="O139">
        <f ca="1">IF(AND(COUNTIF(IF(AND(配装计算器!$K$30&lt;&gt;"∞",0),INDEX(AU138:CB138,1,$AT$1),INDEX(AU140:CB140,1,$AT$1)),"*云飞*")=1,COUNTIF(IF(AND(配装计算器!$K$30&lt;&gt;"∞",0),INDEX(AU138:CB138,1,$AT$1),INDEX(AU140:CB140,1,$AT$1)),"*玉山*")=0),N139,0)</f>
        <v>0</v>
      </c>
      <c r="P139">
        <f ca="1">IFERROR(IF(COUNTIF(B139,"*云栖松*")&gt;0,50-加速!$L$11,MAX(0,P138-(A139-A138))),0)</f>
        <v>0</v>
      </c>
      <c r="Q139">
        <f ca="1">IF(COUNTIF(IF(AND(配装计算器!$K$30&lt;&gt;"∞",0),INDEX(AU138:CB138,1,$AT$1),INDEX(AU140:CB140,1,$AT$1)),"*云栖松*")=1,P139,0)</f>
        <v>0</v>
      </c>
      <c r="R139">
        <f ca="1">IFERROR(IF(COUNTIF(B139,"*莺鸣柳*")&gt;0,45-加速!$L$9,MAX(0,R138-(A139-A138))),0)</f>
        <v>0</v>
      </c>
      <c r="S139">
        <f ca="1">IF(COUNTIF(IF(AND(配装计算器!$K$30&lt;&gt;"∞",0),INDEX(AU138:CB138,1,$AT$1),INDEX(AU140:CB140,1,$AT$1)),"*莺鸣柳*")=1,R139,0)</f>
        <v>0</v>
      </c>
      <c r="T139">
        <f ca="1" t="shared" si="31"/>
        <v>0</v>
      </c>
      <c r="U139">
        <f ca="1">IF(金蛇,IF(COUNTIF(B139,"*金环戴*")+COUNTIF(B139,"*吹风醒*")&gt;0,IF(A139&lt;=3,7.125-2.625-A139-加速!$L$11,7.125+加速!$K$9-(A139+加速!$L$11-T139)),0),0)+IF(金蛇,IF(COUNTIF(B139,"*千切子裂光*")&gt;0,2+加速!$K$9-(A139+加速!$L$11-T139),0),0)</f>
        <v>0</v>
      </c>
      <c r="V139">
        <f ca="1" t="shared" si="32"/>
        <v>0</v>
      </c>
      <c r="W139">
        <f ca="1" t="shared" si="24"/>
        <v>0</v>
      </c>
      <c r="X139">
        <f ca="1">INDEX(加速!$I$13:$I$21,技能数计算!W139+1)</f>
        <v>0</v>
      </c>
      <c r="Y139">
        <f ca="1" t="shared" si="28"/>
        <v>0.5</v>
      </c>
      <c r="Z139">
        <f ca="1" t="shared" si="29"/>
        <v>0</v>
      </c>
      <c r="AA139">
        <f ca="1">MAX(0,IFERROR(IF(COUNTIF(B139,"*叠*")&gt;0,IF(AC138&lt;3,8-A140+A139,AA138+6.875-A140+A139),AA138-A140+A139),AA138-加速!$L$11))</f>
        <v>0</v>
      </c>
      <c r="AB139">
        <f ca="1">MAX(0,IF(COUNTIF(IF(AND(配装计算器!$K$30&lt;&gt;"∞",0),INDEX(AU139:CB139,1,$AT$1),INDEX(AU139:CB139,1,$AT$1)),"*叠1*")=1,4*25-加速!$L$11,AB138-A139+A138)-IF(OR(COUNTIF(OFFSET(AT139,0,$AT$1,1,1),"*听雷*")&gt;0,AND(碧归&gt;0,COUNTIF(OFFSET(AT139,0,$AT$1,1,1),"*风来*")&gt;0)),0,1)*1.5)</f>
        <v>35.3100000000001</v>
      </c>
      <c r="AC139">
        <f ca="1" t="shared" si="25"/>
        <v>0</v>
      </c>
      <c r="AD139">
        <f ca="1">IF(COUNTIF(IF(AND(配装计算器!$K$30&lt;&gt;"∞",0),INDEX(AU139:CB139,1,$AT$1),INDEX(AU140:CB140,1,$AT$1)),"*叠1*")=1,AB139*0+AE138,0)</f>
        <v>0</v>
      </c>
      <c r="AE139">
        <f ca="1">IF($AN$11&gt;0,IF(COUNTIF(B140,"*叠1*")&gt;0,50-加速!$H$11,MAX(0,AE138-(A140-A139))),0)</f>
        <v>18.5600000000001</v>
      </c>
      <c r="AH139" t="s">
        <v>1825</v>
      </c>
      <c r="AI139" t="s">
        <v>2780</v>
      </c>
      <c r="AJ139">
        <f ca="1">AJ136+AJ142</f>
        <v>5</v>
      </c>
      <c r="AK139" t="s">
        <v>3105</v>
      </c>
      <c r="AU139" s="176" t="s">
        <v>2776</v>
      </c>
      <c r="AV139">
        <v>2</v>
      </c>
      <c r="AW139" t="s">
        <v>3009</v>
      </c>
      <c r="AX139">
        <v>2</v>
      </c>
      <c r="AY139" t="s">
        <v>2768</v>
      </c>
      <c r="AZ139">
        <v>0</v>
      </c>
      <c r="BA139" t="s">
        <v>2722</v>
      </c>
      <c r="BB139">
        <v>0</v>
      </c>
      <c r="BC139" t="s">
        <v>2776</v>
      </c>
      <c r="BD139">
        <v>2</v>
      </c>
      <c r="BE139" t="s">
        <v>3017</v>
      </c>
      <c r="BF139">
        <v>2</v>
      </c>
      <c r="BG139" t="s">
        <v>2768</v>
      </c>
      <c r="BH139">
        <v>0</v>
      </c>
      <c r="BI139" t="s">
        <v>2794</v>
      </c>
      <c r="BJ139">
        <v>0</v>
      </c>
      <c r="BK139" t="s">
        <v>3026</v>
      </c>
      <c r="BL139">
        <v>2</v>
      </c>
      <c r="BM139" t="s">
        <v>2768</v>
      </c>
      <c r="BN139">
        <v>2</v>
      </c>
      <c r="BO139" t="s">
        <v>3009</v>
      </c>
      <c r="BP139">
        <v>2</v>
      </c>
      <c r="BQ139" t="s">
        <v>2768</v>
      </c>
      <c r="BR139">
        <v>2</v>
      </c>
      <c r="BS139" t="s">
        <v>2776</v>
      </c>
      <c r="BT139">
        <v>2</v>
      </c>
      <c r="BU139" s="176" t="s">
        <v>2768</v>
      </c>
      <c r="BV139">
        <v>1</v>
      </c>
      <c r="BW139" s="179" t="s">
        <v>2722</v>
      </c>
      <c r="BX139" s="179">
        <v>2</v>
      </c>
      <c r="BY139" t="s">
        <v>2768</v>
      </c>
      <c r="BZ139">
        <v>1</v>
      </c>
      <c r="CA139" t="s">
        <v>2768</v>
      </c>
      <c r="CB139">
        <v>1</v>
      </c>
    </row>
    <row r="140" spans="1:80">
      <c r="A140" s="178">
        <f ca="1">IFERROR(IF(A139+加速!$L$11&lt;$AS$1,IF(COUNTIF(B139,"*轻*")&gt;0,A139+加速!$L$9,A139+加速!$L$11)+V139,IF(COUNTIF(INDEX(AU140:CB140,1,$AT$1),"*云景*")+COUNTIF(INDEX(AU140:CB140,1,$AT$1),"*鹤归*")+COUNTIF(INDEX(AU140:CB140,1,$AT$1),"*听雷*")&gt;0,A139+加速!$L$11,"")),"")</f>
        <v>180.31</v>
      </c>
      <c r="B140" s="167" t="str">
        <f ca="1">IF(A140&lt;&gt;"",IF(AND(A140+加速!$L$11&gt;$AS$1,IF(AND(配装计算器!$K$30&lt;&gt;"∞",0),"梦泉虎跑-轻",INDEX(AU140:CB140,1,$AT$1))="云栖松"),"夕照雷峰",IF(AND(配装计算器!$K$30&lt;&gt;"∞",0),"梦泉虎跑-轻",INDEX(AU140:CB140,1,$AT$1))),"")</f>
        <v>夕照雷峰</v>
      </c>
      <c r="C140">
        <f ca="1" t="shared" si="30"/>
        <v>15</v>
      </c>
      <c r="D140">
        <f ca="1">IF(B140&lt;&gt;"",IF(C139&lt;=加速!$L$11*(1-E140),0,1),"")</f>
        <v>1</v>
      </c>
      <c r="E140">
        <f ca="1" t="shared" si="26"/>
        <v>0</v>
      </c>
      <c r="G140">
        <f ca="1" t="shared" si="27"/>
        <v>0</v>
      </c>
      <c r="H140">
        <f ca="1">IF(B140&lt;&gt;"",IF(AND(COUNTIF(B139,"*轻*莺鸣柳*")&gt;0,COUNTIF(B140,"*轻*")&lt;1),MAX(0,15+I139-(A140-A139)+COUNTIF(B139,"*平湖*")*0),IF(AND(E140=0,MAX(0,H139-(A140-A139))&lt;=加速!$H$11),0,MAX(0,H139-(A140-A139)))),"")</f>
        <v>0</v>
      </c>
      <c r="I140">
        <f ca="1" t="shared" si="33"/>
        <v>0</v>
      </c>
      <c r="J140">
        <f ca="1" t="shared" si="34"/>
        <v>4</v>
      </c>
      <c r="K140">
        <f ca="1">IF(A140&lt;&gt;"",IF(AND(配装计算器!$K$30&lt;&gt;"∞",0),2,INDEX(AU140:CB140,1,$AT$2)),"")</f>
        <v>2</v>
      </c>
      <c r="L140">
        <f ca="1">IFERROR(IF(AND(COUNTIF(B140,"*-峰插*"),技能数据库!$M$72&gt;0),0,IF(COUNTIF(B140,"*鹤归*")&gt;0,16-加速!$L$11,MAX(0,L139-(A140-A139)))),0)</f>
        <v>13.42</v>
      </c>
      <c r="M140">
        <f ca="1">IF(COUNTIF(IF(AND(配装计算器!$K$30&lt;&gt;"∞",0),INDEX(AU139:CB139,1,$AT$1),INDEX(AU141:CB141,1,$AT$1)),"*鹤归*")=1,L140,0)</f>
        <v>0</v>
      </c>
      <c r="N140">
        <f ca="1">IFERROR(IF(AND(COUNTIF(B140,"*-峰插*"),技能数据库!$M$72&gt;0),0,IF(COUNTIF(B140,"*云飞*")&gt;0,4-COUNTIF(B140,"*玉山揽云*")*4--COUNTIF(B140,"*烟流暮景*")*4-COUNTIF(B140,"*云景*")*加速!$L$11-IF(J140&gt;0,2,0),MAX(0,N139-(A140-A139)-IF(J140&gt;0,2,0)))),0)</f>
        <v>0</v>
      </c>
      <c r="O140">
        <f ca="1">IF(AND(COUNTIF(IF(AND(配装计算器!$K$30&lt;&gt;"∞",0),INDEX(AU139:CB139,1,$AT$1),INDEX(AU141:CB141,1,$AT$1)),"*云飞*")=1,COUNTIF(IF(AND(配装计算器!$K$30&lt;&gt;"∞",0),INDEX(AU139:CB139,1,$AT$1),INDEX(AU141:CB141,1,$AT$1)),"*玉山*")=0),N140,0)</f>
        <v>0</v>
      </c>
      <c r="P140">
        <f ca="1">IFERROR(IF(COUNTIF(B140,"*云栖松*")&gt;0,50-加速!$L$11,MAX(0,P139-(A140-A139))),0)</f>
        <v>0</v>
      </c>
      <c r="Q140">
        <f ca="1">IF(COUNTIF(IF(AND(配装计算器!$K$30&lt;&gt;"∞",0),INDEX(AU139:CB139,1,$AT$1),INDEX(AU141:CB141,1,$AT$1)),"*云栖松*")=1,P140,0)</f>
        <v>0</v>
      </c>
      <c r="R140">
        <f ca="1">IFERROR(IF(COUNTIF(B140,"*莺鸣柳*")&gt;0,45-加速!$L$9,MAX(0,R139-(A140-A139))),0)</f>
        <v>0</v>
      </c>
      <c r="S140">
        <f ca="1">IF(COUNTIF(IF(AND(配装计算器!$K$30&lt;&gt;"∞",0),INDEX(AU139:CB139,1,$AT$1),INDEX(AU141:CB141,1,$AT$1)),"*莺鸣柳*")=1,R140,0)</f>
        <v>0</v>
      </c>
      <c r="T140">
        <f ca="1" t="shared" si="31"/>
        <v>0</v>
      </c>
      <c r="U140">
        <f ca="1">IF(金蛇,IF(COUNTIF(B140,"*金环戴*")+COUNTIF(B140,"*吹风醒*")&gt;0,IF(A140&lt;=3,7.125-2.625-A140-加速!$L$11,7.125+加速!$K$9-(A140+加速!$L$11-T140)),0),0)+IF(金蛇,IF(COUNTIF(B140,"*千切子裂光*")&gt;0,2+加速!$K$9-(A140+加速!$L$11-T140),0),0)</f>
        <v>0</v>
      </c>
      <c r="V140">
        <f ca="1" t="shared" si="32"/>
        <v>0</v>
      </c>
      <c r="W140">
        <f ca="1" t="shared" si="24"/>
        <v>0</v>
      </c>
      <c r="X140">
        <f ca="1">INDEX(加速!$I$13:$I$21,技能数计算!W140+1)</f>
        <v>0</v>
      </c>
      <c r="Y140">
        <f ca="1" t="shared" si="28"/>
        <v>0.5</v>
      </c>
      <c r="Z140">
        <f ca="1" t="shared" si="29"/>
        <v>0</v>
      </c>
      <c r="AA140">
        <f ca="1">MAX(0,IFERROR(IF(COUNTIF(B140,"*叠*")&gt;0,IF(AC139&lt;3,8-A141+A140,AA139+6.875-A141+A140),AA139-A141+A140),AA139-加速!$L$11))</f>
        <v>0</v>
      </c>
      <c r="AB140">
        <f ca="1">MAX(0,IF(COUNTIF(IF(AND(配装计算器!$K$30&lt;&gt;"∞",0),INDEX(AU140:CB140,1,$AT$1),INDEX(AU140:CB140,1,$AT$1)),"*叠1*")=1,4*25-加速!$L$11,AB139-A140+A139)-IF(OR(COUNTIF(OFFSET(AT140,0,$AT$1,1,1),"*听雷*")&gt;0,AND(碧归&gt;0,COUNTIF(OFFSET(AT140,0,$AT$1,1,1),"*风来*")&gt;0)),0,1)*1.5)</f>
        <v>32.5200000000001</v>
      </c>
      <c r="AC140">
        <f ca="1" t="shared" si="25"/>
        <v>0</v>
      </c>
      <c r="AD140">
        <f ca="1">IF(COUNTIF(IF(AND(配装计算器!$K$30&lt;&gt;"∞",0),INDEX(AU140:CB140,1,$AT$1),INDEX(AU141:CB141,1,$AT$1)),"*叠1*")=1,AB140*0+AE139,0)</f>
        <v>0</v>
      </c>
      <c r="AE140">
        <f ca="1">IF($AN$11&gt;0,IF(COUNTIF(B141,"*叠1*")&gt;0,50-加速!$H$11,MAX(0,AE139-(A141-A140))),0)</f>
        <v>17.2700000000001</v>
      </c>
      <c r="AH140" t="s">
        <v>1825</v>
      </c>
      <c r="AI140" t="s">
        <v>2780</v>
      </c>
      <c r="AJ140">
        <f ca="1" t="shared" ref="AJ140:AJ141" si="35">AJ137+AJ143</f>
        <v>4</v>
      </c>
      <c r="AK140" t="s">
        <v>3106</v>
      </c>
      <c r="AU140" s="176" t="s">
        <v>2768</v>
      </c>
      <c r="AV140">
        <v>1</v>
      </c>
      <c r="AW140" t="s">
        <v>2776</v>
      </c>
      <c r="AX140">
        <v>2</v>
      </c>
      <c r="AY140" t="s">
        <v>2722</v>
      </c>
      <c r="AZ140">
        <v>0</v>
      </c>
      <c r="BA140" t="s">
        <v>2776</v>
      </c>
      <c r="BB140">
        <v>2</v>
      </c>
      <c r="BC140" t="s">
        <v>2768</v>
      </c>
      <c r="BD140">
        <v>2</v>
      </c>
      <c r="BE140" t="s">
        <v>2768</v>
      </c>
      <c r="BF140">
        <v>2</v>
      </c>
      <c r="BG140" t="s">
        <v>2776</v>
      </c>
      <c r="BH140">
        <v>0</v>
      </c>
      <c r="BI140" t="s">
        <v>2768</v>
      </c>
      <c r="BJ140">
        <v>2</v>
      </c>
      <c r="BK140" t="s">
        <v>3026</v>
      </c>
      <c r="BL140">
        <v>2</v>
      </c>
      <c r="BM140" t="s">
        <v>2776</v>
      </c>
      <c r="BN140">
        <v>2</v>
      </c>
      <c r="BO140" t="s">
        <v>2776</v>
      </c>
      <c r="BP140">
        <v>2</v>
      </c>
      <c r="BQ140" t="s">
        <v>2776</v>
      </c>
      <c r="BR140">
        <v>1</v>
      </c>
      <c r="BS140" t="s">
        <v>2768</v>
      </c>
      <c r="BT140">
        <v>2</v>
      </c>
      <c r="BU140" t="s">
        <v>3055</v>
      </c>
      <c r="BV140">
        <v>0</v>
      </c>
      <c r="BW140" s="179" t="s">
        <v>3009</v>
      </c>
      <c r="BX140" s="179">
        <v>2</v>
      </c>
      <c r="BY140" t="s">
        <v>2776</v>
      </c>
      <c r="BZ140">
        <v>1</v>
      </c>
      <c r="CA140" t="s">
        <v>2776</v>
      </c>
      <c r="CB140">
        <v>1</v>
      </c>
    </row>
    <row r="141" spans="1:80">
      <c r="A141" s="178">
        <f ca="1">IFERROR(IF(A140+加速!$L$11&lt;$AS$1,IF(COUNTIF(B140,"*轻*")&gt;0,A140+加速!$L$9,A140+加速!$L$11)+V140,IF(COUNTIF(INDEX(AU141:CB141,1,$AT$1),"*云景*")+COUNTIF(INDEX(AU141:CB141,1,$AT$1),"*鹤归*")+COUNTIF(INDEX(AU141:CB141,1,$AT$1),"*听雷*")&gt;0,A140+加速!$L$11,"")),"")</f>
        <v>181.6</v>
      </c>
      <c r="B141" s="167" t="str">
        <f ca="1">IF(A141&lt;&gt;"",IF(AND(A141+加速!$L$11&gt;$AS$1,IF(AND(配装计算器!$K$30&lt;&gt;"∞",0),"梦泉虎跑-轻",INDEX(AU141:CB141,1,$AT$1))="云栖松"),"夕照雷峰",IF(AND(配装计算器!$K$30&lt;&gt;"∞",0),"梦泉虎跑-轻",INDEX(AU141:CB141,1,$AT$1))),"")</f>
        <v>云飞玉皇</v>
      </c>
      <c r="C141">
        <f ca="1" t="shared" si="30"/>
        <v>13.71</v>
      </c>
      <c r="D141">
        <f ca="1">IF(B141&lt;&gt;"",IF(C140&lt;=加速!$L$11*(1-E141),0,1),"")</f>
        <v>1</v>
      </c>
      <c r="E141">
        <f ca="1" t="shared" si="26"/>
        <v>0</v>
      </c>
      <c r="G141">
        <f ca="1" t="shared" si="27"/>
        <v>0</v>
      </c>
      <c r="H141">
        <f ca="1">IF(B141&lt;&gt;"",IF(AND(COUNTIF(B140,"*轻*莺鸣柳*")&gt;0,COUNTIF(B141,"*轻*")&lt;1),MAX(0,15+I140-(A141-A140)+COUNTIF(B140,"*平湖*")*0),IF(AND(E141=0,MAX(0,H140-(A141-A140))&lt;=加速!$H$11),0,MAX(0,H140-(A141-A140)))),"")</f>
        <v>0</v>
      </c>
      <c r="I141">
        <f ca="1" t="shared" si="33"/>
        <v>0</v>
      </c>
      <c r="J141">
        <f ca="1" t="shared" si="34"/>
        <v>3</v>
      </c>
      <c r="K141">
        <f ca="1">IF(A141&lt;&gt;"",IF(AND(配装计算器!$K$30&lt;&gt;"∞",0),2,INDEX(AU141:CB141,1,$AT$2)),"")</f>
        <v>2</v>
      </c>
      <c r="L141">
        <f ca="1">IFERROR(IF(AND(COUNTIF(B141,"*-峰插*"),技能数据库!$M$72&gt;0),0,IF(COUNTIF(B141,"*鹤归*")&gt;0,16-加速!$L$11,MAX(0,L140-(A141-A140)))),0)</f>
        <v>12.13</v>
      </c>
      <c r="M141">
        <f ca="1">IF(COUNTIF(IF(AND(配装计算器!$K$30&lt;&gt;"∞",0),INDEX(AU140:CB140,1,$AT$1),INDEX(AU142:CB142,1,$AT$1)),"*鹤归*")=1,L141,0)</f>
        <v>0</v>
      </c>
      <c r="N141">
        <f ca="1">IFERROR(IF(AND(COUNTIF(B141,"*-峰插*"),技能数据库!$M$72&gt;0),0,IF(COUNTIF(B141,"*云飞*")&gt;0,4-COUNTIF(B141,"*玉山揽云*")*4--COUNTIF(B141,"*烟流暮景*")*4-COUNTIF(B141,"*云景*")*加速!$L$11-IF(J141&gt;0,2,0),MAX(0,N140-(A141-A140)-IF(J141&gt;0,2,0)))),0)</f>
        <v>2</v>
      </c>
      <c r="O141">
        <f ca="1">IF(AND(COUNTIF(IF(AND(配装计算器!$K$30&lt;&gt;"∞",0),INDEX(AU140:CB140,1,$AT$1),INDEX(AU142:CB142,1,$AT$1)),"*云飞*")=1,COUNTIF(IF(AND(配装计算器!$K$30&lt;&gt;"∞",0),INDEX(AU140:CB140,1,$AT$1),INDEX(AU142:CB142,1,$AT$1)),"*玉山*")=0),N141,0)</f>
        <v>0</v>
      </c>
      <c r="P141">
        <f ca="1">IFERROR(IF(COUNTIF(B141,"*云栖松*")&gt;0,50-加速!$L$11,MAX(0,P140-(A141-A140))),0)</f>
        <v>0</v>
      </c>
      <c r="Q141">
        <f ca="1">IF(COUNTIF(IF(AND(配装计算器!$K$30&lt;&gt;"∞",0),INDEX(AU140:CB140,1,$AT$1),INDEX(AU142:CB142,1,$AT$1)),"*云栖松*")=1,P141,0)</f>
        <v>0</v>
      </c>
      <c r="R141">
        <f ca="1">IFERROR(IF(COUNTIF(B141,"*莺鸣柳*")&gt;0,45-加速!$L$9,MAX(0,R140-(A141-A140))),0)</f>
        <v>0</v>
      </c>
      <c r="S141">
        <f ca="1">IF(COUNTIF(IF(AND(配装计算器!$K$30&lt;&gt;"∞",0),INDEX(AU140:CB140,1,$AT$1),INDEX(AU142:CB142,1,$AT$1)),"*莺鸣柳*")=1,R141,0)</f>
        <v>0</v>
      </c>
      <c r="T141">
        <f ca="1" t="shared" si="31"/>
        <v>0</v>
      </c>
      <c r="U141">
        <f ca="1">IF(金蛇,IF(COUNTIF(B141,"*金环戴*")+COUNTIF(B141,"*吹风醒*")&gt;0,IF(A141&lt;=3,7.125-2.625-A141-加速!$L$11,7.125+加速!$K$9-(A141+加速!$L$11-T141)),0),0)+IF(金蛇,IF(COUNTIF(B141,"*千切子裂光*")&gt;0,2+加速!$K$9-(A141+加速!$L$11-T141),0),0)</f>
        <v>0</v>
      </c>
      <c r="V141">
        <f ca="1" t="shared" si="32"/>
        <v>0</v>
      </c>
      <c r="W141">
        <f ca="1" t="shared" si="24"/>
        <v>0</v>
      </c>
      <c r="X141">
        <f ca="1">INDEX(加速!$I$13:$I$21,技能数计算!W141+1)</f>
        <v>0</v>
      </c>
      <c r="Y141">
        <f ca="1" t="shared" si="28"/>
        <v>0.5</v>
      </c>
      <c r="Z141">
        <f ca="1" t="shared" si="29"/>
        <v>0</v>
      </c>
      <c r="AA141">
        <f ca="1">MAX(0,IFERROR(IF(COUNTIF(B141,"*叠*")&gt;0,IF(AC140&lt;3,8-A142+A141,AA140+6.875-A142+A141),AA140-A142+A141),AA140-加速!$L$11))</f>
        <v>0</v>
      </c>
      <c r="AB141">
        <f ca="1">MAX(0,IF(COUNTIF(IF(AND(配装计算器!$K$30&lt;&gt;"∞",0),INDEX(AU141:CB141,1,$AT$1),INDEX(AU141:CB141,1,$AT$1)),"*叠1*")=1,4*25-加速!$L$11,AB140-A141+A140)-IF(OR(COUNTIF(OFFSET(AT141,0,$AT$1,1,1),"*听雷*")&gt;0,AND(碧归&gt;0,COUNTIF(OFFSET(AT141,0,$AT$1,1,1),"*风来*")&gt;0)),0,1)*1.5)</f>
        <v>29.7300000000001</v>
      </c>
      <c r="AC141">
        <f ca="1" t="shared" si="25"/>
        <v>0</v>
      </c>
      <c r="AD141">
        <f ca="1">IF(COUNTIF(IF(AND(配装计算器!$K$30&lt;&gt;"∞",0),INDEX(AU141:CB141,1,$AT$1),INDEX(AU142:CB142,1,$AT$1)),"*叠1*")=1,AB141*0+AE140,0)</f>
        <v>0</v>
      </c>
      <c r="AE141">
        <f ca="1">IF($AN$11&gt;0,IF(COUNTIF(B142,"*叠1*")&gt;0,50-加速!$H$11,MAX(0,AE140-(A142-A141))),0)</f>
        <v>15.9800000000001</v>
      </c>
      <c r="AH141" t="s">
        <v>1825</v>
      </c>
      <c r="AI141" t="s">
        <v>2780</v>
      </c>
      <c r="AJ141">
        <f ca="1" t="shared" si="35"/>
        <v>22</v>
      </c>
      <c r="AK141" t="s">
        <v>3107</v>
      </c>
      <c r="AU141" t="s">
        <v>2776</v>
      </c>
      <c r="AV141">
        <v>1</v>
      </c>
      <c r="AW141" t="s">
        <v>2768</v>
      </c>
      <c r="AX141">
        <v>2</v>
      </c>
      <c r="AY141" t="s">
        <v>2776</v>
      </c>
      <c r="AZ141">
        <v>2</v>
      </c>
      <c r="BA141" t="s">
        <v>2768</v>
      </c>
      <c r="BB141">
        <v>2</v>
      </c>
      <c r="BC141" t="s">
        <v>2776</v>
      </c>
      <c r="BD141">
        <v>2</v>
      </c>
      <c r="BE141" t="s">
        <v>3023</v>
      </c>
      <c r="BF141">
        <v>2</v>
      </c>
      <c r="BG141" t="s">
        <v>3067</v>
      </c>
      <c r="BH141">
        <v>0</v>
      </c>
      <c r="BI141" t="s">
        <v>2776</v>
      </c>
      <c r="BJ141">
        <v>2</v>
      </c>
      <c r="BK141" t="s">
        <v>3026</v>
      </c>
      <c r="BL141">
        <v>2</v>
      </c>
      <c r="BM141" t="s">
        <v>2768</v>
      </c>
      <c r="BN141">
        <v>1</v>
      </c>
      <c r="BO141" t="s">
        <v>2768</v>
      </c>
      <c r="BP141">
        <v>2</v>
      </c>
      <c r="BQ141" t="s">
        <v>2768</v>
      </c>
      <c r="BR141">
        <v>1</v>
      </c>
      <c r="BS141" t="s">
        <v>2776</v>
      </c>
      <c r="BT141">
        <v>1</v>
      </c>
      <c r="BU141" t="s">
        <v>2776</v>
      </c>
      <c r="BV141">
        <v>2</v>
      </c>
      <c r="BW141" s="179" t="s">
        <v>3078</v>
      </c>
      <c r="BX141" s="179">
        <v>2</v>
      </c>
      <c r="BY141" t="s">
        <v>2768</v>
      </c>
      <c r="BZ141">
        <v>1</v>
      </c>
      <c r="CA141" t="s">
        <v>2768</v>
      </c>
      <c r="CB141">
        <v>1</v>
      </c>
    </row>
    <row r="142" spans="1:80">
      <c r="A142" s="178">
        <f ca="1">IFERROR(IF(A141+加速!$L$11&lt;$AS$1,IF(COUNTIF(B141,"*轻*")&gt;0,A141+加速!$L$9,A141+加速!$L$11)+V141,IF(COUNTIF(INDEX(AU142:CB142,1,$AT$1),"*云景*")+COUNTIF(INDEX(AU142:CB142,1,$AT$1),"*鹤归*")+COUNTIF(INDEX(AU142:CB142,1,$AT$1),"*听雷*")&gt;0,A141+加速!$L$11,"")),"")</f>
        <v>182.89</v>
      </c>
      <c r="B142" s="167" t="str">
        <f ca="1">IF(A142&lt;&gt;"",IF(AND(A142+加速!$L$11&gt;$AS$1,IF(AND(配装计算器!$K$30&lt;&gt;"∞",0),"梦泉虎跑-轻",INDEX(AU142:CB142,1,$AT$1))="云栖松"),"夕照雷峰",IF(AND(配装计算器!$K$30&lt;&gt;"∞",0),"梦泉虎跑-轻",INDEX(AU142:CB142,1,$AT$1))),"")</f>
        <v>夕照雷峰</v>
      </c>
      <c r="C142">
        <f ca="1" t="shared" si="30"/>
        <v>15</v>
      </c>
      <c r="D142">
        <f ca="1">IF(B142&lt;&gt;"",IF(C141&lt;=加速!$L$11*(1-E142),0,1),"")</f>
        <v>1</v>
      </c>
      <c r="E142">
        <f ca="1" t="shared" si="26"/>
        <v>0</v>
      </c>
      <c r="G142">
        <f ca="1" t="shared" si="27"/>
        <v>0</v>
      </c>
      <c r="H142">
        <f ca="1">IF(B142&lt;&gt;"",IF(AND(COUNTIF(B141,"*轻*莺鸣柳*")&gt;0,COUNTIF(B142,"*轻*")&lt;1),MAX(0,15+I141-(A142-A141)+COUNTIF(B141,"*平湖*")*0),IF(AND(E142=0,MAX(0,H141-(A142-A141))&lt;=加速!$H$11),0,MAX(0,H141-(A142-A141)))),"")</f>
        <v>0</v>
      </c>
      <c r="I142">
        <f ca="1" t="shared" si="33"/>
        <v>0</v>
      </c>
      <c r="J142">
        <f ca="1" t="shared" si="34"/>
        <v>2</v>
      </c>
      <c r="K142">
        <f ca="1">IF(A142&lt;&gt;"",IF(AND(配装计算器!$K$30&lt;&gt;"∞",0),2,INDEX(AU142:CB142,1,$AT$2)),"")</f>
        <v>2</v>
      </c>
      <c r="L142">
        <f ca="1">IFERROR(IF(AND(COUNTIF(B142,"*-峰插*"),技能数据库!$M$72&gt;0),0,IF(COUNTIF(B142,"*鹤归*")&gt;0,16-加速!$L$11,MAX(0,L141-(A142-A141)))),0)</f>
        <v>10.84</v>
      </c>
      <c r="M142">
        <f ca="1">IF(COUNTIF(IF(AND(配装计算器!$K$30&lt;&gt;"∞",0),INDEX(AU141:CB141,1,$AT$1),INDEX(AU143:CB143,1,$AT$1)),"*鹤归*")=1,L142,0)</f>
        <v>0</v>
      </c>
      <c r="N142">
        <f ca="1">IFERROR(IF(AND(COUNTIF(B142,"*-峰插*"),技能数据库!$M$72&gt;0),0,IF(COUNTIF(B142,"*云飞*")&gt;0,4-COUNTIF(B142,"*玉山揽云*")*4--COUNTIF(B142,"*烟流暮景*")*4-COUNTIF(B142,"*云景*")*加速!$L$11-IF(J142&gt;0,2,0),MAX(0,N141-(A142-A141)-IF(J142&gt;0,2,0)))),0)</f>
        <v>0</v>
      </c>
      <c r="O142">
        <f ca="1">IF(AND(COUNTIF(IF(AND(配装计算器!$K$30&lt;&gt;"∞",0),INDEX(AU141:CB141,1,$AT$1),INDEX(AU143:CB143,1,$AT$1)),"*云飞*")=1,COUNTIF(IF(AND(配装计算器!$K$30&lt;&gt;"∞",0),INDEX(AU141:CB141,1,$AT$1),INDEX(AU143:CB143,1,$AT$1)),"*玉山*")=0),N142,0)</f>
        <v>0</v>
      </c>
      <c r="P142">
        <f ca="1">IFERROR(IF(COUNTIF(B142,"*云栖松*")&gt;0,50-加速!$L$11,MAX(0,P141-(A142-A141))),0)</f>
        <v>0</v>
      </c>
      <c r="Q142">
        <f ca="1">IF(COUNTIF(IF(AND(配装计算器!$K$30&lt;&gt;"∞",0),INDEX(AU141:CB141,1,$AT$1),INDEX(AU143:CB143,1,$AT$1)),"*云栖松*")=1,P142,0)</f>
        <v>0</v>
      </c>
      <c r="R142">
        <f ca="1">IFERROR(IF(COUNTIF(B142,"*莺鸣柳*")&gt;0,45-加速!$L$9,MAX(0,R141-(A142-A141))),0)</f>
        <v>0</v>
      </c>
      <c r="S142">
        <f ca="1">IF(COUNTIF(IF(AND(配装计算器!$K$30&lt;&gt;"∞",0),INDEX(AU141:CB141,1,$AT$1),INDEX(AU143:CB143,1,$AT$1)),"*莺鸣柳*")=1,R142,0)</f>
        <v>0</v>
      </c>
      <c r="T142">
        <f ca="1" t="shared" si="31"/>
        <v>0</v>
      </c>
      <c r="U142">
        <f ca="1">IF(金蛇,IF(COUNTIF(B142,"*金环戴*")+COUNTIF(B142,"*吹风醒*")&gt;0,IF(A142&lt;=3,7.125-2.625-A142-加速!$L$11,7.125+加速!$K$9-(A142+加速!$L$11-T142)),0),0)+IF(金蛇,IF(COUNTIF(B142,"*千切子裂光*")&gt;0,2+加速!$K$9-(A142+加速!$L$11-T142),0),0)</f>
        <v>0</v>
      </c>
      <c r="V142">
        <f ca="1" t="shared" si="32"/>
        <v>0</v>
      </c>
      <c r="W142">
        <f ca="1" t="shared" si="24"/>
        <v>0</v>
      </c>
      <c r="X142">
        <f ca="1">INDEX(加速!$I$13:$I$21,技能数计算!W142+1)</f>
        <v>0</v>
      </c>
      <c r="Y142">
        <f ca="1" t="shared" si="28"/>
        <v>0.5</v>
      </c>
      <c r="Z142">
        <f ca="1" t="shared" si="29"/>
        <v>0</v>
      </c>
      <c r="AA142">
        <f ca="1">MAX(0,IFERROR(IF(COUNTIF(B142,"*叠*")&gt;0,IF(AC141&lt;3,8-A143+A142,AA141+6.875-A143+A142),AA141-A143+A142),AA141-加速!$L$11))</f>
        <v>0</v>
      </c>
      <c r="AB142">
        <f ca="1">MAX(0,IF(COUNTIF(IF(AND(配装计算器!$K$30&lt;&gt;"∞",0),INDEX(AU142:CB142,1,$AT$1),INDEX(AU142:CB142,1,$AT$1)),"*叠1*")=1,4*25-加速!$L$11,AB141-A142+A141)-IF(OR(COUNTIF(OFFSET(AT142,0,$AT$1,1,1),"*听雷*")&gt;0,AND(碧归&gt;0,COUNTIF(OFFSET(AT142,0,$AT$1,1,1),"*风来*")&gt;0)),0,1)*1.5)</f>
        <v>26.9400000000001</v>
      </c>
      <c r="AC142">
        <f ca="1" t="shared" si="25"/>
        <v>0</v>
      </c>
      <c r="AD142">
        <f ca="1">IF(COUNTIF(IF(AND(配装计算器!$K$30&lt;&gt;"∞",0),INDEX(AU142:CB142,1,$AT$1),INDEX(AU143:CB143,1,$AT$1)),"*叠1*")=1,AB142*0+AE141,0)</f>
        <v>0</v>
      </c>
      <c r="AE142">
        <f ca="1">IF($AN$11&gt;0,IF(COUNTIF(B143,"*叠1*")&gt;0,50-加速!$H$11,MAX(0,AE141-(A143-A142))),0)</f>
        <v>14.6900000000001</v>
      </c>
      <c r="AH142" t="s">
        <v>1825</v>
      </c>
      <c r="AI142" t="s">
        <v>2808</v>
      </c>
      <c r="AJ142">
        <f ca="1">循环比*COUNTIFS($B$3:$B$515,"*"&amp;AI142&amp;"*",$D$3:$D$515,"=1",$H$3:$H$515,"=0",$G$3:$G$515,"=0",$K$3:$K$515,"=2",$AC$3:$AC$515,"=1")</f>
        <v>0</v>
      </c>
      <c r="AK142" t="s">
        <v>3105</v>
      </c>
      <c r="AU142" t="s">
        <v>2768</v>
      </c>
      <c r="AV142">
        <v>1</v>
      </c>
      <c r="AW142" s="180" t="s">
        <v>2789</v>
      </c>
      <c r="AX142">
        <v>2</v>
      </c>
      <c r="AY142" t="s">
        <v>2768</v>
      </c>
      <c r="AZ142">
        <v>2</v>
      </c>
      <c r="BA142" t="s">
        <v>2768</v>
      </c>
      <c r="BB142">
        <v>2</v>
      </c>
      <c r="BC142" t="s">
        <v>2768</v>
      </c>
      <c r="BD142">
        <v>2</v>
      </c>
      <c r="BE142" s="182" t="s">
        <v>2768</v>
      </c>
      <c r="BF142">
        <v>2</v>
      </c>
      <c r="BG142" t="s">
        <v>2768</v>
      </c>
      <c r="BH142">
        <v>2</v>
      </c>
      <c r="BI142" t="s">
        <v>2768</v>
      </c>
      <c r="BJ142">
        <v>2</v>
      </c>
      <c r="BK142" t="s">
        <v>3026</v>
      </c>
      <c r="BL142">
        <v>2</v>
      </c>
      <c r="BM142" t="s">
        <v>2722</v>
      </c>
      <c r="BN142">
        <v>0</v>
      </c>
      <c r="BO142" s="180" t="s">
        <v>2789</v>
      </c>
      <c r="BP142">
        <v>2</v>
      </c>
      <c r="BQ142" t="s">
        <v>2776</v>
      </c>
      <c r="BR142">
        <v>1</v>
      </c>
      <c r="BS142" t="s">
        <v>2768</v>
      </c>
      <c r="BT142">
        <v>1</v>
      </c>
      <c r="BU142" t="s">
        <v>2768</v>
      </c>
      <c r="BV142">
        <v>2</v>
      </c>
      <c r="BW142" s="179" t="s">
        <v>2768</v>
      </c>
      <c r="BX142" s="179">
        <v>2</v>
      </c>
      <c r="BY142" t="s">
        <v>2722</v>
      </c>
      <c r="BZ142">
        <v>0</v>
      </c>
      <c r="CA142" t="s">
        <v>2722</v>
      </c>
      <c r="CB142">
        <v>0</v>
      </c>
    </row>
    <row r="143" spans="1:80">
      <c r="A143" s="178">
        <f ca="1">IFERROR(IF(A142+加速!$L$11&lt;$AS$1,IF(COUNTIF(B142,"*轻*")&gt;0,A142+加速!$L$9,A142+加速!$L$11)+V142,IF(COUNTIF(INDEX(AU143:CB143,1,$AT$1),"*云景*")+COUNTIF(INDEX(AU143:CB143,1,$AT$1),"*鹤归*")+COUNTIF(INDEX(AU143:CB143,1,$AT$1),"*听雷*")&gt;0,A142+加速!$L$11,"")),"")</f>
        <v>184.18</v>
      </c>
      <c r="B143" s="167" t="str">
        <f ca="1">IF(A143&lt;&gt;"",IF(AND(A143+加速!$L$11&gt;$AS$1,IF(AND(配装计算器!$K$30&lt;&gt;"∞",0),"梦泉虎跑-轻",INDEX(AU143:CB143,1,$AT$1))="云栖松"),"夕照雷峰",IF(AND(配装计算器!$K$30&lt;&gt;"∞",0),"梦泉虎跑-轻",INDEX(AU143:CB143,1,$AT$1))),"")</f>
        <v>云飞玉皇</v>
      </c>
      <c r="C143">
        <f ca="1" t="shared" si="30"/>
        <v>13.71</v>
      </c>
      <c r="D143">
        <f ca="1">IF(B143&lt;&gt;"",IF(C142&lt;=加速!$L$11*(1-E143),0,1),"")</f>
        <v>1</v>
      </c>
      <c r="E143">
        <f ca="1" t="shared" si="26"/>
        <v>0</v>
      </c>
      <c r="G143">
        <f ca="1" t="shared" si="27"/>
        <v>0</v>
      </c>
      <c r="H143">
        <f ca="1">IF(B143&lt;&gt;"",IF(AND(COUNTIF(B142,"*轻*莺鸣柳*")&gt;0,COUNTIF(B143,"*轻*")&lt;1),MAX(0,15+I142-(A143-A142)+COUNTIF(B142,"*平湖*")*0),IF(AND(E143=0,MAX(0,H142-(A143-A142))&lt;=加速!$H$11),0,MAX(0,H142-(A143-A142)))),"")</f>
        <v>0</v>
      </c>
      <c r="I143">
        <f ca="1" t="shared" si="33"/>
        <v>0</v>
      </c>
      <c r="J143">
        <f ca="1" t="shared" si="34"/>
        <v>1</v>
      </c>
      <c r="K143">
        <f ca="1">IF(A143&lt;&gt;"",IF(AND(配装计算器!$K$30&lt;&gt;"∞",0),2,INDEX(AU143:CB143,1,$AT$2)),"")</f>
        <v>1</v>
      </c>
      <c r="L143">
        <f ca="1">IFERROR(IF(AND(COUNTIF(B143,"*-峰插*"),技能数据库!$M$72&gt;0),0,IF(COUNTIF(B143,"*鹤归*")&gt;0,16-加速!$L$11,MAX(0,L142-(A143-A142)))),0)</f>
        <v>9.55000000000003</v>
      </c>
      <c r="M143">
        <f ca="1">IF(COUNTIF(IF(AND(配装计算器!$K$30&lt;&gt;"∞",0),INDEX(AU142:CB142,1,$AT$1),INDEX(AU144:CB144,1,$AT$1)),"*鹤归*")=1,L143,0)</f>
        <v>0</v>
      </c>
      <c r="N143">
        <f ca="1">IFERROR(IF(AND(COUNTIF(B143,"*-峰插*"),技能数据库!$M$72&gt;0),0,IF(COUNTIF(B143,"*云飞*")&gt;0,4-COUNTIF(B143,"*玉山揽云*")*4--COUNTIF(B143,"*烟流暮景*")*4-COUNTIF(B143,"*云景*")*加速!$L$11-IF(J143&gt;0,2,0),MAX(0,N142-(A143-A142)-IF(J143&gt;0,2,0)))),0)</f>
        <v>2</v>
      </c>
      <c r="O143">
        <f ca="1">IF(AND(COUNTIF(IF(AND(配装计算器!$K$30&lt;&gt;"∞",0),INDEX(AU142:CB142,1,$AT$1),INDEX(AU144:CB144,1,$AT$1)),"*云飞*")=1,COUNTIF(IF(AND(配装计算器!$K$30&lt;&gt;"∞",0),INDEX(AU142:CB142,1,$AT$1),INDEX(AU144:CB144,1,$AT$1)),"*玉山*")=0),N143,0)</f>
        <v>0</v>
      </c>
      <c r="P143">
        <f ca="1">IFERROR(IF(COUNTIF(B143,"*云栖松*")&gt;0,50-加速!$L$11,MAX(0,P142-(A143-A142))),0)</f>
        <v>0</v>
      </c>
      <c r="Q143">
        <f ca="1">IF(COUNTIF(IF(AND(配装计算器!$K$30&lt;&gt;"∞",0),INDEX(AU142:CB142,1,$AT$1),INDEX(AU144:CB144,1,$AT$1)),"*云栖松*")=1,P143,0)</f>
        <v>0</v>
      </c>
      <c r="R143">
        <f ca="1">IFERROR(IF(COUNTIF(B143,"*莺鸣柳*")&gt;0,45-加速!$L$9,MAX(0,R142-(A143-A142))),0)</f>
        <v>0</v>
      </c>
      <c r="S143">
        <f ca="1">IF(COUNTIF(IF(AND(配装计算器!$K$30&lt;&gt;"∞",0),INDEX(AU142:CB142,1,$AT$1),INDEX(AU144:CB144,1,$AT$1)),"*莺鸣柳*")=1,R143,0)</f>
        <v>0</v>
      </c>
      <c r="T143">
        <f ca="1" t="shared" si="31"/>
        <v>0</v>
      </c>
      <c r="U143">
        <f ca="1">IF(金蛇,IF(COUNTIF(B143,"*金环戴*")+COUNTIF(B143,"*吹风醒*")&gt;0,IF(A143&lt;=3,7.125-2.625-A143-加速!$L$11,7.125+加速!$K$9-(A143+加速!$L$11-T143)),0),0)+IF(金蛇,IF(COUNTIF(B143,"*千切子裂光*")&gt;0,2+加速!$K$9-(A143+加速!$L$11-T143),0),0)</f>
        <v>0</v>
      </c>
      <c r="V143">
        <f ca="1" t="shared" si="32"/>
        <v>0</v>
      </c>
      <c r="W143">
        <f ca="1" t="shared" si="24"/>
        <v>0</v>
      </c>
      <c r="X143">
        <f ca="1">INDEX(加速!$I$13:$I$21,技能数计算!W143+1)</f>
        <v>0</v>
      </c>
      <c r="Y143">
        <f ca="1" t="shared" si="28"/>
        <v>0.5</v>
      </c>
      <c r="Z143">
        <f ca="1" t="shared" si="29"/>
        <v>0</v>
      </c>
      <c r="AA143">
        <f ca="1">MAX(0,IFERROR(IF(COUNTIF(B143,"*叠*")&gt;0,IF(AC142&lt;3,8-A144+A143,AA142+6.875-A144+A143),AA142-A144+A143),AA142-加速!$L$11))</f>
        <v>0</v>
      </c>
      <c r="AB143">
        <f ca="1">MAX(0,IF(COUNTIF(IF(AND(配装计算器!$K$30&lt;&gt;"∞",0),INDEX(AU143:CB143,1,$AT$1),INDEX(AU143:CB143,1,$AT$1)),"*叠1*")=1,4*25-加速!$L$11,AB142-A143+A142)-IF(OR(COUNTIF(OFFSET(AT143,0,$AT$1,1,1),"*听雷*")&gt;0,AND(碧归&gt;0,COUNTIF(OFFSET(AT143,0,$AT$1,1,1),"*风来*")&gt;0)),0,1)*1.5)</f>
        <v>24.1500000000001</v>
      </c>
      <c r="AC143">
        <f ca="1" t="shared" si="25"/>
        <v>0</v>
      </c>
      <c r="AD143">
        <f ca="1">IF(COUNTIF(IF(AND(配装计算器!$K$30&lt;&gt;"∞",0),INDEX(AU143:CB143,1,$AT$1),INDEX(AU144:CB144,1,$AT$1)),"*叠1*")=1,AB143*0+AE142,0)</f>
        <v>0</v>
      </c>
      <c r="AE143">
        <f ca="1">IF($AN$11&gt;0,IF(COUNTIF(B144,"*叠1*")&gt;0,50-加速!$H$11,MAX(0,AE142-(A144-A143))),0)</f>
        <v>13.4000000000001</v>
      </c>
      <c r="AH143" t="s">
        <v>1825</v>
      </c>
      <c r="AI143" t="s">
        <v>2808</v>
      </c>
      <c r="AJ143">
        <f ca="1">循环比*COUNTIFS($B$3:$B$515,"*"&amp;AI143&amp;"*",$D$3:$D$515,"=1",$H$3:$H$515,"=0",$G$3:$G$515,"=0",$K$3:$K$515,"=2",$AC$3:$AC$515,"=2")</f>
        <v>4</v>
      </c>
      <c r="AK143" t="s">
        <v>3106</v>
      </c>
      <c r="AU143" t="s">
        <v>2768</v>
      </c>
      <c r="AV143">
        <v>1</v>
      </c>
      <c r="AW143" s="176" t="s">
        <v>2794</v>
      </c>
      <c r="AX143">
        <v>2</v>
      </c>
      <c r="AY143" t="s">
        <v>2768</v>
      </c>
      <c r="AZ143">
        <v>2</v>
      </c>
      <c r="BA143" t="s">
        <v>2768</v>
      </c>
      <c r="BB143">
        <v>1</v>
      </c>
      <c r="BC143" t="s">
        <v>2776</v>
      </c>
      <c r="BD143">
        <v>2</v>
      </c>
      <c r="BE143" s="176" t="s">
        <v>2768</v>
      </c>
      <c r="BF143">
        <v>2</v>
      </c>
      <c r="BG143" t="s">
        <v>2768</v>
      </c>
      <c r="BH143">
        <v>2</v>
      </c>
      <c r="BI143" t="s">
        <v>2776</v>
      </c>
      <c r="BJ143">
        <v>1</v>
      </c>
      <c r="BK143" t="s">
        <v>2776</v>
      </c>
      <c r="BL143">
        <v>2</v>
      </c>
      <c r="BM143" t="s">
        <v>3009</v>
      </c>
      <c r="BN143">
        <v>2</v>
      </c>
      <c r="BO143" s="176" t="s">
        <v>2794</v>
      </c>
      <c r="BP143">
        <v>2</v>
      </c>
      <c r="BQ143" t="s">
        <v>2768</v>
      </c>
      <c r="BR143">
        <v>0</v>
      </c>
      <c r="BS143" t="s">
        <v>3056</v>
      </c>
      <c r="BT143">
        <v>0</v>
      </c>
      <c r="BU143" t="s">
        <v>2776</v>
      </c>
      <c r="BV143">
        <v>2</v>
      </c>
      <c r="BW143" s="188" t="s">
        <v>2789</v>
      </c>
      <c r="BX143" s="179">
        <v>2</v>
      </c>
      <c r="BY143" t="s">
        <v>3009</v>
      </c>
      <c r="BZ143">
        <v>2</v>
      </c>
      <c r="CA143" t="s">
        <v>3009</v>
      </c>
      <c r="CB143">
        <v>2</v>
      </c>
    </row>
    <row r="144" spans="1:80">
      <c r="A144" s="178">
        <f ca="1">IFERROR(IF(A143+加速!$L$11&lt;$AS$1,IF(COUNTIF(B143,"*轻*")&gt;0,A143+加速!$L$9,A143+加速!$L$11)+V143,IF(COUNTIF(INDEX(AU144:CB144,1,$AT$1),"*云景*")+COUNTIF(INDEX(AU144:CB144,1,$AT$1),"*鹤归*")+COUNTIF(INDEX(AU144:CB144,1,$AT$1),"*听雷*")&gt;0,A143+加速!$L$11,"")),"")</f>
        <v>185.47</v>
      </c>
      <c r="B144" s="167" t="str">
        <f ca="1">IF(A144&lt;&gt;"",IF(AND(A144+加速!$L$11&gt;$AS$1,IF(AND(配装计算器!$K$30&lt;&gt;"∞",0),"梦泉虎跑-轻",INDEX(AU144:CB144,1,$AT$1))="云栖松"),"夕照雷峰",IF(AND(配装计算器!$K$30&lt;&gt;"∞",0),"梦泉虎跑-轻",INDEX(AU144:CB144,1,$AT$1))),"")</f>
        <v>夕照雷峰</v>
      </c>
      <c r="C144">
        <f ca="1" t="shared" si="30"/>
        <v>15</v>
      </c>
      <c r="D144">
        <f ca="1">IF(B144&lt;&gt;"",IF(C143&lt;=加速!$L$11*(1-E144),0,1),"")</f>
        <v>1</v>
      </c>
      <c r="E144">
        <f ca="1" t="shared" si="26"/>
        <v>0</v>
      </c>
      <c r="G144">
        <f ca="1" t="shared" si="27"/>
        <v>0</v>
      </c>
      <c r="H144">
        <f ca="1">IF(B144&lt;&gt;"",IF(AND(COUNTIF(B143,"*轻*莺鸣柳*")&gt;0,COUNTIF(B144,"*轻*")&lt;1),MAX(0,15+I143-(A144-A143)+COUNTIF(B143,"*平湖*")*0),IF(AND(E144=0,MAX(0,H143-(A144-A143))&lt;=加速!$H$11),0,MAX(0,H143-(A144-A143)))),"")</f>
        <v>0</v>
      </c>
      <c r="I144">
        <f ca="1" t="shared" si="33"/>
        <v>0</v>
      </c>
      <c r="J144">
        <f ca="1" t="shared" si="34"/>
        <v>1</v>
      </c>
      <c r="K144">
        <f ca="1">IF(A144&lt;&gt;"",IF(AND(配装计算器!$K$30&lt;&gt;"∞",0),2,INDEX(AU144:CB144,1,$AT$2)),"")</f>
        <v>1</v>
      </c>
      <c r="L144">
        <f ca="1">IFERROR(IF(AND(COUNTIF(B144,"*-峰插*"),技能数据库!$M$72&gt;0),0,IF(COUNTIF(B144,"*鹤归*")&gt;0,16-加速!$L$11,MAX(0,L143-(A144-A143)))),0)</f>
        <v>8.26000000000004</v>
      </c>
      <c r="M144">
        <f ca="1">IF(COUNTIF(IF(AND(配装计算器!$K$30&lt;&gt;"∞",0),INDEX(AU143:CB143,1,$AT$1),INDEX(AU145:CB145,1,$AT$1)),"*鹤归*")=1,L144,0)</f>
        <v>0</v>
      </c>
      <c r="N144">
        <f ca="1">IFERROR(IF(AND(COUNTIF(B144,"*-峰插*"),技能数据库!$M$72&gt;0),0,IF(COUNTIF(B144,"*云飞*")&gt;0,4-COUNTIF(B144,"*玉山揽云*")*4--COUNTIF(B144,"*烟流暮景*")*4-COUNTIF(B144,"*云景*")*加速!$L$11-IF(J144&gt;0,2,0),MAX(0,N143-(A144-A143)-IF(J144&gt;0,2,0)))),0)</f>
        <v>0</v>
      </c>
      <c r="O144">
        <f ca="1">IF(AND(COUNTIF(IF(AND(配装计算器!$K$30&lt;&gt;"∞",0),INDEX(AU143:CB143,1,$AT$1),INDEX(AU145:CB145,1,$AT$1)),"*云飞*")=1,COUNTIF(IF(AND(配装计算器!$K$30&lt;&gt;"∞",0),INDEX(AU143:CB143,1,$AT$1),INDEX(AU145:CB145,1,$AT$1)),"*玉山*")=0),N144,0)</f>
        <v>0</v>
      </c>
      <c r="P144">
        <f ca="1">IFERROR(IF(COUNTIF(B144,"*云栖松*")&gt;0,50-加速!$L$11,MAX(0,P143-(A144-A143))),0)</f>
        <v>0</v>
      </c>
      <c r="Q144">
        <f ca="1">IF(COUNTIF(IF(AND(配装计算器!$K$30&lt;&gt;"∞",0),INDEX(AU143:CB143,1,$AT$1),INDEX(AU145:CB145,1,$AT$1)),"*云栖松*")=1,P144,0)</f>
        <v>0</v>
      </c>
      <c r="R144">
        <f ca="1">IFERROR(IF(COUNTIF(B144,"*莺鸣柳*")&gt;0,45-加速!$L$9,MAX(0,R143-(A144-A143))),0)</f>
        <v>0</v>
      </c>
      <c r="S144">
        <f ca="1">IF(COUNTIF(IF(AND(配装计算器!$K$30&lt;&gt;"∞",0),INDEX(AU143:CB143,1,$AT$1),INDEX(AU145:CB145,1,$AT$1)),"*莺鸣柳*")=1,R144,0)</f>
        <v>0</v>
      </c>
      <c r="T144">
        <f ca="1" t="shared" si="31"/>
        <v>0</v>
      </c>
      <c r="U144">
        <f ca="1">IF(金蛇,IF(COUNTIF(B144,"*金环戴*")+COUNTIF(B144,"*吹风醒*")&gt;0,IF(A144&lt;=3,7.125-2.625-A144-加速!$L$11,7.125+加速!$K$9-(A144+加速!$L$11-T144)),0),0)+IF(金蛇,IF(COUNTIF(B144,"*千切子裂光*")&gt;0,2+加速!$K$9-(A144+加速!$L$11-T144),0),0)</f>
        <v>0</v>
      </c>
      <c r="V144">
        <f ca="1" t="shared" si="32"/>
        <v>0</v>
      </c>
      <c r="W144">
        <f ca="1" t="shared" si="24"/>
        <v>0</v>
      </c>
      <c r="X144">
        <f ca="1">INDEX(加速!$I$13:$I$21,技能数计算!W144+1)</f>
        <v>0</v>
      </c>
      <c r="Y144">
        <f ca="1" t="shared" si="28"/>
        <v>0.5</v>
      </c>
      <c r="Z144">
        <f ca="1" t="shared" si="29"/>
        <v>0</v>
      </c>
      <c r="AA144">
        <f ca="1">MAX(0,IFERROR(IF(COUNTIF(B144,"*叠*")&gt;0,IF(AC143&lt;3,8-A145+A144,AA143+6.875-A145+A144),AA143-A145+A144),AA143-加速!$L$11))</f>
        <v>0</v>
      </c>
      <c r="AB144">
        <f ca="1">MAX(0,IF(COUNTIF(IF(AND(配装计算器!$K$30&lt;&gt;"∞",0),INDEX(AU144:CB144,1,$AT$1),INDEX(AU144:CB144,1,$AT$1)),"*叠1*")=1,4*25-加速!$L$11,AB143-A144+A143)-IF(OR(COUNTIF(OFFSET(AT144,0,$AT$1,1,1),"*听雷*")&gt;0,AND(碧归&gt;0,COUNTIF(OFFSET(AT144,0,$AT$1,1,1),"*风来*")&gt;0)),0,1)*1.5)</f>
        <v>21.3600000000001</v>
      </c>
      <c r="AC144">
        <f ca="1" t="shared" si="25"/>
        <v>0</v>
      </c>
      <c r="AD144">
        <f ca="1">IF(COUNTIF(IF(AND(配装计算器!$K$30&lt;&gt;"∞",0),INDEX(AU144:CB144,1,$AT$1),INDEX(AU145:CB145,1,$AT$1)),"*叠1*")=1,AB144*0+AE143,0)</f>
        <v>0</v>
      </c>
      <c r="AE144">
        <f ca="1">IF($AN$11&gt;0,IF(COUNTIF(B145,"*叠1*")&gt;0,50-加速!$H$11,MAX(0,AE143-(A145-A144))),0)</f>
        <v>12.1100000000001</v>
      </c>
      <c r="AH144" t="s">
        <v>1825</v>
      </c>
      <c r="AI144" t="s">
        <v>2808</v>
      </c>
      <c r="AJ144">
        <f ca="1">循环比*COUNTIFS($B$3:$B$515,"*"&amp;AI144&amp;"*",$D$3:$D$515,"=1",$H$3:$H$515,"=0",$G$3:$G$515,"=0",$K$3:$K$515,"=2",$AC$3:$AC$515,"=3")</f>
        <v>4</v>
      </c>
      <c r="AK144" t="s">
        <v>3107</v>
      </c>
      <c r="AU144" t="s">
        <v>3063</v>
      </c>
      <c r="AV144">
        <v>2</v>
      </c>
      <c r="AW144" s="176" t="s">
        <v>2776</v>
      </c>
      <c r="AX144">
        <v>2</v>
      </c>
      <c r="AY144" t="s">
        <v>2768</v>
      </c>
      <c r="AZ144">
        <v>1</v>
      </c>
      <c r="BA144" t="s">
        <v>2776</v>
      </c>
      <c r="BB144">
        <v>1</v>
      </c>
      <c r="BC144" t="s">
        <v>2768</v>
      </c>
      <c r="BD144">
        <v>1</v>
      </c>
      <c r="BE144" s="176" t="s">
        <v>2789</v>
      </c>
      <c r="BF144">
        <v>2</v>
      </c>
      <c r="BG144" s="176" t="s">
        <v>2794</v>
      </c>
      <c r="BH144">
        <v>1</v>
      </c>
      <c r="BI144" t="s">
        <v>2768</v>
      </c>
      <c r="BJ144">
        <v>1</v>
      </c>
      <c r="BK144" t="s">
        <v>2794</v>
      </c>
      <c r="BL144">
        <v>2</v>
      </c>
      <c r="BM144" t="s">
        <v>2776</v>
      </c>
      <c r="BN144">
        <v>2</v>
      </c>
      <c r="BO144" s="176" t="s">
        <v>2776</v>
      </c>
      <c r="BP144">
        <v>2</v>
      </c>
      <c r="BQ144" t="s">
        <v>2768</v>
      </c>
      <c r="BR144">
        <v>0</v>
      </c>
      <c r="BS144" t="s">
        <v>2768</v>
      </c>
      <c r="BT144">
        <v>2</v>
      </c>
      <c r="BU144" t="s">
        <v>2768</v>
      </c>
      <c r="BV144">
        <v>1</v>
      </c>
      <c r="BW144" s="182" t="s">
        <v>2794</v>
      </c>
      <c r="BX144" s="179">
        <v>2</v>
      </c>
      <c r="BY144" s="176" t="s">
        <v>2794</v>
      </c>
      <c r="BZ144">
        <v>2</v>
      </c>
      <c r="CA144" s="176" t="s">
        <v>2794</v>
      </c>
      <c r="CB144">
        <v>2</v>
      </c>
    </row>
    <row r="145" spans="1:80">
      <c r="A145" s="178">
        <f ca="1">IFERROR(IF(A144+加速!$L$11&lt;$AS$1,IF(COUNTIF(B144,"*轻*")&gt;0,A144+加速!$L$9,A144+加速!$L$11)+V144,IF(COUNTIF(INDEX(AU145:CB145,1,$AT$1),"*云景*")+COUNTIF(INDEX(AU145:CB145,1,$AT$1),"*鹤归*")+COUNTIF(INDEX(AU145:CB145,1,$AT$1),"*听雷*")&gt;0,A144+加速!$L$11,"")),"")</f>
        <v>186.76</v>
      </c>
      <c r="B145" s="167" t="str">
        <f ca="1">IF(A145&lt;&gt;"",IF(AND(A145+加速!$L$11&gt;$AS$1,IF(AND(配装计算器!$K$30&lt;&gt;"∞",0),"梦泉虎跑-轻",INDEX(AU145:CB145,1,$AT$1))="云栖松"),"夕照雷峰",IF(AND(配装计算器!$K$30&lt;&gt;"∞",0),"梦泉虎跑-轻",INDEX(AU145:CB145,1,$AT$1))),"")</f>
        <v>云飞玉皇</v>
      </c>
      <c r="C145">
        <f ca="1" t="shared" si="30"/>
        <v>13.71</v>
      </c>
      <c r="D145">
        <f ca="1">IF(B145&lt;&gt;"",IF(C144&lt;=加速!$L$11*(1-E145),0,1),"")</f>
        <v>1</v>
      </c>
      <c r="E145">
        <f ca="1" t="shared" si="26"/>
        <v>0</v>
      </c>
      <c r="G145">
        <f ca="1" t="shared" si="27"/>
        <v>0</v>
      </c>
      <c r="H145">
        <f ca="1">IF(B145&lt;&gt;"",IF(AND(COUNTIF(B144,"*轻*莺鸣柳*")&gt;0,COUNTIF(B145,"*轻*")&lt;1),MAX(0,15+I144-(A145-A144)+COUNTIF(B144,"*平湖*")*0),IF(AND(E145=0,MAX(0,H144-(A145-A144))&lt;=加速!$H$11),0,MAX(0,H144-(A145-A144)))),"")</f>
        <v>0</v>
      </c>
      <c r="I145">
        <f ca="1" t="shared" si="33"/>
        <v>0</v>
      </c>
      <c r="J145">
        <f ca="1" t="shared" si="34"/>
        <v>0</v>
      </c>
      <c r="K145">
        <f ca="1">IF(A145&lt;&gt;"",IF(AND(配装计算器!$K$30&lt;&gt;"∞",0),2,INDEX(AU145:CB145,1,$AT$2)),"")</f>
        <v>0</v>
      </c>
      <c r="L145">
        <f ca="1">IFERROR(IF(AND(COUNTIF(B145,"*-峰插*"),技能数据库!$M$72&gt;0),0,IF(COUNTIF(B145,"*鹤归*")&gt;0,16-加速!$L$11,MAX(0,L144-(A145-A144)))),0)</f>
        <v>6.97000000000005</v>
      </c>
      <c r="M145">
        <f ca="1">IF(COUNTIF(IF(AND(配装计算器!$K$30&lt;&gt;"∞",0),INDEX(AU144:CB144,1,$AT$1),INDEX(AU146:CB146,1,$AT$1)),"*鹤归*")=1,L145,0)</f>
        <v>0</v>
      </c>
      <c r="N145">
        <f ca="1">IFERROR(IF(AND(COUNTIF(B145,"*-峰插*"),技能数据库!$M$72&gt;0),0,IF(COUNTIF(B145,"*云飞*")&gt;0,4-COUNTIF(B145,"*玉山揽云*")*4--COUNTIF(B145,"*烟流暮景*")*4-COUNTIF(B145,"*云景*")*加速!$L$11-IF(J145&gt;0,2,0),MAX(0,N144-(A145-A144)-IF(J145&gt;0,2,0)))),0)</f>
        <v>4</v>
      </c>
      <c r="O145">
        <f ca="1">IF(AND(COUNTIF(IF(AND(配装计算器!$K$30&lt;&gt;"∞",0),INDEX(AU144:CB144,1,$AT$1),INDEX(AU146:CB146,1,$AT$1)),"*云飞*")=1,COUNTIF(IF(AND(配装计算器!$K$30&lt;&gt;"∞",0),INDEX(AU144:CB144,1,$AT$1),INDEX(AU146:CB146,1,$AT$1)),"*玉山*")=0),N145,0)</f>
        <v>0</v>
      </c>
      <c r="P145">
        <f ca="1">IFERROR(IF(COUNTIF(B145,"*云栖松*")&gt;0,50-加速!$L$11,MAX(0,P144-(A145-A144))),0)</f>
        <v>0</v>
      </c>
      <c r="Q145">
        <f ca="1">IF(COUNTIF(IF(AND(配装计算器!$K$30&lt;&gt;"∞",0),INDEX(AU144:CB144,1,$AT$1),INDEX(AU146:CB146,1,$AT$1)),"*云栖松*")=1,P145,0)</f>
        <v>0</v>
      </c>
      <c r="R145">
        <f ca="1">IFERROR(IF(COUNTIF(B145,"*莺鸣柳*")&gt;0,45-加速!$L$9,MAX(0,R144-(A145-A144))),0)</f>
        <v>0</v>
      </c>
      <c r="S145">
        <f ca="1">IF(COUNTIF(IF(AND(配装计算器!$K$30&lt;&gt;"∞",0),INDEX(AU144:CB144,1,$AT$1),INDEX(AU146:CB146,1,$AT$1)),"*莺鸣柳*")=1,R145,0)</f>
        <v>0</v>
      </c>
      <c r="T145">
        <f ca="1" t="shared" si="31"/>
        <v>0</v>
      </c>
      <c r="U145">
        <f ca="1">IF(金蛇,IF(COUNTIF(B145,"*金环戴*")+COUNTIF(B145,"*吹风醒*")&gt;0,IF(A145&lt;=3,7.125-2.625-A145-加速!$L$11,7.125+加速!$K$9-(A145+加速!$L$11-T145)),0),0)+IF(金蛇,IF(COUNTIF(B145,"*千切子裂光*")&gt;0,2+加速!$K$9-(A145+加速!$L$11-T145),0),0)</f>
        <v>0</v>
      </c>
      <c r="V145">
        <f ca="1" t="shared" si="32"/>
        <v>0</v>
      </c>
      <c r="W145">
        <f ca="1" t="shared" si="24"/>
        <v>0</v>
      </c>
      <c r="X145">
        <f ca="1">INDEX(加速!$I$13:$I$21,技能数计算!W145+1)</f>
        <v>0</v>
      </c>
      <c r="Y145">
        <f ca="1" t="shared" si="28"/>
        <v>0.5</v>
      </c>
      <c r="Z145">
        <f ca="1" t="shared" si="29"/>
        <v>0</v>
      </c>
      <c r="AA145">
        <f ca="1">MAX(0,IFERROR(IF(COUNTIF(B145,"*叠*")&gt;0,IF(AC144&lt;3,8-A146+A145,AA144+6.875-A146+A145),AA144-A146+A145),AA144-加速!$L$11))</f>
        <v>0</v>
      </c>
      <c r="AB145">
        <f ca="1">MAX(0,IF(COUNTIF(IF(AND(配装计算器!$K$30&lt;&gt;"∞",0),INDEX(AU145:CB145,1,$AT$1),INDEX(AU145:CB145,1,$AT$1)),"*叠1*")=1,4*25-加速!$L$11,AB144-A145+A144)-IF(OR(COUNTIF(OFFSET(AT145,0,$AT$1,1,1),"*听雷*")&gt;0,AND(碧归&gt;0,COUNTIF(OFFSET(AT145,0,$AT$1,1,1),"*风来*")&gt;0)),0,1)*1.5)</f>
        <v>18.5700000000001</v>
      </c>
      <c r="AC145">
        <f ca="1" t="shared" si="25"/>
        <v>0</v>
      </c>
      <c r="AD145">
        <f ca="1">IF(COUNTIF(IF(AND(配装计算器!$K$30&lt;&gt;"∞",0),INDEX(AU145:CB145,1,$AT$1),INDEX(AU146:CB146,1,$AT$1)),"*叠1*")=1,AB145*0+AE144,0)</f>
        <v>0</v>
      </c>
      <c r="AE145">
        <f ca="1">IF($AN$11&gt;0,IF(COUNTIF(B146,"*叠1*")&gt;0,50-加速!$H$11,MAX(0,AE144-(A146-A145))),0)</f>
        <v>10.8200000000001</v>
      </c>
      <c r="AH145" t="s">
        <v>1825</v>
      </c>
      <c r="AI145" t="s">
        <v>2768</v>
      </c>
      <c r="AJ145">
        <f ca="1">循环比*COUNTIFS($B$3:$B$515,"*"&amp;AI145&amp;"*",$D$3:$D$515,"=1",$H$3:$H$515,"=0",$G$3:$G$515,"=0",$K$3:$K$515,"=2",$AC$3:$AC$515,"=1")</f>
        <v>6</v>
      </c>
      <c r="AK145" t="s">
        <v>3105</v>
      </c>
      <c r="AU145" t="s">
        <v>2776</v>
      </c>
      <c r="AV145">
        <v>1</v>
      </c>
      <c r="AW145" s="176" t="s">
        <v>2768</v>
      </c>
      <c r="AX145">
        <v>2</v>
      </c>
      <c r="AY145" t="s">
        <v>2776</v>
      </c>
      <c r="AZ145">
        <v>1</v>
      </c>
      <c r="BA145" t="s">
        <v>2768</v>
      </c>
      <c r="BB145">
        <v>1</v>
      </c>
      <c r="BC145" t="s">
        <v>2768</v>
      </c>
      <c r="BD145">
        <v>1</v>
      </c>
      <c r="BE145" s="176" t="s">
        <v>2776</v>
      </c>
      <c r="BF145">
        <v>2</v>
      </c>
      <c r="BG145" t="s">
        <v>2776</v>
      </c>
      <c r="BH145">
        <v>1</v>
      </c>
      <c r="BI145" t="s">
        <v>2776</v>
      </c>
      <c r="BJ145">
        <v>0</v>
      </c>
      <c r="BK145" t="s">
        <v>2768</v>
      </c>
      <c r="BL145">
        <v>2</v>
      </c>
      <c r="BM145" t="s">
        <v>2768</v>
      </c>
      <c r="BN145">
        <v>2</v>
      </c>
      <c r="BO145" s="176" t="s">
        <v>2768</v>
      </c>
      <c r="BP145">
        <v>2</v>
      </c>
      <c r="BQ145" t="s">
        <v>3067</v>
      </c>
      <c r="BR145">
        <v>0</v>
      </c>
      <c r="BS145" t="s">
        <v>2768</v>
      </c>
      <c r="BT145">
        <v>2</v>
      </c>
      <c r="BU145" t="s">
        <v>2776</v>
      </c>
      <c r="BV145">
        <v>1</v>
      </c>
      <c r="BW145" s="182" t="s">
        <v>2776</v>
      </c>
      <c r="BX145" s="179">
        <v>2</v>
      </c>
      <c r="BY145" s="176" t="s">
        <v>2776</v>
      </c>
      <c r="BZ145">
        <v>2</v>
      </c>
      <c r="CA145" s="176" t="s">
        <v>2776</v>
      </c>
      <c r="CB145">
        <v>2</v>
      </c>
    </row>
    <row r="146" spans="1:80">
      <c r="A146" s="178">
        <f ca="1">IFERROR(IF(A145+加速!$L$11&lt;$AS$1,IF(COUNTIF(B145,"*轻*")&gt;0,A145+加速!$L$9,A145+加速!$L$11)+V145,IF(COUNTIF(INDEX(AU146:CB146,1,$AT$1),"*云景*")+COUNTIF(INDEX(AU146:CB146,1,$AT$1),"*鹤归*")+COUNTIF(INDEX(AU146:CB146,1,$AT$1),"*听雷*")&gt;0,A145+加速!$L$11,"")),"")</f>
        <v>188.05</v>
      </c>
      <c r="B146" s="167" t="str">
        <f ca="1">IF(A146&lt;&gt;"",IF(AND(A146+加速!$L$11&gt;$AS$1,IF(AND(配装计算器!$K$30&lt;&gt;"∞",0),"梦泉虎跑-轻",INDEX(AU146:CB146,1,$AT$1))="云栖松"),"夕照雷峰",IF(AND(配装计算器!$K$30&lt;&gt;"∞",0),"梦泉虎跑-轻",INDEX(AU146:CB146,1,$AT$1))),"")</f>
        <v>夕照雷峰</v>
      </c>
      <c r="C146">
        <f ca="1" t="shared" si="30"/>
        <v>15</v>
      </c>
      <c r="D146">
        <f ca="1">IF(B146&lt;&gt;"",IF(C145&lt;=加速!$L$11*(1-E146),0,1),"")</f>
        <v>1</v>
      </c>
      <c r="E146">
        <f ca="1" t="shared" si="26"/>
        <v>0</v>
      </c>
      <c r="G146">
        <f ca="1" t="shared" si="27"/>
        <v>0</v>
      </c>
      <c r="H146">
        <f ca="1">IF(B146&lt;&gt;"",IF(AND(COUNTIF(B145,"*轻*莺鸣柳*")&gt;0,COUNTIF(B146,"*轻*")&lt;1),MAX(0,15+I145-(A146-A145)+COUNTIF(B145,"*平湖*")*0),IF(AND(E146=0,MAX(0,H145-(A146-A145))&lt;=加速!$H$11),0,MAX(0,H145-(A146-A145)))),"")</f>
        <v>0</v>
      </c>
      <c r="I146">
        <f ca="1" t="shared" si="33"/>
        <v>0</v>
      </c>
      <c r="J146">
        <f ca="1" t="shared" si="34"/>
        <v>0</v>
      </c>
      <c r="K146">
        <f ca="1">IF(A146&lt;&gt;"",IF(AND(配装计算器!$K$30&lt;&gt;"∞",0),2,INDEX(AU146:CB146,1,$AT$2)),"")</f>
        <v>0</v>
      </c>
      <c r="L146">
        <f ca="1">IFERROR(IF(AND(COUNTIF(B146,"*-峰插*"),技能数据库!$M$72&gt;0),0,IF(COUNTIF(B146,"*鹤归*")&gt;0,16-加速!$L$11,MAX(0,L145-(A146-A145)))),0)</f>
        <v>5.68000000000006</v>
      </c>
      <c r="M146">
        <f ca="1">IF(COUNTIF(IF(AND(配装计算器!$K$30&lt;&gt;"∞",0),INDEX(AU145:CB145,1,$AT$1),INDEX(AU147:CB147,1,$AT$1)),"*鹤归*")=1,L146,0)</f>
        <v>0</v>
      </c>
      <c r="N146">
        <f ca="1">IFERROR(IF(AND(COUNTIF(B146,"*-峰插*"),技能数据库!$M$72&gt;0),0,IF(COUNTIF(B146,"*云飞*")&gt;0,4-COUNTIF(B146,"*玉山揽云*")*4--COUNTIF(B146,"*烟流暮景*")*4-COUNTIF(B146,"*云景*")*加速!$L$11-IF(J146&gt;0,2,0),MAX(0,N145-(A146-A145)-IF(J146&gt;0,2,0)))),0)</f>
        <v>2.71000000000001</v>
      </c>
      <c r="O146">
        <f ca="1">IF(AND(COUNTIF(IF(AND(配装计算器!$K$30&lt;&gt;"∞",0),INDEX(AU145:CB145,1,$AT$1),INDEX(AU147:CB147,1,$AT$1)),"*云飞*")=1,COUNTIF(IF(AND(配装计算器!$K$30&lt;&gt;"∞",0),INDEX(AU145:CB145,1,$AT$1),INDEX(AU147:CB147,1,$AT$1)),"*玉山*")=0),N146,0)</f>
        <v>0</v>
      </c>
      <c r="P146">
        <f ca="1">IFERROR(IF(COUNTIF(B146,"*云栖松*")&gt;0,50-加速!$L$11,MAX(0,P145-(A146-A145))),0)</f>
        <v>0</v>
      </c>
      <c r="Q146">
        <f ca="1">IF(COUNTIF(IF(AND(配装计算器!$K$30&lt;&gt;"∞",0),INDEX(AU145:CB145,1,$AT$1),INDEX(AU147:CB147,1,$AT$1)),"*云栖松*")=1,P146,0)</f>
        <v>0</v>
      </c>
      <c r="R146">
        <f ca="1">IFERROR(IF(COUNTIF(B146,"*莺鸣柳*")&gt;0,45-加速!$L$9,MAX(0,R145-(A146-A145))),0)</f>
        <v>0</v>
      </c>
      <c r="S146">
        <f ca="1">IF(COUNTIF(IF(AND(配装计算器!$K$30&lt;&gt;"∞",0),INDEX(AU145:CB145,1,$AT$1),INDEX(AU147:CB147,1,$AT$1)),"*莺鸣柳*")=1,R146,0)</f>
        <v>0</v>
      </c>
      <c r="T146">
        <f ca="1" t="shared" si="31"/>
        <v>0</v>
      </c>
      <c r="U146">
        <f ca="1">IF(金蛇,IF(COUNTIF(B146,"*金环戴*")+COUNTIF(B146,"*吹风醒*")&gt;0,IF(A146&lt;=3,7.125-2.625-A146-加速!$L$11,7.125+加速!$K$9-(A146+加速!$L$11-T146)),0),0)+IF(金蛇,IF(COUNTIF(B146,"*千切子裂光*")&gt;0,2+加速!$K$9-(A146+加速!$L$11-T146),0),0)</f>
        <v>0</v>
      </c>
      <c r="V146">
        <f ca="1" t="shared" si="32"/>
        <v>0</v>
      </c>
      <c r="W146">
        <f ca="1" t="shared" si="24"/>
        <v>0</v>
      </c>
      <c r="X146">
        <f ca="1">INDEX(加速!$I$13:$I$21,技能数计算!W146+1)</f>
        <v>0</v>
      </c>
      <c r="Y146">
        <f ca="1" t="shared" si="28"/>
        <v>0.5</v>
      </c>
      <c r="Z146">
        <f ca="1" t="shared" si="29"/>
        <v>0</v>
      </c>
      <c r="AA146">
        <f ca="1">MAX(0,IFERROR(IF(COUNTIF(B146,"*叠*")&gt;0,IF(AC145&lt;3,8-A147+A146,AA145+6.875-A147+A146),AA145-A147+A146),AA145-加速!$L$11))</f>
        <v>0</v>
      </c>
      <c r="AB146">
        <f ca="1">MAX(0,IF(COUNTIF(IF(AND(配装计算器!$K$30&lt;&gt;"∞",0),INDEX(AU146:CB146,1,$AT$1),INDEX(AU146:CB146,1,$AT$1)),"*叠1*")=1,4*25-加速!$L$11,AB145-A146+A145)-IF(OR(COUNTIF(OFFSET(AT146,0,$AT$1,1,1),"*听雷*")&gt;0,AND(碧归&gt;0,COUNTIF(OFFSET(AT146,0,$AT$1,1,1),"*风来*")&gt;0)),0,1)*1.5)</f>
        <v>15.7800000000001</v>
      </c>
      <c r="AC146">
        <f ca="1" t="shared" si="25"/>
        <v>0</v>
      </c>
      <c r="AD146">
        <f ca="1">IF(COUNTIF(IF(AND(配装计算器!$K$30&lt;&gt;"∞",0),INDEX(AU146:CB146,1,$AT$1),INDEX(AU147:CB147,1,$AT$1)),"*叠1*")=1,AB146*0+AE145,0)</f>
        <v>0</v>
      </c>
      <c r="AE146">
        <f ca="1">IF($AN$11&gt;0,IF(COUNTIF(B147,"*叠1*")&gt;0,50-加速!$H$11,MAX(0,AE145-(A147-A146))),0)</f>
        <v>9.53000000000014</v>
      </c>
      <c r="AH146" t="s">
        <v>1825</v>
      </c>
      <c r="AI146" t="s">
        <v>2768</v>
      </c>
      <c r="AJ146">
        <f ca="1">循环比*COUNTIFS($B$3:$B$515,"*"&amp;AI146&amp;"*",$D$3:$D$515,"=1",$H$3:$H$515,"=0",$G$3:$G$515,"=0",$K$3:$K$515,"=2",$AC$3:$AC$515,"=2")</f>
        <v>3</v>
      </c>
      <c r="AK146" t="s">
        <v>3106</v>
      </c>
      <c r="AU146" t="s">
        <v>2768</v>
      </c>
      <c r="AV146">
        <v>2</v>
      </c>
      <c r="AW146" s="176" t="s">
        <v>2776</v>
      </c>
      <c r="AX146">
        <v>2</v>
      </c>
      <c r="AY146" t="s">
        <v>2768</v>
      </c>
      <c r="AZ146">
        <v>1</v>
      </c>
      <c r="BA146" t="s">
        <v>2768</v>
      </c>
      <c r="BB146">
        <v>0</v>
      </c>
      <c r="BC146" t="s">
        <v>2813</v>
      </c>
      <c r="BD146">
        <v>0</v>
      </c>
      <c r="BE146" s="176" t="s">
        <v>3035</v>
      </c>
      <c r="BF146">
        <v>2</v>
      </c>
      <c r="BG146" t="s">
        <v>2768</v>
      </c>
      <c r="BH146">
        <v>1</v>
      </c>
      <c r="BI146" t="s">
        <v>2768</v>
      </c>
      <c r="BJ146">
        <v>0</v>
      </c>
      <c r="BK146" t="s">
        <v>2776</v>
      </c>
      <c r="BL146">
        <v>2</v>
      </c>
      <c r="BM146" s="180" t="s">
        <v>2789</v>
      </c>
      <c r="BN146">
        <v>2</v>
      </c>
      <c r="BO146" s="176" t="s">
        <v>2776</v>
      </c>
      <c r="BP146">
        <v>2</v>
      </c>
      <c r="BQ146" t="s">
        <v>2776</v>
      </c>
      <c r="BR146">
        <v>2</v>
      </c>
      <c r="BS146" t="s">
        <v>2776</v>
      </c>
      <c r="BT146">
        <v>2</v>
      </c>
      <c r="BU146" t="s">
        <v>2768</v>
      </c>
      <c r="BV146">
        <v>0</v>
      </c>
      <c r="BW146" s="182" t="s">
        <v>2768</v>
      </c>
      <c r="BX146" s="179">
        <v>2</v>
      </c>
      <c r="BY146" s="176" t="s">
        <v>2768</v>
      </c>
      <c r="BZ146">
        <v>2</v>
      </c>
      <c r="CA146" s="176" t="s">
        <v>2768</v>
      </c>
      <c r="CB146">
        <v>2</v>
      </c>
    </row>
    <row r="147" spans="1:80">
      <c r="A147" s="178">
        <f ca="1">IFERROR(IF(A146+加速!$L$11&lt;$AS$1,IF(COUNTIF(B146,"*轻*")&gt;0,A146+加速!$L$9,A146+加速!$L$11)+V146,IF(COUNTIF(INDEX(AU147:CB147,1,$AT$1),"*云景*")+COUNTIF(INDEX(AU147:CB147,1,$AT$1),"*鹤归*")+COUNTIF(INDEX(AU147:CB147,1,$AT$1),"*听雷*")&gt;0,A146+加速!$L$11,"")),"")</f>
        <v>189.34</v>
      </c>
      <c r="B147" s="167" t="str">
        <f ca="1">IF(A147&lt;&gt;"",IF(AND(A147+加速!$L$11&gt;$AS$1,IF(AND(配装计算器!$K$30&lt;&gt;"∞",0),"梦泉虎跑-轻",INDEX(AU147:CB147,1,$AT$1))="云栖松"),"夕照雷峰",IF(AND(配装计算器!$K$30&lt;&gt;"∞",0),"梦泉虎跑-轻",INDEX(AU147:CB147,1,$AT$1))),"")</f>
        <v>夕照雷峰</v>
      </c>
      <c r="C147">
        <f ca="1" t="shared" si="30"/>
        <v>15</v>
      </c>
      <c r="D147">
        <f ca="1">IF(B147&lt;&gt;"",IF(C146&lt;=加速!$L$11*(1-E147),0,1),"")</f>
        <v>1</v>
      </c>
      <c r="E147">
        <f ca="1" t="shared" si="26"/>
        <v>0</v>
      </c>
      <c r="G147">
        <f ca="1" t="shared" si="27"/>
        <v>0</v>
      </c>
      <c r="H147">
        <f ca="1">IF(B147&lt;&gt;"",IF(AND(COUNTIF(B146,"*轻*莺鸣柳*")&gt;0,COUNTIF(B147,"*轻*")&lt;1),MAX(0,15+I146-(A147-A146)+COUNTIF(B146,"*平湖*")*0),IF(AND(E147=0,MAX(0,H146-(A147-A146))&lt;=加速!$H$11),0,MAX(0,H146-(A147-A146)))),"")</f>
        <v>0</v>
      </c>
      <c r="I147">
        <f ca="1" t="shared" si="33"/>
        <v>0</v>
      </c>
      <c r="J147">
        <f ca="1" t="shared" si="34"/>
        <v>0</v>
      </c>
      <c r="K147">
        <f ca="1">IF(A147&lt;&gt;"",IF(AND(配装计算器!$K$30&lt;&gt;"∞",0),2,INDEX(AU147:CB147,1,$AT$2)),"")</f>
        <v>0</v>
      </c>
      <c r="L147">
        <f ca="1">IFERROR(IF(AND(COUNTIF(B147,"*-峰插*"),技能数据库!$M$72&gt;0),0,IF(COUNTIF(B147,"*鹤归*")&gt;0,16-加速!$L$11,MAX(0,L146-(A147-A146)))),0)</f>
        <v>4.39000000000006</v>
      </c>
      <c r="M147">
        <f ca="1">IF(COUNTIF(IF(AND(配装计算器!$K$30&lt;&gt;"∞",0),INDEX(AU146:CB146,1,$AT$1),INDEX(AU148:CB148,1,$AT$1)),"*鹤归*")=1,L147,0)</f>
        <v>0</v>
      </c>
      <c r="N147">
        <f ca="1">IFERROR(IF(AND(COUNTIF(B147,"*-峰插*"),技能数据库!$M$72&gt;0),0,IF(COUNTIF(B147,"*云飞*")&gt;0,4-COUNTIF(B147,"*玉山揽云*")*4--COUNTIF(B147,"*烟流暮景*")*4-COUNTIF(B147,"*云景*")*加速!$L$11-IF(J147&gt;0,2,0),MAX(0,N146-(A147-A146)-IF(J147&gt;0,2,0)))),0)</f>
        <v>1.42000000000002</v>
      </c>
      <c r="O147">
        <f ca="1">IF(AND(COUNTIF(IF(AND(配装计算器!$K$30&lt;&gt;"∞",0),INDEX(AU146:CB146,1,$AT$1),INDEX(AU148:CB148,1,$AT$1)),"*云飞*")=1,COUNTIF(IF(AND(配装计算器!$K$30&lt;&gt;"∞",0),INDEX(AU146:CB146,1,$AT$1),INDEX(AU148:CB148,1,$AT$1)),"*玉山*")=0),N147,0)</f>
        <v>0</v>
      </c>
      <c r="P147">
        <f ca="1">IFERROR(IF(COUNTIF(B147,"*云栖松*")&gt;0,50-加速!$L$11,MAX(0,P146-(A147-A146))),0)</f>
        <v>0</v>
      </c>
      <c r="Q147">
        <f ca="1">IF(COUNTIF(IF(AND(配装计算器!$K$30&lt;&gt;"∞",0),INDEX(AU146:CB146,1,$AT$1),INDEX(AU148:CB148,1,$AT$1)),"*云栖松*")=1,P147,0)</f>
        <v>0</v>
      </c>
      <c r="R147">
        <f ca="1">IFERROR(IF(COUNTIF(B147,"*莺鸣柳*")&gt;0,45-加速!$L$9,MAX(0,R146-(A147-A146))),0)</f>
        <v>0</v>
      </c>
      <c r="S147">
        <f ca="1">IF(COUNTIF(IF(AND(配装计算器!$K$30&lt;&gt;"∞",0),INDEX(AU146:CB146,1,$AT$1),INDEX(AU148:CB148,1,$AT$1)),"*莺鸣柳*")=1,R147,0)</f>
        <v>0</v>
      </c>
      <c r="T147">
        <f ca="1" t="shared" si="31"/>
        <v>0</v>
      </c>
      <c r="U147">
        <f ca="1">IF(金蛇,IF(COUNTIF(B147,"*金环戴*")+COUNTIF(B147,"*吹风醒*")&gt;0,IF(A147&lt;=3,7.125-2.625-A147-加速!$L$11,7.125+加速!$K$9-(A147+加速!$L$11-T147)),0),0)+IF(金蛇,IF(COUNTIF(B147,"*千切子裂光*")&gt;0,2+加速!$K$9-(A147+加速!$L$11-T147),0),0)</f>
        <v>0</v>
      </c>
      <c r="V147">
        <f ca="1" t="shared" si="32"/>
        <v>0</v>
      </c>
      <c r="W147">
        <f ca="1" t="shared" si="24"/>
        <v>0</v>
      </c>
      <c r="X147">
        <f ca="1">INDEX(加速!$I$13:$I$21,技能数计算!W147+1)</f>
        <v>0</v>
      </c>
      <c r="Y147">
        <f ca="1" t="shared" si="28"/>
        <v>0.5</v>
      </c>
      <c r="Z147">
        <f ca="1" t="shared" si="29"/>
        <v>0</v>
      </c>
      <c r="AA147">
        <f ca="1">MAX(0,IFERROR(IF(COUNTIF(B147,"*叠*")&gt;0,IF(AC146&lt;3,8-A148+A147,AA146+6.875-A148+A147),AA146-A148+A147),AA146-加速!$L$11))</f>
        <v>0</v>
      </c>
      <c r="AB147">
        <f ca="1">MAX(0,IF(COUNTIF(IF(AND(配装计算器!$K$30&lt;&gt;"∞",0),INDEX(AU147:CB147,1,$AT$1),INDEX(AU147:CB147,1,$AT$1)),"*叠1*")=1,4*25-加速!$L$11,AB146-A147+A146)-IF(OR(COUNTIF(OFFSET(AT147,0,$AT$1,1,1),"*听雷*")&gt;0,AND(碧归&gt;0,COUNTIF(OFFSET(AT147,0,$AT$1,1,1),"*风来*")&gt;0)),0,1)*1.5)</f>
        <v>12.9900000000002</v>
      </c>
      <c r="AC147">
        <f ca="1" t="shared" si="25"/>
        <v>0</v>
      </c>
      <c r="AD147">
        <f ca="1">IF(COUNTIF(IF(AND(配装计算器!$K$30&lt;&gt;"∞",0),INDEX(AU147:CB147,1,$AT$1),INDEX(AU148:CB148,1,$AT$1)),"*叠1*")=1,AB147*0+AE146,0)</f>
        <v>0</v>
      </c>
      <c r="AE147">
        <f ca="1">IF($AN$11&gt;0,IF(COUNTIF(B148,"*叠1*")&gt;0,50-加速!$H$11,MAX(0,AE146-(A148-A147))),0)</f>
        <v>8.24000000000015</v>
      </c>
      <c r="AH147" t="s">
        <v>1825</v>
      </c>
      <c r="AI147" t="s">
        <v>2768</v>
      </c>
      <c r="AJ147">
        <f ca="1">循环比*COUNTIFS($B$3:$B$515,"*"&amp;AI147&amp;"*",$D$3:$D$515,"=1",$H$3:$H$515,"=0",$G$3:$G$515,"=0",$K$3:$K$515,"=2",$AC$3:$AC$515,"=3")</f>
        <v>8</v>
      </c>
      <c r="AK147" t="s">
        <v>3107</v>
      </c>
      <c r="AU147" t="s">
        <v>2768</v>
      </c>
      <c r="AV147">
        <v>2</v>
      </c>
      <c r="AW147" s="176" t="s">
        <v>2768</v>
      </c>
      <c r="AX147">
        <v>2</v>
      </c>
      <c r="AY147" t="s">
        <v>2768</v>
      </c>
      <c r="AZ147">
        <v>0</v>
      </c>
      <c r="BA147" t="s">
        <v>3010</v>
      </c>
      <c r="BB147">
        <v>2</v>
      </c>
      <c r="BC147" t="s">
        <v>2776</v>
      </c>
      <c r="BD147">
        <v>2</v>
      </c>
      <c r="BE147" t="s">
        <v>2768</v>
      </c>
      <c r="BF147">
        <v>2</v>
      </c>
      <c r="BG147" t="s">
        <v>3011</v>
      </c>
      <c r="BH147">
        <v>2</v>
      </c>
      <c r="BI147" t="s">
        <v>2768</v>
      </c>
      <c r="BJ147">
        <v>0</v>
      </c>
      <c r="BK147" t="s">
        <v>2768</v>
      </c>
      <c r="BL147">
        <v>1</v>
      </c>
      <c r="BM147" s="176" t="s">
        <v>2794</v>
      </c>
      <c r="BN147">
        <v>2</v>
      </c>
      <c r="BO147" s="176" t="s">
        <v>2768</v>
      </c>
      <c r="BP147">
        <v>2</v>
      </c>
      <c r="BQ147" t="s">
        <v>2768</v>
      </c>
      <c r="BR147">
        <v>2</v>
      </c>
      <c r="BS147" t="s">
        <v>2768</v>
      </c>
      <c r="BT147">
        <v>1</v>
      </c>
      <c r="BU147" t="s">
        <v>2768</v>
      </c>
      <c r="BV147">
        <v>0</v>
      </c>
      <c r="BW147" s="182" t="s">
        <v>2776</v>
      </c>
      <c r="BX147" s="179">
        <v>2</v>
      </c>
      <c r="BY147" s="176" t="s">
        <v>2776</v>
      </c>
      <c r="BZ147">
        <v>2</v>
      </c>
      <c r="CA147" s="176" t="s">
        <v>2776</v>
      </c>
      <c r="CB147">
        <v>2</v>
      </c>
    </row>
    <row r="148" spans="1:80">
      <c r="A148" s="178">
        <f ca="1">IFERROR(IF(A147+加速!$L$11&lt;$AS$1,IF(COUNTIF(B147,"*轻*")&gt;0,A147+加速!$L$9,A147+加速!$L$11)+V147,IF(COUNTIF(INDEX(AU148:CB148,1,$AT$1),"*云景*")+COUNTIF(INDEX(AU148:CB148,1,$AT$1),"*鹤归*")+COUNTIF(INDEX(AU148:CB148,1,$AT$1),"*听雷*")&gt;0,A147+加速!$L$11,"")),"")</f>
        <v>190.63</v>
      </c>
      <c r="B148" s="167" t="str">
        <f ca="1">IF(A148&lt;&gt;"",IF(AND(A148+加速!$L$11&gt;$AS$1,IF(AND(配装计算器!$K$30&lt;&gt;"∞",0),"梦泉虎跑-轻",INDEX(AU148:CB148,1,$AT$1))="云栖松"),"夕照雷峰",IF(AND(配装计算器!$K$30&lt;&gt;"∞",0),"梦泉虎跑-轻",INDEX(AU148:CB148,1,$AT$1))),"")</f>
        <v>听雷-轻</v>
      </c>
      <c r="C148">
        <f ca="1" t="shared" si="30"/>
        <v>13.71</v>
      </c>
      <c r="D148">
        <f ca="1">IF(B148&lt;&gt;"",IF(C147&lt;=加速!$L$11*(1-E148),0,1),"")</f>
        <v>1</v>
      </c>
      <c r="E148">
        <f ca="1" t="shared" si="26"/>
        <v>1</v>
      </c>
      <c r="G148">
        <f ca="1" t="shared" si="27"/>
        <v>0</v>
      </c>
      <c r="H148">
        <f ca="1">IF(B148&lt;&gt;"",IF(AND(COUNTIF(B147,"*轻*莺鸣柳*")&gt;0,COUNTIF(B148,"*轻*")&lt;1),MAX(0,15+I147-(A148-A147)+COUNTIF(B147,"*平湖*")*0),IF(AND(E148=0,MAX(0,H147-(A148-A147))&lt;=加速!$H$11),0,MAX(0,H147-(A148-A147)))),"")</f>
        <v>0</v>
      </c>
      <c r="I148">
        <f ca="1" t="shared" si="33"/>
        <v>0</v>
      </c>
      <c r="J148">
        <f ca="1" t="shared" si="34"/>
        <v>0</v>
      </c>
      <c r="K148">
        <f ca="1">IF(A148&lt;&gt;"",IF(AND(配装计算器!$K$30&lt;&gt;"∞",0),2,INDEX(AU148:CB148,1,$AT$2)),"")</f>
        <v>0</v>
      </c>
      <c r="L148">
        <f ca="1">IFERROR(IF(AND(COUNTIF(B148,"*-峰插*"),技能数据库!$M$72&gt;0),0,IF(COUNTIF(B148,"*鹤归*")&gt;0,16-加速!$L$11,MAX(0,L147-(A148-A147)))),0)</f>
        <v>3.10000000000007</v>
      </c>
      <c r="M148">
        <f ca="1">IF(COUNTIF(IF(AND(配装计算器!$K$30&lt;&gt;"∞",0),INDEX(AU147:CB147,1,$AT$1),INDEX(AU149:CB149,1,$AT$1)),"*鹤归*")=1,L148,0)</f>
        <v>0</v>
      </c>
      <c r="N148">
        <f ca="1">IFERROR(IF(AND(COUNTIF(B148,"*-峰插*"),技能数据库!$M$72&gt;0),0,IF(COUNTIF(B148,"*云飞*")&gt;0,4-COUNTIF(B148,"*玉山揽云*")*4--COUNTIF(B148,"*烟流暮景*")*4-COUNTIF(B148,"*云景*")*加速!$L$11-IF(J148&gt;0,2,0),MAX(0,N147-(A148-A147)-IF(J148&gt;0,2,0)))),0)</f>
        <v>0.130000000000024</v>
      </c>
      <c r="O148">
        <f ca="1">IF(AND(COUNTIF(IF(AND(配装计算器!$K$30&lt;&gt;"∞",0),INDEX(AU147:CB147,1,$AT$1),INDEX(AU149:CB149,1,$AT$1)),"*云飞*")=1,COUNTIF(IF(AND(配装计算器!$K$30&lt;&gt;"∞",0),INDEX(AU147:CB147,1,$AT$1),INDEX(AU149:CB149,1,$AT$1)),"*玉山*")=0),N148,0)</f>
        <v>0.130000000000024</v>
      </c>
      <c r="P148">
        <f ca="1">IFERROR(IF(COUNTIF(B148,"*云栖松*")&gt;0,50-加速!$L$11,MAX(0,P147-(A148-A147))),0)</f>
        <v>0</v>
      </c>
      <c r="Q148">
        <f ca="1">IF(COUNTIF(IF(AND(配装计算器!$K$30&lt;&gt;"∞",0),INDEX(AU147:CB147,1,$AT$1),INDEX(AU149:CB149,1,$AT$1)),"*云栖松*")=1,P148,0)</f>
        <v>0</v>
      </c>
      <c r="R148">
        <f ca="1">IFERROR(IF(COUNTIF(B148,"*莺鸣柳*")&gt;0,45-加速!$L$9,MAX(0,R147-(A148-A147))),0)</f>
        <v>0</v>
      </c>
      <c r="S148">
        <f ca="1">IF(COUNTIF(IF(AND(配装计算器!$K$30&lt;&gt;"∞",0),INDEX(AU147:CB147,1,$AT$1),INDEX(AU149:CB149,1,$AT$1)),"*莺鸣柳*")=1,R148,0)</f>
        <v>0</v>
      </c>
      <c r="T148">
        <f ca="1" t="shared" si="31"/>
        <v>0</v>
      </c>
      <c r="U148">
        <f ca="1">IF(金蛇,IF(COUNTIF(B148,"*金环戴*")+COUNTIF(B148,"*吹风醒*")&gt;0,IF(A148&lt;=3,7.125-2.625-A148-加速!$L$11,7.125+加速!$K$9-(A148+加速!$L$11-T148)),0),0)+IF(金蛇,IF(COUNTIF(B148,"*千切子裂光*")&gt;0,2+加速!$K$9-(A148+加速!$L$11-T148),0),0)</f>
        <v>0</v>
      </c>
      <c r="V148">
        <f ca="1" t="shared" si="32"/>
        <v>0.130000000000024</v>
      </c>
      <c r="W148">
        <f ca="1" t="shared" si="24"/>
        <v>0</v>
      </c>
      <c r="X148">
        <f ca="1">INDEX(加速!$I$13:$I$21,技能数计算!W148+1)</f>
        <v>0</v>
      </c>
      <c r="Y148">
        <f ca="1" t="shared" si="28"/>
        <v>0.5</v>
      </c>
      <c r="Z148">
        <f ca="1" t="shared" si="29"/>
        <v>0</v>
      </c>
      <c r="AA148">
        <f ca="1">MAX(0,IFERROR(IF(COUNTIF(B148,"*叠*")&gt;0,IF(AC147&lt;3,8-A149+A148,AA147+6.875-A149+A148),AA147-A149+A148),AA147-加速!$L$11))</f>
        <v>0</v>
      </c>
      <c r="AB148">
        <f ca="1">MAX(0,IF(COUNTIF(IF(AND(配装计算器!$K$30&lt;&gt;"∞",0),INDEX(AU148:CB148,1,$AT$1),INDEX(AU148:CB148,1,$AT$1)),"*叠1*")=1,4*25-加速!$L$11,AB147-A148+A147)-IF(OR(COUNTIF(OFFSET(AT148,0,$AT$1,1,1),"*听雷*")&gt;0,AND(碧归&gt;0,COUNTIF(OFFSET(AT148,0,$AT$1,1,1),"*风来*")&gt;0)),0,1)*1.5)</f>
        <v>11.7000000000002</v>
      </c>
      <c r="AC148">
        <f ca="1" t="shared" si="25"/>
        <v>0</v>
      </c>
      <c r="AD148">
        <f ca="1">IF(COUNTIF(IF(AND(配装计算器!$K$30&lt;&gt;"∞",0),INDEX(AU148:CB148,1,$AT$1),INDEX(AU149:CB149,1,$AT$1)),"*叠1*")=1,AB148*0+AE147,0)</f>
        <v>0</v>
      </c>
      <c r="AE148">
        <f ca="1">IF($AN$11&gt;0,IF(COUNTIF(B149,"*叠1*")&gt;0,50-加速!$H$11,MAX(0,AE147-(A149-A148))),0)</f>
        <v>6.82000000000014</v>
      </c>
      <c r="AH148" t="s">
        <v>1825</v>
      </c>
      <c r="AI148" t="s">
        <v>2723</v>
      </c>
      <c r="AK148" t="s">
        <v>3108</v>
      </c>
      <c r="AU148" s="176" t="s">
        <v>2794</v>
      </c>
      <c r="AV148">
        <v>2</v>
      </c>
      <c r="AW148" s="176" t="s">
        <v>2808</v>
      </c>
      <c r="AX148">
        <v>2</v>
      </c>
      <c r="AY148" t="s">
        <v>3010</v>
      </c>
      <c r="AZ148">
        <v>2</v>
      </c>
      <c r="BA148" t="s">
        <v>3013</v>
      </c>
      <c r="BB148">
        <v>2</v>
      </c>
      <c r="BC148" t="s">
        <v>2768</v>
      </c>
      <c r="BD148">
        <v>2</v>
      </c>
      <c r="BE148" t="s">
        <v>2776</v>
      </c>
      <c r="BF148">
        <v>2</v>
      </c>
      <c r="BG148" t="s">
        <v>2768</v>
      </c>
      <c r="BH148">
        <v>2</v>
      </c>
      <c r="BI148" t="s">
        <v>2722</v>
      </c>
      <c r="BJ148">
        <v>0</v>
      </c>
      <c r="BK148" t="s">
        <v>2776</v>
      </c>
      <c r="BL148">
        <v>1</v>
      </c>
      <c r="BM148" s="176" t="s">
        <v>2776</v>
      </c>
      <c r="BN148">
        <v>2</v>
      </c>
      <c r="BO148" s="176" t="s">
        <v>2808</v>
      </c>
      <c r="BP148">
        <v>2</v>
      </c>
      <c r="BQ148" t="s">
        <v>2768</v>
      </c>
      <c r="BR148">
        <v>2</v>
      </c>
      <c r="BS148" t="s">
        <v>2768</v>
      </c>
      <c r="BT148">
        <v>1</v>
      </c>
      <c r="BU148" t="s">
        <v>2776</v>
      </c>
      <c r="BV148">
        <v>0</v>
      </c>
      <c r="BW148" s="182" t="s">
        <v>2768</v>
      </c>
      <c r="BX148" s="179">
        <v>2</v>
      </c>
      <c r="BY148" s="176" t="s">
        <v>2768</v>
      </c>
      <c r="BZ148">
        <v>2</v>
      </c>
      <c r="CA148" s="176" t="s">
        <v>2768</v>
      </c>
      <c r="CB148">
        <v>2</v>
      </c>
    </row>
    <row r="149" spans="1:80">
      <c r="A149" s="178">
        <f ca="1">IFERROR(IF(A148+加速!$L$11&lt;$AS$1,IF(COUNTIF(B148,"*轻*")&gt;0,A148+加速!$L$9,A148+加速!$L$11)+V148,IF(COUNTIF(INDEX(AU149:CB149,1,$AT$1),"*云景*")+COUNTIF(INDEX(AU149:CB149,1,$AT$1),"*鹤归*")+COUNTIF(INDEX(AU149:CB149,1,$AT$1),"*听雷*")&gt;0,A148+加速!$L$11,"")),"")</f>
        <v>192.05</v>
      </c>
      <c r="B149" s="167" t="str">
        <f ca="1">IF(A149&lt;&gt;"",IF(AND(A149+加速!$L$11&gt;$AS$1,IF(AND(配装计算器!$K$30&lt;&gt;"∞",0),"梦泉虎跑-轻",INDEX(AU149:CB149,1,$AT$1))="云栖松"),"夕照雷峰",IF(AND(配装计算器!$K$30&lt;&gt;"∞",0),"梦泉虎跑-轻",INDEX(AU149:CB149,1,$AT$1))),"")</f>
        <v>云飞玉皇</v>
      </c>
      <c r="C149">
        <f ca="1" t="shared" si="30"/>
        <v>12.29</v>
      </c>
      <c r="D149">
        <f ca="1">IF(B149&lt;&gt;"",IF(C148&lt;=加速!$L$11*(1-E149),0,1),"")</f>
        <v>1</v>
      </c>
      <c r="E149">
        <f ca="1" t="shared" si="26"/>
        <v>0</v>
      </c>
      <c r="G149">
        <f ca="1" t="shared" si="27"/>
        <v>0</v>
      </c>
      <c r="H149">
        <f ca="1">IF(B149&lt;&gt;"",IF(AND(COUNTIF(B148,"*轻*莺鸣柳*")&gt;0,COUNTIF(B149,"*轻*")&lt;1),MAX(0,15+I148-(A149-A148)+COUNTIF(B148,"*平湖*")*0),IF(AND(E149=0,MAX(0,H148-(A149-A148))&lt;=加速!$H$11),0,MAX(0,H148-(A149-A148)))),"")</f>
        <v>0</v>
      </c>
      <c r="I149">
        <f ca="1" t="shared" si="33"/>
        <v>0</v>
      </c>
      <c r="J149">
        <f ca="1" t="shared" si="34"/>
        <v>0</v>
      </c>
      <c r="K149">
        <f ca="1">IF(A149&lt;&gt;"",IF(AND(配装计算器!$K$30&lt;&gt;"∞",0),2,INDEX(AU149:CB149,1,$AT$2)),"")</f>
        <v>2</v>
      </c>
      <c r="L149">
        <f ca="1">IFERROR(IF(AND(COUNTIF(B149,"*-峰插*"),技能数据库!$M$72&gt;0),0,IF(COUNTIF(B149,"*鹤归*")&gt;0,16-加速!$L$11,MAX(0,L148-(A149-A148)))),0)</f>
        <v>1.68000000000006</v>
      </c>
      <c r="M149">
        <f ca="1">IF(COUNTIF(IF(AND(配装计算器!$K$30&lt;&gt;"∞",0),INDEX(AU148:CB148,1,$AT$1),INDEX(AU150:CB150,1,$AT$1)),"*鹤归*")=1,L149,0)</f>
        <v>0</v>
      </c>
      <c r="N149">
        <f ca="1">IFERROR(IF(AND(COUNTIF(B149,"*-峰插*"),技能数据库!$M$72&gt;0),0,IF(COUNTIF(B149,"*云飞*")&gt;0,4-COUNTIF(B149,"*玉山揽云*")*4--COUNTIF(B149,"*烟流暮景*")*4-COUNTIF(B149,"*云景*")*加速!$L$11-IF(J149&gt;0,2,0),MAX(0,N148-(A149-A148)-IF(J149&gt;0,2,0)))),0)</f>
        <v>4</v>
      </c>
      <c r="O149">
        <f ca="1">IF(AND(COUNTIF(IF(AND(配装计算器!$K$30&lt;&gt;"∞",0),INDEX(AU148:CB148,1,$AT$1),INDEX(AU150:CB150,1,$AT$1)),"*云飞*")=1,COUNTIF(IF(AND(配装计算器!$K$30&lt;&gt;"∞",0),INDEX(AU148:CB148,1,$AT$1),INDEX(AU150:CB150,1,$AT$1)),"*玉山*")=0),N149,0)</f>
        <v>0</v>
      </c>
      <c r="P149">
        <f ca="1">IFERROR(IF(COUNTIF(B149,"*云栖松*")&gt;0,50-加速!$L$11,MAX(0,P148-(A149-A148))),0)</f>
        <v>0</v>
      </c>
      <c r="Q149">
        <f ca="1">IF(COUNTIF(IF(AND(配装计算器!$K$30&lt;&gt;"∞",0),INDEX(AU148:CB148,1,$AT$1),INDEX(AU150:CB150,1,$AT$1)),"*云栖松*")=1,P149,0)</f>
        <v>0</v>
      </c>
      <c r="R149">
        <f ca="1">IFERROR(IF(COUNTIF(B149,"*莺鸣柳*")&gt;0,45-加速!$L$9,MAX(0,R148-(A149-A148))),0)</f>
        <v>0</v>
      </c>
      <c r="S149">
        <f ca="1">IF(COUNTIF(IF(AND(配装计算器!$K$30&lt;&gt;"∞",0),INDEX(AU148:CB148,1,$AT$1),INDEX(AU150:CB150,1,$AT$1)),"*莺鸣柳*")=1,R149,0)</f>
        <v>0</v>
      </c>
      <c r="T149">
        <f ca="1" t="shared" si="31"/>
        <v>0</v>
      </c>
      <c r="U149">
        <f ca="1">IF(金蛇,IF(COUNTIF(B149,"*金环戴*")+COUNTIF(B149,"*吹风醒*")&gt;0,IF(A149&lt;=3,7.125-2.625-A149-加速!$L$11,7.125+加速!$K$9-(A149+加速!$L$11-T149)),0),0)+IF(金蛇,IF(COUNTIF(B149,"*千切子裂光*")&gt;0,2+加速!$K$9-(A149+加速!$L$11-T149),0),0)</f>
        <v>0</v>
      </c>
      <c r="V149">
        <f ca="1" t="shared" si="32"/>
        <v>0</v>
      </c>
      <c r="W149">
        <f ca="1" t="shared" si="24"/>
        <v>0</v>
      </c>
      <c r="X149">
        <f ca="1">INDEX(加速!$I$13:$I$21,技能数计算!W149+1)</f>
        <v>0</v>
      </c>
      <c r="Y149">
        <f ca="1" t="shared" si="28"/>
        <v>0.5</v>
      </c>
      <c r="Z149">
        <f ca="1" t="shared" si="29"/>
        <v>0</v>
      </c>
      <c r="AA149">
        <f ca="1">MAX(0,IFERROR(IF(COUNTIF(B149,"*叠*")&gt;0,IF(AC148&lt;3,8-A150+A149,AA148+6.875-A150+A149),AA148-A150+A149),AA148-加速!$L$11))</f>
        <v>0</v>
      </c>
      <c r="AB149">
        <f ca="1">MAX(0,IF(COUNTIF(IF(AND(配装计算器!$K$30&lt;&gt;"∞",0),INDEX(AU149:CB149,1,$AT$1),INDEX(AU149:CB149,1,$AT$1)),"*叠1*")=1,4*25-加速!$L$11,AB148-A149+A148)-IF(OR(COUNTIF(OFFSET(AT149,0,$AT$1,1,1),"*听雷*")&gt;0,AND(碧归&gt;0,COUNTIF(OFFSET(AT149,0,$AT$1,1,1),"*风来*")&gt;0)),0,1)*1.5)</f>
        <v>8.78000000000014</v>
      </c>
      <c r="AC149">
        <f ca="1" t="shared" si="25"/>
        <v>0</v>
      </c>
      <c r="AD149">
        <f ca="1">IF(COUNTIF(IF(AND(配装计算器!$K$30&lt;&gt;"∞",0),INDEX(AU149:CB149,1,$AT$1),INDEX(AU150:CB150,1,$AT$1)),"*叠1*")=1,AB149*0+AE148,0)</f>
        <v>0</v>
      </c>
      <c r="AE149">
        <f ca="1">IF($AN$11&gt;0,IF(COUNTIF(B150,"*叠1*")&gt;0,50-加速!$H$11,MAX(0,AE148-(A150-A149))),0)</f>
        <v>5.53000000000014</v>
      </c>
      <c r="AH149" t="s">
        <v>1825</v>
      </c>
      <c r="AI149" t="s">
        <v>2723</v>
      </c>
      <c r="AK149" t="s">
        <v>3109</v>
      </c>
      <c r="AU149" s="176" t="s">
        <v>2776</v>
      </c>
      <c r="AV149">
        <v>2</v>
      </c>
      <c r="AW149" t="str">
        <f>IF($AN$11=1,"云飞玉皇-玉山揽云","夕照雷峰")</f>
        <v>云飞玉皇-玉山揽云</v>
      </c>
      <c r="AX149">
        <v>2</v>
      </c>
      <c r="AY149" t="s">
        <v>3013</v>
      </c>
      <c r="AZ149">
        <v>2</v>
      </c>
      <c r="BA149" t="s">
        <v>3017</v>
      </c>
      <c r="BB149">
        <v>2</v>
      </c>
      <c r="BC149" t="s">
        <v>2768</v>
      </c>
      <c r="BD149">
        <v>2</v>
      </c>
      <c r="BE149" t="s">
        <v>2768</v>
      </c>
      <c r="BF149">
        <v>2</v>
      </c>
      <c r="BG149" t="s">
        <v>3018</v>
      </c>
      <c r="BH149">
        <v>2</v>
      </c>
      <c r="BI149" t="s">
        <v>2776</v>
      </c>
      <c r="BJ149">
        <v>2</v>
      </c>
      <c r="BK149" t="s">
        <v>2768</v>
      </c>
      <c r="BL149">
        <v>0</v>
      </c>
      <c r="BM149" s="176" t="s">
        <v>2768</v>
      </c>
      <c r="BN149">
        <v>2</v>
      </c>
      <c r="BO149" t="str">
        <f>IF(0,"云飞玉皇-玉山揽云","夕照雷峰")</f>
        <v>夕照雷峰</v>
      </c>
      <c r="BP149">
        <v>2</v>
      </c>
      <c r="BQ149" t="s">
        <v>2768</v>
      </c>
      <c r="BR149">
        <v>1</v>
      </c>
      <c r="BS149" t="s">
        <v>2768</v>
      </c>
      <c r="BT149">
        <v>0</v>
      </c>
      <c r="BU149" t="s">
        <v>3067</v>
      </c>
      <c r="BV149">
        <v>0</v>
      </c>
      <c r="BW149" s="182" t="s">
        <v>2808</v>
      </c>
      <c r="BX149" s="179">
        <v>2</v>
      </c>
      <c r="BY149" s="176" t="s">
        <v>2808</v>
      </c>
      <c r="BZ149">
        <v>2</v>
      </c>
      <c r="CA149" s="176" t="s">
        <v>2808</v>
      </c>
      <c r="CB149">
        <v>2</v>
      </c>
    </row>
    <row r="150" spans="1:80">
      <c r="A150" s="178">
        <f ca="1">IFERROR(IF(A149+加速!$L$11&lt;$AS$1,IF(COUNTIF(B149,"*轻*")&gt;0,A149+加速!$L$9,A149+加速!$L$11)+V149,IF(COUNTIF(INDEX(AU150:CB150,1,$AT$1),"*云景*")+COUNTIF(INDEX(AU150:CB150,1,$AT$1),"*鹤归*")+COUNTIF(INDEX(AU150:CB150,1,$AT$1),"*听雷*")&gt;0,A149+加速!$L$11,"")),"")</f>
        <v>193.34</v>
      </c>
      <c r="B150" s="167" t="str">
        <f ca="1">IF(A150&lt;&gt;"",IF(AND(A150+加速!$L$11&gt;$AS$1,IF(AND(配装计算器!$K$30&lt;&gt;"∞",0),"梦泉虎跑-轻",INDEX(AU150:CB150,1,$AT$1))="云栖松"),"夕照雷峰",IF(AND(配装计算器!$K$30&lt;&gt;"∞",0),"梦泉虎跑-轻",INDEX(AU150:CB150,1,$AT$1))),"")</f>
        <v>夕照雷峰</v>
      </c>
      <c r="C150">
        <f ca="1" t="shared" si="30"/>
        <v>15</v>
      </c>
      <c r="D150">
        <f ca="1">IF(B150&lt;&gt;"",IF(C149&lt;=加速!$L$11*(1-E150),0,1),"")</f>
        <v>1</v>
      </c>
      <c r="E150">
        <f ca="1" t="shared" si="26"/>
        <v>0</v>
      </c>
      <c r="G150">
        <f ca="1" t="shared" si="27"/>
        <v>0</v>
      </c>
      <c r="H150">
        <f ca="1">IF(B150&lt;&gt;"",IF(AND(COUNTIF(B149,"*轻*莺鸣柳*")&gt;0,COUNTIF(B150,"*轻*")&lt;1),MAX(0,15+I149-(A150-A149)+COUNTIF(B149,"*平湖*")*0),IF(AND(E150=0,MAX(0,H149-(A150-A149))&lt;=加速!$H$11),0,MAX(0,H149-(A150-A149)))),"")</f>
        <v>0</v>
      </c>
      <c r="I150">
        <f ca="1" t="shared" si="33"/>
        <v>0</v>
      </c>
      <c r="J150">
        <f ca="1" t="shared" si="34"/>
        <v>0</v>
      </c>
      <c r="K150">
        <f ca="1">IF(A150&lt;&gt;"",IF(AND(配装计算器!$K$30&lt;&gt;"∞",0),2,INDEX(AU150:CB150,1,$AT$2)),"")</f>
        <v>2</v>
      </c>
      <c r="L150">
        <f ca="1">IFERROR(IF(AND(COUNTIF(B150,"*-峰插*"),技能数据库!$M$72&gt;0),0,IF(COUNTIF(B150,"*鹤归*")&gt;0,16-加速!$L$11,MAX(0,L149-(A150-A149)))),0)</f>
        <v>0.390000000000065</v>
      </c>
      <c r="M150">
        <f ca="1">IF(COUNTIF(IF(AND(配装计算器!$K$30&lt;&gt;"∞",0),INDEX(AU149:CB149,1,$AT$1),INDEX(AU151:CB151,1,$AT$1)),"*鹤归*")=1,L150,0)</f>
        <v>0</v>
      </c>
      <c r="N150">
        <f ca="1">IFERROR(IF(AND(COUNTIF(B150,"*-峰插*"),技能数据库!$M$72&gt;0),0,IF(COUNTIF(B150,"*云飞*")&gt;0,4-COUNTIF(B150,"*玉山揽云*")*4--COUNTIF(B150,"*烟流暮景*")*4-COUNTIF(B150,"*云景*")*加速!$L$11-IF(J150&gt;0,2,0),MAX(0,N149-(A150-A149)-IF(J150&gt;0,2,0)))),0)</f>
        <v>2.71000000000001</v>
      </c>
      <c r="O150">
        <f ca="1">IF(AND(COUNTIF(IF(AND(配装计算器!$K$30&lt;&gt;"∞",0),INDEX(AU149:CB149,1,$AT$1),INDEX(AU151:CB151,1,$AT$1)),"*云飞*")=1,COUNTIF(IF(AND(配装计算器!$K$30&lt;&gt;"∞",0),INDEX(AU149:CB149,1,$AT$1),INDEX(AU151:CB151,1,$AT$1)),"*玉山*")=0),N150,0)</f>
        <v>0</v>
      </c>
      <c r="P150">
        <f ca="1">IFERROR(IF(COUNTIF(B150,"*云栖松*")&gt;0,50-加速!$L$11,MAX(0,P149-(A150-A149))),0)</f>
        <v>0</v>
      </c>
      <c r="Q150">
        <f ca="1">IF(COUNTIF(IF(AND(配装计算器!$K$30&lt;&gt;"∞",0),INDEX(AU149:CB149,1,$AT$1),INDEX(AU151:CB151,1,$AT$1)),"*云栖松*")=1,P150,0)</f>
        <v>0</v>
      </c>
      <c r="R150">
        <f ca="1">IFERROR(IF(COUNTIF(B150,"*莺鸣柳*")&gt;0,45-加速!$L$9,MAX(0,R149-(A150-A149))),0)</f>
        <v>0</v>
      </c>
      <c r="S150">
        <f ca="1">IF(COUNTIF(IF(AND(配装计算器!$K$30&lt;&gt;"∞",0),INDEX(AU149:CB149,1,$AT$1),INDEX(AU151:CB151,1,$AT$1)),"*莺鸣柳*")=1,R150,0)</f>
        <v>0</v>
      </c>
      <c r="T150">
        <f ca="1" t="shared" si="31"/>
        <v>0</v>
      </c>
      <c r="U150">
        <f ca="1">IF(金蛇,IF(COUNTIF(B150,"*金环戴*")+COUNTIF(B150,"*吹风醒*")&gt;0,IF(A150&lt;=3,7.125-2.625-A150-加速!$L$11,7.125+加速!$K$9-(A150+加速!$L$11-T150)),0),0)+IF(金蛇,IF(COUNTIF(B150,"*千切子裂光*")&gt;0,2+加速!$K$9-(A150+加速!$L$11-T150),0),0)</f>
        <v>0</v>
      </c>
      <c r="V150">
        <f ca="1" t="shared" si="32"/>
        <v>0</v>
      </c>
      <c r="W150">
        <f ca="1" t="shared" si="24"/>
        <v>0</v>
      </c>
      <c r="X150">
        <f ca="1">INDEX(加速!$I$13:$I$21,技能数计算!W150+1)</f>
        <v>0</v>
      </c>
      <c r="Y150">
        <f ca="1" t="shared" si="28"/>
        <v>0.5</v>
      </c>
      <c r="Z150">
        <f ca="1" t="shared" si="29"/>
        <v>0</v>
      </c>
      <c r="AA150">
        <f ca="1">MAX(0,IFERROR(IF(COUNTIF(B150,"*叠*")&gt;0,IF(AC149&lt;3,8-A151+A150,AA149+6.875-A151+A150),AA149-A151+A150),AA149-加速!$L$11))</f>
        <v>0</v>
      </c>
      <c r="AB150">
        <f ca="1">MAX(0,IF(COUNTIF(IF(AND(配装计算器!$K$30&lt;&gt;"∞",0),INDEX(AU150:CB150,1,$AT$1),INDEX(AU150:CB150,1,$AT$1)),"*叠1*")=1,4*25-加速!$L$11,AB149-A150+A149)-IF(OR(COUNTIF(OFFSET(AT150,0,$AT$1,1,1),"*听雷*")&gt;0,AND(碧归&gt;0,COUNTIF(OFFSET(AT150,0,$AT$1,1,1),"*风来*")&gt;0)),0,1)*1.5)</f>
        <v>5.99000000000015</v>
      </c>
      <c r="AC150">
        <f ca="1" t="shared" si="25"/>
        <v>0</v>
      </c>
      <c r="AD150">
        <f ca="1">IF(COUNTIF(IF(AND(配装计算器!$K$30&lt;&gt;"∞",0),INDEX(AU150:CB150,1,$AT$1),INDEX(AU151:CB151,1,$AT$1)),"*叠1*")=1,AB150*0+AE149,0)</f>
        <v>0</v>
      </c>
      <c r="AE150">
        <f ca="1">IF($AN$11&gt;0,IF(COUNTIF(B151,"*叠1*")&gt;0,50-加速!$H$11,MAX(0,AE149-(A151-A150))),0)</f>
        <v>4.24000000000015</v>
      </c>
      <c r="AH150" t="s">
        <v>1825</v>
      </c>
      <c r="AI150" t="s">
        <v>2723</v>
      </c>
      <c r="AK150" t="s">
        <v>3110</v>
      </c>
      <c r="AU150" s="176" t="s">
        <v>2768</v>
      </c>
      <c r="AV150">
        <v>1</v>
      </c>
      <c r="AW150" t="str">
        <f>IF($AN$11=1,"云飞玉皇-玉山揽云","云飞玉皇")</f>
        <v>云飞玉皇-玉山揽云</v>
      </c>
      <c r="AX150">
        <v>2</v>
      </c>
      <c r="AY150" t="s">
        <v>3017</v>
      </c>
      <c r="AZ150">
        <v>2</v>
      </c>
      <c r="BA150" t="s">
        <v>2808</v>
      </c>
      <c r="BB150">
        <v>2</v>
      </c>
      <c r="BC150" t="s">
        <v>2768</v>
      </c>
      <c r="BD150">
        <v>1</v>
      </c>
      <c r="BE150" t="s">
        <v>2776</v>
      </c>
      <c r="BF150">
        <v>2</v>
      </c>
      <c r="BG150" t="s">
        <v>2768</v>
      </c>
      <c r="BH150">
        <v>2</v>
      </c>
      <c r="BI150" t="s">
        <v>2768</v>
      </c>
      <c r="BJ150">
        <v>2</v>
      </c>
      <c r="BK150" t="s">
        <v>3056</v>
      </c>
      <c r="BL150">
        <v>0</v>
      </c>
      <c r="BM150" s="176" t="s">
        <v>2776</v>
      </c>
      <c r="BN150">
        <v>2</v>
      </c>
      <c r="BO150" t="str">
        <f>IF(0,"云飞玉皇-玉山揽云","云飞玉皇")</f>
        <v>云飞玉皇</v>
      </c>
      <c r="BP150">
        <v>2</v>
      </c>
      <c r="BQ150" t="s">
        <v>2776</v>
      </c>
      <c r="BR150">
        <v>1</v>
      </c>
      <c r="BS150" t="s">
        <v>2776</v>
      </c>
      <c r="BT150">
        <v>0</v>
      </c>
      <c r="BU150" t="s">
        <v>2768</v>
      </c>
      <c r="BV150">
        <v>2</v>
      </c>
      <c r="BW150" s="179" t="s">
        <v>2768</v>
      </c>
      <c r="BX150" s="179">
        <v>2</v>
      </c>
      <c r="BY150" t="s">
        <v>2768</v>
      </c>
      <c r="BZ150">
        <v>2</v>
      </c>
      <c r="CA150" t="str">
        <f>IF(0,"风来吴山","夕照雷峰")</f>
        <v>夕照雷峰</v>
      </c>
      <c r="CB150">
        <v>2</v>
      </c>
    </row>
    <row r="151" spans="1:80">
      <c r="A151" s="178">
        <f ca="1">IFERROR(IF(A150+加速!$L$11&lt;$AS$1,IF(COUNTIF(B150,"*轻*")&gt;0,A150+加速!$L$9,A150+加速!$L$11)+V150,IF(COUNTIF(INDEX(AU151:CB151,1,$AT$1),"*云景*")+COUNTIF(INDEX(AU151:CB151,1,$AT$1),"*鹤归*")+COUNTIF(INDEX(AU151:CB151,1,$AT$1),"*听雷*")&gt;0,A150+加速!$L$11,"")),"")</f>
        <v>194.63</v>
      </c>
      <c r="B151" s="167" t="str">
        <f ca="1">IF(A151&lt;&gt;"",IF(AND(A151+加速!$L$11&gt;$AS$1,IF(AND(配装计算器!$K$30&lt;&gt;"∞",0),"梦泉虎跑-轻",INDEX(AU151:CB151,1,$AT$1))="云栖松"),"夕照雷峰",IF(AND(配装计算器!$K$30&lt;&gt;"∞",0),"梦泉虎跑-轻",INDEX(AU151:CB151,1,$AT$1))),"")</f>
        <v>夕照雷峰</v>
      </c>
      <c r="C151">
        <f ca="1" t="shared" si="30"/>
        <v>15</v>
      </c>
      <c r="D151">
        <f ca="1">IF(B151&lt;&gt;"",IF(C150&lt;=加速!$L$11*(1-E151),0,1),"")</f>
        <v>1</v>
      </c>
      <c r="E151">
        <f ca="1" t="shared" si="26"/>
        <v>0</v>
      </c>
      <c r="G151">
        <f ca="1" t="shared" si="27"/>
        <v>0</v>
      </c>
      <c r="H151">
        <f ca="1">IF(B151&lt;&gt;"",IF(AND(COUNTIF(B150,"*轻*莺鸣柳*")&gt;0,COUNTIF(B151,"*轻*")&lt;1),MAX(0,15+I150-(A151-A150)+COUNTIF(B150,"*平湖*")*0),IF(AND(E151=0,MAX(0,H150-(A151-A150))&lt;=加速!$H$11),0,MAX(0,H150-(A151-A150)))),"")</f>
        <v>0</v>
      </c>
      <c r="I151">
        <f ca="1" t="shared" si="33"/>
        <v>0</v>
      </c>
      <c r="J151">
        <f ca="1" t="shared" si="34"/>
        <v>0</v>
      </c>
      <c r="K151">
        <f ca="1">IF(A151&lt;&gt;"",IF(AND(配装计算器!$K$30&lt;&gt;"∞",0),2,INDEX(AU151:CB151,1,$AT$2)),"")</f>
        <v>2</v>
      </c>
      <c r="L151">
        <f ca="1">IFERROR(IF(AND(COUNTIF(B151,"*-峰插*"),技能数据库!$M$72&gt;0),0,IF(COUNTIF(B151,"*鹤归*")&gt;0,16-加速!$L$11,MAX(0,L150-(A151-A150)))),0)</f>
        <v>0</v>
      </c>
      <c r="M151">
        <f ca="1">IF(COUNTIF(IF(AND(配装计算器!$K$30&lt;&gt;"∞",0),INDEX(AU150:CB150,1,$AT$1),INDEX(AU152:CB152,1,$AT$1)),"*鹤归*")=1,L151,0)</f>
        <v>0</v>
      </c>
      <c r="N151">
        <f ca="1">IFERROR(IF(AND(COUNTIF(B151,"*-峰插*"),技能数据库!$M$72&gt;0),0,IF(COUNTIF(B151,"*云飞*")&gt;0,4-COUNTIF(B151,"*玉山揽云*")*4--COUNTIF(B151,"*烟流暮景*")*4-COUNTIF(B151,"*云景*")*加速!$L$11-IF(J151&gt;0,2,0),MAX(0,N150-(A151-A150)-IF(J151&gt;0,2,0)))),0)</f>
        <v>1.42000000000002</v>
      </c>
      <c r="O151">
        <f ca="1">IF(AND(COUNTIF(IF(AND(配装计算器!$K$30&lt;&gt;"∞",0),INDEX(AU150:CB150,1,$AT$1),INDEX(AU152:CB152,1,$AT$1)),"*云飞*")=1,COUNTIF(IF(AND(配装计算器!$K$30&lt;&gt;"∞",0),INDEX(AU150:CB150,1,$AT$1),INDEX(AU152:CB152,1,$AT$1)),"*玉山*")=0),N151,0)</f>
        <v>0</v>
      </c>
      <c r="P151">
        <f ca="1">IFERROR(IF(COUNTIF(B151,"*云栖松*")&gt;0,50-加速!$L$11,MAX(0,P150-(A151-A150))),0)</f>
        <v>0</v>
      </c>
      <c r="Q151">
        <f ca="1">IF(COUNTIF(IF(AND(配装计算器!$K$30&lt;&gt;"∞",0),INDEX(AU150:CB150,1,$AT$1),INDEX(AU152:CB152,1,$AT$1)),"*云栖松*")=1,P151,0)</f>
        <v>0</v>
      </c>
      <c r="R151">
        <f ca="1">IFERROR(IF(COUNTIF(B151,"*莺鸣柳*")&gt;0,45-加速!$L$9,MAX(0,R150-(A151-A150))),0)</f>
        <v>0</v>
      </c>
      <c r="S151">
        <f ca="1">IF(COUNTIF(IF(AND(配装计算器!$K$30&lt;&gt;"∞",0),INDEX(AU150:CB150,1,$AT$1),INDEX(AU152:CB152,1,$AT$1)),"*莺鸣柳*")=1,R151,0)</f>
        <v>0</v>
      </c>
      <c r="T151">
        <f ca="1" t="shared" si="31"/>
        <v>0</v>
      </c>
      <c r="U151">
        <f ca="1">IF(金蛇,IF(COUNTIF(B151,"*金环戴*")+COUNTIF(B151,"*吹风醒*")&gt;0,IF(A151&lt;=3,7.125-2.625-A151-加速!$L$11,7.125+加速!$K$9-(A151+加速!$L$11-T151)),0),0)+IF(金蛇,IF(COUNTIF(B151,"*千切子裂光*")&gt;0,2+加速!$K$9-(A151+加速!$L$11-T151),0),0)</f>
        <v>0</v>
      </c>
      <c r="V151">
        <f ca="1" t="shared" si="32"/>
        <v>0</v>
      </c>
      <c r="W151">
        <f ca="1" t="shared" si="24"/>
        <v>0</v>
      </c>
      <c r="X151">
        <f ca="1">INDEX(加速!$I$13:$I$21,技能数计算!W151+1)</f>
        <v>0</v>
      </c>
      <c r="Y151">
        <f ca="1" t="shared" si="28"/>
        <v>0.5</v>
      </c>
      <c r="Z151">
        <f ca="1" t="shared" si="29"/>
        <v>0</v>
      </c>
      <c r="AA151">
        <f ca="1">MAX(0,IFERROR(IF(COUNTIF(B151,"*叠*")&gt;0,IF(AC150&lt;3,8-A152+A151,AA150+6.875-A152+A151),AA150-A152+A151),AA150-加速!$L$11))</f>
        <v>0</v>
      </c>
      <c r="AB151">
        <f ca="1">MAX(0,IF(COUNTIF(IF(AND(配装计算器!$K$30&lt;&gt;"∞",0),INDEX(AU151:CB151,1,$AT$1),INDEX(AU151:CB151,1,$AT$1)),"*叠1*")=1,4*25-加速!$L$11,AB150-A151+A150)-IF(OR(COUNTIF(OFFSET(AT151,0,$AT$1,1,1),"*听雷*")&gt;0,AND(碧归&gt;0,COUNTIF(OFFSET(AT151,0,$AT$1,1,1),"*风来*")&gt;0)),0,1)*1.5)</f>
        <v>3.20000000000016</v>
      </c>
      <c r="AC151">
        <f ca="1" t="shared" si="25"/>
        <v>0</v>
      </c>
      <c r="AD151">
        <f ca="1">IF(COUNTIF(IF(AND(配装计算器!$K$30&lt;&gt;"∞",0),INDEX(AU151:CB151,1,$AT$1),INDEX(AU152:CB152,1,$AT$1)),"*叠1*")=1,AB151*0+AE150,0)</f>
        <v>0</v>
      </c>
      <c r="AE151">
        <f ca="1">IF($AN$11&gt;0,IF(COUNTIF(B152,"*叠1*")&gt;0,50-加速!$H$11,MAX(0,AE150-(A152-A151))),0)</f>
        <v>2.95000000000016</v>
      </c>
      <c r="AH151" t="s">
        <v>1825</v>
      </c>
      <c r="AI151" t="s">
        <v>2792</v>
      </c>
      <c r="AJ151">
        <f ca="1">AJ154+AJ169/16+(AJ163+AJ166)/2+AJ198</f>
        <v>5.5</v>
      </c>
      <c r="AK151" t="s">
        <v>3108</v>
      </c>
      <c r="AU151" s="176" t="s">
        <v>2776</v>
      </c>
      <c r="AV151">
        <v>2</v>
      </c>
      <c r="AW151" t="str">
        <f>IF($AN$11=1,"云飞玉皇-玉山揽云","夕照雷峰")</f>
        <v>云飞玉皇-玉山揽云</v>
      </c>
      <c r="AX151">
        <v>2</v>
      </c>
      <c r="AY151" t="s">
        <v>2808</v>
      </c>
      <c r="AZ151">
        <v>2</v>
      </c>
      <c r="BA151" t="s">
        <v>3022</v>
      </c>
      <c r="BB151">
        <v>2</v>
      </c>
      <c r="BC151" t="s">
        <v>2776</v>
      </c>
      <c r="BD151">
        <v>1</v>
      </c>
      <c r="BE151" t="s">
        <v>3042</v>
      </c>
      <c r="BF151">
        <v>2</v>
      </c>
      <c r="BG151" s="182" t="s">
        <v>3023</v>
      </c>
      <c r="BH151">
        <v>2</v>
      </c>
      <c r="BI151" t="s">
        <v>2768</v>
      </c>
      <c r="BJ151">
        <v>2</v>
      </c>
      <c r="BK151" t="s">
        <v>2768</v>
      </c>
      <c r="BL151">
        <v>2</v>
      </c>
      <c r="BM151" s="176" t="s">
        <v>2768</v>
      </c>
      <c r="BN151">
        <v>2</v>
      </c>
      <c r="BO151" t="str">
        <f>IF(0,"云飞玉皇-玉山揽云","夕照雷峰")</f>
        <v>夕照雷峰</v>
      </c>
      <c r="BP151">
        <v>2</v>
      </c>
      <c r="BQ151" t="s">
        <v>2768</v>
      </c>
      <c r="BR151">
        <v>1</v>
      </c>
      <c r="BS151" t="s">
        <v>2768</v>
      </c>
      <c r="BT151">
        <v>0</v>
      </c>
      <c r="BU151" t="s">
        <v>2768</v>
      </c>
      <c r="BV151">
        <v>2</v>
      </c>
      <c r="BW151" s="179" t="s">
        <v>2776</v>
      </c>
      <c r="BX151" s="179">
        <v>2</v>
      </c>
      <c r="BY151" t="s">
        <v>2776</v>
      </c>
      <c r="BZ151">
        <v>2</v>
      </c>
      <c r="CA151" t="str">
        <f>IF(0,"云飞玉皇-玉山揽云","云飞玉皇")</f>
        <v>云飞玉皇</v>
      </c>
      <c r="CB151">
        <v>2</v>
      </c>
    </row>
    <row r="152" spans="1:80">
      <c r="A152" s="178">
        <f ca="1">IFERROR(IF(A151+加速!$L$11&lt;$AS$1,IF(COUNTIF(B151,"*轻*")&gt;0,A151+加速!$L$9,A151+加速!$L$11)+V151,IF(COUNTIF(INDEX(AU152:CB152,1,$AT$1),"*云景*")+COUNTIF(INDEX(AU152:CB152,1,$AT$1),"*鹤归*")+COUNTIF(INDEX(AU152:CB152,1,$AT$1),"*听雷*")&gt;0,A151+加速!$L$11,"")),"")</f>
        <v>195.92</v>
      </c>
      <c r="B152" s="167" t="str">
        <f ca="1">IF(A152&lt;&gt;"",IF(AND(A152+加速!$L$11&gt;$AS$1,IF(AND(配装计算器!$K$30&lt;&gt;"∞",0),"梦泉虎跑-轻",INDEX(AU152:CB152,1,$AT$1))="云栖松"),"夕照雷峰",IF(AND(配装计算器!$K$30&lt;&gt;"∞",0),"梦泉虎跑-轻",INDEX(AU152:CB152,1,$AT$1))),"")</f>
        <v>鹤归孤山</v>
      </c>
      <c r="C152">
        <f ca="1" t="shared" si="30"/>
        <v>13.71</v>
      </c>
      <c r="D152">
        <f ca="1">IF(B152&lt;&gt;"",IF(C151&lt;=加速!$L$11*(1-E152),0,1),"")</f>
        <v>1</v>
      </c>
      <c r="E152">
        <f ca="1" t="shared" si="26"/>
        <v>1</v>
      </c>
      <c r="G152">
        <f ca="1" t="shared" si="27"/>
        <v>0</v>
      </c>
      <c r="H152">
        <f ca="1">IF(B152&lt;&gt;"",IF(AND(COUNTIF(B151,"*轻*莺鸣柳*")&gt;0,COUNTIF(B152,"*轻*")&lt;1),MAX(0,15+I151-(A152-A151)+COUNTIF(B151,"*平湖*")*0),IF(AND(E152=0,MAX(0,H151-(A152-A151))&lt;=加速!$H$11),0,MAX(0,H151-(A152-A151)))),"")</f>
        <v>0</v>
      </c>
      <c r="I152">
        <f ca="1" t="shared" si="33"/>
        <v>0</v>
      </c>
      <c r="J152">
        <f ca="1" t="shared" si="34"/>
        <v>0</v>
      </c>
      <c r="K152">
        <f ca="1">IF(A152&lt;&gt;"",IF(AND(配装计算器!$K$30&lt;&gt;"∞",0),2,INDEX(AU152:CB152,1,$AT$2)),"")</f>
        <v>1</v>
      </c>
      <c r="L152">
        <f ca="1">IFERROR(IF(AND(COUNTIF(B152,"*-峰插*"),技能数据库!$M$72&gt;0),0,IF(COUNTIF(B152,"*鹤归*")&gt;0,16-加速!$L$11,MAX(0,L151-(A152-A151)))),0)</f>
        <v>14.71</v>
      </c>
      <c r="M152">
        <f ca="1">IF(COUNTIF(IF(AND(配装计算器!$K$30&lt;&gt;"∞",0),INDEX(AU151:CB151,1,$AT$1),INDEX(AU153:CB153,1,$AT$1)),"*鹤归*")=1,L152,0)</f>
        <v>0</v>
      </c>
      <c r="N152">
        <f ca="1">IFERROR(IF(AND(COUNTIF(B152,"*-峰插*"),技能数据库!$M$72&gt;0),0,IF(COUNTIF(B152,"*云飞*")&gt;0,4-COUNTIF(B152,"*玉山揽云*")*4--COUNTIF(B152,"*烟流暮景*")*4-COUNTIF(B152,"*云景*")*加速!$L$11-IF(J152&gt;0,2,0),MAX(0,N151-(A152-A151)-IF(J152&gt;0,2,0)))),0)</f>
        <v>0.130000000000024</v>
      </c>
      <c r="O152">
        <f ca="1">IF(AND(COUNTIF(IF(AND(配装计算器!$K$30&lt;&gt;"∞",0),INDEX(AU151:CB151,1,$AT$1),INDEX(AU153:CB153,1,$AT$1)),"*云飞*")=1,COUNTIF(IF(AND(配装计算器!$K$30&lt;&gt;"∞",0),INDEX(AU151:CB151,1,$AT$1),INDEX(AU153:CB153,1,$AT$1)),"*玉山*")=0),N152,0)</f>
        <v>0.130000000000024</v>
      </c>
      <c r="P152">
        <f ca="1">IFERROR(IF(COUNTIF(B152,"*云栖松*")&gt;0,50-加速!$L$11,MAX(0,P151-(A152-A151))),0)</f>
        <v>0</v>
      </c>
      <c r="Q152">
        <f ca="1">IF(COUNTIF(IF(AND(配装计算器!$K$30&lt;&gt;"∞",0),INDEX(AU151:CB151,1,$AT$1),INDEX(AU153:CB153,1,$AT$1)),"*云栖松*")=1,P152,0)</f>
        <v>0</v>
      </c>
      <c r="R152">
        <f ca="1">IFERROR(IF(COUNTIF(B152,"*莺鸣柳*")&gt;0,45-加速!$L$9,MAX(0,R151-(A152-A151))),0)</f>
        <v>0</v>
      </c>
      <c r="S152">
        <f ca="1">IF(COUNTIF(IF(AND(配装计算器!$K$30&lt;&gt;"∞",0),INDEX(AU151:CB151,1,$AT$1),INDEX(AU153:CB153,1,$AT$1)),"*莺鸣柳*")=1,R152,0)</f>
        <v>0</v>
      </c>
      <c r="T152">
        <f ca="1" t="shared" si="31"/>
        <v>0</v>
      </c>
      <c r="U152">
        <f ca="1">IF(金蛇,IF(COUNTIF(B152,"*金环戴*")+COUNTIF(B152,"*吹风醒*")&gt;0,IF(A152&lt;=3,7.125-2.625-A152-加速!$L$11,7.125+加速!$K$9-(A152+加速!$L$11-T152)),0),0)+IF(金蛇,IF(COUNTIF(B152,"*千切子裂光*")&gt;0,2+加速!$K$9-(A152+加速!$L$11-T152),0),0)</f>
        <v>0</v>
      </c>
      <c r="V152">
        <f ca="1" t="shared" si="32"/>
        <v>0.130000000000024</v>
      </c>
      <c r="W152">
        <f ca="1" t="shared" si="24"/>
        <v>0</v>
      </c>
      <c r="X152">
        <f ca="1">INDEX(加速!$I$13:$I$21,技能数计算!W152+1)</f>
        <v>0</v>
      </c>
      <c r="Y152">
        <f ca="1" t="shared" si="28"/>
        <v>0.5</v>
      </c>
      <c r="Z152">
        <f ca="1" t="shared" si="29"/>
        <v>0</v>
      </c>
      <c r="AA152">
        <f ca="1">MAX(0,IFERROR(IF(COUNTIF(B152,"*叠*")&gt;0,IF(AC151&lt;3,8-A153+A152,AA151+6.875-A153+A152),AA151-A153+A152),AA151-加速!$L$11))</f>
        <v>0</v>
      </c>
      <c r="AB152">
        <f ca="1">MAX(0,IF(COUNTIF(IF(AND(配装计算器!$K$30&lt;&gt;"∞",0),INDEX(AU152:CB152,1,$AT$1),INDEX(AU152:CB152,1,$AT$1)),"*叠1*")=1,4*25-加速!$L$11,AB151-A152+A151)-IF(OR(COUNTIF(OFFSET(AT152,0,$AT$1,1,1),"*听雷*")&gt;0,AND(碧归&gt;0,COUNTIF(OFFSET(AT152,0,$AT$1,1,1),"*风来*")&gt;0)),0,1)*1.5)</f>
        <v>0.410000000000167</v>
      </c>
      <c r="AC152">
        <f ca="1" t="shared" si="25"/>
        <v>0</v>
      </c>
      <c r="AD152">
        <f ca="1">IF(COUNTIF(IF(AND(配装计算器!$K$30&lt;&gt;"∞",0),INDEX(AU152:CB152,1,$AT$1),INDEX(AU153:CB153,1,$AT$1)),"*叠1*")=1,AB152*0+AE151,0)</f>
        <v>0</v>
      </c>
      <c r="AE152">
        <f ca="1">IF($AN$11&gt;0,IF(COUNTIF(B153,"*叠1*")&gt;0,50-加速!$H$11,MAX(0,AE151-(A153-A152))),0)</f>
        <v>1.53000000000014</v>
      </c>
      <c r="AH152" t="s">
        <v>1825</v>
      </c>
      <c r="AI152" t="s">
        <v>2792</v>
      </c>
      <c r="AJ152">
        <f ca="1" t="shared" ref="AJ152:AJ153" si="36">AJ155+AJ170/16+(AJ164+AJ167)/2+AJ199</f>
        <v>3.6875</v>
      </c>
      <c r="AK152" t="s">
        <v>3109</v>
      </c>
      <c r="AU152" s="176" t="s">
        <v>2768</v>
      </c>
      <c r="AV152">
        <v>1</v>
      </c>
      <c r="AW152" t="str">
        <f>IF($AN$11=1,橙武补雾锁,"夕照雷峰")</f>
        <v>云飞玉皇-玉山揽云</v>
      </c>
      <c r="AX152">
        <v>2</v>
      </c>
      <c r="AY152" t="s">
        <v>3022</v>
      </c>
      <c r="AZ152">
        <v>2</v>
      </c>
      <c r="BA152" t="s">
        <v>2776</v>
      </c>
      <c r="BB152">
        <v>2</v>
      </c>
      <c r="BC152" t="s">
        <v>2768</v>
      </c>
      <c r="BD152">
        <v>1</v>
      </c>
      <c r="BE152" t="s">
        <v>2808</v>
      </c>
      <c r="BF152">
        <v>2</v>
      </c>
      <c r="BG152" s="176" t="s">
        <v>2768</v>
      </c>
      <c r="BH152">
        <v>2</v>
      </c>
      <c r="BI152" s="176" t="s">
        <v>2794</v>
      </c>
      <c r="BJ152">
        <v>1</v>
      </c>
      <c r="BK152" t="s">
        <v>2768</v>
      </c>
      <c r="BL152">
        <v>2</v>
      </c>
      <c r="BM152" s="176" t="s">
        <v>2808</v>
      </c>
      <c r="BN152">
        <v>2</v>
      </c>
      <c r="BO152" t="str">
        <f>IF(0,橙武补雾锁,"夕照雷峰")</f>
        <v>夕照雷峰</v>
      </c>
      <c r="BP152">
        <v>2</v>
      </c>
      <c r="BQ152" t="s">
        <v>2768</v>
      </c>
      <c r="BR152">
        <v>0</v>
      </c>
      <c r="BS152" t="s">
        <v>3074</v>
      </c>
      <c r="BT152">
        <v>2</v>
      </c>
      <c r="BU152" s="176" t="s">
        <v>2794</v>
      </c>
      <c r="BV152">
        <v>1</v>
      </c>
      <c r="BW152" s="179" t="s">
        <v>2768</v>
      </c>
      <c r="BX152" s="179">
        <v>2</v>
      </c>
      <c r="BY152" s="175" t="s">
        <v>2789</v>
      </c>
      <c r="BZ152">
        <v>2</v>
      </c>
      <c r="CA152" s="180" t="str">
        <f>IF(0,"云飞玉皇-玉山揽云","风来吴山")</f>
        <v>风来吴山</v>
      </c>
      <c r="CB152">
        <v>2</v>
      </c>
    </row>
    <row r="153" spans="1:80">
      <c r="A153" s="178">
        <f ca="1">IFERROR(IF(A152+加速!$L$11&lt;$AS$1,IF(COUNTIF(B152,"*轻*")&gt;0,A152+加速!$L$9,A152+加速!$L$11)+V152,IF(COUNTIF(INDEX(AU153:CB153,1,$AT$1),"*云景*")+COUNTIF(INDEX(AU153:CB153,1,$AT$1),"*鹤归*")+COUNTIF(INDEX(AU153:CB153,1,$AT$1),"*听雷*")&gt;0,A152+加速!$L$11,"")),"")</f>
        <v>197.34</v>
      </c>
      <c r="B153" s="167" t="str">
        <f ca="1">IF(A153&lt;&gt;"",IF(AND(A153+加速!$L$11&gt;$AS$1,IF(AND(配装计算器!$K$30&lt;&gt;"∞",0),"梦泉虎跑-轻",INDEX(AU153:CB153,1,$AT$1))="云栖松"),"夕照雷峰",IF(AND(配装计算器!$K$30&lt;&gt;"∞",0),"梦泉虎跑-轻",INDEX(AU153:CB153,1,$AT$1))),"")</f>
        <v>云飞玉皇</v>
      </c>
      <c r="C153">
        <f ca="1" t="shared" si="30"/>
        <v>12.29</v>
      </c>
      <c r="D153">
        <f ca="1">IF(B153&lt;&gt;"",IF(C152&lt;=加速!$L$11*(1-E153),0,1),"")</f>
        <v>1</v>
      </c>
      <c r="E153">
        <f ca="1" t="shared" si="26"/>
        <v>0</v>
      </c>
      <c r="G153">
        <f ca="1" t="shared" si="27"/>
        <v>0</v>
      </c>
      <c r="H153">
        <f ca="1">IF(B153&lt;&gt;"",IF(AND(COUNTIF(B152,"*轻*莺鸣柳*")&gt;0,COUNTIF(B153,"*轻*")&lt;1),MAX(0,15+I152-(A153-A152)+COUNTIF(B152,"*平湖*")*0),IF(AND(E153=0,MAX(0,H152-(A153-A152))&lt;=加速!$H$11),0,MAX(0,H152-(A153-A152)))),"")</f>
        <v>0</v>
      </c>
      <c r="I153">
        <f ca="1" t="shared" si="33"/>
        <v>0</v>
      </c>
      <c r="J153">
        <f ca="1" t="shared" si="34"/>
        <v>4</v>
      </c>
      <c r="K153">
        <f ca="1">IF(A153&lt;&gt;"",IF(AND(配装计算器!$K$30&lt;&gt;"∞",0),2,INDEX(AU153:CB153,1,$AT$2)),"")</f>
        <v>1</v>
      </c>
      <c r="L153">
        <f ca="1">IFERROR(IF(AND(COUNTIF(B153,"*-峰插*"),技能数据库!$M$72&gt;0),0,IF(COUNTIF(B153,"*鹤归*")&gt;0,16-加速!$L$11,MAX(0,L152-(A153-A152)))),0)</f>
        <v>13.29</v>
      </c>
      <c r="M153">
        <f ca="1">IF(COUNTIF(IF(AND(配装计算器!$K$30&lt;&gt;"∞",0),INDEX(AU152:CB152,1,$AT$1),INDEX(AU154:CB154,1,$AT$1)),"*鹤归*")=1,L153,0)</f>
        <v>0</v>
      </c>
      <c r="N153">
        <f ca="1">IFERROR(IF(AND(COUNTIF(B153,"*-峰插*"),技能数据库!$M$72&gt;0),0,IF(COUNTIF(B153,"*云飞*")&gt;0,4-COUNTIF(B153,"*玉山揽云*")*4--COUNTIF(B153,"*烟流暮景*")*4-COUNTIF(B153,"*云景*")*加速!$L$11-IF(J153&gt;0,2,0),MAX(0,N152-(A153-A152)-IF(J153&gt;0,2,0)))),0)</f>
        <v>2</v>
      </c>
      <c r="O153">
        <f ca="1">IF(AND(COUNTIF(IF(AND(配装计算器!$K$30&lt;&gt;"∞",0),INDEX(AU152:CB152,1,$AT$1),INDEX(AU154:CB154,1,$AT$1)),"*云飞*")=1,COUNTIF(IF(AND(配装计算器!$K$30&lt;&gt;"∞",0),INDEX(AU152:CB152,1,$AT$1),INDEX(AU154:CB154,1,$AT$1)),"*玉山*")=0),N153,0)</f>
        <v>0</v>
      </c>
      <c r="P153">
        <f ca="1">IFERROR(IF(COUNTIF(B153,"*云栖松*")&gt;0,50-加速!$L$11,MAX(0,P152-(A153-A152))),0)</f>
        <v>0</v>
      </c>
      <c r="Q153">
        <f ca="1">IF(COUNTIF(IF(AND(配装计算器!$K$30&lt;&gt;"∞",0),INDEX(AU152:CB152,1,$AT$1),INDEX(AU154:CB154,1,$AT$1)),"*云栖松*")=1,P153,0)</f>
        <v>0</v>
      </c>
      <c r="R153">
        <f ca="1">IFERROR(IF(COUNTIF(B153,"*莺鸣柳*")&gt;0,45-加速!$L$9,MAX(0,R152-(A153-A152))),0)</f>
        <v>0</v>
      </c>
      <c r="S153">
        <f ca="1">IF(COUNTIF(IF(AND(配装计算器!$K$30&lt;&gt;"∞",0),INDEX(AU152:CB152,1,$AT$1),INDEX(AU154:CB154,1,$AT$1)),"*莺鸣柳*")=1,R153,0)</f>
        <v>0</v>
      </c>
      <c r="T153">
        <f ca="1" t="shared" si="31"/>
        <v>0</v>
      </c>
      <c r="U153">
        <f ca="1">IF(金蛇,IF(COUNTIF(B153,"*金环戴*")+COUNTIF(B153,"*吹风醒*")&gt;0,IF(A153&lt;=3,7.125-2.625-A153-加速!$L$11,7.125+加速!$K$9-(A153+加速!$L$11-T153)),0),0)+IF(金蛇,IF(COUNTIF(B153,"*千切子裂光*")&gt;0,2+加速!$K$9-(A153+加速!$L$11-T153),0),0)</f>
        <v>0</v>
      </c>
      <c r="V153">
        <f ca="1" t="shared" si="32"/>
        <v>0</v>
      </c>
      <c r="W153">
        <f ca="1" t="shared" si="24"/>
        <v>0</v>
      </c>
      <c r="X153">
        <f ca="1">INDEX(加速!$I$13:$I$21,技能数计算!W153+1)</f>
        <v>0</v>
      </c>
      <c r="Y153">
        <f ca="1" t="shared" si="28"/>
        <v>0.5</v>
      </c>
      <c r="Z153">
        <f ca="1" t="shared" si="29"/>
        <v>0</v>
      </c>
      <c r="AA153">
        <f ca="1">MAX(0,IFERROR(IF(COUNTIF(B153,"*叠*")&gt;0,IF(AC152&lt;3,8-A154+A153,AA152+6.875-A154+A153),AA152-A154+A153),AA152-加速!$L$11))</f>
        <v>0</v>
      </c>
      <c r="AB153">
        <f ca="1">MAX(0,IF(COUNTIF(IF(AND(配装计算器!$K$30&lt;&gt;"∞",0),INDEX(AU153:CB153,1,$AT$1),INDEX(AU153:CB153,1,$AT$1)),"*叠1*")=1,4*25-加速!$L$11,AB152-A153+A152)-IF(OR(COUNTIF(OFFSET(AT153,0,$AT$1,1,1),"*听雷*")&gt;0,AND(碧归&gt;0,COUNTIF(OFFSET(AT153,0,$AT$1,1,1),"*风来*")&gt;0)),0,1)*1.5)</f>
        <v>0</v>
      </c>
      <c r="AC153">
        <f ca="1" t="shared" si="25"/>
        <v>0</v>
      </c>
      <c r="AD153">
        <f ca="1">IF(COUNTIF(IF(AND(配装计算器!$K$30&lt;&gt;"∞",0),INDEX(AU153:CB153,1,$AT$1),INDEX(AU154:CB154,1,$AT$1)),"*叠1*")=1,AB153*0+AE152,0)</f>
        <v>0</v>
      </c>
      <c r="AE153">
        <f ca="1">IF($AN$11&gt;0,IF(COUNTIF(B154,"*叠1*")&gt;0,50-加速!$H$11,MAX(0,AE152-(A154-A153))),0)</f>
        <v>0.240000000000151</v>
      </c>
      <c r="AH153" t="s">
        <v>1825</v>
      </c>
      <c r="AI153" t="s">
        <v>2792</v>
      </c>
      <c r="AJ153">
        <f ca="1" t="shared" si="36"/>
        <v>30.5</v>
      </c>
      <c r="AK153" t="s">
        <v>3110</v>
      </c>
      <c r="AU153" s="176" t="s">
        <v>2776</v>
      </c>
      <c r="AV153">
        <v>1</v>
      </c>
      <c r="AW153" t="str">
        <f>IF($AN$11=1,"云飞玉皇-玉山揽云","夕照雷峰")</f>
        <v>云飞玉皇-玉山揽云</v>
      </c>
      <c r="AX153">
        <v>2</v>
      </c>
      <c r="AY153" t="s">
        <v>2776</v>
      </c>
      <c r="AZ153">
        <v>2</v>
      </c>
      <c r="BA153" t="s">
        <v>2768</v>
      </c>
      <c r="BB153">
        <v>2</v>
      </c>
      <c r="BC153" t="s">
        <v>2768</v>
      </c>
      <c r="BD153">
        <v>0</v>
      </c>
      <c r="BE153" t="s">
        <v>2768</v>
      </c>
      <c r="BF153">
        <v>2</v>
      </c>
      <c r="BG153" s="176" t="s">
        <v>2768</v>
      </c>
      <c r="BH153">
        <v>2</v>
      </c>
      <c r="BI153" t="s">
        <v>2776</v>
      </c>
      <c r="BJ153">
        <v>1</v>
      </c>
      <c r="BK153" t="s">
        <v>2776</v>
      </c>
      <c r="BL153">
        <v>2</v>
      </c>
      <c r="BM153" t="str">
        <f>IF(0,"云飞玉皇-玉山揽云","夕照雷峰")</f>
        <v>夕照雷峰</v>
      </c>
      <c r="BN153">
        <v>2</v>
      </c>
      <c r="BO153" t="str">
        <f>IF(0,"云飞玉皇-玉山揽云","夕照雷峰")</f>
        <v>夕照雷峰</v>
      </c>
      <c r="BP153">
        <v>2</v>
      </c>
      <c r="BQ153" t="s">
        <v>3010</v>
      </c>
      <c r="BR153">
        <v>2</v>
      </c>
      <c r="BS153" t="s">
        <v>2768</v>
      </c>
      <c r="BT153">
        <v>2</v>
      </c>
      <c r="BU153" t="s">
        <v>2776</v>
      </c>
      <c r="BV153">
        <v>1</v>
      </c>
      <c r="BW153" s="179" t="s">
        <v>2768</v>
      </c>
      <c r="BX153" s="179">
        <v>2</v>
      </c>
      <c r="BY153" t="s">
        <v>2768</v>
      </c>
      <c r="BZ153">
        <v>2</v>
      </c>
      <c r="CA153" t="str">
        <f>IF(0,橙武补雾锁,"夕照雷峰")</f>
        <v>夕照雷峰</v>
      </c>
      <c r="CB153">
        <v>2</v>
      </c>
    </row>
    <row r="154" spans="1:80">
      <c r="A154" s="178">
        <f ca="1">IFERROR(IF(A153+加速!$L$11&lt;$AS$1,IF(COUNTIF(B153,"*轻*")&gt;0,A153+加速!$L$9,A153+加速!$L$11)+V153,IF(COUNTIF(INDEX(AU154:CB154,1,$AT$1),"*云景*")+COUNTIF(INDEX(AU154:CB154,1,$AT$1),"*鹤归*")+COUNTIF(INDEX(AU154:CB154,1,$AT$1),"*听雷*")&gt;0,A153+加速!$L$11,"")),"")</f>
        <v>198.63</v>
      </c>
      <c r="B154" s="167" t="str">
        <f ca="1">IF(A154&lt;&gt;"",IF(AND(A154+加速!$L$11&gt;$AS$1,IF(AND(配装计算器!$K$30&lt;&gt;"∞",0),"梦泉虎跑-轻",INDEX(AU154:CB154,1,$AT$1))="云栖松"),"夕照雷峰",IF(AND(配装计算器!$K$30&lt;&gt;"∞",0),"梦泉虎跑-轻",INDEX(AU154:CB154,1,$AT$1))),"")</f>
        <v>夕照雷峰</v>
      </c>
      <c r="C154">
        <f ca="1" t="shared" si="30"/>
        <v>15</v>
      </c>
      <c r="D154">
        <f ca="1">IF(B154&lt;&gt;"",IF(C153&lt;=加速!$L$11*(1-E154),0,1),"")</f>
        <v>1</v>
      </c>
      <c r="E154">
        <f ca="1" t="shared" si="26"/>
        <v>0</v>
      </c>
      <c r="G154">
        <f ca="1" t="shared" si="27"/>
        <v>0</v>
      </c>
      <c r="H154">
        <f ca="1">IF(B154&lt;&gt;"",IF(AND(COUNTIF(B153,"*轻*莺鸣柳*")&gt;0,COUNTIF(B154,"*轻*")&lt;1),MAX(0,15+I153-(A154-A153)+COUNTIF(B153,"*平湖*")*0),IF(AND(E154=0,MAX(0,H153-(A154-A153))&lt;=加速!$H$11),0,MAX(0,H153-(A154-A153)))),"")</f>
        <v>0</v>
      </c>
      <c r="I154">
        <f ca="1" t="shared" si="33"/>
        <v>0</v>
      </c>
      <c r="J154">
        <f ca="1" t="shared" si="34"/>
        <v>3</v>
      </c>
      <c r="K154">
        <f ca="1">IF(A154&lt;&gt;"",IF(AND(配装计算器!$K$30&lt;&gt;"∞",0),2,INDEX(AU154:CB154,1,$AT$2)),"")</f>
        <v>0</v>
      </c>
      <c r="L154">
        <f ca="1">IFERROR(IF(AND(COUNTIF(B154,"*-峰插*"),技能数据库!$M$72&gt;0),0,IF(COUNTIF(B154,"*鹤归*")&gt;0,16-加速!$L$11,MAX(0,L153-(A154-A153)))),0)</f>
        <v>12</v>
      </c>
      <c r="M154">
        <f ca="1">IF(COUNTIF(IF(AND(配装计算器!$K$30&lt;&gt;"∞",0),INDEX(AU153:CB153,1,$AT$1),INDEX(AU155:CB155,1,$AT$1)),"*鹤归*")=1,L154,0)</f>
        <v>0</v>
      </c>
      <c r="N154">
        <f ca="1">IFERROR(IF(AND(COUNTIF(B154,"*-峰插*"),技能数据库!$M$72&gt;0),0,IF(COUNTIF(B154,"*云飞*")&gt;0,4-COUNTIF(B154,"*玉山揽云*")*4--COUNTIF(B154,"*烟流暮景*")*4-COUNTIF(B154,"*云景*")*加速!$L$11-IF(J154&gt;0,2,0),MAX(0,N153-(A154-A153)-IF(J154&gt;0,2,0)))),0)</f>
        <v>0</v>
      </c>
      <c r="O154">
        <f ca="1">IF(AND(COUNTIF(IF(AND(配装计算器!$K$30&lt;&gt;"∞",0),INDEX(AU153:CB153,1,$AT$1),INDEX(AU155:CB155,1,$AT$1)),"*云飞*")=1,COUNTIF(IF(AND(配装计算器!$K$30&lt;&gt;"∞",0),INDEX(AU153:CB153,1,$AT$1),INDEX(AU155:CB155,1,$AT$1)),"*玉山*")=0),N154,0)</f>
        <v>0</v>
      </c>
      <c r="P154">
        <f ca="1">IFERROR(IF(COUNTIF(B154,"*云栖松*")&gt;0,50-加速!$L$11,MAX(0,P153-(A154-A153))),0)</f>
        <v>0</v>
      </c>
      <c r="Q154">
        <f ca="1">IF(COUNTIF(IF(AND(配装计算器!$K$30&lt;&gt;"∞",0),INDEX(AU153:CB153,1,$AT$1),INDEX(AU155:CB155,1,$AT$1)),"*云栖松*")=1,P154,0)</f>
        <v>0</v>
      </c>
      <c r="R154">
        <f ca="1">IFERROR(IF(COUNTIF(B154,"*莺鸣柳*")&gt;0,45-加速!$L$9,MAX(0,R153-(A154-A153))),0)</f>
        <v>0</v>
      </c>
      <c r="S154">
        <f ca="1">IF(COUNTIF(IF(AND(配装计算器!$K$30&lt;&gt;"∞",0),INDEX(AU153:CB153,1,$AT$1),INDEX(AU155:CB155,1,$AT$1)),"*莺鸣柳*")=1,R154,0)</f>
        <v>0</v>
      </c>
      <c r="T154">
        <f ca="1" t="shared" si="31"/>
        <v>0</v>
      </c>
      <c r="U154">
        <f ca="1">IF(金蛇,IF(COUNTIF(B154,"*金环戴*")+COUNTIF(B154,"*吹风醒*")&gt;0,IF(A154&lt;=3,7.125-2.625-A154-加速!$L$11,7.125+加速!$K$9-(A154+加速!$L$11-T154)),0),0)+IF(金蛇,IF(COUNTIF(B154,"*千切子裂光*")&gt;0,2+加速!$K$9-(A154+加速!$L$11-T154),0),0)</f>
        <v>0</v>
      </c>
      <c r="V154">
        <f ca="1" t="shared" si="32"/>
        <v>0.240000000000151</v>
      </c>
      <c r="W154">
        <f ca="1" t="shared" si="24"/>
        <v>0</v>
      </c>
      <c r="X154">
        <f ca="1">INDEX(加速!$I$13:$I$21,技能数计算!W154+1)</f>
        <v>0</v>
      </c>
      <c r="Y154">
        <f ca="1" t="shared" si="28"/>
        <v>0.5</v>
      </c>
      <c r="Z154">
        <f ca="1" t="shared" si="29"/>
        <v>0</v>
      </c>
      <c r="AA154">
        <f ca="1">MAX(0,IFERROR(IF(COUNTIF(B154,"*叠*")&gt;0,IF(AC153&lt;3,8-A155+A154,AA153+6.875-A155+A154),AA153-A155+A154),AA153-加速!$L$11))</f>
        <v>0</v>
      </c>
      <c r="AB154">
        <f ca="1">MAX(0,IF(COUNTIF(IF(AND(配装计算器!$K$30&lt;&gt;"∞",0),INDEX(AU154:CB154,1,$AT$1),INDEX(AU154:CB154,1,$AT$1)),"*叠1*")=1,4*25-加速!$L$11,AB153-A154+A153)-IF(OR(COUNTIF(OFFSET(AT154,0,$AT$1,1,1),"*听雷*")&gt;0,AND(碧归&gt;0,COUNTIF(OFFSET(AT154,0,$AT$1,1,1),"*风来*")&gt;0)),0,1)*1.5)</f>
        <v>0</v>
      </c>
      <c r="AC154">
        <f ca="1" t="shared" si="25"/>
        <v>0</v>
      </c>
      <c r="AD154">
        <f ca="1">IF(COUNTIF(IF(AND(配装计算器!$K$30&lt;&gt;"∞",0),INDEX(AU154:CB154,1,$AT$1),INDEX(AU155:CB155,1,$AT$1)),"*叠1*")=1,AB154*0+AE153,0)</f>
        <v>0.240000000000151</v>
      </c>
      <c r="AE154">
        <f ca="1">IF($AN$11&gt;0,IF(COUNTIF(B155,"*叠1*")&gt;0,50-加速!$H$11,MAX(0,AE153-(A155-A154))),0)</f>
        <v>48.75</v>
      </c>
      <c r="AH154" t="s">
        <v>1825</v>
      </c>
      <c r="AI154" t="s">
        <v>2794</v>
      </c>
      <c r="AJ154">
        <f ca="1">循环比*COUNTIFS($B$3:$B$515,"*"&amp;AI154&amp;"*",$D$3:$D$515,"=1",$H$3:$H$515,"=0",$G$3:$G$515,"=0",$K$3:$K$515,"=2",$AC$3:$AC$515,"=1")</f>
        <v>0</v>
      </c>
      <c r="AK154" t="s">
        <v>3108</v>
      </c>
      <c r="AU154" t="s">
        <v>2722</v>
      </c>
      <c r="AV154">
        <v>0</v>
      </c>
      <c r="AW154" t="s">
        <v>2776</v>
      </c>
      <c r="AX154">
        <v>2</v>
      </c>
      <c r="AY154" t="s">
        <v>2768</v>
      </c>
      <c r="AZ154">
        <v>2</v>
      </c>
      <c r="BA154" t="s">
        <v>2789</v>
      </c>
      <c r="BB154">
        <v>2</v>
      </c>
      <c r="BC154" t="s">
        <v>2768</v>
      </c>
      <c r="BD154">
        <v>0</v>
      </c>
      <c r="BE154" t="s">
        <v>2768</v>
      </c>
      <c r="BF154">
        <v>2</v>
      </c>
      <c r="BG154" s="176" t="s">
        <v>2789</v>
      </c>
      <c r="BH154">
        <v>2</v>
      </c>
      <c r="BI154" t="s">
        <v>2768</v>
      </c>
      <c r="BJ154">
        <v>0</v>
      </c>
      <c r="BK154" t="s">
        <v>2768</v>
      </c>
      <c r="BL154">
        <v>1</v>
      </c>
      <c r="BM154" t="str">
        <f>IF(0,"云飞玉皇-玉山揽云","云飞玉皇")</f>
        <v>云飞玉皇</v>
      </c>
      <c r="BN154">
        <v>2</v>
      </c>
      <c r="BO154" t="s">
        <v>2776</v>
      </c>
      <c r="BP154">
        <v>2</v>
      </c>
      <c r="BQ154" t="s">
        <v>3013</v>
      </c>
      <c r="BR154">
        <v>2</v>
      </c>
      <c r="BS154" t="s">
        <v>2776</v>
      </c>
      <c r="BT154">
        <v>2</v>
      </c>
      <c r="BU154" t="s">
        <v>2768</v>
      </c>
      <c r="BV154">
        <v>1</v>
      </c>
      <c r="BW154" s="179" t="s">
        <v>2768</v>
      </c>
      <c r="BX154" s="179">
        <v>2</v>
      </c>
      <c r="BY154" t="s">
        <v>2768</v>
      </c>
      <c r="BZ154">
        <v>2</v>
      </c>
      <c r="CA154" t="str">
        <f>IF(0,"云飞玉皇-玉山揽云","夕照雷峰")</f>
        <v>夕照雷峰</v>
      </c>
      <c r="CB154">
        <v>2</v>
      </c>
    </row>
    <row r="155" spans="1:80">
      <c r="A155" s="178">
        <f ca="1">IFERROR(IF(A154+加速!$L$11&lt;$AS$1,IF(COUNTIF(B154,"*轻*")&gt;0,A154+加速!$L$9,A154+加速!$L$11)+V154,IF(COUNTIF(INDEX(AU155:CB155,1,$AT$1),"*云景*")+COUNTIF(INDEX(AU155:CB155,1,$AT$1),"*鹤归*")+COUNTIF(INDEX(AU155:CB155,1,$AT$1),"*听雷*")&gt;0,A154+加速!$L$11,"")),"")</f>
        <v>200.16</v>
      </c>
      <c r="B155" s="167" t="str">
        <f ca="1">IF(A155&lt;&gt;"",IF(AND(A155+加速!$L$11&gt;$AS$1,IF(AND(配装计算器!$K$30&lt;&gt;"∞",0),"梦泉虎跑-轻",INDEX(AU155:CB155,1,$AT$1))="云栖松"),"夕照雷峰",IF(AND(配装计算器!$K$30&lt;&gt;"∞",0),"梦泉虎跑-轻",INDEX(AU155:CB155,1,$AT$1))),"")</f>
        <v>叠1-云飞玉皇</v>
      </c>
      <c r="C155">
        <f ca="1" t="shared" si="30"/>
        <v>13.4699999999999</v>
      </c>
      <c r="D155">
        <f ca="1">IF(B155&lt;&gt;"",IF(C154&lt;=加速!$L$11*(1-E155),0,1),"")</f>
        <v>1</v>
      </c>
      <c r="E155">
        <f ca="1" t="shared" si="26"/>
        <v>1</v>
      </c>
      <c r="G155">
        <f ca="1" t="shared" si="27"/>
        <v>0</v>
      </c>
      <c r="H155">
        <f ca="1">IF(B155&lt;&gt;"",IF(AND(COUNTIF(B154,"*轻*莺鸣柳*")&gt;0,COUNTIF(B155,"*轻*")&lt;1),MAX(0,15+I154-(A155-A154)+COUNTIF(B154,"*平湖*")*0),IF(AND(E155=0,MAX(0,H154-(A155-A154))&lt;=加速!$H$11),0,MAX(0,H154-(A155-A154)))),"")</f>
        <v>0</v>
      </c>
      <c r="I155">
        <f ca="1" t="shared" si="33"/>
        <v>0</v>
      </c>
      <c r="J155">
        <f ca="1" t="shared" si="34"/>
        <v>2</v>
      </c>
      <c r="K155">
        <f ca="1">IF(A155&lt;&gt;"",IF(AND(配装计算器!$K$30&lt;&gt;"∞",0),2,INDEX(AU155:CB155,1,$AT$2)),"")</f>
        <v>2</v>
      </c>
      <c r="L155">
        <f ca="1">IFERROR(IF(AND(COUNTIF(B155,"*-峰插*"),技能数据库!$M$72&gt;0),0,IF(COUNTIF(B155,"*鹤归*")&gt;0,16-加速!$L$11,MAX(0,L154-(A155-A154)))),0)</f>
        <v>10.4699999999998</v>
      </c>
      <c r="M155">
        <f ca="1">IF(COUNTIF(IF(AND(配装计算器!$K$30&lt;&gt;"∞",0),INDEX(AU154:CB154,1,$AT$1),INDEX(AU156:CB156,1,$AT$1)),"*鹤归*")=1,L155,0)</f>
        <v>0</v>
      </c>
      <c r="N155">
        <f ca="1">IFERROR(IF(AND(COUNTIF(B155,"*-峰插*"),技能数据库!$M$72&gt;0),0,IF(COUNTIF(B155,"*云飞*")&gt;0,4-COUNTIF(B155,"*玉山揽云*")*4--COUNTIF(B155,"*烟流暮景*")*4-COUNTIF(B155,"*云景*")*加速!$L$11-IF(J155&gt;0,2,0),MAX(0,N154-(A155-A154)-IF(J155&gt;0,2,0)))),0)</f>
        <v>2</v>
      </c>
      <c r="O155">
        <f ca="1">IF(AND(COUNTIF(IF(AND(配装计算器!$K$30&lt;&gt;"∞",0),INDEX(AU154:CB154,1,$AT$1),INDEX(AU156:CB156,1,$AT$1)),"*云飞*")=1,COUNTIF(IF(AND(配装计算器!$K$30&lt;&gt;"∞",0),INDEX(AU154:CB154,1,$AT$1),INDEX(AU156:CB156,1,$AT$1)),"*玉山*")=0),N155,0)</f>
        <v>0</v>
      </c>
      <c r="P155">
        <f ca="1">IFERROR(IF(COUNTIF(B155,"*云栖松*")&gt;0,50-加速!$L$11,MAX(0,P154-(A155-A154))),0)</f>
        <v>0</v>
      </c>
      <c r="Q155">
        <f ca="1">IF(COUNTIF(IF(AND(配装计算器!$K$30&lt;&gt;"∞",0),INDEX(AU154:CB154,1,$AT$1),INDEX(AU156:CB156,1,$AT$1)),"*云栖松*")=1,P155,0)</f>
        <v>0</v>
      </c>
      <c r="R155">
        <f ca="1">IFERROR(IF(COUNTIF(B155,"*莺鸣柳*")&gt;0,45-加速!$L$9,MAX(0,R154-(A155-A154))),0)</f>
        <v>0</v>
      </c>
      <c r="S155">
        <f ca="1">IF(COUNTIF(IF(AND(配装计算器!$K$30&lt;&gt;"∞",0),INDEX(AU154:CB154,1,$AT$1),INDEX(AU156:CB156,1,$AT$1)),"*莺鸣柳*")=1,R155,0)</f>
        <v>0</v>
      </c>
      <c r="T155">
        <f ca="1" t="shared" si="31"/>
        <v>0</v>
      </c>
      <c r="U155">
        <f ca="1">IF(金蛇,IF(COUNTIF(B155,"*金环戴*")+COUNTIF(B155,"*吹风醒*")&gt;0,IF(A155&lt;=3,7.125-2.625-A155-加速!$L$11,7.125+加速!$K$9-(A155+加速!$L$11-T155)),0),0)+IF(金蛇,IF(COUNTIF(B155,"*千切子裂光*")&gt;0,2+加速!$K$9-(A155+加速!$L$11-T155),0),0)</f>
        <v>0</v>
      </c>
      <c r="V155">
        <f ca="1" t="shared" si="32"/>
        <v>0</v>
      </c>
      <c r="W155">
        <f ca="1" t="shared" si="24"/>
        <v>0</v>
      </c>
      <c r="X155">
        <f ca="1">INDEX(加速!$I$13:$I$21,技能数计算!W155+1)</f>
        <v>0</v>
      </c>
      <c r="Y155">
        <f ca="1" t="shared" si="28"/>
        <v>0.5</v>
      </c>
      <c r="Z155">
        <f ca="1" t="shared" si="29"/>
        <v>0</v>
      </c>
      <c r="AA155">
        <f ca="1">MAX(0,IFERROR(IF(COUNTIF(B155,"*叠*")&gt;0,IF(AC154&lt;3,8-A156+A155,AA154+6.875-A156+A155),AA154-A156+A155),AA154-加速!$L$11))</f>
        <v>6.71000000000001</v>
      </c>
      <c r="AB155">
        <f ca="1">MAX(0,IF(COUNTIF(IF(AND(配装计算器!$K$30&lt;&gt;"∞",0),INDEX(AU155:CB155,1,$AT$1),INDEX(AU155:CB155,1,$AT$1)),"*叠1*")=1,4*25-加速!$L$11,AB154-A155+A154)-IF(OR(COUNTIF(OFFSET(AT155,0,$AT$1,1,1),"*听雷*")&gt;0,AND(碧归&gt;0,COUNTIF(OFFSET(AT155,0,$AT$1,1,1),"*风来*")&gt;0)),0,1)*1.5)</f>
        <v>97.21</v>
      </c>
      <c r="AC155">
        <f ca="1" t="shared" si="25"/>
        <v>1</v>
      </c>
      <c r="AD155">
        <f ca="1">IF(COUNTIF(IF(AND(配装计算器!$K$30&lt;&gt;"∞",0),INDEX(AU155:CB155,1,$AT$1),INDEX(AU156:CB156,1,$AT$1)),"*叠1*")=1,AB155*0+AE154,0)</f>
        <v>0</v>
      </c>
      <c r="AE155">
        <f ca="1">IF($AN$11&gt;0,IF(COUNTIF(B156,"*叠1*")&gt;0,50-加速!$H$11,MAX(0,AE154-(A156-A155))),0)</f>
        <v>47.46</v>
      </c>
      <c r="AH155" t="s">
        <v>1825</v>
      </c>
      <c r="AI155" t="s">
        <v>2794</v>
      </c>
      <c r="AJ155">
        <f ca="1">循环比*COUNTIFS($B$3:$B$515,"*"&amp;AI155&amp;"*",$D$3:$D$515,"=1",$H$3:$H$515,"=0",$G$3:$G$515,"=0",$K$3:$K$515,"=2",$AC$3:$AC$515,"=2")</f>
        <v>0</v>
      </c>
      <c r="AK155" t="s">
        <v>3109</v>
      </c>
      <c r="AU155" t="s">
        <v>3009</v>
      </c>
      <c r="AV155">
        <v>2</v>
      </c>
      <c r="AW155" t="s">
        <v>2768</v>
      </c>
      <c r="AX155">
        <v>2</v>
      </c>
      <c r="AY155" t="s">
        <v>2789</v>
      </c>
      <c r="AZ155">
        <v>2</v>
      </c>
      <c r="BA155" t="s">
        <v>2776</v>
      </c>
      <c r="BB155">
        <v>2</v>
      </c>
      <c r="BC155" t="s">
        <v>3010</v>
      </c>
      <c r="BD155">
        <v>2</v>
      </c>
      <c r="BE155" t="s">
        <v>2768</v>
      </c>
      <c r="BF155">
        <v>2</v>
      </c>
      <c r="BG155" s="176" t="s">
        <v>2776</v>
      </c>
      <c r="BH155">
        <v>2</v>
      </c>
      <c r="BI155" t="s">
        <v>3011</v>
      </c>
      <c r="BJ155">
        <v>2</v>
      </c>
      <c r="BK155" t="s">
        <v>2768</v>
      </c>
      <c r="BL155">
        <v>1</v>
      </c>
      <c r="BM155" t="str">
        <f>IF(0,"云飞玉皇-玉山揽云","夕照雷峰")</f>
        <v>夕照雷峰</v>
      </c>
      <c r="BN155">
        <v>2</v>
      </c>
      <c r="BO155" s="176" t="s">
        <v>2794</v>
      </c>
      <c r="BP155">
        <v>2</v>
      </c>
      <c r="BQ155" t="s">
        <v>3018</v>
      </c>
      <c r="BR155">
        <v>2</v>
      </c>
      <c r="BS155" t="s">
        <v>2768</v>
      </c>
      <c r="BT155">
        <v>2</v>
      </c>
      <c r="BU155" t="s">
        <v>3011</v>
      </c>
      <c r="BV155">
        <v>2</v>
      </c>
      <c r="BW155" s="179" t="s">
        <v>2776</v>
      </c>
      <c r="BX155" s="179">
        <v>2</v>
      </c>
      <c r="BY155" t="s">
        <v>2776</v>
      </c>
      <c r="BZ155">
        <v>2</v>
      </c>
      <c r="CA155" t="str">
        <f>IF(0,"云飞玉皇-玉山揽云","云飞玉皇")</f>
        <v>云飞玉皇</v>
      </c>
      <c r="CB155">
        <v>2</v>
      </c>
    </row>
    <row r="156" spans="1:80">
      <c r="A156" s="178">
        <f ca="1">IFERROR(IF(A155+加速!$L$11&lt;$AS$1,IF(COUNTIF(B155,"*轻*")&gt;0,A155+加速!$L$9,A155+加速!$L$11)+V155,IF(COUNTIF(INDEX(AU156:CB156,1,$AT$1),"*云景*")+COUNTIF(INDEX(AU156:CB156,1,$AT$1),"*鹤归*")+COUNTIF(INDEX(AU156:CB156,1,$AT$1),"*听雷*")&gt;0,A155+加速!$L$11,"")),"")</f>
        <v>201.45</v>
      </c>
      <c r="B156" s="167" t="str">
        <f ca="1">IF(A156&lt;&gt;"",IF(AND(A156+加速!$L$11&gt;$AS$1,IF(AND(配装计算器!$K$30&lt;&gt;"∞",0),"梦泉虎跑-轻",INDEX(AU156:CB156,1,$AT$1))="云栖松"),"夕照雷峰",IF(AND(配装计算器!$K$30&lt;&gt;"∞",0),"梦泉虎跑-轻",INDEX(AU156:CB156,1,$AT$1))),"")</f>
        <v>夕照雷峰</v>
      </c>
      <c r="C156">
        <f ca="1" t="shared" si="30"/>
        <v>15</v>
      </c>
      <c r="D156">
        <f ca="1">IF(B156&lt;&gt;"",IF(C155&lt;=加速!$L$11*(1-E156),0,1),"")</f>
        <v>1</v>
      </c>
      <c r="E156">
        <f ca="1" t="shared" si="26"/>
        <v>0</v>
      </c>
      <c r="G156">
        <f ca="1" t="shared" si="27"/>
        <v>0</v>
      </c>
      <c r="H156">
        <f ca="1">IF(B156&lt;&gt;"",IF(AND(COUNTIF(B155,"*轻*莺鸣柳*")&gt;0,COUNTIF(B156,"*轻*")&lt;1),MAX(0,15+I155-(A156-A155)+COUNTIF(B155,"*平湖*")*0),IF(AND(E156=0,MAX(0,H155-(A156-A155))&lt;=加速!$H$11),0,MAX(0,H155-(A156-A155)))),"")</f>
        <v>0</v>
      </c>
      <c r="I156">
        <f ca="1" t="shared" si="33"/>
        <v>0</v>
      </c>
      <c r="J156">
        <f ca="1" t="shared" si="34"/>
        <v>1</v>
      </c>
      <c r="K156">
        <f ca="1">IF(A156&lt;&gt;"",IF(AND(配装计算器!$K$30&lt;&gt;"∞",0),2,INDEX(AU156:CB156,1,$AT$2)),"")</f>
        <v>2</v>
      </c>
      <c r="L156">
        <f ca="1">IFERROR(IF(AND(COUNTIF(B156,"*-峰插*"),技能数据库!$M$72&gt;0),0,IF(COUNTIF(B156,"*鹤归*")&gt;0,16-加速!$L$11,MAX(0,L155-(A156-A155)))),0)</f>
        <v>9.17999999999986</v>
      </c>
      <c r="M156">
        <f ca="1">IF(COUNTIF(IF(AND(配装计算器!$K$30&lt;&gt;"∞",0),INDEX(AU155:CB155,1,$AT$1),INDEX(AU157:CB157,1,$AT$1)),"*鹤归*")=1,L156,0)</f>
        <v>0</v>
      </c>
      <c r="N156">
        <f ca="1">IFERROR(IF(AND(COUNTIF(B156,"*-峰插*"),技能数据库!$M$72&gt;0),0,IF(COUNTIF(B156,"*云飞*")&gt;0,4-COUNTIF(B156,"*玉山揽云*")*4--COUNTIF(B156,"*烟流暮景*")*4-COUNTIF(B156,"*云景*")*加速!$L$11-IF(J156&gt;0,2,0),MAX(0,N155-(A156-A155)-IF(J156&gt;0,2,0)))),0)</f>
        <v>0</v>
      </c>
      <c r="O156">
        <f ca="1">IF(AND(COUNTIF(IF(AND(配装计算器!$K$30&lt;&gt;"∞",0),INDEX(AU155:CB155,1,$AT$1),INDEX(AU157:CB157,1,$AT$1)),"*云飞*")=1,COUNTIF(IF(AND(配装计算器!$K$30&lt;&gt;"∞",0),INDEX(AU155:CB155,1,$AT$1),INDEX(AU157:CB157,1,$AT$1)),"*玉山*")=0),N156,0)</f>
        <v>0</v>
      </c>
      <c r="P156">
        <f ca="1">IFERROR(IF(COUNTIF(B156,"*云栖松*")&gt;0,50-加速!$L$11,MAX(0,P155-(A156-A155))),0)</f>
        <v>0</v>
      </c>
      <c r="Q156">
        <f ca="1">IF(COUNTIF(IF(AND(配装计算器!$K$30&lt;&gt;"∞",0),INDEX(AU155:CB155,1,$AT$1),INDEX(AU157:CB157,1,$AT$1)),"*云栖松*")=1,P156,0)</f>
        <v>0</v>
      </c>
      <c r="R156">
        <f ca="1">IFERROR(IF(COUNTIF(B156,"*莺鸣柳*")&gt;0,45-加速!$L$9,MAX(0,R155-(A156-A155))),0)</f>
        <v>0</v>
      </c>
      <c r="S156">
        <f ca="1">IF(COUNTIF(IF(AND(配装计算器!$K$30&lt;&gt;"∞",0),INDEX(AU155:CB155,1,$AT$1),INDEX(AU157:CB157,1,$AT$1)),"*莺鸣柳*")=1,R156,0)</f>
        <v>0</v>
      </c>
      <c r="T156">
        <f ca="1" t="shared" si="31"/>
        <v>0</v>
      </c>
      <c r="U156">
        <f ca="1">IF(金蛇,IF(COUNTIF(B156,"*金环戴*")+COUNTIF(B156,"*吹风醒*")&gt;0,IF(A156&lt;=3,7.125-2.625-A156-加速!$L$11,7.125+加速!$K$9-(A156+加速!$L$11-T156)),0),0)+IF(金蛇,IF(COUNTIF(B156,"*千切子裂光*")&gt;0,2+加速!$K$9-(A156+加速!$L$11-T156),0),0)</f>
        <v>0</v>
      </c>
      <c r="V156">
        <f ca="1" t="shared" si="32"/>
        <v>0</v>
      </c>
      <c r="W156">
        <f ca="1" t="shared" si="24"/>
        <v>0</v>
      </c>
      <c r="X156">
        <f ca="1">INDEX(加速!$I$13:$I$21,技能数计算!W156+1)</f>
        <v>0</v>
      </c>
      <c r="Y156">
        <f ca="1" t="shared" si="28"/>
        <v>0.5</v>
      </c>
      <c r="Z156">
        <f ca="1" t="shared" si="29"/>
        <v>0</v>
      </c>
      <c r="AA156">
        <f ca="1">MAX(0,IFERROR(IF(COUNTIF(B156,"*叠*")&gt;0,IF(AC155&lt;3,8-A157+A156,AA155+6.875-A157+A156),AA155-A157+A156),AA155-加速!$L$11))</f>
        <v>5.42000000000002</v>
      </c>
      <c r="AB156">
        <f ca="1">MAX(0,IF(COUNTIF(IF(AND(配装计算器!$K$30&lt;&gt;"∞",0),INDEX(AU156:CB156,1,$AT$1),INDEX(AU156:CB156,1,$AT$1)),"*叠1*")=1,4*25-加速!$L$11,AB155-A156+A155)-IF(OR(COUNTIF(OFFSET(AT156,0,$AT$1,1,1),"*听雷*")&gt;0,AND(碧归&gt;0,COUNTIF(OFFSET(AT156,0,$AT$1,1,1),"*风来*")&gt;0)),0,1)*1.5)</f>
        <v>94.42</v>
      </c>
      <c r="AC156">
        <f ca="1" t="shared" si="25"/>
        <v>1</v>
      </c>
      <c r="AD156">
        <f ca="1">IF(COUNTIF(IF(AND(配装计算器!$K$30&lt;&gt;"∞",0),INDEX(AU156:CB156,1,$AT$1),INDEX(AU157:CB157,1,$AT$1)),"*叠1*")=1,AB156*0+AE155,0)</f>
        <v>0</v>
      </c>
      <c r="AE156">
        <f ca="1">IF($AN$11&gt;0,IF(COUNTIF(B157,"*叠1*")&gt;0,50-加速!$H$11,MAX(0,AE155-(A157-A156))),0)</f>
        <v>46.17</v>
      </c>
      <c r="AH156" t="s">
        <v>1825</v>
      </c>
      <c r="AI156" t="s">
        <v>2794</v>
      </c>
      <c r="AJ156">
        <f ca="1">循环比*COUNTIFS($B$3:$B$515,"*"&amp;AI156&amp;"*",$D$3:$D$515,"=1",$H$3:$H$515,"=0",$G$3:$G$515,"=0",$K$3:$K$515,"=2",$AC$3:$AC$515,"=3")</f>
        <v>2</v>
      </c>
      <c r="AK156" t="s">
        <v>3110</v>
      </c>
      <c r="AU156" t="s">
        <v>2768</v>
      </c>
      <c r="AV156">
        <v>2</v>
      </c>
      <c r="AW156" s="176" t="s">
        <v>2794</v>
      </c>
      <c r="AX156">
        <v>2</v>
      </c>
      <c r="AY156" t="s">
        <v>2776</v>
      </c>
      <c r="AZ156">
        <v>2</v>
      </c>
      <c r="BA156" t="s">
        <v>3035</v>
      </c>
      <c r="BB156">
        <v>2</v>
      </c>
      <c r="BC156" t="s">
        <v>3013</v>
      </c>
      <c r="BD156">
        <v>2</v>
      </c>
      <c r="BE156" t="s">
        <v>2776</v>
      </c>
      <c r="BF156">
        <v>2</v>
      </c>
      <c r="BG156" s="176" t="s">
        <v>3035</v>
      </c>
      <c r="BH156">
        <v>2</v>
      </c>
      <c r="BI156" t="s">
        <v>2768</v>
      </c>
      <c r="BJ156">
        <v>2</v>
      </c>
      <c r="BK156" t="s">
        <v>2768</v>
      </c>
      <c r="BL156">
        <v>0</v>
      </c>
      <c r="BM156" t="str">
        <f>IF(0,橙武补雾锁,"夕照雷峰")</f>
        <v>夕照雷峰</v>
      </c>
      <c r="BN156">
        <v>2</v>
      </c>
      <c r="BO156" s="176" t="s">
        <v>2768</v>
      </c>
      <c r="BP156">
        <v>2</v>
      </c>
      <c r="BQ156" t="s">
        <v>2768</v>
      </c>
      <c r="BR156">
        <v>2</v>
      </c>
      <c r="BS156" t="s">
        <v>2768</v>
      </c>
      <c r="BT156">
        <v>1</v>
      </c>
      <c r="BU156" t="s">
        <v>2768</v>
      </c>
      <c r="BV156">
        <v>2</v>
      </c>
      <c r="BW156" s="182" t="s">
        <v>2794</v>
      </c>
      <c r="BX156" s="179">
        <v>2</v>
      </c>
      <c r="BY156" s="176" t="s">
        <v>2794</v>
      </c>
      <c r="BZ156">
        <v>2</v>
      </c>
      <c r="CA156" s="176" t="s">
        <v>2794</v>
      </c>
      <c r="CB156">
        <v>2</v>
      </c>
    </row>
    <row r="157" spans="1:80">
      <c r="A157" s="178">
        <f ca="1">IFERROR(IF(A156+加速!$L$11&lt;$AS$1,IF(COUNTIF(B156,"*轻*")&gt;0,A156+加速!$L$9,A156+加速!$L$11)+V156,IF(COUNTIF(INDEX(AU157:CB157,1,$AT$1),"*云景*")+COUNTIF(INDEX(AU157:CB157,1,$AT$1),"*鹤归*")+COUNTIF(INDEX(AU157:CB157,1,$AT$1),"*听雷*")&gt;0,A156+加速!$L$11,"")),"")</f>
        <v>202.74</v>
      </c>
      <c r="B157" s="167" t="str">
        <f ca="1">IF(A157&lt;&gt;"",IF(AND(A157+加速!$L$11&gt;$AS$1,IF(AND(配装计算器!$K$30&lt;&gt;"∞",0),"梦泉虎跑-轻",INDEX(AU157:CB157,1,$AT$1))="云栖松"),"夕照雷峰",IF(AND(配装计算器!$K$30&lt;&gt;"∞",0),"梦泉虎跑-轻",INDEX(AU157:CB157,1,$AT$1))),"")</f>
        <v>叠2-云景·云飞玉皇</v>
      </c>
      <c r="C157">
        <f ca="1" t="shared" si="30"/>
        <v>13.71</v>
      </c>
      <c r="D157">
        <f ca="1">IF(B157&lt;&gt;"",IF(C156&lt;=加速!$L$11*(1-E157),0,1),"")</f>
        <v>1</v>
      </c>
      <c r="E157">
        <f ca="1" t="shared" si="26"/>
        <v>1</v>
      </c>
      <c r="G157">
        <f ca="1" t="shared" si="27"/>
        <v>0</v>
      </c>
      <c r="H157">
        <f ca="1">IF(B157&lt;&gt;"",IF(AND(COUNTIF(B156,"*轻*莺鸣柳*")&gt;0,COUNTIF(B157,"*轻*")&lt;1),MAX(0,15+I156-(A157-A156)+COUNTIF(B156,"*平湖*")*0),IF(AND(E157=0,MAX(0,H156-(A157-A156))&lt;=加速!$H$11),0,MAX(0,H156-(A157-A156)))),"")</f>
        <v>0</v>
      </c>
      <c r="I157">
        <f ca="1" t="shared" si="33"/>
        <v>0</v>
      </c>
      <c r="J157">
        <f ca="1" t="shared" si="34"/>
        <v>1</v>
      </c>
      <c r="K157">
        <f ca="1">IF(A157&lt;&gt;"",IF(AND(配装计算器!$K$30&lt;&gt;"∞",0),2,INDEX(AU157:CB157,1,$AT$2)),"")</f>
        <v>2</v>
      </c>
      <c r="L157">
        <f ca="1">IFERROR(IF(AND(COUNTIF(B157,"*-峰插*"),技能数据库!$M$72&gt;0),0,IF(COUNTIF(B157,"*鹤归*")&gt;0,16-加速!$L$11,MAX(0,L156-(A157-A156)))),0)</f>
        <v>7.88999999999987</v>
      </c>
      <c r="M157">
        <f ca="1">IF(COUNTIF(IF(AND(配装计算器!$K$30&lt;&gt;"∞",0),INDEX(AU156:CB156,1,$AT$1),INDEX(AU158:CB158,1,$AT$1)),"*鹤归*")=1,L157,0)</f>
        <v>0</v>
      </c>
      <c r="N157">
        <f ca="1">IFERROR(IF(AND(COUNTIF(B157,"*-峰插*"),技能数据库!$M$72&gt;0),0,IF(COUNTIF(B157,"*云飞*")&gt;0,4-COUNTIF(B157,"*玉山揽云*")*4--COUNTIF(B157,"*烟流暮景*")*4-COUNTIF(B157,"*云景*")*加速!$L$11-IF(J157&gt;0,2,0),MAX(0,N156-(A157-A156)-IF(J157&gt;0,2,0)))),0)</f>
        <v>0.71</v>
      </c>
      <c r="O157">
        <f ca="1">IF(AND(COUNTIF(IF(AND(配装计算器!$K$30&lt;&gt;"∞",0),INDEX(AU156:CB156,1,$AT$1),INDEX(AU158:CB158,1,$AT$1)),"*云飞*")=1,COUNTIF(IF(AND(配装计算器!$K$30&lt;&gt;"∞",0),INDEX(AU156:CB156,1,$AT$1),INDEX(AU158:CB158,1,$AT$1)),"*玉山*")=0),N157,0)</f>
        <v>0</v>
      </c>
      <c r="P157">
        <f ca="1">IFERROR(IF(COUNTIF(B157,"*云栖松*")&gt;0,50-加速!$L$11,MAX(0,P156-(A157-A156))),0)</f>
        <v>0</v>
      </c>
      <c r="Q157">
        <f ca="1">IF(COUNTIF(IF(AND(配装计算器!$K$30&lt;&gt;"∞",0),INDEX(AU156:CB156,1,$AT$1),INDEX(AU158:CB158,1,$AT$1)),"*云栖松*")=1,P157,0)</f>
        <v>0</v>
      </c>
      <c r="R157">
        <f ca="1">IFERROR(IF(COUNTIF(B157,"*莺鸣柳*")&gt;0,45-加速!$L$9,MAX(0,R156-(A157-A156))),0)</f>
        <v>0</v>
      </c>
      <c r="S157">
        <f ca="1">IF(COUNTIF(IF(AND(配装计算器!$K$30&lt;&gt;"∞",0),INDEX(AU156:CB156,1,$AT$1),INDEX(AU158:CB158,1,$AT$1)),"*莺鸣柳*")=1,R157,0)</f>
        <v>0</v>
      </c>
      <c r="T157">
        <f ca="1" t="shared" si="31"/>
        <v>0</v>
      </c>
      <c r="U157">
        <f ca="1">IF(金蛇,IF(COUNTIF(B157,"*金环戴*")+COUNTIF(B157,"*吹风醒*")&gt;0,IF(A157&lt;=3,7.125-2.625-A157-加速!$L$11,7.125+加速!$K$9-(A157+加速!$L$11-T157)),0),0)+IF(金蛇,IF(COUNTIF(B157,"*千切子裂光*")&gt;0,2+加速!$K$9-(A157+加速!$L$11-T157),0),0)</f>
        <v>0</v>
      </c>
      <c r="V157">
        <f ca="1" t="shared" si="32"/>
        <v>0</v>
      </c>
      <c r="W157">
        <f ca="1" t="shared" si="24"/>
        <v>0</v>
      </c>
      <c r="X157">
        <f ca="1">INDEX(加速!$I$13:$I$21,技能数计算!W157+1)</f>
        <v>0</v>
      </c>
      <c r="Y157">
        <f ca="1" t="shared" si="28"/>
        <v>0.5</v>
      </c>
      <c r="Z157">
        <f ca="1" t="shared" si="29"/>
        <v>0</v>
      </c>
      <c r="AA157">
        <f ca="1">MAX(0,IFERROR(IF(COUNTIF(B157,"*叠*")&gt;0,IF(AC156&lt;3,8-A158+A157,AA156+6.875-A158+A157),AA156-A158+A157),AA156-加速!$L$11))</f>
        <v>6.71000000000001</v>
      </c>
      <c r="AB157">
        <f ca="1">MAX(0,IF(COUNTIF(IF(AND(配装计算器!$K$30&lt;&gt;"∞",0),INDEX(AU157:CB157,1,$AT$1),INDEX(AU157:CB157,1,$AT$1)),"*叠1*")=1,4*25-加速!$L$11,AB156-A157+A156)-IF(OR(COUNTIF(OFFSET(AT157,0,$AT$1,1,1),"*听雷*")&gt;0,AND(碧归&gt;0,COUNTIF(OFFSET(AT157,0,$AT$1,1,1),"*风来*")&gt;0)),0,1)*1.5)</f>
        <v>91.63</v>
      </c>
      <c r="AC157">
        <f ca="1" t="shared" si="25"/>
        <v>2</v>
      </c>
      <c r="AD157">
        <f ca="1">IF(COUNTIF(IF(AND(配装计算器!$K$30&lt;&gt;"∞",0),INDEX(AU157:CB157,1,$AT$1),INDEX(AU158:CB158,1,$AT$1)),"*叠1*")=1,AB157*0+AE156,0)</f>
        <v>0</v>
      </c>
      <c r="AE157">
        <f ca="1">IF($AN$11&gt;0,IF(COUNTIF(B158,"*叠1*")&gt;0,50-加速!$H$11,MAX(0,AE156-(A158-A157))),0)</f>
        <v>44.88</v>
      </c>
      <c r="AH157" t="s">
        <v>1825</v>
      </c>
      <c r="AI157" t="s">
        <v>2798</v>
      </c>
      <c r="AJ157">
        <f ca="1">AJ154</f>
        <v>0</v>
      </c>
      <c r="AK157" t="s">
        <v>3108</v>
      </c>
      <c r="AU157" t="s">
        <v>2776</v>
      </c>
      <c r="AV157">
        <v>2</v>
      </c>
      <c r="AW157" s="176" t="s">
        <v>2768</v>
      </c>
      <c r="AX157">
        <v>2</v>
      </c>
      <c r="AY157" t="s">
        <v>3035</v>
      </c>
      <c r="AZ157">
        <v>2</v>
      </c>
      <c r="BA157" t="s">
        <v>2768</v>
      </c>
      <c r="BB157">
        <v>2</v>
      </c>
      <c r="BC157" t="s">
        <v>3018</v>
      </c>
      <c r="BD157">
        <v>2</v>
      </c>
      <c r="BE157" t="s">
        <v>2768</v>
      </c>
      <c r="BF157">
        <v>1</v>
      </c>
      <c r="BG157" t="s">
        <v>2768</v>
      </c>
      <c r="BH157">
        <v>2</v>
      </c>
      <c r="BI157" t="s">
        <v>3018</v>
      </c>
      <c r="BJ157">
        <v>2</v>
      </c>
      <c r="BK157" t="s">
        <v>2776</v>
      </c>
      <c r="BL157">
        <v>0</v>
      </c>
      <c r="BM157" t="str">
        <f>IF(0,"云飞玉皇-玉山揽云","夕照雷峰")</f>
        <v>夕照雷峰</v>
      </c>
      <c r="BN157">
        <v>2</v>
      </c>
      <c r="BO157" s="176" t="s">
        <v>2776</v>
      </c>
      <c r="BP157">
        <v>2</v>
      </c>
      <c r="BQ157" t="s">
        <v>3023</v>
      </c>
      <c r="BR157">
        <v>2</v>
      </c>
      <c r="BS157" t="s">
        <v>2768</v>
      </c>
      <c r="BT157">
        <v>1</v>
      </c>
      <c r="BU157" t="s">
        <v>3018</v>
      </c>
      <c r="BV157">
        <v>2</v>
      </c>
      <c r="BW157" s="182" t="s">
        <v>2768</v>
      </c>
      <c r="BX157" s="179">
        <v>2</v>
      </c>
      <c r="BY157" s="176" t="str">
        <f>IF(0,"云飞玉皇-玉山揽云","夕照雷峰")</f>
        <v>夕照雷峰</v>
      </c>
      <c r="BZ157">
        <v>2</v>
      </c>
      <c r="CA157" s="176" t="s">
        <v>2768</v>
      </c>
      <c r="CB157">
        <v>2</v>
      </c>
    </row>
    <row r="158" spans="1:80">
      <c r="A158" s="178">
        <f ca="1">IFERROR(IF(A157+加速!$L$11&lt;$AS$1,IF(COUNTIF(B157,"*轻*")&gt;0,A157+加速!$L$9,A157+加速!$L$11)+V157,IF(COUNTIF(INDEX(AU158:CB158,1,$AT$1),"*云景*")+COUNTIF(INDEX(AU158:CB158,1,$AT$1),"*鹤归*")+COUNTIF(INDEX(AU158:CB158,1,$AT$1),"*听雷*")&gt;0,A157+加速!$L$11,"")),"")</f>
        <v>204.03</v>
      </c>
      <c r="B158" s="167" t="str">
        <f ca="1">IF(A158&lt;&gt;"",IF(AND(A158+加速!$L$11&gt;$AS$1,IF(AND(配装计算器!$K$30&lt;&gt;"∞",0),"梦泉虎跑-轻",INDEX(AU158:CB158,1,$AT$1))="云栖松"),"夕照雷峰",IF(AND(配装计算器!$K$30&lt;&gt;"∞",0),"梦泉虎跑-轻",INDEX(AU158:CB158,1,$AT$1))),"")</f>
        <v>风来吴山</v>
      </c>
      <c r="C158">
        <f ca="1" t="shared" si="30"/>
        <v>12.42</v>
      </c>
      <c r="D158">
        <f ca="1">IF(B158&lt;&gt;"",IF(C157&lt;=加速!$L$11*(1-E158),0,1),"")</f>
        <v>1</v>
      </c>
      <c r="E158">
        <f ca="1" t="shared" si="26"/>
        <v>0</v>
      </c>
      <c r="G158">
        <f ca="1" t="shared" si="27"/>
        <v>0</v>
      </c>
      <c r="H158">
        <f ca="1">IF(B158&lt;&gt;"",IF(AND(COUNTIF(B157,"*轻*莺鸣柳*")&gt;0,COUNTIF(B158,"*轻*")&lt;1),MAX(0,15+I157-(A158-A157)+COUNTIF(B157,"*平湖*")*0),IF(AND(E158=0,MAX(0,H157-(A158-A157))&lt;=加速!$H$11),0,MAX(0,H157-(A158-A157)))),"")</f>
        <v>0</v>
      </c>
      <c r="I158">
        <f ca="1" t="shared" si="33"/>
        <v>0</v>
      </c>
      <c r="J158">
        <f ca="1" t="shared" si="34"/>
        <v>0</v>
      </c>
      <c r="K158">
        <f ca="1">IF(A158&lt;&gt;"",IF(AND(配装计算器!$K$30&lt;&gt;"∞",0),2,INDEX(AU158:CB158,1,$AT$2)),"")</f>
        <v>2</v>
      </c>
      <c r="L158">
        <f ca="1">IFERROR(IF(AND(COUNTIF(B158,"*-峰插*"),技能数据库!$M$72&gt;0),0,IF(COUNTIF(B158,"*鹤归*")&gt;0,16-加速!$L$11,MAX(0,L157-(A158-A157)))),0)</f>
        <v>6.59999999999987</v>
      </c>
      <c r="M158">
        <f ca="1">IF(COUNTIF(IF(AND(配装计算器!$K$30&lt;&gt;"∞",0),INDEX(AU157:CB157,1,$AT$1),INDEX(AU159:CB159,1,$AT$1)),"*鹤归*")=1,L158,0)</f>
        <v>0</v>
      </c>
      <c r="N158">
        <f ca="1">IFERROR(IF(AND(COUNTIF(B158,"*-峰插*"),技能数据库!$M$72&gt;0),0,IF(COUNTIF(B158,"*云飞*")&gt;0,4-COUNTIF(B158,"*玉山揽云*")*4--COUNTIF(B158,"*烟流暮景*")*4-COUNTIF(B158,"*云景*")*加速!$L$11-IF(J158&gt;0,2,0),MAX(0,N157-(A158-A157)-IF(J158&gt;0,2,0)))),0)</f>
        <v>0</v>
      </c>
      <c r="O158">
        <f ca="1">IF(AND(COUNTIF(IF(AND(配装计算器!$K$30&lt;&gt;"∞",0),INDEX(AU157:CB157,1,$AT$1),INDEX(AU159:CB159,1,$AT$1)),"*云飞*")=1,COUNTIF(IF(AND(配装计算器!$K$30&lt;&gt;"∞",0),INDEX(AU157:CB157,1,$AT$1),INDEX(AU159:CB159,1,$AT$1)),"*玉山*")=0),N158,0)</f>
        <v>0</v>
      </c>
      <c r="P158">
        <f ca="1">IFERROR(IF(COUNTIF(B158,"*云栖松*")&gt;0,50-加速!$L$11,MAX(0,P157-(A158-A157))),0)</f>
        <v>0</v>
      </c>
      <c r="Q158">
        <f ca="1">IF(COUNTIF(IF(AND(配装计算器!$K$30&lt;&gt;"∞",0),INDEX(AU157:CB157,1,$AT$1),INDEX(AU159:CB159,1,$AT$1)),"*云栖松*")=1,P158,0)</f>
        <v>0</v>
      </c>
      <c r="R158">
        <f ca="1">IFERROR(IF(COUNTIF(B158,"*莺鸣柳*")&gt;0,45-加速!$L$9,MAX(0,R157-(A158-A157))),0)</f>
        <v>0</v>
      </c>
      <c r="S158">
        <f ca="1">IF(COUNTIF(IF(AND(配装计算器!$K$30&lt;&gt;"∞",0),INDEX(AU157:CB157,1,$AT$1),INDEX(AU159:CB159,1,$AT$1)),"*莺鸣柳*")=1,R158,0)</f>
        <v>0</v>
      </c>
      <c r="T158">
        <f ca="1" t="shared" si="31"/>
        <v>0</v>
      </c>
      <c r="U158">
        <f ca="1">IF(金蛇,IF(COUNTIF(B158,"*金环戴*")+COUNTIF(B158,"*吹风醒*")&gt;0,IF(A158&lt;=3,7.125-2.625-A158-加速!$L$11,7.125+加速!$K$9-(A158+加速!$L$11-T158)),0),0)+IF(金蛇,IF(COUNTIF(B158,"*千切子裂光*")&gt;0,2+加速!$K$9-(A158+加速!$L$11-T158),0),0)</f>
        <v>0</v>
      </c>
      <c r="V158">
        <f ca="1" t="shared" si="32"/>
        <v>0</v>
      </c>
      <c r="W158">
        <f ca="1" t="shared" si="24"/>
        <v>1</v>
      </c>
      <c r="X158">
        <f ca="1">INDEX(加速!$I$13:$I$21,技能数计算!W158+1)</f>
        <v>1</v>
      </c>
      <c r="Y158">
        <f ca="1" t="shared" si="28"/>
        <v>0.5</v>
      </c>
      <c r="Z158">
        <f ca="1" t="shared" si="29"/>
        <v>0</v>
      </c>
      <c r="AA158">
        <f ca="1">MAX(0,IFERROR(IF(COUNTIF(B158,"*叠*")&gt;0,IF(AC157&lt;3,8-A159+A158,AA157+6.875-A159+A158),AA157-A159+A158),AA157-加速!$L$11))</f>
        <v>5.42000000000002</v>
      </c>
      <c r="AB158">
        <f ca="1">MAX(0,IF(COUNTIF(IF(AND(配装计算器!$K$30&lt;&gt;"∞",0),INDEX(AU158:CB158,1,$AT$1),INDEX(AU158:CB158,1,$AT$1)),"*叠1*")=1,4*25-加速!$L$11,AB157-A158+A157)-IF(OR(COUNTIF(OFFSET(AT158,0,$AT$1,1,1),"*听雷*")&gt;0,AND(碧归&gt;0,COUNTIF(OFFSET(AT158,0,$AT$1,1,1),"*风来*")&gt;0)),0,1)*1.5)</f>
        <v>90.34</v>
      </c>
      <c r="AC158">
        <f ca="1" t="shared" si="25"/>
        <v>2</v>
      </c>
      <c r="AD158">
        <f ca="1">IF(COUNTIF(IF(AND(配装计算器!$K$30&lt;&gt;"∞",0),INDEX(AU158:CB158,1,$AT$1),INDEX(AU159:CB159,1,$AT$1)),"*叠1*")=1,AB158*0+AE157,0)</f>
        <v>0</v>
      </c>
      <c r="AE158">
        <f ca="1">IF($AN$11&gt;0,IF(COUNTIF(B159,"*叠1*")&gt;0,50-加速!$H$11,MAX(0,AE157-(A159-A158))),0)</f>
        <v>43.59</v>
      </c>
      <c r="AH158" t="s">
        <v>1825</v>
      </c>
      <c r="AI158" t="s">
        <v>2798</v>
      </c>
      <c r="AJ158">
        <f ca="1" t="shared" ref="AJ158:AJ159" si="37">AJ155</f>
        <v>0</v>
      </c>
      <c r="AK158" t="s">
        <v>3109</v>
      </c>
      <c r="AU158" t="s">
        <v>2768</v>
      </c>
      <c r="AV158">
        <v>2</v>
      </c>
      <c r="AW158" s="176" t="s">
        <v>2776</v>
      </c>
      <c r="AX158">
        <v>2</v>
      </c>
      <c r="AY158" t="s">
        <v>2768</v>
      </c>
      <c r="AZ158">
        <v>2</v>
      </c>
      <c r="BA158" t="s">
        <v>2776</v>
      </c>
      <c r="BB158">
        <v>2</v>
      </c>
      <c r="BC158" t="s">
        <v>2768</v>
      </c>
      <c r="BD158">
        <v>2</v>
      </c>
      <c r="BE158" t="s">
        <v>2768</v>
      </c>
      <c r="BF158">
        <v>1</v>
      </c>
      <c r="BG158" t="s">
        <v>2776</v>
      </c>
      <c r="BH158">
        <v>2</v>
      </c>
      <c r="BI158" t="s">
        <v>2789</v>
      </c>
      <c r="BJ158">
        <v>2</v>
      </c>
      <c r="BK158" t="s">
        <v>2768</v>
      </c>
      <c r="BL158">
        <v>0</v>
      </c>
      <c r="BM158" t="s">
        <v>2776</v>
      </c>
      <c r="BN158">
        <v>2</v>
      </c>
      <c r="BO158" s="176" t="s">
        <v>2768</v>
      </c>
      <c r="BP158">
        <v>2</v>
      </c>
      <c r="BQ158" t="s">
        <v>2768</v>
      </c>
      <c r="BR158">
        <v>2</v>
      </c>
      <c r="BS158" t="s">
        <v>2776</v>
      </c>
      <c r="BT158">
        <v>0</v>
      </c>
      <c r="BU158" t="s">
        <v>2768</v>
      </c>
      <c r="BV158">
        <v>2</v>
      </c>
      <c r="BW158" s="182" t="s">
        <v>2776</v>
      </c>
      <c r="BX158" s="179">
        <v>2</v>
      </c>
      <c r="BY158" s="176" t="str">
        <f>IF(0,"云飞玉皇-玉山揽云","云飞玉皇")</f>
        <v>云飞玉皇</v>
      </c>
      <c r="BZ158">
        <v>2</v>
      </c>
      <c r="CA158" s="176" t="s">
        <v>2776</v>
      </c>
      <c r="CB158">
        <v>2</v>
      </c>
    </row>
    <row r="159" spans="1:80">
      <c r="A159" s="178">
        <f ca="1">IFERROR(IF(A158+加速!$L$11&lt;$AS$1,IF(COUNTIF(B158,"*轻*")&gt;0,A158+加速!$L$9,A158+加速!$L$11)+V158,IF(COUNTIF(INDEX(AU159:CB159,1,$AT$1),"*云景*")+COUNTIF(INDEX(AU159:CB159,1,$AT$1),"*鹤归*")+COUNTIF(INDEX(AU159:CB159,1,$AT$1),"*听雷*")&gt;0,A158+加速!$L$11,"")),"")</f>
        <v>205.32</v>
      </c>
      <c r="B159" s="167" t="str">
        <f ca="1">IF(A159&lt;&gt;"",IF(AND(A159+加速!$L$11&gt;$AS$1,IF(AND(配装计算器!$K$30&lt;&gt;"∞",0),"梦泉虎跑-轻",INDEX(AU159:CB159,1,$AT$1))="云栖松"),"夕照雷峰",IF(AND(配装计算器!$K$30&lt;&gt;"∞",0),"梦泉虎跑-轻",INDEX(AU159:CB159,1,$AT$1))),"")</f>
        <v>叠3-云飞玉皇</v>
      </c>
      <c r="C159">
        <f ca="1" t="shared" si="30"/>
        <v>11.13</v>
      </c>
      <c r="D159">
        <f ca="1">IF(B159&lt;&gt;"",IF(C158&lt;=加速!$L$11*(1-E159),0,1),"")</f>
        <v>1</v>
      </c>
      <c r="E159">
        <f ca="1" t="shared" si="26"/>
        <v>1</v>
      </c>
      <c r="G159">
        <f ca="1" t="shared" si="27"/>
        <v>8</v>
      </c>
      <c r="H159">
        <f ca="1">IF(B159&lt;&gt;"",IF(AND(COUNTIF(B158,"*轻*莺鸣柳*")&gt;0,COUNTIF(B159,"*轻*")&lt;1),MAX(0,15+I158-(A159-A158)+COUNTIF(B158,"*平湖*")*0),IF(AND(E159=0,MAX(0,H158-(A159-A158))&lt;=加速!$H$11),0,MAX(0,H158-(A159-A158)))),"")</f>
        <v>0</v>
      </c>
      <c r="I159">
        <f ca="1" t="shared" si="33"/>
        <v>0</v>
      </c>
      <c r="J159">
        <f ca="1" t="shared" si="34"/>
        <v>0</v>
      </c>
      <c r="K159">
        <f ca="1">IF(A159&lt;&gt;"",IF(AND(配装计算器!$K$30&lt;&gt;"∞",0),2,INDEX(AU159:CB159,1,$AT$2)),"")</f>
        <v>2</v>
      </c>
      <c r="L159">
        <f ca="1">IFERROR(IF(AND(COUNTIF(B159,"*-峰插*"),技能数据库!$M$72&gt;0),0,IF(COUNTIF(B159,"*鹤归*")&gt;0,16-加速!$L$11,MAX(0,L158-(A159-A158)))),0)</f>
        <v>5.30999999999988</v>
      </c>
      <c r="M159">
        <f ca="1">IF(COUNTIF(IF(AND(配装计算器!$K$30&lt;&gt;"∞",0),INDEX(AU158:CB158,1,$AT$1),INDEX(AU160:CB160,1,$AT$1)),"*鹤归*")=1,L159,0)</f>
        <v>0</v>
      </c>
      <c r="N159">
        <f ca="1">IFERROR(IF(AND(COUNTIF(B159,"*-峰插*"),技能数据库!$M$72&gt;0),0,IF(COUNTIF(B159,"*云飞*")&gt;0,4-COUNTIF(B159,"*玉山揽云*")*4--COUNTIF(B159,"*烟流暮景*")*4-COUNTIF(B159,"*云景*")*加速!$L$11-IF(J159&gt;0,2,0),MAX(0,N158-(A159-A158)-IF(J159&gt;0,2,0)))),0)</f>
        <v>4</v>
      </c>
      <c r="O159">
        <f ca="1">IF(AND(COUNTIF(IF(AND(配装计算器!$K$30&lt;&gt;"∞",0),INDEX(AU158:CB158,1,$AT$1),INDEX(AU160:CB160,1,$AT$1)),"*云飞*")=1,COUNTIF(IF(AND(配装计算器!$K$30&lt;&gt;"∞",0),INDEX(AU158:CB158,1,$AT$1),INDEX(AU160:CB160,1,$AT$1)),"*玉山*")=0),N159,0)</f>
        <v>0</v>
      </c>
      <c r="P159">
        <f ca="1">IFERROR(IF(COUNTIF(B159,"*云栖松*")&gt;0,50-加速!$L$11,MAX(0,P158-(A159-A158))),0)</f>
        <v>0</v>
      </c>
      <c r="Q159">
        <f ca="1">IF(COUNTIF(IF(AND(配装计算器!$K$30&lt;&gt;"∞",0),INDEX(AU158:CB158,1,$AT$1),INDEX(AU160:CB160,1,$AT$1)),"*云栖松*")=1,P159,0)</f>
        <v>0</v>
      </c>
      <c r="R159">
        <f ca="1">IFERROR(IF(COUNTIF(B159,"*莺鸣柳*")&gt;0,45-加速!$L$9,MAX(0,R158-(A159-A158))),0)</f>
        <v>0</v>
      </c>
      <c r="S159">
        <f ca="1">IF(COUNTIF(IF(AND(配装计算器!$K$30&lt;&gt;"∞",0),INDEX(AU158:CB158,1,$AT$1),INDEX(AU160:CB160,1,$AT$1)),"*莺鸣柳*")=1,R159,0)</f>
        <v>0</v>
      </c>
      <c r="T159">
        <f ca="1" t="shared" si="31"/>
        <v>0</v>
      </c>
      <c r="U159">
        <f ca="1">IF(金蛇,IF(COUNTIF(B159,"*金环戴*")+COUNTIF(B159,"*吹风醒*")&gt;0,IF(A159&lt;=3,7.125-2.625-A159-加速!$L$11,7.125+加速!$K$9-(A159+加速!$L$11-T159)),0),0)+IF(金蛇,IF(COUNTIF(B159,"*千切子裂光*")&gt;0,2+加速!$K$9-(A159+加速!$L$11-T159),0),0)</f>
        <v>0</v>
      </c>
      <c r="V159">
        <f ca="1" t="shared" si="32"/>
        <v>0</v>
      </c>
      <c r="W159">
        <f ca="1" t="shared" si="24"/>
        <v>2</v>
      </c>
      <c r="X159">
        <f ca="1">INDEX(加速!$I$13:$I$21,技能数计算!W159+1)</f>
        <v>3</v>
      </c>
      <c r="Y159">
        <f ca="1" t="shared" si="28"/>
        <v>0.5</v>
      </c>
      <c r="Z159">
        <f ca="1" t="shared" si="29"/>
        <v>0</v>
      </c>
      <c r="AA159">
        <f ca="1">MAX(0,IFERROR(IF(COUNTIF(B159,"*叠*")&gt;0,IF(AC158&lt;3,8-A160+A159,AA158+6.875-A160+A159),AA158-A160+A159),AA158-加速!$L$11))</f>
        <v>6.71000000000001</v>
      </c>
      <c r="AB159">
        <f ca="1">MAX(0,IF(COUNTIF(IF(AND(配装计算器!$K$30&lt;&gt;"∞",0),INDEX(AU159:CB159,1,$AT$1),INDEX(AU159:CB159,1,$AT$1)),"*叠1*")=1,4*25-加速!$L$11,AB158-A159+A158)-IF(OR(COUNTIF(OFFSET(AT159,0,$AT$1,1,1),"*听雷*")&gt;0,AND(碧归&gt;0,COUNTIF(OFFSET(AT159,0,$AT$1,1,1),"*风来*")&gt;0)),0,1)*1.5)</f>
        <v>87.55</v>
      </c>
      <c r="AC159">
        <f ca="1" t="shared" si="25"/>
        <v>3</v>
      </c>
      <c r="AD159">
        <f ca="1">IF(COUNTIF(IF(AND(配装计算器!$K$30&lt;&gt;"∞",0),INDEX(AU159:CB159,1,$AT$1),INDEX(AU160:CB160,1,$AT$1)),"*叠1*")=1,AB159*0+AE158,0)</f>
        <v>0</v>
      </c>
      <c r="AE159">
        <f ca="1">IF($AN$11&gt;0,IF(COUNTIF(B160,"*叠1*")&gt;0,50-加速!$H$11,MAX(0,AE158-(A160-A159))),0)</f>
        <v>42.3</v>
      </c>
      <c r="AH159" t="s">
        <v>1825</v>
      </c>
      <c r="AI159" t="s">
        <v>2798</v>
      </c>
      <c r="AJ159">
        <f ca="1" t="shared" si="37"/>
        <v>2</v>
      </c>
      <c r="AK159" t="s">
        <v>3110</v>
      </c>
      <c r="AU159" s="180" t="s">
        <v>2789</v>
      </c>
      <c r="AV159">
        <v>2</v>
      </c>
      <c r="AW159" s="176" t="s">
        <v>2768</v>
      </c>
      <c r="AX159">
        <v>2</v>
      </c>
      <c r="AY159" t="s">
        <v>2776</v>
      </c>
      <c r="AZ159">
        <v>2</v>
      </c>
      <c r="BA159" t="s">
        <v>2768</v>
      </c>
      <c r="BB159">
        <v>2</v>
      </c>
      <c r="BC159" t="s">
        <v>3023</v>
      </c>
      <c r="BD159">
        <v>2</v>
      </c>
      <c r="BE159" t="s">
        <v>2794</v>
      </c>
      <c r="BF159">
        <v>1</v>
      </c>
      <c r="BG159" t="s">
        <v>2768</v>
      </c>
      <c r="BH159">
        <v>2</v>
      </c>
      <c r="BI159" s="182" t="s">
        <v>3023</v>
      </c>
      <c r="BJ159">
        <v>2</v>
      </c>
      <c r="BK159" t="s">
        <v>3067</v>
      </c>
      <c r="BL159">
        <v>2</v>
      </c>
      <c r="BM159" t="str">
        <f>IF(0,"云飞玉皇-玉山揽云","夕照雷峰")</f>
        <v>夕照雷峰</v>
      </c>
      <c r="BN159">
        <v>2</v>
      </c>
      <c r="BO159" s="176" t="s">
        <v>2776</v>
      </c>
      <c r="BP159">
        <v>2</v>
      </c>
      <c r="BQ159" t="s">
        <v>2776</v>
      </c>
      <c r="BR159">
        <v>2</v>
      </c>
      <c r="BS159" t="s">
        <v>2768</v>
      </c>
      <c r="BT159">
        <v>0</v>
      </c>
      <c r="BU159" s="182" t="s">
        <v>3023</v>
      </c>
      <c r="BV159">
        <v>2</v>
      </c>
      <c r="BW159" s="182" t="s">
        <v>2768</v>
      </c>
      <c r="BX159" s="179">
        <v>2</v>
      </c>
      <c r="BY159" s="176" t="str">
        <f>IF(0,橙武补雾锁,"夕照雷峰")</f>
        <v>夕照雷峰</v>
      </c>
      <c r="BZ159">
        <v>2</v>
      </c>
      <c r="CA159" s="176" t="s">
        <v>2768</v>
      </c>
      <c r="CB159">
        <v>2</v>
      </c>
    </row>
    <row r="160" spans="1:80">
      <c r="A160" s="178">
        <f ca="1">IFERROR(IF(A159+加速!$L$11&lt;$AS$1,IF(COUNTIF(B159,"*轻*")&gt;0,A159+加速!$L$9,A159+加速!$L$11)+V159,IF(COUNTIF(INDEX(AU160:CB160,1,$AT$1),"*云景*")+COUNTIF(INDEX(AU160:CB160,1,$AT$1),"*鹤归*")+COUNTIF(INDEX(AU160:CB160,1,$AT$1),"*听雷*")&gt;0,A159+加速!$L$11,"")),"")</f>
        <v>206.61</v>
      </c>
      <c r="B160" s="167" t="str">
        <f ca="1">IF(A160&lt;&gt;"",IF(AND(A160+加速!$L$11&gt;$AS$1,IF(AND(配装计算器!$K$30&lt;&gt;"∞",0),"梦泉虎跑-轻",INDEX(AU160:CB160,1,$AT$1))="云栖松"),"夕照雷峰",IF(AND(配装计算器!$K$30&lt;&gt;"∞",0),"梦泉虎跑-轻",INDEX(AU160:CB160,1,$AT$1))),"")</f>
        <v>云飞玉皇-玉山揽云</v>
      </c>
      <c r="C160">
        <f ca="1" t="shared" si="30"/>
        <v>9.84000000000003</v>
      </c>
      <c r="D160">
        <f ca="1">IF(B160&lt;&gt;"",IF(C159&lt;=加速!$L$11*(1-E160),0,1),"")</f>
        <v>1</v>
      </c>
      <c r="E160">
        <f ca="1" t="shared" si="26"/>
        <v>1</v>
      </c>
      <c r="G160">
        <f ca="1" t="shared" si="27"/>
        <v>7</v>
      </c>
      <c r="H160">
        <f ca="1">IF(B160&lt;&gt;"",IF(AND(COUNTIF(B159,"*轻*莺鸣柳*")&gt;0,COUNTIF(B160,"*轻*")&lt;1),MAX(0,15+I159-(A160-A159)+COUNTIF(B159,"*平湖*")*0),IF(AND(E160=0,MAX(0,H159-(A160-A159))&lt;=加速!$H$11),0,MAX(0,H159-(A160-A159)))),"")</f>
        <v>0</v>
      </c>
      <c r="I160">
        <f ca="1" t="shared" si="33"/>
        <v>0</v>
      </c>
      <c r="J160">
        <f ca="1" t="shared" si="34"/>
        <v>0</v>
      </c>
      <c r="K160">
        <f ca="1">IF(A160&lt;&gt;"",IF(AND(配装计算器!$K$30&lt;&gt;"∞",0),2,INDEX(AU160:CB160,1,$AT$2)),"")</f>
        <v>2</v>
      </c>
      <c r="L160">
        <f ca="1">IFERROR(IF(AND(COUNTIF(B160,"*-峰插*"),技能数据库!$M$72&gt;0),0,IF(COUNTIF(B160,"*鹤归*")&gt;0,16-加速!$L$11,MAX(0,L159-(A160-A159)))),0)</f>
        <v>4.01999999999989</v>
      </c>
      <c r="M160">
        <f ca="1">IF(COUNTIF(IF(AND(配装计算器!$K$30&lt;&gt;"∞",0),INDEX(AU159:CB159,1,$AT$1),INDEX(AU161:CB161,1,$AT$1)),"*鹤归*")=1,L160,0)</f>
        <v>0</v>
      </c>
      <c r="N160">
        <f ca="1">IFERROR(IF(AND(COUNTIF(B160,"*-峰插*"),技能数据库!$M$72&gt;0),0,IF(COUNTIF(B160,"*云飞*")&gt;0,4-COUNTIF(B160,"*玉山揽云*")*4--COUNTIF(B160,"*烟流暮景*")*4-COUNTIF(B160,"*云景*")*加速!$L$11-IF(J160&gt;0,2,0),MAX(0,N159-(A160-A159)-IF(J160&gt;0,2,0)))),0)</f>
        <v>0</v>
      </c>
      <c r="O160">
        <f ca="1">IF(AND(COUNTIF(IF(AND(配装计算器!$K$30&lt;&gt;"∞",0),INDEX(AU159:CB159,1,$AT$1),INDEX(AU161:CB161,1,$AT$1)),"*云飞*")=1,COUNTIF(IF(AND(配装计算器!$K$30&lt;&gt;"∞",0),INDEX(AU159:CB159,1,$AT$1),INDEX(AU161:CB161,1,$AT$1)),"*玉山*")=0),N160,0)</f>
        <v>0</v>
      </c>
      <c r="P160">
        <f ca="1">IFERROR(IF(COUNTIF(B160,"*云栖松*")&gt;0,50-加速!$L$11,MAX(0,P159-(A160-A159))),0)</f>
        <v>0</v>
      </c>
      <c r="Q160">
        <f ca="1">IF(COUNTIF(IF(AND(配装计算器!$K$30&lt;&gt;"∞",0),INDEX(AU159:CB159,1,$AT$1),INDEX(AU161:CB161,1,$AT$1)),"*云栖松*")=1,P160,0)</f>
        <v>0</v>
      </c>
      <c r="R160">
        <f ca="1">IFERROR(IF(COUNTIF(B160,"*莺鸣柳*")&gt;0,45-加速!$L$9,MAX(0,R159-(A160-A159))),0)</f>
        <v>0</v>
      </c>
      <c r="S160">
        <f ca="1">IF(COUNTIF(IF(AND(配装计算器!$K$30&lt;&gt;"∞",0),INDEX(AU159:CB159,1,$AT$1),INDEX(AU161:CB161,1,$AT$1)),"*莺鸣柳*")=1,R160,0)</f>
        <v>0</v>
      </c>
      <c r="T160">
        <f ca="1" t="shared" si="31"/>
        <v>0</v>
      </c>
      <c r="U160">
        <f ca="1">IF(金蛇,IF(COUNTIF(B160,"*金环戴*")+COUNTIF(B160,"*吹风醒*")&gt;0,IF(A160&lt;=3,7.125-2.625-A160-加速!$L$11,7.125+加速!$K$9-(A160+加速!$L$11-T160)),0),0)+IF(金蛇,IF(COUNTIF(B160,"*千切子裂光*")&gt;0,2+加速!$K$9-(A160+加速!$L$11-T160),0),0)</f>
        <v>0</v>
      </c>
      <c r="V160">
        <f ca="1" t="shared" si="32"/>
        <v>0</v>
      </c>
      <c r="W160">
        <f ca="1" t="shared" si="24"/>
        <v>3</v>
      </c>
      <c r="X160">
        <f ca="1">INDEX(加速!$I$13:$I$21,技能数计算!W160+1)</f>
        <v>2</v>
      </c>
      <c r="Y160">
        <f ca="1" t="shared" si="28"/>
        <v>0.5</v>
      </c>
      <c r="Z160">
        <f ca="1" t="shared" si="29"/>
        <v>0</v>
      </c>
      <c r="AA160">
        <f ca="1">MAX(0,IFERROR(IF(COUNTIF(B160,"*叠*")&gt;0,IF(AC159&lt;3,8-A161+A160,AA159+6.875-A161+A160),AA159-A161+A160),AA159-加速!$L$11))</f>
        <v>5.42000000000002</v>
      </c>
      <c r="AB160">
        <f ca="1">MAX(0,IF(COUNTIF(IF(AND(配装计算器!$K$30&lt;&gt;"∞",0),INDEX(AU160:CB160,1,$AT$1),INDEX(AU160:CB160,1,$AT$1)),"*叠1*")=1,4*25-加速!$L$11,AB159-A160+A159)-IF(OR(COUNTIF(OFFSET(AT160,0,$AT$1,1,1),"*听雷*")&gt;0,AND(碧归&gt;0,COUNTIF(OFFSET(AT160,0,$AT$1,1,1),"*风来*")&gt;0)),0,1)*1.5)</f>
        <v>84.76</v>
      </c>
      <c r="AC160">
        <f ca="1" t="shared" si="25"/>
        <v>3</v>
      </c>
      <c r="AD160">
        <f ca="1">IF(COUNTIF(IF(AND(配装计算器!$K$30&lt;&gt;"∞",0),INDEX(AU160:CB160,1,$AT$1),INDEX(AU161:CB161,1,$AT$1)),"*叠1*")=1,AB160*0+AE159,0)</f>
        <v>0</v>
      </c>
      <c r="AE160">
        <f ca="1">IF($AN$11&gt;0,IF(COUNTIF(B161,"*叠1*")&gt;0,50-加速!$H$11,MAX(0,AE159-(A161-A160))),0)</f>
        <v>41.01</v>
      </c>
      <c r="AH160" t="s">
        <v>1825</v>
      </c>
      <c r="AI160" t="s">
        <v>2801</v>
      </c>
      <c r="AJ160">
        <f ca="1">循环比*COUNTIFS($J$3:$J$515,"&gt;0",$D$3:$D$515,"&gt;0",$AC$3:$AC$515,"=1")</f>
        <v>8</v>
      </c>
      <c r="AK160" t="s">
        <v>3108</v>
      </c>
      <c r="AU160" s="176" t="s">
        <v>2794</v>
      </c>
      <c r="AV160">
        <v>2</v>
      </c>
      <c r="AW160" s="176" t="s">
        <v>2776</v>
      </c>
      <c r="AX160">
        <v>2</v>
      </c>
      <c r="AY160" t="s">
        <v>2768</v>
      </c>
      <c r="AZ160">
        <v>2</v>
      </c>
      <c r="BA160" t="s">
        <v>2776</v>
      </c>
      <c r="BB160">
        <v>2</v>
      </c>
      <c r="BC160" t="s">
        <v>2768</v>
      </c>
      <c r="BD160">
        <v>2</v>
      </c>
      <c r="BE160" t="s">
        <v>2776</v>
      </c>
      <c r="BF160">
        <v>2</v>
      </c>
      <c r="BG160" t="s">
        <v>2776</v>
      </c>
      <c r="BH160">
        <v>2</v>
      </c>
      <c r="BI160" s="176" t="s">
        <v>3026</v>
      </c>
      <c r="BJ160">
        <v>2</v>
      </c>
      <c r="BK160" s="176" t="s">
        <v>2768</v>
      </c>
      <c r="BL160">
        <v>2</v>
      </c>
      <c r="BM160" s="176" t="s">
        <v>2794</v>
      </c>
      <c r="BN160">
        <v>2</v>
      </c>
      <c r="BO160" s="176" t="s">
        <v>2768</v>
      </c>
      <c r="BP160">
        <v>2</v>
      </c>
      <c r="BQ160" t="s">
        <v>2789</v>
      </c>
      <c r="BR160">
        <v>2</v>
      </c>
      <c r="BS160" t="s">
        <v>3024</v>
      </c>
      <c r="BT160">
        <v>2</v>
      </c>
      <c r="BU160" s="176" t="s">
        <v>2768</v>
      </c>
      <c r="BV160">
        <v>2</v>
      </c>
      <c r="BW160" s="182" t="s">
        <v>2776</v>
      </c>
      <c r="BX160" s="179">
        <v>2</v>
      </c>
      <c r="BY160" s="176" t="str">
        <f>IF(0,"云飞玉皇-玉山揽云","云景·云飞玉皇")</f>
        <v>云景·云飞玉皇</v>
      </c>
      <c r="BZ160">
        <v>2</v>
      </c>
      <c r="CA160" s="176" t="s">
        <v>2808</v>
      </c>
      <c r="CB160">
        <v>2</v>
      </c>
    </row>
    <row r="161" spans="1:80">
      <c r="A161" s="178">
        <f ca="1">IFERROR(IF(A160+加速!$L$11&lt;$AS$1,IF(COUNTIF(B160,"*轻*")&gt;0,A160+加速!$L$9,A160+加速!$L$11)+V160,IF(COUNTIF(INDEX(AU161:CB161,1,$AT$1),"*云景*")+COUNTIF(INDEX(AU161:CB161,1,$AT$1),"*鹤归*")+COUNTIF(INDEX(AU161:CB161,1,$AT$1),"*听雷*")&gt;0,A160+加速!$L$11,"")),"")</f>
        <v>207.9</v>
      </c>
      <c r="B161" s="167" t="str">
        <f ca="1">IF(A161&lt;&gt;"",IF(AND(A161+加速!$L$11&gt;$AS$1,IF(AND(配装计算器!$K$30&lt;&gt;"∞",0),"梦泉虎跑-轻",INDEX(AU161:CB161,1,$AT$1))="云栖松"),"夕照雷峰",IF(AND(配装计算器!$K$30&lt;&gt;"∞",0),"梦泉虎跑-轻",INDEX(AU161:CB161,1,$AT$1))),"")</f>
        <v>云飞玉皇-玉山揽云</v>
      </c>
      <c r="C161">
        <f ca="1" t="shared" si="30"/>
        <v>8.55000000000004</v>
      </c>
      <c r="D161">
        <f ca="1">IF(B161&lt;&gt;"",IF(C160&lt;=加速!$L$11*(1-E161),0,1),"")</f>
        <v>1</v>
      </c>
      <c r="E161">
        <f ca="1" t="shared" si="26"/>
        <v>1</v>
      </c>
      <c r="G161">
        <f ca="1" t="shared" si="27"/>
        <v>6</v>
      </c>
      <c r="H161">
        <f ca="1">IF(B161&lt;&gt;"",IF(AND(COUNTIF(B160,"*轻*莺鸣柳*")&gt;0,COUNTIF(B161,"*轻*")&lt;1),MAX(0,15+I160-(A161-A160)+COUNTIF(B160,"*平湖*")*0),IF(AND(E161=0,MAX(0,H160-(A161-A160))&lt;=加速!$H$11),0,MAX(0,H160-(A161-A160)))),"")</f>
        <v>0</v>
      </c>
      <c r="I161">
        <f ca="1" t="shared" si="33"/>
        <v>0</v>
      </c>
      <c r="J161">
        <f ca="1" t="shared" si="34"/>
        <v>0</v>
      </c>
      <c r="K161">
        <f ca="1">IF(A161&lt;&gt;"",IF(AND(配装计算器!$K$30&lt;&gt;"∞",0),2,INDEX(AU161:CB161,1,$AT$2)),"")</f>
        <v>2</v>
      </c>
      <c r="L161">
        <f ca="1">IFERROR(IF(AND(COUNTIF(B161,"*-峰插*"),技能数据库!$M$72&gt;0),0,IF(COUNTIF(B161,"*鹤归*")&gt;0,16-加速!$L$11,MAX(0,L160-(A161-A160)))),0)</f>
        <v>2.7299999999999</v>
      </c>
      <c r="M161">
        <f ca="1">IF(COUNTIF(IF(AND(配装计算器!$K$30&lt;&gt;"∞",0),INDEX(AU160:CB160,1,$AT$1),INDEX(AU162:CB162,1,$AT$1)),"*鹤归*")=1,L161,0)</f>
        <v>0</v>
      </c>
      <c r="N161">
        <f ca="1">IFERROR(IF(AND(COUNTIF(B161,"*-峰插*"),技能数据库!$M$72&gt;0),0,IF(COUNTIF(B161,"*云飞*")&gt;0,4-COUNTIF(B161,"*玉山揽云*")*4--COUNTIF(B161,"*烟流暮景*")*4-COUNTIF(B161,"*云景*")*加速!$L$11-IF(J161&gt;0,2,0),MAX(0,N160-(A161-A160)-IF(J161&gt;0,2,0)))),0)</f>
        <v>0</v>
      </c>
      <c r="O161">
        <f ca="1">IF(AND(COUNTIF(IF(AND(配装计算器!$K$30&lt;&gt;"∞",0),INDEX(AU160:CB160,1,$AT$1),INDEX(AU162:CB162,1,$AT$1)),"*云飞*")=1,COUNTIF(IF(AND(配装计算器!$K$30&lt;&gt;"∞",0),INDEX(AU160:CB160,1,$AT$1),INDEX(AU162:CB162,1,$AT$1)),"*玉山*")=0),N161,0)</f>
        <v>0</v>
      </c>
      <c r="P161">
        <f ca="1">IFERROR(IF(COUNTIF(B161,"*云栖松*")&gt;0,50-加速!$L$11,MAX(0,P160-(A161-A160))),0)</f>
        <v>0</v>
      </c>
      <c r="Q161">
        <f ca="1">IF(COUNTIF(IF(AND(配装计算器!$K$30&lt;&gt;"∞",0),INDEX(AU160:CB160,1,$AT$1),INDEX(AU162:CB162,1,$AT$1)),"*云栖松*")=1,P161,0)</f>
        <v>0</v>
      </c>
      <c r="R161">
        <f ca="1">IFERROR(IF(COUNTIF(B161,"*莺鸣柳*")&gt;0,45-加速!$L$9,MAX(0,R160-(A161-A160))),0)</f>
        <v>0</v>
      </c>
      <c r="S161">
        <f ca="1">IF(COUNTIF(IF(AND(配装计算器!$K$30&lt;&gt;"∞",0),INDEX(AU160:CB160,1,$AT$1),INDEX(AU162:CB162,1,$AT$1)),"*莺鸣柳*")=1,R161,0)</f>
        <v>0</v>
      </c>
      <c r="T161">
        <f ca="1" t="shared" si="31"/>
        <v>0</v>
      </c>
      <c r="U161">
        <f ca="1">IF(金蛇,IF(COUNTIF(B161,"*金环戴*")+COUNTIF(B161,"*吹风醒*")&gt;0,IF(A161&lt;=3,7.125-2.625-A161-加速!$L$11,7.125+加速!$K$9-(A161+加速!$L$11-T161)),0),0)+IF(金蛇,IF(COUNTIF(B161,"*千切子裂光*")&gt;0,2+加速!$K$9-(A161+加速!$L$11-T161),0),0)</f>
        <v>0</v>
      </c>
      <c r="V161">
        <f ca="1" t="shared" si="32"/>
        <v>0</v>
      </c>
      <c r="W161">
        <f ca="1" t="shared" si="24"/>
        <v>4</v>
      </c>
      <c r="X161">
        <f ca="1">INDEX(加速!$I$13:$I$21,技能数计算!W161+1)</f>
        <v>3</v>
      </c>
      <c r="Y161">
        <f ca="1" t="shared" si="28"/>
        <v>0.5</v>
      </c>
      <c r="Z161">
        <f ca="1" t="shared" si="29"/>
        <v>0</v>
      </c>
      <c r="AA161">
        <f ca="1">MAX(0,IFERROR(IF(COUNTIF(B161,"*叠*")&gt;0,IF(AC160&lt;3,8-A162+A161,AA160+6.875-A162+A161),AA160-A162+A161),AA160-加速!$L$11))</f>
        <v>4.13000000000002</v>
      </c>
      <c r="AB161">
        <f ca="1">MAX(0,IF(COUNTIF(IF(AND(配装计算器!$K$30&lt;&gt;"∞",0),INDEX(AU161:CB161,1,$AT$1),INDEX(AU161:CB161,1,$AT$1)),"*叠1*")=1,4*25-加速!$L$11,AB160-A161+A160)-IF(OR(COUNTIF(OFFSET(AT161,0,$AT$1,1,1),"*听雷*")&gt;0,AND(碧归&gt;0,COUNTIF(OFFSET(AT161,0,$AT$1,1,1),"*风来*")&gt;0)),0,1)*1.5)</f>
        <v>81.97</v>
      </c>
      <c r="AC161">
        <f ca="1" t="shared" si="25"/>
        <v>3</v>
      </c>
      <c r="AD161">
        <f ca="1">IF(COUNTIF(IF(AND(配装计算器!$K$30&lt;&gt;"∞",0),INDEX(AU161:CB161,1,$AT$1),INDEX(AU162:CB162,1,$AT$1)),"*叠1*")=1,AB161*0+AE160,0)</f>
        <v>0</v>
      </c>
      <c r="AE161">
        <f ca="1">IF($AN$11&gt;0,IF(COUNTIF(B162,"*叠1*")&gt;0,50-加速!$H$11,MAX(0,AE160-(A162-A161))),0)</f>
        <v>39.7200000000001</v>
      </c>
      <c r="AH161" t="s">
        <v>1825</v>
      </c>
      <c r="AI161" t="s">
        <v>2801</v>
      </c>
      <c r="AJ161">
        <f ca="1">循环比*COUNTIFS($J$3:$J$515,"&gt;0",$D$3:$D$515,"&gt;0",$AC$3:$AC$515,"=2")</f>
        <v>4</v>
      </c>
      <c r="AK161" t="s">
        <v>3109</v>
      </c>
      <c r="AU161" s="176" t="s">
        <v>2776</v>
      </c>
      <c r="AV161">
        <v>2</v>
      </c>
      <c r="AW161" s="176" t="s">
        <v>2768</v>
      </c>
      <c r="AX161">
        <v>2</v>
      </c>
      <c r="AY161" t="s">
        <v>2776</v>
      </c>
      <c r="AZ161">
        <v>2</v>
      </c>
      <c r="BA161" t="s">
        <v>3042</v>
      </c>
      <c r="BB161">
        <v>2</v>
      </c>
      <c r="BC161" t="s">
        <v>2776</v>
      </c>
      <c r="BD161">
        <v>2</v>
      </c>
      <c r="BE161" t="s">
        <v>2768</v>
      </c>
      <c r="BF161">
        <v>2</v>
      </c>
      <c r="BG161" t="s">
        <v>2768</v>
      </c>
      <c r="BH161">
        <v>2</v>
      </c>
      <c r="BI161" s="176" t="s">
        <v>3026</v>
      </c>
      <c r="BJ161">
        <v>2</v>
      </c>
      <c r="BK161" s="176" t="s">
        <v>2776</v>
      </c>
      <c r="BL161">
        <v>2</v>
      </c>
      <c r="BM161" s="176" t="s">
        <v>2768</v>
      </c>
      <c r="BN161">
        <v>2</v>
      </c>
      <c r="BO161" t="s">
        <v>3056</v>
      </c>
      <c r="BP161">
        <v>1</v>
      </c>
      <c r="BQ161" t="s">
        <v>2768</v>
      </c>
      <c r="BR161">
        <v>2</v>
      </c>
      <c r="BS161" s="179" t="s">
        <v>2794</v>
      </c>
      <c r="BT161">
        <v>2</v>
      </c>
      <c r="BU161" s="176" t="s">
        <v>2768</v>
      </c>
      <c r="BV161">
        <v>2</v>
      </c>
      <c r="BW161" s="182" t="str">
        <f t="shared" ref="BW161:BW165" si="38">IF($AN$11=1,"云飞玉皇-玉山揽云","夕照雷峰")</f>
        <v>云飞玉皇-玉山揽云</v>
      </c>
      <c r="BX161" s="179">
        <v>2</v>
      </c>
      <c r="BY161" s="176" t="str">
        <f>IF(0,"云飞玉皇-玉山揽云","夕照雷峰")</f>
        <v>夕照雷峰</v>
      </c>
      <c r="BZ161">
        <v>2</v>
      </c>
      <c r="CA161" t="s">
        <v>2768</v>
      </c>
      <c r="CB161">
        <v>2</v>
      </c>
    </row>
    <row r="162" spans="1:80">
      <c r="A162" s="178">
        <f ca="1">IFERROR(IF(A161+加速!$L$11&lt;$AS$1,IF(COUNTIF(B161,"*轻*")&gt;0,A161+加速!$L$9,A161+加速!$L$11)+V161,IF(COUNTIF(INDEX(AU162:CB162,1,$AT$1),"*云景*")+COUNTIF(INDEX(AU162:CB162,1,$AT$1),"*鹤归*")+COUNTIF(INDEX(AU162:CB162,1,$AT$1),"*听雷*")&gt;0,A161+加速!$L$11,"")),"")</f>
        <v>209.19</v>
      </c>
      <c r="B162" s="167" t="str">
        <f ca="1">IF(A162&lt;&gt;"",IF(AND(A162+加速!$L$11&gt;$AS$1,IF(AND(配装计算器!$K$30&lt;&gt;"∞",0),"梦泉虎跑-轻",INDEX(AU162:CB162,1,$AT$1))="云栖松"),"夕照雷峰",IF(AND(配装计算器!$K$30&lt;&gt;"∞",0),"梦泉虎跑-轻",INDEX(AU162:CB162,1,$AT$1))),"")</f>
        <v>云飞玉皇-玉山揽云</v>
      </c>
      <c r="C162">
        <f ca="1" t="shared" si="30"/>
        <v>7.26000000000005</v>
      </c>
      <c r="D162">
        <f ca="1">IF(B162&lt;&gt;"",IF(C161&lt;=加速!$L$11*(1-E162),0,1),"")</f>
        <v>1</v>
      </c>
      <c r="E162">
        <f ca="1" t="shared" si="26"/>
        <v>1</v>
      </c>
      <c r="G162">
        <f ca="1" t="shared" si="27"/>
        <v>5</v>
      </c>
      <c r="H162">
        <f ca="1">IF(B162&lt;&gt;"",IF(AND(COUNTIF(B161,"*轻*莺鸣柳*")&gt;0,COUNTIF(B162,"*轻*")&lt;1),MAX(0,15+I161-(A162-A161)+COUNTIF(B161,"*平湖*")*0),IF(AND(E162=0,MAX(0,H161-(A162-A161))&lt;=加速!$H$11),0,MAX(0,H161-(A162-A161)))),"")</f>
        <v>0</v>
      </c>
      <c r="I162">
        <f ca="1" t="shared" si="33"/>
        <v>0</v>
      </c>
      <c r="J162">
        <f ca="1" t="shared" si="34"/>
        <v>0</v>
      </c>
      <c r="K162">
        <f ca="1">IF(A162&lt;&gt;"",IF(AND(配装计算器!$K$30&lt;&gt;"∞",0),2,INDEX(AU162:CB162,1,$AT$2)),"")</f>
        <v>2</v>
      </c>
      <c r="L162">
        <f ca="1">IFERROR(IF(AND(COUNTIF(B162,"*-峰插*"),技能数据库!$M$72&gt;0),0,IF(COUNTIF(B162,"*鹤归*")&gt;0,16-加速!$L$11,MAX(0,L161-(A162-A161)))),0)</f>
        <v>1.43999999999991</v>
      </c>
      <c r="M162">
        <f ca="1">IF(COUNTIF(IF(AND(配装计算器!$K$30&lt;&gt;"∞",0),INDEX(AU161:CB161,1,$AT$1),INDEX(AU163:CB163,1,$AT$1)),"*鹤归*")=1,L162,0)</f>
        <v>0</v>
      </c>
      <c r="N162">
        <f ca="1">IFERROR(IF(AND(COUNTIF(B162,"*-峰插*"),技能数据库!$M$72&gt;0),0,IF(COUNTIF(B162,"*云飞*")&gt;0,4-COUNTIF(B162,"*玉山揽云*")*4--COUNTIF(B162,"*烟流暮景*")*4-COUNTIF(B162,"*云景*")*加速!$L$11-IF(J162&gt;0,2,0),MAX(0,N161-(A162-A161)-IF(J162&gt;0,2,0)))),0)</f>
        <v>0</v>
      </c>
      <c r="O162">
        <f ca="1">IF(AND(COUNTIF(IF(AND(配装计算器!$K$30&lt;&gt;"∞",0),INDEX(AU161:CB161,1,$AT$1),INDEX(AU163:CB163,1,$AT$1)),"*云飞*")=1,COUNTIF(IF(AND(配装计算器!$K$30&lt;&gt;"∞",0),INDEX(AU161:CB161,1,$AT$1),INDEX(AU163:CB163,1,$AT$1)),"*玉山*")=0),N162,0)</f>
        <v>0</v>
      </c>
      <c r="P162">
        <f ca="1">IFERROR(IF(COUNTIF(B162,"*云栖松*")&gt;0,50-加速!$L$11,MAX(0,P161-(A162-A161))),0)</f>
        <v>0</v>
      </c>
      <c r="Q162">
        <f ca="1">IF(COUNTIF(IF(AND(配装计算器!$K$30&lt;&gt;"∞",0),INDEX(AU161:CB161,1,$AT$1),INDEX(AU163:CB163,1,$AT$1)),"*云栖松*")=1,P162,0)</f>
        <v>0</v>
      </c>
      <c r="R162">
        <f ca="1">IFERROR(IF(COUNTIF(B162,"*莺鸣柳*")&gt;0,45-加速!$L$9,MAX(0,R161-(A162-A161))),0)</f>
        <v>0</v>
      </c>
      <c r="S162">
        <f ca="1">IF(COUNTIF(IF(AND(配装计算器!$K$30&lt;&gt;"∞",0),INDEX(AU161:CB161,1,$AT$1),INDEX(AU163:CB163,1,$AT$1)),"*莺鸣柳*")=1,R162,0)</f>
        <v>0</v>
      </c>
      <c r="T162">
        <f ca="1" t="shared" si="31"/>
        <v>0</v>
      </c>
      <c r="U162">
        <f ca="1">IF(金蛇,IF(COUNTIF(B162,"*金环戴*")+COUNTIF(B162,"*吹风醒*")&gt;0,IF(A162&lt;=3,7.125-2.625-A162-加速!$L$11,7.125+加速!$K$9-(A162+加速!$L$11-T162)),0),0)+IF(金蛇,IF(COUNTIF(B162,"*千切子裂光*")&gt;0,2+加速!$K$9-(A162+加速!$L$11-T162),0),0)</f>
        <v>0</v>
      </c>
      <c r="V162">
        <f ca="1" t="shared" si="32"/>
        <v>0</v>
      </c>
      <c r="W162">
        <f ca="1" t="shared" si="24"/>
        <v>5</v>
      </c>
      <c r="X162">
        <f ca="1">INDEX(加速!$I$13:$I$21,技能数计算!W162+1)</f>
        <v>2</v>
      </c>
      <c r="Y162">
        <f ca="1" t="shared" si="28"/>
        <v>0.5</v>
      </c>
      <c r="Z162">
        <f ca="1" t="shared" si="29"/>
        <v>0</v>
      </c>
      <c r="AA162">
        <f ca="1">MAX(0,IFERROR(IF(COUNTIF(B162,"*叠*")&gt;0,IF(AC161&lt;3,8-A163+A162,AA161+6.875-A163+A162),AA161-A163+A162),AA161-加速!$L$11))</f>
        <v>2.84000000000002</v>
      </c>
      <c r="AB162">
        <f ca="1">MAX(0,IF(COUNTIF(IF(AND(配装计算器!$K$30&lt;&gt;"∞",0),INDEX(AU162:CB162,1,$AT$1),INDEX(AU162:CB162,1,$AT$1)),"*叠1*")=1,4*25-加速!$L$11,AB161-A162+A161)-IF(OR(COUNTIF(OFFSET(AT162,0,$AT$1,1,1),"*听雷*")&gt;0,AND(碧归&gt;0,COUNTIF(OFFSET(AT162,0,$AT$1,1,1),"*风来*")&gt;0)),0,1)*1.5)</f>
        <v>79.18</v>
      </c>
      <c r="AC162">
        <f ca="1" t="shared" si="25"/>
        <v>3</v>
      </c>
      <c r="AD162">
        <f ca="1">IF(COUNTIF(IF(AND(配装计算器!$K$30&lt;&gt;"∞",0),INDEX(AU162:CB162,1,$AT$1),INDEX(AU163:CB163,1,$AT$1)),"*叠1*")=1,AB162*0+AE161,0)</f>
        <v>0</v>
      </c>
      <c r="AE162" t="e">
        <f ca="1">IF($AN$11&gt;0,IF(COUNTIF(B163,"*叠1*")&gt;0,50-加速!$H$11,MAX(0,AE161-(A163-A162))),0)</f>
        <v>#VALUE!</v>
      </c>
      <c r="AH162" t="s">
        <v>1825</v>
      </c>
      <c r="AI162" t="s">
        <v>2801</v>
      </c>
      <c r="AJ162">
        <f ca="1">循环比*COUNTIFS($J$3:$J$515,"&gt;0",$D$3:$D$515,"&gt;0",$AC$3:$AC$515,"=3")</f>
        <v>20</v>
      </c>
      <c r="AK162" t="s">
        <v>3110</v>
      </c>
      <c r="AU162" s="176" t="s">
        <v>2768</v>
      </c>
      <c r="AV162">
        <v>2</v>
      </c>
      <c r="AW162" t="s">
        <v>3056</v>
      </c>
      <c r="AX162">
        <v>1</v>
      </c>
      <c r="AY162" t="s">
        <v>3042</v>
      </c>
      <c r="AZ162">
        <v>2</v>
      </c>
      <c r="BA162" t="s">
        <v>2808</v>
      </c>
      <c r="BB162">
        <v>2</v>
      </c>
      <c r="BC162" t="s">
        <v>2789</v>
      </c>
      <c r="BD162">
        <v>2</v>
      </c>
      <c r="BE162" t="s">
        <v>2776</v>
      </c>
      <c r="BF162">
        <v>2</v>
      </c>
      <c r="BG162" t="s">
        <v>2808</v>
      </c>
      <c r="BH162">
        <v>2</v>
      </c>
      <c r="BI162" s="176" t="s">
        <v>3026</v>
      </c>
      <c r="BJ162">
        <v>2</v>
      </c>
      <c r="BK162" s="176" t="s">
        <v>2768</v>
      </c>
      <c r="BL162">
        <v>2</v>
      </c>
      <c r="BM162" s="176" t="s">
        <v>2776</v>
      </c>
      <c r="BN162">
        <v>2</v>
      </c>
      <c r="BO162" t="s">
        <v>2768</v>
      </c>
      <c r="BP162">
        <v>2</v>
      </c>
      <c r="BQ162" t="s">
        <v>3035</v>
      </c>
      <c r="BR162">
        <v>2</v>
      </c>
      <c r="BS162" s="179" t="s">
        <v>3019</v>
      </c>
      <c r="BT162">
        <v>2</v>
      </c>
      <c r="BU162" s="176" t="s">
        <v>2789</v>
      </c>
      <c r="BV162">
        <v>2</v>
      </c>
      <c r="BW162" s="179" t="str">
        <f>IF($AN$11=1,"云飞玉皇-玉山揽云","云飞玉皇")</f>
        <v>云飞玉皇-玉山揽云</v>
      </c>
      <c r="BX162" s="179">
        <v>2</v>
      </c>
      <c r="BY162" t="s">
        <v>2776</v>
      </c>
      <c r="BZ162">
        <v>2</v>
      </c>
      <c r="CA162" t="s">
        <v>2776</v>
      </c>
      <c r="CB162">
        <v>2</v>
      </c>
    </row>
    <row r="163" spans="1:80">
      <c r="A163" s="178" t="str">
        <f ca="1">IFERROR(IF(A162+加速!$L$11&lt;$AS$1,IF(COUNTIF(B162,"*轻*")&gt;0,A162+加速!$L$9,A162+加速!$L$11)+V162,IF(COUNTIF(INDEX(AU163:CB163,1,$AT$1),"*云景*")+COUNTIF(INDEX(AU163:CB163,1,$AT$1),"*鹤归*")+COUNTIF(INDEX(AU163:CB163,1,$AT$1),"*听雷*")&gt;0,A162+加速!$L$11,"")),"")</f>
        <v/>
      </c>
      <c r="B163" s="167" t="str">
        <f ca="1">IF(A163&lt;&gt;"",IF(AND(A163+加速!$L$11&gt;$AS$1,IF(AND(配装计算器!$K$30&lt;&gt;"∞",0),"梦泉虎跑-轻",INDEX(AU163:CB163,1,$AT$1))="云栖松"),"夕照雷峰",IF(AND(配装计算器!$K$30&lt;&gt;"∞",0),"梦泉虎跑-轻",INDEX(AU163:CB163,1,$AT$1))),"")</f>
        <v/>
      </c>
      <c r="C163" t="str">
        <f ca="1" t="shared" si="30"/>
        <v/>
      </c>
      <c r="D163" t="str">
        <f ca="1">IF(B163&lt;&gt;"",IF(C162&lt;=加速!$L$11*(1-E163),0,1),"")</f>
        <v/>
      </c>
      <c r="E163">
        <f ca="1" t="shared" si="26"/>
        <v>1</v>
      </c>
      <c r="G163" t="str">
        <f ca="1" t="shared" si="27"/>
        <v/>
      </c>
      <c r="H163" t="str">
        <f ca="1">IF(B163&lt;&gt;"",IF(AND(COUNTIF(B162,"*轻*莺鸣柳*")&gt;0,COUNTIF(B163,"*轻*")&lt;1),MAX(0,15+I162-(A163-A162)+COUNTIF(B162,"*平湖*")*0),IF(AND(E163=0,MAX(0,H162-(A163-A162))&lt;=加速!$H$11),0,MAX(0,H162-(A163-A162)))),"")</f>
        <v/>
      </c>
      <c r="I163" t="str">
        <f ca="1" t="shared" si="33"/>
        <v/>
      </c>
      <c r="J163" t="str">
        <f ca="1" t="shared" si="34"/>
        <v/>
      </c>
      <c r="K163" t="str">
        <f ca="1">IF(A163&lt;&gt;"",IF(AND(配装计算器!$K$30&lt;&gt;"∞",0),2,INDEX(AU163:CB163,1,$AT$2)),"")</f>
        <v/>
      </c>
      <c r="L163">
        <f ca="1">IFERROR(IF(AND(COUNTIF(B163,"*-峰插*"),技能数据库!$M$72&gt;0),0,IF(COUNTIF(B163,"*鹤归*")&gt;0,16-加速!$L$11,MAX(0,L162-(A163-A162)))),0)</f>
        <v>0</v>
      </c>
      <c r="M163">
        <f ca="1">IF(COUNTIF(IF(AND(配装计算器!$K$30&lt;&gt;"∞",0),INDEX(AU162:CB162,1,$AT$1),INDEX(AU164:CB164,1,$AT$1)),"*鹤归*")=1,L163,0)</f>
        <v>0</v>
      </c>
      <c r="N163">
        <f ca="1">IFERROR(IF(AND(COUNTIF(B163,"*-峰插*"),技能数据库!$M$72&gt;0),0,IF(COUNTIF(B163,"*云飞*")&gt;0,4-COUNTIF(B163,"*玉山揽云*")*4--COUNTIF(B163,"*烟流暮景*")*4-COUNTIF(B163,"*云景*")*加速!$L$11-IF(J163&gt;0,2,0),MAX(0,N162-(A163-A162)-IF(J163&gt;0,2,0)))),0)</f>
        <v>0</v>
      </c>
      <c r="O163">
        <f ca="1">IF(AND(COUNTIF(IF(AND(配装计算器!$K$30&lt;&gt;"∞",0),INDEX(AU162:CB162,1,$AT$1),INDEX(AU164:CB164,1,$AT$1)),"*云飞*")=1,COUNTIF(IF(AND(配装计算器!$K$30&lt;&gt;"∞",0),INDEX(AU162:CB162,1,$AT$1),INDEX(AU164:CB164,1,$AT$1)),"*玉山*")=0),N163,0)</f>
        <v>0</v>
      </c>
      <c r="P163">
        <f ca="1">IFERROR(IF(COUNTIF(B163,"*云栖松*")&gt;0,50-加速!$L$11,MAX(0,P162-(A163-A162))),0)</f>
        <v>0</v>
      </c>
      <c r="Q163">
        <f ca="1">IF(COUNTIF(IF(AND(配装计算器!$K$30&lt;&gt;"∞",0),INDEX(AU162:CB162,1,$AT$1),INDEX(AU164:CB164,1,$AT$1)),"*云栖松*")=1,P163,0)</f>
        <v>0</v>
      </c>
      <c r="R163">
        <f ca="1">IFERROR(IF(COUNTIF(B163,"*莺鸣柳*")&gt;0,45-加速!$L$9,MAX(0,R162-(A163-A162))),0)</f>
        <v>0</v>
      </c>
      <c r="S163">
        <f ca="1">IF(COUNTIF(IF(AND(配装计算器!$K$30&lt;&gt;"∞",0),INDEX(AU162:CB162,1,$AT$1),INDEX(AU164:CB164,1,$AT$1)),"*莺鸣柳*")=1,R163,0)</f>
        <v>0</v>
      </c>
      <c r="T163">
        <f ca="1" t="shared" si="31"/>
        <v>0</v>
      </c>
      <c r="U163">
        <f ca="1">IF(金蛇,IF(COUNTIF(B163,"*金环戴*")+COUNTIF(B163,"*吹风醒*")&gt;0,IF(A163&lt;=3,7.125-2.625-A163-加速!$L$11,7.125+加速!$K$9-(A163+加速!$L$11-T163)),0),0)+IF(金蛇,IF(COUNTIF(B163,"*千切子裂光*")&gt;0,2+加速!$K$9-(A163+加速!$L$11-T163),0),0)</f>
        <v>0</v>
      </c>
      <c r="V163">
        <f ca="1" t="shared" si="32"/>
        <v>0</v>
      </c>
      <c r="W163">
        <f ca="1" t="shared" si="24"/>
        <v>6</v>
      </c>
      <c r="X163">
        <f ca="1">INDEX(加速!$I$13:$I$21,技能数计算!W163+1)</f>
        <v>3</v>
      </c>
      <c r="Y163">
        <f ca="1" t="shared" si="28"/>
        <v>0.5</v>
      </c>
      <c r="Z163">
        <f ca="1" t="shared" si="29"/>
        <v>0</v>
      </c>
      <c r="AA163">
        <f ca="1">MAX(0,IFERROR(IF(COUNTIF(B163,"*叠*")&gt;0,IF(AC162&lt;3,8-A164+A163,AA162+6.875-A164+A163),AA162-A164+A163),AA162-加速!$L$11))</f>
        <v>1.55000000000002</v>
      </c>
      <c r="AB163" t="e">
        <f ca="1">MAX(0,IF(COUNTIF(IF(AND(配装计算器!$K$30&lt;&gt;"∞",0),INDEX(AU163:CB163,1,$AT$1),INDEX(AU163:CB163,1,$AT$1)),"*叠1*")=1,4*25-加速!$L$11,AB162-A163+A162)-IF(OR(COUNTIF(OFFSET(AT163,0,$AT$1,1,1),"*听雷*")&gt;0,AND(碧归&gt;0,COUNTIF(OFFSET(AT163,0,$AT$1,1,1),"*风来*")&gt;0)),0,1)*1.5)</f>
        <v>#VALUE!</v>
      </c>
      <c r="AC163">
        <f ca="1" t="shared" si="25"/>
        <v>3</v>
      </c>
      <c r="AD163">
        <f ca="1">IF(COUNTIF(IF(AND(配装计算器!$K$30&lt;&gt;"∞",0),INDEX(AU163:CB163,1,$AT$1),INDEX(AU164:CB164,1,$AT$1)),"*叠1*")=1,AB163*0+AE162,0)</f>
        <v>0</v>
      </c>
      <c r="AE163" t="e">
        <f ca="1">IF($AN$11&gt;0,IF(COUNTIF(B164,"*叠1*")&gt;0,50-加速!$H$11,MAX(0,AE162-(A164-A163))),0)</f>
        <v>#VALUE!</v>
      </c>
      <c r="AH163" t="s">
        <v>1825</v>
      </c>
      <c r="AI163" s="161" t="s">
        <v>2772</v>
      </c>
      <c r="AJ163">
        <f ca="1">AJ145+AJ195</f>
        <v>6</v>
      </c>
      <c r="AK163" t="s">
        <v>3108</v>
      </c>
      <c r="AU163" s="176" t="s">
        <v>2776</v>
      </c>
      <c r="AV163">
        <v>2</v>
      </c>
      <c r="AW163" t="s">
        <v>2768</v>
      </c>
      <c r="AX163">
        <v>2</v>
      </c>
      <c r="AY163" t="s">
        <v>2808</v>
      </c>
      <c r="AZ163">
        <v>2</v>
      </c>
      <c r="BA163" t="s">
        <v>2768</v>
      </c>
      <c r="BB163">
        <v>2</v>
      </c>
      <c r="BC163" t="s">
        <v>2794</v>
      </c>
      <c r="BD163">
        <v>2</v>
      </c>
      <c r="BE163" t="s">
        <v>2768</v>
      </c>
      <c r="BF163">
        <v>2</v>
      </c>
      <c r="BG163" t="s">
        <v>2768</v>
      </c>
      <c r="BH163">
        <v>2</v>
      </c>
      <c r="BI163" s="176" t="s">
        <v>3026</v>
      </c>
      <c r="BJ163">
        <v>2</v>
      </c>
      <c r="BK163" s="176" t="s">
        <v>2768</v>
      </c>
      <c r="BL163">
        <v>1</v>
      </c>
      <c r="BM163" s="176" t="s">
        <v>2768</v>
      </c>
      <c r="BN163">
        <v>2</v>
      </c>
      <c r="BO163" t="s">
        <v>2768</v>
      </c>
      <c r="BP163">
        <v>2</v>
      </c>
      <c r="BQ163" t="s">
        <v>2776</v>
      </c>
      <c r="BR163">
        <v>2</v>
      </c>
      <c r="BS163" s="179" t="s">
        <v>2768</v>
      </c>
      <c r="BT163">
        <v>2</v>
      </c>
      <c r="BU163" s="176" t="s">
        <v>2776</v>
      </c>
      <c r="BV163">
        <v>2</v>
      </c>
      <c r="BW163" s="179" t="str">
        <f>IF($AN$11=1,橙武补雾锁,"听雷-重")</f>
        <v>云飞玉皇-玉山揽云</v>
      </c>
      <c r="BX163" s="179">
        <v>0</v>
      </c>
      <c r="BY163" t="s">
        <v>2768</v>
      </c>
      <c r="BZ163">
        <v>2</v>
      </c>
      <c r="CA163" t="s">
        <v>2768</v>
      </c>
      <c r="CB163">
        <v>2</v>
      </c>
    </row>
    <row r="164" spans="1:80">
      <c r="A164" s="178" t="str">
        <f ca="1">IFERROR(IF(A163+加速!$L$11&lt;$AS$1,IF(COUNTIF(B163,"*轻*")&gt;0,A163+加速!$L$9,A163+加速!$L$11)+V163,IF(COUNTIF(INDEX(AU164:CB164,1,$AT$1),"*云景*")+COUNTIF(INDEX(AU164:CB164,1,$AT$1),"*鹤归*")+COUNTIF(INDEX(AU164:CB164,1,$AT$1),"*听雷*")&gt;0,A163+加速!$L$11,"")),"")</f>
        <v/>
      </c>
      <c r="B164" s="167" t="str">
        <f ca="1">IF(A164&lt;&gt;"",IF(AND(A164+加速!$L$11&gt;$AS$1,IF(AND(配装计算器!$K$30&lt;&gt;"∞",0),"梦泉虎跑-轻",INDEX(AU164:CB164,1,$AT$1))="云栖松"),"夕照雷峰",IF(AND(配装计算器!$K$30&lt;&gt;"∞",0),"梦泉虎跑-轻",INDEX(AU164:CB164,1,$AT$1))),"")</f>
        <v/>
      </c>
      <c r="C164" t="str">
        <f ca="1" t="shared" si="30"/>
        <v/>
      </c>
      <c r="D164" t="str">
        <f ca="1">IF(B164&lt;&gt;"",IF(C163&lt;=加速!$L$11*(1-E164),0,1),"")</f>
        <v/>
      </c>
      <c r="E164">
        <f ca="1" t="shared" si="26"/>
        <v>1</v>
      </c>
      <c r="G164" t="str">
        <f ca="1" t="shared" si="27"/>
        <v/>
      </c>
      <c r="H164" t="str">
        <f ca="1">IF(B164&lt;&gt;"",IF(AND(COUNTIF(B163,"*轻*莺鸣柳*")&gt;0,COUNTIF(B164,"*轻*")&lt;1),MAX(0,15+I163-(A164-A163)+COUNTIF(B163,"*平湖*")*0),IF(AND(E164=0,MAX(0,H163-(A164-A163))&lt;=加速!$H$11),0,MAX(0,H163-(A164-A163)))),"")</f>
        <v/>
      </c>
      <c r="I164" t="str">
        <f ca="1" t="shared" si="33"/>
        <v/>
      </c>
      <c r="J164" t="str">
        <f ca="1" t="shared" si="34"/>
        <v/>
      </c>
      <c r="K164" t="str">
        <f ca="1">IF(A164&lt;&gt;"",IF(AND(配装计算器!$K$30&lt;&gt;"∞",0),2,INDEX(AU164:CB164,1,$AT$2)),"")</f>
        <v/>
      </c>
      <c r="L164">
        <f ca="1">IFERROR(IF(AND(COUNTIF(B164,"*-峰插*"),技能数据库!$M$72&gt;0),0,IF(COUNTIF(B164,"*鹤归*")&gt;0,16-加速!$L$11,MAX(0,L163-(A164-A163)))),0)</f>
        <v>0</v>
      </c>
      <c r="M164">
        <f ca="1">IF(COUNTIF(IF(AND(配装计算器!$K$30&lt;&gt;"∞",0),INDEX(AU163:CB163,1,$AT$1),INDEX(AU165:CB165,1,$AT$1)),"*鹤归*")=1,L164,0)</f>
        <v>0</v>
      </c>
      <c r="N164">
        <f ca="1">IFERROR(IF(AND(COUNTIF(B164,"*-峰插*"),技能数据库!$M$72&gt;0),0,IF(COUNTIF(B164,"*云飞*")&gt;0,4-COUNTIF(B164,"*玉山揽云*")*4--COUNTIF(B164,"*烟流暮景*")*4-COUNTIF(B164,"*云景*")*加速!$L$11-IF(J164&gt;0,2,0),MAX(0,N163-(A164-A163)-IF(J164&gt;0,2,0)))),0)</f>
        <v>0</v>
      </c>
      <c r="O164">
        <f ca="1">IF(AND(COUNTIF(IF(AND(配装计算器!$K$30&lt;&gt;"∞",0),INDEX(AU163:CB163,1,$AT$1),INDEX(AU165:CB165,1,$AT$1)),"*云飞*")=1,COUNTIF(IF(AND(配装计算器!$K$30&lt;&gt;"∞",0),INDEX(AU163:CB163,1,$AT$1),INDEX(AU165:CB165,1,$AT$1)),"*玉山*")=0),N164,0)</f>
        <v>0</v>
      </c>
      <c r="P164">
        <f ca="1">IFERROR(IF(COUNTIF(B164,"*云栖松*")&gt;0,50-加速!$L$11,MAX(0,P163-(A164-A163))),0)</f>
        <v>0</v>
      </c>
      <c r="Q164">
        <f ca="1">IF(COUNTIF(IF(AND(配装计算器!$K$30&lt;&gt;"∞",0),INDEX(AU163:CB163,1,$AT$1),INDEX(AU165:CB165,1,$AT$1)),"*云栖松*")=1,P164,0)</f>
        <v>0</v>
      </c>
      <c r="R164">
        <f ca="1">IFERROR(IF(COUNTIF(B164,"*莺鸣柳*")&gt;0,45-加速!$L$9,MAX(0,R163-(A164-A163))),0)</f>
        <v>0</v>
      </c>
      <c r="S164">
        <f ca="1">IF(COUNTIF(IF(AND(配装计算器!$K$30&lt;&gt;"∞",0),INDEX(AU163:CB163,1,$AT$1),INDEX(AU165:CB165,1,$AT$1)),"*莺鸣柳*")=1,R164,0)</f>
        <v>0</v>
      </c>
      <c r="T164">
        <f ca="1" t="shared" si="31"/>
        <v>0</v>
      </c>
      <c r="U164">
        <f ca="1">IF(金蛇,IF(COUNTIF(B164,"*金环戴*")+COUNTIF(B164,"*吹风醒*")&gt;0,IF(A164&lt;=3,7.125-2.625-A164-加速!$L$11,7.125+加速!$K$9-(A164+加速!$L$11-T164)),0),0)+IF(金蛇,IF(COUNTIF(B164,"*千切子裂光*")&gt;0,2+加速!$K$9-(A164+加速!$L$11-T164),0),0)</f>
        <v>0</v>
      </c>
      <c r="V164">
        <f ca="1" t="shared" si="32"/>
        <v>0</v>
      </c>
      <c r="W164">
        <f ca="1" t="shared" si="24"/>
        <v>7</v>
      </c>
      <c r="X164">
        <f ca="1">INDEX(加速!$I$13:$I$21,技能数计算!W164+1)</f>
        <v>2</v>
      </c>
      <c r="Y164">
        <f ca="1" t="shared" si="28"/>
        <v>0.5</v>
      </c>
      <c r="Z164">
        <f ca="1" t="shared" si="29"/>
        <v>0</v>
      </c>
      <c r="AA164">
        <f ca="1">MAX(0,IFERROR(IF(COUNTIF(B164,"*叠*")&gt;0,IF(AC163&lt;3,8-A165+A164,AA163+6.875-A165+A164),AA163-A165+A164),AA163-加速!$L$11))</f>
        <v>0.260000000000024</v>
      </c>
      <c r="AB164" t="e">
        <f ca="1">MAX(0,IF(COUNTIF(IF(AND(配装计算器!$K$30&lt;&gt;"∞",0),INDEX(AU164:CB164,1,$AT$1),INDEX(AU164:CB164,1,$AT$1)),"*叠1*")=1,4*25-加速!$L$11,AB163-A164+A163)-IF(OR(COUNTIF(OFFSET(AT164,0,$AT$1,1,1),"*听雷*")&gt;0,AND(碧归&gt;0,COUNTIF(OFFSET(AT164,0,$AT$1,1,1),"*风来*")&gt;0)),0,1)*1.5)</f>
        <v>#VALUE!</v>
      </c>
      <c r="AC164">
        <f ca="1" t="shared" si="25"/>
        <v>3</v>
      </c>
      <c r="AD164">
        <f ca="1">IF(COUNTIF(IF(AND(配装计算器!$K$30&lt;&gt;"∞",0),INDEX(AU164:CB164,1,$AT$1),INDEX(AU165:CB165,1,$AT$1)),"*叠1*")=1,AB164*0+AE163,0)</f>
        <v>0</v>
      </c>
      <c r="AE164" t="e">
        <f ca="1">IF($AN$11&gt;0,IF(COUNTIF(B165,"*叠1*")&gt;0,50-加速!$H$11,MAX(0,AE163-(A165-A164))),0)</f>
        <v>#VALUE!</v>
      </c>
      <c r="AH164" t="s">
        <v>1825</v>
      </c>
      <c r="AI164" s="161" t="s">
        <v>2772</v>
      </c>
      <c r="AJ164">
        <f ca="1" t="shared" ref="AJ164:AJ165" si="39">AJ146+AJ196</f>
        <v>3</v>
      </c>
      <c r="AK164" t="s">
        <v>3109</v>
      </c>
      <c r="AU164" s="176" t="s">
        <v>2768</v>
      </c>
      <c r="AV164">
        <v>2</v>
      </c>
      <c r="AW164" t="s">
        <v>2768</v>
      </c>
      <c r="AX164">
        <v>2</v>
      </c>
      <c r="AY164" t="s">
        <v>2768</v>
      </c>
      <c r="AZ164">
        <v>2</v>
      </c>
      <c r="BA164" t="s">
        <v>2768</v>
      </c>
      <c r="BB164">
        <v>2</v>
      </c>
      <c r="BC164" s="182" t="s">
        <v>3036</v>
      </c>
      <c r="BD164">
        <v>2</v>
      </c>
      <c r="BE164" t="s">
        <v>2776</v>
      </c>
      <c r="BF164">
        <v>1</v>
      </c>
      <c r="BG164" s="176" t="s">
        <v>2768</v>
      </c>
      <c r="BH164">
        <v>2</v>
      </c>
      <c r="BI164" s="176" t="s">
        <v>3036</v>
      </c>
      <c r="BJ164">
        <v>2</v>
      </c>
      <c r="BK164" s="176" t="s">
        <v>2768</v>
      </c>
      <c r="BL164">
        <v>1</v>
      </c>
      <c r="BM164" s="176" t="s">
        <v>2776</v>
      </c>
      <c r="BN164">
        <v>2</v>
      </c>
      <c r="BO164" t="s">
        <v>2768</v>
      </c>
      <c r="BP164">
        <v>2</v>
      </c>
      <c r="BQ164" t="s">
        <v>2768</v>
      </c>
      <c r="BR164">
        <v>2</v>
      </c>
      <c r="BS164" s="182" t="s">
        <v>3023</v>
      </c>
      <c r="BT164">
        <v>2</v>
      </c>
      <c r="BU164" s="176" t="s">
        <v>3035</v>
      </c>
      <c r="BV164">
        <v>2</v>
      </c>
      <c r="BW164" s="179" t="str">
        <f t="shared" si="38"/>
        <v>云飞玉皇-玉山揽云</v>
      </c>
      <c r="BX164" s="179">
        <v>2</v>
      </c>
      <c r="BY164" t="s">
        <v>2718</v>
      </c>
      <c r="BZ164">
        <v>0</v>
      </c>
      <c r="CA164" t="s">
        <v>2768</v>
      </c>
      <c r="CB164">
        <v>2</v>
      </c>
    </row>
    <row r="165" spans="1:80">
      <c r="A165" s="178" t="str">
        <f ca="1">IFERROR(IF(A164+加速!$L$11&lt;$AS$1,IF(COUNTIF(B164,"*轻*")&gt;0,A164+加速!$L$9,A164+加速!$L$11)+V164,IF(COUNTIF(INDEX(AU165:CB165,1,$AT$1),"*云景*")+COUNTIF(INDEX(AU165:CB165,1,$AT$1),"*鹤归*")+COUNTIF(INDEX(AU165:CB165,1,$AT$1),"*听雷*")&gt;0,A164+加速!$L$11,"")),"")</f>
        <v/>
      </c>
      <c r="B165" s="167" t="str">
        <f ca="1">IF(A165&lt;&gt;"",IF(AND(A165+加速!$L$11&gt;$AS$1,IF(AND(配装计算器!$K$30&lt;&gt;"∞",0),"梦泉虎跑-轻",INDEX(AU165:CB165,1,$AT$1))="云栖松"),"夕照雷峰",IF(AND(配装计算器!$K$30&lt;&gt;"∞",0),"梦泉虎跑-轻",INDEX(AU165:CB165,1,$AT$1))),"")</f>
        <v/>
      </c>
      <c r="C165" t="str">
        <f ca="1" t="shared" si="30"/>
        <v/>
      </c>
      <c r="D165" t="str">
        <f ca="1">IF(B165&lt;&gt;"",IF(C164&lt;=加速!$L$11*(1-E165),0,1),"")</f>
        <v/>
      </c>
      <c r="E165">
        <f ca="1" t="shared" si="26"/>
        <v>1</v>
      </c>
      <c r="G165" t="str">
        <f ca="1" t="shared" si="27"/>
        <v/>
      </c>
      <c r="H165" t="str">
        <f ca="1">IF(B165&lt;&gt;"",IF(AND(COUNTIF(B164,"*轻*莺鸣柳*")&gt;0,COUNTIF(B165,"*轻*")&lt;1),MAX(0,15+I164-(A165-A164)+COUNTIF(B164,"*平湖*")*0),IF(AND(E165=0,MAX(0,H164-(A165-A164))&lt;=加速!$H$11),0,MAX(0,H164-(A165-A164)))),"")</f>
        <v/>
      </c>
      <c r="I165" t="str">
        <f ca="1" t="shared" si="33"/>
        <v/>
      </c>
      <c r="J165" t="str">
        <f ca="1" t="shared" si="34"/>
        <v/>
      </c>
      <c r="K165" t="str">
        <f ca="1">IF(A165&lt;&gt;"",IF(AND(配装计算器!$K$30&lt;&gt;"∞",0),2,INDEX(AU165:CB165,1,$AT$2)),"")</f>
        <v/>
      </c>
      <c r="L165">
        <f ca="1">IFERROR(IF(AND(COUNTIF(B165,"*-峰插*"),技能数据库!$M$72&gt;0),0,IF(COUNTIF(B165,"*鹤归*")&gt;0,16-加速!$L$11,MAX(0,L164-(A165-A164)))),0)</f>
        <v>0</v>
      </c>
      <c r="M165">
        <f ca="1">IF(COUNTIF(IF(AND(配装计算器!$K$30&lt;&gt;"∞",0),INDEX(AU164:CB164,1,$AT$1),INDEX(AU166:CB166,1,$AT$1)),"*鹤归*")=1,L165,0)</f>
        <v>0</v>
      </c>
      <c r="N165">
        <f ca="1">IFERROR(IF(AND(COUNTIF(B165,"*-峰插*"),技能数据库!$M$72&gt;0),0,IF(COUNTIF(B165,"*云飞*")&gt;0,4-COUNTIF(B165,"*玉山揽云*")*4--COUNTIF(B165,"*烟流暮景*")*4-COUNTIF(B165,"*云景*")*加速!$L$11-IF(J165&gt;0,2,0),MAX(0,N164-(A165-A164)-IF(J165&gt;0,2,0)))),0)</f>
        <v>0</v>
      </c>
      <c r="O165">
        <f ca="1">IF(AND(COUNTIF(IF(AND(配装计算器!$K$30&lt;&gt;"∞",0),INDEX(AU164:CB164,1,$AT$1),INDEX(AU166:CB166,1,$AT$1)),"*云飞*")=1,COUNTIF(IF(AND(配装计算器!$K$30&lt;&gt;"∞",0),INDEX(AU164:CB164,1,$AT$1),INDEX(AU166:CB166,1,$AT$1)),"*玉山*")=0),N165,0)</f>
        <v>0</v>
      </c>
      <c r="P165">
        <f ca="1">IFERROR(IF(COUNTIF(B165,"*云栖松*")&gt;0,50-加速!$L$11,MAX(0,P164-(A165-A164))),0)</f>
        <v>0</v>
      </c>
      <c r="Q165">
        <f ca="1">IF(COUNTIF(IF(AND(配装计算器!$K$30&lt;&gt;"∞",0),INDEX(AU164:CB164,1,$AT$1),INDEX(AU166:CB166,1,$AT$1)),"*云栖松*")=1,P165,0)</f>
        <v>0</v>
      </c>
      <c r="R165">
        <f ca="1">IFERROR(IF(COUNTIF(B165,"*莺鸣柳*")&gt;0,45-加速!$L$9,MAX(0,R164-(A165-A164))),0)</f>
        <v>0</v>
      </c>
      <c r="S165">
        <f ca="1">IF(COUNTIF(IF(AND(配装计算器!$K$30&lt;&gt;"∞",0),INDEX(AU164:CB164,1,$AT$1),INDEX(AU166:CB166,1,$AT$1)),"*莺鸣柳*")=1,R165,0)</f>
        <v>0</v>
      </c>
      <c r="T165">
        <f ca="1" t="shared" si="31"/>
        <v>0</v>
      </c>
      <c r="U165">
        <f ca="1">IF(金蛇,IF(COUNTIF(B165,"*金环戴*")+COUNTIF(B165,"*吹风醒*")&gt;0,IF(A165&lt;=3,7.125-2.625-A165-加速!$L$11,7.125+加速!$K$9-(A165+加速!$L$11-T165)),0),0)+IF(金蛇,IF(COUNTIF(B165,"*千切子裂光*")&gt;0,2+加速!$K$9-(A165+加速!$L$11-T165),0),0)</f>
        <v>0</v>
      </c>
      <c r="V165">
        <f ca="1" t="shared" si="32"/>
        <v>0</v>
      </c>
      <c r="W165">
        <f ca="1" t="shared" si="24"/>
        <v>0</v>
      </c>
      <c r="X165">
        <f ca="1">INDEX(加速!$I$13:$I$21,技能数计算!W165+1)</f>
        <v>0</v>
      </c>
      <c r="Y165">
        <f ca="1" t="shared" si="28"/>
        <v>0.5</v>
      </c>
      <c r="Z165">
        <f ca="1" t="shared" si="29"/>
        <v>0</v>
      </c>
      <c r="AA165">
        <f ca="1">MAX(0,IFERROR(IF(COUNTIF(B165,"*叠*")&gt;0,IF(AC164&lt;3,8-A166+A165,AA164+6.875-A166+A165),AA164-A166+A165),AA164-加速!$L$11))</f>
        <v>0</v>
      </c>
      <c r="AB165" t="e">
        <f ca="1">MAX(0,IF(COUNTIF(IF(AND(配装计算器!$K$30&lt;&gt;"∞",0),INDEX(AU165:CB165,1,$AT$1),INDEX(AU165:CB165,1,$AT$1)),"*叠1*")=1,4*25-加速!$L$11,AB164-A165+A164)-IF(OR(COUNTIF(OFFSET(AT165,0,$AT$1,1,1),"*听雷*")&gt;0,AND(碧归&gt;0,COUNTIF(OFFSET(AT165,0,$AT$1,1,1),"*风来*")&gt;0)),0,1)*1.5)</f>
        <v>#VALUE!</v>
      </c>
      <c r="AC165">
        <f ca="1" t="shared" si="25"/>
        <v>3</v>
      </c>
      <c r="AD165">
        <f ca="1">IF(COUNTIF(IF(AND(配装计算器!$K$30&lt;&gt;"∞",0),INDEX(AU165:CB165,1,$AT$1),INDEX(AU166:CB166,1,$AT$1)),"*叠1*")=1,AB165*0+AE164,0)</f>
        <v>0</v>
      </c>
      <c r="AE165" t="e">
        <f ca="1">IF($AN$11&gt;0,IF(COUNTIF(B166,"*叠1*")&gt;0,50-加速!$H$11,MAX(0,AE164-(A166-A165))),0)</f>
        <v>#VALUE!</v>
      </c>
      <c r="AH165" t="s">
        <v>1825</v>
      </c>
      <c r="AI165" s="161" t="s">
        <v>2772</v>
      </c>
      <c r="AJ165">
        <f ca="1" t="shared" si="39"/>
        <v>8</v>
      </c>
      <c r="AK165" t="s">
        <v>3110</v>
      </c>
      <c r="AU165" s="176" t="s">
        <v>2776</v>
      </c>
      <c r="AV165">
        <v>2</v>
      </c>
      <c r="AW165" t="s">
        <v>2768</v>
      </c>
      <c r="AX165">
        <v>2</v>
      </c>
      <c r="AY165" t="s">
        <v>2768</v>
      </c>
      <c r="AZ165">
        <v>2</v>
      </c>
      <c r="BA165" t="s">
        <v>2776</v>
      </c>
      <c r="BB165">
        <v>2</v>
      </c>
      <c r="BC165" s="176" t="s">
        <v>3026</v>
      </c>
      <c r="BD165">
        <v>2</v>
      </c>
      <c r="BE165" t="s">
        <v>2768</v>
      </c>
      <c r="BF165">
        <v>1</v>
      </c>
      <c r="BG165" s="176" t="s">
        <v>2776</v>
      </c>
      <c r="BH165">
        <v>2</v>
      </c>
      <c r="BI165" t="s">
        <v>2794</v>
      </c>
      <c r="BJ165">
        <v>2</v>
      </c>
      <c r="BK165" s="176" t="s">
        <v>2776</v>
      </c>
      <c r="BL165">
        <v>0</v>
      </c>
      <c r="BM165" s="176" t="s">
        <v>2768</v>
      </c>
      <c r="BN165">
        <v>2</v>
      </c>
      <c r="BO165" t="s">
        <v>2776</v>
      </c>
      <c r="BP165">
        <v>2</v>
      </c>
      <c r="BQ165" t="s">
        <v>2776</v>
      </c>
      <c r="BR165">
        <v>2</v>
      </c>
      <c r="BS165" s="182" t="s">
        <v>2768</v>
      </c>
      <c r="BT165">
        <v>2</v>
      </c>
      <c r="BU165" t="s">
        <v>2768</v>
      </c>
      <c r="BV165">
        <v>2</v>
      </c>
      <c r="BW165" s="179" t="str">
        <f t="shared" si="38"/>
        <v>云飞玉皇-玉山揽云</v>
      </c>
      <c r="BX165" s="179">
        <v>2</v>
      </c>
      <c r="BY165" t="s">
        <v>2768</v>
      </c>
      <c r="BZ165">
        <v>2</v>
      </c>
      <c r="CA165" t="s">
        <v>2768</v>
      </c>
      <c r="CB165">
        <v>2</v>
      </c>
    </row>
    <row r="166" spans="1:80">
      <c r="A166" s="178" t="str">
        <f ca="1">IFERROR(IF(A165+加速!$L$11&lt;$AS$1,IF(COUNTIF(B165,"*轻*")&gt;0,A165+加速!$L$9,A165+加速!$L$11)+V165,IF(COUNTIF(INDEX(AU166:CB166,1,$AT$1),"*云景*")+COUNTIF(INDEX(AU166:CB166,1,$AT$1),"*鹤归*")+COUNTIF(INDEX(AU166:CB166,1,$AT$1),"*听雷*")&gt;0,A165+加速!$L$11,"")),"")</f>
        <v/>
      </c>
      <c r="B166" s="167" t="str">
        <f ca="1">IF(A166&lt;&gt;"",IF(AND(A166+加速!$L$11&gt;$AS$1,IF(AND(配装计算器!$K$30&lt;&gt;"∞",0),"梦泉虎跑-轻",INDEX(AU166:CB166,1,$AT$1))="云栖松"),"夕照雷峰",IF(AND(配装计算器!$K$30&lt;&gt;"∞",0),"梦泉虎跑-轻",INDEX(AU166:CB166,1,$AT$1))),"")</f>
        <v/>
      </c>
      <c r="C166" t="str">
        <f ca="1" t="shared" si="30"/>
        <v/>
      </c>
      <c r="D166" t="str">
        <f ca="1">IF(B166&lt;&gt;"",IF(C165&lt;=加速!$L$11*(1-E166),0,1),"")</f>
        <v/>
      </c>
      <c r="E166">
        <f ca="1" t="shared" si="26"/>
        <v>1</v>
      </c>
      <c r="G166" t="str">
        <f ca="1" t="shared" si="27"/>
        <v/>
      </c>
      <c r="H166" t="str">
        <f ca="1">IF(B166&lt;&gt;"",IF(AND(COUNTIF(B165,"*轻*莺鸣柳*")&gt;0,COUNTIF(B166,"*轻*")&lt;1),MAX(0,15+I165-(A166-A165)+COUNTIF(B165,"*平湖*")*0),IF(AND(E166=0,MAX(0,H165-(A166-A165))&lt;=加速!$H$11),0,MAX(0,H165-(A166-A165)))),"")</f>
        <v/>
      </c>
      <c r="I166" t="str">
        <f ca="1" t="shared" si="33"/>
        <v/>
      </c>
      <c r="J166" t="str">
        <f ca="1" t="shared" si="34"/>
        <v/>
      </c>
      <c r="K166" t="str">
        <f ca="1">IF(A166&lt;&gt;"",IF(AND(配装计算器!$K$30&lt;&gt;"∞",0),2,INDEX(AU166:CB166,1,$AT$2)),"")</f>
        <v/>
      </c>
      <c r="L166">
        <f ca="1">IFERROR(IF(AND(COUNTIF(B166,"*-峰插*"),技能数据库!$M$72&gt;0),0,IF(COUNTIF(B166,"*鹤归*")&gt;0,16-加速!$L$11,MAX(0,L165-(A166-A165)))),0)</f>
        <v>0</v>
      </c>
      <c r="M166">
        <f ca="1">IF(COUNTIF(IF(AND(配装计算器!$K$30&lt;&gt;"∞",0),INDEX(AU165:CB165,1,$AT$1),INDEX(AU167:CB167,1,$AT$1)),"*鹤归*")=1,L166,0)</f>
        <v>0</v>
      </c>
      <c r="N166">
        <f ca="1">IFERROR(IF(AND(COUNTIF(B166,"*-峰插*"),技能数据库!$M$72&gt;0),0,IF(COUNTIF(B166,"*云飞*")&gt;0,4-COUNTIF(B166,"*玉山揽云*")*4--COUNTIF(B166,"*烟流暮景*")*4-COUNTIF(B166,"*云景*")*加速!$L$11-IF(J166&gt;0,2,0),MAX(0,N165-(A166-A165)-IF(J166&gt;0,2,0)))),0)</f>
        <v>0</v>
      </c>
      <c r="O166">
        <f ca="1">IF(AND(COUNTIF(IF(AND(配装计算器!$K$30&lt;&gt;"∞",0),INDEX(AU165:CB165,1,$AT$1),INDEX(AU167:CB167,1,$AT$1)),"*云飞*")=1,COUNTIF(IF(AND(配装计算器!$K$30&lt;&gt;"∞",0),INDEX(AU165:CB165,1,$AT$1),INDEX(AU167:CB167,1,$AT$1)),"*玉山*")=0),N166,0)</f>
        <v>0</v>
      </c>
      <c r="P166">
        <f ca="1">IFERROR(IF(COUNTIF(B166,"*云栖松*")&gt;0,50-加速!$L$11,MAX(0,P165-(A166-A165))),0)</f>
        <v>0</v>
      </c>
      <c r="Q166">
        <f ca="1">IF(COUNTIF(IF(AND(配装计算器!$K$30&lt;&gt;"∞",0),INDEX(AU165:CB165,1,$AT$1),INDEX(AU167:CB167,1,$AT$1)),"*云栖松*")=1,P166,0)</f>
        <v>0</v>
      </c>
      <c r="R166">
        <f ca="1">IFERROR(IF(COUNTIF(B166,"*莺鸣柳*")&gt;0,45-加速!$L$9,MAX(0,R165-(A166-A165))),0)</f>
        <v>0</v>
      </c>
      <c r="S166">
        <f ca="1">IF(COUNTIF(IF(AND(配装计算器!$K$30&lt;&gt;"∞",0),INDEX(AU165:CB165,1,$AT$1),INDEX(AU167:CB167,1,$AT$1)),"*莺鸣柳*")=1,R166,0)</f>
        <v>0</v>
      </c>
      <c r="T166">
        <f ca="1" t="shared" si="31"/>
        <v>0</v>
      </c>
      <c r="U166">
        <f ca="1">IF(金蛇,IF(COUNTIF(B166,"*金环戴*")+COUNTIF(B166,"*吹风醒*")&gt;0,IF(A166&lt;=3,7.125-2.625-A166-加速!$L$11,7.125+加速!$K$9-(A166+加速!$L$11-T166)),0),0)+IF(金蛇,IF(COUNTIF(B166,"*千切子裂光*")&gt;0,2+加速!$K$9-(A166+加速!$L$11-T166),0),0)</f>
        <v>0</v>
      </c>
      <c r="V166">
        <f ca="1" t="shared" si="32"/>
        <v>0</v>
      </c>
      <c r="W166">
        <f ca="1" t="shared" si="24"/>
        <v>0</v>
      </c>
      <c r="X166">
        <f ca="1">INDEX(加速!$I$13:$I$21,技能数计算!W166+1)</f>
        <v>0</v>
      </c>
      <c r="Y166">
        <f ca="1" t="shared" si="28"/>
        <v>0.5</v>
      </c>
      <c r="Z166">
        <f ca="1" t="shared" si="29"/>
        <v>0</v>
      </c>
      <c r="AA166">
        <f ca="1">MAX(0,IFERROR(IF(COUNTIF(B166,"*叠*")&gt;0,IF(AC165&lt;3,8-A167+A166,AA165+6.875-A167+A166),AA165-A167+A166),AA165-加速!$L$11))</f>
        <v>0</v>
      </c>
      <c r="AB166" t="e">
        <f ca="1">MAX(0,IF(COUNTIF(IF(AND(配装计算器!$K$30&lt;&gt;"∞",0),INDEX(AU166:CB166,1,$AT$1),INDEX(AU166:CB166,1,$AT$1)),"*叠1*")=1,4*25-加速!$L$11,AB165-A166+A165)-IF(OR(COUNTIF(OFFSET(AT166,0,$AT$1,1,1),"*听雷*")&gt;0,AND(碧归&gt;0,COUNTIF(OFFSET(AT166,0,$AT$1,1,1),"*风来*")&gt;0)),0,1)*1.5)</f>
        <v>#VALUE!</v>
      </c>
      <c r="AC166">
        <f ca="1" t="shared" si="25"/>
        <v>3</v>
      </c>
      <c r="AD166">
        <f ca="1">IF(COUNTIF(IF(AND(配装计算器!$K$30&lt;&gt;"∞",0),INDEX(AU166:CB166,1,$AT$1),INDEX(AU167:CB167,1,$AT$1)),"*叠1*")=1,AB166*0+AE165,0)</f>
        <v>0</v>
      </c>
      <c r="AE166" t="e">
        <f ca="1">IF($AN$11&gt;0,IF(COUNTIF(B167,"*叠1*")&gt;0,50-加速!$H$11,MAX(0,AE165-(A167-A166))),0)</f>
        <v>#VALUE!</v>
      </c>
      <c r="AH166" t="s">
        <v>1825</v>
      </c>
      <c r="AI166" s="161" t="s">
        <v>2783</v>
      </c>
      <c r="AJ166">
        <f ca="1">AJ139+AJ189</f>
        <v>5</v>
      </c>
      <c r="AK166" t="s">
        <v>3108</v>
      </c>
      <c r="AU166" t="s">
        <v>2768</v>
      </c>
      <c r="AV166">
        <v>2</v>
      </c>
      <c r="AW166" t="s">
        <v>2776</v>
      </c>
      <c r="AX166">
        <v>2</v>
      </c>
      <c r="AY166" t="s">
        <v>2776</v>
      </c>
      <c r="AZ166">
        <v>2</v>
      </c>
      <c r="BA166" t="s">
        <v>2794</v>
      </c>
      <c r="BB166">
        <v>2</v>
      </c>
      <c r="BC166" s="176" t="s">
        <v>3026</v>
      </c>
      <c r="BD166">
        <v>2</v>
      </c>
      <c r="BE166" t="s">
        <v>2768</v>
      </c>
      <c r="BF166">
        <v>1</v>
      </c>
      <c r="BG166" t="s">
        <v>2768</v>
      </c>
      <c r="BH166">
        <v>1</v>
      </c>
      <c r="BI166" t="s">
        <v>2776</v>
      </c>
      <c r="BJ166">
        <v>2</v>
      </c>
      <c r="BK166" t="s">
        <v>2768</v>
      </c>
      <c r="BL166">
        <v>0</v>
      </c>
      <c r="BM166" t="s">
        <v>3056</v>
      </c>
      <c r="BN166">
        <v>1</v>
      </c>
      <c r="BO166" t="s">
        <v>2768</v>
      </c>
      <c r="BP166">
        <v>2</v>
      </c>
      <c r="BQ166" t="s">
        <v>2768</v>
      </c>
      <c r="BR166">
        <v>2</v>
      </c>
      <c r="BS166" s="182" t="s">
        <v>2776</v>
      </c>
      <c r="BT166">
        <v>2</v>
      </c>
      <c r="BU166" t="s">
        <v>2776</v>
      </c>
      <c r="BV166">
        <v>2</v>
      </c>
      <c r="BW166" s="179" t="s">
        <v>2776</v>
      </c>
      <c r="BX166" s="179">
        <v>2</v>
      </c>
      <c r="BY166" t="s">
        <v>2776</v>
      </c>
      <c r="BZ166">
        <v>2</v>
      </c>
      <c r="CA166" t="s">
        <v>2776</v>
      </c>
      <c r="CB166">
        <v>2</v>
      </c>
    </row>
    <row r="167" spans="1:80">
      <c r="A167" s="178" t="str">
        <f ca="1">IFERROR(IF(A166+加速!$L$11&lt;$AS$1,IF(COUNTIF(B166,"*轻*")&gt;0,A166+加速!$L$9,A166+加速!$L$11)+V166,IF(COUNTIF(INDEX(AU167:CB167,1,$AT$1),"*云景*")+COUNTIF(INDEX(AU167:CB167,1,$AT$1),"*鹤归*")+COUNTIF(INDEX(AU167:CB167,1,$AT$1),"*听雷*")&gt;0,A166+加速!$L$11,"")),"")</f>
        <v/>
      </c>
      <c r="B167" s="167" t="str">
        <f ca="1">IF(A167&lt;&gt;"",IF(AND(A167+加速!$L$11&gt;$AS$1,IF(AND(配装计算器!$K$30&lt;&gt;"∞",0),"梦泉虎跑-轻",INDEX(AU167:CB167,1,$AT$1))="云栖松"),"夕照雷峰",IF(AND(配装计算器!$K$30&lt;&gt;"∞",0),"梦泉虎跑-轻",INDEX(AU167:CB167,1,$AT$1))),"")</f>
        <v/>
      </c>
      <c r="C167" t="str">
        <f ca="1" t="shared" si="30"/>
        <v/>
      </c>
      <c r="D167" t="str">
        <f ca="1">IF(B167&lt;&gt;"",IF(C166&lt;=加速!$L$11*(1-E167),0,1),"")</f>
        <v/>
      </c>
      <c r="E167">
        <f ca="1" t="shared" si="26"/>
        <v>1</v>
      </c>
      <c r="G167" t="str">
        <f ca="1" t="shared" si="27"/>
        <v/>
      </c>
      <c r="H167" t="str">
        <f ca="1">IF(B167&lt;&gt;"",IF(AND(COUNTIF(B166,"*轻*莺鸣柳*")&gt;0,COUNTIF(B167,"*轻*")&lt;1),MAX(0,15+I166-(A167-A166)+COUNTIF(B166,"*平湖*")*0),IF(AND(E167=0,MAX(0,H166-(A167-A166))&lt;=加速!$H$11),0,MAX(0,H166-(A167-A166)))),"")</f>
        <v/>
      </c>
      <c r="I167" t="str">
        <f ca="1" t="shared" si="33"/>
        <v/>
      </c>
      <c r="J167" t="str">
        <f ca="1" t="shared" si="34"/>
        <v/>
      </c>
      <c r="K167" t="str">
        <f ca="1">IF(A167&lt;&gt;"",IF(AND(配装计算器!$K$30&lt;&gt;"∞",0),2,INDEX(AU167:CB167,1,$AT$2)),"")</f>
        <v/>
      </c>
      <c r="L167">
        <f ca="1">IFERROR(IF(AND(COUNTIF(B167,"*-峰插*"),技能数据库!$M$72&gt;0),0,IF(COUNTIF(B167,"*鹤归*")&gt;0,16-加速!$L$11,MAX(0,L166-(A167-A166)))),0)</f>
        <v>0</v>
      </c>
      <c r="M167">
        <f ca="1">IF(COUNTIF(IF(AND(配装计算器!$K$30&lt;&gt;"∞",0),INDEX(AU166:CB166,1,$AT$1),INDEX(AU168:CB168,1,$AT$1)),"*鹤归*")=1,L167,0)</f>
        <v>0</v>
      </c>
      <c r="N167">
        <f ca="1">IFERROR(IF(AND(COUNTIF(B167,"*-峰插*"),技能数据库!$M$72&gt;0),0,IF(COUNTIF(B167,"*云飞*")&gt;0,4-COUNTIF(B167,"*玉山揽云*")*4--COUNTIF(B167,"*烟流暮景*")*4-COUNTIF(B167,"*云景*")*加速!$L$11-IF(J167&gt;0,2,0),MAX(0,N166-(A167-A166)-IF(J167&gt;0,2,0)))),0)</f>
        <v>0</v>
      </c>
      <c r="O167">
        <f ca="1">IF(AND(COUNTIF(IF(AND(配装计算器!$K$30&lt;&gt;"∞",0),INDEX(AU166:CB166,1,$AT$1),INDEX(AU168:CB168,1,$AT$1)),"*云飞*")=1,COUNTIF(IF(AND(配装计算器!$K$30&lt;&gt;"∞",0),INDEX(AU166:CB166,1,$AT$1),INDEX(AU168:CB168,1,$AT$1)),"*玉山*")=0),N167,0)</f>
        <v>0</v>
      </c>
      <c r="P167">
        <f ca="1">IFERROR(IF(COUNTIF(B167,"*云栖松*")&gt;0,50-加速!$L$11,MAX(0,P166-(A167-A166))),0)</f>
        <v>0</v>
      </c>
      <c r="Q167">
        <f ca="1">IF(COUNTIF(IF(AND(配装计算器!$K$30&lt;&gt;"∞",0),INDEX(AU166:CB166,1,$AT$1),INDEX(AU168:CB168,1,$AT$1)),"*云栖松*")=1,P167,0)</f>
        <v>0</v>
      </c>
      <c r="R167">
        <f ca="1">IFERROR(IF(COUNTIF(B167,"*莺鸣柳*")&gt;0,45-加速!$L$9,MAX(0,R166-(A167-A166))),0)</f>
        <v>0</v>
      </c>
      <c r="S167">
        <f ca="1">IF(COUNTIF(IF(AND(配装计算器!$K$30&lt;&gt;"∞",0),INDEX(AU166:CB166,1,$AT$1),INDEX(AU168:CB168,1,$AT$1)),"*莺鸣柳*")=1,R167,0)</f>
        <v>0</v>
      </c>
      <c r="T167">
        <f ca="1" t="shared" si="31"/>
        <v>0</v>
      </c>
      <c r="U167">
        <f ca="1">IF(金蛇,IF(COUNTIF(B167,"*金环戴*")+COUNTIF(B167,"*吹风醒*")&gt;0,IF(A167&lt;=3,7.125-2.625-A167-加速!$L$11,7.125+加速!$K$9-(A167+加速!$L$11-T167)),0),0)+IF(金蛇,IF(COUNTIF(B167,"*千切子裂光*")&gt;0,2+加速!$K$9-(A167+加速!$L$11-T167),0),0)</f>
        <v>0</v>
      </c>
      <c r="V167">
        <f ca="1" t="shared" si="32"/>
        <v>0</v>
      </c>
      <c r="W167">
        <f ca="1" t="shared" si="24"/>
        <v>0</v>
      </c>
      <c r="X167">
        <f ca="1">INDEX(加速!$I$13:$I$21,技能数计算!W167+1)</f>
        <v>0</v>
      </c>
      <c r="Y167">
        <f ca="1" t="shared" si="28"/>
        <v>0.5</v>
      </c>
      <c r="Z167">
        <f ca="1" t="shared" si="29"/>
        <v>0</v>
      </c>
      <c r="AA167">
        <f ca="1">MAX(0,IFERROR(IF(COUNTIF(B167,"*叠*")&gt;0,IF(AC166&lt;3,8-A168+A167,AA166+6.875-A168+A167),AA166-A168+A167),AA166-加速!$L$11))</f>
        <v>0</v>
      </c>
      <c r="AB167" t="e">
        <f ca="1">MAX(0,IF(COUNTIF(IF(AND(配装计算器!$K$30&lt;&gt;"∞",0),INDEX(AU167:CB167,1,$AT$1),INDEX(AU167:CB167,1,$AT$1)),"*叠1*")=1,4*25-加速!$L$11,AB166-A167+A166)-IF(OR(COUNTIF(OFFSET(AT167,0,$AT$1,1,1),"*听雷*")&gt;0,AND(碧归&gt;0,COUNTIF(OFFSET(AT167,0,$AT$1,1,1),"*风来*")&gt;0)),0,1)*1.5)</f>
        <v>#VALUE!</v>
      </c>
      <c r="AC167">
        <f ca="1" t="shared" si="25"/>
        <v>3</v>
      </c>
      <c r="AD167">
        <f ca="1">IF(COUNTIF(IF(AND(配装计算器!$K$30&lt;&gt;"∞",0),INDEX(AU167:CB167,1,$AT$1),INDEX(AU168:CB168,1,$AT$1)),"*叠1*")=1,AB167*0+AE166,0)</f>
        <v>0</v>
      </c>
      <c r="AE167" t="e">
        <f ca="1">IF($AN$11&gt;0,IF(COUNTIF(B168,"*叠1*")&gt;0,50-加速!$H$11,MAX(0,AE166-(A168-A167))),0)</f>
        <v>#VALUE!</v>
      </c>
      <c r="AH167" t="s">
        <v>1825</v>
      </c>
      <c r="AI167" s="161" t="s">
        <v>2783</v>
      </c>
      <c r="AJ167">
        <f ca="1" t="shared" ref="AJ167:AJ168" si="40">AJ140+AJ190</f>
        <v>4</v>
      </c>
      <c r="AK167" t="s">
        <v>3109</v>
      </c>
      <c r="AU167" t="str">
        <f>IF($AN$11=1,"云飞玉皇-玉山揽云","夕照雷峰")</f>
        <v>云飞玉皇-玉山揽云</v>
      </c>
      <c r="AV167">
        <v>2</v>
      </c>
      <c r="AW167" t="s">
        <v>2768</v>
      </c>
      <c r="AX167">
        <v>2</v>
      </c>
      <c r="AY167" t="s">
        <v>2794</v>
      </c>
      <c r="AZ167">
        <v>2</v>
      </c>
      <c r="BA167" t="s">
        <v>2768</v>
      </c>
      <c r="BB167">
        <v>2</v>
      </c>
      <c r="BC167" s="176" t="s">
        <v>3026</v>
      </c>
      <c r="BD167">
        <v>2</v>
      </c>
      <c r="BE167" t="s">
        <v>2776</v>
      </c>
      <c r="BF167">
        <v>0</v>
      </c>
      <c r="BG167" s="176" t="s">
        <v>2768</v>
      </c>
      <c r="BH167">
        <v>1</v>
      </c>
      <c r="BI167" t="s">
        <v>2768</v>
      </c>
      <c r="BJ167">
        <v>2</v>
      </c>
      <c r="BK167" t="s">
        <v>3012</v>
      </c>
      <c r="BL167">
        <v>2</v>
      </c>
      <c r="BM167" t="s">
        <v>2768</v>
      </c>
      <c r="BN167">
        <v>2</v>
      </c>
      <c r="BO167" t="s">
        <v>2768</v>
      </c>
      <c r="BP167">
        <v>2</v>
      </c>
      <c r="BQ167" t="s">
        <v>3013</v>
      </c>
      <c r="BR167">
        <v>2</v>
      </c>
      <c r="BS167" s="182" t="s">
        <v>2768</v>
      </c>
      <c r="BT167">
        <v>2</v>
      </c>
      <c r="BU167" t="s">
        <v>2768</v>
      </c>
      <c r="BV167">
        <v>2</v>
      </c>
      <c r="BW167" s="179" t="s">
        <v>2768</v>
      </c>
      <c r="BX167" s="179">
        <v>2</v>
      </c>
      <c r="BY167" t="s">
        <v>2718</v>
      </c>
      <c r="BZ167">
        <v>0</v>
      </c>
      <c r="CA167" t="s">
        <v>2718</v>
      </c>
      <c r="CB167">
        <v>0</v>
      </c>
    </row>
    <row r="168" spans="1:80">
      <c r="A168" s="178" t="str">
        <f ca="1">IFERROR(IF(A167+加速!$L$11&lt;$AS$1,IF(COUNTIF(B167,"*轻*")&gt;0,A167+加速!$L$9,A167+加速!$L$11)+V167,IF(COUNTIF(INDEX(AU168:CB168,1,$AT$1),"*云景*")+COUNTIF(INDEX(AU168:CB168,1,$AT$1),"*鹤归*")+COUNTIF(INDEX(AU168:CB168,1,$AT$1),"*听雷*")&gt;0,A167+加速!$L$11,"")),"")</f>
        <v/>
      </c>
      <c r="B168" s="167" t="str">
        <f ca="1">IF(A168&lt;&gt;"",IF(AND(A168+加速!$L$11&gt;$AS$1,IF(AND(配装计算器!$K$30&lt;&gt;"∞",0),"梦泉虎跑-轻",INDEX(AU168:CB168,1,$AT$1))="云栖松"),"夕照雷峰",IF(AND(配装计算器!$K$30&lt;&gt;"∞",0),"梦泉虎跑-轻",INDEX(AU168:CB168,1,$AT$1))),"")</f>
        <v/>
      </c>
      <c r="C168" t="str">
        <f ca="1" t="shared" si="30"/>
        <v/>
      </c>
      <c r="D168" t="str">
        <f ca="1">IF(B168&lt;&gt;"",IF(C167&lt;=加速!$L$11*(1-E168),0,1),"")</f>
        <v/>
      </c>
      <c r="E168">
        <f ca="1" t="shared" si="26"/>
        <v>1</v>
      </c>
      <c r="G168" t="str">
        <f ca="1" t="shared" si="27"/>
        <v/>
      </c>
      <c r="H168" t="str">
        <f ca="1">IF(B168&lt;&gt;"",IF(AND(COUNTIF(B167,"*轻*莺鸣柳*")&gt;0,COUNTIF(B168,"*轻*")&lt;1),MAX(0,15+I167-(A168-A167)+COUNTIF(B167,"*平湖*")*0),IF(AND(E168=0,MAX(0,H167-(A168-A167))&lt;=加速!$H$11),0,MAX(0,H167-(A168-A167)))),"")</f>
        <v/>
      </c>
      <c r="I168" t="str">
        <f ca="1" t="shared" si="33"/>
        <v/>
      </c>
      <c r="J168" t="str">
        <f ca="1" t="shared" si="34"/>
        <v/>
      </c>
      <c r="K168" t="str">
        <f ca="1">IF(A168&lt;&gt;"",IF(AND(配装计算器!$K$30&lt;&gt;"∞",0),2,INDEX(AU168:CB168,1,$AT$2)),"")</f>
        <v/>
      </c>
      <c r="L168">
        <f ca="1">IFERROR(IF(AND(COUNTIF(B168,"*-峰插*"),技能数据库!$M$72&gt;0),0,IF(COUNTIF(B168,"*鹤归*")&gt;0,16-加速!$L$11,MAX(0,L167-(A168-A167)))),0)</f>
        <v>0</v>
      </c>
      <c r="M168">
        <f ca="1">IF(COUNTIF(IF(AND(配装计算器!$K$30&lt;&gt;"∞",0),INDEX(AU167:CB167,1,$AT$1),INDEX(AU169:CB169,1,$AT$1)),"*鹤归*")=1,L168,0)</f>
        <v>0</v>
      </c>
      <c r="N168">
        <f ca="1">IFERROR(IF(AND(COUNTIF(B168,"*-峰插*"),技能数据库!$M$72&gt;0),0,IF(COUNTIF(B168,"*云飞*")&gt;0,4-COUNTIF(B168,"*玉山揽云*")*4--COUNTIF(B168,"*烟流暮景*")*4-COUNTIF(B168,"*云景*")*加速!$L$11-IF(J168&gt;0,2,0),MAX(0,N167-(A168-A167)-IF(J168&gt;0,2,0)))),0)</f>
        <v>0</v>
      </c>
      <c r="O168">
        <f ca="1">IF(AND(COUNTIF(IF(AND(配装计算器!$K$30&lt;&gt;"∞",0),INDEX(AU167:CB167,1,$AT$1),INDEX(AU169:CB169,1,$AT$1)),"*云飞*")=1,COUNTIF(IF(AND(配装计算器!$K$30&lt;&gt;"∞",0),INDEX(AU167:CB167,1,$AT$1),INDEX(AU169:CB169,1,$AT$1)),"*玉山*")=0),N168,0)</f>
        <v>0</v>
      </c>
      <c r="P168">
        <f ca="1">IFERROR(IF(COUNTIF(B168,"*云栖松*")&gt;0,50-加速!$L$11,MAX(0,P167-(A168-A167))),0)</f>
        <v>0</v>
      </c>
      <c r="Q168">
        <f ca="1">IF(COUNTIF(IF(AND(配装计算器!$K$30&lt;&gt;"∞",0),INDEX(AU167:CB167,1,$AT$1),INDEX(AU169:CB169,1,$AT$1)),"*云栖松*")=1,P168,0)</f>
        <v>0</v>
      </c>
      <c r="R168">
        <f ca="1">IFERROR(IF(COUNTIF(B168,"*莺鸣柳*")&gt;0,45-加速!$L$9,MAX(0,R167-(A168-A167))),0)</f>
        <v>0</v>
      </c>
      <c r="S168">
        <f ca="1">IF(COUNTIF(IF(AND(配装计算器!$K$30&lt;&gt;"∞",0),INDEX(AU167:CB167,1,$AT$1),INDEX(AU169:CB169,1,$AT$1)),"*莺鸣柳*")=1,R168,0)</f>
        <v>0</v>
      </c>
      <c r="T168">
        <f ca="1" t="shared" si="31"/>
        <v>0</v>
      </c>
      <c r="U168">
        <f ca="1">IF(金蛇,IF(COUNTIF(B168,"*金环戴*")+COUNTIF(B168,"*吹风醒*")&gt;0,IF(A168&lt;=3,7.125-2.625-A168-加速!$L$11,7.125+加速!$K$9-(A168+加速!$L$11-T168)),0),0)+IF(金蛇,IF(COUNTIF(B168,"*千切子裂光*")&gt;0,2+加速!$K$9-(A168+加速!$L$11-T168),0),0)</f>
        <v>0</v>
      </c>
      <c r="V168">
        <f ca="1" t="shared" si="32"/>
        <v>0</v>
      </c>
      <c r="W168">
        <f ca="1" t="shared" si="24"/>
        <v>0</v>
      </c>
      <c r="X168">
        <f ca="1">INDEX(加速!$I$13:$I$21,技能数计算!W168+1)</f>
        <v>0</v>
      </c>
      <c r="Y168">
        <f ca="1" t="shared" si="28"/>
        <v>0.5</v>
      </c>
      <c r="Z168">
        <f ca="1" t="shared" si="29"/>
        <v>0</v>
      </c>
      <c r="AA168">
        <f ca="1">MAX(0,IFERROR(IF(COUNTIF(B168,"*叠*")&gt;0,IF(AC167&lt;3,8-A169+A168,AA167+6.875-A169+A168),AA167-A169+A168),AA167-加速!$L$11))</f>
        <v>0</v>
      </c>
      <c r="AB168" t="e">
        <f ca="1">MAX(0,IF(COUNTIF(IF(AND(配装计算器!$K$30&lt;&gt;"∞",0),INDEX(AU168:CB168,1,$AT$1),INDEX(AU168:CB168,1,$AT$1)),"*叠1*")=1,4*25-加速!$L$11,AB167-A168+A167)-IF(OR(COUNTIF(OFFSET(AT168,0,$AT$1,1,1),"*听雷*")&gt;0,AND(碧归&gt;0,COUNTIF(OFFSET(AT168,0,$AT$1,1,1),"*风来*")&gt;0)),0,1)*1.5)</f>
        <v>#VALUE!</v>
      </c>
      <c r="AC168">
        <f ca="1" t="shared" si="25"/>
        <v>3</v>
      </c>
      <c r="AD168">
        <f ca="1">IF(COUNTIF(IF(AND(配装计算器!$K$30&lt;&gt;"∞",0),INDEX(AU168:CB168,1,$AT$1),INDEX(AU169:CB169,1,$AT$1)),"*叠1*")=1,AB168*0+AE167,0)</f>
        <v>0</v>
      </c>
      <c r="AE168" t="e">
        <f ca="1">IF($AN$11&gt;0,IF(COUNTIF(B169,"*叠1*")&gt;0,50-加速!$H$11,MAX(0,AE167-(A169-A168))),0)</f>
        <v>#VALUE!</v>
      </c>
      <c r="AH168" t="s">
        <v>1825</v>
      </c>
      <c r="AI168" s="161" t="s">
        <v>2783</v>
      </c>
      <c r="AJ168">
        <f ca="1" t="shared" si="40"/>
        <v>40</v>
      </c>
      <c r="AK168" t="s">
        <v>3110</v>
      </c>
      <c r="AU168" t="str">
        <f>IF($AN$11=1,"云飞玉皇-玉山揽云","云飞玉皇")</f>
        <v>云飞玉皇-玉山揽云</v>
      </c>
      <c r="AV168">
        <v>2</v>
      </c>
      <c r="AW168" t="s">
        <v>2768</v>
      </c>
      <c r="AX168">
        <v>2</v>
      </c>
      <c r="AY168" t="s">
        <v>2768</v>
      </c>
      <c r="AZ168">
        <v>2</v>
      </c>
      <c r="BA168" t="s">
        <v>2776</v>
      </c>
      <c r="BB168">
        <v>2</v>
      </c>
      <c r="BC168" s="176" t="s">
        <v>3026</v>
      </c>
      <c r="BD168">
        <v>2</v>
      </c>
      <c r="BE168" t="s">
        <v>2722</v>
      </c>
      <c r="BF168">
        <v>0</v>
      </c>
      <c r="BG168" t="s">
        <v>3055</v>
      </c>
      <c r="BH168">
        <v>0</v>
      </c>
      <c r="BI168" t="s">
        <v>2776</v>
      </c>
      <c r="BJ168">
        <v>2</v>
      </c>
      <c r="BK168" s="176" t="s">
        <v>2794</v>
      </c>
      <c r="BL168">
        <v>2</v>
      </c>
      <c r="BM168" t="s">
        <v>2768</v>
      </c>
      <c r="BN168">
        <v>2</v>
      </c>
      <c r="BO168" t="s">
        <v>2768</v>
      </c>
      <c r="BP168">
        <v>2</v>
      </c>
      <c r="BQ168" t="s">
        <v>2808</v>
      </c>
      <c r="BR168">
        <v>2</v>
      </c>
      <c r="BS168" s="182" t="s">
        <v>3085</v>
      </c>
      <c r="BT168">
        <v>2</v>
      </c>
      <c r="BU168" t="s">
        <v>2776</v>
      </c>
      <c r="BV168">
        <v>2</v>
      </c>
      <c r="BW168" s="179" t="s">
        <v>2768</v>
      </c>
      <c r="BX168" s="179">
        <v>1</v>
      </c>
      <c r="BY168" s="176" t="s">
        <v>2794</v>
      </c>
      <c r="BZ168">
        <v>0</v>
      </c>
      <c r="CA168" t="s">
        <v>2768</v>
      </c>
      <c r="CB168">
        <v>2</v>
      </c>
    </row>
    <row r="169" spans="1:80">
      <c r="A169" s="178" t="str">
        <f ca="1">IFERROR(IF(A168+加速!$L$11&lt;$AS$1,IF(COUNTIF(B168,"*轻*")&gt;0,A168+加速!$L$9,A168+加速!$L$11)+V168,IF(COUNTIF(INDEX(AU169:CB169,1,$AT$1),"*云景*")+COUNTIF(INDEX(AU169:CB169,1,$AT$1),"*鹤归*")+COUNTIF(INDEX(AU169:CB169,1,$AT$1),"*听雷*")&gt;0,A168+加速!$L$11,"")),"")</f>
        <v/>
      </c>
      <c r="B169" s="167" t="str">
        <f ca="1">IF(A169&lt;&gt;"",IF(AND(A169+加速!$L$11&gt;$AS$1,IF(AND(配装计算器!$K$30&lt;&gt;"∞",0),"梦泉虎跑-轻",INDEX(AU169:CB169,1,$AT$1))="云栖松"),"夕照雷峰",IF(AND(配装计算器!$K$30&lt;&gt;"∞",0),"梦泉虎跑-轻",INDEX(AU169:CB169,1,$AT$1))),"")</f>
        <v/>
      </c>
      <c r="C169" t="str">
        <f ca="1" t="shared" si="30"/>
        <v/>
      </c>
      <c r="D169" t="str">
        <f ca="1">IF(B169&lt;&gt;"",IF(C168&lt;=加速!$L$11*(1-E169),0,1),"")</f>
        <v/>
      </c>
      <c r="E169">
        <f ca="1" t="shared" si="26"/>
        <v>1</v>
      </c>
      <c r="G169" t="str">
        <f ca="1" t="shared" si="27"/>
        <v/>
      </c>
      <c r="H169" t="str">
        <f ca="1">IF(B169&lt;&gt;"",IF(AND(COUNTIF(B168,"*轻*莺鸣柳*")&gt;0,COUNTIF(B169,"*轻*")&lt;1),MAX(0,15+I168-(A169-A168)+COUNTIF(B168,"*平湖*")*0),IF(AND(E169=0,MAX(0,H168-(A169-A168))&lt;=加速!$H$11),0,MAX(0,H168-(A169-A168)))),"")</f>
        <v/>
      </c>
      <c r="I169" t="str">
        <f ca="1" t="shared" si="33"/>
        <v/>
      </c>
      <c r="J169" t="str">
        <f ca="1" t="shared" si="34"/>
        <v/>
      </c>
      <c r="K169" t="str">
        <f ca="1">IF(A169&lt;&gt;"",IF(AND(配装计算器!$K$30&lt;&gt;"∞",0),2,INDEX(AU169:CB169,1,$AT$2)),"")</f>
        <v/>
      </c>
      <c r="L169">
        <f ca="1">IFERROR(IF(AND(COUNTIF(B169,"*-峰插*"),技能数据库!$M$72&gt;0),0,IF(COUNTIF(B169,"*鹤归*")&gt;0,16-加速!$L$11,MAX(0,L168-(A169-A168)))),0)</f>
        <v>0</v>
      </c>
      <c r="M169">
        <f ca="1">IF(COUNTIF(IF(AND(配装计算器!$K$30&lt;&gt;"∞",0),INDEX(AU168:CB168,1,$AT$1),INDEX(AU170:CB170,1,$AT$1)),"*鹤归*")=1,L169,0)</f>
        <v>0</v>
      </c>
      <c r="N169">
        <f ca="1">IFERROR(IF(AND(COUNTIF(B169,"*-峰插*"),技能数据库!$M$72&gt;0),0,IF(COUNTIF(B169,"*云飞*")&gt;0,4-COUNTIF(B169,"*玉山揽云*")*4--COUNTIF(B169,"*烟流暮景*")*4-COUNTIF(B169,"*云景*")*加速!$L$11-IF(J169&gt;0,2,0),MAX(0,N168-(A169-A168)-IF(J169&gt;0,2,0)))),0)</f>
        <v>0</v>
      </c>
      <c r="O169">
        <f ca="1">IF(AND(COUNTIF(IF(AND(配装计算器!$K$30&lt;&gt;"∞",0),INDEX(AU168:CB168,1,$AT$1),INDEX(AU170:CB170,1,$AT$1)),"*云飞*")=1,COUNTIF(IF(AND(配装计算器!$K$30&lt;&gt;"∞",0),INDEX(AU168:CB168,1,$AT$1),INDEX(AU170:CB170,1,$AT$1)),"*玉山*")=0),N169,0)</f>
        <v>0</v>
      </c>
      <c r="P169">
        <f ca="1">IFERROR(IF(COUNTIF(B169,"*云栖松*")&gt;0,50-加速!$L$11,MAX(0,P168-(A169-A168))),0)</f>
        <v>0</v>
      </c>
      <c r="Q169">
        <f ca="1">IF(COUNTIF(IF(AND(配装计算器!$K$30&lt;&gt;"∞",0),INDEX(AU168:CB168,1,$AT$1),INDEX(AU170:CB170,1,$AT$1)),"*云栖松*")=1,P169,0)</f>
        <v>0</v>
      </c>
      <c r="R169">
        <f ca="1">IFERROR(IF(COUNTIF(B169,"*莺鸣柳*")&gt;0,45-加速!$L$9,MAX(0,R168-(A169-A168))),0)</f>
        <v>0</v>
      </c>
      <c r="S169">
        <f ca="1">IF(COUNTIF(IF(AND(配装计算器!$K$30&lt;&gt;"∞",0),INDEX(AU168:CB168,1,$AT$1),INDEX(AU170:CB170,1,$AT$1)),"*莺鸣柳*")=1,R169,0)</f>
        <v>0</v>
      </c>
      <c r="T169">
        <f ca="1" t="shared" si="31"/>
        <v>0</v>
      </c>
      <c r="U169">
        <f ca="1">IF(金蛇,IF(COUNTIF(B169,"*金环戴*")+COUNTIF(B169,"*吹风醒*")&gt;0,IF(A169&lt;=3,7.125-2.625-A169-加速!$L$11,7.125+加速!$K$9-(A169+加速!$L$11-T169)),0),0)+IF(金蛇,IF(COUNTIF(B169,"*千切子裂光*")&gt;0,2+加速!$K$9-(A169+加速!$L$11-T169),0),0)</f>
        <v>0</v>
      </c>
      <c r="V169">
        <f ca="1" t="shared" si="32"/>
        <v>0</v>
      </c>
      <c r="W169">
        <f ca="1" t="shared" si="24"/>
        <v>0</v>
      </c>
      <c r="X169">
        <f ca="1">INDEX(加速!$I$13:$I$21,技能数计算!W169+1)</f>
        <v>0</v>
      </c>
      <c r="Y169">
        <f ca="1" t="shared" si="28"/>
        <v>0.5</v>
      </c>
      <c r="Z169">
        <f ca="1" t="shared" si="29"/>
        <v>0</v>
      </c>
      <c r="AA169">
        <f ca="1">MAX(0,IFERROR(IF(COUNTIF(B169,"*叠*")&gt;0,IF(AC168&lt;3,8-A170+A169,AA168+6.875-A170+A169),AA168-A170+A169),AA168-加速!$L$11))</f>
        <v>0</v>
      </c>
      <c r="AB169" t="e">
        <f ca="1">MAX(0,IF(COUNTIF(IF(AND(配装计算器!$K$30&lt;&gt;"∞",0),INDEX(AU169:CB169,1,$AT$1),INDEX(AU169:CB169,1,$AT$1)),"*叠1*")=1,4*25-加速!$L$11,AB168-A169+A168)-IF(OR(COUNTIF(OFFSET(AT169,0,$AT$1,1,1),"*听雷*")&gt;0,AND(碧归&gt;0,COUNTIF(OFFSET(AT169,0,$AT$1,1,1),"*风来*")&gt;0)),0,1)*1.5)</f>
        <v>#VALUE!</v>
      </c>
      <c r="AC169">
        <f ca="1" t="shared" si="25"/>
        <v>3</v>
      </c>
      <c r="AD169">
        <f ca="1">IF(COUNTIF(IF(AND(配装计算器!$K$30&lt;&gt;"∞",0),INDEX(AU169:CB169,1,$AT$1),INDEX(AU170:CB170,1,$AT$1)),"*叠1*")=1,AB169*0+AE168,0)</f>
        <v>0</v>
      </c>
      <c r="AE169" t="e">
        <f ca="1">IF($AN$11&gt;0,IF(COUNTIF(B170,"*叠1*")&gt;0,50-加速!$H$11,MAX(0,AE168-(A170-A169))),0)</f>
        <v>#VALUE!</v>
      </c>
      <c r="AH169" t="s">
        <v>1825</v>
      </c>
      <c r="AI169" s="161" t="s">
        <v>2789</v>
      </c>
      <c r="AJ169">
        <f ca="1">SUMIFS($X$3:$X$515,$D$3:$D$515,"&gt;0",$AC$3:$AC$515,"=1")</f>
        <v>0</v>
      </c>
      <c r="AK169" t="s">
        <v>3108</v>
      </c>
      <c r="AU169" t="str">
        <f>IF($AN$11=1,"云飞玉皇-玉山揽云","夕照雷峰")</f>
        <v>云飞玉皇-玉山揽云</v>
      </c>
      <c r="AV169">
        <v>2</v>
      </c>
      <c r="AW169" t="s">
        <v>2768</v>
      </c>
      <c r="AX169">
        <v>2</v>
      </c>
      <c r="AY169" t="s">
        <v>2776</v>
      </c>
      <c r="AZ169">
        <v>2</v>
      </c>
      <c r="BA169" t="s">
        <v>2768</v>
      </c>
      <c r="BB169">
        <v>2</v>
      </c>
      <c r="BC169" t="s">
        <v>3013</v>
      </c>
      <c r="BD169">
        <v>2</v>
      </c>
      <c r="BE169" t="s">
        <v>2722</v>
      </c>
      <c r="BF169">
        <v>2</v>
      </c>
      <c r="BG169" t="s">
        <v>2776</v>
      </c>
      <c r="BH169">
        <v>2</v>
      </c>
      <c r="BI169" t="s">
        <v>2768</v>
      </c>
      <c r="BJ169">
        <v>2</v>
      </c>
      <c r="BK169" s="176" t="s">
        <v>3019</v>
      </c>
      <c r="BL169">
        <v>2</v>
      </c>
      <c r="BM169" t="s">
        <v>2768</v>
      </c>
      <c r="BN169">
        <v>2</v>
      </c>
      <c r="BO169" t="s">
        <v>2776</v>
      </c>
      <c r="BP169">
        <v>2</v>
      </c>
      <c r="BQ169" t="s">
        <v>2768</v>
      </c>
      <c r="BR169">
        <v>2</v>
      </c>
      <c r="BS169" s="182" t="s">
        <v>3084</v>
      </c>
      <c r="BT169">
        <v>2</v>
      </c>
      <c r="BU169" t="s">
        <v>2768</v>
      </c>
      <c r="BV169">
        <v>2</v>
      </c>
      <c r="BW169" s="179" t="s">
        <v>2768</v>
      </c>
      <c r="BX169" s="179">
        <v>1</v>
      </c>
      <c r="BY169" s="176" t="s">
        <v>2768</v>
      </c>
      <c r="BZ169">
        <v>2</v>
      </c>
      <c r="CA169" t="s">
        <v>2768</v>
      </c>
      <c r="CB169">
        <v>2</v>
      </c>
    </row>
    <row r="170" spans="1:80">
      <c r="A170" s="178" t="str">
        <f ca="1">IFERROR(IF(A169+加速!$L$11&lt;$AS$1,IF(COUNTIF(B169,"*轻*")&gt;0,A169+加速!$L$9,A169+加速!$L$11)+V169,IF(COUNTIF(INDEX(AU170:CB170,1,$AT$1),"*云景*")+COUNTIF(INDEX(AU170:CB170,1,$AT$1),"*鹤归*")+COUNTIF(INDEX(AU170:CB170,1,$AT$1),"*听雷*")&gt;0,A169+加速!$L$11,"")),"")</f>
        <v/>
      </c>
      <c r="B170" s="167" t="str">
        <f ca="1">IF(A170&lt;&gt;"",IF(AND(A170+加速!$L$11&gt;$AS$1,IF(AND(配装计算器!$K$30&lt;&gt;"∞",0),"梦泉虎跑-轻",INDEX(AU170:CB170,1,$AT$1))="云栖松"),"夕照雷峰",IF(AND(配装计算器!$K$30&lt;&gt;"∞",0),"梦泉虎跑-轻",INDEX(AU170:CB170,1,$AT$1))),"")</f>
        <v/>
      </c>
      <c r="C170" t="str">
        <f ca="1" t="shared" si="30"/>
        <v/>
      </c>
      <c r="D170" t="str">
        <f ca="1">IF(B170&lt;&gt;"",IF(C169&lt;=加速!$L$11*(1-E170),0,1),"")</f>
        <v/>
      </c>
      <c r="E170">
        <f ca="1" t="shared" si="26"/>
        <v>1</v>
      </c>
      <c r="G170" t="str">
        <f ca="1" t="shared" si="27"/>
        <v/>
      </c>
      <c r="H170" t="str">
        <f ca="1">IF(B170&lt;&gt;"",IF(AND(COUNTIF(B169,"*轻*莺鸣柳*")&gt;0,COUNTIF(B170,"*轻*")&lt;1),MAX(0,15+I169-(A170-A169)+COUNTIF(B169,"*平湖*")*0),IF(AND(E170=0,MAX(0,H169-(A170-A169))&lt;=加速!$H$11),0,MAX(0,H169-(A170-A169)))),"")</f>
        <v/>
      </c>
      <c r="I170" t="str">
        <f ca="1" t="shared" si="33"/>
        <v/>
      </c>
      <c r="J170" t="str">
        <f ca="1" t="shared" si="34"/>
        <v/>
      </c>
      <c r="K170" t="str">
        <f ca="1">IF(A170&lt;&gt;"",IF(AND(配装计算器!$K$30&lt;&gt;"∞",0),2,INDEX(AU170:CB170,1,$AT$2)),"")</f>
        <v/>
      </c>
      <c r="L170">
        <f ca="1">IFERROR(IF(AND(COUNTIF(B170,"*-峰插*"),技能数据库!$M$72&gt;0),0,IF(COUNTIF(B170,"*鹤归*")&gt;0,16-加速!$L$11,MAX(0,L169-(A170-A169)))),0)</f>
        <v>0</v>
      </c>
      <c r="M170">
        <f ca="1">IF(COUNTIF(IF(AND(配装计算器!$K$30&lt;&gt;"∞",0),INDEX(AU169:CB169,1,$AT$1),INDEX(AU171:CB171,1,$AT$1)),"*鹤归*")=1,L170,0)</f>
        <v>0</v>
      </c>
      <c r="N170">
        <f ca="1">IFERROR(IF(AND(COUNTIF(B170,"*-峰插*"),技能数据库!$M$72&gt;0),0,IF(COUNTIF(B170,"*云飞*")&gt;0,4-COUNTIF(B170,"*玉山揽云*")*4--COUNTIF(B170,"*烟流暮景*")*4-COUNTIF(B170,"*云景*")*加速!$L$11-IF(J170&gt;0,2,0),MAX(0,N169-(A170-A169)-IF(J170&gt;0,2,0)))),0)</f>
        <v>0</v>
      </c>
      <c r="O170">
        <f ca="1">IF(AND(COUNTIF(IF(AND(配装计算器!$K$30&lt;&gt;"∞",0),INDEX(AU169:CB169,1,$AT$1),INDEX(AU171:CB171,1,$AT$1)),"*云飞*")=1,COUNTIF(IF(AND(配装计算器!$K$30&lt;&gt;"∞",0),INDEX(AU169:CB169,1,$AT$1),INDEX(AU171:CB171,1,$AT$1)),"*玉山*")=0),N170,0)</f>
        <v>0</v>
      </c>
      <c r="P170">
        <f ca="1">IFERROR(IF(COUNTIF(B170,"*云栖松*")&gt;0,50-加速!$L$11,MAX(0,P169-(A170-A169))),0)</f>
        <v>0</v>
      </c>
      <c r="Q170">
        <f ca="1">IF(COUNTIF(IF(AND(配装计算器!$K$30&lt;&gt;"∞",0),INDEX(AU169:CB169,1,$AT$1),INDEX(AU171:CB171,1,$AT$1)),"*云栖松*")=1,P170,0)</f>
        <v>0</v>
      </c>
      <c r="R170">
        <f ca="1">IFERROR(IF(COUNTIF(B170,"*莺鸣柳*")&gt;0,45-加速!$L$9,MAX(0,R169-(A170-A169))),0)</f>
        <v>0</v>
      </c>
      <c r="S170">
        <f ca="1">IF(COUNTIF(IF(AND(配装计算器!$K$30&lt;&gt;"∞",0),INDEX(AU169:CB169,1,$AT$1),INDEX(AU171:CB171,1,$AT$1)),"*莺鸣柳*")=1,R170,0)</f>
        <v>0</v>
      </c>
      <c r="T170">
        <f ca="1" t="shared" si="31"/>
        <v>0</v>
      </c>
      <c r="U170">
        <f ca="1">IF(金蛇,IF(COUNTIF(B170,"*金环戴*")+COUNTIF(B170,"*吹风醒*")&gt;0,IF(A170&lt;=3,7.125-2.625-A170-加速!$L$11,7.125+加速!$K$9-(A170+加速!$L$11-T170)),0),0)+IF(金蛇,IF(COUNTIF(B170,"*千切子裂光*")&gt;0,2+加速!$K$9-(A170+加速!$L$11-T170),0),0)</f>
        <v>0</v>
      </c>
      <c r="V170">
        <f ca="1" t="shared" si="32"/>
        <v>0</v>
      </c>
      <c r="W170">
        <f ca="1" t="shared" si="24"/>
        <v>0</v>
      </c>
      <c r="X170">
        <f ca="1">INDEX(加速!$I$13:$I$21,技能数计算!W170+1)</f>
        <v>0</v>
      </c>
      <c r="Y170">
        <f ca="1" t="shared" si="28"/>
        <v>0.5</v>
      </c>
      <c r="Z170">
        <f ca="1" t="shared" si="29"/>
        <v>0</v>
      </c>
      <c r="AA170">
        <f ca="1">MAX(0,IFERROR(IF(COUNTIF(B170,"*叠*")&gt;0,IF(AC169&lt;3,8-A171+A170,AA169+6.875-A171+A170),AA169-A171+A170),AA169-加速!$L$11))</f>
        <v>0</v>
      </c>
      <c r="AB170" t="e">
        <f ca="1">MAX(0,IF(COUNTIF(IF(AND(配装计算器!$K$30&lt;&gt;"∞",0),INDEX(AU170:CB170,1,$AT$1),INDEX(AU170:CB170,1,$AT$1)),"*叠1*")=1,4*25-加速!$L$11,AB169-A170+A169)-IF(OR(COUNTIF(OFFSET(AT170,0,$AT$1,1,1),"*听雷*")&gt;0,AND(碧归&gt;0,COUNTIF(OFFSET(AT170,0,$AT$1,1,1),"*风来*")&gt;0)),0,1)*1.5)</f>
        <v>#VALUE!</v>
      </c>
      <c r="AC170">
        <f ca="1" t="shared" si="25"/>
        <v>3</v>
      </c>
      <c r="AD170">
        <f ca="1">IF(COUNTIF(IF(AND(配装计算器!$K$30&lt;&gt;"∞",0),INDEX(AU170:CB170,1,$AT$1),INDEX(AU171:CB171,1,$AT$1)),"*叠1*")=1,AB170*0+AE169,0)</f>
        <v>0</v>
      </c>
      <c r="AE170" t="e">
        <f ca="1">IF($AN$11&gt;0,IF(COUNTIF(B171,"*叠1*")&gt;0,50-加速!$H$11,MAX(0,AE169-(A171-A170))),0)</f>
        <v>#VALUE!</v>
      </c>
      <c r="AH170" t="s">
        <v>1825</v>
      </c>
      <c r="AI170" s="161" t="s">
        <v>2789</v>
      </c>
      <c r="AJ170">
        <f ca="1">SUMIFS($X$4:$X$515,$D$4:$D$515,"&gt;0",$AC$4:$AC$515,"=2")</f>
        <v>3</v>
      </c>
      <c r="AK170" t="s">
        <v>3109</v>
      </c>
      <c r="AU170" t="str">
        <f>IF($AN$11=1,橙武补雾锁,"夕照雷峰")</f>
        <v>云飞玉皇-玉山揽云</v>
      </c>
      <c r="AV170">
        <v>2</v>
      </c>
      <c r="AW170" t="s">
        <v>2776</v>
      </c>
      <c r="AX170">
        <v>2</v>
      </c>
      <c r="AY170" t="s">
        <v>2768</v>
      </c>
      <c r="AZ170">
        <v>2</v>
      </c>
      <c r="BA170" t="s">
        <v>2776</v>
      </c>
      <c r="BB170">
        <v>2</v>
      </c>
      <c r="BC170" t="s">
        <v>2808</v>
      </c>
      <c r="BD170">
        <v>2</v>
      </c>
      <c r="BE170" t="s">
        <v>2768</v>
      </c>
      <c r="BF170">
        <v>2</v>
      </c>
      <c r="BG170" t="s">
        <v>2768</v>
      </c>
      <c r="BH170">
        <v>2</v>
      </c>
      <c r="BI170" t="s">
        <v>2808</v>
      </c>
      <c r="BJ170">
        <v>2</v>
      </c>
      <c r="BK170" s="176" t="s">
        <v>2768</v>
      </c>
      <c r="BL170">
        <v>2</v>
      </c>
      <c r="BM170" t="s">
        <v>2776</v>
      </c>
      <c r="BN170">
        <v>2</v>
      </c>
      <c r="BO170" t="s">
        <v>2768</v>
      </c>
      <c r="BP170">
        <v>1</v>
      </c>
      <c r="BQ170" t="s">
        <v>2768</v>
      </c>
      <c r="BR170">
        <v>2</v>
      </c>
      <c r="BS170" s="176" t="s">
        <v>2768</v>
      </c>
      <c r="BT170">
        <v>2</v>
      </c>
      <c r="BU170" t="s">
        <v>2808</v>
      </c>
      <c r="BV170">
        <v>2</v>
      </c>
      <c r="BW170" s="179" t="s">
        <v>2776</v>
      </c>
      <c r="BX170" s="179">
        <v>1</v>
      </c>
      <c r="BY170" s="176" t="s">
        <v>2776</v>
      </c>
      <c r="BZ170">
        <v>2</v>
      </c>
      <c r="CA170" t="s">
        <v>2776</v>
      </c>
      <c r="CB170">
        <v>2</v>
      </c>
    </row>
    <row r="171" spans="1:80">
      <c r="A171" s="178" t="str">
        <f ca="1">IFERROR(IF(A170+加速!$L$11&lt;$AS$1,IF(COUNTIF(B170,"*轻*")&gt;0,A170+加速!$L$9,A170+加速!$L$11)+V170,IF(COUNTIF(INDEX(AU171:CB171,1,$AT$1),"*云景*")+COUNTIF(INDEX(AU171:CB171,1,$AT$1),"*鹤归*")+COUNTIF(INDEX(AU171:CB171,1,$AT$1),"*听雷*")&gt;0,A170+加速!$L$11,"")),"")</f>
        <v/>
      </c>
      <c r="B171" s="167" t="str">
        <f ca="1">IF(A171&lt;&gt;"",IF(AND(A171+加速!$L$11&gt;$AS$1,IF(AND(配装计算器!$K$30&lt;&gt;"∞",0),"梦泉虎跑-轻",INDEX(AU171:CB171,1,$AT$1))="云栖松"),"夕照雷峰",IF(AND(配装计算器!$K$30&lt;&gt;"∞",0),"梦泉虎跑-轻",INDEX(AU171:CB171,1,$AT$1))),"")</f>
        <v/>
      </c>
      <c r="C171" t="str">
        <f ca="1" t="shared" si="30"/>
        <v/>
      </c>
      <c r="D171" t="str">
        <f ca="1">IF(B171&lt;&gt;"",IF(C170&lt;=加速!$L$11*(1-E171),0,1),"")</f>
        <v/>
      </c>
      <c r="E171">
        <f ca="1" t="shared" si="26"/>
        <v>1</v>
      </c>
      <c r="G171" t="str">
        <f ca="1" t="shared" si="27"/>
        <v/>
      </c>
      <c r="H171" t="str">
        <f ca="1">IF(B171&lt;&gt;"",IF(AND(COUNTIF(B170,"*轻*莺鸣柳*")&gt;0,COUNTIF(B171,"*轻*")&lt;1),MAX(0,15+I170-(A171-A170)+COUNTIF(B170,"*平湖*")*0),IF(AND(E171=0,MAX(0,H170-(A171-A170))&lt;=加速!$H$11),0,MAX(0,H170-(A171-A170)))),"")</f>
        <v/>
      </c>
      <c r="I171" t="str">
        <f ca="1" t="shared" si="33"/>
        <v/>
      </c>
      <c r="J171" t="str">
        <f ca="1" t="shared" si="34"/>
        <v/>
      </c>
      <c r="K171" t="str">
        <f ca="1">IF(A171&lt;&gt;"",IF(AND(配装计算器!$K$30&lt;&gt;"∞",0),2,INDEX(AU171:CB171,1,$AT$2)),"")</f>
        <v/>
      </c>
      <c r="L171">
        <f ca="1">IFERROR(IF(AND(COUNTIF(B171,"*-峰插*"),技能数据库!$M$72&gt;0),0,IF(COUNTIF(B171,"*鹤归*")&gt;0,16-加速!$L$11,MAX(0,L170-(A171-A170)))),0)</f>
        <v>0</v>
      </c>
      <c r="M171">
        <f ca="1">IF(COUNTIF(IF(AND(配装计算器!$K$30&lt;&gt;"∞",0),INDEX(AU170:CB170,1,$AT$1),INDEX(AU172:CB172,1,$AT$1)),"*鹤归*")=1,L171,0)</f>
        <v>0</v>
      </c>
      <c r="N171">
        <f ca="1">IFERROR(IF(AND(COUNTIF(B171,"*-峰插*"),技能数据库!$M$72&gt;0),0,IF(COUNTIF(B171,"*云飞*")&gt;0,4-COUNTIF(B171,"*玉山揽云*")*4--COUNTIF(B171,"*烟流暮景*")*4-COUNTIF(B171,"*云景*")*加速!$L$11-IF(J171&gt;0,2,0),MAX(0,N170-(A171-A170)-IF(J171&gt;0,2,0)))),0)</f>
        <v>0</v>
      </c>
      <c r="O171">
        <f ca="1">IF(AND(COUNTIF(IF(AND(配装计算器!$K$30&lt;&gt;"∞",0),INDEX(AU170:CB170,1,$AT$1),INDEX(AU172:CB172,1,$AT$1)),"*云飞*")=1,COUNTIF(IF(AND(配装计算器!$K$30&lt;&gt;"∞",0),INDEX(AU170:CB170,1,$AT$1),INDEX(AU172:CB172,1,$AT$1)),"*玉山*")=0),N171,0)</f>
        <v>0</v>
      </c>
      <c r="P171">
        <f ca="1">IFERROR(IF(COUNTIF(B171,"*云栖松*")&gt;0,50-加速!$L$11,MAX(0,P170-(A171-A170))),0)</f>
        <v>0</v>
      </c>
      <c r="Q171">
        <f ca="1">IF(COUNTIF(IF(AND(配装计算器!$K$30&lt;&gt;"∞",0),INDEX(AU170:CB170,1,$AT$1),INDEX(AU172:CB172,1,$AT$1)),"*云栖松*")=1,P171,0)</f>
        <v>0</v>
      </c>
      <c r="R171">
        <f ca="1">IFERROR(IF(COUNTIF(B171,"*莺鸣柳*")&gt;0,45-加速!$L$9,MAX(0,R170-(A171-A170))),0)</f>
        <v>0</v>
      </c>
      <c r="S171">
        <f ca="1">IF(COUNTIF(IF(AND(配装计算器!$K$30&lt;&gt;"∞",0),INDEX(AU170:CB170,1,$AT$1),INDEX(AU172:CB172,1,$AT$1)),"*莺鸣柳*")=1,R171,0)</f>
        <v>0</v>
      </c>
      <c r="T171">
        <f ca="1" t="shared" si="31"/>
        <v>0</v>
      </c>
      <c r="U171">
        <f ca="1">IF(金蛇,IF(COUNTIF(B171,"*金环戴*")+COUNTIF(B171,"*吹风醒*")&gt;0,IF(A171&lt;=3,7.125-2.625-A171-加速!$L$11,7.125+加速!$K$9-(A171+加速!$L$11-T171)),0),0)+IF(金蛇,IF(COUNTIF(B171,"*千切子裂光*")&gt;0,2+加速!$K$9-(A171+加速!$L$11-T171),0),0)</f>
        <v>0</v>
      </c>
      <c r="V171">
        <f ca="1" t="shared" si="32"/>
        <v>0</v>
      </c>
      <c r="W171">
        <f ca="1" t="shared" si="24"/>
        <v>0</v>
      </c>
      <c r="X171">
        <f ca="1">INDEX(加速!$I$13:$I$21,技能数计算!W171+1)</f>
        <v>0</v>
      </c>
      <c r="Y171">
        <f ca="1" t="shared" si="28"/>
        <v>0.5</v>
      </c>
      <c r="Z171">
        <f ca="1" t="shared" si="29"/>
        <v>0</v>
      </c>
      <c r="AA171">
        <f ca="1">MAX(0,IFERROR(IF(COUNTIF(B171,"*叠*")&gt;0,IF(AC170&lt;3,8-A172+A171,AA170+6.875-A172+A171),AA170-A172+A171),AA170-加速!$L$11))</f>
        <v>0</v>
      </c>
      <c r="AB171" t="e">
        <f ca="1">MAX(0,IF(COUNTIF(IF(AND(配装计算器!$K$30&lt;&gt;"∞",0),INDEX(AU171:CB171,1,$AT$1),INDEX(AU171:CB171,1,$AT$1)),"*叠1*")=1,4*25-加速!$L$11,AB170-A171+A170)-IF(OR(COUNTIF(OFFSET(AT171,0,$AT$1,1,1),"*听雷*")&gt;0,AND(碧归&gt;0,COUNTIF(OFFSET(AT171,0,$AT$1,1,1),"*风来*")&gt;0)),0,1)*1.5)</f>
        <v>#VALUE!</v>
      </c>
      <c r="AC171">
        <f ca="1" t="shared" si="25"/>
        <v>3</v>
      </c>
      <c r="AD171">
        <f ca="1">IF(COUNTIF(IF(AND(配装计算器!$K$30&lt;&gt;"∞",0),INDEX(AU171:CB171,1,$AT$1),INDEX(AU172:CB172,1,$AT$1)),"*叠1*")=1,AB171*0+AE170,0)</f>
        <v>0</v>
      </c>
      <c r="AE171" t="e">
        <f ca="1">IF($AN$11&gt;0,IF(COUNTIF(B172,"*叠1*")&gt;0,50-加速!$H$11,MAX(0,AE170-(A172-A171))),0)</f>
        <v>#VALUE!</v>
      </c>
      <c r="AH171" t="s">
        <v>1825</v>
      </c>
      <c r="AI171" s="161" t="s">
        <v>2789</v>
      </c>
      <c r="AJ171">
        <f ca="1">SUMIFS($X$4:$X$515,$D$4:$D$515,"&gt;0",$AC$4:$AC$515,"=3")</f>
        <v>40</v>
      </c>
      <c r="AK171" t="s">
        <v>3110</v>
      </c>
      <c r="AU171" t="str">
        <f>IF($AN$11=1,"云飞玉皇-玉山揽云","夕照雷峰")</f>
        <v>云飞玉皇-玉山揽云</v>
      </c>
      <c r="AV171">
        <v>2</v>
      </c>
      <c r="AW171" t="s">
        <v>2768</v>
      </c>
      <c r="AX171">
        <v>2</v>
      </c>
      <c r="AY171" t="s">
        <v>2776</v>
      </c>
      <c r="AZ171">
        <v>2</v>
      </c>
      <c r="BA171" t="s">
        <v>2768</v>
      </c>
      <c r="BB171">
        <v>2</v>
      </c>
      <c r="BC171" t="s">
        <v>2768</v>
      </c>
      <c r="BD171">
        <v>2</v>
      </c>
      <c r="BE171" t="s">
        <v>2776</v>
      </c>
      <c r="BF171">
        <v>2</v>
      </c>
      <c r="BG171" t="s">
        <v>2776</v>
      </c>
      <c r="BH171">
        <v>2</v>
      </c>
      <c r="BI171" s="176" t="s">
        <v>2768</v>
      </c>
      <c r="BJ171">
        <v>2</v>
      </c>
      <c r="BK171" s="176" t="s">
        <v>3023</v>
      </c>
      <c r="BL171">
        <v>2</v>
      </c>
      <c r="BM171" t="s">
        <v>2768</v>
      </c>
      <c r="BN171">
        <v>2</v>
      </c>
      <c r="BO171" t="s">
        <v>2722</v>
      </c>
      <c r="BP171">
        <v>0</v>
      </c>
      <c r="BQ171" t="s">
        <v>2776</v>
      </c>
      <c r="BR171">
        <v>1</v>
      </c>
      <c r="BS171" s="176" t="s">
        <v>2768</v>
      </c>
      <c r="BT171">
        <v>2</v>
      </c>
      <c r="BU171" t="s">
        <v>2768</v>
      </c>
      <c r="BV171">
        <v>2</v>
      </c>
      <c r="BW171" s="179" t="s">
        <v>2768</v>
      </c>
      <c r="BX171" s="179">
        <v>1</v>
      </c>
      <c r="BY171" s="176" t="s">
        <v>2768</v>
      </c>
      <c r="BZ171">
        <v>1</v>
      </c>
      <c r="CA171" t="s">
        <v>2718</v>
      </c>
      <c r="CB171">
        <v>0</v>
      </c>
    </row>
    <row r="172" spans="1:80">
      <c r="A172" s="178" t="str">
        <f ca="1">IFERROR(IF(A171+加速!$L$11&lt;$AS$1,IF(COUNTIF(B171,"*轻*")&gt;0,A171+加速!$L$9,A171+加速!$L$11)+V171,IF(COUNTIF(INDEX(AU172:CB172,1,$AT$1),"*云景*")+COUNTIF(INDEX(AU172:CB172,1,$AT$1),"*鹤归*")+COUNTIF(INDEX(AU172:CB172,1,$AT$1),"*听雷*")&gt;0,A171+加速!$L$11,"")),"")</f>
        <v/>
      </c>
      <c r="B172" s="167" t="str">
        <f ca="1">IF(A172&lt;&gt;"",IF(AND(A172+加速!$L$11&gt;$AS$1,IF(AND(配装计算器!$K$30&lt;&gt;"∞",0),"梦泉虎跑-轻",INDEX(AU172:CB172,1,$AT$1))="云栖松"),"夕照雷峰",IF(AND(配装计算器!$K$30&lt;&gt;"∞",0),"梦泉虎跑-轻",INDEX(AU172:CB172,1,$AT$1))),"")</f>
        <v/>
      </c>
      <c r="C172" t="str">
        <f ca="1" t="shared" si="30"/>
        <v/>
      </c>
      <c r="D172" t="str">
        <f ca="1">IF(B172&lt;&gt;"",IF(C171&lt;=加速!$L$11*(1-E172),0,1),"")</f>
        <v/>
      </c>
      <c r="E172">
        <f ca="1" t="shared" si="26"/>
        <v>1</v>
      </c>
      <c r="G172" t="str">
        <f ca="1" t="shared" si="27"/>
        <v/>
      </c>
      <c r="H172" t="str">
        <f ca="1">IF(B172&lt;&gt;"",IF(AND(COUNTIF(B171,"*轻*莺鸣柳*")&gt;0,COUNTIF(B172,"*轻*")&lt;1),MAX(0,15+I171-(A172-A171)+COUNTIF(B171,"*平湖*")*0),IF(AND(E172=0,MAX(0,H171-(A172-A171))&lt;=加速!$H$11),0,MAX(0,H171-(A172-A171)))),"")</f>
        <v/>
      </c>
      <c r="I172" t="str">
        <f ca="1" t="shared" si="33"/>
        <v/>
      </c>
      <c r="J172" t="str">
        <f ca="1" t="shared" si="34"/>
        <v/>
      </c>
      <c r="K172" t="str">
        <f ca="1">IF(A172&lt;&gt;"",IF(AND(配装计算器!$K$30&lt;&gt;"∞",0),2,INDEX(AU172:CB172,1,$AT$2)),"")</f>
        <v/>
      </c>
      <c r="L172">
        <f ca="1">IFERROR(IF(AND(COUNTIF(B172,"*-峰插*"),技能数据库!$M$72&gt;0),0,IF(COUNTIF(B172,"*鹤归*")&gt;0,16-加速!$L$11,MAX(0,L171-(A172-A171)))),0)</f>
        <v>0</v>
      </c>
      <c r="M172">
        <f ca="1">IF(COUNTIF(IF(AND(配装计算器!$K$30&lt;&gt;"∞",0),INDEX(AU171:CB171,1,$AT$1),INDEX(AU173:CB173,1,$AT$1)),"*鹤归*")=1,L172,0)</f>
        <v>0</v>
      </c>
      <c r="N172">
        <f ca="1">IFERROR(IF(AND(COUNTIF(B172,"*-峰插*"),技能数据库!$M$72&gt;0),0,IF(COUNTIF(B172,"*云飞*")&gt;0,4-COUNTIF(B172,"*玉山揽云*")*4--COUNTIF(B172,"*烟流暮景*")*4-COUNTIF(B172,"*云景*")*加速!$L$11-IF(J172&gt;0,2,0),MAX(0,N171-(A172-A171)-IF(J172&gt;0,2,0)))),0)</f>
        <v>0</v>
      </c>
      <c r="O172">
        <f ca="1">IF(AND(COUNTIF(IF(AND(配装计算器!$K$30&lt;&gt;"∞",0),INDEX(AU171:CB171,1,$AT$1),INDEX(AU173:CB173,1,$AT$1)),"*云飞*")=1,COUNTIF(IF(AND(配装计算器!$K$30&lt;&gt;"∞",0),INDEX(AU171:CB171,1,$AT$1),INDEX(AU173:CB173,1,$AT$1)),"*玉山*")=0),N172,0)</f>
        <v>0</v>
      </c>
      <c r="P172">
        <f ca="1">IFERROR(IF(COUNTIF(B172,"*云栖松*")&gt;0,50-加速!$L$11,MAX(0,P171-(A172-A171))),0)</f>
        <v>0</v>
      </c>
      <c r="Q172">
        <f ca="1">IF(COUNTIF(IF(AND(配装计算器!$K$30&lt;&gt;"∞",0),INDEX(AU171:CB171,1,$AT$1),INDEX(AU173:CB173,1,$AT$1)),"*云栖松*")=1,P172,0)</f>
        <v>0</v>
      </c>
      <c r="R172">
        <f ca="1">IFERROR(IF(COUNTIF(B172,"*莺鸣柳*")&gt;0,45-加速!$L$9,MAX(0,R171-(A172-A171))),0)</f>
        <v>0</v>
      </c>
      <c r="S172">
        <f ca="1">IF(COUNTIF(IF(AND(配装计算器!$K$30&lt;&gt;"∞",0),INDEX(AU171:CB171,1,$AT$1),INDEX(AU173:CB173,1,$AT$1)),"*莺鸣柳*")=1,R172,0)</f>
        <v>0</v>
      </c>
      <c r="T172">
        <f ca="1" t="shared" si="31"/>
        <v>0</v>
      </c>
      <c r="U172">
        <f ca="1">IF(金蛇,IF(COUNTIF(B172,"*金环戴*")+COUNTIF(B172,"*吹风醒*")&gt;0,IF(A172&lt;=3,7.125-2.625-A172-加速!$L$11,7.125+加速!$K$9-(A172+加速!$L$11-T172)),0),0)+IF(金蛇,IF(COUNTIF(B172,"*千切子裂光*")&gt;0,2+加速!$K$9-(A172+加速!$L$11-T172),0),0)</f>
        <v>0</v>
      </c>
      <c r="V172">
        <f ca="1" t="shared" si="32"/>
        <v>0</v>
      </c>
      <c r="W172">
        <f ca="1" t="shared" si="24"/>
        <v>0</v>
      </c>
      <c r="X172">
        <f ca="1">INDEX(加速!$I$13:$I$21,技能数计算!W172+1)</f>
        <v>0</v>
      </c>
      <c r="Y172">
        <f ca="1" t="shared" si="28"/>
        <v>0.5</v>
      </c>
      <c r="Z172">
        <f ca="1" t="shared" si="29"/>
        <v>0</v>
      </c>
      <c r="AA172">
        <f ca="1">MAX(0,IFERROR(IF(COUNTIF(B172,"*叠*")&gt;0,IF(AC171&lt;3,8-A173+A172,AA171+6.875-A173+A172),AA171-A173+A172),AA171-加速!$L$11))</f>
        <v>0</v>
      </c>
      <c r="AB172" t="e">
        <f ca="1">MAX(0,IF(COUNTIF(IF(AND(配装计算器!$K$30&lt;&gt;"∞",0),INDEX(AU172:CB172,1,$AT$1),INDEX(AU172:CB172,1,$AT$1)),"*叠1*")=1,4*25-加速!$L$11,AB171-A172+A171)-IF(OR(COUNTIF(OFFSET(AT172,0,$AT$1,1,1),"*听雷*")&gt;0,AND(碧归&gt;0,COUNTIF(OFFSET(AT172,0,$AT$1,1,1),"*风来*")&gt;0)),0,1)*1.5)</f>
        <v>#VALUE!</v>
      </c>
      <c r="AC172">
        <f ca="1" t="shared" si="25"/>
        <v>3</v>
      </c>
      <c r="AD172">
        <f ca="1">IF(COUNTIF(IF(AND(配装计算器!$K$30&lt;&gt;"∞",0),INDEX(AU172:CB172,1,$AT$1),INDEX(AU173:CB173,1,$AT$1)),"*叠1*")=1,AB172*0+AE171,0)</f>
        <v>0</v>
      </c>
      <c r="AE172" t="e">
        <f ca="1">IF($AN$11&gt;0,IF(COUNTIF(B173,"*叠1*")&gt;0,50-加速!$H$11,MAX(0,AE171-(A173-A172))),0)</f>
        <v>#VALUE!</v>
      </c>
      <c r="AH172" t="s">
        <v>1825</v>
      </c>
      <c r="AI172" t="s">
        <v>2786</v>
      </c>
      <c r="AJ172">
        <f ca="1">AJ139+AJ189</f>
        <v>5</v>
      </c>
      <c r="AK172" t="s">
        <v>3108</v>
      </c>
      <c r="AU172" t="s">
        <v>2776</v>
      </c>
      <c r="AV172">
        <v>2</v>
      </c>
      <c r="AW172" t="s">
        <v>2722</v>
      </c>
      <c r="AX172">
        <v>0</v>
      </c>
      <c r="AY172" t="s">
        <v>2768</v>
      </c>
      <c r="AZ172">
        <v>2</v>
      </c>
      <c r="BA172" t="s">
        <v>2776</v>
      </c>
      <c r="BB172">
        <v>1</v>
      </c>
      <c r="BC172" t="s">
        <v>2768</v>
      </c>
      <c r="BD172">
        <v>2</v>
      </c>
      <c r="BE172" t="s">
        <v>2794</v>
      </c>
      <c r="BF172">
        <v>1</v>
      </c>
      <c r="BG172" t="s">
        <v>2768</v>
      </c>
      <c r="BH172">
        <v>1</v>
      </c>
      <c r="BI172" s="176" t="s">
        <v>2776</v>
      </c>
      <c r="BJ172">
        <v>2</v>
      </c>
      <c r="BK172" s="176" t="s">
        <v>2768</v>
      </c>
      <c r="BL172">
        <v>2</v>
      </c>
      <c r="BM172" t="s">
        <v>2768</v>
      </c>
      <c r="BN172">
        <v>2</v>
      </c>
      <c r="BO172" t="s">
        <v>3009</v>
      </c>
      <c r="BP172">
        <v>2</v>
      </c>
      <c r="BQ172" t="s">
        <v>3055</v>
      </c>
      <c r="BR172">
        <v>2</v>
      </c>
      <c r="BS172" s="176" t="s">
        <v>2768</v>
      </c>
      <c r="BT172">
        <v>2</v>
      </c>
      <c r="BU172" s="176" t="s">
        <v>2768</v>
      </c>
      <c r="BV172">
        <v>2</v>
      </c>
      <c r="BW172" s="182" t="s">
        <v>2722</v>
      </c>
      <c r="BX172" s="179">
        <v>0</v>
      </c>
      <c r="BY172" s="176" t="s">
        <v>2776</v>
      </c>
      <c r="BZ172">
        <v>1</v>
      </c>
      <c r="CA172" t="s">
        <v>2768</v>
      </c>
      <c r="CB172">
        <v>2</v>
      </c>
    </row>
    <row r="173" spans="1:80">
      <c r="A173" s="178" t="str">
        <f ca="1">IFERROR(IF(A172+加速!$L$11&lt;$AS$1,IF(COUNTIF(B172,"*轻*")&gt;0,A172+加速!$L$9,A172+加速!$L$11)+V172,IF(COUNTIF(INDEX(AU173:CB173,1,$AT$1),"*云景*")+COUNTIF(INDEX(AU173:CB173,1,$AT$1),"*鹤归*")+COUNTIF(INDEX(AU173:CB173,1,$AT$1),"*听雷*")&gt;0,A172+加速!$L$11,"")),"")</f>
        <v/>
      </c>
      <c r="B173" s="167" t="str">
        <f ca="1">IF(A173&lt;&gt;"",IF(AND(A173+加速!$L$11&gt;$AS$1,IF(AND(配装计算器!$K$30&lt;&gt;"∞",0),"梦泉虎跑-轻",INDEX(AU173:CB173,1,$AT$1))="云栖松"),"夕照雷峰",IF(AND(配装计算器!$K$30&lt;&gt;"∞",0),"梦泉虎跑-轻",INDEX(AU173:CB173,1,$AT$1))),"")</f>
        <v/>
      </c>
      <c r="C173" t="str">
        <f ca="1" t="shared" si="30"/>
        <v/>
      </c>
      <c r="D173" t="str">
        <f ca="1">IF(B173&lt;&gt;"",IF(C172&lt;=加速!$L$11*(1-E173),0,1),"")</f>
        <v/>
      </c>
      <c r="E173">
        <f ca="1" t="shared" si="26"/>
        <v>1</v>
      </c>
      <c r="G173" t="str">
        <f ca="1" t="shared" si="27"/>
        <v/>
      </c>
      <c r="H173" t="str">
        <f ca="1">IF(B173&lt;&gt;"",IF(AND(COUNTIF(B172,"*轻*莺鸣柳*")&gt;0,COUNTIF(B173,"*轻*")&lt;1),MAX(0,15+I172-(A173-A172)+COUNTIF(B172,"*平湖*")*0),IF(AND(E173=0,MAX(0,H172-(A173-A172))&lt;=加速!$H$11),0,MAX(0,H172-(A173-A172)))),"")</f>
        <v/>
      </c>
      <c r="I173" t="str">
        <f ca="1" t="shared" si="33"/>
        <v/>
      </c>
      <c r="J173" t="str">
        <f ca="1" t="shared" si="34"/>
        <v/>
      </c>
      <c r="K173" t="str">
        <f ca="1">IF(A173&lt;&gt;"",IF(AND(配装计算器!$K$30&lt;&gt;"∞",0),2,INDEX(AU173:CB173,1,$AT$2)),"")</f>
        <v/>
      </c>
      <c r="L173">
        <f ca="1">IFERROR(IF(AND(COUNTIF(B173,"*-峰插*"),技能数据库!$M$72&gt;0),0,IF(COUNTIF(B173,"*鹤归*")&gt;0,16-加速!$L$11,MAX(0,L172-(A173-A172)))),0)</f>
        <v>0</v>
      </c>
      <c r="M173">
        <f ca="1">IF(COUNTIF(IF(AND(配装计算器!$K$30&lt;&gt;"∞",0),INDEX(AU172:CB172,1,$AT$1),INDEX(AU174:CB174,1,$AT$1)),"*鹤归*")=1,L173,0)</f>
        <v>0</v>
      </c>
      <c r="N173">
        <f ca="1">IFERROR(IF(AND(COUNTIF(B173,"*-峰插*"),技能数据库!$M$72&gt;0),0,IF(COUNTIF(B173,"*云飞*")&gt;0,4-COUNTIF(B173,"*玉山揽云*")*4--COUNTIF(B173,"*烟流暮景*")*4-COUNTIF(B173,"*云景*")*加速!$L$11-IF(J173&gt;0,2,0),MAX(0,N172-(A173-A172)-IF(J173&gt;0,2,0)))),0)</f>
        <v>0</v>
      </c>
      <c r="O173">
        <f ca="1">IF(AND(COUNTIF(IF(AND(配装计算器!$K$30&lt;&gt;"∞",0),INDEX(AU172:CB172,1,$AT$1),INDEX(AU174:CB174,1,$AT$1)),"*云飞*")=1,COUNTIF(IF(AND(配装计算器!$K$30&lt;&gt;"∞",0),INDEX(AU172:CB172,1,$AT$1),INDEX(AU174:CB174,1,$AT$1)),"*玉山*")=0),N173,0)</f>
        <v>0</v>
      </c>
      <c r="P173">
        <f ca="1">IFERROR(IF(COUNTIF(B173,"*云栖松*")&gt;0,50-加速!$L$11,MAX(0,P172-(A173-A172))),0)</f>
        <v>0</v>
      </c>
      <c r="Q173">
        <f ca="1">IF(COUNTIF(IF(AND(配装计算器!$K$30&lt;&gt;"∞",0),INDEX(AU172:CB172,1,$AT$1),INDEX(AU174:CB174,1,$AT$1)),"*云栖松*")=1,P173,0)</f>
        <v>0</v>
      </c>
      <c r="R173">
        <f ca="1">IFERROR(IF(COUNTIF(B173,"*莺鸣柳*")&gt;0,45-加速!$L$9,MAX(0,R172-(A173-A172))),0)</f>
        <v>0</v>
      </c>
      <c r="S173">
        <f ca="1">IF(COUNTIF(IF(AND(配装计算器!$K$30&lt;&gt;"∞",0),INDEX(AU172:CB172,1,$AT$1),INDEX(AU174:CB174,1,$AT$1)),"*莺鸣柳*")=1,R173,0)</f>
        <v>0</v>
      </c>
      <c r="T173">
        <f ca="1" t="shared" si="31"/>
        <v>0</v>
      </c>
      <c r="U173">
        <f ca="1">IF(金蛇,IF(COUNTIF(B173,"*金环戴*")+COUNTIF(B173,"*吹风醒*")&gt;0,IF(A173&lt;=3,7.125-2.625-A173-加速!$L$11,7.125+加速!$K$9-(A173+加速!$L$11-T173)),0),0)+IF(金蛇,IF(COUNTIF(B173,"*千切子裂光*")&gt;0,2+加速!$K$9-(A173+加速!$L$11-T173),0),0)</f>
        <v>0</v>
      </c>
      <c r="V173">
        <f ca="1" t="shared" si="32"/>
        <v>0</v>
      </c>
      <c r="W173">
        <f ca="1" t="shared" si="24"/>
        <v>0</v>
      </c>
      <c r="X173">
        <f ca="1">INDEX(加速!$I$13:$I$21,技能数计算!W173+1)</f>
        <v>0</v>
      </c>
      <c r="Y173">
        <f ca="1" t="shared" si="28"/>
        <v>0.5</v>
      </c>
      <c r="Z173">
        <f ca="1" t="shared" si="29"/>
        <v>0</v>
      </c>
      <c r="AA173">
        <f ca="1">MAX(0,IFERROR(IF(COUNTIF(B173,"*叠*")&gt;0,IF(AC172&lt;3,8-A174+A173,AA172+6.875-A174+A173),AA172-A174+A173),AA172-加速!$L$11))</f>
        <v>0</v>
      </c>
      <c r="AB173" t="e">
        <f ca="1">MAX(0,IF(COUNTIF(IF(AND(配装计算器!$K$30&lt;&gt;"∞",0),INDEX(AU173:CB173,1,$AT$1),INDEX(AU173:CB173,1,$AT$1)),"*叠1*")=1,4*25-加速!$L$11,AB172-A173+A172)-IF(OR(COUNTIF(OFFSET(AT173,0,$AT$1,1,1),"*听雷*")&gt;0,AND(碧归&gt;0,COUNTIF(OFFSET(AT173,0,$AT$1,1,1),"*风来*")&gt;0)),0,1)*1.5)</f>
        <v>#VALUE!</v>
      </c>
      <c r="AC173">
        <f ca="1" t="shared" si="25"/>
        <v>3</v>
      </c>
      <c r="AD173">
        <f ca="1">IF(COUNTIF(IF(AND(配装计算器!$K$30&lt;&gt;"∞",0),INDEX(AU173:CB173,1,$AT$1),INDEX(AU174:CB174,1,$AT$1)),"*叠1*")=1,AB173*0+AE172,0)</f>
        <v>0</v>
      </c>
      <c r="AE173" t="e">
        <f ca="1">IF($AN$11&gt;0,IF(COUNTIF(B174,"*叠1*")&gt;0,50-加速!$H$11,MAX(0,AE172-(A174-A173))),0)</f>
        <v>#VALUE!</v>
      </c>
      <c r="AH173" t="s">
        <v>1825</v>
      </c>
      <c r="AI173" t="s">
        <v>2786</v>
      </c>
      <c r="AJ173">
        <f ca="1" t="shared" ref="AJ173:AJ174" si="41">AJ140+AJ190</f>
        <v>4</v>
      </c>
      <c r="AK173" t="s">
        <v>3109</v>
      </c>
      <c r="AU173" s="176" t="s">
        <v>2794</v>
      </c>
      <c r="AV173">
        <v>2</v>
      </c>
      <c r="AW173" t="s">
        <v>3009</v>
      </c>
      <c r="AX173">
        <v>2</v>
      </c>
      <c r="AY173" t="s">
        <v>2776</v>
      </c>
      <c r="AZ173">
        <v>1</v>
      </c>
      <c r="BA173" t="s">
        <v>2768</v>
      </c>
      <c r="BB173">
        <v>1</v>
      </c>
      <c r="BC173" t="s">
        <v>2776</v>
      </c>
      <c r="BD173">
        <v>1</v>
      </c>
      <c r="BE173" t="s">
        <v>2768</v>
      </c>
      <c r="BF173">
        <v>1</v>
      </c>
      <c r="BG173" t="s">
        <v>2776</v>
      </c>
      <c r="BH173">
        <v>1</v>
      </c>
      <c r="BI173" t="s">
        <v>2768</v>
      </c>
      <c r="BJ173">
        <v>2</v>
      </c>
      <c r="BK173" s="176" t="s">
        <v>2808</v>
      </c>
      <c r="BL173">
        <v>2</v>
      </c>
      <c r="BM173" t="s">
        <v>2768</v>
      </c>
      <c r="BN173">
        <v>2</v>
      </c>
      <c r="BO173" t="s">
        <v>2776</v>
      </c>
      <c r="BP173">
        <v>2</v>
      </c>
      <c r="BQ173" t="s">
        <v>2768</v>
      </c>
      <c r="BR173">
        <v>2</v>
      </c>
      <c r="BS173" s="176" t="s">
        <v>2776</v>
      </c>
      <c r="BT173">
        <v>2</v>
      </c>
      <c r="BU173" s="176" t="s">
        <v>2776</v>
      </c>
      <c r="BV173">
        <v>2</v>
      </c>
      <c r="BW173" s="179" t="s">
        <v>3009</v>
      </c>
      <c r="BX173" s="179">
        <v>2</v>
      </c>
      <c r="BY173" s="176" t="s">
        <v>2768</v>
      </c>
      <c r="BZ173">
        <v>1</v>
      </c>
      <c r="CA173" t="s">
        <v>2768</v>
      </c>
      <c r="CB173">
        <v>1</v>
      </c>
    </row>
    <row r="174" spans="1:80">
      <c r="A174" s="178" t="str">
        <f ca="1">IFERROR(IF(A173+加速!$L$11&lt;$AS$1,IF(COUNTIF(B173,"*轻*")&gt;0,A173+加速!$L$9,A173+加速!$L$11)+V173,IF(COUNTIF(INDEX(AU174:CB174,1,$AT$1),"*云景*")+COUNTIF(INDEX(AU174:CB174,1,$AT$1),"*鹤归*")+COUNTIF(INDEX(AU174:CB174,1,$AT$1),"*听雷*")&gt;0,A173+加速!$L$11,"")),"")</f>
        <v/>
      </c>
      <c r="B174" s="167" t="str">
        <f ca="1">IF(A174&lt;&gt;"",IF(AND(A174+加速!$L$11&gt;$AS$1,IF(AND(配装计算器!$K$30&lt;&gt;"∞",0),"梦泉虎跑-轻",INDEX(AU174:CB174,1,$AT$1))="云栖松"),"夕照雷峰",IF(AND(配装计算器!$K$30&lt;&gt;"∞",0),"梦泉虎跑-轻",INDEX(AU174:CB174,1,$AT$1))),"")</f>
        <v/>
      </c>
      <c r="C174" t="str">
        <f ca="1" t="shared" si="30"/>
        <v/>
      </c>
      <c r="D174" t="str">
        <f ca="1">IF(B174&lt;&gt;"",IF(C173&lt;=加速!$L$11*(1-E174),0,1),"")</f>
        <v/>
      </c>
      <c r="E174">
        <f ca="1" t="shared" si="26"/>
        <v>1</v>
      </c>
      <c r="G174" t="str">
        <f ca="1" t="shared" si="27"/>
        <v/>
      </c>
      <c r="H174" t="str">
        <f ca="1">IF(B174&lt;&gt;"",IF(AND(COUNTIF(B173,"*轻*莺鸣柳*")&gt;0,COUNTIF(B174,"*轻*")&lt;1),MAX(0,15+I173-(A174-A173)+COUNTIF(B173,"*平湖*")*0),IF(AND(E174=0,MAX(0,H173-(A174-A173))&lt;=加速!$H$11),0,MAX(0,H173-(A174-A173)))),"")</f>
        <v/>
      </c>
      <c r="I174" t="str">
        <f ca="1" t="shared" si="33"/>
        <v/>
      </c>
      <c r="J174" t="str">
        <f ca="1" t="shared" si="34"/>
        <v/>
      </c>
      <c r="K174" t="str">
        <f ca="1">IF(A174&lt;&gt;"",IF(AND(配装计算器!$K$30&lt;&gt;"∞",0),2,INDEX(AU174:CB174,1,$AT$2)),"")</f>
        <v/>
      </c>
      <c r="L174">
        <f ca="1">IFERROR(IF(AND(COUNTIF(B174,"*-峰插*"),技能数据库!$M$72&gt;0),0,IF(COUNTIF(B174,"*鹤归*")&gt;0,16-加速!$L$11,MAX(0,L173-(A174-A173)))),0)</f>
        <v>0</v>
      </c>
      <c r="M174">
        <f ca="1">IF(COUNTIF(IF(AND(配装计算器!$K$30&lt;&gt;"∞",0),INDEX(AU173:CB173,1,$AT$1),INDEX(AU175:CB175,1,$AT$1)),"*鹤归*")=1,L174,0)</f>
        <v>0</v>
      </c>
      <c r="N174">
        <f ca="1">IFERROR(IF(AND(COUNTIF(B174,"*-峰插*"),技能数据库!$M$72&gt;0),0,IF(COUNTIF(B174,"*云飞*")&gt;0,4-COUNTIF(B174,"*玉山揽云*")*4--COUNTIF(B174,"*烟流暮景*")*4-COUNTIF(B174,"*云景*")*加速!$L$11-IF(J174&gt;0,2,0),MAX(0,N173-(A174-A173)-IF(J174&gt;0,2,0)))),0)</f>
        <v>0</v>
      </c>
      <c r="O174">
        <f ca="1">IF(AND(COUNTIF(IF(AND(配装计算器!$K$30&lt;&gt;"∞",0),INDEX(AU173:CB173,1,$AT$1),INDEX(AU175:CB175,1,$AT$1)),"*云飞*")=1,COUNTIF(IF(AND(配装计算器!$K$30&lt;&gt;"∞",0),INDEX(AU173:CB173,1,$AT$1),INDEX(AU175:CB175,1,$AT$1)),"*玉山*")=0),N174,0)</f>
        <v>0</v>
      </c>
      <c r="P174">
        <f ca="1">IFERROR(IF(COUNTIF(B174,"*云栖松*")&gt;0,50-加速!$L$11,MAX(0,P173-(A174-A173))),0)</f>
        <v>0</v>
      </c>
      <c r="Q174">
        <f ca="1">IF(COUNTIF(IF(AND(配装计算器!$K$30&lt;&gt;"∞",0),INDEX(AU173:CB173,1,$AT$1),INDEX(AU175:CB175,1,$AT$1)),"*云栖松*")=1,P174,0)</f>
        <v>0</v>
      </c>
      <c r="R174">
        <f ca="1">IFERROR(IF(COUNTIF(B174,"*莺鸣柳*")&gt;0,45-加速!$L$9,MAX(0,R173-(A174-A173))),0)</f>
        <v>0</v>
      </c>
      <c r="S174">
        <f ca="1">IF(COUNTIF(IF(AND(配装计算器!$K$30&lt;&gt;"∞",0),INDEX(AU173:CB173,1,$AT$1),INDEX(AU175:CB175,1,$AT$1)),"*莺鸣柳*")=1,R174,0)</f>
        <v>0</v>
      </c>
      <c r="T174">
        <f ca="1" t="shared" si="31"/>
        <v>0</v>
      </c>
      <c r="U174">
        <f ca="1">IF(金蛇,IF(COUNTIF(B174,"*金环戴*")+COUNTIF(B174,"*吹风醒*")&gt;0,IF(A174&lt;=3,7.125-2.625-A174-加速!$L$11,7.125+加速!$K$9-(A174+加速!$L$11-T174)),0),0)+IF(金蛇,IF(COUNTIF(B174,"*千切子裂光*")&gt;0,2+加速!$K$9-(A174+加速!$L$11-T174),0),0)</f>
        <v>0</v>
      </c>
      <c r="V174">
        <f ca="1" t="shared" si="32"/>
        <v>0</v>
      </c>
      <c r="W174">
        <f ca="1" t="shared" si="24"/>
        <v>0</v>
      </c>
      <c r="X174">
        <f ca="1">INDEX(加速!$I$13:$I$21,技能数计算!W174+1)</f>
        <v>0</v>
      </c>
      <c r="Y174">
        <f ca="1" t="shared" si="28"/>
        <v>0.5</v>
      </c>
      <c r="Z174">
        <f ca="1" t="shared" si="29"/>
        <v>0</v>
      </c>
      <c r="AA174">
        <f ca="1">MAX(0,IFERROR(IF(COUNTIF(B174,"*叠*")&gt;0,IF(AC173&lt;3,8-A175+A174,AA173+6.875-A175+A174),AA173-A175+A174),AA173-加速!$L$11))</f>
        <v>0</v>
      </c>
      <c r="AB174" t="e">
        <f ca="1">MAX(0,IF(COUNTIF(IF(AND(配装计算器!$K$30&lt;&gt;"∞",0),INDEX(AU174:CB174,1,$AT$1),INDEX(AU174:CB174,1,$AT$1)),"*叠1*")=1,4*25-加速!$L$11,AB173-A174+A173)-IF(OR(COUNTIF(OFFSET(AT174,0,$AT$1,1,1),"*听雷*")&gt;0,AND(碧归&gt;0,COUNTIF(OFFSET(AT174,0,$AT$1,1,1),"*风来*")&gt;0)),0,1)*1.5)</f>
        <v>#VALUE!</v>
      </c>
      <c r="AC174">
        <f ca="1" t="shared" si="25"/>
        <v>3</v>
      </c>
      <c r="AD174">
        <f ca="1">IF(COUNTIF(IF(AND(配装计算器!$K$30&lt;&gt;"∞",0),INDEX(AU174:CB174,1,$AT$1),INDEX(AU175:CB175,1,$AT$1)),"*叠1*")=1,AB174*0+AE173,0)</f>
        <v>0</v>
      </c>
      <c r="AE174" t="e">
        <f ca="1">IF($AN$11&gt;0,IF(COUNTIF(B175,"*叠1*")&gt;0,50-加速!$H$11,MAX(0,AE173-(A175-A174))),0)</f>
        <v>#VALUE!</v>
      </c>
      <c r="AH174" t="s">
        <v>1825</v>
      </c>
      <c r="AI174" t="s">
        <v>2786</v>
      </c>
      <c r="AJ174">
        <f ca="1" t="shared" si="41"/>
        <v>40</v>
      </c>
      <c r="AK174" t="s">
        <v>3110</v>
      </c>
      <c r="AU174" s="176" t="s">
        <v>2768</v>
      </c>
      <c r="AV174">
        <v>2</v>
      </c>
      <c r="AW174" t="s">
        <v>2776</v>
      </c>
      <c r="AX174">
        <v>2</v>
      </c>
      <c r="AY174" t="s">
        <v>2768</v>
      </c>
      <c r="AZ174">
        <v>1</v>
      </c>
      <c r="BA174" t="s">
        <v>2768</v>
      </c>
      <c r="BB174">
        <v>0</v>
      </c>
      <c r="BC174" t="s">
        <v>2768</v>
      </c>
      <c r="BD174">
        <v>1</v>
      </c>
      <c r="BE174" t="s">
        <v>2776</v>
      </c>
      <c r="BF174">
        <v>1</v>
      </c>
      <c r="BG174" t="s">
        <v>2768</v>
      </c>
      <c r="BH174">
        <v>0</v>
      </c>
      <c r="BI174" s="176" t="s">
        <v>2768</v>
      </c>
      <c r="BJ174">
        <v>1</v>
      </c>
      <c r="BK174" t="s">
        <v>2789</v>
      </c>
      <c r="BL174">
        <v>2</v>
      </c>
      <c r="BM174" t="s">
        <v>2776</v>
      </c>
      <c r="BN174">
        <v>2</v>
      </c>
      <c r="BO174" t="s">
        <v>2768</v>
      </c>
      <c r="BP174">
        <v>2</v>
      </c>
      <c r="BQ174" t="s">
        <v>2776</v>
      </c>
      <c r="BR174">
        <v>2</v>
      </c>
      <c r="BS174" s="176" t="s">
        <v>2768</v>
      </c>
      <c r="BT174">
        <v>2</v>
      </c>
      <c r="BU174" t="s">
        <v>2768</v>
      </c>
      <c r="BV174">
        <v>1</v>
      </c>
      <c r="BW174" s="179" t="s">
        <v>2776</v>
      </c>
      <c r="BX174" s="179">
        <v>2</v>
      </c>
      <c r="BY174" t="s">
        <v>2776</v>
      </c>
      <c r="BZ174">
        <v>1</v>
      </c>
      <c r="CA174" t="s">
        <v>2776</v>
      </c>
      <c r="CB174">
        <v>1</v>
      </c>
    </row>
    <row r="175" spans="1:80">
      <c r="A175" s="178" t="str">
        <f ca="1">IFERROR(IF(A174+加速!$L$11&lt;$AS$1,IF(COUNTIF(B174,"*轻*")&gt;0,A174+加速!$L$9,A174+加速!$L$11)+V174,IF(COUNTIF(INDEX(AU175:CB175,1,$AT$1),"*云景*")+COUNTIF(INDEX(AU175:CB175,1,$AT$1),"*鹤归*")+COUNTIF(INDEX(AU175:CB175,1,$AT$1),"*听雷*")&gt;0,A174+加速!$L$11,"")),"")</f>
        <v/>
      </c>
      <c r="B175" s="167" t="str">
        <f ca="1">IF(A175&lt;&gt;"",IF(AND(A175+加速!$L$11&gt;$AS$1,IF(AND(配装计算器!$K$30&lt;&gt;"∞",0),"梦泉虎跑-轻",INDEX(AU175:CB175,1,$AT$1))="云栖松"),"夕照雷峰",IF(AND(配装计算器!$K$30&lt;&gt;"∞",0),"梦泉虎跑-轻",INDEX(AU175:CB175,1,$AT$1))),"")</f>
        <v/>
      </c>
      <c r="C175" t="str">
        <f ca="1" t="shared" si="30"/>
        <v/>
      </c>
      <c r="D175" t="str">
        <f ca="1">IF(B175&lt;&gt;"",IF(C174&lt;=加速!$L$11*(1-E175),0,1),"")</f>
        <v/>
      </c>
      <c r="E175">
        <f ca="1" t="shared" si="26"/>
        <v>1</v>
      </c>
      <c r="G175" t="str">
        <f ca="1" t="shared" si="27"/>
        <v/>
      </c>
      <c r="H175" t="str">
        <f ca="1">IF(B175&lt;&gt;"",IF(AND(COUNTIF(B174,"*轻*莺鸣柳*")&gt;0,COUNTIF(B175,"*轻*")&lt;1),MAX(0,15+I174-(A175-A174)+COUNTIF(B174,"*平湖*")*0),IF(AND(E175=0,MAX(0,H174-(A175-A174))&lt;=加速!$H$11),0,MAX(0,H174-(A175-A174)))),"")</f>
        <v/>
      </c>
      <c r="I175" t="str">
        <f ca="1" t="shared" si="33"/>
        <v/>
      </c>
      <c r="J175" t="str">
        <f ca="1" t="shared" si="34"/>
        <v/>
      </c>
      <c r="K175" t="str">
        <f ca="1">IF(A175&lt;&gt;"",IF(AND(配装计算器!$K$30&lt;&gt;"∞",0),2,INDEX(AU175:CB175,1,$AT$2)),"")</f>
        <v/>
      </c>
      <c r="L175">
        <f ca="1">IFERROR(IF(AND(COUNTIF(B175,"*-峰插*"),技能数据库!$M$72&gt;0),0,IF(COUNTIF(B175,"*鹤归*")&gt;0,16-加速!$L$11,MAX(0,L174-(A175-A174)))),0)</f>
        <v>0</v>
      </c>
      <c r="M175">
        <f ca="1">IF(COUNTIF(IF(AND(配装计算器!$K$30&lt;&gt;"∞",0),INDEX(AU174:CB174,1,$AT$1),INDEX(AU176:CB176,1,$AT$1)),"*鹤归*")=1,L175,0)</f>
        <v>0</v>
      </c>
      <c r="N175">
        <f ca="1">IFERROR(IF(AND(COUNTIF(B175,"*-峰插*"),技能数据库!$M$72&gt;0),0,IF(COUNTIF(B175,"*云飞*")&gt;0,4-COUNTIF(B175,"*玉山揽云*")*4--COUNTIF(B175,"*烟流暮景*")*4-COUNTIF(B175,"*云景*")*加速!$L$11-IF(J175&gt;0,2,0),MAX(0,N174-(A175-A174)-IF(J175&gt;0,2,0)))),0)</f>
        <v>0</v>
      </c>
      <c r="O175">
        <f ca="1">IF(AND(COUNTIF(IF(AND(配装计算器!$K$30&lt;&gt;"∞",0),INDEX(AU174:CB174,1,$AT$1),INDEX(AU176:CB176,1,$AT$1)),"*云飞*")=1,COUNTIF(IF(AND(配装计算器!$K$30&lt;&gt;"∞",0),INDEX(AU174:CB174,1,$AT$1),INDEX(AU176:CB176,1,$AT$1)),"*玉山*")=0),N175,0)</f>
        <v>0</v>
      </c>
      <c r="P175">
        <f ca="1">IFERROR(IF(COUNTIF(B175,"*云栖松*")&gt;0,50-加速!$L$11,MAX(0,P174-(A175-A174))),0)</f>
        <v>0</v>
      </c>
      <c r="Q175">
        <f ca="1">IF(COUNTIF(IF(AND(配装计算器!$K$30&lt;&gt;"∞",0),INDEX(AU174:CB174,1,$AT$1),INDEX(AU176:CB176,1,$AT$1)),"*云栖松*")=1,P175,0)</f>
        <v>0</v>
      </c>
      <c r="R175">
        <f ca="1">IFERROR(IF(COUNTIF(B175,"*莺鸣柳*")&gt;0,45-加速!$L$9,MAX(0,R174-(A175-A174))),0)</f>
        <v>0</v>
      </c>
      <c r="S175">
        <f ca="1">IF(COUNTIF(IF(AND(配装计算器!$K$30&lt;&gt;"∞",0),INDEX(AU174:CB174,1,$AT$1),INDEX(AU176:CB176,1,$AT$1)),"*莺鸣柳*")=1,R175,0)</f>
        <v>0</v>
      </c>
      <c r="T175">
        <f ca="1" t="shared" si="31"/>
        <v>0</v>
      </c>
      <c r="U175">
        <f ca="1">IF(金蛇,IF(COUNTIF(B175,"*金环戴*")+COUNTIF(B175,"*吹风醒*")&gt;0,IF(A175&lt;=3,7.125-2.625-A175-加速!$L$11,7.125+加速!$K$9-(A175+加速!$L$11-T175)),0),0)+IF(金蛇,IF(COUNTIF(B175,"*千切子裂光*")&gt;0,2+加速!$K$9-(A175+加速!$L$11-T175),0),0)</f>
        <v>0</v>
      </c>
      <c r="V175">
        <f ca="1" t="shared" si="32"/>
        <v>0</v>
      </c>
      <c r="W175">
        <f ca="1" t="shared" si="24"/>
        <v>0</v>
      </c>
      <c r="X175">
        <f ca="1">INDEX(加速!$I$13:$I$21,技能数计算!W175+1)</f>
        <v>0</v>
      </c>
      <c r="Y175">
        <f ca="1" t="shared" si="28"/>
        <v>0.5</v>
      </c>
      <c r="Z175">
        <f ca="1" t="shared" si="29"/>
        <v>0</v>
      </c>
      <c r="AA175">
        <f ca="1">MAX(0,IFERROR(IF(COUNTIF(B175,"*叠*")&gt;0,IF(AC174&lt;3,8-A176+A175,AA174+6.875-A176+A175),AA174-A176+A175),AA174-加速!$L$11))</f>
        <v>0</v>
      </c>
      <c r="AB175" t="e">
        <f ca="1">MAX(0,IF(COUNTIF(IF(AND(配装计算器!$K$30&lt;&gt;"∞",0),INDEX(AU175:CB175,1,$AT$1),INDEX(AU175:CB175,1,$AT$1)),"*叠1*")=1,4*25-加速!$L$11,AB174-A175+A174)-IF(OR(COUNTIF(OFFSET(AT175,0,$AT$1,1,1),"*听雷*")&gt;0,AND(碧归&gt;0,COUNTIF(OFFSET(AT175,0,$AT$1,1,1),"*风来*")&gt;0)),0,1)*1.5)</f>
        <v>#VALUE!</v>
      </c>
      <c r="AC175">
        <f ca="1" t="shared" si="25"/>
        <v>3</v>
      </c>
      <c r="AD175">
        <f ca="1">IF(COUNTIF(IF(AND(配装计算器!$K$30&lt;&gt;"∞",0),INDEX(AU175:CB175,1,$AT$1),INDEX(AU176:CB176,1,$AT$1)),"*叠1*")=1,AB175*0+AE174,0)</f>
        <v>0</v>
      </c>
      <c r="AE175" t="e">
        <f ca="1">IF($AN$11&gt;0,IF(COUNTIF(B176,"*叠1*")&gt;0,50-加速!$H$11,MAX(0,AE174-(A176-A175))),0)</f>
        <v>#VALUE!</v>
      </c>
      <c r="AH175" t="s">
        <v>1825</v>
      </c>
      <c r="AI175" s="161" t="s">
        <v>2859</v>
      </c>
      <c r="AJ175">
        <f ca="1">循环比*COUNTIFS($B$3:$B$515,"*皇*"&amp;AI175&amp;"*",$D$3:$D$515,"&gt;0",$AC$3:$AC$515,1)/3</f>
        <v>0</v>
      </c>
      <c r="AK175" t="s">
        <v>3108</v>
      </c>
      <c r="AU175" s="176" t="s">
        <v>2776</v>
      </c>
      <c r="AV175">
        <v>2</v>
      </c>
      <c r="AW175" t="s">
        <v>2768</v>
      </c>
      <c r="AX175">
        <v>2</v>
      </c>
      <c r="AY175" t="s">
        <v>2768</v>
      </c>
      <c r="AZ175">
        <v>0</v>
      </c>
      <c r="BA175" t="s">
        <v>2722</v>
      </c>
      <c r="BB175">
        <v>0</v>
      </c>
      <c r="BC175" t="s">
        <v>2794</v>
      </c>
      <c r="BD175">
        <v>2</v>
      </c>
      <c r="BE175" t="s">
        <v>2768</v>
      </c>
      <c r="BF175">
        <v>0</v>
      </c>
      <c r="BG175" t="s">
        <v>2768</v>
      </c>
      <c r="BH175">
        <v>0</v>
      </c>
      <c r="BI175" s="176" t="s">
        <v>2768</v>
      </c>
      <c r="BJ175">
        <v>1</v>
      </c>
      <c r="BK175" t="s">
        <v>2776</v>
      </c>
      <c r="BL175">
        <v>2</v>
      </c>
      <c r="BM175" t="s">
        <v>2768</v>
      </c>
      <c r="BN175">
        <v>1</v>
      </c>
      <c r="BO175" t="str">
        <f>IF(山重水复,"风来吴山","夕照雷峰")</f>
        <v>夕照雷峰</v>
      </c>
      <c r="BP175">
        <v>2</v>
      </c>
      <c r="BQ175" t="s">
        <v>2768</v>
      </c>
      <c r="BR175">
        <v>2</v>
      </c>
      <c r="BS175" s="176" t="s">
        <v>2794</v>
      </c>
      <c r="BT175">
        <v>2</v>
      </c>
      <c r="BU175" s="176" t="s">
        <v>2768</v>
      </c>
      <c r="BV175">
        <v>1</v>
      </c>
      <c r="BW175" s="179" t="s">
        <v>2768</v>
      </c>
      <c r="BX175" s="179">
        <v>2</v>
      </c>
      <c r="BY175" t="s">
        <v>2768</v>
      </c>
      <c r="BZ175">
        <v>1</v>
      </c>
      <c r="CA175" t="s">
        <v>2768</v>
      </c>
      <c r="CB175">
        <v>1</v>
      </c>
    </row>
    <row r="176" spans="1:80">
      <c r="A176" s="178" t="str">
        <f ca="1">IFERROR(IF(A175+加速!$L$11&lt;$AS$1,IF(COUNTIF(B175,"*轻*")&gt;0,A175+加速!$L$9,A175+加速!$L$11)+V175,IF(COUNTIF(INDEX(AU176:CB176,1,$AT$1),"*云景*")+COUNTIF(INDEX(AU176:CB176,1,$AT$1),"*鹤归*")+COUNTIF(INDEX(AU176:CB176,1,$AT$1),"*听雷*")&gt;0,A175+加速!$L$11,"")),"")</f>
        <v/>
      </c>
      <c r="B176" s="167" t="str">
        <f ca="1">IF(A176&lt;&gt;"",IF(AND(A176+加速!$L$11&gt;$AS$1,IF(AND(配装计算器!$K$30&lt;&gt;"∞",0),"梦泉虎跑-轻",INDEX(AU176:CB176,1,$AT$1))="云栖松"),"夕照雷峰",IF(AND(配装计算器!$K$30&lt;&gt;"∞",0),"梦泉虎跑-轻",INDEX(AU176:CB176,1,$AT$1))),"")</f>
        <v/>
      </c>
      <c r="C176" t="str">
        <f ca="1" t="shared" si="30"/>
        <v/>
      </c>
      <c r="D176" t="str">
        <f ca="1">IF(B176&lt;&gt;"",IF(C175&lt;=加速!$L$11*(1-E176),0,1),"")</f>
        <v/>
      </c>
      <c r="E176">
        <f ca="1" t="shared" si="26"/>
        <v>1</v>
      </c>
      <c r="G176" t="str">
        <f ca="1" t="shared" si="27"/>
        <v/>
      </c>
      <c r="H176" t="str">
        <f ca="1">IF(B176&lt;&gt;"",IF(AND(COUNTIF(B175,"*轻*莺鸣柳*")&gt;0,COUNTIF(B176,"*轻*")&lt;1),MAX(0,15+I175-(A176-A175)+COUNTIF(B175,"*平湖*")*0),IF(AND(E176=0,MAX(0,H175-(A176-A175))&lt;=加速!$H$11),0,MAX(0,H175-(A176-A175)))),"")</f>
        <v/>
      </c>
      <c r="I176" t="str">
        <f ca="1" t="shared" si="33"/>
        <v/>
      </c>
      <c r="J176" t="str">
        <f ca="1" t="shared" si="34"/>
        <v/>
      </c>
      <c r="K176" t="str">
        <f ca="1">IF(A176&lt;&gt;"",IF(AND(配装计算器!$K$30&lt;&gt;"∞",0),2,INDEX(AU176:CB176,1,$AT$2)),"")</f>
        <v/>
      </c>
      <c r="L176">
        <f ca="1">IFERROR(IF(AND(COUNTIF(B176,"*-峰插*"),技能数据库!$M$72&gt;0),0,IF(COUNTIF(B176,"*鹤归*")&gt;0,16-加速!$L$11,MAX(0,L175-(A176-A175)))),0)</f>
        <v>0</v>
      </c>
      <c r="M176">
        <f ca="1">IF(COUNTIF(IF(AND(配装计算器!$K$30&lt;&gt;"∞",0),INDEX(AU175:CB175,1,$AT$1),INDEX(AU177:CB177,1,$AT$1)),"*鹤归*")=1,L176,0)</f>
        <v>0</v>
      </c>
      <c r="N176">
        <f ca="1">IFERROR(IF(AND(COUNTIF(B176,"*-峰插*"),技能数据库!$M$72&gt;0),0,IF(COUNTIF(B176,"*云飞*")&gt;0,4-COUNTIF(B176,"*玉山揽云*")*4--COUNTIF(B176,"*烟流暮景*")*4-COUNTIF(B176,"*云景*")*加速!$L$11-IF(J176&gt;0,2,0),MAX(0,N175-(A176-A175)-IF(J176&gt;0,2,0)))),0)</f>
        <v>0</v>
      </c>
      <c r="O176">
        <f ca="1">IF(AND(COUNTIF(IF(AND(配装计算器!$K$30&lt;&gt;"∞",0),INDEX(AU175:CB175,1,$AT$1),INDEX(AU177:CB177,1,$AT$1)),"*云飞*")=1,COUNTIF(IF(AND(配装计算器!$K$30&lt;&gt;"∞",0),INDEX(AU175:CB175,1,$AT$1),INDEX(AU177:CB177,1,$AT$1)),"*玉山*")=0),N176,0)</f>
        <v>0</v>
      </c>
      <c r="P176">
        <f ca="1">IFERROR(IF(COUNTIF(B176,"*云栖松*")&gt;0,50-加速!$L$11,MAX(0,P175-(A176-A175))),0)</f>
        <v>0</v>
      </c>
      <c r="Q176">
        <f ca="1">IF(COUNTIF(IF(AND(配装计算器!$K$30&lt;&gt;"∞",0),INDEX(AU175:CB175,1,$AT$1),INDEX(AU177:CB177,1,$AT$1)),"*云栖松*")=1,P176,0)</f>
        <v>0</v>
      </c>
      <c r="R176">
        <f ca="1">IFERROR(IF(COUNTIF(B176,"*莺鸣柳*")&gt;0,45-加速!$L$9,MAX(0,R175-(A176-A175))),0)</f>
        <v>0</v>
      </c>
      <c r="S176">
        <f ca="1">IF(COUNTIF(IF(AND(配装计算器!$K$30&lt;&gt;"∞",0),INDEX(AU175:CB175,1,$AT$1),INDEX(AU177:CB177,1,$AT$1)),"*莺鸣柳*")=1,R176,0)</f>
        <v>0</v>
      </c>
      <c r="T176">
        <f ca="1" t="shared" si="31"/>
        <v>0</v>
      </c>
      <c r="U176">
        <f ca="1">IF(金蛇,IF(COUNTIF(B176,"*金环戴*")+COUNTIF(B176,"*吹风醒*")&gt;0,IF(A176&lt;=3,7.125-2.625-A176-加速!$L$11,7.125+加速!$K$9-(A176+加速!$L$11-T176)),0),0)+IF(金蛇,IF(COUNTIF(B176,"*千切子裂光*")&gt;0,2+加速!$K$9-(A176+加速!$L$11-T176),0),0)</f>
        <v>0</v>
      </c>
      <c r="V176">
        <f ca="1" t="shared" si="32"/>
        <v>0</v>
      </c>
      <c r="W176">
        <f ca="1" t="shared" si="24"/>
        <v>0</v>
      </c>
      <c r="X176">
        <f ca="1">INDEX(加速!$I$13:$I$21,技能数计算!W176+1)</f>
        <v>0</v>
      </c>
      <c r="Y176">
        <f ca="1" t="shared" si="28"/>
        <v>0.5</v>
      </c>
      <c r="Z176">
        <f ca="1" t="shared" si="29"/>
        <v>0</v>
      </c>
      <c r="AA176">
        <f ca="1">MAX(0,IFERROR(IF(COUNTIF(B176,"*叠*")&gt;0,IF(AC175&lt;3,8-A177+A176,AA175+6.875-A177+A176),AA175-A177+A176),AA175-加速!$L$11))</f>
        <v>0</v>
      </c>
      <c r="AB176" t="e">
        <f ca="1">MAX(0,IF(COUNTIF(IF(AND(配装计算器!$K$30&lt;&gt;"∞",0),INDEX(AU176:CB176,1,$AT$1),INDEX(AU176:CB176,1,$AT$1)),"*叠1*")=1,4*25-加速!$L$11,AB175-A176+A175)-IF(OR(COUNTIF(OFFSET(AT176,0,$AT$1,1,1),"*听雷*")&gt;0,AND(碧归&gt;0,COUNTIF(OFFSET(AT176,0,$AT$1,1,1),"*风来*")&gt;0)),0,1)*1.5)</f>
        <v>#VALUE!</v>
      </c>
      <c r="AC176">
        <f ca="1" t="shared" si="25"/>
        <v>3</v>
      </c>
      <c r="AD176">
        <f ca="1">IF(COUNTIF(IF(AND(配装计算器!$K$30&lt;&gt;"∞",0),INDEX(AU176:CB176,1,$AT$1),INDEX(AU177:CB177,1,$AT$1)),"*叠1*")=1,AB176*0+AE175,0)</f>
        <v>0</v>
      </c>
      <c r="AE176" t="e">
        <f ca="1">IF($AN$11&gt;0,IF(COUNTIF(B177,"*叠1*")&gt;0,50-加速!$H$11,MAX(0,AE175-(A177-A176))),0)</f>
        <v>#VALUE!</v>
      </c>
      <c r="AH176" t="s">
        <v>1825</v>
      </c>
      <c r="AI176" s="161" t="s">
        <v>2859</v>
      </c>
      <c r="AJ176">
        <f ca="1">循环比*COUNTIFS($B$3:$B$515,"*皇*"&amp;AI176&amp;"*",$D$3:$D$515,"&gt;0",$AC$3:$AC$515,1)*2/3</f>
        <v>0</v>
      </c>
      <c r="AK176" t="s">
        <v>3108</v>
      </c>
      <c r="AU176" s="176" t="s">
        <v>2768</v>
      </c>
      <c r="AV176">
        <v>2</v>
      </c>
      <c r="AW176" t="str">
        <f>IF(山重水复,"风来吴山","夕照雷峰")</f>
        <v>夕照雷峰</v>
      </c>
      <c r="AX176">
        <v>2</v>
      </c>
      <c r="AY176" t="s">
        <v>2722</v>
      </c>
      <c r="AZ176">
        <v>0</v>
      </c>
      <c r="BA176" t="s">
        <v>2776</v>
      </c>
      <c r="BB176">
        <v>2</v>
      </c>
      <c r="BC176" t="s">
        <v>2768</v>
      </c>
      <c r="BD176">
        <v>2</v>
      </c>
      <c r="BE176" t="s">
        <v>3011</v>
      </c>
      <c r="BF176">
        <v>2</v>
      </c>
      <c r="BG176" t="s">
        <v>2776</v>
      </c>
      <c r="BH176">
        <v>0</v>
      </c>
      <c r="BI176" s="176" t="s">
        <v>2776</v>
      </c>
      <c r="BJ176">
        <v>0</v>
      </c>
      <c r="BK176" s="180" t="s">
        <v>3036</v>
      </c>
      <c r="BL176">
        <v>2</v>
      </c>
      <c r="BM176" t="s">
        <v>2722</v>
      </c>
      <c r="BN176">
        <v>0</v>
      </c>
      <c r="BO176" s="176" t="s">
        <v>2794</v>
      </c>
      <c r="BP176">
        <v>2</v>
      </c>
      <c r="BQ176" t="s">
        <v>2776</v>
      </c>
      <c r="BR176">
        <v>1</v>
      </c>
      <c r="BS176" t="s">
        <v>2768</v>
      </c>
      <c r="BT176">
        <v>2</v>
      </c>
      <c r="BU176" t="s">
        <v>3055</v>
      </c>
      <c r="BV176">
        <v>0</v>
      </c>
      <c r="BW176" s="179" t="str">
        <f>IF(山重水复,"风来吴山","夕照雷峰")</f>
        <v>夕照雷峰</v>
      </c>
      <c r="BX176" s="179">
        <v>2</v>
      </c>
      <c r="BY176" t="s">
        <v>2722</v>
      </c>
      <c r="BZ176">
        <v>0</v>
      </c>
      <c r="CA176" t="s">
        <v>2722</v>
      </c>
      <c r="CB176">
        <v>0</v>
      </c>
    </row>
    <row r="177" spans="1:80">
      <c r="A177" s="178" t="str">
        <f ca="1">IFERROR(IF(A176+加速!$L$11&lt;$AS$1,IF(COUNTIF(B176,"*轻*")&gt;0,A176+加速!$L$9,A176+加速!$L$11)+V176,IF(COUNTIF(INDEX(AU177:CB177,1,$AT$1),"*云景*")+COUNTIF(INDEX(AU177:CB177,1,$AT$1),"*鹤归*")+COUNTIF(INDEX(AU177:CB177,1,$AT$1),"*听雷*")&gt;0,A176+加速!$L$11,"")),"")</f>
        <v/>
      </c>
      <c r="B177" s="167" t="str">
        <f ca="1">IF(A177&lt;&gt;"",IF(AND(A177+加速!$L$11&gt;$AS$1,IF(AND(配装计算器!$K$30&lt;&gt;"∞",0),"梦泉虎跑-轻",INDEX(AU177:CB177,1,$AT$1))="云栖松"),"夕照雷峰",IF(AND(配装计算器!$K$30&lt;&gt;"∞",0),"梦泉虎跑-轻",INDEX(AU177:CB177,1,$AT$1))),"")</f>
        <v/>
      </c>
      <c r="C177" t="str">
        <f ca="1" t="shared" si="30"/>
        <v/>
      </c>
      <c r="D177" t="str">
        <f ca="1">IF(B177&lt;&gt;"",IF(C176&lt;=加速!$L$11*(1-E177),0,1),"")</f>
        <v/>
      </c>
      <c r="E177">
        <f ca="1" t="shared" si="26"/>
        <v>1</v>
      </c>
      <c r="G177" t="str">
        <f ca="1" t="shared" si="27"/>
        <v/>
      </c>
      <c r="H177" t="str">
        <f ca="1">IF(B177&lt;&gt;"",IF(AND(COUNTIF(B176,"*轻*莺鸣柳*")&gt;0,COUNTIF(B177,"*轻*")&lt;1),MAX(0,15+I176-(A177-A176)+COUNTIF(B176,"*平湖*")*0),IF(AND(E177=0,MAX(0,H176-(A177-A176))&lt;=加速!$H$11),0,MAX(0,H176-(A177-A176)))),"")</f>
        <v/>
      </c>
      <c r="I177" t="str">
        <f ca="1" t="shared" si="33"/>
        <v/>
      </c>
      <c r="J177" t="str">
        <f ca="1" t="shared" si="34"/>
        <v/>
      </c>
      <c r="K177" t="str">
        <f ca="1">IF(A177&lt;&gt;"",IF(AND(配装计算器!$K$30&lt;&gt;"∞",0),2,INDEX(AU177:CB177,1,$AT$2)),"")</f>
        <v/>
      </c>
      <c r="L177">
        <f ca="1">IFERROR(IF(AND(COUNTIF(B177,"*-峰插*"),技能数据库!$M$72&gt;0),0,IF(COUNTIF(B177,"*鹤归*")&gt;0,16-加速!$L$11,MAX(0,L176-(A177-A176)))),0)</f>
        <v>0</v>
      </c>
      <c r="M177">
        <f ca="1">IF(COUNTIF(IF(AND(配装计算器!$K$30&lt;&gt;"∞",0),INDEX(AU176:CB176,1,$AT$1),INDEX(AU178:CB178,1,$AT$1)),"*鹤归*")=1,L177,0)</f>
        <v>0</v>
      </c>
      <c r="N177">
        <f ca="1">IFERROR(IF(AND(COUNTIF(B177,"*-峰插*"),技能数据库!$M$72&gt;0),0,IF(COUNTIF(B177,"*云飞*")&gt;0,4-COUNTIF(B177,"*玉山揽云*")*4--COUNTIF(B177,"*烟流暮景*")*4-COUNTIF(B177,"*云景*")*加速!$L$11-IF(J177&gt;0,2,0),MAX(0,N176-(A177-A176)-IF(J177&gt;0,2,0)))),0)</f>
        <v>0</v>
      </c>
      <c r="O177">
        <f ca="1">IF(AND(COUNTIF(IF(AND(配装计算器!$K$30&lt;&gt;"∞",0),INDEX(AU176:CB176,1,$AT$1),INDEX(AU178:CB178,1,$AT$1)),"*云飞*")=1,COUNTIF(IF(AND(配装计算器!$K$30&lt;&gt;"∞",0),INDEX(AU176:CB176,1,$AT$1),INDEX(AU178:CB178,1,$AT$1)),"*玉山*")=0),N177,0)</f>
        <v>0</v>
      </c>
      <c r="P177">
        <f ca="1">IFERROR(IF(COUNTIF(B177,"*云栖松*")&gt;0,50-加速!$L$11,MAX(0,P176-(A177-A176))),0)</f>
        <v>0</v>
      </c>
      <c r="Q177">
        <f ca="1">IF(COUNTIF(IF(AND(配装计算器!$K$30&lt;&gt;"∞",0),INDEX(AU176:CB176,1,$AT$1),INDEX(AU178:CB178,1,$AT$1)),"*云栖松*")=1,P177,0)</f>
        <v>0</v>
      </c>
      <c r="R177">
        <f ca="1">IFERROR(IF(COUNTIF(B177,"*莺鸣柳*")&gt;0,45-加速!$L$9,MAX(0,R176-(A177-A176))),0)</f>
        <v>0</v>
      </c>
      <c r="S177">
        <f ca="1">IF(COUNTIF(IF(AND(配装计算器!$K$30&lt;&gt;"∞",0),INDEX(AU176:CB176,1,$AT$1),INDEX(AU178:CB178,1,$AT$1)),"*莺鸣柳*")=1,R177,0)</f>
        <v>0</v>
      </c>
      <c r="T177">
        <f ca="1" t="shared" si="31"/>
        <v>0</v>
      </c>
      <c r="U177">
        <f ca="1">IF(金蛇,IF(COUNTIF(B177,"*金环戴*")+COUNTIF(B177,"*吹风醒*")&gt;0,IF(A177&lt;=3,7.125-2.625-A177-加速!$L$11,7.125+加速!$K$9-(A177+加速!$L$11-T177)),0),0)+IF(金蛇,IF(COUNTIF(B177,"*千切子裂光*")&gt;0,2+加速!$K$9-(A177+加速!$L$11-T177),0),0)</f>
        <v>0</v>
      </c>
      <c r="V177">
        <f ca="1" t="shared" si="32"/>
        <v>0</v>
      </c>
      <c r="W177">
        <f ca="1" t="shared" si="24"/>
        <v>0</v>
      </c>
      <c r="X177">
        <f ca="1">INDEX(加速!$I$13:$I$21,技能数计算!W177+1)</f>
        <v>0</v>
      </c>
      <c r="Y177">
        <f ca="1" t="shared" si="28"/>
        <v>0.5</v>
      </c>
      <c r="Z177">
        <f ca="1" t="shared" si="29"/>
        <v>0</v>
      </c>
      <c r="AA177">
        <f ca="1">MAX(0,IFERROR(IF(COUNTIF(B177,"*叠*")&gt;0,IF(AC176&lt;3,8-A178+A177,AA176+6.875-A178+A177),AA176-A178+A177),AA176-加速!$L$11))</f>
        <v>0</v>
      </c>
      <c r="AB177" t="e">
        <f ca="1">MAX(0,IF(COUNTIF(IF(AND(配装计算器!$K$30&lt;&gt;"∞",0),INDEX(AU177:CB177,1,$AT$1),INDEX(AU177:CB177,1,$AT$1)),"*叠1*")=1,4*25-加速!$L$11,AB176-A177+A176)-IF(OR(COUNTIF(OFFSET(AT177,0,$AT$1,1,1),"*听雷*")&gt;0,AND(碧归&gt;0,COUNTIF(OFFSET(AT177,0,$AT$1,1,1),"*风来*")&gt;0)),0,1)*1.5)</f>
        <v>#VALUE!</v>
      </c>
      <c r="AC177">
        <f ca="1" t="shared" si="25"/>
        <v>3</v>
      </c>
      <c r="AD177">
        <f ca="1">IF(COUNTIF(IF(AND(配装计算器!$K$30&lt;&gt;"∞",0),INDEX(AU177:CB177,1,$AT$1),INDEX(AU178:CB178,1,$AT$1)),"*叠1*")=1,AB177*0+AE176,0)</f>
        <v>0</v>
      </c>
      <c r="AE177" t="e">
        <f ca="1">IF($AN$11&gt;0,IF(COUNTIF(B178,"*叠1*")&gt;0,50-加速!$H$11,MAX(0,AE176-(A178-A177))),0)</f>
        <v>#VALUE!</v>
      </c>
      <c r="AH177" t="s">
        <v>1825</v>
      </c>
      <c r="AI177" s="161" t="s">
        <v>2861</v>
      </c>
      <c r="AJ177">
        <f ca="1">SUM(AJ175:AJ176)</f>
        <v>0</v>
      </c>
      <c r="AK177" t="s">
        <v>3108</v>
      </c>
      <c r="AU177" s="176" t="s">
        <v>2776</v>
      </c>
      <c r="AV177">
        <v>2</v>
      </c>
      <c r="AW177" s="176" t="s">
        <v>2794</v>
      </c>
      <c r="AX177">
        <v>2</v>
      </c>
      <c r="AY177" t="s">
        <v>2776</v>
      </c>
      <c r="AZ177">
        <v>2</v>
      </c>
      <c r="BA177" t="s">
        <v>2768</v>
      </c>
      <c r="BB177">
        <v>2</v>
      </c>
      <c r="BC177" t="s">
        <v>2776</v>
      </c>
      <c r="BD177">
        <v>2</v>
      </c>
      <c r="BE177" t="s">
        <v>2768</v>
      </c>
      <c r="BF177">
        <v>2</v>
      </c>
      <c r="BG177" t="s">
        <v>3067</v>
      </c>
      <c r="BH177">
        <v>0</v>
      </c>
      <c r="BI177" t="s">
        <v>2794</v>
      </c>
      <c r="BJ177">
        <v>0</v>
      </c>
      <c r="BK177" t="s">
        <v>3026</v>
      </c>
      <c r="BL177">
        <v>2</v>
      </c>
      <c r="BM177" t="s">
        <v>3009</v>
      </c>
      <c r="BN177">
        <v>2</v>
      </c>
      <c r="BO177" s="176" t="s">
        <v>2776</v>
      </c>
      <c r="BP177">
        <v>2</v>
      </c>
      <c r="BQ177" t="s">
        <v>2768</v>
      </c>
      <c r="BR177">
        <v>1</v>
      </c>
      <c r="BS177" t="s">
        <v>2776</v>
      </c>
      <c r="BT177">
        <v>2</v>
      </c>
      <c r="BU177" t="s">
        <v>2776</v>
      </c>
      <c r="BV177">
        <v>2</v>
      </c>
      <c r="BW177" s="182" t="s">
        <v>2794</v>
      </c>
      <c r="BX177" s="179">
        <v>2</v>
      </c>
      <c r="BY177" t="s">
        <v>3009</v>
      </c>
      <c r="BZ177">
        <v>2</v>
      </c>
      <c r="CA177" t="s">
        <v>3009</v>
      </c>
      <c r="CB177">
        <v>2</v>
      </c>
    </row>
    <row r="178" spans="1:80">
      <c r="A178" s="178" t="str">
        <f ca="1">IFERROR(IF(A177+加速!$L$11&lt;$AS$1,IF(COUNTIF(B177,"*轻*")&gt;0,A177+加速!$L$9,A177+加速!$L$11)+V177,IF(COUNTIF(INDEX(AU178:CB178,1,$AT$1),"*云景*")+COUNTIF(INDEX(AU178:CB178,1,$AT$1),"*鹤归*")+COUNTIF(INDEX(AU178:CB178,1,$AT$1),"*听雷*")&gt;0,A177+加速!$L$11,"")),"")</f>
        <v/>
      </c>
      <c r="B178" s="167" t="str">
        <f ca="1">IF(A178&lt;&gt;"",IF(AND(A178+加速!$L$11&gt;$AS$1,IF(AND(配装计算器!$K$30&lt;&gt;"∞",0),"梦泉虎跑-轻",INDEX(AU178:CB178,1,$AT$1))="云栖松"),"夕照雷峰",IF(AND(配装计算器!$K$30&lt;&gt;"∞",0),"梦泉虎跑-轻",INDEX(AU178:CB178,1,$AT$1))),"")</f>
        <v/>
      </c>
      <c r="C178" t="str">
        <f ca="1" t="shared" si="30"/>
        <v/>
      </c>
      <c r="D178" t="str">
        <f ca="1">IF(B178&lt;&gt;"",IF(C177&lt;=加速!$L$11*(1-E178),0,1),"")</f>
        <v/>
      </c>
      <c r="E178">
        <f ca="1" t="shared" si="26"/>
        <v>1</v>
      </c>
      <c r="G178" t="str">
        <f ca="1" t="shared" si="27"/>
        <v/>
      </c>
      <c r="H178" t="str">
        <f ca="1">IF(B178&lt;&gt;"",IF(AND(COUNTIF(B177,"*轻*莺鸣柳*")&gt;0,COUNTIF(B178,"*轻*")&lt;1),MAX(0,15+I177-(A178-A177)+COUNTIF(B177,"*平湖*")*0),IF(AND(E178=0,MAX(0,H177-(A178-A177))&lt;=加速!$H$11),0,MAX(0,H177-(A178-A177)))),"")</f>
        <v/>
      </c>
      <c r="I178" t="str">
        <f ca="1" t="shared" si="33"/>
        <v/>
      </c>
      <c r="J178" t="str">
        <f ca="1" t="shared" si="34"/>
        <v/>
      </c>
      <c r="K178" t="str">
        <f ca="1">IF(A178&lt;&gt;"",IF(AND(配装计算器!$K$30&lt;&gt;"∞",0),2,INDEX(AU178:CB178,1,$AT$2)),"")</f>
        <v/>
      </c>
      <c r="L178">
        <f ca="1">IFERROR(IF(AND(COUNTIF(B178,"*-峰插*"),技能数据库!$M$72&gt;0),0,IF(COUNTIF(B178,"*鹤归*")&gt;0,16-加速!$L$11,MAX(0,L177-(A178-A177)))),0)</f>
        <v>0</v>
      </c>
      <c r="M178">
        <f ca="1">IF(COUNTIF(IF(AND(配装计算器!$K$30&lt;&gt;"∞",0),INDEX(AU177:CB177,1,$AT$1),INDEX(AU179:CB179,1,$AT$1)),"*鹤归*")=1,L178,0)</f>
        <v>0</v>
      </c>
      <c r="N178">
        <f ca="1">IFERROR(IF(AND(COUNTIF(B178,"*-峰插*"),技能数据库!$M$72&gt;0),0,IF(COUNTIF(B178,"*云飞*")&gt;0,4-COUNTIF(B178,"*玉山揽云*")*4--COUNTIF(B178,"*烟流暮景*")*4-COUNTIF(B178,"*云景*")*加速!$L$11-IF(J178&gt;0,2,0),MAX(0,N177-(A178-A177)-IF(J178&gt;0,2,0)))),0)</f>
        <v>0</v>
      </c>
      <c r="O178">
        <f ca="1">IF(AND(COUNTIF(IF(AND(配装计算器!$K$30&lt;&gt;"∞",0),INDEX(AU177:CB177,1,$AT$1),INDEX(AU179:CB179,1,$AT$1)),"*云飞*")=1,COUNTIF(IF(AND(配装计算器!$K$30&lt;&gt;"∞",0),INDEX(AU177:CB177,1,$AT$1),INDEX(AU179:CB179,1,$AT$1)),"*玉山*")=0),N178,0)</f>
        <v>0</v>
      </c>
      <c r="P178">
        <f ca="1">IFERROR(IF(COUNTIF(B178,"*云栖松*")&gt;0,50-加速!$L$11,MAX(0,P177-(A178-A177))),0)</f>
        <v>0</v>
      </c>
      <c r="Q178">
        <f ca="1">IF(COUNTIF(IF(AND(配装计算器!$K$30&lt;&gt;"∞",0),INDEX(AU177:CB177,1,$AT$1),INDEX(AU179:CB179,1,$AT$1)),"*云栖松*")=1,P178,0)</f>
        <v>0</v>
      </c>
      <c r="R178">
        <f ca="1">IFERROR(IF(COUNTIF(B178,"*莺鸣柳*")&gt;0,45-加速!$L$9,MAX(0,R177-(A178-A177))),0)</f>
        <v>0</v>
      </c>
      <c r="S178">
        <f ca="1">IF(COUNTIF(IF(AND(配装计算器!$K$30&lt;&gt;"∞",0),INDEX(AU177:CB177,1,$AT$1),INDEX(AU179:CB179,1,$AT$1)),"*莺鸣柳*")=1,R178,0)</f>
        <v>0</v>
      </c>
      <c r="T178">
        <f ca="1" t="shared" si="31"/>
        <v>0</v>
      </c>
      <c r="U178">
        <f ca="1">IF(金蛇,IF(COUNTIF(B178,"*金环戴*")+COUNTIF(B178,"*吹风醒*")&gt;0,IF(A178&lt;=3,7.125-2.625-A178-加速!$L$11,7.125+加速!$K$9-(A178+加速!$L$11-T178)),0),0)+IF(金蛇,IF(COUNTIF(B178,"*千切子裂光*")&gt;0,2+加速!$K$9-(A178+加速!$L$11-T178),0),0)</f>
        <v>0</v>
      </c>
      <c r="V178">
        <f ca="1" t="shared" si="32"/>
        <v>0</v>
      </c>
      <c r="W178">
        <f ca="1" t="shared" si="24"/>
        <v>0</v>
      </c>
      <c r="X178">
        <f ca="1">INDEX(加速!$I$13:$I$21,技能数计算!W178+1)</f>
        <v>0</v>
      </c>
      <c r="Y178">
        <f ca="1" t="shared" si="28"/>
        <v>0.5</v>
      </c>
      <c r="Z178">
        <f ca="1" t="shared" si="29"/>
        <v>0</v>
      </c>
      <c r="AA178">
        <f ca="1">MAX(0,IFERROR(IF(COUNTIF(B178,"*叠*")&gt;0,IF(AC177&lt;3,8-A179+A178,AA177+6.875-A179+A178),AA177-A179+A178),AA177-加速!$L$11))</f>
        <v>0</v>
      </c>
      <c r="AB178" t="e">
        <f ca="1">MAX(0,IF(COUNTIF(IF(AND(配装计算器!$K$30&lt;&gt;"∞",0),INDEX(AU178:CB178,1,$AT$1),INDEX(AU178:CB178,1,$AT$1)),"*叠1*")=1,4*25-加速!$L$11,AB177-A178+A177)-IF(OR(COUNTIF(OFFSET(AT178,0,$AT$1,1,1),"*听雷*")&gt;0,AND(碧归&gt;0,COUNTIF(OFFSET(AT178,0,$AT$1,1,1),"*风来*")&gt;0)),0,1)*1.5)</f>
        <v>#VALUE!</v>
      </c>
      <c r="AC178">
        <f ca="1" t="shared" si="25"/>
        <v>3</v>
      </c>
      <c r="AD178">
        <f ca="1">IF(COUNTIF(IF(AND(配装计算器!$K$30&lt;&gt;"∞",0),INDEX(AU178:CB178,1,$AT$1),INDEX(AU179:CB179,1,$AT$1)),"*叠1*")=1,AB178*0+AE177,0)</f>
        <v>0</v>
      </c>
      <c r="AE178" t="e">
        <f ca="1">IF($AN$11&gt;0,IF(COUNTIF(B179,"*叠1*")&gt;0,50-加速!$H$11,MAX(0,AE177-(A179-A178))),0)</f>
        <v>#VALUE!</v>
      </c>
      <c r="AH178" t="s">
        <v>1825</v>
      </c>
      <c r="AI178" s="161" t="s">
        <v>2869</v>
      </c>
      <c r="AJ178">
        <f ca="1">AJ179</f>
        <v>0</v>
      </c>
      <c r="AK178" t="s">
        <v>3110</v>
      </c>
      <c r="AU178" s="176" t="s">
        <v>2768</v>
      </c>
      <c r="AV178">
        <v>1</v>
      </c>
      <c r="AW178" s="176" t="s">
        <v>2776</v>
      </c>
      <c r="AX178">
        <v>2</v>
      </c>
      <c r="AY178" t="s">
        <v>2768</v>
      </c>
      <c r="AZ178">
        <v>2</v>
      </c>
      <c r="BA178" t="s">
        <v>2768</v>
      </c>
      <c r="BB178">
        <v>2</v>
      </c>
      <c r="BC178" t="s">
        <v>2768</v>
      </c>
      <c r="BD178">
        <v>2</v>
      </c>
      <c r="BE178" t="s">
        <v>3019</v>
      </c>
      <c r="BF178">
        <v>2</v>
      </c>
      <c r="BG178" t="s">
        <v>2768</v>
      </c>
      <c r="BH178">
        <v>2</v>
      </c>
      <c r="BI178" t="s">
        <v>2768</v>
      </c>
      <c r="BJ178">
        <v>2</v>
      </c>
      <c r="BK178" t="s">
        <v>3026</v>
      </c>
      <c r="BL178">
        <v>2</v>
      </c>
      <c r="BM178" t="s">
        <v>2776</v>
      </c>
      <c r="BN178">
        <v>2</v>
      </c>
      <c r="BO178" s="176" t="s">
        <v>2768</v>
      </c>
      <c r="BP178">
        <v>2</v>
      </c>
      <c r="BQ178" t="s">
        <v>2776</v>
      </c>
      <c r="BR178">
        <v>1</v>
      </c>
      <c r="BS178" t="s">
        <v>2768</v>
      </c>
      <c r="BT178">
        <v>2</v>
      </c>
      <c r="BU178" t="s">
        <v>2768</v>
      </c>
      <c r="BV178">
        <v>2</v>
      </c>
      <c r="BW178" s="182" t="s">
        <v>2776</v>
      </c>
      <c r="BX178" s="179">
        <v>2</v>
      </c>
      <c r="BY178" t="s">
        <v>2768</v>
      </c>
      <c r="BZ178">
        <v>2</v>
      </c>
      <c r="CA178" s="176" t="s">
        <v>2794</v>
      </c>
      <c r="CB178">
        <v>2</v>
      </c>
    </row>
    <row r="179" spans="1:80">
      <c r="A179" s="178" t="str">
        <f ca="1">IFERROR(IF(A178+加速!$L$11&lt;$AS$1,IF(COUNTIF(B178,"*轻*")&gt;0,A178+加速!$L$9,A178+加速!$L$11)+V178,IF(COUNTIF(INDEX(AU179:CB179,1,$AT$1),"*云景*")+COUNTIF(INDEX(AU179:CB179,1,$AT$1),"*鹤归*")+COUNTIF(INDEX(AU179:CB179,1,$AT$1),"*听雷*")&gt;0,A178+加速!$L$11,"")),"")</f>
        <v/>
      </c>
      <c r="B179" s="167" t="str">
        <f ca="1">IF(A179&lt;&gt;"",IF(AND(A179+加速!$L$11&gt;$AS$1,IF(AND(配装计算器!$K$30&lt;&gt;"∞",0),"梦泉虎跑-轻",INDEX(AU179:CB179,1,$AT$1))="云栖松"),"夕照雷峰",IF(AND(配装计算器!$K$30&lt;&gt;"∞",0),"梦泉虎跑-轻",INDEX(AU179:CB179,1,$AT$1))),"")</f>
        <v/>
      </c>
      <c r="C179" t="str">
        <f ca="1" t="shared" si="30"/>
        <v/>
      </c>
      <c r="D179" t="str">
        <f ca="1">IF(B179&lt;&gt;"",IF(C178&lt;=加速!$L$11*(1-E179),0,1),"")</f>
        <v/>
      </c>
      <c r="E179">
        <f ca="1" t="shared" si="26"/>
        <v>1</v>
      </c>
      <c r="G179" t="str">
        <f ca="1" t="shared" si="27"/>
        <v/>
      </c>
      <c r="H179" t="str">
        <f ca="1">IF(B179&lt;&gt;"",IF(AND(COUNTIF(B178,"*轻*莺鸣柳*")&gt;0,COUNTIF(B179,"*轻*")&lt;1),MAX(0,15+I178-(A179-A178)+COUNTIF(B178,"*平湖*")*0),IF(AND(E179=0,MAX(0,H178-(A179-A178))&lt;=加速!$H$11),0,MAX(0,H178-(A179-A178)))),"")</f>
        <v/>
      </c>
      <c r="I179" t="str">
        <f ca="1" t="shared" si="33"/>
        <v/>
      </c>
      <c r="J179" t="str">
        <f ca="1" t="shared" si="34"/>
        <v/>
      </c>
      <c r="K179" t="str">
        <f ca="1">IF(A179&lt;&gt;"",IF(AND(配装计算器!$K$30&lt;&gt;"∞",0),2,INDEX(AU179:CB179,1,$AT$2)),"")</f>
        <v/>
      </c>
      <c r="L179">
        <f ca="1">IFERROR(IF(AND(COUNTIF(B179,"*-峰插*"),技能数据库!$M$72&gt;0),0,IF(COUNTIF(B179,"*鹤归*")&gt;0,16-加速!$L$11,MAX(0,L178-(A179-A178)))),0)</f>
        <v>0</v>
      </c>
      <c r="M179">
        <f ca="1">IF(COUNTIF(IF(AND(配装计算器!$K$30&lt;&gt;"∞",0),INDEX(AU178:CB178,1,$AT$1),INDEX(AU180:CB180,1,$AT$1)),"*鹤归*")=1,L179,0)</f>
        <v>0</v>
      </c>
      <c r="N179">
        <f ca="1">IFERROR(IF(AND(COUNTIF(B179,"*-峰插*"),技能数据库!$M$72&gt;0),0,IF(COUNTIF(B179,"*云飞*")&gt;0,4-COUNTIF(B179,"*玉山揽云*")*4--COUNTIF(B179,"*烟流暮景*")*4-COUNTIF(B179,"*云景*")*加速!$L$11-IF(J179&gt;0,2,0),MAX(0,N178-(A179-A178)-IF(J179&gt;0,2,0)))),0)</f>
        <v>0</v>
      </c>
      <c r="O179">
        <f ca="1">IF(AND(COUNTIF(IF(AND(配装计算器!$K$30&lt;&gt;"∞",0),INDEX(AU178:CB178,1,$AT$1),INDEX(AU180:CB180,1,$AT$1)),"*云飞*")=1,COUNTIF(IF(AND(配装计算器!$K$30&lt;&gt;"∞",0),INDEX(AU178:CB178,1,$AT$1),INDEX(AU180:CB180,1,$AT$1)),"*玉山*")=0),N179,0)</f>
        <v>0</v>
      </c>
      <c r="P179">
        <f ca="1">IFERROR(IF(COUNTIF(B179,"*云栖松*")&gt;0,50-加速!$L$11,MAX(0,P178-(A179-A178))),0)</f>
        <v>0</v>
      </c>
      <c r="Q179">
        <f ca="1">IF(COUNTIF(IF(AND(配装计算器!$K$30&lt;&gt;"∞",0),INDEX(AU178:CB178,1,$AT$1),INDEX(AU180:CB180,1,$AT$1)),"*云栖松*")=1,P179,0)</f>
        <v>0</v>
      </c>
      <c r="R179">
        <f ca="1">IFERROR(IF(COUNTIF(B179,"*莺鸣柳*")&gt;0,45-加速!$L$9,MAX(0,R178-(A179-A178))),0)</f>
        <v>0</v>
      </c>
      <c r="S179">
        <f ca="1">IF(COUNTIF(IF(AND(配装计算器!$K$30&lt;&gt;"∞",0),INDEX(AU178:CB178,1,$AT$1),INDEX(AU180:CB180,1,$AT$1)),"*莺鸣柳*")=1,R179,0)</f>
        <v>0</v>
      </c>
      <c r="T179">
        <f ca="1" t="shared" si="31"/>
        <v>0</v>
      </c>
      <c r="U179">
        <f ca="1">IF(金蛇,IF(COUNTIF(B179,"*金环戴*")+COUNTIF(B179,"*吹风醒*")&gt;0,IF(A179&lt;=3,7.125-2.625-A179-加速!$L$11,7.125+加速!$K$9-(A179+加速!$L$11-T179)),0),0)+IF(金蛇,IF(COUNTIF(B179,"*千切子裂光*")&gt;0,2+加速!$K$9-(A179+加速!$L$11-T179),0),0)</f>
        <v>0</v>
      </c>
      <c r="V179">
        <f ca="1" t="shared" si="32"/>
        <v>0</v>
      </c>
      <c r="W179">
        <f ca="1" t="shared" si="24"/>
        <v>0</v>
      </c>
      <c r="X179">
        <f ca="1">INDEX(加速!$I$13:$I$21,技能数计算!W179+1)</f>
        <v>0</v>
      </c>
      <c r="Y179">
        <f ca="1" t="shared" si="28"/>
        <v>0.5</v>
      </c>
      <c r="Z179">
        <f ca="1" t="shared" si="29"/>
        <v>0</v>
      </c>
      <c r="AA179">
        <f ca="1">MAX(0,IFERROR(IF(COUNTIF(B179,"*叠*")&gt;0,IF(AC178&lt;3,8-A180+A179,AA178+6.875-A180+A179),AA178-A180+A179),AA178-加速!$L$11))</f>
        <v>0</v>
      </c>
      <c r="AB179" t="e">
        <f ca="1">MAX(0,IF(COUNTIF(IF(AND(配装计算器!$K$30&lt;&gt;"∞",0),INDEX(AU179:CB179,1,$AT$1),INDEX(AU179:CB179,1,$AT$1)),"*叠1*")=1,4*25-加速!$L$11,AB178-A179+A178)-IF(OR(COUNTIF(OFFSET(AT179,0,$AT$1,1,1),"*听雷*")&gt;0,AND(碧归&gt;0,COUNTIF(OFFSET(AT179,0,$AT$1,1,1),"*风来*")&gt;0)),0,1)*1.5)</f>
        <v>#VALUE!</v>
      </c>
      <c r="AC179">
        <f ca="1" t="shared" si="25"/>
        <v>3</v>
      </c>
      <c r="AD179">
        <f ca="1">IF(COUNTIF(IF(AND(配装计算器!$K$30&lt;&gt;"∞",0),INDEX(AU179:CB179,1,$AT$1),INDEX(AU180:CB180,1,$AT$1)),"*叠1*")=1,AB179*0+AE178,0)</f>
        <v>0</v>
      </c>
      <c r="AE179" t="e">
        <f ca="1">IF($AN$11&gt;0,IF(COUNTIF(B180,"*叠1*")&gt;0,50-加速!$H$11,MAX(0,AE178-(A180-A179))),0)</f>
        <v>#VALUE!</v>
      </c>
      <c r="AH179" t="s">
        <v>1825</v>
      </c>
      <c r="AI179" s="161" t="s">
        <v>2871</v>
      </c>
      <c r="AJ179">
        <f ca="1">循环比*COUNTIFS($B$3:$B$515,"*蛇牙锥心*",$D$3:$D$515,"&gt;0",$AC$3:$AC$515,3)</f>
        <v>0</v>
      </c>
      <c r="AK179" t="s">
        <v>3110</v>
      </c>
      <c r="AU179" t="s">
        <v>2776</v>
      </c>
      <c r="AV179">
        <v>1</v>
      </c>
      <c r="AW179" s="176" t="s">
        <v>2768</v>
      </c>
      <c r="AX179">
        <v>2</v>
      </c>
      <c r="AY179" t="s">
        <v>2768</v>
      </c>
      <c r="AZ179">
        <v>2</v>
      </c>
      <c r="BA179" t="s">
        <v>2768</v>
      </c>
      <c r="BB179">
        <v>1</v>
      </c>
      <c r="BC179" t="s">
        <v>2776</v>
      </c>
      <c r="BD179">
        <v>2</v>
      </c>
      <c r="BE179" t="s">
        <v>2768</v>
      </c>
      <c r="BF179">
        <v>2</v>
      </c>
      <c r="BG179" t="s">
        <v>2768</v>
      </c>
      <c r="BH179">
        <v>2</v>
      </c>
      <c r="BI179" t="s">
        <v>2776</v>
      </c>
      <c r="BJ179">
        <v>2</v>
      </c>
      <c r="BK179" t="s">
        <v>3026</v>
      </c>
      <c r="BL179">
        <v>2</v>
      </c>
      <c r="BM179" t="s">
        <v>2768</v>
      </c>
      <c r="BN179">
        <v>2</v>
      </c>
      <c r="BO179" s="176" t="s">
        <v>2776</v>
      </c>
      <c r="BP179">
        <v>2</v>
      </c>
      <c r="BQ179" t="s">
        <v>2768</v>
      </c>
      <c r="BR179">
        <v>0</v>
      </c>
      <c r="BS179" t="s">
        <v>2776</v>
      </c>
      <c r="BT179">
        <v>1</v>
      </c>
      <c r="BU179" t="s">
        <v>2776</v>
      </c>
      <c r="BV179">
        <v>2</v>
      </c>
      <c r="BW179" s="182" t="s">
        <v>2768</v>
      </c>
      <c r="BX179" s="179">
        <v>2</v>
      </c>
      <c r="BY179" t="s">
        <v>2776</v>
      </c>
      <c r="BZ179">
        <v>2</v>
      </c>
      <c r="CA179" s="176" t="s">
        <v>2776</v>
      </c>
      <c r="CB179">
        <v>2</v>
      </c>
    </row>
    <row r="180" spans="1:80">
      <c r="A180" s="178" t="str">
        <f ca="1">IFERROR(IF(A179+加速!$L$11&lt;$AS$1,IF(COUNTIF(B179,"*轻*")&gt;0,A179+加速!$L$9,A179+加速!$L$11)+V179,IF(COUNTIF(INDEX(AU180:CB180,1,$AT$1),"*云景*")+COUNTIF(INDEX(AU180:CB180,1,$AT$1),"*鹤归*")+COUNTIF(INDEX(AU180:CB180,1,$AT$1),"*听雷*")&gt;0,A179+加速!$L$11,"")),"")</f>
        <v/>
      </c>
      <c r="B180" s="167" t="str">
        <f ca="1">IF(A180&lt;&gt;"",IF(AND(A180+加速!$L$11&gt;$AS$1,IF(AND(配装计算器!$K$30&lt;&gt;"∞",0),"梦泉虎跑-轻",INDEX(AU180:CB180,1,$AT$1))="云栖松"),"夕照雷峰",IF(AND(配装计算器!$K$30&lt;&gt;"∞",0),"梦泉虎跑-轻",INDEX(AU180:CB180,1,$AT$1))),"")</f>
        <v/>
      </c>
      <c r="C180" t="str">
        <f ca="1" t="shared" si="30"/>
        <v/>
      </c>
      <c r="D180" t="str">
        <f ca="1">IF(B180&lt;&gt;"",IF(C179&lt;=加速!$L$11*(1-E180),0,1),"")</f>
        <v/>
      </c>
      <c r="E180">
        <f ca="1" t="shared" si="26"/>
        <v>1</v>
      </c>
      <c r="G180" t="str">
        <f ca="1" t="shared" si="27"/>
        <v/>
      </c>
      <c r="H180" t="str">
        <f ca="1">IF(B180&lt;&gt;"",IF(AND(COUNTIF(B179,"*轻*莺鸣柳*")&gt;0,COUNTIF(B180,"*轻*")&lt;1),MAX(0,15+I179-(A180-A179)+COUNTIF(B179,"*平湖*")*0),IF(AND(E180=0,MAX(0,H179-(A180-A179))&lt;=加速!$H$11),0,MAX(0,H179-(A180-A179)))),"")</f>
        <v/>
      </c>
      <c r="I180" t="str">
        <f ca="1" t="shared" si="33"/>
        <v/>
      </c>
      <c r="J180" t="str">
        <f ca="1" t="shared" si="34"/>
        <v/>
      </c>
      <c r="K180" t="str">
        <f ca="1">IF(A180&lt;&gt;"",IF(AND(配装计算器!$K$30&lt;&gt;"∞",0),2,INDEX(AU180:CB180,1,$AT$2)),"")</f>
        <v/>
      </c>
      <c r="L180">
        <f ca="1">IFERROR(IF(AND(COUNTIF(B180,"*-峰插*"),技能数据库!$M$72&gt;0),0,IF(COUNTIF(B180,"*鹤归*")&gt;0,16-加速!$L$11,MAX(0,L179-(A180-A179)))),0)</f>
        <v>0</v>
      </c>
      <c r="M180">
        <f ca="1">IF(COUNTIF(IF(AND(配装计算器!$K$30&lt;&gt;"∞",0),INDEX(AU179:CB179,1,$AT$1),INDEX(AU181:CB181,1,$AT$1)),"*鹤归*")=1,L180,0)</f>
        <v>0</v>
      </c>
      <c r="N180">
        <f ca="1">IFERROR(IF(AND(COUNTIF(B180,"*-峰插*"),技能数据库!$M$72&gt;0),0,IF(COUNTIF(B180,"*云飞*")&gt;0,4-COUNTIF(B180,"*玉山揽云*")*4--COUNTIF(B180,"*烟流暮景*")*4-COUNTIF(B180,"*云景*")*加速!$L$11-IF(J180&gt;0,2,0),MAX(0,N179-(A180-A179)-IF(J180&gt;0,2,0)))),0)</f>
        <v>0</v>
      </c>
      <c r="O180">
        <f ca="1">IF(AND(COUNTIF(IF(AND(配装计算器!$K$30&lt;&gt;"∞",0),INDEX(AU179:CB179,1,$AT$1),INDEX(AU181:CB181,1,$AT$1)),"*云飞*")=1,COUNTIF(IF(AND(配装计算器!$K$30&lt;&gt;"∞",0),INDEX(AU179:CB179,1,$AT$1),INDEX(AU181:CB181,1,$AT$1)),"*玉山*")=0),N180,0)</f>
        <v>0</v>
      </c>
      <c r="P180">
        <f ca="1">IFERROR(IF(COUNTIF(B180,"*云栖松*")&gt;0,50-加速!$L$11,MAX(0,P179-(A180-A179))),0)</f>
        <v>0</v>
      </c>
      <c r="Q180">
        <f ca="1">IF(COUNTIF(IF(AND(配装计算器!$K$30&lt;&gt;"∞",0),INDEX(AU179:CB179,1,$AT$1),INDEX(AU181:CB181,1,$AT$1)),"*云栖松*")=1,P180,0)</f>
        <v>0</v>
      </c>
      <c r="R180">
        <f ca="1">IFERROR(IF(COUNTIF(B180,"*莺鸣柳*")&gt;0,45-加速!$L$9,MAX(0,R179-(A180-A179))),0)</f>
        <v>0</v>
      </c>
      <c r="S180">
        <f ca="1">IF(COUNTIF(IF(AND(配装计算器!$K$30&lt;&gt;"∞",0),INDEX(AU179:CB179,1,$AT$1),INDEX(AU181:CB181,1,$AT$1)),"*莺鸣柳*")=1,R180,0)</f>
        <v>0</v>
      </c>
      <c r="T180">
        <f ca="1" t="shared" si="31"/>
        <v>0</v>
      </c>
      <c r="U180">
        <f ca="1">IF(金蛇,IF(COUNTIF(B180,"*金环戴*")+COUNTIF(B180,"*吹风醒*")&gt;0,IF(A180&lt;=3,7.125-2.625-A180-加速!$L$11,7.125+加速!$K$9-(A180+加速!$L$11-T180)),0),0)+IF(金蛇,IF(COUNTIF(B180,"*千切子裂光*")&gt;0,2+加速!$K$9-(A180+加速!$L$11-T180),0),0)</f>
        <v>0</v>
      </c>
      <c r="V180">
        <f ca="1" t="shared" si="32"/>
        <v>0</v>
      </c>
      <c r="W180">
        <f ca="1" t="shared" si="24"/>
        <v>0</v>
      </c>
      <c r="X180">
        <f ca="1">INDEX(加速!$I$13:$I$21,技能数计算!W180+1)</f>
        <v>0</v>
      </c>
      <c r="Y180">
        <f ca="1" t="shared" si="28"/>
        <v>0.5</v>
      </c>
      <c r="Z180">
        <f ca="1" t="shared" si="29"/>
        <v>0</v>
      </c>
      <c r="AA180">
        <f ca="1">MAX(0,IFERROR(IF(COUNTIF(B180,"*叠*")&gt;0,IF(AC179&lt;3,8-A181+A180,AA179+6.875-A181+A180),AA179-A181+A180),AA179-加速!$L$11))</f>
        <v>0</v>
      </c>
      <c r="AB180" t="e">
        <f ca="1">MAX(0,IF(COUNTIF(IF(AND(配装计算器!$K$30&lt;&gt;"∞",0),INDEX(AU180:CB180,1,$AT$1),INDEX(AU180:CB180,1,$AT$1)),"*叠1*")=1,4*25-加速!$L$11,AB179-A180+A179)-IF(OR(COUNTIF(OFFSET(AT180,0,$AT$1,1,1),"*听雷*")&gt;0,AND(碧归&gt;0,COUNTIF(OFFSET(AT180,0,$AT$1,1,1),"*风来*")&gt;0)),0,1)*1.5)</f>
        <v>#VALUE!</v>
      </c>
      <c r="AC180">
        <f ca="1" t="shared" si="25"/>
        <v>3</v>
      </c>
      <c r="AD180">
        <f ca="1">IF(COUNTIF(IF(AND(配装计算器!$K$30&lt;&gt;"∞",0),INDEX(AU180:CB180,1,$AT$1),INDEX(AU181:CB181,1,$AT$1)),"*叠1*")=1,AB180*0+AE179,0)</f>
        <v>0</v>
      </c>
      <c r="AE180" t="e">
        <f ca="1">IF($AN$11&gt;0,IF(COUNTIF(B181,"*叠1*")&gt;0,50-加速!$H$11,MAX(0,AE179-(A181-A180))),0)</f>
        <v>#VALUE!</v>
      </c>
      <c r="AH180" t="s">
        <v>1825</v>
      </c>
      <c r="AI180" s="161" t="s">
        <v>2885</v>
      </c>
      <c r="AJ180">
        <f ca="1">循环比*COUNTIFS($B$3:$B$515,"*千切子寒光*",$D$3:$D$515,"&gt;0",$AC$3:$AC$515,3)</f>
        <v>0</v>
      </c>
      <c r="AK180" t="s">
        <v>3110</v>
      </c>
      <c r="AU180" t="s">
        <v>2768</v>
      </c>
      <c r="AV180">
        <v>1</v>
      </c>
      <c r="AW180" s="176" t="s">
        <v>2776</v>
      </c>
      <c r="AX180">
        <v>2</v>
      </c>
      <c r="AY180" t="s">
        <v>2768</v>
      </c>
      <c r="AZ180">
        <v>1</v>
      </c>
      <c r="BA180" t="s">
        <v>2776</v>
      </c>
      <c r="BB180">
        <v>1</v>
      </c>
      <c r="BC180" t="s">
        <v>2768</v>
      </c>
      <c r="BD180">
        <v>2</v>
      </c>
      <c r="BE180" t="s">
        <v>2768</v>
      </c>
      <c r="BF180">
        <v>2</v>
      </c>
      <c r="BG180" s="176" t="s">
        <v>2794</v>
      </c>
      <c r="BH180">
        <v>1</v>
      </c>
      <c r="BI180" t="s">
        <v>2768</v>
      </c>
      <c r="BJ180">
        <v>2</v>
      </c>
      <c r="BK180" s="176" t="s">
        <v>3026</v>
      </c>
      <c r="BL180">
        <v>2</v>
      </c>
      <c r="BM180" t="str">
        <f>IF(山重水复,"风来吴山","夕照雷峰")</f>
        <v>夕照雷峰</v>
      </c>
      <c r="BN180">
        <v>2</v>
      </c>
      <c r="BO180" s="176" t="s">
        <v>2768</v>
      </c>
      <c r="BP180">
        <v>2</v>
      </c>
      <c r="BQ180" t="s">
        <v>2768</v>
      </c>
      <c r="BR180">
        <v>0</v>
      </c>
      <c r="BS180" t="s">
        <v>2768</v>
      </c>
      <c r="BT180">
        <v>1</v>
      </c>
      <c r="BU180" t="s">
        <v>2768</v>
      </c>
      <c r="BV180">
        <v>1</v>
      </c>
      <c r="BW180" s="182" t="s">
        <v>2776</v>
      </c>
      <c r="BX180" s="179">
        <v>2</v>
      </c>
      <c r="BY180" t="s">
        <v>2768</v>
      </c>
      <c r="BZ180">
        <v>2</v>
      </c>
      <c r="CA180" s="176" t="s">
        <v>2768</v>
      </c>
      <c r="CB180">
        <v>2</v>
      </c>
    </row>
    <row r="181" spans="1:80">
      <c r="A181" s="178" t="str">
        <f ca="1">IFERROR(IF(A180+加速!$L$11&lt;$AS$1,IF(COUNTIF(B180,"*轻*")&gt;0,A180+加速!$L$9,A180+加速!$L$11)+V180,IF(COUNTIF(INDEX(AU181:CB181,1,$AT$1),"*云景*")+COUNTIF(INDEX(AU181:CB181,1,$AT$1),"*鹤归*")+COUNTIF(INDEX(AU181:CB181,1,$AT$1),"*听雷*")&gt;0,A180+加速!$L$11,"")),"")</f>
        <v/>
      </c>
      <c r="B181" s="167" t="str">
        <f ca="1">IF(A181&lt;&gt;"",IF(AND(A181+加速!$L$11&gt;$AS$1,IF(AND(配装计算器!$K$30&lt;&gt;"∞",0),"梦泉虎跑-轻",INDEX(AU181:CB181,1,$AT$1))="云栖松"),"夕照雷峰",IF(AND(配装计算器!$K$30&lt;&gt;"∞",0),"梦泉虎跑-轻",INDEX(AU181:CB181,1,$AT$1))),"")</f>
        <v/>
      </c>
      <c r="C181" t="str">
        <f ca="1" t="shared" si="30"/>
        <v/>
      </c>
      <c r="D181" t="str">
        <f ca="1">IF(B181&lt;&gt;"",IF(C180&lt;=加速!$L$11*(1-E181),0,1),"")</f>
        <v/>
      </c>
      <c r="E181">
        <f ca="1" t="shared" si="26"/>
        <v>1</v>
      </c>
      <c r="G181" t="str">
        <f ca="1" t="shared" si="27"/>
        <v/>
      </c>
      <c r="H181" t="str">
        <f ca="1">IF(B181&lt;&gt;"",IF(AND(COUNTIF(B180,"*轻*莺鸣柳*")&gt;0,COUNTIF(B181,"*轻*")&lt;1),MAX(0,15+I180-(A181-A180)+COUNTIF(B180,"*平湖*")*0),IF(AND(E181=0,MAX(0,H180-(A181-A180))&lt;=加速!$H$11),0,MAX(0,H180-(A181-A180)))),"")</f>
        <v/>
      </c>
      <c r="I181" t="str">
        <f ca="1" t="shared" si="33"/>
        <v/>
      </c>
      <c r="J181" t="str">
        <f ca="1" t="shared" si="34"/>
        <v/>
      </c>
      <c r="K181" t="str">
        <f ca="1">IF(A181&lt;&gt;"",IF(AND(配装计算器!$K$30&lt;&gt;"∞",0),2,INDEX(AU181:CB181,1,$AT$2)),"")</f>
        <v/>
      </c>
      <c r="L181">
        <f ca="1">IFERROR(IF(AND(COUNTIF(B181,"*-峰插*"),技能数据库!$M$72&gt;0),0,IF(COUNTIF(B181,"*鹤归*")&gt;0,16-加速!$L$11,MAX(0,L180-(A181-A180)))),0)</f>
        <v>0</v>
      </c>
      <c r="M181">
        <f ca="1">IF(COUNTIF(IF(AND(配装计算器!$K$30&lt;&gt;"∞",0),INDEX(AU180:CB180,1,$AT$1),INDEX(AU182:CB182,1,$AT$1)),"*鹤归*")=1,L181,0)</f>
        <v>0</v>
      </c>
      <c r="N181">
        <f ca="1">IFERROR(IF(AND(COUNTIF(B181,"*-峰插*"),技能数据库!$M$72&gt;0),0,IF(COUNTIF(B181,"*云飞*")&gt;0,4-COUNTIF(B181,"*玉山揽云*")*4--COUNTIF(B181,"*烟流暮景*")*4-COUNTIF(B181,"*云景*")*加速!$L$11-IF(J181&gt;0,2,0),MAX(0,N180-(A181-A180)-IF(J181&gt;0,2,0)))),0)</f>
        <v>0</v>
      </c>
      <c r="O181">
        <f ca="1">IF(AND(COUNTIF(IF(AND(配装计算器!$K$30&lt;&gt;"∞",0),INDEX(AU180:CB180,1,$AT$1),INDEX(AU182:CB182,1,$AT$1)),"*云飞*")=1,COUNTIF(IF(AND(配装计算器!$K$30&lt;&gt;"∞",0),INDEX(AU180:CB180,1,$AT$1),INDEX(AU182:CB182,1,$AT$1)),"*玉山*")=0),N181,0)</f>
        <v>0</v>
      </c>
      <c r="P181">
        <f ca="1">IFERROR(IF(COUNTIF(B181,"*云栖松*")&gt;0,50-加速!$L$11,MAX(0,P180-(A181-A180))),0)</f>
        <v>0</v>
      </c>
      <c r="Q181">
        <f ca="1">IF(COUNTIF(IF(AND(配装计算器!$K$30&lt;&gt;"∞",0),INDEX(AU180:CB180,1,$AT$1),INDEX(AU182:CB182,1,$AT$1)),"*云栖松*")=1,P181,0)</f>
        <v>0</v>
      </c>
      <c r="R181">
        <f ca="1">IFERROR(IF(COUNTIF(B181,"*莺鸣柳*")&gt;0,45-加速!$L$9,MAX(0,R180-(A181-A180))),0)</f>
        <v>0</v>
      </c>
      <c r="S181">
        <f ca="1">IF(COUNTIF(IF(AND(配装计算器!$K$30&lt;&gt;"∞",0),INDEX(AU180:CB180,1,$AT$1),INDEX(AU182:CB182,1,$AT$1)),"*莺鸣柳*")=1,R181,0)</f>
        <v>0</v>
      </c>
      <c r="T181">
        <f ca="1" t="shared" si="31"/>
        <v>0</v>
      </c>
      <c r="U181">
        <f ca="1">IF(金蛇,IF(COUNTIF(B181,"*金环戴*")+COUNTIF(B181,"*吹风醒*")&gt;0,IF(A181&lt;=3,7.125-2.625-A181-加速!$L$11,7.125+加速!$K$9-(A181+加速!$L$11-T181)),0),0)+IF(金蛇,IF(COUNTIF(B181,"*千切子裂光*")&gt;0,2+加速!$K$9-(A181+加速!$L$11-T181),0),0)</f>
        <v>0</v>
      </c>
      <c r="V181">
        <f ca="1" t="shared" si="32"/>
        <v>0</v>
      </c>
      <c r="W181">
        <f ca="1" t="shared" si="24"/>
        <v>0</v>
      </c>
      <c r="X181">
        <f ca="1">INDEX(加速!$I$13:$I$21,技能数计算!W181+1)</f>
        <v>0</v>
      </c>
      <c r="Y181">
        <f ca="1" t="shared" si="28"/>
        <v>0.5</v>
      </c>
      <c r="Z181">
        <f ca="1" t="shared" si="29"/>
        <v>0</v>
      </c>
      <c r="AA181">
        <f ca="1">MAX(0,IFERROR(IF(COUNTIF(B181,"*叠*")&gt;0,IF(AC180&lt;3,8-A182+A181,AA180+6.875-A182+A181),AA180-A182+A181),AA180-加速!$L$11))</f>
        <v>0</v>
      </c>
      <c r="AB181" t="e">
        <f ca="1">MAX(0,IF(COUNTIF(IF(AND(配装计算器!$K$30&lt;&gt;"∞",0),INDEX(AU181:CB181,1,$AT$1),INDEX(AU181:CB181,1,$AT$1)),"*叠1*")=1,4*25-加速!$L$11,AB180-A181+A180)-IF(OR(COUNTIF(OFFSET(AT181,0,$AT$1,1,1),"*听雷*")&gt;0,AND(碧归&gt;0,COUNTIF(OFFSET(AT181,0,$AT$1,1,1),"*风来*")&gt;0)),0,1)*1.5)</f>
        <v>#VALUE!</v>
      </c>
      <c r="AC181">
        <f ca="1" t="shared" si="25"/>
        <v>3</v>
      </c>
      <c r="AD181">
        <f ca="1">IF(COUNTIF(IF(AND(配装计算器!$K$30&lt;&gt;"∞",0),INDEX(AU181:CB181,1,$AT$1),INDEX(AU182:CB182,1,$AT$1)),"*叠1*")=1,AB181*0+AE180,0)</f>
        <v>0</v>
      </c>
      <c r="AE181" t="e">
        <f ca="1">IF($AN$11&gt;0,IF(COUNTIF(B182,"*叠1*")&gt;0,50-加速!$H$11,MAX(0,AE180-(A182-A181))),0)</f>
        <v>#VALUE!</v>
      </c>
      <c r="AH181" t="s">
        <v>1825</v>
      </c>
      <c r="AI181" s="161" t="s">
        <v>2897</v>
      </c>
      <c r="AJ181">
        <f ca="1">循环比*COUNTIFS($B$3:$B$515,"*千切子裂光*",$D$3:$D$515,"&gt;0",$AC$3:$AC$515,3)</f>
        <v>0</v>
      </c>
      <c r="AK181" t="s">
        <v>3110</v>
      </c>
      <c r="AU181" t="s">
        <v>2768</v>
      </c>
      <c r="AV181">
        <v>1</v>
      </c>
      <c r="AW181" s="176" t="s">
        <v>2768</v>
      </c>
      <c r="AX181">
        <v>2</v>
      </c>
      <c r="AY181" t="s">
        <v>2776</v>
      </c>
      <c r="AZ181">
        <v>1</v>
      </c>
      <c r="BA181" t="s">
        <v>2768</v>
      </c>
      <c r="BB181">
        <v>1</v>
      </c>
      <c r="BC181" t="s">
        <v>2776</v>
      </c>
      <c r="BD181">
        <v>2</v>
      </c>
      <c r="BE181" t="s">
        <v>2768</v>
      </c>
      <c r="BF181">
        <v>2</v>
      </c>
      <c r="BG181" t="s">
        <v>2776</v>
      </c>
      <c r="BH181">
        <v>1</v>
      </c>
      <c r="BI181" t="s">
        <v>2776</v>
      </c>
      <c r="BJ181">
        <v>1</v>
      </c>
      <c r="BK181" s="176" t="s">
        <v>2776</v>
      </c>
      <c r="BL181">
        <v>2</v>
      </c>
      <c r="BM181" s="176" t="s">
        <v>2794</v>
      </c>
      <c r="BN181">
        <v>2</v>
      </c>
      <c r="BO181" s="176" t="s">
        <v>2808</v>
      </c>
      <c r="BP181">
        <v>2</v>
      </c>
      <c r="BQ181" t="s">
        <v>3067</v>
      </c>
      <c r="BR181">
        <v>0</v>
      </c>
      <c r="BS181" t="s">
        <v>3056</v>
      </c>
      <c r="BT181">
        <v>0</v>
      </c>
      <c r="BU181" t="s">
        <v>2776</v>
      </c>
      <c r="BV181">
        <v>1</v>
      </c>
      <c r="BW181" s="182" t="s">
        <v>2768</v>
      </c>
      <c r="BX181" s="179">
        <v>2</v>
      </c>
      <c r="BY181" t="str">
        <f>IF(山重水复,"风来吴山","夕照雷峰")</f>
        <v>夕照雷峰</v>
      </c>
      <c r="BZ181">
        <v>2</v>
      </c>
      <c r="CA181" s="176" t="s">
        <v>2776</v>
      </c>
      <c r="CB181">
        <v>2</v>
      </c>
    </row>
    <row r="182" spans="1:80">
      <c r="A182" s="178" t="str">
        <f ca="1">IFERROR(IF(A181+加速!$L$11&lt;$AS$1,IF(COUNTIF(B181,"*轻*")&gt;0,A181+加速!$L$9,A181+加速!$L$11)+V181,IF(COUNTIF(INDEX(AU182:CB182,1,$AT$1),"*云景*")+COUNTIF(INDEX(AU182:CB182,1,$AT$1),"*鹤归*")+COUNTIF(INDEX(AU182:CB182,1,$AT$1),"*听雷*")&gt;0,A181+加速!$L$11,"")),"")</f>
        <v/>
      </c>
      <c r="B182" s="167" t="str">
        <f ca="1">IF(A182&lt;&gt;"",IF(AND(A182+加速!$L$11&gt;$AS$1,IF(AND(配装计算器!$K$30&lt;&gt;"∞",0),"梦泉虎跑-轻",INDEX(AU182:CB182,1,$AT$1))="云栖松"),"夕照雷峰",IF(AND(配装计算器!$K$30&lt;&gt;"∞",0),"梦泉虎跑-轻",INDEX(AU182:CB182,1,$AT$1))),"")</f>
        <v/>
      </c>
      <c r="C182" t="str">
        <f ca="1" t="shared" si="30"/>
        <v/>
      </c>
      <c r="D182" t="str">
        <f ca="1">IF(B182&lt;&gt;"",IF(C181&lt;=加速!$L$11*(1-E182),0,1),"")</f>
        <v/>
      </c>
      <c r="E182">
        <f ca="1" t="shared" si="26"/>
        <v>1</v>
      </c>
      <c r="G182" t="str">
        <f ca="1" t="shared" si="27"/>
        <v/>
      </c>
      <c r="H182" t="str">
        <f ca="1">IF(B182&lt;&gt;"",IF(AND(COUNTIF(B181,"*轻*莺鸣柳*")&gt;0,COUNTIF(B182,"*轻*")&lt;1),MAX(0,15+I181-(A182-A181)+COUNTIF(B181,"*平湖*")*0),IF(AND(E182=0,MAX(0,H181-(A182-A181))&lt;=加速!$H$11),0,MAX(0,H181-(A182-A181)))),"")</f>
        <v/>
      </c>
      <c r="I182" t="str">
        <f ca="1" t="shared" si="33"/>
        <v/>
      </c>
      <c r="J182" t="str">
        <f ca="1" t="shared" si="34"/>
        <v/>
      </c>
      <c r="K182" t="str">
        <f ca="1">IF(A182&lt;&gt;"",IF(AND(配装计算器!$K$30&lt;&gt;"∞",0),2,INDEX(AU182:CB182,1,$AT$2)),"")</f>
        <v/>
      </c>
      <c r="L182">
        <f ca="1">IFERROR(IF(AND(COUNTIF(B182,"*-峰插*"),技能数据库!$M$72&gt;0),0,IF(COUNTIF(B182,"*鹤归*")&gt;0,16-加速!$L$11,MAX(0,L181-(A182-A181)))),0)</f>
        <v>0</v>
      </c>
      <c r="M182">
        <f ca="1">IF(COUNTIF(IF(AND(配装计算器!$K$30&lt;&gt;"∞",0),INDEX(AU181:CB181,1,$AT$1),INDEX(AU183:CB183,1,$AT$1)),"*鹤归*")=1,L182,0)</f>
        <v>0</v>
      </c>
      <c r="N182">
        <f ca="1">IFERROR(IF(AND(COUNTIF(B182,"*-峰插*"),技能数据库!$M$72&gt;0),0,IF(COUNTIF(B182,"*云飞*")&gt;0,4-COUNTIF(B182,"*玉山揽云*")*4--COUNTIF(B182,"*烟流暮景*")*4-COUNTIF(B182,"*云景*")*加速!$L$11-IF(J182&gt;0,2,0),MAX(0,N181-(A182-A181)-IF(J182&gt;0,2,0)))),0)</f>
        <v>0</v>
      </c>
      <c r="O182">
        <f ca="1">IF(AND(COUNTIF(IF(AND(配装计算器!$K$30&lt;&gt;"∞",0),INDEX(AU181:CB181,1,$AT$1),INDEX(AU183:CB183,1,$AT$1)),"*云飞*")=1,COUNTIF(IF(AND(配装计算器!$K$30&lt;&gt;"∞",0),INDEX(AU181:CB181,1,$AT$1),INDEX(AU183:CB183,1,$AT$1)),"*玉山*")=0),N182,0)</f>
        <v>0</v>
      </c>
      <c r="P182">
        <f ca="1">IFERROR(IF(COUNTIF(B182,"*云栖松*")&gt;0,50-加速!$L$11,MAX(0,P181-(A182-A181))),0)</f>
        <v>0</v>
      </c>
      <c r="Q182">
        <f ca="1">IF(COUNTIF(IF(AND(配装计算器!$K$30&lt;&gt;"∞",0),INDEX(AU181:CB181,1,$AT$1),INDEX(AU183:CB183,1,$AT$1)),"*云栖松*")=1,P182,0)</f>
        <v>0</v>
      </c>
      <c r="R182">
        <f ca="1">IFERROR(IF(COUNTIF(B182,"*莺鸣柳*")&gt;0,45-加速!$L$9,MAX(0,R181-(A182-A181))),0)</f>
        <v>0</v>
      </c>
      <c r="S182">
        <f ca="1">IF(COUNTIF(IF(AND(配装计算器!$K$30&lt;&gt;"∞",0),INDEX(AU181:CB181,1,$AT$1),INDEX(AU183:CB183,1,$AT$1)),"*莺鸣柳*")=1,R182,0)</f>
        <v>0</v>
      </c>
      <c r="T182">
        <f ca="1" t="shared" si="31"/>
        <v>0</v>
      </c>
      <c r="U182">
        <f ca="1">IF(金蛇,IF(COUNTIF(B182,"*金环戴*")+COUNTIF(B182,"*吹风醒*")&gt;0,IF(A182&lt;=3,7.125-2.625-A182-加速!$L$11,7.125+加速!$K$9-(A182+加速!$L$11-T182)),0),0)+IF(金蛇,IF(COUNTIF(B182,"*千切子裂光*")&gt;0,2+加速!$K$9-(A182+加速!$L$11-T182),0),0)</f>
        <v>0</v>
      </c>
      <c r="V182">
        <f ca="1" t="shared" si="32"/>
        <v>0</v>
      </c>
      <c r="W182">
        <f ca="1" t="shared" si="24"/>
        <v>0</v>
      </c>
      <c r="X182">
        <f ca="1">INDEX(加速!$I$13:$I$21,技能数计算!W182+1)</f>
        <v>0</v>
      </c>
      <c r="Y182">
        <f ca="1" t="shared" si="28"/>
        <v>0.5</v>
      </c>
      <c r="Z182">
        <f ca="1" t="shared" si="29"/>
        <v>0</v>
      </c>
      <c r="AA182">
        <f ca="1">MAX(0,IFERROR(IF(COUNTIF(B182,"*叠*")&gt;0,IF(AC181&lt;3,8-A183+A182,AA181+6.875-A183+A182),AA181-A183+A182),AA181-加速!$L$11))</f>
        <v>0</v>
      </c>
      <c r="AB182" t="e">
        <f ca="1">MAX(0,IF(COUNTIF(IF(AND(配装计算器!$K$30&lt;&gt;"∞",0),INDEX(AU182:CB182,1,$AT$1),INDEX(AU182:CB182,1,$AT$1)),"*叠1*")=1,4*25-加速!$L$11,AB181-A182+A181)-IF(OR(COUNTIF(OFFSET(AT182,0,$AT$1,1,1),"*听雷*")&gt;0,AND(碧归&gt;0,COUNTIF(OFFSET(AT182,0,$AT$1,1,1),"*风来*")&gt;0)),0,1)*1.5)</f>
        <v>#VALUE!</v>
      </c>
      <c r="AC182">
        <f ca="1" t="shared" si="25"/>
        <v>3</v>
      </c>
      <c r="AD182">
        <f ca="1">IF(COUNTIF(IF(AND(配装计算器!$K$30&lt;&gt;"∞",0),INDEX(AU182:CB182,1,$AT$1),INDEX(AU183:CB183,1,$AT$1)),"*叠1*")=1,AB182*0+AE181,0)</f>
        <v>0</v>
      </c>
      <c r="AE182" t="e">
        <f ca="1">IF($AN$11&gt;0,IF(COUNTIF(B183,"*叠1*")&gt;0,50-加速!$H$11,MAX(0,AE181-(A183-A182))),0)</f>
        <v>#VALUE!</v>
      </c>
      <c r="AH182" t="s">
        <v>1825</v>
      </c>
      <c r="AI182" s="161" t="s">
        <v>2859</v>
      </c>
      <c r="AJ182">
        <f ca="1">循环比*COUNTIFS($B$3:$B$515,"*皇*"&amp;AI182&amp;"*",$D$3:$D$515,"&gt;0",$AC$3:$AC$515,0)/3</f>
        <v>0</v>
      </c>
      <c r="AK182" t="s">
        <v>2750</v>
      </c>
      <c r="AU182" t="s">
        <v>3063</v>
      </c>
      <c r="AV182">
        <v>2</v>
      </c>
      <c r="AW182" s="176" t="s">
        <v>2808</v>
      </c>
      <c r="AX182">
        <v>2</v>
      </c>
      <c r="AY182" t="s">
        <v>2768</v>
      </c>
      <c r="AZ182">
        <v>1</v>
      </c>
      <c r="BA182" t="s">
        <v>2768</v>
      </c>
      <c r="BB182">
        <v>0</v>
      </c>
      <c r="BC182" t="s">
        <v>2768</v>
      </c>
      <c r="BD182">
        <v>1</v>
      </c>
      <c r="BE182" t="s">
        <v>3042</v>
      </c>
      <c r="BF182">
        <v>2</v>
      </c>
      <c r="BG182" t="s">
        <v>2768</v>
      </c>
      <c r="BH182">
        <v>1</v>
      </c>
      <c r="BI182" t="s">
        <v>2768</v>
      </c>
      <c r="BJ182">
        <v>1</v>
      </c>
      <c r="BK182" s="176" t="s">
        <v>2794</v>
      </c>
      <c r="BL182">
        <v>2</v>
      </c>
      <c r="BM182" s="176" t="s">
        <v>2776</v>
      </c>
      <c r="BN182">
        <v>2</v>
      </c>
      <c r="BO182" t="s">
        <v>2768</v>
      </c>
      <c r="BP182">
        <v>2</v>
      </c>
      <c r="BQ182" t="s">
        <v>2776</v>
      </c>
      <c r="BR182">
        <v>2</v>
      </c>
      <c r="BS182" t="s">
        <v>2768</v>
      </c>
      <c r="BT182">
        <v>2</v>
      </c>
      <c r="BU182" t="s">
        <v>2768</v>
      </c>
      <c r="BV182">
        <v>0</v>
      </c>
      <c r="BW182" s="182" t="s">
        <v>2808</v>
      </c>
      <c r="BX182" s="179">
        <v>2</v>
      </c>
      <c r="BY182" s="176" t="s">
        <v>2794</v>
      </c>
      <c r="BZ182">
        <v>2</v>
      </c>
      <c r="CA182" s="176" t="s">
        <v>2768</v>
      </c>
      <c r="CB182">
        <v>2</v>
      </c>
    </row>
    <row r="183" spans="1:80">
      <c r="A183" s="178" t="str">
        <f ca="1">IFERROR(IF(A182+加速!$L$11&lt;$AS$1,IF(COUNTIF(B182,"*轻*")&gt;0,A182+加速!$L$9,A182+加速!$L$11)+V182,IF(COUNTIF(INDEX(AU183:CB183,1,$AT$1),"*云景*")+COUNTIF(INDEX(AU183:CB183,1,$AT$1),"*鹤归*")+COUNTIF(INDEX(AU183:CB183,1,$AT$1),"*听雷*")&gt;0,A182+加速!$L$11,"")),"")</f>
        <v/>
      </c>
      <c r="B183" s="167" t="str">
        <f ca="1">IF(A183&lt;&gt;"",IF(AND(A183+加速!$L$11&gt;$AS$1,IF(AND(配装计算器!$K$30&lt;&gt;"∞",0),"梦泉虎跑-轻",INDEX(AU183:CB183,1,$AT$1))="云栖松"),"夕照雷峰",IF(AND(配装计算器!$K$30&lt;&gt;"∞",0),"梦泉虎跑-轻",INDEX(AU183:CB183,1,$AT$1))),"")</f>
        <v/>
      </c>
      <c r="C183" t="str">
        <f ca="1" t="shared" si="30"/>
        <v/>
      </c>
      <c r="D183" t="str">
        <f ca="1">IF(B183&lt;&gt;"",IF(C182&lt;=加速!$L$11*(1-E183),0,1),"")</f>
        <v/>
      </c>
      <c r="E183">
        <f ca="1" t="shared" si="26"/>
        <v>1</v>
      </c>
      <c r="G183" t="str">
        <f ca="1" t="shared" si="27"/>
        <v/>
      </c>
      <c r="H183" t="str">
        <f ca="1">IF(B183&lt;&gt;"",IF(AND(COUNTIF(B182,"*轻*莺鸣柳*")&gt;0,COUNTIF(B183,"*轻*")&lt;1),MAX(0,15+I182-(A183-A182)+COUNTIF(B182,"*平湖*")*0),IF(AND(E183=0,MAX(0,H182-(A183-A182))&lt;=加速!$H$11),0,MAX(0,H182-(A183-A182)))),"")</f>
        <v/>
      </c>
      <c r="I183" t="str">
        <f ca="1" t="shared" si="33"/>
        <v/>
      </c>
      <c r="J183" t="str">
        <f ca="1" t="shared" si="34"/>
        <v/>
      </c>
      <c r="K183" t="str">
        <f ca="1">IF(A183&lt;&gt;"",IF(AND(配装计算器!$K$30&lt;&gt;"∞",0),2,INDEX(AU183:CB183,1,$AT$2)),"")</f>
        <v/>
      </c>
      <c r="L183">
        <f ca="1">IFERROR(IF(AND(COUNTIF(B183,"*-峰插*"),技能数据库!$M$72&gt;0),0,IF(COUNTIF(B183,"*鹤归*")&gt;0,16-加速!$L$11,MAX(0,L182-(A183-A182)))),0)</f>
        <v>0</v>
      </c>
      <c r="M183">
        <f ca="1">IF(COUNTIF(IF(AND(配装计算器!$K$30&lt;&gt;"∞",0),INDEX(AU182:CB182,1,$AT$1),INDEX(AU184:CB184,1,$AT$1)),"*鹤归*")=1,L183,0)</f>
        <v>0</v>
      </c>
      <c r="N183">
        <f ca="1">IFERROR(IF(AND(COUNTIF(B183,"*-峰插*"),技能数据库!$M$72&gt;0),0,IF(COUNTIF(B183,"*云飞*")&gt;0,4-COUNTIF(B183,"*玉山揽云*")*4--COUNTIF(B183,"*烟流暮景*")*4-COUNTIF(B183,"*云景*")*加速!$L$11-IF(J183&gt;0,2,0),MAX(0,N182-(A183-A182)-IF(J183&gt;0,2,0)))),0)</f>
        <v>0</v>
      </c>
      <c r="O183">
        <f ca="1">IF(AND(COUNTIF(IF(AND(配装计算器!$K$30&lt;&gt;"∞",0),INDEX(AU182:CB182,1,$AT$1),INDEX(AU184:CB184,1,$AT$1)),"*云飞*")=1,COUNTIF(IF(AND(配装计算器!$K$30&lt;&gt;"∞",0),INDEX(AU182:CB182,1,$AT$1),INDEX(AU184:CB184,1,$AT$1)),"*玉山*")=0),N183,0)</f>
        <v>0</v>
      </c>
      <c r="P183">
        <f ca="1">IFERROR(IF(COUNTIF(B183,"*云栖松*")&gt;0,50-加速!$L$11,MAX(0,P182-(A183-A182))),0)</f>
        <v>0</v>
      </c>
      <c r="Q183">
        <f ca="1">IF(COUNTIF(IF(AND(配装计算器!$K$30&lt;&gt;"∞",0),INDEX(AU182:CB182,1,$AT$1),INDEX(AU184:CB184,1,$AT$1)),"*云栖松*")=1,P183,0)</f>
        <v>0</v>
      </c>
      <c r="R183">
        <f ca="1">IFERROR(IF(COUNTIF(B183,"*莺鸣柳*")&gt;0,45-加速!$L$9,MAX(0,R182-(A183-A182))),0)</f>
        <v>0</v>
      </c>
      <c r="S183">
        <f ca="1">IF(COUNTIF(IF(AND(配装计算器!$K$30&lt;&gt;"∞",0),INDEX(AU182:CB182,1,$AT$1),INDEX(AU184:CB184,1,$AT$1)),"*莺鸣柳*")=1,R183,0)</f>
        <v>0</v>
      </c>
      <c r="T183">
        <f ca="1" t="shared" si="31"/>
        <v>0</v>
      </c>
      <c r="U183">
        <f ca="1">IF(金蛇,IF(COUNTIF(B183,"*金环戴*")+COUNTIF(B183,"*吹风醒*")&gt;0,IF(A183&lt;=3,7.125-2.625-A183-加速!$L$11,7.125+加速!$K$9-(A183+加速!$L$11-T183)),0),0)+IF(金蛇,IF(COUNTIF(B183,"*千切子裂光*")&gt;0,2+加速!$K$9-(A183+加速!$L$11-T183),0),0)</f>
        <v>0</v>
      </c>
      <c r="V183">
        <f ca="1" t="shared" si="32"/>
        <v>0</v>
      </c>
      <c r="W183">
        <f ca="1" t="shared" si="24"/>
        <v>0</v>
      </c>
      <c r="X183">
        <f ca="1">INDEX(加速!$I$13:$I$21,技能数计算!W183+1)</f>
        <v>0</v>
      </c>
      <c r="Y183">
        <f ca="1" t="shared" si="28"/>
        <v>0.5</v>
      </c>
      <c r="Z183">
        <f ca="1" t="shared" si="29"/>
        <v>0</v>
      </c>
      <c r="AA183">
        <f ca="1">MAX(0,IFERROR(IF(COUNTIF(B183,"*叠*")&gt;0,IF(AC182&lt;3,8-A184+A183,AA182+6.875-A184+A183),AA182-A184+A183),AA182-加速!$L$11))</f>
        <v>0</v>
      </c>
      <c r="AB183" t="e">
        <f ca="1">MAX(0,IF(COUNTIF(IF(AND(配装计算器!$K$30&lt;&gt;"∞",0),INDEX(AU183:CB183,1,$AT$1),INDEX(AU183:CB183,1,$AT$1)),"*叠1*")=1,4*25-加速!$L$11,AB182-A183+A182)-IF(OR(COUNTIF(OFFSET(AT183,0,$AT$1,1,1),"*听雷*")&gt;0,AND(碧归&gt;0,COUNTIF(OFFSET(AT183,0,$AT$1,1,1),"*风来*")&gt;0)),0,1)*1.5)</f>
        <v>#VALUE!</v>
      </c>
      <c r="AC183">
        <f ca="1" t="shared" si="25"/>
        <v>3</v>
      </c>
      <c r="AD183">
        <f ca="1">IF(COUNTIF(IF(AND(配装计算器!$K$30&lt;&gt;"∞",0),INDEX(AU183:CB183,1,$AT$1),INDEX(AU184:CB184,1,$AT$1)),"*叠1*")=1,AB183*0+AE182,0)</f>
        <v>0</v>
      </c>
      <c r="AE183" t="e">
        <f ca="1">IF($AN$11&gt;0,IF(COUNTIF(B184,"*叠1*")&gt;0,50-加速!$H$11,MAX(0,AE182-(A184-A183))),0)</f>
        <v>#VALUE!</v>
      </c>
      <c r="AH183" t="s">
        <v>1825</v>
      </c>
      <c r="AI183" s="161" t="s">
        <v>2859</v>
      </c>
      <c r="AJ183">
        <f ca="1">循环比*COUNTIFS($B$3:$B$515,"*皇*"&amp;AI183&amp;"*",$D$3:$D$515,"&gt;0",$AC$3:$AC$515,0)*2/3</f>
        <v>0</v>
      </c>
      <c r="AK183" t="s">
        <v>2750</v>
      </c>
      <c r="AU183" t="s">
        <v>2776</v>
      </c>
      <c r="AV183">
        <v>1</v>
      </c>
      <c r="AW183" t="s">
        <v>2768</v>
      </c>
      <c r="AX183">
        <v>2</v>
      </c>
      <c r="AY183" t="s">
        <v>2768</v>
      </c>
      <c r="AZ183">
        <v>0</v>
      </c>
      <c r="BA183" t="s">
        <v>3010</v>
      </c>
      <c r="BB183">
        <v>2</v>
      </c>
      <c r="BC183" t="s">
        <v>2768</v>
      </c>
      <c r="BD183">
        <v>1</v>
      </c>
      <c r="BE183" t="s">
        <v>3084</v>
      </c>
      <c r="BF183">
        <v>2</v>
      </c>
      <c r="BG183" t="s">
        <v>3011</v>
      </c>
      <c r="BH183">
        <v>2</v>
      </c>
      <c r="BI183" t="s">
        <v>2776</v>
      </c>
      <c r="BJ183">
        <v>0</v>
      </c>
      <c r="BK183" s="176" t="s">
        <v>2768</v>
      </c>
      <c r="BL183">
        <v>2</v>
      </c>
      <c r="BM183" s="176" t="s">
        <v>2768</v>
      </c>
      <c r="BN183">
        <v>2</v>
      </c>
      <c r="BO183" t="s">
        <v>2776</v>
      </c>
      <c r="BP183">
        <v>2</v>
      </c>
      <c r="BQ183" t="s">
        <v>2768</v>
      </c>
      <c r="BR183">
        <v>2</v>
      </c>
      <c r="BS183" t="s">
        <v>2768</v>
      </c>
      <c r="BT183">
        <v>2</v>
      </c>
      <c r="BU183" t="s">
        <v>2768</v>
      </c>
      <c r="BV183">
        <v>0</v>
      </c>
      <c r="BW183" s="179" t="s">
        <v>2768</v>
      </c>
      <c r="BX183" s="179">
        <v>2</v>
      </c>
      <c r="BY183" s="176" t="s">
        <v>2776</v>
      </c>
      <c r="BZ183">
        <v>2</v>
      </c>
      <c r="CA183" s="176" t="s">
        <v>2808</v>
      </c>
      <c r="CB183">
        <v>2</v>
      </c>
    </row>
    <row r="184" spans="1:80">
      <c r="A184" s="178" t="str">
        <f ca="1">IFERROR(IF(A183+加速!$L$11&lt;$AS$1,IF(COUNTIF(B183,"*轻*")&gt;0,A183+加速!$L$9,A183+加速!$L$11)+V183,IF(COUNTIF(INDEX(AU184:CB184,1,$AT$1),"*云景*")+COUNTIF(INDEX(AU184:CB184,1,$AT$1),"*鹤归*")+COUNTIF(INDEX(AU184:CB184,1,$AT$1),"*听雷*")&gt;0,A183+加速!$L$11,"")),"")</f>
        <v/>
      </c>
      <c r="B184" s="167" t="str">
        <f ca="1">IF(A184&lt;&gt;"",IF(AND(A184+加速!$L$11&gt;$AS$1,IF(AND(配装计算器!$K$30&lt;&gt;"∞",0),"梦泉虎跑-轻",INDEX(AU184:CB184,1,$AT$1))="云栖松"),"夕照雷峰",IF(AND(配装计算器!$K$30&lt;&gt;"∞",0),"梦泉虎跑-轻",INDEX(AU184:CB184,1,$AT$1))),"")</f>
        <v/>
      </c>
      <c r="C184" t="str">
        <f ca="1" t="shared" si="30"/>
        <v/>
      </c>
      <c r="D184" t="str">
        <f ca="1">IF(B184&lt;&gt;"",IF(C183&lt;=加速!$L$11*(1-E184),0,1),"")</f>
        <v/>
      </c>
      <c r="E184">
        <f ca="1" t="shared" si="26"/>
        <v>1</v>
      </c>
      <c r="G184" t="str">
        <f ca="1" t="shared" si="27"/>
        <v/>
      </c>
      <c r="H184" t="str">
        <f ca="1">IF(B184&lt;&gt;"",IF(AND(COUNTIF(B183,"*轻*莺鸣柳*")&gt;0,COUNTIF(B184,"*轻*")&lt;1),MAX(0,15+I183-(A184-A183)+COUNTIF(B183,"*平湖*")*0),IF(AND(E184=0,MAX(0,H183-(A184-A183))&lt;=加速!$H$11),0,MAX(0,H183-(A184-A183)))),"")</f>
        <v/>
      </c>
      <c r="I184" t="str">
        <f ca="1" t="shared" si="33"/>
        <v/>
      </c>
      <c r="J184" t="str">
        <f ca="1" t="shared" si="34"/>
        <v/>
      </c>
      <c r="K184" t="str">
        <f ca="1">IF(A184&lt;&gt;"",IF(AND(配装计算器!$K$30&lt;&gt;"∞",0),2,INDEX(AU184:CB184,1,$AT$2)),"")</f>
        <v/>
      </c>
      <c r="L184">
        <f ca="1">IFERROR(IF(AND(COUNTIF(B184,"*-峰插*"),技能数据库!$M$72&gt;0),0,IF(COUNTIF(B184,"*鹤归*")&gt;0,16-加速!$L$11,MAX(0,L183-(A184-A183)))),0)</f>
        <v>0</v>
      </c>
      <c r="M184">
        <f ca="1">IF(COUNTIF(IF(AND(配装计算器!$K$30&lt;&gt;"∞",0),INDEX(AU183:CB183,1,$AT$1),INDEX(AU185:CB185,1,$AT$1)),"*鹤归*")=1,L184,0)</f>
        <v>0</v>
      </c>
      <c r="N184">
        <f ca="1">IFERROR(IF(AND(COUNTIF(B184,"*-峰插*"),技能数据库!$M$72&gt;0),0,IF(COUNTIF(B184,"*云飞*")&gt;0,4-COUNTIF(B184,"*玉山揽云*")*4--COUNTIF(B184,"*烟流暮景*")*4-COUNTIF(B184,"*云景*")*加速!$L$11-IF(J184&gt;0,2,0),MAX(0,N183-(A184-A183)-IF(J184&gt;0,2,0)))),0)</f>
        <v>0</v>
      </c>
      <c r="O184">
        <f ca="1">IF(AND(COUNTIF(IF(AND(配装计算器!$K$30&lt;&gt;"∞",0),INDEX(AU183:CB183,1,$AT$1),INDEX(AU185:CB185,1,$AT$1)),"*云飞*")=1,COUNTIF(IF(AND(配装计算器!$K$30&lt;&gt;"∞",0),INDEX(AU183:CB183,1,$AT$1),INDEX(AU185:CB185,1,$AT$1)),"*玉山*")=0),N184,0)</f>
        <v>0</v>
      </c>
      <c r="P184">
        <f ca="1">IFERROR(IF(COUNTIF(B184,"*云栖松*")&gt;0,50-加速!$L$11,MAX(0,P183-(A184-A183))),0)</f>
        <v>0</v>
      </c>
      <c r="Q184">
        <f ca="1">IF(COUNTIF(IF(AND(配装计算器!$K$30&lt;&gt;"∞",0),INDEX(AU183:CB183,1,$AT$1),INDEX(AU185:CB185,1,$AT$1)),"*云栖松*")=1,P184,0)</f>
        <v>0</v>
      </c>
      <c r="R184">
        <f ca="1">IFERROR(IF(COUNTIF(B184,"*莺鸣柳*")&gt;0,45-加速!$L$9,MAX(0,R183-(A184-A183))),0)</f>
        <v>0</v>
      </c>
      <c r="S184">
        <f ca="1">IF(COUNTIF(IF(AND(配装计算器!$K$30&lt;&gt;"∞",0),INDEX(AU183:CB183,1,$AT$1),INDEX(AU185:CB185,1,$AT$1)),"*莺鸣柳*")=1,R184,0)</f>
        <v>0</v>
      </c>
      <c r="T184">
        <f ca="1" t="shared" si="31"/>
        <v>0</v>
      </c>
      <c r="U184">
        <f ca="1">IF(金蛇,IF(COUNTIF(B184,"*金环戴*")+COUNTIF(B184,"*吹风醒*")&gt;0,IF(A184&lt;=3,7.125-2.625-A184-加速!$L$11,7.125+加速!$K$9-(A184+加速!$L$11-T184)),0),0)+IF(金蛇,IF(COUNTIF(B184,"*千切子裂光*")&gt;0,2+加速!$K$9-(A184+加速!$L$11-T184),0),0)</f>
        <v>0</v>
      </c>
      <c r="V184">
        <f ca="1" t="shared" si="32"/>
        <v>0</v>
      </c>
      <c r="W184">
        <f ca="1" t="shared" si="24"/>
        <v>0</v>
      </c>
      <c r="X184">
        <f ca="1">INDEX(加速!$I$13:$I$21,技能数计算!W184+1)</f>
        <v>0</v>
      </c>
      <c r="Y184">
        <f ca="1" t="shared" si="28"/>
        <v>0.5</v>
      </c>
      <c r="Z184">
        <f ca="1" t="shared" si="29"/>
        <v>0</v>
      </c>
      <c r="AA184">
        <f ca="1">MAX(0,IFERROR(IF(COUNTIF(B184,"*叠*")&gt;0,IF(AC183&lt;3,8-A185+A184,AA183+6.875-A185+A184),AA183-A185+A184),AA183-加速!$L$11))</f>
        <v>0</v>
      </c>
      <c r="AB184" t="e">
        <f ca="1">MAX(0,IF(COUNTIF(IF(AND(配装计算器!$K$30&lt;&gt;"∞",0),INDEX(AU184:CB184,1,$AT$1),INDEX(AU184:CB184,1,$AT$1)),"*叠1*")=1,4*25-加速!$L$11,AB183-A184+A183)-IF(OR(COUNTIF(OFFSET(AT184,0,$AT$1,1,1),"*听雷*")&gt;0,AND(碧归&gt;0,COUNTIF(OFFSET(AT184,0,$AT$1,1,1),"*风来*")&gt;0)),0,1)*1.5)</f>
        <v>#VALUE!</v>
      </c>
      <c r="AC184">
        <f ca="1" t="shared" si="25"/>
        <v>3</v>
      </c>
      <c r="AD184">
        <f ca="1">IF(COUNTIF(IF(AND(配装计算器!$K$30&lt;&gt;"∞",0),INDEX(AU184:CB184,1,$AT$1),INDEX(AU185:CB185,1,$AT$1)),"*叠1*")=1,AB184*0+AE183,0)</f>
        <v>0</v>
      </c>
      <c r="AE184" t="e">
        <f ca="1">IF($AN$11&gt;0,IF(COUNTIF(B185,"*叠1*")&gt;0,50-加速!$H$11,MAX(0,AE183-(A185-A184))),0)</f>
        <v>#VALUE!</v>
      </c>
      <c r="AH184" t="s">
        <v>1825</v>
      </c>
      <c r="AI184" s="161" t="s">
        <v>2861</v>
      </c>
      <c r="AJ184">
        <f ca="1">SUM(AJ182:AJ183)</f>
        <v>0</v>
      </c>
      <c r="AK184" t="s">
        <v>2750</v>
      </c>
      <c r="AU184" t="s">
        <v>2768</v>
      </c>
      <c r="AV184">
        <v>2</v>
      </c>
      <c r="AW184" t="s">
        <v>2776</v>
      </c>
      <c r="AX184">
        <v>2</v>
      </c>
      <c r="AY184" t="s">
        <v>3010</v>
      </c>
      <c r="AZ184">
        <v>2</v>
      </c>
      <c r="BA184" t="s">
        <v>3013</v>
      </c>
      <c r="BB184">
        <v>2</v>
      </c>
      <c r="BC184" t="s">
        <v>2813</v>
      </c>
      <c r="BD184">
        <v>0</v>
      </c>
      <c r="BE184" t="s">
        <v>2768</v>
      </c>
      <c r="BF184">
        <v>2</v>
      </c>
      <c r="BG184" t="s">
        <v>2768</v>
      </c>
      <c r="BH184">
        <v>2</v>
      </c>
      <c r="BI184" t="s">
        <v>2768</v>
      </c>
      <c r="BJ184">
        <v>0</v>
      </c>
      <c r="BK184" s="176" t="s">
        <v>2776</v>
      </c>
      <c r="BL184">
        <v>2</v>
      </c>
      <c r="BM184" s="176" t="s">
        <v>2776</v>
      </c>
      <c r="BN184">
        <v>2</v>
      </c>
      <c r="BO184" t="s">
        <v>2768</v>
      </c>
      <c r="BP184">
        <v>2</v>
      </c>
      <c r="BQ184" t="s">
        <v>2768</v>
      </c>
      <c r="BR184">
        <v>2</v>
      </c>
      <c r="BS184" t="s">
        <v>2776</v>
      </c>
      <c r="BT184">
        <v>2</v>
      </c>
      <c r="BU184" t="s">
        <v>2776</v>
      </c>
      <c r="BV184">
        <v>0</v>
      </c>
      <c r="BW184" s="179" t="s">
        <v>2776</v>
      </c>
      <c r="BX184" s="179">
        <v>2</v>
      </c>
      <c r="BY184" s="176" t="s">
        <v>2768</v>
      </c>
      <c r="BZ184">
        <v>2</v>
      </c>
      <c r="CA184" t="s">
        <v>2768</v>
      </c>
      <c r="CB184">
        <v>2</v>
      </c>
    </row>
    <row r="185" spans="1:80">
      <c r="A185" s="178" t="str">
        <f ca="1">IFERROR(IF(A184+加速!$L$11&lt;$AS$1,IF(COUNTIF(B184,"*轻*")&gt;0,A184+加速!$L$9,A184+加速!$L$11)+V184,IF(COUNTIF(INDEX(AU185:CB185,1,$AT$1),"*云景*")+COUNTIF(INDEX(AU185:CB185,1,$AT$1),"*鹤归*")+COUNTIF(INDEX(AU185:CB185,1,$AT$1),"*听雷*")&gt;0,A184+加速!$L$11,"")),"")</f>
        <v/>
      </c>
      <c r="B185" s="167" t="str">
        <f ca="1">IF(A185&lt;&gt;"",IF(AND(A185+加速!$L$11&gt;$AS$1,IF(AND(配装计算器!$K$30&lt;&gt;"∞",0),"梦泉虎跑-轻",INDEX(AU185:CB185,1,$AT$1))="云栖松"),"夕照雷峰",IF(AND(配装计算器!$K$30&lt;&gt;"∞",0),"梦泉虎跑-轻",INDEX(AU185:CB185,1,$AT$1))),"")</f>
        <v/>
      </c>
      <c r="C185" t="str">
        <f ca="1" t="shared" si="30"/>
        <v/>
      </c>
      <c r="D185" t="str">
        <f ca="1">IF(B185&lt;&gt;"",IF(C184&lt;=加速!$L$11*(1-E185),0,1),"")</f>
        <v/>
      </c>
      <c r="E185">
        <f ca="1" t="shared" si="26"/>
        <v>1</v>
      </c>
      <c r="G185" t="str">
        <f ca="1" t="shared" si="27"/>
        <v/>
      </c>
      <c r="H185" t="str">
        <f ca="1">IF(B185&lt;&gt;"",IF(AND(COUNTIF(B184,"*轻*莺鸣柳*")&gt;0,COUNTIF(B185,"*轻*")&lt;1),MAX(0,15+I184-(A185-A184)+COUNTIF(B184,"*平湖*")*0),IF(AND(E185=0,MAX(0,H184-(A185-A184))&lt;=加速!$H$11),0,MAX(0,H184-(A185-A184)))),"")</f>
        <v/>
      </c>
      <c r="I185" t="str">
        <f ca="1" t="shared" si="33"/>
        <v/>
      </c>
      <c r="J185" t="str">
        <f ca="1" t="shared" si="34"/>
        <v/>
      </c>
      <c r="K185" t="str">
        <f ca="1">IF(A185&lt;&gt;"",IF(AND(配装计算器!$K$30&lt;&gt;"∞",0),2,INDEX(AU185:CB185,1,$AT$2)),"")</f>
        <v/>
      </c>
      <c r="L185">
        <f ca="1">IFERROR(IF(AND(COUNTIF(B185,"*-峰插*"),技能数据库!$M$72&gt;0),0,IF(COUNTIF(B185,"*鹤归*")&gt;0,16-加速!$L$11,MAX(0,L184-(A185-A184)))),0)</f>
        <v>0</v>
      </c>
      <c r="M185">
        <f ca="1">IF(COUNTIF(IF(AND(配装计算器!$K$30&lt;&gt;"∞",0),INDEX(AU184:CB184,1,$AT$1),INDEX(AU186:CB186,1,$AT$1)),"*鹤归*")=1,L185,0)</f>
        <v>0</v>
      </c>
      <c r="N185">
        <f ca="1">IFERROR(IF(AND(COUNTIF(B185,"*-峰插*"),技能数据库!$M$72&gt;0),0,IF(COUNTIF(B185,"*云飞*")&gt;0,4-COUNTIF(B185,"*玉山揽云*")*4--COUNTIF(B185,"*烟流暮景*")*4-COUNTIF(B185,"*云景*")*加速!$L$11-IF(J185&gt;0,2,0),MAX(0,N184-(A185-A184)-IF(J185&gt;0,2,0)))),0)</f>
        <v>0</v>
      </c>
      <c r="O185">
        <f ca="1">IF(AND(COUNTIF(IF(AND(配装计算器!$K$30&lt;&gt;"∞",0),INDEX(AU184:CB184,1,$AT$1),INDEX(AU186:CB186,1,$AT$1)),"*云飞*")=1,COUNTIF(IF(AND(配装计算器!$K$30&lt;&gt;"∞",0),INDEX(AU184:CB184,1,$AT$1),INDEX(AU186:CB186,1,$AT$1)),"*玉山*")=0),N185,0)</f>
        <v>0</v>
      </c>
      <c r="P185">
        <f ca="1">IFERROR(IF(COUNTIF(B185,"*云栖松*")&gt;0,50-加速!$L$11,MAX(0,P184-(A185-A184))),0)</f>
        <v>0</v>
      </c>
      <c r="Q185">
        <f ca="1">IF(COUNTIF(IF(AND(配装计算器!$K$30&lt;&gt;"∞",0),INDEX(AU184:CB184,1,$AT$1),INDEX(AU186:CB186,1,$AT$1)),"*云栖松*")=1,P185,0)</f>
        <v>0</v>
      </c>
      <c r="R185">
        <f ca="1">IFERROR(IF(COUNTIF(B185,"*莺鸣柳*")&gt;0,45-加速!$L$9,MAX(0,R184-(A185-A184))),0)</f>
        <v>0</v>
      </c>
      <c r="S185">
        <f ca="1">IF(COUNTIF(IF(AND(配装计算器!$K$30&lt;&gt;"∞",0),INDEX(AU184:CB184,1,$AT$1),INDEX(AU186:CB186,1,$AT$1)),"*莺鸣柳*")=1,R185,0)</f>
        <v>0</v>
      </c>
      <c r="T185">
        <f ca="1" t="shared" si="31"/>
        <v>0</v>
      </c>
      <c r="U185">
        <f ca="1">IF(金蛇,IF(COUNTIF(B185,"*金环戴*")+COUNTIF(B185,"*吹风醒*")&gt;0,IF(A185&lt;=3,7.125-2.625-A185-加速!$L$11,7.125+加速!$K$9-(A185+加速!$L$11-T185)),0),0)+IF(金蛇,IF(COUNTIF(B185,"*千切子裂光*")&gt;0,2+加速!$K$9-(A185+加速!$L$11-T185),0),0)</f>
        <v>0</v>
      </c>
      <c r="V185">
        <f ca="1" t="shared" si="32"/>
        <v>0</v>
      </c>
      <c r="W185">
        <f ca="1" t="shared" si="24"/>
        <v>0</v>
      </c>
      <c r="X185">
        <f ca="1">INDEX(加速!$I$13:$I$21,技能数计算!W185+1)</f>
        <v>0</v>
      </c>
      <c r="Y185">
        <f ca="1" t="shared" si="28"/>
        <v>0.5</v>
      </c>
      <c r="Z185">
        <f ca="1" t="shared" si="29"/>
        <v>0</v>
      </c>
      <c r="AA185">
        <f ca="1">MAX(0,IFERROR(IF(COUNTIF(B185,"*叠*")&gt;0,IF(AC184&lt;3,8-A186+A185,AA184+6.875-A186+A185),AA184-A186+A185),AA184-加速!$L$11))</f>
        <v>0</v>
      </c>
      <c r="AB185" t="e">
        <f ca="1">MAX(0,IF(COUNTIF(IF(AND(配装计算器!$K$30&lt;&gt;"∞",0),INDEX(AU185:CB185,1,$AT$1),INDEX(AU185:CB185,1,$AT$1)),"*叠1*")=1,4*25-加速!$L$11,AB184-A185+A184)-IF(OR(COUNTIF(OFFSET(AT185,0,$AT$1,1,1),"*听雷*")&gt;0,AND(碧归&gt;0,COUNTIF(OFFSET(AT185,0,$AT$1,1,1),"*风来*")&gt;0)),0,1)*1.5)</f>
        <v>#VALUE!</v>
      </c>
      <c r="AC185">
        <f ca="1" t="shared" si="25"/>
        <v>3</v>
      </c>
      <c r="AD185">
        <f ca="1">IF(COUNTIF(IF(AND(配装计算器!$K$30&lt;&gt;"∞",0),INDEX(AU185:CB185,1,$AT$1),INDEX(AU186:CB186,1,$AT$1)),"*叠1*")=1,AB185*0+AE184,0)</f>
        <v>0</v>
      </c>
      <c r="AE185" t="e">
        <f ca="1">IF($AN$11&gt;0,IF(COUNTIF(B186,"*叠1*")&gt;0,50-加速!$H$11,MAX(0,AE184-(A186-A185))),0)</f>
        <v>#VALUE!</v>
      </c>
      <c r="AH185" t="s">
        <v>1825</v>
      </c>
      <c r="AI185" t="s">
        <v>2902</v>
      </c>
      <c r="AJ185">
        <f ca="1">循环比*COUNTIFS($B$3:$B$515,"*"&amp;AI185&amp;"*",$D$3:$D$515,1,$AC$3:$AC$515,3)</f>
        <v>23</v>
      </c>
      <c r="AK185" t="s">
        <v>3110</v>
      </c>
      <c r="AU185" t="s">
        <v>2768</v>
      </c>
      <c r="AV185">
        <v>2</v>
      </c>
      <c r="AW185" t="s">
        <v>2768</v>
      </c>
      <c r="AX185">
        <v>2</v>
      </c>
      <c r="AY185" t="s">
        <v>3013</v>
      </c>
      <c r="AZ185">
        <v>2</v>
      </c>
      <c r="BA185" t="s">
        <v>3017</v>
      </c>
      <c r="BB185">
        <v>2</v>
      </c>
      <c r="BC185" t="s">
        <v>2776</v>
      </c>
      <c r="BD185">
        <v>2</v>
      </c>
      <c r="BE185" t="s">
        <v>2794</v>
      </c>
      <c r="BF185">
        <v>2</v>
      </c>
      <c r="BG185" t="s">
        <v>3018</v>
      </c>
      <c r="BH185">
        <v>2</v>
      </c>
      <c r="BI185" t="s">
        <v>2768</v>
      </c>
      <c r="BJ185">
        <v>0</v>
      </c>
      <c r="BK185" t="s">
        <v>2768</v>
      </c>
      <c r="BL185">
        <v>1</v>
      </c>
      <c r="BM185" s="176" t="s">
        <v>2768</v>
      </c>
      <c r="BN185">
        <v>2</v>
      </c>
      <c r="BO185" t="s">
        <v>2768</v>
      </c>
      <c r="BP185">
        <v>2</v>
      </c>
      <c r="BQ185" t="s">
        <v>2768</v>
      </c>
      <c r="BR185">
        <v>1</v>
      </c>
      <c r="BS185" t="s">
        <v>2768</v>
      </c>
      <c r="BT185">
        <v>1</v>
      </c>
      <c r="BU185" t="s">
        <v>3067</v>
      </c>
      <c r="BV185">
        <v>0</v>
      </c>
      <c r="BW185" s="179" t="s">
        <v>2768</v>
      </c>
      <c r="BX185" s="179">
        <v>2</v>
      </c>
      <c r="BY185" s="176" t="s">
        <v>2776</v>
      </c>
      <c r="BZ185">
        <v>2</v>
      </c>
      <c r="CA185" t="s">
        <v>2776</v>
      </c>
      <c r="CB185">
        <v>2</v>
      </c>
    </row>
    <row r="186" spans="1:80">
      <c r="A186" s="178" t="str">
        <f ca="1">IFERROR(IF(A185+加速!$L$11&lt;$AS$1,IF(COUNTIF(B185,"*轻*")&gt;0,A185+加速!$L$9,A185+加速!$L$11)+V185,IF(COUNTIF(INDEX(AU186:CB186,1,$AT$1),"*云景*")+COUNTIF(INDEX(AU186:CB186,1,$AT$1),"*鹤归*")+COUNTIF(INDEX(AU186:CB186,1,$AT$1),"*听雷*")&gt;0,A185+加速!$L$11,"")),"")</f>
        <v/>
      </c>
      <c r="B186" s="167" t="str">
        <f ca="1">IF(A186&lt;&gt;"",IF(AND(A186+加速!$L$11&gt;$AS$1,IF(AND(配装计算器!$K$30&lt;&gt;"∞",0),"梦泉虎跑-轻",INDEX(AU186:CB186,1,$AT$1))="云栖松"),"夕照雷峰",IF(AND(配装计算器!$K$30&lt;&gt;"∞",0),"梦泉虎跑-轻",INDEX(AU186:CB186,1,$AT$1))),"")</f>
        <v/>
      </c>
      <c r="C186" t="str">
        <f ca="1" t="shared" si="30"/>
        <v/>
      </c>
      <c r="D186" t="str">
        <f ca="1">IF(B186&lt;&gt;"",IF(C185&lt;=加速!$L$11*(1-E186),0,1),"")</f>
        <v/>
      </c>
      <c r="E186">
        <f ca="1" t="shared" si="26"/>
        <v>1</v>
      </c>
      <c r="G186" t="str">
        <f ca="1" t="shared" si="27"/>
        <v/>
      </c>
      <c r="H186" t="str">
        <f ca="1">IF(B186&lt;&gt;"",IF(AND(COUNTIF(B185,"*轻*莺鸣柳*")&gt;0,COUNTIF(B186,"*轻*")&lt;1),MAX(0,15+I185-(A186-A185)+COUNTIF(B185,"*平湖*")*0),IF(AND(E186=0,MAX(0,H185-(A186-A185))&lt;=加速!$H$11),0,MAX(0,H185-(A186-A185)))),"")</f>
        <v/>
      </c>
      <c r="I186" t="str">
        <f ca="1" t="shared" si="33"/>
        <v/>
      </c>
      <c r="J186" t="str">
        <f ca="1" t="shared" si="34"/>
        <v/>
      </c>
      <c r="K186" t="str">
        <f ca="1">IF(A186&lt;&gt;"",IF(AND(配装计算器!$K$30&lt;&gt;"∞",0),2,INDEX(AU186:CB186,1,$AT$2)),"")</f>
        <v/>
      </c>
      <c r="L186">
        <f ca="1">IFERROR(IF(AND(COUNTIF(B186,"*-峰插*"),技能数据库!$M$72&gt;0),0,IF(COUNTIF(B186,"*鹤归*")&gt;0,16-加速!$L$11,MAX(0,L185-(A186-A185)))),0)</f>
        <v>0</v>
      </c>
      <c r="M186">
        <f ca="1">IF(COUNTIF(IF(AND(配装计算器!$K$30&lt;&gt;"∞",0),INDEX(AU185:CB185,1,$AT$1),INDEX(AU187:CB187,1,$AT$1)),"*鹤归*")=1,L186,0)</f>
        <v>0</v>
      </c>
      <c r="N186">
        <f ca="1">IFERROR(IF(AND(COUNTIF(B186,"*-峰插*"),技能数据库!$M$72&gt;0),0,IF(COUNTIF(B186,"*云飞*")&gt;0,4-COUNTIF(B186,"*玉山揽云*")*4--COUNTIF(B186,"*烟流暮景*")*4-COUNTIF(B186,"*云景*")*加速!$L$11-IF(J186&gt;0,2,0),MAX(0,N185-(A186-A185)-IF(J186&gt;0,2,0)))),0)</f>
        <v>0</v>
      </c>
      <c r="O186">
        <f ca="1">IF(AND(COUNTIF(IF(AND(配装计算器!$K$30&lt;&gt;"∞",0),INDEX(AU185:CB185,1,$AT$1),INDEX(AU187:CB187,1,$AT$1)),"*云飞*")=1,COUNTIF(IF(AND(配装计算器!$K$30&lt;&gt;"∞",0),INDEX(AU185:CB185,1,$AT$1),INDEX(AU187:CB187,1,$AT$1)),"*玉山*")=0),N186,0)</f>
        <v>0</v>
      </c>
      <c r="P186">
        <f ca="1">IFERROR(IF(COUNTIF(B186,"*云栖松*")&gt;0,50-加速!$L$11,MAX(0,P185-(A186-A185))),0)</f>
        <v>0</v>
      </c>
      <c r="Q186">
        <f ca="1">IF(COUNTIF(IF(AND(配装计算器!$K$30&lt;&gt;"∞",0),INDEX(AU185:CB185,1,$AT$1),INDEX(AU187:CB187,1,$AT$1)),"*云栖松*")=1,P186,0)</f>
        <v>0</v>
      </c>
      <c r="R186">
        <f ca="1">IFERROR(IF(COUNTIF(B186,"*莺鸣柳*")&gt;0,45-加速!$L$9,MAX(0,R185-(A186-A185))),0)</f>
        <v>0</v>
      </c>
      <c r="S186">
        <f ca="1">IF(COUNTIF(IF(AND(配装计算器!$K$30&lt;&gt;"∞",0),INDEX(AU185:CB185,1,$AT$1),INDEX(AU187:CB187,1,$AT$1)),"*莺鸣柳*")=1,R186,0)</f>
        <v>0</v>
      </c>
      <c r="T186">
        <f ca="1" t="shared" si="31"/>
        <v>0</v>
      </c>
      <c r="U186">
        <f ca="1">IF(金蛇,IF(COUNTIF(B186,"*金环戴*")+COUNTIF(B186,"*吹风醒*")&gt;0,IF(A186&lt;=3,7.125-2.625-A186-加速!$L$11,7.125+加速!$K$9-(A186+加速!$L$11-T186)),0),0)+IF(金蛇,IF(COUNTIF(B186,"*千切子裂光*")&gt;0,2+加速!$K$9-(A186+加速!$L$11-T186),0),0)</f>
        <v>0</v>
      </c>
      <c r="V186">
        <f ca="1" t="shared" si="32"/>
        <v>0</v>
      </c>
      <c r="W186">
        <f ca="1" t="shared" si="24"/>
        <v>0</v>
      </c>
      <c r="X186">
        <f ca="1">INDEX(加速!$I$13:$I$21,技能数计算!W186+1)</f>
        <v>0</v>
      </c>
      <c r="Y186">
        <f ca="1" t="shared" si="28"/>
        <v>0.5</v>
      </c>
      <c r="Z186">
        <f ca="1" t="shared" si="29"/>
        <v>0</v>
      </c>
      <c r="AA186">
        <f ca="1">MAX(0,IFERROR(IF(COUNTIF(B186,"*叠*")&gt;0,IF(AC185&lt;3,8-A187+A186,AA185+6.875-A187+A186),AA185-A187+A186),AA185-加速!$L$11))</f>
        <v>0</v>
      </c>
      <c r="AB186" t="e">
        <f ca="1">MAX(0,IF(COUNTIF(IF(AND(配装计算器!$K$30&lt;&gt;"∞",0),INDEX(AU186:CB186,1,$AT$1),INDEX(AU186:CB186,1,$AT$1)),"*叠1*")=1,4*25-加速!$L$11,AB185-A186+A185)-IF(OR(COUNTIF(OFFSET(AT186,0,$AT$1,1,1),"*听雷*")&gt;0,AND(碧归&gt;0,COUNTIF(OFFSET(AT186,0,$AT$1,1,1),"*风来*")&gt;0)),0,1)*1.5)</f>
        <v>#VALUE!</v>
      </c>
      <c r="AC186">
        <f ca="1" t="shared" si="25"/>
        <v>3</v>
      </c>
      <c r="AD186">
        <f ca="1">IF(COUNTIF(IF(AND(配装计算器!$K$30&lt;&gt;"∞",0),INDEX(AU186:CB186,1,$AT$1),INDEX(AU187:CB187,1,$AT$1)),"*叠1*")=1,AB186*0+AE185,0)</f>
        <v>0</v>
      </c>
      <c r="AE186" t="e">
        <f ca="1">IF($AN$11&gt;0,IF(COUNTIF(B187,"*叠1*")&gt;0,50-加速!$H$11,MAX(0,AE185-(A187-A186))),0)</f>
        <v>#VALUE!</v>
      </c>
      <c r="AH186" t="s">
        <v>1825</v>
      </c>
      <c r="AI186" t="s">
        <v>2776</v>
      </c>
      <c r="AJ186">
        <f ca="1">循环比*COUNTIFS($B$3:$B$515,"*"&amp;AI186&amp;"*",$D$3:$D$515,"=1",$H$3:$H$515,"=0",$G$3:$G$515,"&gt;0",$K$3:$K$515,"=2",$AC$3:$AC$515,"=1")-AJ192</f>
        <v>0</v>
      </c>
      <c r="AK186" t="s">
        <v>3111</v>
      </c>
      <c r="AU186" s="176" t="s">
        <v>2794</v>
      </c>
      <c r="AV186">
        <v>2</v>
      </c>
      <c r="AW186" t="str">
        <f>IF($AN$11=1,"云飞玉皇-玉山揽云","夕照雷峰")</f>
        <v>云飞玉皇-玉山揽云</v>
      </c>
      <c r="AX186">
        <v>2</v>
      </c>
      <c r="AY186" t="s">
        <v>3017</v>
      </c>
      <c r="AZ186">
        <v>2</v>
      </c>
      <c r="BA186" t="s">
        <v>2808</v>
      </c>
      <c r="BB186">
        <v>2</v>
      </c>
      <c r="BC186" t="s">
        <v>2768</v>
      </c>
      <c r="BD186">
        <v>2</v>
      </c>
      <c r="BE186" t="s">
        <v>2768</v>
      </c>
      <c r="BF186">
        <v>2</v>
      </c>
      <c r="BG186" t="s">
        <v>2768</v>
      </c>
      <c r="BH186">
        <v>2</v>
      </c>
      <c r="BI186" t="s">
        <v>2722</v>
      </c>
      <c r="BJ186">
        <v>0</v>
      </c>
      <c r="BK186" t="s">
        <v>2776</v>
      </c>
      <c r="BL186">
        <v>1</v>
      </c>
      <c r="BM186" s="176" t="s">
        <v>2808</v>
      </c>
      <c r="BN186">
        <v>2</v>
      </c>
      <c r="BO186" t="s">
        <v>2768</v>
      </c>
      <c r="BP186">
        <v>2</v>
      </c>
      <c r="BQ186" t="s">
        <v>2776</v>
      </c>
      <c r="BR186">
        <v>1</v>
      </c>
      <c r="BS186" t="s">
        <v>2768</v>
      </c>
      <c r="BT186">
        <v>1</v>
      </c>
      <c r="BU186" t="s">
        <v>2768</v>
      </c>
      <c r="BV186">
        <v>2</v>
      </c>
      <c r="BW186" s="179" t="s">
        <v>2768</v>
      </c>
      <c r="BX186" s="179">
        <v>2</v>
      </c>
      <c r="BY186" s="176" t="s">
        <v>2768</v>
      </c>
      <c r="BZ186">
        <v>2</v>
      </c>
      <c r="CA186" t="str">
        <f>IF(山重水复,"风来吴山","夕照雷峰")</f>
        <v>夕照雷峰</v>
      </c>
      <c r="CB186">
        <v>2</v>
      </c>
    </row>
    <row r="187" spans="1:80">
      <c r="A187" s="178" t="str">
        <f ca="1">IFERROR(IF(A186+加速!$L$11&lt;$AS$1,IF(COUNTIF(B186,"*轻*")&gt;0,A186+加速!$L$9,A186+加速!$L$11)+V186,IF(COUNTIF(INDEX(AU187:CB187,1,$AT$1),"*云景*")+COUNTIF(INDEX(AU187:CB187,1,$AT$1),"*鹤归*")+COUNTIF(INDEX(AU187:CB187,1,$AT$1),"*听雷*")&gt;0,A186+加速!$L$11,"")),"")</f>
        <v/>
      </c>
      <c r="B187" s="167" t="str">
        <f ca="1">IF(A187&lt;&gt;"",IF(AND(A187+加速!$L$11&gt;$AS$1,IF(AND(配装计算器!$K$30&lt;&gt;"∞",0),"梦泉虎跑-轻",INDEX(AU187:CB187,1,$AT$1))="云栖松"),"夕照雷峰",IF(AND(配装计算器!$K$30&lt;&gt;"∞",0),"梦泉虎跑-轻",INDEX(AU187:CB187,1,$AT$1))),"")</f>
        <v/>
      </c>
      <c r="C187" t="str">
        <f ca="1" t="shared" si="30"/>
        <v/>
      </c>
      <c r="D187" t="str">
        <f ca="1">IF(B187&lt;&gt;"",IF(C186&lt;=加速!$L$11*(1-E187),0,1),"")</f>
        <v/>
      </c>
      <c r="E187">
        <f ca="1" t="shared" si="26"/>
        <v>1</v>
      </c>
      <c r="G187" t="str">
        <f ca="1" t="shared" si="27"/>
        <v/>
      </c>
      <c r="H187" t="str">
        <f ca="1">IF(B187&lt;&gt;"",IF(AND(COUNTIF(B186,"*轻*莺鸣柳*")&gt;0,COUNTIF(B187,"*轻*")&lt;1),MAX(0,15+I186-(A187-A186)+COUNTIF(B186,"*平湖*")*0),IF(AND(E187=0,MAX(0,H186-(A187-A186))&lt;=加速!$H$11),0,MAX(0,H186-(A187-A186)))),"")</f>
        <v/>
      </c>
      <c r="I187" t="str">
        <f ca="1" t="shared" si="33"/>
        <v/>
      </c>
      <c r="J187" t="str">
        <f ca="1" t="shared" si="34"/>
        <v/>
      </c>
      <c r="K187" t="str">
        <f ca="1">IF(A187&lt;&gt;"",IF(AND(配装计算器!$K$30&lt;&gt;"∞",0),2,INDEX(AU187:CB187,1,$AT$2)),"")</f>
        <v/>
      </c>
      <c r="L187">
        <f ca="1">IFERROR(IF(AND(COUNTIF(B187,"*-峰插*"),技能数据库!$M$72&gt;0),0,IF(COUNTIF(B187,"*鹤归*")&gt;0,16-加速!$L$11,MAX(0,L186-(A187-A186)))),0)</f>
        <v>0</v>
      </c>
      <c r="M187">
        <f ca="1">IF(COUNTIF(IF(AND(配装计算器!$K$30&lt;&gt;"∞",0),INDEX(AU186:CB186,1,$AT$1),INDEX(AU188:CB188,1,$AT$1)),"*鹤归*")=1,L187,0)</f>
        <v>0</v>
      </c>
      <c r="N187">
        <f ca="1">IFERROR(IF(AND(COUNTIF(B187,"*-峰插*"),技能数据库!$M$72&gt;0),0,IF(COUNTIF(B187,"*云飞*")&gt;0,4-COUNTIF(B187,"*玉山揽云*")*4--COUNTIF(B187,"*烟流暮景*")*4-COUNTIF(B187,"*云景*")*加速!$L$11-IF(J187&gt;0,2,0),MAX(0,N186-(A187-A186)-IF(J187&gt;0,2,0)))),0)</f>
        <v>0</v>
      </c>
      <c r="O187">
        <f ca="1">IF(AND(COUNTIF(IF(AND(配装计算器!$K$30&lt;&gt;"∞",0),INDEX(AU186:CB186,1,$AT$1),INDEX(AU188:CB188,1,$AT$1)),"*云飞*")=1,COUNTIF(IF(AND(配装计算器!$K$30&lt;&gt;"∞",0),INDEX(AU186:CB186,1,$AT$1),INDEX(AU188:CB188,1,$AT$1)),"*玉山*")=0),N187,0)</f>
        <v>0</v>
      </c>
      <c r="P187">
        <f ca="1">IFERROR(IF(COUNTIF(B187,"*云栖松*")&gt;0,50-加速!$L$11,MAX(0,P186-(A187-A186))),0)</f>
        <v>0</v>
      </c>
      <c r="Q187">
        <f ca="1">IF(COUNTIF(IF(AND(配装计算器!$K$30&lt;&gt;"∞",0),INDEX(AU186:CB186,1,$AT$1),INDEX(AU188:CB188,1,$AT$1)),"*云栖松*")=1,P187,0)</f>
        <v>0</v>
      </c>
      <c r="R187">
        <f ca="1">IFERROR(IF(COUNTIF(B187,"*莺鸣柳*")&gt;0,45-加速!$L$9,MAX(0,R186-(A187-A186))),0)</f>
        <v>0</v>
      </c>
      <c r="S187">
        <f ca="1">IF(COUNTIF(IF(AND(配装计算器!$K$30&lt;&gt;"∞",0),INDEX(AU186:CB186,1,$AT$1),INDEX(AU188:CB188,1,$AT$1)),"*莺鸣柳*")=1,R187,0)</f>
        <v>0</v>
      </c>
      <c r="T187">
        <f ca="1" t="shared" si="31"/>
        <v>0</v>
      </c>
      <c r="U187">
        <f ca="1">IF(金蛇,IF(COUNTIF(B187,"*金环戴*")+COUNTIF(B187,"*吹风醒*")&gt;0,IF(A187&lt;=3,7.125-2.625-A187-加速!$L$11,7.125+加速!$K$9-(A187+加速!$L$11-T187)),0),0)+IF(金蛇,IF(COUNTIF(B187,"*千切子裂光*")&gt;0,2+加速!$K$9-(A187+加速!$L$11-T187),0),0)</f>
        <v>0</v>
      </c>
      <c r="V187">
        <f ca="1" t="shared" si="32"/>
        <v>0</v>
      </c>
      <c r="W187">
        <f ca="1" t="shared" si="24"/>
        <v>0</v>
      </c>
      <c r="X187">
        <f ca="1">INDEX(加速!$I$13:$I$21,技能数计算!W187+1)</f>
        <v>0</v>
      </c>
      <c r="Y187">
        <f ca="1" t="shared" si="28"/>
        <v>0.5</v>
      </c>
      <c r="Z187">
        <f ca="1" t="shared" si="29"/>
        <v>0</v>
      </c>
      <c r="AA187">
        <f ca="1">MAX(0,IFERROR(IF(COUNTIF(B187,"*叠*")&gt;0,IF(AC186&lt;3,8-A188+A187,AA186+6.875-A188+A187),AA186-A188+A187),AA186-加速!$L$11))</f>
        <v>0</v>
      </c>
      <c r="AB187" t="e">
        <f ca="1">MAX(0,IF(COUNTIF(IF(AND(配装计算器!$K$30&lt;&gt;"∞",0),INDEX(AU187:CB187,1,$AT$1),INDEX(AU187:CB187,1,$AT$1)),"*叠1*")=1,4*25-加速!$L$11,AB186-A187+A186)-IF(OR(COUNTIF(OFFSET(AT187,0,$AT$1,1,1),"*听雷*")&gt;0,AND(碧归&gt;0,COUNTIF(OFFSET(AT187,0,$AT$1,1,1),"*风来*")&gt;0)),0,1)*1.5)</f>
        <v>#VALUE!</v>
      </c>
      <c r="AC187">
        <f ca="1" t="shared" si="25"/>
        <v>3</v>
      </c>
      <c r="AD187">
        <f ca="1">IF(COUNTIF(IF(AND(配装计算器!$K$30&lt;&gt;"∞",0),INDEX(AU187:CB187,1,$AT$1),INDEX(AU188:CB188,1,$AT$1)),"*叠1*")=1,AB187*0+AE186,0)</f>
        <v>0</v>
      </c>
      <c r="AE187" t="e">
        <f ca="1">IF($AN$11&gt;0,IF(COUNTIF(B188,"*叠1*")&gt;0,50-加速!$H$11,MAX(0,AE186-(A188-A187))),0)</f>
        <v>#VALUE!</v>
      </c>
      <c r="AH187" t="s">
        <v>1825</v>
      </c>
      <c r="AI187" t="s">
        <v>2776</v>
      </c>
      <c r="AJ187">
        <f ca="1">循环比*COUNTIFS($B$3:$B$515,"*"&amp;AI187&amp;"*",$D$3:$D$515,"=1",$H$3:$H$515,"=0",$G$3:$G$515,"&gt;0",$K$3:$K$515,"=2",$AC$3:$AC$515,"=2")-AJ193</f>
        <v>0</v>
      </c>
      <c r="AK187" t="s">
        <v>3112</v>
      </c>
      <c r="AU187" s="176" t="s">
        <v>2776</v>
      </c>
      <c r="AV187">
        <v>2</v>
      </c>
      <c r="AW187" t="str">
        <f>IF($AN$11=1,"云飞玉皇-玉山揽云","夕照雷峰")</f>
        <v>云飞玉皇-玉山揽云</v>
      </c>
      <c r="AX187">
        <v>2</v>
      </c>
      <c r="AY187" t="s">
        <v>2808</v>
      </c>
      <c r="AZ187">
        <v>2</v>
      </c>
      <c r="BA187" t="s">
        <v>3022</v>
      </c>
      <c r="BB187">
        <v>2</v>
      </c>
      <c r="BC187" t="s">
        <v>2768</v>
      </c>
      <c r="BD187">
        <v>2</v>
      </c>
      <c r="BE187" t="s">
        <v>2776</v>
      </c>
      <c r="BF187">
        <v>2</v>
      </c>
      <c r="BG187" s="182" t="s">
        <v>3023</v>
      </c>
      <c r="BH187">
        <v>2</v>
      </c>
      <c r="BI187" t="s">
        <v>2776</v>
      </c>
      <c r="BJ187">
        <v>2</v>
      </c>
      <c r="BK187" t="s">
        <v>2768</v>
      </c>
      <c r="BL187">
        <v>0</v>
      </c>
      <c r="BM187" t="s">
        <v>2768</v>
      </c>
      <c r="BN187">
        <v>2</v>
      </c>
      <c r="BO187" t="s">
        <v>2776</v>
      </c>
      <c r="BP187">
        <v>2</v>
      </c>
      <c r="BQ187" t="s">
        <v>2768</v>
      </c>
      <c r="BR187">
        <v>1</v>
      </c>
      <c r="BS187" t="s">
        <v>2768</v>
      </c>
      <c r="BT187">
        <v>0</v>
      </c>
      <c r="BU187" t="s">
        <v>2768</v>
      </c>
      <c r="BV187">
        <v>2</v>
      </c>
      <c r="BW187" s="179" t="s">
        <v>2768</v>
      </c>
      <c r="BX187" s="179">
        <v>2</v>
      </c>
      <c r="BY187" s="176" t="s">
        <v>2808</v>
      </c>
      <c r="BZ187">
        <v>2</v>
      </c>
      <c r="CA187" t="s">
        <v>2768</v>
      </c>
      <c r="CB187">
        <v>2</v>
      </c>
    </row>
    <row r="188" spans="1:80">
      <c r="A188" s="178" t="str">
        <f ca="1">IFERROR(IF(A187+加速!$L$11&lt;$AS$1,IF(COUNTIF(B187,"*轻*")&gt;0,A187+加速!$L$9,A187+加速!$L$11)+V187,IF(COUNTIF(INDEX(AU188:CB188,1,$AT$1),"*云景*")+COUNTIF(INDEX(AU188:CB188,1,$AT$1),"*鹤归*")+COUNTIF(INDEX(AU188:CB188,1,$AT$1),"*听雷*")&gt;0,A187+加速!$L$11,"")),"")</f>
        <v/>
      </c>
      <c r="B188" s="167" t="str">
        <f ca="1">IF(A188&lt;&gt;"",IF(AND(A188+加速!$L$11&gt;$AS$1,IF(AND(配装计算器!$K$30&lt;&gt;"∞",0),"梦泉虎跑-轻",INDEX(AU188:CB188,1,$AT$1))="云栖松"),"夕照雷峰",IF(AND(配装计算器!$K$30&lt;&gt;"∞",0),"梦泉虎跑-轻",INDEX(AU188:CB188,1,$AT$1))),"")</f>
        <v/>
      </c>
      <c r="C188" t="str">
        <f ca="1" t="shared" si="30"/>
        <v/>
      </c>
      <c r="D188" t="str">
        <f ca="1">IF(B188&lt;&gt;"",IF(C187&lt;=加速!$L$11*(1-E188),0,1),"")</f>
        <v/>
      </c>
      <c r="E188">
        <f ca="1" t="shared" si="26"/>
        <v>1</v>
      </c>
      <c r="G188" t="str">
        <f ca="1" t="shared" si="27"/>
        <v/>
      </c>
      <c r="H188" t="str">
        <f ca="1">IF(B188&lt;&gt;"",IF(AND(COUNTIF(B187,"*轻*莺鸣柳*")&gt;0,COUNTIF(B188,"*轻*")&lt;1),MAX(0,15+I187-(A188-A187)+COUNTIF(B187,"*平湖*")*0),IF(AND(E188=0,MAX(0,H187-(A188-A187))&lt;=加速!$H$11),0,MAX(0,H187-(A188-A187)))),"")</f>
        <v/>
      </c>
      <c r="I188" t="str">
        <f ca="1" t="shared" si="33"/>
        <v/>
      </c>
      <c r="J188" t="str">
        <f ca="1" t="shared" si="34"/>
        <v/>
      </c>
      <c r="K188" t="str">
        <f ca="1">IF(A188&lt;&gt;"",IF(AND(配装计算器!$K$30&lt;&gt;"∞",0),2,INDEX(AU188:CB188,1,$AT$2)),"")</f>
        <v/>
      </c>
      <c r="L188">
        <f ca="1">IFERROR(IF(AND(COUNTIF(B188,"*-峰插*"),技能数据库!$M$72&gt;0),0,IF(COUNTIF(B188,"*鹤归*")&gt;0,16-加速!$L$11,MAX(0,L187-(A188-A187)))),0)</f>
        <v>0</v>
      </c>
      <c r="M188">
        <f ca="1">IF(COUNTIF(IF(AND(配装计算器!$K$30&lt;&gt;"∞",0),INDEX(AU187:CB187,1,$AT$1),INDEX(AU189:CB189,1,$AT$1)),"*鹤归*")=1,L188,0)</f>
        <v>0</v>
      </c>
      <c r="N188">
        <f ca="1">IFERROR(IF(AND(COUNTIF(B188,"*-峰插*"),技能数据库!$M$72&gt;0),0,IF(COUNTIF(B188,"*云飞*")&gt;0,4-COUNTIF(B188,"*玉山揽云*")*4--COUNTIF(B188,"*烟流暮景*")*4-COUNTIF(B188,"*云景*")*加速!$L$11-IF(J188&gt;0,2,0),MAX(0,N187-(A188-A187)-IF(J188&gt;0,2,0)))),0)</f>
        <v>0</v>
      </c>
      <c r="O188">
        <f ca="1">IF(AND(COUNTIF(IF(AND(配装计算器!$K$30&lt;&gt;"∞",0),INDEX(AU187:CB187,1,$AT$1),INDEX(AU189:CB189,1,$AT$1)),"*云飞*")=1,COUNTIF(IF(AND(配装计算器!$K$30&lt;&gt;"∞",0),INDEX(AU187:CB187,1,$AT$1),INDEX(AU189:CB189,1,$AT$1)),"*玉山*")=0),N188,0)</f>
        <v>0</v>
      </c>
      <c r="P188">
        <f ca="1">IFERROR(IF(COUNTIF(B188,"*云栖松*")&gt;0,50-加速!$L$11,MAX(0,P187-(A188-A187))),0)</f>
        <v>0</v>
      </c>
      <c r="Q188">
        <f ca="1">IF(COUNTIF(IF(AND(配装计算器!$K$30&lt;&gt;"∞",0),INDEX(AU187:CB187,1,$AT$1),INDEX(AU189:CB189,1,$AT$1)),"*云栖松*")=1,P188,0)</f>
        <v>0</v>
      </c>
      <c r="R188">
        <f ca="1">IFERROR(IF(COUNTIF(B188,"*莺鸣柳*")&gt;0,45-加速!$L$9,MAX(0,R187-(A188-A187))),0)</f>
        <v>0</v>
      </c>
      <c r="S188">
        <f ca="1">IF(COUNTIF(IF(AND(配装计算器!$K$30&lt;&gt;"∞",0),INDEX(AU187:CB187,1,$AT$1),INDEX(AU189:CB189,1,$AT$1)),"*莺鸣柳*")=1,R188,0)</f>
        <v>0</v>
      </c>
      <c r="T188">
        <f ca="1" t="shared" si="31"/>
        <v>0</v>
      </c>
      <c r="U188">
        <f ca="1">IF(金蛇,IF(COUNTIF(B188,"*金环戴*")+COUNTIF(B188,"*吹风醒*")&gt;0,IF(A188&lt;=3,7.125-2.625-A188-加速!$L$11,7.125+加速!$K$9-(A188+加速!$L$11-T188)),0),0)+IF(金蛇,IF(COUNTIF(B188,"*千切子裂光*")&gt;0,2+加速!$K$9-(A188+加速!$L$11-T188),0),0)</f>
        <v>0</v>
      </c>
      <c r="V188">
        <f ca="1" t="shared" si="32"/>
        <v>0</v>
      </c>
      <c r="W188">
        <f ca="1" t="shared" si="24"/>
        <v>0</v>
      </c>
      <c r="X188">
        <f ca="1">INDEX(加速!$I$13:$I$21,技能数计算!W188+1)</f>
        <v>0</v>
      </c>
      <c r="Y188">
        <f ca="1" t="shared" si="28"/>
        <v>0.5</v>
      </c>
      <c r="Z188">
        <f ca="1" t="shared" si="29"/>
        <v>0</v>
      </c>
      <c r="AA188">
        <f ca="1">MAX(0,IFERROR(IF(COUNTIF(B188,"*叠*")&gt;0,IF(AC187&lt;3,8-A189+A188,AA187+6.875-A189+A188),AA187-A189+A188),AA187-加速!$L$11))</f>
        <v>0</v>
      </c>
      <c r="AB188" t="e">
        <f ca="1">MAX(0,IF(COUNTIF(IF(AND(配装计算器!$K$30&lt;&gt;"∞",0),INDEX(AU188:CB188,1,$AT$1),INDEX(AU188:CB188,1,$AT$1)),"*叠1*")=1,4*25-加速!$L$11,AB187-A188+A187)-IF(OR(COUNTIF(OFFSET(AT188,0,$AT$1,1,1),"*听雷*")&gt;0,AND(碧归&gt;0,COUNTIF(OFFSET(AT188,0,$AT$1,1,1),"*风来*")&gt;0)),0,1)*1.5)</f>
        <v>#VALUE!</v>
      </c>
      <c r="AC188">
        <f ca="1" t="shared" si="25"/>
        <v>3</v>
      </c>
      <c r="AD188">
        <f ca="1">IF(COUNTIF(IF(AND(配装计算器!$K$30&lt;&gt;"∞",0),INDEX(AU188:CB188,1,$AT$1),INDEX(AU189:CB189,1,$AT$1)),"*叠1*")=1,AB188*0+AE187,0)</f>
        <v>0</v>
      </c>
      <c r="AE188" t="e">
        <f ca="1">IF($AN$11&gt;0,IF(COUNTIF(B189,"*叠1*")&gt;0,50-加速!$H$11,MAX(0,AE187-(A189-A188))),0)</f>
        <v>#VALUE!</v>
      </c>
      <c r="AH188" t="s">
        <v>1825</v>
      </c>
      <c r="AI188" t="s">
        <v>2776</v>
      </c>
      <c r="AJ188">
        <f ca="1">循环比*COUNTIFS($B$3:$B$515,"*"&amp;AI188&amp;"*",$D$3:$D$515,"=1",$H$3:$H$515,"=0",$G$3:$G$515,"&gt;0",$K$3:$K$515,"=2",$AC$3:$AC$515,"=3")-AJ194</f>
        <v>18</v>
      </c>
      <c r="AK188" t="s">
        <v>3113</v>
      </c>
      <c r="AU188" s="176" t="s">
        <v>2768</v>
      </c>
      <c r="AV188">
        <v>1</v>
      </c>
      <c r="AW188" t="str">
        <f>IF($AN$11=1,"云飞玉皇-玉山揽云","云飞玉皇")</f>
        <v>云飞玉皇-玉山揽云</v>
      </c>
      <c r="AX188">
        <v>2</v>
      </c>
      <c r="AY188" t="s">
        <v>3022</v>
      </c>
      <c r="AZ188">
        <v>2</v>
      </c>
      <c r="BA188" t="s">
        <v>2776</v>
      </c>
      <c r="BB188">
        <v>2</v>
      </c>
      <c r="BC188" t="s">
        <v>2768</v>
      </c>
      <c r="BD188">
        <v>1</v>
      </c>
      <c r="BE188" t="s">
        <v>2768</v>
      </c>
      <c r="BF188">
        <v>2</v>
      </c>
      <c r="BG188" s="176" t="s">
        <v>2768</v>
      </c>
      <c r="BH188">
        <v>2</v>
      </c>
      <c r="BI188" t="s">
        <v>2768</v>
      </c>
      <c r="BJ188">
        <v>2</v>
      </c>
      <c r="BK188" t="s">
        <v>3056</v>
      </c>
      <c r="BL188">
        <v>0</v>
      </c>
      <c r="BM188" t="s">
        <v>2776</v>
      </c>
      <c r="BN188">
        <v>2</v>
      </c>
      <c r="BO188" s="176" t="s">
        <v>2794</v>
      </c>
      <c r="BP188">
        <v>2</v>
      </c>
      <c r="BQ188" t="s">
        <v>2768</v>
      </c>
      <c r="BR188">
        <v>0</v>
      </c>
      <c r="BS188" t="s">
        <v>2776</v>
      </c>
      <c r="BT188">
        <v>0</v>
      </c>
      <c r="BU188" s="176" t="s">
        <v>2794</v>
      </c>
      <c r="BV188">
        <v>1</v>
      </c>
      <c r="BW188" s="179" t="s">
        <v>2776</v>
      </c>
      <c r="BX188" s="179">
        <v>2</v>
      </c>
      <c r="BY188" t="s">
        <v>2768</v>
      </c>
      <c r="BZ188">
        <v>2</v>
      </c>
      <c r="CA188" t="s">
        <v>2768</v>
      </c>
      <c r="CB188">
        <v>2</v>
      </c>
    </row>
    <row r="189" spans="1:80">
      <c r="A189" s="178" t="str">
        <f ca="1">IFERROR(IF(A188+加速!$L$11&lt;$AS$1,IF(COUNTIF(B188,"*轻*")&gt;0,A188+加速!$L$9,A188+加速!$L$11)+V188,IF(COUNTIF(INDEX(AU189:CB189,1,$AT$1),"*云景*")+COUNTIF(INDEX(AU189:CB189,1,$AT$1),"*鹤归*")+COUNTIF(INDEX(AU189:CB189,1,$AT$1),"*听雷*")&gt;0,A188+加速!$L$11,"")),"")</f>
        <v/>
      </c>
      <c r="B189" s="167" t="str">
        <f ca="1">IF(A189&lt;&gt;"",IF(AND(A189+加速!$L$11&gt;$AS$1,IF(AND(配装计算器!$K$30&lt;&gt;"∞",0),"梦泉虎跑-轻",INDEX(AU189:CB189,1,$AT$1))="云栖松"),"夕照雷峰",IF(AND(配装计算器!$K$30&lt;&gt;"∞",0),"梦泉虎跑-轻",INDEX(AU189:CB189,1,$AT$1))),"")</f>
        <v/>
      </c>
      <c r="C189" t="str">
        <f ca="1" t="shared" si="30"/>
        <v/>
      </c>
      <c r="D189" t="str">
        <f ca="1">IF(B189&lt;&gt;"",IF(C188&lt;=加速!$L$11*(1-E189),0,1),"")</f>
        <v/>
      </c>
      <c r="E189">
        <f ca="1" t="shared" si="26"/>
        <v>1</v>
      </c>
      <c r="G189" t="str">
        <f ca="1" t="shared" si="27"/>
        <v/>
      </c>
      <c r="H189" t="str">
        <f ca="1">IF(B189&lt;&gt;"",IF(AND(COUNTIF(B188,"*轻*莺鸣柳*")&gt;0,COUNTIF(B189,"*轻*")&lt;1),MAX(0,15+I188-(A189-A188)+COUNTIF(B188,"*平湖*")*0),IF(AND(E189=0,MAX(0,H188-(A189-A188))&lt;=加速!$H$11),0,MAX(0,H188-(A189-A188)))),"")</f>
        <v/>
      </c>
      <c r="I189" t="str">
        <f ca="1" t="shared" si="33"/>
        <v/>
      </c>
      <c r="J189" t="str">
        <f ca="1" t="shared" si="34"/>
        <v/>
      </c>
      <c r="K189" t="str">
        <f ca="1">IF(A189&lt;&gt;"",IF(AND(配装计算器!$K$30&lt;&gt;"∞",0),2,INDEX(AU189:CB189,1,$AT$2)),"")</f>
        <v/>
      </c>
      <c r="L189">
        <f ca="1">IFERROR(IF(AND(COUNTIF(B189,"*-峰插*"),技能数据库!$M$72&gt;0),0,IF(COUNTIF(B189,"*鹤归*")&gt;0,16-加速!$L$11,MAX(0,L188-(A189-A188)))),0)</f>
        <v>0</v>
      </c>
      <c r="M189">
        <f ca="1">IF(COUNTIF(IF(AND(配装计算器!$K$30&lt;&gt;"∞",0),INDEX(AU188:CB188,1,$AT$1),INDEX(AU190:CB190,1,$AT$1)),"*鹤归*")=1,L189,0)</f>
        <v>0</v>
      </c>
      <c r="N189">
        <f ca="1">IFERROR(IF(AND(COUNTIF(B189,"*-峰插*"),技能数据库!$M$72&gt;0),0,IF(COUNTIF(B189,"*云飞*")&gt;0,4-COUNTIF(B189,"*玉山揽云*")*4--COUNTIF(B189,"*烟流暮景*")*4-COUNTIF(B189,"*云景*")*加速!$L$11-IF(J189&gt;0,2,0),MAX(0,N188-(A189-A188)-IF(J189&gt;0,2,0)))),0)</f>
        <v>0</v>
      </c>
      <c r="O189">
        <f ca="1">IF(AND(COUNTIF(IF(AND(配装计算器!$K$30&lt;&gt;"∞",0),INDEX(AU188:CB188,1,$AT$1),INDEX(AU190:CB190,1,$AT$1)),"*云飞*")=1,COUNTIF(IF(AND(配装计算器!$K$30&lt;&gt;"∞",0),INDEX(AU188:CB188,1,$AT$1),INDEX(AU190:CB190,1,$AT$1)),"*玉山*")=0),N189,0)</f>
        <v>0</v>
      </c>
      <c r="P189">
        <f ca="1">IFERROR(IF(COUNTIF(B189,"*云栖松*")&gt;0,50-加速!$L$11,MAX(0,P188-(A189-A188))),0)</f>
        <v>0</v>
      </c>
      <c r="Q189">
        <f ca="1">IF(COUNTIF(IF(AND(配装计算器!$K$30&lt;&gt;"∞",0),INDEX(AU188:CB188,1,$AT$1),INDEX(AU190:CB190,1,$AT$1)),"*云栖松*")=1,P189,0)</f>
        <v>0</v>
      </c>
      <c r="R189">
        <f ca="1">IFERROR(IF(COUNTIF(B189,"*莺鸣柳*")&gt;0,45-加速!$L$9,MAX(0,R188-(A189-A188))),0)</f>
        <v>0</v>
      </c>
      <c r="S189">
        <f ca="1">IF(COUNTIF(IF(AND(配装计算器!$K$30&lt;&gt;"∞",0),INDEX(AU188:CB188,1,$AT$1),INDEX(AU190:CB190,1,$AT$1)),"*莺鸣柳*")=1,R189,0)</f>
        <v>0</v>
      </c>
      <c r="T189">
        <f ca="1" t="shared" si="31"/>
        <v>0</v>
      </c>
      <c r="U189">
        <f ca="1">IF(金蛇,IF(COUNTIF(B189,"*金环戴*")+COUNTIF(B189,"*吹风醒*")&gt;0,IF(A189&lt;=3,7.125-2.625-A189-加速!$L$11,7.125+加速!$K$9-(A189+加速!$L$11-T189)),0),0)+IF(金蛇,IF(COUNTIF(B189,"*千切子裂光*")&gt;0,2+加速!$K$9-(A189+加速!$L$11-T189),0),0)</f>
        <v>0</v>
      </c>
      <c r="V189">
        <f ca="1" t="shared" si="32"/>
        <v>0</v>
      </c>
      <c r="W189">
        <f ca="1" t="shared" si="24"/>
        <v>0</v>
      </c>
      <c r="X189">
        <f ca="1">INDEX(加速!$I$13:$I$21,技能数计算!W189+1)</f>
        <v>0</v>
      </c>
      <c r="Y189">
        <f ca="1" t="shared" si="28"/>
        <v>0.5</v>
      </c>
      <c r="Z189">
        <f ca="1" t="shared" si="29"/>
        <v>0</v>
      </c>
      <c r="AA189">
        <f ca="1">MAX(0,IFERROR(IF(COUNTIF(B189,"*叠*")&gt;0,IF(AC188&lt;3,8-A190+A189,AA188+6.875-A190+A189),AA188-A190+A189),AA188-加速!$L$11))</f>
        <v>0</v>
      </c>
      <c r="AB189" t="e">
        <f ca="1">MAX(0,IF(COUNTIF(IF(AND(配装计算器!$K$30&lt;&gt;"∞",0),INDEX(AU189:CB189,1,$AT$1),INDEX(AU189:CB189,1,$AT$1)),"*叠1*")=1,4*25-加速!$L$11,AB188-A189+A188)-IF(OR(COUNTIF(OFFSET(AT189,0,$AT$1,1,1),"*听雷*")&gt;0,AND(碧归&gt;0,COUNTIF(OFFSET(AT189,0,$AT$1,1,1),"*风来*")&gt;0)),0,1)*1.5)</f>
        <v>#VALUE!</v>
      </c>
      <c r="AC189">
        <f ca="1" t="shared" si="25"/>
        <v>3</v>
      </c>
      <c r="AD189">
        <f ca="1">IF(COUNTIF(IF(AND(配装计算器!$K$30&lt;&gt;"∞",0),INDEX(AU189:CB189,1,$AT$1),INDEX(AU190:CB190,1,$AT$1)),"*叠1*")=1,AB189*0+AE188,0)</f>
        <v>0</v>
      </c>
      <c r="AE189" t="e">
        <f ca="1">IF($AN$11&gt;0,IF(COUNTIF(B190,"*叠1*")&gt;0,50-加速!$H$11,MAX(0,AE188-(A190-A189))),0)</f>
        <v>#VALUE!</v>
      </c>
      <c r="AH189" t="s">
        <v>1825</v>
      </c>
      <c r="AI189" t="s">
        <v>2780</v>
      </c>
      <c r="AJ189">
        <f ca="1">AJ186+AJ192</f>
        <v>0</v>
      </c>
      <c r="AK189" t="s">
        <v>3111</v>
      </c>
      <c r="AU189" s="176" t="s">
        <v>2776</v>
      </c>
      <c r="AV189">
        <v>2</v>
      </c>
      <c r="AW189" t="str">
        <f>IF($AN$11=1,"云飞玉皇-玉山揽云","夕照雷峰")</f>
        <v>云飞玉皇-玉山揽云</v>
      </c>
      <c r="AX189">
        <v>2</v>
      </c>
      <c r="AY189" t="s">
        <v>2776</v>
      </c>
      <c r="AZ189">
        <v>2</v>
      </c>
      <c r="BA189" t="s">
        <v>2768</v>
      </c>
      <c r="BB189">
        <v>2</v>
      </c>
      <c r="BC189" t="s">
        <v>2776</v>
      </c>
      <c r="BD189">
        <v>1</v>
      </c>
      <c r="BE189" t="s">
        <v>2776</v>
      </c>
      <c r="BF189">
        <v>2</v>
      </c>
      <c r="BG189" s="176" t="s">
        <v>2768</v>
      </c>
      <c r="BH189">
        <v>2</v>
      </c>
      <c r="BI189" t="s">
        <v>2768</v>
      </c>
      <c r="BJ189">
        <v>2</v>
      </c>
      <c r="BK189" t="s">
        <v>2768</v>
      </c>
      <c r="BL189">
        <v>2</v>
      </c>
      <c r="BM189" t="s">
        <v>2768</v>
      </c>
      <c r="BN189">
        <v>2</v>
      </c>
      <c r="BO189" s="176" t="s">
        <v>2768</v>
      </c>
      <c r="BP189">
        <v>2</v>
      </c>
      <c r="BQ189" t="s">
        <v>3010</v>
      </c>
      <c r="BR189">
        <v>2</v>
      </c>
      <c r="BS189" t="s">
        <v>2768</v>
      </c>
      <c r="BT189">
        <v>0</v>
      </c>
      <c r="BU189" t="s">
        <v>2776</v>
      </c>
      <c r="BV189">
        <v>1</v>
      </c>
      <c r="BW189" s="182" t="s">
        <v>2794</v>
      </c>
      <c r="BX189" s="179">
        <v>2</v>
      </c>
      <c r="BY189" t="s">
        <v>2776</v>
      </c>
      <c r="BZ189">
        <v>2</v>
      </c>
      <c r="CA189" t="s">
        <v>2776</v>
      </c>
      <c r="CB189">
        <v>2</v>
      </c>
    </row>
    <row r="190" spans="1:80">
      <c r="A190" s="178" t="str">
        <f ca="1">IFERROR(IF(A189+加速!$L$11&lt;$AS$1,IF(COUNTIF(B189,"*轻*")&gt;0,A189+加速!$L$9,A189+加速!$L$11)+V189,IF(COUNTIF(INDEX(AU190:CB190,1,$AT$1),"*云景*")+COUNTIF(INDEX(AU190:CB190,1,$AT$1),"*鹤归*")+COUNTIF(INDEX(AU190:CB190,1,$AT$1),"*听雷*")&gt;0,A189+加速!$L$11,"")),"")</f>
        <v/>
      </c>
      <c r="B190" s="167" t="str">
        <f ca="1">IF(A190&lt;&gt;"",IF(AND(A190+加速!$L$11&gt;$AS$1,IF(AND(配装计算器!$K$30&lt;&gt;"∞",0),"梦泉虎跑-轻",INDEX(AU190:CB190,1,$AT$1))="云栖松"),"夕照雷峰",IF(AND(配装计算器!$K$30&lt;&gt;"∞",0),"梦泉虎跑-轻",INDEX(AU190:CB190,1,$AT$1))),"")</f>
        <v/>
      </c>
      <c r="C190" t="str">
        <f ca="1" t="shared" si="30"/>
        <v/>
      </c>
      <c r="D190" t="str">
        <f ca="1">IF(B190&lt;&gt;"",IF(C189&lt;=加速!$L$11*(1-E190),0,1),"")</f>
        <v/>
      </c>
      <c r="E190">
        <f ca="1" t="shared" si="26"/>
        <v>1</v>
      </c>
      <c r="G190" t="str">
        <f ca="1" t="shared" si="27"/>
        <v/>
      </c>
      <c r="H190" t="str">
        <f ca="1">IF(B190&lt;&gt;"",IF(AND(COUNTIF(B189,"*轻*莺鸣柳*")&gt;0,COUNTIF(B190,"*轻*")&lt;1),MAX(0,15+I189-(A190-A189)+COUNTIF(B189,"*平湖*")*0),IF(AND(E190=0,MAX(0,H189-(A190-A189))&lt;=加速!$H$11),0,MAX(0,H189-(A190-A189)))),"")</f>
        <v/>
      </c>
      <c r="I190" t="str">
        <f ca="1" t="shared" si="33"/>
        <v/>
      </c>
      <c r="J190" t="str">
        <f ca="1" t="shared" si="34"/>
        <v/>
      </c>
      <c r="K190" t="str">
        <f ca="1">IF(A190&lt;&gt;"",IF(AND(配装计算器!$K$30&lt;&gt;"∞",0),2,INDEX(AU190:CB190,1,$AT$2)),"")</f>
        <v/>
      </c>
      <c r="L190">
        <f ca="1">IFERROR(IF(AND(COUNTIF(B190,"*-峰插*"),技能数据库!$M$72&gt;0),0,IF(COUNTIF(B190,"*鹤归*")&gt;0,16-加速!$L$11,MAX(0,L189-(A190-A189)))),0)</f>
        <v>0</v>
      </c>
      <c r="M190">
        <f ca="1">IF(COUNTIF(IF(AND(配装计算器!$K$30&lt;&gt;"∞",0),INDEX(AU189:CB189,1,$AT$1),INDEX(AU191:CB191,1,$AT$1)),"*鹤归*")=1,L190,0)</f>
        <v>0</v>
      </c>
      <c r="N190">
        <f ca="1">IFERROR(IF(AND(COUNTIF(B190,"*-峰插*"),技能数据库!$M$72&gt;0),0,IF(COUNTIF(B190,"*云飞*")&gt;0,4-COUNTIF(B190,"*玉山揽云*")*4--COUNTIF(B190,"*烟流暮景*")*4-COUNTIF(B190,"*云景*")*加速!$L$11-IF(J190&gt;0,2,0),MAX(0,N189-(A190-A189)-IF(J190&gt;0,2,0)))),0)</f>
        <v>0</v>
      </c>
      <c r="O190">
        <f ca="1">IF(AND(COUNTIF(IF(AND(配装计算器!$K$30&lt;&gt;"∞",0),INDEX(AU189:CB189,1,$AT$1),INDEX(AU191:CB191,1,$AT$1)),"*云飞*")=1,COUNTIF(IF(AND(配装计算器!$K$30&lt;&gt;"∞",0),INDEX(AU189:CB189,1,$AT$1),INDEX(AU191:CB191,1,$AT$1)),"*玉山*")=0),N190,0)</f>
        <v>0</v>
      </c>
      <c r="P190">
        <f ca="1">IFERROR(IF(COUNTIF(B190,"*云栖松*")&gt;0,50-加速!$L$11,MAX(0,P189-(A190-A189))),0)</f>
        <v>0</v>
      </c>
      <c r="Q190">
        <f ca="1">IF(COUNTIF(IF(AND(配装计算器!$K$30&lt;&gt;"∞",0),INDEX(AU189:CB189,1,$AT$1),INDEX(AU191:CB191,1,$AT$1)),"*云栖松*")=1,P190,0)</f>
        <v>0</v>
      </c>
      <c r="R190">
        <f ca="1">IFERROR(IF(COUNTIF(B190,"*莺鸣柳*")&gt;0,45-加速!$L$9,MAX(0,R189-(A190-A189))),0)</f>
        <v>0</v>
      </c>
      <c r="S190">
        <f ca="1">IF(COUNTIF(IF(AND(配装计算器!$K$30&lt;&gt;"∞",0),INDEX(AU189:CB189,1,$AT$1),INDEX(AU191:CB191,1,$AT$1)),"*莺鸣柳*")=1,R190,0)</f>
        <v>0</v>
      </c>
      <c r="T190">
        <f ca="1" t="shared" si="31"/>
        <v>0</v>
      </c>
      <c r="U190">
        <f ca="1">IF(金蛇,IF(COUNTIF(B190,"*金环戴*")+COUNTIF(B190,"*吹风醒*")&gt;0,IF(A190&lt;=3,7.125-2.625-A190-加速!$L$11,7.125+加速!$K$9-(A190+加速!$L$11-T190)),0),0)+IF(金蛇,IF(COUNTIF(B190,"*千切子裂光*")&gt;0,2+加速!$K$9-(A190+加速!$L$11-T190),0),0)</f>
        <v>0</v>
      </c>
      <c r="V190">
        <f ca="1" t="shared" si="32"/>
        <v>0</v>
      </c>
      <c r="W190">
        <f ca="1" t="shared" si="24"/>
        <v>0</v>
      </c>
      <c r="X190">
        <f ca="1">INDEX(加速!$I$13:$I$21,技能数计算!W190+1)</f>
        <v>0</v>
      </c>
      <c r="Y190">
        <f ca="1" t="shared" si="28"/>
        <v>0.5</v>
      </c>
      <c r="Z190">
        <f ca="1" t="shared" si="29"/>
        <v>0</v>
      </c>
      <c r="AA190">
        <f ca="1">MAX(0,IFERROR(IF(COUNTIF(B190,"*叠*")&gt;0,IF(AC189&lt;3,8-A191+A190,AA189+6.875-A191+A190),AA189-A191+A190),AA189-加速!$L$11))</f>
        <v>0</v>
      </c>
      <c r="AB190" t="e">
        <f ca="1">MAX(0,IF(COUNTIF(IF(AND(配装计算器!$K$30&lt;&gt;"∞",0),INDEX(AU190:CB190,1,$AT$1),INDEX(AU190:CB190,1,$AT$1)),"*叠1*")=1,4*25-加速!$L$11,AB189-A190+A189)-IF(OR(COUNTIF(OFFSET(AT190,0,$AT$1,1,1),"*听雷*")&gt;0,AND(碧归&gt;0,COUNTIF(OFFSET(AT190,0,$AT$1,1,1),"*风来*")&gt;0)),0,1)*1.5)</f>
        <v>#VALUE!</v>
      </c>
      <c r="AC190">
        <f ca="1" t="shared" si="25"/>
        <v>3</v>
      </c>
      <c r="AD190">
        <f ca="1">IF(COUNTIF(IF(AND(配装计算器!$K$30&lt;&gt;"∞",0),INDEX(AU190:CB190,1,$AT$1),INDEX(AU191:CB191,1,$AT$1)),"*叠1*")=1,AB190*0+AE189,0)</f>
        <v>0</v>
      </c>
      <c r="AE190" t="e">
        <f ca="1">IF($AN$11&gt;0,IF(COUNTIF(B191,"*叠1*")&gt;0,50-加速!$H$11,MAX(0,AE189-(A191-A190))),0)</f>
        <v>#VALUE!</v>
      </c>
      <c r="AH190" t="s">
        <v>1825</v>
      </c>
      <c r="AI190" t="s">
        <v>2780</v>
      </c>
      <c r="AJ190">
        <f ca="1" t="shared" ref="AJ190:AJ191" si="42">AJ187+AJ193</f>
        <v>0</v>
      </c>
      <c r="AK190" t="s">
        <v>3112</v>
      </c>
      <c r="AU190" s="176" t="s">
        <v>2768</v>
      </c>
      <c r="AV190">
        <v>1</v>
      </c>
      <c r="AW190" t="str">
        <f>IF($AN$11=1,橙武补雾锁,"鹤归孤山")</f>
        <v>云飞玉皇-玉山揽云</v>
      </c>
      <c r="AX190">
        <v>2</v>
      </c>
      <c r="AY190" t="s">
        <v>2768</v>
      </c>
      <c r="AZ190">
        <v>2</v>
      </c>
      <c r="BA190" t="s">
        <v>2768</v>
      </c>
      <c r="BB190">
        <v>2</v>
      </c>
      <c r="BC190" t="s">
        <v>2768</v>
      </c>
      <c r="BD190">
        <v>1</v>
      </c>
      <c r="BE190" t="s">
        <v>2768</v>
      </c>
      <c r="BF190">
        <v>2</v>
      </c>
      <c r="BG190" s="176" t="s">
        <v>2768</v>
      </c>
      <c r="BH190">
        <v>2</v>
      </c>
      <c r="BI190" s="176" t="s">
        <v>2794</v>
      </c>
      <c r="BJ190">
        <v>1</v>
      </c>
      <c r="BK190" t="s">
        <v>2768</v>
      </c>
      <c r="BL190">
        <v>2</v>
      </c>
      <c r="BM190" t="s">
        <v>2768</v>
      </c>
      <c r="BN190">
        <v>2</v>
      </c>
      <c r="BO190" s="176" t="s">
        <v>2776</v>
      </c>
      <c r="BP190">
        <v>2</v>
      </c>
      <c r="BQ190" t="s">
        <v>3013</v>
      </c>
      <c r="BR190">
        <v>2</v>
      </c>
      <c r="BS190" t="s">
        <v>3074</v>
      </c>
      <c r="BT190">
        <v>2</v>
      </c>
      <c r="BU190" t="s">
        <v>2768</v>
      </c>
      <c r="BV190">
        <v>1</v>
      </c>
      <c r="BW190" s="182" t="s">
        <v>2768</v>
      </c>
      <c r="BX190" s="179">
        <v>2</v>
      </c>
      <c r="BY190" t="s">
        <v>2768</v>
      </c>
      <c r="BZ190">
        <v>2</v>
      </c>
      <c r="CA190" s="176" t="s">
        <v>2794</v>
      </c>
      <c r="CB190">
        <v>2</v>
      </c>
    </row>
    <row r="191" spans="1:80">
      <c r="A191" s="178" t="str">
        <f ca="1">IFERROR(IF(A190+加速!$L$11&lt;$AS$1,IF(COUNTIF(B190,"*轻*")&gt;0,A190+加速!$L$9,A190+加速!$L$11)+V190,IF(COUNTIF(INDEX(AU191:CB191,1,$AT$1),"*云景*")+COUNTIF(INDEX(AU191:CB191,1,$AT$1),"*鹤归*")+COUNTIF(INDEX(AU191:CB191,1,$AT$1),"*听雷*")&gt;0,A190+加速!$L$11,"")),"")</f>
        <v/>
      </c>
      <c r="B191" s="167" t="str">
        <f ca="1">IF(A191&lt;&gt;"",IF(AND(A191+加速!$L$11&gt;$AS$1,IF(AND(配装计算器!$K$30&lt;&gt;"∞",0),"梦泉虎跑-轻",INDEX(AU191:CB191,1,$AT$1))="云栖松"),"夕照雷峰",IF(AND(配装计算器!$K$30&lt;&gt;"∞",0),"梦泉虎跑-轻",INDEX(AU191:CB191,1,$AT$1))),"")</f>
        <v/>
      </c>
      <c r="C191" t="str">
        <f ca="1" t="shared" si="30"/>
        <v/>
      </c>
      <c r="D191" t="str">
        <f ca="1">IF(B191&lt;&gt;"",IF(C190&lt;=加速!$L$11*(1-E191),0,1),"")</f>
        <v/>
      </c>
      <c r="E191">
        <f ca="1" t="shared" si="26"/>
        <v>1</v>
      </c>
      <c r="G191" t="str">
        <f ca="1" t="shared" si="27"/>
        <v/>
      </c>
      <c r="H191" t="str">
        <f ca="1">IF(B191&lt;&gt;"",IF(AND(COUNTIF(B190,"*轻*莺鸣柳*")&gt;0,COUNTIF(B191,"*轻*")&lt;1),MAX(0,15+I190-(A191-A190)+COUNTIF(B190,"*平湖*")*0),IF(AND(E191=0,MAX(0,H190-(A191-A190))&lt;=加速!$H$11),0,MAX(0,H190-(A191-A190)))),"")</f>
        <v/>
      </c>
      <c r="I191" t="str">
        <f ca="1" t="shared" si="33"/>
        <v/>
      </c>
      <c r="J191" t="str">
        <f ca="1" t="shared" si="34"/>
        <v/>
      </c>
      <c r="K191" t="str">
        <f ca="1">IF(A191&lt;&gt;"",IF(AND(配装计算器!$K$30&lt;&gt;"∞",0),2,INDEX(AU191:CB191,1,$AT$2)),"")</f>
        <v/>
      </c>
      <c r="L191">
        <f ca="1">IFERROR(IF(AND(COUNTIF(B191,"*-峰插*"),技能数据库!$M$72&gt;0),0,IF(COUNTIF(B191,"*鹤归*")&gt;0,16-加速!$L$11,MAX(0,L190-(A191-A190)))),0)</f>
        <v>0</v>
      </c>
      <c r="M191">
        <f ca="1">IF(COUNTIF(IF(AND(配装计算器!$K$30&lt;&gt;"∞",0),INDEX(AU190:CB190,1,$AT$1),INDEX(AU192:CB192,1,$AT$1)),"*鹤归*")=1,L191,0)</f>
        <v>0</v>
      </c>
      <c r="N191">
        <f ca="1">IFERROR(IF(AND(COUNTIF(B191,"*-峰插*"),技能数据库!$M$72&gt;0),0,IF(COUNTIF(B191,"*云飞*")&gt;0,4-COUNTIF(B191,"*玉山揽云*")*4--COUNTIF(B191,"*烟流暮景*")*4-COUNTIF(B191,"*云景*")*加速!$L$11-IF(J191&gt;0,2,0),MAX(0,N190-(A191-A190)-IF(J191&gt;0,2,0)))),0)</f>
        <v>0</v>
      </c>
      <c r="O191">
        <f ca="1">IF(AND(COUNTIF(IF(AND(配装计算器!$K$30&lt;&gt;"∞",0),INDEX(AU190:CB190,1,$AT$1),INDEX(AU192:CB192,1,$AT$1)),"*云飞*")=1,COUNTIF(IF(AND(配装计算器!$K$30&lt;&gt;"∞",0),INDEX(AU190:CB190,1,$AT$1),INDEX(AU192:CB192,1,$AT$1)),"*玉山*")=0),N191,0)</f>
        <v>0</v>
      </c>
      <c r="P191">
        <f ca="1">IFERROR(IF(COUNTIF(B191,"*云栖松*")&gt;0,50-加速!$L$11,MAX(0,P190-(A191-A190))),0)</f>
        <v>0</v>
      </c>
      <c r="Q191">
        <f ca="1">IF(COUNTIF(IF(AND(配装计算器!$K$30&lt;&gt;"∞",0),INDEX(AU190:CB190,1,$AT$1),INDEX(AU192:CB192,1,$AT$1)),"*云栖松*")=1,P191,0)</f>
        <v>0</v>
      </c>
      <c r="R191">
        <f ca="1">IFERROR(IF(COUNTIF(B191,"*莺鸣柳*")&gt;0,45-加速!$L$9,MAX(0,R190-(A191-A190))),0)</f>
        <v>0</v>
      </c>
      <c r="S191">
        <f ca="1">IF(COUNTIF(IF(AND(配装计算器!$K$30&lt;&gt;"∞",0),INDEX(AU190:CB190,1,$AT$1),INDEX(AU192:CB192,1,$AT$1)),"*莺鸣柳*")=1,R191,0)</f>
        <v>0</v>
      </c>
      <c r="T191">
        <f ca="1" t="shared" si="31"/>
        <v>0</v>
      </c>
      <c r="U191">
        <f ca="1">IF(金蛇,IF(COUNTIF(B191,"*金环戴*")+COUNTIF(B191,"*吹风醒*")&gt;0,IF(A191&lt;=3,7.125-2.625-A191-加速!$L$11,7.125+加速!$K$9-(A191+加速!$L$11-T191)),0),0)+IF(金蛇,IF(COUNTIF(B191,"*千切子裂光*")&gt;0,2+加速!$K$9-(A191+加速!$L$11-T191),0),0)</f>
        <v>0</v>
      </c>
      <c r="V191">
        <f ca="1" t="shared" si="32"/>
        <v>0</v>
      </c>
      <c r="W191">
        <f ca="1" t="shared" si="24"/>
        <v>0</v>
      </c>
      <c r="X191">
        <f ca="1">INDEX(加速!$I$13:$I$21,技能数计算!W191+1)</f>
        <v>0</v>
      </c>
      <c r="Y191">
        <f ca="1" t="shared" si="28"/>
        <v>0.5</v>
      </c>
      <c r="Z191">
        <f ca="1" t="shared" si="29"/>
        <v>0</v>
      </c>
      <c r="AA191">
        <f ca="1">MAX(0,IFERROR(IF(COUNTIF(B191,"*叠*")&gt;0,IF(AC190&lt;3,8-A192+A191,AA190+6.875-A192+A191),AA190-A192+A191),AA190-加速!$L$11))</f>
        <v>0</v>
      </c>
      <c r="AB191" t="e">
        <f ca="1">MAX(0,IF(COUNTIF(IF(AND(配装计算器!$K$30&lt;&gt;"∞",0),INDEX(AU191:CB191,1,$AT$1),INDEX(AU191:CB191,1,$AT$1)),"*叠1*")=1,4*25-加速!$L$11,AB190-A191+A190)-IF(OR(COUNTIF(OFFSET(AT191,0,$AT$1,1,1),"*听雷*")&gt;0,AND(碧归&gt;0,COUNTIF(OFFSET(AT191,0,$AT$1,1,1),"*风来*")&gt;0)),0,1)*1.5)</f>
        <v>#VALUE!</v>
      </c>
      <c r="AC191">
        <f ca="1" t="shared" si="25"/>
        <v>3</v>
      </c>
      <c r="AD191">
        <f ca="1">IF(COUNTIF(IF(AND(配装计算器!$K$30&lt;&gt;"∞",0),INDEX(AU191:CB191,1,$AT$1),INDEX(AU192:CB192,1,$AT$1)),"*叠1*")=1,AB191*0+AE190,0)</f>
        <v>0</v>
      </c>
      <c r="AE191" t="e">
        <f ca="1">IF($AN$11&gt;0,IF(COUNTIF(B192,"*叠1*")&gt;0,50-加速!$H$11,MAX(0,AE190-(A192-A191))),0)</f>
        <v>#VALUE!</v>
      </c>
      <c r="AH191" t="s">
        <v>1825</v>
      </c>
      <c r="AI191" t="s">
        <v>2780</v>
      </c>
      <c r="AJ191">
        <f ca="1" t="shared" si="42"/>
        <v>18</v>
      </c>
      <c r="AK191" t="s">
        <v>3113</v>
      </c>
      <c r="AU191" s="176" t="s">
        <v>2776</v>
      </c>
      <c r="AV191">
        <v>1</v>
      </c>
      <c r="AW191" s="176" t="str">
        <f>IF($AN$11=1,"夕照雷峰","夕照雷峰")</f>
        <v>夕照雷峰</v>
      </c>
      <c r="AX191">
        <v>2</v>
      </c>
      <c r="AY191" t="s">
        <v>2768</v>
      </c>
      <c r="AZ191">
        <v>2</v>
      </c>
      <c r="BA191" t="s">
        <v>2776</v>
      </c>
      <c r="BB191">
        <v>2</v>
      </c>
      <c r="BC191" t="s">
        <v>2768</v>
      </c>
      <c r="BD191">
        <v>0</v>
      </c>
      <c r="BE191" t="s">
        <v>2776</v>
      </c>
      <c r="BF191">
        <v>2</v>
      </c>
      <c r="BG191" s="176" t="s">
        <v>2776</v>
      </c>
      <c r="BH191">
        <v>2</v>
      </c>
      <c r="BI191" t="s">
        <v>2776</v>
      </c>
      <c r="BJ191">
        <v>1</v>
      </c>
      <c r="BK191" t="s">
        <v>2776</v>
      </c>
      <c r="BL191">
        <v>2</v>
      </c>
      <c r="BM191" t="s">
        <v>2768</v>
      </c>
      <c r="BN191">
        <v>2</v>
      </c>
      <c r="BO191" s="176" t="s">
        <v>2768</v>
      </c>
      <c r="BP191">
        <v>2</v>
      </c>
      <c r="BQ191" t="s">
        <v>3018</v>
      </c>
      <c r="BR191">
        <v>2</v>
      </c>
      <c r="BS191" t="s">
        <v>2768</v>
      </c>
      <c r="BT191">
        <v>2</v>
      </c>
      <c r="BU191" t="s">
        <v>3011</v>
      </c>
      <c r="BV191">
        <v>2</v>
      </c>
      <c r="BW191" s="182" t="s">
        <v>2776</v>
      </c>
      <c r="BX191" s="179">
        <v>2</v>
      </c>
      <c r="BY191" t="s">
        <v>2768</v>
      </c>
      <c r="BZ191">
        <v>2</v>
      </c>
      <c r="CA191" t="str">
        <f>IF(0,"云飞玉皇-玉山揽云","夕照雷峰")</f>
        <v>夕照雷峰</v>
      </c>
      <c r="CB191">
        <v>2</v>
      </c>
    </row>
    <row r="192" spans="1:80">
      <c r="A192" s="178" t="str">
        <f ca="1">IFERROR(IF(A191+加速!$L$11&lt;$AS$1,IF(COUNTIF(B191,"*轻*")&gt;0,A191+加速!$L$9,A191+加速!$L$11)+V191,IF(COUNTIF(INDEX(AU192:CB192,1,$AT$1),"*云景*")+COUNTIF(INDEX(AU192:CB192,1,$AT$1),"*鹤归*")+COUNTIF(INDEX(AU192:CB192,1,$AT$1),"*听雷*")&gt;0,A191+加速!$L$11,"")),"")</f>
        <v/>
      </c>
      <c r="B192" s="167" t="str">
        <f ca="1">IF(A192&lt;&gt;"",IF(AND(A192+加速!$L$11&gt;$AS$1,IF(AND(配装计算器!$K$30&lt;&gt;"∞",0),"梦泉虎跑-轻",INDEX(AU192:CB192,1,$AT$1))="云栖松"),"夕照雷峰",IF(AND(配装计算器!$K$30&lt;&gt;"∞",0),"梦泉虎跑-轻",INDEX(AU192:CB192,1,$AT$1))),"")</f>
        <v/>
      </c>
      <c r="C192" t="str">
        <f ca="1" t="shared" si="30"/>
        <v/>
      </c>
      <c r="D192" t="str">
        <f ca="1">IF(B192&lt;&gt;"",IF(C191&lt;=加速!$L$11*(1-E192),0,1),"")</f>
        <v/>
      </c>
      <c r="E192">
        <f ca="1" t="shared" si="26"/>
        <v>1</v>
      </c>
      <c r="G192" t="str">
        <f ca="1" t="shared" si="27"/>
        <v/>
      </c>
      <c r="H192" t="str">
        <f ca="1">IF(B192&lt;&gt;"",IF(AND(COUNTIF(B191,"*轻*莺鸣柳*")&gt;0,COUNTIF(B192,"*轻*")&lt;1),MAX(0,15+I191-(A192-A191)+COUNTIF(B191,"*平湖*")*0),IF(AND(E192=0,MAX(0,H191-(A192-A191))&lt;=加速!$H$11),0,MAX(0,H191-(A192-A191)))),"")</f>
        <v/>
      </c>
      <c r="I192" t="str">
        <f ca="1" t="shared" si="33"/>
        <v/>
      </c>
      <c r="J192" t="str">
        <f ca="1" t="shared" si="34"/>
        <v/>
      </c>
      <c r="K192" t="str">
        <f ca="1">IF(A192&lt;&gt;"",IF(AND(配装计算器!$K$30&lt;&gt;"∞",0),2,INDEX(AU192:CB192,1,$AT$2)),"")</f>
        <v/>
      </c>
      <c r="L192">
        <f ca="1">IFERROR(IF(AND(COUNTIF(B192,"*-峰插*"),技能数据库!$M$72&gt;0),0,IF(COUNTIF(B192,"*鹤归*")&gt;0,16-加速!$L$11,MAX(0,L191-(A192-A191)))),0)</f>
        <v>0</v>
      </c>
      <c r="M192">
        <f ca="1">IF(COUNTIF(IF(AND(配装计算器!$K$30&lt;&gt;"∞",0),INDEX(AU191:CB191,1,$AT$1),INDEX(AU193:CB193,1,$AT$1)),"*鹤归*")=1,L192,0)</f>
        <v>0</v>
      </c>
      <c r="N192">
        <f ca="1">IFERROR(IF(AND(COUNTIF(B192,"*-峰插*"),技能数据库!$M$72&gt;0),0,IF(COUNTIF(B192,"*云飞*")&gt;0,4-COUNTIF(B192,"*玉山揽云*")*4--COUNTIF(B192,"*烟流暮景*")*4-COUNTIF(B192,"*云景*")*加速!$L$11-IF(J192&gt;0,2,0),MAX(0,N191-(A192-A191)-IF(J192&gt;0,2,0)))),0)</f>
        <v>0</v>
      </c>
      <c r="O192">
        <f ca="1">IF(AND(COUNTIF(IF(AND(配装计算器!$K$30&lt;&gt;"∞",0),INDEX(AU191:CB191,1,$AT$1),INDEX(AU193:CB193,1,$AT$1)),"*云飞*")=1,COUNTIF(IF(AND(配装计算器!$K$30&lt;&gt;"∞",0),INDEX(AU191:CB191,1,$AT$1),INDEX(AU193:CB193,1,$AT$1)),"*玉山*")=0),N192,0)</f>
        <v>0</v>
      </c>
      <c r="P192">
        <f ca="1">IFERROR(IF(COUNTIF(B192,"*云栖松*")&gt;0,50-加速!$L$11,MAX(0,P191-(A192-A191))),0)</f>
        <v>0</v>
      </c>
      <c r="Q192">
        <f ca="1">IF(COUNTIF(IF(AND(配装计算器!$K$30&lt;&gt;"∞",0),INDEX(AU191:CB191,1,$AT$1),INDEX(AU193:CB193,1,$AT$1)),"*云栖松*")=1,P192,0)</f>
        <v>0</v>
      </c>
      <c r="R192">
        <f ca="1">IFERROR(IF(COUNTIF(B192,"*莺鸣柳*")&gt;0,45-加速!$L$9,MAX(0,R191-(A192-A191))),0)</f>
        <v>0</v>
      </c>
      <c r="S192">
        <f ca="1">IF(COUNTIF(IF(AND(配装计算器!$K$30&lt;&gt;"∞",0),INDEX(AU191:CB191,1,$AT$1),INDEX(AU193:CB193,1,$AT$1)),"*莺鸣柳*")=1,R192,0)</f>
        <v>0</v>
      </c>
      <c r="T192">
        <f ca="1" t="shared" si="31"/>
        <v>0</v>
      </c>
      <c r="U192">
        <f ca="1">IF(金蛇,IF(COUNTIF(B192,"*金环戴*")+COUNTIF(B192,"*吹风醒*")&gt;0,IF(A192&lt;=3,7.125-2.625-A192-加速!$L$11,7.125+加速!$K$9-(A192+加速!$L$11-T192)),0),0)+IF(金蛇,IF(COUNTIF(B192,"*千切子裂光*")&gt;0,2+加速!$K$9-(A192+加速!$L$11-T192),0),0)</f>
        <v>0</v>
      </c>
      <c r="V192" t="e">
        <f ca="1" t="shared" si="32"/>
        <v>#VALUE!</v>
      </c>
      <c r="W192">
        <f ca="1" t="shared" si="24"/>
        <v>0</v>
      </c>
      <c r="X192">
        <f ca="1">INDEX(加速!$I$13:$I$21,技能数计算!W192+1)</f>
        <v>0</v>
      </c>
      <c r="Y192">
        <f ca="1" t="shared" si="28"/>
        <v>0.5</v>
      </c>
      <c r="Z192">
        <f ca="1" t="shared" si="29"/>
        <v>0</v>
      </c>
      <c r="AA192">
        <f ca="1">MAX(0,IFERROR(IF(COUNTIF(B192,"*叠*")&gt;0,IF(AC191&lt;3,8-A193+A192,AA191+6.875-A193+A192),AA191-A193+A192),AA191-加速!$L$11))</f>
        <v>0</v>
      </c>
      <c r="AB192" t="e">
        <f ca="1">MAX(0,IF(COUNTIF(IF(AND(配装计算器!$K$30&lt;&gt;"∞",0),INDEX(AU192:CB192,1,$AT$1),INDEX(AU192:CB192,1,$AT$1)),"*叠1*")=1,4*25-加速!$L$11,AB191-A192+A191)-IF(OR(COUNTIF(OFFSET(AT192,0,$AT$1,1,1),"*听雷*")&gt;0,AND(碧归&gt;0,COUNTIF(OFFSET(AT192,0,$AT$1,1,1),"*风来*")&gt;0)),0,1)*1.5)</f>
        <v>#VALUE!</v>
      </c>
      <c r="AC192">
        <f ca="1" t="shared" si="25"/>
        <v>3</v>
      </c>
      <c r="AD192" t="e">
        <f ca="1">IF(COUNTIF(IF(AND(配装计算器!$K$30&lt;&gt;"∞",0),INDEX(AU192:CB192,1,$AT$1),INDEX(AU193:CB193,1,$AT$1)),"*叠1*")=1,AB192*0+AE191,0)</f>
        <v>#VALUE!</v>
      </c>
      <c r="AE192" t="e">
        <f ca="1">IF($AN$11&gt;0,IF(COUNTIF(B193,"*叠1*")&gt;0,50-加速!$H$11,MAX(0,AE191-(A193-A192))),0)</f>
        <v>#VALUE!</v>
      </c>
      <c r="AH192" t="s">
        <v>1825</v>
      </c>
      <c r="AI192" t="s">
        <v>2808</v>
      </c>
      <c r="AJ192">
        <f ca="1">循环比*COUNTIFS($B$3:$B$515,"*"&amp;AI192&amp;"*",$D$3:$D$515,"=1",$H$3:$H$515,"=0",$G$3:$G$515,"&gt;0",$K$3:$K$515,"=2",$AC$3:$AC$515,"=1")</f>
        <v>0</v>
      </c>
      <c r="AK192" t="s">
        <v>3111</v>
      </c>
      <c r="AU192" t="s">
        <v>2722</v>
      </c>
      <c r="AV192">
        <v>0</v>
      </c>
      <c r="AW192" t="str">
        <f>IF($AN$11=1,"鹤归孤山","云飞玉皇")</f>
        <v>鹤归孤山</v>
      </c>
      <c r="AX192">
        <v>2</v>
      </c>
      <c r="AY192" t="s">
        <v>2776</v>
      </c>
      <c r="AZ192">
        <v>2</v>
      </c>
      <c r="BA192" t="s">
        <v>3035</v>
      </c>
      <c r="BB192">
        <v>2</v>
      </c>
      <c r="BC192" t="s">
        <v>2768</v>
      </c>
      <c r="BD192">
        <v>0</v>
      </c>
      <c r="BE192" t="s">
        <v>2768</v>
      </c>
      <c r="BF192">
        <v>1</v>
      </c>
      <c r="BG192" s="176" t="s">
        <v>3035</v>
      </c>
      <c r="BH192">
        <v>2</v>
      </c>
      <c r="BI192" t="s">
        <v>2768</v>
      </c>
      <c r="BJ192">
        <v>0</v>
      </c>
      <c r="BK192" t="s">
        <v>2768</v>
      </c>
      <c r="BL192">
        <v>1</v>
      </c>
      <c r="BM192" t="s">
        <v>2776</v>
      </c>
      <c r="BN192">
        <v>2</v>
      </c>
      <c r="BO192" s="176" t="s">
        <v>2776</v>
      </c>
      <c r="BP192">
        <v>2</v>
      </c>
      <c r="BQ192" t="s">
        <v>2768</v>
      </c>
      <c r="BR192">
        <v>2</v>
      </c>
      <c r="BS192" t="s">
        <v>2776</v>
      </c>
      <c r="BT192">
        <v>2</v>
      </c>
      <c r="BU192" t="s">
        <v>2768</v>
      </c>
      <c r="BV192">
        <v>2</v>
      </c>
      <c r="BW192" s="182" t="s">
        <v>2768</v>
      </c>
      <c r="BX192" s="179">
        <v>2</v>
      </c>
      <c r="BY192" t="s">
        <v>2768</v>
      </c>
      <c r="BZ192">
        <v>2</v>
      </c>
      <c r="CA192" t="str">
        <f>IF(0,"云飞玉皇-玉山揽云","云飞玉皇")</f>
        <v>云飞玉皇</v>
      </c>
      <c r="CB192">
        <v>2</v>
      </c>
    </row>
    <row r="193" spans="1:80">
      <c r="A193" s="178" t="str">
        <f ca="1">IFERROR(IF(A192+加速!$L$11&lt;$AS$1,IF(COUNTIF(B192,"*轻*")&gt;0,A192+加速!$L$9,A192+加速!$L$11)+V192,IF(COUNTIF(INDEX(AU193:CB193,1,$AT$1),"*云景*")+COUNTIF(INDEX(AU193:CB193,1,$AT$1),"*鹤归*")+COUNTIF(INDEX(AU193:CB193,1,$AT$1),"*听雷*")&gt;0,A192+加速!$L$11,"")),"")</f>
        <v/>
      </c>
      <c r="B193" s="167" t="str">
        <f ca="1">IF(A193&lt;&gt;"",IF(AND(A193+加速!$L$11&gt;$AS$1,IF(AND(配装计算器!$K$30&lt;&gt;"∞",0),"梦泉虎跑-轻",INDEX(AU193:CB193,1,$AT$1))="云栖松"),"夕照雷峰",IF(AND(配装计算器!$K$30&lt;&gt;"∞",0),"梦泉虎跑-轻",INDEX(AU193:CB193,1,$AT$1))),"")</f>
        <v/>
      </c>
      <c r="C193" t="str">
        <f ca="1" t="shared" si="30"/>
        <v/>
      </c>
      <c r="D193" t="str">
        <f ca="1">IF(B193&lt;&gt;"",IF(C192&lt;=加速!$L$11*(1-E193),0,1),"")</f>
        <v/>
      </c>
      <c r="E193">
        <f ca="1" t="shared" si="26"/>
        <v>1</v>
      </c>
      <c r="G193" t="str">
        <f ca="1" t="shared" si="27"/>
        <v/>
      </c>
      <c r="H193" t="str">
        <f ca="1">IF(B193&lt;&gt;"",IF(AND(COUNTIF(B192,"*轻*莺鸣柳*")&gt;0,COUNTIF(B193,"*轻*")&lt;1),MAX(0,15+I192-(A193-A192)+COUNTIF(B192,"*平湖*")*0),IF(AND(E193=0,MAX(0,H192-(A193-A192))&lt;=加速!$H$11),0,MAX(0,H192-(A193-A192)))),"")</f>
        <v/>
      </c>
      <c r="I193" t="str">
        <f ca="1" t="shared" si="33"/>
        <v/>
      </c>
      <c r="J193" t="str">
        <f ca="1" t="shared" si="34"/>
        <v/>
      </c>
      <c r="K193" t="str">
        <f ca="1">IF(A193&lt;&gt;"",IF(AND(配装计算器!$K$30&lt;&gt;"∞",0),2,INDEX(AU193:CB193,1,$AT$2)),"")</f>
        <v/>
      </c>
      <c r="L193">
        <f ca="1">IFERROR(IF(AND(COUNTIF(B193,"*-峰插*"),技能数据库!$M$72&gt;0),0,IF(COUNTIF(B193,"*鹤归*")&gt;0,16-加速!$L$11,MAX(0,L192-(A193-A192)))),0)</f>
        <v>0</v>
      </c>
      <c r="M193">
        <f ca="1">IF(COUNTIF(IF(AND(配装计算器!$K$30&lt;&gt;"∞",0),INDEX(AU192:CB192,1,$AT$1),INDEX(AU194:CB194,1,$AT$1)),"*鹤归*")=1,L193,0)</f>
        <v>0</v>
      </c>
      <c r="N193">
        <f ca="1">IFERROR(IF(AND(COUNTIF(B193,"*-峰插*"),技能数据库!$M$72&gt;0),0,IF(COUNTIF(B193,"*云飞*")&gt;0,4-COUNTIF(B193,"*玉山揽云*")*4--COUNTIF(B193,"*烟流暮景*")*4-COUNTIF(B193,"*云景*")*加速!$L$11-IF(J193&gt;0,2,0),MAX(0,N192-(A193-A192)-IF(J193&gt;0,2,0)))),0)</f>
        <v>0</v>
      </c>
      <c r="O193">
        <f ca="1">IF(AND(COUNTIF(IF(AND(配装计算器!$K$30&lt;&gt;"∞",0),INDEX(AU192:CB192,1,$AT$1),INDEX(AU194:CB194,1,$AT$1)),"*云飞*")=1,COUNTIF(IF(AND(配装计算器!$K$30&lt;&gt;"∞",0),INDEX(AU192:CB192,1,$AT$1),INDEX(AU194:CB194,1,$AT$1)),"*玉山*")=0),N193,0)</f>
        <v>0</v>
      </c>
      <c r="P193">
        <f ca="1">IFERROR(IF(COUNTIF(B193,"*云栖松*")&gt;0,50-加速!$L$11,MAX(0,P192-(A193-A192))),0)</f>
        <v>0</v>
      </c>
      <c r="Q193">
        <f ca="1">IF(COUNTIF(IF(AND(配装计算器!$K$30&lt;&gt;"∞",0),INDEX(AU192:CB192,1,$AT$1),INDEX(AU194:CB194,1,$AT$1)),"*云栖松*")=1,P193,0)</f>
        <v>0</v>
      </c>
      <c r="R193">
        <f ca="1">IFERROR(IF(COUNTIF(B193,"*莺鸣柳*")&gt;0,45-加速!$L$9,MAX(0,R192-(A193-A192))),0)</f>
        <v>0</v>
      </c>
      <c r="S193">
        <f ca="1">IF(COUNTIF(IF(AND(配装计算器!$K$30&lt;&gt;"∞",0),INDEX(AU192:CB192,1,$AT$1),INDEX(AU194:CB194,1,$AT$1)),"*莺鸣柳*")=1,R193,0)</f>
        <v>0</v>
      </c>
      <c r="T193">
        <f ca="1" t="shared" si="31"/>
        <v>0</v>
      </c>
      <c r="U193">
        <f ca="1">IF(金蛇,IF(COUNTIF(B193,"*金环戴*")+COUNTIF(B193,"*吹风醒*")&gt;0,IF(A193&lt;=3,7.125-2.625-A193-加速!$L$11,7.125+加速!$K$9-(A193+加速!$L$11-T193)),0),0)+IF(金蛇,IF(COUNTIF(B193,"*千切子裂光*")&gt;0,2+加速!$K$9-(A193+加速!$L$11-T193),0),0)</f>
        <v>0</v>
      </c>
      <c r="V193">
        <f ca="1" t="shared" si="32"/>
        <v>0</v>
      </c>
      <c r="W193">
        <f ca="1" t="shared" si="24"/>
        <v>0</v>
      </c>
      <c r="X193">
        <f ca="1">INDEX(加速!$I$13:$I$21,技能数计算!W193+1)</f>
        <v>0</v>
      </c>
      <c r="Y193">
        <f ca="1" t="shared" si="28"/>
        <v>0.5</v>
      </c>
      <c r="Z193">
        <f ca="1" t="shared" si="29"/>
        <v>0</v>
      </c>
      <c r="AA193">
        <f ca="1">MAX(0,IFERROR(IF(COUNTIF(B193,"*叠*")&gt;0,IF(AC192&lt;3,8-A194+A193,AA192+6.875-A194+A193),AA192-A194+A193),AA192-加速!$L$11))</f>
        <v>0</v>
      </c>
      <c r="AB193">
        <f ca="1">MAX(0,IF(COUNTIF(IF(AND(配装计算器!$K$30&lt;&gt;"∞",0),INDEX(AU193:CB193,1,$AT$1),INDEX(AU193:CB193,1,$AT$1)),"*叠1*")=1,4*25-加速!$L$11,AB192-A193+A192)-IF(OR(COUNTIF(OFFSET(AT193,0,$AT$1,1,1),"*听雷*")&gt;0,AND(碧归&gt;0,COUNTIF(OFFSET(AT193,0,$AT$1,1,1),"*风来*")&gt;0)),0,1)*1.5)</f>
        <v>97.21</v>
      </c>
      <c r="AC193">
        <f ca="1" t="shared" si="25"/>
        <v>3</v>
      </c>
      <c r="AD193">
        <f ca="1">IF(COUNTIF(IF(AND(配装计算器!$K$30&lt;&gt;"∞",0),INDEX(AU193:CB193,1,$AT$1),INDEX(AU194:CB194,1,$AT$1)),"*叠1*")=1,AB193*0+AE192,0)</f>
        <v>0</v>
      </c>
      <c r="AE193" t="e">
        <f ca="1">IF($AN$11&gt;0,IF(COUNTIF(B194,"*叠1*")&gt;0,50-加速!$H$11,MAX(0,AE192-(A194-A193))),0)</f>
        <v>#VALUE!</v>
      </c>
      <c r="AH193" t="s">
        <v>1825</v>
      </c>
      <c r="AI193" t="s">
        <v>2808</v>
      </c>
      <c r="AJ193">
        <f ca="1">循环比*COUNTIFS($B$3:$B$515,"*"&amp;AI193&amp;"*",$D$3:$D$515,"=1",$H$3:$H$515,"=0",$G$3:$G$515,"&gt;0",$K$3:$K$515,"=2",$AC$3:$AC$515,"=2")</f>
        <v>0</v>
      </c>
      <c r="AK193" t="s">
        <v>3112</v>
      </c>
      <c r="AU193" t="s">
        <v>3009</v>
      </c>
      <c r="AV193">
        <v>2</v>
      </c>
      <c r="AW193" t="str">
        <f>IF($AN$11=1,"云飞玉皇","夕照雷峰")</f>
        <v>云飞玉皇</v>
      </c>
      <c r="AX193">
        <v>2</v>
      </c>
      <c r="AY193" t="s">
        <v>3035</v>
      </c>
      <c r="AZ193">
        <v>2</v>
      </c>
      <c r="BA193" t="s">
        <v>2768</v>
      </c>
      <c r="BB193">
        <v>2</v>
      </c>
      <c r="BC193" t="s">
        <v>3010</v>
      </c>
      <c r="BD193">
        <v>2</v>
      </c>
      <c r="BE193" t="s">
        <v>2768</v>
      </c>
      <c r="BF193">
        <v>1</v>
      </c>
      <c r="BG193" t="s">
        <v>2768</v>
      </c>
      <c r="BH193">
        <v>2</v>
      </c>
      <c r="BI193" t="s">
        <v>3011</v>
      </c>
      <c r="BJ193">
        <v>2</v>
      </c>
      <c r="BK193" t="s">
        <v>2768</v>
      </c>
      <c r="BL193">
        <v>1</v>
      </c>
      <c r="BM193" t="s">
        <v>2768</v>
      </c>
      <c r="BN193">
        <v>2</v>
      </c>
      <c r="BO193" s="176" t="str">
        <f>IF(0,"云飞玉皇-玉山揽云","夕照雷峰")</f>
        <v>夕照雷峰</v>
      </c>
      <c r="BP193">
        <v>2</v>
      </c>
      <c r="BQ193" t="s">
        <v>3023</v>
      </c>
      <c r="BR193">
        <v>2</v>
      </c>
      <c r="BS193" t="s">
        <v>2768</v>
      </c>
      <c r="BT193">
        <v>2</v>
      </c>
      <c r="BU193" t="s">
        <v>3018</v>
      </c>
      <c r="BV193">
        <v>2</v>
      </c>
      <c r="BW193" s="182" t="s">
        <v>2776</v>
      </c>
      <c r="BX193" s="179">
        <v>2</v>
      </c>
      <c r="BY193" t="s">
        <v>2776</v>
      </c>
      <c r="BZ193">
        <v>2</v>
      </c>
      <c r="CA193" t="str">
        <f>IF(0,橙武补雾锁,"夕照雷峰")</f>
        <v>夕照雷峰</v>
      </c>
      <c r="CB193">
        <v>2</v>
      </c>
    </row>
    <row r="194" spans="1:80">
      <c r="A194" s="178" t="str">
        <f ca="1">IFERROR(IF(A193+加速!$L$11&lt;$AS$1,IF(COUNTIF(B193,"*轻*")&gt;0,A193+加速!$L$9,A193+加速!$L$11)+V193,IF(COUNTIF(INDEX(AU194:CB194,1,$AT$1),"*云景*")+COUNTIF(INDEX(AU194:CB194,1,$AT$1),"*鹤归*")+COUNTIF(INDEX(AU194:CB194,1,$AT$1),"*听雷*")&gt;0,A193+加速!$L$11,"")),"")</f>
        <v/>
      </c>
      <c r="B194" s="167" t="str">
        <f ca="1">IF(A194&lt;&gt;"",IF(AND(A194+加速!$L$11&gt;$AS$1,IF(AND(配装计算器!$K$30&lt;&gt;"∞",0),"梦泉虎跑-轻",INDEX(AU194:CB194,1,$AT$1))="云栖松"),"夕照雷峰",IF(AND(配装计算器!$K$30&lt;&gt;"∞",0),"梦泉虎跑-轻",INDEX(AU194:CB194,1,$AT$1))),"")</f>
        <v/>
      </c>
      <c r="C194" t="str">
        <f ca="1" t="shared" si="30"/>
        <v/>
      </c>
      <c r="D194" t="str">
        <f ca="1">IF(B194&lt;&gt;"",IF(C193&lt;=加速!$L$11*(1-E194),0,1),"")</f>
        <v/>
      </c>
      <c r="E194">
        <f ca="1" t="shared" si="26"/>
        <v>1</v>
      </c>
      <c r="G194" t="str">
        <f ca="1" t="shared" si="27"/>
        <v/>
      </c>
      <c r="H194" t="str">
        <f ca="1">IF(B194&lt;&gt;"",IF(AND(COUNTIF(B193,"*轻*莺鸣柳*")&gt;0,COUNTIF(B194,"*轻*")&lt;1),MAX(0,15+I193-(A194-A193)+COUNTIF(B193,"*平湖*")*0),IF(AND(E194=0,MAX(0,H193-(A194-A193))&lt;=加速!$H$11),0,MAX(0,H193-(A194-A193)))),"")</f>
        <v/>
      </c>
      <c r="I194" t="str">
        <f ca="1" t="shared" si="33"/>
        <v/>
      </c>
      <c r="J194" t="str">
        <f ca="1" t="shared" si="34"/>
        <v/>
      </c>
      <c r="K194" t="str">
        <f ca="1">IF(A194&lt;&gt;"",IF(AND(配装计算器!$K$30&lt;&gt;"∞",0),2,INDEX(AU194:CB194,1,$AT$2)),"")</f>
        <v/>
      </c>
      <c r="L194">
        <f ca="1">IFERROR(IF(AND(COUNTIF(B194,"*-峰插*"),技能数据库!$M$72&gt;0),0,IF(COUNTIF(B194,"*鹤归*")&gt;0,16-加速!$L$11,MAX(0,L193-(A194-A193)))),0)</f>
        <v>0</v>
      </c>
      <c r="M194">
        <f ca="1">IF(COUNTIF(IF(AND(配装计算器!$K$30&lt;&gt;"∞",0),INDEX(AU193:CB193,1,$AT$1),INDEX(AU195:CB195,1,$AT$1)),"*鹤归*")=1,L194,0)</f>
        <v>0</v>
      </c>
      <c r="N194">
        <f ca="1">IFERROR(IF(AND(COUNTIF(B194,"*-峰插*"),技能数据库!$M$72&gt;0),0,IF(COUNTIF(B194,"*云飞*")&gt;0,4-COUNTIF(B194,"*玉山揽云*")*4--COUNTIF(B194,"*烟流暮景*")*4-COUNTIF(B194,"*云景*")*加速!$L$11-IF(J194&gt;0,2,0),MAX(0,N193-(A194-A193)-IF(J194&gt;0,2,0)))),0)</f>
        <v>0</v>
      </c>
      <c r="O194">
        <f ca="1">IF(AND(COUNTIF(IF(AND(配装计算器!$K$30&lt;&gt;"∞",0),INDEX(AU193:CB193,1,$AT$1),INDEX(AU195:CB195,1,$AT$1)),"*云飞*")=1,COUNTIF(IF(AND(配装计算器!$K$30&lt;&gt;"∞",0),INDEX(AU193:CB193,1,$AT$1),INDEX(AU195:CB195,1,$AT$1)),"*玉山*")=0),N194,0)</f>
        <v>0</v>
      </c>
      <c r="P194">
        <f ca="1">IFERROR(IF(COUNTIF(B194,"*云栖松*")&gt;0,50-加速!$L$11,MAX(0,P193-(A194-A193))),0)</f>
        <v>0</v>
      </c>
      <c r="Q194">
        <f ca="1">IF(COUNTIF(IF(AND(配装计算器!$K$30&lt;&gt;"∞",0),INDEX(AU193:CB193,1,$AT$1),INDEX(AU195:CB195,1,$AT$1)),"*云栖松*")=1,P194,0)</f>
        <v>0</v>
      </c>
      <c r="R194">
        <f ca="1">IFERROR(IF(COUNTIF(B194,"*莺鸣柳*")&gt;0,45-加速!$L$9,MAX(0,R193-(A194-A193))),0)</f>
        <v>0</v>
      </c>
      <c r="S194">
        <f ca="1">IF(COUNTIF(IF(AND(配装计算器!$K$30&lt;&gt;"∞",0),INDEX(AU193:CB193,1,$AT$1),INDEX(AU195:CB195,1,$AT$1)),"*莺鸣柳*")=1,R194,0)</f>
        <v>0</v>
      </c>
      <c r="T194">
        <f ca="1" t="shared" si="31"/>
        <v>0</v>
      </c>
      <c r="U194">
        <f ca="1">IF(金蛇,IF(COUNTIF(B194,"*金环戴*")+COUNTIF(B194,"*吹风醒*")&gt;0,IF(A194&lt;=3,7.125-2.625-A194-加速!$L$11,7.125+加速!$K$9-(A194+加速!$L$11-T194)),0),0)+IF(金蛇,IF(COUNTIF(B194,"*千切子裂光*")&gt;0,2+加速!$K$9-(A194+加速!$L$11-T194),0),0)</f>
        <v>0</v>
      </c>
      <c r="V194">
        <f ca="1" t="shared" si="32"/>
        <v>0</v>
      </c>
      <c r="W194">
        <f ca="1" t="shared" si="24"/>
        <v>0</v>
      </c>
      <c r="X194">
        <f ca="1">INDEX(加速!$I$13:$I$21,技能数计算!W194+1)</f>
        <v>0</v>
      </c>
      <c r="Y194">
        <f ca="1" t="shared" si="28"/>
        <v>0.5</v>
      </c>
      <c r="Z194">
        <f ca="1" t="shared" si="29"/>
        <v>0</v>
      </c>
      <c r="AA194">
        <f ca="1">MAX(0,IFERROR(IF(COUNTIF(B194,"*叠*")&gt;0,IF(AC193&lt;3,8-A195+A194,AA193+6.875-A195+A194),AA193-A195+A194),AA193-加速!$L$11))</f>
        <v>0</v>
      </c>
      <c r="AB194" t="e">
        <f ca="1">MAX(0,IF(COUNTIF(IF(AND(配装计算器!$K$30&lt;&gt;"∞",0),INDEX(AU194:CB194,1,$AT$1),INDEX(AU194:CB194,1,$AT$1)),"*叠1*")=1,4*25-加速!$L$11,AB193-A194+A193)-IF(OR(COUNTIF(OFFSET(AT194,0,$AT$1,1,1),"*听雷*")&gt;0,AND(碧归&gt;0,COUNTIF(OFFSET(AT194,0,$AT$1,1,1),"*风来*")&gt;0)),0,1)*1.5)</f>
        <v>#VALUE!</v>
      </c>
      <c r="AC194">
        <f ca="1" t="shared" si="25"/>
        <v>3</v>
      </c>
      <c r="AD194">
        <f ca="1">IF(COUNTIF(IF(AND(配装计算器!$K$30&lt;&gt;"∞",0),INDEX(AU194:CB194,1,$AT$1),INDEX(AU195:CB195,1,$AT$1)),"*叠1*")=1,AB194*0+AE193,0)</f>
        <v>0</v>
      </c>
      <c r="AE194" t="e">
        <f ca="1">IF($AN$11&gt;0,IF(COUNTIF(B195,"*叠1*")&gt;0,50-加速!$H$11,MAX(0,AE193-(A195-A194))),0)</f>
        <v>#VALUE!</v>
      </c>
      <c r="AH194" t="s">
        <v>1825</v>
      </c>
      <c r="AI194" t="s">
        <v>2808</v>
      </c>
      <c r="AJ194">
        <f ca="1">循环比*COUNTIFS($B$3:$B$515,"*"&amp;AI194&amp;"*",$D$3:$D$515,"=1",$H$3:$H$515,"=0",$G$3:$G$515,"&gt;0",$K$3:$K$515,"=2",$AC$3:$AC$515,"=3")</f>
        <v>0</v>
      </c>
      <c r="AK194" t="s">
        <v>3113</v>
      </c>
      <c r="AU194" t="s">
        <v>2768</v>
      </c>
      <c r="AV194">
        <v>2</v>
      </c>
      <c r="AW194" t="str">
        <f>IF($AN$11=1,"夕照雷峰","云飞玉皇")</f>
        <v>夕照雷峰</v>
      </c>
      <c r="AX194">
        <v>2</v>
      </c>
      <c r="AY194" t="s">
        <v>2768</v>
      </c>
      <c r="AZ194">
        <v>2</v>
      </c>
      <c r="BA194" t="s">
        <v>2776</v>
      </c>
      <c r="BB194">
        <v>2</v>
      </c>
      <c r="BC194" t="s">
        <v>3013</v>
      </c>
      <c r="BD194">
        <v>2</v>
      </c>
      <c r="BE194" t="s">
        <v>3042</v>
      </c>
      <c r="BF194">
        <v>0</v>
      </c>
      <c r="BG194" t="s">
        <v>2776</v>
      </c>
      <c r="BH194">
        <v>2</v>
      </c>
      <c r="BI194" t="s">
        <v>2768</v>
      </c>
      <c r="BJ194">
        <v>2</v>
      </c>
      <c r="BK194" t="s">
        <v>2794</v>
      </c>
      <c r="BL194">
        <v>0</v>
      </c>
      <c r="BM194" s="176" t="s">
        <v>2794</v>
      </c>
      <c r="BN194">
        <v>2</v>
      </c>
      <c r="BO194" t="str">
        <f>IF(0,"云飞玉皇-玉山揽云","云飞玉皇")</f>
        <v>云飞玉皇</v>
      </c>
      <c r="BP194">
        <v>2</v>
      </c>
      <c r="BQ194" t="s">
        <v>2768</v>
      </c>
      <c r="BR194">
        <v>2</v>
      </c>
      <c r="BS194" t="s">
        <v>2768</v>
      </c>
      <c r="BT194">
        <v>1</v>
      </c>
      <c r="BU194" t="s">
        <v>2768</v>
      </c>
      <c r="BV194">
        <v>2</v>
      </c>
      <c r="BW194" s="182" t="s">
        <v>2768</v>
      </c>
      <c r="BX194" s="179">
        <v>2</v>
      </c>
      <c r="BY194" s="176" t="s">
        <v>2794</v>
      </c>
      <c r="BZ194">
        <v>2</v>
      </c>
      <c r="CA194" t="str">
        <f>IF(0,"云飞玉皇-玉山揽云","云景·云飞玉皇")</f>
        <v>云景·云飞玉皇</v>
      </c>
      <c r="CB194">
        <v>2</v>
      </c>
    </row>
    <row r="195" spans="1:80">
      <c r="A195" s="178" t="str">
        <f ca="1">IFERROR(IF(A194+加速!$L$11&lt;$AS$1,IF(COUNTIF(B194,"*轻*")&gt;0,A194+加速!$L$9,A194+加速!$L$11)+V194,IF(COUNTIF(INDEX(AU195:CB195,1,$AT$1),"*云景*")+COUNTIF(INDEX(AU195:CB195,1,$AT$1),"*鹤归*")+COUNTIF(INDEX(AU195:CB195,1,$AT$1),"*听雷*")&gt;0,A194+加速!$L$11,"")),"")</f>
        <v/>
      </c>
      <c r="B195" s="167" t="str">
        <f ca="1">IF(A195&lt;&gt;"",IF(AND(A195+加速!$L$11&gt;$AS$1,IF(AND(配装计算器!$K$30&lt;&gt;"∞",0),"梦泉虎跑-轻",INDEX(AU195:CB195,1,$AT$1))="云栖松"),"夕照雷峰",IF(AND(配装计算器!$K$30&lt;&gt;"∞",0),"梦泉虎跑-轻",INDEX(AU195:CB195,1,$AT$1))),"")</f>
        <v/>
      </c>
      <c r="C195" t="str">
        <f ca="1" t="shared" si="30"/>
        <v/>
      </c>
      <c r="D195" t="str">
        <f ca="1">IF(B195&lt;&gt;"",IF(C194&lt;=加速!$L$11*(1-E195),0,1),"")</f>
        <v/>
      </c>
      <c r="E195">
        <f ca="1" t="shared" si="26"/>
        <v>1</v>
      </c>
      <c r="G195" t="str">
        <f ca="1" t="shared" si="27"/>
        <v/>
      </c>
      <c r="H195" t="str">
        <f ca="1">IF(B195&lt;&gt;"",IF(AND(COUNTIF(B194,"*轻*莺鸣柳*")&gt;0,COUNTIF(B195,"*轻*")&lt;1),MAX(0,15+I194-(A195-A194)+COUNTIF(B194,"*平湖*")*0),IF(AND(E195=0,MAX(0,H194-(A195-A194))&lt;=加速!$H$11),0,MAX(0,H194-(A195-A194)))),"")</f>
        <v/>
      </c>
      <c r="I195" t="str">
        <f ca="1" t="shared" si="33"/>
        <v/>
      </c>
      <c r="J195" t="str">
        <f ca="1" t="shared" si="34"/>
        <v/>
      </c>
      <c r="K195" t="str">
        <f ca="1">IF(A195&lt;&gt;"",IF(AND(配装计算器!$K$30&lt;&gt;"∞",0),2,INDEX(AU195:CB195,1,$AT$2)),"")</f>
        <v/>
      </c>
      <c r="L195">
        <f ca="1">IFERROR(IF(AND(COUNTIF(B195,"*-峰插*"),技能数据库!$M$72&gt;0),0,IF(COUNTIF(B195,"*鹤归*")&gt;0,16-加速!$L$11,MAX(0,L194-(A195-A194)))),0)</f>
        <v>0</v>
      </c>
      <c r="M195">
        <f ca="1">IF(COUNTIF(IF(AND(配装计算器!$K$30&lt;&gt;"∞",0),INDEX(AU194:CB194,1,$AT$1),INDEX(AU196:CB196,1,$AT$1)),"*鹤归*")=1,L195,0)</f>
        <v>0</v>
      </c>
      <c r="N195">
        <f ca="1">IFERROR(IF(AND(COUNTIF(B195,"*-峰插*"),技能数据库!$M$72&gt;0),0,IF(COUNTIF(B195,"*云飞*")&gt;0,4-COUNTIF(B195,"*玉山揽云*")*4--COUNTIF(B195,"*烟流暮景*")*4-COUNTIF(B195,"*云景*")*加速!$L$11-IF(J195&gt;0,2,0),MAX(0,N194-(A195-A194)-IF(J195&gt;0,2,0)))),0)</f>
        <v>0</v>
      </c>
      <c r="O195">
        <f ca="1">IF(AND(COUNTIF(IF(AND(配装计算器!$K$30&lt;&gt;"∞",0),INDEX(AU194:CB194,1,$AT$1),INDEX(AU196:CB196,1,$AT$1)),"*云飞*")=1,COUNTIF(IF(AND(配装计算器!$K$30&lt;&gt;"∞",0),INDEX(AU194:CB194,1,$AT$1),INDEX(AU196:CB196,1,$AT$1)),"*玉山*")=0),N195,0)</f>
        <v>0</v>
      </c>
      <c r="P195">
        <f ca="1">IFERROR(IF(COUNTIF(B195,"*云栖松*")&gt;0,50-加速!$L$11,MAX(0,P194-(A195-A194))),0)</f>
        <v>0</v>
      </c>
      <c r="Q195">
        <f ca="1">IF(COUNTIF(IF(AND(配装计算器!$K$30&lt;&gt;"∞",0),INDEX(AU194:CB194,1,$AT$1),INDEX(AU196:CB196,1,$AT$1)),"*云栖松*")=1,P195,0)</f>
        <v>0</v>
      </c>
      <c r="R195">
        <f ca="1">IFERROR(IF(COUNTIF(B195,"*莺鸣柳*")&gt;0,45-加速!$L$9,MAX(0,R194-(A195-A194))),0)</f>
        <v>0</v>
      </c>
      <c r="S195">
        <f ca="1">IF(COUNTIF(IF(AND(配装计算器!$K$30&lt;&gt;"∞",0),INDEX(AU194:CB194,1,$AT$1),INDEX(AU196:CB196,1,$AT$1)),"*莺鸣柳*")=1,R195,0)</f>
        <v>0</v>
      </c>
      <c r="T195">
        <f ca="1" t="shared" si="31"/>
        <v>0</v>
      </c>
      <c r="U195">
        <f ca="1">IF(金蛇,IF(COUNTIF(B195,"*金环戴*")+COUNTIF(B195,"*吹风醒*")&gt;0,IF(A195&lt;=3,7.125-2.625-A195-加速!$L$11,7.125+加速!$K$9-(A195+加速!$L$11-T195)),0),0)+IF(金蛇,IF(COUNTIF(B195,"*千切子裂光*")&gt;0,2+加速!$K$9-(A195+加速!$L$11-T195),0),0)</f>
        <v>0</v>
      </c>
      <c r="V195">
        <f ca="1" t="shared" si="32"/>
        <v>0</v>
      </c>
      <c r="W195">
        <f ca="1" t="shared" ref="W195:W258" si="43">IF(COUNTIF(B195,"*风来吴山*")&gt;0,1,IF(W194+1&gt;风车GCD,0,IF(W194&gt;0,W194+1,0)))</f>
        <v>0</v>
      </c>
      <c r="X195">
        <f ca="1">INDEX(加速!$I$13:$I$21,技能数计算!W195+1)</f>
        <v>0</v>
      </c>
      <c r="Y195">
        <f ca="1" t="shared" si="28"/>
        <v>0.5</v>
      </c>
      <c r="Z195">
        <f ca="1" t="shared" si="29"/>
        <v>0</v>
      </c>
      <c r="AA195">
        <f ca="1">MAX(0,IFERROR(IF(COUNTIF(B195,"*叠*")&gt;0,IF(AC194&lt;3,8-A196+A195,AA194+6.875-A196+A195),AA194-A196+A195),AA194-加速!$L$11))</f>
        <v>0</v>
      </c>
      <c r="AB195" t="e">
        <f ca="1">MAX(0,IF(COUNTIF(IF(AND(配装计算器!$K$30&lt;&gt;"∞",0),INDEX(AU195:CB195,1,$AT$1),INDEX(AU195:CB195,1,$AT$1)),"*叠1*")=1,4*25-加速!$L$11,AB194-A195+A194)-IF(OR(COUNTIF(OFFSET(AT195,0,$AT$1,1,1),"*听雷*")&gt;0,AND(碧归&gt;0,COUNTIF(OFFSET(AT195,0,$AT$1,1,1),"*风来*")&gt;0)),0,1)*1.5)</f>
        <v>#VALUE!</v>
      </c>
      <c r="AC195">
        <f ca="1" t="shared" ref="AC195:AC258" si="44">IF(AND(AA195=0,E195=0),0,IF(AND(COUNTIF(B195,"*叠*")&gt;0,OR(AA194=0,AA194&gt;=5)),AC194+1,AC194))</f>
        <v>3</v>
      </c>
      <c r="AD195">
        <f ca="1">IF(COUNTIF(IF(AND(配装计算器!$K$30&lt;&gt;"∞",0),INDEX(AU195:CB195,1,$AT$1),INDEX(AU196:CB196,1,$AT$1)),"*叠1*")=1,AB195*0+AE194,0)</f>
        <v>0</v>
      </c>
      <c r="AE195" t="e">
        <f ca="1">IF($AN$11&gt;0,IF(COUNTIF(B196,"*叠1*")&gt;0,50-加速!$H$11,MAX(0,AE194-(A196-A195))),0)</f>
        <v>#VALUE!</v>
      </c>
      <c r="AH195" t="s">
        <v>1825</v>
      </c>
      <c r="AI195" t="s">
        <v>2768</v>
      </c>
      <c r="AJ195">
        <f ca="1">循环比*COUNTIFS($B$3:$B$515,"*"&amp;AI195&amp;"*",$D$3:$D$515,"=1",$H$3:$H$515,"=0",$G$3:$G$515,"&gt;0",$K$3:$K$515,"=2",$AC$3:$AC$515,"=1")</f>
        <v>0</v>
      </c>
      <c r="AK195" t="s">
        <v>3111</v>
      </c>
      <c r="AU195" t="s">
        <v>2776</v>
      </c>
      <c r="AV195">
        <v>2</v>
      </c>
      <c r="AW195" t="str">
        <f>IF($AN$11=1,"云飞玉皇","夕照雷峰")</f>
        <v>云飞玉皇</v>
      </c>
      <c r="AX195">
        <v>2</v>
      </c>
      <c r="AY195" t="s">
        <v>2776</v>
      </c>
      <c r="AZ195">
        <v>2</v>
      </c>
      <c r="BA195" t="s">
        <v>2768</v>
      </c>
      <c r="BB195">
        <v>2</v>
      </c>
      <c r="BC195" t="s">
        <v>3018</v>
      </c>
      <c r="BD195">
        <v>2</v>
      </c>
      <c r="BE195" t="s">
        <v>2776</v>
      </c>
      <c r="BF195">
        <v>0</v>
      </c>
      <c r="BG195" t="s">
        <v>2768</v>
      </c>
      <c r="BH195">
        <v>2</v>
      </c>
      <c r="BI195" t="s">
        <v>3018</v>
      </c>
      <c r="BJ195">
        <v>2</v>
      </c>
      <c r="BK195" t="s">
        <v>2776</v>
      </c>
      <c r="BL195">
        <v>0</v>
      </c>
      <c r="BM195" s="176" t="s">
        <v>2768</v>
      </c>
      <c r="BN195">
        <v>2</v>
      </c>
      <c r="BO195" t="str">
        <f>IF(秋,"云栖松","泉凝月")</f>
        <v>泉凝月</v>
      </c>
      <c r="BP195">
        <v>2</v>
      </c>
      <c r="BQ195" t="s">
        <v>2776</v>
      </c>
      <c r="BR195">
        <v>2</v>
      </c>
      <c r="BS195" t="s">
        <v>2768</v>
      </c>
      <c r="BT195">
        <v>1</v>
      </c>
      <c r="BU195" s="182" t="s">
        <v>3023</v>
      </c>
      <c r="BV195">
        <v>2</v>
      </c>
      <c r="BW195" s="179" t="s">
        <v>2776</v>
      </c>
      <c r="BX195" s="179">
        <v>2</v>
      </c>
      <c r="BY195" s="176" t="s">
        <v>2768</v>
      </c>
      <c r="BZ195">
        <v>2</v>
      </c>
      <c r="CA195" t="str">
        <f>IF(0,"云飞玉皇-玉山揽云","夕照雷峰")</f>
        <v>夕照雷峰</v>
      </c>
      <c r="CB195">
        <v>2</v>
      </c>
    </row>
    <row r="196" spans="1:80">
      <c r="A196" s="178" t="str">
        <f ca="1">IFERROR(IF(A195+加速!$L$11&lt;$AS$1,IF(COUNTIF(B195,"*轻*")&gt;0,A195+加速!$L$9,A195+加速!$L$11)+V195,IF(COUNTIF(INDEX(AU196:CB196,1,$AT$1),"*云景*")+COUNTIF(INDEX(AU196:CB196,1,$AT$1),"*鹤归*")+COUNTIF(INDEX(AU196:CB196,1,$AT$1),"*听雷*")&gt;0,A195+加速!$L$11,"")),"")</f>
        <v/>
      </c>
      <c r="B196" s="167" t="str">
        <f ca="1">IF(A196&lt;&gt;"",IF(AND(A196+加速!$L$11&gt;$AS$1,IF(AND(配装计算器!$K$30&lt;&gt;"∞",0),"梦泉虎跑-轻",INDEX(AU196:CB196,1,$AT$1))="云栖松"),"夕照雷峰",IF(AND(配装计算器!$K$30&lt;&gt;"∞",0),"梦泉虎跑-轻",INDEX(AU196:CB196,1,$AT$1))),"")</f>
        <v/>
      </c>
      <c r="C196" t="str">
        <f ca="1" t="shared" si="30"/>
        <v/>
      </c>
      <c r="D196" t="str">
        <f ca="1">IF(B196&lt;&gt;"",IF(C195&lt;=加速!$L$11*(1-E196),0,1),"")</f>
        <v/>
      </c>
      <c r="E196">
        <f ca="1" t="shared" ref="E196:E259" si="45">IF(OR(COUNTIF(B196,"*夕照雷峰*")&gt;0,COUNTIF(B196,"云飞玉皇*")&gt;0,COUNTIF(B196,"风来吴山*")&gt;0),COUNTIF(B196,"*云景*")+COUNTIF(B196,"*玉山揽云*")+COUNTIF(B196,"*烟流暮景*"),1)</f>
        <v>1</v>
      </c>
      <c r="G196" t="str">
        <f ca="1" t="shared" ref="G196:G259" si="46">IF(B196&lt;&gt;"",IF(AND(碧归&gt;0,COUNTIF(B195,"*风来吴山*")&gt;0),8,MAX(0,G195-COUNTIF(B196,"*云飞*")-COUNTIF(B196,"*鹤*")-COUNTIF(B196,"*夕*"))),"")</f>
        <v/>
      </c>
      <c r="H196" t="str">
        <f ca="1">IF(B196&lt;&gt;"",IF(AND(COUNTIF(B195,"*轻*莺鸣柳*")&gt;0,COUNTIF(B196,"*轻*")&lt;1),MAX(0,15+I195-(A196-A195)+COUNTIF(B195,"*平湖*")*0),IF(AND(E196=0,MAX(0,H195-(A196-A195))&lt;=加速!$H$11),0,MAX(0,H195-(A196-A195)))),"")</f>
        <v/>
      </c>
      <c r="I196" t="str">
        <f ca="1" t="shared" si="33"/>
        <v/>
      </c>
      <c r="J196" t="str">
        <f ca="1" t="shared" si="34"/>
        <v/>
      </c>
      <c r="K196" t="str">
        <f ca="1">IF(A196&lt;&gt;"",IF(AND(配装计算器!$K$30&lt;&gt;"∞",0),2,INDEX(AU196:CB196,1,$AT$2)),"")</f>
        <v/>
      </c>
      <c r="L196">
        <f ca="1">IFERROR(IF(AND(COUNTIF(B196,"*-峰插*"),技能数据库!$M$72&gt;0),0,IF(COUNTIF(B196,"*鹤归*")&gt;0,16-加速!$L$11,MAX(0,L195-(A196-A195)))),0)</f>
        <v>0</v>
      </c>
      <c r="M196">
        <f ca="1">IF(COUNTIF(IF(AND(配装计算器!$K$30&lt;&gt;"∞",0),INDEX(AU195:CB195,1,$AT$1),INDEX(AU197:CB197,1,$AT$1)),"*鹤归*")=1,L196,0)</f>
        <v>0</v>
      </c>
      <c r="N196">
        <f ca="1">IFERROR(IF(AND(COUNTIF(B196,"*-峰插*"),技能数据库!$M$72&gt;0),0,IF(COUNTIF(B196,"*云飞*")&gt;0,4-COUNTIF(B196,"*玉山揽云*")*4--COUNTIF(B196,"*烟流暮景*")*4-COUNTIF(B196,"*云景*")*加速!$L$11-IF(J196&gt;0,2,0),MAX(0,N195-(A196-A195)-IF(J196&gt;0,2,0)))),0)</f>
        <v>0</v>
      </c>
      <c r="O196">
        <f ca="1">IF(AND(COUNTIF(IF(AND(配装计算器!$K$30&lt;&gt;"∞",0),INDEX(AU195:CB195,1,$AT$1),INDEX(AU197:CB197,1,$AT$1)),"*云飞*")=1,COUNTIF(IF(AND(配装计算器!$K$30&lt;&gt;"∞",0),INDEX(AU195:CB195,1,$AT$1),INDEX(AU197:CB197,1,$AT$1)),"*玉山*")=0),N196,0)</f>
        <v>0</v>
      </c>
      <c r="P196">
        <f ca="1">IFERROR(IF(COUNTIF(B196,"*云栖松*")&gt;0,50-加速!$L$11,MAX(0,P195-(A196-A195))),0)</f>
        <v>0</v>
      </c>
      <c r="Q196">
        <f ca="1">IF(COUNTIF(IF(AND(配装计算器!$K$30&lt;&gt;"∞",0),INDEX(AU195:CB195,1,$AT$1),INDEX(AU197:CB197,1,$AT$1)),"*云栖松*")=1,P196,0)</f>
        <v>0</v>
      </c>
      <c r="R196">
        <f ca="1">IFERROR(IF(COUNTIF(B196,"*莺鸣柳*")&gt;0,45-加速!$L$9,MAX(0,R195-(A196-A195))),0)</f>
        <v>0</v>
      </c>
      <c r="S196">
        <f ca="1">IF(COUNTIF(IF(AND(配装计算器!$K$30&lt;&gt;"∞",0),INDEX(AU195:CB195,1,$AT$1),INDEX(AU197:CB197,1,$AT$1)),"*莺鸣柳*")=1,R196,0)</f>
        <v>0</v>
      </c>
      <c r="T196">
        <f ca="1" t="shared" si="31"/>
        <v>0</v>
      </c>
      <c r="U196">
        <f ca="1">IF(金蛇,IF(COUNTIF(B196,"*金环戴*")+COUNTIF(B196,"*吹风醒*")&gt;0,IF(A196&lt;=3,7.125-2.625-A196-加速!$L$11,7.125+加速!$K$9-(A196+加速!$L$11-T196)),0),0)+IF(金蛇,IF(COUNTIF(B196,"*千切子裂光*")&gt;0,2+加速!$K$9-(A196+加速!$L$11-T196),0),0)</f>
        <v>0</v>
      </c>
      <c r="V196">
        <f ca="1" t="shared" si="32"/>
        <v>0</v>
      </c>
      <c r="W196">
        <f ca="1" t="shared" si="43"/>
        <v>0</v>
      </c>
      <c r="X196">
        <f ca="1">INDEX(加速!$I$13:$I$21,技能数计算!W196+1)</f>
        <v>0</v>
      </c>
      <c r="Y196">
        <f ca="1" t="shared" ref="Y196:Y259" si="47">IF(COUNTIF(B196,"*岚尘金蛇*"),A196+2.6125+0.5,Y195)</f>
        <v>0.5</v>
      </c>
      <c r="Z196">
        <f ca="1" t="shared" ref="Z196:Z259" si="48">IF(金蛇,IF(COUNTIF(B196,"*虎跑*")&gt;0,INT((A196-Y196)/3),0),0)</f>
        <v>0</v>
      </c>
      <c r="AA196">
        <f ca="1">MAX(0,IFERROR(IF(COUNTIF(B196,"*叠*")&gt;0,IF(AC195&lt;3,8-A197+A196,AA195+6.875-A197+A196),AA195-A197+A196),AA195-加速!$L$11))</f>
        <v>0</v>
      </c>
      <c r="AB196" t="e">
        <f ca="1">MAX(0,IF(COUNTIF(IF(AND(配装计算器!$K$30&lt;&gt;"∞",0),INDEX(AU196:CB196,1,$AT$1),INDEX(AU196:CB196,1,$AT$1)),"*叠1*")=1,4*25-加速!$L$11,AB195-A196+A195)-IF(OR(COUNTIF(OFFSET(AT196,0,$AT$1,1,1),"*听雷*")&gt;0,AND(碧归&gt;0,COUNTIF(OFFSET(AT196,0,$AT$1,1,1),"*风来*")&gt;0)),0,1)*1.5)</f>
        <v>#VALUE!</v>
      </c>
      <c r="AC196">
        <f ca="1" t="shared" si="44"/>
        <v>3</v>
      </c>
      <c r="AD196">
        <f ca="1">IF(COUNTIF(IF(AND(配装计算器!$K$30&lt;&gt;"∞",0),INDEX(AU196:CB196,1,$AT$1),INDEX(AU197:CB197,1,$AT$1)),"*叠1*")=1,AB196*0+AE195,0)</f>
        <v>0</v>
      </c>
      <c r="AE196" t="e">
        <f ca="1">IF($AN$11&gt;0,IF(COUNTIF(B197,"*叠1*")&gt;0,50-加速!$H$11,MAX(0,AE195-(A197-A196))),0)</f>
        <v>#VALUE!</v>
      </c>
      <c r="AH196" t="s">
        <v>1825</v>
      </c>
      <c r="AI196" t="s">
        <v>2768</v>
      </c>
      <c r="AJ196">
        <f ca="1">循环比*COUNTIFS($B$3:$B$515,"*"&amp;AI196&amp;"*",$D$3:$D$515,"=1",$H$3:$H$515,"=0",$G$3:$G$515,"&gt;0",$K$3:$K$515,"=2",$AC$3:$AC$515,"=2")</f>
        <v>0</v>
      </c>
      <c r="AK196" t="s">
        <v>3112</v>
      </c>
      <c r="AU196" t="s">
        <v>2768</v>
      </c>
      <c r="AV196">
        <v>2</v>
      </c>
      <c r="AW196" t="str">
        <f>IF($AN$11=1,"夕照雷峰","云景·云飞玉皇-黄龙吐翠")</f>
        <v>夕照雷峰</v>
      </c>
      <c r="AX196">
        <f>IF($AN$11=1,2,1)</f>
        <v>2</v>
      </c>
      <c r="AY196" t="s">
        <v>2768</v>
      </c>
      <c r="AZ196">
        <v>2</v>
      </c>
      <c r="BA196" t="s">
        <v>2776</v>
      </c>
      <c r="BB196">
        <v>2</v>
      </c>
      <c r="BC196" t="s">
        <v>2768</v>
      </c>
      <c r="BD196">
        <v>2</v>
      </c>
      <c r="BE196" t="s">
        <v>2768</v>
      </c>
      <c r="BF196">
        <v>1</v>
      </c>
      <c r="BG196" t="s">
        <v>2776</v>
      </c>
      <c r="BH196">
        <v>2</v>
      </c>
      <c r="BI196" t="s">
        <v>2768</v>
      </c>
      <c r="BJ196">
        <v>2</v>
      </c>
      <c r="BK196" t="s">
        <v>2768</v>
      </c>
      <c r="BL196">
        <v>0</v>
      </c>
      <c r="BM196" s="176" t="s">
        <v>2776</v>
      </c>
      <c r="BN196">
        <v>2</v>
      </c>
      <c r="BO196" t="s">
        <v>2768</v>
      </c>
      <c r="BP196">
        <v>2</v>
      </c>
      <c r="BQ196" t="s">
        <v>2768</v>
      </c>
      <c r="BR196">
        <v>2</v>
      </c>
      <c r="BS196" t="s">
        <v>2776</v>
      </c>
      <c r="BT196">
        <v>0</v>
      </c>
      <c r="BU196" s="176" t="s">
        <v>2768</v>
      </c>
      <c r="BV196">
        <v>2</v>
      </c>
      <c r="BW196" s="182" t="s">
        <v>3063</v>
      </c>
      <c r="BX196" s="179">
        <v>0</v>
      </c>
      <c r="BY196" s="176" t="s">
        <v>2776</v>
      </c>
      <c r="BZ196">
        <v>2</v>
      </c>
      <c r="CA196" t="s">
        <v>2776</v>
      </c>
      <c r="CB196">
        <v>2</v>
      </c>
    </row>
    <row r="197" spans="1:80">
      <c r="A197" s="178" t="str">
        <f ca="1">IFERROR(IF(A196+加速!$L$11&lt;$AS$1,IF(COUNTIF(B196,"*轻*")&gt;0,A196+加速!$L$9,A196+加速!$L$11)+V196,IF(COUNTIF(INDEX(AU197:CB197,1,$AT$1),"*云景*")+COUNTIF(INDEX(AU197:CB197,1,$AT$1),"*鹤归*")+COUNTIF(INDEX(AU197:CB197,1,$AT$1),"*听雷*")&gt;0,A196+加速!$L$11,"")),"")</f>
        <v/>
      </c>
      <c r="B197" s="167" t="str">
        <f ca="1">IF(A197&lt;&gt;"",IF(AND(A197+加速!$L$11&gt;$AS$1,IF(AND(配装计算器!$K$30&lt;&gt;"∞",0),"梦泉虎跑-轻",INDEX(AU197:CB197,1,$AT$1))="云栖松"),"夕照雷峰",IF(AND(配装计算器!$K$30&lt;&gt;"∞",0),"梦泉虎跑-轻",INDEX(AU197:CB197,1,$AT$1))),"")</f>
        <v/>
      </c>
      <c r="C197" t="str">
        <f ca="1" t="shared" ref="C197:C260" si="49">IFERROR(IF(COUNTIF(B197,"*夕照雷峰*")&gt;0,15,MAX(0,C196-(A197-A196))),"")</f>
        <v/>
      </c>
      <c r="D197" t="str">
        <f ca="1">IF(B197&lt;&gt;"",IF(C196&lt;=加速!$L$11*(1-E197),0,1),"")</f>
        <v/>
      </c>
      <c r="E197">
        <f ca="1" t="shared" si="45"/>
        <v>1</v>
      </c>
      <c r="G197" t="str">
        <f ca="1" t="shared" si="46"/>
        <v/>
      </c>
      <c r="H197" t="str">
        <f ca="1">IF(B197&lt;&gt;"",IF(AND(COUNTIF(B196,"*轻*莺鸣柳*")&gt;0,COUNTIF(B197,"*轻*")&lt;1),MAX(0,15+I196-(A197-A196)+COUNTIF(B196,"*平湖*")*0),IF(AND(E197=0,MAX(0,H196-(A197-A196))&lt;=加速!$H$11),0,MAX(0,H196-(A197-A196)))),"")</f>
        <v/>
      </c>
      <c r="I197" t="str">
        <f ca="1" t="shared" si="33"/>
        <v/>
      </c>
      <c r="J197" t="str">
        <f ca="1" t="shared" si="34"/>
        <v/>
      </c>
      <c r="K197" t="str">
        <f ca="1">IF(A197&lt;&gt;"",IF(AND(配装计算器!$K$30&lt;&gt;"∞",0),2,INDEX(AU197:CB197,1,$AT$2)),"")</f>
        <v/>
      </c>
      <c r="L197">
        <f ca="1">IFERROR(IF(AND(COUNTIF(B197,"*-峰插*"),技能数据库!$M$72&gt;0),0,IF(COUNTIF(B197,"*鹤归*")&gt;0,16-加速!$L$11,MAX(0,L196-(A197-A196)))),0)</f>
        <v>0</v>
      </c>
      <c r="M197">
        <f ca="1">IF(COUNTIF(IF(AND(配装计算器!$K$30&lt;&gt;"∞",0),INDEX(AU196:CB196,1,$AT$1),INDEX(AU198:CB198,1,$AT$1)),"*鹤归*")=1,L197,0)</f>
        <v>0</v>
      </c>
      <c r="N197">
        <f ca="1">IFERROR(IF(AND(COUNTIF(B197,"*-峰插*"),技能数据库!$M$72&gt;0),0,IF(COUNTIF(B197,"*云飞*")&gt;0,4-COUNTIF(B197,"*玉山揽云*")*4--COUNTIF(B197,"*烟流暮景*")*4-COUNTIF(B197,"*云景*")*加速!$L$11-IF(J197&gt;0,2,0),MAX(0,N196-(A197-A196)-IF(J197&gt;0,2,0)))),0)</f>
        <v>0</v>
      </c>
      <c r="O197">
        <f ca="1">IF(AND(COUNTIF(IF(AND(配装计算器!$K$30&lt;&gt;"∞",0),INDEX(AU196:CB196,1,$AT$1),INDEX(AU198:CB198,1,$AT$1)),"*云飞*")=1,COUNTIF(IF(AND(配装计算器!$K$30&lt;&gt;"∞",0),INDEX(AU196:CB196,1,$AT$1),INDEX(AU198:CB198,1,$AT$1)),"*玉山*")=0),N197,0)</f>
        <v>0</v>
      </c>
      <c r="P197">
        <f ca="1">IFERROR(IF(COUNTIF(B197,"*云栖松*")&gt;0,50-加速!$L$11,MAX(0,P196-(A197-A196))),0)</f>
        <v>0</v>
      </c>
      <c r="Q197">
        <f ca="1">IF(COUNTIF(IF(AND(配装计算器!$K$30&lt;&gt;"∞",0),INDEX(AU196:CB196,1,$AT$1),INDEX(AU198:CB198,1,$AT$1)),"*云栖松*")=1,P197,0)</f>
        <v>0</v>
      </c>
      <c r="R197">
        <f ca="1">IFERROR(IF(COUNTIF(B197,"*莺鸣柳*")&gt;0,45-加速!$L$9,MAX(0,R196-(A197-A196))),0)</f>
        <v>0</v>
      </c>
      <c r="S197">
        <f ca="1">IF(COUNTIF(IF(AND(配装计算器!$K$30&lt;&gt;"∞",0),INDEX(AU196:CB196,1,$AT$1),INDEX(AU198:CB198,1,$AT$1)),"*莺鸣柳*")=1,R197,0)</f>
        <v>0</v>
      </c>
      <c r="T197">
        <f ca="1" t="shared" ref="T197:T260" si="50">IF(COUNTIF(B197,"*岚尘金蛇*")+COUNTIF(B197,"*千切子寒光*")&gt;0,A197,T196)</f>
        <v>0</v>
      </c>
      <c r="U197">
        <f ca="1">IF(金蛇,IF(COUNTIF(B197,"*金环戴*")+COUNTIF(B197,"*吹风醒*")&gt;0,IF(A197&lt;=3,7.125-2.625-A197-加速!$L$11,7.125+加速!$K$9-(A197+加速!$L$11-T197)),0),0)+IF(金蛇,IF(COUNTIF(B197,"*千切子裂光*")&gt;0,2+加速!$K$9-(A197+加速!$L$11-T197),0),0)</f>
        <v>0</v>
      </c>
      <c r="V197">
        <f ca="1" t="shared" ref="V197:V260" si="51">MAX(0,M197+O197+Q197+S197+AD197)+U197</f>
        <v>0</v>
      </c>
      <c r="W197">
        <f ca="1" t="shared" si="43"/>
        <v>0</v>
      </c>
      <c r="X197">
        <f ca="1">INDEX(加速!$I$13:$I$21,技能数计算!W197+1)</f>
        <v>0</v>
      </c>
      <c r="Y197">
        <f ca="1" t="shared" si="47"/>
        <v>0.5</v>
      </c>
      <c r="Z197">
        <f ca="1" t="shared" si="48"/>
        <v>0</v>
      </c>
      <c r="AA197">
        <f ca="1">MAX(0,IFERROR(IF(COUNTIF(B197,"*叠*")&gt;0,IF(AC196&lt;3,8-A198+A197,AA196+6.875-A198+A197),AA196-A198+A197),AA196-加速!$L$11))</f>
        <v>0</v>
      </c>
      <c r="AB197" t="e">
        <f ca="1">MAX(0,IF(COUNTIF(IF(AND(配装计算器!$K$30&lt;&gt;"∞",0),INDEX(AU197:CB197,1,$AT$1),INDEX(AU197:CB197,1,$AT$1)),"*叠1*")=1,4*25-加速!$L$11,AB196-A197+A196)-IF(OR(COUNTIF(OFFSET(AT197,0,$AT$1,1,1),"*听雷*")&gt;0,AND(碧归&gt;0,COUNTIF(OFFSET(AT197,0,$AT$1,1,1),"*风来*")&gt;0)),0,1)*1.5)</f>
        <v>#VALUE!</v>
      </c>
      <c r="AC197">
        <f ca="1" t="shared" si="44"/>
        <v>3</v>
      </c>
      <c r="AD197">
        <f ca="1">IF(COUNTIF(IF(AND(配装计算器!$K$30&lt;&gt;"∞",0),INDEX(AU197:CB197,1,$AT$1),INDEX(AU198:CB198,1,$AT$1)),"*叠1*")=1,AB197*0+AE196,0)</f>
        <v>0</v>
      </c>
      <c r="AE197" t="e">
        <f ca="1">IF($AN$11&gt;0,IF(COUNTIF(B198,"*叠1*")&gt;0,50-加速!$H$11,MAX(0,AE196-(A198-A197))),0)</f>
        <v>#VALUE!</v>
      </c>
      <c r="AH197" t="s">
        <v>1825</v>
      </c>
      <c r="AI197" t="s">
        <v>2768</v>
      </c>
      <c r="AJ197">
        <f ca="1">循环比*COUNTIFS($B$3:$B$515,"*"&amp;AI197&amp;"*",$D$3:$D$515,"=1",$H$3:$H$515,"=0",$G$3:$G$515,"&gt;0",$K$3:$K$515,"=2",$AC$3:$AC$515,"=3")</f>
        <v>0</v>
      </c>
      <c r="AK197" t="s">
        <v>3113</v>
      </c>
      <c r="AU197" t="s">
        <v>2768</v>
      </c>
      <c r="AV197">
        <v>2</v>
      </c>
      <c r="AW197" t="str">
        <f>IF($AN$11=1,"云飞玉皇","夕照雷峰")</f>
        <v>云飞玉皇</v>
      </c>
      <c r="AX197">
        <v>2</v>
      </c>
      <c r="AY197" t="s">
        <v>2776</v>
      </c>
      <c r="AZ197">
        <v>2</v>
      </c>
      <c r="BA197" t="s">
        <v>3042</v>
      </c>
      <c r="BB197">
        <v>2</v>
      </c>
      <c r="BC197" t="s">
        <v>3023</v>
      </c>
      <c r="BD197">
        <v>2</v>
      </c>
      <c r="BE197" t="s">
        <v>2768</v>
      </c>
      <c r="BF197">
        <v>1</v>
      </c>
      <c r="BG197" t="s">
        <v>2768</v>
      </c>
      <c r="BH197">
        <v>2</v>
      </c>
      <c r="BI197" s="182" t="s">
        <v>3023</v>
      </c>
      <c r="BJ197">
        <v>2</v>
      </c>
      <c r="BK197" t="s">
        <v>3068</v>
      </c>
      <c r="BL197">
        <v>2</v>
      </c>
      <c r="BM197" s="176" t="s">
        <v>2768</v>
      </c>
      <c r="BN197">
        <v>2</v>
      </c>
      <c r="BO197" t="s">
        <v>1886</v>
      </c>
      <c r="BP197">
        <v>2</v>
      </c>
      <c r="BQ197" t="s">
        <v>2768</v>
      </c>
      <c r="BR197">
        <v>2</v>
      </c>
      <c r="BS197" t="s">
        <v>2768</v>
      </c>
      <c r="BT197">
        <v>0</v>
      </c>
      <c r="BU197" s="176" t="s">
        <v>2768</v>
      </c>
      <c r="BV197">
        <v>2</v>
      </c>
      <c r="BW197" s="179" t="s">
        <v>2768</v>
      </c>
      <c r="BX197" s="179">
        <v>2</v>
      </c>
      <c r="BY197" s="176" t="s">
        <v>2768</v>
      </c>
      <c r="BZ197">
        <v>2</v>
      </c>
      <c r="CA197" t="str">
        <f>IF(秋,"云栖松","泉凝月")</f>
        <v>泉凝月</v>
      </c>
      <c r="CB197">
        <v>2</v>
      </c>
    </row>
    <row r="198" spans="1:80">
      <c r="A198" s="178" t="str">
        <f ca="1">IFERROR(IF(A197+加速!$L$11&lt;$AS$1,IF(COUNTIF(B197,"*轻*")&gt;0,A197+加速!$L$9,A197+加速!$L$11)+V197,IF(COUNTIF(INDEX(AU198:CB198,1,$AT$1),"*云景*")+COUNTIF(INDEX(AU198:CB198,1,$AT$1),"*鹤归*")+COUNTIF(INDEX(AU198:CB198,1,$AT$1),"*听雷*")&gt;0,A197+加速!$L$11,"")),"")</f>
        <v/>
      </c>
      <c r="B198" s="167" t="str">
        <f ca="1">IF(A198&lt;&gt;"",IF(AND(A198+加速!$L$11&gt;$AS$1,IF(AND(配装计算器!$K$30&lt;&gt;"∞",0),"梦泉虎跑-轻",INDEX(AU198:CB198,1,$AT$1))="云栖松"),"夕照雷峰",IF(AND(配装计算器!$K$30&lt;&gt;"∞",0),"梦泉虎跑-轻",INDEX(AU198:CB198,1,$AT$1))),"")</f>
        <v/>
      </c>
      <c r="C198" t="str">
        <f ca="1" t="shared" si="49"/>
        <v/>
      </c>
      <c r="D198" t="str">
        <f ca="1">IF(B198&lt;&gt;"",IF(C197&lt;=加速!$L$11*(1-E198),0,1),"")</f>
        <v/>
      </c>
      <c r="E198">
        <f ca="1" t="shared" si="45"/>
        <v>1</v>
      </c>
      <c r="G198" t="str">
        <f ca="1" t="shared" si="46"/>
        <v/>
      </c>
      <c r="H198" t="str">
        <f ca="1">IF(B198&lt;&gt;"",IF(AND(COUNTIF(B197,"*轻*莺鸣柳*")&gt;0,COUNTIF(B198,"*轻*")&lt;1),MAX(0,15+I197-(A198-A197)+COUNTIF(B197,"*平湖*")*0),IF(AND(E198=0,MAX(0,H197-(A198-A197))&lt;=加速!$H$11),0,MAX(0,H197-(A198-A197)))),"")</f>
        <v/>
      </c>
      <c r="I198" t="str">
        <f ca="1" t="shared" ref="I198:I261" si="52">IF(B198&lt;&gt;"",IF(COUNTIF(B198,"*轻*")&lt;1,0,IF(COUNTIF(B198,"*莺鸣*")&gt;0,8,MAX(0,I197-(A198-A197)))),"")</f>
        <v/>
      </c>
      <c r="J198" t="str">
        <f ca="1" t="shared" ref="J198:J261" si="53">IF(B198&lt;&gt;"",IF(AND(J197=1,OR(AND(COUNTIF(B198,"*云景*")&gt;0,COUNTIF(B193:B197,"*鹤归*")&gt;0),AND(落剑5=1,COUNTIF(B193:B197,"*鹤归*")&gt;0))),1,IF(COUNTIF(B197,"*鹤归*")&gt;0,4+_666三听,MAX(J197-1,0))),"")</f>
        <v/>
      </c>
      <c r="K198" t="str">
        <f ca="1">IF(A198&lt;&gt;"",IF(AND(配装计算器!$K$30&lt;&gt;"∞",0),2,INDEX(AU198:CB198,1,$AT$2)),"")</f>
        <v/>
      </c>
      <c r="L198">
        <f ca="1">IFERROR(IF(AND(COUNTIF(B198,"*-峰插*"),技能数据库!$M$72&gt;0),0,IF(COUNTIF(B198,"*鹤归*")&gt;0,16-加速!$L$11,MAX(0,L197-(A198-A197)))),0)</f>
        <v>0</v>
      </c>
      <c r="M198">
        <f ca="1">IF(COUNTIF(IF(AND(配装计算器!$K$30&lt;&gt;"∞",0),INDEX(AU197:CB197,1,$AT$1),INDEX(AU199:CB199,1,$AT$1)),"*鹤归*")=1,L198,0)</f>
        <v>0</v>
      </c>
      <c r="N198">
        <f ca="1">IFERROR(IF(AND(COUNTIF(B198,"*-峰插*"),技能数据库!$M$72&gt;0),0,IF(COUNTIF(B198,"*云飞*")&gt;0,4-COUNTIF(B198,"*玉山揽云*")*4--COUNTIF(B198,"*烟流暮景*")*4-COUNTIF(B198,"*云景*")*加速!$L$11-IF(J198&gt;0,2,0),MAX(0,N197-(A198-A197)-IF(J198&gt;0,2,0)))),0)</f>
        <v>0</v>
      </c>
      <c r="O198">
        <f ca="1">IF(AND(COUNTIF(IF(AND(配装计算器!$K$30&lt;&gt;"∞",0),INDEX(AU197:CB197,1,$AT$1),INDEX(AU199:CB199,1,$AT$1)),"*云飞*")=1,COUNTIF(IF(AND(配装计算器!$K$30&lt;&gt;"∞",0),INDEX(AU197:CB197,1,$AT$1),INDEX(AU199:CB199,1,$AT$1)),"*玉山*")=0),N198,0)</f>
        <v>0</v>
      </c>
      <c r="P198">
        <f ca="1">IFERROR(IF(COUNTIF(B198,"*云栖松*")&gt;0,50-加速!$L$11,MAX(0,P197-(A198-A197))),0)</f>
        <v>0</v>
      </c>
      <c r="Q198">
        <f ca="1">IF(COUNTIF(IF(AND(配装计算器!$K$30&lt;&gt;"∞",0),INDEX(AU197:CB197,1,$AT$1),INDEX(AU199:CB199,1,$AT$1)),"*云栖松*")=1,P198,0)</f>
        <v>0</v>
      </c>
      <c r="R198">
        <f ca="1">IFERROR(IF(COUNTIF(B198,"*莺鸣柳*")&gt;0,45-加速!$L$9,MAX(0,R197-(A198-A197))),0)</f>
        <v>0</v>
      </c>
      <c r="S198">
        <f ca="1">IF(COUNTIF(IF(AND(配装计算器!$K$30&lt;&gt;"∞",0),INDEX(AU197:CB197,1,$AT$1),INDEX(AU199:CB199,1,$AT$1)),"*莺鸣柳*")=1,R198,0)</f>
        <v>0</v>
      </c>
      <c r="T198">
        <f ca="1" t="shared" si="50"/>
        <v>0</v>
      </c>
      <c r="U198">
        <f ca="1">IF(金蛇,IF(COUNTIF(B198,"*金环戴*")+COUNTIF(B198,"*吹风醒*")&gt;0,IF(A198&lt;=3,7.125-2.625-A198-加速!$L$11,7.125+加速!$K$9-(A198+加速!$L$11-T198)),0),0)+IF(金蛇,IF(COUNTIF(B198,"*千切子裂光*")&gt;0,2+加速!$K$9-(A198+加速!$L$11-T198),0),0)</f>
        <v>0</v>
      </c>
      <c r="V198">
        <f ca="1" t="shared" si="51"/>
        <v>0</v>
      </c>
      <c r="W198">
        <f ca="1" t="shared" si="43"/>
        <v>0</v>
      </c>
      <c r="X198">
        <f ca="1">INDEX(加速!$I$13:$I$21,技能数计算!W198+1)</f>
        <v>0</v>
      </c>
      <c r="Y198">
        <f ca="1" t="shared" si="47"/>
        <v>0.5</v>
      </c>
      <c r="Z198">
        <f ca="1" t="shared" si="48"/>
        <v>0</v>
      </c>
      <c r="AA198">
        <f ca="1">MAX(0,IFERROR(IF(COUNTIF(B198,"*叠*")&gt;0,IF(AC197&lt;3,8-A199+A198,AA197+6.875-A199+A198),AA197-A199+A198),AA197-加速!$L$11))</f>
        <v>0</v>
      </c>
      <c r="AB198" t="e">
        <f ca="1">MAX(0,IF(COUNTIF(IF(AND(配装计算器!$K$30&lt;&gt;"∞",0),INDEX(AU198:CB198,1,$AT$1),INDEX(AU198:CB198,1,$AT$1)),"*叠1*")=1,4*25-加速!$L$11,AB197-A198+A197)-IF(OR(COUNTIF(OFFSET(AT198,0,$AT$1,1,1),"*听雷*")&gt;0,AND(碧归&gt;0,COUNTIF(OFFSET(AT198,0,$AT$1,1,1),"*风来*")&gt;0)),0,1)*1.5)</f>
        <v>#VALUE!</v>
      </c>
      <c r="AC198">
        <f ca="1" t="shared" si="44"/>
        <v>3</v>
      </c>
      <c r="AD198">
        <f ca="1">IF(COUNTIF(IF(AND(配装计算器!$K$30&lt;&gt;"∞",0),INDEX(AU198:CB198,1,$AT$1),INDEX(AU199:CB199,1,$AT$1)),"*叠1*")=1,AB198*0+AE197,0)</f>
        <v>0</v>
      </c>
      <c r="AE198" t="e">
        <f ca="1">IF($AN$11&gt;0,IF(COUNTIF(B199,"*叠1*")&gt;0,50-加速!$H$11,MAX(0,AE197-(A199-A198))),0)</f>
        <v>#VALUE!</v>
      </c>
      <c r="AH198" t="s">
        <v>1825</v>
      </c>
      <c r="AI198" t="s">
        <v>2794</v>
      </c>
      <c r="AJ198">
        <f ca="1">循环比*COUNTIFS($B$3:$B$515,"*"&amp;AI198&amp;"*",$D$3:$D$515,"=1",$H$3:$H$515,"=0",$G$3:$G$515,"&gt;0",$K$3:$K$515,"=2",$AC$3:$AC$515,"=1")</f>
        <v>0</v>
      </c>
      <c r="AK198" t="s">
        <v>3114</v>
      </c>
      <c r="AU198" s="176" t="s">
        <v>2794</v>
      </c>
      <c r="AV198">
        <v>2</v>
      </c>
      <c r="AW198" t="s">
        <v>2768</v>
      </c>
      <c r="AX198">
        <v>2</v>
      </c>
      <c r="AY198" t="s">
        <v>3042</v>
      </c>
      <c r="AZ198">
        <v>2</v>
      </c>
      <c r="BA198" t="s">
        <v>2808</v>
      </c>
      <c r="BB198">
        <v>2</v>
      </c>
      <c r="BC198" t="s">
        <v>2768</v>
      </c>
      <c r="BD198">
        <v>2</v>
      </c>
      <c r="BE198" t="s">
        <v>2794</v>
      </c>
      <c r="BF198">
        <v>0</v>
      </c>
      <c r="BG198" t="s">
        <v>2808</v>
      </c>
      <c r="BH198">
        <v>2</v>
      </c>
      <c r="BI198" s="176" t="s">
        <v>3026</v>
      </c>
      <c r="BJ198">
        <v>2</v>
      </c>
      <c r="BK198" t="s">
        <v>2768</v>
      </c>
      <c r="BL198">
        <v>2</v>
      </c>
      <c r="BM198" s="176" t="s">
        <v>2776</v>
      </c>
      <c r="BN198">
        <v>2</v>
      </c>
      <c r="BO198" t="s">
        <v>2853</v>
      </c>
      <c r="BP198">
        <v>2</v>
      </c>
      <c r="BQ198" t="s">
        <v>3035</v>
      </c>
      <c r="BR198">
        <v>2</v>
      </c>
      <c r="BS198" t="s">
        <v>3012</v>
      </c>
      <c r="BT198">
        <v>2</v>
      </c>
      <c r="BU198" s="176" t="s">
        <v>2768</v>
      </c>
      <c r="BV198">
        <v>2</v>
      </c>
      <c r="BW198" s="179" t="s">
        <v>1886</v>
      </c>
      <c r="BX198" s="179">
        <v>2</v>
      </c>
      <c r="BY198" s="176" t="s">
        <v>2776</v>
      </c>
      <c r="BZ198">
        <v>2</v>
      </c>
      <c r="CA198" t="s">
        <v>2768</v>
      </c>
      <c r="CB198">
        <v>2</v>
      </c>
    </row>
    <row r="199" spans="1:80">
      <c r="A199" s="178" t="str">
        <f ca="1">IFERROR(IF(A198+加速!$L$11&lt;$AS$1,IF(COUNTIF(B198,"*轻*")&gt;0,A198+加速!$L$9,A198+加速!$L$11)+V198,IF(COUNTIF(INDEX(AU199:CB199,1,$AT$1),"*云景*")+COUNTIF(INDEX(AU199:CB199,1,$AT$1),"*鹤归*")+COUNTIF(INDEX(AU199:CB199,1,$AT$1),"*听雷*")&gt;0,A198+加速!$L$11,"")),"")</f>
        <v/>
      </c>
      <c r="B199" s="167" t="str">
        <f ca="1">IF(A199&lt;&gt;"",IF(AND(A199+加速!$L$11&gt;$AS$1,IF(AND(配装计算器!$K$30&lt;&gt;"∞",0),"梦泉虎跑-轻",INDEX(AU199:CB199,1,$AT$1))="云栖松"),"夕照雷峰",IF(AND(配装计算器!$K$30&lt;&gt;"∞",0),"梦泉虎跑-轻",INDEX(AU199:CB199,1,$AT$1))),"")</f>
        <v/>
      </c>
      <c r="C199" t="str">
        <f ca="1" t="shared" si="49"/>
        <v/>
      </c>
      <c r="D199" t="str">
        <f ca="1">IF(B199&lt;&gt;"",IF(C198&lt;=加速!$L$11*(1-E199),0,1),"")</f>
        <v/>
      </c>
      <c r="E199">
        <f ca="1" t="shared" si="45"/>
        <v>1</v>
      </c>
      <c r="G199" t="str">
        <f ca="1" t="shared" si="46"/>
        <v/>
      </c>
      <c r="H199" t="str">
        <f ca="1">IF(B199&lt;&gt;"",IF(AND(COUNTIF(B198,"*轻*莺鸣柳*")&gt;0,COUNTIF(B199,"*轻*")&lt;1),MAX(0,15+I198-(A199-A198)+COUNTIF(B198,"*平湖*")*0),IF(AND(E199=0,MAX(0,H198-(A199-A198))&lt;=加速!$H$11),0,MAX(0,H198-(A199-A198)))),"")</f>
        <v/>
      </c>
      <c r="I199" t="str">
        <f ca="1" t="shared" si="52"/>
        <v/>
      </c>
      <c r="J199" t="str">
        <f ca="1" t="shared" si="53"/>
        <v/>
      </c>
      <c r="K199" t="str">
        <f ca="1">IF(A199&lt;&gt;"",IF(AND(配装计算器!$K$30&lt;&gt;"∞",0),2,INDEX(AU199:CB199,1,$AT$2)),"")</f>
        <v/>
      </c>
      <c r="L199">
        <f ca="1">IFERROR(IF(AND(COUNTIF(B199,"*-峰插*"),技能数据库!$M$72&gt;0),0,IF(COUNTIF(B199,"*鹤归*")&gt;0,16-加速!$L$11,MAX(0,L198-(A199-A198)))),0)</f>
        <v>0</v>
      </c>
      <c r="M199">
        <f ca="1">IF(COUNTIF(IF(AND(配装计算器!$K$30&lt;&gt;"∞",0),INDEX(AU198:CB198,1,$AT$1),INDEX(AU200:CB200,1,$AT$1)),"*鹤归*")=1,L199,0)</f>
        <v>0</v>
      </c>
      <c r="N199">
        <f ca="1">IFERROR(IF(AND(COUNTIF(B199,"*-峰插*"),技能数据库!$M$72&gt;0),0,IF(COUNTIF(B199,"*云飞*")&gt;0,4-COUNTIF(B199,"*玉山揽云*")*4--COUNTIF(B199,"*烟流暮景*")*4-COUNTIF(B199,"*云景*")*加速!$L$11-IF(J199&gt;0,2,0),MAX(0,N198-(A199-A198)-IF(J199&gt;0,2,0)))),0)</f>
        <v>0</v>
      </c>
      <c r="O199">
        <f ca="1">IF(AND(COUNTIF(IF(AND(配装计算器!$K$30&lt;&gt;"∞",0),INDEX(AU198:CB198,1,$AT$1),INDEX(AU200:CB200,1,$AT$1)),"*云飞*")=1,COUNTIF(IF(AND(配装计算器!$K$30&lt;&gt;"∞",0),INDEX(AU198:CB198,1,$AT$1),INDEX(AU200:CB200,1,$AT$1)),"*玉山*")=0),N199,0)</f>
        <v>0</v>
      </c>
      <c r="P199">
        <f ca="1">IFERROR(IF(COUNTIF(B199,"*云栖松*")&gt;0,50-加速!$L$11,MAX(0,P198-(A199-A198))),0)</f>
        <v>0</v>
      </c>
      <c r="Q199">
        <f ca="1">IF(COUNTIF(IF(AND(配装计算器!$K$30&lt;&gt;"∞",0),INDEX(AU198:CB198,1,$AT$1),INDEX(AU200:CB200,1,$AT$1)),"*云栖松*")=1,P199,0)</f>
        <v>0</v>
      </c>
      <c r="R199">
        <f ca="1">IFERROR(IF(COUNTIF(B199,"*莺鸣柳*")&gt;0,45-加速!$L$9,MAX(0,R198-(A199-A198))),0)</f>
        <v>0</v>
      </c>
      <c r="S199">
        <f ca="1">IF(COUNTIF(IF(AND(配装计算器!$K$30&lt;&gt;"∞",0),INDEX(AU198:CB198,1,$AT$1),INDEX(AU200:CB200,1,$AT$1)),"*莺鸣柳*")=1,R199,0)</f>
        <v>0</v>
      </c>
      <c r="T199">
        <f ca="1" t="shared" si="50"/>
        <v>0</v>
      </c>
      <c r="U199">
        <f ca="1">IF(金蛇,IF(COUNTIF(B199,"*金环戴*")+COUNTIF(B199,"*吹风醒*")&gt;0,IF(A199&lt;=3,7.125-2.625-A199-加速!$L$11,7.125+加速!$K$9-(A199+加速!$L$11-T199)),0),0)+IF(金蛇,IF(COUNTIF(B199,"*千切子裂光*")&gt;0,2+加速!$K$9-(A199+加速!$L$11-T199),0),0)</f>
        <v>0</v>
      </c>
      <c r="V199">
        <f ca="1" t="shared" si="51"/>
        <v>0</v>
      </c>
      <c r="W199">
        <f ca="1" t="shared" si="43"/>
        <v>0</v>
      </c>
      <c r="X199">
        <f ca="1">INDEX(加速!$I$13:$I$21,技能数计算!W199+1)</f>
        <v>0</v>
      </c>
      <c r="Y199">
        <f ca="1" t="shared" si="47"/>
        <v>0.5</v>
      </c>
      <c r="Z199">
        <f ca="1" t="shared" si="48"/>
        <v>0</v>
      </c>
      <c r="AA199">
        <f ca="1">MAX(0,IFERROR(IF(COUNTIF(B199,"*叠*")&gt;0,IF(AC198&lt;3,8-A200+A199,AA198+6.875-A200+A199),AA198-A200+A199),AA198-加速!$L$11))</f>
        <v>0</v>
      </c>
      <c r="AB199" t="e">
        <f ca="1">MAX(0,IF(COUNTIF(IF(AND(配装计算器!$K$30&lt;&gt;"∞",0),INDEX(AU199:CB199,1,$AT$1),INDEX(AU199:CB199,1,$AT$1)),"*叠1*")=1,4*25-加速!$L$11,AB198-A199+A198)-IF(OR(COUNTIF(OFFSET(AT199,0,$AT$1,1,1),"*听雷*")&gt;0,AND(碧归&gt;0,COUNTIF(OFFSET(AT199,0,$AT$1,1,1),"*风来*")&gt;0)),0,1)*1.5)</f>
        <v>#VALUE!</v>
      </c>
      <c r="AC199">
        <f ca="1" t="shared" si="44"/>
        <v>3</v>
      </c>
      <c r="AD199">
        <f ca="1">IF(COUNTIF(IF(AND(配装计算器!$K$30&lt;&gt;"∞",0),INDEX(AU199:CB199,1,$AT$1),INDEX(AU200:CB200,1,$AT$1)),"*叠1*")=1,AB199*0+AE198,0)</f>
        <v>0</v>
      </c>
      <c r="AE199" t="e">
        <f ca="1">IF($AN$11&gt;0,IF(COUNTIF(B200,"*叠1*")&gt;0,50-加速!$H$11,MAX(0,AE198-(A200-A199))),0)</f>
        <v>#VALUE!</v>
      </c>
      <c r="AH199" t="s">
        <v>1825</v>
      </c>
      <c r="AI199" t="s">
        <v>2794</v>
      </c>
      <c r="AJ199">
        <f ca="1">循环比*COUNTIFS($B$3:$B$515,"*"&amp;AI199&amp;"*",$D$3:$D$515,"=1",$H$3:$H$515,"=0",$G$3:$G$515,"&gt;0",$K$3:$K$515,"=2",$AC$3:$AC$515,"=2")</f>
        <v>0</v>
      </c>
      <c r="AK199" t="s">
        <v>3115</v>
      </c>
      <c r="AU199" s="176" t="s">
        <v>2776</v>
      </c>
      <c r="AV199">
        <v>2</v>
      </c>
      <c r="AW199" t="s">
        <v>2768</v>
      </c>
      <c r="AX199">
        <v>2</v>
      </c>
      <c r="AY199" t="s">
        <v>2808</v>
      </c>
      <c r="AZ199">
        <v>2</v>
      </c>
      <c r="BA199" t="s">
        <v>2768</v>
      </c>
      <c r="BB199">
        <v>2</v>
      </c>
      <c r="BC199" t="s">
        <v>2776</v>
      </c>
      <c r="BD199">
        <v>2</v>
      </c>
      <c r="BE199" t="s">
        <v>2776</v>
      </c>
      <c r="BF199">
        <v>0</v>
      </c>
      <c r="BG199" t="s">
        <v>2768</v>
      </c>
      <c r="BH199">
        <v>2</v>
      </c>
      <c r="BI199" s="176" t="s">
        <v>3026</v>
      </c>
      <c r="BJ199">
        <v>2</v>
      </c>
      <c r="BK199" t="s">
        <v>2776</v>
      </c>
      <c r="BL199">
        <v>2</v>
      </c>
      <c r="BM199" s="176" t="str">
        <f>IF(0,"云飞玉皇-玉山揽云","夕照雷峰")</f>
        <v>夕照雷峰</v>
      </c>
      <c r="BN199">
        <v>2</v>
      </c>
      <c r="BO199" s="176" t="s">
        <v>2850</v>
      </c>
      <c r="BP199">
        <f>IF(0,2,0)</f>
        <v>0</v>
      </c>
      <c r="BQ199" t="s">
        <v>2776</v>
      </c>
      <c r="BR199">
        <v>2</v>
      </c>
      <c r="BS199" s="179" t="s">
        <v>2794</v>
      </c>
      <c r="BT199">
        <v>2</v>
      </c>
      <c r="BU199" s="176" t="s">
        <v>2776</v>
      </c>
      <c r="BV199">
        <v>2</v>
      </c>
      <c r="BW199" s="179" t="s">
        <v>2853</v>
      </c>
      <c r="BX199" s="179">
        <v>2</v>
      </c>
      <c r="BY199" s="176" t="str">
        <f>IF(0,"云飞玉皇-玉山揽云","夕照雷峰")</f>
        <v>夕照雷峰</v>
      </c>
      <c r="BZ199">
        <v>2</v>
      </c>
      <c r="CA199" t="s">
        <v>1886</v>
      </c>
      <c r="CB199">
        <v>2</v>
      </c>
    </row>
    <row r="200" spans="1:80">
      <c r="A200" s="178" t="str">
        <f ca="1">IFERROR(IF(A199+加速!$L$11&lt;$AS$1,IF(COUNTIF(B199,"*轻*")&gt;0,A199+加速!$L$9,A199+加速!$L$11)+V199,IF(COUNTIF(INDEX(AU200:CB200,1,$AT$1),"*云景*")+COUNTIF(INDEX(AU200:CB200,1,$AT$1),"*鹤归*")+COUNTIF(INDEX(AU200:CB200,1,$AT$1),"*听雷*")&gt;0,A199+加速!$L$11,"")),"")</f>
        <v/>
      </c>
      <c r="B200" s="167" t="str">
        <f ca="1">IF(A200&lt;&gt;"",IF(AND(A200+加速!$L$11&gt;$AS$1,IF(AND(配装计算器!$K$30&lt;&gt;"∞",0),"梦泉虎跑-轻",INDEX(AU200:CB200,1,$AT$1))="云栖松"),"夕照雷峰",IF(AND(配装计算器!$K$30&lt;&gt;"∞",0),"梦泉虎跑-轻",INDEX(AU200:CB200,1,$AT$1))),"")</f>
        <v/>
      </c>
      <c r="C200" t="str">
        <f ca="1" t="shared" si="49"/>
        <v/>
      </c>
      <c r="D200" t="str">
        <f ca="1">IF(B200&lt;&gt;"",IF(C199&lt;=加速!$L$11*(1-E200),0,1),"")</f>
        <v/>
      </c>
      <c r="E200">
        <f ca="1" t="shared" si="45"/>
        <v>1</v>
      </c>
      <c r="G200" t="str">
        <f ca="1" t="shared" si="46"/>
        <v/>
      </c>
      <c r="H200" t="str">
        <f ca="1">IF(B200&lt;&gt;"",IF(AND(COUNTIF(B199,"*轻*莺鸣柳*")&gt;0,COUNTIF(B200,"*轻*")&lt;1),MAX(0,15+I199-(A200-A199)+COUNTIF(B199,"*平湖*")*0),IF(AND(E200=0,MAX(0,H199-(A200-A199))&lt;=加速!$H$11),0,MAX(0,H199-(A200-A199)))),"")</f>
        <v/>
      </c>
      <c r="I200" t="str">
        <f ca="1" t="shared" si="52"/>
        <v/>
      </c>
      <c r="J200" t="str">
        <f ca="1" t="shared" si="53"/>
        <v/>
      </c>
      <c r="K200" t="str">
        <f ca="1">IF(A200&lt;&gt;"",IF(AND(配装计算器!$K$30&lt;&gt;"∞",0),2,INDEX(AU200:CB200,1,$AT$2)),"")</f>
        <v/>
      </c>
      <c r="L200">
        <f ca="1">IFERROR(IF(AND(COUNTIF(B200,"*-峰插*"),技能数据库!$M$72&gt;0),0,IF(COUNTIF(B200,"*鹤归*")&gt;0,16-加速!$L$11,MAX(0,L199-(A200-A199)))),0)</f>
        <v>0</v>
      </c>
      <c r="M200">
        <f ca="1">IF(COUNTIF(IF(AND(配装计算器!$K$30&lt;&gt;"∞",0),INDEX(AU199:CB199,1,$AT$1),INDEX(AU201:CB201,1,$AT$1)),"*鹤归*")=1,L200,0)</f>
        <v>0</v>
      </c>
      <c r="N200">
        <f ca="1">IFERROR(IF(AND(COUNTIF(B200,"*-峰插*"),技能数据库!$M$72&gt;0),0,IF(COUNTIF(B200,"*云飞*")&gt;0,4-COUNTIF(B200,"*玉山揽云*")*4--COUNTIF(B200,"*烟流暮景*")*4-COUNTIF(B200,"*云景*")*加速!$L$11-IF(J200&gt;0,2,0),MAX(0,N199-(A200-A199)-IF(J200&gt;0,2,0)))),0)</f>
        <v>0</v>
      </c>
      <c r="O200">
        <f ca="1">IF(AND(COUNTIF(IF(AND(配装计算器!$K$30&lt;&gt;"∞",0),INDEX(AU199:CB199,1,$AT$1),INDEX(AU201:CB201,1,$AT$1)),"*云飞*")=1,COUNTIF(IF(AND(配装计算器!$K$30&lt;&gt;"∞",0),INDEX(AU199:CB199,1,$AT$1),INDEX(AU201:CB201,1,$AT$1)),"*玉山*")=0),N200,0)</f>
        <v>0</v>
      </c>
      <c r="P200">
        <f ca="1">IFERROR(IF(COUNTIF(B200,"*云栖松*")&gt;0,50-加速!$L$11,MAX(0,P199-(A200-A199))),0)</f>
        <v>0</v>
      </c>
      <c r="Q200">
        <f ca="1">IF(COUNTIF(IF(AND(配装计算器!$K$30&lt;&gt;"∞",0),INDEX(AU199:CB199,1,$AT$1),INDEX(AU201:CB201,1,$AT$1)),"*云栖松*")=1,P200,0)</f>
        <v>0</v>
      </c>
      <c r="R200">
        <f ca="1">IFERROR(IF(COUNTIF(B200,"*莺鸣柳*")&gt;0,45-加速!$L$9,MAX(0,R199-(A200-A199))),0)</f>
        <v>0</v>
      </c>
      <c r="S200">
        <f ca="1">IF(COUNTIF(IF(AND(配装计算器!$K$30&lt;&gt;"∞",0),INDEX(AU199:CB199,1,$AT$1),INDEX(AU201:CB201,1,$AT$1)),"*莺鸣柳*")=1,R200,0)</f>
        <v>0</v>
      </c>
      <c r="T200">
        <f ca="1" t="shared" si="50"/>
        <v>0</v>
      </c>
      <c r="U200">
        <f ca="1">IF(金蛇,IF(COUNTIF(B200,"*金环戴*")+COUNTIF(B200,"*吹风醒*")&gt;0,IF(A200&lt;=3,7.125-2.625-A200-加速!$L$11,7.125+加速!$K$9-(A200+加速!$L$11-T200)),0),0)+IF(金蛇,IF(COUNTIF(B200,"*千切子裂光*")&gt;0,2+加速!$K$9-(A200+加速!$L$11-T200),0),0)</f>
        <v>0</v>
      </c>
      <c r="V200">
        <f ca="1" t="shared" si="51"/>
        <v>0</v>
      </c>
      <c r="W200">
        <f ca="1" t="shared" si="43"/>
        <v>0</v>
      </c>
      <c r="X200">
        <f ca="1">INDEX(加速!$I$13:$I$21,技能数计算!W200+1)</f>
        <v>0</v>
      </c>
      <c r="Y200">
        <f ca="1" t="shared" si="47"/>
        <v>0.5</v>
      </c>
      <c r="Z200">
        <f ca="1" t="shared" si="48"/>
        <v>0</v>
      </c>
      <c r="AA200">
        <f ca="1">MAX(0,IFERROR(IF(COUNTIF(B200,"*叠*")&gt;0,IF(AC199&lt;3,8-A201+A200,AA199+6.875-A201+A200),AA199-A201+A200),AA199-加速!$L$11))</f>
        <v>0</v>
      </c>
      <c r="AB200" t="e">
        <f ca="1">MAX(0,IF(COUNTIF(IF(AND(配装计算器!$K$30&lt;&gt;"∞",0),INDEX(AU200:CB200,1,$AT$1),INDEX(AU200:CB200,1,$AT$1)),"*叠1*")=1,4*25-加速!$L$11,AB199-A200+A199)-IF(OR(COUNTIF(OFFSET(AT200,0,$AT$1,1,1),"*听雷*")&gt;0,AND(碧归&gt;0,COUNTIF(OFFSET(AT200,0,$AT$1,1,1),"*风来*")&gt;0)),0,1)*1.5)</f>
        <v>#VALUE!</v>
      </c>
      <c r="AC200">
        <f ca="1" t="shared" si="44"/>
        <v>3</v>
      </c>
      <c r="AD200">
        <f ca="1">IF(COUNTIF(IF(AND(配装计算器!$K$30&lt;&gt;"∞",0),INDEX(AU200:CB200,1,$AT$1),INDEX(AU201:CB201,1,$AT$1)),"*叠1*")=1,AB200*0+AE199,0)</f>
        <v>0</v>
      </c>
      <c r="AE200" t="e">
        <f ca="1">IF($AN$11&gt;0,IF(COUNTIF(B201,"*叠1*")&gt;0,50-加速!$H$11,MAX(0,AE199-(A201-A200))),0)</f>
        <v>#VALUE!</v>
      </c>
      <c r="AH200" t="s">
        <v>1825</v>
      </c>
      <c r="AI200" t="s">
        <v>2794</v>
      </c>
      <c r="AJ200">
        <f ca="1">循环比*COUNTIFS($B$3:$B$515,"*"&amp;AI200&amp;"*",$D$3:$D$515,"=1",$H$3:$H$515,"=0",$G$3:$G$515,"&gt;0",$K$3:$K$515,"=2",$AC$3:$AC$515,"=3")</f>
        <v>2</v>
      </c>
      <c r="AK200" t="s">
        <v>3116</v>
      </c>
      <c r="AU200" s="176" t="s">
        <v>2768</v>
      </c>
      <c r="AV200">
        <v>2</v>
      </c>
      <c r="AW200" t="s">
        <v>2776</v>
      </c>
      <c r="AX200">
        <v>2</v>
      </c>
      <c r="AY200" t="s">
        <v>2768</v>
      </c>
      <c r="AZ200">
        <v>2</v>
      </c>
      <c r="BA200" t="s">
        <v>2768</v>
      </c>
      <c r="BB200">
        <v>2</v>
      </c>
      <c r="BC200" t="s">
        <v>2768</v>
      </c>
      <c r="BD200">
        <v>2</v>
      </c>
      <c r="BE200" t="s">
        <v>2768</v>
      </c>
      <c r="BF200">
        <v>0</v>
      </c>
      <c r="BG200" s="176" t="s">
        <v>2768</v>
      </c>
      <c r="BH200">
        <v>2</v>
      </c>
      <c r="BI200" s="176" t="s">
        <v>3026</v>
      </c>
      <c r="BJ200">
        <v>2</v>
      </c>
      <c r="BK200" t="s">
        <v>2768</v>
      </c>
      <c r="BL200">
        <v>2</v>
      </c>
      <c r="BM200" t="str">
        <f>IF(0,"云飞玉皇-玉山揽云","云飞玉皇")</f>
        <v>云飞玉皇</v>
      </c>
      <c r="BN200">
        <v>2</v>
      </c>
      <c r="BO200" s="176" t="str">
        <f>IF(秋,"金环戴","吹风醒")</f>
        <v>吹风醒</v>
      </c>
      <c r="BP200">
        <v>2</v>
      </c>
      <c r="BQ200" t="s">
        <v>2768</v>
      </c>
      <c r="BR200">
        <v>2</v>
      </c>
      <c r="BS200" s="179" t="s">
        <v>3019</v>
      </c>
      <c r="BT200">
        <v>2</v>
      </c>
      <c r="BU200" s="176" t="s">
        <v>3035</v>
      </c>
      <c r="BV200">
        <v>2</v>
      </c>
      <c r="BW200" s="182" t="s">
        <v>3117</v>
      </c>
      <c r="BX200" s="179">
        <v>2</v>
      </c>
      <c r="BY200" t="str">
        <f>IF(0,"云飞玉皇-玉山揽云","云飞玉皇")</f>
        <v>云飞玉皇</v>
      </c>
      <c r="BZ200">
        <v>2</v>
      </c>
      <c r="CA200" t="s">
        <v>2853</v>
      </c>
      <c r="CB200">
        <v>2</v>
      </c>
    </row>
    <row r="201" spans="1:80">
      <c r="A201" s="178" t="str">
        <f ca="1">IFERROR(IF(A200+加速!$L$11&lt;$AS$1,IF(COUNTIF(B200,"*轻*")&gt;0,A200+加速!$L$9,A200+加速!$L$11)+V200,IF(COUNTIF(INDEX(AU201:CB201,1,$AT$1),"*云景*")+COUNTIF(INDEX(AU201:CB201,1,$AT$1),"*鹤归*")+COUNTIF(INDEX(AU201:CB201,1,$AT$1),"*听雷*")&gt;0,A200+加速!$L$11,"")),"")</f>
        <v/>
      </c>
      <c r="B201" s="167" t="str">
        <f ca="1">IF(A201&lt;&gt;"",IF(AND(A201+加速!$L$11&gt;$AS$1,IF(AND(配装计算器!$K$30&lt;&gt;"∞",0),"梦泉虎跑-轻",INDEX(AU201:CB201,1,$AT$1))="云栖松"),"夕照雷峰",IF(AND(配装计算器!$K$30&lt;&gt;"∞",0),"梦泉虎跑-轻",INDEX(AU201:CB201,1,$AT$1))),"")</f>
        <v/>
      </c>
      <c r="C201" t="str">
        <f ca="1" t="shared" si="49"/>
        <v/>
      </c>
      <c r="D201" t="str">
        <f ca="1">IF(B201&lt;&gt;"",IF(C200&lt;=加速!$L$11*(1-E201),0,1),"")</f>
        <v/>
      </c>
      <c r="E201">
        <f ca="1" t="shared" si="45"/>
        <v>1</v>
      </c>
      <c r="G201" t="str">
        <f ca="1" t="shared" si="46"/>
        <v/>
      </c>
      <c r="H201" t="str">
        <f ca="1">IF(B201&lt;&gt;"",IF(AND(COUNTIF(B200,"*轻*莺鸣柳*")&gt;0,COUNTIF(B201,"*轻*")&lt;1),MAX(0,15+I200-(A201-A200)+COUNTIF(B200,"*平湖*")*0),IF(AND(E201=0,MAX(0,H200-(A201-A200))&lt;=加速!$H$11),0,MAX(0,H200-(A201-A200)))),"")</f>
        <v/>
      </c>
      <c r="I201" t="str">
        <f ca="1" t="shared" si="52"/>
        <v/>
      </c>
      <c r="J201" t="str">
        <f ca="1" t="shared" si="53"/>
        <v/>
      </c>
      <c r="K201" t="str">
        <f ca="1">IF(A201&lt;&gt;"",IF(AND(配装计算器!$K$30&lt;&gt;"∞",0),2,INDEX(AU201:CB201,1,$AT$2)),"")</f>
        <v/>
      </c>
      <c r="L201">
        <f ca="1">IFERROR(IF(AND(COUNTIF(B201,"*-峰插*"),技能数据库!$M$72&gt;0),0,IF(COUNTIF(B201,"*鹤归*")&gt;0,16-加速!$L$11,MAX(0,L200-(A201-A200)))),0)</f>
        <v>0</v>
      </c>
      <c r="M201">
        <f ca="1">IF(COUNTIF(IF(AND(配装计算器!$K$30&lt;&gt;"∞",0),INDEX(AU200:CB200,1,$AT$1),INDEX(AU202:CB202,1,$AT$1)),"*鹤归*")=1,L201,0)</f>
        <v>0</v>
      </c>
      <c r="N201">
        <f ca="1">IFERROR(IF(AND(COUNTIF(B201,"*-峰插*"),技能数据库!$M$72&gt;0),0,IF(COUNTIF(B201,"*云飞*")&gt;0,4-COUNTIF(B201,"*玉山揽云*")*4--COUNTIF(B201,"*烟流暮景*")*4-COUNTIF(B201,"*云景*")*加速!$L$11-IF(J201&gt;0,2,0),MAX(0,N200-(A201-A200)-IF(J201&gt;0,2,0)))),0)</f>
        <v>0</v>
      </c>
      <c r="O201">
        <f ca="1">IF(AND(COUNTIF(IF(AND(配装计算器!$K$30&lt;&gt;"∞",0),INDEX(AU200:CB200,1,$AT$1),INDEX(AU202:CB202,1,$AT$1)),"*云飞*")=1,COUNTIF(IF(AND(配装计算器!$K$30&lt;&gt;"∞",0),INDEX(AU200:CB200,1,$AT$1),INDEX(AU202:CB202,1,$AT$1)),"*玉山*")=0),N201,0)</f>
        <v>0</v>
      </c>
      <c r="P201">
        <f ca="1">IFERROR(IF(COUNTIF(B201,"*云栖松*")&gt;0,50-加速!$L$11,MAX(0,P200-(A201-A200))),0)</f>
        <v>0</v>
      </c>
      <c r="Q201">
        <f ca="1">IF(COUNTIF(IF(AND(配装计算器!$K$30&lt;&gt;"∞",0),INDEX(AU200:CB200,1,$AT$1),INDEX(AU202:CB202,1,$AT$1)),"*云栖松*")=1,P201,0)</f>
        <v>0</v>
      </c>
      <c r="R201">
        <f ca="1">IFERROR(IF(COUNTIF(B201,"*莺鸣柳*")&gt;0,45-加速!$L$9,MAX(0,R200-(A201-A200))),0)</f>
        <v>0</v>
      </c>
      <c r="S201">
        <f ca="1">IF(COUNTIF(IF(AND(配装计算器!$K$30&lt;&gt;"∞",0),INDEX(AU200:CB200,1,$AT$1),INDEX(AU202:CB202,1,$AT$1)),"*莺鸣柳*")=1,R201,0)</f>
        <v>0</v>
      </c>
      <c r="T201">
        <f ca="1" t="shared" si="50"/>
        <v>0</v>
      </c>
      <c r="U201">
        <f ca="1">IF(金蛇,IF(COUNTIF(B201,"*金环戴*")+COUNTIF(B201,"*吹风醒*")&gt;0,IF(A201&lt;=3,7.125-2.625-A201-加速!$L$11,7.125+加速!$K$9-(A201+加速!$L$11-T201)),0),0)+IF(金蛇,IF(COUNTIF(B201,"*千切子裂光*")&gt;0,2+加速!$K$9-(A201+加速!$L$11-T201),0),0)</f>
        <v>0</v>
      </c>
      <c r="V201">
        <f ca="1" t="shared" si="51"/>
        <v>0</v>
      </c>
      <c r="W201">
        <f ca="1" t="shared" si="43"/>
        <v>0</v>
      </c>
      <c r="X201">
        <f ca="1">INDEX(加速!$I$13:$I$21,技能数计算!W201+1)</f>
        <v>0</v>
      </c>
      <c r="Y201">
        <f ca="1" t="shared" si="47"/>
        <v>0.5</v>
      </c>
      <c r="Z201">
        <f ca="1" t="shared" si="48"/>
        <v>0</v>
      </c>
      <c r="AA201">
        <f ca="1">MAX(0,IFERROR(IF(COUNTIF(B201,"*叠*")&gt;0,IF(AC200&lt;3,8-A202+A201,AA200+6.875-A202+A201),AA200-A202+A201),AA200-加速!$L$11))</f>
        <v>0</v>
      </c>
      <c r="AB201" t="e">
        <f ca="1">MAX(0,IF(COUNTIF(IF(AND(配装计算器!$K$30&lt;&gt;"∞",0),INDEX(AU201:CB201,1,$AT$1),INDEX(AU201:CB201,1,$AT$1)),"*叠1*")=1,4*25-加速!$L$11,AB200-A201+A200)-IF(OR(COUNTIF(OFFSET(AT201,0,$AT$1,1,1),"*听雷*")&gt;0,AND(碧归&gt;0,COUNTIF(OFFSET(AT201,0,$AT$1,1,1),"*风来*")&gt;0)),0,1)*1.5)</f>
        <v>#VALUE!</v>
      </c>
      <c r="AC201">
        <f ca="1" t="shared" si="44"/>
        <v>3</v>
      </c>
      <c r="AD201">
        <f ca="1">IF(COUNTIF(IF(AND(配装计算器!$K$30&lt;&gt;"∞",0),INDEX(AU201:CB201,1,$AT$1),INDEX(AU202:CB202,1,$AT$1)),"*叠1*")=1,AB201*0+AE200,0)</f>
        <v>0</v>
      </c>
      <c r="AE201" t="e">
        <f ca="1">IF($AN$11&gt;0,IF(COUNTIF(B202,"*叠1*")&gt;0,50-加速!$H$11,MAX(0,AE200-(A202-A201))),0)</f>
        <v>#VALUE!</v>
      </c>
      <c r="AH201" t="s">
        <v>1825</v>
      </c>
      <c r="AI201" t="s">
        <v>2798</v>
      </c>
      <c r="AJ201">
        <f ca="1">AJ198</f>
        <v>0</v>
      </c>
      <c r="AK201" t="s">
        <v>3114</v>
      </c>
      <c r="AU201" s="176" t="s">
        <v>2776</v>
      </c>
      <c r="AV201">
        <v>2</v>
      </c>
      <c r="AW201" t="s">
        <v>2768</v>
      </c>
      <c r="AX201">
        <v>2</v>
      </c>
      <c r="AY201" t="s">
        <v>2768</v>
      </c>
      <c r="AZ201">
        <v>2</v>
      </c>
      <c r="BA201" t="s">
        <v>2776</v>
      </c>
      <c r="BB201">
        <v>2</v>
      </c>
      <c r="BC201" t="s">
        <v>2794</v>
      </c>
      <c r="BD201">
        <v>2</v>
      </c>
      <c r="BE201" t="s">
        <v>2776</v>
      </c>
      <c r="BF201">
        <v>0</v>
      </c>
      <c r="BG201" s="176" t="s">
        <v>2776</v>
      </c>
      <c r="BH201">
        <v>2</v>
      </c>
      <c r="BI201" s="176" t="s">
        <v>3026</v>
      </c>
      <c r="BJ201">
        <v>2</v>
      </c>
      <c r="BK201" t="s">
        <v>2768</v>
      </c>
      <c r="BL201">
        <v>2</v>
      </c>
      <c r="BM201" t="str">
        <f>IF(秋,"云栖松","泉凝月")</f>
        <v>泉凝月</v>
      </c>
      <c r="BN201">
        <v>2</v>
      </c>
      <c r="BO201" t="str">
        <f>IF(秋,"夕照雷峰","云飞玉皇")</f>
        <v>云飞玉皇</v>
      </c>
      <c r="BP201">
        <v>2</v>
      </c>
      <c r="BQ201" t="s">
        <v>2776</v>
      </c>
      <c r="BR201">
        <v>2</v>
      </c>
      <c r="BS201" s="179" t="s">
        <v>2768</v>
      </c>
      <c r="BT201">
        <v>2</v>
      </c>
      <c r="BU201" t="s">
        <v>2768</v>
      </c>
      <c r="BV201">
        <v>2</v>
      </c>
      <c r="BW201" s="182" t="s">
        <v>2768</v>
      </c>
      <c r="BX201" s="179">
        <v>2</v>
      </c>
      <c r="BY201" t="str">
        <f>IF(秋,"云栖松","泉凝月")</f>
        <v>泉凝月</v>
      </c>
      <c r="BZ201">
        <v>2</v>
      </c>
      <c r="CA201" s="176" t="s">
        <v>2850</v>
      </c>
      <c r="CB201">
        <f>IF(0,2,0)</f>
        <v>0</v>
      </c>
    </row>
    <row r="202" spans="1:80">
      <c r="A202" s="178" t="str">
        <f ca="1">IFERROR(IF(A201+加速!$L$11&lt;$AS$1,IF(COUNTIF(B201,"*轻*")&gt;0,A201+加速!$L$9,A201+加速!$L$11)+V201,IF(COUNTIF(INDEX(AU202:CB202,1,$AT$1),"*云景*")+COUNTIF(INDEX(AU202:CB202,1,$AT$1),"*鹤归*")+COUNTIF(INDEX(AU202:CB202,1,$AT$1),"*听雷*")&gt;0,A201+加速!$L$11,"")),"")</f>
        <v/>
      </c>
      <c r="B202" s="167" t="str">
        <f ca="1">IF(A202&lt;&gt;"",IF(AND(A202+加速!$L$11&gt;$AS$1,IF(AND(配装计算器!$K$30&lt;&gt;"∞",0),"梦泉虎跑-轻",INDEX(AU202:CB202,1,$AT$1))="云栖松"),"夕照雷峰",IF(AND(配装计算器!$K$30&lt;&gt;"∞",0),"梦泉虎跑-轻",INDEX(AU202:CB202,1,$AT$1))),"")</f>
        <v/>
      </c>
      <c r="C202" t="str">
        <f ca="1" t="shared" si="49"/>
        <v/>
      </c>
      <c r="D202" t="str">
        <f ca="1">IF(B202&lt;&gt;"",IF(C201&lt;=加速!$L$11*(1-E202),0,1),"")</f>
        <v/>
      </c>
      <c r="E202">
        <f ca="1" t="shared" si="45"/>
        <v>1</v>
      </c>
      <c r="G202" t="str">
        <f ca="1" t="shared" si="46"/>
        <v/>
      </c>
      <c r="H202" t="str">
        <f ca="1">IF(B202&lt;&gt;"",IF(AND(COUNTIF(B201,"*轻*莺鸣柳*")&gt;0,COUNTIF(B202,"*轻*")&lt;1),MAX(0,15+I201-(A202-A201)+COUNTIF(B201,"*平湖*")*0),IF(AND(E202=0,MAX(0,H201-(A202-A201))&lt;=加速!$H$11),0,MAX(0,H201-(A202-A201)))),"")</f>
        <v/>
      </c>
      <c r="I202" t="str">
        <f ca="1" t="shared" si="52"/>
        <v/>
      </c>
      <c r="J202" t="str">
        <f ca="1" t="shared" si="53"/>
        <v/>
      </c>
      <c r="K202" t="str">
        <f ca="1">IF(A202&lt;&gt;"",IF(AND(配装计算器!$K$30&lt;&gt;"∞",0),2,INDEX(AU202:CB202,1,$AT$2)),"")</f>
        <v/>
      </c>
      <c r="L202">
        <f ca="1">IFERROR(IF(AND(COUNTIF(B202,"*-峰插*"),技能数据库!$M$72&gt;0),0,IF(COUNTIF(B202,"*鹤归*")&gt;0,16-加速!$L$11,MAX(0,L201-(A202-A201)))),0)</f>
        <v>0</v>
      </c>
      <c r="M202">
        <f ca="1">IF(COUNTIF(IF(AND(配装计算器!$K$30&lt;&gt;"∞",0),INDEX(AU201:CB201,1,$AT$1),INDEX(AU203:CB203,1,$AT$1)),"*鹤归*")=1,L202,0)</f>
        <v>0</v>
      </c>
      <c r="N202">
        <f ca="1">IFERROR(IF(AND(COUNTIF(B202,"*-峰插*"),技能数据库!$M$72&gt;0),0,IF(COUNTIF(B202,"*云飞*")&gt;0,4-COUNTIF(B202,"*玉山揽云*")*4--COUNTIF(B202,"*烟流暮景*")*4-COUNTIF(B202,"*云景*")*加速!$L$11-IF(J202&gt;0,2,0),MAX(0,N201-(A202-A201)-IF(J202&gt;0,2,0)))),0)</f>
        <v>0</v>
      </c>
      <c r="O202">
        <f ca="1">IF(AND(COUNTIF(IF(AND(配装计算器!$K$30&lt;&gt;"∞",0),INDEX(AU201:CB201,1,$AT$1),INDEX(AU203:CB203,1,$AT$1)),"*云飞*")=1,COUNTIF(IF(AND(配装计算器!$K$30&lt;&gt;"∞",0),INDEX(AU201:CB201,1,$AT$1),INDEX(AU203:CB203,1,$AT$1)),"*玉山*")=0),N202,0)</f>
        <v>0</v>
      </c>
      <c r="P202">
        <f ca="1">IFERROR(IF(COUNTIF(B202,"*云栖松*")&gt;0,50-加速!$L$11,MAX(0,P201-(A202-A201))),0)</f>
        <v>0</v>
      </c>
      <c r="Q202">
        <f ca="1">IF(COUNTIF(IF(AND(配装计算器!$K$30&lt;&gt;"∞",0),INDEX(AU201:CB201,1,$AT$1),INDEX(AU203:CB203,1,$AT$1)),"*云栖松*")=1,P202,0)</f>
        <v>0</v>
      </c>
      <c r="R202">
        <f ca="1">IFERROR(IF(COUNTIF(B202,"*莺鸣柳*")&gt;0,45-加速!$L$9,MAX(0,R201-(A202-A201))),0)</f>
        <v>0</v>
      </c>
      <c r="S202">
        <f ca="1">IF(COUNTIF(IF(AND(配装计算器!$K$30&lt;&gt;"∞",0),INDEX(AU201:CB201,1,$AT$1),INDEX(AU203:CB203,1,$AT$1)),"*莺鸣柳*")=1,R202,0)</f>
        <v>0</v>
      </c>
      <c r="T202">
        <f ca="1" t="shared" si="50"/>
        <v>0</v>
      </c>
      <c r="U202">
        <f ca="1">IF(金蛇,IF(COUNTIF(B202,"*金环戴*")+COUNTIF(B202,"*吹风醒*")&gt;0,IF(A202&lt;=3,7.125-2.625-A202-加速!$L$11,7.125+加速!$K$9-(A202+加速!$L$11-T202)),0),0)+IF(金蛇,IF(COUNTIF(B202,"*千切子裂光*")&gt;0,2+加速!$K$9-(A202+加速!$L$11-T202),0),0)</f>
        <v>0</v>
      </c>
      <c r="V202">
        <f ca="1" t="shared" si="51"/>
        <v>0</v>
      </c>
      <c r="W202">
        <f ca="1" t="shared" si="43"/>
        <v>0</v>
      </c>
      <c r="X202">
        <f ca="1">INDEX(加速!$I$13:$I$21,技能数计算!W202+1)</f>
        <v>0</v>
      </c>
      <c r="Y202">
        <f ca="1" t="shared" si="47"/>
        <v>0.5</v>
      </c>
      <c r="Z202">
        <f ca="1" t="shared" si="48"/>
        <v>0</v>
      </c>
      <c r="AA202">
        <f ca="1">MAX(0,IFERROR(IF(COUNTIF(B202,"*叠*")&gt;0,IF(AC201&lt;3,8-A203+A202,AA201+6.875-A203+A202),AA201-A203+A202),AA201-加速!$L$11))</f>
        <v>0</v>
      </c>
      <c r="AB202" t="e">
        <f ca="1">MAX(0,IF(COUNTIF(IF(AND(配装计算器!$K$30&lt;&gt;"∞",0),INDEX(AU202:CB202,1,$AT$1),INDEX(AU202:CB202,1,$AT$1)),"*叠1*")=1,4*25-加速!$L$11,AB201-A202+A201)-IF(OR(COUNTIF(OFFSET(AT202,0,$AT$1,1,1),"*听雷*")&gt;0,AND(碧归&gt;0,COUNTIF(OFFSET(AT202,0,$AT$1,1,1),"*风来*")&gt;0)),0,1)*1.5)</f>
        <v>#VALUE!</v>
      </c>
      <c r="AC202">
        <f ca="1" t="shared" si="44"/>
        <v>3</v>
      </c>
      <c r="AD202">
        <f ca="1">IF(COUNTIF(IF(AND(配装计算器!$K$30&lt;&gt;"∞",0),INDEX(AU202:CB202,1,$AT$1),INDEX(AU203:CB203,1,$AT$1)),"*叠1*")=1,AB202*0+AE201,0)</f>
        <v>0</v>
      </c>
      <c r="AE202" t="e">
        <f ca="1">IF($AN$11&gt;0,IF(COUNTIF(B203,"*叠1*")&gt;0,50-加速!$H$11,MAX(0,AE201-(A203-A202))),0)</f>
        <v>#VALUE!</v>
      </c>
      <c r="AH202" t="s">
        <v>1825</v>
      </c>
      <c r="AI202" t="s">
        <v>2798</v>
      </c>
      <c r="AJ202">
        <f ca="1" t="shared" ref="AJ202:AJ203" si="54">AJ199</f>
        <v>0</v>
      </c>
      <c r="AK202" t="s">
        <v>3115</v>
      </c>
      <c r="AU202" s="176" t="s">
        <v>2768</v>
      </c>
      <c r="AV202">
        <v>2</v>
      </c>
      <c r="AW202" t="s">
        <v>2768</v>
      </c>
      <c r="AX202">
        <v>2</v>
      </c>
      <c r="AY202" t="s">
        <v>2776</v>
      </c>
      <c r="AZ202">
        <v>2</v>
      </c>
      <c r="BA202" t="s">
        <v>2794</v>
      </c>
      <c r="BB202">
        <v>2</v>
      </c>
      <c r="BC202" s="182" t="s">
        <v>3036</v>
      </c>
      <c r="BD202">
        <v>2</v>
      </c>
      <c r="BE202" t="s">
        <v>3012</v>
      </c>
      <c r="BF202">
        <v>2</v>
      </c>
      <c r="BG202" t="s">
        <v>2768</v>
      </c>
      <c r="BH202">
        <v>1</v>
      </c>
      <c r="BI202" s="176" t="s">
        <v>3036</v>
      </c>
      <c r="BJ202">
        <v>2</v>
      </c>
      <c r="BK202" s="176" t="s">
        <v>3056</v>
      </c>
      <c r="BL202">
        <v>2</v>
      </c>
      <c r="BM202" t="s">
        <v>2768</v>
      </c>
      <c r="BN202">
        <v>2</v>
      </c>
      <c r="BO202" s="176" t="str">
        <f>IF(秋,"梦泉虎跑-轻","夕照雷峰")</f>
        <v>夕照雷峰</v>
      </c>
      <c r="BP202">
        <v>2</v>
      </c>
      <c r="BQ202" t="s">
        <v>2768</v>
      </c>
      <c r="BR202">
        <v>2</v>
      </c>
      <c r="BS202" s="182" t="s">
        <v>3023</v>
      </c>
      <c r="BT202">
        <v>2</v>
      </c>
      <c r="BU202" t="s">
        <v>2776</v>
      </c>
      <c r="BV202">
        <v>2</v>
      </c>
      <c r="BW202" s="182" t="str">
        <f>IF(秋,"云飞玉皇","云飞玉皇·云景")</f>
        <v>云飞玉皇·云景</v>
      </c>
      <c r="BX202" s="179">
        <v>2</v>
      </c>
      <c r="BY202" t="s">
        <v>2768</v>
      </c>
      <c r="BZ202">
        <v>2</v>
      </c>
      <c r="CA202" s="176" t="str">
        <f>IF(秋,"金环戴","吹风醒")</f>
        <v>吹风醒</v>
      </c>
      <c r="CB202">
        <v>2</v>
      </c>
    </row>
    <row r="203" spans="1:80">
      <c r="A203" s="178" t="str">
        <f ca="1">IFERROR(IF(A202+加速!$L$11&lt;$AS$1,IF(COUNTIF(B202,"*轻*")&gt;0,A202+加速!$L$9,A202+加速!$L$11)+V202,IF(COUNTIF(INDEX(AU203:CB203,1,$AT$1),"*云景*")+COUNTIF(INDEX(AU203:CB203,1,$AT$1),"*鹤归*")+COUNTIF(INDEX(AU203:CB203,1,$AT$1),"*听雷*")&gt;0,A202+加速!$L$11,"")),"")</f>
        <v/>
      </c>
      <c r="B203" s="167" t="str">
        <f ca="1">IF(A203&lt;&gt;"",IF(AND(A203+加速!$L$11&gt;$AS$1,IF(AND(配装计算器!$K$30&lt;&gt;"∞",0),"梦泉虎跑-轻",INDEX(AU203:CB203,1,$AT$1))="云栖松"),"夕照雷峰",IF(AND(配装计算器!$K$30&lt;&gt;"∞",0),"梦泉虎跑-轻",INDEX(AU203:CB203,1,$AT$1))),"")</f>
        <v/>
      </c>
      <c r="C203" t="str">
        <f ca="1" t="shared" si="49"/>
        <v/>
      </c>
      <c r="D203" t="str">
        <f ca="1">IF(B203&lt;&gt;"",IF(C202&lt;=加速!$L$11*(1-E203),0,1),"")</f>
        <v/>
      </c>
      <c r="E203">
        <f ca="1" t="shared" si="45"/>
        <v>1</v>
      </c>
      <c r="G203" t="str">
        <f ca="1" t="shared" si="46"/>
        <v/>
      </c>
      <c r="H203" t="str">
        <f ca="1">IF(B203&lt;&gt;"",IF(AND(COUNTIF(B202,"*轻*莺鸣柳*")&gt;0,COUNTIF(B203,"*轻*")&lt;1),MAX(0,15+I202-(A203-A202)+COUNTIF(B202,"*平湖*")*0),IF(AND(E203=0,MAX(0,H202-(A203-A202))&lt;=加速!$H$11),0,MAX(0,H202-(A203-A202)))),"")</f>
        <v/>
      </c>
      <c r="I203" t="str">
        <f ca="1" t="shared" si="52"/>
        <v/>
      </c>
      <c r="J203" t="str">
        <f ca="1" t="shared" si="53"/>
        <v/>
      </c>
      <c r="K203" t="str">
        <f ca="1">IF(A203&lt;&gt;"",IF(AND(配装计算器!$K$30&lt;&gt;"∞",0),2,INDEX(AU203:CB203,1,$AT$2)),"")</f>
        <v/>
      </c>
      <c r="L203">
        <f ca="1">IFERROR(IF(AND(COUNTIF(B203,"*-峰插*"),技能数据库!$M$72&gt;0),0,IF(COUNTIF(B203,"*鹤归*")&gt;0,16-加速!$L$11,MAX(0,L202-(A203-A202)))),0)</f>
        <v>0</v>
      </c>
      <c r="M203">
        <f ca="1">IF(COUNTIF(IF(AND(配装计算器!$K$30&lt;&gt;"∞",0),INDEX(AU202:CB202,1,$AT$1),INDEX(AU204:CB204,1,$AT$1)),"*鹤归*")=1,L203,0)</f>
        <v>0</v>
      </c>
      <c r="N203">
        <f ca="1">IFERROR(IF(AND(COUNTIF(B203,"*-峰插*"),技能数据库!$M$72&gt;0),0,IF(COUNTIF(B203,"*云飞*")&gt;0,4-COUNTIF(B203,"*玉山揽云*")*4--COUNTIF(B203,"*烟流暮景*")*4-COUNTIF(B203,"*云景*")*加速!$L$11-IF(J203&gt;0,2,0),MAX(0,N202-(A203-A202)-IF(J203&gt;0,2,0)))),0)</f>
        <v>0</v>
      </c>
      <c r="O203">
        <f ca="1">IF(AND(COUNTIF(IF(AND(配装计算器!$K$30&lt;&gt;"∞",0),INDEX(AU202:CB202,1,$AT$1),INDEX(AU204:CB204,1,$AT$1)),"*云飞*")=1,COUNTIF(IF(AND(配装计算器!$K$30&lt;&gt;"∞",0),INDEX(AU202:CB202,1,$AT$1),INDEX(AU204:CB204,1,$AT$1)),"*玉山*")=0),N203,0)</f>
        <v>0</v>
      </c>
      <c r="P203">
        <f ca="1">IFERROR(IF(COUNTIF(B203,"*云栖松*")&gt;0,50-加速!$L$11,MAX(0,P202-(A203-A202))),0)</f>
        <v>0</v>
      </c>
      <c r="Q203">
        <f ca="1">IF(COUNTIF(IF(AND(配装计算器!$K$30&lt;&gt;"∞",0),INDEX(AU202:CB202,1,$AT$1),INDEX(AU204:CB204,1,$AT$1)),"*云栖松*")=1,P203,0)</f>
        <v>0</v>
      </c>
      <c r="R203">
        <f ca="1">IFERROR(IF(COUNTIF(B203,"*莺鸣柳*")&gt;0,45-加速!$L$9,MAX(0,R202-(A203-A202))),0)</f>
        <v>0</v>
      </c>
      <c r="S203">
        <f ca="1">IF(COUNTIF(IF(AND(配装计算器!$K$30&lt;&gt;"∞",0),INDEX(AU202:CB202,1,$AT$1),INDEX(AU204:CB204,1,$AT$1)),"*莺鸣柳*")=1,R203,0)</f>
        <v>0</v>
      </c>
      <c r="T203">
        <f ca="1" t="shared" si="50"/>
        <v>0</v>
      </c>
      <c r="U203">
        <f ca="1">IF(金蛇,IF(COUNTIF(B203,"*金环戴*")+COUNTIF(B203,"*吹风醒*")&gt;0,IF(A203&lt;=3,7.125-2.625-A203-加速!$L$11,7.125+加速!$K$9-(A203+加速!$L$11-T203)),0),0)+IF(金蛇,IF(COUNTIF(B203,"*千切子裂光*")&gt;0,2+加速!$K$9-(A203+加速!$L$11-T203),0),0)</f>
        <v>0</v>
      </c>
      <c r="V203">
        <f ca="1" t="shared" si="51"/>
        <v>0</v>
      </c>
      <c r="W203">
        <f ca="1" t="shared" si="43"/>
        <v>0</v>
      </c>
      <c r="X203">
        <f ca="1">INDEX(加速!$I$13:$I$21,技能数计算!W203+1)</f>
        <v>0</v>
      </c>
      <c r="Y203">
        <f ca="1" t="shared" si="47"/>
        <v>0.5</v>
      </c>
      <c r="Z203">
        <f ca="1" t="shared" si="48"/>
        <v>0</v>
      </c>
      <c r="AA203">
        <f ca="1">MAX(0,IFERROR(IF(COUNTIF(B203,"*叠*")&gt;0,IF(AC202&lt;3,8-A204+A203,AA202+6.875-A204+A203),AA202-A204+A203),AA202-加速!$L$11))</f>
        <v>0</v>
      </c>
      <c r="AB203" t="e">
        <f ca="1">MAX(0,IF(COUNTIF(IF(AND(配装计算器!$K$30&lt;&gt;"∞",0),INDEX(AU203:CB203,1,$AT$1),INDEX(AU203:CB203,1,$AT$1)),"*叠1*")=1,4*25-加速!$L$11,AB202-A203+A202)-IF(OR(COUNTIF(OFFSET(AT203,0,$AT$1,1,1),"*听雷*")&gt;0,AND(碧归&gt;0,COUNTIF(OFFSET(AT203,0,$AT$1,1,1),"*风来*")&gt;0)),0,1)*1.5)</f>
        <v>#VALUE!</v>
      </c>
      <c r="AC203">
        <f ca="1" t="shared" si="44"/>
        <v>3</v>
      </c>
      <c r="AD203">
        <f ca="1">IF(COUNTIF(IF(AND(配装计算器!$K$30&lt;&gt;"∞",0),INDEX(AU203:CB203,1,$AT$1),INDEX(AU204:CB204,1,$AT$1)),"*叠1*")=1,AB203*0+AE202,0)</f>
        <v>0</v>
      </c>
      <c r="AE203" t="e">
        <f ca="1">IF($AN$11&gt;0,IF(COUNTIF(B204,"*叠1*")&gt;0,50-加速!$H$11,MAX(0,AE202-(A204-A203))),0)</f>
        <v>#VALUE!</v>
      </c>
      <c r="AH203" t="s">
        <v>1825</v>
      </c>
      <c r="AI203" t="s">
        <v>2798</v>
      </c>
      <c r="AJ203">
        <f ca="1" t="shared" si="54"/>
        <v>2</v>
      </c>
      <c r="AK203" t="s">
        <v>3116</v>
      </c>
      <c r="AU203" s="176" t="s">
        <v>2776</v>
      </c>
      <c r="AV203">
        <v>2</v>
      </c>
      <c r="AW203" t="s">
        <v>2768</v>
      </c>
      <c r="AX203">
        <v>2</v>
      </c>
      <c r="AY203" t="s">
        <v>2794</v>
      </c>
      <c r="AZ203">
        <v>2</v>
      </c>
      <c r="BA203" t="s">
        <v>2768</v>
      </c>
      <c r="BB203">
        <v>2</v>
      </c>
      <c r="BC203" s="176" t="s">
        <v>3026</v>
      </c>
      <c r="BD203">
        <v>2</v>
      </c>
      <c r="BE203" t="s">
        <v>2776</v>
      </c>
      <c r="BF203">
        <v>2</v>
      </c>
      <c r="BG203" s="176" t="s">
        <v>2768</v>
      </c>
      <c r="BH203">
        <v>1</v>
      </c>
      <c r="BI203" t="s">
        <v>2794</v>
      </c>
      <c r="BJ203">
        <v>2</v>
      </c>
      <c r="BK203" s="176" t="s">
        <v>2768</v>
      </c>
      <c r="BL203">
        <v>2</v>
      </c>
      <c r="BM203" t="s">
        <v>1886</v>
      </c>
      <c r="BN203">
        <v>2</v>
      </c>
      <c r="BO203" s="176" t="str">
        <f>IF(秋,"九溪弥烟-轻-血毒金蛇锥","梦泉虎跑-轻")</f>
        <v>梦泉虎跑-轻</v>
      </c>
      <c r="BP203">
        <v>0</v>
      </c>
      <c r="BQ203" t="s">
        <v>3013</v>
      </c>
      <c r="BR203">
        <v>2</v>
      </c>
      <c r="BS203" s="182" t="s">
        <v>2768</v>
      </c>
      <c r="BT203">
        <v>2</v>
      </c>
      <c r="BU203" t="s">
        <v>2768</v>
      </c>
      <c r="BV203">
        <v>2</v>
      </c>
      <c r="BW203" s="179" t="s">
        <v>2722</v>
      </c>
      <c r="BX203" s="179">
        <v>1</v>
      </c>
      <c r="BY203" t="s">
        <v>1886</v>
      </c>
      <c r="BZ203">
        <v>2</v>
      </c>
      <c r="CA203" s="176" t="s">
        <v>2768</v>
      </c>
      <c r="CB203">
        <v>2</v>
      </c>
    </row>
    <row r="204" spans="1:80">
      <c r="A204" s="178" t="str">
        <f ca="1">IFERROR(IF(A203+加速!$L$11&lt;$AS$1,IF(COUNTIF(B203,"*轻*")&gt;0,A203+加速!$L$9,A203+加速!$L$11)+V203,IF(COUNTIF(INDEX(AU204:CB204,1,$AT$1),"*云景*")+COUNTIF(INDEX(AU204:CB204,1,$AT$1),"*鹤归*")+COUNTIF(INDEX(AU204:CB204,1,$AT$1),"*听雷*")&gt;0,A203+加速!$L$11,"")),"")</f>
        <v/>
      </c>
      <c r="B204" s="167" t="str">
        <f ca="1">IF(A204&lt;&gt;"",IF(AND(A204+加速!$L$11&gt;$AS$1,IF(AND(配装计算器!$K$30&lt;&gt;"∞",0),"梦泉虎跑-轻",INDEX(AU204:CB204,1,$AT$1))="云栖松"),"夕照雷峰",IF(AND(配装计算器!$K$30&lt;&gt;"∞",0),"梦泉虎跑-轻",INDEX(AU204:CB204,1,$AT$1))),"")</f>
        <v/>
      </c>
      <c r="C204" t="str">
        <f ca="1" t="shared" si="49"/>
        <v/>
      </c>
      <c r="D204" t="str">
        <f ca="1">IF(B204&lt;&gt;"",IF(C203&lt;=加速!$L$11*(1-E204),0,1),"")</f>
        <v/>
      </c>
      <c r="E204">
        <f ca="1" t="shared" si="45"/>
        <v>1</v>
      </c>
      <c r="G204" t="str">
        <f ca="1" t="shared" si="46"/>
        <v/>
      </c>
      <c r="H204" t="str">
        <f ca="1">IF(B204&lt;&gt;"",IF(AND(COUNTIF(B203,"*轻*莺鸣柳*")&gt;0,COUNTIF(B204,"*轻*")&lt;1),MAX(0,15+I203-(A204-A203)+COUNTIF(B203,"*平湖*")*0),IF(AND(E204=0,MAX(0,H203-(A204-A203))&lt;=加速!$H$11),0,MAX(0,H203-(A204-A203)))),"")</f>
        <v/>
      </c>
      <c r="I204" t="str">
        <f ca="1" t="shared" si="52"/>
        <v/>
      </c>
      <c r="J204" t="str">
        <f ca="1" t="shared" si="53"/>
        <v/>
      </c>
      <c r="K204" t="str">
        <f ca="1">IF(A204&lt;&gt;"",IF(AND(配装计算器!$K$30&lt;&gt;"∞",0),2,INDEX(AU204:CB204,1,$AT$2)),"")</f>
        <v/>
      </c>
      <c r="L204">
        <f ca="1">IFERROR(IF(AND(COUNTIF(B204,"*-峰插*"),技能数据库!$M$72&gt;0),0,IF(COUNTIF(B204,"*鹤归*")&gt;0,16-加速!$L$11,MAX(0,L203-(A204-A203)))),0)</f>
        <v>0</v>
      </c>
      <c r="M204">
        <f ca="1">IF(COUNTIF(IF(AND(配装计算器!$K$30&lt;&gt;"∞",0),INDEX(AU203:CB203,1,$AT$1),INDEX(AU205:CB205,1,$AT$1)),"*鹤归*")=1,L204,0)</f>
        <v>0</v>
      </c>
      <c r="N204">
        <f ca="1">IFERROR(IF(AND(COUNTIF(B204,"*-峰插*"),技能数据库!$M$72&gt;0),0,IF(COUNTIF(B204,"*云飞*")&gt;0,4-COUNTIF(B204,"*玉山揽云*")*4--COUNTIF(B204,"*烟流暮景*")*4-COUNTIF(B204,"*云景*")*加速!$L$11-IF(J204&gt;0,2,0),MAX(0,N203-(A204-A203)-IF(J204&gt;0,2,0)))),0)</f>
        <v>0</v>
      </c>
      <c r="O204">
        <f ca="1">IF(AND(COUNTIF(IF(AND(配装计算器!$K$30&lt;&gt;"∞",0),INDEX(AU203:CB203,1,$AT$1),INDEX(AU205:CB205,1,$AT$1)),"*云飞*")=1,COUNTIF(IF(AND(配装计算器!$K$30&lt;&gt;"∞",0),INDEX(AU203:CB203,1,$AT$1),INDEX(AU205:CB205,1,$AT$1)),"*玉山*")=0),N204,0)</f>
        <v>0</v>
      </c>
      <c r="P204">
        <f ca="1">IFERROR(IF(COUNTIF(B204,"*云栖松*")&gt;0,50-加速!$L$11,MAX(0,P203-(A204-A203))),0)</f>
        <v>0</v>
      </c>
      <c r="Q204">
        <f ca="1">IF(COUNTIF(IF(AND(配装计算器!$K$30&lt;&gt;"∞",0),INDEX(AU203:CB203,1,$AT$1),INDEX(AU205:CB205,1,$AT$1)),"*云栖松*")=1,P204,0)</f>
        <v>0</v>
      </c>
      <c r="R204">
        <f ca="1">IFERROR(IF(COUNTIF(B204,"*莺鸣柳*")&gt;0,45-加速!$L$9,MAX(0,R203-(A204-A203))),0)</f>
        <v>0</v>
      </c>
      <c r="S204">
        <f ca="1">IF(COUNTIF(IF(AND(配装计算器!$K$30&lt;&gt;"∞",0),INDEX(AU203:CB203,1,$AT$1),INDEX(AU205:CB205,1,$AT$1)),"*莺鸣柳*")=1,R204,0)</f>
        <v>0</v>
      </c>
      <c r="T204">
        <f ca="1" t="shared" si="50"/>
        <v>0</v>
      </c>
      <c r="U204">
        <f ca="1">IF(金蛇,IF(COUNTIF(B204,"*金环戴*")+COUNTIF(B204,"*吹风醒*")&gt;0,IF(A204&lt;=3,7.125-2.625-A204-加速!$L$11,7.125+加速!$K$9-(A204+加速!$L$11-T204)),0),0)+IF(金蛇,IF(COUNTIF(B204,"*千切子裂光*")&gt;0,2+加速!$K$9-(A204+加速!$L$11-T204),0),0)</f>
        <v>0</v>
      </c>
      <c r="V204">
        <f ca="1" t="shared" si="51"/>
        <v>0</v>
      </c>
      <c r="W204">
        <f ca="1" t="shared" si="43"/>
        <v>0</v>
      </c>
      <c r="X204">
        <f ca="1">INDEX(加速!$I$13:$I$21,技能数计算!W204+1)</f>
        <v>0</v>
      </c>
      <c r="Y204">
        <f ca="1" t="shared" si="47"/>
        <v>0.5</v>
      </c>
      <c r="Z204">
        <f ca="1" t="shared" si="48"/>
        <v>0</v>
      </c>
      <c r="AA204">
        <f ca="1">MAX(0,IFERROR(IF(COUNTIF(B204,"*叠*")&gt;0,IF(AC203&lt;3,8-A205+A204,AA203+6.875-A205+A204),AA203-A205+A204),AA203-加速!$L$11))</f>
        <v>0</v>
      </c>
      <c r="AB204" t="e">
        <f ca="1">MAX(0,IF(COUNTIF(IF(AND(配装计算器!$K$30&lt;&gt;"∞",0),INDEX(AU204:CB204,1,$AT$1),INDEX(AU204:CB204,1,$AT$1)),"*叠1*")=1,4*25-加速!$L$11,AB203-A204+A203)-IF(OR(COUNTIF(OFFSET(AT204,0,$AT$1,1,1),"*听雷*")&gt;0,AND(碧归&gt;0,COUNTIF(OFFSET(AT204,0,$AT$1,1,1),"*风来*")&gt;0)),0,1)*1.5)</f>
        <v>#VALUE!</v>
      </c>
      <c r="AC204">
        <f ca="1" t="shared" si="44"/>
        <v>3</v>
      </c>
      <c r="AD204">
        <f ca="1">IF(COUNTIF(IF(AND(配装计算器!$K$30&lt;&gt;"∞",0),INDEX(AU204:CB204,1,$AT$1),INDEX(AU205:CB205,1,$AT$1)),"*叠1*")=1,AB204*0+AE203,0)</f>
        <v>0</v>
      </c>
      <c r="AE204" t="e">
        <f ca="1">IF($AN$11&gt;0,IF(COUNTIF(B205,"*叠1*")&gt;0,50-加速!$H$11,MAX(0,AE203-(A205-A204))),0)</f>
        <v>#VALUE!</v>
      </c>
      <c r="AH204" t="s">
        <v>1825</v>
      </c>
      <c r="AI204" s="161" t="s">
        <v>2859</v>
      </c>
      <c r="AJ204">
        <f ca="1">循环比*COUNTIFS($B$3:$B$515,"*皇*"&amp;AI204&amp;"*",$D$3:$D$515,"&gt;0",$AC$3:$AC$515,2)/3</f>
        <v>0</v>
      </c>
      <c r="AK204" t="s">
        <v>3109</v>
      </c>
      <c r="AU204" t="s">
        <v>2768</v>
      </c>
      <c r="AV204">
        <v>2</v>
      </c>
      <c r="AW204" t="s">
        <v>2776</v>
      </c>
      <c r="AX204">
        <v>2</v>
      </c>
      <c r="AY204" t="s">
        <v>2768</v>
      </c>
      <c r="AZ204">
        <v>2</v>
      </c>
      <c r="BA204" t="s">
        <v>2776</v>
      </c>
      <c r="BB204">
        <v>2</v>
      </c>
      <c r="BC204" s="176" t="s">
        <v>3026</v>
      </c>
      <c r="BD204">
        <v>2</v>
      </c>
      <c r="BE204" t="s">
        <v>3017</v>
      </c>
      <c r="BF204">
        <v>2</v>
      </c>
      <c r="BG204" t="s">
        <v>3055</v>
      </c>
      <c r="BH204">
        <v>0</v>
      </c>
      <c r="BI204" t="s">
        <v>2776</v>
      </c>
      <c r="BJ204">
        <v>2</v>
      </c>
      <c r="BK204" s="176" t="s">
        <v>2768</v>
      </c>
      <c r="BL204">
        <v>2</v>
      </c>
      <c r="BM204" t="s">
        <v>2853</v>
      </c>
      <c r="BN204">
        <v>2</v>
      </c>
      <c r="BO204" t="s">
        <v>3009</v>
      </c>
      <c r="BP204">
        <v>2</v>
      </c>
      <c r="BQ204" t="s">
        <v>2808</v>
      </c>
      <c r="BR204">
        <v>2</v>
      </c>
      <c r="BS204" s="182" t="s">
        <v>2776</v>
      </c>
      <c r="BT204">
        <v>2</v>
      </c>
      <c r="BU204" t="s">
        <v>2776</v>
      </c>
      <c r="BV204">
        <v>2</v>
      </c>
      <c r="BW204" s="179" t="s">
        <v>3009</v>
      </c>
      <c r="BX204" s="179">
        <v>2</v>
      </c>
      <c r="BY204" t="s">
        <v>2853</v>
      </c>
      <c r="BZ204">
        <v>2</v>
      </c>
      <c r="CA204" s="176" t="str">
        <f>IF(秋,"云飞玉皇","云飞玉皇·云景")</f>
        <v>云飞玉皇·云景</v>
      </c>
      <c r="CB204">
        <v>2</v>
      </c>
    </row>
    <row r="205" spans="1:80">
      <c r="A205" s="178" t="str">
        <f ca="1">IFERROR(IF(A204+加速!$L$11&lt;$AS$1,IF(COUNTIF(B204,"*轻*")&gt;0,A204+加速!$L$9,A204+加速!$L$11)+V204,IF(COUNTIF(INDEX(AU205:CB205,1,$AT$1),"*云景*")+COUNTIF(INDEX(AU205:CB205,1,$AT$1),"*鹤归*")+COUNTIF(INDEX(AU205:CB205,1,$AT$1),"*听雷*")&gt;0,A204+加速!$L$11,"")),"")</f>
        <v/>
      </c>
      <c r="B205" s="167" t="str">
        <f ca="1">IF(A205&lt;&gt;"",IF(AND(A205+加速!$L$11&gt;$AS$1,IF(AND(配装计算器!$K$30&lt;&gt;"∞",0),"梦泉虎跑-轻",INDEX(AU205:CB205,1,$AT$1))="云栖松"),"夕照雷峰",IF(AND(配装计算器!$K$30&lt;&gt;"∞",0),"梦泉虎跑-轻",INDEX(AU205:CB205,1,$AT$1))),"")</f>
        <v/>
      </c>
      <c r="C205" t="str">
        <f ca="1" t="shared" si="49"/>
        <v/>
      </c>
      <c r="D205" t="str">
        <f ca="1">IF(B205&lt;&gt;"",IF(C204&lt;=加速!$L$11*(1-E205),0,1),"")</f>
        <v/>
      </c>
      <c r="E205">
        <f ca="1" t="shared" si="45"/>
        <v>1</v>
      </c>
      <c r="G205" t="str">
        <f ca="1" t="shared" si="46"/>
        <v/>
      </c>
      <c r="H205" t="str">
        <f ca="1">IF(B205&lt;&gt;"",IF(AND(COUNTIF(B204,"*轻*莺鸣柳*")&gt;0,COUNTIF(B205,"*轻*")&lt;1),MAX(0,15+I204-(A205-A204)+COUNTIF(B204,"*平湖*")*0),IF(AND(E205=0,MAX(0,H204-(A205-A204))&lt;=加速!$H$11),0,MAX(0,H204-(A205-A204)))),"")</f>
        <v/>
      </c>
      <c r="I205" t="str">
        <f ca="1" t="shared" si="52"/>
        <v/>
      </c>
      <c r="J205" t="str">
        <f ca="1" t="shared" si="53"/>
        <v/>
      </c>
      <c r="K205" t="str">
        <f ca="1">IF(A205&lt;&gt;"",IF(AND(配装计算器!$K$30&lt;&gt;"∞",0),2,INDEX(AU205:CB205,1,$AT$2)),"")</f>
        <v/>
      </c>
      <c r="L205">
        <f ca="1">IFERROR(IF(AND(COUNTIF(B205,"*-峰插*"),技能数据库!$M$72&gt;0),0,IF(COUNTIF(B205,"*鹤归*")&gt;0,16-加速!$L$11,MAX(0,L204-(A205-A204)))),0)</f>
        <v>0</v>
      </c>
      <c r="M205">
        <f ca="1">IF(COUNTIF(IF(AND(配装计算器!$K$30&lt;&gt;"∞",0),INDEX(AU204:CB204,1,$AT$1),INDEX(AU206:CB206,1,$AT$1)),"*鹤归*")=1,L205,0)</f>
        <v>0</v>
      </c>
      <c r="N205">
        <f ca="1">IFERROR(IF(AND(COUNTIF(B205,"*-峰插*"),技能数据库!$M$72&gt;0),0,IF(COUNTIF(B205,"*云飞*")&gt;0,4-COUNTIF(B205,"*玉山揽云*")*4--COUNTIF(B205,"*烟流暮景*")*4-COUNTIF(B205,"*云景*")*加速!$L$11-IF(J205&gt;0,2,0),MAX(0,N204-(A205-A204)-IF(J205&gt;0,2,0)))),0)</f>
        <v>0</v>
      </c>
      <c r="O205">
        <f ca="1">IF(AND(COUNTIF(IF(AND(配装计算器!$K$30&lt;&gt;"∞",0),INDEX(AU204:CB204,1,$AT$1),INDEX(AU206:CB206,1,$AT$1)),"*云飞*")=1,COUNTIF(IF(AND(配装计算器!$K$30&lt;&gt;"∞",0),INDEX(AU204:CB204,1,$AT$1),INDEX(AU206:CB206,1,$AT$1)),"*玉山*")=0),N205,0)</f>
        <v>0</v>
      </c>
      <c r="P205">
        <f ca="1">IFERROR(IF(COUNTIF(B205,"*云栖松*")&gt;0,50-加速!$L$11,MAX(0,P204-(A205-A204))),0)</f>
        <v>0</v>
      </c>
      <c r="Q205">
        <f ca="1">IF(COUNTIF(IF(AND(配装计算器!$K$30&lt;&gt;"∞",0),INDEX(AU204:CB204,1,$AT$1),INDEX(AU206:CB206,1,$AT$1)),"*云栖松*")=1,P205,0)</f>
        <v>0</v>
      </c>
      <c r="R205">
        <f ca="1">IFERROR(IF(COUNTIF(B205,"*莺鸣柳*")&gt;0,45-加速!$L$9,MAX(0,R204-(A205-A204))),0)</f>
        <v>0</v>
      </c>
      <c r="S205">
        <f ca="1">IF(COUNTIF(IF(AND(配装计算器!$K$30&lt;&gt;"∞",0),INDEX(AU204:CB204,1,$AT$1),INDEX(AU206:CB206,1,$AT$1)),"*莺鸣柳*")=1,R205,0)</f>
        <v>0</v>
      </c>
      <c r="T205">
        <f ca="1" t="shared" si="50"/>
        <v>0</v>
      </c>
      <c r="U205">
        <f ca="1">IF(金蛇,IF(COUNTIF(B205,"*金环戴*")+COUNTIF(B205,"*吹风醒*")&gt;0,IF(A205&lt;=3,7.125-2.625-A205-加速!$L$11,7.125+加速!$K$9-(A205+加速!$L$11-T205)),0),0)+IF(金蛇,IF(COUNTIF(B205,"*千切子裂光*")&gt;0,2+加速!$K$9-(A205+加速!$L$11-T205),0),0)</f>
        <v>0</v>
      </c>
      <c r="V205">
        <f ca="1" t="shared" si="51"/>
        <v>0</v>
      </c>
      <c r="W205">
        <f ca="1" t="shared" si="43"/>
        <v>0</v>
      </c>
      <c r="X205">
        <f ca="1">INDEX(加速!$I$13:$I$21,技能数计算!W205+1)</f>
        <v>0</v>
      </c>
      <c r="Y205">
        <f ca="1" t="shared" si="47"/>
        <v>0.5</v>
      </c>
      <c r="Z205">
        <f ca="1" t="shared" si="48"/>
        <v>0</v>
      </c>
      <c r="AA205">
        <f ca="1">MAX(0,IFERROR(IF(COUNTIF(B205,"*叠*")&gt;0,IF(AC204&lt;3,8-A206+A205,AA204+6.875-A206+A205),AA204-A206+A205),AA204-加速!$L$11))</f>
        <v>0</v>
      </c>
      <c r="AB205" t="e">
        <f ca="1">MAX(0,IF(COUNTIF(IF(AND(配装计算器!$K$30&lt;&gt;"∞",0),INDEX(AU205:CB205,1,$AT$1),INDEX(AU205:CB205,1,$AT$1)),"*叠1*")=1,4*25-加速!$L$11,AB204-A205+A204)-IF(OR(COUNTIF(OFFSET(AT205,0,$AT$1,1,1),"*听雷*")&gt;0,AND(碧归&gt;0,COUNTIF(OFFSET(AT205,0,$AT$1,1,1),"*风来*")&gt;0)),0,1)*1.5)</f>
        <v>#VALUE!</v>
      </c>
      <c r="AC205">
        <f ca="1" t="shared" si="44"/>
        <v>3</v>
      </c>
      <c r="AD205">
        <f ca="1">IF(COUNTIF(IF(AND(配装计算器!$K$30&lt;&gt;"∞",0),INDEX(AU205:CB205,1,$AT$1),INDEX(AU206:CB206,1,$AT$1)),"*叠1*")=1,AB205*0+AE204,0)</f>
        <v>0</v>
      </c>
      <c r="AE205" t="e">
        <f ca="1">IF($AN$11&gt;0,IF(COUNTIF(B206,"*叠1*")&gt;0,50-加速!$H$11,MAX(0,AE204-(A206-A205))),0)</f>
        <v>#VALUE!</v>
      </c>
      <c r="AH205" t="s">
        <v>1825</v>
      </c>
      <c r="AI205" s="161" t="s">
        <v>2859</v>
      </c>
      <c r="AJ205">
        <f ca="1">循环比*COUNTIFS($B$3:$B$515,"*皇*"&amp;AI205&amp;"*",$D$3:$D$515,"&gt;0",$AC$3:$AC$515,2)*2/3</f>
        <v>0</v>
      </c>
      <c r="AK205" t="s">
        <v>3109</v>
      </c>
      <c r="AU205" t="str">
        <f>IF($AN$11=1,"云飞玉皇-玉山揽云","夕照雷峰")</f>
        <v>云飞玉皇-玉山揽云</v>
      </c>
      <c r="AV205">
        <v>2</v>
      </c>
      <c r="AW205" t="s">
        <v>2768</v>
      </c>
      <c r="AX205">
        <v>2</v>
      </c>
      <c r="AY205" t="s">
        <v>2776</v>
      </c>
      <c r="AZ205">
        <v>2</v>
      </c>
      <c r="BA205" t="s">
        <v>2768</v>
      </c>
      <c r="BB205">
        <v>2</v>
      </c>
      <c r="BC205" s="176" t="s">
        <v>3026</v>
      </c>
      <c r="BD205">
        <v>2</v>
      </c>
      <c r="BE205" t="s">
        <v>2768</v>
      </c>
      <c r="BF205">
        <v>2</v>
      </c>
      <c r="BG205" t="s">
        <v>2776</v>
      </c>
      <c r="BH205">
        <v>2</v>
      </c>
      <c r="BI205" t="s">
        <v>2768</v>
      </c>
      <c r="BJ205">
        <v>2</v>
      </c>
      <c r="BK205" s="176" t="s">
        <v>2776</v>
      </c>
      <c r="BL205">
        <v>2</v>
      </c>
      <c r="BM205" s="176" t="s">
        <v>2850</v>
      </c>
      <c r="BN205">
        <f>IF(0,2,0)</f>
        <v>0</v>
      </c>
      <c r="BO205" s="176" t="str">
        <f>IF(秋,"云飞玉皇-蛇牙锥心","云飞玉皇-血毒金蛇锥")</f>
        <v>云飞玉皇-血毒金蛇锥</v>
      </c>
      <c r="BP205">
        <v>2</v>
      </c>
      <c r="BQ205" t="s">
        <v>2768</v>
      </c>
      <c r="BR205">
        <v>2</v>
      </c>
      <c r="BS205" s="182" t="s">
        <v>2768</v>
      </c>
      <c r="BT205">
        <v>2</v>
      </c>
      <c r="BU205" t="s">
        <v>2768</v>
      </c>
      <c r="BV205">
        <v>2</v>
      </c>
      <c r="BW205" s="179" t="s">
        <v>2768</v>
      </c>
      <c r="BX205" s="179">
        <v>2</v>
      </c>
      <c r="BY205" s="176" t="s">
        <v>2850</v>
      </c>
      <c r="BZ205">
        <f>IF(0,2,0)</f>
        <v>0</v>
      </c>
      <c r="CA205" t="str">
        <f>IF(0,"云飞玉皇","夕照雷峰")</f>
        <v>夕照雷峰</v>
      </c>
      <c r="CB205">
        <f>IF(0,2,2)</f>
        <v>2</v>
      </c>
    </row>
    <row r="206" spans="1:80">
      <c r="A206" s="178" t="str">
        <f ca="1">IFERROR(IF(A205+加速!$L$11&lt;$AS$1,IF(COUNTIF(B205,"*轻*")&gt;0,A205+加速!$L$9,A205+加速!$L$11)+V205,IF(COUNTIF(INDEX(AU206:CB206,1,$AT$1),"*云景*")+COUNTIF(INDEX(AU206:CB206,1,$AT$1),"*鹤归*")+COUNTIF(INDEX(AU206:CB206,1,$AT$1),"*听雷*")&gt;0,A205+加速!$L$11,"")),"")</f>
        <v/>
      </c>
      <c r="B206" s="167" t="str">
        <f ca="1">IF(A206&lt;&gt;"",IF(AND(A206+加速!$L$11&gt;$AS$1,IF(AND(配装计算器!$K$30&lt;&gt;"∞",0),"梦泉虎跑-轻",INDEX(AU206:CB206,1,$AT$1))="云栖松"),"夕照雷峰",IF(AND(配装计算器!$K$30&lt;&gt;"∞",0),"梦泉虎跑-轻",INDEX(AU206:CB206,1,$AT$1))),"")</f>
        <v/>
      </c>
      <c r="C206" t="str">
        <f ca="1" t="shared" si="49"/>
        <v/>
      </c>
      <c r="D206" t="str">
        <f ca="1">IF(B206&lt;&gt;"",IF(C205&lt;=加速!$L$11*(1-E206),0,1),"")</f>
        <v/>
      </c>
      <c r="E206">
        <f ca="1" t="shared" si="45"/>
        <v>1</v>
      </c>
      <c r="G206" t="str">
        <f ca="1" t="shared" si="46"/>
        <v/>
      </c>
      <c r="H206" t="str">
        <f ca="1">IF(B206&lt;&gt;"",IF(AND(COUNTIF(B205,"*轻*莺鸣柳*")&gt;0,COUNTIF(B206,"*轻*")&lt;1),MAX(0,15+I205-(A206-A205)+COUNTIF(B205,"*平湖*")*0),IF(AND(E206=0,MAX(0,H205-(A206-A205))&lt;=加速!$H$11),0,MAX(0,H205-(A206-A205)))),"")</f>
        <v/>
      </c>
      <c r="I206" t="str">
        <f ca="1" t="shared" si="52"/>
        <v/>
      </c>
      <c r="J206" t="str">
        <f ca="1" t="shared" si="53"/>
        <v/>
      </c>
      <c r="K206" t="str">
        <f ca="1">IF(A206&lt;&gt;"",IF(AND(配装计算器!$K$30&lt;&gt;"∞",0),2,INDEX(AU206:CB206,1,$AT$2)),"")</f>
        <v/>
      </c>
      <c r="L206">
        <f ca="1">IFERROR(IF(AND(COUNTIF(B206,"*-峰插*"),技能数据库!$M$72&gt;0),0,IF(COUNTIF(B206,"*鹤归*")&gt;0,16-加速!$L$11,MAX(0,L205-(A206-A205)))),0)</f>
        <v>0</v>
      </c>
      <c r="M206">
        <f ca="1">IF(COUNTIF(IF(AND(配装计算器!$K$30&lt;&gt;"∞",0),INDEX(AU205:CB205,1,$AT$1),INDEX(AU207:CB207,1,$AT$1)),"*鹤归*")=1,L206,0)</f>
        <v>0</v>
      </c>
      <c r="N206">
        <f ca="1">IFERROR(IF(AND(COUNTIF(B206,"*-峰插*"),技能数据库!$M$72&gt;0),0,IF(COUNTIF(B206,"*云飞*")&gt;0,4-COUNTIF(B206,"*玉山揽云*")*4--COUNTIF(B206,"*烟流暮景*")*4-COUNTIF(B206,"*云景*")*加速!$L$11-IF(J206&gt;0,2,0),MAX(0,N205-(A206-A205)-IF(J206&gt;0,2,0)))),0)</f>
        <v>0</v>
      </c>
      <c r="O206">
        <f ca="1">IF(AND(COUNTIF(IF(AND(配装计算器!$K$30&lt;&gt;"∞",0),INDEX(AU205:CB205,1,$AT$1),INDEX(AU207:CB207,1,$AT$1)),"*云飞*")=1,COUNTIF(IF(AND(配装计算器!$K$30&lt;&gt;"∞",0),INDEX(AU205:CB205,1,$AT$1),INDEX(AU207:CB207,1,$AT$1)),"*玉山*")=0),N206,0)</f>
        <v>0</v>
      </c>
      <c r="P206">
        <f ca="1">IFERROR(IF(COUNTIF(B206,"*云栖松*")&gt;0,50-加速!$L$11,MAX(0,P205-(A206-A205))),0)</f>
        <v>0</v>
      </c>
      <c r="Q206">
        <f ca="1">IF(COUNTIF(IF(AND(配装计算器!$K$30&lt;&gt;"∞",0),INDEX(AU205:CB205,1,$AT$1),INDEX(AU207:CB207,1,$AT$1)),"*云栖松*")=1,P206,0)</f>
        <v>0</v>
      </c>
      <c r="R206">
        <f ca="1">IFERROR(IF(COUNTIF(B206,"*莺鸣柳*")&gt;0,45-加速!$L$9,MAX(0,R205-(A206-A205))),0)</f>
        <v>0</v>
      </c>
      <c r="S206">
        <f ca="1">IF(COUNTIF(IF(AND(配装计算器!$K$30&lt;&gt;"∞",0),INDEX(AU205:CB205,1,$AT$1),INDEX(AU207:CB207,1,$AT$1)),"*莺鸣柳*")=1,R206,0)</f>
        <v>0</v>
      </c>
      <c r="T206">
        <f ca="1" t="shared" si="50"/>
        <v>0</v>
      </c>
      <c r="U206">
        <f ca="1">IF(金蛇,IF(COUNTIF(B206,"*金环戴*")+COUNTIF(B206,"*吹风醒*")&gt;0,IF(A206&lt;=3,7.125-2.625-A206-加速!$L$11,7.125+加速!$K$9-(A206+加速!$L$11-T206)),0),0)+IF(金蛇,IF(COUNTIF(B206,"*千切子裂光*")&gt;0,2+加速!$K$9-(A206+加速!$L$11-T206),0),0)</f>
        <v>0</v>
      </c>
      <c r="V206">
        <f ca="1" t="shared" si="51"/>
        <v>0</v>
      </c>
      <c r="W206">
        <f ca="1" t="shared" si="43"/>
        <v>0</v>
      </c>
      <c r="X206">
        <f ca="1">INDEX(加速!$I$13:$I$21,技能数计算!W206+1)</f>
        <v>0</v>
      </c>
      <c r="Y206">
        <f ca="1" t="shared" si="47"/>
        <v>0.5</v>
      </c>
      <c r="Z206">
        <f ca="1" t="shared" si="48"/>
        <v>0</v>
      </c>
      <c r="AA206">
        <f ca="1">MAX(0,IFERROR(IF(COUNTIF(B206,"*叠*")&gt;0,IF(AC205&lt;3,8-A207+A206,AA205+6.875-A207+A206),AA205-A207+A206),AA205-加速!$L$11))</f>
        <v>0</v>
      </c>
      <c r="AB206" t="e">
        <f ca="1">MAX(0,IF(COUNTIF(IF(AND(配装计算器!$K$30&lt;&gt;"∞",0),INDEX(AU206:CB206,1,$AT$1),INDEX(AU206:CB206,1,$AT$1)),"*叠1*")=1,4*25-加速!$L$11,AB205-A206+A205)-IF(OR(COUNTIF(OFFSET(AT206,0,$AT$1,1,1),"*听雷*")&gt;0,AND(碧归&gt;0,COUNTIF(OFFSET(AT206,0,$AT$1,1,1),"*风来*")&gt;0)),0,1)*1.5)</f>
        <v>#VALUE!</v>
      </c>
      <c r="AC206">
        <f ca="1" t="shared" si="44"/>
        <v>3</v>
      </c>
      <c r="AD206">
        <f ca="1">IF(COUNTIF(IF(AND(配装计算器!$K$30&lt;&gt;"∞",0),INDEX(AU206:CB206,1,$AT$1),INDEX(AU207:CB207,1,$AT$1)),"*叠1*")=1,AB206*0+AE205,0)</f>
        <v>0</v>
      </c>
      <c r="AE206" t="e">
        <f ca="1">IF($AN$11&gt;0,IF(COUNTIF(B207,"*叠1*")&gt;0,50-加速!$H$11,MAX(0,AE205-(A207-A206))),0)</f>
        <v>#VALUE!</v>
      </c>
      <c r="AH206" t="s">
        <v>1825</v>
      </c>
      <c r="AI206" s="161" t="s">
        <v>2861</v>
      </c>
      <c r="AJ206">
        <f ca="1">SUM(AJ204:AJ205)</f>
        <v>0</v>
      </c>
      <c r="AK206" t="s">
        <v>3109</v>
      </c>
      <c r="AU206" t="str">
        <f>IF($AN$11=1,"云飞玉皇-玉山揽云","云飞玉皇")</f>
        <v>云飞玉皇-玉山揽云</v>
      </c>
      <c r="AV206">
        <v>2</v>
      </c>
      <c r="AW206" t="s">
        <v>2722</v>
      </c>
      <c r="AX206">
        <v>0</v>
      </c>
      <c r="AY206" t="s">
        <v>2768</v>
      </c>
      <c r="AZ206">
        <v>2</v>
      </c>
      <c r="BA206" t="s">
        <v>2776</v>
      </c>
      <c r="BB206">
        <v>2</v>
      </c>
      <c r="BC206" s="176" t="s">
        <v>3026</v>
      </c>
      <c r="BD206">
        <v>2</v>
      </c>
      <c r="BE206" t="s">
        <v>3023</v>
      </c>
      <c r="BF206">
        <v>2</v>
      </c>
      <c r="BG206" t="s">
        <v>2768</v>
      </c>
      <c r="BH206">
        <v>2</v>
      </c>
      <c r="BI206" t="s">
        <v>2776</v>
      </c>
      <c r="BJ206">
        <v>2</v>
      </c>
      <c r="BK206" t="s">
        <v>2768</v>
      </c>
      <c r="BL206">
        <v>1</v>
      </c>
      <c r="BM206" s="176" t="str">
        <f>IF(秋,"金环戴","吹风醒")</f>
        <v>吹风醒</v>
      </c>
      <c r="BN206">
        <v>2</v>
      </c>
      <c r="BO206" t="s">
        <v>2768</v>
      </c>
      <c r="BP206">
        <v>2</v>
      </c>
      <c r="BQ206" t="s">
        <v>2768</v>
      </c>
      <c r="BR206">
        <v>2</v>
      </c>
      <c r="BS206" s="182" t="s">
        <v>3085</v>
      </c>
      <c r="BT206">
        <v>2</v>
      </c>
      <c r="BU206" t="s">
        <v>2808</v>
      </c>
      <c r="BV206">
        <v>2</v>
      </c>
      <c r="BW206" s="179" t="s">
        <v>2776</v>
      </c>
      <c r="BX206" s="179">
        <v>2</v>
      </c>
      <c r="BY206" s="176" t="str">
        <f>IF(秋,"金环戴","吹风醒")</f>
        <v>吹风醒</v>
      </c>
      <c r="BZ206">
        <v>2</v>
      </c>
      <c r="CA206" t="str">
        <f>IF(0,"云飞玉皇","夕照雷峰")</f>
        <v>夕照雷峰</v>
      </c>
      <c r="CB206">
        <v>2</v>
      </c>
    </row>
    <row r="207" spans="1:80">
      <c r="A207" s="178" t="str">
        <f ca="1">IFERROR(IF(A206+加速!$L$11&lt;$AS$1,IF(COUNTIF(B206,"*轻*")&gt;0,A206+加速!$L$9,A206+加速!$L$11)+V206,IF(COUNTIF(INDEX(AU207:CB207,1,$AT$1),"*云景*")+COUNTIF(INDEX(AU207:CB207,1,$AT$1),"*鹤归*")+COUNTIF(INDEX(AU207:CB207,1,$AT$1),"*听雷*")&gt;0,A206+加速!$L$11,"")),"")</f>
        <v/>
      </c>
      <c r="B207" s="167" t="str">
        <f ca="1">IF(A207&lt;&gt;"",IF(AND(A207+加速!$L$11&gt;$AS$1,IF(AND(配装计算器!$K$30&lt;&gt;"∞",0),"梦泉虎跑-轻",INDEX(AU207:CB207,1,$AT$1))="云栖松"),"夕照雷峰",IF(AND(配装计算器!$K$30&lt;&gt;"∞",0),"梦泉虎跑-轻",INDEX(AU207:CB207,1,$AT$1))),"")</f>
        <v/>
      </c>
      <c r="C207" t="str">
        <f ca="1" t="shared" si="49"/>
        <v/>
      </c>
      <c r="D207" t="str">
        <f ca="1">IF(B207&lt;&gt;"",IF(C206&lt;=加速!$L$11*(1-E207),0,1),"")</f>
        <v/>
      </c>
      <c r="E207">
        <f ca="1" t="shared" si="45"/>
        <v>1</v>
      </c>
      <c r="G207" t="str">
        <f ca="1" t="shared" si="46"/>
        <v/>
      </c>
      <c r="H207" t="str">
        <f ca="1">IF(B207&lt;&gt;"",IF(AND(COUNTIF(B206,"*轻*莺鸣柳*")&gt;0,COUNTIF(B207,"*轻*")&lt;1),MAX(0,15+I206-(A207-A206)+COUNTIF(B206,"*平湖*")*0),IF(AND(E207=0,MAX(0,H206-(A207-A206))&lt;=加速!$H$11),0,MAX(0,H206-(A207-A206)))),"")</f>
        <v/>
      </c>
      <c r="I207" t="str">
        <f ca="1" t="shared" si="52"/>
        <v/>
      </c>
      <c r="J207" t="str">
        <f ca="1" t="shared" si="53"/>
        <v/>
      </c>
      <c r="K207" t="str">
        <f ca="1">IF(A207&lt;&gt;"",IF(AND(配装计算器!$K$30&lt;&gt;"∞",0),2,INDEX(AU207:CB207,1,$AT$2)),"")</f>
        <v/>
      </c>
      <c r="L207">
        <f ca="1">IFERROR(IF(AND(COUNTIF(B207,"*-峰插*"),技能数据库!$M$72&gt;0),0,IF(COUNTIF(B207,"*鹤归*")&gt;0,16-加速!$L$11,MAX(0,L206-(A207-A206)))),0)</f>
        <v>0</v>
      </c>
      <c r="M207">
        <f ca="1">IF(COUNTIF(IF(AND(配装计算器!$K$30&lt;&gt;"∞",0),INDEX(AU206:CB206,1,$AT$1),INDEX(AU208:CB208,1,$AT$1)),"*鹤归*")=1,L207,0)</f>
        <v>0</v>
      </c>
      <c r="N207">
        <f ca="1">IFERROR(IF(AND(COUNTIF(B207,"*-峰插*"),技能数据库!$M$72&gt;0),0,IF(COUNTIF(B207,"*云飞*")&gt;0,4-COUNTIF(B207,"*玉山揽云*")*4--COUNTIF(B207,"*烟流暮景*")*4-COUNTIF(B207,"*云景*")*加速!$L$11-IF(J207&gt;0,2,0),MAX(0,N206-(A207-A206)-IF(J207&gt;0,2,0)))),0)</f>
        <v>0</v>
      </c>
      <c r="O207">
        <f ca="1">IF(AND(COUNTIF(IF(AND(配装计算器!$K$30&lt;&gt;"∞",0),INDEX(AU206:CB206,1,$AT$1),INDEX(AU208:CB208,1,$AT$1)),"*云飞*")=1,COUNTIF(IF(AND(配装计算器!$K$30&lt;&gt;"∞",0),INDEX(AU206:CB206,1,$AT$1),INDEX(AU208:CB208,1,$AT$1)),"*玉山*")=0),N207,0)</f>
        <v>0</v>
      </c>
      <c r="P207">
        <f ca="1">IFERROR(IF(COUNTIF(B207,"*云栖松*")&gt;0,50-加速!$L$11,MAX(0,P206-(A207-A206))),0)</f>
        <v>0</v>
      </c>
      <c r="Q207">
        <f ca="1">IF(COUNTIF(IF(AND(配装计算器!$K$30&lt;&gt;"∞",0),INDEX(AU206:CB206,1,$AT$1),INDEX(AU208:CB208,1,$AT$1)),"*云栖松*")=1,P207,0)</f>
        <v>0</v>
      </c>
      <c r="R207">
        <f ca="1">IFERROR(IF(COUNTIF(B207,"*莺鸣柳*")&gt;0,45-加速!$L$9,MAX(0,R206-(A207-A206))),0)</f>
        <v>0</v>
      </c>
      <c r="S207">
        <f ca="1">IF(COUNTIF(IF(AND(配装计算器!$K$30&lt;&gt;"∞",0),INDEX(AU206:CB206,1,$AT$1),INDEX(AU208:CB208,1,$AT$1)),"*莺鸣柳*")=1,R207,0)</f>
        <v>0</v>
      </c>
      <c r="T207">
        <f ca="1" t="shared" si="50"/>
        <v>0</v>
      </c>
      <c r="U207">
        <f ca="1">IF(金蛇,IF(COUNTIF(B207,"*金环戴*")+COUNTIF(B207,"*吹风醒*")&gt;0,IF(A207&lt;=3,7.125-2.625-A207-加速!$L$11,7.125+加速!$K$9-(A207+加速!$L$11-T207)),0),0)+IF(金蛇,IF(COUNTIF(B207,"*千切子裂光*")&gt;0,2+加速!$K$9-(A207+加速!$L$11-T207),0),0)</f>
        <v>0</v>
      </c>
      <c r="V207">
        <f ca="1" t="shared" si="51"/>
        <v>0</v>
      </c>
      <c r="W207">
        <f ca="1" t="shared" si="43"/>
        <v>0</v>
      </c>
      <c r="X207">
        <f ca="1">INDEX(加速!$I$13:$I$21,技能数计算!W207+1)</f>
        <v>0</v>
      </c>
      <c r="Y207">
        <f ca="1" t="shared" si="47"/>
        <v>0.5</v>
      </c>
      <c r="Z207">
        <f ca="1" t="shared" si="48"/>
        <v>0</v>
      </c>
      <c r="AA207">
        <f ca="1">MAX(0,IFERROR(IF(COUNTIF(B207,"*叠*")&gt;0,IF(AC206&lt;3,8-A208+A207,AA206+6.875-A208+A207),AA206-A208+A207),AA206-加速!$L$11))</f>
        <v>0</v>
      </c>
      <c r="AB207" t="e">
        <f ca="1">MAX(0,IF(COUNTIF(IF(AND(配装计算器!$K$30&lt;&gt;"∞",0),INDEX(AU207:CB207,1,$AT$1),INDEX(AU207:CB207,1,$AT$1)),"*叠1*")=1,4*25-加速!$L$11,AB206-A207+A206)-IF(OR(COUNTIF(OFFSET(AT207,0,$AT$1,1,1),"*听雷*")&gt;0,AND(碧归&gt;0,COUNTIF(OFFSET(AT207,0,$AT$1,1,1),"*风来*")&gt;0)),0,1)*1.5)</f>
        <v>#VALUE!</v>
      </c>
      <c r="AC207">
        <f ca="1" t="shared" si="44"/>
        <v>3</v>
      </c>
      <c r="AD207">
        <f ca="1">IF(COUNTIF(IF(AND(配装计算器!$K$30&lt;&gt;"∞",0),INDEX(AU207:CB207,1,$AT$1),INDEX(AU208:CB208,1,$AT$1)),"*叠1*")=1,AB207*0+AE206,0)</f>
        <v>0</v>
      </c>
      <c r="AE207" t="e">
        <f ca="1">IF($AN$11&gt;0,IF(COUNTIF(B208,"*叠1*")&gt;0,50-加速!$H$11,MAX(0,AE206-(A208-A207))),0)</f>
        <v>#VALUE!</v>
      </c>
      <c r="AH207" t="s">
        <v>1028</v>
      </c>
      <c r="AI207" t="s">
        <v>2726</v>
      </c>
      <c r="AJ207">
        <f ca="1">循环比*(COUNTIFS($B$3:$B$515,"*莺鸣柳*",$D$3:$D$515,"&gt;0",$I$3:$I$515,"=0")+COUNTIFS($B$3:$B$515,"*黄龙吐翠*",$D$3:$D$515,"&gt;0",$I$3:$I$515,"=0",$AC$3:$AC$515,"=1"))</f>
        <v>0</v>
      </c>
      <c r="AK207" t="s">
        <v>3108</v>
      </c>
      <c r="AU207" t="str">
        <f>IF($AN$11=1,"云飞玉皇-玉山揽云","夕照雷峰")</f>
        <v>云飞玉皇-玉山揽云</v>
      </c>
      <c r="AV207">
        <v>2</v>
      </c>
      <c r="AW207" t="s">
        <v>3009</v>
      </c>
      <c r="AX207">
        <v>2</v>
      </c>
      <c r="AY207" t="s">
        <v>2776</v>
      </c>
      <c r="AZ207">
        <v>2</v>
      </c>
      <c r="BA207" t="s">
        <v>2768</v>
      </c>
      <c r="BB207">
        <v>2</v>
      </c>
      <c r="BC207" t="s">
        <v>3013</v>
      </c>
      <c r="BD207">
        <v>2</v>
      </c>
      <c r="BE207" s="182" t="s">
        <v>2768</v>
      </c>
      <c r="BF207">
        <v>2</v>
      </c>
      <c r="BG207" t="s">
        <v>2776</v>
      </c>
      <c r="BH207">
        <v>2</v>
      </c>
      <c r="BI207" t="s">
        <v>2768</v>
      </c>
      <c r="BJ207">
        <v>2</v>
      </c>
      <c r="BK207" s="176" t="s">
        <v>2768</v>
      </c>
      <c r="BL207">
        <v>1</v>
      </c>
      <c r="BM207" t="str">
        <f>IF(秋,"夕照雷峰","云飞玉皇")</f>
        <v>云飞玉皇</v>
      </c>
      <c r="BN207">
        <v>2</v>
      </c>
      <c r="BO207" s="180" t="s">
        <v>2789</v>
      </c>
      <c r="BP207">
        <v>2</v>
      </c>
      <c r="BQ207" t="s">
        <v>2776</v>
      </c>
      <c r="BR207">
        <v>1</v>
      </c>
      <c r="BS207" s="182" t="s">
        <v>3084</v>
      </c>
      <c r="BT207">
        <v>2</v>
      </c>
      <c r="BU207" t="s">
        <v>2768</v>
      </c>
      <c r="BV207">
        <v>2</v>
      </c>
      <c r="BW207" s="179" t="s">
        <v>2768</v>
      </c>
      <c r="BX207" s="179">
        <v>2</v>
      </c>
      <c r="BY207" t="str">
        <f>IF(秋,"夕照雷峰","云飞玉皇")</f>
        <v>云飞玉皇</v>
      </c>
      <c r="BZ207">
        <v>2</v>
      </c>
      <c r="CA207" s="176" t="str">
        <f>IF(秋,"夕照雷峰","云飞玉皇")</f>
        <v>云飞玉皇</v>
      </c>
      <c r="CB207">
        <v>2</v>
      </c>
    </row>
    <row r="208" spans="1:80">
      <c r="A208" s="178" t="str">
        <f ca="1">IFERROR(IF(A207+加速!$L$11&lt;$AS$1,IF(COUNTIF(B207,"*轻*")&gt;0,A207+加速!$L$9,A207+加速!$L$11)+V207,IF(COUNTIF(INDEX(AU208:CB208,1,$AT$1),"*云景*")+COUNTIF(INDEX(AU208:CB208,1,$AT$1),"*鹤归*")+COUNTIF(INDEX(AU208:CB208,1,$AT$1),"*听雷*")&gt;0,A207+加速!$L$11,"")),"")</f>
        <v/>
      </c>
      <c r="B208" s="167" t="str">
        <f ca="1">IF(A208&lt;&gt;"",IF(AND(A208+加速!$L$11&gt;$AS$1,IF(AND(配装计算器!$K$30&lt;&gt;"∞",0),"梦泉虎跑-轻",INDEX(AU208:CB208,1,$AT$1))="云栖松"),"夕照雷峰",IF(AND(配装计算器!$K$30&lt;&gt;"∞",0),"梦泉虎跑-轻",INDEX(AU208:CB208,1,$AT$1))),"")</f>
        <v/>
      </c>
      <c r="C208" t="str">
        <f ca="1" t="shared" si="49"/>
        <v/>
      </c>
      <c r="D208" t="str">
        <f ca="1">IF(B208&lt;&gt;"",IF(C207&lt;=加速!$L$11*(1-E208),0,1),"")</f>
        <v/>
      </c>
      <c r="E208">
        <f ca="1" t="shared" si="45"/>
        <v>1</v>
      </c>
      <c r="G208" t="str">
        <f ca="1" t="shared" si="46"/>
        <v/>
      </c>
      <c r="H208" t="str">
        <f ca="1">IF(B208&lt;&gt;"",IF(AND(COUNTIF(B207,"*轻*莺鸣柳*")&gt;0,COUNTIF(B208,"*轻*")&lt;1),MAX(0,15+I207-(A208-A207)+COUNTIF(B207,"*平湖*")*0),IF(AND(E208=0,MAX(0,H207-(A208-A207))&lt;=加速!$H$11),0,MAX(0,H207-(A208-A207)))),"")</f>
        <v/>
      </c>
      <c r="I208" t="str">
        <f ca="1" t="shared" si="52"/>
        <v/>
      </c>
      <c r="J208" t="str">
        <f ca="1" t="shared" si="53"/>
        <v/>
      </c>
      <c r="K208" t="str">
        <f ca="1">IF(A208&lt;&gt;"",IF(AND(配装计算器!$K$30&lt;&gt;"∞",0),2,INDEX(AU208:CB208,1,$AT$2)),"")</f>
        <v/>
      </c>
      <c r="L208">
        <f ca="1">IFERROR(IF(AND(COUNTIF(B208,"*-峰插*"),技能数据库!$M$72&gt;0),0,IF(COUNTIF(B208,"*鹤归*")&gt;0,16-加速!$L$11,MAX(0,L207-(A208-A207)))),0)</f>
        <v>0</v>
      </c>
      <c r="M208">
        <f ca="1">IF(COUNTIF(IF(AND(配装计算器!$K$30&lt;&gt;"∞",0),INDEX(AU207:CB207,1,$AT$1),INDEX(AU209:CB209,1,$AT$1)),"*鹤归*")=1,L208,0)</f>
        <v>0</v>
      </c>
      <c r="N208">
        <f ca="1">IFERROR(IF(AND(COUNTIF(B208,"*-峰插*"),技能数据库!$M$72&gt;0),0,IF(COUNTIF(B208,"*云飞*")&gt;0,4-COUNTIF(B208,"*玉山揽云*")*4--COUNTIF(B208,"*烟流暮景*")*4-COUNTIF(B208,"*云景*")*加速!$L$11-IF(J208&gt;0,2,0),MAX(0,N207-(A208-A207)-IF(J208&gt;0,2,0)))),0)</f>
        <v>0</v>
      </c>
      <c r="O208">
        <f ca="1">IF(AND(COUNTIF(IF(AND(配装计算器!$K$30&lt;&gt;"∞",0),INDEX(AU207:CB207,1,$AT$1),INDEX(AU209:CB209,1,$AT$1)),"*云飞*")=1,COUNTIF(IF(AND(配装计算器!$K$30&lt;&gt;"∞",0),INDEX(AU207:CB207,1,$AT$1),INDEX(AU209:CB209,1,$AT$1)),"*玉山*")=0),N208,0)</f>
        <v>0</v>
      </c>
      <c r="P208">
        <f ca="1">IFERROR(IF(COUNTIF(B208,"*云栖松*")&gt;0,50-加速!$L$11,MAX(0,P207-(A208-A207))),0)</f>
        <v>0</v>
      </c>
      <c r="Q208">
        <f ca="1">IF(COUNTIF(IF(AND(配装计算器!$K$30&lt;&gt;"∞",0),INDEX(AU207:CB207,1,$AT$1),INDEX(AU209:CB209,1,$AT$1)),"*云栖松*")=1,P208,0)</f>
        <v>0</v>
      </c>
      <c r="R208">
        <f ca="1">IFERROR(IF(COUNTIF(B208,"*莺鸣柳*")&gt;0,45-加速!$L$9,MAX(0,R207-(A208-A207))),0)</f>
        <v>0</v>
      </c>
      <c r="S208">
        <f ca="1">IF(COUNTIF(IF(AND(配装计算器!$K$30&lt;&gt;"∞",0),INDEX(AU207:CB207,1,$AT$1),INDEX(AU209:CB209,1,$AT$1)),"*莺鸣柳*")=1,R208,0)</f>
        <v>0</v>
      </c>
      <c r="T208">
        <f ca="1" t="shared" si="50"/>
        <v>0</v>
      </c>
      <c r="U208">
        <f ca="1">IF(金蛇,IF(COUNTIF(B208,"*金环戴*")+COUNTIF(B208,"*吹风醒*")&gt;0,IF(A208&lt;=3,7.125-2.625-A208-加速!$L$11,7.125+加速!$K$9-(A208+加速!$L$11-T208)),0),0)+IF(金蛇,IF(COUNTIF(B208,"*千切子裂光*")&gt;0,2+加速!$K$9-(A208+加速!$L$11-T208),0),0)</f>
        <v>0</v>
      </c>
      <c r="V208">
        <f ca="1" t="shared" si="51"/>
        <v>0</v>
      </c>
      <c r="W208">
        <f ca="1" t="shared" si="43"/>
        <v>0</v>
      </c>
      <c r="X208">
        <f ca="1">INDEX(加速!$I$13:$I$21,技能数计算!W208+1)</f>
        <v>0</v>
      </c>
      <c r="Y208">
        <f ca="1" t="shared" si="47"/>
        <v>0.5</v>
      </c>
      <c r="Z208">
        <f ca="1" t="shared" si="48"/>
        <v>0</v>
      </c>
      <c r="AA208">
        <f ca="1">MAX(0,IFERROR(IF(COUNTIF(B208,"*叠*")&gt;0,IF(AC207&lt;3,8-A209+A208,AA207+6.875-A209+A208),AA207-A209+A208),AA207-加速!$L$11))</f>
        <v>0</v>
      </c>
      <c r="AB208" t="e">
        <f ca="1">MAX(0,IF(COUNTIF(IF(AND(配装计算器!$K$30&lt;&gt;"∞",0),INDEX(AU208:CB208,1,$AT$1),INDEX(AU208:CB208,1,$AT$1)),"*叠1*")=1,4*25-加速!$L$11,AB207-A208+A207)-IF(OR(COUNTIF(OFFSET(AT208,0,$AT$1,1,1),"*听雷*")&gt;0,AND(碧归&gt;0,COUNTIF(OFFSET(AT208,0,$AT$1,1,1),"*风来*")&gt;0)),0,1)*1.5)</f>
        <v>#VALUE!</v>
      </c>
      <c r="AC208">
        <f ca="1" t="shared" si="44"/>
        <v>3</v>
      </c>
      <c r="AD208">
        <f ca="1">IF(COUNTIF(IF(AND(配装计算器!$K$30&lt;&gt;"∞",0),INDEX(AU208:CB208,1,$AT$1),INDEX(AU209:CB209,1,$AT$1)),"*叠1*")=1,AB208*0+AE207,0)</f>
        <v>0</v>
      </c>
      <c r="AE208" t="e">
        <f ca="1">IF($AN$11&gt;0,IF(COUNTIF(B209,"*叠1*")&gt;0,50-加速!$H$11,MAX(0,AE207-(A209-A208))),0)</f>
        <v>#VALUE!</v>
      </c>
      <c r="AH208" t="s">
        <v>1825</v>
      </c>
      <c r="AI208" t="s">
        <v>2820</v>
      </c>
      <c r="AJ208">
        <f ca="1">$AN$61*AO69</f>
        <v>0</v>
      </c>
      <c r="AK208" t="s">
        <v>2750</v>
      </c>
      <c r="AU208" t="str">
        <f>IF($AN$11=1,橙武补雾锁,"夕照雷峰")</f>
        <v>云飞玉皇-玉山揽云</v>
      </c>
      <c r="AV208">
        <v>2</v>
      </c>
      <c r="AW208" t="s">
        <v>2776</v>
      </c>
      <c r="AX208">
        <v>2</v>
      </c>
      <c r="AY208" t="s">
        <v>2768</v>
      </c>
      <c r="AZ208">
        <v>2</v>
      </c>
      <c r="BA208" t="s">
        <v>2776</v>
      </c>
      <c r="BB208">
        <v>1</v>
      </c>
      <c r="BC208" t="s">
        <v>2808</v>
      </c>
      <c r="BD208">
        <v>2</v>
      </c>
      <c r="BE208" s="176" t="s">
        <v>2768</v>
      </c>
      <c r="BF208">
        <v>2</v>
      </c>
      <c r="BG208" t="s">
        <v>2768</v>
      </c>
      <c r="BH208">
        <v>1</v>
      </c>
      <c r="BI208" t="s">
        <v>2808</v>
      </c>
      <c r="BJ208">
        <v>2</v>
      </c>
      <c r="BK208" s="176" t="s">
        <v>2768</v>
      </c>
      <c r="BL208">
        <v>0</v>
      </c>
      <c r="BM208" s="176" t="str">
        <f>IF(秋,"梦泉虎跑-轻","夕照雷峰")</f>
        <v>夕照雷峰</v>
      </c>
      <c r="BN208">
        <v>2</v>
      </c>
      <c r="BO208" s="176" t="s">
        <v>2794</v>
      </c>
      <c r="BP208">
        <v>2</v>
      </c>
      <c r="BQ208" t="s">
        <v>3055</v>
      </c>
      <c r="BR208">
        <v>2</v>
      </c>
      <c r="BS208" s="176" t="s">
        <v>2768</v>
      </c>
      <c r="BT208">
        <v>2</v>
      </c>
      <c r="BU208" s="176" t="s">
        <v>2768</v>
      </c>
      <c r="BV208">
        <v>2</v>
      </c>
      <c r="BW208" s="179" t="s">
        <v>2768</v>
      </c>
      <c r="BX208" s="179">
        <v>2</v>
      </c>
      <c r="BY208" s="176" t="str">
        <f>IF(秋,"梦泉虎跑-轻","夕照雷峰")</f>
        <v>夕照雷峰</v>
      </c>
      <c r="BZ208">
        <v>2</v>
      </c>
      <c r="CA208" s="176" t="str">
        <f>IF(秋,"梦泉虎跑-轻","夕照雷峰")</f>
        <v>夕照雷峰</v>
      </c>
      <c r="CB208">
        <v>1</v>
      </c>
    </row>
    <row r="209" spans="1:80">
      <c r="A209" s="178" t="str">
        <f ca="1">IFERROR(IF(A208+加速!$L$11&lt;$AS$1,IF(COUNTIF(B208,"*轻*")&gt;0,A208+加速!$L$9,A208+加速!$L$11)+V208,IF(COUNTIF(INDEX(AU209:CB209,1,$AT$1),"*云景*")+COUNTIF(INDEX(AU209:CB209,1,$AT$1),"*鹤归*")+COUNTIF(INDEX(AU209:CB209,1,$AT$1),"*听雷*")&gt;0,A208+加速!$L$11,"")),"")</f>
        <v/>
      </c>
      <c r="B209" s="167" t="str">
        <f ca="1">IF(A209&lt;&gt;"",IF(AND(A209+加速!$L$11&gt;$AS$1,IF(AND(配装计算器!$K$30&lt;&gt;"∞",0),"梦泉虎跑-轻",INDEX(AU209:CB209,1,$AT$1))="云栖松"),"夕照雷峰",IF(AND(配装计算器!$K$30&lt;&gt;"∞",0),"梦泉虎跑-轻",INDEX(AU209:CB209,1,$AT$1))),"")</f>
        <v/>
      </c>
      <c r="C209" t="str">
        <f ca="1" t="shared" si="49"/>
        <v/>
      </c>
      <c r="D209" t="str">
        <f ca="1">IF(B209&lt;&gt;"",IF(C208&lt;=加速!$L$11*(1-E209),0,1),"")</f>
        <v/>
      </c>
      <c r="E209">
        <f ca="1" t="shared" si="45"/>
        <v>1</v>
      </c>
      <c r="G209" t="str">
        <f ca="1" t="shared" si="46"/>
        <v/>
      </c>
      <c r="H209" t="str">
        <f ca="1">IF(B209&lt;&gt;"",IF(AND(COUNTIF(B208,"*轻*莺鸣柳*")&gt;0,COUNTIF(B209,"*轻*")&lt;1),MAX(0,15+I208-(A209-A208)+COUNTIF(B208,"*平湖*")*0),IF(AND(E209=0,MAX(0,H208-(A209-A208))&lt;=加速!$H$11),0,MAX(0,H208-(A209-A208)))),"")</f>
        <v/>
      </c>
      <c r="I209" t="str">
        <f ca="1" t="shared" si="52"/>
        <v/>
      </c>
      <c r="J209" t="str">
        <f ca="1" t="shared" si="53"/>
        <v/>
      </c>
      <c r="K209" t="str">
        <f ca="1">IF(A209&lt;&gt;"",IF(AND(配装计算器!$K$30&lt;&gt;"∞",0),2,INDEX(AU209:CB209,1,$AT$2)),"")</f>
        <v/>
      </c>
      <c r="L209">
        <f ca="1">IFERROR(IF(AND(COUNTIF(B209,"*-峰插*"),技能数据库!$M$72&gt;0),0,IF(COUNTIF(B209,"*鹤归*")&gt;0,16-加速!$L$11,MAX(0,L208-(A209-A208)))),0)</f>
        <v>0</v>
      </c>
      <c r="M209">
        <f ca="1">IF(COUNTIF(IF(AND(配装计算器!$K$30&lt;&gt;"∞",0),INDEX(AU208:CB208,1,$AT$1),INDEX(AU210:CB210,1,$AT$1)),"*鹤归*")=1,L209,0)</f>
        <v>0</v>
      </c>
      <c r="N209">
        <f ca="1">IFERROR(IF(AND(COUNTIF(B209,"*-峰插*"),技能数据库!$M$72&gt;0),0,IF(COUNTIF(B209,"*云飞*")&gt;0,4-COUNTIF(B209,"*玉山揽云*")*4--COUNTIF(B209,"*烟流暮景*")*4-COUNTIF(B209,"*云景*")*加速!$L$11-IF(J209&gt;0,2,0),MAX(0,N208-(A209-A208)-IF(J209&gt;0,2,0)))),0)</f>
        <v>0</v>
      </c>
      <c r="O209">
        <f ca="1">IF(AND(COUNTIF(IF(AND(配装计算器!$K$30&lt;&gt;"∞",0),INDEX(AU208:CB208,1,$AT$1),INDEX(AU210:CB210,1,$AT$1)),"*云飞*")=1,COUNTIF(IF(AND(配装计算器!$K$30&lt;&gt;"∞",0),INDEX(AU208:CB208,1,$AT$1),INDEX(AU210:CB210,1,$AT$1)),"*玉山*")=0),N209,0)</f>
        <v>0</v>
      </c>
      <c r="P209">
        <f ca="1">IFERROR(IF(COUNTIF(B209,"*云栖松*")&gt;0,50-加速!$L$11,MAX(0,P208-(A209-A208))),0)</f>
        <v>0</v>
      </c>
      <c r="Q209">
        <f ca="1">IF(COUNTIF(IF(AND(配装计算器!$K$30&lt;&gt;"∞",0),INDEX(AU208:CB208,1,$AT$1),INDEX(AU210:CB210,1,$AT$1)),"*云栖松*")=1,P209,0)</f>
        <v>0</v>
      </c>
      <c r="R209">
        <f ca="1">IFERROR(IF(COUNTIF(B209,"*莺鸣柳*")&gt;0,45-加速!$L$9,MAX(0,R208-(A209-A208))),0)</f>
        <v>0</v>
      </c>
      <c r="S209">
        <f ca="1">IF(COUNTIF(IF(AND(配装计算器!$K$30&lt;&gt;"∞",0),INDEX(AU208:CB208,1,$AT$1),INDEX(AU210:CB210,1,$AT$1)),"*莺鸣柳*")=1,R209,0)</f>
        <v>0</v>
      </c>
      <c r="T209">
        <f ca="1" t="shared" si="50"/>
        <v>0</v>
      </c>
      <c r="U209">
        <f ca="1">IF(金蛇,IF(COUNTIF(B209,"*金环戴*")+COUNTIF(B209,"*吹风醒*")&gt;0,IF(A209&lt;=3,7.125-2.625-A209-加速!$L$11,7.125+加速!$K$9-(A209+加速!$L$11-T209)),0),0)+IF(金蛇,IF(COUNTIF(B209,"*千切子裂光*")&gt;0,2+加速!$K$9-(A209+加速!$L$11-T209),0),0)</f>
        <v>0</v>
      </c>
      <c r="V209">
        <f ca="1" t="shared" si="51"/>
        <v>0</v>
      </c>
      <c r="W209">
        <f ca="1" t="shared" si="43"/>
        <v>0</v>
      </c>
      <c r="X209">
        <f ca="1">INDEX(加速!$I$13:$I$21,技能数计算!W209+1)</f>
        <v>0</v>
      </c>
      <c r="Y209">
        <f ca="1" t="shared" si="47"/>
        <v>0.5</v>
      </c>
      <c r="Z209">
        <f ca="1" t="shared" si="48"/>
        <v>0</v>
      </c>
      <c r="AA209">
        <f ca="1">MAX(0,IFERROR(IF(COUNTIF(B209,"*叠*")&gt;0,IF(AC208&lt;3,8-A210+A209,AA208+6.875-A210+A209),AA208-A210+A209),AA208-加速!$L$11))</f>
        <v>0</v>
      </c>
      <c r="AB209" t="e">
        <f ca="1">MAX(0,IF(COUNTIF(IF(AND(配装计算器!$K$30&lt;&gt;"∞",0),INDEX(AU209:CB209,1,$AT$1),INDEX(AU209:CB209,1,$AT$1)),"*叠1*")=1,4*25-加速!$L$11,AB208-A209+A208)-IF(OR(COUNTIF(OFFSET(AT209,0,$AT$1,1,1),"*听雷*")&gt;0,AND(碧归&gt;0,COUNTIF(OFFSET(AT209,0,$AT$1,1,1),"*风来*")&gt;0)),0,1)*1.5)</f>
        <v>#VALUE!</v>
      </c>
      <c r="AC209">
        <f ca="1" t="shared" si="44"/>
        <v>3</v>
      </c>
      <c r="AD209">
        <f ca="1">IF(COUNTIF(IF(AND(配装计算器!$K$30&lt;&gt;"∞",0),INDEX(AU209:CB209,1,$AT$1),INDEX(AU210:CB210,1,$AT$1)),"*叠1*")=1,AB209*0+AE208,0)</f>
        <v>0</v>
      </c>
      <c r="AE209" t="e">
        <f ca="1">IF($AN$11&gt;0,IF(COUNTIF(B210,"*叠1*")&gt;0,50-加速!$H$11,MAX(0,AE208-(A210-A209))),0)</f>
        <v>#VALUE!</v>
      </c>
      <c r="AH209" t="s">
        <v>1825</v>
      </c>
      <c r="AI209" t="s">
        <v>2820</v>
      </c>
      <c r="AJ209">
        <f ca="1" t="shared" ref="AJ209:AJ211" si="55">$AN$61*AO70</f>
        <v>0</v>
      </c>
      <c r="AK209" t="s">
        <v>3096</v>
      </c>
      <c r="AU209" t="str">
        <f>IF($AN$11=1,"云飞玉皇-玉山揽云","夕照雷峰")</f>
        <v>云飞玉皇-玉山揽云</v>
      </c>
      <c r="AV209">
        <v>2</v>
      </c>
      <c r="AW209" t="s">
        <v>2768</v>
      </c>
      <c r="AX209">
        <v>2</v>
      </c>
      <c r="AY209" t="s">
        <v>2776</v>
      </c>
      <c r="AZ209">
        <v>1</v>
      </c>
      <c r="BA209" t="s">
        <v>2768</v>
      </c>
      <c r="BB209">
        <v>1</v>
      </c>
      <c r="BC209" t="s">
        <v>2768</v>
      </c>
      <c r="BD209">
        <v>2</v>
      </c>
      <c r="BE209" s="176" t="s">
        <v>2789</v>
      </c>
      <c r="BF209">
        <v>2</v>
      </c>
      <c r="BG209" t="s">
        <v>2776</v>
      </c>
      <c r="BH209">
        <v>1</v>
      </c>
      <c r="BI209" t="s">
        <v>2768</v>
      </c>
      <c r="BJ209">
        <v>2</v>
      </c>
      <c r="BK209" s="176" t="s">
        <v>2776</v>
      </c>
      <c r="BL209">
        <v>0</v>
      </c>
      <c r="BM209" s="176" t="str">
        <f>IF(秋,"九溪弥烟-轻-血毒金蛇锥","梦泉虎跑-轻")</f>
        <v>梦泉虎跑-轻</v>
      </c>
      <c r="BN209">
        <v>0</v>
      </c>
      <c r="BO209" s="176" t="s">
        <v>2776</v>
      </c>
      <c r="BP209">
        <v>2</v>
      </c>
      <c r="BQ209" t="s">
        <v>2768</v>
      </c>
      <c r="BR209">
        <v>2</v>
      </c>
      <c r="BS209" s="176" t="s">
        <v>2768</v>
      </c>
      <c r="BT209">
        <v>2</v>
      </c>
      <c r="BU209" s="176" t="s">
        <v>2776</v>
      </c>
      <c r="BV209">
        <v>2</v>
      </c>
      <c r="BW209" s="182" t="s">
        <v>2794</v>
      </c>
      <c r="BX209" s="179">
        <v>2</v>
      </c>
      <c r="BY209" s="176" t="str">
        <f>IF(秋,"九溪弥烟-轻-血毒金蛇锥","梦泉虎跑-轻")</f>
        <v>梦泉虎跑-轻</v>
      </c>
      <c r="BZ209">
        <v>0</v>
      </c>
      <c r="CA209" s="176" t="str">
        <f>IF(秋,"九溪弥烟-轻-血毒金蛇锥","梦泉虎跑-轻")</f>
        <v>梦泉虎跑-轻</v>
      </c>
      <c r="CB209">
        <v>0</v>
      </c>
    </row>
    <row r="210" spans="1:80">
      <c r="A210" s="178" t="str">
        <f ca="1">IFERROR(IF(A209+加速!$L$11&lt;$AS$1,IF(COUNTIF(B209,"*轻*")&gt;0,A209+加速!$L$9,A209+加速!$L$11)+V209,IF(COUNTIF(INDEX(AU210:CB210,1,$AT$1),"*云景*")+COUNTIF(INDEX(AU210:CB210,1,$AT$1),"*鹤归*")+COUNTIF(INDEX(AU210:CB210,1,$AT$1),"*听雷*")&gt;0,A209+加速!$L$11,"")),"")</f>
        <v/>
      </c>
      <c r="B210" s="167" t="str">
        <f ca="1">IF(A210&lt;&gt;"",IF(AND(A210+加速!$L$11&gt;$AS$1,IF(AND(配装计算器!$K$30&lt;&gt;"∞",0),"梦泉虎跑-轻",INDEX(AU210:CB210,1,$AT$1))="云栖松"),"夕照雷峰",IF(AND(配装计算器!$K$30&lt;&gt;"∞",0),"梦泉虎跑-轻",INDEX(AU210:CB210,1,$AT$1))),"")</f>
        <v/>
      </c>
      <c r="C210" t="str">
        <f ca="1" t="shared" si="49"/>
        <v/>
      </c>
      <c r="D210" t="str">
        <f ca="1">IF(B210&lt;&gt;"",IF(C209&lt;=加速!$L$11*(1-E210),0,1),"")</f>
        <v/>
      </c>
      <c r="E210">
        <f ca="1" t="shared" si="45"/>
        <v>1</v>
      </c>
      <c r="G210" t="str">
        <f ca="1" t="shared" si="46"/>
        <v/>
      </c>
      <c r="H210" t="str">
        <f ca="1">IF(B210&lt;&gt;"",IF(AND(COUNTIF(B209,"*轻*莺鸣柳*")&gt;0,COUNTIF(B210,"*轻*")&lt;1),MAX(0,15+I209-(A210-A209)+COUNTIF(B209,"*平湖*")*0),IF(AND(E210=0,MAX(0,H209-(A210-A209))&lt;=加速!$H$11),0,MAX(0,H209-(A210-A209)))),"")</f>
        <v/>
      </c>
      <c r="I210" t="str">
        <f ca="1" t="shared" si="52"/>
        <v/>
      </c>
      <c r="J210" t="str">
        <f ca="1" t="shared" si="53"/>
        <v/>
      </c>
      <c r="K210" t="str">
        <f ca="1">IF(A210&lt;&gt;"",IF(AND(配装计算器!$K$30&lt;&gt;"∞",0),2,INDEX(AU210:CB210,1,$AT$2)),"")</f>
        <v/>
      </c>
      <c r="L210">
        <f ca="1">IFERROR(IF(AND(COUNTIF(B210,"*-峰插*"),技能数据库!$M$72&gt;0),0,IF(COUNTIF(B210,"*鹤归*")&gt;0,16-加速!$L$11,MAX(0,L209-(A210-A209)))),0)</f>
        <v>0</v>
      </c>
      <c r="M210">
        <f ca="1">IF(COUNTIF(IF(AND(配装计算器!$K$30&lt;&gt;"∞",0),INDEX(AU209:CB209,1,$AT$1),INDEX(AU211:CB211,1,$AT$1)),"*鹤归*")=1,L210,0)</f>
        <v>0</v>
      </c>
      <c r="N210">
        <f ca="1">IFERROR(IF(AND(COUNTIF(B210,"*-峰插*"),技能数据库!$M$72&gt;0),0,IF(COUNTIF(B210,"*云飞*")&gt;0,4-COUNTIF(B210,"*玉山揽云*")*4--COUNTIF(B210,"*烟流暮景*")*4-COUNTIF(B210,"*云景*")*加速!$L$11-IF(J210&gt;0,2,0),MAX(0,N209-(A210-A209)-IF(J210&gt;0,2,0)))),0)</f>
        <v>0</v>
      </c>
      <c r="O210">
        <f ca="1">IF(AND(COUNTIF(IF(AND(配装计算器!$K$30&lt;&gt;"∞",0),INDEX(AU209:CB209,1,$AT$1),INDEX(AU211:CB211,1,$AT$1)),"*云飞*")=1,COUNTIF(IF(AND(配装计算器!$K$30&lt;&gt;"∞",0),INDEX(AU209:CB209,1,$AT$1),INDEX(AU211:CB211,1,$AT$1)),"*玉山*")=0),N210,0)</f>
        <v>0</v>
      </c>
      <c r="P210">
        <f ca="1">IFERROR(IF(COUNTIF(B210,"*云栖松*")&gt;0,50-加速!$L$11,MAX(0,P209-(A210-A209))),0)</f>
        <v>0</v>
      </c>
      <c r="Q210">
        <f ca="1">IF(COUNTIF(IF(AND(配装计算器!$K$30&lt;&gt;"∞",0),INDEX(AU209:CB209,1,$AT$1),INDEX(AU211:CB211,1,$AT$1)),"*云栖松*")=1,P210,0)</f>
        <v>0</v>
      </c>
      <c r="R210">
        <f ca="1">IFERROR(IF(COUNTIF(B210,"*莺鸣柳*")&gt;0,45-加速!$L$9,MAX(0,R209-(A210-A209))),0)</f>
        <v>0</v>
      </c>
      <c r="S210">
        <f ca="1">IF(COUNTIF(IF(AND(配装计算器!$K$30&lt;&gt;"∞",0),INDEX(AU209:CB209,1,$AT$1),INDEX(AU211:CB211,1,$AT$1)),"*莺鸣柳*")=1,R210,0)</f>
        <v>0</v>
      </c>
      <c r="T210">
        <f ca="1" t="shared" si="50"/>
        <v>0</v>
      </c>
      <c r="U210">
        <f ca="1">IF(金蛇,IF(COUNTIF(B210,"*金环戴*")+COUNTIF(B210,"*吹风醒*")&gt;0,IF(A210&lt;=3,7.125-2.625-A210-加速!$L$11,7.125+加速!$K$9-(A210+加速!$L$11-T210)),0),0)+IF(金蛇,IF(COUNTIF(B210,"*千切子裂光*")&gt;0,2+加速!$K$9-(A210+加速!$L$11-T210),0),0)</f>
        <v>0</v>
      </c>
      <c r="V210">
        <f ca="1" t="shared" si="51"/>
        <v>0</v>
      </c>
      <c r="W210">
        <f ca="1" t="shared" si="43"/>
        <v>0</v>
      </c>
      <c r="X210">
        <f ca="1">INDEX(加速!$I$13:$I$21,技能数计算!W210+1)</f>
        <v>0</v>
      </c>
      <c r="Y210">
        <f ca="1" t="shared" si="47"/>
        <v>0.5</v>
      </c>
      <c r="Z210">
        <f ca="1" t="shared" si="48"/>
        <v>0</v>
      </c>
      <c r="AA210">
        <f ca="1">MAX(0,IFERROR(IF(COUNTIF(B210,"*叠*")&gt;0,IF(AC209&lt;3,8-A211+A210,AA209+6.875-A211+A210),AA209-A211+A210),AA209-加速!$L$11))</f>
        <v>0</v>
      </c>
      <c r="AB210" t="e">
        <f ca="1">MAX(0,IF(COUNTIF(IF(AND(配装计算器!$K$30&lt;&gt;"∞",0),INDEX(AU210:CB210,1,$AT$1),INDEX(AU210:CB210,1,$AT$1)),"*叠1*")=1,4*25-加速!$L$11,AB209-A210+A209)-IF(OR(COUNTIF(OFFSET(AT210,0,$AT$1,1,1),"*听雷*")&gt;0,AND(碧归&gt;0,COUNTIF(OFFSET(AT210,0,$AT$1,1,1),"*风来*")&gt;0)),0,1)*1.5)</f>
        <v>#VALUE!</v>
      </c>
      <c r="AC210">
        <f ca="1" t="shared" si="44"/>
        <v>3</v>
      </c>
      <c r="AD210">
        <f ca="1">IF(COUNTIF(IF(AND(配装计算器!$K$30&lt;&gt;"∞",0),INDEX(AU210:CB210,1,$AT$1),INDEX(AU211:CB211,1,$AT$1)),"*叠1*")=1,AB210*0+AE209,0)</f>
        <v>0</v>
      </c>
      <c r="AE210" t="e">
        <f ca="1">IF($AN$11&gt;0,IF(COUNTIF(B211,"*叠1*")&gt;0,50-加速!$H$11,MAX(0,AE209-(A211-A210))),0)</f>
        <v>#VALUE!</v>
      </c>
      <c r="AH210" t="s">
        <v>1825</v>
      </c>
      <c r="AI210" t="s">
        <v>2820</v>
      </c>
      <c r="AJ210">
        <f ca="1" t="shared" si="55"/>
        <v>0</v>
      </c>
      <c r="AK210" t="s">
        <v>3097</v>
      </c>
      <c r="AU210" t="s">
        <v>2776</v>
      </c>
      <c r="AV210">
        <v>2</v>
      </c>
      <c r="AW210" s="180" t="s">
        <v>2789</v>
      </c>
      <c r="AX210">
        <v>2</v>
      </c>
      <c r="AY210" t="s">
        <v>2768</v>
      </c>
      <c r="AZ210">
        <v>1</v>
      </c>
      <c r="BA210" t="s">
        <v>2768</v>
      </c>
      <c r="BB210">
        <v>0</v>
      </c>
      <c r="BC210" t="s">
        <v>2768</v>
      </c>
      <c r="BD210">
        <v>2</v>
      </c>
      <c r="BE210" s="176" t="s">
        <v>2776</v>
      </c>
      <c r="BF210">
        <v>2</v>
      </c>
      <c r="BG210" t="s">
        <v>2768</v>
      </c>
      <c r="BH210">
        <v>0</v>
      </c>
      <c r="BI210" s="176" t="s">
        <v>2776</v>
      </c>
      <c r="BJ210">
        <v>2</v>
      </c>
      <c r="BK210" s="176" t="s">
        <v>2768</v>
      </c>
      <c r="BL210">
        <v>0</v>
      </c>
      <c r="BM210" t="s">
        <v>3009</v>
      </c>
      <c r="BN210">
        <v>2</v>
      </c>
      <c r="BO210" s="176" t="s">
        <v>2768</v>
      </c>
      <c r="BP210">
        <v>2</v>
      </c>
      <c r="BQ210" t="s">
        <v>2776</v>
      </c>
      <c r="BR210">
        <v>2</v>
      </c>
      <c r="BS210" s="176" t="s">
        <v>2768</v>
      </c>
      <c r="BT210">
        <v>2</v>
      </c>
      <c r="BU210" t="s">
        <v>2768</v>
      </c>
      <c r="BV210">
        <v>1</v>
      </c>
      <c r="BW210" s="182" t="s">
        <v>2776</v>
      </c>
      <c r="BX210" s="179">
        <v>2</v>
      </c>
      <c r="BY210" t="s">
        <v>3009</v>
      </c>
      <c r="BZ210">
        <v>2</v>
      </c>
      <c r="CA210" t="s">
        <v>3009</v>
      </c>
      <c r="CB210">
        <v>2</v>
      </c>
    </row>
    <row r="211" spans="1:80">
      <c r="A211" s="178" t="str">
        <f ca="1">IFERROR(IF(A210+加速!$L$11&lt;$AS$1,IF(COUNTIF(B210,"*轻*")&gt;0,A210+加速!$L$9,A210+加速!$L$11)+V210,IF(COUNTIF(INDEX(AU211:CB211,1,$AT$1),"*云景*")+COUNTIF(INDEX(AU211:CB211,1,$AT$1),"*鹤归*")+COUNTIF(INDEX(AU211:CB211,1,$AT$1),"*听雷*")&gt;0,A210+加速!$L$11,"")),"")</f>
        <v/>
      </c>
      <c r="B211" s="167" t="str">
        <f ca="1">IF(A211&lt;&gt;"",IF(AND(A211+加速!$L$11&gt;$AS$1,IF(AND(配装计算器!$K$30&lt;&gt;"∞",0),"梦泉虎跑-轻",INDEX(AU211:CB211,1,$AT$1))="云栖松"),"夕照雷峰",IF(AND(配装计算器!$K$30&lt;&gt;"∞",0),"梦泉虎跑-轻",INDEX(AU211:CB211,1,$AT$1))),"")</f>
        <v/>
      </c>
      <c r="C211" t="str">
        <f ca="1" t="shared" si="49"/>
        <v/>
      </c>
      <c r="D211" t="str">
        <f ca="1">IF(B211&lt;&gt;"",IF(C210&lt;=加速!$L$11*(1-E211),0,1),"")</f>
        <v/>
      </c>
      <c r="E211">
        <f ca="1" t="shared" si="45"/>
        <v>1</v>
      </c>
      <c r="G211" t="str">
        <f ca="1" t="shared" si="46"/>
        <v/>
      </c>
      <c r="H211" t="str">
        <f ca="1">IF(B211&lt;&gt;"",IF(AND(COUNTIF(B210,"*轻*莺鸣柳*")&gt;0,COUNTIF(B211,"*轻*")&lt;1),MAX(0,15+I210-(A211-A210)+COUNTIF(B210,"*平湖*")*0),IF(AND(E211=0,MAX(0,H210-(A211-A210))&lt;=加速!$H$11),0,MAX(0,H210-(A211-A210)))),"")</f>
        <v/>
      </c>
      <c r="I211" t="str">
        <f ca="1" t="shared" si="52"/>
        <v/>
      </c>
      <c r="J211" t="str">
        <f ca="1" t="shared" si="53"/>
        <v/>
      </c>
      <c r="K211" t="str">
        <f ca="1">IF(A211&lt;&gt;"",IF(AND(配装计算器!$K$30&lt;&gt;"∞",0),2,INDEX(AU211:CB211,1,$AT$2)),"")</f>
        <v/>
      </c>
      <c r="L211">
        <f ca="1">IFERROR(IF(AND(COUNTIF(B211,"*-峰插*"),技能数据库!$M$72&gt;0),0,IF(COUNTIF(B211,"*鹤归*")&gt;0,16-加速!$L$11,MAX(0,L210-(A211-A210)))),0)</f>
        <v>0</v>
      </c>
      <c r="M211">
        <f ca="1">IF(COUNTIF(IF(AND(配装计算器!$K$30&lt;&gt;"∞",0),INDEX(AU210:CB210,1,$AT$1),INDEX(AU212:CB212,1,$AT$1)),"*鹤归*")=1,L211,0)</f>
        <v>0</v>
      </c>
      <c r="N211">
        <f ca="1">IFERROR(IF(AND(COUNTIF(B211,"*-峰插*"),技能数据库!$M$72&gt;0),0,IF(COUNTIF(B211,"*云飞*")&gt;0,4-COUNTIF(B211,"*玉山揽云*")*4--COUNTIF(B211,"*烟流暮景*")*4-COUNTIF(B211,"*云景*")*加速!$L$11-IF(J211&gt;0,2,0),MAX(0,N210-(A211-A210)-IF(J211&gt;0,2,0)))),0)</f>
        <v>0</v>
      </c>
      <c r="O211">
        <f ca="1">IF(AND(COUNTIF(IF(AND(配装计算器!$K$30&lt;&gt;"∞",0),INDEX(AU210:CB210,1,$AT$1),INDEX(AU212:CB212,1,$AT$1)),"*云飞*")=1,COUNTIF(IF(AND(配装计算器!$K$30&lt;&gt;"∞",0),INDEX(AU210:CB210,1,$AT$1),INDEX(AU212:CB212,1,$AT$1)),"*玉山*")=0),N211,0)</f>
        <v>0</v>
      </c>
      <c r="P211">
        <f ca="1">IFERROR(IF(COUNTIF(B211,"*云栖松*")&gt;0,50-加速!$L$11,MAX(0,P210-(A211-A210))),0)</f>
        <v>0</v>
      </c>
      <c r="Q211">
        <f ca="1">IF(COUNTIF(IF(AND(配装计算器!$K$30&lt;&gt;"∞",0),INDEX(AU210:CB210,1,$AT$1),INDEX(AU212:CB212,1,$AT$1)),"*云栖松*")=1,P211,0)</f>
        <v>0</v>
      </c>
      <c r="R211">
        <f ca="1">IFERROR(IF(COUNTIF(B211,"*莺鸣柳*")&gt;0,45-加速!$L$9,MAX(0,R210-(A211-A210))),0)</f>
        <v>0</v>
      </c>
      <c r="S211">
        <f ca="1">IF(COUNTIF(IF(AND(配装计算器!$K$30&lt;&gt;"∞",0),INDEX(AU210:CB210,1,$AT$1),INDEX(AU212:CB212,1,$AT$1)),"*莺鸣柳*")=1,R211,0)</f>
        <v>0</v>
      </c>
      <c r="T211">
        <f ca="1" t="shared" si="50"/>
        <v>0</v>
      </c>
      <c r="U211">
        <f ca="1">IF(金蛇,IF(COUNTIF(B211,"*金环戴*")+COUNTIF(B211,"*吹风醒*")&gt;0,IF(A211&lt;=3,7.125-2.625-A211-加速!$L$11,7.125+加速!$K$9-(A211+加速!$L$11-T211)),0),0)+IF(金蛇,IF(COUNTIF(B211,"*千切子裂光*")&gt;0,2+加速!$K$9-(A211+加速!$L$11-T211),0),0)</f>
        <v>0</v>
      </c>
      <c r="V211">
        <f ca="1" t="shared" si="51"/>
        <v>0</v>
      </c>
      <c r="W211">
        <f ca="1" t="shared" si="43"/>
        <v>0</v>
      </c>
      <c r="X211">
        <f ca="1">INDEX(加速!$I$13:$I$21,技能数计算!W211+1)</f>
        <v>0</v>
      </c>
      <c r="Y211">
        <f ca="1" t="shared" si="47"/>
        <v>0.5</v>
      </c>
      <c r="Z211">
        <f ca="1" t="shared" si="48"/>
        <v>0</v>
      </c>
      <c r="AA211">
        <f ca="1">MAX(0,IFERROR(IF(COUNTIF(B211,"*叠*")&gt;0,IF(AC210&lt;3,8-A212+A211,AA210+6.875-A212+A211),AA210-A212+A211),AA210-加速!$L$11))</f>
        <v>0</v>
      </c>
      <c r="AB211" t="e">
        <f ca="1">MAX(0,IF(COUNTIF(IF(AND(配装计算器!$K$30&lt;&gt;"∞",0),INDEX(AU211:CB211,1,$AT$1),INDEX(AU211:CB211,1,$AT$1)),"*叠1*")=1,4*25-加速!$L$11,AB210-A211+A210)-IF(OR(COUNTIF(OFFSET(AT211,0,$AT$1,1,1),"*听雷*")&gt;0,AND(碧归&gt;0,COUNTIF(OFFSET(AT211,0,$AT$1,1,1),"*风来*")&gt;0)),0,1)*1.5)</f>
        <v>#VALUE!</v>
      </c>
      <c r="AC211">
        <f ca="1" t="shared" si="44"/>
        <v>3</v>
      </c>
      <c r="AD211">
        <f ca="1">IF(COUNTIF(IF(AND(配装计算器!$K$30&lt;&gt;"∞",0),INDEX(AU211:CB211,1,$AT$1),INDEX(AU212:CB212,1,$AT$1)),"*叠1*")=1,AB211*0+AE210,0)</f>
        <v>0</v>
      </c>
      <c r="AE211" t="e">
        <f ca="1">IF($AN$11&gt;0,IF(COUNTIF(B212,"*叠1*")&gt;0,50-加速!$H$11,MAX(0,AE210-(A212-A211))),0)</f>
        <v>#VALUE!</v>
      </c>
      <c r="AH211" t="s">
        <v>1825</v>
      </c>
      <c r="AI211" t="s">
        <v>2820</v>
      </c>
      <c r="AJ211">
        <f ca="1" t="shared" si="55"/>
        <v>0</v>
      </c>
      <c r="AK211" t="s">
        <v>3099</v>
      </c>
      <c r="AU211" s="176" t="s">
        <v>2794</v>
      </c>
      <c r="AV211">
        <v>2</v>
      </c>
      <c r="AW211" s="176" t="s">
        <v>2794</v>
      </c>
      <c r="AX211">
        <v>2</v>
      </c>
      <c r="AY211" t="s">
        <v>2768</v>
      </c>
      <c r="AZ211">
        <v>0</v>
      </c>
      <c r="BA211" t="s">
        <v>2722</v>
      </c>
      <c r="BB211">
        <v>0</v>
      </c>
      <c r="BC211" t="s">
        <v>2776</v>
      </c>
      <c r="BD211">
        <v>1</v>
      </c>
      <c r="BE211" s="176" t="s">
        <v>3035</v>
      </c>
      <c r="BF211">
        <v>2</v>
      </c>
      <c r="BG211" t="s">
        <v>2768</v>
      </c>
      <c r="BH211">
        <v>0</v>
      </c>
      <c r="BI211" t="s">
        <v>2768</v>
      </c>
      <c r="BJ211">
        <v>2</v>
      </c>
      <c r="BK211" s="176" t="s">
        <v>3012</v>
      </c>
      <c r="BL211">
        <v>2</v>
      </c>
      <c r="BM211" s="176" t="str">
        <f>IF(秋,"云飞玉皇-蛇牙锥心","云飞玉皇-血毒金蛇锥")</f>
        <v>云飞玉皇-血毒金蛇锥</v>
      </c>
      <c r="BN211">
        <v>2</v>
      </c>
      <c r="BO211" s="176" t="s">
        <v>2776</v>
      </c>
      <c r="BP211">
        <v>2</v>
      </c>
      <c r="BQ211" t="s">
        <v>2768</v>
      </c>
      <c r="BR211">
        <v>2</v>
      </c>
      <c r="BS211" s="176" t="s">
        <v>2776</v>
      </c>
      <c r="BT211">
        <v>2</v>
      </c>
      <c r="BU211" s="176" t="s">
        <v>2768</v>
      </c>
      <c r="BV211">
        <v>1</v>
      </c>
      <c r="BW211" s="182" t="s">
        <v>2768</v>
      </c>
      <c r="BX211" s="179">
        <v>2</v>
      </c>
      <c r="BY211" t="str">
        <f>IF(秋,"夕照雷峰-蛇牙锥心","夕照雷峰")</f>
        <v>夕照雷峰</v>
      </c>
      <c r="BZ211">
        <v>2</v>
      </c>
      <c r="CA211" s="176" t="str">
        <f>IF(秋,"鹤归孤山-蛇牙锥心","鹤归孤山")</f>
        <v>鹤归孤山</v>
      </c>
      <c r="CB211">
        <v>2</v>
      </c>
    </row>
    <row r="212" spans="1:80">
      <c r="A212" s="178" t="str">
        <f ca="1">IFERROR(IF(A211+加速!$L$11&lt;$AS$1,IF(COUNTIF(B211,"*轻*")&gt;0,A211+加速!$L$9,A211+加速!$L$11)+V211,IF(COUNTIF(INDEX(AU212:CB212,1,$AT$1),"*云景*")+COUNTIF(INDEX(AU212:CB212,1,$AT$1),"*鹤归*")+COUNTIF(INDEX(AU212:CB212,1,$AT$1),"*听雷*")&gt;0,A211+加速!$L$11,"")),"")</f>
        <v/>
      </c>
      <c r="B212" s="167" t="str">
        <f ca="1">IF(A212&lt;&gt;"",IF(AND(A212+加速!$L$11&gt;$AS$1,IF(AND(配装计算器!$K$30&lt;&gt;"∞",0),"梦泉虎跑-轻",INDEX(AU212:CB212,1,$AT$1))="云栖松"),"夕照雷峰",IF(AND(配装计算器!$K$30&lt;&gt;"∞",0),"梦泉虎跑-轻",INDEX(AU212:CB212,1,$AT$1))),"")</f>
        <v/>
      </c>
      <c r="C212" t="str">
        <f ca="1" t="shared" si="49"/>
        <v/>
      </c>
      <c r="D212" t="str">
        <f ca="1">IF(B212&lt;&gt;"",IF(C211&lt;=加速!$L$11*(1-E212),0,1),"")</f>
        <v/>
      </c>
      <c r="E212">
        <f ca="1" t="shared" si="45"/>
        <v>1</v>
      </c>
      <c r="G212" t="str">
        <f ca="1" t="shared" si="46"/>
        <v/>
      </c>
      <c r="H212" t="str">
        <f ca="1">IF(B212&lt;&gt;"",IF(AND(COUNTIF(B211,"*轻*莺鸣柳*")&gt;0,COUNTIF(B212,"*轻*")&lt;1),MAX(0,15+I211-(A212-A211)+COUNTIF(B211,"*平湖*")*0),IF(AND(E212=0,MAX(0,H211-(A212-A211))&lt;=加速!$H$11),0,MAX(0,H211-(A212-A211)))),"")</f>
        <v/>
      </c>
      <c r="I212" t="str">
        <f ca="1" t="shared" si="52"/>
        <v/>
      </c>
      <c r="J212" t="str">
        <f ca="1" t="shared" si="53"/>
        <v/>
      </c>
      <c r="K212" t="str">
        <f ca="1">IF(A212&lt;&gt;"",IF(AND(配装计算器!$K$30&lt;&gt;"∞",0),2,INDEX(AU212:CB212,1,$AT$2)),"")</f>
        <v/>
      </c>
      <c r="L212">
        <f ca="1">IFERROR(IF(AND(COUNTIF(B212,"*-峰插*"),技能数据库!$M$72&gt;0),0,IF(COUNTIF(B212,"*鹤归*")&gt;0,16-加速!$L$11,MAX(0,L211-(A212-A211)))),0)</f>
        <v>0</v>
      </c>
      <c r="M212">
        <f ca="1">IF(COUNTIF(IF(AND(配装计算器!$K$30&lt;&gt;"∞",0),INDEX(AU211:CB211,1,$AT$1),INDEX(AU213:CB213,1,$AT$1)),"*鹤归*")=1,L212,0)</f>
        <v>0</v>
      </c>
      <c r="N212">
        <f ca="1">IFERROR(IF(AND(COUNTIF(B212,"*-峰插*"),技能数据库!$M$72&gt;0),0,IF(COUNTIF(B212,"*云飞*")&gt;0,4-COUNTIF(B212,"*玉山揽云*")*4--COUNTIF(B212,"*烟流暮景*")*4-COUNTIF(B212,"*云景*")*加速!$L$11-IF(J212&gt;0,2,0),MAX(0,N211-(A212-A211)-IF(J212&gt;0,2,0)))),0)</f>
        <v>0</v>
      </c>
      <c r="O212">
        <f ca="1">IF(AND(COUNTIF(IF(AND(配装计算器!$K$30&lt;&gt;"∞",0),INDEX(AU211:CB211,1,$AT$1),INDEX(AU213:CB213,1,$AT$1)),"*云飞*")=1,COUNTIF(IF(AND(配装计算器!$K$30&lt;&gt;"∞",0),INDEX(AU211:CB211,1,$AT$1),INDEX(AU213:CB213,1,$AT$1)),"*玉山*")=0),N212,0)</f>
        <v>0</v>
      </c>
      <c r="P212">
        <f ca="1">IFERROR(IF(COUNTIF(B212,"*云栖松*")&gt;0,50-加速!$L$11,MAX(0,P211-(A212-A211))),0)</f>
        <v>0</v>
      </c>
      <c r="Q212">
        <f ca="1">IF(COUNTIF(IF(AND(配装计算器!$K$30&lt;&gt;"∞",0),INDEX(AU211:CB211,1,$AT$1),INDEX(AU213:CB213,1,$AT$1)),"*云栖松*")=1,P212,0)</f>
        <v>0</v>
      </c>
      <c r="R212">
        <f ca="1">IFERROR(IF(COUNTIF(B212,"*莺鸣柳*")&gt;0,45-加速!$L$9,MAX(0,R211-(A212-A211))),0)</f>
        <v>0</v>
      </c>
      <c r="S212">
        <f ca="1">IF(COUNTIF(IF(AND(配装计算器!$K$30&lt;&gt;"∞",0),INDEX(AU211:CB211,1,$AT$1),INDEX(AU213:CB213,1,$AT$1)),"*莺鸣柳*")=1,R212,0)</f>
        <v>0</v>
      </c>
      <c r="T212">
        <f ca="1" t="shared" si="50"/>
        <v>0</v>
      </c>
      <c r="U212">
        <f ca="1">IF(金蛇,IF(COUNTIF(B212,"*金环戴*")+COUNTIF(B212,"*吹风醒*")&gt;0,IF(A212&lt;=3,7.125-2.625-A212-加速!$L$11,7.125+加速!$K$9-(A212+加速!$L$11-T212)),0),0)+IF(金蛇,IF(COUNTIF(B212,"*千切子裂光*")&gt;0,2+加速!$K$9-(A212+加速!$L$11-T212),0),0)</f>
        <v>0</v>
      </c>
      <c r="V212">
        <f ca="1" t="shared" si="51"/>
        <v>0</v>
      </c>
      <c r="W212">
        <f ca="1" t="shared" si="43"/>
        <v>0</v>
      </c>
      <c r="X212">
        <f ca="1">INDEX(加速!$I$13:$I$21,技能数计算!W212+1)</f>
        <v>0</v>
      </c>
      <c r="Y212">
        <f ca="1" t="shared" si="47"/>
        <v>0.5</v>
      </c>
      <c r="Z212">
        <f ca="1" t="shared" si="48"/>
        <v>0</v>
      </c>
      <c r="AA212">
        <f ca="1">MAX(0,IFERROR(IF(COUNTIF(B212,"*叠*")&gt;0,IF(AC211&lt;3,8-A213+A212,AA211+6.875-A213+A212),AA211-A213+A212),AA211-加速!$L$11))</f>
        <v>0</v>
      </c>
      <c r="AB212" t="e">
        <f ca="1">MAX(0,IF(COUNTIF(IF(AND(配装计算器!$K$30&lt;&gt;"∞",0),INDEX(AU212:CB212,1,$AT$1),INDEX(AU212:CB212,1,$AT$1)),"*叠1*")=1,4*25-加速!$L$11,AB211-A212+A211)-IF(OR(COUNTIF(OFFSET(AT212,0,$AT$1,1,1),"*听雷*")&gt;0,AND(碧归&gt;0,COUNTIF(OFFSET(AT212,0,$AT$1,1,1),"*风来*")&gt;0)),0,1)*1.5)</f>
        <v>#VALUE!</v>
      </c>
      <c r="AC212">
        <f ca="1" t="shared" si="44"/>
        <v>3</v>
      </c>
      <c r="AD212">
        <f ca="1">IF(COUNTIF(IF(AND(配装计算器!$K$30&lt;&gt;"∞",0),INDEX(AU212:CB212,1,$AT$1),INDEX(AU213:CB213,1,$AT$1)),"*叠1*")=1,AB212*0+AE211,0)</f>
        <v>0</v>
      </c>
      <c r="AE212" t="e">
        <f ca="1">IF($AN$11&gt;0,IF(COUNTIF(B213,"*叠1*")&gt;0,50-加速!$H$11,MAX(0,AE211-(A213-A212))),0)</f>
        <v>#VALUE!</v>
      </c>
      <c r="AU212" s="176" t="s">
        <v>2768</v>
      </c>
      <c r="AV212">
        <v>2</v>
      </c>
      <c r="AW212" s="176" t="s">
        <v>2776</v>
      </c>
      <c r="AX212">
        <v>2</v>
      </c>
      <c r="AY212" t="s">
        <v>2722</v>
      </c>
      <c r="AZ212">
        <v>0</v>
      </c>
      <c r="BA212" t="s">
        <v>2776</v>
      </c>
      <c r="BB212">
        <v>2</v>
      </c>
      <c r="BC212" t="s">
        <v>2768</v>
      </c>
      <c r="BD212">
        <v>1</v>
      </c>
      <c r="BE212" t="s">
        <v>2768</v>
      </c>
      <c r="BF212">
        <v>2</v>
      </c>
      <c r="BG212" t="s">
        <v>2776</v>
      </c>
      <c r="BH212">
        <v>0</v>
      </c>
      <c r="BI212" t="s">
        <v>2768</v>
      </c>
      <c r="BJ212">
        <v>1</v>
      </c>
      <c r="BK212" s="176" t="s">
        <v>2794</v>
      </c>
      <c r="BL212">
        <v>2</v>
      </c>
      <c r="BM212" t="s">
        <v>2768</v>
      </c>
      <c r="BN212">
        <v>2</v>
      </c>
      <c r="BO212" s="176" t="s">
        <v>2768</v>
      </c>
      <c r="BP212">
        <v>2</v>
      </c>
      <c r="BQ212" t="s">
        <v>2776</v>
      </c>
      <c r="BR212">
        <v>1</v>
      </c>
      <c r="BS212" s="176" t="s">
        <v>2768</v>
      </c>
      <c r="BT212">
        <v>2</v>
      </c>
      <c r="BU212" t="s">
        <v>3055</v>
      </c>
      <c r="BV212">
        <v>0</v>
      </c>
      <c r="BW212" s="182" t="s">
        <v>2776</v>
      </c>
      <c r="BX212" s="179">
        <v>2</v>
      </c>
      <c r="BY212" s="176" t="str">
        <f>IF(秋,"云飞玉皇","云飞玉皇-血毒金蛇锥")</f>
        <v>云飞玉皇-血毒金蛇锥</v>
      </c>
      <c r="BZ212">
        <v>2</v>
      </c>
      <c r="CA212" s="176" t="str">
        <f>IF(秋,"云飞玉皇","云飞玉皇-血毒金蛇锥")</f>
        <v>云飞玉皇-血毒金蛇锥</v>
      </c>
      <c r="CB212">
        <v>2</v>
      </c>
    </row>
    <row r="213" spans="1:80">
      <c r="A213" s="178" t="str">
        <f ca="1">IFERROR(IF(A212+加速!$L$11&lt;$AS$1,IF(COUNTIF(B212,"*轻*")&gt;0,A212+加速!$L$9,A212+加速!$L$11)+V212,IF(COUNTIF(INDEX(AU213:CB213,1,$AT$1),"*云景*")+COUNTIF(INDEX(AU213:CB213,1,$AT$1),"*鹤归*")+COUNTIF(INDEX(AU213:CB213,1,$AT$1),"*听雷*")&gt;0,A212+加速!$L$11,"")),"")</f>
        <v/>
      </c>
      <c r="B213" s="167" t="str">
        <f ca="1">IF(A213&lt;&gt;"",IF(AND(A213+加速!$L$11&gt;$AS$1,IF(AND(配装计算器!$K$30&lt;&gt;"∞",0),"梦泉虎跑-轻",INDEX(AU213:CB213,1,$AT$1))="云栖松"),"夕照雷峰",IF(AND(配装计算器!$K$30&lt;&gt;"∞",0),"梦泉虎跑-轻",INDEX(AU213:CB213,1,$AT$1))),"")</f>
        <v/>
      </c>
      <c r="C213" t="str">
        <f ca="1" t="shared" si="49"/>
        <v/>
      </c>
      <c r="D213" t="str">
        <f ca="1">IF(B213&lt;&gt;"",IF(C212&lt;=加速!$L$11*(1-E213),0,1),"")</f>
        <v/>
      </c>
      <c r="E213">
        <f ca="1" t="shared" si="45"/>
        <v>1</v>
      </c>
      <c r="G213" t="str">
        <f ca="1" t="shared" si="46"/>
        <v/>
      </c>
      <c r="H213" t="str">
        <f ca="1">IF(B213&lt;&gt;"",IF(AND(COUNTIF(B212,"*轻*莺鸣柳*")&gt;0,COUNTIF(B213,"*轻*")&lt;1),MAX(0,15+I212-(A213-A212)+COUNTIF(B212,"*平湖*")*0),IF(AND(E213=0,MAX(0,H212-(A213-A212))&lt;=加速!$H$11),0,MAX(0,H212-(A213-A212)))),"")</f>
        <v/>
      </c>
      <c r="I213" t="str">
        <f ca="1" t="shared" si="52"/>
        <v/>
      </c>
      <c r="J213" t="str">
        <f ca="1" t="shared" si="53"/>
        <v/>
      </c>
      <c r="K213" t="str">
        <f ca="1">IF(A213&lt;&gt;"",IF(AND(配装计算器!$K$30&lt;&gt;"∞",0),2,INDEX(AU213:CB213,1,$AT$2)),"")</f>
        <v/>
      </c>
      <c r="L213">
        <f ca="1">IFERROR(IF(AND(COUNTIF(B213,"*-峰插*"),技能数据库!$M$72&gt;0),0,IF(COUNTIF(B213,"*鹤归*")&gt;0,16-加速!$L$11,MAX(0,L212-(A213-A212)))),0)</f>
        <v>0</v>
      </c>
      <c r="M213">
        <f ca="1">IF(COUNTIF(IF(AND(配装计算器!$K$30&lt;&gt;"∞",0),INDEX(AU212:CB212,1,$AT$1),INDEX(AU214:CB214,1,$AT$1)),"*鹤归*")=1,L213,0)</f>
        <v>0</v>
      </c>
      <c r="N213">
        <f ca="1">IFERROR(IF(AND(COUNTIF(B213,"*-峰插*"),技能数据库!$M$72&gt;0),0,IF(COUNTIF(B213,"*云飞*")&gt;0,4-COUNTIF(B213,"*玉山揽云*")*4--COUNTIF(B213,"*烟流暮景*")*4-COUNTIF(B213,"*云景*")*加速!$L$11-IF(J213&gt;0,2,0),MAX(0,N212-(A213-A212)-IF(J213&gt;0,2,0)))),0)</f>
        <v>0</v>
      </c>
      <c r="O213">
        <f ca="1">IF(AND(COUNTIF(IF(AND(配装计算器!$K$30&lt;&gt;"∞",0),INDEX(AU212:CB212,1,$AT$1),INDEX(AU214:CB214,1,$AT$1)),"*云飞*")=1,COUNTIF(IF(AND(配装计算器!$K$30&lt;&gt;"∞",0),INDEX(AU212:CB212,1,$AT$1),INDEX(AU214:CB214,1,$AT$1)),"*玉山*")=0),N213,0)</f>
        <v>0</v>
      </c>
      <c r="P213">
        <f ca="1">IFERROR(IF(COUNTIF(B213,"*云栖松*")&gt;0,50-加速!$L$11,MAX(0,P212-(A213-A212))),0)</f>
        <v>0</v>
      </c>
      <c r="Q213">
        <f ca="1">IF(COUNTIF(IF(AND(配装计算器!$K$30&lt;&gt;"∞",0),INDEX(AU212:CB212,1,$AT$1),INDEX(AU214:CB214,1,$AT$1)),"*云栖松*")=1,P213,0)</f>
        <v>0</v>
      </c>
      <c r="R213">
        <f ca="1">IFERROR(IF(COUNTIF(B213,"*莺鸣柳*")&gt;0,45-加速!$L$9,MAX(0,R212-(A213-A212))),0)</f>
        <v>0</v>
      </c>
      <c r="S213">
        <f ca="1">IF(COUNTIF(IF(AND(配装计算器!$K$30&lt;&gt;"∞",0),INDEX(AU212:CB212,1,$AT$1),INDEX(AU214:CB214,1,$AT$1)),"*莺鸣柳*")=1,R213,0)</f>
        <v>0</v>
      </c>
      <c r="T213">
        <f ca="1" t="shared" si="50"/>
        <v>0</v>
      </c>
      <c r="U213">
        <f ca="1">IF(金蛇,IF(COUNTIF(B213,"*金环戴*")+COUNTIF(B213,"*吹风醒*")&gt;0,IF(A213&lt;=3,7.125-2.625-A213-加速!$L$11,7.125+加速!$K$9-(A213+加速!$L$11-T213)),0),0)+IF(金蛇,IF(COUNTIF(B213,"*千切子裂光*")&gt;0,2+加速!$K$9-(A213+加速!$L$11-T213),0),0)</f>
        <v>0</v>
      </c>
      <c r="V213">
        <f ca="1" t="shared" si="51"/>
        <v>0</v>
      </c>
      <c r="W213">
        <f ca="1" t="shared" si="43"/>
        <v>0</v>
      </c>
      <c r="X213">
        <f ca="1">INDEX(加速!$I$13:$I$21,技能数计算!W213+1)</f>
        <v>0</v>
      </c>
      <c r="Y213">
        <f ca="1" t="shared" si="47"/>
        <v>0.5</v>
      </c>
      <c r="Z213">
        <f ca="1" t="shared" si="48"/>
        <v>0</v>
      </c>
      <c r="AA213">
        <f ca="1">MAX(0,IFERROR(IF(COUNTIF(B213,"*叠*")&gt;0,IF(AC212&lt;3,8-A214+A213,AA212+6.875-A214+A213),AA212-A214+A213),AA212-加速!$L$11))</f>
        <v>0</v>
      </c>
      <c r="AB213" t="e">
        <f ca="1">MAX(0,IF(COUNTIF(IF(AND(配装计算器!$K$30&lt;&gt;"∞",0),INDEX(AU213:CB213,1,$AT$1),INDEX(AU213:CB213,1,$AT$1)),"*叠1*")=1,4*25-加速!$L$11,AB212-A213+A212)-IF(OR(COUNTIF(OFFSET(AT213,0,$AT$1,1,1),"*听雷*")&gt;0,AND(碧归&gt;0,COUNTIF(OFFSET(AT213,0,$AT$1,1,1),"*风来*")&gt;0)),0,1)*1.5)</f>
        <v>#VALUE!</v>
      </c>
      <c r="AC213">
        <f ca="1" t="shared" si="44"/>
        <v>3</v>
      </c>
      <c r="AD213">
        <f ca="1">IF(COUNTIF(IF(AND(配装计算器!$K$30&lt;&gt;"∞",0),INDEX(AU213:CB213,1,$AT$1),INDEX(AU214:CB214,1,$AT$1)),"*叠1*")=1,AB213*0+AE212,0)</f>
        <v>0</v>
      </c>
      <c r="AE213" t="e">
        <f ca="1">IF($AN$11&gt;0,IF(COUNTIF(B214,"*叠1*")&gt;0,50-加速!$H$11,MAX(0,AE212-(A214-A213))),0)</f>
        <v>#VALUE!</v>
      </c>
      <c r="AU213" s="176" t="s">
        <v>2776</v>
      </c>
      <c r="AV213">
        <v>2</v>
      </c>
      <c r="AW213" s="176" t="s">
        <v>2768</v>
      </c>
      <c r="AX213">
        <v>2</v>
      </c>
      <c r="AY213" t="s">
        <v>2776</v>
      </c>
      <c r="AZ213">
        <v>2</v>
      </c>
      <c r="BA213" t="s">
        <v>2768</v>
      </c>
      <c r="BB213">
        <v>2</v>
      </c>
      <c r="BC213" t="s">
        <v>2794</v>
      </c>
      <c r="BD213">
        <v>2</v>
      </c>
      <c r="BE213" t="s">
        <v>2776</v>
      </c>
      <c r="BF213">
        <v>2</v>
      </c>
      <c r="BG213" t="s">
        <v>3067</v>
      </c>
      <c r="BH213">
        <v>0</v>
      </c>
      <c r="BI213" s="176" t="s">
        <v>2768</v>
      </c>
      <c r="BJ213">
        <v>1</v>
      </c>
      <c r="BK213" s="176" t="s">
        <v>3019</v>
      </c>
      <c r="BL213">
        <v>2</v>
      </c>
      <c r="BM213" s="180" t="s">
        <v>2789</v>
      </c>
      <c r="BN213">
        <v>2</v>
      </c>
      <c r="BO213" s="176" t="s">
        <v>2808</v>
      </c>
      <c r="BP213">
        <v>2</v>
      </c>
      <c r="BQ213" t="s">
        <v>2768</v>
      </c>
      <c r="BR213">
        <v>1</v>
      </c>
      <c r="BS213" s="176" t="s">
        <v>2794</v>
      </c>
      <c r="BT213">
        <v>2</v>
      </c>
      <c r="BU213" t="s">
        <v>2776</v>
      </c>
      <c r="BV213">
        <v>2</v>
      </c>
      <c r="BW213" s="182" t="s">
        <v>2768</v>
      </c>
      <c r="BX213" s="179">
        <v>2</v>
      </c>
      <c r="BY213" t="s">
        <v>2768</v>
      </c>
      <c r="BZ213">
        <v>2</v>
      </c>
      <c r="CA213" s="176" t="s">
        <v>2768</v>
      </c>
      <c r="CB213">
        <v>2</v>
      </c>
    </row>
    <row r="214" spans="1:80">
      <c r="A214" s="178" t="str">
        <f ca="1">IFERROR(IF(A213+加速!$L$11&lt;$AS$1,IF(COUNTIF(B213,"*轻*")&gt;0,A213+加速!$L$9,A213+加速!$L$11)+V213,IF(COUNTIF(INDEX(AU214:CB214,1,$AT$1),"*云景*")+COUNTIF(INDEX(AU214:CB214,1,$AT$1),"*鹤归*")+COUNTIF(INDEX(AU214:CB214,1,$AT$1),"*听雷*")&gt;0,A213+加速!$L$11,"")),"")</f>
        <v/>
      </c>
      <c r="B214" s="167" t="str">
        <f ca="1">IF(A214&lt;&gt;"",IF(AND(A214+加速!$L$11&gt;$AS$1,IF(AND(配装计算器!$K$30&lt;&gt;"∞",0),"梦泉虎跑-轻",INDEX(AU214:CB214,1,$AT$1))="云栖松"),"夕照雷峰",IF(AND(配装计算器!$K$30&lt;&gt;"∞",0),"梦泉虎跑-轻",INDEX(AU214:CB214,1,$AT$1))),"")</f>
        <v/>
      </c>
      <c r="C214" t="str">
        <f ca="1" t="shared" si="49"/>
        <v/>
      </c>
      <c r="D214" t="str">
        <f ca="1">IF(B214&lt;&gt;"",IF(C213&lt;=加速!$L$11*(1-E214),0,1),"")</f>
        <v/>
      </c>
      <c r="E214">
        <f ca="1" t="shared" si="45"/>
        <v>1</v>
      </c>
      <c r="G214" t="str">
        <f ca="1" t="shared" si="46"/>
        <v/>
      </c>
      <c r="H214" t="str">
        <f ca="1">IF(B214&lt;&gt;"",IF(AND(COUNTIF(B213,"*轻*莺鸣柳*")&gt;0,COUNTIF(B214,"*轻*")&lt;1),MAX(0,15+I213-(A214-A213)+COUNTIF(B213,"*平湖*")*0),IF(AND(E214=0,MAX(0,H213-(A214-A213))&lt;=加速!$H$11),0,MAX(0,H213-(A214-A213)))),"")</f>
        <v/>
      </c>
      <c r="I214" t="str">
        <f ca="1" t="shared" si="52"/>
        <v/>
      </c>
      <c r="J214" t="str">
        <f ca="1" t="shared" si="53"/>
        <v/>
      </c>
      <c r="K214" t="str">
        <f ca="1">IF(A214&lt;&gt;"",IF(AND(配装计算器!$K$30&lt;&gt;"∞",0),2,INDEX(AU214:CB214,1,$AT$2)),"")</f>
        <v/>
      </c>
      <c r="L214">
        <f ca="1">IFERROR(IF(AND(COUNTIF(B214,"*-峰插*"),技能数据库!$M$72&gt;0),0,IF(COUNTIF(B214,"*鹤归*")&gt;0,16-加速!$L$11,MAX(0,L213-(A214-A213)))),0)</f>
        <v>0</v>
      </c>
      <c r="M214">
        <f ca="1">IF(COUNTIF(IF(AND(配装计算器!$K$30&lt;&gt;"∞",0),INDEX(AU213:CB213,1,$AT$1),INDEX(AU215:CB215,1,$AT$1)),"*鹤归*")=1,L214,0)</f>
        <v>0</v>
      </c>
      <c r="N214">
        <f ca="1">IFERROR(IF(AND(COUNTIF(B214,"*-峰插*"),技能数据库!$M$72&gt;0),0,IF(COUNTIF(B214,"*云飞*")&gt;0,4-COUNTIF(B214,"*玉山揽云*")*4--COUNTIF(B214,"*烟流暮景*")*4-COUNTIF(B214,"*云景*")*加速!$L$11-IF(J214&gt;0,2,0),MAX(0,N213-(A214-A213)-IF(J214&gt;0,2,0)))),0)</f>
        <v>0</v>
      </c>
      <c r="O214">
        <f ca="1">IF(AND(COUNTIF(IF(AND(配装计算器!$K$30&lt;&gt;"∞",0),INDEX(AU213:CB213,1,$AT$1),INDEX(AU215:CB215,1,$AT$1)),"*云飞*")=1,COUNTIF(IF(AND(配装计算器!$K$30&lt;&gt;"∞",0),INDEX(AU213:CB213,1,$AT$1),INDEX(AU215:CB215,1,$AT$1)),"*玉山*")=0),N214,0)</f>
        <v>0</v>
      </c>
      <c r="P214">
        <f ca="1">IFERROR(IF(COUNTIF(B214,"*云栖松*")&gt;0,50-加速!$L$11,MAX(0,P213-(A214-A213))),0)</f>
        <v>0</v>
      </c>
      <c r="Q214">
        <f ca="1">IF(COUNTIF(IF(AND(配装计算器!$K$30&lt;&gt;"∞",0),INDEX(AU213:CB213,1,$AT$1),INDEX(AU215:CB215,1,$AT$1)),"*云栖松*")=1,P214,0)</f>
        <v>0</v>
      </c>
      <c r="R214">
        <f ca="1">IFERROR(IF(COUNTIF(B214,"*莺鸣柳*")&gt;0,45-加速!$L$9,MAX(0,R213-(A214-A213))),0)</f>
        <v>0</v>
      </c>
      <c r="S214">
        <f ca="1">IF(COUNTIF(IF(AND(配装计算器!$K$30&lt;&gt;"∞",0),INDEX(AU213:CB213,1,$AT$1),INDEX(AU215:CB215,1,$AT$1)),"*莺鸣柳*")=1,R214,0)</f>
        <v>0</v>
      </c>
      <c r="T214">
        <f ca="1" t="shared" si="50"/>
        <v>0</v>
      </c>
      <c r="U214">
        <f ca="1">IF(金蛇,IF(COUNTIF(B214,"*金环戴*")+COUNTIF(B214,"*吹风醒*")&gt;0,IF(A214&lt;=3,7.125-2.625-A214-加速!$L$11,7.125+加速!$K$9-(A214+加速!$L$11-T214)),0),0)+IF(金蛇,IF(COUNTIF(B214,"*千切子裂光*")&gt;0,2+加速!$K$9-(A214+加速!$L$11-T214),0),0)</f>
        <v>0</v>
      </c>
      <c r="V214">
        <f ca="1" t="shared" si="51"/>
        <v>0</v>
      </c>
      <c r="W214">
        <f ca="1" t="shared" si="43"/>
        <v>0</v>
      </c>
      <c r="X214">
        <f ca="1">INDEX(加速!$I$13:$I$21,技能数计算!W214+1)</f>
        <v>0</v>
      </c>
      <c r="Y214">
        <f ca="1" t="shared" si="47"/>
        <v>0.5</v>
      </c>
      <c r="Z214">
        <f ca="1" t="shared" si="48"/>
        <v>0</v>
      </c>
      <c r="AA214">
        <f ca="1">MAX(0,IFERROR(IF(COUNTIF(B214,"*叠*")&gt;0,IF(AC213&lt;3,8-A215+A214,AA213+6.875-A215+A214),AA213-A215+A214),AA213-加速!$L$11))</f>
        <v>0</v>
      </c>
      <c r="AB214" t="e">
        <f ca="1">MAX(0,IF(COUNTIF(IF(AND(配装计算器!$K$30&lt;&gt;"∞",0),INDEX(AU214:CB214,1,$AT$1),INDEX(AU214:CB214,1,$AT$1)),"*叠1*")=1,4*25-加速!$L$11,AB213-A214+A213)-IF(OR(COUNTIF(OFFSET(AT214,0,$AT$1,1,1),"*听雷*")&gt;0,AND(碧归&gt;0,COUNTIF(OFFSET(AT214,0,$AT$1,1,1),"*风来*")&gt;0)),0,1)*1.5)</f>
        <v>#VALUE!</v>
      </c>
      <c r="AC214">
        <f ca="1" t="shared" si="44"/>
        <v>3</v>
      </c>
      <c r="AD214">
        <f ca="1">IF(COUNTIF(IF(AND(配装计算器!$K$30&lt;&gt;"∞",0),INDEX(AU214:CB214,1,$AT$1),INDEX(AU215:CB215,1,$AT$1)),"*叠1*")=1,AB214*0+AE213,0)</f>
        <v>0</v>
      </c>
      <c r="AE214" t="e">
        <f ca="1">IF($AN$11&gt;0,IF(COUNTIF(B215,"*叠1*")&gt;0,50-加速!$H$11,MAX(0,AE213-(A215-A214))),0)</f>
        <v>#VALUE!</v>
      </c>
      <c r="AU214" s="176" t="s">
        <v>2768</v>
      </c>
      <c r="AV214">
        <v>2</v>
      </c>
      <c r="AW214" s="176" t="s">
        <v>2776</v>
      </c>
      <c r="AX214">
        <v>2</v>
      </c>
      <c r="AY214" t="s">
        <v>2768</v>
      </c>
      <c r="AZ214">
        <v>2</v>
      </c>
      <c r="BA214" t="s">
        <v>2768</v>
      </c>
      <c r="BB214">
        <v>2</v>
      </c>
      <c r="BC214" t="s">
        <v>2768</v>
      </c>
      <c r="BD214">
        <v>2</v>
      </c>
      <c r="BE214" t="s">
        <v>2768</v>
      </c>
      <c r="BF214">
        <v>2</v>
      </c>
      <c r="BG214" t="s">
        <v>2768</v>
      </c>
      <c r="BH214">
        <v>2</v>
      </c>
      <c r="BI214" s="176" t="s">
        <v>2776</v>
      </c>
      <c r="BJ214">
        <v>0</v>
      </c>
      <c r="BK214" t="s">
        <v>2768</v>
      </c>
      <c r="BL214">
        <v>2</v>
      </c>
      <c r="BM214" s="176" t="s">
        <v>2794</v>
      </c>
      <c r="BN214">
        <v>2</v>
      </c>
      <c r="BO214" t="str">
        <f>IF(0,"云飞玉皇-玉山揽云","夕照雷峰")</f>
        <v>夕照雷峰</v>
      </c>
      <c r="BP214">
        <v>2</v>
      </c>
      <c r="BQ214" t="s">
        <v>2776</v>
      </c>
      <c r="BR214">
        <v>1</v>
      </c>
      <c r="BS214" t="s">
        <v>2768</v>
      </c>
      <c r="BT214">
        <v>2</v>
      </c>
      <c r="BU214" t="s">
        <v>2768</v>
      </c>
      <c r="BV214">
        <v>2</v>
      </c>
      <c r="BW214" s="182" t="s">
        <v>2808</v>
      </c>
      <c r="BX214" s="179">
        <v>2</v>
      </c>
      <c r="BY214" s="180" t="s">
        <v>2789</v>
      </c>
      <c r="BZ214">
        <v>2</v>
      </c>
      <c r="CA214" s="176" t="s">
        <v>2776</v>
      </c>
      <c r="CB214">
        <v>2</v>
      </c>
    </row>
    <row r="215" spans="1:80">
      <c r="A215" s="178" t="str">
        <f ca="1">IFERROR(IF(A214+加速!$L$11&lt;$AS$1,IF(COUNTIF(B214,"*轻*")&gt;0,A214+加速!$L$9,A214+加速!$L$11)+V214,IF(COUNTIF(INDEX(AU215:CB215,1,$AT$1),"*云景*")+COUNTIF(INDEX(AU215:CB215,1,$AT$1),"*鹤归*")+COUNTIF(INDEX(AU215:CB215,1,$AT$1),"*听雷*")&gt;0,A214+加速!$L$11,"")),"")</f>
        <v/>
      </c>
      <c r="B215" s="167" t="str">
        <f ca="1">IF(A215&lt;&gt;"",IF(AND(A215+加速!$L$11&gt;$AS$1,IF(AND(配装计算器!$K$30&lt;&gt;"∞",0),"梦泉虎跑-轻",INDEX(AU215:CB215,1,$AT$1))="云栖松"),"夕照雷峰",IF(AND(配装计算器!$K$30&lt;&gt;"∞",0),"梦泉虎跑-轻",INDEX(AU215:CB215,1,$AT$1))),"")</f>
        <v/>
      </c>
      <c r="C215" t="str">
        <f ca="1" t="shared" si="49"/>
        <v/>
      </c>
      <c r="D215" t="str">
        <f ca="1">IF(B215&lt;&gt;"",IF(C214&lt;=加速!$L$11*(1-E215),0,1),"")</f>
        <v/>
      </c>
      <c r="E215">
        <f ca="1" t="shared" si="45"/>
        <v>1</v>
      </c>
      <c r="G215" t="str">
        <f ca="1" t="shared" si="46"/>
        <v/>
      </c>
      <c r="H215" t="str">
        <f ca="1">IF(B215&lt;&gt;"",IF(AND(COUNTIF(B214,"*轻*莺鸣柳*")&gt;0,COUNTIF(B215,"*轻*")&lt;1),MAX(0,15+I214-(A215-A214)+COUNTIF(B214,"*平湖*")*0),IF(AND(E215=0,MAX(0,H214-(A215-A214))&lt;=加速!$H$11),0,MAX(0,H214-(A215-A214)))),"")</f>
        <v/>
      </c>
      <c r="I215" t="str">
        <f ca="1" t="shared" si="52"/>
        <v/>
      </c>
      <c r="J215" t="str">
        <f ca="1" t="shared" si="53"/>
        <v/>
      </c>
      <c r="K215" t="str">
        <f ca="1">IF(A215&lt;&gt;"",IF(AND(配装计算器!$K$30&lt;&gt;"∞",0),2,INDEX(AU215:CB215,1,$AT$2)),"")</f>
        <v/>
      </c>
      <c r="L215">
        <f ca="1">IFERROR(IF(AND(COUNTIF(B215,"*-峰插*"),技能数据库!$M$72&gt;0),0,IF(COUNTIF(B215,"*鹤归*")&gt;0,16-加速!$L$11,MAX(0,L214-(A215-A214)))),0)</f>
        <v>0</v>
      </c>
      <c r="M215">
        <f ca="1">IF(COUNTIF(IF(AND(配装计算器!$K$30&lt;&gt;"∞",0),INDEX(AU214:CB214,1,$AT$1),INDEX(AU216:CB216,1,$AT$1)),"*鹤归*")=1,L215,0)</f>
        <v>0</v>
      </c>
      <c r="N215">
        <f ca="1">IFERROR(IF(AND(COUNTIF(B215,"*-峰插*"),技能数据库!$M$72&gt;0),0,IF(COUNTIF(B215,"*云飞*")&gt;0,4-COUNTIF(B215,"*玉山揽云*")*4--COUNTIF(B215,"*烟流暮景*")*4-COUNTIF(B215,"*云景*")*加速!$L$11-IF(J215&gt;0,2,0),MAX(0,N214-(A215-A214)-IF(J215&gt;0,2,0)))),0)</f>
        <v>0</v>
      </c>
      <c r="O215">
        <f ca="1">IF(AND(COUNTIF(IF(AND(配装计算器!$K$30&lt;&gt;"∞",0),INDEX(AU214:CB214,1,$AT$1),INDEX(AU216:CB216,1,$AT$1)),"*云飞*")=1,COUNTIF(IF(AND(配装计算器!$K$30&lt;&gt;"∞",0),INDEX(AU214:CB214,1,$AT$1),INDEX(AU216:CB216,1,$AT$1)),"*玉山*")=0),N215,0)</f>
        <v>0</v>
      </c>
      <c r="P215">
        <f ca="1">IFERROR(IF(COUNTIF(B215,"*云栖松*")&gt;0,50-加速!$L$11,MAX(0,P214-(A215-A214))),0)</f>
        <v>0</v>
      </c>
      <c r="Q215">
        <f ca="1">IF(COUNTIF(IF(AND(配装计算器!$K$30&lt;&gt;"∞",0),INDEX(AU214:CB214,1,$AT$1),INDEX(AU216:CB216,1,$AT$1)),"*云栖松*")=1,P215,0)</f>
        <v>0</v>
      </c>
      <c r="R215">
        <f ca="1">IFERROR(IF(COUNTIF(B215,"*莺鸣柳*")&gt;0,45-加速!$L$9,MAX(0,R214-(A215-A214))),0)</f>
        <v>0</v>
      </c>
      <c r="S215">
        <f ca="1">IF(COUNTIF(IF(AND(配装计算器!$K$30&lt;&gt;"∞",0),INDEX(AU214:CB214,1,$AT$1),INDEX(AU216:CB216,1,$AT$1)),"*莺鸣柳*")=1,R215,0)</f>
        <v>0</v>
      </c>
      <c r="T215">
        <f ca="1" t="shared" si="50"/>
        <v>0</v>
      </c>
      <c r="U215">
        <f ca="1">IF(金蛇,IF(COUNTIF(B215,"*金环戴*")+COUNTIF(B215,"*吹风醒*")&gt;0,IF(A215&lt;=3,7.125-2.625-A215-加速!$L$11,7.125+加速!$K$9-(A215+加速!$L$11-T215)),0),0)+IF(金蛇,IF(COUNTIF(B215,"*千切子裂光*")&gt;0,2+加速!$K$9-(A215+加速!$L$11-T215),0),0)</f>
        <v>0</v>
      </c>
      <c r="V215">
        <f ca="1" t="shared" si="51"/>
        <v>0</v>
      </c>
      <c r="W215">
        <f ca="1" t="shared" si="43"/>
        <v>0</v>
      </c>
      <c r="X215">
        <f ca="1">INDEX(加速!$I$13:$I$21,技能数计算!W215+1)</f>
        <v>0</v>
      </c>
      <c r="Y215">
        <f ca="1" t="shared" si="47"/>
        <v>0.5</v>
      </c>
      <c r="Z215">
        <f ca="1" t="shared" si="48"/>
        <v>0</v>
      </c>
      <c r="AA215">
        <f ca="1">MAX(0,IFERROR(IF(COUNTIF(B215,"*叠*")&gt;0,IF(AC214&lt;3,8-A216+A215,AA214+6.875-A216+A215),AA214-A216+A215),AA214-加速!$L$11))</f>
        <v>0</v>
      </c>
      <c r="AB215" t="e">
        <f ca="1">MAX(0,IF(COUNTIF(IF(AND(配装计算器!$K$30&lt;&gt;"∞",0),INDEX(AU215:CB215,1,$AT$1),INDEX(AU215:CB215,1,$AT$1)),"*叠1*")=1,4*25-加速!$L$11,AB214-A215+A214)-IF(OR(COUNTIF(OFFSET(AT215,0,$AT$1,1,1),"*听雷*")&gt;0,AND(碧归&gt;0,COUNTIF(OFFSET(AT215,0,$AT$1,1,1),"*风来*")&gt;0)),0,1)*1.5)</f>
        <v>#VALUE!</v>
      </c>
      <c r="AC215">
        <f ca="1" t="shared" si="44"/>
        <v>3</v>
      </c>
      <c r="AD215">
        <f ca="1">IF(COUNTIF(IF(AND(配装计算器!$K$30&lt;&gt;"∞",0),INDEX(AU215:CB215,1,$AT$1),INDEX(AU216:CB216,1,$AT$1)),"*叠1*")=1,AB215*0+AE214,0)</f>
        <v>0</v>
      </c>
      <c r="AE215" t="e">
        <f ca="1">IF($AN$11&gt;0,IF(COUNTIF(B216,"*叠1*")&gt;0,50-加速!$H$11,MAX(0,AE214-(A216-A215))),0)</f>
        <v>#VALUE!</v>
      </c>
      <c r="AU215" s="176" t="s">
        <v>2776</v>
      </c>
      <c r="AV215">
        <v>2</v>
      </c>
      <c r="AW215" s="176" t="s">
        <v>2768</v>
      </c>
      <c r="AX215">
        <v>2</v>
      </c>
      <c r="AY215" t="s">
        <v>2768</v>
      </c>
      <c r="AZ215">
        <v>2</v>
      </c>
      <c r="BA215" t="s">
        <v>2768</v>
      </c>
      <c r="BB215">
        <v>1</v>
      </c>
      <c r="BC215" t="s">
        <v>2776</v>
      </c>
      <c r="BD215">
        <v>2</v>
      </c>
      <c r="BE215" t="s">
        <v>2776</v>
      </c>
      <c r="BF215">
        <v>2</v>
      </c>
      <c r="BG215" t="s">
        <v>2768</v>
      </c>
      <c r="BH215">
        <v>2</v>
      </c>
      <c r="BI215" t="s">
        <v>2794</v>
      </c>
      <c r="BJ215">
        <v>0</v>
      </c>
      <c r="BK215" t="s">
        <v>3023</v>
      </c>
      <c r="BL215">
        <v>2</v>
      </c>
      <c r="BM215" s="176" t="s">
        <v>2776</v>
      </c>
      <c r="BN215">
        <v>2</v>
      </c>
      <c r="BO215" t="str">
        <f>IF(0,"云飞玉皇-玉山揽云","云飞玉皇")</f>
        <v>云飞玉皇</v>
      </c>
      <c r="BP215">
        <v>2</v>
      </c>
      <c r="BQ215" t="s">
        <v>2768</v>
      </c>
      <c r="BR215">
        <v>0</v>
      </c>
      <c r="BS215" t="s">
        <v>2776</v>
      </c>
      <c r="BT215">
        <v>2</v>
      </c>
      <c r="BU215" t="s">
        <v>2776</v>
      </c>
      <c r="BV215">
        <v>2</v>
      </c>
      <c r="BW215" s="179" t="s">
        <v>2768</v>
      </c>
      <c r="BX215" s="179">
        <v>2</v>
      </c>
      <c r="BY215" s="176" t="s">
        <v>2794</v>
      </c>
      <c r="BZ215">
        <v>2</v>
      </c>
      <c r="CA215" s="176" t="s">
        <v>2768</v>
      </c>
      <c r="CB215">
        <v>2</v>
      </c>
    </row>
    <row r="216" spans="1:80">
      <c r="A216" s="178" t="str">
        <f ca="1">IFERROR(IF(A215+加速!$L$11&lt;$AS$1,IF(COUNTIF(B215,"*轻*")&gt;0,A215+加速!$L$9,A215+加速!$L$11)+V215,IF(COUNTIF(INDEX(AU216:CB216,1,$AT$1),"*云景*")+COUNTIF(INDEX(AU216:CB216,1,$AT$1),"*鹤归*")+COUNTIF(INDEX(AU216:CB216,1,$AT$1),"*听雷*")&gt;0,A215+加速!$L$11,"")),"")</f>
        <v/>
      </c>
      <c r="B216" s="167" t="str">
        <f ca="1">IF(A216&lt;&gt;"",IF(AND(A216+加速!$L$11&gt;$AS$1,IF(AND(配装计算器!$K$30&lt;&gt;"∞",0),"梦泉虎跑-轻",INDEX(AU216:CB216,1,$AT$1))="云栖松"),"夕照雷峰",IF(AND(配装计算器!$K$30&lt;&gt;"∞",0),"梦泉虎跑-轻",INDEX(AU216:CB216,1,$AT$1))),"")</f>
        <v/>
      </c>
      <c r="C216" t="str">
        <f ca="1" t="shared" si="49"/>
        <v/>
      </c>
      <c r="D216" t="str">
        <f ca="1">IF(B216&lt;&gt;"",IF(C215&lt;=加速!$L$11*(1-E216),0,1),"")</f>
        <v/>
      </c>
      <c r="E216">
        <f ca="1" t="shared" si="45"/>
        <v>1</v>
      </c>
      <c r="G216" t="str">
        <f ca="1" t="shared" si="46"/>
        <v/>
      </c>
      <c r="H216" t="str">
        <f ca="1">IF(B216&lt;&gt;"",IF(AND(COUNTIF(B215,"*轻*莺鸣柳*")&gt;0,COUNTIF(B216,"*轻*")&lt;1),MAX(0,15+I215-(A216-A215)+COUNTIF(B215,"*平湖*")*0),IF(AND(E216=0,MAX(0,H215-(A216-A215))&lt;=加速!$H$11),0,MAX(0,H215-(A216-A215)))),"")</f>
        <v/>
      </c>
      <c r="I216" t="str">
        <f ca="1" t="shared" si="52"/>
        <v/>
      </c>
      <c r="J216" t="str">
        <f ca="1" t="shared" si="53"/>
        <v/>
      </c>
      <c r="K216" t="str">
        <f ca="1">IF(A216&lt;&gt;"",IF(AND(配装计算器!$K$30&lt;&gt;"∞",0),2,INDEX(AU216:CB216,1,$AT$2)),"")</f>
        <v/>
      </c>
      <c r="L216">
        <f ca="1">IFERROR(IF(AND(COUNTIF(B216,"*-峰插*"),技能数据库!$M$72&gt;0),0,IF(COUNTIF(B216,"*鹤归*")&gt;0,16-加速!$L$11,MAX(0,L215-(A216-A215)))),0)</f>
        <v>0</v>
      </c>
      <c r="M216">
        <f ca="1">IF(COUNTIF(IF(AND(配装计算器!$K$30&lt;&gt;"∞",0),INDEX(AU215:CB215,1,$AT$1),INDEX(AU217:CB217,1,$AT$1)),"*鹤归*")=1,L216,0)</f>
        <v>0</v>
      </c>
      <c r="N216">
        <f ca="1">IFERROR(IF(AND(COUNTIF(B216,"*-峰插*"),技能数据库!$M$72&gt;0),0,IF(COUNTIF(B216,"*云飞*")&gt;0,4-COUNTIF(B216,"*玉山揽云*")*4--COUNTIF(B216,"*烟流暮景*")*4-COUNTIF(B216,"*云景*")*加速!$L$11-IF(J216&gt;0,2,0),MAX(0,N215-(A216-A215)-IF(J216&gt;0,2,0)))),0)</f>
        <v>0</v>
      </c>
      <c r="O216">
        <f ca="1">IF(AND(COUNTIF(IF(AND(配装计算器!$K$30&lt;&gt;"∞",0),INDEX(AU215:CB215,1,$AT$1),INDEX(AU217:CB217,1,$AT$1)),"*云飞*")=1,COUNTIF(IF(AND(配装计算器!$K$30&lt;&gt;"∞",0),INDEX(AU215:CB215,1,$AT$1),INDEX(AU217:CB217,1,$AT$1)),"*玉山*")=0),N216,0)</f>
        <v>0</v>
      </c>
      <c r="P216">
        <f ca="1">IFERROR(IF(COUNTIF(B216,"*云栖松*")&gt;0,50-加速!$L$11,MAX(0,P215-(A216-A215))),0)</f>
        <v>0</v>
      </c>
      <c r="Q216">
        <f ca="1">IF(COUNTIF(IF(AND(配装计算器!$K$30&lt;&gt;"∞",0),INDEX(AU215:CB215,1,$AT$1),INDEX(AU217:CB217,1,$AT$1)),"*云栖松*")=1,P216,0)</f>
        <v>0</v>
      </c>
      <c r="R216">
        <f ca="1">IFERROR(IF(COUNTIF(B216,"*莺鸣柳*")&gt;0,45-加速!$L$9,MAX(0,R215-(A216-A215))),0)</f>
        <v>0</v>
      </c>
      <c r="S216">
        <f ca="1">IF(COUNTIF(IF(AND(配装计算器!$K$30&lt;&gt;"∞",0),INDEX(AU215:CB215,1,$AT$1),INDEX(AU217:CB217,1,$AT$1)),"*莺鸣柳*")=1,R216,0)</f>
        <v>0</v>
      </c>
      <c r="T216">
        <f ca="1" t="shared" si="50"/>
        <v>0</v>
      </c>
      <c r="U216">
        <f ca="1">IF(金蛇,IF(COUNTIF(B216,"*金环戴*")+COUNTIF(B216,"*吹风醒*")&gt;0,IF(A216&lt;=3,7.125-2.625-A216-加速!$L$11,7.125+加速!$K$9-(A216+加速!$L$11-T216)),0),0)+IF(金蛇,IF(COUNTIF(B216,"*千切子裂光*")&gt;0,2+加速!$K$9-(A216+加速!$L$11-T216),0),0)</f>
        <v>0</v>
      </c>
      <c r="V216">
        <f ca="1" t="shared" si="51"/>
        <v>0</v>
      </c>
      <c r="W216">
        <f ca="1" t="shared" si="43"/>
        <v>0</v>
      </c>
      <c r="X216">
        <f ca="1">INDEX(加速!$I$13:$I$21,技能数计算!W216+1)</f>
        <v>0</v>
      </c>
      <c r="Y216">
        <f ca="1" t="shared" si="47"/>
        <v>0.5</v>
      </c>
      <c r="Z216">
        <f ca="1" t="shared" si="48"/>
        <v>0</v>
      </c>
      <c r="AA216">
        <f ca="1">MAX(0,IFERROR(IF(COUNTIF(B216,"*叠*")&gt;0,IF(AC215&lt;3,8-A217+A216,AA215+6.875-A217+A216),AA215-A217+A216),AA215-加速!$L$11))</f>
        <v>0</v>
      </c>
      <c r="AB216" t="e">
        <f ca="1">MAX(0,IF(COUNTIF(IF(AND(配装计算器!$K$30&lt;&gt;"∞",0),INDEX(AU216:CB216,1,$AT$1),INDEX(AU216:CB216,1,$AT$1)),"*叠1*")=1,4*25-加速!$L$11,AB215-A216+A215)-IF(OR(COUNTIF(OFFSET(AT216,0,$AT$1,1,1),"*听雷*")&gt;0,AND(碧归&gt;0,COUNTIF(OFFSET(AT216,0,$AT$1,1,1),"*风来*")&gt;0)),0,1)*1.5)</f>
        <v>#VALUE!</v>
      </c>
      <c r="AC216">
        <f ca="1" t="shared" si="44"/>
        <v>3</v>
      </c>
      <c r="AD216">
        <f ca="1">IF(COUNTIF(IF(AND(配装计算器!$K$30&lt;&gt;"∞",0),INDEX(AU216:CB216,1,$AT$1),INDEX(AU217:CB217,1,$AT$1)),"*叠1*")=1,AB216*0+AE215,0)</f>
        <v>0</v>
      </c>
      <c r="AE216" t="e">
        <f ca="1">IF($AN$11&gt;0,IF(COUNTIF(B217,"*叠1*")&gt;0,50-加速!$H$11,MAX(0,AE215-(A217-A216))),0)</f>
        <v>#VALUE!</v>
      </c>
      <c r="AU216" s="176" t="s">
        <v>2768</v>
      </c>
      <c r="AV216">
        <v>1</v>
      </c>
      <c r="AW216" s="176" t="s">
        <v>2808</v>
      </c>
      <c r="AX216">
        <v>2</v>
      </c>
      <c r="AY216" t="s">
        <v>2768</v>
      </c>
      <c r="AZ216">
        <v>1</v>
      </c>
      <c r="BA216" t="s">
        <v>2776</v>
      </c>
      <c r="BB216">
        <v>1</v>
      </c>
      <c r="BC216" t="s">
        <v>2768</v>
      </c>
      <c r="BD216">
        <v>2</v>
      </c>
      <c r="BE216" t="s">
        <v>3042</v>
      </c>
      <c r="BF216">
        <v>2</v>
      </c>
      <c r="BG216" s="176" t="s">
        <v>2794</v>
      </c>
      <c r="BH216">
        <v>1</v>
      </c>
      <c r="BI216" t="s">
        <v>2768</v>
      </c>
      <c r="BJ216">
        <v>2</v>
      </c>
      <c r="BK216" t="s">
        <v>2768</v>
      </c>
      <c r="BL216">
        <v>2</v>
      </c>
      <c r="BM216" s="176" t="s">
        <v>2768</v>
      </c>
      <c r="BN216">
        <v>2</v>
      </c>
      <c r="BO216" s="176" t="str">
        <f>IF(秋,"夕照雷峰","千切子寒光-千切子裂光")</f>
        <v>千切子寒光-千切子裂光</v>
      </c>
      <c r="BP216">
        <v>2</v>
      </c>
      <c r="BQ216" t="str">
        <f>IF(秋,"云栖松","泉凝月")</f>
        <v>泉凝月</v>
      </c>
      <c r="BR216">
        <v>0</v>
      </c>
      <c r="BS216" t="s">
        <v>2768</v>
      </c>
      <c r="BT216">
        <v>2</v>
      </c>
      <c r="BU216" t="s">
        <v>2768</v>
      </c>
      <c r="BV216">
        <v>1</v>
      </c>
      <c r="BW216" s="179" t="s">
        <v>2776</v>
      </c>
      <c r="BX216" s="179">
        <v>2</v>
      </c>
      <c r="BY216" s="176" t="s">
        <v>2776</v>
      </c>
      <c r="BZ216">
        <v>2</v>
      </c>
      <c r="CA216" s="176" t="s">
        <v>2808</v>
      </c>
      <c r="CB216">
        <v>2</v>
      </c>
    </row>
    <row r="217" spans="1:80">
      <c r="A217" s="178" t="str">
        <f ca="1">IFERROR(IF(A216+加速!$L$11&lt;$AS$1,IF(COUNTIF(B216,"*轻*")&gt;0,A216+加速!$L$9,A216+加速!$L$11)+V216,IF(COUNTIF(INDEX(AU217:CB217,1,$AT$1),"*云景*")+COUNTIF(INDEX(AU217:CB217,1,$AT$1),"*鹤归*")+COUNTIF(INDEX(AU217:CB217,1,$AT$1),"*听雷*")&gt;0,A216+加速!$L$11,"")),"")</f>
        <v/>
      </c>
      <c r="B217" s="167" t="str">
        <f ca="1">IF(A217&lt;&gt;"",IF(AND(A217+加速!$L$11&gt;$AS$1,IF(AND(配装计算器!$K$30&lt;&gt;"∞",0),"梦泉虎跑-轻",INDEX(AU217:CB217,1,$AT$1))="云栖松"),"夕照雷峰",IF(AND(配装计算器!$K$30&lt;&gt;"∞",0),"梦泉虎跑-轻",INDEX(AU217:CB217,1,$AT$1))),"")</f>
        <v/>
      </c>
      <c r="C217" t="str">
        <f ca="1" t="shared" si="49"/>
        <v/>
      </c>
      <c r="D217" t="str">
        <f ca="1">IF(B217&lt;&gt;"",IF(C216&lt;=加速!$L$11*(1-E217),0,1),"")</f>
        <v/>
      </c>
      <c r="E217">
        <f ca="1" t="shared" si="45"/>
        <v>1</v>
      </c>
      <c r="G217" t="str">
        <f ca="1" t="shared" si="46"/>
        <v/>
      </c>
      <c r="H217" t="str">
        <f ca="1">IF(B217&lt;&gt;"",IF(AND(COUNTIF(B216,"*轻*莺鸣柳*")&gt;0,COUNTIF(B217,"*轻*")&lt;1),MAX(0,15+I216-(A217-A216)+COUNTIF(B216,"*平湖*")*0),IF(AND(E217=0,MAX(0,H216-(A217-A216))&lt;=加速!$H$11),0,MAX(0,H216-(A217-A216)))),"")</f>
        <v/>
      </c>
      <c r="I217" t="str">
        <f ca="1" t="shared" si="52"/>
        <v/>
      </c>
      <c r="J217" t="str">
        <f ca="1" t="shared" si="53"/>
        <v/>
      </c>
      <c r="K217" t="str">
        <f ca="1">IF(A217&lt;&gt;"",IF(AND(配装计算器!$K$30&lt;&gt;"∞",0),2,INDEX(AU217:CB217,1,$AT$2)),"")</f>
        <v/>
      </c>
      <c r="L217">
        <f ca="1">IFERROR(IF(AND(COUNTIF(B217,"*-峰插*"),技能数据库!$M$72&gt;0),0,IF(COUNTIF(B217,"*鹤归*")&gt;0,16-加速!$L$11,MAX(0,L216-(A217-A216)))),0)</f>
        <v>0</v>
      </c>
      <c r="M217">
        <f ca="1">IF(COUNTIF(IF(AND(配装计算器!$K$30&lt;&gt;"∞",0),INDEX(AU216:CB216,1,$AT$1),INDEX(AU218:CB218,1,$AT$1)),"*鹤归*")=1,L217,0)</f>
        <v>0</v>
      </c>
      <c r="N217">
        <f ca="1">IFERROR(IF(AND(COUNTIF(B217,"*-峰插*"),技能数据库!$M$72&gt;0),0,IF(COUNTIF(B217,"*云飞*")&gt;0,4-COUNTIF(B217,"*玉山揽云*")*4--COUNTIF(B217,"*烟流暮景*")*4-COUNTIF(B217,"*云景*")*加速!$L$11-IF(J217&gt;0,2,0),MAX(0,N216-(A217-A216)-IF(J217&gt;0,2,0)))),0)</f>
        <v>0</v>
      </c>
      <c r="O217">
        <f ca="1">IF(AND(COUNTIF(IF(AND(配装计算器!$K$30&lt;&gt;"∞",0),INDEX(AU216:CB216,1,$AT$1),INDEX(AU218:CB218,1,$AT$1)),"*云飞*")=1,COUNTIF(IF(AND(配装计算器!$K$30&lt;&gt;"∞",0),INDEX(AU216:CB216,1,$AT$1),INDEX(AU218:CB218,1,$AT$1)),"*玉山*")=0),N217,0)</f>
        <v>0</v>
      </c>
      <c r="P217">
        <f ca="1">IFERROR(IF(COUNTIF(B217,"*云栖松*")&gt;0,50-加速!$L$11,MAX(0,P216-(A217-A216))),0)</f>
        <v>0</v>
      </c>
      <c r="Q217">
        <f ca="1">IF(COUNTIF(IF(AND(配装计算器!$K$30&lt;&gt;"∞",0),INDEX(AU216:CB216,1,$AT$1),INDEX(AU218:CB218,1,$AT$1)),"*云栖松*")=1,P217,0)</f>
        <v>0</v>
      </c>
      <c r="R217">
        <f ca="1">IFERROR(IF(COUNTIF(B217,"*莺鸣柳*")&gt;0,45-加速!$L$9,MAX(0,R216-(A217-A216))),0)</f>
        <v>0</v>
      </c>
      <c r="S217">
        <f ca="1">IF(COUNTIF(IF(AND(配装计算器!$K$30&lt;&gt;"∞",0),INDEX(AU216:CB216,1,$AT$1),INDEX(AU218:CB218,1,$AT$1)),"*莺鸣柳*")=1,R217,0)</f>
        <v>0</v>
      </c>
      <c r="T217">
        <f ca="1" t="shared" si="50"/>
        <v>0</v>
      </c>
      <c r="U217">
        <f ca="1">IF(金蛇,IF(COUNTIF(B217,"*金环戴*")+COUNTIF(B217,"*吹风醒*")&gt;0,IF(A217&lt;=3,7.125-2.625-A217-加速!$L$11,7.125+加速!$K$9-(A217+加速!$L$11-T217)),0),0)+IF(金蛇,IF(COUNTIF(B217,"*千切子裂光*")&gt;0,2+加速!$K$9-(A217+加速!$L$11-T217),0),0)</f>
        <v>0</v>
      </c>
      <c r="V217">
        <f ca="1" t="shared" si="51"/>
        <v>0</v>
      </c>
      <c r="W217">
        <f ca="1" t="shared" si="43"/>
        <v>0</v>
      </c>
      <c r="X217">
        <f ca="1">INDEX(加速!$I$13:$I$21,技能数计算!W217+1)</f>
        <v>0</v>
      </c>
      <c r="Y217">
        <f ca="1" t="shared" si="47"/>
        <v>0.5</v>
      </c>
      <c r="Z217">
        <f ca="1" t="shared" si="48"/>
        <v>0</v>
      </c>
      <c r="AA217">
        <f ca="1">MAX(0,IFERROR(IF(COUNTIF(B217,"*叠*")&gt;0,IF(AC216&lt;3,8-A218+A217,AA216+6.875-A218+A217),AA216-A218+A217),AA216-加速!$L$11))</f>
        <v>0</v>
      </c>
      <c r="AB217" t="e">
        <f ca="1">MAX(0,IF(COUNTIF(IF(AND(配装计算器!$K$30&lt;&gt;"∞",0),INDEX(AU217:CB217,1,$AT$1),INDEX(AU217:CB217,1,$AT$1)),"*叠1*")=1,4*25-加速!$L$11,AB216-A217+A216)-IF(OR(COUNTIF(OFFSET(AT217,0,$AT$1,1,1),"*听雷*")&gt;0,AND(碧归&gt;0,COUNTIF(OFFSET(AT217,0,$AT$1,1,1),"*风来*")&gt;0)),0,1)*1.5)</f>
        <v>#VALUE!</v>
      </c>
      <c r="AC217">
        <f ca="1" t="shared" si="44"/>
        <v>3</v>
      </c>
      <c r="AD217">
        <f ca="1">IF(COUNTIF(IF(AND(配装计算器!$K$30&lt;&gt;"∞",0),INDEX(AU217:CB217,1,$AT$1),INDEX(AU218:CB218,1,$AT$1)),"*叠1*")=1,AB217*0+AE216,0)</f>
        <v>0</v>
      </c>
      <c r="AE217" t="e">
        <f ca="1">IF($AN$11&gt;0,IF(COUNTIF(B218,"*叠1*")&gt;0,50-加速!$H$11,MAX(0,AE216-(A218-A217))),0)</f>
        <v>#VALUE!</v>
      </c>
      <c r="AU217" t="s">
        <v>2776</v>
      </c>
      <c r="AV217">
        <v>1</v>
      </c>
      <c r="AW217" t="s">
        <v>2768</v>
      </c>
      <c r="AX217">
        <v>2</v>
      </c>
      <c r="AY217" t="s">
        <v>2776</v>
      </c>
      <c r="AZ217">
        <v>1</v>
      </c>
      <c r="BA217" t="s">
        <v>2768</v>
      </c>
      <c r="BB217">
        <v>1</v>
      </c>
      <c r="BC217" t="s">
        <v>2776</v>
      </c>
      <c r="BD217">
        <v>2</v>
      </c>
      <c r="BE217" t="s">
        <v>2808</v>
      </c>
      <c r="BF217">
        <v>2</v>
      </c>
      <c r="BG217" t="s">
        <v>2776</v>
      </c>
      <c r="BH217">
        <v>1</v>
      </c>
      <c r="BI217" t="s">
        <v>2776</v>
      </c>
      <c r="BJ217">
        <v>2</v>
      </c>
      <c r="BK217" t="s">
        <v>2808</v>
      </c>
      <c r="BL217">
        <v>2</v>
      </c>
      <c r="BM217" s="176" t="s">
        <v>2776</v>
      </c>
      <c r="BN217">
        <v>2</v>
      </c>
      <c r="BO217" s="176" t="str">
        <f>IF(秋,"夕照雷峰","夕照雷峰")</f>
        <v>夕照雷峰</v>
      </c>
      <c r="BP217">
        <v>2</v>
      </c>
      <c r="BQ217" t="s">
        <v>2768</v>
      </c>
      <c r="BR217">
        <v>0</v>
      </c>
      <c r="BS217" t="s">
        <v>2776</v>
      </c>
      <c r="BT217">
        <v>1</v>
      </c>
      <c r="BU217" t="s">
        <v>2776</v>
      </c>
      <c r="BV217">
        <v>1</v>
      </c>
      <c r="BW217" s="179" t="s">
        <v>2768</v>
      </c>
      <c r="BX217" s="179">
        <v>2</v>
      </c>
      <c r="BY217" s="176" t="s">
        <v>2768</v>
      </c>
      <c r="BZ217">
        <v>2</v>
      </c>
      <c r="CA217" t="str">
        <f>IF(0,"风来吴山","风来吴山")</f>
        <v>风来吴山</v>
      </c>
      <c r="CB217">
        <v>2</v>
      </c>
    </row>
    <row r="218" spans="1:80">
      <c r="A218" s="178" t="str">
        <f ca="1">IFERROR(IF(A217+加速!$L$11&lt;$AS$1,IF(COUNTIF(B217,"*轻*")&gt;0,A217+加速!$L$9,A217+加速!$L$11)+V217,IF(COUNTIF(INDEX(AU218:CB218,1,$AT$1),"*云景*")+COUNTIF(INDEX(AU218:CB218,1,$AT$1),"*鹤归*")+COUNTIF(INDEX(AU218:CB218,1,$AT$1),"*听雷*")&gt;0,A217+加速!$L$11,"")),"")</f>
        <v/>
      </c>
      <c r="B218" s="167" t="str">
        <f ca="1">IF(A218&lt;&gt;"",IF(AND(A218+加速!$L$11&gt;$AS$1,IF(AND(配装计算器!$K$30&lt;&gt;"∞",0),"梦泉虎跑-轻",INDEX(AU218:CB218,1,$AT$1))="云栖松"),"夕照雷峰",IF(AND(配装计算器!$K$30&lt;&gt;"∞",0),"梦泉虎跑-轻",INDEX(AU218:CB218,1,$AT$1))),"")</f>
        <v/>
      </c>
      <c r="C218" t="str">
        <f ca="1" t="shared" si="49"/>
        <v/>
      </c>
      <c r="D218" t="str">
        <f ca="1">IF(B218&lt;&gt;"",IF(C217&lt;=加速!$L$11*(1-E218),0,1),"")</f>
        <v/>
      </c>
      <c r="E218">
        <f ca="1" t="shared" si="45"/>
        <v>1</v>
      </c>
      <c r="G218" t="str">
        <f ca="1" t="shared" si="46"/>
        <v/>
      </c>
      <c r="H218" t="str">
        <f ca="1">IF(B218&lt;&gt;"",IF(AND(COUNTIF(B217,"*轻*莺鸣柳*")&gt;0,COUNTIF(B218,"*轻*")&lt;1),MAX(0,15+I217-(A218-A217)+COUNTIF(B217,"*平湖*")*0),IF(AND(E218=0,MAX(0,H217-(A218-A217))&lt;=加速!$H$11),0,MAX(0,H217-(A218-A217)))),"")</f>
        <v/>
      </c>
      <c r="I218" t="str">
        <f ca="1" t="shared" si="52"/>
        <v/>
      </c>
      <c r="J218" t="str">
        <f ca="1" t="shared" si="53"/>
        <v/>
      </c>
      <c r="K218" t="str">
        <f ca="1">IF(A218&lt;&gt;"",IF(AND(配装计算器!$K$30&lt;&gt;"∞",0),2,INDEX(AU218:CB218,1,$AT$2)),"")</f>
        <v/>
      </c>
      <c r="L218">
        <f ca="1">IFERROR(IF(AND(COUNTIF(B218,"*-峰插*"),技能数据库!$M$72&gt;0),0,IF(COUNTIF(B218,"*鹤归*")&gt;0,16-加速!$L$11,MAX(0,L217-(A218-A217)))),0)</f>
        <v>0</v>
      </c>
      <c r="M218">
        <f ca="1">IF(COUNTIF(IF(AND(配装计算器!$K$30&lt;&gt;"∞",0),INDEX(AU217:CB217,1,$AT$1),INDEX(AU219:CB219,1,$AT$1)),"*鹤归*")=1,L218,0)</f>
        <v>0</v>
      </c>
      <c r="N218">
        <f ca="1">IFERROR(IF(AND(COUNTIF(B218,"*-峰插*"),技能数据库!$M$72&gt;0),0,IF(COUNTIF(B218,"*云飞*")&gt;0,4-COUNTIF(B218,"*玉山揽云*")*4--COUNTIF(B218,"*烟流暮景*")*4-COUNTIF(B218,"*云景*")*加速!$L$11-IF(J218&gt;0,2,0),MAX(0,N217-(A218-A217)-IF(J218&gt;0,2,0)))),0)</f>
        <v>0</v>
      </c>
      <c r="O218">
        <f ca="1">IF(AND(COUNTIF(IF(AND(配装计算器!$K$30&lt;&gt;"∞",0),INDEX(AU217:CB217,1,$AT$1),INDEX(AU219:CB219,1,$AT$1)),"*云飞*")=1,COUNTIF(IF(AND(配装计算器!$K$30&lt;&gt;"∞",0),INDEX(AU217:CB217,1,$AT$1),INDEX(AU219:CB219,1,$AT$1)),"*玉山*")=0),N218,0)</f>
        <v>0</v>
      </c>
      <c r="P218">
        <f ca="1">IFERROR(IF(COUNTIF(B218,"*云栖松*")&gt;0,50-加速!$L$11,MAX(0,P217-(A218-A217))),0)</f>
        <v>0</v>
      </c>
      <c r="Q218">
        <f ca="1">IF(COUNTIF(IF(AND(配装计算器!$K$30&lt;&gt;"∞",0),INDEX(AU217:CB217,1,$AT$1),INDEX(AU219:CB219,1,$AT$1)),"*云栖松*")=1,P218,0)</f>
        <v>0</v>
      </c>
      <c r="R218">
        <f ca="1">IFERROR(IF(COUNTIF(B218,"*莺鸣柳*")&gt;0,45-加速!$L$9,MAX(0,R217-(A218-A217))),0)</f>
        <v>0</v>
      </c>
      <c r="S218">
        <f ca="1">IF(COUNTIF(IF(AND(配装计算器!$K$30&lt;&gt;"∞",0),INDEX(AU217:CB217,1,$AT$1),INDEX(AU219:CB219,1,$AT$1)),"*莺鸣柳*")=1,R218,0)</f>
        <v>0</v>
      </c>
      <c r="T218">
        <f ca="1" t="shared" si="50"/>
        <v>0</v>
      </c>
      <c r="U218">
        <f ca="1">IF(金蛇,IF(COUNTIF(B218,"*金环戴*")+COUNTIF(B218,"*吹风醒*")&gt;0,IF(A218&lt;=3,7.125-2.625-A218-加速!$L$11,7.125+加速!$K$9-(A218+加速!$L$11-T218)),0),0)+IF(金蛇,IF(COUNTIF(B218,"*千切子裂光*")&gt;0,2+加速!$K$9-(A218+加速!$L$11-T218),0),0)</f>
        <v>0</v>
      </c>
      <c r="V218">
        <f ca="1" t="shared" si="51"/>
        <v>0</v>
      </c>
      <c r="W218">
        <f ca="1" t="shared" si="43"/>
        <v>0</v>
      </c>
      <c r="X218">
        <f ca="1">INDEX(加速!$I$13:$I$21,技能数计算!W218+1)</f>
        <v>0</v>
      </c>
      <c r="Y218">
        <f ca="1" t="shared" si="47"/>
        <v>0.5</v>
      </c>
      <c r="Z218">
        <f ca="1" t="shared" si="48"/>
        <v>0</v>
      </c>
      <c r="AA218">
        <f ca="1">MAX(0,IFERROR(IF(COUNTIF(B218,"*叠*")&gt;0,IF(AC217&lt;3,8-A219+A218,AA217+6.875-A219+A218),AA217-A219+A218),AA217-加速!$L$11))</f>
        <v>0</v>
      </c>
      <c r="AB218" t="e">
        <f ca="1">MAX(0,IF(COUNTIF(IF(AND(配装计算器!$K$30&lt;&gt;"∞",0),INDEX(AU218:CB218,1,$AT$1),INDEX(AU218:CB218,1,$AT$1)),"*叠1*")=1,4*25-加速!$L$11,AB217-A218+A217)-IF(OR(COUNTIF(OFFSET(AT218,0,$AT$1,1,1),"*听雷*")&gt;0,AND(碧归&gt;0,COUNTIF(OFFSET(AT218,0,$AT$1,1,1),"*风来*")&gt;0)),0,1)*1.5)</f>
        <v>#VALUE!</v>
      </c>
      <c r="AC218">
        <f ca="1" t="shared" si="44"/>
        <v>3</v>
      </c>
      <c r="AD218">
        <f ca="1">IF(COUNTIF(IF(AND(配装计算器!$K$30&lt;&gt;"∞",0),INDEX(AU218:CB218,1,$AT$1),INDEX(AU219:CB219,1,$AT$1)),"*叠1*")=1,AB218*0+AE217,0)</f>
        <v>0</v>
      </c>
      <c r="AE218" t="e">
        <f ca="1">IF($AN$11&gt;0,IF(COUNTIF(B219,"*叠1*")&gt;0,50-加速!$H$11,MAX(0,AE217-(A219-A218))),0)</f>
        <v>#VALUE!</v>
      </c>
      <c r="AU218" t="s">
        <v>2768</v>
      </c>
      <c r="AV218">
        <v>1</v>
      </c>
      <c r="AW218" t="s">
        <v>2776</v>
      </c>
      <c r="AX218">
        <v>2</v>
      </c>
      <c r="AY218" t="s">
        <v>2768</v>
      </c>
      <c r="AZ218">
        <v>1</v>
      </c>
      <c r="BA218" t="s">
        <v>2768</v>
      </c>
      <c r="BB218">
        <v>0</v>
      </c>
      <c r="BC218" t="s">
        <v>2768</v>
      </c>
      <c r="BD218">
        <v>2</v>
      </c>
      <c r="BE218" t="s">
        <v>2768</v>
      </c>
      <c r="BF218">
        <v>2</v>
      </c>
      <c r="BG218" t="s">
        <v>2768</v>
      </c>
      <c r="BH218">
        <v>1</v>
      </c>
      <c r="BI218" t="s">
        <v>2768</v>
      </c>
      <c r="BJ218">
        <v>2</v>
      </c>
      <c r="BK218" t="s">
        <v>2768</v>
      </c>
      <c r="BL218">
        <v>2</v>
      </c>
      <c r="BM218" s="176" t="s">
        <v>2768</v>
      </c>
      <c r="BN218">
        <v>2</v>
      </c>
      <c r="BO218" t="str">
        <f>IF(0,"云飞玉皇-玉山揽云","夕照雷峰")</f>
        <v>夕照雷峰</v>
      </c>
      <c r="BP218">
        <v>2</v>
      </c>
      <c r="BQ218" t="s">
        <v>2776</v>
      </c>
      <c r="BR218">
        <v>0</v>
      </c>
      <c r="BS218" t="s">
        <v>2768</v>
      </c>
      <c r="BT218">
        <v>1</v>
      </c>
      <c r="BU218" t="str">
        <f>IF(秋,"云栖松","泉凝月")</f>
        <v>泉凝月</v>
      </c>
      <c r="BV218">
        <v>0</v>
      </c>
      <c r="BW218" s="179" t="s">
        <v>2768</v>
      </c>
      <c r="BX218" s="179">
        <v>2</v>
      </c>
      <c r="BY218" s="176" t="s">
        <v>2776</v>
      </c>
      <c r="BZ218">
        <v>2</v>
      </c>
      <c r="CA218" t="str">
        <f>IF(0,"云飞玉皇-玉山揽云","云飞玉皇")</f>
        <v>云飞玉皇</v>
      </c>
      <c r="CB218">
        <v>2</v>
      </c>
    </row>
    <row r="219" spans="1:80">
      <c r="A219" s="178" t="str">
        <f ca="1">IFERROR(IF(A218+加速!$L$11&lt;$AS$1,IF(COUNTIF(B218,"*轻*")&gt;0,A218+加速!$L$9,A218+加速!$L$11)+V218,IF(COUNTIF(INDEX(AU219:CB219,1,$AT$1),"*云景*")+COUNTIF(INDEX(AU219:CB219,1,$AT$1),"*鹤归*")+COUNTIF(INDEX(AU219:CB219,1,$AT$1),"*听雷*")&gt;0,A218+加速!$L$11,"")),"")</f>
        <v/>
      </c>
      <c r="B219" s="167" t="str">
        <f ca="1">IF(A219&lt;&gt;"",IF(AND(A219+加速!$L$11&gt;$AS$1,IF(AND(配装计算器!$K$30&lt;&gt;"∞",0),"梦泉虎跑-轻",INDEX(AU219:CB219,1,$AT$1))="云栖松"),"夕照雷峰",IF(AND(配装计算器!$K$30&lt;&gt;"∞",0),"梦泉虎跑-轻",INDEX(AU219:CB219,1,$AT$1))),"")</f>
        <v/>
      </c>
      <c r="C219" t="str">
        <f ca="1" t="shared" si="49"/>
        <v/>
      </c>
      <c r="D219" t="str">
        <f ca="1">IF(B219&lt;&gt;"",IF(C218&lt;=加速!$L$11*(1-E219),0,1),"")</f>
        <v/>
      </c>
      <c r="E219">
        <f ca="1" t="shared" si="45"/>
        <v>1</v>
      </c>
      <c r="G219" t="str">
        <f ca="1" t="shared" si="46"/>
        <v/>
      </c>
      <c r="H219" t="str">
        <f ca="1">IF(B219&lt;&gt;"",IF(AND(COUNTIF(B218,"*轻*莺鸣柳*")&gt;0,COUNTIF(B219,"*轻*")&lt;1),MAX(0,15+I218-(A219-A218)+COUNTIF(B218,"*平湖*")*0),IF(AND(E219=0,MAX(0,H218-(A219-A218))&lt;=加速!$H$11),0,MAX(0,H218-(A219-A218)))),"")</f>
        <v/>
      </c>
      <c r="I219" t="str">
        <f ca="1" t="shared" si="52"/>
        <v/>
      </c>
      <c r="J219" t="str">
        <f ca="1" t="shared" si="53"/>
        <v/>
      </c>
      <c r="K219" t="str">
        <f ca="1">IF(A219&lt;&gt;"",IF(AND(配装计算器!$K$30&lt;&gt;"∞",0),2,INDEX(AU219:CB219,1,$AT$2)),"")</f>
        <v/>
      </c>
      <c r="L219">
        <f ca="1">IFERROR(IF(AND(COUNTIF(B219,"*-峰插*"),技能数据库!$M$72&gt;0),0,IF(COUNTIF(B219,"*鹤归*")&gt;0,16-加速!$L$11,MAX(0,L218-(A219-A218)))),0)</f>
        <v>0</v>
      </c>
      <c r="M219">
        <f ca="1">IF(COUNTIF(IF(AND(配装计算器!$K$30&lt;&gt;"∞",0),INDEX(AU218:CB218,1,$AT$1),INDEX(AU220:CB220,1,$AT$1)),"*鹤归*")=1,L219,0)</f>
        <v>0</v>
      </c>
      <c r="N219">
        <f ca="1">IFERROR(IF(AND(COUNTIF(B219,"*-峰插*"),技能数据库!$M$72&gt;0),0,IF(COUNTIF(B219,"*云飞*")&gt;0,4-COUNTIF(B219,"*玉山揽云*")*4--COUNTIF(B219,"*烟流暮景*")*4-COUNTIF(B219,"*云景*")*加速!$L$11-IF(J219&gt;0,2,0),MAX(0,N218-(A219-A218)-IF(J219&gt;0,2,0)))),0)</f>
        <v>0</v>
      </c>
      <c r="O219">
        <f ca="1">IF(AND(COUNTIF(IF(AND(配装计算器!$K$30&lt;&gt;"∞",0),INDEX(AU218:CB218,1,$AT$1),INDEX(AU220:CB220,1,$AT$1)),"*云飞*")=1,COUNTIF(IF(AND(配装计算器!$K$30&lt;&gt;"∞",0),INDEX(AU218:CB218,1,$AT$1),INDEX(AU220:CB220,1,$AT$1)),"*玉山*")=0),N219,0)</f>
        <v>0</v>
      </c>
      <c r="P219">
        <f ca="1">IFERROR(IF(COUNTIF(B219,"*云栖松*")&gt;0,50-加速!$L$11,MAX(0,P218-(A219-A218))),0)</f>
        <v>0</v>
      </c>
      <c r="Q219">
        <f ca="1">IF(COUNTIF(IF(AND(配装计算器!$K$30&lt;&gt;"∞",0),INDEX(AU218:CB218,1,$AT$1),INDEX(AU220:CB220,1,$AT$1)),"*云栖松*")=1,P219,0)</f>
        <v>0</v>
      </c>
      <c r="R219">
        <f ca="1">IFERROR(IF(COUNTIF(B219,"*莺鸣柳*")&gt;0,45-加速!$L$9,MAX(0,R218-(A219-A218))),0)</f>
        <v>0</v>
      </c>
      <c r="S219">
        <f ca="1">IF(COUNTIF(IF(AND(配装计算器!$K$30&lt;&gt;"∞",0),INDEX(AU218:CB218,1,$AT$1),INDEX(AU220:CB220,1,$AT$1)),"*莺鸣柳*")=1,R219,0)</f>
        <v>0</v>
      </c>
      <c r="T219">
        <f ca="1" t="shared" si="50"/>
        <v>0</v>
      </c>
      <c r="U219">
        <f ca="1">IF(金蛇,IF(COUNTIF(B219,"*金环戴*")+COUNTIF(B219,"*吹风醒*")&gt;0,IF(A219&lt;=3,7.125-2.625-A219-加速!$L$11,7.125+加速!$K$9-(A219+加速!$L$11-T219)),0),0)+IF(金蛇,IF(COUNTIF(B219,"*千切子裂光*")&gt;0,2+加速!$K$9-(A219+加速!$L$11-T219),0),0)</f>
        <v>0</v>
      </c>
      <c r="V219">
        <f ca="1" t="shared" si="51"/>
        <v>0</v>
      </c>
      <c r="W219">
        <f ca="1" t="shared" si="43"/>
        <v>0</v>
      </c>
      <c r="X219">
        <f ca="1">INDEX(加速!$I$13:$I$21,技能数计算!W219+1)</f>
        <v>0</v>
      </c>
      <c r="Y219">
        <f ca="1" t="shared" si="47"/>
        <v>0.5</v>
      </c>
      <c r="Z219">
        <f ca="1" t="shared" si="48"/>
        <v>0</v>
      </c>
      <c r="AA219">
        <f ca="1">MAX(0,IFERROR(IF(COUNTIF(B219,"*叠*")&gt;0,IF(AC218&lt;3,8-A220+A219,AA218+6.875-A220+A219),AA218-A220+A219),AA218-加速!$L$11))</f>
        <v>0</v>
      </c>
      <c r="AB219" t="e">
        <f ca="1">MAX(0,IF(COUNTIF(IF(AND(配装计算器!$K$30&lt;&gt;"∞",0),INDEX(AU219:CB219,1,$AT$1),INDEX(AU219:CB219,1,$AT$1)),"*叠1*")=1,4*25-加速!$L$11,AB218-A219+A218)-IF(OR(COUNTIF(OFFSET(AT219,0,$AT$1,1,1),"*听雷*")&gt;0,AND(碧归&gt;0,COUNTIF(OFFSET(AT219,0,$AT$1,1,1),"*风来*")&gt;0)),0,1)*1.5)</f>
        <v>#VALUE!</v>
      </c>
      <c r="AC219">
        <f ca="1" t="shared" si="44"/>
        <v>3</v>
      </c>
      <c r="AD219">
        <f ca="1">IF(COUNTIF(IF(AND(配装计算器!$K$30&lt;&gt;"∞",0),INDEX(AU219:CB219,1,$AT$1),INDEX(AU220:CB220,1,$AT$1)),"*叠1*")=1,AB219*0+AE218,0)</f>
        <v>0</v>
      </c>
      <c r="AE219" t="e">
        <f ca="1">IF($AN$11&gt;0,IF(COUNTIF(B220,"*叠1*")&gt;0,50-加速!$H$11,MAX(0,AE218-(A220-A219))),0)</f>
        <v>#VALUE!</v>
      </c>
      <c r="AU219" t="s">
        <v>2768</v>
      </c>
      <c r="AV219">
        <v>1</v>
      </c>
      <c r="AW219" t="s">
        <v>2768</v>
      </c>
      <c r="AX219">
        <v>2</v>
      </c>
      <c r="AY219" t="s">
        <v>2768</v>
      </c>
      <c r="AZ219">
        <v>0</v>
      </c>
      <c r="BA219" t="s">
        <v>3010</v>
      </c>
      <c r="BB219">
        <v>2</v>
      </c>
      <c r="BC219" t="s">
        <v>2776</v>
      </c>
      <c r="BD219">
        <v>2</v>
      </c>
      <c r="BE219" t="s">
        <v>2768</v>
      </c>
      <c r="BF219">
        <v>2</v>
      </c>
      <c r="BG219" t="s">
        <v>3011</v>
      </c>
      <c r="BH219">
        <v>2</v>
      </c>
      <c r="BI219" t="s">
        <v>2776</v>
      </c>
      <c r="BJ219">
        <v>1</v>
      </c>
      <c r="BK219" t="s">
        <v>2776</v>
      </c>
      <c r="BL219">
        <v>2</v>
      </c>
      <c r="BM219" s="176" t="s">
        <v>2808</v>
      </c>
      <c r="BN219">
        <v>2</v>
      </c>
      <c r="BO219" t="s">
        <v>2776</v>
      </c>
      <c r="BP219">
        <v>2</v>
      </c>
      <c r="BQ219" t="s">
        <v>1886</v>
      </c>
      <c r="BR219">
        <v>2</v>
      </c>
      <c r="BS219" t="s">
        <v>3056</v>
      </c>
      <c r="BT219">
        <v>0</v>
      </c>
      <c r="BU219" t="s">
        <v>2768</v>
      </c>
      <c r="BV219">
        <v>0</v>
      </c>
      <c r="BW219" s="179" t="s">
        <v>3021</v>
      </c>
      <c r="BX219" s="179">
        <v>2</v>
      </c>
      <c r="BY219" s="176" t="s">
        <v>2768</v>
      </c>
      <c r="BZ219">
        <v>2</v>
      </c>
      <c r="CA219" s="180" t="str">
        <f>IF(0,"云飞玉皇-玉山揽云","夕照雷峰")</f>
        <v>夕照雷峰</v>
      </c>
      <c r="CB219">
        <v>2</v>
      </c>
    </row>
    <row r="220" spans="1:80">
      <c r="A220" s="178" t="str">
        <f ca="1">IFERROR(IF(A219+加速!$L$11&lt;$AS$1,IF(COUNTIF(B219,"*轻*")&gt;0,A219+加速!$L$9,A219+加速!$L$11)+V219,IF(COUNTIF(INDEX(AU220:CB220,1,$AT$1),"*云景*")+COUNTIF(INDEX(AU220:CB220,1,$AT$1),"*鹤归*")+COUNTIF(INDEX(AU220:CB220,1,$AT$1),"*听雷*")&gt;0,A219+加速!$L$11,"")),"")</f>
        <v/>
      </c>
      <c r="B220" s="167" t="str">
        <f ca="1">IF(A220&lt;&gt;"",IF(AND(A220+加速!$L$11&gt;$AS$1,IF(AND(配装计算器!$K$30&lt;&gt;"∞",0),"梦泉虎跑-轻",INDEX(AU220:CB220,1,$AT$1))="云栖松"),"夕照雷峰",IF(AND(配装计算器!$K$30&lt;&gt;"∞",0),"梦泉虎跑-轻",INDEX(AU220:CB220,1,$AT$1))),"")</f>
        <v/>
      </c>
      <c r="C220" t="str">
        <f ca="1" t="shared" si="49"/>
        <v/>
      </c>
      <c r="D220" t="str">
        <f ca="1">IF(B220&lt;&gt;"",IF(C219&lt;=加速!$L$11*(1-E220),0,1),"")</f>
        <v/>
      </c>
      <c r="E220">
        <f ca="1" t="shared" si="45"/>
        <v>1</v>
      </c>
      <c r="G220" t="str">
        <f ca="1" t="shared" si="46"/>
        <v/>
      </c>
      <c r="H220" t="str">
        <f ca="1">IF(B220&lt;&gt;"",IF(AND(COUNTIF(B219,"*轻*莺鸣柳*")&gt;0,COUNTIF(B220,"*轻*")&lt;1),MAX(0,15+I219-(A220-A219)+COUNTIF(B219,"*平湖*")*0),IF(AND(E220=0,MAX(0,H219-(A220-A219))&lt;=加速!$H$11),0,MAX(0,H219-(A220-A219)))),"")</f>
        <v/>
      </c>
      <c r="I220" t="str">
        <f ca="1" t="shared" si="52"/>
        <v/>
      </c>
      <c r="J220" t="str">
        <f ca="1" t="shared" si="53"/>
        <v/>
      </c>
      <c r="K220" t="str">
        <f ca="1">IF(A220&lt;&gt;"",IF(AND(配装计算器!$K$30&lt;&gt;"∞",0),2,INDEX(AU220:CB220,1,$AT$2)),"")</f>
        <v/>
      </c>
      <c r="L220">
        <f ca="1">IFERROR(IF(AND(COUNTIF(B220,"*-峰插*"),技能数据库!$M$72&gt;0),0,IF(COUNTIF(B220,"*鹤归*")&gt;0,16-加速!$L$11,MAX(0,L219-(A220-A219)))),0)</f>
        <v>0</v>
      </c>
      <c r="M220">
        <f ca="1">IF(COUNTIF(IF(AND(配装计算器!$K$30&lt;&gt;"∞",0),INDEX(AU219:CB219,1,$AT$1),INDEX(AU221:CB221,1,$AT$1)),"*鹤归*")=1,L220,0)</f>
        <v>0</v>
      </c>
      <c r="N220">
        <f ca="1">IFERROR(IF(AND(COUNTIF(B220,"*-峰插*"),技能数据库!$M$72&gt;0),0,IF(COUNTIF(B220,"*云飞*")&gt;0,4-COUNTIF(B220,"*玉山揽云*")*4--COUNTIF(B220,"*烟流暮景*")*4-COUNTIF(B220,"*云景*")*加速!$L$11-IF(J220&gt;0,2,0),MAX(0,N219-(A220-A219)-IF(J220&gt;0,2,0)))),0)</f>
        <v>0</v>
      </c>
      <c r="O220">
        <f ca="1">IF(AND(COUNTIF(IF(AND(配装计算器!$K$30&lt;&gt;"∞",0),INDEX(AU219:CB219,1,$AT$1),INDEX(AU221:CB221,1,$AT$1)),"*云飞*")=1,COUNTIF(IF(AND(配装计算器!$K$30&lt;&gt;"∞",0),INDEX(AU219:CB219,1,$AT$1),INDEX(AU221:CB221,1,$AT$1)),"*玉山*")=0),N220,0)</f>
        <v>0</v>
      </c>
      <c r="P220">
        <f ca="1">IFERROR(IF(COUNTIF(B220,"*云栖松*")&gt;0,50-加速!$L$11,MAX(0,P219-(A220-A219))),0)</f>
        <v>0</v>
      </c>
      <c r="Q220">
        <f ca="1">IF(COUNTIF(IF(AND(配装计算器!$K$30&lt;&gt;"∞",0),INDEX(AU219:CB219,1,$AT$1),INDEX(AU221:CB221,1,$AT$1)),"*云栖松*")=1,P220,0)</f>
        <v>0</v>
      </c>
      <c r="R220">
        <f ca="1">IFERROR(IF(COUNTIF(B220,"*莺鸣柳*")&gt;0,45-加速!$L$9,MAX(0,R219-(A220-A219))),0)</f>
        <v>0</v>
      </c>
      <c r="S220">
        <f ca="1">IF(COUNTIF(IF(AND(配装计算器!$K$30&lt;&gt;"∞",0),INDEX(AU219:CB219,1,$AT$1),INDEX(AU221:CB221,1,$AT$1)),"*莺鸣柳*")=1,R220,0)</f>
        <v>0</v>
      </c>
      <c r="T220">
        <f ca="1" t="shared" si="50"/>
        <v>0</v>
      </c>
      <c r="U220">
        <f ca="1">IF(金蛇,IF(COUNTIF(B220,"*金环戴*")+COUNTIF(B220,"*吹风醒*")&gt;0,IF(A220&lt;=3,7.125-2.625-A220-加速!$L$11,7.125+加速!$K$9-(A220+加速!$L$11-T220)),0),0)+IF(金蛇,IF(COUNTIF(B220,"*千切子裂光*")&gt;0,2+加速!$K$9-(A220+加速!$L$11-T220),0),0)</f>
        <v>0</v>
      </c>
      <c r="V220">
        <f ca="1" t="shared" si="51"/>
        <v>0</v>
      </c>
      <c r="W220">
        <f ca="1" t="shared" si="43"/>
        <v>0</v>
      </c>
      <c r="X220">
        <f ca="1">INDEX(加速!$I$13:$I$21,技能数计算!W220+1)</f>
        <v>0</v>
      </c>
      <c r="Y220">
        <f ca="1" t="shared" si="47"/>
        <v>0.5</v>
      </c>
      <c r="Z220">
        <f ca="1" t="shared" si="48"/>
        <v>0</v>
      </c>
      <c r="AA220">
        <f ca="1">MAX(0,IFERROR(IF(COUNTIF(B220,"*叠*")&gt;0,IF(AC219&lt;3,8-A221+A220,AA219+6.875-A221+A220),AA219-A221+A220),AA219-加速!$L$11))</f>
        <v>0</v>
      </c>
      <c r="AB220" t="e">
        <f ca="1">MAX(0,IF(COUNTIF(IF(AND(配装计算器!$K$30&lt;&gt;"∞",0),INDEX(AU220:CB220,1,$AT$1),INDEX(AU220:CB220,1,$AT$1)),"*叠1*")=1,4*25-加速!$L$11,AB219-A220+A219)-IF(OR(COUNTIF(OFFSET(AT220,0,$AT$1,1,1),"*听雷*")&gt;0,AND(碧归&gt;0,COUNTIF(OFFSET(AT220,0,$AT$1,1,1),"*风来*")&gt;0)),0,1)*1.5)</f>
        <v>#VALUE!</v>
      </c>
      <c r="AC220">
        <f ca="1" t="shared" si="44"/>
        <v>3</v>
      </c>
      <c r="AD220">
        <f ca="1">IF(COUNTIF(IF(AND(配装计算器!$K$30&lt;&gt;"∞",0),INDEX(AU220:CB220,1,$AT$1),INDEX(AU221:CB221,1,$AT$1)),"*叠1*")=1,AB220*0+AE219,0)</f>
        <v>0</v>
      </c>
      <c r="AE220" t="e">
        <f ca="1">IF($AN$11&gt;0,IF(COUNTIF(B221,"*叠1*")&gt;0,50-加速!$H$11,MAX(0,AE219-(A221-A220))),0)</f>
        <v>#VALUE!</v>
      </c>
      <c r="AU220" t="s">
        <v>3063</v>
      </c>
      <c r="AV220">
        <v>2</v>
      </c>
      <c r="AW220" t="s">
        <v>2768</v>
      </c>
      <c r="AX220">
        <v>2</v>
      </c>
      <c r="AY220" t="s">
        <v>3010</v>
      </c>
      <c r="AZ220">
        <v>2</v>
      </c>
      <c r="BA220" t="s">
        <v>3013</v>
      </c>
      <c r="BB220">
        <v>2</v>
      </c>
      <c r="BC220" t="s">
        <v>2768</v>
      </c>
      <c r="BD220">
        <v>1</v>
      </c>
      <c r="BE220" t="s">
        <v>2768</v>
      </c>
      <c r="BF220">
        <v>2</v>
      </c>
      <c r="BG220" t="s">
        <v>2768</v>
      </c>
      <c r="BH220">
        <v>2</v>
      </c>
      <c r="BI220" t="s">
        <v>2768</v>
      </c>
      <c r="BJ220">
        <v>1</v>
      </c>
      <c r="BK220" t="s">
        <v>3036</v>
      </c>
      <c r="BL220">
        <v>2</v>
      </c>
      <c r="BM220" t="str">
        <f>IF(0,"云飞玉皇-玉山揽云","夕照雷峰")</f>
        <v>夕照雷峰</v>
      </c>
      <c r="BN220">
        <v>2</v>
      </c>
      <c r="BO220" s="176" t="s">
        <v>2794</v>
      </c>
      <c r="BP220">
        <v>2</v>
      </c>
      <c r="BQ220" t="s">
        <v>2853</v>
      </c>
      <c r="BR220">
        <v>2</v>
      </c>
      <c r="BS220" t="s">
        <v>2768</v>
      </c>
      <c r="BT220">
        <v>2</v>
      </c>
      <c r="BU220" t="s">
        <v>2776</v>
      </c>
      <c r="BV220">
        <v>0</v>
      </c>
      <c r="BW220" s="179" t="s">
        <v>2722</v>
      </c>
      <c r="BX220" s="179">
        <v>2</v>
      </c>
      <c r="BY220" s="176" t="s">
        <v>2808</v>
      </c>
      <c r="BZ220">
        <v>2</v>
      </c>
      <c r="CA220" s="176" t="str">
        <f>IF(秋,"夕照雷峰","千切子寒光")</f>
        <v>千切子寒光</v>
      </c>
      <c r="CB220">
        <v>2</v>
      </c>
    </row>
    <row r="221" spans="1:80">
      <c r="A221" s="178" t="str">
        <f ca="1">IFERROR(IF(A220+加速!$L$11&lt;$AS$1,IF(COUNTIF(B220,"*轻*")&gt;0,A220+加速!$L$9,A220+加速!$L$11)+V220,IF(COUNTIF(INDEX(AU221:CB221,1,$AT$1),"*云景*")+COUNTIF(INDEX(AU221:CB221,1,$AT$1),"*鹤归*")+COUNTIF(INDEX(AU221:CB221,1,$AT$1),"*听雷*")&gt;0,A220+加速!$L$11,"")),"")</f>
        <v/>
      </c>
      <c r="B221" s="167" t="str">
        <f ca="1">IF(A221&lt;&gt;"",IF(AND(A221+加速!$L$11&gt;$AS$1,IF(AND(配装计算器!$K$30&lt;&gt;"∞",0),"梦泉虎跑-轻",INDEX(AU221:CB221,1,$AT$1))="云栖松"),"夕照雷峰",IF(AND(配装计算器!$K$30&lt;&gt;"∞",0),"梦泉虎跑-轻",INDEX(AU221:CB221,1,$AT$1))),"")</f>
        <v/>
      </c>
      <c r="C221" t="str">
        <f ca="1" t="shared" si="49"/>
        <v/>
      </c>
      <c r="D221" t="str">
        <f ca="1">IF(B221&lt;&gt;"",IF(C220&lt;=加速!$L$11*(1-E221),0,1),"")</f>
        <v/>
      </c>
      <c r="E221">
        <f ca="1" t="shared" si="45"/>
        <v>1</v>
      </c>
      <c r="G221" t="str">
        <f ca="1" t="shared" si="46"/>
        <v/>
      </c>
      <c r="H221" t="str">
        <f ca="1">IF(B221&lt;&gt;"",IF(AND(COUNTIF(B220,"*轻*莺鸣柳*")&gt;0,COUNTIF(B221,"*轻*")&lt;1),MAX(0,15+I220-(A221-A220)+COUNTIF(B220,"*平湖*")*0),IF(AND(E221=0,MAX(0,H220-(A221-A220))&lt;=加速!$H$11),0,MAX(0,H220-(A221-A220)))),"")</f>
        <v/>
      </c>
      <c r="I221" t="str">
        <f ca="1" t="shared" si="52"/>
        <v/>
      </c>
      <c r="J221" t="str">
        <f ca="1" t="shared" si="53"/>
        <v/>
      </c>
      <c r="K221" t="str">
        <f ca="1">IF(A221&lt;&gt;"",IF(AND(配装计算器!$K$30&lt;&gt;"∞",0),2,INDEX(AU221:CB221,1,$AT$2)),"")</f>
        <v/>
      </c>
      <c r="L221">
        <f ca="1">IFERROR(IF(AND(COUNTIF(B221,"*-峰插*"),技能数据库!$M$72&gt;0),0,IF(COUNTIF(B221,"*鹤归*")&gt;0,16-加速!$L$11,MAX(0,L220-(A221-A220)))),0)</f>
        <v>0</v>
      </c>
      <c r="M221">
        <f ca="1">IF(COUNTIF(IF(AND(配装计算器!$K$30&lt;&gt;"∞",0),INDEX(AU220:CB220,1,$AT$1),INDEX(AU222:CB222,1,$AT$1)),"*鹤归*")=1,L221,0)</f>
        <v>0</v>
      </c>
      <c r="N221">
        <f ca="1">IFERROR(IF(AND(COUNTIF(B221,"*-峰插*"),技能数据库!$M$72&gt;0),0,IF(COUNTIF(B221,"*云飞*")&gt;0,4-COUNTIF(B221,"*玉山揽云*")*4--COUNTIF(B221,"*烟流暮景*")*4-COUNTIF(B221,"*云景*")*加速!$L$11-IF(J221&gt;0,2,0),MAX(0,N220-(A221-A220)-IF(J221&gt;0,2,0)))),0)</f>
        <v>0</v>
      </c>
      <c r="O221">
        <f ca="1">IF(AND(COUNTIF(IF(AND(配装计算器!$K$30&lt;&gt;"∞",0),INDEX(AU220:CB220,1,$AT$1),INDEX(AU222:CB222,1,$AT$1)),"*云飞*")=1,COUNTIF(IF(AND(配装计算器!$K$30&lt;&gt;"∞",0),INDEX(AU220:CB220,1,$AT$1),INDEX(AU222:CB222,1,$AT$1)),"*玉山*")=0),N221,0)</f>
        <v>0</v>
      </c>
      <c r="P221">
        <f ca="1">IFERROR(IF(COUNTIF(B221,"*云栖松*")&gt;0,50-加速!$L$11,MAX(0,P220-(A221-A220))),0)</f>
        <v>0</v>
      </c>
      <c r="Q221">
        <f ca="1">IF(COUNTIF(IF(AND(配装计算器!$K$30&lt;&gt;"∞",0),INDEX(AU220:CB220,1,$AT$1),INDEX(AU222:CB222,1,$AT$1)),"*云栖松*")=1,P221,0)</f>
        <v>0</v>
      </c>
      <c r="R221">
        <f ca="1">IFERROR(IF(COUNTIF(B221,"*莺鸣柳*")&gt;0,45-加速!$L$9,MAX(0,R220-(A221-A220))),0)</f>
        <v>0</v>
      </c>
      <c r="S221">
        <f ca="1">IF(COUNTIF(IF(AND(配装计算器!$K$30&lt;&gt;"∞",0),INDEX(AU220:CB220,1,$AT$1),INDEX(AU222:CB222,1,$AT$1)),"*莺鸣柳*")=1,R221,0)</f>
        <v>0</v>
      </c>
      <c r="T221">
        <f ca="1" t="shared" si="50"/>
        <v>0</v>
      </c>
      <c r="U221">
        <f ca="1">IF(金蛇,IF(COUNTIF(B221,"*金环戴*")+COUNTIF(B221,"*吹风醒*")&gt;0,IF(A221&lt;=3,7.125-2.625-A221-加速!$L$11,7.125+加速!$K$9-(A221+加速!$L$11-T221)),0),0)+IF(金蛇,IF(COUNTIF(B221,"*千切子裂光*")&gt;0,2+加速!$K$9-(A221+加速!$L$11-T221),0),0)</f>
        <v>0</v>
      </c>
      <c r="V221">
        <f ca="1" t="shared" si="51"/>
        <v>0</v>
      </c>
      <c r="W221">
        <f ca="1" t="shared" si="43"/>
        <v>0</v>
      </c>
      <c r="X221">
        <f ca="1">INDEX(加速!$I$13:$I$21,技能数计算!W221+1)</f>
        <v>0</v>
      </c>
      <c r="Y221">
        <f ca="1" t="shared" si="47"/>
        <v>0.5</v>
      </c>
      <c r="Z221">
        <f ca="1" t="shared" si="48"/>
        <v>0</v>
      </c>
      <c r="AA221">
        <f ca="1">MAX(0,IFERROR(IF(COUNTIF(B221,"*叠*")&gt;0,IF(AC220&lt;3,8-A222+A221,AA220+6.875-A222+A221),AA220-A222+A221),AA220-加速!$L$11))</f>
        <v>0</v>
      </c>
      <c r="AB221" t="e">
        <f ca="1">MAX(0,IF(COUNTIF(IF(AND(配装计算器!$K$30&lt;&gt;"∞",0),INDEX(AU221:CB221,1,$AT$1),INDEX(AU221:CB221,1,$AT$1)),"*叠1*")=1,4*25-加速!$L$11,AB220-A221+A220)-IF(OR(COUNTIF(OFFSET(AT221,0,$AT$1,1,1),"*听雷*")&gt;0,AND(碧归&gt;0,COUNTIF(OFFSET(AT221,0,$AT$1,1,1),"*风来*")&gt;0)),0,1)*1.5)</f>
        <v>#VALUE!</v>
      </c>
      <c r="AC221">
        <f ca="1" t="shared" si="44"/>
        <v>3</v>
      </c>
      <c r="AD221">
        <f ca="1">IF(COUNTIF(IF(AND(配装计算器!$K$30&lt;&gt;"∞",0),INDEX(AU221:CB221,1,$AT$1),INDEX(AU222:CB222,1,$AT$1)),"*叠1*")=1,AB221*0+AE220,0)</f>
        <v>0</v>
      </c>
      <c r="AE221" t="e">
        <f ca="1">IF($AN$11&gt;0,IF(COUNTIF(B222,"*叠1*")&gt;0,50-加速!$H$11,MAX(0,AE220-(A222-A221))),0)</f>
        <v>#VALUE!</v>
      </c>
      <c r="AU221" t="s">
        <v>2776</v>
      </c>
      <c r="AV221">
        <v>1</v>
      </c>
      <c r="AW221" t="s">
        <v>2768</v>
      </c>
      <c r="AX221">
        <v>2</v>
      </c>
      <c r="AY221" t="s">
        <v>3013</v>
      </c>
      <c r="AZ221">
        <v>2</v>
      </c>
      <c r="BA221" t="s">
        <v>3017</v>
      </c>
      <c r="BB221">
        <v>2</v>
      </c>
      <c r="BC221" t="s">
        <v>2768</v>
      </c>
      <c r="BD221">
        <v>1</v>
      </c>
      <c r="BE221" t="s">
        <v>2776</v>
      </c>
      <c r="BF221">
        <v>2</v>
      </c>
      <c r="BG221" t="s">
        <v>3018</v>
      </c>
      <c r="BH221">
        <v>2</v>
      </c>
      <c r="BI221" t="s">
        <v>2776</v>
      </c>
      <c r="BJ221">
        <v>0</v>
      </c>
      <c r="BK221" t="s">
        <v>3026</v>
      </c>
      <c r="BL221">
        <v>2</v>
      </c>
      <c r="BM221" t="str">
        <f>IF(0,"云飞玉皇-玉山揽云","云飞玉皇")</f>
        <v>云飞玉皇</v>
      </c>
      <c r="BN221">
        <v>2</v>
      </c>
      <c r="BO221" s="176" t="s">
        <v>2768</v>
      </c>
      <c r="BP221">
        <v>2</v>
      </c>
      <c r="BQ221" s="176" t="s">
        <v>2850</v>
      </c>
      <c r="BR221">
        <f>IF(0,2,0)</f>
        <v>0</v>
      </c>
      <c r="BS221" t="s">
        <v>2768</v>
      </c>
      <c r="BT221">
        <v>2</v>
      </c>
      <c r="BU221" t="s">
        <v>1886</v>
      </c>
      <c r="BV221">
        <v>0</v>
      </c>
      <c r="BW221" s="179" t="s">
        <v>3028</v>
      </c>
      <c r="BX221" s="179">
        <v>2</v>
      </c>
      <c r="BY221" t="str">
        <f>IF(0,"云飞玉皇-玉山揽云","夕照雷峰")</f>
        <v>夕照雷峰</v>
      </c>
      <c r="BZ221">
        <v>2</v>
      </c>
      <c r="CA221" s="176" t="str">
        <f>IF(秋,"夕照雷峰","千切子裂光")</f>
        <v>千切子裂光</v>
      </c>
      <c r="CB221">
        <v>2</v>
      </c>
    </row>
    <row r="222" spans="1:80">
      <c r="A222" s="178" t="str">
        <f ca="1">IFERROR(IF(A221+加速!$L$11&lt;$AS$1,IF(COUNTIF(B221,"*轻*")&gt;0,A221+加速!$L$9,A221+加速!$L$11)+V221,IF(COUNTIF(INDEX(AU222:CB222,1,$AT$1),"*云景*")+COUNTIF(INDEX(AU222:CB222,1,$AT$1),"*鹤归*")+COUNTIF(INDEX(AU222:CB222,1,$AT$1),"*听雷*")&gt;0,A221+加速!$L$11,"")),"")</f>
        <v/>
      </c>
      <c r="B222" s="167" t="str">
        <f ca="1">IF(A222&lt;&gt;"",IF(AND(A222+加速!$L$11&gt;$AS$1,IF(AND(配装计算器!$K$30&lt;&gt;"∞",0),"梦泉虎跑-轻",INDEX(AU222:CB222,1,$AT$1))="云栖松"),"夕照雷峰",IF(AND(配装计算器!$K$30&lt;&gt;"∞",0),"梦泉虎跑-轻",INDEX(AU222:CB222,1,$AT$1))),"")</f>
        <v/>
      </c>
      <c r="C222" t="str">
        <f ca="1" t="shared" si="49"/>
        <v/>
      </c>
      <c r="D222" t="str">
        <f ca="1">IF(B222&lt;&gt;"",IF(C221&lt;=加速!$L$11*(1-E222),0,1),"")</f>
        <v/>
      </c>
      <c r="E222">
        <f ca="1" t="shared" si="45"/>
        <v>1</v>
      </c>
      <c r="G222" t="str">
        <f ca="1" t="shared" si="46"/>
        <v/>
      </c>
      <c r="H222" t="str">
        <f ca="1">IF(B222&lt;&gt;"",IF(AND(COUNTIF(B221,"*轻*莺鸣柳*")&gt;0,COUNTIF(B222,"*轻*")&lt;1),MAX(0,15+I221-(A222-A221)+COUNTIF(B221,"*平湖*")*0),IF(AND(E222=0,MAX(0,H221-(A222-A221))&lt;=加速!$H$11),0,MAX(0,H221-(A222-A221)))),"")</f>
        <v/>
      </c>
      <c r="I222" t="str">
        <f ca="1" t="shared" si="52"/>
        <v/>
      </c>
      <c r="J222" t="str">
        <f ca="1" t="shared" si="53"/>
        <v/>
      </c>
      <c r="K222" t="str">
        <f ca="1">IF(A222&lt;&gt;"",IF(AND(配装计算器!$K$30&lt;&gt;"∞",0),2,INDEX(AU222:CB222,1,$AT$2)),"")</f>
        <v/>
      </c>
      <c r="L222">
        <f ca="1">IFERROR(IF(AND(COUNTIF(B222,"*-峰插*"),技能数据库!$M$72&gt;0),0,IF(COUNTIF(B222,"*鹤归*")&gt;0,16-加速!$L$11,MAX(0,L221-(A222-A221)))),0)</f>
        <v>0</v>
      </c>
      <c r="M222">
        <f ca="1">IF(COUNTIF(IF(AND(配装计算器!$K$30&lt;&gt;"∞",0),INDEX(AU221:CB221,1,$AT$1),INDEX(AU223:CB223,1,$AT$1)),"*鹤归*")=1,L222,0)</f>
        <v>0</v>
      </c>
      <c r="N222">
        <f ca="1">IFERROR(IF(AND(COUNTIF(B222,"*-峰插*"),技能数据库!$M$72&gt;0),0,IF(COUNTIF(B222,"*云飞*")&gt;0,4-COUNTIF(B222,"*玉山揽云*")*4--COUNTIF(B222,"*烟流暮景*")*4-COUNTIF(B222,"*云景*")*加速!$L$11-IF(J222&gt;0,2,0),MAX(0,N221-(A222-A221)-IF(J222&gt;0,2,0)))),0)</f>
        <v>0</v>
      </c>
      <c r="O222">
        <f ca="1">IF(AND(COUNTIF(IF(AND(配装计算器!$K$30&lt;&gt;"∞",0),INDEX(AU221:CB221,1,$AT$1),INDEX(AU223:CB223,1,$AT$1)),"*云飞*")=1,COUNTIF(IF(AND(配装计算器!$K$30&lt;&gt;"∞",0),INDEX(AU221:CB221,1,$AT$1),INDEX(AU223:CB223,1,$AT$1)),"*玉山*")=0),N222,0)</f>
        <v>0</v>
      </c>
      <c r="P222">
        <f ca="1">IFERROR(IF(COUNTIF(B222,"*云栖松*")&gt;0,50-加速!$L$11,MAX(0,P221-(A222-A221))),0)</f>
        <v>0</v>
      </c>
      <c r="Q222">
        <f ca="1">IF(COUNTIF(IF(AND(配装计算器!$K$30&lt;&gt;"∞",0),INDEX(AU221:CB221,1,$AT$1),INDEX(AU223:CB223,1,$AT$1)),"*云栖松*")=1,P222,0)</f>
        <v>0</v>
      </c>
      <c r="R222">
        <f ca="1">IFERROR(IF(COUNTIF(B222,"*莺鸣柳*")&gt;0,45-加速!$L$9,MAX(0,R221-(A222-A221))),0)</f>
        <v>0</v>
      </c>
      <c r="S222">
        <f ca="1">IF(COUNTIF(IF(AND(配装计算器!$K$30&lt;&gt;"∞",0),INDEX(AU221:CB221,1,$AT$1),INDEX(AU223:CB223,1,$AT$1)),"*莺鸣柳*")=1,R222,0)</f>
        <v>0</v>
      </c>
      <c r="T222">
        <f ca="1" t="shared" si="50"/>
        <v>0</v>
      </c>
      <c r="U222">
        <f ca="1">IF(金蛇,IF(COUNTIF(B222,"*金环戴*")+COUNTIF(B222,"*吹风醒*")&gt;0,IF(A222&lt;=3,7.125-2.625-A222-加速!$L$11,7.125+加速!$K$9-(A222+加速!$L$11-T222)),0),0)+IF(金蛇,IF(COUNTIF(B222,"*千切子裂光*")&gt;0,2+加速!$K$9-(A222+加速!$L$11-T222),0),0)</f>
        <v>0</v>
      </c>
      <c r="V222">
        <f ca="1" t="shared" si="51"/>
        <v>0</v>
      </c>
      <c r="W222">
        <f ca="1" t="shared" si="43"/>
        <v>0</v>
      </c>
      <c r="X222">
        <f ca="1">INDEX(加速!$I$13:$I$21,技能数计算!W222+1)</f>
        <v>0</v>
      </c>
      <c r="Y222">
        <f ca="1" t="shared" si="47"/>
        <v>0.5</v>
      </c>
      <c r="Z222">
        <f ca="1" t="shared" si="48"/>
        <v>0</v>
      </c>
      <c r="AA222">
        <f ca="1">MAX(0,IFERROR(IF(COUNTIF(B222,"*叠*")&gt;0,IF(AC221&lt;3,8-A223+A222,AA221+6.875-A223+A222),AA221-A223+A222),AA221-加速!$L$11))</f>
        <v>0</v>
      </c>
      <c r="AB222" t="e">
        <f ca="1">MAX(0,IF(COUNTIF(IF(AND(配装计算器!$K$30&lt;&gt;"∞",0),INDEX(AU222:CB222,1,$AT$1),INDEX(AU222:CB222,1,$AT$1)),"*叠1*")=1,4*25-加速!$L$11,AB221-A222+A221)-IF(OR(COUNTIF(OFFSET(AT222,0,$AT$1,1,1),"*听雷*")&gt;0,AND(碧归&gt;0,COUNTIF(OFFSET(AT222,0,$AT$1,1,1),"*风来*")&gt;0)),0,1)*1.5)</f>
        <v>#VALUE!</v>
      </c>
      <c r="AC222">
        <f ca="1" t="shared" si="44"/>
        <v>3</v>
      </c>
      <c r="AD222">
        <f ca="1">IF(COUNTIF(IF(AND(配装计算器!$K$30&lt;&gt;"∞",0),INDEX(AU222:CB222,1,$AT$1),INDEX(AU223:CB223,1,$AT$1)),"*叠1*")=1,AB222*0+AE221,0)</f>
        <v>0</v>
      </c>
      <c r="AE222" t="e">
        <f ca="1">IF($AN$11&gt;0,IF(COUNTIF(B223,"*叠1*")&gt;0,50-加速!$H$11,MAX(0,AE221-(A223-A222))),0)</f>
        <v>#VALUE!</v>
      </c>
      <c r="AU222" t="s">
        <v>2768</v>
      </c>
      <c r="AV222">
        <v>2</v>
      </c>
      <c r="AW222" t="s">
        <v>2776</v>
      </c>
      <c r="AX222">
        <v>2</v>
      </c>
      <c r="AY222" t="s">
        <v>3017</v>
      </c>
      <c r="AZ222">
        <v>2</v>
      </c>
      <c r="BA222" t="s">
        <v>2808</v>
      </c>
      <c r="BB222">
        <v>2</v>
      </c>
      <c r="BC222" t="s">
        <v>2813</v>
      </c>
      <c r="BD222">
        <v>0</v>
      </c>
      <c r="BE222" t="s">
        <v>2768</v>
      </c>
      <c r="BF222">
        <v>1</v>
      </c>
      <c r="BG222" t="s">
        <v>2768</v>
      </c>
      <c r="BH222">
        <v>2</v>
      </c>
      <c r="BI222" t="s">
        <v>2768</v>
      </c>
      <c r="BJ222">
        <v>0</v>
      </c>
      <c r="BK222" t="s">
        <v>3026</v>
      </c>
      <c r="BL222">
        <v>2</v>
      </c>
      <c r="BM222" s="176" t="str">
        <f>IF(秋,"夕照雷峰","千切子寒光")</f>
        <v>千切子寒光</v>
      </c>
      <c r="BN222">
        <v>2</v>
      </c>
      <c r="BO222" s="176" t="s">
        <v>2776</v>
      </c>
      <c r="BP222">
        <v>2</v>
      </c>
      <c r="BQ222" s="176" t="str">
        <f>IF(秋,"金环戴","吹风醒")</f>
        <v>吹风醒</v>
      </c>
      <c r="BR222">
        <v>2</v>
      </c>
      <c r="BS222" t="s">
        <v>2776</v>
      </c>
      <c r="BT222">
        <v>2</v>
      </c>
      <c r="BU222" t="s">
        <v>2853</v>
      </c>
      <c r="BV222">
        <v>2</v>
      </c>
      <c r="BW222" s="179" t="s">
        <v>2768</v>
      </c>
      <c r="BX222" s="179">
        <v>2</v>
      </c>
      <c r="BY222" t="str">
        <f>IF(0,"云飞玉皇-玉山揽云","云飞玉皇")</f>
        <v>云飞玉皇</v>
      </c>
      <c r="BZ222">
        <v>2</v>
      </c>
      <c r="CA222" t="str">
        <f>IF(0,"云飞玉皇-玉山揽云","云飞玉皇")</f>
        <v>云飞玉皇</v>
      </c>
      <c r="CB222">
        <v>2</v>
      </c>
    </row>
    <row r="223" spans="1:80">
      <c r="A223" s="178" t="str">
        <f ca="1">IFERROR(IF(A222+加速!$L$11&lt;$AS$1,IF(COUNTIF(B222,"*轻*")&gt;0,A222+加速!$L$9,A222+加速!$L$11)+V222,IF(COUNTIF(INDEX(AU223:CB223,1,$AT$1),"*云景*")+COUNTIF(INDEX(AU223:CB223,1,$AT$1),"*鹤归*")+COUNTIF(INDEX(AU223:CB223,1,$AT$1),"*听雷*")&gt;0,A222+加速!$L$11,"")),"")</f>
        <v/>
      </c>
      <c r="B223" s="167" t="str">
        <f ca="1">IF(A223&lt;&gt;"",IF(AND(A223+加速!$L$11&gt;$AS$1,IF(AND(配装计算器!$K$30&lt;&gt;"∞",0),"梦泉虎跑-轻",INDEX(AU223:CB223,1,$AT$1))="云栖松"),"夕照雷峰",IF(AND(配装计算器!$K$30&lt;&gt;"∞",0),"梦泉虎跑-轻",INDEX(AU223:CB223,1,$AT$1))),"")</f>
        <v/>
      </c>
      <c r="C223" t="str">
        <f ca="1" t="shared" si="49"/>
        <v/>
      </c>
      <c r="D223" t="str">
        <f ca="1">IF(B223&lt;&gt;"",IF(C222&lt;=加速!$L$11*(1-E223),0,1),"")</f>
        <v/>
      </c>
      <c r="E223">
        <f ca="1" t="shared" si="45"/>
        <v>1</v>
      </c>
      <c r="G223" t="str">
        <f ca="1" t="shared" si="46"/>
        <v/>
      </c>
      <c r="H223" t="str">
        <f ca="1">IF(B223&lt;&gt;"",IF(AND(COUNTIF(B222,"*轻*莺鸣柳*")&gt;0,COUNTIF(B223,"*轻*")&lt;1),MAX(0,15+I222-(A223-A222)+COUNTIF(B222,"*平湖*")*0),IF(AND(E223=0,MAX(0,H222-(A223-A222))&lt;=加速!$H$11),0,MAX(0,H222-(A223-A222)))),"")</f>
        <v/>
      </c>
      <c r="I223" t="str">
        <f ca="1" t="shared" si="52"/>
        <v/>
      </c>
      <c r="J223" t="str">
        <f ca="1" t="shared" si="53"/>
        <v/>
      </c>
      <c r="K223" t="str">
        <f ca="1">IF(A223&lt;&gt;"",IF(AND(配装计算器!$K$30&lt;&gt;"∞",0),2,INDEX(AU223:CB223,1,$AT$2)),"")</f>
        <v/>
      </c>
      <c r="L223">
        <f ca="1">IFERROR(IF(AND(COUNTIF(B223,"*-峰插*"),技能数据库!$M$72&gt;0),0,IF(COUNTIF(B223,"*鹤归*")&gt;0,16-加速!$L$11,MAX(0,L222-(A223-A222)))),0)</f>
        <v>0</v>
      </c>
      <c r="M223">
        <f ca="1">IF(COUNTIF(IF(AND(配装计算器!$K$30&lt;&gt;"∞",0),INDEX(AU222:CB222,1,$AT$1),INDEX(AU224:CB224,1,$AT$1)),"*鹤归*")=1,L223,0)</f>
        <v>0</v>
      </c>
      <c r="N223">
        <f ca="1">IFERROR(IF(AND(COUNTIF(B223,"*-峰插*"),技能数据库!$M$72&gt;0),0,IF(COUNTIF(B223,"*云飞*")&gt;0,4-COUNTIF(B223,"*玉山揽云*")*4--COUNTIF(B223,"*烟流暮景*")*4-COUNTIF(B223,"*云景*")*加速!$L$11-IF(J223&gt;0,2,0),MAX(0,N222-(A223-A222)-IF(J223&gt;0,2,0)))),0)</f>
        <v>0</v>
      </c>
      <c r="O223">
        <f ca="1">IF(AND(COUNTIF(IF(AND(配装计算器!$K$30&lt;&gt;"∞",0),INDEX(AU222:CB222,1,$AT$1),INDEX(AU224:CB224,1,$AT$1)),"*云飞*")=1,COUNTIF(IF(AND(配装计算器!$K$30&lt;&gt;"∞",0),INDEX(AU222:CB222,1,$AT$1),INDEX(AU224:CB224,1,$AT$1)),"*玉山*")=0),N223,0)</f>
        <v>0</v>
      </c>
      <c r="P223">
        <f ca="1">IFERROR(IF(COUNTIF(B223,"*云栖松*")&gt;0,50-加速!$L$11,MAX(0,P222-(A223-A222))),0)</f>
        <v>0</v>
      </c>
      <c r="Q223">
        <f ca="1">IF(COUNTIF(IF(AND(配装计算器!$K$30&lt;&gt;"∞",0),INDEX(AU222:CB222,1,$AT$1),INDEX(AU224:CB224,1,$AT$1)),"*云栖松*")=1,P223,0)</f>
        <v>0</v>
      </c>
      <c r="R223">
        <f ca="1">IFERROR(IF(COUNTIF(B223,"*莺鸣柳*")&gt;0,45-加速!$L$9,MAX(0,R222-(A223-A222))),0)</f>
        <v>0</v>
      </c>
      <c r="S223">
        <f ca="1">IF(COUNTIF(IF(AND(配装计算器!$K$30&lt;&gt;"∞",0),INDEX(AU222:CB222,1,$AT$1),INDEX(AU224:CB224,1,$AT$1)),"*莺鸣柳*")=1,R223,0)</f>
        <v>0</v>
      </c>
      <c r="T223">
        <f ca="1" t="shared" si="50"/>
        <v>0</v>
      </c>
      <c r="U223">
        <f ca="1">IF(金蛇,IF(COUNTIF(B223,"*金环戴*")+COUNTIF(B223,"*吹风醒*")&gt;0,IF(A223&lt;=3,7.125-2.625-A223-加速!$L$11,7.125+加速!$K$9-(A223+加速!$L$11-T223)),0),0)+IF(金蛇,IF(COUNTIF(B223,"*千切子裂光*")&gt;0,2+加速!$K$9-(A223+加速!$L$11-T223),0),0)</f>
        <v>0</v>
      </c>
      <c r="V223">
        <f ca="1" t="shared" si="51"/>
        <v>0</v>
      </c>
      <c r="W223">
        <f ca="1" t="shared" si="43"/>
        <v>0</v>
      </c>
      <c r="X223">
        <f ca="1">INDEX(加速!$I$13:$I$21,技能数计算!W223+1)</f>
        <v>0</v>
      </c>
      <c r="Y223">
        <f ca="1" t="shared" si="47"/>
        <v>0.5</v>
      </c>
      <c r="Z223">
        <f ca="1" t="shared" si="48"/>
        <v>0</v>
      </c>
      <c r="AA223">
        <f ca="1">MAX(0,IFERROR(IF(COUNTIF(B223,"*叠*")&gt;0,IF(AC222&lt;3,8-A224+A223,AA222+6.875-A224+A223),AA222-A224+A223),AA222-加速!$L$11))</f>
        <v>0</v>
      </c>
      <c r="AB223" t="e">
        <f ca="1">MAX(0,IF(COUNTIF(IF(AND(配装计算器!$K$30&lt;&gt;"∞",0),INDEX(AU223:CB223,1,$AT$1),INDEX(AU223:CB223,1,$AT$1)),"*叠1*")=1,4*25-加速!$L$11,AB222-A223+A222)-IF(OR(COUNTIF(OFFSET(AT223,0,$AT$1,1,1),"*听雷*")&gt;0,AND(碧归&gt;0,COUNTIF(OFFSET(AT223,0,$AT$1,1,1),"*风来*")&gt;0)),0,1)*1.5)</f>
        <v>#VALUE!</v>
      </c>
      <c r="AC223">
        <f ca="1" t="shared" si="44"/>
        <v>3</v>
      </c>
      <c r="AD223">
        <f ca="1">IF(COUNTIF(IF(AND(配装计算器!$K$30&lt;&gt;"∞",0),INDEX(AU223:CB223,1,$AT$1),INDEX(AU224:CB224,1,$AT$1)),"*叠1*")=1,AB223*0+AE222,0)</f>
        <v>0</v>
      </c>
      <c r="AE223" t="e">
        <f ca="1">IF($AN$11&gt;0,IF(COUNTIF(B224,"*叠1*")&gt;0,50-加速!$H$11,MAX(0,AE222-(A224-A223))),0)</f>
        <v>#VALUE!</v>
      </c>
      <c r="AU223" t="s">
        <v>2768</v>
      </c>
      <c r="AV223">
        <v>2</v>
      </c>
      <c r="AW223" t="s">
        <v>2768</v>
      </c>
      <c r="AX223">
        <v>2</v>
      </c>
      <c r="AY223" t="s">
        <v>2808</v>
      </c>
      <c r="AZ223">
        <v>2</v>
      </c>
      <c r="BA223" t="s">
        <v>3022</v>
      </c>
      <c r="BB223">
        <v>2</v>
      </c>
      <c r="BC223" t="s">
        <v>2776</v>
      </c>
      <c r="BD223">
        <v>2</v>
      </c>
      <c r="BE223" t="s">
        <v>2768</v>
      </c>
      <c r="BF223">
        <v>1</v>
      </c>
      <c r="BG223" s="182" t="s">
        <v>3023</v>
      </c>
      <c r="BH223">
        <v>2</v>
      </c>
      <c r="BI223" t="s">
        <v>2768</v>
      </c>
      <c r="BJ223">
        <v>0</v>
      </c>
      <c r="BK223" t="s">
        <v>3026</v>
      </c>
      <c r="BL223">
        <v>2</v>
      </c>
      <c r="BM223" s="176" t="str">
        <f>IF(秋,"夕照雷峰","千切子裂光")</f>
        <v>千切子裂光</v>
      </c>
      <c r="BN223">
        <v>2</v>
      </c>
      <c r="BO223" s="176" t="s">
        <v>2768</v>
      </c>
      <c r="BP223">
        <v>2</v>
      </c>
      <c r="BQ223" s="176" t="str">
        <f>IF(秋,"梦泉虎跑-轻","夕照雷峰")</f>
        <v>夕照雷峰</v>
      </c>
      <c r="BR223">
        <v>1</v>
      </c>
      <c r="BS223" t="s">
        <v>2768</v>
      </c>
      <c r="BT223">
        <v>1</v>
      </c>
      <c r="BU223" s="176" t="str">
        <f>IF(秋,"金蛇锥-金环戴","金蛇锥-吹风醒")</f>
        <v>金蛇锥-吹风醒</v>
      </c>
      <c r="BV223">
        <v>2</v>
      </c>
      <c r="BW223" s="179" t="str">
        <f>IF(山重水复,"风来吴山","夕照雷峰")</f>
        <v>夕照雷峰</v>
      </c>
      <c r="BX223" s="179">
        <v>2</v>
      </c>
      <c r="BY223" s="176" t="str">
        <f>IF(秋,"夕照雷峰","千切子寒光")</f>
        <v>千切子寒光</v>
      </c>
      <c r="BZ223">
        <v>2</v>
      </c>
      <c r="CA223" s="176" t="s">
        <v>2794</v>
      </c>
      <c r="CB223">
        <v>2</v>
      </c>
    </row>
    <row r="224" spans="1:80">
      <c r="A224" s="178" t="str">
        <f ca="1">IFERROR(IF(A223+加速!$L$11&lt;$AS$1,IF(COUNTIF(B223,"*轻*")&gt;0,A223+加速!$L$9,A223+加速!$L$11)+V223,IF(COUNTIF(INDEX(AU224:CB224,1,$AT$1),"*云景*")+COUNTIF(INDEX(AU224:CB224,1,$AT$1),"*鹤归*")+COUNTIF(INDEX(AU224:CB224,1,$AT$1),"*听雷*")&gt;0,A223+加速!$L$11,"")),"")</f>
        <v/>
      </c>
      <c r="B224" s="167" t="str">
        <f ca="1">IF(A224&lt;&gt;"",IF(AND(A224+加速!$L$11&gt;$AS$1,IF(AND(配装计算器!$K$30&lt;&gt;"∞",0),"梦泉虎跑-轻",INDEX(AU224:CB224,1,$AT$1))="云栖松"),"夕照雷峰",IF(AND(配装计算器!$K$30&lt;&gt;"∞",0),"梦泉虎跑-轻",INDEX(AU224:CB224,1,$AT$1))),"")</f>
        <v/>
      </c>
      <c r="C224" t="str">
        <f ca="1" t="shared" si="49"/>
        <v/>
      </c>
      <c r="D224" t="str">
        <f ca="1">IF(B224&lt;&gt;"",IF(C223&lt;=加速!$L$11*(1-E224),0,1),"")</f>
        <v/>
      </c>
      <c r="E224">
        <f ca="1" t="shared" si="45"/>
        <v>1</v>
      </c>
      <c r="G224" t="str">
        <f ca="1" t="shared" si="46"/>
        <v/>
      </c>
      <c r="H224" t="str">
        <f ca="1">IF(B224&lt;&gt;"",IF(AND(COUNTIF(B223,"*轻*莺鸣柳*")&gt;0,COUNTIF(B224,"*轻*")&lt;1),MAX(0,15+I223-(A224-A223)+COUNTIF(B223,"*平湖*")*0),IF(AND(E224=0,MAX(0,H223-(A224-A223))&lt;=加速!$H$11),0,MAX(0,H223-(A224-A223)))),"")</f>
        <v/>
      </c>
      <c r="I224" t="str">
        <f ca="1" t="shared" si="52"/>
        <v/>
      </c>
      <c r="J224" t="str">
        <f ca="1" t="shared" si="53"/>
        <v/>
      </c>
      <c r="K224" t="str">
        <f ca="1">IF(A224&lt;&gt;"",IF(AND(配装计算器!$K$30&lt;&gt;"∞",0),2,INDEX(AU224:CB224,1,$AT$2)),"")</f>
        <v/>
      </c>
      <c r="L224">
        <f ca="1">IFERROR(IF(AND(COUNTIF(B224,"*-峰插*"),技能数据库!$M$72&gt;0),0,IF(COUNTIF(B224,"*鹤归*")&gt;0,16-加速!$L$11,MAX(0,L223-(A224-A223)))),0)</f>
        <v>0</v>
      </c>
      <c r="M224">
        <f ca="1">IF(COUNTIF(IF(AND(配装计算器!$K$30&lt;&gt;"∞",0),INDEX(AU223:CB223,1,$AT$1),INDEX(AU225:CB225,1,$AT$1)),"*鹤归*")=1,L224,0)</f>
        <v>0</v>
      </c>
      <c r="N224">
        <f ca="1">IFERROR(IF(AND(COUNTIF(B224,"*-峰插*"),技能数据库!$M$72&gt;0),0,IF(COUNTIF(B224,"*云飞*")&gt;0,4-COUNTIF(B224,"*玉山揽云*")*4--COUNTIF(B224,"*烟流暮景*")*4-COUNTIF(B224,"*云景*")*加速!$L$11-IF(J224&gt;0,2,0),MAX(0,N223-(A224-A223)-IF(J224&gt;0,2,0)))),0)</f>
        <v>0</v>
      </c>
      <c r="O224">
        <f ca="1">IF(AND(COUNTIF(IF(AND(配装计算器!$K$30&lt;&gt;"∞",0),INDEX(AU223:CB223,1,$AT$1),INDEX(AU225:CB225,1,$AT$1)),"*云飞*")=1,COUNTIF(IF(AND(配装计算器!$K$30&lt;&gt;"∞",0),INDEX(AU223:CB223,1,$AT$1),INDEX(AU225:CB225,1,$AT$1)),"*玉山*")=0),N224,0)</f>
        <v>0</v>
      </c>
      <c r="P224">
        <f ca="1">IFERROR(IF(COUNTIF(B224,"*云栖松*")&gt;0,50-加速!$L$11,MAX(0,P223-(A224-A223))),0)</f>
        <v>0</v>
      </c>
      <c r="Q224">
        <f ca="1">IF(COUNTIF(IF(AND(配装计算器!$K$30&lt;&gt;"∞",0),INDEX(AU223:CB223,1,$AT$1),INDEX(AU225:CB225,1,$AT$1)),"*云栖松*")=1,P224,0)</f>
        <v>0</v>
      </c>
      <c r="R224">
        <f ca="1">IFERROR(IF(COUNTIF(B224,"*莺鸣柳*")&gt;0,45-加速!$L$9,MAX(0,R223-(A224-A223))),0)</f>
        <v>0</v>
      </c>
      <c r="S224">
        <f ca="1">IF(COUNTIF(IF(AND(配装计算器!$K$30&lt;&gt;"∞",0),INDEX(AU223:CB223,1,$AT$1),INDEX(AU225:CB225,1,$AT$1)),"*莺鸣柳*")=1,R224,0)</f>
        <v>0</v>
      </c>
      <c r="T224">
        <f ca="1" t="shared" si="50"/>
        <v>0</v>
      </c>
      <c r="U224">
        <f ca="1">IF(金蛇,IF(COUNTIF(B224,"*金环戴*")+COUNTIF(B224,"*吹风醒*")&gt;0,IF(A224&lt;=3,7.125-2.625-A224-加速!$L$11,7.125+加速!$K$9-(A224+加速!$L$11-T224)),0),0)+IF(金蛇,IF(COUNTIF(B224,"*千切子裂光*")&gt;0,2+加速!$K$9-(A224+加速!$L$11-T224),0),0)</f>
        <v>0</v>
      </c>
      <c r="V224">
        <f ca="1" t="shared" si="51"/>
        <v>0</v>
      </c>
      <c r="W224">
        <f ca="1" t="shared" si="43"/>
        <v>0</v>
      </c>
      <c r="X224">
        <f ca="1">INDEX(加速!$I$13:$I$21,技能数计算!W224+1)</f>
        <v>0</v>
      </c>
      <c r="Y224">
        <f ca="1" t="shared" si="47"/>
        <v>0.5</v>
      </c>
      <c r="Z224">
        <f ca="1" t="shared" si="48"/>
        <v>0</v>
      </c>
      <c r="AA224">
        <f ca="1">MAX(0,IFERROR(IF(COUNTIF(B224,"*叠*")&gt;0,IF(AC223&lt;3,8-A225+A224,AA223+6.875-A225+A224),AA223-A225+A224),AA223-加速!$L$11))</f>
        <v>0</v>
      </c>
      <c r="AB224" t="e">
        <f ca="1">MAX(0,IF(COUNTIF(IF(AND(配装计算器!$K$30&lt;&gt;"∞",0),INDEX(AU224:CB224,1,$AT$1),INDEX(AU224:CB224,1,$AT$1)),"*叠1*")=1,4*25-加速!$L$11,AB223-A224+A223)-IF(OR(COUNTIF(OFFSET(AT224,0,$AT$1,1,1),"*听雷*")&gt;0,AND(碧归&gt;0,COUNTIF(OFFSET(AT224,0,$AT$1,1,1),"*风来*")&gt;0)),0,1)*1.5)</f>
        <v>#VALUE!</v>
      </c>
      <c r="AC224">
        <f ca="1" t="shared" si="44"/>
        <v>3</v>
      </c>
      <c r="AD224">
        <f ca="1">IF(COUNTIF(IF(AND(配装计算器!$K$30&lt;&gt;"∞",0),INDEX(AU224:CB224,1,$AT$1),INDEX(AU225:CB225,1,$AT$1)),"*叠1*")=1,AB224*0+AE223,0)</f>
        <v>0</v>
      </c>
      <c r="AE224" t="e">
        <f ca="1">IF($AN$11&gt;0,IF(COUNTIF(B225,"*叠1*")&gt;0,50-加速!$H$11,MAX(0,AE223-(A225-A224))),0)</f>
        <v>#VALUE!</v>
      </c>
      <c r="AU224" s="176" t="s">
        <v>2794</v>
      </c>
      <c r="AV224">
        <v>2</v>
      </c>
      <c r="AW224" s="176" t="s">
        <v>2794</v>
      </c>
      <c r="AX224">
        <v>2</v>
      </c>
      <c r="AY224" t="s">
        <v>3022</v>
      </c>
      <c r="AZ224">
        <v>2</v>
      </c>
      <c r="BA224" t="s">
        <v>2776</v>
      </c>
      <c r="BB224">
        <v>2</v>
      </c>
      <c r="BC224" t="s">
        <v>2768</v>
      </c>
      <c r="BD224">
        <v>2</v>
      </c>
      <c r="BE224" t="s">
        <v>2794</v>
      </c>
      <c r="BF224">
        <v>1</v>
      </c>
      <c r="BG224" s="176" t="s">
        <v>2768</v>
      </c>
      <c r="BH224">
        <v>2</v>
      </c>
      <c r="BI224" t="s">
        <v>2722</v>
      </c>
      <c r="BJ224">
        <v>0</v>
      </c>
      <c r="BK224" t="s">
        <v>3026</v>
      </c>
      <c r="BL224">
        <v>2</v>
      </c>
      <c r="BM224" t="str">
        <f>IF(0,"云飞玉皇-玉山揽云","夕照雷峰")</f>
        <v>夕照雷峰</v>
      </c>
      <c r="BN224">
        <v>2</v>
      </c>
      <c r="BO224" s="176" t="s">
        <v>2776</v>
      </c>
      <c r="BP224">
        <v>2</v>
      </c>
      <c r="BQ224" t="s">
        <v>3028</v>
      </c>
      <c r="BR224">
        <v>2</v>
      </c>
      <c r="BS224" t="str">
        <f>IF(秋,"云栖松","泉凝月")</f>
        <v>泉凝月</v>
      </c>
      <c r="BT224">
        <v>1</v>
      </c>
      <c r="BU224" t="s">
        <v>2773</v>
      </c>
      <c r="BV224">
        <v>2</v>
      </c>
      <c r="BW224" s="182" t="s">
        <v>2794</v>
      </c>
      <c r="BX224" s="179">
        <v>2</v>
      </c>
      <c r="BY224" s="176" t="str">
        <f>IF(秋,"夕照雷峰","千切子裂光")</f>
        <v>千切子裂光</v>
      </c>
      <c r="BZ224">
        <v>2</v>
      </c>
      <c r="CA224" s="176" t="s">
        <v>2768</v>
      </c>
      <c r="CB224">
        <v>2</v>
      </c>
    </row>
    <row r="225" spans="1:80">
      <c r="A225" s="178" t="str">
        <f ca="1">IFERROR(IF(A224+加速!$L$11&lt;$AS$1,IF(COUNTIF(B224,"*轻*")&gt;0,A224+加速!$L$9,A224+加速!$L$11)+V224,IF(COUNTIF(INDEX(AU225:CB225,1,$AT$1),"*云景*")+COUNTIF(INDEX(AU225:CB225,1,$AT$1),"*鹤归*")+COUNTIF(INDEX(AU225:CB225,1,$AT$1),"*听雷*")&gt;0,A224+加速!$L$11,"")),"")</f>
        <v/>
      </c>
      <c r="B225" s="167" t="str">
        <f ca="1">IF(A225&lt;&gt;"",IF(AND(A225+加速!$L$11&gt;$AS$1,IF(AND(配装计算器!$K$30&lt;&gt;"∞",0),"梦泉虎跑-轻",INDEX(AU225:CB225,1,$AT$1))="云栖松"),"夕照雷峰",IF(AND(配装计算器!$K$30&lt;&gt;"∞",0),"梦泉虎跑-轻",INDEX(AU225:CB225,1,$AT$1))),"")</f>
        <v/>
      </c>
      <c r="C225" t="str">
        <f ca="1" t="shared" si="49"/>
        <v/>
      </c>
      <c r="D225" t="str">
        <f ca="1">IF(B225&lt;&gt;"",IF(C224&lt;=加速!$L$11*(1-E225),0,1),"")</f>
        <v/>
      </c>
      <c r="E225">
        <f ca="1" t="shared" si="45"/>
        <v>1</v>
      </c>
      <c r="G225" t="str">
        <f ca="1" t="shared" si="46"/>
        <v/>
      </c>
      <c r="H225" t="str">
        <f ca="1">IF(B225&lt;&gt;"",IF(AND(COUNTIF(B224,"*轻*莺鸣柳*")&gt;0,COUNTIF(B225,"*轻*")&lt;1),MAX(0,15+I224-(A225-A224)+COUNTIF(B224,"*平湖*")*0),IF(AND(E225=0,MAX(0,H224-(A225-A224))&lt;=加速!$H$11),0,MAX(0,H224-(A225-A224)))),"")</f>
        <v/>
      </c>
      <c r="I225" t="str">
        <f ca="1" t="shared" si="52"/>
        <v/>
      </c>
      <c r="J225" t="str">
        <f ca="1" t="shared" si="53"/>
        <v/>
      </c>
      <c r="K225" t="str">
        <f ca="1">IF(A225&lt;&gt;"",IF(AND(配装计算器!$K$30&lt;&gt;"∞",0),2,INDEX(AU225:CB225,1,$AT$2)),"")</f>
        <v/>
      </c>
      <c r="L225">
        <f ca="1">IFERROR(IF(AND(COUNTIF(B225,"*-峰插*"),技能数据库!$M$72&gt;0),0,IF(COUNTIF(B225,"*鹤归*")&gt;0,16-加速!$L$11,MAX(0,L224-(A225-A224)))),0)</f>
        <v>0</v>
      </c>
      <c r="M225">
        <f ca="1">IF(COUNTIF(IF(AND(配装计算器!$K$30&lt;&gt;"∞",0),INDEX(AU224:CB224,1,$AT$1),INDEX(AU226:CB226,1,$AT$1)),"*鹤归*")=1,L225,0)</f>
        <v>0</v>
      </c>
      <c r="N225">
        <f ca="1">IFERROR(IF(AND(COUNTIF(B225,"*-峰插*"),技能数据库!$M$72&gt;0),0,IF(COUNTIF(B225,"*云飞*")&gt;0,4-COUNTIF(B225,"*玉山揽云*")*4--COUNTIF(B225,"*烟流暮景*")*4-COUNTIF(B225,"*云景*")*加速!$L$11-IF(J225&gt;0,2,0),MAX(0,N224-(A225-A224)-IF(J225&gt;0,2,0)))),0)</f>
        <v>0</v>
      </c>
      <c r="O225">
        <f ca="1">IF(AND(COUNTIF(IF(AND(配装计算器!$K$30&lt;&gt;"∞",0),INDEX(AU224:CB224,1,$AT$1),INDEX(AU226:CB226,1,$AT$1)),"*云飞*")=1,COUNTIF(IF(AND(配装计算器!$K$30&lt;&gt;"∞",0),INDEX(AU224:CB224,1,$AT$1),INDEX(AU226:CB226,1,$AT$1)),"*玉山*")=0),N225,0)</f>
        <v>0</v>
      </c>
      <c r="P225">
        <f ca="1">IFERROR(IF(COUNTIF(B225,"*云栖松*")&gt;0,50-加速!$L$11,MAX(0,P224-(A225-A224))),0)</f>
        <v>0</v>
      </c>
      <c r="Q225">
        <f ca="1">IF(COUNTIF(IF(AND(配装计算器!$K$30&lt;&gt;"∞",0),INDEX(AU224:CB224,1,$AT$1),INDEX(AU226:CB226,1,$AT$1)),"*云栖松*")=1,P225,0)</f>
        <v>0</v>
      </c>
      <c r="R225">
        <f ca="1">IFERROR(IF(COUNTIF(B225,"*莺鸣柳*")&gt;0,45-加速!$L$9,MAX(0,R224-(A225-A224))),0)</f>
        <v>0</v>
      </c>
      <c r="S225">
        <f ca="1">IF(COUNTIF(IF(AND(配装计算器!$K$30&lt;&gt;"∞",0),INDEX(AU224:CB224,1,$AT$1),INDEX(AU226:CB226,1,$AT$1)),"*莺鸣柳*")=1,R225,0)</f>
        <v>0</v>
      </c>
      <c r="T225">
        <f ca="1" t="shared" si="50"/>
        <v>0</v>
      </c>
      <c r="U225">
        <f ca="1">IF(金蛇,IF(COUNTIF(B225,"*金环戴*")+COUNTIF(B225,"*吹风醒*")&gt;0,IF(A225&lt;=3,7.125-2.625-A225-加速!$L$11,7.125+加速!$K$9-(A225+加速!$L$11-T225)),0),0)+IF(金蛇,IF(COUNTIF(B225,"*千切子裂光*")&gt;0,2+加速!$K$9-(A225+加速!$L$11-T225),0),0)</f>
        <v>0</v>
      </c>
      <c r="V225">
        <f ca="1" t="shared" si="51"/>
        <v>0</v>
      </c>
      <c r="W225">
        <f ca="1" t="shared" si="43"/>
        <v>0</v>
      </c>
      <c r="X225">
        <f ca="1">INDEX(加速!$I$13:$I$21,技能数计算!W225+1)</f>
        <v>0</v>
      </c>
      <c r="Y225">
        <f ca="1" t="shared" si="47"/>
        <v>0.5</v>
      </c>
      <c r="Z225">
        <f ca="1" t="shared" si="48"/>
        <v>0</v>
      </c>
      <c r="AA225">
        <f ca="1">MAX(0,IFERROR(IF(COUNTIF(B225,"*叠*")&gt;0,IF(AC224&lt;3,8-A226+A225,AA224+6.875-A226+A225),AA224-A226+A225),AA224-加速!$L$11))</f>
        <v>0</v>
      </c>
      <c r="AB225" t="e">
        <f ca="1">MAX(0,IF(COUNTIF(IF(AND(配装计算器!$K$30&lt;&gt;"∞",0),INDEX(AU225:CB225,1,$AT$1),INDEX(AU225:CB225,1,$AT$1)),"*叠1*")=1,4*25-加速!$L$11,AB224-A225+A224)-IF(OR(COUNTIF(OFFSET(AT225,0,$AT$1,1,1),"*听雷*")&gt;0,AND(碧归&gt;0,COUNTIF(OFFSET(AT225,0,$AT$1,1,1),"*风来*")&gt;0)),0,1)*1.5)</f>
        <v>#VALUE!</v>
      </c>
      <c r="AC225">
        <f ca="1" t="shared" si="44"/>
        <v>3</v>
      </c>
      <c r="AD225">
        <f ca="1">IF(COUNTIF(IF(AND(配装计算器!$K$30&lt;&gt;"∞",0),INDEX(AU225:CB225,1,$AT$1),INDEX(AU226:CB226,1,$AT$1)),"*叠1*")=1,AB225*0+AE224,0)</f>
        <v>0</v>
      </c>
      <c r="AE225" t="e">
        <f ca="1">IF($AN$11&gt;0,IF(COUNTIF(B226,"*叠1*")&gt;0,50-加速!$H$11,MAX(0,AE224-(A226-A225))),0)</f>
        <v>#VALUE!</v>
      </c>
      <c r="AU225" s="176" t="s">
        <v>2776</v>
      </c>
      <c r="AV225">
        <v>2</v>
      </c>
      <c r="AW225" s="176" t="s">
        <v>2768</v>
      </c>
      <c r="AX225">
        <v>2</v>
      </c>
      <c r="AY225" t="s">
        <v>2776</v>
      </c>
      <c r="AZ225">
        <v>2</v>
      </c>
      <c r="BA225" t="s">
        <v>2768</v>
      </c>
      <c r="BB225">
        <v>2</v>
      </c>
      <c r="BC225" t="s">
        <v>2768</v>
      </c>
      <c r="BD225">
        <v>2</v>
      </c>
      <c r="BE225" t="s">
        <v>2776</v>
      </c>
      <c r="BF225">
        <v>2</v>
      </c>
      <c r="BG225" s="176" t="s">
        <v>2768</v>
      </c>
      <c r="BH225">
        <v>2</v>
      </c>
      <c r="BI225" t="s">
        <v>2776</v>
      </c>
      <c r="BJ225">
        <v>2</v>
      </c>
      <c r="BK225" t="s">
        <v>2776</v>
      </c>
      <c r="BL225">
        <v>2</v>
      </c>
      <c r="BM225" s="176" t="str">
        <f>IF(秋,"云飞玉皇","夕照雷峰")</f>
        <v>夕照雷峰</v>
      </c>
      <c r="BN225">
        <v>2</v>
      </c>
      <c r="BO225" s="176" t="s">
        <v>2768</v>
      </c>
      <c r="BP225">
        <v>2</v>
      </c>
      <c r="BQ225" t="s">
        <v>2768</v>
      </c>
      <c r="BR225">
        <v>2</v>
      </c>
      <c r="BS225" t="s">
        <v>2768</v>
      </c>
      <c r="BT225">
        <v>0</v>
      </c>
      <c r="BU225" s="176" t="s">
        <v>2794</v>
      </c>
      <c r="BV225">
        <v>1</v>
      </c>
      <c r="BW225" s="182" t="s">
        <v>2776</v>
      </c>
      <c r="BX225" s="179">
        <v>2</v>
      </c>
      <c r="BY225" t="str">
        <f>IF(0,"云飞玉皇-玉山揽云","夕照雷峰")</f>
        <v>夕照雷峰</v>
      </c>
      <c r="BZ225">
        <v>2</v>
      </c>
      <c r="CA225" s="176" t="s">
        <v>2776</v>
      </c>
      <c r="CB225">
        <v>2</v>
      </c>
    </row>
    <row r="226" spans="1:80">
      <c r="A226" s="178" t="str">
        <f ca="1">IFERROR(IF(A225+加速!$L$11&lt;$AS$1,IF(COUNTIF(B225,"*轻*")&gt;0,A225+加速!$L$9,A225+加速!$L$11)+V225,IF(COUNTIF(INDEX(AU226:CB226,1,$AT$1),"*云景*")+COUNTIF(INDEX(AU226:CB226,1,$AT$1),"*鹤归*")+COUNTIF(INDEX(AU226:CB226,1,$AT$1),"*听雷*")&gt;0,A225+加速!$L$11,"")),"")</f>
        <v/>
      </c>
      <c r="B226" s="167" t="str">
        <f ca="1">IF(A226&lt;&gt;"",IF(AND(A226+加速!$L$11&gt;$AS$1,IF(AND(配装计算器!$K$30&lt;&gt;"∞",0),"梦泉虎跑-轻",INDEX(AU226:CB226,1,$AT$1))="云栖松"),"夕照雷峰",IF(AND(配装计算器!$K$30&lt;&gt;"∞",0),"梦泉虎跑-轻",INDEX(AU226:CB226,1,$AT$1))),"")</f>
        <v/>
      </c>
      <c r="C226" t="str">
        <f ca="1" t="shared" si="49"/>
        <v/>
      </c>
      <c r="D226" t="str">
        <f ca="1">IF(B226&lt;&gt;"",IF(C225&lt;=加速!$L$11*(1-E226),0,1),"")</f>
        <v/>
      </c>
      <c r="E226">
        <f ca="1" t="shared" si="45"/>
        <v>1</v>
      </c>
      <c r="G226" t="str">
        <f ca="1" t="shared" si="46"/>
        <v/>
      </c>
      <c r="H226" t="str">
        <f ca="1">IF(B226&lt;&gt;"",IF(AND(COUNTIF(B225,"*轻*莺鸣柳*")&gt;0,COUNTIF(B226,"*轻*")&lt;1),MAX(0,15+I225-(A226-A225)+COUNTIF(B225,"*平湖*")*0),IF(AND(E226=0,MAX(0,H225-(A226-A225))&lt;=加速!$H$11),0,MAX(0,H225-(A226-A225)))),"")</f>
        <v/>
      </c>
      <c r="I226" t="str">
        <f ca="1" t="shared" si="52"/>
        <v/>
      </c>
      <c r="J226" t="str">
        <f ca="1" t="shared" si="53"/>
        <v/>
      </c>
      <c r="K226" t="str">
        <f ca="1">IF(A226&lt;&gt;"",IF(AND(配装计算器!$K$30&lt;&gt;"∞",0),2,INDEX(AU226:CB226,1,$AT$2)),"")</f>
        <v/>
      </c>
      <c r="L226">
        <f ca="1">IFERROR(IF(AND(COUNTIF(B226,"*-峰插*"),技能数据库!$M$72&gt;0),0,IF(COUNTIF(B226,"*鹤归*")&gt;0,16-加速!$L$11,MAX(0,L225-(A226-A225)))),0)</f>
        <v>0</v>
      </c>
      <c r="M226">
        <f ca="1">IF(COUNTIF(IF(AND(配装计算器!$K$30&lt;&gt;"∞",0),INDEX(AU225:CB225,1,$AT$1),INDEX(AU227:CB227,1,$AT$1)),"*鹤归*")=1,L226,0)</f>
        <v>0</v>
      </c>
      <c r="N226">
        <f ca="1">IFERROR(IF(AND(COUNTIF(B226,"*-峰插*"),技能数据库!$M$72&gt;0),0,IF(COUNTIF(B226,"*云飞*")&gt;0,4-COUNTIF(B226,"*玉山揽云*")*4--COUNTIF(B226,"*烟流暮景*")*4-COUNTIF(B226,"*云景*")*加速!$L$11-IF(J226&gt;0,2,0),MAX(0,N225-(A226-A225)-IF(J226&gt;0,2,0)))),0)</f>
        <v>0</v>
      </c>
      <c r="O226">
        <f ca="1">IF(AND(COUNTIF(IF(AND(配装计算器!$K$30&lt;&gt;"∞",0),INDEX(AU225:CB225,1,$AT$1),INDEX(AU227:CB227,1,$AT$1)),"*云飞*")=1,COUNTIF(IF(AND(配装计算器!$K$30&lt;&gt;"∞",0),INDEX(AU225:CB225,1,$AT$1),INDEX(AU227:CB227,1,$AT$1)),"*玉山*")=0),N226,0)</f>
        <v>0</v>
      </c>
      <c r="P226">
        <f ca="1">IFERROR(IF(COUNTIF(B226,"*云栖松*")&gt;0,50-加速!$L$11,MAX(0,P225-(A226-A225))),0)</f>
        <v>0</v>
      </c>
      <c r="Q226">
        <f ca="1">IF(COUNTIF(IF(AND(配装计算器!$K$30&lt;&gt;"∞",0),INDEX(AU225:CB225,1,$AT$1),INDEX(AU227:CB227,1,$AT$1)),"*云栖松*")=1,P226,0)</f>
        <v>0</v>
      </c>
      <c r="R226">
        <f ca="1">IFERROR(IF(COUNTIF(B226,"*莺鸣柳*")&gt;0,45-加速!$L$9,MAX(0,R225-(A226-A225))),0)</f>
        <v>0</v>
      </c>
      <c r="S226">
        <f ca="1">IF(COUNTIF(IF(AND(配装计算器!$K$30&lt;&gt;"∞",0),INDEX(AU225:CB225,1,$AT$1),INDEX(AU227:CB227,1,$AT$1)),"*莺鸣柳*")=1,R226,0)</f>
        <v>0</v>
      </c>
      <c r="T226">
        <f ca="1" t="shared" si="50"/>
        <v>0</v>
      </c>
      <c r="U226">
        <f ca="1">IF(金蛇,IF(COUNTIF(B226,"*金环戴*")+COUNTIF(B226,"*吹风醒*")&gt;0,IF(A226&lt;=3,7.125-2.625-A226-加速!$L$11,7.125+加速!$K$9-(A226+加速!$L$11-T226)),0),0)+IF(金蛇,IF(COUNTIF(B226,"*千切子裂光*")&gt;0,2+加速!$K$9-(A226+加速!$L$11-T226),0),0)</f>
        <v>0</v>
      </c>
      <c r="V226">
        <f ca="1" t="shared" si="51"/>
        <v>0</v>
      </c>
      <c r="W226">
        <f ca="1" t="shared" si="43"/>
        <v>0</v>
      </c>
      <c r="X226">
        <f ca="1">INDEX(加速!$I$13:$I$21,技能数计算!W226+1)</f>
        <v>0</v>
      </c>
      <c r="Y226">
        <f ca="1" t="shared" si="47"/>
        <v>0.5</v>
      </c>
      <c r="Z226">
        <f ca="1" t="shared" si="48"/>
        <v>0</v>
      </c>
      <c r="AA226">
        <f ca="1">MAX(0,IFERROR(IF(COUNTIF(B226,"*叠*")&gt;0,IF(AC225&lt;3,8-A227+A226,AA225+6.875-A227+A226),AA225-A227+A226),AA225-加速!$L$11))</f>
        <v>0</v>
      </c>
      <c r="AB226" t="e">
        <f ca="1">MAX(0,IF(COUNTIF(IF(AND(配装计算器!$K$30&lt;&gt;"∞",0),INDEX(AU226:CB226,1,$AT$1),INDEX(AU226:CB226,1,$AT$1)),"*叠1*")=1,4*25-加速!$L$11,AB225-A226+A225)-IF(OR(COUNTIF(OFFSET(AT226,0,$AT$1,1,1),"*听雷*")&gt;0,AND(碧归&gt;0,COUNTIF(OFFSET(AT226,0,$AT$1,1,1),"*风来*")&gt;0)),0,1)*1.5)</f>
        <v>#VALUE!</v>
      </c>
      <c r="AC226">
        <f ca="1" t="shared" si="44"/>
        <v>3</v>
      </c>
      <c r="AD226">
        <f ca="1">IF(COUNTIF(IF(AND(配装计算器!$K$30&lt;&gt;"∞",0),INDEX(AU226:CB226,1,$AT$1),INDEX(AU227:CB227,1,$AT$1)),"*叠1*")=1,AB226*0+AE225,0)</f>
        <v>0</v>
      </c>
      <c r="AE226" t="e">
        <f ca="1">IF($AN$11&gt;0,IF(COUNTIF(B227,"*叠1*")&gt;0,50-加速!$H$11,MAX(0,AE225-(A227-A226))),0)</f>
        <v>#VALUE!</v>
      </c>
      <c r="AU226" s="176" t="s">
        <v>2768</v>
      </c>
      <c r="AV226">
        <v>1</v>
      </c>
      <c r="AW226" s="176" t="s">
        <v>2776</v>
      </c>
      <c r="AX226">
        <v>2</v>
      </c>
      <c r="AY226" t="s">
        <v>2768</v>
      </c>
      <c r="AZ226">
        <v>2</v>
      </c>
      <c r="BA226" t="s">
        <v>2789</v>
      </c>
      <c r="BB226">
        <v>2</v>
      </c>
      <c r="BC226" t="s">
        <v>2768</v>
      </c>
      <c r="BD226">
        <v>1</v>
      </c>
      <c r="BE226" t="s">
        <v>2768</v>
      </c>
      <c r="BF226">
        <v>2</v>
      </c>
      <c r="BG226" s="176" t="s">
        <v>2789</v>
      </c>
      <c r="BH226">
        <v>2</v>
      </c>
      <c r="BI226" t="s">
        <v>2768</v>
      </c>
      <c r="BJ226">
        <v>2</v>
      </c>
      <c r="BK226" t="s">
        <v>2794</v>
      </c>
      <c r="BL226">
        <v>2</v>
      </c>
      <c r="BM226" s="176" t="str">
        <f>IF(秋,"夕照雷峰","云飞玉皇")</f>
        <v>云飞玉皇</v>
      </c>
      <c r="BN226">
        <v>2</v>
      </c>
      <c r="BO226" t="s">
        <v>3056</v>
      </c>
      <c r="BP226">
        <v>1</v>
      </c>
      <c r="BQ226" t="s">
        <v>2768</v>
      </c>
      <c r="BR226">
        <v>2</v>
      </c>
      <c r="BS226" t="s">
        <v>2776</v>
      </c>
      <c r="BT226">
        <v>0</v>
      </c>
      <c r="BU226" t="s">
        <v>3028</v>
      </c>
      <c r="BV226">
        <v>1</v>
      </c>
      <c r="BW226" s="182" t="s">
        <v>2768</v>
      </c>
      <c r="BX226" s="179">
        <v>1</v>
      </c>
      <c r="BY226" t="s">
        <v>2776</v>
      </c>
      <c r="BZ226">
        <v>2</v>
      </c>
      <c r="CA226" s="176" t="s">
        <v>2768</v>
      </c>
      <c r="CB226">
        <v>2</v>
      </c>
    </row>
    <row r="227" spans="1:80">
      <c r="A227" s="178" t="str">
        <f ca="1">IFERROR(IF(A226+加速!$L$11&lt;$AS$1,IF(COUNTIF(B226,"*轻*")&gt;0,A226+加速!$L$9,A226+加速!$L$11)+V226,IF(COUNTIF(INDEX(AU227:CB227,1,$AT$1),"*云景*")+COUNTIF(INDEX(AU227:CB227,1,$AT$1),"*鹤归*")+COUNTIF(INDEX(AU227:CB227,1,$AT$1),"*听雷*")&gt;0,A226+加速!$L$11,"")),"")</f>
        <v/>
      </c>
      <c r="B227" s="167" t="str">
        <f ca="1">IF(A227&lt;&gt;"",IF(AND(A227+加速!$L$11&gt;$AS$1,IF(AND(配装计算器!$K$30&lt;&gt;"∞",0),"梦泉虎跑-轻",INDEX(AU227:CB227,1,$AT$1))="云栖松"),"夕照雷峰",IF(AND(配装计算器!$K$30&lt;&gt;"∞",0),"梦泉虎跑-轻",INDEX(AU227:CB227,1,$AT$1))),"")</f>
        <v/>
      </c>
      <c r="C227" t="str">
        <f ca="1" t="shared" si="49"/>
        <v/>
      </c>
      <c r="D227" t="str">
        <f ca="1">IF(B227&lt;&gt;"",IF(C226&lt;=加速!$L$11*(1-E227),0,1),"")</f>
        <v/>
      </c>
      <c r="E227">
        <f ca="1" t="shared" si="45"/>
        <v>1</v>
      </c>
      <c r="G227" t="str">
        <f ca="1" t="shared" si="46"/>
        <v/>
      </c>
      <c r="H227" t="str">
        <f ca="1">IF(B227&lt;&gt;"",IF(AND(COUNTIF(B226,"*轻*莺鸣柳*")&gt;0,COUNTIF(B227,"*轻*")&lt;1),MAX(0,15+I226-(A227-A226)+COUNTIF(B226,"*平湖*")*0),IF(AND(E227=0,MAX(0,H226-(A227-A226))&lt;=加速!$H$11),0,MAX(0,H226-(A227-A226)))),"")</f>
        <v/>
      </c>
      <c r="I227" t="str">
        <f ca="1" t="shared" si="52"/>
        <v/>
      </c>
      <c r="J227" t="str">
        <f ca="1" t="shared" si="53"/>
        <v/>
      </c>
      <c r="K227" t="str">
        <f ca="1">IF(A227&lt;&gt;"",IF(AND(配装计算器!$K$30&lt;&gt;"∞",0),2,INDEX(AU227:CB227,1,$AT$2)),"")</f>
        <v/>
      </c>
      <c r="L227">
        <f ca="1">IFERROR(IF(AND(COUNTIF(B227,"*-峰插*"),技能数据库!$M$72&gt;0),0,IF(COUNTIF(B227,"*鹤归*")&gt;0,16-加速!$L$11,MAX(0,L226-(A227-A226)))),0)</f>
        <v>0</v>
      </c>
      <c r="M227">
        <f ca="1">IF(COUNTIF(IF(AND(配装计算器!$K$30&lt;&gt;"∞",0),INDEX(AU226:CB226,1,$AT$1),INDEX(AU228:CB228,1,$AT$1)),"*鹤归*")=1,L227,0)</f>
        <v>0</v>
      </c>
      <c r="N227">
        <f ca="1">IFERROR(IF(AND(COUNTIF(B227,"*-峰插*"),技能数据库!$M$72&gt;0),0,IF(COUNTIF(B227,"*云飞*")&gt;0,4-COUNTIF(B227,"*玉山揽云*")*4--COUNTIF(B227,"*烟流暮景*")*4-COUNTIF(B227,"*云景*")*加速!$L$11-IF(J227&gt;0,2,0),MAX(0,N226-(A227-A226)-IF(J227&gt;0,2,0)))),0)</f>
        <v>0</v>
      </c>
      <c r="O227">
        <f ca="1">IF(AND(COUNTIF(IF(AND(配装计算器!$K$30&lt;&gt;"∞",0),INDEX(AU226:CB226,1,$AT$1),INDEX(AU228:CB228,1,$AT$1)),"*云飞*")=1,COUNTIF(IF(AND(配装计算器!$K$30&lt;&gt;"∞",0),INDEX(AU226:CB226,1,$AT$1),INDEX(AU228:CB228,1,$AT$1)),"*玉山*")=0),N227,0)</f>
        <v>0</v>
      </c>
      <c r="P227">
        <f ca="1">IFERROR(IF(COUNTIF(B227,"*云栖松*")&gt;0,50-加速!$L$11,MAX(0,P226-(A227-A226))),0)</f>
        <v>0</v>
      </c>
      <c r="Q227">
        <f ca="1">IF(COUNTIF(IF(AND(配装计算器!$K$30&lt;&gt;"∞",0),INDEX(AU226:CB226,1,$AT$1),INDEX(AU228:CB228,1,$AT$1)),"*云栖松*")=1,P227,0)</f>
        <v>0</v>
      </c>
      <c r="R227">
        <f ca="1">IFERROR(IF(COUNTIF(B227,"*莺鸣柳*")&gt;0,45-加速!$L$9,MAX(0,R226-(A227-A226))),0)</f>
        <v>0</v>
      </c>
      <c r="S227">
        <f ca="1">IF(COUNTIF(IF(AND(配装计算器!$K$30&lt;&gt;"∞",0),INDEX(AU226:CB226,1,$AT$1),INDEX(AU228:CB228,1,$AT$1)),"*莺鸣柳*")=1,R227,0)</f>
        <v>0</v>
      </c>
      <c r="T227">
        <f ca="1" t="shared" si="50"/>
        <v>0</v>
      </c>
      <c r="U227">
        <f ca="1">IF(金蛇,IF(COUNTIF(B227,"*金环戴*")+COUNTIF(B227,"*吹风醒*")&gt;0,IF(A227&lt;=3,7.125-2.625-A227-加速!$L$11,7.125+加速!$K$9-(A227+加速!$L$11-T227)),0),0)+IF(金蛇,IF(COUNTIF(B227,"*千切子裂光*")&gt;0,2+加速!$K$9-(A227+加速!$L$11-T227),0),0)</f>
        <v>0</v>
      </c>
      <c r="V227">
        <f ca="1" t="shared" si="51"/>
        <v>0</v>
      </c>
      <c r="W227">
        <f ca="1" t="shared" si="43"/>
        <v>0</v>
      </c>
      <c r="X227">
        <f ca="1">INDEX(加速!$I$13:$I$21,技能数计算!W227+1)</f>
        <v>0</v>
      </c>
      <c r="Y227">
        <f ca="1" t="shared" si="47"/>
        <v>0.5</v>
      </c>
      <c r="Z227">
        <f ca="1" t="shared" si="48"/>
        <v>0</v>
      </c>
      <c r="AA227">
        <f ca="1">MAX(0,IFERROR(IF(COUNTIF(B227,"*叠*")&gt;0,IF(AC226&lt;3,8-A228+A227,AA226+6.875-A228+A227),AA226-A228+A227),AA226-加速!$L$11))</f>
        <v>0</v>
      </c>
      <c r="AB227" t="e">
        <f ca="1">MAX(0,IF(COUNTIF(IF(AND(配装计算器!$K$30&lt;&gt;"∞",0),INDEX(AU227:CB227,1,$AT$1),INDEX(AU227:CB227,1,$AT$1)),"*叠1*")=1,4*25-加速!$L$11,AB226-A227+A226)-IF(OR(COUNTIF(OFFSET(AT227,0,$AT$1,1,1),"*听雷*")&gt;0,AND(碧归&gt;0,COUNTIF(OFFSET(AT227,0,$AT$1,1,1),"*风来*")&gt;0)),0,1)*1.5)</f>
        <v>#VALUE!</v>
      </c>
      <c r="AC227">
        <f ca="1" t="shared" si="44"/>
        <v>3</v>
      </c>
      <c r="AD227">
        <f ca="1">IF(COUNTIF(IF(AND(配装计算器!$K$30&lt;&gt;"∞",0),INDEX(AU227:CB227,1,$AT$1),INDEX(AU228:CB228,1,$AT$1)),"*叠1*")=1,AB227*0+AE226,0)</f>
        <v>0</v>
      </c>
      <c r="AE227" t="e">
        <f ca="1">IF($AN$11&gt;0,IF(COUNTIF(B228,"*叠1*")&gt;0,50-加速!$H$11,MAX(0,AE226-(A228-A227))),0)</f>
        <v>#VALUE!</v>
      </c>
      <c r="AU227" s="176" t="s">
        <v>2776</v>
      </c>
      <c r="AV227">
        <v>2</v>
      </c>
      <c r="AW227" s="176" t="s">
        <v>2768</v>
      </c>
      <c r="AX227">
        <v>2</v>
      </c>
      <c r="AY227" t="s">
        <v>2789</v>
      </c>
      <c r="AZ227">
        <v>2</v>
      </c>
      <c r="BA227" t="s">
        <v>2776</v>
      </c>
      <c r="BB227">
        <v>2</v>
      </c>
      <c r="BC227" t="s">
        <v>2776</v>
      </c>
      <c r="BD227">
        <v>1</v>
      </c>
      <c r="BE227" t="s">
        <v>2776</v>
      </c>
      <c r="BF227">
        <v>2</v>
      </c>
      <c r="BG227" s="176" t="s">
        <v>2776</v>
      </c>
      <c r="BH227">
        <v>2</v>
      </c>
      <c r="BI227" t="s">
        <v>2768</v>
      </c>
      <c r="BJ227">
        <v>2</v>
      </c>
      <c r="BK227" t="s">
        <v>2768</v>
      </c>
      <c r="BL227">
        <v>2</v>
      </c>
      <c r="BM227" s="176" t="s">
        <v>2794</v>
      </c>
      <c r="BN227">
        <v>2</v>
      </c>
      <c r="BO227" t="s">
        <v>2768</v>
      </c>
      <c r="BP227">
        <v>2</v>
      </c>
      <c r="BQ227" t="s">
        <v>3010</v>
      </c>
      <c r="BR227">
        <v>2</v>
      </c>
      <c r="BS227" t="s">
        <v>1886</v>
      </c>
      <c r="BT227">
        <v>0</v>
      </c>
      <c r="BU227" t="s">
        <v>2768</v>
      </c>
      <c r="BV227">
        <v>1</v>
      </c>
      <c r="BW227" s="182" t="s">
        <v>2776</v>
      </c>
      <c r="BX227" s="179">
        <v>1</v>
      </c>
      <c r="BY227" s="176" t="s">
        <v>2794</v>
      </c>
      <c r="BZ227">
        <v>2</v>
      </c>
      <c r="CA227" s="176" t="s">
        <v>2808</v>
      </c>
      <c r="CB227">
        <v>2</v>
      </c>
    </row>
    <row r="228" spans="1:80">
      <c r="A228" s="178" t="str">
        <f ca="1">IFERROR(IF(A227+加速!$L$11&lt;$AS$1,IF(COUNTIF(B227,"*轻*")&gt;0,A227+加速!$L$9,A227+加速!$L$11)+V227,IF(COUNTIF(INDEX(AU228:CB228,1,$AT$1),"*云景*")+COUNTIF(INDEX(AU228:CB228,1,$AT$1),"*鹤归*")+COUNTIF(INDEX(AU228:CB228,1,$AT$1),"*听雷*")&gt;0,A227+加速!$L$11,"")),"")</f>
        <v/>
      </c>
      <c r="B228" s="167" t="str">
        <f ca="1">IF(A228&lt;&gt;"",IF(AND(A228+加速!$L$11&gt;$AS$1,IF(AND(配装计算器!$K$30&lt;&gt;"∞",0),"梦泉虎跑-轻",INDEX(AU228:CB228,1,$AT$1))="云栖松"),"夕照雷峰",IF(AND(配装计算器!$K$30&lt;&gt;"∞",0),"梦泉虎跑-轻",INDEX(AU228:CB228,1,$AT$1))),"")</f>
        <v/>
      </c>
      <c r="C228" t="str">
        <f ca="1" t="shared" si="49"/>
        <v/>
      </c>
      <c r="D228" t="str">
        <f ca="1">IF(B228&lt;&gt;"",IF(C227&lt;=加速!$L$11*(1-E228),0,1),"")</f>
        <v/>
      </c>
      <c r="E228">
        <f ca="1" t="shared" si="45"/>
        <v>1</v>
      </c>
      <c r="G228" t="str">
        <f ca="1" t="shared" si="46"/>
        <v/>
      </c>
      <c r="H228" t="str">
        <f ca="1">IF(B228&lt;&gt;"",IF(AND(COUNTIF(B227,"*轻*莺鸣柳*")&gt;0,COUNTIF(B228,"*轻*")&lt;1),MAX(0,15+I227-(A228-A227)+COUNTIF(B227,"*平湖*")*0),IF(AND(E228=0,MAX(0,H227-(A228-A227))&lt;=加速!$H$11),0,MAX(0,H227-(A228-A227)))),"")</f>
        <v/>
      </c>
      <c r="I228" t="str">
        <f ca="1" t="shared" si="52"/>
        <v/>
      </c>
      <c r="J228" t="str">
        <f ca="1" t="shared" si="53"/>
        <v/>
      </c>
      <c r="K228" t="str">
        <f ca="1">IF(A228&lt;&gt;"",IF(AND(配装计算器!$K$30&lt;&gt;"∞",0),2,INDEX(AU228:CB228,1,$AT$2)),"")</f>
        <v/>
      </c>
      <c r="L228">
        <f ca="1">IFERROR(IF(AND(COUNTIF(B228,"*-峰插*"),技能数据库!$M$72&gt;0),0,IF(COUNTIF(B228,"*鹤归*")&gt;0,16-加速!$L$11,MAX(0,L227-(A228-A227)))),0)</f>
        <v>0</v>
      </c>
      <c r="M228">
        <f ca="1">IF(COUNTIF(IF(AND(配装计算器!$K$30&lt;&gt;"∞",0),INDEX(AU227:CB227,1,$AT$1),INDEX(AU229:CB229,1,$AT$1)),"*鹤归*")=1,L228,0)</f>
        <v>0</v>
      </c>
      <c r="N228">
        <f ca="1">IFERROR(IF(AND(COUNTIF(B228,"*-峰插*"),技能数据库!$M$72&gt;0),0,IF(COUNTIF(B228,"*云飞*")&gt;0,4-COUNTIF(B228,"*玉山揽云*")*4--COUNTIF(B228,"*烟流暮景*")*4-COUNTIF(B228,"*云景*")*加速!$L$11-IF(J228&gt;0,2,0),MAX(0,N227-(A228-A227)-IF(J228&gt;0,2,0)))),0)</f>
        <v>0</v>
      </c>
      <c r="O228">
        <f ca="1">IF(AND(COUNTIF(IF(AND(配装计算器!$K$30&lt;&gt;"∞",0),INDEX(AU227:CB227,1,$AT$1),INDEX(AU229:CB229,1,$AT$1)),"*云飞*")=1,COUNTIF(IF(AND(配装计算器!$K$30&lt;&gt;"∞",0),INDEX(AU227:CB227,1,$AT$1),INDEX(AU229:CB229,1,$AT$1)),"*玉山*")=0),N228,0)</f>
        <v>0</v>
      </c>
      <c r="P228">
        <f ca="1">IFERROR(IF(COUNTIF(B228,"*云栖松*")&gt;0,50-加速!$L$11,MAX(0,P227-(A228-A227))),0)</f>
        <v>0</v>
      </c>
      <c r="Q228">
        <f ca="1">IF(COUNTIF(IF(AND(配装计算器!$K$30&lt;&gt;"∞",0),INDEX(AU227:CB227,1,$AT$1),INDEX(AU229:CB229,1,$AT$1)),"*云栖松*")=1,P228,0)</f>
        <v>0</v>
      </c>
      <c r="R228">
        <f ca="1">IFERROR(IF(COUNTIF(B228,"*莺鸣柳*")&gt;0,45-加速!$L$9,MAX(0,R227-(A228-A227))),0)</f>
        <v>0</v>
      </c>
      <c r="S228">
        <f ca="1">IF(COUNTIF(IF(AND(配装计算器!$K$30&lt;&gt;"∞",0),INDEX(AU227:CB227,1,$AT$1),INDEX(AU229:CB229,1,$AT$1)),"*莺鸣柳*")=1,R228,0)</f>
        <v>0</v>
      </c>
      <c r="T228">
        <f ca="1" t="shared" si="50"/>
        <v>0</v>
      </c>
      <c r="U228">
        <f ca="1">IF(金蛇,IF(COUNTIF(B228,"*金环戴*")+COUNTIF(B228,"*吹风醒*")&gt;0,IF(A228&lt;=3,7.125-2.625-A228-加速!$L$11,7.125+加速!$K$9-(A228+加速!$L$11-T228)),0),0)+IF(金蛇,IF(COUNTIF(B228,"*千切子裂光*")&gt;0,2+加速!$K$9-(A228+加速!$L$11-T228),0),0)</f>
        <v>0</v>
      </c>
      <c r="V228">
        <f ca="1" t="shared" si="51"/>
        <v>0</v>
      </c>
      <c r="W228">
        <f ca="1" t="shared" si="43"/>
        <v>0</v>
      </c>
      <c r="X228">
        <f ca="1">INDEX(加速!$I$13:$I$21,技能数计算!W228+1)</f>
        <v>0</v>
      </c>
      <c r="Y228">
        <f ca="1" t="shared" si="47"/>
        <v>0.5</v>
      </c>
      <c r="Z228">
        <f ca="1" t="shared" si="48"/>
        <v>0</v>
      </c>
      <c r="AA228">
        <f ca="1">MAX(0,IFERROR(IF(COUNTIF(B228,"*叠*")&gt;0,IF(AC227&lt;3,8-A229+A228,AA227+6.875-A229+A228),AA227-A229+A228),AA227-加速!$L$11))</f>
        <v>0</v>
      </c>
      <c r="AB228" t="e">
        <f ca="1">MAX(0,IF(COUNTIF(IF(AND(配装计算器!$K$30&lt;&gt;"∞",0),INDEX(AU228:CB228,1,$AT$1),INDEX(AU228:CB228,1,$AT$1)),"*叠1*")=1,4*25-加速!$L$11,AB227-A228+A227)-IF(OR(COUNTIF(OFFSET(AT228,0,$AT$1,1,1),"*听雷*")&gt;0,AND(碧归&gt;0,COUNTIF(OFFSET(AT228,0,$AT$1,1,1),"*风来*")&gt;0)),0,1)*1.5)</f>
        <v>#VALUE!</v>
      </c>
      <c r="AC228">
        <f ca="1" t="shared" si="44"/>
        <v>3</v>
      </c>
      <c r="AD228">
        <f ca="1">IF(COUNTIF(IF(AND(配装计算器!$K$30&lt;&gt;"∞",0),INDEX(AU228:CB228,1,$AT$1),INDEX(AU229:CB229,1,$AT$1)),"*叠1*")=1,AB228*0+AE227,0)</f>
        <v>0</v>
      </c>
      <c r="AE228" t="e">
        <f ca="1">IF($AN$11&gt;0,IF(COUNTIF(B229,"*叠1*")&gt;0,50-加速!$H$11,MAX(0,AE227-(A229-A228))),0)</f>
        <v>#VALUE!</v>
      </c>
      <c r="AU228" s="176" t="s">
        <v>2768</v>
      </c>
      <c r="AV228">
        <v>1</v>
      </c>
      <c r="AW228" s="176" t="s">
        <v>2776</v>
      </c>
      <c r="AX228">
        <v>2</v>
      </c>
      <c r="AY228" t="s">
        <v>2776</v>
      </c>
      <c r="AZ228">
        <v>2</v>
      </c>
      <c r="BA228" t="s">
        <v>3035</v>
      </c>
      <c r="BB228">
        <v>2</v>
      </c>
      <c r="BC228" t="s">
        <v>2768</v>
      </c>
      <c r="BD228">
        <v>1</v>
      </c>
      <c r="BE228" t="s">
        <v>2768</v>
      </c>
      <c r="BF228">
        <v>2</v>
      </c>
      <c r="BG228" s="176" t="s">
        <v>3035</v>
      </c>
      <c r="BH228">
        <v>2</v>
      </c>
      <c r="BI228" s="176" t="s">
        <v>2794</v>
      </c>
      <c r="BJ228">
        <v>1</v>
      </c>
      <c r="BK228" t="s">
        <v>2776</v>
      </c>
      <c r="BL228">
        <v>2</v>
      </c>
      <c r="BM228" s="176" t="s">
        <v>2768</v>
      </c>
      <c r="BN228">
        <v>2</v>
      </c>
      <c r="BO228" t="s">
        <v>2768</v>
      </c>
      <c r="BP228">
        <v>2</v>
      </c>
      <c r="BQ228" t="s">
        <v>3013</v>
      </c>
      <c r="BR228">
        <v>2</v>
      </c>
      <c r="BS228" t="s">
        <v>2853</v>
      </c>
      <c r="BT228">
        <v>1</v>
      </c>
      <c r="BU228" t="s">
        <v>3011</v>
      </c>
      <c r="BV228">
        <v>2</v>
      </c>
      <c r="BW228" s="182" t="s">
        <v>2768</v>
      </c>
      <c r="BX228" s="179">
        <v>1</v>
      </c>
      <c r="BY228" s="176" t="s">
        <v>2768</v>
      </c>
      <c r="BZ228">
        <v>2</v>
      </c>
      <c r="CA228" t="s">
        <v>2768</v>
      </c>
      <c r="CB228">
        <v>2</v>
      </c>
    </row>
    <row r="229" spans="1:80">
      <c r="A229" s="178" t="str">
        <f ca="1">IFERROR(IF(A228+加速!$L$11&lt;$AS$1,IF(COUNTIF(B228,"*轻*")&gt;0,A228+加速!$L$9,A228+加速!$L$11)+V228,IF(COUNTIF(INDEX(AU229:CB229,1,$AT$1),"*云景*")+COUNTIF(INDEX(AU229:CB229,1,$AT$1),"*鹤归*")+COUNTIF(INDEX(AU229:CB229,1,$AT$1),"*听雷*")&gt;0,A228+加速!$L$11,"")),"")</f>
        <v/>
      </c>
      <c r="B229" s="167" t="str">
        <f ca="1">IF(A229&lt;&gt;"",IF(AND(A229+加速!$L$11&gt;$AS$1,IF(AND(配装计算器!$K$30&lt;&gt;"∞",0),"梦泉虎跑-轻",INDEX(AU229:CB229,1,$AT$1))="云栖松"),"夕照雷峰",IF(AND(配装计算器!$K$30&lt;&gt;"∞",0),"梦泉虎跑-轻",INDEX(AU229:CB229,1,$AT$1))),"")</f>
        <v/>
      </c>
      <c r="C229" t="str">
        <f ca="1" t="shared" si="49"/>
        <v/>
      </c>
      <c r="D229" t="str">
        <f ca="1">IF(B229&lt;&gt;"",IF(C228&lt;=加速!$L$11*(1-E229),0,1),"")</f>
        <v/>
      </c>
      <c r="E229">
        <f ca="1" t="shared" si="45"/>
        <v>1</v>
      </c>
      <c r="G229" t="str">
        <f ca="1" t="shared" si="46"/>
        <v/>
      </c>
      <c r="H229" t="str">
        <f ca="1">IF(B229&lt;&gt;"",IF(AND(COUNTIF(B228,"*轻*莺鸣柳*")&gt;0,COUNTIF(B229,"*轻*")&lt;1),MAX(0,15+I228-(A229-A228)+COUNTIF(B228,"*平湖*")*0),IF(AND(E229=0,MAX(0,H228-(A229-A228))&lt;=加速!$H$11),0,MAX(0,H228-(A229-A228)))),"")</f>
        <v/>
      </c>
      <c r="I229" t="str">
        <f ca="1" t="shared" si="52"/>
        <v/>
      </c>
      <c r="J229" t="str">
        <f ca="1" t="shared" si="53"/>
        <v/>
      </c>
      <c r="K229" t="str">
        <f ca="1">IF(A229&lt;&gt;"",IF(AND(配装计算器!$K$30&lt;&gt;"∞",0),2,INDEX(AU229:CB229,1,$AT$2)),"")</f>
        <v/>
      </c>
      <c r="L229">
        <f ca="1">IFERROR(IF(AND(COUNTIF(B229,"*-峰插*"),技能数据库!$M$72&gt;0),0,IF(COUNTIF(B229,"*鹤归*")&gt;0,16-加速!$L$11,MAX(0,L228-(A229-A228)))),0)</f>
        <v>0</v>
      </c>
      <c r="M229">
        <f ca="1">IF(COUNTIF(IF(AND(配装计算器!$K$30&lt;&gt;"∞",0),INDEX(AU228:CB228,1,$AT$1),INDEX(AU230:CB230,1,$AT$1)),"*鹤归*")=1,L229,0)</f>
        <v>0</v>
      </c>
      <c r="N229">
        <f ca="1">IFERROR(IF(AND(COUNTIF(B229,"*-峰插*"),技能数据库!$M$72&gt;0),0,IF(COUNTIF(B229,"*云飞*")&gt;0,4-COUNTIF(B229,"*玉山揽云*")*4--COUNTIF(B229,"*烟流暮景*")*4-COUNTIF(B229,"*云景*")*加速!$L$11-IF(J229&gt;0,2,0),MAX(0,N228-(A229-A228)-IF(J229&gt;0,2,0)))),0)</f>
        <v>0</v>
      </c>
      <c r="O229">
        <f ca="1">IF(AND(COUNTIF(IF(AND(配装计算器!$K$30&lt;&gt;"∞",0),INDEX(AU228:CB228,1,$AT$1),INDEX(AU230:CB230,1,$AT$1)),"*云飞*")=1,COUNTIF(IF(AND(配装计算器!$K$30&lt;&gt;"∞",0),INDEX(AU228:CB228,1,$AT$1),INDEX(AU230:CB230,1,$AT$1)),"*玉山*")=0),N229,0)</f>
        <v>0</v>
      </c>
      <c r="P229">
        <f ca="1">IFERROR(IF(COUNTIF(B229,"*云栖松*")&gt;0,50-加速!$L$11,MAX(0,P228-(A229-A228))),0)</f>
        <v>0</v>
      </c>
      <c r="Q229">
        <f ca="1">IF(COUNTIF(IF(AND(配装计算器!$K$30&lt;&gt;"∞",0),INDEX(AU228:CB228,1,$AT$1),INDEX(AU230:CB230,1,$AT$1)),"*云栖松*")=1,P229,0)</f>
        <v>0</v>
      </c>
      <c r="R229">
        <f ca="1">IFERROR(IF(COUNTIF(B229,"*莺鸣柳*")&gt;0,45-加速!$L$9,MAX(0,R228-(A229-A228))),0)</f>
        <v>0</v>
      </c>
      <c r="S229">
        <f ca="1">IF(COUNTIF(IF(AND(配装计算器!$K$30&lt;&gt;"∞",0),INDEX(AU228:CB228,1,$AT$1),INDEX(AU230:CB230,1,$AT$1)),"*莺鸣柳*")=1,R229,0)</f>
        <v>0</v>
      </c>
      <c r="T229">
        <f ca="1" t="shared" si="50"/>
        <v>0</v>
      </c>
      <c r="U229">
        <f ca="1">IF(金蛇,IF(COUNTIF(B229,"*金环戴*")+COUNTIF(B229,"*吹风醒*")&gt;0,IF(A229&lt;=3,7.125-2.625-A229-加速!$L$11,7.125+加速!$K$9-(A229+加速!$L$11-T229)),0),0)+IF(金蛇,IF(COUNTIF(B229,"*千切子裂光*")&gt;0,2+加速!$K$9-(A229+加速!$L$11-T229),0),0)</f>
        <v>0</v>
      </c>
      <c r="V229">
        <f ca="1" t="shared" si="51"/>
        <v>0</v>
      </c>
      <c r="W229">
        <f ca="1" t="shared" si="43"/>
        <v>0</v>
      </c>
      <c r="X229">
        <f ca="1">INDEX(加速!$I$13:$I$21,技能数计算!W229+1)</f>
        <v>0</v>
      </c>
      <c r="Y229">
        <f ca="1" t="shared" si="47"/>
        <v>0.5</v>
      </c>
      <c r="Z229">
        <f ca="1" t="shared" si="48"/>
        <v>0</v>
      </c>
      <c r="AA229">
        <f ca="1">MAX(0,IFERROR(IF(COUNTIF(B229,"*叠*")&gt;0,IF(AC228&lt;3,8-A230+A229,AA228+6.875-A230+A229),AA228-A230+A229),AA228-加速!$L$11))</f>
        <v>0</v>
      </c>
      <c r="AB229" t="e">
        <f ca="1">MAX(0,IF(COUNTIF(IF(AND(配装计算器!$K$30&lt;&gt;"∞",0),INDEX(AU229:CB229,1,$AT$1),INDEX(AU229:CB229,1,$AT$1)),"*叠1*")=1,4*25-加速!$L$11,AB228-A229+A228)-IF(OR(COUNTIF(OFFSET(AT229,0,$AT$1,1,1),"*听雷*")&gt;0,AND(碧归&gt;0,COUNTIF(OFFSET(AT229,0,$AT$1,1,1),"*风来*")&gt;0)),0,1)*1.5)</f>
        <v>#VALUE!</v>
      </c>
      <c r="AC229">
        <f ca="1" t="shared" si="44"/>
        <v>3</v>
      </c>
      <c r="AD229">
        <f ca="1">IF(COUNTIF(IF(AND(配装计算器!$K$30&lt;&gt;"∞",0),INDEX(AU229:CB229,1,$AT$1),INDEX(AU230:CB230,1,$AT$1)),"*叠1*")=1,AB229*0+AE228,0)</f>
        <v>0</v>
      </c>
      <c r="AE229" t="e">
        <f ca="1">IF($AN$11&gt;0,IF(COUNTIF(B230,"*叠1*")&gt;0,50-加速!$H$11,MAX(0,AE228-(A230-A229))),0)</f>
        <v>#VALUE!</v>
      </c>
      <c r="AU229" s="176" t="s">
        <v>2776</v>
      </c>
      <c r="AV229">
        <v>1</v>
      </c>
      <c r="AW229" s="176" t="str">
        <f t="shared" ref="AW229:AW233" si="56">IF($AN$11=1,"云飞玉皇-玉山揽云","夕照雷峰")</f>
        <v>云飞玉皇-玉山揽云</v>
      </c>
      <c r="AX229">
        <v>2</v>
      </c>
      <c r="AY229" t="s">
        <v>3035</v>
      </c>
      <c r="AZ229">
        <v>2</v>
      </c>
      <c r="BA229" t="s">
        <v>2768</v>
      </c>
      <c r="BB229">
        <v>2</v>
      </c>
      <c r="BC229" t="s">
        <v>2768</v>
      </c>
      <c r="BD229">
        <v>0</v>
      </c>
      <c r="BE229" t="s">
        <v>2776</v>
      </c>
      <c r="BF229">
        <v>1</v>
      </c>
      <c r="BG229" t="s">
        <v>2768</v>
      </c>
      <c r="BH229">
        <v>2</v>
      </c>
      <c r="BI229" t="s">
        <v>2776</v>
      </c>
      <c r="BJ229">
        <v>1</v>
      </c>
      <c r="BK229" t="s">
        <v>2768</v>
      </c>
      <c r="BL229">
        <v>1</v>
      </c>
      <c r="BM229" s="176" t="s">
        <v>2776</v>
      </c>
      <c r="BN229">
        <v>2</v>
      </c>
      <c r="BO229" t="s">
        <v>2768</v>
      </c>
      <c r="BP229">
        <v>2</v>
      </c>
      <c r="BQ229" t="s">
        <v>3018</v>
      </c>
      <c r="BR229">
        <v>2</v>
      </c>
      <c r="BS229" s="176" t="str">
        <f>IF(秋,"金蛇锥-金环戴","金蛇锥-吹风醒")</f>
        <v>金蛇锥-吹风醒</v>
      </c>
      <c r="BT229">
        <v>0</v>
      </c>
      <c r="BU229" t="s">
        <v>2768</v>
      </c>
      <c r="BV229">
        <v>2</v>
      </c>
      <c r="BW229" s="182" t="s">
        <v>2776</v>
      </c>
      <c r="BX229" s="179">
        <v>1</v>
      </c>
      <c r="BY229" s="176" t="s">
        <v>2776</v>
      </c>
      <c r="BZ229">
        <v>2</v>
      </c>
      <c r="CA229" t="s">
        <v>2776</v>
      </c>
      <c r="CB229">
        <v>2</v>
      </c>
    </row>
    <row r="230" spans="1:80">
      <c r="A230" s="178" t="str">
        <f ca="1">IFERROR(IF(A229+加速!$L$11&lt;$AS$1,IF(COUNTIF(B229,"*轻*")&gt;0,A229+加速!$L$9,A229+加速!$L$11)+V229,IF(COUNTIF(INDEX(AU230:CB230,1,$AT$1),"*云景*")+COUNTIF(INDEX(AU230:CB230,1,$AT$1),"*鹤归*")+COUNTIF(INDEX(AU230:CB230,1,$AT$1),"*听雷*")&gt;0,A229+加速!$L$11,"")),"")</f>
        <v/>
      </c>
      <c r="B230" s="167" t="str">
        <f ca="1">IF(A230&lt;&gt;"",IF(AND(A230+加速!$L$11&gt;$AS$1,IF(AND(配装计算器!$K$30&lt;&gt;"∞",0),"梦泉虎跑-轻",INDEX(AU230:CB230,1,$AT$1))="云栖松"),"夕照雷峰",IF(AND(配装计算器!$K$30&lt;&gt;"∞",0),"梦泉虎跑-轻",INDEX(AU230:CB230,1,$AT$1))),"")</f>
        <v/>
      </c>
      <c r="C230" t="str">
        <f ca="1" t="shared" si="49"/>
        <v/>
      </c>
      <c r="D230" t="str">
        <f ca="1">IF(B230&lt;&gt;"",IF(C229&lt;=加速!$L$11*(1-E230),0,1),"")</f>
        <v/>
      </c>
      <c r="E230">
        <f ca="1" t="shared" si="45"/>
        <v>1</v>
      </c>
      <c r="G230" t="str">
        <f ca="1" t="shared" si="46"/>
        <v/>
      </c>
      <c r="H230" t="str">
        <f ca="1">IF(B230&lt;&gt;"",IF(AND(COUNTIF(B229,"*轻*莺鸣柳*")&gt;0,COUNTIF(B230,"*轻*")&lt;1),MAX(0,15+I229-(A230-A229)+COUNTIF(B229,"*平湖*")*0),IF(AND(E230=0,MAX(0,H229-(A230-A229))&lt;=加速!$H$11),0,MAX(0,H229-(A230-A229)))),"")</f>
        <v/>
      </c>
      <c r="I230" t="str">
        <f ca="1" t="shared" si="52"/>
        <v/>
      </c>
      <c r="J230" t="str">
        <f ca="1" t="shared" si="53"/>
        <v/>
      </c>
      <c r="K230" t="str">
        <f ca="1">IF(A230&lt;&gt;"",IF(AND(配装计算器!$K$30&lt;&gt;"∞",0),2,INDEX(AU230:CB230,1,$AT$2)),"")</f>
        <v/>
      </c>
      <c r="L230">
        <f ca="1">IFERROR(IF(AND(COUNTIF(B230,"*-峰插*"),技能数据库!$M$72&gt;0),0,IF(COUNTIF(B230,"*鹤归*")&gt;0,16-加速!$L$11,MAX(0,L229-(A230-A229)))),0)</f>
        <v>0</v>
      </c>
      <c r="M230">
        <f ca="1">IF(COUNTIF(IF(AND(配装计算器!$K$30&lt;&gt;"∞",0),INDEX(AU229:CB229,1,$AT$1),INDEX(AU231:CB231,1,$AT$1)),"*鹤归*")=1,L230,0)</f>
        <v>0</v>
      </c>
      <c r="N230">
        <f ca="1">IFERROR(IF(AND(COUNTIF(B230,"*-峰插*"),技能数据库!$M$72&gt;0),0,IF(COUNTIF(B230,"*云飞*")&gt;0,4-COUNTIF(B230,"*玉山揽云*")*4--COUNTIF(B230,"*烟流暮景*")*4-COUNTIF(B230,"*云景*")*加速!$L$11-IF(J230&gt;0,2,0),MAX(0,N229-(A230-A229)-IF(J230&gt;0,2,0)))),0)</f>
        <v>0</v>
      </c>
      <c r="O230">
        <f ca="1">IF(AND(COUNTIF(IF(AND(配装计算器!$K$30&lt;&gt;"∞",0),INDEX(AU229:CB229,1,$AT$1),INDEX(AU231:CB231,1,$AT$1)),"*云飞*")=1,COUNTIF(IF(AND(配装计算器!$K$30&lt;&gt;"∞",0),INDEX(AU229:CB229,1,$AT$1),INDEX(AU231:CB231,1,$AT$1)),"*玉山*")=0),N230,0)</f>
        <v>0</v>
      </c>
      <c r="P230">
        <f ca="1">IFERROR(IF(COUNTIF(B230,"*云栖松*")&gt;0,50-加速!$L$11,MAX(0,P229-(A230-A229))),0)</f>
        <v>0</v>
      </c>
      <c r="Q230">
        <f ca="1">IF(COUNTIF(IF(AND(配装计算器!$K$30&lt;&gt;"∞",0),INDEX(AU229:CB229,1,$AT$1),INDEX(AU231:CB231,1,$AT$1)),"*云栖松*")=1,P230,0)</f>
        <v>0</v>
      </c>
      <c r="R230">
        <f ca="1">IFERROR(IF(COUNTIF(B230,"*莺鸣柳*")&gt;0,45-加速!$L$9,MAX(0,R229-(A230-A229))),0)</f>
        <v>0</v>
      </c>
      <c r="S230">
        <f ca="1">IF(COUNTIF(IF(AND(配装计算器!$K$30&lt;&gt;"∞",0),INDEX(AU229:CB229,1,$AT$1),INDEX(AU231:CB231,1,$AT$1)),"*莺鸣柳*")=1,R230,0)</f>
        <v>0</v>
      </c>
      <c r="T230">
        <f ca="1" t="shared" si="50"/>
        <v>0</v>
      </c>
      <c r="U230">
        <f ca="1">IF(金蛇,IF(COUNTIF(B230,"*金环戴*")+COUNTIF(B230,"*吹风醒*")&gt;0,IF(A230&lt;=3,7.125-2.625-A230-加速!$L$11,7.125+加速!$K$9-(A230+加速!$L$11-T230)),0),0)+IF(金蛇,IF(COUNTIF(B230,"*千切子裂光*")&gt;0,2+加速!$K$9-(A230+加速!$L$11-T230),0),0)</f>
        <v>0</v>
      </c>
      <c r="V230" t="e">
        <f ca="1" t="shared" si="51"/>
        <v>#VALUE!</v>
      </c>
      <c r="W230">
        <f ca="1" t="shared" si="43"/>
        <v>0</v>
      </c>
      <c r="X230">
        <f ca="1">INDEX(加速!$I$13:$I$21,技能数计算!W230+1)</f>
        <v>0</v>
      </c>
      <c r="Y230">
        <f ca="1" t="shared" si="47"/>
        <v>0.5</v>
      </c>
      <c r="Z230">
        <f ca="1" t="shared" si="48"/>
        <v>0</v>
      </c>
      <c r="AA230">
        <f ca="1">MAX(0,IFERROR(IF(COUNTIF(B230,"*叠*")&gt;0,IF(AC229&lt;3,8-A231+A230,AA229+6.875-A231+A230),AA229-A231+A230),AA229-加速!$L$11))</f>
        <v>0</v>
      </c>
      <c r="AB230" t="e">
        <f ca="1">MAX(0,IF(COUNTIF(IF(AND(配装计算器!$K$30&lt;&gt;"∞",0),INDEX(AU230:CB230,1,$AT$1),INDEX(AU230:CB230,1,$AT$1)),"*叠1*")=1,4*25-加速!$L$11,AB229-A230+A229)-IF(OR(COUNTIF(OFFSET(AT230,0,$AT$1,1,1),"*听雷*")&gt;0,AND(碧归&gt;0,COUNTIF(OFFSET(AT230,0,$AT$1,1,1),"*风来*")&gt;0)),0,1)*1.5)</f>
        <v>#VALUE!</v>
      </c>
      <c r="AC230">
        <f ca="1" t="shared" si="44"/>
        <v>3</v>
      </c>
      <c r="AD230" t="e">
        <f ca="1">IF(COUNTIF(IF(AND(配装计算器!$K$30&lt;&gt;"∞",0),INDEX(AU230:CB230,1,$AT$1),INDEX(AU231:CB231,1,$AT$1)),"*叠1*")=1,AB230*0+AE229,0)</f>
        <v>#VALUE!</v>
      </c>
      <c r="AE230" t="e">
        <f ca="1">IF($AN$11&gt;0,IF(COUNTIF(B231,"*叠1*")&gt;0,50-加速!$H$11,MAX(0,AE229-(A231-A230))),0)</f>
        <v>#VALUE!</v>
      </c>
      <c r="AU230" t="s">
        <v>2722</v>
      </c>
      <c r="AV230">
        <v>0</v>
      </c>
      <c r="AW230" t="str">
        <f>IF($AN$11=1,"云飞玉皇-玉山揽云","云景·云飞玉皇-黄龙吐翠")</f>
        <v>云飞玉皇-玉山揽云</v>
      </c>
      <c r="AX230">
        <f>IF($AN$11=1,2,1)</f>
        <v>2</v>
      </c>
      <c r="AY230" t="s">
        <v>2768</v>
      </c>
      <c r="AZ230">
        <v>2</v>
      </c>
      <c r="BA230" t="s">
        <v>2776</v>
      </c>
      <c r="BB230">
        <v>2</v>
      </c>
      <c r="BC230" t="s">
        <v>2768</v>
      </c>
      <c r="BD230">
        <v>0</v>
      </c>
      <c r="BE230" t="s">
        <v>2768</v>
      </c>
      <c r="BF230">
        <v>1</v>
      </c>
      <c r="BG230" t="s">
        <v>2776</v>
      </c>
      <c r="BH230">
        <v>2</v>
      </c>
      <c r="BI230" t="s">
        <v>2768</v>
      </c>
      <c r="BJ230">
        <v>0</v>
      </c>
      <c r="BK230" t="s">
        <v>2776</v>
      </c>
      <c r="BL230">
        <v>1</v>
      </c>
      <c r="BM230" s="176" t="s">
        <v>2768</v>
      </c>
      <c r="BN230">
        <v>2</v>
      </c>
      <c r="BO230" t="s">
        <v>2776</v>
      </c>
      <c r="BP230">
        <v>2</v>
      </c>
      <c r="BQ230" t="s">
        <v>2768</v>
      </c>
      <c r="BR230">
        <v>2</v>
      </c>
      <c r="BS230" t="s">
        <v>2773</v>
      </c>
      <c r="BT230">
        <v>2</v>
      </c>
      <c r="BU230" t="s">
        <v>3018</v>
      </c>
      <c r="BV230">
        <v>2</v>
      </c>
      <c r="BW230" s="179" t="s">
        <v>2718</v>
      </c>
      <c r="BX230" s="179">
        <v>1</v>
      </c>
      <c r="BY230" s="176" t="s">
        <v>2768</v>
      </c>
      <c r="BZ230">
        <v>2</v>
      </c>
      <c r="CA230" t="s">
        <v>2768</v>
      </c>
      <c r="CB230">
        <v>2</v>
      </c>
    </row>
    <row r="231" spans="1:80">
      <c r="A231" s="178" t="str">
        <f ca="1">IFERROR(IF(A230+加速!$L$11&lt;$AS$1,IF(COUNTIF(B230,"*轻*")&gt;0,A230+加速!$L$9,A230+加速!$L$11)+V230,IF(COUNTIF(INDEX(AU231:CB231,1,$AT$1),"*云景*")+COUNTIF(INDEX(AU231:CB231,1,$AT$1),"*鹤归*")+COUNTIF(INDEX(AU231:CB231,1,$AT$1),"*听雷*")&gt;0,A230+加速!$L$11,"")),"")</f>
        <v/>
      </c>
      <c r="B231" s="167" t="str">
        <f ca="1">IF(A231&lt;&gt;"",IF(AND(A231+加速!$L$11&gt;$AS$1,IF(AND(配装计算器!$K$30&lt;&gt;"∞",0),"梦泉虎跑-轻",INDEX(AU231:CB231,1,$AT$1))="云栖松"),"夕照雷峰",IF(AND(配装计算器!$K$30&lt;&gt;"∞",0),"梦泉虎跑-轻",INDEX(AU231:CB231,1,$AT$1))),"")</f>
        <v/>
      </c>
      <c r="C231" t="str">
        <f ca="1" t="shared" si="49"/>
        <v/>
      </c>
      <c r="D231" t="str">
        <f ca="1">IF(B231&lt;&gt;"",IF(C230&lt;=加速!$L$11*(1-E231),0,1),"")</f>
        <v/>
      </c>
      <c r="E231">
        <f ca="1" t="shared" si="45"/>
        <v>1</v>
      </c>
      <c r="G231" t="str">
        <f ca="1" t="shared" si="46"/>
        <v/>
      </c>
      <c r="H231" t="str">
        <f ca="1">IF(B231&lt;&gt;"",IF(AND(COUNTIF(B230,"*轻*莺鸣柳*")&gt;0,COUNTIF(B231,"*轻*")&lt;1),MAX(0,15+I230-(A231-A230)+COUNTIF(B230,"*平湖*")*0),IF(AND(E231=0,MAX(0,H230-(A231-A230))&lt;=加速!$H$11),0,MAX(0,H230-(A231-A230)))),"")</f>
        <v/>
      </c>
      <c r="I231" t="str">
        <f ca="1" t="shared" si="52"/>
        <v/>
      </c>
      <c r="J231" t="str">
        <f ca="1" t="shared" si="53"/>
        <v/>
      </c>
      <c r="K231" t="str">
        <f ca="1">IF(A231&lt;&gt;"",IF(AND(配装计算器!$K$30&lt;&gt;"∞",0),2,INDEX(AU231:CB231,1,$AT$2)),"")</f>
        <v/>
      </c>
      <c r="L231">
        <f ca="1">IFERROR(IF(AND(COUNTIF(B231,"*-峰插*"),技能数据库!$M$72&gt;0),0,IF(COUNTIF(B231,"*鹤归*")&gt;0,16-加速!$L$11,MAX(0,L230-(A231-A230)))),0)</f>
        <v>0</v>
      </c>
      <c r="M231">
        <f ca="1">IF(COUNTIF(IF(AND(配装计算器!$K$30&lt;&gt;"∞",0),INDEX(AU230:CB230,1,$AT$1),INDEX(AU232:CB232,1,$AT$1)),"*鹤归*")=1,L231,0)</f>
        <v>0</v>
      </c>
      <c r="N231">
        <f ca="1">IFERROR(IF(AND(COUNTIF(B231,"*-峰插*"),技能数据库!$M$72&gt;0),0,IF(COUNTIF(B231,"*云飞*")&gt;0,4-COUNTIF(B231,"*玉山揽云*")*4--COUNTIF(B231,"*烟流暮景*")*4-COUNTIF(B231,"*云景*")*加速!$L$11-IF(J231&gt;0,2,0),MAX(0,N230-(A231-A230)-IF(J231&gt;0,2,0)))),0)</f>
        <v>0</v>
      </c>
      <c r="O231">
        <f ca="1">IF(AND(COUNTIF(IF(AND(配装计算器!$K$30&lt;&gt;"∞",0),INDEX(AU230:CB230,1,$AT$1),INDEX(AU232:CB232,1,$AT$1)),"*云飞*")=1,COUNTIF(IF(AND(配装计算器!$K$30&lt;&gt;"∞",0),INDEX(AU230:CB230,1,$AT$1),INDEX(AU232:CB232,1,$AT$1)),"*玉山*")=0),N231,0)</f>
        <v>0</v>
      </c>
      <c r="P231">
        <f ca="1">IFERROR(IF(COUNTIF(B231,"*云栖松*")&gt;0,50-加速!$L$11,MAX(0,P230-(A231-A230))),0)</f>
        <v>0</v>
      </c>
      <c r="Q231">
        <f ca="1">IF(COUNTIF(IF(AND(配装计算器!$K$30&lt;&gt;"∞",0),INDEX(AU230:CB230,1,$AT$1),INDEX(AU232:CB232,1,$AT$1)),"*云栖松*")=1,P231,0)</f>
        <v>0</v>
      </c>
      <c r="R231">
        <f ca="1">IFERROR(IF(COUNTIF(B231,"*莺鸣柳*")&gt;0,45-加速!$L$9,MAX(0,R230-(A231-A230))),0)</f>
        <v>0</v>
      </c>
      <c r="S231">
        <f ca="1">IF(COUNTIF(IF(AND(配装计算器!$K$30&lt;&gt;"∞",0),INDEX(AU230:CB230,1,$AT$1),INDEX(AU232:CB232,1,$AT$1)),"*莺鸣柳*")=1,R231,0)</f>
        <v>0</v>
      </c>
      <c r="T231">
        <f ca="1" t="shared" si="50"/>
        <v>0</v>
      </c>
      <c r="U231">
        <f ca="1">IF(金蛇,IF(COUNTIF(B231,"*金环戴*")+COUNTIF(B231,"*吹风醒*")&gt;0,IF(A231&lt;=3,7.125-2.625-A231-加速!$L$11,7.125+加速!$K$9-(A231+加速!$L$11-T231)),0),0)+IF(金蛇,IF(COUNTIF(B231,"*千切子裂光*")&gt;0,2+加速!$K$9-(A231+加速!$L$11-T231),0),0)</f>
        <v>0</v>
      </c>
      <c r="V231">
        <f ca="1" t="shared" si="51"/>
        <v>0</v>
      </c>
      <c r="W231">
        <f ca="1" t="shared" si="43"/>
        <v>0</v>
      </c>
      <c r="X231">
        <f ca="1">INDEX(加速!$I$13:$I$21,技能数计算!W231+1)</f>
        <v>0</v>
      </c>
      <c r="Y231">
        <f ca="1" t="shared" si="47"/>
        <v>0.5</v>
      </c>
      <c r="Z231">
        <f ca="1" t="shared" si="48"/>
        <v>0</v>
      </c>
      <c r="AA231">
        <f ca="1">MAX(0,IFERROR(IF(COUNTIF(B231,"*叠*")&gt;0,IF(AC230&lt;3,8-A232+A231,AA230+6.875-A232+A231),AA230-A232+A231),AA230-加速!$L$11))</f>
        <v>0</v>
      </c>
      <c r="AB231">
        <f ca="1">MAX(0,IF(COUNTIF(IF(AND(配装计算器!$K$30&lt;&gt;"∞",0),INDEX(AU231:CB231,1,$AT$1),INDEX(AU231:CB231,1,$AT$1)),"*叠1*")=1,4*25-加速!$L$11,AB230-A231+A230)-IF(OR(COUNTIF(OFFSET(AT231,0,$AT$1,1,1),"*听雷*")&gt;0,AND(碧归&gt;0,COUNTIF(OFFSET(AT231,0,$AT$1,1,1),"*风来*")&gt;0)),0,1)*1.5)</f>
        <v>97.21</v>
      </c>
      <c r="AC231">
        <f ca="1" t="shared" si="44"/>
        <v>3</v>
      </c>
      <c r="AD231">
        <f ca="1">IF(COUNTIF(IF(AND(配装计算器!$K$30&lt;&gt;"∞",0),INDEX(AU231:CB231,1,$AT$1),INDEX(AU232:CB232,1,$AT$1)),"*叠1*")=1,AB231*0+AE230,0)</f>
        <v>0</v>
      </c>
      <c r="AE231" t="e">
        <f ca="1">IF($AN$11&gt;0,IF(COUNTIF(B232,"*叠1*")&gt;0,50-加速!$H$11,MAX(0,AE230-(A232-A231))),0)</f>
        <v>#VALUE!</v>
      </c>
      <c r="AU231" t="s">
        <v>3009</v>
      </c>
      <c r="AV231">
        <v>2</v>
      </c>
      <c r="AW231" t="str">
        <f>IF($AN$11=1,橙武补雾锁,"夕照雷峰")</f>
        <v>云飞玉皇-玉山揽云</v>
      </c>
      <c r="AX231">
        <v>2</v>
      </c>
      <c r="AY231" t="s">
        <v>2776</v>
      </c>
      <c r="AZ231">
        <v>2</v>
      </c>
      <c r="BA231" t="s">
        <v>2768</v>
      </c>
      <c r="BB231">
        <v>2</v>
      </c>
      <c r="BC231" t="s">
        <v>3010</v>
      </c>
      <c r="BD231">
        <v>2</v>
      </c>
      <c r="BE231" t="s">
        <v>2768</v>
      </c>
      <c r="BF231">
        <v>1</v>
      </c>
      <c r="BG231" t="s">
        <v>2768</v>
      </c>
      <c r="BH231">
        <v>2</v>
      </c>
      <c r="BI231" t="s">
        <v>3011</v>
      </c>
      <c r="BJ231">
        <v>2</v>
      </c>
      <c r="BK231" t="s">
        <v>2768</v>
      </c>
      <c r="BL231">
        <v>0</v>
      </c>
      <c r="BM231" s="176" t="s">
        <v>2776</v>
      </c>
      <c r="BN231">
        <v>2</v>
      </c>
      <c r="BO231" t="s">
        <v>2768</v>
      </c>
      <c r="BP231">
        <v>2</v>
      </c>
      <c r="BQ231" t="s">
        <v>3023</v>
      </c>
      <c r="BR231">
        <v>2</v>
      </c>
      <c r="BS231" t="s">
        <v>2776</v>
      </c>
      <c r="BT231">
        <v>2</v>
      </c>
      <c r="BU231" t="s">
        <v>2768</v>
      </c>
      <c r="BV231">
        <v>2</v>
      </c>
      <c r="BW231" s="179" t="s">
        <v>2718</v>
      </c>
      <c r="BX231" s="179">
        <v>1</v>
      </c>
      <c r="BY231" s="176" t="s">
        <v>2776</v>
      </c>
      <c r="BZ231">
        <v>2</v>
      </c>
      <c r="CA231" t="s">
        <v>2768</v>
      </c>
      <c r="CB231">
        <v>2</v>
      </c>
    </row>
    <row r="232" spans="1:80">
      <c r="A232" s="178" t="str">
        <f ca="1">IFERROR(IF(A231+加速!$L$11&lt;$AS$1,IF(COUNTIF(B231,"*轻*")&gt;0,A231+加速!$L$9,A231+加速!$L$11)+V231,IF(COUNTIF(INDEX(AU232:CB232,1,$AT$1),"*云景*")+COUNTIF(INDEX(AU232:CB232,1,$AT$1),"*鹤归*")+COUNTIF(INDEX(AU232:CB232,1,$AT$1),"*听雷*")&gt;0,A231+加速!$L$11,"")),"")</f>
        <v/>
      </c>
      <c r="B232" s="167" t="str">
        <f ca="1">IF(A232&lt;&gt;"",IF(AND(A232+加速!$L$11&gt;$AS$1,IF(AND(配装计算器!$K$30&lt;&gt;"∞",0),"梦泉虎跑-轻",INDEX(AU232:CB232,1,$AT$1))="云栖松"),"夕照雷峰",IF(AND(配装计算器!$K$30&lt;&gt;"∞",0),"梦泉虎跑-轻",INDEX(AU232:CB232,1,$AT$1))),"")</f>
        <v/>
      </c>
      <c r="C232" t="str">
        <f ca="1" t="shared" si="49"/>
        <v/>
      </c>
      <c r="D232" t="str">
        <f ca="1">IF(B232&lt;&gt;"",IF(C231&lt;=加速!$L$11*(1-E232),0,1),"")</f>
        <v/>
      </c>
      <c r="E232">
        <f ca="1" t="shared" si="45"/>
        <v>1</v>
      </c>
      <c r="G232" t="str">
        <f ca="1" t="shared" si="46"/>
        <v/>
      </c>
      <c r="H232" t="str">
        <f ca="1">IF(B232&lt;&gt;"",IF(AND(COUNTIF(B231,"*轻*莺鸣柳*")&gt;0,COUNTIF(B232,"*轻*")&lt;1),MAX(0,15+I231-(A232-A231)+COUNTIF(B231,"*平湖*")*0),IF(AND(E232=0,MAX(0,H231-(A232-A231))&lt;=加速!$H$11),0,MAX(0,H231-(A232-A231)))),"")</f>
        <v/>
      </c>
      <c r="I232" t="str">
        <f ca="1" t="shared" si="52"/>
        <v/>
      </c>
      <c r="J232" t="str">
        <f ca="1" t="shared" si="53"/>
        <v/>
      </c>
      <c r="K232" t="str">
        <f ca="1">IF(A232&lt;&gt;"",IF(AND(配装计算器!$K$30&lt;&gt;"∞",0),2,INDEX(AU232:CB232,1,$AT$2)),"")</f>
        <v/>
      </c>
      <c r="L232">
        <f ca="1">IFERROR(IF(AND(COUNTIF(B232,"*-峰插*"),技能数据库!$M$72&gt;0),0,IF(COUNTIF(B232,"*鹤归*")&gt;0,16-加速!$L$11,MAX(0,L231-(A232-A231)))),0)</f>
        <v>0</v>
      </c>
      <c r="M232">
        <f ca="1">IF(COUNTIF(IF(AND(配装计算器!$K$30&lt;&gt;"∞",0),INDEX(AU231:CB231,1,$AT$1),INDEX(AU233:CB233,1,$AT$1)),"*鹤归*")=1,L232,0)</f>
        <v>0</v>
      </c>
      <c r="N232">
        <f ca="1">IFERROR(IF(AND(COUNTIF(B232,"*-峰插*"),技能数据库!$M$72&gt;0),0,IF(COUNTIF(B232,"*云飞*")&gt;0,4-COUNTIF(B232,"*玉山揽云*")*4--COUNTIF(B232,"*烟流暮景*")*4-COUNTIF(B232,"*云景*")*加速!$L$11-IF(J232&gt;0,2,0),MAX(0,N231-(A232-A231)-IF(J232&gt;0,2,0)))),0)</f>
        <v>0</v>
      </c>
      <c r="O232">
        <f ca="1">IF(AND(COUNTIF(IF(AND(配装计算器!$K$30&lt;&gt;"∞",0),INDEX(AU231:CB231,1,$AT$1),INDEX(AU233:CB233,1,$AT$1)),"*云飞*")=1,COUNTIF(IF(AND(配装计算器!$K$30&lt;&gt;"∞",0),INDEX(AU231:CB231,1,$AT$1),INDEX(AU233:CB233,1,$AT$1)),"*玉山*")=0),N232,0)</f>
        <v>0</v>
      </c>
      <c r="P232">
        <f ca="1">IFERROR(IF(COUNTIF(B232,"*云栖松*")&gt;0,50-加速!$L$11,MAX(0,P231-(A232-A231))),0)</f>
        <v>0</v>
      </c>
      <c r="Q232">
        <f ca="1">IF(COUNTIF(IF(AND(配装计算器!$K$30&lt;&gt;"∞",0),INDEX(AU231:CB231,1,$AT$1),INDEX(AU233:CB233,1,$AT$1)),"*云栖松*")=1,P232,0)</f>
        <v>0</v>
      </c>
      <c r="R232">
        <f ca="1">IFERROR(IF(COUNTIF(B232,"*莺鸣柳*")&gt;0,45-加速!$L$9,MAX(0,R231-(A232-A231))),0)</f>
        <v>0</v>
      </c>
      <c r="S232">
        <f ca="1">IF(COUNTIF(IF(AND(配装计算器!$K$30&lt;&gt;"∞",0),INDEX(AU231:CB231,1,$AT$1),INDEX(AU233:CB233,1,$AT$1)),"*莺鸣柳*")=1,R232,0)</f>
        <v>0</v>
      </c>
      <c r="T232">
        <f ca="1" t="shared" si="50"/>
        <v>0</v>
      </c>
      <c r="U232">
        <f ca="1">IF(金蛇,IF(COUNTIF(B232,"*金环戴*")+COUNTIF(B232,"*吹风醒*")&gt;0,IF(A232&lt;=3,7.125-2.625-A232-加速!$L$11,7.125+加速!$K$9-(A232+加速!$L$11-T232)),0),0)+IF(金蛇,IF(COUNTIF(B232,"*千切子裂光*")&gt;0,2+加速!$K$9-(A232+加速!$L$11-T232),0),0)</f>
        <v>0</v>
      </c>
      <c r="V232">
        <f ca="1" t="shared" si="51"/>
        <v>0</v>
      </c>
      <c r="W232">
        <f ca="1" t="shared" si="43"/>
        <v>0</v>
      </c>
      <c r="X232">
        <f ca="1">INDEX(加速!$I$13:$I$21,技能数计算!W232+1)</f>
        <v>0</v>
      </c>
      <c r="Y232">
        <f ca="1" t="shared" si="47"/>
        <v>0.5</v>
      </c>
      <c r="Z232">
        <f ca="1" t="shared" si="48"/>
        <v>0</v>
      </c>
      <c r="AA232">
        <f ca="1">MAX(0,IFERROR(IF(COUNTIF(B232,"*叠*")&gt;0,IF(AC231&lt;3,8-A233+A232,AA231+6.875-A233+A232),AA231-A233+A232),AA231-加速!$L$11))</f>
        <v>0</v>
      </c>
      <c r="AB232" t="e">
        <f ca="1">MAX(0,IF(COUNTIF(IF(AND(配装计算器!$K$30&lt;&gt;"∞",0),INDEX(AU232:CB232,1,$AT$1),INDEX(AU232:CB232,1,$AT$1)),"*叠1*")=1,4*25-加速!$L$11,AB231-A232+A231)-IF(OR(COUNTIF(OFFSET(AT232,0,$AT$1,1,1),"*听雷*")&gt;0,AND(碧归&gt;0,COUNTIF(OFFSET(AT232,0,$AT$1,1,1),"*风来*")&gt;0)),0,1)*1.5)</f>
        <v>#VALUE!</v>
      </c>
      <c r="AC232">
        <f ca="1" t="shared" si="44"/>
        <v>3</v>
      </c>
      <c r="AD232">
        <f ca="1">IF(COUNTIF(IF(AND(配装计算器!$K$30&lt;&gt;"∞",0),INDEX(AU232:CB232,1,$AT$1),INDEX(AU233:CB233,1,$AT$1)),"*叠1*")=1,AB232*0+AE231,0)</f>
        <v>0</v>
      </c>
      <c r="AE232" t="e">
        <f ca="1">IF($AN$11&gt;0,IF(COUNTIF(B233,"*叠1*")&gt;0,50-加速!$H$11,MAX(0,AE231-(A233-A232))),0)</f>
        <v>#VALUE!</v>
      </c>
      <c r="AU232" t="s">
        <v>2768</v>
      </c>
      <c r="AV232">
        <v>2</v>
      </c>
      <c r="AW232" t="str">
        <f t="shared" si="56"/>
        <v>云飞玉皇-玉山揽云</v>
      </c>
      <c r="AX232">
        <v>2</v>
      </c>
      <c r="AY232" t="s">
        <v>2768</v>
      </c>
      <c r="AZ232">
        <v>2</v>
      </c>
      <c r="BA232" t="s">
        <v>2776</v>
      </c>
      <c r="BB232">
        <v>2</v>
      </c>
      <c r="BC232" t="s">
        <v>3013</v>
      </c>
      <c r="BD232">
        <v>2</v>
      </c>
      <c r="BE232" t="s">
        <v>2776</v>
      </c>
      <c r="BF232">
        <v>0</v>
      </c>
      <c r="BG232" t="s">
        <v>2776</v>
      </c>
      <c r="BH232">
        <v>2</v>
      </c>
      <c r="BI232" t="s">
        <v>2768</v>
      </c>
      <c r="BJ232">
        <v>2</v>
      </c>
      <c r="BK232" t="s">
        <v>3056</v>
      </c>
      <c r="BL232">
        <v>0</v>
      </c>
      <c r="BM232" s="176" t="s">
        <v>2768</v>
      </c>
      <c r="BN232">
        <v>2</v>
      </c>
      <c r="BO232" t="s">
        <v>2768</v>
      </c>
      <c r="BP232">
        <v>2</v>
      </c>
      <c r="BQ232" t="s">
        <v>2768</v>
      </c>
      <c r="BR232">
        <v>2</v>
      </c>
      <c r="BS232" t="s">
        <v>2768</v>
      </c>
      <c r="BT232">
        <v>2</v>
      </c>
      <c r="BU232" s="182" t="s">
        <v>3023</v>
      </c>
      <c r="BV232">
        <v>2</v>
      </c>
      <c r="BW232" s="179" t="s">
        <v>2776</v>
      </c>
      <c r="BX232" s="179">
        <v>2</v>
      </c>
      <c r="BY232" t="s">
        <v>2768</v>
      </c>
      <c r="BZ232">
        <v>2</v>
      </c>
      <c r="CA232" t="s">
        <v>2768</v>
      </c>
      <c r="CB232">
        <v>2</v>
      </c>
    </row>
    <row r="233" spans="1:80">
      <c r="A233" s="178" t="str">
        <f ca="1">IFERROR(IF(A232+加速!$L$11&lt;$AS$1,IF(COUNTIF(B232,"*轻*")&gt;0,A232+加速!$L$9,A232+加速!$L$11)+V232,IF(COUNTIF(INDEX(AU233:CB233,1,$AT$1),"*云景*")+COUNTIF(INDEX(AU233:CB233,1,$AT$1),"*鹤归*")+COUNTIF(INDEX(AU233:CB233,1,$AT$1),"*听雷*")&gt;0,A232+加速!$L$11,"")),"")</f>
        <v/>
      </c>
      <c r="B233" s="167" t="str">
        <f ca="1">IF(A233&lt;&gt;"",IF(AND(A233+加速!$L$11&gt;$AS$1,IF(AND(配装计算器!$K$30&lt;&gt;"∞",0),"梦泉虎跑-轻",INDEX(AU233:CB233,1,$AT$1))="云栖松"),"夕照雷峰",IF(AND(配装计算器!$K$30&lt;&gt;"∞",0),"梦泉虎跑-轻",INDEX(AU233:CB233,1,$AT$1))),"")</f>
        <v/>
      </c>
      <c r="C233" t="str">
        <f ca="1" t="shared" si="49"/>
        <v/>
      </c>
      <c r="D233" t="str">
        <f ca="1">IF(B233&lt;&gt;"",IF(C232&lt;=加速!$L$11*(1-E233),0,1),"")</f>
        <v/>
      </c>
      <c r="E233">
        <f ca="1" t="shared" si="45"/>
        <v>1</v>
      </c>
      <c r="G233" t="str">
        <f ca="1" t="shared" si="46"/>
        <v/>
      </c>
      <c r="H233" t="str">
        <f ca="1">IF(B233&lt;&gt;"",IF(AND(COUNTIF(B232,"*轻*莺鸣柳*")&gt;0,COUNTIF(B233,"*轻*")&lt;1),MAX(0,15+I232-(A233-A232)+COUNTIF(B232,"*平湖*")*0),IF(AND(E233=0,MAX(0,H232-(A233-A232))&lt;=加速!$H$11),0,MAX(0,H232-(A233-A232)))),"")</f>
        <v/>
      </c>
      <c r="I233" t="str">
        <f ca="1" t="shared" si="52"/>
        <v/>
      </c>
      <c r="J233" t="str">
        <f ca="1" t="shared" si="53"/>
        <v/>
      </c>
      <c r="K233" t="str">
        <f ca="1">IF(A233&lt;&gt;"",IF(AND(配装计算器!$K$30&lt;&gt;"∞",0),2,INDEX(AU233:CB233,1,$AT$2)),"")</f>
        <v/>
      </c>
      <c r="L233">
        <f ca="1">IFERROR(IF(AND(COUNTIF(B233,"*-峰插*"),技能数据库!$M$72&gt;0),0,IF(COUNTIF(B233,"*鹤归*")&gt;0,16-加速!$L$11,MAX(0,L232-(A233-A232)))),0)</f>
        <v>0</v>
      </c>
      <c r="M233">
        <f ca="1">IF(COUNTIF(IF(AND(配装计算器!$K$30&lt;&gt;"∞",0),INDEX(AU232:CB232,1,$AT$1),INDEX(AU234:CB234,1,$AT$1)),"*鹤归*")=1,L233,0)</f>
        <v>0</v>
      </c>
      <c r="N233">
        <f ca="1">IFERROR(IF(AND(COUNTIF(B233,"*-峰插*"),技能数据库!$M$72&gt;0),0,IF(COUNTIF(B233,"*云飞*")&gt;0,4-COUNTIF(B233,"*玉山揽云*")*4--COUNTIF(B233,"*烟流暮景*")*4-COUNTIF(B233,"*云景*")*加速!$L$11-IF(J233&gt;0,2,0),MAX(0,N232-(A233-A232)-IF(J233&gt;0,2,0)))),0)</f>
        <v>0</v>
      </c>
      <c r="O233">
        <f ca="1">IF(AND(COUNTIF(IF(AND(配装计算器!$K$30&lt;&gt;"∞",0),INDEX(AU232:CB232,1,$AT$1),INDEX(AU234:CB234,1,$AT$1)),"*云飞*")=1,COUNTIF(IF(AND(配装计算器!$K$30&lt;&gt;"∞",0),INDEX(AU232:CB232,1,$AT$1),INDEX(AU234:CB234,1,$AT$1)),"*玉山*")=0),N233,0)</f>
        <v>0</v>
      </c>
      <c r="P233">
        <f ca="1">IFERROR(IF(COUNTIF(B233,"*云栖松*")&gt;0,50-加速!$L$11,MAX(0,P232-(A233-A232))),0)</f>
        <v>0</v>
      </c>
      <c r="Q233">
        <f ca="1">IF(COUNTIF(IF(AND(配装计算器!$K$30&lt;&gt;"∞",0),INDEX(AU232:CB232,1,$AT$1),INDEX(AU234:CB234,1,$AT$1)),"*云栖松*")=1,P233,0)</f>
        <v>0</v>
      </c>
      <c r="R233">
        <f ca="1">IFERROR(IF(COUNTIF(B233,"*莺鸣柳*")&gt;0,45-加速!$L$9,MAX(0,R232-(A233-A232))),0)</f>
        <v>0</v>
      </c>
      <c r="S233">
        <f ca="1">IF(COUNTIF(IF(AND(配装计算器!$K$30&lt;&gt;"∞",0),INDEX(AU232:CB232,1,$AT$1),INDEX(AU234:CB234,1,$AT$1)),"*莺鸣柳*")=1,R233,0)</f>
        <v>0</v>
      </c>
      <c r="T233">
        <f ca="1" t="shared" si="50"/>
        <v>0</v>
      </c>
      <c r="U233">
        <f ca="1">IF(金蛇,IF(COUNTIF(B233,"*金环戴*")+COUNTIF(B233,"*吹风醒*")&gt;0,IF(A233&lt;=3,7.125-2.625-A233-加速!$L$11,7.125+加速!$K$9-(A233+加速!$L$11-T233)),0),0)+IF(金蛇,IF(COUNTIF(B233,"*千切子裂光*")&gt;0,2+加速!$K$9-(A233+加速!$L$11-T233),0),0)</f>
        <v>0</v>
      </c>
      <c r="V233">
        <f ca="1" t="shared" si="51"/>
        <v>0</v>
      </c>
      <c r="W233">
        <f ca="1" t="shared" si="43"/>
        <v>0</v>
      </c>
      <c r="X233">
        <f ca="1">INDEX(加速!$I$13:$I$21,技能数计算!W233+1)</f>
        <v>0</v>
      </c>
      <c r="Y233">
        <f ca="1" t="shared" si="47"/>
        <v>0.5</v>
      </c>
      <c r="Z233">
        <f ca="1" t="shared" si="48"/>
        <v>0</v>
      </c>
      <c r="AA233">
        <f ca="1">MAX(0,IFERROR(IF(COUNTIF(B233,"*叠*")&gt;0,IF(AC232&lt;3,8-A234+A233,AA232+6.875-A234+A233),AA232-A234+A233),AA232-加速!$L$11))</f>
        <v>0</v>
      </c>
      <c r="AB233" t="e">
        <f ca="1">MAX(0,IF(COUNTIF(IF(AND(配装计算器!$K$30&lt;&gt;"∞",0),INDEX(AU233:CB233,1,$AT$1),INDEX(AU233:CB233,1,$AT$1)),"*叠1*")=1,4*25-加速!$L$11,AB232-A233+A232)-IF(OR(COUNTIF(OFFSET(AT233,0,$AT$1,1,1),"*听雷*")&gt;0,AND(碧归&gt;0,COUNTIF(OFFSET(AT233,0,$AT$1,1,1),"*风来*")&gt;0)),0,1)*1.5)</f>
        <v>#VALUE!</v>
      </c>
      <c r="AC233">
        <f ca="1" t="shared" si="44"/>
        <v>3</v>
      </c>
      <c r="AD233">
        <f ca="1">IF(COUNTIF(IF(AND(配装计算器!$K$30&lt;&gt;"∞",0),INDEX(AU233:CB233,1,$AT$1),INDEX(AU234:CB234,1,$AT$1)),"*叠1*")=1,AB233*0+AE232,0)</f>
        <v>0</v>
      </c>
      <c r="AE233" t="e">
        <f ca="1">IF($AN$11&gt;0,IF(COUNTIF(B234,"*叠1*")&gt;0,50-加速!$H$11,MAX(0,AE232-(A234-A233))),0)</f>
        <v>#VALUE!</v>
      </c>
      <c r="AU233" t="s">
        <v>2776</v>
      </c>
      <c r="AV233">
        <v>2</v>
      </c>
      <c r="AW233" t="str">
        <f t="shared" si="56"/>
        <v>云飞玉皇-玉山揽云</v>
      </c>
      <c r="AX233">
        <v>2</v>
      </c>
      <c r="AY233" t="s">
        <v>2776</v>
      </c>
      <c r="AZ233">
        <v>2</v>
      </c>
      <c r="BA233" t="s">
        <v>3042</v>
      </c>
      <c r="BB233">
        <v>2</v>
      </c>
      <c r="BC233" t="s">
        <v>3018</v>
      </c>
      <c r="BD233">
        <v>2</v>
      </c>
      <c r="BE233" t="s">
        <v>2722</v>
      </c>
      <c r="BF233">
        <v>0</v>
      </c>
      <c r="BG233" t="s">
        <v>2768</v>
      </c>
      <c r="BH233">
        <v>2</v>
      </c>
      <c r="BI233" t="s">
        <v>3018</v>
      </c>
      <c r="BJ233">
        <v>2</v>
      </c>
      <c r="BK233" t="s">
        <v>2768</v>
      </c>
      <c r="BL233">
        <v>2</v>
      </c>
      <c r="BM233" t="s">
        <v>3056</v>
      </c>
      <c r="BN233">
        <v>1</v>
      </c>
      <c r="BO233" t="s">
        <v>2768</v>
      </c>
      <c r="BP233">
        <v>2</v>
      </c>
      <c r="BQ233" t="s">
        <v>2776</v>
      </c>
      <c r="BR233">
        <v>2</v>
      </c>
      <c r="BS233" t="s">
        <v>2768</v>
      </c>
      <c r="BT233">
        <v>2</v>
      </c>
      <c r="BU233" s="186" t="str">
        <f>IF(秋,"夕照雷峰","千切子寒光")</f>
        <v>千切子寒光</v>
      </c>
      <c r="BV233">
        <v>2</v>
      </c>
      <c r="BW233" s="179" t="s">
        <v>2768</v>
      </c>
      <c r="BX233" s="179">
        <v>2</v>
      </c>
      <c r="BY233" t="s">
        <v>2776</v>
      </c>
      <c r="BZ233">
        <v>2</v>
      </c>
      <c r="CA233" t="s">
        <v>2776</v>
      </c>
      <c r="CB233">
        <v>2</v>
      </c>
    </row>
    <row r="234" spans="1:80">
      <c r="A234" s="178" t="str">
        <f ca="1">IFERROR(IF(A233+加速!$L$11&lt;$AS$1,IF(COUNTIF(B233,"*轻*")&gt;0,A233+加速!$L$9,A233+加速!$L$11)+V233,IF(COUNTIF(INDEX(AU234:CB234,1,$AT$1),"*云景*")+COUNTIF(INDEX(AU234:CB234,1,$AT$1),"*鹤归*")+COUNTIF(INDEX(AU234:CB234,1,$AT$1),"*听雷*")&gt;0,A233+加速!$L$11,"")),"")</f>
        <v/>
      </c>
      <c r="B234" s="167" t="str">
        <f ca="1">IF(A234&lt;&gt;"",IF(AND(A234+加速!$L$11&gt;$AS$1,IF(AND(配装计算器!$K$30&lt;&gt;"∞",0),"梦泉虎跑-轻",INDEX(AU234:CB234,1,$AT$1))="云栖松"),"夕照雷峰",IF(AND(配装计算器!$K$30&lt;&gt;"∞",0),"梦泉虎跑-轻",INDEX(AU234:CB234,1,$AT$1))),"")</f>
        <v/>
      </c>
      <c r="C234" t="str">
        <f ca="1" t="shared" si="49"/>
        <v/>
      </c>
      <c r="D234" t="str">
        <f ca="1">IF(B234&lt;&gt;"",IF(C233&lt;=加速!$L$11*(1-E234),0,1),"")</f>
        <v/>
      </c>
      <c r="E234">
        <f ca="1" t="shared" si="45"/>
        <v>1</v>
      </c>
      <c r="G234" t="str">
        <f ca="1" t="shared" si="46"/>
        <v/>
      </c>
      <c r="H234" t="str">
        <f ca="1">IF(B234&lt;&gt;"",IF(AND(COUNTIF(B233,"*轻*莺鸣柳*")&gt;0,COUNTIF(B234,"*轻*")&lt;1),MAX(0,15+I233-(A234-A233)+COUNTIF(B233,"*平湖*")*0),IF(AND(E234=0,MAX(0,H233-(A234-A233))&lt;=加速!$H$11),0,MAX(0,H233-(A234-A233)))),"")</f>
        <v/>
      </c>
      <c r="I234" t="str">
        <f ca="1" t="shared" si="52"/>
        <v/>
      </c>
      <c r="J234" t="str">
        <f ca="1" t="shared" si="53"/>
        <v/>
      </c>
      <c r="K234" t="str">
        <f ca="1">IF(A234&lt;&gt;"",IF(AND(配装计算器!$K$30&lt;&gt;"∞",0),2,INDEX(AU234:CB234,1,$AT$2)),"")</f>
        <v/>
      </c>
      <c r="L234">
        <f ca="1">IFERROR(IF(AND(COUNTIF(B234,"*-峰插*"),技能数据库!$M$72&gt;0),0,IF(COUNTIF(B234,"*鹤归*")&gt;0,16-加速!$L$11,MAX(0,L233-(A234-A233)))),0)</f>
        <v>0</v>
      </c>
      <c r="M234">
        <f ca="1">IF(COUNTIF(IF(AND(配装计算器!$K$30&lt;&gt;"∞",0),INDEX(AU233:CB233,1,$AT$1),INDEX(AU235:CB235,1,$AT$1)),"*鹤归*")=1,L234,0)</f>
        <v>0</v>
      </c>
      <c r="N234">
        <f ca="1">IFERROR(IF(AND(COUNTIF(B234,"*-峰插*"),技能数据库!$M$72&gt;0),0,IF(COUNTIF(B234,"*云飞*")&gt;0,4-COUNTIF(B234,"*玉山揽云*")*4--COUNTIF(B234,"*烟流暮景*")*4-COUNTIF(B234,"*云景*")*加速!$L$11-IF(J234&gt;0,2,0),MAX(0,N233-(A234-A233)-IF(J234&gt;0,2,0)))),0)</f>
        <v>0</v>
      </c>
      <c r="O234">
        <f ca="1">IF(AND(COUNTIF(IF(AND(配装计算器!$K$30&lt;&gt;"∞",0),INDEX(AU233:CB233,1,$AT$1),INDEX(AU235:CB235,1,$AT$1)),"*云飞*")=1,COUNTIF(IF(AND(配装计算器!$K$30&lt;&gt;"∞",0),INDEX(AU233:CB233,1,$AT$1),INDEX(AU235:CB235,1,$AT$1)),"*玉山*")=0),N234,0)</f>
        <v>0</v>
      </c>
      <c r="P234">
        <f ca="1">IFERROR(IF(COUNTIF(B234,"*云栖松*")&gt;0,50-加速!$L$11,MAX(0,P233-(A234-A233))),0)</f>
        <v>0</v>
      </c>
      <c r="Q234">
        <f ca="1">IF(COUNTIF(IF(AND(配装计算器!$K$30&lt;&gt;"∞",0),INDEX(AU233:CB233,1,$AT$1),INDEX(AU235:CB235,1,$AT$1)),"*云栖松*")=1,P234,0)</f>
        <v>0</v>
      </c>
      <c r="R234">
        <f ca="1">IFERROR(IF(COUNTIF(B234,"*莺鸣柳*")&gt;0,45-加速!$L$9,MAX(0,R233-(A234-A233))),0)</f>
        <v>0</v>
      </c>
      <c r="S234">
        <f ca="1">IF(COUNTIF(IF(AND(配装计算器!$K$30&lt;&gt;"∞",0),INDEX(AU233:CB233,1,$AT$1),INDEX(AU235:CB235,1,$AT$1)),"*莺鸣柳*")=1,R234,0)</f>
        <v>0</v>
      </c>
      <c r="T234">
        <f ca="1" t="shared" si="50"/>
        <v>0</v>
      </c>
      <c r="U234">
        <f ca="1">IF(金蛇,IF(COUNTIF(B234,"*金环戴*")+COUNTIF(B234,"*吹风醒*")&gt;0,IF(A234&lt;=3,7.125-2.625-A234-加速!$L$11,7.125+加速!$K$9-(A234+加速!$L$11-T234)),0),0)+IF(金蛇,IF(COUNTIF(B234,"*千切子裂光*")&gt;0,2+加速!$K$9-(A234+加速!$L$11-T234),0),0)</f>
        <v>0</v>
      </c>
      <c r="V234">
        <f ca="1" t="shared" si="51"/>
        <v>0</v>
      </c>
      <c r="W234">
        <f ca="1" t="shared" si="43"/>
        <v>0</v>
      </c>
      <c r="X234">
        <f ca="1">INDEX(加速!$I$13:$I$21,技能数计算!W234+1)</f>
        <v>0</v>
      </c>
      <c r="Y234">
        <f ca="1" t="shared" si="47"/>
        <v>0.5</v>
      </c>
      <c r="Z234">
        <f ca="1" t="shared" si="48"/>
        <v>0</v>
      </c>
      <c r="AA234">
        <f ca="1">MAX(0,IFERROR(IF(COUNTIF(B234,"*叠*")&gt;0,IF(AC233&lt;3,8-A235+A234,AA233+6.875-A235+A234),AA233-A235+A234),AA233-加速!$L$11))</f>
        <v>0</v>
      </c>
      <c r="AB234" t="e">
        <f ca="1">MAX(0,IF(COUNTIF(IF(AND(配装计算器!$K$30&lt;&gt;"∞",0),INDEX(AU234:CB234,1,$AT$1),INDEX(AU234:CB234,1,$AT$1)),"*叠1*")=1,4*25-加速!$L$11,AB233-A234+A233)-IF(OR(COUNTIF(OFFSET(AT234,0,$AT$1,1,1),"*听雷*")&gt;0,AND(碧归&gt;0,COUNTIF(OFFSET(AT234,0,$AT$1,1,1),"*风来*")&gt;0)),0,1)*1.5)</f>
        <v>#VALUE!</v>
      </c>
      <c r="AC234">
        <f ca="1" t="shared" si="44"/>
        <v>3</v>
      </c>
      <c r="AD234">
        <f ca="1">IF(COUNTIF(IF(AND(配装计算器!$K$30&lt;&gt;"∞",0),INDEX(AU234:CB234,1,$AT$1),INDEX(AU235:CB235,1,$AT$1)),"*叠1*")=1,AB234*0+AE233,0)</f>
        <v>0</v>
      </c>
      <c r="AE234" t="e">
        <f ca="1">IF($AN$11&gt;0,IF(COUNTIF(B235,"*叠1*")&gt;0,50-加速!$H$11,MAX(0,AE233-(A235-A234))),0)</f>
        <v>#VALUE!</v>
      </c>
      <c r="AU234" t="s">
        <v>2768</v>
      </c>
      <c r="AV234">
        <v>2</v>
      </c>
      <c r="AW234" t="s">
        <v>2776</v>
      </c>
      <c r="AX234">
        <v>2</v>
      </c>
      <c r="AY234" t="s">
        <v>3042</v>
      </c>
      <c r="AZ234">
        <v>2</v>
      </c>
      <c r="BA234" t="s">
        <v>2808</v>
      </c>
      <c r="BB234">
        <v>2</v>
      </c>
      <c r="BC234" t="s">
        <v>2768</v>
      </c>
      <c r="BD234">
        <v>2</v>
      </c>
      <c r="BE234" t="s">
        <v>2722</v>
      </c>
      <c r="BF234">
        <v>2</v>
      </c>
      <c r="BG234" t="s">
        <v>2808</v>
      </c>
      <c r="BH234">
        <v>2</v>
      </c>
      <c r="BI234" t="s">
        <v>2789</v>
      </c>
      <c r="BJ234">
        <v>2</v>
      </c>
      <c r="BK234" t="s">
        <v>2768</v>
      </c>
      <c r="BL234">
        <v>2</v>
      </c>
      <c r="BM234" t="s">
        <v>2768</v>
      </c>
      <c r="BN234">
        <v>2</v>
      </c>
      <c r="BO234" t="s">
        <v>2776</v>
      </c>
      <c r="BP234">
        <v>2</v>
      </c>
      <c r="BQ234" t="s">
        <v>2789</v>
      </c>
      <c r="BR234">
        <v>2</v>
      </c>
      <c r="BS234" t="s">
        <v>2768</v>
      </c>
      <c r="BT234">
        <v>1</v>
      </c>
      <c r="BU234" s="186" t="str">
        <f>IF(秋,"夕照雷峰","千切子裂光")</f>
        <v>千切子裂光</v>
      </c>
      <c r="BV234">
        <v>2</v>
      </c>
      <c r="BW234" s="179" t="s">
        <v>2768</v>
      </c>
      <c r="BX234" s="179">
        <v>1</v>
      </c>
      <c r="BY234" t="s">
        <v>2718</v>
      </c>
      <c r="BZ234">
        <v>0</v>
      </c>
      <c r="CA234" t="s">
        <v>2718</v>
      </c>
      <c r="CB234">
        <v>0</v>
      </c>
    </row>
    <row r="235" spans="1:80">
      <c r="A235" s="178" t="str">
        <f ca="1">IFERROR(IF(A234+加速!$L$11&lt;$AS$1,IF(COUNTIF(B234,"*轻*")&gt;0,A234+加速!$L$9,A234+加速!$L$11)+V234,IF(COUNTIF(INDEX(AU235:CB235,1,$AT$1),"*云景*")+COUNTIF(INDEX(AU235:CB235,1,$AT$1),"*鹤归*")+COUNTIF(INDEX(AU235:CB235,1,$AT$1),"*听雷*")&gt;0,A234+加速!$L$11,"")),"")</f>
        <v/>
      </c>
      <c r="B235" s="167" t="str">
        <f ca="1">IF(A235&lt;&gt;"",IF(AND(A235+加速!$L$11&gt;$AS$1,IF(AND(配装计算器!$K$30&lt;&gt;"∞",0),"梦泉虎跑-轻",INDEX(AU235:CB235,1,$AT$1))="云栖松"),"夕照雷峰",IF(AND(配装计算器!$K$30&lt;&gt;"∞",0),"梦泉虎跑-轻",INDEX(AU235:CB235,1,$AT$1))),"")</f>
        <v/>
      </c>
      <c r="C235" t="str">
        <f ca="1" t="shared" si="49"/>
        <v/>
      </c>
      <c r="D235" t="str">
        <f ca="1">IF(B235&lt;&gt;"",IF(C234&lt;=加速!$L$11*(1-E235),0,1),"")</f>
        <v/>
      </c>
      <c r="E235">
        <f ca="1" t="shared" si="45"/>
        <v>1</v>
      </c>
      <c r="G235" t="str">
        <f ca="1" t="shared" si="46"/>
        <v/>
      </c>
      <c r="H235" t="str">
        <f ca="1">IF(B235&lt;&gt;"",IF(AND(COUNTIF(B234,"*轻*莺鸣柳*")&gt;0,COUNTIF(B235,"*轻*")&lt;1),MAX(0,15+I234-(A235-A234)+COUNTIF(B234,"*平湖*")*0),IF(AND(E235=0,MAX(0,H234-(A235-A234))&lt;=加速!$H$11),0,MAX(0,H234-(A235-A234)))),"")</f>
        <v/>
      </c>
      <c r="I235" t="str">
        <f ca="1" t="shared" si="52"/>
        <v/>
      </c>
      <c r="J235" t="str">
        <f ca="1" t="shared" si="53"/>
        <v/>
      </c>
      <c r="K235" t="str">
        <f ca="1">IF(A235&lt;&gt;"",IF(AND(配装计算器!$K$30&lt;&gt;"∞",0),2,INDEX(AU235:CB235,1,$AT$2)),"")</f>
        <v/>
      </c>
      <c r="L235">
        <f ca="1">IFERROR(IF(AND(COUNTIF(B235,"*-峰插*"),技能数据库!$M$72&gt;0),0,IF(COUNTIF(B235,"*鹤归*")&gt;0,16-加速!$L$11,MAX(0,L234-(A235-A234)))),0)</f>
        <v>0</v>
      </c>
      <c r="M235">
        <f ca="1">IF(COUNTIF(IF(AND(配装计算器!$K$30&lt;&gt;"∞",0),INDEX(AU234:CB234,1,$AT$1),INDEX(AU236:CB236,1,$AT$1)),"*鹤归*")=1,L235,0)</f>
        <v>0</v>
      </c>
      <c r="N235">
        <f ca="1">IFERROR(IF(AND(COUNTIF(B235,"*-峰插*"),技能数据库!$M$72&gt;0),0,IF(COUNTIF(B235,"*云飞*")&gt;0,4-COUNTIF(B235,"*玉山揽云*")*4--COUNTIF(B235,"*烟流暮景*")*4-COUNTIF(B235,"*云景*")*加速!$L$11-IF(J235&gt;0,2,0),MAX(0,N234-(A235-A234)-IF(J235&gt;0,2,0)))),0)</f>
        <v>0</v>
      </c>
      <c r="O235">
        <f ca="1">IF(AND(COUNTIF(IF(AND(配装计算器!$K$30&lt;&gt;"∞",0),INDEX(AU234:CB234,1,$AT$1),INDEX(AU236:CB236,1,$AT$1)),"*云飞*")=1,COUNTIF(IF(AND(配装计算器!$K$30&lt;&gt;"∞",0),INDEX(AU234:CB234,1,$AT$1),INDEX(AU236:CB236,1,$AT$1)),"*玉山*")=0),N235,0)</f>
        <v>0</v>
      </c>
      <c r="P235">
        <f ca="1">IFERROR(IF(COUNTIF(B235,"*云栖松*")&gt;0,50-加速!$L$11,MAX(0,P234-(A235-A234))),0)</f>
        <v>0</v>
      </c>
      <c r="Q235">
        <f ca="1">IF(COUNTIF(IF(AND(配装计算器!$K$30&lt;&gt;"∞",0),INDEX(AU234:CB234,1,$AT$1),INDEX(AU236:CB236,1,$AT$1)),"*云栖松*")=1,P235,0)</f>
        <v>0</v>
      </c>
      <c r="R235">
        <f ca="1">IFERROR(IF(COUNTIF(B235,"*莺鸣柳*")&gt;0,45-加速!$L$9,MAX(0,R234-(A235-A234))),0)</f>
        <v>0</v>
      </c>
      <c r="S235">
        <f ca="1">IF(COUNTIF(IF(AND(配装计算器!$K$30&lt;&gt;"∞",0),INDEX(AU234:CB234,1,$AT$1),INDEX(AU236:CB236,1,$AT$1)),"*莺鸣柳*")=1,R235,0)</f>
        <v>0</v>
      </c>
      <c r="T235">
        <f ca="1" t="shared" si="50"/>
        <v>0</v>
      </c>
      <c r="U235">
        <f ca="1">IF(金蛇,IF(COUNTIF(B235,"*金环戴*")+COUNTIF(B235,"*吹风醒*")&gt;0,IF(A235&lt;=3,7.125-2.625-A235-加速!$L$11,7.125+加速!$K$9-(A235+加速!$L$11-T235)),0),0)+IF(金蛇,IF(COUNTIF(B235,"*千切子裂光*")&gt;0,2+加速!$K$9-(A235+加速!$L$11-T235),0),0)</f>
        <v>0</v>
      </c>
      <c r="V235">
        <f ca="1" t="shared" si="51"/>
        <v>0</v>
      </c>
      <c r="W235">
        <f ca="1" t="shared" si="43"/>
        <v>0</v>
      </c>
      <c r="X235">
        <f ca="1">INDEX(加速!$I$13:$I$21,技能数计算!W235+1)</f>
        <v>0</v>
      </c>
      <c r="Y235">
        <f ca="1" t="shared" si="47"/>
        <v>0.5</v>
      </c>
      <c r="Z235">
        <f ca="1" t="shared" si="48"/>
        <v>0</v>
      </c>
      <c r="AA235">
        <f ca="1">MAX(0,IFERROR(IF(COUNTIF(B235,"*叠*")&gt;0,IF(AC234&lt;3,8-A236+A235,AA234+6.875-A236+A235),AA234-A236+A235),AA234-加速!$L$11))</f>
        <v>0</v>
      </c>
      <c r="AB235" t="e">
        <f ca="1">MAX(0,IF(COUNTIF(IF(AND(配装计算器!$K$30&lt;&gt;"∞",0),INDEX(AU235:CB235,1,$AT$1),INDEX(AU235:CB235,1,$AT$1)),"*叠1*")=1,4*25-加速!$L$11,AB234-A235+A234)-IF(OR(COUNTIF(OFFSET(AT235,0,$AT$1,1,1),"*听雷*")&gt;0,AND(碧归&gt;0,COUNTIF(OFFSET(AT235,0,$AT$1,1,1),"*风来*")&gt;0)),0,1)*1.5)</f>
        <v>#VALUE!</v>
      </c>
      <c r="AC235">
        <f ca="1" t="shared" si="44"/>
        <v>3</v>
      </c>
      <c r="AD235">
        <f ca="1">IF(COUNTIF(IF(AND(配装计算器!$K$30&lt;&gt;"∞",0),INDEX(AU235:CB235,1,$AT$1),INDEX(AU236:CB236,1,$AT$1)),"*叠1*")=1,AB235*0+AE234,0)</f>
        <v>0</v>
      </c>
      <c r="AE235" t="e">
        <f ca="1">IF($AN$11&gt;0,IF(COUNTIF(B236,"*叠1*")&gt;0,50-加速!$H$11,MAX(0,AE234-(A236-A235))),0)</f>
        <v>#VALUE!</v>
      </c>
      <c r="AU235" s="180" t="s">
        <v>2789</v>
      </c>
      <c r="AV235">
        <v>2</v>
      </c>
      <c r="AW235" t="s">
        <v>2768</v>
      </c>
      <c r="AX235">
        <v>2</v>
      </c>
      <c r="AY235" t="s">
        <v>2808</v>
      </c>
      <c r="AZ235">
        <v>2</v>
      </c>
      <c r="BA235" t="s">
        <v>2768</v>
      </c>
      <c r="BB235">
        <v>2</v>
      </c>
      <c r="BC235" t="s">
        <v>3023</v>
      </c>
      <c r="BD235">
        <v>2</v>
      </c>
      <c r="BE235" t="s">
        <v>2768</v>
      </c>
      <c r="BF235">
        <v>2</v>
      </c>
      <c r="BG235" t="s">
        <v>2768</v>
      </c>
      <c r="BH235">
        <v>2</v>
      </c>
      <c r="BI235" s="182" t="s">
        <v>3023</v>
      </c>
      <c r="BJ235">
        <v>2</v>
      </c>
      <c r="BK235" t="s">
        <v>2776</v>
      </c>
      <c r="BL235">
        <v>2</v>
      </c>
      <c r="BM235" t="s">
        <v>2768</v>
      </c>
      <c r="BN235">
        <v>2</v>
      </c>
      <c r="BO235" t="s">
        <v>2768</v>
      </c>
      <c r="BP235">
        <v>1</v>
      </c>
      <c r="BQ235" t="str">
        <f>IF(秋,"夕照雷峰","千切子寒光-千切子裂光")</f>
        <v>千切子寒光-千切子裂光</v>
      </c>
      <c r="BR235">
        <v>2</v>
      </c>
      <c r="BS235" t="s">
        <v>2776</v>
      </c>
      <c r="BT235">
        <v>1</v>
      </c>
      <c r="BU235" s="176" t="s">
        <v>2789</v>
      </c>
      <c r="BV235">
        <v>2</v>
      </c>
      <c r="BW235" s="179" t="s">
        <v>2768</v>
      </c>
      <c r="BX235" s="179">
        <v>1</v>
      </c>
      <c r="BY235" t="s">
        <v>2768</v>
      </c>
      <c r="BZ235">
        <v>2</v>
      </c>
      <c r="CA235" t="s">
        <v>2768</v>
      </c>
      <c r="CB235">
        <v>2</v>
      </c>
    </row>
    <row r="236" spans="1:80">
      <c r="A236" s="178" t="str">
        <f ca="1">IFERROR(IF(A235+加速!$L$11&lt;$AS$1,IF(COUNTIF(B235,"*轻*")&gt;0,A235+加速!$L$9,A235+加速!$L$11)+V235,IF(COUNTIF(INDEX(AU236:CB236,1,$AT$1),"*云景*")+COUNTIF(INDEX(AU236:CB236,1,$AT$1),"*鹤归*")+COUNTIF(INDEX(AU236:CB236,1,$AT$1),"*听雷*")&gt;0,A235+加速!$L$11,"")),"")</f>
        <v/>
      </c>
      <c r="B236" s="167" t="str">
        <f ca="1">IF(A236&lt;&gt;"",IF(AND(A236+加速!$L$11&gt;$AS$1,IF(AND(配装计算器!$K$30&lt;&gt;"∞",0),"梦泉虎跑-轻",INDEX(AU236:CB236,1,$AT$1))="云栖松"),"夕照雷峰",IF(AND(配装计算器!$K$30&lt;&gt;"∞",0),"梦泉虎跑-轻",INDEX(AU236:CB236,1,$AT$1))),"")</f>
        <v/>
      </c>
      <c r="C236" t="str">
        <f ca="1" t="shared" si="49"/>
        <v/>
      </c>
      <c r="D236" t="str">
        <f ca="1">IF(B236&lt;&gt;"",IF(C235&lt;=加速!$L$11*(1-E236),0,1),"")</f>
        <v/>
      </c>
      <c r="E236">
        <f ca="1" t="shared" si="45"/>
        <v>1</v>
      </c>
      <c r="G236" t="str">
        <f ca="1" t="shared" si="46"/>
        <v/>
      </c>
      <c r="H236" t="str">
        <f ca="1">IF(B236&lt;&gt;"",IF(AND(COUNTIF(B235,"*轻*莺鸣柳*")&gt;0,COUNTIF(B236,"*轻*")&lt;1),MAX(0,15+I235-(A236-A235)+COUNTIF(B235,"*平湖*")*0),IF(AND(E236=0,MAX(0,H235-(A236-A235))&lt;=加速!$H$11),0,MAX(0,H235-(A236-A235)))),"")</f>
        <v/>
      </c>
      <c r="I236" t="str">
        <f ca="1" t="shared" si="52"/>
        <v/>
      </c>
      <c r="J236" t="str">
        <f ca="1" t="shared" si="53"/>
        <v/>
      </c>
      <c r="K236" t="str">
        <f ca="1">IF(A236&lt;&gt;"",IF(AND(配装计算器!$K$30&lt;&gt;"∞",0),2,INDEX(AU236:CB236,1,$AT$2)),"")</f>
        <v/>
      </c>
      <c r="L236">
        <f ca="1">IFERROR(IF(AND(COUNTIF(B236,"*-峰插*"),技能数据库!$M$72&gt;0),0,IF(COUNTIF(B236,"*鹤归*")&gt;0,16-加速!$L$11,MAX(0,L235-(A236-A235)))),0)</f>
        <v>0</v>
      </c>
      <c r="M236">
        <f ca="1">IF(COUNTIF(IF(AND(配装计算器!$K$30&lt;&gt;"∞",0),INDEX(AU235:CB235,1,$AT$1),INDEX(AU237:CB237,1,$AT$1)),"*鹤归*")=1,L236,0)</f>
        <v>0</v>
      </c>
      <c r="N236">
        <f ca="1">IFERROR(IF(AND(COUNTIF(B236,"*-峰插*"),技能数据库!$M$72&gt;0),0,IF(COUNTIF(B236,"*云飞*")&gt;0,4-COUNTIF(B236,"*玉山揽云*")*4--COUNTIF(B236,"*烟流暮景*")*4-COUNTIF(B236,"*云景*")*加速!$L$11-IF(J236&gt;0,2,0),MAX(0,N235-(A236-A235)-IF(J236&gt;0,2,0)))),0)</f>
        <v>0</v>
      </c>
      <c r="O236">
        <f ca="1">IF(AND(COUNTIF(IF(AND(配装计算器!$K$30&lt;&gt;"∞",0),INDEX(AU235:CB235,1,$AT$1),INDEX(AU237:CB237,1,$AT$1)),"*云飞*")=1,COUNTIF(IF(AND(配装计算器!$K$30&lt;&gt;"∞",0),INDEX(AU235:CB235,1,$AT$1),INDEX(AU237:CB237,1,$AT$1)),"*玉山*")=0),N236,0)</f>
        <v>0</v>
      </c>
      <c r="P236">
        <f ca="1">IFERROR(IF(COUNTIF(B236,"*云栖松*")&gt;0,50-加速!$L$11,MAX(0,P235-(A236-A235))),0)</f>
        <v>0</v>
      </c>
      <c r="Q236">
        <f ca="1">IF(COUNTIF(IF(AND(配装计算器!$K$30&lt;&gt;"∞",0),INDEX(AU235:CB235,1,$AT$1),INDEX(AU237:CB237,1,$AT$1)),"*云栖松*")=1,P236,0)</f>
        <v>0</v>
      </c>
      <c r="R236">
        <f ca="1">IFERROR(IF(COUNTIF(B236,"*莺鸣柳*")&gt;0,45-加速!$L$9,MAX(0,R235-(A236-A235))),0)</f>
        <v>0</v>
      </c>
      <c r="S236">
        <f ca="1">IF(COUNTIF(IF(AND(配装计算器!$K$30&lt;&gt;"∞",0),INDEX(AU235:CB235,1,$AT$1),INDEX(AU237:CB237,1,$AT$1)),"*莺鸣柳*")=1,R236,0)</f>
        <v>0</v>
      </c>
      <c r="T236">
        <f ca="1" t="shared" si="50"/>
        <v>0</v>
      </c>
      <c r="U236">
        <f ca="1">IF(金蛇,IF(COUNTIF(B236,"*金环戴*")+COUNTIF(B236,"*吹风醒*")&gt;0,IF(A236&lt;=3,7.125-2.625-A236-加速!$L$11,7.125+加速!$K$9-(A236+加速!$L$11-T236)),0),0)+IF(金蛇,IF(COUNTIF(B236,"*千切子裂光*")&gt;0,2+加速!$K$9-(A236+加速!$L$11-T236),0),0)</f>
        <v>0</v>
      </c>
      <c r="V236">
        <f ca="1" t="shared" si="51"/>
        <v>0</v>
      </c>
      <c r="W236">
        <f ca="1" t="shared" si="43"/>
        <v>0</v>
      </c>
      <c r="X236">
        <f ca="1">INDEX(加速!$I$13:$I$21,技能数计算!W236+1)</f>
        <v>0</v>
      </c>
      <c r="Y236">
        <f ca="1" t="shared" si="47"/>
        <v>0.5</v>
      </c>
      <c r="Z236">
        <f ca="1" t="shared" si="48"/>
        <v>0</v>
      </c>
      <c r="AA236">
        <f ca="1">MAX(0,IFERROR(IF(COUNTIF(B236,"*叠*")&gt;0,IF(AC235&lt;3,8-A237+A236,AA235+6.875-A237+A236),AA235-A237+A236),AA235-加速!$L$11))</f>
        <v>0</v>
      </c>
      <c r="AB236" t="e">
        <f ca="1">MAX(0,IF(COUNTIF(IF(AND(配装计算器!$K$30&lt;&gt;"∞",0),INDEX(AU236:CB236,1,$AT$1),INDEX(AU236:CB236,1,$AT$1)),"*叠1*")=1,4*25-加速!$L$11,AB235-A236+A235)-IF(OR(COUNTIF(OFFSET(AT236,0,$AT$1,1,1),"*听雷*")&gt;0,AND(碧归&gt;0,COUNTIF(OFFSET(AT236,0,$AT$1,1,1),"*风来*")&gt;0)),0,1)*1.5)</f>
        <v>#VALUE!</v>
      </c>
      <c r="AC236">
        <f ca="1" t="shared" si="44"/>
        <v>3</v>
      </c>
      <c r="AD236">
        <f ca="1">IF(COUNTIF(IF(AND(配装计算器!$K$30&lt;&gt;"∞",0),INDEX(AU236:CB236,1,$AT$1),INDEX(AU237:CB237,1,$AT$1)),"*叠1*")=1,AB236*0+AE235,0)</f>
        <v>0</v>
      </c>
      <c r="AE236" t="e">
        <f ca="1">IF($AN$11&gt;0,IF(COUNTIF(B237,"*叠1*")&gt;0,50-加速!$H$11,MAX(0,AE235-(A237-A236))),0)</f>
        <v>#VALUE!</v>
      </c>
      <c r="AU236" s="176" t="s">
        <v>2794</v>
      </c>
      <c r="AV236">
        <v>2</v>
      </c>
      <c r="AW236" t="s">
        <v>2768</v>
      </c>
      <c r="AX236">
        <v>2</v>
      </c>
      <c r="AY236" t="s">
        <v>2768</v>
      </c>
      <c r="AZ236">
        <v>2</v>
      </c>
      <c r="BA236" t="s">
        <v>2768</v>
      </c>
      <c r="BB236">
        <v>2</v>
      </c>
      <c r="BC236" t="s">
        <v>2768</v>
      </c>
      <c r="BD236">
        <v>2</v>
      </c>
      <c r="BE236" t="s">
        <v>2776</v>
      </c>
      <c r="BF236">
        <v>2</v>
      </c>
      <c r="BG236" s="176" t="s">
        <v>2768</v>
      </c>
      <c r="BH236">
        <v>2</v>
      </c>
      <c r="BI236" s="176" t="s">
        <v>3026</v>
      </c>
      <c r="BJ236">
        <v>2</v>
      </c>
      <c r="BK236" t="s">
        <v>2768</v>
      </c>
      <c r="BL236">
        <v>1</v>
      </c>
      <c r="BM236" t="s">
        <v>2768</v>
      </c>
      <c r="BN236">
        <v>2</v>
      </c>
      <c r="BO236" t="s">
        <v>2722</v>
      </c>
      <c r="BP236">
        <v>0</v>
      </c>
      <c r="BQ236" t="str">
        <f>IF(秋,"鹤归孤山-叠-蛇牙锥心","鹤归孤山-叠")</f>
        <v>鹤归孤山-叠</v>
      </c>
      <c r="BR236">
        <v>2</v>
      </c>
      <c r="BS236" t="s">
        <v>2768</v>
      </c>
      <c r="BT236">
        <v>0</v>
      </c>
      <c r="BU236" s="176" t="s">
        <v>2776</v>
      </c>
      <c r="BV236">
        <v>2</v>
      </c>
      <c r="BW236" s="179" t="s">
        <v>2776</v>
      </c>
      <c r="BX236" s="179">
        <v>1</v>
      </c>
      <c r="BY236" t="s">
        <v>2768</v>
      </c>
      <c r="BZ236">
        <v>2</v>
      </c>
      <c r="CA236" t="s">
        <v>2768</v>
      </c>
      <c r="CB236">
        <v>2</v>
      </c>
    </row>
    <row r="237" spans="1:80">
      <c r="A237" s="178" t="str">
        <f ca="1">IFERROR(IF(A236+加速!$L$11&lt;$AS$1,IF(COUNTIF(B236,"*轻*")&gt;0,A236+加速!$L$9,A236+加速!$L$11)+V236,IF(COUNTIF(INDEX(AU237:CB237,1,$AT$1),"*云景*")+COUNTIF(INDEX(AU237:CB237,1,$AT$1),"*鹤归*")+COUNTIF(INDEX(AU237:CB237,1,$AT$1),"*听雷*")&gt;0,A236+加速!$L$11,"")),"")</f>
        <v/>
      </c>
      <c r="B237" s="167" t="str">
        <f ca="1">IF(A237&lt;&gt;"",IF(AND(A237+加速!$L$11&gt;$AS$1,IF(AND(配装计算器!$K$30&lt;&gt;"∞",0),"梦泉虎跑-轻",INDEX(AU237:CB237,1,$AT$1))="云栖松"),"夕照雷峰",IF(AND(配装计算器!$K$30&lt;&gt;"∞",0),"梦泉虎跑-轻",INDEX(AU237:CB237,1,$AT$1))),"")</f>
        <v/>
      </c>
      <c r="C237" t="str">
        <f ca="1" t="shared" si="49"/>
        <v/>
      </c>
      <c r="D237" t="str">
        <f ca="1">IF(B237&lt;&gt;"",IF(C236&lt;=加速!$L$11*(1-E237),0,1),"")</f>
        <v/>
      </c>
      <c r="E237">
        <f ca="1" t="shared" si="45"/>
        <v>1</v>
      </c>
      <c r="G237" t="str">
        <f ca="1" t="shared" si="46"/>
        <v/>
      </c>
      <c r="H237" t="str">
        <f ca="1">IF(B237&lt;&gt;"",IF(AND(COUNTIF(B236,"*轻*莺鸣柳*")&gt;0,COUNTIF(B237,"*轻*")&lt;1),MAX(0,15+I236-(A237-A236)+COUNTIF(B236,"*平湖*")*0),IF(AND(E237=0,MAX(0,H236-(A237-A236))&lt;=加速!$H$11),0,MAX(0,H236-(A237-A236)))),"")</f>
        <v/>
      </c>
      <c r="I237" t="str">
        <f ca="1" t="shared" si="52"/>
        <v/>
      </c>
      <c r="J237" t="str">
        <f ca="1" t="shared" si="53"/>
        <v/>
      </c>
      <c r="K237" t="str">
        <f ca="1">IF(A237&lt;&gt;"",IF(AND(配装计算器!$K$30&lt;&gt;"∞",0),2,INDEX(AU237:CB237,1,$AT$2)),"")</f>
        <v/>
      </c>
      <c r="L237">
        <f ca="1">IFERROR(IF(AND(COUNTIF(B237,"*-峰插*"),技能数据库!$M$72&gt;0),0,IF(COUNTIF(B237,"*鹤归*")&gt;0,16-加速!$L$11,MAX(0,L236-(A237-A236)))),0)</f>
        <v>0</v>
      </c>
      <c r="M237">
        <f ca="1">IF(COUNTIF(IF(AND(配装计算器!$K$30&lt;&gt;"∞",0),INDEX(AU236:CB236,1,$AT$1),INDEX(AU238:CB238,1,$AT$1)),"*鹤归*")=1,L237,0)</f>
        <v>0</v>
      </c>
      <c r="N237">
        <f ca="1">IFERROR(IF(AND(COUNTIF(B237,"*-峰插*"),技能数据库!$M$72&gt;0),0,IF(COUNTIF(B237,"*云飞*")&gt;0,4-COUNTIF(B237,"*玉山揽云*")*4--COUNTIF(B237,"*烟流暮景*")*4-COUNTIF(B237,"*云景*")*加速!$L$11-IF(J237&gt;0,2,0),MAX(0,N236-(A237-A236)-IF(J237&gt;0,2,0)))),0)</f>
        <v>0</v>
      </c>
      <c r="O237">
        <f ca="1">IF(AND(COUNTIF(IF(AND(配装计算器!$K$30&lt;&gt;"∞",0),INDEX(AU236:CB236,1,$AT$1),INDEX(AU238:CB238,1,$AT$1)),"*云飞*")=1,COUNTIF(IF(AND(配装计算器!$K$30&lt;&gt;"∞",0),INDEX(AU236:CB236,1,$AT$1),INDEX(AU238:CB238,1,$AT$1)),"*玉山*")=0),N237,0)</f>
        <v>0</v>
      </c>
      <c r="P237">
        <f ca="1">IFERROR(IF(COUNTIF(B237,"*云栖松*")&gt;0,50-加速!$L$11,MAX(0,P236-(A237-A236))),0)</f>
        <v>0</v>
      </c>
      <c r="Q237">
        <f ca="1">IF(COUNTIF(IF(AND(配装计算器!$K$30&lt;&gt;"∞",0),INDEX(AU236:CB236,1,$AT$1),INDEX(AU238:CB238,1,$AT$1)),"*云栖松*")=1,P237,0)</f>
        <v>0</v>
      </c>
      <c r="R237">
        <f ca="1">IFERROR(IF(COUNTIF(B237,"*莺鸣柳*")&gt;0,45-加速!$L$9,MAX(0,R236-(A237-A236))),0)</f>
        <v>0</v>
      </c>
      <c r="S237">
        <f ca="1">IF(COUNTIF(IF(AND(配装计算器!$K$30&lt;&gt;"∞",0),INDEX(AU236:CB236,1,$AT$1),INDEX(AU238:CB238,1,$AT$1)),"*莺鸣柳*")=1,R237,0)</f>
        <v>0</v>
      </c>
      <c r="T237">
        <f ca="1" t="shared" si="50"/>
        <v>0</v>
      </c>
      <c r="U237">
        <f ca="1">IF(金蛇,IF(COUNTIF(B237,"*金环戴*")+COUNTIF(B237,"*吹风醒*")&gt;0,IF(A237&lt;=3,7.125-2.625-A237-加速!$L$11,7.125+加速!$K$9-(A237+加速!$L$11-T237)),0),0)+IF(金蛇,IF(COUNTIF(B237,"*千切子裂光*")&gt;0,2+加速!$K$9-(A237+加速!$L$11-T237),0),0)</f>
        <v>0</v>
      </c>
      <c r="V237">
        <f ca="1" t="shared" si="51"/>
        <v>0</v>
      </c>
      <c r="W237">
        <f ca="1" t="shared" si="43"/>
        <v>0</v>
      </c>
      <c r="X237">
        <f ca="1">INDEX(加速!$I$13:$I$21,技能数计算!W237+1)</f>
        <v>0</v>
      </c>
      <c r="Y237">
        <f ca="1" t="shared" si="47"/>
        <v>0.5</v>
      </c>
      <c r="Z237">
        <f ca="1" t="shared" si="48"/>
        <v>0</v>
      </c>
      <c r="AA237">
        <f ca="1">MAX(0,IFERROR(IF(COUNTIF(B237,"*叠*")&gt;0,IF(AC236&lt;3,8-A238+A237,AA236+6.875-A238+A237),AA236-A238+A237),AA236-加速!$L$11))</f>
        <v>0</v>
      </c>
      <c r="AB237" t="e">
        <f ca="1">MAX(0,IF(COUNTIF(IF(AND(配装计算器!$K$30&lt;&gt;"∞",0),INDEX(AU237:CB237,1,$AT$1),INDEX(AU237:CB237,1,$AT$1)),"*叠1*")=1,4*25-加速!$L$11,AB236-A237+A236)-IF(OR(COUNTIF(OFFSET(AT237,0,$AT$1,1,1),"*听雷*")&gt;0,AND(碧归&gt;0,COUNTIF(OFFSET(AT237,0,$AT$1,1,1),"*风来*")&gt;0)),0,1)*1.5)</f>
        <v>#VALUE!</v>
      </c>
      <c r="AC237">
        <f ca="1" t="shared" si="44"/>
        <v>3</v>
      </c>
      <c r="AD237">
        <f ca="1">IF(COUNTIF(IF(AND(配装计算器!$K$30&lt;&gt;"∞",0),INDEX(AU237:CB237,1,$AT$1),INDEX(AU238:CB238,1,$AT$1)),"*叠1*")=1,AB237*0+AE236,0)</f>
        <v>0</v>
      </c>
      <c r="AE237" t="e">
        <f ca="1">IF($AN$11&gt;0,IF(COUNTIF(B238,"*叠1*")&gt;0,50-加速!$H$11,MAX(0,AE236-(A238-A237))),0)</f>
        <v>#VALUE!</v>
      </c>
      <c r="AU237" s="176" t="s">
        <v>2776</v>
      </c>
      <c r="AV237">
        <v>2</v>
      </c>
      <c r="AW237" t="s">
        <v>2768</v>
      </c>
      <c r="AX237">
        <v>2</v>
      </c>
      <c r="AY237" t="s">
        <v>2768</v>
      </c>
      <c r="AZ237">
        <v>2</v>
      </c>
      <c r="BA237" t="s">
        <v>2776</v>
      </c>
      <c r="BB237">
        <v>2</v>
      </c>
      <c r="BC237" t="s">
        <v>2776</v>
      </c>
      <c r="BD237">
        <v>2</v>
      </c>
      <c r="BE237" t="s">
        <v>2794</v>
      </c>
      <c r="BF237">
        <v>1</v>
      </c>
      <c r="BG237" s="176" t="s">
        <v>2776</v>
      </c>
      <c r="BH237">
        <v>2</v>
      </c>
      <c r="BI237" s="176" t="s">
        <v>3026</v>
      </c>
      <c r="BJ237">
        <v>2</v>
      </c>
      <c r="BK237" t="s">
        <v>2768</v>
      </c>
      <c r="BL237">
        <v>1</v>
      </c>
      <c r="BM237" t="s">
        <v>2776</v>
      </c>
      <c r="BN237">
        <v>2</v>
      </c>
      <c r="BO237" t="s">
        <v>3009</v>
      </c>
      <c r="BP237">
        <v>2</v>
      </c>
      <c r="BQ237" t="s">
        <v>2776</v>
      </c>
      <c r="BR237">
        <v>2</v>
      </c>
      <c r="BS237" t="s">
        <v>3024</v>
      </c>
      <c r="BT237">
        <v>2</v>
      </c>
      <c r="BU237" t="str">
        <f>IF(秋,"鹤归孤山-叠-蛇牙锥心","鹤归孤山-叠")</f>
        <v>鹤归孤山-叠</v>
      </c>
      <c r="BV237">
        <v>2</v>
      </c>
      <c r="BW237" s="179" t="s">
        <v>2768</v>
      </c>
      <c r="BX237" s="179">
        <v>1</v>
      </c>
      <c r="BY237" t="s">
        <v>2776</v>
      </c>
      <c r="BZ237">
        <v>2</v>
      </c>
      <c r="CA237" t="s">
        <v>2776</v>
      </c>
      <c r="CB237">
        <v>2</v>
      </c>
    </row>
    <row r="238" spans="1:80">
      <c r="A238" s="178" t="str">
        <f ca="1">IFERROR(IF(A237+加速!$L$11&lt;$AS$1,IF(COUNTIF(B237,"*轻*")&gt;0,A237+加速!$L$9,A237+加速!$L$11)+V237,IF(COUNTIF(INDEX(AU238:CB238,1,$AT$1),"*云景*")+COUNTIF(INDEX(AU238:CB238,1,$AT$1),"*鹤归*")+COUNTIF(INDEX(AU238:CB238,1,$AT$1),"*听雷*")&gt;0,A237+加速!$L$11,"")),"")</f>
        <v/>
      </c>
      <c r="B238" s="167" t="str">
        <f ca="1">IF(A238&lt;&gt;"",IF(AND(A238+加速!$L$11&gt;$AS$1,IF(AND(配装计算器!$K$30&lt;&gt;"∞",0),"梦泉虎跑-轻",INDEX(AU238:CB238,1,$AT$1))="云栖松"),"夕照雷峰",IF(AND(配装计算器!$K$30&lt;&gt;"∞",0),"梦泉虎跑-轻",INDEX(AU238:CB238,1,$AT$1))),"")</f>
        <v/>
      </c>
      <c r="C238" t="str">
        <f ca="1" t="shared" si="49"/>
        <v/>
      </c>
      <c r="D238" t="str">
        <f ca="1">IF(B238&lt;&gt;"",IF(C237&lt;=加速!$L$11*(1-E238),0,1),"")</f>
        <v/>
      </c>
      <c r="E238">
        <f ca="1" t="shared" si="45"/>
        <v>1</v>
      </c>
      <c r="G238" t="str">
        <f ca="1" t="shared" si="46"/>
        <v/>
      </c>
      <c r="H238" t="str">
        <f ca="1">IF(B238&lt;&gt;"",IF(AND(COUNTIF(B237,"*轻*莺鸣柳*")&gt;0,COUNTIF(B238,"*轻*")&lt;1),MAX(0,15+I237-(A238-A237)+COUNTIF(B237,"*平湖*")*0),IF(AND(E238=0,MAX(0,H237-(A238-A237))&lt;=加速!$H$11),0,MAX(0,H237-(A238-A237)))),"")</f>
        <v/>
      </c>
      <c r="I238" t="str">
        <f ca="1" t="shared" si="52"/>
        <v/>
      </c>
      <c r="J238" t="str">
        <f ca="1" t="shared" si="53"/>
        <v/>
      </c>
      <c r="K238" t="str">
        <f ca="1">IF(A238&lt;&gt;"",IF(AND(配装计算器!$K$30&lt;&gt;"∞",0),2,INDEX(AU238:CB238,1,$AT$2)),"")</f>
        <v/>
      </c>
      <c r="L238">
        <f ca="1">IFERROR(IF(AND(COUNTIF(B238,"*-峰插*"),技能数据库!$M$72&gt;0),0,IF(COUNTIF(B238,"*鹤归*")&gt;0,16-加速!$L$11,MAX(0,L237-(A238-A237)))),0)</f>
        <v>0</v>
      </c>
      <c r="M238">
        <f ca="1">IF(COUNTIF(IF(AND(配装计算器!$K$30&lt;&gt;"∞",0),INDEX(AU237:CB237,1,$AT$1),INDEX(AU239:CB239,1,$AT$1)),"*鹤归*")=1,L238,0)</f>
        <v>0</v>
      </c>
      <c r="N238">
        <f ca="1">IFERROR(IF(AND(COUNTIF(B238,"*-峰插*"),技能数据库!$M$72&gt;0),0,IF(COUNTIF(B238,"*云飞*")&gt;0,4-COUNTIF(B238,"*玉山揽云*")*4--COUNTIF(B238,"*烟流暮景*")*4-COUNTIF(B238,"*云景*")*加速!$L$11-IF(J238&gt;0,2,0),MAX(0,N237-(A238-A237)-IF(J238&gt;0,2,0)))),0)</f>
        <v>0</v>
      </c>
      <c r="O238">
        <f ca="1">IF(AND(COUNTIF(IF(AND(配装计算器!$K$30&lt;&gt;"∞",0),INDEX(AU237:CB237,1,$AT$1),INDEX(AU239:CB239,1,$AT$1)),"*云飞*")=1,COUNTIF(IF(AND(配装计算器!$K$30&lt;&gt;"∞",0),INDEX(AU237:CB237,1,$AT$1),INDEX(AU239:CB239,1,$AT$1)),"*玉山*")=0),N238,0)</f>
        <v>0</v>
      </c>
      <c r="P238">
        <f ca="1">IFERROR(IF(COUNTIF(B238,"*云栖松*")&gt;0,50-加速!$L$11,MAX(0,P237-(A238-A237))),0)</f>
        <v>0</v>
      </c>
      <c r="Q238">
        <f ca="1">IF(COUNTIF(IF(AND(配装计算器!$K$30&lt;&gt;"∞",0),INDEX(AU237:CB237,1,$AT$1),INDEX(AU239:CB239,1,$AT$1)),"*云栖松*")=1,P238,0)</f>
        <v>0</v>
      </c>
      <c r="R238">
        <f ca="1">IFERROR(IF(COUNTIF(B238,"*莺鸣柳*")&gt;0,45-加速!$L$9,MAX(0,R237-(A238-A237))),0)</f>
        <v>0</v>
      </c>
      <c r="S238">
        <f ca="1">IF(COUNTIF(IF(AND(配装计算器!$K$30&lt;&gt;"∞",0),INDEX(AU237:CB237,1,$AT$1),INDEX(AU239:CB239,1,$AT$1)),"*莺鸣柳*")=1,R238,0)</f>
        <v>0</v>
      </c>
      <c r="T238">
        <f ca="1" t="shared" si="50"/>
        <v>0</v>
      </c>
      <c r="U238">
        <f ca="1">IF(金蛇,IF(COUNTIF(B238,"*金环戴*")+COUNTIF(B238,"*吹风醒*")&gt;0,IF(A238&lt;=3,7.125-2.625-A238-加速!$L$11,7.125+加速!$K$9-(A238+加速!$L$11-T238)),0),0)+IF(金蛇,IF(COUNTIF(B238,"*千切子裂光*")&gt;0,2+加速!$K$9-(A238+加速!$L$11-T238),0),0)</f>
        <v>0</v>
      </c>
      <c r="V238">
        <f ca="1" t="shared" si="51"/>
        <v>0</v>
      </c>
      <c r="W238">
        <f ca="1" t="shared" si="43"/>
        <v>0</v>
      </c>
      <c r="X238">
        <f ca="1">INDEX(加速!$I$13:$I$21,技能数计算!W238+1)</f>
        <v>0</v>
      </c>
      <c r="Y238">
        <f ca="1" t="shared" si="47"/>
        <v>0.5</v>
      </c>
      <c r="Z238">
        <f ca="1" t="shared" si="48"/>
        <v>0</v>
      </c>
      <c r="AA238">
        <f ca="1">MAX(0,IFERROR(IF(COUNTIF(B238,"*叠*")&gt;0,IF(AC237&lt;3,8-A239+A238,AA237+6.875-A239+A238),AA237-A239+A238),AA237-加速!$L$11))</f>
        <v>0</v>
      </c>
      <c r="AB238" t="e">
        <f ca="1">MAX(0,IF(COUNTIF(IF(AND(配装计算器!$K$30&lt;&gt;"∞",0),INDEX(AU238:CB238,1,$AT$1),INDEX(AU238:CB238,1,$AT$1)),"*叠1*")=1,4*25-加速!$L$11,AB237-A238+A237)-IF(OR(COUNTIF(OFFSET(AT238,0,$AT$1,1,1),"*听雷*")&gt;0,AND(碧归&gt;0,COUNTIF(OFFSET(AT238,0,$AT$1,1,1),"*风来*")&gt;0)),0,1)*1.5)</f>
        <v>#VALUE!</v>
      </c>
      <c r="AC238">
        <f ca="1" t="shared" si="44"/>
        <v>3</v>
      </c>
      <c r="AD238">
        <f ca="1">IF(COUNTIF(IF(AND(配装计算器!$K$30&lt;&gt;"∞",0),INDEX(AU238:CB238,1,$AT$1),INDEX(AU239:CB239,1,$AT$1)),"*叠1*")=1,AB238*0+AE237,0)</f>
        <v>0</v>
      </c>
      <c r="AE238" t="e">
        <f ca="1">IF($AN$11&gt;0,IF(COUNTIF(B239,"*叠1*")&gt;0,50-加速!$H$11,MAX(0,AE237-(A239-A238))),0)</f>
        <v>#VALUE!</v>
      </c>
      <c r="AU238" s="176" t="s">
        <v>2768</v>
      </c>
      <c r="AV238">
        <v>2</v>
      </c>
      <c r="AW238" t="s">
        <v>2776</v>
      </c>
      <c r="AX238">
        <v>2</v>
      </c>
      <c r="AY238" t="s">
        <v>2776</v>
      </c>
      <c r="AZ238">
        <v>2</v>
      </c>
      <c r="BA238" t="s">
        <v>2794</v>
      </c>
      <c r="BB238">
        <v>2</v>
      </c>
      <c r="BC238" t="s">
        <v>2789</v>
      </c>
      <c r="BD238">
        <v>2</v>
      </c>
      <c r="BE238" t="s">
        <v>2768</v>
      </c>
      <c r="BF238">
        <v>1</v>
      </c>
      <c r="BG238" t="s">
        <v>2768</v>
      </c>
      <c r="BH238">
        <v>1</v>
      </c>
      <c r="BI238" s="176" t="s">
        <v>3026</v>
      </c>
      <c r="BJ238">
        <v>2</v>
      </c>
      <c r="BK238" t="s">
        <v>2768</v>
      </c>
      <c r="BL238">
        <v>0</v>
      </c>
      <c r="BM238" t="s">
        <v>2768</v>
      </c>
      <c r="BN238">
        <v>2</v>
      </c>
      <c r="BO238" t="s">
        <v>2776</v>
      </c>
      <c r="BP238">
        <v>2</v>
      </c>
      <c r="BQ238" t="s">
        <v>2768</v>
      </c>
      <c r="BR238">
        <v>2</v>
      </c>
      <c r="BS238" s="179" t="s">
        <v>2794</v>
      </c>
      <c r="BT238">
        <v>2</v>
      </c>
      <c r="BU238" t="s">
        <v>2768</v>
      </c>
      <c r="BV238">
        <v>2</v>
      </c>
      <c r="BW238" s="179" t="s">
        <v>2722</v>
      </c>
      <c r="BX238" s="179">
        <v>2</v>
      </c>
      <c r="BY238" t="s">
        <v>2718</v>
      </c>
      <c r="BZ238">
        <v>0</v>
      </c>
      <c r="CA238" t="s">
        <v>2718</v>
      </c>
      <c r="CB238">
        <v>0</v>
      </c>
    </row>
    <row r="239" spans="1:80">
      <c r="A239" s="178" t="str">
        <f ca="1">IFERROR(IF(A238+加速!$L$11&lt;$AS$1,IF(COUNTIF(B238,"*轻*")&gt;0,A238+加速!$L$9,A238+加速!$L$11)+V238,IF(COUNTIF(INDEX(AU239:CB239,1,$AT$1),"*云景*")+COUNTIF(INDEX(AU239:CB239,1,$AT$1),"*鹤归*")+COUNTIF(INDEX(AU239:CB239,1,$AT$1),"*听雷*")&gt;0,A238+加速!$L$11,"")),"")</f>
        <v/>
      </c>
      <c r="B239" s="167" t="str">
        <f ca="1">IF(A239&lt;&gt;"",IF(AND(A239+加速!$L$11&gt;$AS$1,IF(AND(配装计算器!$K$30&lt;&gt;"∞",0),"梦泉虎跑-轻",INDEX(AU239:CB239,1,$AT$1))="云栖松"),"夕照雷峰",IF(AND(配装计算器!$K$30&lt;&gt;"∞",0),"梦泉虎跑-轻",INDEX(AU239:CB239,1,$AT$1))),"")</f>
        <v/>
      </c>
      <c r="C239" t="str">
        <f ca="1" t="shared" si="49"/>
        <v/>
      </c>
      <c r="D239" t="str">
        <f ca="1">IF(B239&lt;&gt;"",IF(C238&lt;=加速!$L$11*(1-E239),0,1),"")</f>
        <v/>
      </c>
      <c r="E239">
        <f ca="1" t="shared" si="45"/>
        <v>1</v>
      </c>
      <c r="G239" t="str">
        <f ca="1" t="shared" si="46"/>
        <v/>
      </c>
      <c r="H239" t="str">
        <f ca="1">IF(B239&lt;&gt;"",IF(AND(COUNTIF(B238,"*轻*莺鸣柳*")&gt;0,COUNTIF(B239,"*轻*")&lt;1),MAX(0,15+I238-(A239-A238)+COUNTIF(B238,"*平湖*")*0),IF(AND(E239=0,MAX(0,H238-(A239-A238))&lt;=加速!$H$11),0,MAX(0,H238-(A239-A238)))),"")</f>
        <v/>
      </c>
      <c r="I239" t="str">
        <f ca="1" t="shared" si="52"/>
        <v/>
      </c>
      <c r="J239" t="str">
        <f ca="1" t="shared" si="53"/>
        <v/>
      </c>
      <c r="K239" t="str">
        <f ca="1">IF(A239&lt;&gt;"",IF(AND(配装计算器!$K$30&lt;&gt;"∞",0),2,INDEX(AU239:CB239,1,$AT$2)),"")</f>
        <v/>
      </c>
      <c r="L239">
        <f ca="1">IFERROR(IF(AND(COUNTIF(B239,"*-峰插*"),技能数据库!$M$72&gt;0),0,IF(COUNTIF(B239,"*鹤归*")&gt;0,16-加速!$L$11,MAX(0,L238-(A239-A238)))),0)</f>
        <v>0</v>
      </c>
      <c r="M239">
        <f ca="1">IF(COUNTIF(IF(AND(配装计算器!$K$30&lt;&gt;"∞",0),INDEX(AU238:CB238,1,$AT$1),INDEX(AU240:CB240,1,$AT$1)),"*鹤归*")=1,L239,0)</f>
        <v>0</v>
      </c>
      <c r="N239">
        <f ca="1">IFERROR(IF(AND(COUNTIF(B239,"*-峰插*"),技能数据库!$M$72&gt;0),0,IF(COUNTIF(B239,"*云飞*")&gt;0,4-COUNTIF(B239,"*玉山揽云*")*4--COUNTIF(B239,"*烟流暮景*")*4-COUNTIF(B239,"*云景*")*加速!$L$11-IF(J239&gt;0,2,0),MAX(0,N238-(A239-A238)-IF(J239&gt;0,2,0)))),0)</f>
        <v>0</v>
      </c>
      <c r="O239">
        <f ca="1">IF(AND(COUNTIF(IF(AND(配装计算器!$K$30&lt;&gt;"∞",0),INDEX(AU238:CB238,1,$AT$1),INDEX(AU240:CB240,1,$AT$1)),"*云飞*")=1,COUNTIF(IF(AND(配装计算器!$K$30&lt;&gt;"∞",0),INDEX(AU238:CB238,1,$AT$1),INDEX(AU240:CB240,1,$AT$1)),"*玉山*")=0),N239,0)</f>
        <v>0</v>
      </c>
      <c r="P239">
        <f ca="1">IFERROR(IF(COUNTIF(B239,"*云栖松*")&gt;0,50-加速!$L$11,MAX(0,P238-(A239-A238))),0)</f>
        <v>0</v>
      </c>
      <c r="Q239">
        <f ca="1">IF(COUNTIF(IF(AND(配装计算器!$K$30&lt;&gt;"∞",0),INDEX(AU238:CB238,1,$AT$1),INDEX(AU240:CB240,1,$AT$1)),"*云栖松*")=1,P239,0)</f>
        <v>0</v>
      </c>
      <c r="R239">
        <f ca="1">IFERROR(IF(COUNTIF(B239,"*莺鸣柳*")&gt;0,45-加速!$L$9,MAX(0,R238-(A239-A238))),0)</f>
        <v>0</v>
      </c>
      <c r="S239">
        <f ca="1">IF(COUNTIF(IF(AND(配装计算器!$K$30&lt;&gt;"∞",0),INDEX(AU238:CB238,1,$AT$1),INDEX(AU240:CB240,1,$AT$1)),"*莺鸣柳*")=1,R239,0)</f>
        <v>0</v>
      </c>
      <c r="T239">
        <f ca="1" t="shared" si="50"/>
        <v>0</v>
      </c>
      <c r="U239">
        <f ca="1">IF(金蛇,IF(COUNTIF(B239,"*金环戴*")+COUNTIF(B239,"*吹风醒*")&gt;0,IF(A239&lt;=3,7.125-2.625-A239-加速!$L$11,7.125+加速!$K$9-(A239+加速!$L$11-T239)),0),0)+IF(金蛇,IF(COUNTIF(B239,"*千切子裂光*")&gt;0,2+加速!$K$9-(A239+加速!$L$11-T239),0),0)</f>
        <v>0</v>
      </c>
      <c r="V239">
        <f ca="1" t="shared" si="51"/>
        <v>0</v>
      </c>
      <c r="W239">
        <f ca="1" t="shared" si="43"/>
        <v>0</v>
      </c>
      <c r="X239">
        <f ca="1">INDEX(加速!$I$13:$I$21,技能数计算!W239+1)</f>
        <v>0</v>
      </c>
      <c r="Y239">
        <f ca="1" t="shared" si="47"/>
        <v>0.5</v>
      </c>
      <c r="Z239">
        <f ca="1" t="shared" si="48"/>
        <v>0</v>
      </c>
      <c r="AA239">
        <f ca="1">MAX(0,IFERROR(IF(COUNTIF(B239,"*叠*")&gt;0,IF(AC238&lt;3,8-A240+A239,AA238+6.875-A240+A239),AA238-A240+A239),AA238-加速!$L$11))</f>
        <v>0</v>
      </c>
      <c r="AB239" t="e">
        <f ca="1">MAX(0,IF(COUNTIF(IF(AND(配装计算器!$K$30&lt;&gt;"∞",0),INDEX(AU239:CB239,1,$AT$1),INDEX(AU239:CB239,1,$AT$1)),"*叠1*")=1,4*25-加速!$L$11,AB238-A239+A238)-IF(OR(COUNTIF(OFFSET(AT239,0,$AT$1,1,1),"*听雷*")&gt;0,AND(碧归&gt;0,COUNTIF(OFFSET(AT239,0,$AT$1,1,1),"*风来*")&gt;0)),0,1)*1.5)</f>
        <v>#VALUE!</v>
      </c>
      <c r="AC239">
        <f ca="1" t="shared" si="44"/>
        <v>3</v>
      </c>
      <c r="AD239">
        <f ca="1">IF(COUNTIF(IF(AND(配装计算器!$K$30&lt;&gt;"∞",0),INDEX(AU239:CB239,1,$AT$1),INDEX(AU240:CB240,1,$AT$1)),"*叠1*")=1,AB239*0+AE238,0)</f>
        <v>0</v>
      </c>
      <c r="AE239" t="e">
        <f ca="1">IF($AN$11&gt;0,IF(COUNTIF(B240,"*叠1*")&gt;0,50-加速!$H$11,MAX(0,AE238-(A240-A239))),0)</f>
        <v>#VALUE!</v>
      </c>
      <c r="AU239" s="176" t="s">
        <v>2776</v>
      </c>
      <c r="AV239">
        <v>2</v>
      </c>
      <c r="AW239" t="s">
        <v>2768</v>
      </c>
      <c r="AX239">
        <v>2</v>
      </c>
      <c r="AY239" t="s">
        <v>2794</v>
      </c>
      <c r="AZ239">
        <v>2</v>
      </c>
      <c r="BA239" t="s">
        <v>2768</v>
      </c>
      <c r="BB239">
        <v>2</v>
      </c>
      <c r="BC239" t="s">
        <v>2794</v>
      </c>
      <c r="BD239">
        <v>2</v>
      </c>
      <c r="BE239" t="s">
        <v>2776</v>
      </c>
      <c r="BF239">
        <v>1</v>
      </c>
      <c r="BG239" s="176" t="s">
        <v>2768</v>
      </c>
      <c r="BH239">
        <v>1</v>
      </c>
      <c r="BI239" s="176" t="s">
        <v>3026</v>
      </c>
      <c r="BJ239">
        <v>2</v>
      </c>
      <c r="BK239" t="s">
        <v>2776</v>
      </c>
      <c r="BL239">
        <v>0</v>
      </c>
      <c r="BM239" t="s">
        <v>2768</v>
      </c>
      <c r="BN239">
        <v>2</v>
      </c>
      <c r="BO239" t="s">
        <v>2768</v>
      </c>
      <c r="BP239">
        <v>2</v>
      </c>
      <c r="BQ239" t="s">
        <v>2776</v>
      </c>
      <c r="BR239">
        <v>2</v>
      </c>
      <c r="BS239" s="179" t="s">
        <v>3030</v>
      </c>
      <c r="BT239">
        <v>2</v>
      </c>
      <c r="BU239" t="s">
        <v>2776</v>
      </c>
      <c r="BV239">
        <v>2</v>
      </c>
      <c r="BW239" s="179" t="s">
        <v>3009</v>
      </c>
      <c r="BX239" s="179">
        <v>2</v>
      </c>
      <c r="BY239" t="s">
        <v>2768</v>
      </c>
      <c r="BZ239">
        <v>2</v>
      </c>
      <c r="CA239" t="s">
        <v>2768</v>
      </c>
      <c r="CB239">
        <v>2</v>
      </c>
    </row>
    <row r="240" spans="1:80">
      <c r="A240" s="178" t="str">
        <f ca="1">IFERROR(IF(A239+加速!$L$11&lt;$AS$1,IF(COUNTIF(B239,"*轻*")&gt;0,A239+加速!$L$9,A239+加速!$L$11)+V239,IF(COUNTIF(INDEX(AU240:CB240,1,$AT$1),"*云景*")+COUNTIF(INDEX(AU240:CB240,1,$AT$1),"*鹤归*")+COUNTIF(INDEX(AU240:CB240,1,$AT$1),"*听雷*")&gt;0,A239+加速!$L$11,"")),"")</f>
        <v/>
      </c>
      <c r="B240" s="167" t="str">
        <f ca="1">IF(A240&lt;&gt;"",IF(AND(A240+加速!$L$11&gt;$AS$1,IF(AND(配装计算器!$K$30&lt;&gt;"∞",0),"梦泉虎跑-轻",INDEX(AU240:CB240,1,$AT$1))="云栖松"),"夕照雷峰",IF(AND(配装计算器!$K$30&lt;&gt;"∞",0),"梦泉虎跑-轻",INDEX(AU240:CB240,1,$AT$1))),"")</f>
        <v/>
      </c>
      <c r="C240" t="str">
        <f ca="1" t="shared" si="49"/>
        <v/>
      </c>
      <c r="D240" t="str">
        <f ca="1">IF(B240&lt;&gt;"",IF(C239&lt;=加速!$L$11*(1-E240),0,1),"")</f>
        <v/>
      </c>
      <c r="E240">
        <f ca="1" t="shared" si="45"/>
        <v>1</v>
      </c>
      <c r="G240" t="str">
        <f ca="1" t="shared" si="46"/>
        <v/>
      </c>
      <c r="H240" t="str">
        <f ca="1">IF(B240&lt;&gt;"",IF(AND(COUNTIF(B239,"*轻*莺鸣柳*")&gt;0,COUNTIF(B240,"*轻*")&lt;1),MAX(0,15+I239-(A240-A239)+COUNTIF(B239,"*平湖*")*0),IF(AND(E240=0,MAX(0,H239-(A240-A239))&lt;=加速!$H$11),0,MAX(0,H239-(A240-A239)))),"")</f>
        <v/>
      </c>
      <c r="I240" t="str">
        <f ca="1" t="shared" si="52"/>
        <v/>
      </c>
      <c r="J240" t="str">
        <f ca="1" t="shared" si="53"/>
        <v/>
      </c>
      <c r="K240" t="str">
        <f ca="1">IF(A240&lt;&gt;"",IF(AND(配装计算器!$K$30&lt;&gt;"∞",0),2,INDEX(AU240:CB240,1,$AT$2)),"")</f>
        <v/>
      </c>
      <c r="L240">
        <f ca="1">IFERROR(IF(AND(COUNTIF(B240,"*-峰插*"),技能数据库!$M$72&gt;0),0,IF(COUNTIF(B240,"*鹤归*")&gt;0,16-加速!$L$11,MAX(0,L239-(A240-A239)))),0)</f>
        <v>0</v>
      </c>
      <c r="M240">
        <f ca="1">IF(COUNTIF(IF(AND(配装计算器!$K$30&lt;&gt;"∞",0),INDEX(AU239:CB239,1,$AT$1),INDEX(AU241:CB241,1,$AT$1)),"*鹤归*")=1,L240,0)</f>
        <v>0</v>
      </c>
      <c r="N240">
        <f ca="1">IFERROR(IF(AND(COUNTIF(B240,"*-峰插*"),技能数据库!$M$72&gt;0),0,IF(COUNTIF(B240,"*云飞*")&gt;0,4-COUNTIF(B240,"*玉山揽云*")*4--COUNTIF(B240,"*烟流暮景*")*4-COUNTIF(B240,"*云景*")*加速!$L$11-IF(J240&gt;0,2,0),MAX(0,N239-(A240-A239)-IF(J240&gt;0,2,0)))),0)</f>
        <v>0</v>
      </c>
      <c r="O240">
        <f ca="1">IF(AND(COUNTIF(IF(AND(配装计算器!$K$30&lt;&gt;"∞",0),INDEX(AU239:CB239,1,$AT$1),INDEX(AU241:CB241,1,$AT$1)),"*云飞*")=1,COUNTIF(IF(AND(配装计算器!$K$30&lt;&gt;"∞",0),INDEX(AU239:CB239,1,$AT$1),INDEX(AU241:CB241,1,$AT$1)),"*玉山*")=0),N240,0)</f>
        <v>0</v>
      </c>
      <c r="P240">
        <f ca="1">IFERROR(IF(COUNTIF(B240,"*云栖松*")&gt;0,50-加速!$L$11,MAX(0,P239-(A240-A239))),0)</f>
        <v>0</v>
      </c>
      <c r="Q240">
        <f ca="1">IF(COUNTIF(IF(AND(配装计算器!$K$30&lt;&gt;"∞",0),INDEX(AU239:CB239,1,$AT$1),INDEX(AU241:CB241,1,$AT$1)),"*云栖松*")=1,P240,0)</f>
        <v>0</v>
      </c>
      <c r="R240">
        <f ca="1">IFERROR(IF(COUNTIF(B240,"*莺鸣柳*")&gt;0,45-加速!$L$9,MAX(0,R239-(A240-A239))),0)</f>
        <v>0</v>
      </c>
      <c r="S240">
        <f ca="1">IF(COUNTIF(IF(AND(配装计算器!$K$30&lt;&gt;"∞",0),INDEX(AU239:CB239,1,$AT$1),INDEX(AU241:CB241,1,$AT$1)),"*莺鸣柳*")=1,R240,0)</f>
        <v>0</v>
      </c>
      <c r="T240">
        <f ca="1" t="shared" si="50"/>
        <v>0</v>
      </c>
      <c r="U240">
        <f ca="1">IF(金蛇,IF(COUNTIF(B240,"*金环戴*")+COUNTIF(B240,"*吹风醒*")&gt;0,IF(A240&lt;=3,7.125-2.625-A240-加速!$L$11,7.125+加速!$K$9-(A240+加速!$L$11-T240)),0),0)+IF(金蛇,IF(COUNTIF(B240,"*千切子裂光*")&gt;0,2+加速!$K$9-(A240+加速!$L$11-T240),0),0)</f>
        <v>0</v>
      </c>
      <c r="V240">
        <f ca="1" t="shared" si="51"/>
        <v>0</v>
      </c>
      <c r="W240">
        <f ca="1" t="shared" si="43"/>
        <v>0</v>
      </c>
      <c r="X240">
        <f ca="1">INDEX(加速!$I$13:$I$21,技能数计算!W240+1)</f>
        <v>0</v>
      </c>
      <c r="Y240">
        <f ca="1" t="shared" si="47"/>
        <v>0.5</v>
      </c>
      <c r="Z240">
        <f ca="1" t="shared" si="48"/>
        <v>0</v>
      </c>
      <c r="AA240">
        <f ca="1">MAX(0,IFERROR(IF(COUNTIF(B240,"*叠*")&gt;0,IF(AC239&lt;3,8-A241+A240,AA239+6.875-A241+A240),AA239-A241+A240),AA239-加速!$L$11))</f>
        <v>0</v>
      </c>
      <c r="AB240" t="e">
        <f ca="1">MAX(0,IF(COUNTIF(IF(AND(配装计算器!$K$30&lt;&gt;"∞",0),INDEX(AU240:CB240,1,$AT$1),INDEX(AU240:CB240,1,$AT$1)),"*叠1*")=1,4*25-加速!$L$11,AB239-A240+A239)-IF(OR(COUNTIF(OFFSET(AT240,0,$AT$1,1,1),"*听雷*")&gt;0,AND(碧归&gt;0,COUNTIF(OFFSET(AT240,0,$AT$1,1,1),"*风来*")&gt;0)),0,1)*1.5)</f>
        <v>#VALUE!</v>
      </c>
      <c r="AC240">
        <f ca="1" t="shared" si="44"/>
        <v>3</v>
      </c>
      <c r="AD240">
        <f ca="1">IF(COUNTIF(IF(AND(配装计算器!$K$30&lt;&gt;"∞",0),INDEX(AU240:CB240,1,$AT$1),INDEX(AU241:CB241,1,$AT$1)),"*叠1*")=1,AB240*0+AE239,0)</f>
        <v>0</v>
      </c>
      <c r="AE240" t="e">
        <f ca="1">IF($AN$11&gt;0,IF(COUNTIF(B241,"*叠1*")&gt;0,50-加速!$H$11,MAX(0,AE239-(A241-A240))),0)</f>
        <v>#VALUE!</v>
      </c>
      <c r="AU240" s="176" t="s">
        <v>2768</v>
      </c>
      <c r="AV240">
        <v>2</v>
      </c>
      <c r="AW240" t="s">
        <v>2722</v>
      </c>
      <c r="AX240">
        <v>0</v>
      </c>
      <c r="AY240" t="s">
        <v>2768</v>
      </c>
      <c r="AZ240">
        <v>2</v>
      </c>
      <c r="BA240" t="s">
        <v>2776</v>
      </c>
      <c r="BB240">
        <v>2</v>
      </c>
      <c r="BC240" s="182" t="s">
        <v>3036</v>
      </c>
      <c r="BD240">
        <v>2</v>
      </c>
      <c r="BE240" t="s">
        <v>2768</v>
      </c>
      <c r="BF240">
        <v>0</v>
      </c>
      <c r="BG240" t="s">
        <v>3055</v>
      </c>
      <c r="BH240">
        <v>0</v>
      </c>
      <c r="BI240" s="176" t="s">
        <v>3036</v>
      </c>
      <c r="BJ240">
        <v>2</v>
      </c>
      <c r="BK240" t="s">
        <v>2768</v>
      </c>
      <c r="BL240">
        <v>0</v>
      </c>
      <c r="BM240" t="s">
        <v>2768</v>
      </c>
      <c r="BN240">
        <v>2</v>
      </c>
      <c r="BO240" t="str">
        <f>IF(山重水复,"风来吴山","夕照雷峰")</f>
        <v>夕照雷峰</v>
      </c>
      <c r="BP240">
        <v>2</v>
      </c>
      <c r="BQ240" t="s">
        <v>2768</v>
      </c>
      <c r="BR240">
        <v>2</v>
      </c>
      <c r="BS240" s="179" t="s">
        <v>2768</v>
      </c>
      <c r="BT240">
        <v>2</v>
      </c>
      <c r="BU240" t="s">
        <v>2768</v>
      </c>
      <c r="BV240">
        <v>2</v>
      </c>
      <c r="BW240" s="179" t="s">
        <v>3078</v>
      </c>
      <c r="BX240" s="179">
        <v>2</v>
      </c>
      <c r="BY240" t="s">
        <v>2768</v>
      </c>
      <c r="BZ240">
        <v>1</v>
      </c>
      <c r="CA240" t="s">
        <v>2768</v>
      </c>
      <c r="CB240">
        <v>1</v>
      </c>
    </row>
    <row r="241" spans="1:80">
      <c r="A241" s="178" t="str">
        <f ca="1">IFERROR(IF(A240+加速!$L$11&lt;$AS$1,IF(COUNTIF(B240,"*轻*")&gt;0,A240+加速!$L$9,A240+加速!$L$11)+V240,IF(COUNTIF(INDEX(AU241:CB241,1,$AT$1),"*云景*")+COUNTIF(INDEX(AU241:CB241,1,$AT$1),"*鹤归*")+COUNTIF(INDEX(AU241:CB241,1,$AT$1),"*听雷*")&gt;0,A240+加速!$L$11,"")),"")</f>
        <v/>
      </c>
      <c r="B241" s="167" t="str">
        <f ca="1">IF(A241&lt;&gt;"",IF(AND(A241+加速!$L$11&gt;$AS$1,IF(AND(配装计算器!$K$30&lt;&gt;"∞",0),"梦泉虎跑-轻",INDEX(AU241:CB241,1,$AT$1))="云栖松"),"夕照雷峰",IF(AND(配装计算器!$K$30&lt;&gt;"∞",0),"梦泉虎跑-轻",INDEX(AU241:CB241,1,$AT$1))),"")</f>
        <v/>
      </c>
      <c r="C241" t="str">
        <f ca="1" t="shared" si="49"/>
        <v/>
      </c>
      <c r="D241" t="str">
        <f ca="1">IF(B241&lt;&gt;"",IF(C240&lt;=加速!$L$11*(1-E241),0,1),"")</f>
        <v/>
      </c>
      <c r="E241">
        <f ca="1" t="shared" si="45"/>
        <v>1</v>
      </c>
      <c r="G241" t="str">
        <f ca="1" t="shared" si="46"/>
        <v/>
      </c>
      <c r="H241" t="str">
        <f ca="1">IF(B241&lt;&gt;"",IF(AND(COUNTIF(B240,"*轻*莺鸣柳*")&gt;0,COUNTIF(B241,"*轻*")&lt;1),MAX(0,15+I240-(A241-A240)+COUNTIF(B240,"*平湖*")*0),IF(AND(E241=0,MAX(0,H240-(A241-A240))&lt;=加速!$H$11),0,MAX(0,H240-(A241-A240)))),"")</f>
        <v/>
      </c>
      <c r="I241" t="str">
        <f ca="1" t="shared" si="52"/>
        <v/>
      </c>
      <c r="J241" t="str">
        <f ca="1" t="shared" si="53"/>
        <v/>
      </c>
      <c r="K241" t="str">
        <f ca="1">IF(A241&lt;&gt;"",IF(AND(配装计算器!$K$30&lt;&gt;"∞",0),2,INDEX(AU241:CB241,1,$AT$2)),"")</f>
        <v/>
      </c>
      <c r="L241">
        <f ca="1">IFERROR(IF(AND(COUNTIF(B241,"*-峰插*"),技能数据库!$M$72&gt;0),0,IF(COUNTIF(B241,"*鹤归*")&gt;0,16-加速!$L$11,MAX(0,L240-(A241-A240)))),0)</f>
        <v>0</v>
      </c>
      <c r="M241">
        <f ca="1">IF(COUNTIF(IF(AND(配装计算器!$K$30&lt;&gt;"∞",0),INDEX(AU240:CB240,1,$AT$1),INDEX(AU242:CB242,1,$AT$1)),"*鹤归*")=1,L241,0)</f>
        <v>0</v>
      </c>
      <c r="N241">
        <f ca="1">IFERROR(IF(AND(COUNTIF(B241,"*-峰插*"),技能数据库!$M$72&gt;0),0,IF(COUNTIF(B241,"*云飞*")&gt;0,4-COUNTIF(B241,"*玉山揽云*")*4--COUNTIF(B241,"*烟流暮景*")*4-COUNTIF(B241,"*云景*")*加速!$L$11-IF(J241&gt;0,2,0),MAX(0,N240-(A241-A240)-IF(J241&gt;0,2,0)))),0)</f>
        <v>0</v>
      </c>
      <c r="O241">
        <f ca="1">IF(AND(COUNTIF(IF(AND(配装计算器!$K$30&lt;&gt;"∞",0),INDEX(AU240:CB240,1,$AT$1),INDEX(AU242:CB242,1,$AT$1)),"*云飞*")=1,COUNTIF(IF(AND(配装计算器!$K$30&lt;&gt;"∞",0),INDEX(AU240:CB240,1,$AT$1),INDEX(AU242:CB242,1,$AT$1)),"*玉山*")=0),N241,0)</f>
        <v>0</v>
      </c>
      <c r="P241">
        <f ca="1">IFERROR(IF(COUNTIF(B241,"*云栖松*")&gt;0,50-加速!$L$11,MAX(0,P240-(A241-A240))),0)</f>
        <v>0</v>
      </c>
      <c r="Q241">
        <f ca="1">IF(COUNTIF(IF(AND(配装计算器!$K$30&lt;&gt;"∞",0),INDEX(AU240:CB240,1,$AT$1),INDEX(AU242:CB242,1,$AT$1)),"*云栖松*")=1,P241,0)</f>
        <v>0</v>
      </c>
      <c r="R241">
        <f ca="1">IFERROR(IF(COUNTIF(B241,"*莺鸣柳*")&gt;0,45-加速!$L$9,MAX(0,R240-(A241-A240))),0)</f>
        <v>0</v>
      </c>
      <c r="S241">
        <f ca="1">IF(COUNTIF(IF(AND(配装计算器!$K$30&lt;&gt;"∞",0),INDEX(AU240:CB240,1,$AT$1),INDEX(AU242:CB242,1,$AT$1)),"*莺鸣柳*")=1,R241,0)</f>
        <v>0</v>
      </c>
      <c r="T241">
        <f ca="1" t="shared" si="50"/>
        <v>0</v>
      </c>
      <c r="U241">
        <f ca="1">IF(金蛇,IF(COUNTIF(B241,"*金环戴*")+COUNTIF(B241,"*吹风醒*")&gt;0,IF(A241&lt;=3,7.125-2.625-A241-加速!$L$11,7.125+加速!$K$9-(A241+加速!$L$11-T241)),0),0)+IF(金蛇,IF(COUNTIF(B241,"*千切子裂光*")&gt;0,2+加速!$K$9-(A241+加速!$L$11-T241),0),0)</f>
        <v>0</v>
      </c>
      <c r="V241">
        <f ca="1" t="shared" si="51"/>
        <v>0</v>
      </c>
      <c r="W241">
        <f ca="1" t="shared" si="43"/>
        <v>0</v>
      </c>
      <c r="X241">
        <f ca="1">INDEX(加速!$I$13:$I$21,技能数计算!W241+1)</f>
        <v>0</v>
      </c>
      <c r="Y241">
        <f ca="1" t="shared" si="47"/>
        <v>0.5</v>
      </c>
      <c r="Z241">
        <f ca="1" t="shared" si="48"/>
        <v>0</v>
      </c>
      <c r="AA241">
        <f ca="1">MAX(0,IFERROR(IF(COUNTIF(B241,"*叠*")&gt;0,IF(AC240&lt;3,8-A242+A241,AA240+6.875-A242+A241),AA240-A242+A241),AA240-加速!$L$11))</f>
        <v>0</v>
      </c>
      <c r="AB241" t="e">
        <f ca="1">MAX(0,IF(COUNTIF(IF(AND(配装计算器!$K$30&lt;&gt;"∞",0),INDEX(AU241:CB241,1,$AT$1),INDEX(AU241:CB241,1,$AT$1)),"*叠1*")=1,4*25-加速!$L$11,AB240-A241+A240)-IF(OR(COUNTIF(OFFSET(AT241,0,$AT$1,1,1),"*听雷*")&gt;0,AND(碧归&gt;0,COUNTIF(OFFSET(AT241,0,$AT$1,1,1),"*风来*")&gt;0)),0,1)*1.5)</f>
        <v>#VALUE!</v>
      </c>
      <c r="AC241">
        <f ca="1" t="shared" si="44"/>
        <v>3</v>
      </c>
      <c r="AD241">
        <f ca="1">IF(COUNTIF(IF(AND(配装计算器!$K$30&lt;&gt;"∞",0),INDEX(AU241:CB241,1,$AT$1),INDEX(AU242:CB242,1,$AT$1)),"*叠1*")=1,AB241*0+AE240,0)</f>
        <v>0</v>
      </c>
      <c r="AE241" t="e">
        <f ca="1">IF($AN$11&gt;0,IF(COUNTIF(B242,"*叠1*")&gt;0,50-加速!$H$11,MAX(0,AE240-(A242-A241))),0)</f>
        <v>#VALUE!</v>
      </c>
      <c r="AU241" s="176" t="s">
        <v>2776</v>
      </c>
      <c r="AV241">
        <v>2</v>
      </c>
      <c r="AW241" t="s">
        <v>3009</v>
      </c>
      <c r="AX241">
        <v>2</v>
      </c>
      <c r="AY241" t="s">
        <v>2776</v>
      </c>
      <c r="AZ241">
        <v>2</v>
      </c>
      <c r="BA241" t="s">
        <v>2768</v>
      </c>
      <c r="BB241">
        <v>2</v>
      </c>
      <c r="BC241" s="176" t="s">
        <v>3026</v>
      </c>
      <c r="BD241">
        <v>2</v>
      </c>
      <c r="BE241" t="s">
        <v>3011</v>
      </c>
      <c r="BF241">
        <v>2</v>
      </c>
      <c r="BG241" t="s">
        <v>2776</v>
      </c>
      <c r="BH241">
        <v>2</v>
      </c>
      <c r="BI241" t="s">
        <v>2794</v>
      </c>
      <c r="BJ241">
        <v>2</v>
      </c>
      <c r="BK241" t="s">
        <v>3067</v>
      </c>
      <c r="BL241">
        <v>2</v>
      </c>
      <c r="BM241" t="s">
        <v>2776</v>
      </c>
      <c r="BN241">
        <v>2</v>
      </c>
      <c r="BO241" s="176" t="s">
        <v>2794</v>
      </c>
      <c r="BP241">
        <v>2</v>
      </c>
      <c r="BQ241" t="s">
        <v>3013</v>
      </c>
      <c r="BR241">
        <v>2</v>
      </c>
      <c r="BS241" s="182" t="s">
        <v>3023</v>
      </c>
      <c r="BT241">
        <v>2</v>
      </c>
      <c r="BU241" t="s">
        <v>2776</v>
      </c>
      <c r="BV241">
        <v>2</v>
      </c>
      <c r="BW241" s="179" t="s">
        <v>2768</v>
      </c>
      <c r="BX241" s="179">
        <v>2</v>
      </c>
      <c r="BY241" t="s">
        <v>2776</v>
      </c>
      <c r="BZ241">
        <v>1</v>
      </c>
      <c r="CA241" t="s">
        <v>2776</v>
      </c>
      <c r="CB241">
        <v>1</v>
      </c>
    </row>
    <row r="242" spans="1:80">
      <c r="A242" s="178" t="str">
        <f ca="1">IFERROR(IF(A241+加速!$L$11&lt;$AS$1,IF(COUNTIF(B241,"*轻*")&gt;0,A241+加速!$L$9,A241+加速!$L$11)+V241,IF(COUNTIF(INDEX(AU242:CB242,1,$AT$1),"*云景*")+COUNTIF(INDEX(AU242:CB242,1,$AT$1),"*鹤归*")+COUNTIF(INDEX(AU242:CB242,1,$AT$1),"*听雷*")&gt;0,A241+加速!$L$11,"")),"")</f>
        <v/>
      </c>
      <c r="B242" s="167" t="str">
        <f ca="1">IF(A242&lt;&gt;"",IF(AND(A242+加速!$L$11&gt;$AS$1,IF(AND(配装计算器!$K$30&lt;&gt;"∞",0),"梦泉虎跑-轻",INDEX(AU242:CB242,1,$AT$1))="云栖松"),"夕照雷峰",IF(AND(配装计算器!$K$30&lt;&gt;"∞",0),"梦泉虎跑-轻",INDEX(AU242:CB242,1,$AT$1))),"")</f>
        <v/>
      </c>
      <c r="C242" t="str">
        <f ca="1" t="shared" si="49"/>
        <v/>
      </c>
      <c r="D242" t="str">
        <f ca="1">IF(B242&lt;&gt;"",IF(C241&lt;=加速!$L$11*(1-E242),0,1),"")</f>
        <v/>
      </c>
      <c r="E242">
        <f ca="1" t="shared" si="45"/>
        <v>1</v>
      </c>
      <c r="G242" t="str">
        <f ca="1" t="shared" si="46"/>
        <v/>
      </c>
      <c r="H242" t="str">
        <f ca="1">IF(B242&lt;&gt;"",IF(AND(COUNTIF(B241,"*轻*莺鸣柳*")&gt;0,COUNTIF(B242,"*轻*")&lt;1),MAX(0,15+I241-(A242-A241)+COUNTIF(B241,"*平湖*")*0),IF(AND(E242=0,MAX(0,H241-(A242-A241))&lt;=加速!$H$11),0,MAX(0,H241-(A242-A241)))),"")</f>
        <v/>
      </c>
      <c r="I242" t="str">
        <f ca="1" t="shared" si="52"/>
        <v/>
      </c>
      <c r="J242" t="str">
        <f ca="1" t="shared" si="53"/>
        <v/>
      </c>
      <c r="K242" t="str">
        <f ca="1">IF(A242&lt;&gt;"",IF(AND(配装计算器!$K$30&lt;&gt;"∞",0),2,INDEX(AU242:CB242,1,$AT$2)),"")</f>
        <v/>
      </c>
      <c r="L242">
        <f ca="1">IFERROR(IF(AND(COUNTIF(B242,"*-峰插*"),技能数据库!$M$72&gt;0),0,IF(COUNTIF(B242,"*鹤归*")&gt;0,16-加速!$L$11,MAX(0,L241-(A242-A241)))),0)</f>
        <v>0</v>
      </c>
      <c r="M242">
        <f ca="1">IF(COUNTIF(IF(AND(配装计算器!$K$30&lt;&gt;"∞",0),INDEX(AU241:CB241,1,$AT$1),INDEX(AU243:CB243,1,$AT$1)),"*鹤归*")=1,L242,0)</f>
        <v>0</v>
      </c>
      <c r="N242">
        <f ca="1">IFERROR(IF(AND(COUNTIF(B242,"*-峰插*"),技能数据库!$M$72&gt;0),0,IF(COUNTIF(B242,"*云飞*")&gt;0,4-COUNTIF(B242,"*玉山揽云*")*4--COUNTIF(B242,"*烟流暮景*")*4-COUNTIF(B242,"*云景*")*加速!$L$11-IF(J242&gt;0,2,0),MAX(0,N241-(A242-A241)-IF(J242&gt;0,2,0)))),0)</f>
        <v>0</v>
      </c>
      <c r="O242">
        <f ca="1">IF(AND(COUNTIF(IF(AND(配装计算器!$K$30&lt;&gt;"∞",0),INDEX(AU241:CB241,1,$AT$1),INDEX(AU243:CB243,1,$AT$1)),"*云飞*")=1,COUNTIF(IF(AND(配装计算器!$K$30&lt;&gt;"∞",0),INDEX(AU241:CB241,1,$AT$1),INDEX(AU243:CB243,1,$AT$1)),"*玉山*")=0),N242,0)</f>
        <v>0</v>
      </c>
      <c r="P242">
        <f ca="1">IFERROR(IF(COUNTIF(B242,"*云栖松*")&gt;0,50-加速!$L$11,MAX(0,P241-(A242-A241))),0)</f>
        <v>0</v>
      </c>
      <c r="Q242">
        <f ca="1">IF(COUNTIF(IF(AND(配装计算器!$K$30&lt;&gt;"∞",0),INDEX(AU241:CB241,1,$AT$1),INDEX(AU243:CB243,1,$AT$1)),"*云栖松*")=1,P242,0)</f>
        <v>0</v>
      </c>
      <c r="R242">
        <f ca="1">IFERROR(IF(COUNTIF(B242,"*莺鸣柳*")&gt;0,45-加速!$L$9,MAX(0,R241-(A242-A241))),0)</f>
        <v>0</v>
      </c>
      <c r="S242">
        <f ca="1">IF(COUNTIF(IF(AND(配装计算器!$K$30&lt;&gt;"∞",0),INDEX(AU241:CB241,1,$AT$1),INDEX(AU243:CB243,1,$AT$1)),"*莺鸣柳*")=1,R242,0)</f>
        <v>0</v>
      </c>
      <c r="T242">
        <f ca="1" t="shared" si="50"/>
        <v>0</v>
      </c>
      <c r="U242">
        <f ca="1">IF(金蛇,IF(COUNTIF(B242,"*金环戴*")+COUNTIF(B242,"*吹风醒*")&gt;0,IF(A242&lt;=3,7.125-2.625-A242-加速!$L$11,7.125+加速!$K$9-(A242+加速!$L$11-T242)),0),0)+IF(金蛇,IF(COUNTIF(B242,"*千切子裂光*")&gt;0,2+加速!$K$9-(A242+加速!$L$11-T242),0),0)</f>
        <v>0</v>
      </c>
      <c r="V242">
        <f ca="1" t="shared" si="51"/>
        <v>0</v>
      </c>
      <c r="W242">
        <f ca="1" t="shared" si="43"/>
        <v>0</v>
      </c>
      <c r="X242">
        <f ca="1">INDEX(加速!$I$13:$I$21,技能数计算!W242+1)</f>
        <v>0</v>
      </c>
      <c r="Y242">
        <f ca="1" t="shared" si="47"/>
        <v>0.5</v>
      </c>
      <c r="Z242">
        <f ca="1" t="shared" si="48"/>
        <v>0</v>
      </c>
      <c r="AA242">
        <f ca="1">MAX(0,IFERROR(IF(COUNTIF(B242,"*叠*")&gt;0,IF(AC241&lt;3,8-A243+A242,AA241+6.875-A243+A242),AA241-A243+A242),AA241-加速!$L$11))</f>
        <v>0</v>
      </c>
      <c r="AB242" t="e">
        <f ca="1">MAX(0,IF(COUNTIF(IF(AND(配装计算器!$K$30&lt;&gt;"∞",0),INDEX(AU242:CB242,1,$AT$1),INDEX(AU242:CB242,1,$AT$1)),"*叠1*")=1,4*25-加速!$L$11,AB241-A242+A241)-IF(OR(COUNTIF(OFFSET(AT242,0,$AT$1,1,1),"*听雷*")&gt;0,AND(碧归&gt;0,COUNTIF(OFFSET(AT242,0,$AT$1,1,1),"*风来*")&gt;0)),0,1)*1.5)</f>
        <v>#VALUE!</v>
      </c>
      <c r="AC242">
        <f ca="1" t="shared" si="44"/>
        <v>3</v>
      </c>
      <c r="AD242">
        <f ca="1">IF(COUNTIF(IF(AND(配装计算器!$K$30&lt;&gt;"∞",0),INDEX(AU242:CB242,1,$AT$1),INDEX(AU243:CB243,1,$AT$1)),"*叠1*")=1,AB242*0+AE241,0)</f>
        <v>0</v>
      </c>
      <c r="AE242" t="e">
        <f ca="1">IF($AN$11&gt;0,IF(COUNTIF(B243,"*叠1*")&gt;0,50-加速!$H$11,MAX(0,AE241-(A243-A242))),0)</f>
        <v>#VALUE!</v>
      </c>
      <c r="AU242" t="s">
        <v>2768</v>
      </c>
      <c r="AV242">
        <v>2</v>
      </c>
      <c r="AW242" t="s">
        <v>2776</v>
      </c>
      <c r="AX242">
        <v>2</v>
      </c>
      <c r="AY242" t="s">
        <v>2768</v>
      </c>
      <c r="AZ242">
        <v>2</v>
      </c>
      <c r="BA242" t="s">
        <v>2776</v>
      </c>
      <c r="BB242">
        <v>2</v>
      </c>
      <c r="BC242" s="176" t="s">
        <v>3026</v>
      </c>
      <c r="BD242">
        <v>2</v>
      </c>
      <c r="BE242" t="s">
        <v>2768</v>
      </c>
      <c r="BF242">
        <v>2</v>
      </c>
      <c r="BG242" t="s">
        <v>2768</v>
      </c>
      <c r="BH242">
        <v>2</v>
      </c>
      <c r="BI242" t="s">
        <v>2776</v>
      </c>
      <c r="BJ242">
        <v>2</v>
      </c>
      <c r="BK242" s="176" t="s">
        <v>2768</v>
      </c>
      <c r="BL242">
        <v>2</v>
      </c>
      <c r="BM242" t="s">
        <v>2768</v>
      </c>
      <c r="BN242">
        <v>1</v>
      </c>
      <c r="BO242" s="176" t="s">
        <v>2776</v>
      </c>
      <c r="BP242">
        <v>2</v>
      </c>
      <c r="BQ242" t="s">
        <v>2808</v>
      </c>
      <c r="BR242">
        <v>2</v>
      </c>
      <c r="BS242" s="182" t="s">
        <v>2768</v>
      </c>
      <c r="BT242">
        <v>2</v>
      </c>
      <c r="BU242" t="s">
        <v>2768</v>
      </c>
      <c r="BV242">
        <v>2</v>
      </c>
      <c r="BW242" s="188" t="s">
        <v>2789</v>
      </c>
      <c r="BX242" s="179">
        <v>2</v>
      </c>
      <c r="BY242" t="s">
        <v>2768</v>
      </c>
      <c r="BZ242">
        <v>1</v>
      </c>
      <c r="CA242" t="s">
        <v>2768</v>
      </c>
      <c r="CB242">
        <v>1</v>
      </c>
    </row>
    <row r="243" spans="1:80">
      <c r="A243" s="178" t="str">
        <f ca="1">IFERROR(IF(A242+加速!$L$11&lt;$AS$1,IF(COUNTIF(B242,"*轻*")&gt;0,A242+加速!$L$9,A242+加速!$L$11)+V242,IF(COUNTIF(INDEX(AU243:CB243,1,$AT$1),"*云景*")+COUNTIF(INDEX(AU243:CB243,1,$AT$1),"*鹤归*")+COUNTIF(INDEX(AU243:CB243,1,$AT$1),"*听雷*")&gt;0,A242+加速!$L$11,"")),"")</f>
        <v/>
      </c>
      <c r="B243" s="167" t="str">
        <f ca="1">IF(A243&lt;&gt;"",IF(AND(A243+加速!$L$11&gt;$AS$1,IF(AND(配装计算器!$K$30&lt;&gt;"∞",0),"梦泉虎跑-轻",INDEX(AU243:CB243,1,$AT$1))="云栖松"),"夕照雷峰",IF(AND(配装计算器!$K$30&lt;&gt;"∞",0),"梦泉虎跑-轻",INDEX(AU243:CB243,1,$AT$1))),"")</f>
        <v/>
      </c>
      <c r="C243" t="str">
        <f ca="1" t="shared" si="49"/>
        <v/>
      </c>
      <c r="D243" t="str">
        <f ca="1">IF(B243&lt;&gt;"",IF(C242&lt;=加速!$L$11*(1-E243),0,1),"")</f>
        <v/>
      </c>
      <c r="E243">
        <f ca="1" t="shared" si="45"/>
        <v>1</v>
      </c>
      <c r="G243" t="str">
        <f ca="1" t="shared" si="46"/>
        <v/>
      </c>
      <c r="H243" t="str">
        <f ca="1">IF(B243&lt;&gt;"",IF(AND(COUNTIF(B242,"*轻*莺鸣柳*")&gt;0,COUNTIF(B243,"*轻*")&lt;1),MAX(0,15+I242-(A243-A242)+COUNTIF(B242,"*平湖*")*0),IF(AND(E243=0,MAX(0,H242-(A243-A242))&lt;=加速!$H$11),0,MAX(0,H242-(A243-A242)))),"")</f>
        <v/>
      </c>
      <c r="I243" t="str">
        <f ca="1" t="shared" si="52"/>
        <v/>
      </c>
      <c r="J243" t="str">
        <f ca="1" t="shared" si="53"/>
        <v/>
      </c>
      <c r="K243" t="str">
        <f ca="1">IF(A243&lt;&gt;"",IF(AND(配装计算器!$K$30&lt;&gt;"∞",0),2,INDEX(AU243:CB243,1,$AT$2)),"")</f>
        <v/>
      </c>
      <c r="L243">
        <f ca="1">IFERROR(IF(AND(COUNTIF(B243,"*-峰插*"),技能数据库!$M$72&gt;0),0,IF(COUNTIF(B243,"*鹤归*")&gt;0,16-加速!$L$11,MAX(0,L242-(A243-A242)))),0)</f>
        <v>0</v>
      </c>
      <c r="M243">
        <f ca="1">IF(COUNTIF(IF(AND(配装计算器!$K$30&lt;&gt;"∞",0),INDEX(AU242:CB242,1,$AT$1),INDEX(AU244:CB244,1,$AT$1)),"*鹤归*")=1,L243,0)</f>
        <v>0</v>
      </c>
      <c r="N243">
        <f ca="1">IFERROR(IF(AND(COUNTIF(B243,"*-峰插*"),技能数据库!$M$72&gt;0),0,IF(COUNTIF(B243,"*云飞*")&gt;0,4-COUNTIF(B243,"*玉山揽云*")*4--COUNTIF(B243,"*烟流暮景*")*4-COUNTIF(B243,"*云景*")*加速!$L$11-IF(J243&gt;0,2,0),MAX(0,N242-(A243-A242)-IF(J243&gt;0,2,0)))),0)</f>
        <v>0</v>
      </c>
      <c r="O243">
        <f ca="1">IF(AND(COUNTIF(IF(AND(配装计算器!$K$30&lt;&gt;"∞",0),INDEX(AU242:CB242,1,$AT$1),INDEX(AU244:CB244,1,$AT$1)),"*云飞*")=1,COUNTIF(IF(AND(配装计算器!$K$30&lt;&gt;"∞",0),INDEX(AU242:CB242,1,$AT$1),INDEX(AU244:CB244,1,$AT$1)),"*玉山*")=0),N243,0)</f>
        <v>0</v>
      </c>
      <c r="P243">
        <f ca="1">IFERROR(IF(COUNTIF(B243,"*云栖松*")&gt;0,50-加速!$L$11,MAX(0,P242-(A243-A242))),0)</f>
        <v>0</v>
      </c>
      <c r="Q243">
        <f ca="1">IF(COUNTIF(IF(AND(配装计算器!$K$30&lt;&gt;"∞",0),INDEX(AU242:CB242,1,$AT$1),INDEX(AU244:CB244,1,$AT$1)),"*云栖松*")=1,P243,0)</f>
        <v>0</v>
      </c>
      <c r="R243">
        <f ca="1">IFERROR(IF(COUNTIF(B243,"*莺鸣柳*")&gt;0,45-加速!$L$9,MAX(0,R242-(A243-A242))),0)</f>
        <v>0</v>
      </c>
      <c r="S243">
        <f ca="1">IF(COUNTIF(IF(AND(配装计算器!$K$30&lt;&gt;"∞",0),INDEX(AU242:CB242,1,$AT$1),INDEX(AU244:CB244,1,$AT$1)),"*莺鸣柳*")=1,R243,0)</f>
        <v>0</v>
      </c>
      <c r="T243">
        <f ca="1" t="shared" si="50"/>
        <v>0</v>
      </c>
      <c r="U243">
        <f ca="1">IF(金蛇,IF(COUNTIF(B243,"*金环戴*")+COUNTIF(B243,"*吹风醒*")&gt;0,IF(A243&lt;=3,7.125-2.625-A243-加速!$L$11,7.125+加速!$K$9-(A243+加速!$L$11-T243)),0),0)+IF(金蛇,IF(COUNTIF(B243,"*千切子裂光*")&gt;0,2+加速!$K$9-(A243+加速!$L$11-T243),0),0)</f>
        <v>0</v>
      </c>
      <c r="V243">
        <f ca="1" t="shared" si="51"/>
        <v>0</v>
      </c>
      <c r="W243">
        <f ca="1" t="shared" si="43"/>
        <v>0</v>
      </c>
      <c r="X243">
        <f ca="1">INDEX(加速!$I$13:$I$21,技能数计算!W243+1)</f>
        <v>0</v>
      </c>
      <c r="Y243">
        <f ca="1" t="shared" si="47"/>
        <v>0.5</v>
      </c>
      <c r="Z243">
        <f ca="1" t="shared" si="48"/>
        <v>0</v>
      </c>
      <c r="AA243">
        <f ca="1">MAX(0,IFERROR(IF(COUNTIF(B243,"*叠*")&gt;0,IF(AC242&lt;3,8-A244+A243,AA242+6.875-A244+A243),AA242-A244+A243),AA242-加速!$L$11))</f>
        <v>0</v>
      </c>
      <c r="AB243" t="e">
        <f ca="1">MAX(0,IF(COUNTIF(IF(AND(配装计算器!$K$30&lt;&gt;"∞",0),INDEX(AU243:CB243,1,$AT$1),INDEX(AU243:CB243,1,$AT$1)),"*叠1*")=1,4*25-加速!$L$11,AB242-A243+A242)-IF(OR(COUNTIF(OFFSET(AT243,0,$AT$1,1,1),"*听雷*")&gt;0,AND(碧归&gt;0,COUNTIF(OFFSET(AT243,0,$AT$1,1,1),"*风来*")&gt;0)),0,1)*1.5)</f>
        <v>#VALUE!</v>
      </c>
      <c r="AC243">
        <f ca="1" t="shared" si="44"/>
        <v>3</v>
      </c>
      <c r="AD243">
        <f ca="1">IF(COUNTIF(IF(AND(配装计算器!$K$30&lt;&gt;"∞",0),INDEX(AU243:CB243,1,$AT$1),INDEX(AU244:CB244,1,$AT$1)),"*叠1*")=1,AB243*0+AE242,0)</f>
        <v>0</v>
      </c>
      <c r="AE243" t="e">
        <f ca="1">IF($AN$11&gt;0,IF(COUNTIF(B244,"*叠1*")&gt;0,50-加速!$H$11,MAX(0,AE242-(A244-A243))),0)</f>
        <v>#VALUE!</v>
      </c>
      <c r="AU243" t="str">
        <f>IF($AN$11=1,"云飞玉皇-玉山揽云","夕照雷峰")</f>
        <v>云飞玉皇-玉山揽云</v>
      </c>
      <c r="AV243">
        <v>2</v>
      </c>
      <c r="AW243" t="s">
        <v>2768</v>
      </c>
      <c r="AX243">
        <v>2</v>
      </c>
      <c r="AY243" t="s">
        <v>2776</v>
      </c>
      <c r="AZ243">
        <v>2</v>
      </c>
      <c r="BA243" t="s">
        <v>2768</v>
      </c>
      <c r="BB243">
        <v>2</v>
      </c>
      <c r="BC243" s="176" t="s">
        <v>3026</v>
      </c>
      <c r="BD243">
        <v>2</v>
      </c>
      <c r="BE243" t="s">
        <v>3019</v>
      </c>
      <c r="BF243">
        <v>2</v>
      </c>
      <c r="BG243" t="s">
        <v>2776</v>
      </c>
      <c r="BH243">
        <v>2</v>
      </c>
      <c r="BI243" t="s">
        <v>2768</v>
      </c>
      <c r="BJ243">
        <v>2</v>
      </c>
      <c r="BK243" s="176" t="s">
        <v>2776</v>
      </c>
      <c r="BL243">
        <v>2</v>
      </c>
      <c r="BM243" t="s">
        <v>2722</v>
      </c>
      <c r="BN243">
        <v>0</v>
      </c>
      <c r="BO243" s="176" t="s">
        <v>2768</v>
      </c>
      <c r="BP243">
        <v>2</v>
      </c>
      <c r="BQ243" t="s">
        <v>2768</v>
      </c>
      <c r="BR243">
        <v>2</v>
      </c>
      <c r="BS243" s="182" t="s">
        <v>2776</v>
      </c>
      <c r="BT243">
        <v>2</v>
      </c>
      <c r="BU243" t="s">
        <v>2808</v>
      </c>
      <c r="BV243">
        <v>2</v>
      </c>
      <c r="BW243" s="182" t="s">
        <v>2794</v>
      </c>
      <c r="BX243" s="179">
        <v>2</v>
      </c>
      <c r="BY243" t="s">
        <v>2722</v>
      </c>
      <c r="BZ243">
        <v>0</v>
      </c>
      <c r="CA243" t="s">
        <v>2722</v>
      </c>
      <c r="CB243">
        <v>0</v>
      </c>
    </row>
    <row r="244" spans="1:80">
      <c r="A244" s="178" t="str">
        <f ca="1">IFERROR(IF(A243+加速!$L$11&lt;$AS$1,IF(COUNTIF(B243,"*轻*")&gt;0,A243+加速!$L$9,A243+加速!$L$11)+V243,IF(COUNTIF(INDEX(AU244:CB244,1,$AT$1),"*云景*")+COUNTIF(INDEX(AU244:CB244,1,$AT$1),"*鹤归*")+COUNTIF(INDEX(AU244:CB244,1,$AT$1),"*听雷*")&gt;0,A243+加速!$L$11,"")),"")</f>
        <v/>
      </c>
      <c r="B244" s="167" t="str">
        <f ca="1">IF(A244&lt;&gt;"",IF(AND(A244+加速!$L$11&gt;$AS$1,IF(AND(配装计算器!$K$30&lt;&gt;"∞",0),"梦泉虎跑-轻",INDEX(AU244:CB244,1,$AT$1))="云栖松"),"夕照雷峰",IF(AND(配装计算器!$K$30&lt;&gt;"∞",0),"梦泉虎跑-轻",INDEX(AU244:CB244,1,$AT$1))),"")</f>
        <v/>
      </c>
      <c r="C244" t="str">
        <f ca="1" t="shared" si="49"/>
        <v/>
      </c>
      <c r="D244" t="str">
        <f ca="1">IF(B244&lt;&gt;"",IF(C243&lt;=加速!$L$11*(1-E244),0,1),"")</f>
        <v/>
      </c>
      <c r="E244">
        <f ca="1" t="shared" si="45"/>
        <v>1</v>
      </c>
      <c r="G244" t="str">
        <f ca="1" t="shared" si="46"/>
        <v/>
      </c>
      <c r="H244" t="str">
        <f ca="1">IF(B244&lt;&gt;"",IF(AND(COUNTIF(B243,"*轻*莺鸣柳*")&gt;0,COUNTIF(B244,"*轻*")&lt;1),MAX(0,15+I243-(A244-A243)+COUNTIF(B243,"*平湖*")*0),IF(AND(E244=0,MAX(0,H243-(A244-A243))&lt;=加速!$H$11),0,MAX(0,H243-(A244-A243)))),"")</f>
        <v/>
      </c>
      <c r="I244" t="str">
        <f ca="1" t="shared" si="52"/>
        <v/>
      </c>
      <c r="J244" t="str">
        <f ca="1" t="shared" si="53"/>
        <v/>
      </c>
      <c r="K244" t="str">
        <f ca="1">IF(A244&lt;&gt;"",IF(AND(配装计算器!$K$30&lt;&gt;"∞",0),2,INDEX(AU244:CB244,1,$AT$2)),"")</f>
        <v/>
      </c>
      <c r="L244">
        <f ca="1">IFERROR(IF(AND(COUNTIF(B244,"*-峰插*"),技能数据库!$M$72&gt;0),0,IF(COUNTIF(B244,"*鹤归*")&gt;0,16-加速!$L$11,MAX(0,L243-(A244-A243)))),0)</f>
        <v>0</v>
      </c>
      <c r="M244">
        <f ca="1">IF(COUNTIF(IF(AND(配装计算器!$K$30&lt;&gt;"∞",0),INDEX(AU243:CB243,1,$AT$1),INDEX(AU245:CB245,1,$AT$1)),"*鹤归*")=1,L244,0)</f>
        <v>0</v>
      </c>
      <c r="N244">
        <f ca="1">IFERROR(IF(AND(COUNTIF(B244,"*-峰插*"),技能数据库!$M$72&gt;0),0,IF(COUNTIF(B244,"*云飞*")&gt;0,4-COUNTIF(B244,"*玉山揽云*")*4--COUNTIF(B244,"*烟流暮景*")*4-COUNTIF(B244,"*云景*")*加速!$L$11-IF(J244&gt;0,2,0),MAX(0,N243-(A244-A243)-IF(J244&gt;0,2,0)))),0)</f>
        <v>0</v>
      </c>
      <c r="O244">
        <f ca="1">IF(AND(COUNTIF(IF(AND(配装计算器!$K$30&lt;&gt;"∞",0),INDEX(AU243:CB243,1,$AT$1),INDEX(AU245:CB245,1,$AT$1)),"*云飞*")=1,COUNTIF(IF(AND(配装计算器!$K$30&lt;&gt;"∞",0),INDEX(AU243:CB243,1,$AT$1),INDEX(AU245:CB245,1,$AT$1)),"*玉山*")=0),N244,0)</f>
        <v>0</v>
      </c>
      <c r="P244">
        <f ca="1">IFERROR(IF(COUNTIF(B244,"*云栖松*")&gt;0,50-加速!$L$11,MAX(0,P243-(A244-A243))),0)</f>
        <v>0</v>
      </c>
      <c r="Q244">
        <f ca="1">IF(COUNTIF(IF(AND(配装计算器!$K$30&lt;&gt;"∞",0),INDEX(AU243:CB243,1,$AT$1),INDEX(AU245:CB245,1,$AT$1)),"*云栖松*")=1,P244,0)</f>
        <v>0</v>
      </c>
      <c r="R244">
        <f ca="1">IFERROR(IF(COUNTIF(B244,"*莺鸣柳*")&gt;0,45-加速!$L$9,MAX(0,R243-(A244-A243))),0)</f>
        <v>0</v>
      </c>
      <c r="S244">
        <f ca="1">IF(COUNTIF(IF(AND(配装计算器!$K$30&lt;&gt;"∞",0),INDEX(AU243:CB243,1,$AT$1),INDEX(AU245:CB245,1,$AT$1)),"*莺鸣柳*")=1,R244,0)</f>
        <v>0</v>
      </c>
      <c r="T244">
        <f ca="1" t="shared" si="50"/>
        <v>0</v>
      </c>
      <c r="U244">
        <f ca="1">IF(金蛇,IF(COUNTIF(B244,"*金环戴*")+COUNTIF(B244,"*吹风醒*")&gt;0,IF(A244&lt;=3,7.125-2.625-A244-加速!$L$11,7.125+加速!$K$9-(A244+加速!$L$11-T244)),0),0)+IF(金蛇,IF(COUNTIF(B244,"*千切子裂光*")&gt;0,2+加速!$K$9-(A244+加速!$L$11-T244),0),0)</f>
        <v>0</v>
      </c>
      <c r="V244">
        <f ca="1" t="shared" si="51"/>
        <v>0</v>
      </c>
      <c r="W244">
        <f ca="1" t="shared" si="43"/>
        <v>0</v>
      </c>
      <c r="X244">
        <f ca="1">INDEX(加速!$I$13:$I$21,技能数计算!W244+1)</f>
        <v>0</v>
      </c>
      <c r="Y244">
        <f ca="1" t="shared" si="47"/>
        <v>0.5</v>
      </c>
      <c r="Z244">
        <f ca="1" t="shared" si="48"/>
        <v>0</v>
      </c>
      <c r="AA244">
        <f ca="1">MAX(0,IFERROR(IF(COUNTIF(B244,"*叠*")&gt;0,IF(AC243&lt;3,8-A245+A244,AA243+6.875-A245+A244),AA243-A245+A244),AA243-加速!$L$11))</f>
        <v>0</v>
      </c>
      <c r="AB244" t="e">
        <f ca="1">MAX(0,IF(COUNTIF(IF(AND(配装计算器!$K$30&lt;&gt;"∞",0),INDEX(AU244:CB244,1,$AT$1),INDEX(AU244:CB244,1,$AT$1)),"*叠1*")=1,4*25-加速!$L$11,AB243-A244+A243)-IF(OR(COUNTIF(OFFSET(AT244,0,$AT$1,1,1),"*听雷*")&gt;0,AND(碧归&gt;0,COUNTIF(OFFSET(AT244,0,$AT$1,1,1),"*风来*")&gt;0)),0,1)*1.5)</f>
        <v>#VALUE!</v>
      </c>
      <c r="AC244">
        <f ca="1" t="shared" si="44"/>
        <v>3</v>
      </c>
      <c r="AD244">
        <f ca="1">IF(COUNTIF(IF(AND(配装计算器!$K$30&lt;&gt;"∞",0),INDEX(AU244:CB244,1,$AT$1),INDEX(AU245:CB245,1,$AT$1)),"*叠1*")=1,AB244*0+AE243,0)</f>
        <v>0</v>
      </c>
      <c r="AE244" t="e">
        <f ca="1">IF($AN$11&gt;0,IF(COUNTIF(B245,"*叠1*")&gt;0,50-加速!$H$11,MAX(0,AE243-(A245-A244))),0)</f>
        <v>#VALUE!</v>
      </c>
      <c r="AU244" t="str">
        <f>IF($AN$11=1,"云飞玉皇-玉山揽云","云飞玉皇")</f>
        <v>云飞玉皇-玉山揽云</v>
      </c>
      <c r="AV244">
        <v>2</v>
      </c>
      <c r="AW244" t="str">
        <f>IF(山重水复,"风来吴山","夕照雷峰")</f>
        <v>夕照雷峰</v>
      </c>
      <c r="AX244">
        <v>2</v>
      </c>
      <c r="AY244" t="s">
        <v>2768</v>
      </c>
      <c r="AZ244">
        <v>2</v>
      </c>
      <c r="BA244" t="s">
        <v>2776</v>
      </c>
      <c r="BB244">
        <v>1</v>
      </c>
      <c r="BC244" s="176" t="s">
        <v>3026</v>
      </c>
      <c r="BD244">
        <v>2</v>
      </c>
      <c r="BE244" t="s">
        <v>2768</v>
      </c>
      <c r="BF244">
        <v>2</v>
      </c>
      <c r="BG244" t="s">
        <v>2768</v>
      </c>
      <c r="BH244">
        <v>1</v>
      </c>
      <c r="BI244" t="s">
        <v>2776</v>
      </c>
      <c r="BJ244">
        <v>2</v>
      </c>
      <c r="BK244" s="176" t="s">
        <v>2768</v>
      </c>
      <c r="BL244">
        <v>2</v>
      </c>
      <c r="BM244" t="s">
        <v>3009</v>
      </c>
      <c r="BN244">
        <v>2</v>
      </c>
      <c r="BO244" s="176" t="s">
        <v>2776</v>
      </c>
      <c r="BP244">
        <v>2</v>
      </c>
      <c r="BQ244" t="s">
        <v>2768</v>
      </c>
      <c r="BR244">
        <v>2</v>
      </c>
      <c r="BS244" s="182" t="s">
        <v>2768</v>
      </c>
      <c r="BT244">
        <v>2</v>
      </c>
      <c r="BU244" t="s">
        <v>2768</v>
      </c>
      <c r="BV244">
        <v>2</v>
      </c>
      <c r="BW244" s="182" t="s">
        <v>2776</v>
      </c>
      <c r="BX244" s="179">
        <v>2</v>
      </c>
      <c r="BY244" t="s">
        <v>3009</v>
      </c>
      <c r="BZ244">
        <v>2</v>
      </c>
      <c r="CA244" t="s">
        <v>3009</v>
      </c>
      <c r="CB244">
        <v>2</v>
      </c>
    </row>
    <row r="245" spans="1:80">
      <c r="A245" s="178" t="str">
        <f ca="1">IFERROR(IF(A244+加速!$L$11&lt;$AS$1,IF(COUNTIF(B244,"*轻*")&gt;0,A244+加速!$L$9,A244+加速!$L$11)+V244,IF(COUNTIF(INDEX(AU245:CB245,1,$AT$1),"*云景*")+COUNTIF(INDEX(AU245:CB245,1,$AT$1),"*鹤归*")+COUNTIF(INDEX(AU245:CB245,1,$AT$1),"*听雷*")&gt;0,A244+加速!$L$11,"")),"")</f>
        <v/>
      </c>
      <c r="B245" s="167" t="str">
        <f ca="1">IF(A245&lt;&gt;"",IF(AND(A245+加速!$L$11&gt;$AS$1,IF(AND(配装计算器!$K$30&lt;&gt;"∞",0),"梦泉虎跑-轻",INDEX(AU245:CB245,1,$AT$1))="云栖松"),"夕照雷峰",IF(AND(配装计算器!$K$30&lt;&gt;"∞",0),"梦泉虎跑-轻",INDEX(AU245:CB245,1,$AT$1))),"")</f>
        <v/>
      </c>
      <c r="C245" t="str">
        <f ca="1" t="shared" si="49"/>
        <v/>
      </c>
      <c r="D245" t="str">
        <f ca="1">IF(B245&lt;&gt;"",IF(C244&lt;=加速!$L$11*(1-E245),0,1),"")</f>
        <v/>
      </c>
      <c r="E245">
        <f ca="1" t="shared" si="45"/>
        <v>1</v>
      </c>
      <c r="G245" t="str">
        <f ca="1" t="shared" si="46"/>
        <v/>
      </c>
      <c r="H245" t="str">
        <f ca="1">IF(B245&lt;&gt;"",IF(AND(COUNTIF(B244,"*轻*莺鸣柳*")&gt;0,COUNTIF(B245,"*轻*")&lt;1),MAX(0,15+I244-(A245-A244)+COUNTIF(B244,"*平湖*")*0),IF(AND(E245=0,MAX(0,H244-(A245-A244))&lt;=加速!$H$11),0,MAX(0,H244-(A245-A244)))),"")</f>
        <v/>
      </c>
      <c r="I245" t="str">
        <f ca="1" t="shared" si="52"/>
        <v/>
      </c>
      <c r="J245" t="str">
        <f ca="1" t="shared" si="53"/>
        <v/>
      </c>
      <c r="K245" t="str">
        <f ca="1">IF(A245&lt;&gt;"",IF(AND(配装计算器!$K$30&lt;&gt;"∞",0),2,INDEX(AU245:CB245,1,$AT$2)),"")</f>
        <v/>
      </c>
      <c r="L245">
        <f ca="1">IFERROR(IF(AND(COUNTIF(B245,"*-峰插*"),技能数据库!$M$72&gt;0),0,IF(COUNTIF(B245,"*鹤归*")&gt;0,16-加速!$L$11,MAX(0,L244-(A245-A244)))),0)</f>
        <v>0</v>
      </c>
      <c r="M245">
        <f ca="1">IF(COUNTIF(IF(AND(配装计算器!$K$30&lt;&gt;"∞",0),INDEX(AU244:CB244,1,$AT$1),INDEX(AU246:CB246,1,$AT$1)),"*鹤归*")=1,L245,0)</f>
        <v>0</v>
      </c>
      <c r="N245">
        <f ca="1">IFERROR(IF(AND(COUNTIF(B245,"*-峰插*"),技能数据库!$M$72&gt;0),0,IF(COUNTIF(B245,"*云飞*")&gt;0,4-COUNTIF(B245,"*玉山揽云*")*4--COUNTIF(B245,"*烟流暮景*")*4-COUNTIF(B245,"*云景*")*加速!$L$11-IF(J245&gt;0,2,0),MAX(0,N244-(A245-A244)-IF(J245&gt;0,2,0)))),0)</f>
        <v>0</v>
      </c>
      <c r="O245">
        <f ca="1">IF(AND(COUNTIF(IF(AND(配装计算器!$K$30&lt;&gt;"∞",0),INDEX(AU244:CB244,1,$AT$1),INDEX(AU246:CB246,1,$AT$1)),"*云飞*")=1,COUNTIF(IF(AND(配装计算器!$K$30&lt;&gt;"∞",0),INDEX(AU244:CB244,1,$AT$1),INDEX(AU246:CB246,1,$AT$1)),"*玉山*")=0),N245,0)</f>
        <v>0</v>
      </c>
      <c r="P245">
        <f ca="1">IFERROR(IF(COUNTIF(B245,"*云栖松*")&gt;0,50-加速!$L$11,MAX(0,P244-(A245-A244))),0)</f>
        <v>0</v>
      </c>
      <c r="Q245">
        <f ca="1">IF(COUNTIF(IF(AND(配装计算器!$K$30&lt;&gt;"∞",0),INDEX(AU244:CB244,1,$AT$1),INDEX(AU246:CB246,1,$AT$1)),"*云栖松*")=1,P245,0)</f>
        <v>0</v>
      </c>
      <c r="R245">
        <f ca="1">IFERROR(IF(COUNTIF(B245,"*莺鸣柳*")&gt;0,45-加速!$L$9,MAX(0,R244-(A245-A244))),0)</f>
        <v>0</v>
      </c>
      <c r="S245">
        <f ca="1">IF(COUNTIF(IF(AND(配装计算器!$K$30&lt;&gt;"∞",0),INDEX(AU244:CB244,1,$AT$1),INDEX(AU246:CB246,1,$AT$1)),"*莺鸣柳*")=1,R245,0)</f>
        <v>0</v>
      </c>
      <c r="T245">
        <f ca="1" t="shared" si="50"/>
        <v>0</v>
      </c>
      <c r="U245">
        <f ca="1">IF(金蛇,IF(COUNTIF(B245,"*金环戴*")+COUNTIF(B245,"*吹风醒*")&gt;0,IF(A245&lt;=3,7.125-2.625-A245-加速!$L$11,7.125+加速!$K$9-(A245+加速!$L$11-T245)),0),0)+IF(金蛇,IF(COUNTIF(B245,"*千切子裂光*")&gt;0,2+加速!$K$9-(A245+加速!$L$11-T245),0),0)</f>
        <v>0</v>
      </c>
      <c r="V245">
        <f ca="1" t="shared" si="51"/>
        <v>0</v>
      </c>
      <c r="W245">
        <f ca="1" t="shared" si="43"/>
        <v>0</v>
      </c>
      <c r="X245">
        <f ca="1">INDEX(加速!$I$13:$I$21,技能数计算!W245+1)</f>
        <v>0</v>
      </c>
      <c r="Y245">
        <f ca="1" t="shared" si="47"/>
        <v>0.5</v>
      </c>
      <c r="Z245">
        <f ca="1" t="shared" si="48"/>
        <v>0</v>
      </c>
      <c r="AA245">
        <f ca="1">MAX(0,IFERROR(IF(COUNTIF(B245,"*叠*")&gt;0,IF(AC244&lt;3,8-A246+A245,AA244+6.875-A246+A245),AA244-A246+A245),AA244-加速!$L$11))</f>
        <v>0</v>
      </c>
      <c r="AB245" t="e">
        <f ca="1">MAX(0,IF(COUNTIF(IF(AND(配装计算器!$K$30&lt;&gt;"∞",0),INDEX(AU245:CB245,1,$AT$1),INDEX(AU245:CB245,1,$AT$1)),"*叠1*")=1,4*25-加速!$L$11,AB244-A245+A244)-IF(OR(COUNTIF(OFFSET(AT245,0,$AT$1,1,1),"*听雷*")&gt;0,AND(碧归&gt;0,COUNTIF(OFFSET(AT245,0,$AT$1,1,1),"*风来*")&gt;0)),0,1)*1.5)</f>
        <v>#VALUE!</v>
      </c>
      <c r="AC245">
        <f ca="1" t="shared" si="44"/>
        <v>3</v>
      </c>
      <c r="AD245">
        <f ca="1">IF(COUNTIF(IF(AND(配装计算器!$K$30&lt;&gt;"∞",0),INDEX(AU245:CB245,1,$AT$1),INDEX(AU246:CB246,1,$AT$1)),"*叠1*")=1,AB245*0+AE244,0)</f>
        <v>0</v>
      </c>
      <c r="AE245" t="e">
        <f ca="1">IF($AN$11&gt;0,IF(COUNTIF(B246,"*叠1*")&gt;0,50-加速!$H$11,MAX(0,AE244-(A246-A245))),0)</f>
        <v>#VALUE!</v>
      </c>
      <c r="AU245" t="str">
        <f>IF($AN$11=1,"云飞玉皇-玉山揽云","夕照雷峰")</f>
        <v>云飞玉皇-玉山揽云</v>
      </c>
      <c r="AV245">
        <v>2</v>
      </c>
      <c r="AW245" s="176" t="s">
        <v>2794</v>
      </c>
      <c r="AX245">
        <v>2</v>
      </c>
      <c r="AY245" t="s">
        <v>2776</v>
      </c>
      <c r="AZ245">
        <v>1</v>
      </c>
      <c r="BA245" t="s">
        <v>2768</v>
      </c>
      <c r="BB245">
        <v>1</v>
      </c>
      <c r="BC245" t="s">
        <v>3013</v>
      </c>
      <c r="BD245">
        <v>2</v>
      </c>
      <c r="BE245" t="s">
        <v>2768</v>
      </c>
      <c r="BF245">
        <v>2</v>
      </c>
      <c r="BG245" t="s">
        <v>2776</v>
      </c>
      <c r="BH245">
        <v>1</v>
      </c>
      <c r="BI245" t="s">
        <v>2768</v>
      </c>
      <c r="BJ245">
        <v>2</v>
      </c>
      <c r="BK245" s="176" t="s">
        <v>2768</v>
      </c>
      <c r="BL245">
        <v>1</v>
      </c>
      <c r="BM245" t="s">
        <v>2776</v>
      </c>
      <c r="BN245">
        <v>2</v>
      </c>
      <c r="BO245" s="176" t="s">
        <v>2768</v>
      </c>
      <c r="BP245">
        <v>2</v>
      </c>
      <c r="BQ245" t="s">
        <v>2776</v>
      </c>
      <c r="BR245">
        <v>1</v>
      </c>
      <c r="BS245" s="182" t="s">
        <v>2768</v>
      </c>
      <c r="BT245">
        <v>2</v>
      </c>
      <c r="BU245" s="176" t="s">
        <v>2768</v>
      </c>
      <c r="BV245">
        <v>2</v>
      </c>
      <c r="BW245" s="182" t="s">
        <v>2768</v>
      </c>
      <c r="BX245" s="179">
        <v>2</v>
      </c>
      <c r="BY245" s="176" t="s">
        <v>2794</v>
      </c>
      <c r="BZ245">
        <v>2</v>
      </c>
      <c r="CA245" s="176" t="s">
        <v>2794</v>
      </c>
      <c r="CB245">
        <v>2</v>
      </c>
    </row>
    <row r="246" spans="1:80">
      <c r="A246" s="178" t="str">
        <f ca="1">IFERROR(IF(A245+加速!$L$11&lt;$AS$1,IF(COUNTIF(B245,"*轻*")&gt;0,A245+加速!$L$9,A245+加速!$L$11)+V245,IF(COUNTIF(INDEX(AU246:CB246,1,$AT$1),"*云景*")+COUNTIF(INDEX(AU246:CB246,1,$AT$1),"*鹤归*")+COUNTIF(INDEX(AU246:CB246,1,$AT$1),"*听雷*")&gt;0,A245+加速!$L$11,"")),"")</f>
        <v/>
      </c>
      <c r="B246" s="167" t="str">
        <f ca="1">IF(A246&lt;&gt;"",IF(AND(A246+加速!$L$11&gt;$AS$1,IF(AND(配装计算器!$K$30&lt;&gt;"∞",0),"梦泉虎跑-轻",INDEX(AU246:CB246,1,$AT$1))="云栖松"),"夕照雷峰",IF(AND(配装计算器!$K$30&lt;&gt;"∞",0),"梦泉虎跑-轻",INDEX(AU246:CB246,1,$AT$1))),"")</f>
        <v/>
      </c>
      <c r="C246" t="str">
        <f ca="1" t="shared" si="49"/>
        <v/>
      </c>
      <c r="D246" t="str">
        <f ca="1">IF(B246&lt;&gt;"",IF(C245&lt;=加速!$L$11*(1-E246),0,1),"")</f>
        <v/>
      </c>
      <c r="E246">
        <f ca="1" t="shared" si="45"/>
        <v>1</v>
      </c>
      <c r="G246" t="str">
        <f ca="1" t="shared" si="46"/>
        <v/>
      </c>
      <c r="H246" t="str">
        <f ca="1">IF(B246&lt;&gt;"",IF(AND(COUNTIF(B245,"*轻*莺鸣柳*")&gt;0,COUNTIF(B246,"*轻*")&lt;1),MAX(0,15+I245-(A246-A245)+COUNTIF(B245,"*平湖*")*0),IF(AND(E246=0,MAX(0,H245-(A246-A245))&lt;=加速!$H$11),0,MAX(0,H245-(A246-A245)))),"")</f>
        <v/>
      </c>
      <c r="I246" t="str">
        <f ca="1" t="shared" si="52"/>
        <v/>
      </c>
      <c r="J246" t="str">
        <f ca="1" t="shared" si="53"/>
        <v/>
      </c>
      <c r="K246" t="str">
        <f ca="1">IF(A246&lt;&gt;"",IF(AND(配装计算器!$K$30&lt;&gt;"∞",0),2,INDEX(AU246:CB246,1,$AT$2)),"")</f>
        <v/>
      </c>
      <c r="L246">
        <f ca="1">IFERROR(IF(AND(COUNTIF(B246,"*-峰插*"),技能数据库!$M$72&gt;0),0,IF(COUNTIF(B246,"*鹤归*")&gt;0,16-加速!$L$11,MAX(0,L245-(A246-A245)))),0)</f>
        <v>0</v>
      </c>
      <c r="M246">
        <f ca="1">IF(COUNTIF(IF(AND(配装计算器!$K$30&lt;&gt;"∞",0),INDEX(AU245:CB245,1,$AT$1),INDEX(AU247:CB247,1,$AT$1)),"*鹤归*")=1,L246,0)</f>
        <v>0</v>
      </c>
      <c r="N246">
        <f ca="1">IFERROR(IF(AND(COUNTIF(B246,"*-峰插*"),技能数据库!$M$72&gt;0),0,IF(COUNTIF(B246,"*云飞*")&gt;0,4-COUNTIF(B246,"*玉山揽云*")*4--COUNTIF(B246,"*烟流暮景*")*4-COUNTIF(B246,"*云景*")*加速!$L$11-IF(J246&gt;0,2,0),MAX(0,N245-(A246-A245)-IF(J246&gt;0,2,0)))),0)</f>
        <v>0</v>
      </c>
      <c r="O246">
        <f ca="1">IF(AND(COUNTIF(IF(AND(配装计算器!$K$30&lt;&gt;"∞",0),INDEX(AU245:CB245,1,$AT$1),INDEX(AU247:CB247,1,$AT$1)),"*云飞*")=1,COUNTIF(IF(AND(配装计算器!$K$30&lt;&gt;"∞",0),INDEX(AU245:CB245,1,$AT$1),INDEX(AU247:CB247,1,$AT$1)),"*玉山*")=0),N246,0)</f>
        <v>0</v>
      </c>
      <c r="P246">
        <f ca="1">IFERROR(IF(COUNTIF(B246,"*云栖松*")&gt;0,50-加速!$L$11,MAX(0,P245-(A246-A245))),0)</f>
        <v>0</v>
      </c>
      <c r="Q246">
        <f ca="1">IF(COUNTIF(IF(AND(配装计算器!$K$30&lt;&gt;"∞",0),INDEX(AU245:CB245,1,$AT$1),INDEX(AU247:CB247,1,$AT$1)),"*云栖松*")=1,P246,0)</f>
        <v>0</v>
      </c>
      <c r="R246">
        <f ca="1">IFERROR(IF(COUNTIF(B246,"*莺鸣柳*")&gt;0,45-加速!$L$9,MAX(0,R245-(A246-A245))),0)</f>
        <v>0</v>
      </c>
      <c r="S246">
        <f ca="1">IF(COUNTIF(IF(AND(配装计算器!$K$30&lt;&gt;"∞",0),INDEX(AU245:CB245,1,$AT$1),INDEX(AU247:CB247,1,$AT$1)),"*莺鸣柳*")=1,R246,0)</f>
        <v>0</v>
      </c>
      <c r="T246">
        <f ca="1" t="shared" si="50"/>
        <v>0</v>
      </c>
      <c r="U246">
        <f ca="1">IF(金蛇,IF(COUNTIF(B246,"*金环戴*")+COUNTIF(B246,"*吹风醒*")&gt;0,IF(A246&lt;=3,7.125-2.625-A246-加速!$L$11,7.125+加速!$K$9-(A246+加速!$L$11-T246)),0),0)+IF(金蛇,IF(COUNTIF(B246,"*千切子裂光*")&gt;0,2+加速!$K$9-(A246+加速!$L$11-T246),0),0)</f>
        <v>0</v>
      </c>
      <c r="V246">
        <f ca="1" t="shared" si="51"/>
        <v>0</v>
      </c>
      <c r="W246">
        <f ca="1" t="shared" si="43"/>
        <v>0</v>
      </c>
      <c r="X246">
        <f ca="1">INDEX(加速!$I$13:$I$21,技能数计算!W246+1)</f>
        <v>0</v>
      </c>
      <c r="Y246">
        <f ca="1" t="shared" si="47"/>
        <v>0.5</v>
      </c>
      <c r="Z246">
        <f ca="1" t="shared" si="48"/>
        <v>0</v>
      </c>
      <c r="AA246">
        <f ca="1">MAX(0,IFERROR(IF(COUNTIF(B246,"*叠*")&gt;0,IF(AC245&lt;3,8-A247+A246,AA245+6.875-A247+A246),AA245-A247+A246),AA245-加速!$L$11))</f>
        <v>0</v>
      </c>
      <c r="AB246" t="e">
        <f ca="1">MAX(0,IF(COUNTIF(IF(AND(配装计算器!$K$30&lt;&gt;"∞",0),INDEX(AU246:CB246,1,$AT$1),INDEX(AU246:CB246,1,$AT$1)),"*叠1*")=1,4*25-加速!$L$11,AB245-A246+A245)-IF(OR(COUNTIF(OFFSET(AT246,0,$AT$1,1,1),"*听雷*")&gt;0,AND(碧归&gt;0,COUNTIF(OFFSET(AT246,0,$AT$1,1,1),"*风来*")&gt;0)),0,1)*1.5)</f>
        <v>#VALUE!</v>
      </c>
      <c r="AC246">
        <f ca="1" t="shared" si="44"/>
        <v>3</v>
      </c>
      <c r="AD246">
        <f ca="1">IF(COUNTIF(IF(AND(配装计算器!$K$30&lt;&gt;"∞",0),INDEX(AU246:CB246,1,$AT$1),INDEX(AU247:CB247,1,$AT$1)),"*叠1*")=1,AB246*0+AE245,0)</f>
        <v>0</v>
      </c>
      <c r="AE246" t="e">
        <f ca="1">IF($AN$11&gt;0,IF(COUNTIF(B247,"*叠1*")&gt;0,50-加速!$H$11,MAX(0,AE245-(A247-A246))),0)</f>
        <v>#VALUE!</v>
      </c>
      <c r="AU246" t="str">
        <f>IF($AN$11=1,橙武补雾锁,"夕照雷峰")</f>
        <v>云飞玉皇-玉山揽云</v>
      </c>
      <c r="AV246">
        <v>2</v>
      </c>
      <c r="AW246" s="176" t="s">
        <v>2776</v>
      </c>
      <c r="AX246">
        <v>2</v>
      </c>
      <c r="AY246" t="s">
        <v>2768</v>
      </c>
      <c r="AZ246">
        <v>1</v>
      </c>
      <c r="BA246" t="s">
        <v>2768</v>
      </c>
      <c r="BB246">
        <v>0</v>
      </c>
      <c r="BC246" t="s">
        <v>2808</v>
      </c>
      <c r="BD246">
        <v>2</v>
      </c>
      <c r="BE246" t="s">
        <v>2768</v>
      </c>
      <c r="BF246">
        <v>2</v>
      </c>
      <c r="BG246" t="s">
        <v>2768</v>
      </c>
      <c r="BH246">
        <v>0</v>
      </c>
      <c r="BI246" t="s">
        <v>2808</v>
      </c>
      <c r="BJ246">
        <v>2</v>
      </c>
      <c r="BK246" s="176" t="s">
        <v>2768</v>
      </c>
      <c r="BL246">
        <v>1</v>
      </c>
      <c r="BM246" t="s">
        <v>2768</v>
      </c>
      <c r="BN246">
        <v>2</v>
      </c>
      <c r="BO246" s="176" t="s">
        <v>2808</v>
      </c>
      <c r="BP246">
        <v>2</v>
      </c>
      <c r="BQ246" t="s">
        <v>3055</v>
      </c>
      <c r="BR246">
        <v>2</v>
      </c>
      <c r="BS246" s="187" t="str">
        <f>IF(秋,"云景·云飞玉皇-叠-蛇牙锥心","云景·云飞玉皇-叠")</f>
        <v>云景·云飞玉皇-叠</v>
      </c>
      <c r="BT246">
        <v>2</v>
      </c>
      <c r="BU246" s="176" t="s">
        <v>2776</v>
      </c>
      <c r="BV246">
        <v>2</v>
      </c>
      <c r="BW246" s="182" t="s">
        <v>2776</v>
      </c>
      <c r="BX246" s="179">
        <v>2</v>
      </c>
      <c r="BY246" s="176" t="s">
        <v>2776</v>
      </c>
      <c r="BZ246">
        <v>2</v>
      </c>
      <c r="CA246" s="176" t="s">
        <v>2776</v>
      </c>
      <c r="CB246">
        <v>2</v>
      </c>
    </row>
    <row r="247" spans="1:80">
      <c r="A247" s="178" t="str">
        <f ca="1">IFERROR(IF(A246+加速!$L$11&lt;$AS$1,IF(COUNTIF(B246,"*轻*")&gt;0,A246+加速!$L$9,A246+加速!$L$11)+V246,IF(COUNTIF(INDEX(AU247:CB247,1,$AT$1),"*云景*")+COUNTIF(INDEX(AU247:CB247,1,$AT$1),"*鹤归*")+COUNTIF(INDEX(AU247:CB247,1,$AT$1),"*听雷*")&gt;0,A246+加速!$L$11,"")),"")</f>
        <v/>
      </c>
      <c r="B247" s="167" t="str">
        <f ca="1">IF(A247&lt;&gt;"",IF(AND(A247+加速!$L$11&gt;$AS$1,IF(AND(配装计算器!$K$30&lt;&gt;"∞",0),"梦泉虎跑-轻",INDEX(AU247:CB247,1,$AT$1))="云栖松"),"夕照雷峰",IF(AND(配装计算器!$K$30&lt;&gt;"∞",0),"梦泉虎跑-轻",INDEX(AU247:CB247,1,$AT$1))),"")</f>
        <v/>
      </c>
      <c r="C247" t="str">
        <f ca="1" t="shared" si="49"/>
        <v/>
      </c>
      <c r="D247" t="str">
        <f ca="1">IF(B247&lt;&gt;"",IF(C246&lt;=加速!$L$11*(1-E247),0,1),"")</f>
        <v/>
      </c>
      <c r="E247">
        <f ca="1" t="shared" si="45"/>
        <v>1</v>
      </c>
      <c r="G247" t="str">
        <f ca="1" t="shared" si="46"/>
        <v/>
      </c>
      <c r="H247" t="str">
        <f ca="1">IF(B247&lt;&gt;"",IF(AND(COUNTIF(B246,"*轻*莺鸣柳*")&gt;0,COUNTIF(B247,"*轻*")&lt;1),MAX(0,15+I246-(A247-A246)+COUNTIF(B246,"*平湖*")*0),IF(AND(E247=0,MAX(0,H246-(A247-A246))&lt;=加速!$H$11),0,MAX(0,H246-(A247-A246)))),"")</f>
        <v/>
      </c>
      <c r="I247" t="str">
        <f ca="1" t="shared" si="52"/>
        <v/>
      </c>
      <c r="J247" t="str">
        <f ca="1" t="shared" si="53"/>
        <v/>
      </c>
      <c r="K247" t="str">
        <f ca="1">IF(A247&lt;&gt;"",IF(AND(配装计算器!$K$30&lt;&gt;"∞",0),2,INDEX(AU247:CB247,1,$AT$2)),"")</f>
        <v/>
      </c>
      <c r="L247">
        <f ca="1">IFERROR(IF(AND(COUNTIF(B247,"*-峰插*"),技能数据库!$M$72&gt;0),0,IF(COUNTIF(B247,"*鹤归*")&gt;0,16-加速!$L$11,MAX(0,L246-(A247-A246)))),0)</f>
        <v>0</v>
      </c>
      <c r="M247">
        <f ca="1">IF(COUNTIF(IF(AND(配装计算器!$K$30&lt;&gt;"∞",0),INDEX(AU246:CB246,1,$AT$1),INDEX(AU248:CB248,1,$AT$1)),"*鹤归*")=1,L247,0)</f>
        <v>0</v>
      </c>
      <c r="N247">
        <f ca="1">IFERROR(IF(AND(COUNTIF(B247,"*-峰插*"),技能数据库!$M$72&gt;0),0,IF(COUNTIF(B247,"*云飞*")&gt;0,4-COUNTIF(B247,"*玉山揽云*")*4--COUNTIF(B247,"*烟流暮景*")*4-COUNTIF(B247,"*云景*")*加速!$L$11-IF(J247&gt;0,2,0),MAX(0,N246-(A247-A246)-IF(J247&gt;0,2,0)))),0)</f>
        <v>0</v>
      </c>
      <c r="O247">
        <f ca="1">IF(AND(COUNTIF(IF(AND(配装计算器!$K$30&lt;&gt;"∞",0),INDEX(AU246:CB246,1,$AT$1),INDEX(AU248:CB248,1,$AT$1)),"*云飞*")=1,COUNTIF(IF(AND(配装计算器!$K$30&lt;&gt;"∞",0),INDEX(AU246:CB246,1,$AT$1),INDEX(AU248:CB248,1,$AT$1)),"*玉山*")=0),N247,0)</f>
        <v>0</v>
      </c>
      <c r="P247">
        <f ca="1">IFERROR(IF(COUNTIF(B247,"*云栖松*")&gt;0,50-加速!$L$11,MAX(0,P246-(A247-A246))),0)</f>
        <v>0</v>
      </c>
      <c r="Q247">
        <f ca="1">IF(COUNTIF(IF(AND(配装计算器!$K$30&lt;&gt;"∞",0),INDEX(AU246:CB246,1,$AT$1),INDEX(AU248:CB248,1,$AT$1)),"*云栖松*")=1,P247,0)</f>
        <v>0</v>
      </c>
      <c r="R247">
        <f ca="1">IFERROR(IF(COUNTIF(B247,"*莺鸣柳*")&gt;0,45-加速!$L$9,MAX(0,R246-(A247-A246))),0)</f>
        <v>0</v>
      </c>
      <c r="S247">
        <f ca="1">IF(COUNTIF(IF(AND(配装计算器!$K$30&lt;&gt;"∞",0),INDEX(AU246:CB246,1,$AT$1),INDEX(AU248:CB248,1,$AT$1)),"*莺鸣柳*")=1,R247,0)</f>
        <v>0</v>
      </c>
      <c r="T247">
        <f ca="1" t="shared" si="50"/>
        <v>0</v>
      </c>
      <c r="U247">
        <f ca="1">IF(金蛇,IF(COUNTIF(B247,"*金环戴*")+COUNTIF(B247,"*吹风醒*")&gt;0,IF(A247&lt;=3,7.125-2.625-A247-加速!$L$11,7.125+加速!$K$9-(A247+加速!$L$11-T247)),0),0)+IF(金蛇,IF(COUNTIF(B247,"*千切子裂光*")&gt;0,2+加速!$K$9-(A247+加速!$L$11-T247),0),0)</f>
        <v>0</v>
      </c>
      <c r="V247">
        <f ca="1" t="shared" si="51"/>
        <v>0</v>
      </c>
      <c r="W247">
        <f ca="1" t="shared" si="43"/>
        <v>0</v>
      </c>
      <c r="X247">
        <f ca="1">INDEX(加速!$I$13:$I$21,技能数计算!W247+1)</f>
        <v>0</v>
      </c>
      <c r="Y247">
        <f ca="1" t="shared" si="47"/>
        <v>0.5</v>
      </c>
      <c r="Z247">
        <f ca="1" t="shared" si="48"/>
        <v>0</v>
      </c>
      <c r="AA247">
        <f ca="1">MAX(0,IFERROR(IF(COUNTIF(B247,"*叠*")&gt;0,IF(AC246&lt;3,8-A248+A247,AA246+6.875-A248+A247),AA246-A248+A247),AA246-加速!$L$11))</f>
        <v>0</v>
      </c>
      <c r="AB247" t="e">
        <f ca="1">MAX(0,IF(COUNTIF(IF(AND(配装计算器!$K$30&lt;&gt;"∞",0),INDEX(AU247:CB247,1,$AT$1),INDEX(AU247:CB247,1,$AT$1)),"*叠1*")=1,4*25-加速!$L$11,AB246-A247+A246)-IF(OR(COUNTIF(OFFSET(AT247,0,$AT$1,1,1),"*听雷*")&gt;0,AND(碧归&gt;0,COUNTIF(OFFSET(AT247,0,$AT$1,1,1),"*风来*")&gt;0)),0,1)*1.5)</f>
        <v>#VALUE!</v>
      </c>
      <c r="AC247">
        <f ca="1" t="shared" si="44"/>
        <v>3</v>
      </c>
      <c r="AD247">
        <f ca="1">IF(COUNTIF(IF(AND(配装计算器!$K$30&lt;&gt;"∞",0),INDEX(AU247:CB247,1,$AT$1),INDEX(AU248:CB248,1,$AT$1)),"*叠1*")=1,AB247*0+AE246,0)</f>
        <v>0</v>
      </c>
      <c r="AE247" t="e">
        <f ca="1">IF($AN$11&gt;0,IF(COUNTIF(B248,"*叠1*")&gt;0,50-加速!$H$11,MAX(0,AE246-(A248-A247))),0)</f>
        <v>#VALUE!</v>
      </c>
      <c r="AU247" t="str">
        <f>IF($AN$11=1,"云飞玉皇-玉山揽云","夕照雷峰")</f>
        <v>云飞玉皇-玉山揽云</v>
      </c>
      <c r="AV247">
        <v>2</v>
      </c>
      <c r="AW247" s="176" t="s">
        <v>2768</v>
      </c>
      <c r="AX247">
        <v>2</v>
      </c>
      <c r="AY247" t="s">
        <v>2768</v>
      </c>
      <c r="AZ247">
        <v>0</v>
      </c>
      <c r="BA247" t="s">
        <v>2722</v>
      </c>
      <c r="BB247">
        <v>0</v>
      </c>
      <c r="BC247" t="s">
        <v>2768</v>
      </c>
      <c r="BD247">
        <v>2</v>
      </c>
      <c r="BE247" t="s">
        <v>3042</v>
      </c>
      <c r="BF247">
        <v>2</v>
      </c>
      <c r="BG247" t="s">
        <v>2768</v>
      </c>
      <c r="BH247">
        <v>0</v>
      </c>
      <c r="BI247" s="176" t="s">
        <v>2768</v>
      </c>
      <c r="BJ247">
        <v>2</v>
      </c>
      <c r="BK247" s="176" t="s">
        <v>2776</v>
      </c>
      <c r="BL247">
        <v>0</v>
      </c>
      <c r="BM247" t="str">
        <f>IF(山重水复,"风来吴山","夕照雷峰")</f>
        <v>夕照雷峰</v>
      </c>
      <c r="BN247">
        <v>2</v>
      </c>
      <c r="BO247" t="s">
        <v>2768</v>
      </c>
      <c r="BP247">
        <v>2</v>
      </c>
      <c r="BQ247" t="s">
        <v>2768</v>
      </c>
      <c r="BR247">
        <v>2</v>
      </c>
      <c r="BS247" s="186" t="str">
        <f>IF(秋,"夕照雷峰","千切子寒光")</f>
        <v>千切子寒光</v>
      </c>
      <c r="BT247">
        <v>2</v>
      </c>
      <c r="BU247" t="s">
        <v>2768</v>
      </c>
      <c r="BV247">
        <v>1</v>
      </c>
      <c r="BW247" s="182" t="s">
        <v>2768</v>
      </c>
      <c r="BX247" s="179">
        <v>2</v>
      </c>
      <c r="BY247" s="176" t="s">
        <v>2768</v>
      </c>
      <c r="BZ247">
        <v>2</v>
      </c>
      <c r="CA247" s="176" t="s">
        <v>2768</v>
      </c>
      <c r="CB247">
        <v>2</v>
      </c>
    </row>
    <row r="248" spans="1:80">
      <c r="A248" s="178" t="str">
        <f ca="1">IFERROR(IF(A247+加速!$L$11&lt;$AS$1,IF(COUNTIF(B247,"*轻*")&gt;0,A247+加速!$L$9,A247+加速!$L$11)+V247,IF(COUNTIF(INDEX(AU248:CB248,1,$AT$1),"*云景*")+COUNTIF(INDEX(AU248:CB248,1,$AT$1),"*鹤归*")+COUNTIF(INDEX(AU248:CB248,1,$AT$1),"*听雷*")&gt;0,A247+加速!$L$11,"")),"")</f>
        <v/>
      </c>
      <c r="B248" s="167" t="str">
        <f ca="1">IF(A248&lt;&gt;"",IF(AND(A248+加速!$L$11&gt;$AS$1,IF(AND(配装计算器!$K$30&lt;&gt;"∞",0),"梦泉虎跑-轻",INDEX(AU248:CB248,1,$AT$1))="云栖松"),"夕照雷峰",IF(AND(配装计算器!$K$30&lt;&gt;"∞",0),"梦泉虎跑-轻",INDEX(AU248:CB248,1,$AT$1))),"")</f>
        <v/>
      </c>
      <c r="C248" t="str">
        <f ca="1" t="shared" si="49"/>
        <v/>
      </c>
      <c r="D248" t="str">
        <f ca="1">IF(B248&lt;&gt;"",IF(C247&lt;=加速!$L$11*(1-E248),0,1),"")</f>
        <v/>
      </c>
      <c r="E248">
        <f ca="1" t="shared" si="45"/>
        <v>1</v>
      </c>
      <c r="G248" t="str">
        <f ca="1" t="shared" si="46"/>
        <v/>
      </c>
      <c r="H248" t="str">
        <f ca="1">IF(B248&lt;&gt;"",IF(AND(COUNTIF(B247,"*轻*莺鸣柳*")&gt;0,COUNTIF(B248,"*轻*")&lt;1),MAX(0,15+I247-(A248-A247)+COUNTIF(B247,"*平湖*")*0),IF(AND(E248=0,MAX(0,H247-(A248-A247))&lt;=加速!$H$11),0,MAX(0,H247-(A248-A247)))),"")</f>
        <v/>
      </c>
      <c r="I248" t="str">
        <f ca="1" t="shared" si="52"/>
        <v/>
      </c>
      <c r="J248" t="str">
        <f ca="1" t="shared" si="53"/>
        <v/>
      </c>
      <c r="K248" t="str">
        <f ca="1">IF(A248&lt;&gt;"",IF(AND(配装计算器!$K$30&lt;&gt;"∞",0),2,INDEX(AU248:CB248,1,$AT$2)),"")</f>
        <v/>
      </c>
      <c r="L248">
        <f ca="1">IFERROR(IF(AND(COUNTIF(B248,"*-峰插*"),技能数据库!$M$72&gt;0),0,IF(COUNTIF(B248,"*鹤归*")&gt;0,16-加速!$L$11,MAX(0,L247-(A248-A247)))),0)</f>
        <v>0</v>
      </c>
      <c r="M248">
        <f ca="1">IF(COUNTIF(IF(AND(配装计算器!$K$30&lt;&gt;"∞",0),INDEX(AU247:CB247,1,$AT$1),INDEX(AU249:CB249,1,$AT$1)),"*鹤归*")=1,L248,0)</f>
        <v>0</v>
      </c>
      <c r="N248">
        <f ca="1">IFERROR(IF(AND(COUNTIF(B248,"*-峰插*"),技能数据库!$M$72&gt;0),0,IF(COUNTIF(B248,"*云飞*")&gt;0,4-COUNTIF(B248,"*玉山揽云*")*4--COUNTIF(B248,"*烟流暮景*")*4-COUNTIF(B248,"*云景*")*加速!$L$11-IF(J248&gt;0,2,0),MAX(0,N247-(A248-A247)-IF(J248&gt;0,2,0)))),0)</f>
        <v>0</v>
      </c>
      <c r="O248">
        <f ca="1">IF(AND(COUNTIF(IF(AND(配装计算器!$K$30&lt;&gt;"∞",0),INDEX(AU247:CB247,1,$AT$1),INDEX(AU249:CB249,1,$AT$1)),"*云飞*")=1,COUNTIF(IF(AND(配装计算器!$K$30&lt;&gt;"∞",0),INDEX(AU247:CB247,1,$AT$1),INDEX(AU249:CB249,1,$AT$1)),"*玉山*")=0),N248,0)</f>
        <v>0</v>
      </c>
      <c r="P248">
        <f ca="1">IFERROR(IF(COUNTIF(B248,"*云栖松*")&gt;0,50-加速!$L$11,MAX(0,P247-(A248-A247))),0)</f>
        <v>0</v>
      </c>
      <c r="Q248">
        <f ca="1">IF(COUNTIF(IF(AND(配装计算器!$K$30&lt;&gt;"∞",0),INDEX(AU247:CB247,1,$AT$1),INDEX(AU249:CB249,1,$AT$1)),"*云栖松*")=1,P248,0)</f>
        <v>0</v>
      </c>
      <c r="R248">
        <f ca="1">IFERROR(IF(COUNTIF(B248,"*莺鸣柳*")&gt;0,45-加速!$L$9,MAX(0,R247-(A248-A247))),0)</f>
        <v>0</v>
      </c>
      <c r="S248">
        <f ca="1">IF(COUNTIF(IF(AND(配装计算器!$K$30&lt;&gt;"∞",0),INDEX(AU247:CB247,1,$AT$1),INDEX(AU249:CB249,1,$AT$1)),"*莺鸣柳*")=1,R248,0)</f>
        <v>0</v>
      </c>
      <c r="T248">
        <f ca="1" t="shared" si="50"/>
        <v>0</v>
      </c>
      <c r="U248">
        <f ca="1">IF(金蛇,IF(COUNTIF(B248,"*金环戴*")+COUNTIF(B248,"*吹风醒*")&gt;0,IF(A248&lt;=3,7.125-2.625-A248-加速!$L$11,7.125+加速!$K$9-(A248+加速!$L$11-T248)),0),0)+IF(金蛇,IF(COUNTIF(B248,"*千切子裂光*")&gt;0,2+加速!$K$9-(A248+加速!$L$11-T248),0),0)</f>
        <v>0</v>
      </c>
      <c r="V248">
        <f ca="1" t="shared" si="51"/>
        <v>0</v>
      </c>
      <c r="W248">
        <f ca="1" t="shared" si="43"/>
        <v>0</v>
      </c>
      <c r="X248">
        <f ca="1">INDEX(加速!$I$13:$I$21,技能数计算!W248+1)</f>
        <v>0</v>
      </c>
      <c r="Y248">
        <f ca="1" t="shared" si="47"/>
        <v>0.5</v>
      </c>
      <c r="Z248">
        <f ca="1" t="shared" si="48"/>
        <v>0</v>
      </c>
      <c r="AA248">
        <f ca="1">MAX(0,IFERROR(IF(COUNTIF(B248,"*叠*")&gt;0,IF(AC247&lt;3,8-A249+A248,AA247+6.875-A249+A248),AA247-A249+A248),AA247-加速!$L$11))</f>
        <v>0</v>
      </c>
      <c r="AB248" t="e">
        <f ca="1">MAX(0,IF(COUNTIF(IF(AND(配装计算器!$K$30&lt;&gt;"∞",0),INDEX(AU248:CB248,1,$AT$1),INDEX(AU248:CB248,1,$AT$1)),"*叠1*")=1,4*25-加速!$L$11,AB247-A248+A247)-IF(OR(COUNTIF(OFFSET(AT248,0,$AT$1,1,1),"*听雷*")&gt;0,AND(碧归&gt;0,COUNTIF(OFFSET(AT248,0,$AT$1,1,1),"*风来*")&gt;0)),0,1)*1.5)</f>
        <v>#VALUE!</v>
      </c>
      <c r="AC248">
        <f ca="1" t="shared" si="44"/>
        <v>3</v>
      </c>
      <c r="AD248">
        <f ca="1">IF(COUNTIF(IF(AND(配装计算器!$K$30&lt;&gt;"∞",0),INDEX(AU248:CB248,1,$AT$1),INDEX(AU249:CB249,1,$AT$1)),"*叠1*")=1,AB248*0+AE247,0)</f>
        <v>0</v>
      </c>
      <c r="AE248" t="e">
        <f ca="1">IF($AN$11&gt;0,IF(COUNTIF(B249,"*叠1*")&gt;0,50-加速!$H$11,MAX(0,AE247-(A249-A248))),0)</f>
        <v>#VALUE!</v>
      </c>
      <c r="AU248" t="s">
        <v>2776</v>
      </c>
      <c r="AV248">
        <v>2</v>
      </c>
      <c r="AW248" s="176" t="s">
        <v>2776</v>
      </c>
      <c r="AX248">
        <v>2</v>
      </c>
      <c r="AY248" t="s">
        <v>2722</v>
      </c>
      <c r="AZ248">
        <v>0</v>
      </c>
      <c r="BA248" t="s">
        <v>2776</v>
      </c>
      <c r="BB248">
        <v>2</v>
      </c>
      <c r="BC248" t="s">
        <v>2768</v>
      </c>
      <c r="BD248">
        <v>2</v>
      </c>
      <c r="BE248" t="s">
        <v>3084</v>
      </c>
      <c r="BF248">
        <v>2</v>
      </c>
      <c r="BG248" t="s">
        <v>2776</v>
      </c>
      <c r="BH248">
        <v>0</v>
      </c>
      <c r="BI248" s="176" t="s">
        <v>2776</v>
      </c>
      <c r="BJ248">
        <v>2</v>
      </c>
      <c r="BK248" t="s">
        <v>2768</v>
      </c>
      <c r="BL248">
        <v>0</v>
      </c>
      <c r="BM248" s="176" t="s">
        <v>2794</v>
      </c>
      <c r="BN248">
        <v>2</v>
      </c>
      <c r="BO248" t="s">
        <v>2776</v>
      </c>
      <c r="BP248">
        <v>2</v>
      </c>
      <c r="BQ248" t="s">
        <v>2776</v>
      </c>
      <c r="BR248">
        <v>2</v>
      </c>
      <c r="BS248" s="186" t="str">
        <f>IF(秋,"夕照雷峰","千切子裂光")</f>
        <v>千切子裂光</v>
      </c>
      <c r="BT248">
        <v>2</v>
      </c>
      <c r="BU248" s="176" t="s">
        <v>2768</v>
      </c>
      <c r="BV248">
        <v>1</v>
      </c>
      <c r="BW248" s="182" t="s">
        <v>2808</v>
      </c>
      <c r="BX248" s="179">
        <v>2</v>
      </c>
      <c r="BY248" s="176" t="s">
        <v>2776</v>
      </c>
      <c r="BZ248">
        <v>2</v>
      </c>
      <c r="CA248" s="176" t="s">
        <v>2776</v>
      </c>
      <c r="CB248">
        <v>2</v>
      </c>
    </row>
    <row r="249" spans="1:80">
      <c r="A249" s="178" t="str">
        <f ca="1">IFERROR(IF(A248+加速!$L$11&lt;$AS$1,IF(COUNTIF(B248,"*轻*")&gt;0,A248+加速!$L$9,A248+加速!$L$11)+V248,IF(COUNTIF(INDEX(AU249:CB249,1,$AT$1),"*云景*")+COUNTIF(INDEX(AU249:CB249,1,$AT$1),"*鹤归*")+COUNTIF(INDEX(AU249:CB249,1,$AT$1),"*听雷*")&gt;0,A248+加速!$L$11,"")),"")</f>
        <v/>
      </c>
      <c r="B249" s="167" t="str">
        <f ca="1">IF(A249&lt;&gt;"",IF(AND(A249+加速!$L$11&gt;$AS$1,IF(AND(配装计算器!$K$30&lt;&gt;"∞",0),"梦泉虎跑-轻",INDEX(AU249:CB249,1,$AT$1))="云栖松"),"夕照雷峰",IF(AND(配装计算器!$K$30&lt;&gt;"∞",0),"梦泉虎跑-轻",INDEX(AU249:CB249,1,$AT$1))),"")</f>
        <v/>
      </c>
      <c r="C249" t="str">
        <f ca="1" t="shared" si="49"/>
        <v/>
      </c>
      <c r="D249" t="str">
        <f ca="1">IF(B249&lt;&gt;"",IF(C248&lt;=加速!$L$11*(1-E249),0,1),"")</f>
        <v/>
      </c>
      <c r="E249">
        <f ca="1" t="shared" si="45"/>
        <v>1</v>
      </c>
      <c r="G249" t="str">
        <f ca="1" t="shared" si="46"/>
        <v/>
      </c>
      <c r="H249" t="str">
        <f ca="1">IF(B249&lt;&gt;"",IF(AND(COUNTIF(B248,"*轻*莺鸣柳*")&gt;0,COUNTIF(B249,"*轻*")&lt;1),MAX(0,15+I248-(A249-A248)+COUNTIF(B248,"*平湖*")*0),IF(AND(E249=0,MAX(0,H248-(A249-A248))&lt;=加速!$H$11),0,MAX(0,H248-(A249-A248)))),"")</f>
        <v/>
      </c>
      <c r="I249" t="str">
        <f ca="1" t="shared" si="52"/>
        <v/>
      </c>
      <c r="J249" t="str">
        <f ca="1" t="shared" si="53"/>
        <v/>
      </c>
      <c r="K249" t="str">
        <f ca="1">IF(A249&lt;&gt;"",IF(AND(配装计算器!$K$30&lt;&gt;"∞",0),2,INDEX(AU249:CB249,1,$AT$2)),"")</f>
        <v/>
      </c>
      <c r="L249">
        <f ca="1">IFERROR(IF(AND(COUNTIF(B249,"*-峰插*"),技能数据库!$M$72&gt;0),0,IF(COUNTIF(B249,"*鹤归*")&gt;0,16-加速!$L$11,MAX(0,L248-(A249-A248)))),0)</f>
        <v>0</v>
      </c>
      <c r="M249">
        <f ca="1">IF(COUNTIF(IF(AND(配装计算器!$K$30&lt;&gt;"∞",0),INDEX(AU248:CB248,1,$AT$1),INDEX(AU250:CB250,1,$AT$1)),"*鹤归*")=1,L249,0)</f>
        <v>0</v>
      </c>
      <c r="N249">
        <f ca="1">IFERROR(IF(AND(COUNTIF(B249,"*-峰插*"),技能数据库!$M$72&gt;0),0,IF(COUNTIF(B249,"*云飞*")&gt;0,4-COUNTIF(B249,"*玉山揽云*")*4--COUNTIF(B249,"*烟流暮景*")*4-COUNTIF(B249,"*云景*")*加速!$L$11-IF(J249&gt;0,2,0),MAX(0,N248-(A249-A248)-IF(J249&gt;0,2,0)))),0)</f>
        <v>0</v>
      </c>
      <c r="O249">
        <f ca="1">IF(AND(COUNTIF(IF(AND(配装计算器!$K$30&lt;&gt;"∞",0),INDEX(AU248:CB248,1,$AT$1),INDEX(AU250:CB250,1,$AT$1)),"*云飞*")=1,COUNTIF(IF(AND(配装计算器!$K$30&lt;&gt;"∞",0),INDEX(AU248:CB248,1,$AT$1),INDEX(AU250:CB250,1,$AT$1)),"*玉山*")=0),N249,0)</f>
        <v>0</v>
      </c>
      <c r="P249">
        <f ca="1">IFERROR(IF(COUNTIF(B249,"*云栖松*")&gt;0,50-加速!$L$11,MAX(0,P248-(A249-A248))),0)</f>
        <v>0</v>
      </c>
      <c r="Q249">
        <f ca="1">IF(COUNTIF(IF(AND(配装计算器!$K$30&lt;&gt;"∞",0),INDEX(AU248:CB248,1,$AT$1),INDEX(AU250:CB250,1,$AT$1)),"*云栖松*")=1,P249,0)</f>
        <v>0</v>
      </c>
      <c r="R249">
        <f ca="1">IFERROR(IF(COUNTIF(B249,"*莺鸣柳*")&gt;0,45-加速!$L$9,MAX(0,R248-(A249-A248))),0)</f>
        <v>0</v>
      </c>
      <c r="S249">
        <f ca="1">IF(COUNTIF(IF(AND(配装计算器!$K$30&lt;&gt;"∞",0),INDEX(AU248:CB248,1,$AT$1),INDEX(AU250:CB250,1,$AT$1)),"*莺鸣柳*")=1,R249,0)</f>
        <v>0</v>
      </c>
      <c r="T249">
        <f ca="1" t="shared" si="50"/>
        <v>0</v>
      </c>
      <c r="U249">
        <f ca="1">IF(金蛇,IF(COUNTIF(B249,"*金环戴*")+COUNTIF(B249,"*吹风醒*")&gt;0,IF(A249&lt;=3,7.125-2.625-A249-加速!$L$11,7.125+加速!$K$9-(A249+加速!$L$11-T249)),0),0)+IF(金蛇,IF(COUNTIF(B249,"*千切子裂光*")&gt;0,2+加速!$K$9-(A249+加速!$L$11-T249),0),0)</f>
        <v>0</v>
      </c>
      <c r="V249">
        <f ca="1" t="shared" si="51"/>
        <v>0</v>
      </c>
      <c r="W249">
        <f ca="1" t="shared" si="43"/>
        <v>0</v>
      </c>
      <c r="X249">
        <f ca="1">INDEX(加速!$I$13:$I$21,技能数计算!W249+1)</f>
        <v>0</v>
      </c>
      <c r="Y249">
        <f ca="1" t="shared" si="47"/>
        <v>0.5</v>
      </c>
      <c r="Z249">
        <f ca="1" t="shared" si="48"/>
        <v>0</v>
      </c>
      <c r="AA249">
        <f ca="1">MAX(0,IFERROR(IF(COUNTIF(B249,"*叠*")&gt;0,IF(AC248&lt;3,8-A250+A249,AA248+6.875-A250+A249),AA248-A250+A249),AA248-加速!$L$11))</f>
        <v>0</v>
      </c>
      <c r="AB249" t="e">
        <f ca="1">MAX(0,IF(COUNTIF(IF(AND(配装计算器!$K$30&lt;&gt;"∞",0),INDEX(AU249:CB249,1,$AT$1),INDEX(AU249:CB249,1,$AT$1)),"*叠1*")=1,4*25-加速!$L$11,AB248-A249+A248)-IF(OR(COUNTIF(OFFSET(AT249,0,$AT$1,1,1),"*听雷*")&gt;0,AND(碧归&gt;0,COUNTIF(OFFSET(AT249,0,$AT$1,1,1),"*风来*")&gt;0)),0,1)*1.5)</f>
        <v>#VALUE!</v>
      </c>
      <c r="AC249">
        <f ca="1" t="shared" si="44"/>
        <v>3</v>
      </c>
      <c r="AD249">
        <f ca="1">IF(COUNTIF(IF(AND(配装计算器!$K$30&lt;&gt;"∞",0),INDEX(AU249:CB249,1,$AT$1),INDEX(AU250:CB250,1,$AT$1)),"*叠1*")=1,AB249*0+AE248,0)</f>
        <v>0</v>
      </c>
      <c r="AE249" t="e">
        <f ca="1">IF($AN$11&gt;0,IF(COUNTIF(B250,"*叠1*")&gt;0,50-加速!$H$11,MAX(0,AE248-(A250-A249))),0)</f>
        <v>#VALUE!</v>
      </c>
      <c r="AU249" s="176" t="s">
        <v>2794</v>
      </c>
      <c r="AV249">
        <v>2</v>
      </c>
      <c r="AW249" s="176" t="s">
        <v>2768</v>
      </c>
      <c r="AX249">
        <v>2</v>
      </c>
      <c r="AY249" t="s">
        <v>2776</v>
      </c>
      <c r="AZ249">
        <v>2</v>
      </c>
      <c r="BA249" t="s">
        <v>2768</v>
      </c>
      <c r="BB249">
        <v>2</v>
      </c>
      <c r="BC249" t="s">
        <v>2776</v>
      </c>
      <c r="BD249">
        <v>1</v>
      </c>
      <c r="BE249" t="s">
        <v>2768</v>
      </c>
      <c r="BF249">
        <v>2</v>
      </c>
      <c r="BG249" t="s">
        <v>3067</v>
      </c>
      <c r="BH249">
        <v>0</v>
      </c>
      <c r="BI249" t="s">
        <v>2768</v>
      </c>
      <c r="BJ249">
        <v>2</v>
      </c>
      <c r="BK249" t="s">
        <v>3012</v>
      </c>
      <c r="BL249">
        <v>2</v>
      </c>
      <c r="BM249" s="176" t="s">
        <v>2776</v>
      </c>
      <c r="BN249">
        <v>2</v>
      </c>
      <c r="BO249" t="s">
        <v>2768</v>
      </c>
      <c r="BP249">
        <v>2</v>
      </c>
      <c r="BQ249" t="s">
        <v>2768</v>
      </c>
      <c r="BR249">
        <v>2</v>
      </c>
      <c r="BS249" s="176" t="s">
        <v>2768</v>
      </c>
      <c r="BT249">
        <v>2</v>
      </c>
      <c r="BU249" t="s">
        <v>3055</v>
      </c>
      <c r="BV249">
        <v>0</v>
      </c>
      <c r="BW249" s="179" t="s">
        <v>2768</v>
      </c>
      <c r="BX249" s="179">
        <v>2</v>
      </c>
      <c r="BY249" s="176" t="s">
        <v>2768</v>
      </c>
      <c r="BZ249">
        <v>2</v>
      </c>
      <c r="CA249" s="176" t="s">
        <v>2768</v>
      </c>
      <c r="CB249">
        <v>2</v>
      </c>
    </row>
    <row r="250" spans="1:80">
      <c r="A250" s="178" t="str">
        <f ca="1">IFERROR(IF(A249+加速!$L$11&lt;$AS$1,IF(COUNTIF(B249,"*轻*")&gt;0,A249+加速!$L$9,A249+加速!$L$11)+V249,IF(COUNTIF(INDEX(AU250:CB250,1,$AT$1),"*云景*")+COUNTIF(INDEX(AU250:CB250,1,$AT$1),"*鹤归*")+COUNTIF(INDEX(AU250:CB250,1,$AT$1),"*听雷*")&gt;0,A249+加速!$L$11,"")),"")</f>
        <v/>
      </c>
      <c r="B250" s="167" t="str">
        <f ca="1">IF(A250&lt;&gt;"",IF(AND(A250+加速!$L$11&gt;$AS$1,IF(AND(配装计算器!$K$30&lt;&gt;"∞",0),"梦泉虎跑-轻",INDEX(AU250:CB250,1,$AT$1))="云栖松"),"夕照雷峰",IF(AND(配装计算器!$K$30&lt;&gt;"∞",0),"梦泉虎跑-轻",INDEX(AU250:CB250,1,$AT$1))),"")</f>
        <v/>
      </c>
      <c r="C250" t="str">
        <f ca="1" t="shared" si="49"/>
        <v/>
      </c>
      <c r="D250" t="str">
        <f ca="1">IF(B250&lt;&gt;"",IF(C249&lt;=加速!$L$11*(1-E250),0,1),"")</f>
        <v/>
      </c>
      <c r="E250">
        <f ca="1" t="shared" si="45"/>
        <v>1</v>
      </c>
      <c r="G250" t="str">
        <f ca="1" t="shared" si="46"/>
        <v/>
      </c>
      <c r="H250" t="str">
        <f ca="1">IF(B250&lt;&gt;"",IF(AND(COUNTIF(B249,"*轻*莺鸣柳*")&gt;0,COUNTIF(B250,"*轻*")&lt;1),MAX(0,15+I249-(A250-A249)+COUNTIF(B249,"*平湖*")*0),IF(AND(E250=0,MAX(0,H249-(A250-A249))&lt;=加速!$H$11),0,MAX(0,H249-(A250-A249)))),"")</f>
        <v/>
      </c>
      <c r="I250" t="str">
        <f ca="1" t="shared" si="52"/>
        <v/>
      </c>
      <c r="J250" t="str">
        <f ca="1" t="shared" si="53"/>
        <v/>
      </c>
      <c r="K250" t="str">
        <f ca="1">IF(A250&lt;&gt;"",IF(AND(配装计算器!$K$30&lt;&gt;"∞",0),2,INDEX(AU250:CB250,1,$AT$2)),"")</f>
        <v/>
      </c>
      <c r="L250">
        <f ca="1">IFERROR(IF(AND(COUNTIF(B250,"*-峰插*"),技能数据库!$M$72&gt;0),0,IF(COUNTIF(B250,"*鹤归*")&gt;0,16-加速!$L$11,MAX(0,L249-(A250-A249)))),0)</f>
        <v>0</v>
      </c>
      <c r="M250">
        <f ca="1">IF(COUNTIF(IF(AND(配装计算器!$K$30&lt;&gt;"∞",0),INDEX(AU249:CB249,1,$AT$1),INDEX(AU251:CB251,1,$AT$1)),"*鹤归*")=1,L250,0)</f>
        <v>0</v>
      </c>
      <c r="N250">
        <f ca="1">IFERROR(IF(AND(COUNTIF(B250,"*-峰插*"),技能数据库!$M$72&gt;0),0,IF(COUNTIF(B250,"*云飞*")&gt;0,4-COUNTIF(B250,"*玉山揽云*")*4--COUNTIF(B250,"*烟流暮景*")*4-COUNTIF(B250,"*云景*")*加速!$L$11-IF(J250&gt;0,2,0),MAX(0,N249-(A250-A249)-IF(J250&gt;0,2,0)))),0)</f>
        <v>0</v>
      </c>
      <c r="O250">
        <f ca="1">IF(AND(COUNTIF(IF(AND(配装计算器!$K$30&lt;&gt;"∞",0),INDEX(AU249:CB249,1,$AT$1),INDEX(AU251:CB251,1,$AT$1)),"*云飞*")=1,COUNTIF(IF(AND(配装计算器!$K$30&lt;&gt;"∞",0),INDEX(AU249:CB249,1,$AT$1),INDEX(AU251:CB251,1,$AT$1)),"*玉山*")=0),N250,0)</f>
        <v>0</v>
      </c>
      <c r="P250">
        <f ca="1">IFERROR(IF(COUNTIF(B250,"*云栖松*")&gt;0,50-加速!$L$11,MAX(0,P249-(A250-A249))),0)</f>
        <v>0</v>
      </c>
      <c r="Q250">
        <f ca="1">IF(COUNTIF(IF(AND(配装计算器!$K$30&lt;&gt;"∞",0),INDEX(AU249:CB249,1,$AT$1),INDEX(AU251:CB251,1,$AT$1)),"*云栖松*")=1,P250,0)</f>
        <v>0</v>
      </c>
      <c r="R250">
        <f ca="1">IFERROR(IF(COUNTIF(B250,"*莺鸣柳*")&gt;0,45-加速!$L$9,MAX(0,R249-(A250-A249))),0)</f>
        <v>0</v>
      </c>
      <c r="S250">
        <f ca="1">IF(COUNTIF(IF(AND(配装计算器!$K$30&lt;&gt;"∞",0),INDEX(AU249:CB249,1,$AT$1),INDEX(AU251:CB251,1,$AT$1)),"*莺鸣柳*")=1,R250,0)</f>
        <v>0</v>
      </c>
      <c r="T250">
        <f ca="1" t="shared" si="50"/>
        <v>0</v>
      </c>
      <c r="U250">
        <f ca="1">IF(金蛇,IF(COUNTIF(B250,"*金环戴*")+COUNTIF(B250,"*吹风醒*")&gt;0,IF(A250&lt;=3,7.125-2.625-A250-加速!$L$11,7.125+加速!$K$9-(A250+加速!$L$11-T250)),0),0)+IF(金蛇,IF(COUNTIF(B250,"*千切子裂光*")&gt;0,2+加速!$K$9-(A250+加速!$L$11-T250),0),0)</f>
        <v>0</v>
      </c>
      <c r="V250">
        <f ca="1" t="shared" si="51"/>
        <v>0</v>
      </c>
      <c r="W250">
        <f ca="1" t="shared" si="43"/>
        <v>0</v>
      </c>
      <c r="X250">
        <f ca="1">INDEX(加速!$I$13:$I$21,技能数计算!W250+1)</f>
        <v>0</v>
      </c>
      <c r="Y250">
        <f ca="1" t="shared" si="47"/>
        <v>0.5</v>
      </c>
      <c r="Z250">
        <f ca="1" t="shared" si="48"/>
        <v>0</v>
      </c>
      <c r="AA250">
        <f ca="1">MAX(0,IFERROR(IF(COUNTIF(B250,"*叠*")&gt;0,IF(AC249&lt;3,8-A251+A250,AA249+6.875-A251+A250),AA249-A251+A250),AA249-加速!$L$11))</f>
        <v>0</v>
      </c>
      <c r="AB250" t="e">
        <f ca="1">MAX(0,IF(COUNTIF(IF(AND(配装计算器!$K$30&lt;&gt;"∞",0),INDEX(AU250:CB250,1,$AT$1),INDEX(AU250:CB250,1,$AT$1)),"*叠1*")=1,4*25-加速!$L$11,AB249-A250+A249)-IF(OR(COUNTIF(OFFSET(AT250,0,$AT$1,1,1),"*听雷*")&gt;0,AND(碧归&gt;0,COUNTIF(OFFSET(AT250,0,$AT$1,1,1),"*风来*")&gt;0)),0,1)*1.5)</f>
        <v>#VALUE!</v>
      </c>
      <c r="AC250">
        <f ca="1" t="shared" si="44"/>
        <v>3</v>
      </c>
      <c r="AD250">
        <f ca="1">IF(COUNTIF(IF(AND(配装计算器!$K$30&lt;&gt;"∞",0),INDEX(AU250:CB250,1,$AT$1),INDEX(AU251:CB251,1,$AT$1)),"*叠1*")=1,AB250*0+AE249,0)</f>
        <v>0</v>
      </c>
      <c r="AE250" t="e">
        <f ca="1">IF($AN$11&gt;0,IF(COUNTIF(B251,"*叠1*")&gt;0,50-加速!$H$11,MAX(0,AE249-(A251-A250))),0)</f>
        <v>#VALUE!</v>
      </c>
      <c r="AU250" s="176" t="s">
        <v>2768</v>
      </c>
      <c r="AV250">
        <v>2</v>
      </c>
      <c r="AW250" s="176" t="s">
        <v>2808</v>
      </c>
      <c r="AX250">
        <v>2</v>
      </c>
      <c r="AY250" t="s">
        <v>2768</v>
      </c>
      <c r="AZ250">
        <v>2</v>
      </c>
      <c r="BA250" t="s">
        <v>2768</v>
      </c>
      <c r="BB250">
        <v>2</v>
      </c>
      <c r="BC250" t="s">
        <v>2768</v>
      </c>
      <c r="BD250">
        <v>1</v>
      </c>
      <c r="BE250" t="s">
        <v>2794</v>
      </c>
      <c r="BF250">
        <v>2</v>
      </c>
      <c r="BG250" t="s">
        <v>2768</v>
      </c>
      <c r="BH250">
        <v>2</v>
      </c>
      <c r="BI250" s="176" t="s">
        <v>2768</v>
      </c>
      <c r="BJ250">
        <v>1</v>
      </c>
      <c r="BK250" s="176" t="s">
        <v>2794</v>
      </c>
      <c r="BL250">
        <v>2</v>
      </c>
      <c r="BM250" s="176" t="s">
        <v>2768</v>
      </c>
      <c r="BN250">
        <v>2</v>
      </c>
      <c r="BO250" t="str">
        <f>IF(0,"云飞玉皇-玉山揽云","夕照雷峰")</f>
        <v>夕照雷峰</v>
      </c>
      <c r="BP250">
        <v>2</v>
      </c>
      <c r="BQ250" t="s">
        <v>2776</v>
      </c>
      <c r="BR250">
        <v>1</v>
      </c>
      <c r="BS250" s="176" t="s">
        <v>2776</v>
      </c>
      <c r="BT250">
        <v>2</v>
      </c>
      <c r="BU250" t="s">
        <v>2776</v>
      </c>
      <c r="BV250">
        <v>2</v>
      </c>
      <c r="BW250" s="179" t="s">
        <v>2776</v>
      </c>
      <c r="BX250" s="179">
        <v>2</v>
      </c>
      <c r="BY250" s="176" t="s">
        <v>2808</v>
      </c>
      <c r="BZ250">
        <v>2</v>
      </c>
      <c r="CA250" s="176" t="s">
        <v>2808</v>
      </c>
      <c r="CB250">
        <v>2</v>
      </c>
    </row>
    <row r="251" spans="1:80">
      <c r="A251" s="178" t="str">
        <f ca="1">IFERROR(IF(A250+加速!$L$11&lt;$AS$1,IF(COUNTIF(B250,"*轻*")&gt;0,A250+加速!$L$9,A250+加速!$L$11)+V250,IF(COUNTIF(INDEX(AU251:CB251,1,$AT$1),"*云景*")+COUNTIF(INDEX(AU251:CB251,1,$AT$1),"*鹤归*")+COUNTIF(INDEX(AU251:CB251,1,$AT$1),"*听雷*")&gt;0,A250+加速!$L$11,"")),"")</f>
        <v/>
      </c>
      <c r="B251" s="167" t="str">
        <f ca="1">IF(A251&lt;&gt;"",IF(AND(A251+加速!$L$11&gt;$AS$1,IF(AND(配装计算器!$K$30&lt;&gt;"∞",0),"梦泉虎跑-轻",INDEX(AU251:CB251,1,$AT$1))="云栖松"),"夕照雷峰",IF(AND(配装计算器!$K$30&lt;&gt;"∞",0),"梦泉虎跑-轻",INDEX(AU251:CB251,1,$AT$1))),"")</f>
        <v/>
      </c>
      <c r="C251" t="str">
        <f ca="1" t="shared" si="49"/>
        <v/>
      </c>
      <c r="D251" t="str">
        <f ca="1">IF(B251&lt;&gt;"",IF(C250&lt;=加速!$L$11*(1-E251),0,1),"")</f>
        <v/>
      </c>
      <c r="E251">
        <f ca="1" t="shared" si="45"/>
        <v>1</v>
      </c>
      <c r="G251" t="str">
        <f ca="1" t="shared" si="46"/>
        <v/>
      </c>
      <c r="H251" t="str">
        <f ca="1">IF(B251&lt;&gt;"",IF(AND(COUNTIF(B250,"*轻*莺鸣柳*")&gt;0,COUNTIF(B251,"*轻*")&lt;1),MAX(0,15+I250-(A251-A250)+COUNTIF(B250,"*平湖*")*0),IF(AND(E251=0,MAX(0,H250-(A251-A250))&lt;=加速!$H$11),0,MAX(0,H250-(A251-A250)))),"")</f>
        <v/>
      </c>
      <c r="I251" t="str">
        <f ca="1" t="shared" si="52"/>
        <v/>
      </c>
      <c r="J251" t="str">
        <f ca="1" t="shared" si="53"/>
        <v/>
      </c>
      <c r="K251" t="str">
        <f ca="1">IF(A251&lt;&gt;"",IF(AND(配装计算器!$K$30&lt;&gt;"∞",0),2,INDEX(AU251:CB251,1,$AT$2)),"")</f>
        <v/>
      </c>
      <c r="L251">
        <f ca="1">IFERROR(IF(AND(COUNTIF(B251,"*-峰插*"),技能数据库!$M$72&gt;0),0,IF(COUNTIF(B251,"*鹤归*")&gt;0,16-加速!$L$11,MAX(0,L250-(A251-A250)))),0)</f>
        <v>0</v>
      </c>
      <c r="M251">
        <f ca="1">IF(COUNTIF(IF(AND(配装计算器!$K$30&lt;&gt;"∞",0),INDEX(AU250:CB250,1,$AT$1),INDEX(AU252:CB252,1,$AT$1)),"*鹤归*")=1,L251,0)</f>
        <v>0</v>
      </c>
      <c r="N251">
        <f ca="1">IFERROR(IF(AND(COUNTIF(B251,"*-峰插*"),技能数据库!$M$72&gt;0),0,IF(COUNTIF(B251,"*云飞*")&gt;0,4-COUNTIF(B251,"*玉山揽云*")*4--COUNTIF(B251,"*烟流暮景*")*4-COUNTIF(B251,"*云景*")*加速!$L$11-IF(J251&gt;0,2,0),MAX(0,N250-(A251-A250)-IF(J251&gt;0,2,0)))),0)</f>
        <v>0</v>
      </c>
      <c r="O251">
        <f ca="1">IF(AND(COUNTIF(IF(AND(配装计算器!$K$30&lt;&gt;"∞",0),INDEX(AU250:CB250,1,$AT$1),INDEX(AU252:CB252,1,$AT$1)),"*云飞*")=1,COUNTIF(IF(AND(配装计算器!$K$30&lt;&gt;"∞",0),INDEX(AU250:CB250,1,$AT$1),INDEX(AU252:CB252,1,$AT$1)),"*玉山*")=0),N251,0)</f>
        <v>0</v>
      </c>
      <c r="P251">
        <f ca="1">IFERROR(IF(COUNTIF(B251,"*云栖松*")&gt;0,50-加速!$L$11,MAX(0,P250-(A251-A250))),0)</f>
        <v>0</v>
      </c>
      <c r="Q251">
        <f ca="1">IF(COUNTIF(IF(AND(配装计算器!$K$30&lt;&gt;"∞",0),INDEX(AU250:CB250,1,$AT$1),INDEX(AU252:CB252,1,$AT$1)),"*云栖松*")=1,P251,0)</f>
        <v>0</v>
      </c>
      <c r="R251">
        <f ca="1">IFERROR(IF(COUNTIF(B251,"*莺鸣柳*")&gt;0,45-加速!$L$9,MAX(0,R250-(A251-A250))),0)</f>
        <v>0</v>
      </c>
      <c r="S251">
        <f ca="1">IF(COUNTIF(IF(AND(配装计算器!$K$30&lt;&gt;"∞",0),INDEX(AU250:CB250,1,$AT$1),INDEX(AU252:CB252,1,$AT$1)),"*莺鸣柳*")=1,R251,0)</f>
        <v>0</v>
      </c>
      <c r="T251">
        <f ca="1" t="shared" si="50"/>
        <v>0</v>
      </c>
      <c r="U251">
        <f ca="1">IF(金蛇,IF(COUNTIF(B251,"*金环戴*")+COUNTIF(B251,"*吹风醒*")&gt;0,IF(A251&lt;=3,7.125-2.625-A251-加速!$L$11,7.125+加速!$K$9-(A251+加速!$L$11-T251)),0),0)+IF(金蛇,IF(COUNTIF(B251,"*千切子裂光*")&gt;0,2+加速!$K$9-(A251+加速!$L$11-T251),0),0)</f>
        <v>0</v>
      </c>
      <c r="V251">
        <f ca="1" t="shared" si="51"/>
        <v>0</v>
      </c>
      <c r="W251">
        <f ca="1" t="shared" si="43"/>
        <v>0</v>
      </c>
      <c r="X251">
        <f ca="1">INDEX(加速!$I$13:$I$21,技能数计算!W251+1)</f>
        <v>0</v>
      </c>
      <c r="Y251">
        <f ca="1" t="shared" si="47"/>
        <v>0.5</v>
      </c>
      <c r="Z251">
        <f ca="1" t="shared" si="48"/>
        <v>0</v>
      </c>
      <c r="AA251">
        <f ca="1">MAX(0,IFERROR(IF(COUNTIF(B251,"*叠*")&gt;0,IF(AC250&lt;3,8-A252+A251,AA250+6.875-A252+A251),AA250-A252+A251),AA250-加速!$L$11))</f>
        <v>0</v>
      </c>
      <c r="AB251" t="e">
        <f ca="1">MAX(0,IF(COUNTIF(IF(AND(配装计算器!$K$30&lt;&gt;"∞",0),INDEX(AU251:CB251,1,$AT$1),INDEX(AU251:CB251,1,$AT$1)),"*叠1*")=1,4*25-加速!$L$11,AB250-A251+A250)-IF(OR(COUNTIF(OFFSET(AT251,0,$AT$1,1,1),"*听雷*")&gt;0,AND(碧归&gt;0,COUNTIF(OFFSET(AT251,0,$AT$1,1,1),"*风来*")&gt;0)),0,1)*1.5)</f>
        <v>#VALUE!</v>
      </c>
      <c r="AC251">
        <f ca="1" t="shared" si="44"/>
        <v>3</v>
      </c>
      <c r="AD251">
        <f ca="1">IF(COUNTIF(IF(AND(配装计算器!$K$30&lt;&gt;"∞",0),INDEX(AU251:CB251,1,$AT$1),INDEX(AU252:CB252,1,$AT$1)),"*叠1*")=1,AB251*0+AE250,0)</f>
        <v>0</v>
      </c>
      <c r="AE251" t="e">
        <f ca="1">IF($AN$11&gt;0,IF(COUNTIF(B252,"*叠1*")&gt;0,50-加速!$H$11,MAX(0,AE250-(A252-A251))),0)</f>
        <v>#VALUE!</v>
      </c>
      <c r="AU251" s="176" t="s">
        <v>2776</v>
      </c>
      <c r="AV251">
        <v>2</v>
      </c>
      <c r="AW251" t="s">
        <v>2768</v>
      </c>
      <c r="AX251">
        <v>2</v>
      </c>
      <c r="AY251" t="s">
        <v>2768</v>
      </c>
      <c r="AZ251">
        <v>2</v>
      </c>
      <c r="BA251" t="s">
        <v>2768</v>
      </c>
      <c r="BB251">
        <v>1</v>
      </c>
      <c r="BC251" t="s">
        <v>2794</v>
      </c>
      <c r="BD251">
        <v>2</v>
      </c>
      <c r="BE251" t="s">
        <v>2768</v>
      </c>
      <c r="BF251">
        <v>2</v>
      </c>
      <c r="BG251" t="s">
        <v>2768</v>
      </c>
      <c r="BH251">
        <v>2</v>
      </c>
      <c r="BI251" s="176" t="s">
        <v>2768</v>
      </c>
      <c r="BJ251">
        <v>1</v>
      </c>
      <c r="BK251" s="176" t="s">
        <v>3019</v>
      </c>
      <c r="BL251">
        <v>2</v>
      </c>
      <c r="BM251" s="176" t="s">
        <v>2776</v>
      </c>
      <c r="BN251">
        <v>2</v>
      </c>
      <c r="BO251" t="str">
        <f>IF(0,"云飞玉皇-玉山揽云","夕照雷峰")</f>
        <v>夕照雷峰</v>
      </c>
      <c r="BP251">
        <v>2</v>
      </c>
      <c r="BQ251" t="s">
        <v>2768</v>
      </c>
      <c r="BR251">
        <v>1</v>
      </c>
      <c r="BS251" s="176" t="s">
        <v>2768</v>
      </c>
      <c r="BT251">
        <v>2</v>
      </c>
      <c r="BU251" t="s">
        <v>2768</v>
      </c>
      <c r="BV251">
        <v>2</v>
      </c>
      <c r="BW251" s="179" t="s">
        <v>2768</v>
      </c>
      <c r="BX251" s="179">
        <v>2</v>
      </c>
      <c r="BY251" t="s">
        <v>2768</v>
      </c>
      <c r="BZ251">
        <v>2</v>
      </c>
      <c r="CA251" t="s">
        <v>2768</v>
      </c>
      <c r="CB251">
        <v>2</v>
      </c>
    </row>
    <row r="252" spans="1:80">
      <c r="A252" s="178" t="str">
        <f ca="1">IFERROR(IF(A251+加速!$L$11&lt;$AS$1,IF(COUNTIF(B251,"*轻*")&gt;0,A251+加速!$L$9,A251+加速!$L$11)+V251,IF(COUNTIF(INDEX(AU252:CB252,1,$AT$1),"*云景*")+COUNTIF(INDEX(AU252:CB252,1,$AT$1),"*鹤归*")+COUNTIF(INDEX(AU252:CB252,1,$AT$1),"*听雷*")&gt;0,A251+加速!$L$11,"")),"")</f>
        <v/>
      </c>
      <c r="B252" s="167" t="str">
        <f ca="1">IF(A252&lt;&gt;"",IF(AND(A252+加速!$L$11&gt;$AS$1,IF(AND(配装计算器!$K$30&lt;&gt;"∞",0),"梦泉虎跑-轻",INDEX(AU252:CB252,1,$AT$1))="云栖松"),"夕照雷峰",IF(AND(配装计算器!$K$30&lt;&gt;"∞",0),"梦泉虎跑-轻",INDEX(AU252:CB252,1,$AT$1))),"")</f>
        <v/>
      </c>
      <c r="C252" t="str">
        <f ca="1" t="shared" si="49"/>
        <v/>
      </c>
      <c r="D252" t="str">
        <f ca="1">IF(B252&lt;&gt;"",IF(C251&lt;=加速!$L$11*(1-E252),0,1),"")</f>
        <v/>
      </c>
      <c r="E252">
        <f ca="1" t="shared" si="45"/>
        <v>1</v>
      </c>
      <c r="G252" t="str">
        <f ca="1" t="shared" si="46"/>
        <v/>
      </c>
      <c r="H252" t="str">
        <f ca="1">IF(B252&lt;&gt;"",IF(AND(COUNTIF(B251,"*轻*莺鸣柳*")&gt;0,COUNTIF(B252,"*轻*")&lt;1),MAX(0,15+I251-(A252-A251)+COUNTIF(B251,"*平湖*")*0),IF(AND(E252=0,MAX(0,H251-(A252-A251))&lt;=加速!$H$11),0,MAX(0,H251-(A252-A251)))),"")</f>
        <v/>
      </c>
      <c r="I252" t="str">
        <f ca="1" t="shared" si="52"/>
        <v/>
      </c>
      <c r="J252" t="str">
        <f ca="1" t="shared" si="53"/>
        <v/>
      </c>
      <c r="K252" t="str">
        <f ca="1">IF(A252&lt;&gt;"",IF(AND(配装计算器!$K$30&lt;&gt;"∞",0),2,INDEX(AU252:CB252,1,$AT$2)),"")</f>
        <v/>
      </c>
      <c r="L252">
        <f ca="1">IFERROR(IF(AND(COUNTIF(B252,"*-峰插*"),技能数据库!$M$72&gt;0),0,IF(COUNTIF(B252,"*鹤归*")&gt;0,16-加速!$L$11,MAX(0,L251-(A252-A251)))),0)</f>
        <v>0</v>
      </c>
      <c r="M252">
        <f ca="1">IF(COUNTIF(IF(AND(配装计算器!$K$30&lt;&gt;"∞",0),INDEX(AU251:CB251,1,$AT$1),INDEX(AU253:CB253,1,$AT$1)),"*鹤归*")=1,L252,0)</f>
        <v>0</v>
      </c>
      <c r="N252">
        <f ca="1">IFERROR(IF(AND(COUNTIF(B252,"*-峰插*"),技能数据库!$M$72&gt;0),0,IF(COUNTIF(B252,"*云飞*")&gt;0,4-COUNTIF(B252,"*玉山揽云*")*4--COUNTIF(B252,"*烟流暮景*")*4-COUNTIF(B252,"*云景*")*加速!$L$11-IF(J252&gt;0,2,0),MAX(0,N251-(A252-A251)-IF(J252&gt;0,2,0)))),0)</f>
        <v>0</v>
      </c>
      <c r="O252">
        <f ca="1">IF(AND(COUNTIF(IF(AND(配装计算器!$K$30&lt;&gt;"∞",0),INDEX(AU251:CB251,1,$AT$1),INDEX(AU253:CB253,1,$AT$1)),"*云飞*")=1,COUNTIF(IF(AND(配装计算器!$K$30&lt;&gt;"∞",0),INDEX(AU251:CB251,1,$AT$1),INDEX(AU253:CB253,1,$AT$1)),"*玉山*")=0),N252,0)</f>
        <v>0</v>
      </c>
      <c r="P252">
        <f ca="1">IFERROR(IF(COUNTIF(B252,"*云栖松*")&gt;0,50-加速!$L$11,MAX(0,P251-(A252-A251))),0)</f>
        <v>0</v>
      </c>
      <c r="Q252">
        <f ca="1">IF(COUNTIF(IF(AND(配装计算器!$K$30&lt;&gt;"∞",0),INDEX(AU251:CB251,1,$AT$1),INDEX(AU253:CB253,1,$AT$1)),"*云栖松*")=1,P252,0)</f>
        <v>0</v>
      </c>
      <c r="R252">
        <f ca="1">IFERROR(IF(COUNTIF(B252,"*莺鸣柳*")&gt;0,45-加速!$L$9,MAX(0,R251-(A252-A251))),0)</f>
        <v>0</v>
      </c>
      <c r="S252">
        <f ca="1">IF(COUNTIF(IF(AND(配装计算器!$K$30&lt;&gt;"∞",0),INDEX(AU251:CB251,1,$AT$1),INDEX(AU253:CB253,1,$AT$1)),"*莺鸣柳*")=1,R252,0)</f>
        <v>0</v>
      </c>
      <c r="T252">
        <f ca="1" t="shared" si="50"/>
        <v>0</v>
      </c>
      <c r="U252">
        <f ca="1">IF(金蛇,IF(COUNTIF(B252,"*金环戴*")+COUNTIF(B252,"*吹风醒*")&gt;0,IF(A252&lt;=3,7.125-2.625-A252-加速!$L$11,7.125+加速!$K$9-(A252+加速!$L$11-T252)),0),0)+IF(金蛇,IF(COUNTIF(B252,"*千切子裂光*")&gt;0,2+加速!$K$9-(A252+加速!$L$11-T252),0),0)</f>
        <v>0</v>
      </c>
      <c r="V252">
        <f ca="1" t="shared" si="51"/>
        <v>0</v>
      </c>
      <c r="W252">
        <f ca="1" t="shared" si="43"/>
        <v>0</v>
      </c>
      <c r="X252">
        <f ca="1">INDEX(加速!$I$13:$I$21,技能数计算!W252+1)</f>
        <v>0</v>
      </c>
      <c r="Y252">
        <f ca="1" t="shared" si="47"/>
        <v>0.5</v>
      </c>
      <c r="Z252">
        <f ca="1" t="shared" si="48"/>
        <v>0</v>
      </c>
      <c r="AA252">
        <f ca="1">MAX(0,IFERROR(IF(COUNTIF(B252,"*叠*")&gt;0,IF(AC251&lt;3,8-A253+A252,AA251+6.875-A253+A252),AA251-A253+A252),AA251-加速!$L$11))</f>
        <v>0</v>
      </c>
      <c r="AB252" t="e">
        <f ca="1">MAX(0,IF(COUNTIF(IF(AND(配装计算器!$K$30&lt;&gt;"∞",0),INDEX(AU252:CB252,1,$AT$1),INDEX(AU252:CB252,1,$AT$1)),"*叠1*")=1,4*25-加速!$L$11,AB251-A252+A251)-IF(OR(COUNTIF(OFFSET(AT252,0,$AT$1,1,1),"*听雷*")&gt;0,AND(碧归&gt;0,COUNTIF(OFFSET(AT252,0,$AT$1,1,1),"*风来*")&gt;0)),0,1)*1.5)</f>
        <v>#VALUE!</v>
      </c>
      <c r="AC252">
        <f ca="1" t="shared" si="44"/>
        <v>3</v>
      </c>
      <c r="AD252">
        <f ca="1">IF(COUNTIF(IF(AND(配装计算器!$K$30&lt;&gt;"∞",0),INDEX(AU252:CB252,1,$AT$1),INDEX(AU253:CB253,1,$AT$1)),"*叠1*")=1,AB252*0+AE251,0)</f>
        <v>0</v>
      </c>
      <c r="AE252" t="e">
        <f ca="1">IF($AN$11&gt;0,IF(COUNTIF(B253,"*叠1*")&gt;0,50-加速!$H$11,MAX(0,AE251-(A253-A252))),0)</f>
        <v>#VALUE!</v>
      </c>
      <c r="AU252" s="176" t="s">
        <v>2768</v>
      </c>
      <c r="AV252">
        <v>2</v>
      </c>
      <c r="AW252" t="s">
        <v>2776</v>
      </c>
      <c r="AX252">
        <v>2</v>
      </c>
      <c r="AY252" t="s">
        <v>2768</v>
      </c>
      <c r="AZ252">
        <v>1</v>
      </c>
      <c r="BA252" t="s">
        <v>2776</v>
      </c>
      <c r="BB252">
        <v>1</v>
      </c>
      <c r="BC252" t="s">
        <v>2768</v>
      </c>
      <c r="BD252">
        <v>2</v>
      </c>
      <c r="BE252" t="s">
        <v>2776</v>
      </c>
      <c r="BF252">
        <v>2</v>
      </c>
      <c r="BG252" s="176" t="s">
        <v>2794</v>
      </c>
      <c r="BH252">
        <v>1</v>
      </c>
      <c r="BI252" s="176" t="s">
        <v>2776</v>
      </c>
      <c r="BJ252">
        <v>0</v>
      </c>
      <c r="BK252" s="176" t="s">
        <v>2768</v>
      </c>
      <c r="BL252">
        <v>2</v>
      </c>
      <c r="BM252" s="176" t="s">
        <v>2768</v>
      </c>
      <c r="BN252">
        <v>2</v>
      </c>
      <c r="BO252" t="str">
        <f>IF(0,"云飞玉皇-玉山揽云","云飞玉皇")</f>
        <v>云飞玉皇</v>
      </c>
      <c r="BP252">
        <v>2</v>
      </c>
      <c r="BQ252" t="s">
        <v>2776</v>
      </c>
      <c r="BR252">
        <v>1</v>
      </c>
      <c r="BS252" s="176" t="s">
        <v>2794</v>
      </c>
      <c r="BT252">
        <v>2</v>
      </c>
      <c r="BU252" t="s">
        <v>2776</v>
      </c>
      <c r="BV252">
        <v>2</v>
      </c>
      <c r="BW252" s="179" t="s">
        <v>2768</v>
      </c>
      <c r="BX252" s="179">
        <v>2</v>
      </c>
      <c r="BY252" t="s">
        <v>2776</v>
      </c>
      <c r="BZ252">
        <v>2</v>
      </c>
      <c r="CA252" t="s">
        <v>2776</v>
      </c>
      <c r="CB252">
        <v>2</v>
      </c>
    </row>
    <row r="253" spans="1:80">
      <c r="A253" s="178" t="str">
        <f ca="1">IFERROR(IF(A252+加速!$L$11&lt;$AS$1,IF(COUNTIF(B252,"*轻*")&gt;0,A252+加速!$L$9,A252+加速!$L$11)+V252,IF(COUNTIF(INDEX(AU253:CB253,1,$AT$1),"*云景*")+COUNTIF(INDEX(AU253:CB253,1,$AT$1),"*鹤归*")+COUNTIF(INDEX(AU253:CB253,1,$AT$1),"*听雷*")&gt;0,A252+加速!$L$11,"")),"")</f>
        <v/>
      </c>
      <c r="B253" s="167" t="str">
        <f ca="1">IF(A253&lt;&gt;"",IF(AND(A253+加速!$L$11&gt;$AS$1,IF(AND(配装计算器!$K$30&lt;&gt;"∞",0),"梦泉虎跑-轻",INDEX(AU253:CB253,1,$AT$1))="云栖松"),"夕照雷峰",IF(AND(配装计算器!$K$30&lt;&gt;"∞",0),"梦泉虎跑-轻",INDEX(AU253:CB253,1,$AT$1))),"")</f>
        <v/>
      </c>
      <c r="C253" t="str">
        <f ca="1" t="shared" si="49"/>
        <v/>
      </c>
      <c r="D253" t="str">
        <f ca="1">IF(B253&lt;&gt;"",IF(C252&lt;=加速!$L$11*(1-E253),0,1),"")</f>
        <v/>
      </c>
      <c r="E253">
        <f ca="1" t="shared" si="45"/>
        <v>1</v>
      </c>
      <c r="G253" t="str">
        <f ca="1" t="shared" si="46"/>
        <v/>
      </c>
      <c r="H253" t="str">
        <f ca="1">IF(B253&lt;&gt;"",IF(AND(COUNTIF(B252,"*轻*莺鸣柳*")&gt;0,COUNTIF(B253,"*轻*")&lt;1),MAX(0,15+I252-(A253-A252)+COUNTIF(B252,"*平湖*")*0),IF(AND(E253=0,MAX(0,H252-(A253-A252))&lt;=加速!$H$11),0,MAX(0,H252-(A253-A252)))),"")</f>
        <v/>
      </c>
      <c r="I253" t="str">
        <f ca="1" t="shared" si="52"/>
        <v/>
      </c>
      <c r="J253" t="str">
        <f ca="1" t="shared" si="53"/>
        <v/>
      </c>
      <c r="K253" t="str">
        <f ca="1">IF(A253&lt;&gt;"",IF(AND(配装计算器!$K$30&lt;&gt;"∞",0),2,INDEX(AU253:CB253,1,$AT$2)),"")</f>
        <v/>
      </c>
      <c r="L253">
        <f ca="1">IFERROR(IF(AND(COUNTIF(B253,"*-峰插*"),技能数据库!$M$72&gt;0),0,IF(COUNTIF(B253,"*鹤归*")&gt;0,16-加速!$L$11,MAX(0,L252-(A253-A252)))),0)</f>
        <v>0</v>
      </c>
      <c r="M253">
        <f ca="1">IF(COUNTIF(IF(AND(配装计算器!$K$30&lt;&gt;"∞",0),INDEX(AU252:CB252,1,$AT$1),INDEX(AU254:CB254,1,$AT$1)),"*鹤归*")=1,L253,0)</f>
        <v>0</v>
      </c>
      <c r="N253">
        <f ca="1">IFERROR(IF(AND(COUNTIF(B253,"*-峰插*"),技能数据库!$M$72&gt;0),0,IF(COUNTIF(B253,"*云飞*")&gt;0,4-COUNTIF(B253,"*玉山揽云*")*4--COUNTIF(B253,"*烟流暮景*")*4-COUNTIF(B253,"*云景*")*加速!$L$11-IF(J253&gt;0,2,0),MAX(0,N252-(A253-A252)-IF(J253&gt;0,2,0)))),0)</f>
        <v>0</v>
      </c>
      <c r="O253">
        <f ca="1">IF(AND(COUNTIF(IF(AND(配装计算器!$K$30&lt;&gt;"∞",0),INDEX(AU252:CB252,1,$AT$1),INDEX(AU254:CB254,1,$AT$1)),"*云飞*")=1,COUNTIF(IF(AND(配装计算器!$K$30&lt;&gt;"∞",0),INDEX(AU252:CB252,1,$AT$1),INDEX(AU254:CB254,1,$AT$1)),"*玉山*")=0),N253,0)</f>
        <v>0</v>
      </c>
      <c r="P253">
        <f ca="1">IFERROR(IF(COUNTIF(B253,"*云栖松*")&gt;0,50-加速!$L$11,MAX(0,P252-(A253-A252))),0)</f>
        <v>0</v>
      </c>
      <c r="Q253">
        <f ca="1">IF(COUNTIF(IF(AND(配装计算器!$K$30&lt;&gt;"∞",0),INDEX(AU252:CB252,1,$AT$1),INDEX(AU254:CB254,1,$AT$1)),"*云栖松*")=1,P253,0)</f>
        <v>0</v>
      </c>
      <c r="R253">
        <f ca="1">IFERROR(IF(COUNTIF(B253,"*莺鸣柳*")&gt;0,45-加速!$L$9,MAX(0,R252-(A253-A252))),0)</f>
        <v>0</v>
      </c>
      <c r="S253">
        <f ca="1">IF(COUNTIF(IF(AND(配装计算器!$K$30&lt;&gt;"∞",0),INDEX(AU252:CB252,1,$AT$1),INDEX(AU254:CB254,1,$AT$1)),"*莺鸣柳*")=1,R253,0)</f>
        <v>0</v>
      </c>
      <c r="T253">
        <f ca="1" t="shared" si="50"/>
        <v>0</v>
      </c>
      <c r="U253">
        <f ca="1">IF(金蛇,IF(COUNTIF(B253,"*金环戴*")+COUNTIF(B253,"*吹风醒*")&gt;0,IF(A253&lt;=3,7.125-2.625-A253-加速!$L$11,7.125+加速!$K$9-(A253+加速!$L$11-T253)),0),0)+IF(金蛇,IF(COUNTIF(B253,"*千切子裂光*")&gt;0,2+加速!$K$9-(A253+加速!$L$11-T253),0),0)</f>
        <v>0</v>
      </c>
      <c r="V253">
        <f ca="1" t="shared" si="51"/>
        <v>0</v>
      </c>
      <c r="W253">
        <f ca="1" t="shared" si="43"/>
        <v>0</v>
      </c>
      <c r="X253">
        <f ca="1">INDEX(加速!$I$13:$I$21,技能数计算!W253+1)</f>
        <v>0</v>
      </c>
      <c r="Y253">
        <f ca="1" t="shared" si="47"/>
        <v>0.5</v>
      </c>
      <c r="Z253">
        <f ca="1" t="shared" si="48"/>
        <v>0</v>
      </c>
      <c r="AA253">
        <f ca="1">MAX(0,IFERROR(IF(COUNTIF(B253,"*叠*")&gt;0,IF(AC252&lt;3,8-A254+A253,AA252+6.875-A254+A253),AA252-A254+A253),AA252-加速!$L$11))</f>
        <v>0</v>
      </c>
      <c r="AB253" t="e">
        <f ca="1">MAX(0,IF(COUNTIF(IF(AND(配装计算器!$K$30&lt;&gt;"∞",0),INDEX(AU253:CB253,1,$AT$1),INDEX(AU253:CB253,1,$AT$1)),"*叠1*")=1,4*25-加速!$L$11,AB252-A253+A252)-IF(OR(COUNTIF(OFFSET(AT253,0,$AT$1,1,1),"*听雷*")&gt;0,AND(碧归&gt;0,COUNTIF(OFFSET(AT253,0,$AT$1,1,1),"*风来*")&gt;0)),0,1)*1.5)</f>
        <v>#VALUE!</v>
      </c>
      <c r="AC253">
        <f ca="1" t="shared" si="44"/>
        <v>3</v>
      </c>
      <c r="AD253">
        <f ca="1">IF(COUNTIF(IF(AND(配装计算器!$K$30&lt;&gt;"∞",0),INDEX(AU253:CB253,1,$AT$1),INDEX(AU254:CB254,1,$AT$1)),"*叠1*")=1,AB253*0+AE252,0)</f>
        <v>0</v>
      </c>
      <c r="AE253" t="e">
        <f ca="1">IF($AN$11&gt;0,IF(COUNTIF(B254,"*叠1*")&gt;0,50-加速!$H$11,MAX(0,AE252-(A254-A253))),0)</f>
        <v>#VALUE!</v>
      </c>
      <c r="AU253" s="176" t="s">
        <v>2776</v>
      </c>
      <c r="AV253">
        <v>2</v>
      </c>
      <c r="AW253" t="s">
        <v>2768</v>
      </c>
      <c r="AX253">
        <v>2</v>
      </c>
      <c r="AY253" t="s">
        <v>2776</v>
      </c>
      <c r="AZ253">
        <v>1</v>
      </c>
      <c r="BA253" t="s">
        <v>2768</v>
      </c>
      <c r="BB253">
        <v>1</v>
      </c>
      <c r="BC253" t="s">
        <v>2776</v>
      </c>
      <c r="BD253">
        <v>2</v>
      </c>
      <c r="BE253" t="s">
        <v>2768</v>
      </c>
      <c r="BF253">
        <v>2</v>
      </c>
      <c r="BG253" t="s">
        <v>2776</v>
      </c>
      <c r="BH253">
        <v>1</v>
      </c>
      <c r="BI253" t="s">
        <v>2794</v>
      </c>
      <c r="BJ253">
        <v>0</v>
      </c>
      <c r="BK253" s="176" t="s">
        <v>3023</v>
      </c>
      <c r="BL253">
        <v>2</v>
      </c>
      <c r="BM253" s="176" t="s">
        <v>2808</v>
      </c>
      <c r="BN253">
        <v>2</v>
      </c>
      <c r="BO253" s="176" t="s">
        <v>2794</v>
      </c>
      <c r="BP253">
        <v>2</v>
      </c>
      <c r="BQ253" t="s">
        <v>2768</v>
      </c>
      <c r="BR253">
        <v>0</v>
      </c>
      <c r="BS253" t="s">
        <v>2768</v>
      </c>
      <c r="BT253">
        <v>2</v>
      </c>
      <c r="BU253" t="s">
        <v>2768</v>
      </c>
      <c r="BV253">
        <v>1</v>
      </c>
      <c r="BW253" s="179" t="s">
        <v>2768</v>
      </c>
      <c r="BX253" s="179">
        <v>2</v>
      </c>
      <c r="BY253" t="str">
        <f>IF(山重水复,"风来吴山","夕照雷峰")</f>
        <v>夕照雷峰</v>
      </c>
      <c r="BZ253">
        <v>2</v>
      </c>
      <c r="CA253" t="str">
        <f>IF(山重水复,"风来吴山","夕照雷峰")</f>
        <v>夕照雷峰</v>
      </c>
      <c r="CB253">
        <v>2</v>
      </c>
    </row>
    <row r="254" spans="1:80">
      <c r="A254" s="178" t="str">
        <f ca="1">IFERROR(IF(A253+加速!$L$11&lt;$AS$1,IF(COUNTIF(B253,"*轻*")&gt;0,A253+加速!$L$9,A253+加速!$L$11)+V253,IF(COUNTIF(INDEX(AU254:CB254,1,$AT$1),"*云景*")+COUNTIF(INDEX(AU254:CB254,1,$AT$1),"*鹤归*")+COUNTIF(INDEX(AU254:CB254,1,$AT$1),"*听雷*")&gt;0,A253+加速!$L$11,"")),"")</f>
        <v/>
      </c>
      <c r="B254" s="167" t="str">
        <f ca="1">IF(A254&lt;&gt;"",IF(AND(A254+加速!$L$11&gt;$AS$1,IF(AND(配装计算器!$K$30&lt;&gt;"∞",0),"梦泉虎跑-轻",INDEX(AU254:CB254,1,$AT$1))="云栖松"),"夕照雷峰",IF(AND(配装计算器!$K$30&lt;&gt;"∞",0),"梦泉虎跑-轻",INDEX(AU254:CB254,1,$AT$1))),"")</f>
        <v/>
      </c>
      <c r="C254" t="str">
        <f ca="1" t="shared" si="49"/>
        <v/>
      </c>
      <c r="D254" t="str">
        <f ca="1">IF(B254&lt;&gt;"",IF(C253&lt;=加速!$L$11*(1-E254),0,1),"")</f>
        <v/>
      </c>
      <c r="E254">
        <f ca="1" t="shared" si="45"/>
        <v>1</v>
      </c>
      <c r="G254" t="str">
        <f ca="1" t="shared" si="46"/>
        <v/>
      </c>
      <c r="H254" t="str">
        <f ca="1">IF(B254&lt;&gt;"",IF(AND(COUNTIF(B253,"*轻*莺鸣柳*")&gt;0,COUNTIF(B254,"*轻*")&lt;1),MAX(0,15+I253-(A254-A253)+COUNTIF(B253,"*平湖*")*0),IF(AND(E254=0,MAX(0,H253-(A254-A253))&lt;=加速!$H$11),0,MAX(0,H253-(A254-A253)))),"")</f>
        <v/>
      </c>
      <c r="I254" t="str">
        <f ca="1" t="shared" si="52"/>
        <v/>
      </c>
      <c r="J254" t="str">
        <f ca="1" t="shared" si="53"/>
        <v/>
      </c>
      <c r="K254" t="str">
        <f ca="1">IF(A254&lt;&gt;"",IF(AND(配装计算器!$K$30&lt;&gt;"∞",0),2,INDEX(AU254:CB254,1,$AT$2)),"")</f>
        <v/>
      </c>
      <c r="L254">
        <f ca="1">IFERROR(IF(AND(COUNTIF(B254,"*-峰插*"),技能数据库!$M$72&gt;0),0,IF(COUNTIF(B254,"*鹤归*")&gt;0,16-加速!$L$11,MAX(0,L253-(A254-A253)))),0)</f>
        <v>0</v>
      </c>
      <c r="M254">
        <f ca="1">IF(COUNTIF(IF(AND(配装计算器!$K$30&lt;&gt;"∞",0),INDEX(AU253:CB253,1,$AT$1),INDEX(AU255:CB255,1,$AT$1)),"*鹤归*")=1,L254,0)</f>
        <v>0</v>
      </c>
      <c r="N254">
        <f ca="1">IFERROR(IF(AND(COUNTIF(B254,"*-峰插*"),技能数据库!$M$72&gt;0),0,IF(COUNTIF(B254,"*云飞*")&gt;0,4-COUNTIF(B254,"*玉山揽云*")*4--COUNTIF(B254,"*烟流暮景*")*4-COUNTIF(B254,"*云景*")*加速!$L$11-IF(J254&gt;0,2,0),MAX(0,N253-(A254-A253)-IF(J254&gt;0,2,0)))),0)</f>
        <v>0</v>
      </c>
      <c r="O254">
        <f ca="1">IF(AND(COUNTIF(IF(AND(配装计算器!$K$30&lt;&gt;"∞",0),INDEX(AU253:CB253,1,$AT$1),INDEX(AU255:CB255,1,$AT$1)),"*云飞*")=1,COUNTIF(IF(AND(配装计算器!$K$30&lt;&gt;"∞",0),INDEX(AU253:CB253,1,$AT$1),INDEX(AU255:CB255,1,$AT$1)),"*玉山*")=0),N254,0)</f>
        <v>0</v>
      </c>
      <c r="P254">
        <f ca="1">IFERROR(IF(COUNTIF(B254,"*云栖松*")&gt;0,50-加速!$L$11,MAX(0,P253-(A254-A253))),0)</f>
        <v>0</v>
      </c>
      <c r="Q254">
        <f ca="1">IF(COUNTIF(IF(AND(配装计算器!$K$30&lt;&gt;"∞",0),INDEX(AU253:CB253,1,$AT$1),INDEX(AU255:CB255,1,$AT$1)),"*云栖松*")=1,P254,0)</f>
        <v>0</v>
      </c>
      <c r="R254">
        <f ca="1">IFERROR(IF(COUNTIF(B254,"*莺鸣柳*")&gt;0,45-加速!$L$9,MAX(0,R253-(A254-A253))),0)</f>
        <v>0</v>
      </c>
      <c r="S254">
        <f ca="1">IF(COUNTIF(IF(AND(配装计算器!$K$30&lt;&gt;"∞",0),INDEX(AU253:CB253,1,$AT$1),INDEX(AU255:CB255,1,$AT$1)),"*莺鸣柳*")=1,R254,0)</f>
        <v>0</v>
      </c>
      <c r="T254">
        <f ca="1" t="shared" si="50"/>
        <v>0</v>
      </c>
      <c r="U254">
        <f ca="1">IF(金蛇,IF(COUNTIF(B254,"*金环戴*")+COUNTIF(B254,"*吹风醒*")&gt;0,IF(A254&lt;=3,7.125-2.625-A254-加速!$L$11,7.125+加速!$K$9-(A254+加速!$L$11-T254)),0),0)+IF(金蛇,IF(COUNTIF(B254,"*千切子裂光*")&gt;0,2+加速!$K$9-(A254+加速!$L$11-T254),0),0)</f>
        <v>0</v>
      </c>
      <c r="V254">
        <f ca="1" t="shared" si="51"/>
        <v>0</v>
      </c>
      <c r="W254">
        <f ca="1" t="shared" si="43"/>
        <v>0</v>
      </c>
      <c r="X254">
        <f ca="1">INDEX(加速!$I$13:$I$21,技能数计算!W254+1)</f>
        <v>0</v>
      </c>
      <c r="Y254">
        <f ca="1" t="shared" si="47"/>
        <v>0.5</v>
      </c>
      <c r="Z254">
        <f ca="1" t="shared" si="48"/>
        <v>0</v>
      </c>
      <c r="AA254">
        <f ca="1">MAX(0,IFERROR(IF(COUNTIF(B254,"*叠*")&gt;0,IF(AC253&lt;3,8-A255+A254,AA253+6.875-A255+A254),AA253-A255+A254),AA253-加速!$L$11))</f>
        <v>0</v>
      </c>
      <c r="AB254" t="e">
        <f ca="1">MAX(0,IF(COUNTIF(IF(AND(配装计算器!$K$30&lt;&gt;"∞",0),INDEX(AU254:CB254,1,$AT$1),INDEX(AU254:CB254,1,$AT$1)),"*叠1*")=1,4*25-加速!$L$11,AB253-A254+A253)-IF(OR(COUNTIF(OFFSET(AT254,0,$AT$1,1,1),"*听雷*")&gt;0,AND(碧归&gt;0,COUNTIF(OFFSET(AT254,0,$AT$1,1,1),"*风来*")&gt;0)),0,1)*1.5)</f>
        <v>#VALUE!</v>
      </c>
      <c r="AC254">
        <f ca="1" t="shared" si="44"/>
        <v>3</v>
      </c>
      <c r="AD254">
        <f ca="1">IF(COUNTIF(IF(AND(配装计算器!$K$30&lt;&gt;"∞",0),INDEX(AU254:CB254,1,$AT$1),INDEX(AU255:CB255,1,$AT$1)),"*叠1*")=1,AB254*0+AE253,0)</f>
        <v>0</v>
      </c>
      <c r="AE254" t="e">
        <f ca="1">IF($AN$11&gt;0,IF(COUNTIF(B255,"*叠1*")&gt;0,50-加速!$H$11,MAX(0,AE253-(A255-A254))),0)</f>
        <v>#VALUE!</v>
      </c>
      <c r="AU254" s="176" t="s">
        <v>2768</v>
      </c>
      <c r="AV254">
        <v>1</v>
      </c>
      <c r="AW254" t="s">
        <v>2768</v>
      </c>
      <c r="AX254">
        <v>2</v>
      </c>
      <c r="AY254" t="s">
        <v>2768</v>
      </c>
      <c r="AZ254">
        <v>1</v>
      </c>
      <c r="BA254" t="s">
        <v>2768</v>
      </c>
      <c r="BB254">
        <v>0</v>
      </c>
      <c r="BC254" t="s">
        <v>2768</v>
      </c>
      <c r="BD254">
        <v>2</v>
      </c>
      <c r="BE254" t="s">
        <v>2776</v>
      </c>
      <c r="BF254">
        <v>2</v>
      </c>
      <c r="BG254" t="s">
        <v>2768</v>
      </c>
      <c r="BH254">
        <v>1</v>
      </c>
      <c r="BI254" t="s">
        <v>2768</v>
      </c>
      <c r="BJ254">
        <v>2</v>
      </c>
      <c r="BK254" s="176" t="s">
        <v>2768</v>
      </c>
      <c r="BL254">
        <v>2</v>
      </c>
      <c r="BM254" t="s">
        <v>2768</v>
      </c>
      <c r="BN254">
        <v>2</v>
      </c>
      <c r="BO254" s="176" t="str">
        <f>IF(0,橙武补雾锁,"夕照雷峰")</f>
        <v>夕照雷峰</v>
      </c>
      <c r="BP254">
        <v>2</v>
      </c>
      <c r="BQ254" t="s">
        <v>2768</v>
      </c>
      <c r="BR254">
        <v>0</v>
      </c>
      <c r="BS254" t="s">
        <v>2776</v>
      </c>
      <c r="BT254">
        <v>2</v>
      </c>
      <c r="BU254" t="s">
        <v>2776</v>
      </c>
      <c r="BV254">
        <v>1</v>
      </c>
      <c r="BW254" s="179" t="s">
        <v>2776</v>
      </c>
      <c r="BX254" s="179">
        <v>2</v>
      </c>
      <c r="BY254" t="s">
        <v>2768</v>
      </c>
      <c r="BZ254">
        <v>2</v>
      </c>
      <c r="CA254" t="s">
        <v>2768</v>
      </c>
      <c r="CB254">
        <v>2</v>
      </c>
    </row>
    <row r="255" spans="1:80">
      <c r="A255" s="178" t="str">
        <f ca="1">IFERROR(IF(A254+加速!$L$11&lt;$AS$1,IF(COUNTIF(B254,"*轻*")&gt;0,A254+加速!$L$9,A254+加速!$L$11)+V254,IF(COUNTIF(INDEX(AU255:CB255,1,$AT$1),"*云景*")+COUNTIF(INDEX(AU255:CB255,1,$AT$1),"*鹤归*")+COUNTIF(INDEX(AU255:CB255,1,$AT$1),"*听雷*")&gt;0,A254+加速!$L$11,"")),"")</f>
        <v/>
      </c>
      <c r="B255" s="167" t="str">
        <f ca="1">IF(A255&lt;&gt;"",IF(AND(A255+加速!$L$11&gt;$AS$1,IF(AND(配装计算器!$K$30&lt;&gt;"∞",0),"梦泉虎跑-轻",INDEX(AU255:CB255,1,$AT$1))="云栖松"),"夕照雷峰",IF(AND(配装计算器!$K$30&lt;&gt;"∞",0),"梦泉虎跑-轻",INDEX(AU255:CB255,1,$AT$1))),"")</f>
        <v/>
      </c>
      <c r="C255" t="str">
        <f ca="1" t="shared" si="49"/>
        <v/>
      </c>
      <c r="D255" t="str">
        <f ca="1">IF(B255&lt;&gt;"",IF(C254&lt;=加速!$L$11*(1-E255),0,1),"")</f>
        <v/>
      </c>
      <c r="E255">
        <f ca="1" t="shared" si="45"/>
        <v>1</v>
      </c>
      <c r="G255" t="str">
        <f ca="1" t="shared" si="46"/>
        <v/>
      </c>
      <c r="H255" t="str">
        <f ca="1">IF(B255&lt;&gt;"",IF(AND(COUNTIF(B254,"*轻*莺鸣柳*")&gt;0,COUNTIF(B255,"*轻*")&lt;1),MAX(0,15+I254-(A255-A254)+COUNTIF(B254,"*平湖*")*0),IF(AND(E255=0,MAX(0,H254-(A255-A254))&lt;=加速!$H$11),0,MAX(0,H254-(A255-A254)))),"")</f>
        <v/>
      </c>
      <c r="I255" t="str">
        <f ca="1" t="shared" si="52"/>
        <v/>
      </c>
      <c r="J255" t="str">
        <f ca="1" t="shared" si="53"/>
        <v/>
      </c>
      <c r="K255" t="str">
        <f ca="1">IF(A255&lt;&gt;"",IF(AND(配装计算器!$K$30&lt;&gt;"∞",0),2,INDEX(AU255:CB255,1,$AT$2)),"")</f>
        <v/>
      </c>
      <c r="L255">
        <f ca="1">IFERROR(IF(AND(COUNTIF(B255,"*-峰插*"),技能数据库!$M$72&gt;0),0,IF(COUNTIF(B255,"*鹤归*")&gt;0,16-加速!$L$11,MAX(0,L254-(A255-A254)))),0)</f>
        <v>0</v>
      </c>
      <c r="M255">
        <f ca="1">IF(COUNTIF(IF(AND(配装计算器!$K$30&lt;&gt;"∞",0),INDEX(AU254:CB254,1,$AT$1),INDEX(AU256:CB256,1,$AT$1)),"*鹤归*")=1,L255,0)</f>
        <v>0</v>
      </c>
      <c r="N255">
        <f ca="1">IFERROR(IF(AND(COUNTIF(B255,"*-峰插*"),技能数据库!$M$72&gt;0),0,IF(COUNTIF(B255,"*云飞*")&gt;0,4-COUNTIF(B255,"*玉山揽云*")*4--COUNTIF(B255,"*烟流暮景*")*4-COUNTIF(B255,"*云景*")*加速!$L$11-IF(J255&gt;0,2,0),MAX(0,N254-(A255-A254)-IF(J255&gt;0,2,0)))),0)</f>
        <v>0</v>
      </c>
      <c r="O255">
        <f ca="1">IF(AND(COUNTIF(IF(AND(配装计算器!$K$30&lt;&gt;"∞",0),INDEX(AU254:CB254,1,$AT$1),INDEX(AU256:CB256,1,$AT$1)),"*云飞*")=1,COUNTIF(IF(AND(配装计算器!$K$30&lt;&gt;"∞",0),INDEX(AU254:CB254,1,$AT$1),INDEX(AU256:CB256,1,$AT$1)),"*玉山*")=0),N255,0)</f>
        <v>0</v>
      </c>
      <c r="P255">
        <f ca="1">IFERROR(IF(COUNTIF(B255,"*云栖松*")&gt;0,50-加速!$L$11,MAX(0,P254-(A255-A254))),0)</f>
        <v>0</v>
      </c>
      <c r="Q255">
        <f ca="1">IF(COUNTIF(IF(AND(配装计算器!$K$30&lt;&gt;"∞",0),INDEX(AU254:CB254,1,$AT$1),INDEX(AU256:CB256,1,$AT$1)),"*云栖松*")=1,P255,0)</f>
        <v>0</v>
      </c>
      <c r="R255">
        <f ca="1">IFERROR(IF(COUNTIF(B255,"*莺鸣柳*")&gt;0,45-加速!$L$9,MAX(0,R254-(A255-A254))),0)</f>
        <v>0</v>
      </c>
      <c r="S255">
        <f ca="1">IF(COUNTIF(IF(AND(配装计算器!$K$30&lt;&gt;"∞",0),INDEX(AU254:CB254,1,$AT$1),INDEX(AU256:CB256,1,$AT$1)),"*莺鸣柳*")=1,R255,0)</f>
        <v>0</v>
      </c>
      <c r="T255">
        <f ca="1" t="shared" si="50"/>
        <v>0</v>
      </c>
      <c r="U255">
        <f ca="1">IF(金蛇,IF(COUNTIF(B255,"*金环戴*")+COUNTIF(B255,"*吹风醒*")&gt;0,IF(A255&lt;=3,7.125-2.625-A255-加速!$L$11,7.125+加速!$K$9-(A255+加速!$L$11-T255)),0),0)+IF(金蛇,IF(COUNTIF(B255,"*千切子裂光*")&gt;0,2+加速!$K$9-(A255+加速!$L$11-T255),0),0)</f>
        <v>0</v>
      </c>
      <c r="V255">
        <f ca="1" t="shared" si="51"/>
        <v>0</v>
      </c>
      <c r="W255">
        <f ca="1" t="shared" si="43"/>
        <v>0</v>
      </c>
      <c r="X255">
        <f ca="1">INDEX(加速!$I$13:$I$21,技能数计算!W255+1)</f>
        <v>0</v>
      </c>
      <c r="Y255">
        <f ca="1" t="shared" si="47"/>
        <v>0.5</v>
      </c>
      <c r="Z255">
        <f ca="1" t="shared" si="48"/>
        <v>0</v>
      </c>
      <c r="AA255">
        <f ca="1">MAX(0,IFERROR(IF(COUNTIF(B255,"*叠*")&gt;0,IF(AC254&lt;3,8-A256+A255,AA254+6.875-A256+A255),AA254-A256+A255),AA254-加速!$L$11))</f>
        <v>0</v>
      </c>
      <c r="AB255" t="e">
        <f ca="1">MAX(0,IF(COUNTIF(IF(AND(配装计算器!$K$30&lt;&gt;"∞",0),INDEX(AU255:CB255,1,$AT$1),INDEX(AU255:CB255,1,$AT$1)),"*叠1*")=1,4*25-加速!$L$11,AB254-A255+A254)-IF(OR(COUNTIF(OFFSET(AT255,0,$AT$1,1,1),"*听雷*")&gt;0,AND(碧归&gt;0,COUNTIF(OFFSET(AT255,0,$AT$1,1,1),"*风来*")&gt;0)),0,1)*1.5)</f>
        <v>#VALUE!</v>
      </c>
      <c r="AC255">
        <f ca="1" t="shared" si="44"/>
        <v>3</v>
      </c>
      <c r="AD255">
        <f ca="1">IF(COUNTIF(IF(AND(配装计算器!$K$30&lt;&gt;"∞",0),INDEX(AU255:CB255,1,$AT$1),INDEX(AU256:CB256,1,$AT$1)),"*叠1*")=1,AB255*0+AE254,0)</f>
        <v>0</v>
      </c>
      <c r="AE255" t="e">
        <f ca="1">IF($AN$11&gt;0,IF(COUNTIF(B256,"*叠1*")&gt;0,50-加速!$H$11,MAX(0,AE254-(A256-A255))),0)</f>
        <v>#VALUE!</v>
      </c>
      <c r="AU255" t="s">
        <v>2776</v>
      </c>
      <c r="AV255">
        <v>1</v>
      </c>
      <c r="AW255" t="s">
        <v>2768</v>
      </c>
      <c r="AX255">
        <v>2</v>
      </c>
      <c r="AY255" t="s">
        <v>2768</v>
      </c>
      <c r="AZ255">
        <v>0</v>
      </c>
      <c r="BA255" t="s">
        <v>3010</v>
      </c>
      <c r="BB255">
        <v>2</v>
      </c>
      <c r="BC255" t="s">
        <v>2776</v>
      </c>
      <c r="BD255">
        <v>2</v>
      </c>
      <c r="BE255" t="s">
        <v>2768</v>
      </c>
      <c r="BF255">
        <v>2</v>
      </c>
      <c r="BG255" t="s">
        <v>3011</v>
      </c>
      <c r="BH255">
        <v>2</v>
      </c>
      <c r="BI255" t="s">
        <v>2776</v>
      </c>
      <c r="BJ255">
        <v>2</v>
      </c>
      <c r="BK255" s="176" t="s">
        <v>2808</v>
      </c>
      <c r="BL255">
        <v>2</v>
      </c>
      <c r="BM255" t="s">
        <v>2776</v>
      </c>
      <c r="BN255">
        <v>2</v>
      </c>
      <c r="BO255" s="176" t="s">
        <v>2776</v>
      </c>
      <c r="BP255">
        <v>2</v>
      </c>
      <c r="BQ255" t="s">
        <v>3067</v>
      </c>
      <c r="BR255">
        <v>0</v>
      </c>
      <c r="BS255" t="s">
        <v>2768</v>
      </c>
      <c r="BT255">
        <v>2</v>
      </c>
      <c r="BU255" t="s">
        <v>2768</v>
      </c>
      <c r="BV255">
        <v>0</v>
      </c>
      <c r="BW255" s="182" t="s">
        <v>2794</v>
      </c>
      <c r="BX255" s="179">
        <v>2</v>
      </c>
      <c r="BY255" t="s">
        <v>2768</v>
      </c>
      <c r="BZ255">
        <v>2</v>
      </c>
      <c r="CA255" t="s">
        <v>2768</v>
      </c>
      <c r="CB255">
        <v>2</v>
      </c>
    </row>
    <row r="256" spans="1:80">
      <c r="A256" s="178" t="str">
        <f ca="1">IFERROR(IF(A255+加速!$L$11&lt;$AS$1,IF(COUNTIF(B255,"*轻*")&gt;0,A255+加速!$L$9,A255+加速!$L$11)+V255,IF(COUNTIF(INDEX(AU256:CB256,1,$AT$1),"*云景*")+COUNTIF(INDEX(AU256:CB256,1,$AT$1),"*鹤归*")+COUNTIF(INDEX(AU256:CB256,1,$AT$1),"*听雷*")&gt;0,A255+加速!$L$11,"")),"")</f>
        <v/>
      </c>
      <c r="B256" s="167" t="str">
        <f ca="1">IF(A256&lt;&gt;"",IF(AND(A256+加速!$L$11&gt;$AS$1,IF(AND(配装计算器!$K$30&lt;&gt;"∞",0),"梦泉虎跑-轻",INDEX(AU256:CB256,1,$AT$1))="云栖松"),"夕照雷峰",IF(AND(配装计算器!$K$30&lt;&gt;"∞",0),"梦泉虎跑-轻",INDEX(AU256:CB256,1,$AT$1))),"")</f>
        <v/>
      </c>
      <c r="C256" t="str">
        <f ca="1" t="shared" si="49"/>
        <v/>
      </c>
      <c r="D256" t="str">
        <f ca="1">IF(B256&lt;&gt;"",IF(C255&lt;=加速!$L$11*(1-E256),0,1),"")</f>
        <v/>
      </c>
      <c r="E256">
        <f ca="1" t="shared" si="45"/>
        <v>1</v>
      </c>
      <c r="G256" t="str">
        <f ca="1" t="shared" si="46"/>
        <v/>
      </c>
      <c r="H256" t="str">
        <f ca="1">IF(B256&lt;&gt;"",IF(AND(COUNTIF(B255,"*轻*莺鸣柳*")&gt;0,COUNTIF(B256,"*轻*")&lt;1),MAX(0,15+I255-(A256-A255)+COUNTIF(B255,"*平湖*")*0),IF(AND(E256=0,MAX(0,H255-(A256-A255))&lt;=加速!$H$11),0,MAX(0,H255-(A256-A255)))),"")</f>
        <v/>
      </c>
      <c r="I256" t="str">
        <f ca="1" t="shared" si="52"/>
        <v/>
      </c>
      <c r="J256" t="str">
        <f ca="1" t="shared" si="53"/>
        <v/>
      </c>
      <c r="K256" t="str">
        <f ca="1">IF(A256&lt;&gt;"",IF(AND(配装计算器!$K$30&lt;&gt;"∞",0),2,INDEX(AU256:CB256,1,$AT$2)),"")</f>
        <v/>
      </c>
      <c r="L256">
        <f ca="1">IFERROR(IF(AND(COUNTIF(B256,"*-峰插*"),技能数据库!$M$72&gt;0),0,IF(COUNTIF(B256,"*鹤归*")&gt;0,16-加速!$L$11,MAX(0,L255-(A256-A255)))),0)</f>
        <v>0</v>
      </c>
      <c r="M256">
        <f ca="1">IF(COUNTIF(IF(AND(配装计算器!$K$30&lt;&gt;"∞",0),INDEX(AU255:CB255,1,$AT$1),INDEX(AU257:CB257,1,$AT$1)),"*鹤归*")=1,L256,0)</f>
        <v>0</v>
      </c>
      <c r="N256">
        <f ca="1">IFERROR(IF(AND(COUNTIF(B256,"*-峰插*"),技能数据库!$M$72&gt;0),0,IF(COUNTIF(B256,"*云飞*")&gt;0,4-COUNTIF(B256,"*玉山揽云*")*4--COUNTIF(B256,"*烟流暮景*")*4-COUNTIF(B256,"*云景*")*加速!$L$11-IF(J256&gt;0,2,0),MAX(0,N255-(A256-A255)-IF(J256&gt;0,2,0)))),0)</f>
        <v>0</v>
      </c>
      <c r="O256">
        <f ca="1">IF(AND(COUNTIF(IF(AND(配装计算器!$K$30&lt;&gt;"∞",0),INDEX(AU255:CB255,1,$AT$1),INDEX(AU257:CB257,1,$AT$1)),"*云飞*")=1,COUNTIF(IF(AND(配装计算器!$K$30&lt;&gt;"∞",0),INDEX(AU255:CB255,1,$AT$1),INDEX(AU257:CB257,1,$AT$1)),"*玉山*")=0),N256,0)</f>
        <v>0</v>
      </c>
      <c r="P256">
        <f ca="1">IFERROR(IF(COUNTIF(B256,"*云栖松*")&gt;0,50-加速!$L$11,MAX(0,P255-(A256-A255))),0)</f>
        <v>0</v>
      </c>
      <c r="Q256">
        <f ca="1">IF(COUNTIF(IF(AND(配装计算器!$K$30&lt;&gt;"∞",0),INDEX(AU255:CB255,1,$AT$1),INDEX(AU257:CB257,1,$AT$1)),"*云栖松*")=1,P256,0)</f>
        <v>0</v>
      </c>
      <c r="R256">
        <f ca="1">IFERROR(IF(COUNTIF(B256,"*莺鸣柳*")&gt;0,45-加速!$L$9,MAX(0,R255-(A256-A255))),0)</f>
        <v>0</v>
      </c>
      <c r="S256">
        <f ca="1">IF(COUNTIF(IF(AND(配装计算器!$K$30&lt;&gt;"∞",0),INDEX(AU255:CB255,1,$AT$1),INDEX(AU257:CB257,1,$AT$1)),"*莺鸣柳*")=1,R256,0)</f>
        <v>0</v>
      </c>
      <c r="T256">
        <f ca="1" t="shared" si="50"/>
        <v>0</v>
      </c>
      <c r="U256">
        <f ca="1">IF(金蛇,IF(COUNTIF(B256,"*金环戴*")+COUNTIF(B256,"*吹风醒*")&gt;0,IF(A256&lt;=3,7.125-2.625-A256-加速!$L$11,7.125+加速!$K$9-(A256+加速!$L$11-T256)),0),0)+IF(金蛇,IF(COUNTIF(B256,"*千切子裂光*")&gt;0,2+加速!$K$9-(A256+加速!$L$11-T256),0),0)</f>
        <v>0</v>
      </c>
      <c r="V256">
        <f ca="1" t="shared" si="51"/>
        <v>0</v>
      </c>
      <c r="W256">
        <f ca="1" t="shared" si="43"/>
        <v>0</v>
      </c>
      <c r="X256">
        <f ca="1">INDEX(加速!$I$13:$I$21,技能数计算!W256+1)</f>
        <v>0</v>
      </c>
      <c r="Y256">
        <f ca="1" t="shared" si="47"/>
        <v>0.5</v>
      </c>
      <c r="Z256">
        <f ca="1" t="shared" si="48"/>
        <v>0</v>
      </c>
      <c r="AA256">
        <f ca="1">MAX(0,IFERROR(IF(COUNTIF(B256,"*叠*")&gt;0,IF(AC255&lt;3,8-A257+A256,AA255+6.875-A257+A256),AA255-A257+A256),AA255-加速!$L$11))</f>
        <v>0</v>
      </c>
      <c r="AB256" t="e">
        <f ca="1">MAX(0,IF(COUNTIF(IF(AND(配装计算器!$K$30&lt;&gt;"∞",0),INDEX(AU256:CB256,1,$AT$1),INDEX(AU256:CB256,1,$AT$1)),"*叠1*")=1,4*25-加速!$L$11,AB255-A256+A255)-IF(OR(COUNTIF(OFFSET(AT256,0,$AT$1,1,1),"*听雷*")&gt;0,AND(碧归&gt;0,COUNTIF(OFFSET(AT256,0,$AT$1,1,1),"*风来*")&gt;0)),0,1)*1.5)</f>
        <v>#VALUE!</v>
      </c>
      <c r="AC256">
        <f ca="1" t="shared" si="44"/>
        <v>3</v>
      </c>
      <c r="AD256">
        <f ca="1">IF(COUNTIF(IF(AND(配装计算器!$K$30&lt;&gt;"∞",0),INDEX(AU256:CB256,1,$AT$1),INDEX(AU257:CB257,1,$AT$1)),"*叠1*")=1,AB256*0+AE255,0)</f>
        <v>0</v>
      </c>
      <c r="AE256" t="e">
        <f ca="1">IF($AN$11&gt;0,IF(COUNTIF(B257,"*叠1*")&gt;0,50-加速!$H$11,MAX(0,AE255-(A257-A256))),0)</f>
        <v>#VALUE!</v>
      </c>
      <c r="AU256" t="s">
        <v>2768</v>
      </c>
      <c r="AV256">
        <v>1</v>
      </c>
      <c r="AW256" t="s">
        <v>2776</v>
      </c>
      <c r="AX256">
        <v>2</v>
      </c>
      <c r="AY256" t="s">
        <v>3010</v>
      </c>
      <c r="AZ256">
        <v>2</v>
      </c>
      <c r="BA256" t="s">
        <v>3013</v>
      </c>
      <c r="BB256">
        <v>2</v>
      </c>
      <c r="BC256" t="s">
        <v>2768</v>
      </c>
      <c r="BD256">
        <v>2</v>
      </c>
      <c r="BE256" t="s">
        <v>2776</v>
      </c>
      <c r="BF256">
        <v>2</v>
      </c>
      <c r="BG256" t="s">
        <v>2768</v>
      </c>
      <c r="BH256">
        <v>2</v>
      </c>
      <c r="BI256" t="s">
        <v>2768</v>
      </c>
      <c r="BJ256">
        <v>2</v>
      </c>
      <c r="BK256" t="s">
        <v>2789</v>
      </c>
      <c r="BL256">
        <v>2</v>
      </c>
      <c r="BM256" t="s">
        <v>2768</v>
      </c>
      <c r="BN256">
        <v>2</v>
      </c>
      <c r="BO256" s="176" t="s">
        <v>2768</v>
      </c>
      <c r="BP256">
        <v>2</v>
      </c>
      <c r="BQ256" t="s">
        <v>2776</v>
      </c>
      <c r="BR256">
        <v>2</v>
      </c>
      <c r="BS256" t="s">
        <v>2776</v>
      </c>
      <c r="BT256">
        <v>1</v>
      </c>
      <c r="BU256" t="s">
        <v>2768</v>
      </c>
      <c r="BV256">
        <v>0</v>
      </c>
      <c r="BW256" s="182" t="s">
        <v>2768</v>
      </c>
      <c r="BX256" s="179">
        <v>2</v>
      </c>
      <c r="BY256" t="s">
        <v>2776</v>
      </c>
      <c r="BZ256">
        <v>2</v>
      </c>
      <c r="CA256" t="s">
        <v>2776</v>
      </c>
      <c r="CB256">
        <v>2</v>
      </c>
    </row>
    <row r="257" spans="1:80">
      <c r="A257" s="178" t="str">
        <f ca="1">IFERROR(IF(A256+加速!$L$11&lt;$AS$1,IF(COUNTIF(B256,"*轻*")&gt;0,A256+加速!$L$9,A256+加速!$L$11)+V256,IF(COUNTIF(INDEX(AU257:CB257,1,$AT$1),"*云景*")+COUNTIF(INDEX(AU257:CB257,1,$AT$1),"*鹤归*")+COUNTIF(INDEX(AU257:CB257,1,$AT$1),"*听雷*")&gt;0,A256+加速!$L$11,"")),"")</f>
        <v/>
      </c>
      <c r="B257" s="167" t="str">
        <f ca="1">IF(A257&lt;&gt;"",IF(AND(A257+加速!$L$11&gt;$AS$1,IF(AND(配装计算器!$K$30&lt;&gt;"∞",0),"梦泉虎跑-轻",INDEX(AU257:CB257,1,$AT$1))="云栖松"),"夕照雷峰",IF(AND(配装计算器!$K$30&lt;&gt;"∞",0),"梦泉虎跑-轻",INDEX(AU257:CB257,1,$AT$1))),"")</f>
        <v/>
      </c>
      <c r="C257" t="str">
        <f ca="1" t="shared" si="49"/>
        <v/>
      </c>
      <c r="D257" t="str">
        <f ca="1">IF(B257&lt;&gt;"",IF(C256&lt;=加速!$L$11*(1-E257),0,1),"")</f>
        <v/>
      </c>
      <c r="E257">
        <f ca="1" t="shared" si="45"/>
        <v>1</v>
      </c>
      <c r="G257" t="str">
        <f ca="1" t="shared" si="46"/>
        <v/>
      </c>
      <c r="H257" t="str">
        <f ca="1">IF(B257&lt;&gt;"",IF(AND(COUNTIF(B256,"*轻*莺鸣柳*")&gt;0,COUNTIF(B257,"*轻*")&lt;1),MAX(0,15+I256-(A257-A256)+COUNTIF(B256,"*平湖*")*0),IF(AND(E257=0,MAX(0,H256-(A257-A256))&lt;=加速!$H$11),0,MAX(0,H256-(A257-A256)))),"")</f>
        <v/>
      </c>
      <c r="I257" t="str">
        <f ca="1" t="shared" si="52"/>
        <v/>
      </c>
      <c r="J257" t="str">
        <f ca="1" t="shared" si="53"/>
        <v/>
      </c>
      <c r="K257" t="str">
        <f ca="1">IF(A257&lt;&gt;"",IF(AND(配装计算器!$K$30&lt;&gt;"∞",0),2,INDEX(AU257:CB257,1,$AT$2)),"")</f>
        <v/>
      </c>
      <c r="L257">
        <f ca="1">IFERROR(IF(AND(COUNTIF(B257,"*-峰插*"),技能数据库!$M$72&gt;0),0,IF(COUNTIF(B257,"*鹤归*")&gt;0,16-加速!$L$11,MAX(0,L256-(A257-A256)))),0)</f>
        <v>0</v>
      </c>
      <c r="M257">
        <f ca="1">IF(COUNTIF(IF(AND(配装计算器!$K$30&lt;&gt;"∞",0),INDEX(AU256:CB256,1,$AT$1),INDEX(AU258:CB258,1,$AT$1)),"*鹤归*")=1,L257,0)</f>
        <v>0</v>
      </c>
      <c r="N257">
        <f ca="1">IFERROR(IF(AND(COUNTIF(B257,"*-峰插*"),技能数据库!$M$72&gt;0),0,IF(COUNTIF(B257,"*云飞*")&gt;0,4-COUNTIF(B257,"*玉山揽云*")*4--COUNTIF(B257,"*烟流暮景*")*4-COUNTIF(B257,"*云景*")*加速!$L$11-IF(J257&gt;0,2,0),MAX(0,N256-(A257-A256)-IF(J257&gt;0,2,0)))),0)</f>
        <v>0</v>
      </c>
      <c r="O257">
        <f ca="1">IF(AND(COUNTIF(IF(AND(配装计算器!$K$30&lt;&gt;"∞",0),INDEX(AU256:CB256,1,$AT$1),INDEX(AU258:CB258,1,$AT$1)),"*云飞*")=1,COUNTIF(IF(AND(配装计算器!$K$30&lt;&gt;"∞",0),INDEX(AU256:CB256,1,$AT$1),INDEX(AU258:CB258,1,$AT$1)),"*玉山*")=0),N257,0)</f>
        <v>0</v>
      </c>
      <c r="P257">
        <f ca="1">IFERROR(IF(COUNTIF(B257,"*云栖松*")&gt;0,50-加速!$L$11,MAX(0,P256-(A257-A256))),0)</f>
        <v>0</v>
      </c>
      <c r="Q257">
        <f ca="1">IF(COUNTIF(IF(AND(配装计算器!$K$30&lt;&gt;"∞",0),INDEX(AU256:CB256,1,$AT$1),INDEX(AU258:CB258,1,$AT$1)),"*云栖松*")=1,P257,0)</f>
        <v>0</v>
      </c>
      <c r="R257">
        <f ca="1">IFERROR(IF(COUNTIF(B257,"*莺鸣柳*")&gt;0,45-加速!$L$9,MAX(0,R256-(A257-A256))),0)</f>
        <v>0</v>
      </c>
      <c r="S257">
        <f ca="1">IF(COUNTIF(IF(AND(配装计算器!$K$30&lt;&gt;"∞",0),INDEX(AU256:CB256,1,$AT$1),INDEX(AU258:CB258,1,$AT$1)),"*莺鸣柳*")=1,R257,0)</f>
        <v>0</v>
      </c>
      <c r="T257">
        <f ca="1" t="shared" si="50"/>
        <v>0</v>
      </c>
      <c r="U257">
        <f ca="1">IF(金蛇,IF(COUNTIF(B257,"*金环戴*")+COUNTIF(B257,"*吹风醒*")&gt;0,IF(A257&lt;=3,7.125-2.625-A257-加速!$L$11,7.125+加速!$K$9-(A257+加速!$L$11-T257)),0),0)+IF(金蛇,IF(COUNTIF(B257,"*千切子裂光*")&gt;0,2+加速!$K$9-(A257+加速!$L$11-T257),0),0)</f>
        <v>0</v>
      </c>
      <c r="V257">
        <f ca="1" t="shared" si="51"/>
        <v>0</v>
      </c>
      <c r="W257">
        <f ca="1" t="shared" si="43"/>
        <v>0</v>
      </c>
      <c r="X257">
        <f ca="1">INDEX(加速!$I$13:$I$21,技能数计算!W257+1)</f>
        <v>0</v>
      </c>
      <c r="Y257">
        <f ca="1" t="shared" si="47"/>
        <v>0.5</v>
      </c>
      <c r="Z257">
        <f ca="1" t="shared" si="48"/>
        <v>0</v>
      </c>
      <c r="AA257">
        <f ca="1">MAX(0,IFERROR(IF(COUNTIF(B257,"*叠*")&gt;0,IF(AC256&lt;3,8-A258+A257,AA256+6.875-A258+A257),AA256-A258+A257),AA256-加速!$L$11))</f>
        <v>0</v>
      </c>
      <c r="AB257" t="e">
        <f ca="1">MAX(0,IF(COUNTIF(IF(AND(配装计算器!$K$30&lt;&gt;"∞",0),INDEX(AU257:CB257,1,$AT$1),INDEX(AU257:CB257,1,$AT$1)),"*叠1*")=1,4*25-加速!$L$11,AB256-A257+A256)-IF(OR(COUNTIF(OFFSET(AT257,0,$AT$1,1,1),"*听雷*")&gt;0,AND(碧归&gt;0,COUNTIF(OFFSET(AT257,0,$AT$1,1,1),"*风来*")&gt;0)),0,1)*1.5)</f>
        <v>#VALUE!</v>
      </c>
      <c r="AC257">
        <f ca="1" t="shared" si="44"/>
        <v>3</v>
      </c>
      <c r="AD257">
        <f ca="1">IF(COUNTIF(IF(AND(配装计算器!$K$30&lt;&gt;"∞",0),INDEX(AU257:CB257,1,$AT$1),INDEX(AU258:CB258,1,$AT$1)),"*叠1*")=1,AB257*0+AE256,0)</f>
        <v>0</v>
      </c>
      <c r="AE257" t="e">
        <f ca="1">IF($AN$11&gt;0,IF(COUNTIF(B258,"*叠1*")&gt;0,50-加速!$H$11,MAX(0,AE256-(A258-A257))),0)</f>
        <v>#VALUE!</v>
      </c>
      <c r="AU257" t="s">
        <v>2768</v>
      </c>
      <c r="AV257">
        <v>1</v>
      </c>
      <c r="AW257" t="s">
        <v>2768</v>
      </c>
      <c r="AX257">
        <v>2</v>
      </c>
      <c r="AY257" t="s">
        <v>3013</v>
      </c>
      <c r="AZ257">
        <v>2</v>
      </c>
      <c r="BA257" t="s">
        <v>3017</v>
      </c>
      <c r="BB257">
        <v>2</v>
      </c>
      <c r="BC257" t="s">
        <v>2776</v>
      </c>
      <c r="BD257">
        <v>2</v>
      </c>
      <c r="BE257" t="s">
        <v>2768</v>
      </c>
      <c r="BF257">
        <v>1</v>
      </c>
      <c r="BG257" t="s">
        <v>3018</v>
      </c>
      <c r="BH257">
        <v>2</v>
      </c>
      <c r="BI257" t="s">
        <v>2776</v>
      </c>
      <c r="BJ257">
        <v>1</v>
      </c>
      <c r="BK257" t="s">
        <v>2776</v>
      </c>
      <c r="BL257">
        <v>2</v>
      </c>
      <c r="BM257" t="str">
        <f>IF(0,"云飞玉皇-玉山揽云","夕照雷峰")</f>
        <v>夕照雷峰</v>
      </c>
      <c r="BN257">
        <v>2</v>
      </c>
      <c r="BO257" s="176" t="s">
        <v>2776</v>
      </c>
      <c r="BP257">
        <v>2</v>
      </c>
      <c r="BQ257" t="s">
        <v>2768</v>
      </c>
      <c r="BR257">
        <v>2</v>
      </c>
      <c r="BS257" t="s">
        <v>2768</v>
      </c>
      <c r="BT257">
        <v>1</v>
      </c>
      <c r="BU257" t="s">
        <v>2776</v>
      </c>
      <c r="BV257">
        <v>0</v>
      </c>
      <c r="BW257" s="182" t="s">
        <v>2776</v>
      </c>
      <c r="BX257" s="179">
        <v>2</v>
      </c>
      <c r="BY257" s="176" t="s">
        <v>2794</v>
      </c>
      <c r="BZ257">
        <v>2</v>
      </c>
      <c r="CA257" s="176" t="s">
        <v>2794</v>
      </c>
      <c r="CB257">
        <v>2</v>
      </c>
    </row>
    <row r="258" spans="1:80">
      <c r="A258" s="178" t="str">
        <f ca="1">IFERROR(IF(A257+加速!$L$11&lt;$AS$1,IF(COUNTIF(B257,"*轻*")&gt;0,A257+加速!$L$9,A257+加速!$L$11)+V257,IF(COUNTIF(INDEX(AU258:CB258,1,$AT$1),"*云景*")+COUNTIF(INDEX(AU258:CB258,1,$AT$1),"*鹤归*")+COUNTIF(INDEX(AU258:CB258,1,$AT$1),"*听雷*")&gt;0,A257+加速!$L$11,"")),"")</f>
        <v/>
      </c>
      <c r="B258" s="167" t="str">
        <f ca="1">IF(A258&lt;&gt;"",IF(AND(A258+加速!$L$11&gt;$AS$1,IF(AND(配装计算器!$K$30&lt;&gt;"∞",0),"梦泉虎跑-轻",INDEX(AU258:CB258,1,$AT$1))="云栖松"),"夕照雷峰",IF(AND(配装计算器!$K$30&lt;&gt;"∞",0),"梦泉虎跑-轻",INDEX(AU258:CB258,1,$AT$1))),"")</f>
        <v/>
      </c>
      <c r="C258" t="str">
        <f ca="1" t="shared" si="49"/>
        <v/>
      </c>
      <c r="D258" t="str">
        <f ca="1">IF(B258&lt;&gt;"",IF(C257&lt;=加速!$L$11*(1-E258),0,1),"")</f>
        <v/>
      </c>
      <c r="E258">
        <f ca="1" t="shared" si="45"/>
        <v>1</v>
      </c>
      <c r="G258" t="str">
        <f ca="1" t="shared" si="46"/>
        <v/>
      </c>
      <c r="H258" t="str">
        <f ca="1">IF(B258&lt;&gt;"",IF(AND(COUNTIF(B257,"*轻*莺鸣柳*")&gt;0,COUNTIF(B258,"*轻*")&lt;1),MAX(0,15+I257-(A258-A257)+COUNTIF(B257,"*平湖*")*0),IF(AND(E258=0,MAX(0,H257-(A258-A257))&lt;=加速!$H$11),0,MAX(0,H257-(A258-A257)))),"")</f>
        <v/>
      </c>
      <c r="I258" t="str">
        <f ca="1" t="shared" si="52"/>
        <v/>
      </c>
      <c r="J258" t="str">
        <f ca="1" t="shared" si="53"/>
        <v/>
      </c>
      <c r="K258" t="str">
        <f ca="1">IF(A258&lt;&gt;"",IF(AND(配装计算器!$K$30&lt;&gt;"∞",0),2,INDEX(AU258:CB258,1,$AT$2)),"")</f>
        <v/>
      </c>
      <c r="L258">
        <f ca="1">IFERROR(IF(AND(COUNTIF(B258,"*-峰插*"),技能数据库!$M$72&gt;0),0,IF(COUNTIF(B258,"*鹤归*")&gt;0,16-加速!$L$11,MAX(0,L257-(A258-A257)))),0)</f>
        <v>0</v>
      </c>
      <c r="M258">
        <f ca="1">IF(COUNTIF(IF(AND(配装计算器!$K$30&lt;&gt;"∞",0),INDEX(AU257:CB257,1,$AT$1),INDEX(AU259:CB259,1,$AT$1)),"*鹤归*")=1,L258,0)</f>
        <v>0</v>
      </c>
      <c r="N258">
        <f ca="1">IFERROR(IF(AND(COUNTIF(B258,"*-峰插*"),技能数据库!$M$72&gt;0),0,IF(COUNTIF(B258,"*云飞*")&gt;0,4-COUNTIF(B258,"*玉山揽云*")*4--COUNTIF(B258,"*烟流暮景*")*4-COUNTIF(B258,"*云景*")*加速!$L$11-IF(J258&gt;0,2,0),MAX(0,N257-(A258-A257)-IF(J258&gt;0,2,0)))),0)</f>
        <v>0</v>
      </c>
      <c r="O258">
        <f ca="1">IF(AND(COUNTIF(IF(AND(配装计算器!$K$30&lt;&gt;"∞",0),INDEX(AU257:CB257,1,$AT$1),INDEX(AU259:CB259,1,$AT$1)),"*云飞*")=1,COUNTIF(IF(AND(配装计算器!$K$30&lt;&gt;"∞",0),INDEX(AU257:CB257,1,$AT$1),INDEX(AU259:CB259,1,$AT$1)),"*玉山*")=0),N258,0)</f>
        <v>0</v>
      </c>
      <c r="P258">
        <f ca="1">IFERROR(IF(COUNTIF(B258,"*云栖松*")&gt;0,50-加速!$L$11,MAX(0,P257-(A258-A257))),0)</f>
        <v>0</v>
      </c>
      <c r="Q258">
        <f ca="1">IF(COUNTIF(IF(AND(配装计算器!$K$30&lt;&gt;"∞",0),INDEX(AU257:CB257,1,$AT$1),INDEX(AU259:CB259,1,$AT$1)),"*云栖松*")=1,P258,0)</f>
        <v>0</v>
      </c>
      <c r="R258">
        <f ca="1">IFERROR(IF(COUNTIF(B258,"*莺鸣柳*")&gt;0,45-加速!$L$9,MAX(0,R257-(A258-A257))),0)</f>
        <v>0</v>
      </c>
      <c r="S258">
        <f ca="1">IF(COUNTIF(IF(AND(配装计算器!$K$30&lt;&gt;"∞",0),INDEX(AU257:CB257,1,$AT$1),INDEX(AU259:CB259,1,$AT$1)),"*莺鸣柳*")=1,R258,0)</f>
        <v>0</v>
      </c>
      <c r="T258">
        <f ca="1" t="shared" si="50"/>
        <v>0</v>
      </c>
      <c r="U258">
        <f ca="1">IF(金蛇,IF(COUNTIF(B258,"*金环戴*")+COUNTIF(B258,"*吹风醒*")&gt;0,IF(A258&lt;=3,7.125-2.625-A258-加速!$L$11,7.125+加速!$K$9-(A258+加速!$L$11-T258)),0),0)+IF(金蛇,IF(COUNTIF(B258,"*千切子裂光*")&gt;0,2+加速!$K$9-(A258+加速!$L$11-T258),0),0)</f>
        <v>0</v>
      </c>
      <c r="V258">
        <f ca="1" t="shared" si="51"/>
        <v>0</v>
      </c>
      <c r="W258">
        <f ca="1" t="shared" si="43"/>
        <v>0</v>
      </c>
      <c r="X258">
        <f ca="1">INDEX(加速!$I$13:$I$21,技能数计算!W258+1)</f>
        <v>0</v>
      </c>
      <c r="Y258">
        <f ca="1" t="shared" si="47"/>
        <v>0.5</v>
      </c>
      <c r="Z258">
        <f ca="1" t="shared" si="48"/>
        <v>0</v>
      </c>
      <c r="AA258">
        <f ca="1">MAX(0,IFERROR(IF(COUNTIF(B258,"*叠*")&gt;0,IF(AC257&lt;3,8-A259+A258,AA257+6.875-A259+A258),AA257-A259+A258),AA257-加速!$L$11))</f>
        <v>0</v>
      </c>
      <c r="AB258" t="e">
        <f ca="1">MAX(0,IF(COUNTIF(IF(AND(配装计算器!$K$30&lt;&gt;"∞",0),INDEX(AU258:CB258,1,$AT$1),INDEX(AU258:CB258,1,$AT$1)),"*叠1*")=1,4*25-加速!$L$11,AB257-A258+A257)-IF(OR(COUNTIF(OFFSET(AT258,0,$AT$1,1,1),"*听雷*")&gt;0,AND(碧归&gt;0,COUNTIF(OFFSET(AT258,0,$AT$1,1,1),"*风来*")&gt;0)),0,1)*1.5)</f>
        <v>#VALUE!</v>
      </c>
      <c r="AC258">
        <f ca="1" t="shared" si="44"/>
        <v>3</v>
      </c>
      <c r="AD258">
        <f ca="1">IF(COUNTIF(IF(AND(配装计算器!$K$30&lt;&gt;"∞",0),INDEX(AU258:CB258,1,$AT$1),INDEX(AU259:CB259,1,$AT$1)),"*叠1*")=1,AB258*0+AE257,0)</f>
        <v>0</v>
      </c>
      <c r="AE258" t="e">
        <f ca="1">IF($AN$11&gt;0,IF(COUNTIF(B259,"*叠1*")&gt;0,50-加速!$H$11,MAX(0,AE257-(A259-A258))),0)</f>
        <v>#VALUE!</v>
      </c>
      <c r="AU258" t="s">
        <v>3063</v>
      </c>
      <c r="AV258">
        <v>2</v>
      </c>
      <c r="AW258" s="176" t="s">
        <v>2794</v>
      </c>
      <c r="AX258">
        <v>2</v>
      </c>
      <c r="AY258" t="s">
        <v>3017</v>
      </c>
      <c r="AZ258">
        <v>2</v>
      </c>
      <c r="BA258" t="s">
        <v>2808</v>
      </c>
      <c r="BB258">
        <v>2</v>
      </c>
      <c r="BC258" t="s">
        <v>2768</v>
      </c>
      <c r="BD258">
        <v>1</v>
      </c>
      <c r="BE258" t="s">
        <v>2768</v>
      </c>
      <c r="BF258">
        <v>1</v>
      </c>
      <c r="BG258" t="s">
        <v>2768</v>
      </c>
      <c r="BH258">
        <v>2</v>
      </c>
      <c r="BI258" t="s">
        <v>2768</v>
      </c>
      <c r="BJ258">
        <v>1</v>
      </c>
      <c r="BK258" s="180" t="s">
        <v>3036</v>
      </c>
      <c r="BL258">
        <v>2</v>
      </c>
      <c r="BM258" t="str">
        <f>IF(0,"云飞玉皇-玉山揽云","夕照雷峰")</f>
        <v>夕照雷峰</v>
      </c>
      <c r="BN258">
        <v>2</v>
      </c>
      <c r="BO258" s="176" t="s">
        <v>2768</v>
      </c>
      <c r="BP258">
        <v>2</v>
      </c>
      <c r="BQ258" t="s">
        <v>2768</v>
      </c>
      <c r="BR258">
        <v>2</v>
      </c>
      <c r="BS258" t="s">
        <v>3056</v>
      </c>
      <c r="BT258">
        <v>0</v>
      </c>
      <c r="BU258" t="s">
        <v>3067</v>
      </c>
      <c r="BV258">
        <v>0</v>
      </c>
      <c r="BW258" s="182" t="s">
        <v>2768</v>
      </c>
      <c r="BX258" s="179">
        <v>2</v>
      </c>
      <c r="BY258" s="176" t="str">
        <f>IF(0,"云飞玉皇-玉山揽云","夕照雷峰")</f>
        <v>夕照雷峰</v>
      </c>
      <c r="BZ258">
        <v>2</v>
      </c>
      <c r="CA258" t="str">
        <f>IF(0,"云飞玉皇-玉山揽云","夕照雷峰")</f>
        <v>夕照雷峰</v>
      </c>
      <c r="CB258">
        <v>2</v>
      </c>
    </row>
    <row r="259" spans="1:80">
      <c r="A259" s="178" t="str">
        <f ca="1">IFERROR(IF(A258+加速!$L$11&lt;$AS$1,IF(COUNTIF(B258,"*轻*")&gt;0,A258+加速!$L$9,A258+加速!$L$11)+V258,IF(COUNTIF(INDEX(AU259:CB259,1,$AT$1),"*云景*")+COUNTIF(INDEX(AU259:CB259,1,$AT$1),"*鹤归*")+COUNTIF(INDEX(AU259:CB259,1,$AT$1),"*听雷*")&gt;0,A258+加速!$L$11,"")),"")</f>
        <v/>
      </c>
      <c r="B259" s="167" t="str">
        <f ca="1">IF(A259&lt;&gt;"",IF(AND(A259+加速!$L$11&gt;$AS$1,IF(AND(配装计算器!$K$30&lt;&gt;"∞",0),"梦泉虎跑-轻",INDEX(AU259:CB259,1,$AT$1))="云栖松"),"夕照雷峰",IF(AND(配装计算器!$K$30&lt;&gt;"∞",0),"梦泉虎跑-轻",INDEX(AU259:CB259,1,$AT$1))),"")</f>
        <v/>
      </c>
      <c r="C259" t="str">
        <f ca="1" t="shared" si="49"/>
        <v/>
      </c>
      <c r="D259" t="str">
        <f ca="1">IF(B259&lt;&gt;"",IF(C258&lt;=加速!$L$11*(1-E259),0,1),"")</f>
        <v/>
      </c>
      <c r="E259">
        <f ca="1" t="shared" si="45"/>
        <v>1</v>
      </c>
      <c r="G259" t="str">
        <f ca="1" t="shared" si="46"/>
        <v/>
      </c>
      <c r="H259" t="str">
        <f ca="1">IF(B259&lt;&gt;"",IF(AND(COUNTIF(B258,"*轻*莺鸣柳*")&gt;0,COUNTIF(B259,"*轻*")&lt;1),MAX(0,15+I258-(A259-A258)+COUNTIF(B258,"*平湖*")*0),IF(AND(E259=0,MAX(0,H258-(A259-A258))&lt;=加速!$H$11),0,MAX(0,H258-(A259-A258)))),"")</f>
        <v/>
      </c>
      <c r="I259" t="str">
        <f ca="1" t="shared" si="52"/>
        <v/>
      </c>
      <c r="J259" t="str">
        <f ca="1" t="shared" si="53"/>
        <v/>
      </c>
      <c r="K259" t="str">
        <f ca="1">IF(A259&lt;&gt;"",IF(AND(配装计算器!$K$30&lt;&gt;"∞",0),2,INDEX(AU259:CB259,1,$AT$2)),"")</f>
        <v/>
      </c>
      <c r="L259">
        <f ca="1">IFERROR(IF(AND(COUNTIF(B259,"*-峰插*"),技能数据库!$M$72&gt;0),0,IF(COUNTIF(B259,"*鹤归*")&gt;0,16-加速!$L$11,MAX(0,L258-(A259-A258)))),0)</f>
        <v>0</v>
      </c>
      <c r="M259">
        <f ca="1">IF(COUNTIF(IF(AND(配装计算器!$K$30&lt;&gt;"∞",0),INDEX(AU258:CB258,1,$AT$1),INDEX(AU260:CB260,1,$AT$1)),"*鹤归*")=1,L259,0)</f>
        <v>0</v>
      </c>
      <c r="N259">
        <f ca="1">IFERROR(IF(AND(COUNTIF(B259,"*-峰插*"),技能数据库!$M$72&gt;0),0,IF(COUNTIF(B259,"*云飞*")&gt;0,4-COUNTIF(B259,"*玉山揽云*")*4--COUNTIF(B259,"*烟流暮景*")*4-COUNTIF(B259,"*云景*")*加速!$L$11-IF(J259&gt;0,2,0),MAX(0,N258-(A259-A258)-IF(J259&gt;0,2,0)))),0)</f>
        <v>0</v>
      </c>
      <c r="O259">
        <f ca="1">IF(AND(COUNTIF(IF(AND(配装计算器!$K$30&lt;&gt;"∞",0),INDEX(AU258:CB258,1,$AT$1),INDEX(AU260:CB260,1,$AT$1)),"*云飞*")=1,COUNTIF(IF(AND(配装计算器!$K$30&lt;&gt;"∞",0),INDEX(AU258:CB258,1,$AT$1),INDEX(AU260:CB260,1,$AT$1)),"*玉山*")=0),N259,0)</f>
        <v>0</v>
      </c>
      <c r="P259">
        <f ca="1">IFERROR(IF(COUNTIF(B259,"*云栖松*")&gt;0,50-加速!$L$11,MAX(0,P258-(A259-A258))),0)</f>
        <v>0</v>
      </c>
      <c r="Q259">
        <f ca="1">IF(COUNTIF(IF(AND(配装计算器!$K$30&lt;&gt;"∞",0),INDEX(AU258:CB258,1,$AT$1),INDEX(AU260:CB260,1,$AT$1)),"*云栖松*")=1,P259,0)</f>
        <v>0</v>
      </c>
      <c r="R259">
        <f ca="1">IFERROR(IF(COUNTIF(B259,"*莺鸣柳*")&gt;0,45-加速!$L$9,MAX(0,R258-(A259-A258))),0)</f>
        <v>0</v>
      </c>
      <c r="S259">
        <f ca="1">IF(COUNTIF(IF(AND(配装计算器!$K$30&lt;&gt;"∞",0),INDEX(AU258:CB258,1,$AT$1),INDEX(AU260:CB260,1,$AT$1)),"*莺鸣柳*")=1,R259,0)</f>
        <v>0</v>
      </c>
      <c r="T259">
        <f ca="1" t="shared" si="50"/>
        <v>0</v>
      </c>
      <c r="U259">
        <f ca="1">IF(金蛇,IF(COUNTIF(B259,"*金环戴*")+COUNTIF(B259,"*吹风醒*")&gt;0,IF(A259&lt;=3,7.125-2.625-A259-加速!$L$11,7.125+加速!$K$9-(A259+加速!$L$11-T259)),0),0)+IF(金蛇,IF(COUNTIF(B259,"*千切子裂光*")&gt;0,2+加速!$K$9-(A259+加速!$L$11-T259),0),0)</f>
        <v>0</v>
      </c>
      <c r="V259">
        <f ca="1" t="shared" si="51"/>
        <v>0</v>
      </c>
      <c r="W259">
        <f ca="1" t="shared" ref="W259:W322" si="57">IF(COUNTIF(B259,"*风来吴山*")&gt;0,1,IF(W258+1&gt;风车GCD,0,IF(W258&gt;0,W258+1,0)))</f>
        <v>0</v>
      </c>
      <c r="X259">
        <f ca="1">INDEX(加速!$I$13:$I$21,技能数计算!W259+1)</f>
        <v>0</v>
      </c>
      <c r="Y259">
        <f ca="1" t="shared" si="47"/>
        <v>0.5</v>
      </c>
      <c r="Z259">
        <f ca="1" t="shared" si="48"/>
        <v>0</v>
      </c>
      <c r="AA259">
        <f ca="1">MAX(0,IFERROR(IF(COUNTIF(B259,"*叠*")&gt;0,IF(AC258&lt;3,8-A260+A259,AA258+6.875-A260+A259),AA258-A260+A259),AA258-加速!$L$11))</f>
        <v>0</v>
      </c>
      <c r="AB259" t="e">
        <f ca="1">MAX(0,IF(COUNTIF(IF(AND(配装计算器!$K$30&lt;&gt;"∞",0),INDEX(AU259:CB259,1,$AT$1),INDEX(AU259:CB259,1,$AT$1)),"*叠1*")=1,4*25-加速!$L$11,AB258-A259+A258)-IF(OR(COUNTIF(OFFSET(AT259,0,$AT$1,1,1),"*听雷*")&gt;0,AND(碧归&gt;0,COUNTIF(OFFSET(AT259,0,$AT$1,1,1),"*风来*")&gt;0)),0,1)*1.5)</f>
        <v>#VALUE!</v>
      </c>
      <c r="AC259">
        <f ca="1" t="shared" ref="AC259:AC322" si="58">IF(AND(AA259=0,E259=0),0,IF(AND(COUNTIF(B259,"*叠*")&gt;0,OR(AA258=0,AA258&gt;=5)),AC258+1,AC258))</f>
        <v>3</v>
      </c>
      <c r="AD259">
        <f ca="1">IF(COUNTIF(IF(AND(配装计算器!$K$30&lt;&gt;"∞",0),INDEX(AU259:CB259,1,$AT$1),INDEX(AU260:CB260,1,$AT$1)),"*叠1*")=1,AB259*0+AE258,0)</f>
        <v>0</v>
      </c>
      <c r="AE259" t="e">
        <f ca="1">IF($AN$11&gt;0,IF(COUNTIF(B260,"*叠1*")&gt;0,50-加速!$H$11,MAX(0,AE258-(A260-A259))),0)</f>
        <v>#VALUE!</v>
      </c>
      <c r="AU259" t="s">
        <v>2776</v>
      </c>
      <c r="AV259">
        <v>1</v>
      </c>
      <c r="AW259" s="176" t="s">
        <v>2768</v>
      </c>
      <c r="AX259">
        <v>2</v>
      </c>
      <c r="AY259" t="s">
        <v>2808</v>
      </c>
      <c r="AZ259">
        <v>2</v>
      </c>
      <c r="BA259" t="s">
        <v>3022</v>
      </c>
      <c r="BB259">
        <v>2</v>
      </c>
      <c r="BC259" t="s">
        <v>2768</v>
      </c>
      <c r="BD259">
        <v>1</v>
      </c>
      <c r="BE259" t="s">
        <v>3042</v>
      </c>
      <c r="BF259">
        <v>0</v>
      </c>
      <c r="BG259" s="182" t="s">
        <v>3023</v>
      </c>
      <c r="BH259">
        <v>2</v>
      </c>
      <c r="BI259" t="s">
        <v>2776</v>
      </c>
      <c r="BJ259">
        <v>0</v>
      </c>
      <c r="BK259" t="s">
        <v>3026</v>
      </c>
      <c r="BL259">
        <v>2</v>
      </c>
      <c r="BM259" t="str">
        <f>IF(0,"云飞玉皇-玉山揽云","云飞玉皇")</f>
        <v>云飞玉皇</v>
      </c>
      <c r="BN259">
        <v>2</v>
      </c>
      <c r="BO259" t="s">
        <v>3056</v>
      </c>
      <c r="BP259">
        <v>1</v>
      </c>
      <c r="BQ259" t="s">
        <v>2768</v>
      </c>
      <c r="BR259">
        <v>1</v>
      </c>
      <c r="BS259" t="s">
        <v>2768</v>
      </c>
      <c r="BT259">
        <v>2</v>
      </c>
      <c r="BU259" t="s">
        <v>2768</v>
      </c>
      <c r="BV259">
        <v>2</v>
      </c>
      <c r="BW259" s="182" t="s">
        <v>2776</v>
      </c>
      <c r="BX259" s="179">
        <v>2</v>
      </c>
      <c r="BY259" s="176" t="str">
        <f>IF(0,"云飞玉皇-玉山揽云","云飞玉皇")</f>
        <v>云飞玉皇</v>
      </c>
      <c r="BZ259">
        <v>2</v>
      </c>
      <c r="CA259" t="str">
        <f>IF(0,"云飞玉皇-玉山揽云","云飞玉皇")</f>
        <v>云飞玉皇</v>
      </c>
      <c r="CB259">
        <v>2</v>
      </c>
    </row>
    <row r="260" spans="1:80">
      <c r="A260" s="178" t="str">
        <f ca="1">IFERROR(IF(A259+加速!$L$11&lt;$AS$1,IF(COUNTIF(B259,"*轻*")&gt;0,A259+加速!$L$9,A259+加速!$L$11)+V259,IF(COUNTIF(INDEX(AU260:CB260,1,$AT$1),"*云景*")+COUNTIF(INDEX(AU260:CB260,1,$AT$1),"*鹤归*")+COUNTIF(INDEX(AU260:CB260,1,$AT$1),"*听雷*")&gt;0,A259+加速!$L$11,"")),"")</f>
        <v/>
      </c>
      <c r="B260" s="167" t="str">
        <f ca="1">IF(A260&lt;&gt;"",IF(AND(A260+加速!$L$11&gt;$AS$1,IF(AND(配装计算器!$K$30&lt;&gt;"∞",0),"梦泉虎跑-轻",INDEX(AU260:CB260,1,$AT$1))="云栖松"),"夕照雷峰",IF(AND(配装计算器!$K$30&lt;&gt;"∞",0),"梦泉虎跑-轻",INDEX(AU260:CB260,1,$AT$1))),"")</f>
        <v/>
      </c>
      <c r="C260" t="str">
        <f ca="1" t="shared" si="49"/>
        <v/>
      </c>
      <c r="D260" t="str">
        <f ca="1">IF(B260&lt;&gt;"",IF(C259&lt;=加速!$L$11*(1-E260),0,1),"")</f>
        <v/>
      </c>
      <c r="E260">
        <f ca="1" t="shared" ref="E260:E323" si="59">IF(OR(COUNTIF(B260,"*夕照雷峰*")&gt;0,COUNTIF(B260,"云飞玉皇*")&gt;0,COUNTIF(B260,"风来吴山*")&gt;0),COUNTIF(B260,"*云景*")+COUNTIF(B260,"*玉山揽云*")+COUNTIF(B260,"*烟流暮景*"),1)</f>
        <v>1</v>
      </c>
      <c r="G260" t="str">
        <f ca="1" t="shared" ref="G260:G323" si="60">IF(B260&lt;&gt;"",IF(AND(碧归&gt;0,COUNTIF(B259,"*风来吴山*")&gt;0),8,MAX(0,G259-COUNTIF(B260,"*云飞*")-COUNTIF(B260,"*鹤*")-COUNTIF(B260,"*夕*"))),"")</f>
        <v/>
      </c>
      <c r="H260" t="str">
        <f ca="1">IF(B260&lt;&gt;"",IF(AND(COUNTIF(B259,"*轻*莺鸣柳*")&gt;0,COUNTIF(B260,"*轻*")&lt;1),MAX(0,15+I259-(A260-A259)+COUNTIF(B259,"*平湖*")*0),IF(AND(E260=0,MAX(0,H259-(A260-A259))&lt;=加速!$H$11),0,MAX(0,H259-(A260-A259)))),"")</f>
        <v/>
      </c>
      <c r="I260" t="str">
        <f ca="1" t="shared" si="52"/>
        <v/>
      </c>
      <c r="J260" t="str">
        <f ca="1" t="shared" si="53"/>
        <v/>
      </c>
      <c r="K260" t="str">
        <f ca="1">IF(A260&lt;&gt;"",IF(AND(配装计算器!$K$30&lt;&gt;"∞",0),2,INDEX(AU260:CB260,1,$AT$2)),"")</f>
        <v/>
      </c>
      <c r="L260">
        <f ca="1">IFERROR(IF(AND(COUNTIF(B260,"*-峰插*"),技能数据库!$M$72&gt;0),0,IF(COUNTIF(B260,"*鹤归*")&gt;0,16-加速!$L$11,MAX(0,L259-(A260-A259)))),0)</f>
        <v>0</v>
      </c>
      <c r="M260">
        <f ca="1">IF(COUNTIF(IF(AND(配装计算器!$K$30&lt;&gt;"∞",0),INDEX(AU259:CB259,1,$AT$1),INDEX(AU261:CB261,1,$AT$1)),"*鹤归*")=1,L260,0)</f>
        <v>0</v>
      </c>
      <c r="N260">
        <f ca="1">IFERROR(IF(AND(COUNTIF(B260,"*-峰插*"),技能数据库!$M$72&gt;0),0,IF(COUNTIF(B260,"*云飞*")&gt;0,4-COUNTIF(B260,"*玉山揽云*")*4--COUNTIF(B260,"*烟流暮景*")*4-COUNTIF(B260,"*云景*")*加速!$L$11-IF(J260&gt;0,2,0),MAX(0,N259-(A260-A259)-IF(J260&gt;0,2,0)))),0)</f>
        <v>0</v>
      </c>
      <c r="O260">
        <f ca="1">IF(AND(COUNTIF(IF(AND(配装计算器!$K$30&lt;&gt;"∞",0),INDEX(AU259:CB259,1,$AT$1),INDEX(AU261:CB261,1,$AT$1)),"*云飞*")=1,COUNTIF(IF(AND(配装计算器!$K$30&lt;&gt;"∞",0),INDEX(AU259:CB259,1,$AT$1),INDEX(AU261:CB261,1,$AT$1)),"*玉山*")=0),N260,0)</f>
        <v>0</v>
      </c>
      <c r="P260">
        <f ca="1">IFERROR(IF(COUNTIF(B260,"*云栖松*")&gt;0,50-加速!$L$11,MAX(0,P259-(A260-A259))),0)</f>
        <v>0</v>
      </c>
      <c r="Q260">
        <f ca="1">IF(COUNTIF(IF(AND(配装计算器!$K$30&lt;&gt;"∞",0),INDEX(AU259:CB259,1,$AT$1),INDEX(AU261:CB261,1,$AT$1)),"*云栖松*")=1,P260,0)</f>
        <v>0</v>
      </c>
      <c r="R260">
        <f ca="1">IFERROR(IF(COUNTIF(B260,"*莺鸣柳*")&gt;0,45-加速!$L$9,MAX(0,R259-(A260-A259))),0)</f>
        <v>0</v>
      </c>
      <c r="S260">
        <f ca="1">IF(COUNTIF(IF(AND(配装计算器!$K$30&lt;&gt;"∞",0),INDEX(AU259:CB259,1,$AT$1),INDEX(AU261:CB261,1,$AT$1)),"*莺鸣柳*")=1,R260,0)</f>
        <v>0</v>
      </c>
      <c r="T260">
        <f ca="1" t="shared" si="50"/>
        <v>0</v>
      </c>
      <c r="U260">
        <f ca="1">IF(金蛇,IF(COUNTIF(B260,"*金环戴*")+COUNTIF(B260,"*吹风醒*")&gt;0,IF(A260&lt;=3,7.125-2.625-A260-加速!$L$11,7.125+加速!$K$9-(A260+加速!$L$11-T260)),0),0)+IF(金蛇,IF(COUNTIF(B260,"*千切子裂光*")&gt;0,2+加速!$K$9-(A260+加速!$L$11-T260),0),0)</f>
        <v>0</v>
      </c>
      <c r="V260">
        <f ca="1" t="shared" si="51"/>
        <v>0</v>
      </c>
      <c r="W260">
        <f ca="1" t="shared" si="57"/>
        <v>0</v>
      </c>
      <c r="X260">
        <f ca="1">INDEX(加速!$I$13:$I$21,技能数计算!W260+1)</f>
        <v>0</v>
      </c>
      <c r="Y260">
        <f ca="1" t="shared" ref="Y260:Y323" si="61">IF(COUNTIF(B260,"*岚尘金蛇*"),A260+2.6125+0.5,Y259)</f>
        <v>0.5</v>
      </c>
      <c r="Z260">
        <f ca="1" t="shared" ref="Z260:Z323" si="62">IF(金蛇,IF(COUNTIF(B260,"*虎跑*")&gt;0,INT((A260-Y260)/3),0),0)</f>
        <v>0</v>
      </c>
      <c r="AA260">
        <f ca="1">MAX(0,IFERROR(IF(COUNTIF(B260,"*叠*")&gt;0,IF(AC259&lt;3,8-A261+A260,AA259+6.875-A261+A260),AA259-A261+A260),AA259-加速!$L$11))</f>
        <v>0</v>
      </c>
      <c r="AB260" t="e">
        <f ca="1">MAX(0,IF(COUNTIF(IF(AND(配装计算器!$K$30&lt;&gt;"∞",0),INDEX(AU260:CB260,1,$AT$1),INDEX(AU260:CB260,1,$AT$1)),"*叠1*")=1,4*25-加速!$L$11,AB259-A260+A259)-IF(OR(COUNTIF(OFFSET(AT260,0,$AT$1,1,1),"*听雷*")&gt;0,AND(碧归&gt;0,COUNTIF(OFFSET(AT260,0,$AT$1,1,1),"*风来*")&gt;0)),0,1)*1.5)</f>
        <v>#VALUE!</v>
      </c>
      <c r="AC260">
        <f ca="1" t="shared" si="58"/>
        <v>3</v>
      </c>
      <c r="AD260">
        <f ca="1">IF(COUNTIF(IF(AND(配装计算器!$K$30&lt;&gt;"∞",0),INDEX(AU260:CB260,1,$AT$1),INDEX(AU261:CB261,1,$AT$1)),"*叠1*")=1,AB260*0+AE259,0)</f>
        <v>0</v>
      </c>
      <c r="AE260" t="e">
        <f ca="1">IF($AN$11&gt;0,IF(COUNTIF(B261,"*叠1*")&gt;0,50-加速!$H$11,MAX(0,AE259-(A261-A260))),0)</f>
        <v>#VALUE!</v>
      </c>
      <c r="AU260" t="s">
        <v>2768</v>
      </c>
      <c r="AV260">
        <v>2</v>
      </c>
      <c r="AW260" s="176" t="s">
        <v>2776</v>
      </c>
      <c r="AX260">
        <v>2</v>
      </c>
      <c r="AY260" t="s">
        <v>3022</v>
      </c>
      <c r="AZ260">
        <v>2</v>
      </c>
      <c r="BA260" t="s">
        <v>2776</v>
      </c>
      <c r="BB260">
        <v>2</v>
      </c>
      <c r="BC260" t="s">
        <v>2813</v>
      </c>
      <c r="BD260">
        <v>0</v>
      </c>
      <c r="BE260" t="s">
        <v>2776</v>
      </c>
      <c r="BF260">
        <v>0</v>
      </c>
      <c r="BG260" s="176" t="s">
        <v>2768</v>
      </c>
      <c r="BH260">
        <v>2</v>
      </c>
      <c r="BI260" t="s">
        <v>2768</v>
      </c>
      <c r="BJ260">
        <v>0</v>
      </c>
      <c r="BK260" t="s">
        <v>3026</v>
      </c>
      <c r="BL260">
        <v>2</v>
      </c>
      <c r="BM260" t="str">
        <f>IF(0,"云飞玉皇-玉山揽云","夕照雷峰")</f>
        <v>夕照雷峰</v>
      </c>
      <c r="BN260">
        <v>2</v>
      </c>
      <c r="BO260" t="s">
        <v>2768</v>
      </c>
      <c r="BP260">
        <v>2</v>
      </c>
      <c r="BQ260" t="s">
        <v>2776</v>
      </c>
      <c r="BR260">
        <v>1</v>
      </c>
      <c r="BS260" t="s">
        <v>2768</v>
      </c>
      <c r="BT260">
        <v>2</v>
      </c>
      <c r="BU260" t="s">
        <v>2768</v>
      </c>
      <c r="BV260">
        <v>2</v>
      </c>
      <c r="BW260" s="182" t="str">
        <f t="shared" ref="BW260:BW264" si="63">IF($AN$11=1,"云飞玉皇-玉山揽云","夕照雷峰")</f>
        <v>云飞玉皇-玉山揽云</v>
      </c>
      <c r="BX260" s="179">
        <v>2</v>
      </c>
      <c r="BY260" s="176" t="str">
        <f>IF(0,橙武补雾锁,"夕照雷峰")</f>
        <v>夕照雷峰</v>
      </c>
      <c r="BZ260">
        <v>2</v>
      </c>
      <c r="CA260" t="str">
        <f>IF(0,橙武补雾锁,"夕照雷峰")</f>
        <v>夕照雷峰</v>
      </c>
      <c r="CB260">
        <v>2</v>
      </c>
    </row>
    <row r="261" spans="1:80">
      <c r="A261" s="178" t="str">
        <f ca="1">IFERROR(IF(A260+加速!$L$11&lt;$AS$1,IF(COUNTIF(B260,"*轻*")&gt;0,A260+加速!$L$9,A260+加速!$L$11)+V260,IF(COUNTIF(INDEX(AU261:CB261,1,$AT$1),"*云景*")+COUNTIF(INDEX(AU261:CB261,1,$AT$1),"*鹤归*")+COUNTIF(INDEX(AU261:CB261,1,$AT$1),"*听雷*")&gt;0,A260+加速!$L$11,"")),"")</f>
        <v/>
      </c>
      <c r="B261" s="167" t="str">
        <f ca="1">IF(A261&lt;&gt;"",IF(AND(A261+加速!$L$11&gt;$AS$1,IF(AND(配装计算器!$K$30&lt;&gt;"∞",0),"梦泉虎跑-轻",INDEX(AU261:CB261,1,$AT$1))="云栖松"),"夕照雷峰",IF(AND(配装计算器!$K$30&lt;&gt;"∞",0),"梦泉虎跑-轻",INDEX(AU261:CB261,1,$AT$1))),"")</f>
        <v/>
      </c>
      <c r="C261" t="str">
        <f ca="1" t="shared" ref="C261:C324" si="64">IFERROR(IF(COUNTIF(B261,"*夕照雷峰*")&gt;0,15,MAX(0,C260-(A261-A260))),"")</f>
        <v/>
      </c>
      <c r="D261" t="str">
        <f ca="1">IF(B261&lt;&gt;"",IF(C260&lt;=加速!$L$11*(1-E261),0,1),"")</f>
        <v/>
      </c>
      <c r="E261">
        <f ca="1" t="shared" si="59"/>
        <v>1</v>
      </c>
      <c r="G261" t="str">
        <f ca="1" t="shared" si="60"/>
        <v/>
      </c>
      <c r="H261" t="str">
        <f ca="1">IF(B261&lt;&gt;"",IF(AND(COUNTIF(B260,"*轻*莺鸣柳*")&gt;0,COUNTIF(B261,"*轻*")&lt;1),MAX(0,15+I260-(A261-A260)+COUNTIF(B260,"*平湖*")*0),IF(AND(E261=0,MAX(0,H260-(A261-A260))&lt;=加速!$H$11),0,MAX(0,H260-(A261-A260)))),"")</f>
        <v/>
      </c>
      <c r="I261" t="str">
        <f ca="1" t="shared" si="52"/>
        <v/>
      </c>
      <c r="J261" t="str">
        <f ca="1" t="shared" si="53"/>
        <v/>
      </c>
      <c r="K261" t="str">
        <f ca="1">IF(A261&lt;&gt;"",IF(AND(配装计算器!$K$30&lt;&gt;"∞",0),2,INDEX(AU261:CB261,1,$AT$2)),"")</f>
        <v/>
      </c>
      <c r="L261">
        <f ca="1">IFERROR(IF(AND(COUNTIF(B261,"*-峰插*"),技能数据库!$M$72&gt;0),0,IF(COUNTIF(B261,"*鹤归*")&gt;0,16-加速!$L$11,MAX(0,L260-(A261-A260)))),0)</f>
        <v>0</v>
      </c>
      <c r="M261">
        <f ca="1">IF(COUNTIF(IF(AND(配装计算器!$K$30&lt;&gt;"∞",0),INDEX(AU260:CB260,1,$AT$1),INDEX(AU262:CB262,1,$AT$1)),"*鹤归*")=1,L261,0)</f>
        <v>0</v>
      </c>
      <c r="N261">
        <f ca="1">IFERROR(IF(AND(COUNTIF(B261,"*-峰插*"),技能数据库!$M$72&gt;0),0,IF(COUNTIF(B261,"*云飞*")&gt;0,4-COUNTIF(B261,"*玉山揽云*")*4--COUNTIF(B261,"*烟流暮景*")*4-COUNTIF(B261,"*云景*")*加速!$L$11-IF(J261&gt;0,2,0),MAX(0,N260-(A261-A260)-IF(J261&gt;0,2,0)))),0)</f>
        <v>0</v>
      </c>
      <c r="O261">
        <f ca="1">IF(AND(COUNTIF(IF(AND(配装计算器!$K$30&lt;&gt;"∞",0),INDEX(AU260:CB260,1,$AT$1),INDEX(AU262:CB262,1,$AT$1)),"*云飞*")=1,COUNTIF(IF(AND(配装计算器!$K$30&lt;&gt;"∞",0),INDEX(AU260:CB260,1,$AT$1),INDEX(AU262:CB262,1,$AT$1)),"*玉山*")=0),N261,0)</f>
        <v>0</v>
      </c>
      <c r="P261">
        <f ca="1">IFERROR(IF(COUNTIF(B261,"*云栖松*")&gt;0,50-加速!$L$11,MAX(0,P260-(A261-A260))),0)</f>
        <v>0</v>
      </c>
      <c r="Q261">
        <f ca="1">IF(COUNTIF(IF(AND(配装计算器!$K$30&lt;&gt;"∞",0),INDEX(AU260:CB260,1,$AT$1),INDEX(AU262:CB262,1,$AT$1)),"*云栖松*")=1,P261,0)</f>
        <v>0</v>
      </c>
      <c r="R261">
        <f ca="1">IFERROR(IF(COUNTIF(B261,"*莺鸣柳*")&gt;0,45-加速!$L$9,MAX(0,R260-(A261-A260))),0)</f>
        <v>0</v>
      </c>
      <c r="S261">
        <f ca="1">IF(COUNTIF(IF(AND(配装计算器!$K$30&lt;&gt;"∞",0),INDEX(AU260:CB260,1,$AT$1),INDEX(AU262:CB262,1,$AT$1)),"*莺鸣柳*")=1,R261,0)</f>
        <v>0</v>
      </c>
      <c r="T261">
        <f ca="1" t="shared" ref="T261:T324" si="65">IF(COUNTIF(B261,"*岚尘金蛇*")+COUNTIF(B261,"*千切子寒光*")&gt;0,A261,T260)</f>
        <v>0</v>
      </c>
      <c r="U261">
        <f ca="1">IF(金蛇,IF(COUNTIF(B261,"*金环戴*")+COUNTIF(B261,"*吹风醒*")&gt;0,IF(A261&lt;=3,7.125-2.625-A261-加速!$L$11,7.125+加速!$K$9-(A261+加速!$L$11-T261)),0),0)+IF(金蛇,IF(COUNTIF(B261,"*千切子裂光*")&gt;0,2+加速!$K$9-(A261+加速!$L$11-T261),0),0)</f>
        <v>0</v>
      </c>
      <c r="V261">
        <f ca="1" t="shared" ref="V261:V324" si="66">MAX(0,M261+O261+Q261+S261+AD261)+U261</f>
        <v>0</v>
      </c>
      <c r="W261">
        <f ca="1" t="shared" si="57"/>
        <v>0</v>
      </c>
      <c r="X261">
        <f ca="1">INDEX(加速!$I$13:$I$21,技能数计算!W261+1)</f>
        <v>0</v>
      </c>
      <c r="Y261">
        <f ca="1" t="shared" si="61"/>
        <v>0.5</v>
      </c>
      <c r="Z261">
        <f ca="1" t="shared" si="62"/>
        <v>0</v>
      </c>
      <c r="AA261">
        <f ca="1">MAX(0,IFERROR(IF(COUNTIF(B261,"*叠*")&gt;0,IF(AC260&lt;3,8-A262+A261,AA260+6.875-A262+A261),AA260-A262+A261),AA260-加速!$L$11))</f>
        <v>0</v>
      </c>
      <c r="AB261" t="e">
        <f ca="1">MAX(0,IF(COUNTIF(IF(AND(配装计算器!$K$30&lt;&gt;"∞",0),INDEX(AU261:CB261,1,$AT$1),INDEX(AU261:CB261,1,$AT$1)),"*叠1*")=1,4*25-加速!$L$11,AB260-A261+A260)-IF(OR(COUNTIF(OFFSET(AT261,0,$AT$1,1,1),"*听雷*")&gt;0,AND(碧归&gt;0,COUNTIF(OFFSET(AT261,0,$AT$1,1,1),"*风来*")&gt;0)),0,1)*1.5)</f>
        <v>#VALUE!</v>
      </c>
      <c r="AC261">
        <f ca="1" t="shared" si="58"/>
        <v>3</v>
      </c>
      <c r="AD261">
        <f ca="1">IF(COUNTIF(IF(AND(配装计算器!$K$30&lt;&gt;"∞",0),INDEX(AU261:CB261,1,$AT$1),INDEX(AU262:CB262,1,$AT$1)),"*叠1*")=1,AB261*0+AE260,0)</f>
        <v>0</v>
      </c>
      <c r="AE261" t="e">
        <f ca="1">IF($AN$11&gt;0,IF(COUNTIF(B262,"*叠1*")&gt;0,50-加速!$H$11,MAX(0,AE260-(A262-A261))),0)</f>
        <v>#VALUE!</v>
      </c>
      <c r="AU261" t="s">
        <v>2768</v>
      </c>
      <c r="AV261">
        <v>2</v>
      </c>
      <c r="AW261" s="176" t="s">
        <v>2768</v>
      </c>
      <c r="AX261">
        <v>2</v>
      </c>
      <c r="AY261" t="s">
        <v>2776</v>
      </c>
      <c r="AZ261">
        <v>2</v>
      </c>
      <c r="BA261" t="s">
        <v>2768</v>
      </c>
      <c r="BB261">
        <v>2</v>
      </c>
      <c r="BC261" t="s">
        <v>2776</v>
      </c>
      <c r="BD261">
        <v>2</v>
      </c>
      <c r="BE261" t="s">
        <v>2768</v>
      </c>
      <c r="BF261">
        <v>1</v>
      </c>
      <c r="BG261" s="176" t="s">
        <v>2768</v>
      </c>
      <c r="BH261">
        <v>2</v>
      </c>
      <c r="BI261" t="s">
        <v>2768</v>
      </c>
      <c r="BJ261">
        <v>0</v>
      </c>
      <c r="BK261" t="s">
        <v>3026</v>
      </c>
      <c r="BL261">
        <v>2</v>
      </c>
      <c r="BM261" s="176" t="s">
        <v>2794</v>
      </c>
      <c r="BN261">
        <v>2</v>
      </c>
      <c r="BO261" t="s">
        <v>2768</v>
      </c>
      <c r="BP261">
        <v>2</v>
      </c>
      <c r="BQ261" t="s">
        <v>2768</v>
      </c>
      <c r="BR261">
        <v>1</v>
      </c>
      <c r="BS261" t="s">
        <v>2776</v>
      </c>
      <c r="BT261">
        <v>2</v>
      </c>
      <c r="BU261" s="176" t="s">
        <v>2794</v>
      </c>
      <c r="BV261">
        <v>1</v>
      </c>
      <c r="BW261" s="179" t="str">
        <f>IF($AN$11=1,"云飞玉皇-玉山揽云","云飞玉皇")</f>
        <v>云飞玉皇-玉山揽云</v>
      </c>
      <c r="BX261" s="179">
        <v>2</v>
      </c>
      <c r="BY261" s="176" t="str">
        <f>IF(0,"云飞玉皇-玉山揽云","云景·云飞玉皇")</f>
        <v>云景·云飞玉皇</v>
      </c>
      <c r="BZ261">
        <v>2</v>
      </c>
      <c r="CA261" t="str">
        <f>IF(0,"云飞玉皇-玉山揽云","云景·云飞玉皇")</f>
        <v>云景·云飞玉皇</v>
      </c>
      <c r="CB261">
        <v>2</v>
      </c>
    </row>
    <row r="262" spans="1:80">
      <c r="A262" s="178" t="str">
        <f ca="1">IFERROR(IF(A261+加速!$L$11&lt;$AS$1,IF(COUNTIF(B261,"*轻*")&gt;0,A261+加速!$L$9,A261+加速!$L$11)+V261,IF(COUNTIF(INDEX(AU262:CB262,1,$AT$1),"*云景*")+COUNTIF(INDEX(AU262:CB262,1,$AT$1),"*鹤归*")+COUNTIF(INDEX(AU262:CB262,1,$AT$1),"*听雷*")&gt;0,A261+加速!$L$11,"")),"")</f>
        <v/>
      </c>
      <c r="B262" s="167" t="str">
        <f ca="1">IF(A262&lt;&gt;"",IF(AND(A262+加速!$L$11&gt;$AS$1,IF(AND(配装计算器!$K$30&lt;&gt;"∞",0),"梦泉虎跑-轻",INDEX(AU262:CB262,1,$AT$1))="云栖松"),"夕照雷峰",IF(AND(配装计算器!$K$30&lt;&gt;"∞",0),"梦泉虎跑-轻",INDEX(AU262:CB262,1,$AT$1))),"")</f>
        <v/>
      </c>
      <c r="C262" t="str">
        <f ca="1" t="shared" si="64"/>
        <v/>
      </c>
      <c r="D262" t="str">
        <f ca="1">IF(B262&lt;&gt;"",IF(C261&lt;=加速!$L$11*(1-E262),0,1),"")</f>
        <v/>
      </c>
      <c r="E262">
        <f ca="1" t="shared" si="59"/>
        <v>1</v>
      </c>
      <c r="G262" t="str">
        <f ca="1" t="shared" si="60"/>
        <v/>
      </c>
      <c r="H262" t="str">
        <f ca="1">IF(B262&lt;&gt;"",IF(AND(COUNTIF(B261,"*轻*莺鸣柳*")&gt;0,COUNTIF(B262,"*轻*")&lt;1),MAX(0,15+I261-(A262-A261)+COUNTIF(B261,"*平湖*")*0),IF(AND(E262=0,MAX(0,H261-(A262-A261))&lt;=加速!$H$11),0,MAX(0,H261-(A262-A261)))),"")</f>
        <v/>
      </c>
      <c r="I262" t="str">
        <f ca="1" t="shared" ref="I262:I325" si="67">IF(B262&lt;&gt;"",IF(COUNTIF(B262,"*轻*")&lt;1,0,IF(COUNTIF(B262,"*莺鸣*")&gt;0,8,MAX(0,I261-(A262-A261)))),"")</f>
        <v/>
      </c>
      <c r="J262" t="str">
        <f ca="1" t="shared" ref="J262:J325" si="68">IF(B262&lt;&gt;"",IF(AND(J261=1,OR(AND(COUNTIF(B262,"*云景*")&gt;0,COUNTIF(B257:B261,"*鹤归*")&gt;0),AND(落剑5=1,COUNTIF(B257:B261,"*鹤归*")&gt;0))),1,IF(COUNTIF(B261,"*鹤归*")&gt;0,4+_666三听,MAX(J261-1,0))),"")</f>
        <v/>
      </c>
      <c r="K262" t="str">
        <f ca="1">IF(A262&lt;&gt;"",IF(AND(配装计算器!$K$30&lt;&gt;"∞",0),2,INDEX(AU262:CB262,1,$AT$2)),"")</f>
        <v/>
      </c>
      <c r="L262">
        <f ca="1">IFERROR(IF(AND(COUNTIF(B262,"*-峰插*"),技能数据库!$M$72&gt;0),0,IF(COUNTIF(B262,"*鹤归*")&gt;0,16-加速!$L$11,MAX(0,L261-(A262-A261)))),0)</f>
        <v>0</v>
      </c>
      <c r="M262">
        <f ca="1">IF(COUNTIF(IF(AND(配装计算器!$K$30&lt;&gt;"∞",0),INDEX(AU261:CB261,1,$AT$1),INDEX(AU263:CB263,1,$AT$1)),"*鹤归*")=1,L262,0)</f>
        <v>0</v>
      </c>
      <c r="N262">
        <f ca="1">IFERROR(IF(AND(COUNTIF(B262,"*-峰插*"),技能数据库!$M$72&gt;0),0,IF(COUNTIF(B262,"*云飞*")&gt;0,4-COUNTIF(B262,"*玉山揽云*")*4--COUNTIF(B262,"*烟流暮景*")*4-COUNTIF(B262,"*云景*")*加速!$L$11-IF(J262&gt;0,2,0),MAX(0,N261-(A262-A261)-IF(J262&gt;0,2,0)))),0)</f>
        <v>0</v>
      </c>
      <c r="O262">
        <f ca="1">IF(AND(COUNTIF(IF(AND(配装计算器!$K$30&lt;&gt;"∞",0),INDEX(AU261:CB261,1,$AT$1),INDEX(AU263:CB263,1,$AT$1)),"*云飞*")=1,COUNTIF(IF(AND(配装计算器!$K$30&lt;&gt;"∞",0),INDEX(AU261:CB261,1,$AT$1),INDEX(AU263:CB263,1,$AT$1)),"*玉山*")=0),N262,0)</f>
        <v>0</v>
      </c>
      <c r="P262">
        <f ca="1">IFERROR(IF(COUNTIF(B262,"*云栖松*")&gt;0,50-加速!$L$11,MAX(0,P261-(A262-A261))),0)</f>
        <v>0</v>
      </c>
      <c r="Q262">
        <f ca="1">IF(COUNTIF(IF(AND(配装计算器!$K$30&lt;&gt;"∞",0),INDEX(AU261:CB261,1,$AT$1),INDEX(AU263:CB263,1,$AT$1)),"*云栖松*")=1,P262,0)</f>
        <v>0</v>
      </c>
      <c r="R262">
        <f ca="1">IFERROR(IF(COUNTIF(B262,"*莺鸣柳*")&gt;0,45-加速!$L$9,MAX(0,R261-(A262-A261))),0)</f>
        <v>0</v>
      </c>
      <c r="S262">
        <f ca="1">IF(COUNTIF(IF(AND(配装计算器!$K$30&lt;&gt;"∞",0),INDEX(AU261:CB261,1,$AT$1),INDEX(AU263:CB263,1,$AT$1)),"*莺鸣柳*")=1,R262,0)</f>
        <v>0</v>
      </c>
      <c r="T262">
        <f ca="1" t="shared" si="65"/>
        <v>0</v>
      </c>
      <c r="U262">
        <f ca="1">IF(金蛇,IF(COUNTIF(B262,"*金环戴*")+COUNTIF(B262,"*吹风醒*")&gt;0,IF(A262&lt;=3,7.125-2.625-A262-加速!$L$11,7.125+加速!$K$9-(A262+加速!$L$11-T262)),0),0)+IF(金蛇,IF(COUNTIF(B262,"*千切子裂光*")&gt;0,2+加速!$K$9-(A262+加速!$L$11-T262),0),0)</f>
        <v>0</v>
      </c>
      <c r="V262">
        <f ca="1" t="shared" si="66"/>
        <v>0</v>
      </c>
      <c r="W262">
        <f ca="1" t="shared" si="57"/>
        <v>0</v>
      </c>
      <c r="X262">
        <f ca="1">INDEX(加速!$I$13:$I$21,技能数计算!W262+1)</f>
        <v>0</v>
      </c>
      <c r="Y262">
        <f ca="1" t="shared" si="61"/>
        <v>0.5</v>
      </c>
      <c r="Z262">
        <f ca="1" t="shared" si="62"/>
        <v>0</v>
      </c>
      <c r="AA262">
        <f ca="1">MAX(0,IFERROR(IF(COUNTIF(B262,"*叠*")&gt;0,IF(AC261&lt;3,8-A263+A262,AA261+6.875-A263+A262),AA261-A263+A262),AA261-加速!$L$11))</f>
        <v>0</v>
      </c>
      <c r="AB262" t="e">
        <f ca="1">MAX(0,IF(COUNTIF(IF(AND(配装计算器!$K$30&lt;&gt;"∞",0),INDEX(AU262:CB262,1,$AT$1),INDEX(AU262:CB262,1,$AT$1)),"*叠1*")=1,4*25-加速!$L$11,AB261-A262+A261)-IF(OR(COUNTIF(OFFSET(AT262,0,$AT$1,1,1),"*听雷*")&gt;0,AND(碧归&gt;0,COUNTIF(OFFSET(AT262,0,$AT$1,1,1),"*风来*")&gt;0)),0,1)*1.5)</f>
        <v>#VALUE!</v>
      </c>
      <c r="AC262">
        <f ca="1" t="shared" si="58"/>
        <v>3</v>
      </c>
      <c r="AD262">
        <f ca="1">IF(COUNTIF(IF(AND(配装计算器!$K$30&lt;&gt;"∞",0),INDEX(AU262:CB262,1,$AT$1),INDEX(AU263:CB263,1,$AT$1)),"*叠1*")=1,AB262*0+AE261,0)</f>
        <v>0</v>
      </c>
      <c r="AE262" t="e">
        <f ca="1">IF($AN$11&gt;0,IF(COUNTIF(B263,"*叠1*")&gt;0,50-加速!$H$11,MAX(0,AE261-(A263-A262))),0)</f>
        <v>#VALUE!</v>
      </c>
      <c r="AU262" s="176" t="s">
        <v>2794</v>
      </c>
      <c r="AV262">
        <v>2</v>
      </c>
      <c r="AW262" s="176" t="s">
        <v>2776</v>
      </c>
      <c r="AX262">
        <v>2</v>
      </c>
      <c r="AY262" t="s">
        <v>2768</v>
      </c>
      <c r="AZ262">
        <v>2</v>
      </c>
      <c r="BA262" t="s">
        <v>2768</v>
      </c>
      <c r="BB262">
        <v>2</v>
      </c>
      <c r="BC262" t="s">
        <v>2768</v>
      </c>
      <c r="BD262">
        <v>2</v>
      </c>
      <c r="BE262" t="s">
        <v>2768</v>
      </c>
      <c r="BF262">
        <v>1</v>
      </c>
      <c r="BG262" s="176" t="s">
        <v>2768</v>
      </c>
      <c r="BH262">
        <v>2</v>
      </c>
      <c r="BI262" t="s">
        <v>2722</v>
      </c>
      <c r="BJ262">
        <v>0</v>
      </c>
      <c r="BK262" s="176" t="s">
        <v>3026</v>
      </c>
      <c r="BL262">
        <v>2</v>
      </c>
      <c r="BM262" s="176" t="str">
        <f>IF(0,橙武补雾锁,"夕照雷峰")</f>
        <v>夕照雷峰</v>
      </c>
      <c r="BN262">
        <v>2</v>
      </c>
      <c r="BO262" t="s">
        <v>2768</v>
      </c>
      <c r="BP262">
        <v>2</v>
      </c>
      <c r="BQ262" t="s">
        <v>2768</v>
      </c>
      <c r="BR262">
        <v>0</v>
      </c>
      <c r="BS262" t="s">
        <v>2768</v>
      </c>
      <c r="BT262">
        <v>1</v>
      </c>
      <c r="BU262" t="s">
        <v>2776</v>
      </c>
      <c r="BV262">
        <v>1</v>
      </c>
      <c r="BW262" s="179" t="str">
        <f>IF($AN$11=1,橙武补雾锁,"听雷-重")</f>
        <v>云飞玉皇-玉山揽云</v>
      </c>
      <c r="BX262" s="179">
        <v>0</v>
      </c>
      <c r="BY262" s="176" t="str">
        <f>IF(0,"云飞玉皇-玉山揽云","夕照雷峰")</f>
        <v>夕照雷峰</v>
      </c>
      <c r="BZ262">
        <v>2</v>
      </c>
      <c r="CA262" t="str">
        <f>IF(0,"云飞玉皇-玉山揽云","夕照雷峰")</f>
        <v>夕照雷峰</v>
      </c>
      <c r="CB262">
        <v>2</v>
      </c>
    </row>
    <row r="263" spans="1:80">
      <c r="A263" s="178" t="str">
        <f ca="1">IFERROR(IF(A262+加速!$L$11&lt;$AS$1,IF(COUNTIF(B262,"*轻*")&gt;0,A262+加速!$L$9,A262+加速!$L$11)+V262,IF(COUNTIF(INDEX(AU263:CB263,1,$AT$1),"*云景*")+COUNTIF(INDEX(AU263:CB263,1,$AT$1),"*鹤归*")+COUNTIF(INDEX(AU263:CB263,1,$AT$1),"*听雷*")&gt;0,A262+加速!$L$11,"")),"")</f>
        <v/>
      </c>
      <c r="B263" s="167" t="str">
        <f ca="1">IF(A263&lt;&gt;"",IF(AND(A263+加速!$L$11&gt;$AS$1,IF(AND(配装计算器!$K$30&lt;&gt;"∞",0),"梦泉虎跑-轻",INDEX(AU263:CB263,1,$AT$1))="云栖松"),"夕照雷峰",IF(AND(配装计算器!$K$30&lt;&gt;"∞",0),"梦泉虎跑-轻",INDEX(AU263:CB263,1,$AT$1))),"")</f>
        <v/>
      </c>
      <c r="C263" t="str">
        <f ca="1" t="shared" si="64"/>
        <v/>
      </c>
      <c r="D263" t="str">
        <f ca="1">IF(B263&lt;&gt;"",IF(C262&lt;=加速!$L$11*(1-E263),0,1),"")</f>
        <v/>
      </c>
      <c r="E263">
        <f ca="1" t="shared" si="59"/>
        <v>1</v>
      </c>
      <c r="G263" t="str">
        <f ca="1" t="shared" si="60"/>
        <v/>
      </c>
      <c r="H263" t="str">
        <f ca="1">IF(B263&lt;&gt;"",IF(AND(COUNTIF(B262,"*轻*莺鸣柳*")&gt;0,COUNTIF(B263,"*轻*")&lt;1),MAX(0,15+I262-(A263-A262)+COUNTIF(B262,"*平湖*")*0),IF(AND(E263=0,MAX(0,H262-(A263-A262))&lt;=加速!$H$11),0,MAX(0,H262-(A263-A262)))),"")</f>
        <v/>
      </c>
      <c r="I263" t="str">
        <f ca="1" t="shared" si="67"/>
        <v/>
      </c>
      <c r="J263" t="str">
        <f ca="1" t="shared" si="68"/>
        <v/>
      </c>
      <c r="K263" t="str">
        <f ca="1">IF(A263&lt;&gt;"",IF(AND(配装计算器!$K$30&lt;&gt;"∞",0),2,INDEX(AU263:CB263,1,$AT$2)),"")</f>
        <v/>
      </c>
      <c r="L263">
        <f ca="1">IFERROR(IF(AND(COUNTIF(B263,"*-峰插*"),技能数据库!$M$72&gt;0),0,IF(COUNTIF(B263,"*鹤归*")&gt;0,16-加速!$L$11,MAX(0,L262-(A263-A262)))),0)</f>
        <v>0</v>
      </c>
      <c r="M263">
        <f ca="1">IF(COUNTIF(IF(AND(配装计算器!$K$30&lt;&gt;"∞",0),INDEX(AU262:CB262,1,$AT$1),INDEX(AU264:CB264,1,$AT$1)),"*鹤归*")=1,L263,0)</f>
        <v>0</v>
      </c>
      <c r="N263">
        <f ca="1">IFERROR(IF(AND(COUNTIF(B263,"*-峰插*"),技能数据库!$M$72&gt;0),0,IF(COUNTIF(B263,"*云飞*")&gt;0,4-COUNTIF(B263,"*玉山揽云*")*4--COUNTIF(B263,"*烟流暮景*")*4-COUNTIF(B263,"*云景*")*加速!$L$11-IF(J263&gt;0,2,0),MAX(0,N262-(A263-A262)-IF(J263&gt;0,2,0)))),0)</f>
        <v>0</v>
      </c>
      <c r="O263">
        <f ca="1">IF(AND(COUNTIF(IF(AND(配装计算器!$K$30&lt;&gt;"∞",0),INDEX(AU262:CB262,1,$AT$1),INDEX(AU264:CB264,1,$AT$1)),"*云飞*")=1,COUNTIF(IF(AND(配装计算器!$K$30&lt;&gt;"∞",0),INDEX(AU262:CB262,1,$AT$1),INDEX(AU264:CB264,1,$AT$1)),"*玉山*")=0),N263,0)</f>
        <v>0</v>
      </c>
      <c r="P263">
        <f ca="1">IFERROR(IF(COUNTIF(B263,"*云栖松*")&gt;0,50-加速!$L$11,MAX(0,P262-(A263-A262))),0)</f>
        <v>0</v>
      </c>
      <c r="Q263">
        <f ca="1">IF(COUNTIF(IF(AND(配装计算器!$K$30&lt;&gt;"∞",0),INDEX(AU262:CB262,1,$AT$1),INDEX(AU264:CB264,1,$AT$1)),"*云栖松*")=1,P263,0)</f>
        <v>0</v>
      </c>
      <c r="R263">
        <f ca="1">IFERROR(IF(COUNTIF(B263,"*莺鸣柳*")&gt;0,45-加速!$L$9,MAX(0,R262-(A263-A262))),0)</f>
        <v>0</v>
      </c>
      <c r="S263">
        <f ca="1">IF(COUNTIF(IF(AND(配装计算器!$K$30&lt;&gt;"∞",0),INDEX(AU262:CB262,1,$AT$1),INDEX(AU264:CB264,1,$AT$1)),"*莺鸣柳*")=1,R263,0)</f>
        <v>0</v>
      </c>
      <c r="T263">
        <f ca="1" t="shared" si="65"/>
        <v>0</v>
      </c>
      <c r="U263">
        <f ca="1">IF(金蛇,IF(COUNTIF(B263,"*金环戴*")+COUNTIF(B263,"*吹风醒*")&gt;0,IF(A263&lt;=3,7.125-2.625-A263-加速!$L$11,7.125+加速!$K$9-(A263+加速!$L$11-T263)),0),0)+IF(金蛇,IF(COUNTIF(B263,"*千切子裂光*")&gt;0,2+加速!$K$9-(A263+加速!$L$11-T263),0),0)</f>
        <v>0</v>
      </c>
      <c r="V263">
        <f ca="1" t="shared" si="66"/>
        <v>0</v>
      </c>
      <c r="W263">
        <f ca="1" t="shared" si="57"/>
        <v>0</v>
      </c>
      <c r="X263">
        <f ca="1">INDEX(加速!$I$13:$I$21,技能数计算!W263+1)</f>
        <v>0</v>
      </c>
      <c r="Y263">
        <f ca="1" t="shared" si="61"/>
        <v>0.5</v>
      </c>
      <c r="Z263">
        <f ca="1" t="shared" si="62"/>
        <v>0</v>
      </c>
      <c r="AA263">
        <f ca="1">MAX(0,IFERROR(IF(COUNTIF(B263,"*叠*")&gt;0,IF(AC262&lt;3,8-A264+A263,AA262+6.875-A264+A263),AA262-A264+A263),AA262-加速!$L$11))</f>
        <v>0</v>
      </c>
      <c r="AB263" t="e">
        <f ca="1">MAX(0,IF(COUNTIF(IF(AND(配装计算器!$K$30&lt;&gt;"∞",0),INDEX(AU263:CB263,1,$AT$1),INDEX(AU263:CB263,1,$AT$1)),"*叠1*")=1,4*25-加速!$L$11,AB262-A263+A262)-IF(OR(COUNTIF(OFFSET(AT263,0,$AT$1,1,1),"*听雷*")&gt;0,AND(碧归&gt;0,COUNTIF(OFFSET(AT263,0,$AT$1,1,1),"*风来*")&gt;0)),0,1)*1.5)</f>
        <v>#VALUE!</v>
      </c>
      <c r="AC263">
        <f ca="1" t="shared" si="58"/>
        <v>3</v>
      </c>
      <c r="AD263">
        <f ca="1">IF(COUNTIF(IF(AND(配装计算器!$K$30&lt;&gt;"∞",0),INDEX(AU263:CB263,1,$AT$1),INDEX(AU264:CB264,1,$AT$1)),"*叠1*")=1,AB263*0+AE262,0)</f>
        <v>0</v>
      </c>
      <c r="AE263" t="e">
        <f ca="1">IF($AN$11&gt;0,IF(COUNTIF(B264,"*叠1*")&gt;0,50-加速!$H$11,MAX(0,AE262-(A264-A263))),0)</f>
        <v>#VALUE!</v>
      </c>
      <c r="AU263" s="176" t="s">
        <v>2776</v>
      </c>
      <c r="AV263">
        <v>2</v>
      </c>
      <c r="AW263" s="176" t="s">
        <v>2768</v>
      </c>
      <c r="AX263">
        <v>2</v>
      </c>
      <c r="AY263" t="s">
        <v>2768</v>
      </c>
      <c r="AZ263">
        <v>2</v>
      </c>
      <c r="BA263" t="s">
        <v>2776</v>
      </c>
      <c r="BB263">
        <v>2</v>
      </c>
      <c r="BC263" t="s">
        <v>2768</v>
      </c>
      <c r="BD263">
        <v>2</v>
      </c>
      <c r="BE263" t="s">
        <v>2794</v>
      </c>
      <c r="BF263">
        <v>0</v>
      </c>
      <c r="BG263" s="176" t="s">
        <v>2776</v>
      </c>
      <c r="BH263">
        <v>2</v>
      </c>
      <c r="BI263" t="s">
        <v>2776</v>
      </c>
      <c r="BJ263">
        <v>2</v>
      </c>
      <c r="BK263" s="176" t="s">
        <v>2776</v>
      </c>
      <c r="BL263">
        <v>2</v>
      </c>
      <c r="BM263" s="176" t="s">
        <v>2776</v>
      </c>
      <c r="BN263">
        <v>2</v>
      </c>
      <c r="BO263" t="s">
        <v>2776</v>
      </c>
      <c r="BP263">
        <v>2</v>
      </c>
      <c r="BQ263" t="s">
        <v>3010</v>
      </c>
      <c r="BR263">
        <v>2</v>
      </c>
      <c r="BS263" t="s">
        <v>2768</v>
      </c>
      <c r="BT263">
        <v>1</v>
      </c>
      <c r="BU263" t="s">
        <v>2768</v>
      </c>
      <c r="BV263">
        <v>1</v>
      </c>
      <c r="BW263" s="179" t="str">
        <f t="shared" si="63"/>
        <v>云飞玉皇-玉山揽云</v>
      </c>
      <c r="BX263" s="179">
        <v>2</v>
      </c>
      <c r="BY263" t="s">
        <v>2776</v>
      </c>
      <c r="BZ263">
        <v>2</v>
      </c>
      <c r="CA263" t="s">
        <v>2776</v>
      </c>
      <c r="CB263">
        <v>2</v>
      </c>
    </row>
    <row r="264" spans="1:80">
      <c r="A264" s="178" t="str">
        <f ca="1">IFERROR(IF(A263+加速!$L$11&lt;$AS$1,IF(COUNTIF(B263,"*轻*")&gt;0,A263+加速!$L$9,A263+加速!$L$11)+V263,IF(COUNTIF(INDEX(AU264:CB264,1,$AT$1),"*云景*")+COUNTIF(INDEX(AU264:CB264,1,$AT$1),"*鹤归*")+COUNTIF(INDEX(AU264:CB264,1,$AT$1),"*听雷*")&gt;0,A263+加速!$L$11,"")),"")</f>
        <v/>
      </c>
      <c r="B264" s="167" t="str">
        <f ca="1">IF(A264&lt;&gt;"",IF(AND(A264+加速!$L$11&gt;$AS$1,IF(AND(配装计算器!$K$30&lt;&gt;"∞",0),"梦泉虎跑-轻",INDEX(AU264:CB264,1,$AT$1))="云栖松"),"夕照雷峰",IF(AND(配装计算器!$K$30&lt;&gt;"∞",0),"梦泉虎跑-轻",INDEX(AU264:CB264,1,$AT$1))),"")</f>
        <v/>
      </c>
      <c r="C264" t="str">
        <f ca="1" t="shared" si="64"/>
        <v/>
      </c>
      <c r="D264" t="str">
        <f ca="1">IF(B264&lt;&gt;"",IF(C263&lt;=加速!$L$11*(1-E264),0,1),"")</f>
        <v/>
      </c>
      <c r="E264">
        <f ca="1" t="shared" si="59"/>
        <v>1</v>
      </c>
      <c r="G264" t="str">
        <f ca="1" t="shared" si="60"/>
        <v/>
      </c>
      <c r="H264" t="str">
        <f ca="1">IF(B264&lt;&gt;"",IF(AND(COUNTIF(B263,"*轻*莺鸣柳*")&gt;0,COUNTIF(B264,"*轻*")&lt;1),MAX(0,15+I263-(A264-A263)+COUNTIF(B263,"*平湖*")*0),IF(AND(E264=0,MAX(0,H263-(A264-A263))&lt;=加速!$H$11),0,MAX(0,H263-(A264-A263)))),"")</f>
        <v/>
      </c>
      <c r="I264" t="str">
        <f ca="1" t="shared" si="67"/>
        <v/>
      </c>
      <c r="J264" t="str">
        <f ca="1" t="shared" si="68"/>
        <v/>
      </c>
      <c r="K264" t="str">
        <f ca="1">IF(A264&lt;&gt;"",IF(AND(配装计算器!$K$30&lt;&gt;"∞",0),2,INDEX(AU264:CB264,1,$AT$2)),"")</f>
        <v/>
      </c>
      <c r="L264">
        <f ca="1">IFERROR(IF(AND(COUNTIF(B264,"*-峰插*"),技能数据库!$M$72&gt;0),0,IF(COUNTIF(B264,"*鹤归*")&gt;0,16-加速!$L$11,MAX(0,L263-(A264-A263)))),0)</f>
        <v>0</v>
      </c>
      <c r="M264">
        <f ca="1">IF(COUNTIF(IF(AND(配装计算器!$K$30&lt;&gt;"∞",0),INDEX(AU263:CB263,1,$AT$1),INDEX(AU265:CB265,1,$AT$1)),"*鹤归*")=1,L264,0)</f>
        <v>0</v>
      </c>
      <c r="N264">
        <f ca="1">IFERROR(IF(AND(COUNTIF(B264,"*-峰插*"),技能数据库!$M$72&gt;0),0,IF(COUNTIF(B264,"*云飞*")&gt;0,4-COUNTIF(B264,"*玉山揽云*")*4--COUNTIF(B264,"*烟流暮景*")*4-COUNTIF(B264,"*云景*")*加速!$L$11-IF(J264&gt;0,2,0),MAX(0,N263-(A264-A263)-IF(J264&gt;0,2,0)))),0)</f>
        <v>0</v>
      </c>
      <c r="O264">
        <f ca="1">IF(AND(COUNTIF(IF(AND(配装计算器!$K$30&lt;&gt;"∞",0),INDEX(AU263:CB263,1,$AT$1),INDEX(AU265:CB265,1,$AT$1)),"*云飞*")=1,COUNTIF(IF(AND(配装计算器!$K$30&lt;&gt;"∞",0),INDEX(AU263:CB263,1,$AT$1),INDEX(AU265:CB265,1,$AT$1)),"*玉山*")=0),N264,0)</f>
        <v>0</v>
      </c>
      <c r="P264">
        <f ca="1">IFERROR(IF(COUNTIF(B264,"*云栖松*")&gt;0,50-加速!$L$11,MAX(0,P263-(A264-A263))),0)</f>
        <v>0</v>
      </c>
      <c r="Q264">
        <f ca="1">IF(COUNTIF(IF(AND(配装计算器!$K$30&lt;&gt;"∞",0),INDEX(AU263:CB263,1,$AT$1),INDEX(AU265:CB265,1,$AT$1)),"*云栖松*")=1,P264,0)</f>
        <v>0</v>
      </c>
      <c r="R264">
        <f ca="1">IFERROR(IF(COUNTIF(B264,"*莺鸣柳*")&gt;0,45-加速!$L$9,MAX(0,R263-(A264-A263))),0)</f>
        <v>0</v>
      </c>
      <c r="S264">
        <f ca="1">IF(COUNTIF(IF(AND(配装计算器!$K$30&lt;&gt;"∞",0),INDEX(AU263:CB263,1,$AT$1),INDEX(AU265:CB265,1,$AT$1)),"*莺鸣柳*")=1,R264,0)</f>
        <v>0</v>
      </c>
      <c r="T264">
        <f ca="1" t="shared" si="65"/>
        <v>0</v>
      </c>
      <c r="U264">
        <f ca="1">IF(金蛇,IF(COUNTIF(B264,"*金环戴*")+COUNTIF(B264,"*吹风醒*")&gt;0,IF(A264&lt;=3,7.125-2.625-A264-加速!$L$11,7.125+加速!$K$9-(A264+加速!$L$11-T264)),0),0)+IF(金蛇,IF(COUNTIF(B264,"*千切子裂光*")&gt;0,2+加速!$K$9-(A264+加速!$L$11-T264),0),0)</f>
        <v>0</v>
      </c>
      <c r="V264">
        <f ca="1" t="shared" si="66"/>
        <v>0</v>
      </c>
      <c r="W264">
        <f ca="1" t="shared" si="57"/>
        <v>0</v>
      </c>
      <c r="X264">
        <f ca="1">INDEX(加速!$I$13:$I$21,技能数计算!W264+1)</f>
        <v>0</v>
      </c>
      <c r="Y264">
        <f ca="1" t="shared" si="61"/>
        <v>0.5</v>
      </c>
      <c r="Z264">
        <f ca="1" t="shared" si="62"/>
        <v>0</v>
      </c>
      <c r="AA264">
        <f ca="1">MAX(0,IFERROR(IF(COUNTIF(B264,"*叠*")&gt;0,IF(AC263&lt;3,8-A265+A264,AA263+6.875-A265+A264),AA263-A265+A264),AA263-加速!$L$11))</f>
        <v>0</v>
      </c>
      <c r="AB264" t="e">
        <f ca="1">MAX(0,IF(COUNTIF(IF(AND(配装计算器!$K$30&lt;&gt;"∞",0),INDEX(AU264:CB264,1,$AT$1),INDEX(AU264:CB264,1,$AT$1)),"*叠1*")=1,4*25-加速!$L$11,AB263-A264+A263)-IF(OR(COUNTIF(OFFSET(AT264,0,$AT$1,1,1),"*听雷*")&gt;0,AND(碧归&gt;0,COUNTIF(OFFSET(AT264,0,$AT$1,1,1),"*风来*")&gt;0)),0,1)*1.5)</f>
        <v>#VALUE!</v>
      </c>
      <c r="AC264">
        <f ca="1" t="shared" si="58"/>
        <v>3</v>
      </c>
      <c r="AD264">
        <f ca="1">IF(COUNTIF(IF(AND(配装计算器!$K$30&lt;&gt;"∞",0),INDEX(AU264:CB264,1,$AT$1),INDEX(AU265:CB265,1,$AT$1)),"*叠1*")=1,AB264*0+AE263,0)</f>
        <v>0</v>
      </c>
      <c r="AE264" t="e">
        <f ca="1">IF($AN$11&gt;0,IF(COUNTIF(B265,"*叠1*")&gt;0,50-加速!$H$11,MAX(0,AE263-(A265-A264))),0)</f>
        <v>#VALUE!</v>
      </c>
      <c r="AU264" s="176" t="s">
        <v>2768</v>
      </c>
      <c r="AV264">
        <v>1</v>
      </c>
      <c r="AW264" t="s">
        <v>3056</v>
      </c>
      <c r="AX264">
        <v>1</v>
      </c>
      <c r="AY264" t="s">
        <v>2776</v>
      </c>
      <c r="AZ264">
        <v>2</v>
      </c>
      <c r="BA264" t="s">
        <v>3035</v>
      </c>
      <c r="BB264">
        <v>2</v>
      </c>
      <c r="BC264" t="s">
        <v>2768</v>
      </c>
      <c r="BD264">
        <v>1</v>
      </c>
      <c r="BE264" t="s">
        <v>2776</v>
      </c>
      <c r="BF264">
        <v>0</v>
      </c>
      <c r="BG264" s="176" t="s">
        <v>3035</v>
      </c>
      <c r="BH264">
        <v>2</v>
      </c>
      <c r="BI264" t="s">
        <v>2768</v>
      </c>
      <c r="BJ264">
        <v>2</v>
      </c>
      <c r="BK264" s="176" t="s">
        <v>2794</v>
      </c>
      <c r="BL264">
        <v>2</v>
      </c>
      <c r="BM264" s="176" t="s">
        <v>2768</v>
      </c>
      <c r="BN264">
        <v>2</v>
      </c>
      <c r="BO264" t="s">
        <v>2768</v>
      </c>
      <c r="BP264">
        <v>2</v>
      </c>
      <c r="BQ264" t="s">
        <v>3013</v>
      </c>
      <c r="BR264">
        <v>2</v>
      </c>
      <c r="BS264" t="s">
        <v>2768</v>
      </c>
      <c r="BT264">
        <v>0</v>
      </c>
      <c r="BU264" t="s">
        <v>3011</v>
      </c>
      <c r="BV264">
        <v>2</v>
      </c>
      <c r="BW264" s="179" t="str">
        <f t="shared" si="63"/>
        <v>云飞玉皇-玉山揽云</v>
      </c>
      <c r="BX264" s="179">
        <v>2</v>
      </c>
      <c r="BY264" t="s">
        <v>2768</v>
      </c>
      <c r="BZ264">
        <v>2</v>
      </c>
      <c r="CA264" t="s">
        <v>2768</v>
      </c>
      <c r="CB264">
        <v>2</v>
      </c>
    </row>
    <row r="265" spans="1:80">
      <c r="A265" s="178" t="str">
        <f ca="1">IFERROR(IF(A264+加速!$L$11&lt;$AS$1,IF(COUNTIF(B264,"*轻*")&gt;0,A264+加速!$L$9,A264+加速!$L$11)+V264,IF(COUNTIF(INDEX(AU265:CB265,1,$AT$1),"*云景*")+COUNTIF(INDEX(AU265:CB265,1,$AT$1),"*鹤归*")+COUNTIF(INDEX(AU265:CB265,1,$AT$1),"*听雷*")&gt;0,A264+加速!$L$11,"")),"")</f>
        <v/>
      </c>
      <c r="B265" s="167" t="str">
        <f ca="1">IF(A265&lt;&gt;"",IF(AND(A265+加速!$L$11&gt;$AS$1,IF(AND(配装计算器!$K$30&lt;&gt;"∞",0),"梦泉虎跑-轻",INDEX(AU265:CB265,1,$AT$1))="云栖松"),"夕照雷峰",IF(AND(配装计算器!$K$30&lt;&gt;"∞",0),"梦泉虎跑-轻",INDEX(AU265:CB265,1,$AT$1))),"")</f>
        <v/>
      </c>
      <c r="C265" t="str">
        <f ca="1" t="shared" si="64"/>
        <v/>
      </c>
      <c r="D265" t="str">
        <f ca="1">IF(B265&lt;&gt;"",IF(C264&lt;=加速!$L$11*(1-E265),0,1),"")</f>
        <v/>
      </c>
      <c r="E265">
        <f ca="1" t="shared" si="59"/>
        <v>1</v>
      </c>
      <c r="G265" t="str">
        <f ca="1" t="shared" si="60"/>
        <v/>
      </c>
      <c r="H265" t="str">
        <f ca="1">IF(B265&lt;&gt;"",IF(AND(COUNTIF(B264,"*轻*莺鸣柳*")&gt;0,COUNTIF(B265,"*轻*")&lt;1),MAX(0,15+I264-(A265-A264)+COUNTIF(B264,"*平湖*")*0),IF(AND(E265=0,MAX(0,H264-(A265-A264))&lt;=加速!$H$11),0,MAX(0,H264-(A265-A264)))),"")</f>
        <v/>
      </c>
      <c r="I265" t="str">
        <f ca="1" t="shared" si="67"/>
        <v/>
      </c>
      <c r="J265" t="str">
        <f ca="1" t="shared" si="68"/>
        <v/>
      </c>
      <c r="K265" t="str">
        <f ca="1">IF(A265&lt;&gt;"",IF(AND(配装计算器!$K$30&lt;&gt;"∞",0),2,INDEX(AU265:CB265,1,$AT$2)),"")</f>
        <v/>
      </c>
      <c r="L265">
        <f ca="1">IFERROR(IF(AND(COUNTIF(B265,"*-峰插*"),技能数据库!$M$72&gt;0),0,IF(COUNTIF(B265,"*鹤归*")&gt;0,16-加速!$L$11,MAX(0,L264-(A265-A264)))),0)</f>
        <v>0</v>
      </c>
      <c r="M265">
        <f ca="1">IF(COUNTIF(IF(AND(配装计算器!$K$30&lt;&gt;"∞",0),INDEX(AU264:CB264,1,$AT$1),INDEX(AU266:CB266,1,$AT$1)),"*鹤归*")=1,L265,0)</f>
        <v>0</v>
      </c>
      <c r="N265">
        <f ca="1">IFERROR(IF(AND(COUNTIF(B265,"*-峰插*"),技能数据库!$M$72&gt;0),0,IF(COUNTIF(B265,"*云飞*")&gt;0,4-COUNTIF(B265,"*玉山揽云*")*4--COUNTIF(B265,"*烟流暮景*")*4-COUNTIF(B265,"*云景*")*加速!$L$11-IF(J265&gt;0,2,0),MAX(0,N264-(A265-A264)-IF(J265&gt;0,2,0)))),0)</f>
        <v>0</v>
      </c>
      <c r="O265">
        <f ca="1">IF(AND(COUNTIF(IF(AND(配装计算器!$K$30&lt;&gt;"∞",0),INDEX(AU264:CB264,1,$AT$1),INDEX(AU266:CB266,1,$AT$1)),"*云飞*")=1,COUNTIF(IF(AND(配装计算器!$K$30&lt;&gt;"∞",0),INDEX(AU264:CB264,1,$AT$1),INDEX(AU266:CB266,1,$AT$1)),"*玉山*")=0),N265,0)</f>
        <v>0</v>
      </c>
      <c r="P265">
        <f ca="1">IFERROR(IF(COUNTIF(B265,"*云栖松*")&gt;0,50-加速!$L$11,MAX(0,P264-(A265-A264))),0)</f>
        <v>0</v>
      </c>
      <c r="Q265">
        <f ca="1">IF(COUNTIF(IF(AND(配装计算器!$K$30&lt;&gt;"∞",0),INDEX(AU264:CB264,1,$AT$1),INDEX(AU266:CB266,1,$AT$1)),"*云栖松*")=1,P265,0)</f>
        <v>0</v>
      </c>
      <c r="R265">
        <f ca="1">IFERROR(IF(COUNTIF(B265,"*莺鸣柳*")&gt;0,45-加速!$L$9,MAX(0,R264-(A265-A264))),0)</f>
        <v>0</v>
      </c>
      <c r="S265">
        <f ca="1">IF(COUNTIF(IF(AND(配装计算器!$K$30&lt;&gt;"∞",0),INDEX(AU264:CB264,1,$AT$1),INDEX(AU266:CB266,1,$AT$1)),"*莺鸣柳*")=1,R265,0)</f>
        <v>0</v>
      </c>
      <c r="T265">
        <f ca="1" t="shared" si="65"/>
        <v>0</v>
      </c>
      <c r="U265">
        <f ca="1">IF(金蛇,IF(COUNTIF(B265,"*金环戴*")+COUNTIF(B265,"*吹风醒*")&gt;0,IF(A265&lt;=3,7.125-2.625-A265-加速!$L$11,7.125+加速!$K$9-(A265+加速!$L$11-T265)),0),0)+IF(金蛇,IF(COUNTIF(B265,"*千切子裂光*")&gt;0,2+加速!$K$9-(A265+加速!$L$11-T265),0),0)</f>
        <v>0</v>
      </c>
      <c r="V265">
        <f ca="1" t="shared" si="66"/>
        <v>0</v>
      </c>
      <c r="W265">
        <f ca="1" t="shared" si="57"/>
        <v>0</v>
      </c>
      <c r="X265">
        <f ca="1">INDEX(加速!$I$13:$I$21,技能数计算!W265+1)</f>
        <v>0</v>
      </c>
      <c r="Y265">
        <f ca="1" t="shared" si="61"/>
        <v>0.5</v>
      </c>
      <c r="Z265">
        <f ca="1" t="shared" si="62"/>
        <v>0</v>
      </c>
      <c r="AA265">
        <f ca="1">MAX(0,IFERROR(IF(COUNTIF(B265,"*叠*")&gt;0,IF(AC264&lt;3,8-A266+A265,AA264+6.875-A266+A265),AA264-A266+A265),AA264-加速!$L$11))</f>
        <v>0</v>
      </c>
      <c r="AB265" t="e">
        <f ca="1">MAX(0,IF(COUNTIF(IF(AND(配装计算器!$K$30&lt;&gt;"∞",0),INDEX(AU265:CB265,1,$AT$1),INDEX(AU265:CB265,1,$AT$1)),"*叠1*")=1,4*25-加速!$L$11,AB264-A265+A264)-IF(OR(COUNTIF(OFFSET(AT265,0,$AT$1,1,1),"*听雷*")&gt;0,AND(碧归&gt;0,COUNTIF(OFFSET(AT265,0,$AT$1,1,1),"*风来*")&gt;0)),0,1)*1.5)</f>
        <v>#VALUE!</v>
      </c>
      <c r="AC265">
        <f ca="1" t="shared" si="58"/>
        <v>3</v>
      </c>
      <c r="AD265">
        <f ca="1">IF(COUNTIF(IF(AND(配装计算器!$K$30&lt;&gt;"∞",0),INDEX(AU265:CB265,1,$AT$1),INDEX(AU266:CB266,1,$AT$1)),"*叠1*")=1,AB265*0+AE264,0)</f>
        <v>0</v>
      </c>
      <c r="AE265" t="e">
        <f ca="1">IF($AN$11&gt;0,IF(COUNTIF(B266,"*叠1*")&gt;0,50-加速!$H$11,MAX(0,AE264-(A266-A265))),0)</f>
        <v>#VALUE!</v>
      </c>
      <c r="AU265" s="176" t="s">
        <v>2776</v>
      </c>
      <c r="AV265">
        <v>2</v>
      </c>
      <c r="AW265" t="s">
        <v>2768</v>
      </c>
      <c r="AX265">
        <v>2</v>
      </c>
      <c r="AY265" t="s">
        <v>3035</v>
      </c>
      <c r="AZ265">
        <v>2</v>
      </c>
      <c r="BA265" t="s">
        <v>2768</v>
      </c>
      <c r="BB265">
        <v>2</v>
      </c>
      <c r="BC265" t="s">
        <v>2776</v>
      </c>
      <c r="BD265">
        <v>1</v>
      </c>
      <c r="BE265" t="s">
        <v>2768</v>
      </c>
      <c r="BF265">
        <v>0</v>
      </c>
      <c r="BG265" t="s">
        <v>2768</v>
      </c>
      <c r="BH265">
        <v>2</v>
      </c>
      <c r="BI265" t="s">
        <v>2768</v>
      </c>
      <c r="BJ265">
        <v>2</v>
      </c>
      <c r="BK265" s="176" t="s">
        <v>2768</v>
      </c>
      <c r="BL265">
        <v>2</v>
      </c>
      <c r="BM265" s="176" t="s">
        <v>2776</v>
      </c>
      <c r="BN265">
        <v>2</v>
      </c>
      <c r="BO265" t="s">
        <v>2768</v>
      </c>
      <c r="BP265">
        <v>2</v>
      </c>
      <c r="BQ265" t="s">
        <v>3018</v>
      </c>
      <c r="BR265">
        <v>2</v>
      </c>
      <c r="BS265" t="s">
        <v>2776</v>
      </c>
      <c r="BT265">
        <v>0</v>
      </c>
      <c r="BU265" t="s">
        <v>2768</v>
      </c>
      <c r="BV265">
        <v>2</v>
      </c>
      <c r="BW265" s="179" t="s">
        <v>2776</v>
      </c>
      <c r="BX265" s="179">
        <v>2</v>
      </c>
      <c r="BY265" t="s">
        <v>2718</v>
      </c>
      <c r="BZ265">
        <v>0</v>
      </c>
      <c r="CA265" t="s">
        <v>2768</v>
      </c>
      <c r="CB265">
        <v>2</v>
      </c>
    </row>
    <row r="266" spans="1:80">
      <c r="A266" s="178" t="str">
        <f ca="1">IFERROR(IF(A265+加速!$L$11&lt;$AS$1,IF(COUNTIF(B265,"*轻*")&gt;0,A265+加速!$L$9,A265+加速!$L$11)+V265,IF(COUNTIF(INDEX(AU266:CB266,1,$AT$1),"*云景*")+COUNTIF(INDEX(AU266:CB266,1,$AT$1),"*鹤归*")+COUNTIF(INDEX(AU266:CB266,1,$AT$1),"*听雷*")&gt;0,A265+加速!$L$11,"")),"")</f>
        <v/>
      </c>
      <c r="B266" s="167" t="str">
        <f ca="1">IF(A266&lt;&gt;"",IF(AND(A266+加速!$L$11&gt;$AS$1,IF(AND(配装计算器!$K$30&lt;&gt;"∞",0),"梦泉虎跑-轻",INDEX(AU266:CB266,1,$AT$1))="云栖松"),"夕照雷峰",IF(AND(配装计算器!$K$30&lt;&gt;"∞",0),"梦泉虎跑-轻",INDEX(AU266:CB266,1,$AT$1))),"")</f>
        <v/>
      </c>
      <c r="C266" t="str">
        <f ca="1" t="shared" si="64"/>
        <v/>
      </c>
      <c r="D266" t="str">
        <f ca="1">IF(B266&lt;&gt;"",IF(C265&lt;=加速!$L$11*(1-E266),0,1),"")</f>
        <v/>
      </c>
      <c r="E266">
        <f ca="1" t="shared" si="59"/>
        <v>1</v>
      </c>
      <c r="G266" t="str">
        <f ca="1" t="shared" si="60"/>
        <v/>
      </c>
      <c r="H266" t="str">
        <f ca="1">IF(B266&lt;&gt;"",IF(AND(COUNTIF(B265,"*轻*莺鸣柳*")&gt;0,COUNTIF(B266,"*轻*")&lt;1),MAX(0,15+I265-(A266-A265)+COUNTIF(B265,"*平湖*")*0),IF(AND(E266=0,MAX(0,H265-(A266-A265))&lt;=加速!$H$11),0,MAX(0,H265-(A266-A265)))),"")</f>
        <v/>
      </c>
      <c r="I266" t="str">
        <f ca="1" t="shared" si="67"/>
        <v/>
      </c>
      <c r="J266" t="str">
        <f ca="1" t="shared" si="68"/>
        <v/>
      </c>
      <c r="K266" t="str">
        <f ca="1">IF(A266&lt;&gt;"",IF(AND(配装计算器!$K$30&lt;&gt;"∞",0),2,INDEX(AU266:CB266,1,$AT$2)),"")</f>
        <v/>
      </c>
      <c r="L266">
        <f ca="1">IFERROR(IF(AND(COUNTIF(B266,"*-峰插*"),技能数据库!$M$72&gt;0),0,IF(COUNTIF(B266,"*鹤归*")&gt;0,16-加速!$L$11,MAX(0,L265-(A266-A265)))),0)</f>
        <v>0</v>
      </c>
      <c r="M266">
        <f ca="1">IF(COUNTIF(IF(AND(配装计算器!$K$30&lt;&gt;"∞",0),INDEX(AU265:CB265,1,$AT$1),INDEX(AU267:CB267,1,$AT$1)),"*鹤归*")=1,L266,0)</f>
        <v>0</v>
      </c>
      <c r="N266">
        <f ca="1">IFERROR(IF(AND(COUNTIF(B266,"*-峰插*"),技能数据库!$M$72&gt;0),0,IF(COUNTIF(B266,"*云飞*")&gt;0,4-COUNTIF(B266,"*玉山揽云*")*4--COUNTIF(B266,"*烟流暮景*")*4-COUNTIF(B266,"*云景*")*加速!$L$11-IF(J266&gt;0,2,0),MAX(0,N265-(A266-A265)-IF(J266&gt;0,2,0)))),0)</f>
        <v>0</v>
      </c>
      <c r="O266">
        <f ca="1">IF(AND(COUNTIF(IF(AND(配装计算器!$K$30&lt;&gt;"∞",0),INDEX(AU265:CB265,1,$AT$1),INDEX(AU267:CB267,1,$AT$1)),"*云飞*")=1,COUNTIF(IF(AND(配装计算器!$K$30&lt;&gt;"∞",0),INDEX(AU265:CB265,1,$AT$1),INDEX(AU267:CB267,1,$AT$1)),"*玉山*")=0),N266,0)</f>
        <v>0</v>
      </c>
      <c r="P266">
        <f ca="1">IFERROR(IF(COUNTIF(B266,"*云栖松*")&gt;0,50-加速!$L$11,MAX(0,P265-(A266-A265))),0)</f>
        <v>0</v>
      </c>
      <c r="Q266">
        <f ca="1">IF(COUNTIF(IF(AND(配装计算器!$K$30&lt;&gt;"∞",0),INDEX(AU265:CB265,1,$AT$1),INDEX(AU267:CB267,1,$AT$1)),"*云栖松*")=1,P266,0)</f>
        <v>0</v>
      </c>
      <c r="R266">
        <f ca="1">IFERROR(IF(COUNTIF(B266,"*莺鸣柳*")&gt;0,45-加速!$L$9,MAX(0,R265-(A266-A265))),0)</f>
        <v>0</v>
      </c>
      <c r="S266">
        <f ca="1">IF(COUNTIF(IF(AND(配装计算器!$K$30&lt;&gt;"∞",0),INDEX(AU265:CB265,1,$AT$1),INDEX(AU267:CB267,1,$AT$1)),"*莺鸣柳*")=1,R266,0)</f>
        <v>0</v>
      </c>
      <c r="T266">
        <f ca="1" t="shared" si="65"/>
        <v>0</v>
      </c>
      <c r="U266">
        <f ca="1">IF(金蛇,IF(COUNTIF(B266,"*金环戴*")+COUNTIF(B266,"*吹风醒*")&gt;0,IF(A266&lt;=3,7.125-2.625-A266-加速!$L$11,7.125+加速!$K$9-(A266+加速!$L$11-T266)),0),0)+IF(金蛇,IF(COUNTIF(B266,"*千切子裂光*")&gt;0,2+加速!$K$9-(A266+加速!$L$11-T266),0),0)</f>
        <v>0</v>
      </c>
      <c r="V266">
        <f ca="1" t="shared" si="66"/>
        <v>0</v>
      </c>
      <c r="W266">
        <f ca="1" t="shared" si="57"/>
        <v>0</v>
      </c>
      <c r="X266">
        <f ca="1">INDEX(加速!$I$13:$I$21,技能数计算!W266+1)</f>
        <v>0</v>
      </c>
      <c r="Y266">
        <f ca="1" t="shared" si="61"/>
        <v>0.5</v>
      </c>
      <c r="Z266">
        <f ca="1" t="shared" si="62"/>
        <v>0</v>
      </c>
      <c r="AA266">
        <f ca="1">MAX(0,IFERROR(IF(COUNTIF(B266,"*叠*")&gt;0,IF(AC265&lt;3,8-A267+A266,AA265+6.875-A267+A266),AA265-A267+A266),AA265-加速!$L$11))</f>
        <v>0</v>
      </c>
      <c r="AB266" t="e">
        <f ca="1">MAX(0,IF(COUNTIF(IF(AND(配装计算器!$K$30&lt;&gt;"∞",0),INDEX(AU266:CB266,1,$AT$1),INDEX(AU266:CB266,1,$AT$1)),"*叠1*")=1,4*25-加速!$L$11,AB265-A266+A265)-IF(OR(COUNTIF(OFFSET(AT266,0,$AT$1,1,1),"*听雷*")&gt;0,AND(碧归&gt;0,COUNTIF(OFFSET(AT266,0,$AT$1,1,1),"*风来*")&gt;0)),0,1)*1.5)</f>
        <v>#VALUE!</v>
      </c>
      <c r="AC266">
        <f ca="1" t="shared" si="58"/>
        <v>3</v>
      </c>
      <c r="AD266">
        <f ca="1">IF(COUNTIF(IF(AND(配装计算器!$K$30&lt;&gt;"∞",0),INDEX(AU266:CB266,1,$AT$1),INDEX(AU267:CB267,1,$AT$1)),"*叠1*")=1,AB266*0+AE265,0)</f>
        <v>0</v>
      </c>
      <c r="AE266" t="e">
        <f ca="1">IF($AN$11&gt;0,IF(COUNTIF(B267,"*叠1*")&gt;0,50-加速!$H$11,MAX(0,AE265-(A267-A266))),0)</f>
        <v>#VALUE!</v>
      </c>
      <c r="AU266" s="176" t="s">
        <v>2768</v>
      </c>
      <c r="AV266">
        <v>1</v>
      </c>
      <c r="AW266" t="s">
        <v>2768</v>
      </c>
      <c r="AX266">
        <v>2</v>
      </c>
      <c r="AY266" t="s">
        <v>2768</v>
      </c>
      <c r="AZ266">
        <v>2</v>
      </c>
      <c r="BA266" t="s">
        <v>2776</v>
      </c>
      <c r="BB266">
        <v>2</v>
      </c>
      <c r="BC266" t="s">
        <v>2768</v>
      </c>
      <c r="BD266">
        <v>1</v>
      </c>
      <c r="BE266" t="s">
        <v>2776</v>
      </c>
      <c r="BF266">
        <v>0</v>
      </c>
      <c r="BG266" t="s">
        <v>2776</v>
      </c>
      <c r="BH266">
        <v>2</v>
      </c>
      <c r="BI266" s="176" t="s">
        <v>2794</v>
      </c>
      <c r="BJ266">
        <v>1</v>
      </c>
      <c r="BK266" s="176" t="s">
        <v>2776</v>
      </c>
      <c r="BL266">
        <v>2</v>
      </c>
      <c r="BM266" s="176" t="s">
        <v>2768</v>
      </c>
      <c r="BN266">
        <v>2</v>
      </c>
      <c r="BO266" t="s">
        <v>2768</v>
      </c>
      <c r="BP266">
        <v>2</v>
      </c>
      <c r="BQ266" t="s">
        <v>2768</v>
      </c>
      <c r="BR266">
        <v>2</v>
      </c>
      <c r="BS266" t="s">
        <v>2768</v>
      </c>
      <c r="BT266">
        <v>0</v>
      </c>
      <c r="BU266" t="s">
        <v>3018</v>
      </c>
      <c r="BV266">
        <v>2</v>
      </c>
      <c r="BW266" s="179" t="s">
        <v>2768</v>
      </c>
      <c r="BX266" s="179">
        <v>2</v>
      </c>
      <c r="BY266" t="s">
        <v>2768</v>
      </c>
      <c r="BZ266">
        <v>2</v>
      </c>
      <c r="CA266" t="s">
        <v>2768</v>
      </c>
      <c r="CB266">
        <v>2</v>
      </c>
    </row>
    <row r="267" spans="1:80">
      <c r="A267" s="178" t="str">
        <f ca="1">IFERROR(IF(A266+加速!$L$11&lt;$AS$1,IF(COUNTIF(B266,"*轻*")&gt;0,A266+加速!$L$9,A266+加速!$L$11)+V266,IF(COUNTIF(INDEX(AU267:CB267,1,$AT$1),"*云景*")+COUNTIF(INDEX(AU267:CB267,1,$AT$1),"*鹤归*")+COUNTIF(INDEX(AU267:CB267,1,$AT$1),"*听雷*")&gt;0,A266+加速!$L$11,"")),"")</f>
        <v/>
      </c>
      <c r="B267" s="167" t="str">
        <f ca="1">IF(A267&lt;&gt;"",IF(AND(A267+加速!$L$11&gt;$AS$1,IF(AND(配装计算器!$K$30&lt;&gt;"∞",0),"梦泉虎跑-轻",INDEX(AU267:CB267,1,$AT$1))="云栖松"),"夕照雷峰",IF(AND(配装计算器!$K$30&lt;&gt;"∞",0),"梦泉虎跑-轻",INDEX(AU267:CB267,1,$AT$1))),"")</f>
        <v/>
      </c>
      <c r="C267" t="str">
        <f ca="1" t="shared" si="64"/>
        <v/>
      </c>
      <c r="D267" t="str">
        <f ca="1">IF(B267&lt;&gt;"",IF(C266&lt;=加速!$L$11*(1-E267),0,1),"")</f>
        <v/>
      </c>
      <c r="E267">
        <f ca="1" t="shared" si="59"/>
        <v>1</v>
      </c>
      <c r="G267" t="str">
        <f ca="1" t="shared" si="60"/>
        <v/>
      </c>
      <c r="H267" t="str">
        <f ca="1">IF(B267&lt;&gt;"",IF(AND(COUNTIF(B266,"*轻*莺鸣柳*")&gt;0,COUNTIF(B267,"*轻*")&lt;1),MAX(0,15+I266-(A267-A266)+COUNTIF(B266,"*平湖*")*0),IF(AND(E267=0,MAX(0,H266-(A267-A266))&lt;=加速!$H$11),0,MAX(0,H266-(A267-A266)))),"")</f>
        <v/>
      </c>
      <c r="I267" t="str">
        <f ca="1" t="shared" si="67"/>
        <v/>
      </c>
      <c r="J267" t="str">
        <f ca="1" t="shared" si="68"/>
        <v/>
      </c>
      <c r="K267" t="str">
        <f ca="1">IF(A267&lt;&gt;"",IF(AND(配装计算器!$K$30&lt;&gt;"∞",0),2,INDEX(AU267:CB267,1,$AT$2)),"")</f>
        <v/>
      </c>
      <c r="L267">
        <f ca="1">IFERROR(IF(AND(COUNTIF(B267,"*-峰插*"),技能数据库!$M$72&gt;0),0,IF(COUNTIF(B267,"*鹤归*")&gt;0,16-加速!$L$11,MAX(0,L266-(A267-A266)))),0)</f>
        <v>0</v>
      </c>
      <c r="M267">
        <f ca="1">IF(COUNTIF(IF(AND(配装计算器!$K$30&lt;&gt;"∞",0),INDEX(AU266:CB266,1,$AT$1),INDEX(AU268:CB268,1,$AT$1)),"*鹤归*")=1,L267,0)</f>
        <v>0</v>
      </c>
      <c r="N267">
        <f ca="1">IFERROR(IF(AND(COUNTIF(B267,"*-峰插*"),技能数据库!$M$72&gt;0),0,IF(COUNTIF(B267,"*云飞*")&gt;0,4-COUNTIF(B267,"*玉山揽云*")*4--COUNTIF(B267,"*烟流暮景*")*4-COUNTIF(B267,"*云景*")*加速!$L$11-IF(J267&gt;0,2,0),MAX(0,N266-(A267-A266)-IF(J267&gt;0,2,0)))),0)</f>
        <v>0</v>
      </c>
      <c r="O267">
        <f ca="1">IF(AND(COUNTIF(IF(AND(配装计算器!$K$30&lt;&gt;"∞",0),INDEX(AU266:CB266,1,$AT$1),INDEX(AU268:CB268,1,$AT$1)),"*云飞*")=1,COUNTIF(IF(AND(配装计算器!$K$30&lt;&gt;"∞",0),INDEX(AU266:CB266,1,$AT$1),INDEX(AU268:CB268,1,$AT$1)),"*玉山*")=0),N267,0)</f>
        <v>0</v>
      </c>
      <c r="P267">
        <f ca="1">IFERROR(IF(COUNTIF(B267,"*云栖松*")&gt;0,50-加速!$L$11,MAX(0,P266-(A267-A266))),0)</f>
        <v>0</v>
      </c>
      <c r="Q267">
        <f ca="1">IF(COUNTIF(IF(AND(配装计算器!$K$30&lt;&gt;"∞",0),INDEX(AU266:CB266,1,$AT$1),INDEX(AU268:CB268,1,$AT$1)),"*云栖松*")=1,P267,0)</f>
        <v>0</v>
      </c>
      <c r="R267">
        <f ca="1">IFERROR(IF(COUNTIF(B267,"*莺鸣柳*")&gt;0,45-加速!$L$9,MAX(0,R266-(A267-A266))),0)</f>
        <v>0</v>
      </c>
      <c r="S267">
        <f ca="1">IF(COUNTIF(IF(AND(配装计算器!$K$30&lt;&gt;"∞",0),INDEX(AU266:CB266,1,$AT$1),INDEX(AU268:CB268,1,$AT$1)),"*莺鸣柳*")=1,R267,0)</f>
        <v>0</v>
      </c>
      <c r="T267">
        <f ca="1" t="shared" si="65"/>
        <v>0</v>
      </c>
      <c r="U267">
        <f ca="1">IF(金蛇,IF(COUNTIF(B267,"*金环戴*")+COUNTIF(B267,"*吹风醒*")&gt;0,IF(A267&lt;=3,7.125-2.625-A267-加速!$L$11,7.125+加速!$K$9-(A267+加速!$L$11-T267)),0),0)+IF(金蛇,IF(COUNTIF(B267,"*千切子裂光*")&gt;0,2+加速!$K$9-(A267+加速!$L$11-T267),0),0)</f>
        <v>0</v>
      </c>
      <c r="V267">
        <f ca="1" t="shared" si="66"/>
        <v>0</v>
      </c>
      <c r="W267">
        <f ca="1" t="shared" si="57"/>
        <v>0</v>
      </c>
      <c r="X267">
        <f ca="1">INDEX(加速!$I$13:$I$21,技能数计算!W267+1)</f>
        <v>0</v>
      </c>
      <c r="Y267">
        <f ca="1" t="shared" si="61"/>
        <v>0.5</v>
      </c>
      <c r="Z267">
        <f ca="1" t="shared" si="62"/>
        <v>0</v>
      </c>
      <c r="AA267">
        <f ca="1">MAX(0,IFERROR(IF(COUNTIF(B267,"*叠*")&gt;0,IF(AC266&lt;3,8-A268+A267,AA266+6.875-A268+A267),AA266-A268+A267),AA266-加速!$L$11))</f>
        <v>0</v>
      </c>
      <c r="AB267" t="e">
        <f ca="1">MAX(0,IF(COUNTIF(IF(AND(配装计算器!$K$30&lt;&gt;"∞",0),INDEX(AU267:CB267,1,$AT$1),INDEX(AU267:CB267,1,$AT$1)),"*叠1*")=1,4*25-加速!$L$11,AB266-A267+A266)-IF(OR(COUNTIF(OFFSET(AT267,0,$AT$1,1,1),"*听雷*")&gt;0,AND(碧归&gt;0,COUNTIF(OFFSET(AT267,0,$AT$1,1,1),"*风来*")&gt;0)),0,1)*1.5)</f>
        <v>#VALUE!</v>
      </c>
      <c r="AC267">
        <f ca="1" t="shared" si="58"/>
        <v>3</v>
      </c>
      <c r="AD267">
        <f ca="1">IF(COUNTIF(IF(AND(配装计算器!$K$30&lt;&gt;"∞",0),INDEX(AU267:CB267,1,$AT$1),INDEX(AU268:CB268,1,$AT$1)),"*叠1*")=1,AB267*0+AE266,0)</f>
        <v>0</v>
      </c>
      <c r="AE267" t="e">
        <f ca="1">IF($AN$11&gt;0,IF(COUNTIF(B268,"*叠1*")&gt;0,50-加速!$H$11,MAX(0,AE266-(A268-A267))),0)</f>
        <v>#VALUE!</v>
      </c>
      <c r="AU267" s="176" t="s">
        <v>2776</v>
      </c>
      <c r="AV267">
        <v>1</v>
      </c>
      <c r="AW267" t="s">
        <v>2768</v>
      </c>
      <c r="AX267">
        <v>2</v>
      </c>
      <c r="AY267" t="s">
        <v>2776</v>
      </c>
      <c r="AZ267">
        <v>2</v>
      </c>
      <c r="BA267" t="s">
        <v>2768</v>
      </c>
      <c r="BB267">
        <v>2</v>
      </c>
      <c r="BC267" t="s">
        <v>2768</v>
      </c>
      <c r="BD267">
        <v>0</v>
      </c>
      <c r="BE267" t="s">
        <v>3012</v>
      </c>
      <c r="BF267">
        <v>2</v>
      </c>
      <c r="BG267" t="s">
        <v>2768</v>
      </c>
      <c r="BH267">
        <v>2</v>
      </c>
      <c r="BI267" t="s">
        <v>2776</v>
      </c>
      <c r="BJ267">
        <v>1</v>
      </c>
      <c r="BK267" t="s">
        <v>2768</v>
      </c>
      <c r="BL267">
        <v>1</v>
      </c>
      <c r="BM267" t="s">
        <v>3056</v>
      </c>
      <c r="BN267">
        <v>1</v>
      </c>
      <c r="BO267" t="s">
        <v>2776</v>
      </c>
      <c r="BP267">
        <v>2</v>
      </c>
      <c r="BQ267" t="s">
        <v>3023</v>
      </c>
      <c r="BR267">
        <v>2</v>
      </c>
      <c r="BS267" t="s">
        <v>3074</v>
      </c>
      <c r="BT267">
        <v>2</v>
      </c>
      <c r="BU267" t="s">
        <v>2768</v>
      </c>
      <c r="BV267">
        <v>2</v>
      </c>
      <c r="BW267" s="179" t="s">
        <v>2768</v>
      </c>
      <c r="BX267" s="179">
        <v>1</v>
      </c>
      <c r="BY267" t="s">
        <v>2776</v>
      </c>
      <c r="BZ267">
        <v>2</v>
      </c>
      <c r="CA267" t="s">
        <v>2776</v>
      </c>
      <c r="CB267">
        <v>2</v>
      </c>
    </row>
    <row r="268" spans="1:80">
      <c r="A268" s="178" t="str">
        <f ca="1">IFERROR(IF(A267+加速!$L$11&lt;$AS$1,IF(COUNTIF(B267,"*轻*")&gt;0,A267+加速!$L$9,A267+加速!$L$11)+V267,IF(COUNTIF(INDEX(AU268:CB268,1,$AT$1),"*云景*")+COUNTIF(INDEX(AU268:CB268,1,$AT$1),"*鹤归*")+COUNTIF(INDEX(AU268:CB268,1,$AT$1),"*听雷*")&gt;0,A267+加速!$L$11,"")),"")</f>
        <v/>
      </c>
      <c r="B268" s="167" t="str">
        <f ca="1">IF(A268&lt;&gt;"",IF(AND(A268+加速!$L$11&gt;$AS$1,IF(AND(配装计算器!$K$30&lt;&gt;"∞",0),"梦泉虎跑-轻",INDEX(AU268:CB268,1,$AT$1))="云栖松"),"夕照雷峰",IF(AND(配装计算器!$K$30&lt;&gt;"∞",0),"梦泉虎跑-轻",INDEX(AU268:CB268,1,$AT$1))),"")</f>
        <v/>
      </c>
      <c r="C268" t="str">
        <f ca="1" t="shared" si="64"/>
        <v/>
      </c>
      <c r="D268" t="str">
        <f ca="1">IF(B268&lt;&gt;"",IF(C267&lt;=加速!$L$11*(1-E268),0,1),"")</f>
        <v/>
      </c>
      <c r="E268">
        <f ca="1" t="shared" si="59"/>
        <v>1</v>
      </c>
      <c r="G268" t="str">
        <f ca="1" t="shared" si="60"/>
        <v/>
      </c>
      <c r="H268" t="str">
        <f ca="1">IF(B268&lt;&gt;"",IF(AND(COUNTIF(B267,"*轻*莺鸣柳*")&gt;0,COUNTIF(B268,"*轻*")&lt;1),MAX(0,15+I267-(A268-A267)+COUNTIF(B267,"*平湖*")*0),IF(AND(E268=0,MAX(0,H267-(A268-A267))&lt;=加速!$H$11),0,MAX(0,H267-(A268-A267)))),"")</f>
        <v/>
      </c>
      <c r="I268" t="str">
        <f ca="1" t="shared" si="67"/>
        <v/>
      </c>
      <c r="J268" t="str">
        <f ca="1" t="shared" si="68"/>
        <v/>
      </c>
      <c r="K268" t="str">
        <f ca="1">IF(A268&lt;&gt;"",IF(AND(配装计算器!$K$30&lt;&gt;"∞",0),2,INDEX(AU268:CB268,1,$AT$2)),"")</f>
        <v/>
      </c>
      <c r="L268">
        <f ca="1">IFERROR(IF(AND(COUNTIF(B268,"*-峰插*"),技能数据库!$M$72&gt;0),0,IF(COUNTIF(B268,"*鹤归*")&gt;0,16-加速!$L$11,MAX(0,L267-(A268-A267)))),0)</f>
        <v>0</v>
      </c>
      <c r="M268">
        <f ca="1">IF(COUNTIF(IF(AND(配装计算器!$K$30&lt;&gt;"∞",0),INDEX(AU267:CB267,1,$AT$1),INDEX(AU269:CB269,1,$AT$1)),"*鹤归*")=1,L268,0)</f>
        <v>0</v>
      </c>
      <c r="N268">
        <f ca="1">IFERROR(IF(AND(COUNTIF(B268,"*-峰插*"),技能数据库!$M$72&gt;0),0,IF(COUNTIF(B268,"*云飞*")&gt;0,4-COUNTIF(B268,"*玉山揽云*")*4--COUNTIF(B268,"*烟流暮景*")*4-COUNTIF(B268,"*云景*")*加速!$L$11-IF(J268&gt;0,2,0),MAX(0,N267-(A268-A267)-IF(J268&gt;0,2,0)))),0)</f>
        <v>0</v>
      </c>
      <c r="O268">
        <f ca="1">IF(AND(COUNTIF(IF(AND(配装计算器!$K$30&lt;&gt;"∞",0),INDEX(AU267:CB267,1,$AT$1),INDEX(AU269:CB269,1,$AT$1)),"*云飞*")=1,COUNTIF(IF(AND(配装计算器!$K$30&lt;&gt;"∞",0),INDEX(AU267:CB267,1,$AT$1),INDEX(AU269:CB269,1,$AT$1)),"*玉山*")=0),N268,0)</f>
        <v>0</v>
      </c>
      <c r="P268">
        <f ca="1">IFERROR(IF(COUNTIF(B268,"*云栖松*")&gt;0,50-加速!$L$11,MAX(0,P267-(A268-A267))),0)</f>
        <v>0</v>
      </c>
      <c r="Q268">
        <f ca="1">IF(COUNTIF(IF(AND(配装计算器!$K$30&lt;&gt;"∞",0),INDEX(AU267:CB267,1,$AT$1),INDEX(AU269:CB269,1,$AT$1)),"*云栖松*")=1,P268,0)</f>
        <v>0</v>
      </c>
      <c r="R268">
        <f ca="1">IFERROR(IF(COUNTIF(B268,"*莺鸣柳*")&gt;0,45-加速!$L$9,MAX(0,R267-(A268-A267))),0)</f>
        <v>0</v>
      </c>
      <c r="S268">
        <f ca="1">IF(COUNTIF(IF(AND(配装计算器!$K$30&lt;&gt;"∞",0),INDEX(AU267:CB267,1,$AT$1),INDEX(AU269:CB269,1,$AT$1)),"*莺鸣柳*")=1,R268,0)</f>
        <v>0</v>
      </c>
      <c r="T268">
        <f ca="1" t="shared" si="65"/>
        <v>0</v>
      </c>
      <c r="U268">
        <f ca="1">IF(金蛇,IF(COUNTIF(B268,"*金环戴*")+COUNTIF(B268,"*吹风醒*")&gt;0,IF(A268&lt;=3,7.125-2.625-A268-加速!$L$11,7.125+加速!$K$9-(A268+加速!$L$11-T268)),0),0)+IF(金蛇,IF(COUNTIF(B268,"*千切子裂光*")&gt;0,2+加速!$K$9-(A268+加速!$L$11-T268),0),0)</f>
        <v>0</v>
      </c>
      <c r="V268" t="e">
        <f ca="1" t="shared" si="66"/>
        <v>#VALUE!</v>
      </c>
      <c r="W268">
        <f ca="1" t="shared" si="57"/>
        <v>0</v>
      </c>
      <c r="X268">
        <f ca="1">INDEX(加速!$I$13:$I$21,技能数计算!W268+1)</f>
        <v>0</v>
      </c>
      <c r="Y268">
        <f ca="1" t="shared" si="61"/>
        <v>0.5</v>
      </c>
      <c r="Z268">
        <f ca="1" t="shared" si="62"/>
        <v>0</v>
      </c>
      <c r="AA268">
        <f ca="1">MAX(0,IFERROR(IF(COUNTIF(B268,"*叠*")&gt;0,IF(AC267&lt;3,8-A269+A268,AA267+6.875-A269+A268),AA267-A269+A268),AA267-加速!$L$11))</f>
        <v>0</v>
      </c>
      <c r="AB268" t="e">
        <f ca="1">MAX(0,IF(COUNTIF(IF(AND(配装计算器!$K$30&lt;&gt;"∞",0),INDEX(AU268:CB268,1,$AT$1),INDEX(AU268:CB268,1,$AT$1)),"*叠1*")=1,4*25-加速!$L$11,AB267-A268+A267)-IF(OR(COUNTIF(OFFSET(AT268,0,$AT$1,1,1),"*听雷*")&gt;0,AND(碧归&gt;0,COUNTIF(OFFSET(AT268,0,$AT$1,1,1),"*风来*")&gt;0)),0,1)*1.5)</f>
        <v>#VALUE!</v>
      </c>
      <c r="AC268">
        <f ca="1" t="shared" si="58"/>
        <v>3</v>
      </c>
      <c r="AD268" t="e">
        <f ca="1">IF(COUNTIF(IF(AND(配装计算器!$K$30&lt;&gt;"∞",0),INDEX(AU268:CB268,1,$AT$1),INDEX(AU269:CB269,1,$AT$1)),"*叠1*")=1,AB268*0+AE267,0)</f>
        <v>#VALUE!</v>
      </c>
      <c r="AE268" t="e">
        <f ca="1">IF($AN$11&gt;0,IF(COUNTIF(B269,"*叠1*")&gt;0,50-加速!$H$11,MAX(0,AE267-(A269-A268))),0)</f>
        <v>#VALUE!</v>
      </c>
      <c r="AU268" t="s">
        <v>2722</v>
      </c>
      <c r="AV268">
        <v>0</v>
      </c>
      <c r="AW268" t="s">
        <v>2776</v>
      </c>
      <c r="AX268">
        <v>2</v>
      </c>
      <c r="AY268" t="s">
        <v>2768</v>
      </c>
      <c r="AZ268">
        <v>2</v>
      </c>
      <c r="BA268" t="s">
        <v>2776</v>
      </c>
      <c r="BB268">
        <v>2</v>
      </c>
      <c r="BC268" t="s">
        <v>2768</v>
      </c>
      <c r="BD268">
        <v>0</v>
      </c>
      <c r="BE268" t="s">
        <v>2776</v>
      </c>
      <c r="BF268">
        <v>2</v>
      </c>
      <c r="BG268" t="s">
        <v>2776</v>
      </c>
      <c r="BH268">
        <v>2</v>
      </c>
      <c r="BI268" t="s">
        <v>2768</v>
      </c>
      <c r="BJ268">
        <v>0</v>
      </c>
      <c r="BK268" t="s">
        <v>2776</v>
      </c>
      <c r="BL268">
        <v>1</v>
      </c>
      <c r="BM268" t="s">
        <v>2768</v>
      </c>
      <c r="BN268">
        <v>2</v>
      </c>
      <c r="BO268" t="s">
        <v>2768</v>
      </c>
      <c r="BP268">
        <v>1</v>
      </c>
      <c r="BQ268" t="s">
        <v>2768</v>
      </c>
      <c r="BR268">
        <v>2</v>
      </c>
      <c r="BS268" t="s">
        <v>2768</v>
      </c>
      <c r="BT268">
        <v>2</v>
      </c>
      <c r="BU268" s="182" t="s">
        <v>3023</v>
      </c>
      <c r="BV268">
        <v>2</v>
      </c>
      <c r="BW268" s="179" t="s">
        <v>2768</v>
      </c>
      <c r="BX268" s="179">
        <v>1</v>
      </c>
      <c r="BY268" t="s">
        <v>2718</v>
      </c>
      <c r="BZ268">
        <v>0</v>
      </c>
      <c r="CA268" t="s">
        <v>2718</v>
      </c>
      <c r="CB268">
        <v>0</v>
      </c>
    </row>
    <row r="269" spans="1:80">
      <c r="A269" s="178" t="str">
        <f ca="1">IFERROR(IF(A268+加速!$L$11&lt;$AS$1,IF(COUNTIF(B268,"*轻*")&gt;0,A268+加速!$L$9,A268+加速!$L$11)+V268,IF(COUNTIF(INDEX(AU269:CB269,1,$AT$1),"*云景*")+COUNTIF(INDEX(AU269:CB269,1,$AT$1),"*鹤归*")+COUNTIF(INDEX(AU269:CB269,1,$AT$1),"*听雷*")&gt;0,A268+加速!$L$11,"")),"")</f>
        <v/>
      </c>
      <c r="B269" s="167" t="str">
        <f ca="1">IF(A269&lt;&gt;"",IF(AND(A269+加速!$L$11&gt;$AS$1,IF(AND(配装计算器!$K$30&lt;&gt;"∞",0),"梦泉虎跑-轻",INDEX(AU269:CB269,1,$AT$1))="云栖松"),"夕照雷峰",IF(AND(配装计算器!$K$30&lt;&gt;"∞",0),"梦泉虎跑-轻",INDEX(AU269:CB269,1,$AT$1))),"")</f>
        <v/>
      </c>
      <c r="C269" t="str">
        <f ca="1" t="shared" si="64"/>
        <v/>
      </c>
      <c r="D269" t="str">
        <f ca="1">IF(B269&lt;&gt;"",IF(C268&lt;=加速!$L$11*(1-E269),0,1),"")</f>
        <v/>
      </c>
      <c r="E269">
        <f ca="1" t="shared" si="59"/>
        <v>1</v>
      </c>
      <c r="G269" t="str">
        <f ca="1" t="shared" si="60"/>
        <v/>
      </c>
      <c r="H269" t="str">
        <f ca="1">IF(B269&lt;&gt;"",IF(AND(COUNTIF(B268,"*轻*莺鸣柳*")&gt;0,COUNTIF(B269,"*轻*")&lt;1),MAX(0,15+I268-(A269-A268)+COUNTIF(B268,"*平湖*")*0),IF(AND(E269=0,MAX(0,H268-(A269-A268))&lt;=加速!$H$11),0,MAX(0,H268-(A269-A268)))),"")</f>
        <v/>
      </c>
      <c r="I269" t="str">
        <f ca="1" t="shared" si="67"/>
        <v/>
      </c>
      <c r="J269" t="str">
        <f ca="1" t="shared" si="68"/>
        <v/>
      </c>
      <c r="K269" t="str">
        <f ca="1">IF(A269&lt;&gt;"",IF(AND(配装计算器!$K$30&lt;&gt;"∞",0),2,INDEX(AU269:CB269,1,$AT$2)),"")</f>
        <v/>
      </c>
      <c r="L269">
        <f ca="1">IFERROR(IF(AND(COUNTIF(B269,"*-峰插*"),技能数据库!$M$72&gt;0),0,IF(COUNTIF(B269,"*鹤归*")&gt;0,16-加速!$L$11,MAX(0,L268-(A269-A268)))),0)</f>
        <v>0</v>
      </c>
      <c r="M269">
        <f ca="1">IF(COUNTIF(IF(AND(配装计算器!$K$30&lt;&gt;"∞",0),INDEX(AU268:CB268,1,$AT$1),INDEX(AU270:CB270,1,$AT$1)),"*鹤归*")=1,L269,0)</f>
        <v>0</v>
      </c>
      <c r="N269">
        <f ca="1">IFERROR(IF(AND(COUNTIF(B269,"*-峰插*"),技能数据库!$M$72&gt;0),0,IF(COUNTIF(B269,"*云飞*")&gt;0,4-COUNTIF(B269,"*玉山揽云*")*4--COUNTIF(B269,"*烟流暮景*")*4-COUNTIF(B269,"*云景*")*加速!$L$11-IF(J269&gt;0,2,0),MAX(0,N268-(A269-A268)-IF(J269&gt;0,2,0)))),0)</f>
        <v>0</v>
      </c>
      <c r="O269">
        <f ca="1">IF(AND(COUNTIF(IF(AND(配装计算器!$K$30&lt;&gt;"∞",0),INDEX(AU268:CB268,1,$AT$1),INDEX(AU270:CB270,1,$AT$1)),"*云飞*")=1,COUNTIF(IF(AND(配装计算器!$K$30&lt;&gt;"∞",0),INDEX(AU268:CB268,1,$AT$1),INDEX(AU270:CB270,1,$AT$1)),"*玉山*")=0),N269,0)</f>
        <v>0</v>
      </c>
      <c r="P269">
        <f ca="1">IFERROR(IF(COUNTIF(B269,"*云栖松*")&gt;0,50-加速!$L$11,MAX(0,P268-(A269-A268))),0)</f>
        <v>0</v>
      </c>
      <c r="Q269">
        <f ca="1">IF(COUNTIF(IF(AND(配装计算器!$K$30&lt;&gt;"∞",0),INDEX(AU268:CB268,1,$AT$1),INDEX(AU270:CB270,1,$AT$1)),"*云栖松*")=1,P269,0)</f>
        <v>0</v>
      </c>
      <c r="R269">
        <f ca="1">IFERROR(IF(COUNTIF(B269,"*莺鸣柳*")&gt;0,45-加速!$L$9,MAX(0,R268-(A269-A268))),0)</f>
        <v>0</v>
      </c>
      <c r="S269">
        <f ca="1">IF(COUNTIF(IF(AND(配装计算器!$K$30&lt;&gt;"∞",0),INDEX(AU268:CB268,1,$AT$1),INDEX(AU270:CB270,1,$AT$1)),"*莺鸣柳*")=1,R269,0)</f>
        <v>0</v>
      </c>
      <c r="T269">
        <f ca="1" t="shared" si="65"/>
        <v>0</v>
      </c>
      <c r="U269">
        <f ca="1">IF(金蛇,IF(COUNTIF(B269,"*金环戴*")+COUNTIF(B269,"*吹风醒*")&gt;0,IF(A269&lt;=3,7.125-2.625-A269-加速!$L$11,7.125+加速!$K$9-(A269+加速!$L$11-T269)),0),0)+IF(金蛇,IF(COUNTIF(B269,"*千切子裂光*")&gt;0,2+加速!$K$9-(A269+加速!$L$11-T269),0),0)</f>
        <v>0</v>
      </c>
      <c r="V269">
        <f ca="1" t="shared" si="66"/>
        <v>0</v>
      </c>
      <c r="W269">
        <f ca="1" t="shared" si="57"/>
        <v>0</v>
      </c>
      <c r="X269">
        <f ca="1">INDEX(加速!$I$13:$I$21,技能数计算!W269+1)</f>
        <v>0</v>
      </c>
      <c r="Y269">
        <f ca="1" t="shared" si="61"/>
        <v>0.5</v>
      </c>
      <c r="Z269">
        <f ca="1" t="shared" si="62"/>
        <v>0</v>
      </c>
      <c r="AA269">
        <f ca="1">MAX(0,IFERROR(IF(COUNTIF(B269,"*叠*")&gt;0,IF(AC268&lt;3,8-A270+A269,AA268+6.875-A270+A269),AA268-A270+A269),AA268-加速!$L$11))</f>
        <v>0</v>
      </c>
      <c r="AB269">
        <f ca="1">MAX(0,IF(COUNTIF(IF(AND(配装计算器!$K$30&lt;&gt;"∞",0),INDEX(AU269:CB269,1,$AT$1),INDEX(AU269:CB269,1,$AT$1)),"*叠1*")=1,4*25-加速!$L$11,AB268-A269+A268)-IF(OR(COUNTIF(OFFSET(AT269,0,$AT$1,1,1),"*听雷*")&gt;0,AND(碧归&gt;0,COUNTIF(OFFSET(AT269,0,$AT$1,1,1),"*风来*")&gt;0)),0,1)*1.5)</f>
        <v>97.21</v>
      </c>
      <c r="AC269">
        <f ca="1" t="shared" si="58"/>
        <v>3</v>
      </c>
      <c r="AD269">
        <f ca="1">IF(COUNTIF(IF(AND(配装计算器!$K$30&lt;&gt;"∞",0),INDEX(AU269:CB269,1,$AT$1),INDEX(AU270:CB270,1,$AT$1)),"*叠1*")=1,AB269*0+AE268,0)</f>
        <v>0</v>
      </c>
      <c r="AE269" t="e">
        <f ca="1">IF($AN$11&gt;0,IF(COUNTIF(B270,"*叠1*")&gt;0,50-加速!$H$11,MAX(0,AE268-(A270-A269))),0)</f>
        <v>#VALUE!</v>
      </c>
      <c r="AU269" t="s">
        <v>3009</v>
      </c>
      <c r="AV269">
        <v>2</v>
      </c>
      <c r="AW269" t="s">
        <v>2768</v>
      </c>
      <c r="AX269">
        <v>2</v>
      </c>
      <c r="AY269" t="s">
        <v>2776</v>
      </c>
      <c r="AZ269">
        <v>2</v>
      </c>
      <c r="BA269" t="s">
        <v>3042</v>
      </c>
      <c r="BB269">
        <v>2</v>
      </c>
      <c r="BC269" t="s">
        <v>3010</v>
      </c>
      <c r="BD269">
        <v>2</v>
      </c>
      <c r="BE269" t="s">
        <v>3017</v>
      </c>
      <c r="BF269">
        <v>2</v>
      </c>
      <c r="BG269" t="s">
        <v>2768</v>
      </c>
      <c r="BH269">
        <v>2</v>
      </c>
      <c r="BI269" t="s">
        <v>3011</v>
      </c>
      <c r="BJ269">
        <v>2</v>
      </c>
      <c r="BK269" t="s">
        <v>2768</v>
      </c>
      <c r="BL269">
        <v>0</v>
      </c>
      <c r="BM269" t="s">
        <v>2768</v>
      </c>
      <c r="BN269">
        <v>2</v>
      </c>
      <c r="BO269" t="s">
        <v>2722</v>
      </c>
      <c r="BP269">
        <v>0</v>
      </c>
      <c r="BQ269" t="s">
        <v>2776</v>
      </c>
      <c r="BR269">
        <v>2</v>
      </c>
      <c r="BS269" t="s">
        <v>2776</v>
      </c>
      <c r="BT269">
        <v>2</v>
      </c>
      <c r="BU269" s="176" t="s">
        <v>2768</v>
      </c>
      <c r="BV269">
        <v>2</v>
      </c>
      <c r="BW269" s="179" t="s">
        <v>2776</v>
      </c>
      <c r="BX269" s="179">
        <v>1</v>
      </c>
      <c r="BY269" s="176" t="s">
        <v>2794</v>
      </c>
      <c r="BZ269">
        <v>0</v>
      </c>
      <c r="CA269" t="s">
        <v>2768</v>
      </c>
      <c r="CB269">
        <v>2</v>
      </c>
    </row>
    <row r="270" spans="1:80">
      <c r="A270" s="178" t="str">
        <f ca="1">IFERROR(IF(A269+加速!$L$11&lt;$AS$1,IF(COUNTIF(B269,"*轻*")&gt;0,A269+加速!$L$9,A269+加速!$L$11)+V269,IF(COUNTIF(INDEX(AU270:CB270,1,$AT$1),"*云景*")+COUNTIF(INDEX(AU270:CB270,1,$AT$1),"*鹤归*")+COUNTIF(INDEX(AU270:CB270,1,$AT$1),"*听雷*")&gt;0,A269+加速!$L$11,"")),"")</f>
        <v/>
      </c>
      <c r="B270" s="167" t="str">
        <f ca="1">IF(A270&lt;&gt;"",IF(AND(A270+加速!$L$11&gt;$AS$1,IF(AND(配装计算器!$K$30&lt;&gt;"∞",0),"梦泉虎跑-轻",INDEX(AU270:CB270,1,$AT$1))="云栖松"),"夕照雷峰",IF(AND(配装计算器!$K$30&lt;&gt;"∞",0),"梦泉虎跑-轻",INDEX(AU270:CB270,1,$AT$1))),"")</f>
        <v/>
      </c>
      <c r="C270" t="str">
        <f ca="1" t="shared" si="64"/>
        <v/>
      </c>
      <c r="D270" t="str">
        <f ca="1">IF(B270&lt;&gt;"",IF(C269&lt;=加速!$L$11*(1-E270),0,1),"")</f>
        <v/>
      </c>
      <c r="E270">
        <f ca="1" t="shared" si="59"/>
        <v>1</v>
      </c>
      <c r="G270" t="str">
        <f ca="1" t="shared" si="60"/>
        <v/>
      </c>
      <c r="H270" t="str">
        <f ca="1">IF(B270&lt;&gt;"",IF(AND(COUNTIF(B269,"*轻*莺鸣柳*")&gt;0,COUNTIF(B270,"*轻*")&lt;1),MAX(0,15+I269-(A270-A269)+COUNTIF(B269,"*平湖*")*0),IF(AND(E270=0,MAX(0,H269-(A270-A269))&lt;=加速!$H$11),0,MAX(0,H269-(A270-A269)))),"")</f>
        <v/>
      </c>
      <c r="I270" t="str">
        <f ca="1" t="shared" si="67"/>
        <v/>
      </c>
      <c r="J270" t="str">
        <f ca="1" t="shared" si="68"/>
        <v/>
      </c>
      <c r="K270" t="str">
        <f ca="1">IF(A270&lt;&gt;"",IF(AND(配装计算器!$K$30&lt;&gt;"∞",0),2,INDEX(AU270:CB270,1,$AT$2)),"")</f>
        <v/>
      </c>
      <c r="L270">
        <f ca="1">IFERROR(IF(AND(COUNTIF(B270,"*-峰插*"),技能数据库!$M$72&gt;0),0,IF(COUNTIF(B270,"*鹤归*")&gt;0,16-加速!$L$11,MAX(0,L269-(A270-A269)))),0)</f>
        <v>0</v>
      </c>
      <c r="M270">
        <f ca="1">IF(COUNTIF(IF(AND(配装计算器!$K$30&lt;&gt;"∞",0),INDEX(AU269:CB269,1,$AT$1),INDEX(AU271:CB271,1,$AT$1)),"*鹤归*")=1,L270,0)</f>
        <v>0</v>
      </c>
      <c r="N270">
        <f ca="1">IFERROR(IF(AND(COUNTIF(B270,"*-峰插*"),技能数据库!$M$72&gt;0),0,IF(COUNTIF(B270,"*云飞*")&gt;0,4-COUNTIF(B270,"*玉山揽云*")*4--COUNTIF(B270,"*烟流暮景*")*4-COUNTIF(B270,"*云景*")*加速!$L$11-IF(J270&gt;0,2,0),MAX(0,N269-(A270-A269)-IF(J270&gt;0,2,0)))),0)</f>
        <v>0</v>
      </c>
      <c r="O270">
        <f ca="1">IF(AND(COUNTIF(IF(AND(配装计算器!$K$30&lt;&gt;"∞",0),INDEX(AU269:CB269,1,$AT$1),INDEX(AU271:CB271,1,$AT$1)),"*云飞*")=1,COUNTIF(IF(AND(配装计算器!$K$30&lt;&gt;"∞",0),INDEX(AU269:CB269,1,$AT$1),INDEX(AU271:CB271,1,$AT$1)),"*玉山*")=0),N270,0)</f>
        <v>0</v>
      </c>
      <c r="P270">
        <f ca="1">IFERROR(IF(COUNTIF(B270,"*云栖松*")&gt;0,50-加速!$L$11,MAX(0,P269-(A270-A269))),0)</f>
        <v>0</v>
      </c>
      <c r="Q270">
        <f ca="1">IF(COUNTIF(IF(AND(配装计算器!$K$30&lt;&gt;"∞",0),INDEX(AU269:CB269,1,$AT$1),INDEX(AU271:CB271,1,$AT$1)),"*云栖松*")=1,P270,0)</f>
        <v>0</v>
      </c>
      <c r="R270">
        <f ca="1">IFERROR(IF(COUNTIF(B270,"*莺鸣柳*")&gt;0,45-加速!$L$9,MAX(0,R269-(A270-A269))),0)</f>
        <v>0</v>
      </c>
      <c r="S270">
        <f ca="1">IF(COUNTIF(IF(AND(配装计算器!$K$30&lt;&gt;"∞",0),INDEX(AU269:CB269,1,$AT$1),INDEX(AU271:CB271,1,$AT$1)),"*莺鸣柳*")=1,R270,0)</f>
        <v>0</v>
      </c>
      <c r="T270">
        <f ca="1" t="shared" si="65"/>
        <v>0</v>
      </c>
      <c r="U270">
        <f ca="1">IF(金蛇,IF(COUNTIF(B270,"*金环戴*")+COUNTIF(B270,"*吹风醒*")&gt;0,IF(A270&lt;=3,7.125-2.625-A270-加速!$L$11,7.125+加速!$K$9-(A270+加速!$L$11-T270)),0),0)+IF(金蛇,IF(COUNTIF(B270,"*千切子裂光*")&gt;0,2+加速!$K$9-(A270+加速!$L$11-T270),0),0)</f>
        <v>0</v>
      </c>
      <c r="V270">
        <f ca="1" t="shared" si="66"/>
        <v>0</v>
      </c>
      <c r="W270">
        <f ca="1" t="shared" si="57"/>
        <v>0</v>
      </c>
      <c r="X270">
        <f ca="1">INDEX(加速!$I$13:$I$21,技能数计算!W270+1)</f>
        <v>0</v>
      </c>
      <c r="Y270">
        <f ca="1" t="shared" si="61"/>
        <v>0.5</v>
      </c>
      <c r="Z270">
        <f ca="1" t="shared" si="62"/>
        <v>0</v>
      </c>
      <c r="AA270">
        <f ca="1">MAX(0,IFERROR(IF(COUNTIF(B270,"*叠*")&gt;0,IF(AC269&lt;3,8-A271+A270,AA269+6.875-A271+A270),AA269-A271+A270),AA269-加速!$L$11))</f>
        <v>0</v>
      </c>
      <c r="AB270" t="e">
        <f ca="1">MAX(0,IF(COUNTIF(IF(AND(配装计算器!$K$30&lt;&gt;"∞",0),INDEX(AU270:CB270,1,$AT$1),INDEX(AU270:CB270,1,$AT$1)),"*叠1*")=1,4*25-加速!$L$11,AB269-A270+A269)-IF(OR(COUNTIF(OFFSET(AT270,0,$AT$1,1,1),"*听雷*")&gt;0,AND(碧归&gt;0,COUNTIF(OFFSET(AT270,0,$AT$1,1,1),"*风来*")&gt;0)),0,1)*1.5)</f>
        <v>#VALUE!</v>
      </c>
      <c r="AC270">
        <f ca="1" t="shared" si="58"/>
        <v>3</v>
      </c>
      <c r="AD270">
        <f ca="1">IF(COUNTIF(IF(AND(配装计算器!$K$30&lt;&gt;"∞",0),INDEX(AU270:CB270,1,$AT$1),INDEX(AU271:CB271,1,$AT$1)),"*叠1*")=1,AB270*0+AE269,0)</f>
        <v>0</v>
      </c>
      <c r="AE270" t="e">
        <f ca="1">IF($AN$11&gt;0,IF(COUNTIF(B271,"*叠1*")&gt;0,50-加速!$H$11,MAX(0,AE269-(A271-A270))),0)</f>
        <v>#VALUE!</v>
      </c>
      <c r="AU270" t="s">
        <v>2768</v>
      </c>
      <c r="AV270">
        <v>2</v>
      </c>
      <c r="AW270" t="s">
        <v>2768</v>
      </c>
      <c r="AX270">
        <v>2</v>
      </c>
      <c r="AY270" t="s">
        <v>3042</v>
      </c>
      <c r="AZ270">
        <v>2</v>
      </c>
      <c r="BA270" t="s">
        <v>2808</v>
      </c>
      <c r="BB270">
        <v>2</v>
      </c>
      <c r="BC270" t="s">
        <v>3013</v>
      </c>
      <c r="BD270">
        <v>2</v>
      </c>
      <c r="BE270" t="s">
        <v>2768</v>
      </c>
      <c r="BF270">
        <v>2</v>
      </c>
      <c r="BG270" t="s">
        <v>2808</v>
      </c>
      <c r="BH270">
        <v>2</v>
      </c>
      <c r="BI270" t="s">
        <v>2768</v>
      </c>
      <c r="BJ270">
        <v>2</v>
      </c>
      <c r="BK270" t="s">
        <v>3056</v>
      </c>
      <c r="BL270">
        <v>0</v>
      </c>
      <c r="BM270" t="s">
        <v>2768</v>
      </c>
      <c r="BN270">
        <v>2</v>
      </c>
      <c r="BO270" t="s">
        <v>3009</v>
      </c>
      <c r="BP270">
        <v>2</v>
      </c>
      <c r="BQ270" t="s">
        <v>2768</v>
      </c>
      <c r="BR270">
        <v>2</v>
      </c>
      <c r="BS270" t="s">
        <v>2768</v>
      </c>
      <c r="BT270">
        <v>2</v>
      </c>
      <c r="BU270" s="176" t="s">
        <v>2768</v>
      </c>
      <c r="BV270">
        <v>2</v>
      </c>
      <c r="BW270" s="179" t="s">
        <v>2768</v>
      </c>
      <c r="BX270" s="179">
        <v>1</v>
      </c>
      <c r="BY270" s="176" t="s">
        <v>2768</v>
      </c>
      <c r="BZ270">
        <v>2</v>
      </c>
      <c r="CA270" t="s">
        <v>2768</v>
      </c>
      <c r="CB270">
        <v>2</v>
      </c>
    </row>
    <row r="271" spans="1:80">
      <c r="A271" s="178" t="str">
        <f ca="1">IFERROR(IF(A270+加速!$L$11&lt;$AS$1,IF(COUNTIF(B270,"*轻*")&gt;0,A270+加速!$L$9,A270+加速!$L$11)+V270,IF(COUNTIF(INDEX(AU271:CB271,1,$AT$1),"*云景*")+COUNTIF(INDEX(AU271:CB271,1,$AT$1),"*鹤归*")+COUNTIF(INDEX(AU271:CB271,1,$AT$1),"*听雷*")&gt;0,A270+加速!$L$11,"")),"")</f>
        <v/>
      </c>
      <c r="B271" s="167" t="str">
        <f ca="1">IF(A271&lt;&gt;"",IF(AND(A271+加速!$L$11&gt;$AS$1,IF(AND(配装计算器!$K$30&lt;&gt;"∞",0),"梦泉虎跑-轻",INDEX(AU271:CB271,1,$AT$1))="云栖松"),"夕照雷峰",IF(AND(配装计算器!$K$30&lt;&gt;"∞",0),"梦泉虎跑-轻",INDEX(AU271:CB271,1,$AT$1))),"")</f>
        <v/>
      </c>
      <c r="C271" t="str">
        <f ca="1" t="shared" si="64"/>
        <v/>
      </c>
      <c r="D271" t="str">
        <f ca="1">IF(B271&lt;&gt;"",IF(C270&lt;=加速!$L$11*(1-E271),0,1),"")</f>
        <v/>
      </c>
      <c r="E271">
        <f ca="1" t="shared" si="59"/>
        <v>1</v>
      </c>
      <c r="G271" t="str">
        <f ca="1" t="shared" si="60"/>
        <v/>
      </c>
      <c r="H271" t="str">
        <f ca="1">IF(B271&lt;&gt;"",IF(AND(COUNTIF(B270,"*轻*莺鸣柳*")&gt;0,COUNTIF(B271,"*轻*")&lt;1),MAX(0,15+I270-(A271-A270)+COUNTIF(B270,"*平湖*")*0),IF(AND(E271=0,MAX(0,H270-(A271-A270))&lt;=加速!$H$11),0,MAX(0,H270-(A271-A270)))),"")</f>
        <v/>
      </c>
      <c r="I271" t="str">
        <f ca="1" t="shared" si="67"/>
        <v/>
      </c>
      <c r="J271" t="str">
        <f ca="1" t="shared" si="68"/>
        <v/>
      </c>
      <c r="K271" t="str">
        <f ca="1">IF(A271&lt;&gt;"",IF(AND(配装计算器!$K$30&lt;&gt;"∞",0),2,INDEX(AU271:CB271,1,$AT$2)),"")</f>
        <v/>
      </c>
      <c r="L271">
        <f ca="1">IFERROR(IF(AND(COUNTIF(B271,"*-峰插*"),技能数据库!$M$72&gt;0),0,IF(COUNTIF(B271,"*鹤归*")&gt;0,16-加速!$L$11,MAX(0,L270-(A271-A270)))),0)</f>
        <v>0</v>
      </c>
      <c r="M271">
        <f ca="1">IF(COUNTIF(IF(AND(配装计算器!$K$30&lt;&gt;"∞",0),INDEX(AU270:CB270,1,$AT$1),INDEX(AU272:CB272,1,$AT$1)),"*鹤归*")=1,L271,0)</f>
        <v>0</v>
      </c>
      <c r="N271">
        <f ca="1">IFERROR(IF(AND(COUNTIF(B271,"*-峰插*"),技能数据库!$M$72&gt;0),0,IF(COUNTIF(B271,"*云飞*")&gt;0,4-COUNTIF(B271,"*玉山揽云*")*4--COUNTIF(B271,"*烟流暮景*")*4-COUNTIF(B271,"*云景*")*加速!$L$11-IF(J271&gt;0,2,0),MAX(0,N270-(A271-A270)-IF(J271&gt;0,2,0)))),0)</f>
        <v>0</v>
      </c>
      <c r="O271">
        <f ca="1">IF(AND(COUNTIF(IF(AND(配装计算器!$K$30&lt;&gt;"∞",0),INDEX(AU270:CB270,1,$AT$1),INDEX(AU272:CB272,1,$AT$1)),"*云飞*")=1,COUNTIF(IF(AND(配装计算器!$K$30&lt;&gt;"∞",0),INDEX(AU270:CB270,1,$AT$1),INDEX(AU272:CB272,1,$AT$1)),"*玉山*")=0),N271,0)</f>
        <v>0</v>
      </c>
      <c r="P271">
        <f ca="1">IFERROR(IF(COUNTIF(B271,"*云栖松*")&gt;0,50-加速!$L$11,MAX(0,P270-(A271-A270))),0)</f>
        <v>0</v>
      </c>
      <c r="Q271">
        <f ca="1">IF(COUNTIF(IF(AND(配装计算器!$K$30&lt;&gt;"∞",0),INDEX(AU270:CB270,1,$AT$1),INDEX(AU272:CB272,1,$AT$1)),"*云栖松*")=1,P271,0)</f>
        <v>0</v>
      </c>
      <c r="R271">
        <f ca="1">IFERROR(IF(COUNTIF(B271,"*莺鸣柳*")&gt;0,45-加速!$L$9,MAX(0,R270-(A271-A270))),0)</f>
        <v>0</v>
      </c>
      <c r="S271">
        <f ca="1">IF(COUNTIF(IF(AND(配装计算器!$K$30&lt;&gt;"∞",0),INDEX(AU270:CB270,1,$AT$1),INDEX(AU272:CB272,1,$AT$1)),"*莺鸣柳*")=1,R271,0)</f>
        <v>0</v>
      </c>
      <c r="T271">
        <f ca="1" t="shared" si="65"/>
        <v>0</v>
      </c>
      <c r="U271">
        <f ca="1">IF(金蛇,IF(COUNTIF(B271,"*金环戴*")+COUNTIF(B271,"*吹风醒*")&gt;0,IF(A271&lt;=3,7.125-2.625-A271-加速!$L$11,7.125+加速!$K$9-(A271+加速!$L$11-T271)),0),0)+IF(金蛇,IF(COUNTIF(B271,"*千切子裂光*")&gt;0,2+加速!$K$9-(A271+加速!$L$11-T271),0),0)</f>
        <v>0</v>
      </c>
      <c r="V271">
        <f ca="1" t="shared" si="66"/>
        <v>0</v>
      </c>
      <c r="W271">
        <f ca="1" t="shared" si="57"/>
        <v>0</v>
      </c>
      <c r="X271">
        <f ca="1">INDEX(加速!$I$13:$I$21,技能数计算!W271+1)</f>
        <v>0</v>
      </c>
      <c r="Y271">
        <f ca="1" t="shared" si="61"/>
        <v>0.5</v>
      </c>
      <c r="Z271">
        <f ca="1" t="shared" si="62"/>
        <v>0</v>
      </c>
      <c r="AA271">
        <f ca="1">MAX(0,IFERROR(IF(COUNTIF(B271,"*叠*")&gt;0,IF(AC270&lt;3,8-A272+A271,AA270+6.875-A272+A271),AA270-A272+A271),AA270-加速!$L$11))</f>
        <v>0</v>
      </c>
      <c r="AB271" t="e">
        <f ca="1">MAX(0,IF(COUNTIF(IF(AND(配装计算器!$K$30&lt;&gt;"∞",0),INDEX(AU271:CB271,1,$AT$1),INDEX(AU271:CB271,1,$AT$1)),"*叠1*")=1,4*25-加速!$L$11,AB270-A271+A270)-IF(OR(COUNTIF(OFFSET(AT271,0,$AT$1,1,1),"*听雷*")&gt;0,AND(碧归&gt;0,COUNTIF(OFFSET(AT271,0,$AT$1,1,1),"*风来*")&gt;0)),0,1)*1.5)</f>
        <v>#VALUE!</v>
      </c>
      <c r="AC271">
        <f ca="1" t="shared" si="58"/>
        <v>3</v>
      </c>
      <c r="AD271">
        <f ca="1">IF(COUNTIF(IF(AND(配装计算器!$K$30&lt;&gt;"∞",0),INDEX(AU271:CB271,1,$AT$1),INDEX(AU272:CB272,1,$AT$1)),"*叠1*")=1,AB271*0+AE270,0)</f>
        <v>0</v>
      </c>
      <c r="AE271" t="e">
        <f ca="1">IF($AN$11&gt;0,IF(COUNTIF(B272,"*叠1*")&gt;0,50-加速!$H$11,MAX(0,AE270-(A272-A271))),0)</f>
        <v>#VALUE!</v>
      </c>
      <c r="AU271" t="s">
        <v>2776</v>
      </c>
      <c r="AV271">
        <v>2</v>
      </c>
      <c r="AW271" t="s">
        <v>2768</v>
      </c>
      <c r="AX271">
        <v>2</v>
      </c>
      <c r="AY271" t="s">
        <v>2808</v>
      </c>
      <c r="AZ271">
        <v>2</v>
      </c>
      <c r="BA271" t="s">
        <v>2768</v>
      </c>
      <c r="BB271">
        <v>2</v>
      </c>
      <c r="BC271" t="s">
        <v>3018</v>
      </c>
      <c r="BD271">
        <v>2</v>
      </c>
      <c r="BE271" t="s">
        <v>3023</v>
      </c>
      <c r="BF271">
        <v>2</v>
      </c>
      <c r="BG271" t="s">
        <v>2768</v>
      </c>
      <c r="BH271">
        <v>2</v>
      </c>
      <c r="BI271" t="s">
        <v>3018</v>
      </c>
      <c r="BJ271">
        <v>2</v>
      </c>
      <c r="BK271" t="s">
        <v>2768</v>
      </c>
      <c r="BL271">
        <v>2</v>
      </c>
      <c r="BM271" t="s">
        <v>2776</v>
      </c>
      <c r="BN271">
        <v>2</v>
      </c>
      <c r="BO271" t="s">
        <v>2776</v>
      </c>
      <c r="BP271">
        <v>2</v>
      </c>
      <c r="BQ271" t="s">
        <v>2768</v>
      </c>
      <c r="BR271">
        <v>2</v>
      </c>
      <c r="BS271" t="s">
        <v>2768</v>
      </c>
      <c r="BT271">
        <v>1</v>
      </c>
      <c r="BU271" s="176" t="s">
        <v>2768</v>
      </c>
      <c r="BV271">
        <v>2</v>
      </c>
      <c r="BW271" s="182" t="s">
        <v>2722</v>
      </c>
      <c r="BX271" s="179">
        <v>0</v>
      </c>
      <c r="BY271" s="176" t="s">
        <v>2776</v>
      </c>
      <c r="BZ271">
        <v>2</v>
      </c>
      <c r="CA271" t="s">
        <v>2776</v>
      </c>
      <c r="CB271">
        <v>2</v>
      </c>
    </row>
    <row r="272" spans="1:80">
      <c r="A272" s="178" t="str">
        <f ca="1">IFERROR(IF(A271+加速!$L$11&lt;$AS$1,IF(COUNTIF(B271,"*轻*")&gt;0,A271+加速!$L$9,A271+加速!$L$11)+V271,IF(COUNTIF(INDEX(AU272:CB272,1,$AT$1),"*云景*")+COUNTIF(INDEX(AU272:CB272,1,$AT$1),"*鹤归*")+COUNTIF(INDEX(AU272:CB272,1,$AT$1),"*听雷*")&gt;0,A271+加速!$L$11,"")),"")</f>
        <v/>
      </c>
      <c r="B272" s="167" t="str">
        <f ca="1">IF(A272&lt;&gt;"",IF(AND(A272+加速!$L$11&gt;$AS$1,IF(AND(配装计算器!$K$30&lt;&gt;"∞",0),"梦泉虎跑-轻",INDEX(AU272:CB272,1,$AT$1))="云栖松"),"夕照雷峰",IF(AND(配装计算器!$K$30&lt;&gt;"∞",0),"梦泉虎跑-轻",INDEX(AU272:CB272,1,$AT$1))),"")</f>
        <v/>
      </c>
      <c r="C272" t="str">
        <f ca="1" t="shared" si="64"/>
        <v/>
      </c>
      <c r="D272" t="str">
        <f ca="1">IF(B272&lt;&gt;"",IF(C271&lt;=加速!$L$11*(1-E272),0,1),"")</f>
        <v/>
      </c>
      <c r="E272">
        <f ca="1" t="shared" si="59"/>
        <v>1</v>
      </c>
      <c r="G272" t="str">
        <f ca="1" t="shared" si="60"/>
        <v/>
      </c>
      <c r="H272" t="str">
        <f ca="1">IF(B272&lt;&gt;"",IF(AND(COUNTIF(B271,"*轻*莺鸣柳*")&gt;0,COUNTIF(B272,"*轻*")&lt;1),MAX(0,15+I271-(A272-A271)+COUNTIF(B271,"*平湖*")*0),IF(AND(E272=0,MAX(0,H271-(A272-A271))&lt;=加速!$H$11),0,MAX(0,H271-(A272-A271)))),"")</f>
        <v/>
      </c>
      <c r="I272" t="str">
        <f ca="1" t="shared" si="67"/>
        <v/>
      </c>
      <c r="J272" t="str">
        <f ca="1" t="shared" si="68"/>
        <v/>
      </c>
      <c r="K272" t="str">
        <f ca="1">IF(A272&lt;&gt;"",IF(AND(配装计算器!$K$30&lt;&gt;"∞",0),2,INDEX(AU272:CB272,1,$AT$2)),"")</f>
        <v/>
      </c>
      <c r="L272">
        <f ca="1">IFERROR(IF(AND(COUNTIF(B272,"*-峰插*"),技能数据库!$M$72&gt;0),0,IF(COUNTIF(B272,"*鹤归*")&gt;0,16-加速!$L$11,MAX(0,L271-(A272-A271)))),0)</f>
        <v>0</v>
      </c>
      <c r="M272">
        <f ca="1">IF(COUNTIF(IF(AND(配装计算器!$K$30&lt;&gt;"∞",0),INDEX(AU271:CB271,1,$AT$1),INDEX(AU273:CB273,1,$AT$1)),"*鹤归*")=1,L272,0)</f>
        <v>0</v>
      </c>
      <c r="N272">
        <f ca="1">IFERROR(IF(AND(COUNTIF(B272,"*-峰插*"),技能数据库!$M$72&gt;0),0,IF(COUNTIF(B272,"*云飞*")&gt;0,4-COUNTIF(B272,"*玉山揽云*")*4--COUNTIF(B272,"*烟流暮景*")*4-COUNTIF(B272,"*云景*")*加速!$L$11-IF(J272&gt;0,2,0),MAX(0,N271-(A272-A271)-IF(J272&gt;0,2,0)))),0)</f>
        <v>0</v>
      </c>
      <c r="O272">
        <f ca="1">IF(AND(COUNTIF(IF(AND(配装计算器!$K$30&lt;&gt;"∞",0),INDEX(AU271:CB271,1,$AT$1),INDEX(AU273:CB273,1,$AT$1)),"*云飞*")=1,COUNTIF(IF(AND(配装计算器!$K$30&lt;&gt;"∞",0),INDEX(AU271:CB271,1,$AT$1),INDEX(AU273:CB273,1,$AT$1)),"*玉山*")=0),N272,0)</f>
        <v>0</v>
      </c>
      <c r="P272">
        <f ca="1">IFERROR(IF(COUNTIF(B272,"*云栖松*")&gt;0,50-加速!$L$11,MAX(0,P271-(A272-A271))),0)</f>
        <v>0</v>
      </c>
      <c r="Q272">
        <f ca="1">IF(COUNTIF(IF(AND(配装计算器!$K$30&lt;&gt;"∞",0),INDEX(AU271:CB271,1,$AT$1),INDEX(AU273:CB273,1,$AT$1)),"*云栖松*")=1,P272,0)</f>
        <v>0</v>
      </c>
      <c r="R272">
        <f ca="1">IFERROR(IF(COUNTIF(B272,"*莺鸣柳*")&gt;0,45-加速!$L$9,MAX(0,R271-(A272-A271))),0)</f>
        <v>0</v>
      </c>
      <c r="S272">
        <f ca="1">IF(COUNTIF(IF(AND(配装计算器!$K$30&lt;&gt;"∞",0),INDEX(AU271:CB271,1,$AT$1),INDEX(AU273:CB273,1,$AT$1)),"*莺鸣柳*")=1,R272,0)</f>
        <v>0</v>
      </c>
      <c r="T272">
        <f ca="1" t="shared" si="65"/>
        <v>0</v>
      </c>
      <c r="U272">
        <f ca="1">IF(金蛇,IF(COUNTIF(B272,"*金环戴*")+COUNTIF(B272,"*吹风醒*")&gt;0,IF(A272&lt;=3,7.125-2.625-A272-加速!$L$11,7.125+加速!$K$9-(A272+加速!$L$11-T272)),0),0)+IF(金蛇,IF(COUNTIF(B272,"*千切子裂光*")&gt;0,2+加速!$K$9-(A272+加速!$L$11-T272),0),0)</f>
        <v>0</v>
      </c>
      <c r="V272">
        <f ca="1" t="shared" si="66"/>
        <v>0</v>
      </c>
      <c r="W272">
        <f ca="1" t="shared" si="57"/>
        <v>0</v>
      </c>
      <c r="X272">
        <f ca="1">INDEX(加速!$I$13:$I$21,技能数计算!W272+1)</f>
        <v>0</v>
      </c>
      <c r="Y272">
        <f ca="1" t="shared" si="61"/>
        <v>0.5</v>
      </c>
      <c r="Z272">
        <f ca="1" t="shared" si="62"/>
        <v>0</v>
      </c>
      <c r="AA272">
        <f ca="1">MAX(0,IFERROR(IF(COUNTIF(B272,"*叠*")&gt;0,IF(AC271&lt;3,8-A273+A272,AA271+6.875-A273+A272),AA271-A273+A272),AA271-加速!$L$11))</f>
        <v>0</v>
      </c>
      <c r="AB272" t="e">
        <f ca="1">MAX(0,IF(COUNTIF(IF(AND(配装计算器!$K$30&lt;&gt;"∞",0),INDEX(AU272:CB272,1,$AT$1),INDEX(AU272:CB272,1,$AT$1)),"*叠1*")=1,4*25-加速!$L$11,AB271-A272+A271)-IF(OR(COUNTIF(OFFSET(AT272,0,$AT$1,1,1),"*听雷*")&gt;0,AND(碧归&gt;0,COUNTIF(OFFSET(AT272,0,$AT$1,1,1),"*风来*")&gt;0)),0,1)*1.5)</f>
        <v>#VALUE!</v>
      </c>
      <c r="AC272">
        <f ca="1" t="shared" si="58"/>
        <v>3</v>
      </c>
      <c r="AD272">
        <f ca="1">IF(COUNTIF(IF(AND(配装计算器!$K$30&lt;&gt;"∞",0),INDEX(AU272:CB272,1,$AT$1),INDEX(AU273:CB273,1,$AT$1)),"*叠1*")=1,AB272*0+AE271,0)</f>
        <v>0</v>
      </c>
      <c r="AE272" t="e">
        <f ca="1">IF($AN$11&gt;0,IF(COUNTIF(B273,"*叠1*")&gt;0,50-加速!$H$11,MAX(0,AE271-(A273-A272))),0)</f>
        <v>#VALUE!</v>
      </c>
      <c r="AU272" t="s">
        <v>2768</v>
      </c>
      <c r="AV272">
        <v>2</v>
      </c>
      <c r="AW272" t="s">
        <v>2776</v>
      </c>
      <c r="AX272">
        <v>2</v>
      </c>
      <c r="AY272" t="s">
        <v>2768</v>
      </c>
      <c r="AZ272">
        <v>2</v>
      </c>
      <c r="BA272" t="s">
        <v>2768</v>
      </c>
      <c r="BB272">
        <v>2</v>
      </c>
      <c r="BC272" t="s">
        <v>2768</v>
      </c>
      <c r="BD272">
        <v>2</v>
      </c>
      <c r="BE272" s="182" t="s">
        <v>2768</v>
      </c>
      <c r="BF272">
        <v>2</v>
      </c>
      <c r="BG272" s="176" t="s">
        <v>2768</v>
      </c>
      <c r="BH272">
        <v>2</v>
      </c>
      <c r="BI272" t="s">
        <v>2768</v>
      </c>
      <c r="BJ272">
        <v>2</v>
      </c>
      <c r="BK272" t="s">
        <v>2768</v>
      </c>
      <c r="BL272">
        <v>2</v>
      </c>
      <c r="BM272" t="s">
        <v>2768</v>
      </c>
      <c r="BN272">
        <v>2</v>
      </c>
      <c r="BO272" t="s">
        <v>2768</v>
      </c>
      <c r="BP272">
        <v>2</v>
      </c>
      <c r="BQ272" t="s">
        <v>3035</v>
      </c>
      <c r="BR272">
        <v>2</v>
      </c>
      <c r="BS272" t="s">
        <v>2768</v>
      </c>
      <c r="BT272">
        <v>1</v>
      </c>
      <c r="BU272" s="176" t="s">
        <v>2776</v>
      </c>
      <c r="BV272">
        <v>2</v>
      </c>
      <c r="BW272" s="179" t="s">
        <v>3009</v>
      </c>
      <c r="BX272" s="179">
        <v>2</v>
      </c>
      <c r="BY272" s="176" t="s">
        <v>2768</v>
      </c>
      <c r="BZ272">
        <v>1</v>
      </c>
      <c r="CA272" t="s">
        <v>2718</v>
      </c>
      <c r="CB272">
        <v>0</v>
      </c>
    </row>
    <row r="273" spans="1:80">
      <c r="A273" s="178" t="str">
        <f ca="1">IFERROR(IF(A272+加速!$L$11&lt;$AS$1,IF(COUNTIF(B272,"*轻*")&gt;0,A272+加速!$L$9,A272+加速!$L$11)+V272,IF(COUNTIF(INDEX(AU273:CB273,1,$AT$1),"*云景*")+COUNTIF(INDEX(AU273:CB273,1,$AT$1),"*鹤归*")+COUNTIF(INDEX(AU273:CB273,1,$AT$1),"*听雷*")&gt;0,A272+加速!$L$11,"")),"")</f>
        <v/>
      </c>
      <c r="B273" s="167" t="str">
        <f ca="1">IF(A273&lt;&gt;"",IF(AND(A273+加速!$L$11&gt;$AS$1,IF(AND(配装计算器!$K$30&lt;&gt;"∞",0),"梦泉虎跑-轻",INDEX(AU273:CB273,1,$AT$1))="云栖松"),"夕照雷峰",IF(AND(配装计算器!$K$30&lt;&gt;"∞",0),"梦泉虎跑-轻",INDEX(AU273:CB273,1,$AT$1))),"")</f>
        <v/>
      </c>
      <c r="C273" t="str">
        <f ca="1" t="shared" si="64"/>
        <v/>
      </c>
      <c r="D273" t="str">
        <f ca="1">IF(B273&lt;&gt;"",IF(C272&lt;=加速!$L$11*(1-E273),0,1),"")</f>
        <v/>
      </c>
      <c r="E273">
        <f ca="1" t="shared" si="59"/>
        <v>1</v>
      </c>
      <c r="G273" t="str">
        <f ca="1" t="shared" si="60"/>
        <v/>
      </c>
      <c r="H273" t="str">
        <f ca="1">IF(B273&lt;&gt;"",IF(AND(COUNTIF(B272,"*轻*莺鸣柳*")&gt;0,COUNTIF(B273,"*轻*")&lt;1),MAX(0,15+I272-(A273-A272)+COUNTIF(B272,"*平湖*")*0),IF(AND(E273=0,MAX(0,H272-(A273-A272))&lt;=加速!$H$11),0,MAX(0,H272-(A273-A272)))),"")</f>
        <v/>
      </c>
      <c r="I273" t="str">
        <f ca="1" t="shared" si="67"/>
        <v/>
      </c>
      <c r="J273" t="str">
        <f ca="1" t="shared" si="68"/>
        <v/>
      </c>
      <c r="K273" t="str">
        <f ca="1">IF(A273&lt;&gt;"",IF(AND(配装计算器!$K$30&lt;&gt;"∞",0),2,INDEX(AU273:CB273,1,$AT$2)),"")</f>
        <v/>
      </c>
      <c r="L273">
        <f ca="1">IFERROR(IF(AND(COUNTIF(B273,"*-峰插*"),技能数据库!$M$72&gt;0),0,IF(COUNTIF(B273,"*鹤归*")&gt;0,16-加速!$L$11,MAX(0,L272-(A273-A272)))),0)</f>
        <v>0</v>
      </c>
      <c r="M273">
        <f ca="1">IF(COUNTIF(IF(AND(配装计算器!$K$30&lt;&gt;"∞",0),INDEX(AU272:CB272,1,$AT$1),INDEX(AU274:CB274,1,$AT$1)),"*鹤归*")=1,L273,0)</f>
        <v>0</v>
      </c>
      <c r="N273">
        <f ca="1">IFERROR(IF(AND(COUNTIF(B273,"*-峰插*"),技能数据库!$M$72&gt;0),0,IF(COUNTIF(B273,"*云飞*")&gt;0,4-COUNTIF(B273,"*玉山揽云*")*4--COUNTIF(B273,"*烟流暮景*")*4-COUNTIF(B273,"*云景*")*加速!$L$11-IF(J273&gt;0,2,0),MAX(0,N272-(A273-A272)-IF(J273&gt;0,2,0)))),0)</f>
        <v>0</v>
      </c>
      <c r="O273">
        <f ca="1">IF(AND(COUNTIF(IF(AND(配装计算器!$K$30&lt;&gt;"∞",0),INDEX(AU272:CB272,1,$AT$1),INDEX(AU274:CB274,1,$AT$1)),"*云飞*")=1,COUNTIF(IF(AND(配装计算器!$K$30&lt;&gt;"∞",0),INDEX(AU272:CB272,1,$AT$1),INDEX(AU274:CB274,1,$AT$1)),"*玉山*")=0),N273,0)</f>
        <v>0</v>
      </c>
      <c r="P273">
        <f ca="1">IFERROR(IF(COUNTIF(B273,"*云栖松*")&gt;0,50-加速!$L$11,MAX(0,P272-(A273-A272))),0)</f>
        <v>0</v>
      </c>
      <c r="Q273">
        <f ca="1">IF(COUNTIF(IF(AND(配装计算器!$K$30&lt;&gt;"∞",0),INDEX(AU272:CB272,1,$AT$1),INDEX(AU274:CB274,1,$AT$1)),"*云栖松*")=1,P273,0)</f>
        <v>0</v>
      </c>
      <c r="R273">
        <f ca="1">IFERROR(IF(COUNTIF(B273,"*莺鸣柳*")&gt;0,45-加速!$L$9,MAX(0,R272-(A273-A272))),0)</f>
        <v>0</v>
      </c>
      <c r="S273">
        <f ca="1">IF(COUNTIF(IF(AND(配装计算器!$K$30&lt;&gt;"∞",0),INDEX(AU272:CB272,1,$AT$1),INDEX(AU274:CB274,1,$AT$1)),"*莺鸣柳*")=1,R273,0)</f>
        <v>0</v>
      </c>
      <c r="T273">
        <f ca="1" t="shared" si="65"/>
        <v>0</v>
      </c>
      <c r="U273">
        <f ca="1">IF(金蛇,IF(COUNTIF(B273,"*金环戴*")+COUNTIF(B273,"*吹风醒*")&gt;0,IF(A273&lt;=3,7.125-2.625-A273-加速!$L$11,7.125+加速!$K$9-(A273+加速!$L$11-T273)),0),0)+IF(金蛇,IF(COUNTIF(B273,"*千切子裂光*")&gt;0,2+加速!$K$9-(A273+加速!$L$11-T273),0),0)</f>
        <v>0</v>
      </c>
      <c r="V273">
        <f ca="1" t="shared" si="66"/>
        <v>0</v>
      </c>
      <c r="W273">
        <f ca="1" t="shared" si="57"/>
        <v>0</v>
      </c>
      <c r="X273">
        <f ca="1">INDEX(加速!$I$13:$I$21,技能数计算!W273+1)</f>
        <v>0</v>
      </c>
      <c r="Y273">
        <f ca="1" t="shared" si="61"/>
        <v>0.5</v>
      </c>
      <c r="Z273">
        <f ca="1" t="shared" si="62"/>
        <v>0</v>
      </c>
      <c r="AA273">
        <f ca="1">MAX(0,IFERROR(IF(COUNTIF(B273,"*叠*")&gt;0,IF(AC272&lt;3,8-A274+A273,AA272+6.875-A274+A273),AA272-A274+A273),AA272-加速!$L$11))</f>
        <v>0</v>
      </c>
      <c r="AB273" t="e">
        <f ca="1">MAX(0,IF(COUNTIF(IF(AND(配装计算器!$K$30&lt;&gt;"∞",0),INDEX(AU273:CB273,1,$AT$1),INDEX(AU273:CB273,1,$AT$1)),"*叠1*")=1,4*25-加速!$L$11,AB272-A273+A272)-IF(OR(COUNTIF(OFFSET(AT273,0,$AT$1,1,1),"*听雷*")&gt;0,AND(碧归&gt;0,COUNTIF(OFFSET(AT273,0,$AT$1,1,1),"*风来*")&gt;0)),0,1)*1.5)</f>
        <v>#VALUE!</v>
      </c>
      <c r="AC273">
        <f ca="1" t="shared" si="58"/>
        <v>3</v>
      </c>
      <c r="AD273">
        <f ca="1">IF(COUNTIF(IF(AND(配装计算器!$K$30&lt;&gt;"∞",0),INDEX(AU273:CB273,1,$AT$1),INDEX(AU274:CB274,1,$AT$1)),"*叠1*")=1,AB273*0+AE272,0)</f>
        <v>0</v>
      </c>
      <c r="AE273" t="e">
        <f ca="1">IF($AN$11&gt;0,IF(COUNTIF(B274,"*叠1*")&gt;0,50-加速!$H$11,MAX(0,AE272-(A274-A273))),0)</f>
        <v>#VALUE!</v>
      </c>
      <c r="AU273" t="s">
        <v>2768</v>
      </c>
      <c r="AV273">
        <v>2</v>
      </c>
      <c r="AW273" t="s">
        <v>2768</v>
      </c>
      <c r="AX273">
        <v>2</v>
      </c>
      <c r="AY273" t="s">
        <v>2768</v>
      </c>
      <c r="AZ273">
        <v>2</v>
      </c>
      <c r="BA273" t="s">
        <v>2776</v>
      </c>
      <c r="BB273">
        <v>2</v>
      </c>
      <c r="BC273" t="s">
        <v>3023</v>
      </c>
      <c r="BD273">
        <v>2</v>
      </c>
      <c r="BE273" s="176" t="s">
        <v>2768</v>
      </c>
      <c r="BF273">
        <v>2</v>
      </c>
      <c r="BG273" s="176" t="s">
        <v>2776</v>
      </c>
      <c r="BH273">
        <v>2</v>
      </c>
      <c r="BI273" s="182" t="s">
        <v>3023</v>
      </c>
      <c r="BJ273">
        <v>2</v>
      </c>
      <c r="BK273" t="s">
        <v>2776</v>
      </c>
      <c r="BL273">
        <v>2</v>
      </c>
      <c r="BM273" t="s">
        <v>2768</v>
      </c>
      <c r="BN273">
        <v>2</v>
      </c>
      <c r="BO273" s="180" t="s">
        <v>2789</v>
      </c>
      <c r="BP273">
        <v>2</v>
      </c>
      <c r="BQ273" t="s">
        <v>2776</v>
      </c>
      <c r="BR273">
        <v>2</v>
      </c>
      <c r="BS273" t="s">
        <v>2776</v>
      </c>
      <c r="BT273">
        <v>0</v>
      </c>
      <c r="BU273" s="176" t="s">
        <v>3035</v>
      </c>
      <c r="BV273">
        <v>2</v>
      </c>
      <c r="BW273" s="179" t="s">
        <v>2776</v>
      </c>
      <c r="BX273" s="179">
        <v>2</v>
      </c>
      <c r="BY273" s="176" t="s">
        <v>2776</v>
      </c>
      <c r="BZ273">
        <v>1</v>
      </c>
      <c r="CA273" t="s">
        <v>2768</v>
      </c>
      <c r="CB273">
        <v>2</v>
      </c>
    </row>
    <row r="274" spans="1:80">
      <c r="A274" s="178" t="str">
        <f ca="1">IFERROR(IF(A273+加速!$L$11&lt;$AS$1,IF(COUNTIF(B273,"*轻*")&gt;0,A273+加速!$L$9,A273+加速!$L$11)+V273,IF(COUNTIF(INDEX(AU274:CB274,1,$AT$1),"*云景*")+COUNTIF(INDEX(AU274:CB274,1,$AT$1),"*鹤归*")+COUNTIF(INDEX(AU274:CB274,1,$AT$1),"*听雷*")&gt;0,A273+加速!$L$11,"")),"")</f>
        <v/>
      </c>
      <c r="B274" s="167" t="str">
        <f ca="1">IF(A274&lt;&gt;"",IF(AND(A274+加速!$L$11&gt;$AS$1,IF(AND(配装计算器!$K$30&lt;&gt;"∞",0),"梦泉虎跑-轻",INDEX(AU274:CB274,1,$AT$1))="云栖松"),"夕照雷峰",IF(AND(配装计算器!$K$30&lt;&gt;"∞",0),"梦泉虎跑-轻",INDEX(AU274:CB274,1,$AT$1))),"")</f>
        <v/>
      </c>
      <c r="C274" t="str">
        <f ca="1" t="shared" si="64"/>
        <v/>
      </c>
      <c r="D274" t="str">
        <f ca="1">IF(B274&lt;&gt;"",IF(C273&lt;=加速!$L$11*(1-E274),0,1),"")</f>
        <v/>
      </c>
      <c r="E274">
        <f ca="1" t="shared" si="59"/>
        <v>1</v>
      </c>
      <c r="G274" t="str">
        <f ca="1" t="shared" si="60"/>
        <v/>
      </c>
      <c r="H274" t="str">
        <f ca="1">IF(B274&lt;&gt;"",IF(AND(COUNTIF(B273,"*轻*莺鸣柳*")&gt;0,COUNTIF(B274,"*轻*")&lt;1),MAX(0,15+I273-(A274-A273)+COUNTIF(B273,"*平湖*")*0),IF(AND(E274=0,MAX(0,H273-(A274-A273))&lt;=加速!$H$11),0,MAX(0,H273-(A274-A273)))),"")</f>
        <v/>
      </c>
      <c r="I274" t="str">
        <f ca="1" t="shared" si="67"/>
        <v/>
      </c>
      <c r="J274" t="str">
        <f ca="1" t="shared" si="68"/>
        <v/>
      </c>
      <c r="K274" t="str">
        <f ca="1">IF(A274&lt;&gt;"",IF(AND(配装计算器!$K$30&lt;&gt;"∞",0),2,INDEX(AU274:CB274,1,$AT$2)),"")</f>
        <v/>
      </c>
      <c r="L274">
        <f ca="1">IFERROR(IF(AND(COUNTIF(B274,"*-峰插*"),技能数据库!$M$72&gt;0),0,IF(COUNTIF(B274,"*鹤归*")&gt;0,16-加速!$L$11,MAX(0,L273-(A274-A273)))),0)</f>
        <v>0</v>
      </c>
      <c r="M274">
        <f ca="1">IF(COUNTIF(IF(AND(配装计算器!$K$30&lt;&gt;"∞",0),INDEX(AU273:CB273,1,$AT$1),INDEX(AU275:CB275,1,$AT$1)),"*鹤归*")=1,L274,0)</f>
        <v>0</v>
      </c>
      <c r="N274">
        <f ca="1">IFERROR(IF(AND(COUNTIF(B274,"*-峰插*"),技能数据库!$M$72&gt;0),0,IF(COUNTIF(B274,"*云飞*")&gt;0,4-COUNTIF(B274,"*玉山揽云*")*4--COUNTIF(B274,"*烟流暮景*")*4-COUNTIF(B274,"*云景*")*加速!$L$11-IF(J274&gt;0,2,0),MAX(0,N273-(A274-A273)-IF(J274&gt;0,2,0)))),0)</f>
        <v>0</v>
      </c>
      <c r="O274">
        <f ca="1">IF(AND(COUNTIF(IF(AND(配装计算器!$K$30&lt;&gt;"∞",0),INDEX(AU273:CB273,1,$AT$1),INDEX(AU275:CB275,1,$AT$1)),"*云飞*")=1,COUNTIF(IF(AND(配装计算器!$K$30&lt;&gt;"∞",0),INDEX(AU273:CB273,1,$AT$1),INDEX(AU275:CB275,1,$AT$1)),"*玉山*")=0),N274,0)</f>
        <v>0</v>
      </c>
      <c r="P274">
        <f ca="1">IFERROR(IF(COUNTIF(B274,"*云栖松*")&gt;0,50-加速!$L$11,MAX(0,P273-(A274-A273))),0)</f>
        <v>0</v>
      </c>
      <c r="Q274">
        <f ca="1">IF(COUNTIF(IF(AND(配装计算器!$K$30&lt;&gt;"∞",0),INDEX(AU273:CB273,1,$AT$1),INDEX(AU275:CB275,1,$AT$1)),"*云栖松*")=1,P274,0)</f>
        <v>0</v>
      </c>
      <c r="R274">
        <f ca="1">IFERROR(IF(COUNTIF(B274,"*莺鸣柳*")&gt;0,45-加速!$L$9,MAX(0,R273-(A274-A273))),0)</f>
        <v>0</v>
      </c>
      <c r="S274">
        <f ca="1">IF(COUNTIF(IF(AND(配装计算器!$K$30&lt;&gt;"∞",0),INDEX(AU273:CB273,1,$AT$1),INDEX(AU275:CB275,1,$AT$1)),"*莺鸣柳*")=1,R274,0)</f>
        <v>0</v>
      </c>
      <c r="T274">
        <f ca="1" t="shared" si="65"/>
        <v>0</v>
      </c>
      <c r="U274">
        <f ca="1">IF(金蛇,IF(COUNTIF(B274,"*金环戴*")+COUNTIF(B274,"*吹风醒*")&gt;0,IF(A274&lt;=3,7.125-2.625-A274-加速!$L$11,7.125+加速!$K$9-(A274+加速!$L$11-T274)),0),0)+IF(金蛇,IF(COUNTIF(B274,"*千切子裂光*")&gt;0,2+加速!$K$9-(A274+加速!$L$11-T274),0),0)</f>
        <v>0</v>
      </c>
      <c r="V274">
        <f ca="1" t="shared" si="66"/>
        <v>0</v>
      </c>
      <c r="W274">
        <f ca="1" t="shared" si="57"/>
        <v>0</v>
      </c>
      <c r="X274">
        <f ca="1">INDEX(加速!$I$13:$I$21,技能数计算!W274+1)</f>
        <v>0</v>
      </c>
      <c r="Y274">
        <f ca="1" t="shared" si="61"/>
        <v>0.5</v>
      </c>
      <c r="Z274">
        <f ca="1" t="shared" si="62"/>
        <v>0</v>
      </c>
      <c r="AA274">
        <f ca="1">MAX(0,IFERROR(IF(COUNTIF(B274,"*叠*")&gt;0,IF(AC273&lt;3,8-A275+A274,AA273+6.875-A275+A274),AA273-A275+A274),AA273-加速!$L$11))</f>
        <v>0</v>
      </c>
      <c r="AB274" t="e">
        <f ca="1">MAX(0,IF(COUNTIF(IF(AND(配装计算器!$K$30&lt;&gt;"∞",0),INDEX(AU274:CB274,1,$AT$1),INDEX(AU274:CB274,1,$AT$1)),"*叠1*")=1,4*25-加速!$L$11,AB273-A274+A273)-IF(OR(COUNTIF(OFFSET(AT274,0,$AT$1,1,1),"*听雷*")&gt;0,AND(碧归&gt;0,COUNTIF(OFFSET(AT274,0,$AT$1,1,1),"*风来*")&gt;0)),0,1)*1.5)</f>
        <v>#VALUE!</v>
      </c>
      <c r="AC274">
        <f ca="1" t="shared" si="58"/>
        <v>3</v>
      </c>
      <c r="AD274">
        <f ca="1">IF(COUNTIF(IF(AND(配装计算器!$K$30&lt;&gt;"∞",0),INDEX(AU274:CB274,1,$AT$1),INDEX(AU275:CB275,1,$AT$1)),"*叠1*")=1,AB274*0+AE273,0)</f>
        <v>0</v>
      </c>
      <c r="AE274" t="e">
        <f ca="1">IF($AN$11&gt;0,IF(COUNTIF(B275,"*叠1*")&gt;0,50-加速!$H$11,MAX(0,AE273-(A275-A274))),0)</f>
        <v>#VALUE!</v>
      </c>
      <c r="AU274" s="176" t="s">
        <v>2794</v>
      </c>
      <c r="AV274">
        <v>2</v>
      </c>
      <c r="AW274" t="s">
        <v>2722</v>
      </c>
      <c r="AX274">
        <v>0</v>
      </c>
      <c r="AY274" t="s">
        <v>2776</v>
      </c>
      <c r="AZ274">
        <v>2</v>
      </c>
      <c r="BA274" t="s">
        <v>2794</v>
      </c>
      <c r="BB274">
        <v>2</v>
      </c>
      <c r="BC274" t="s">
        <v>2768</v>
      </c>
      <c r="BD274">
        <v>2</v>
      </c>
      <c r="BE274" s="176" t="s">
        <v>2789</v>
      </c>
      <c r="BF274">
        <v>2</v>
      </c>
      <c r="BG274" t="s">
        <v>2768</v>
      </c>
      <c r="BH274">
        <v>1</v>
      </c>
      <c r="BI274" s="176" t="s">
        <v>3026</v>
      </c>
      <c r="BJ274">
        <v>2</v>
      </c>
      <c r="BK274" t="s">
        <v>2768</v>
      </c>
      <c r="BL274">
        <v>1</v>
      </c>
      <c r="BM274" t="s">
        <v>2768</v>
      </c>
      <c r="BN274">
        <v>2</v>
      </c>
      <c r="BO274" s="176" t="s">
        <v>2794</v>
      </c>
      <c r="BP274">
        <v>2</v>
      </c>
      <c r="BQ274" t="s">
        <v>2768</v>
      </c>
      <c r="BR274">
        <v>2</v>
      </c>
      <c r="BS274" t="s">
        <v>2768</v>
      </c>
      <c r="BT274">
        <v>0</v>
      </c>
      <c r="BU274" t="s">
        <v>2768</v>
      </c>
      <c r="BV274">
        <v>2</v>
      </c>
      <c r="BW274" s="179" t="s">
        <v>2768</v>
      </c>
      <c r="BX274" s="179">
        <v>2</v>
      </c>
      <c r="BY274" s="176" t="s">
        <v>2768</v>
      </c>
      <c r="BZ274">
        <v>1</v>
      </c>
      <c r="CA274" t="s">
        <v>2768</v>
      </c>
      <c r="CB274">
        <v>1</v>
      </c>
    </row>
    <row r="275" spans="1:80">
      <c r="A275" s="178" t="str">
        <f ca="1">IFERROR(IF(A274+加速!$L$11&lt;$AS$1,IF(COUNTIF(B274,"*轻*")&gt;0,A274+加速!$L$9,A274+加速!$L$11)+V274,IF(COUNTIF(INDEX(AU275:CB275,1,$AT$1),"*云景*")+COUNTIF(INDEX(AU275:CB275,1,$AT$1),"*鹤归*")+COUNTIF(INDEX(AU275:CB275,1,$AT$1),"*听雷*")&gt;0,A274+加速!$L$11,"")),"")</f>
        <v/>
      </c>
      <c r="B275" s="167" t="str">
        <f ca="1">IF(A275&lt;&gt;"",IF(AND(A275+加速!$L$11&gt;$AS$1,IF(AND(配装计算器!$K$30&lt;&gt;"∞",0),"梦泉虎跑-轻",INDEX(AU275:CB275,1,$AT$1))="云栖松"),"夕照雷峰",IF(AND(配装计算器!$K$30&lt;&gt;"∞",0),"梦泉虎跑-轻",INDEX(AU275:CB275,1,$AT$1))),"")</f>
        <v/>
      </c>
      <c r="C275" t="str">
        <f ca="1" t="shared" si="64"/>
        <v/>
      </c>
      <c r="D275" t="str">
        <f ca="1">IF(B275&lt;&gt;"",IF(C274&lt;=加速!$L$11*(1-E275),0,1),"")</f>
        <v/>
      </c>
      <c r="E275">
        <f ca="1" t="shared" si="59"/>
        <v>1</v>
      </c>
      <c r="G275" t="str">
        <f ca="1" t="shared" si="60"/>
        <v/>
      </c>
      <c r="H275" t="str">
        <f ca="1">IF(B275&lt;&gt;"",IF(AND(COUNTIF(B274,"*轻*莺鸣柳*")&gt;0,COUNTIF(B275,"*轻*")&lt;1),MAX(0,15+I274-(A275-A274)+COUNTIF(B274,"*平湖*")*0),IF(AND(E275=0,MAX(0,H274-(A275-A274))&lt;=加速!$H$11),0,MAX(0,H274-(A275-A274)))),"")</f>
        <v/>
      </c>
      <c r="I275" t="str">
        <f ca="1" t="shared" si="67"/>
        <v/>
      </c>
      <c r="J275" t="str">
        <f ca="1" t="shared" si="68"/>
        <v/>
      </c>
      <c r="K275" t="str">
        <f ca="1">IF(A275&lt;&gt;"",IF(AND(配装计算器!$K$30&lt;&gt;"∞",0),2,INDEX(AU275:CB275,1,$AT$2)),"")</f>
        <v/>
      </c>
      <c r="L275">
        <f ca="1">IFERROR(IF(AND(COUNTIF(B275,"*-峰插*"),技能数据库!$M$72&gt;0),0,IF(COUNTIF(B275,"*鹤归*")&gt;0,16-加速!$L$11,MAX(0,L274-(A275-A274)))),0)</f>
        <v>0</v>
      </c>
      <c r="M275">
        <f ca="1">IF(COUNTIF(IF(AND(配装计算器!$K$30&lt;&gt;"∞",0),INDEX(AU274:CB274,1,$AT$1),INDEX(AU276:CB276,1,$AT$1)),"*鹤归*")=1,L275,0)</f>
        <v>0</v>
      </c>
      <c r="N275">
        <f ca="1">IFERROR(IF(AND(COUNTIF(B275,"*-峰插*"),技能数据库!$M$72&gt;0),0,IF(COUNTIF(B275,"*云飞*")&gt;0,4-COUNTIF(B275,"*玉山揽云*")*4--COUNTIF(B275,"*烟流暮景*")*4-COUNTIF(B275,"*云景*")*加速!$L$11-IF(J275&gt;0,2,0),MAX(0,N274-(A275-A274)-IF(J275&gt;0,2,0)))),0)</f>
        <v>0</v>
      </c>
      <c r="O275">
        <f ca="1">IF(AND(COUNTIF(IF(AND(配装计算器!$K$30&lt;&gt;"∞",0),INDEX(AU274:CB274,1,$AT$1),INDEX(AU276:CB276,1,$AT$1)),"*云飞*")=1,COUNTIF(IF(AND(配装计算器!$K$30&lt;&gt;"∞",0),INDEX(AU274:CB274,1,$AT$1),INDEX(AU276:CB276,1,$AT$1)),"*玉山*")=0),N275,0)</f>
        <v>0</v>
      </c>
      <c r="P275">
        <f ca="1">IFERROR(IF(COUNTIF(B275,"*云栖松*")&gt;0,50-加速!$L$11,MAX(0,P274-(A275-A274))),0)</f>
        <v>0</v>
      </c>
      <c r="Q275">
        <f ca="1">IF(COUNTIF(IF(AND(配装计算器!$K$30&lt;&gt;"∞",0),INDEX(AU274:CB274,1,$AT$1),INDEX(AU276:CB276,1,$AT$1)),"*云栖松*")=1,P275,0)</f>
        <v>0</v>
      </c>
      <c r="R275">
        <f ca="1">IFERROR(IF(COUNTIF(B275,"*莺鸣柳*")&gt;0,45-加速!$L$9,MAX(0,R274-(A275-A274))),0)</f>
        <v>0</v>
      </c>
      <c r="S275">
        <f ca="1">IF(COUNTIF(IF(AND(配装计算器!$K$30&lt;&gt;"∞",0),INDEX(AU274:CB274,1,$AT$1),INDEX(AU276:CB276,1,$AT$1)),"*莺鸣柳*")=1,R275,0)</f>
        <v>0</v>
      </c>
      <c r="T275">
        <f ca="1" t="shared" si="65"/>
        <v>0</v>
      </c>
      <c r="U275">
        <f ca="1">IF(金蛇,IF(COUNTIF(B275,"*金环戴*")+COUNTIF(B275,"*吹风醒*")&gt;0,IF(A275&lt;=3,7.125-2.625-A275-加速!$L$11,7.125+加速!$K$9-(A275+加速!$L$11-T275)),0),0)+IF(金蛇,IF(COUNTIF(B275,"*千切子裂光*")&gt;0,2+加速!$K$9-(A275+加速!$L$11-T275),0),0)</f>
        <v>0</v>
      </c>
      <c r="V275">
        <f ca="1" t="shared" si="66"/>
        <v>0</v>
      </c>
      <c r="W275">
        <f ca="1" t="shared" si="57"/>
        <v>0</v>
      </c>
      <c r="X275">
        <f ca="1">INDEX(加速!$I$13:$I$21,技能数计算!W275+1)</f>
        <v>0</v>
      </c>
      <c r="Y275">
        <f ca="1" t="shared" si="61"/>
        <v>0.5</v>
      </c>
      <c r="Z275">
        <f ca="1" t="shared" si="62"/>
        <v>0</v>
      </c>
      <c r="AA275">
        <f ca="1">MAX(0,IFERROR(IF(COUNTIF(B275,"*叠*")&gt;0,IF(AC274&lt;3,8-A276+A275,AA274+6.875-A276+A275),AA274-A276+A275),AA274-加速!$L$11))</f>
        <v>0</v>
      </c>
      <c r="AB275" t="e">
        <f ca="1">MAX(0,IF(COUNTIF(IF(AND(配装计算器!$K$30&lt;&gt;"∞",0),INDEX(AU275:CB275,1,$AT$1),INDEX(AU275:CB275,1,$AT$1)),"*叠1*")=1,4*25-加速!$L$11,AB274-A275+A274)-IF(OR(COUNTIF(OFFSET(AT275,0,$AT$1,1,1),"*听雷*")&gt;0,AND(碧归&gt;0,COUNTIF(OFFSET(AT275,0,$AT$1,1,1),"*风来*")&gt;0)),0,1)*1.5)</f>
        <v>#VALUE!</v>
      </c>
      <c r="AC275">
        <f ca="1" t="shared" si="58"/>
        <v>3</v>
      </c>
      <c r="AD275">
        <f ca="1">IF(COUNTIF(IF(AND(配装计算器!$K$30&lt;&gt;"∞",0),INDEX(AU275:CB275,1,$AT$1),INDEX(AU276:CB276,1,$AT$1)),"*叠1*")=1,AB275*0+AE274,0)</f>
        <v>0</v>
      </c>
      <c r="AE275" t="e">
        <f ca="1">IF($AN$11&gt;0,IF(COUNTIF(B276,"*叠1*")&gt;0,50-加速!$H$11,MAX(0,AE274-(A276-A275))),0)</f>
        <v>#VALUE!</v>
      </c>
      <c r="AU275" s="176" t="s">
        <v>2776</v>
      </c>
      <c r="AV275">
        <v>2</v>
      </c>
      <c r="AW275" t="s">
        <v>3009</v>
      </c>
      <c r="AX275">
        <v>2</v>
      </c>
      <c r="AY275" t="s">
        <v>2768</v>
      </c>
      <c r="AZ275">
        <v>2</v>
      </c>
      <c r="BA275" t="s">
        <v>2768</v>
      </c>
      <c r="BB275">
        <v>2</v>
      </c>
      <c r="BC275" t="s">
        <v>2776</v>
      </c>
      <c r="BD275">
        <v>2</v>
      </c>
      <c r="BE275" s="176" t="s">
        <v>2776</v>
      </c>
      <c r="BF275">
        <v>2</v>
      </c>
      <c r="BG275" s="176" t="s">
        <v>2768</v>
      </c>
      <c r="BH275">
        <v>1</v>
      </c>
      <c r="BI275" s="176" t="s">
        <v>3026</v>
      </c>
      <c r="BJ275">
        <v>2</v>
      </c>
      <c r="BK275" t="s">
        <v>2768</v>
      </c>
      <c r="BL275">
        <v>1</v>
      </c>
      <c r="BM275" t="s">
        <v>2776</v>
      </c>
      <c r="BN275">
        <v>2</v>
      </c>
      <c r="BO275" s="176" t="s">
        <v>2776</v>
      </c>
      <c r="BP275">
        <v>2</v>
      </c>
      <c r="BQ275" t="s">
        <v>2776</v>
      </c>
      <c r="BR275">
        <v>2</v>
      </c>
      <c r="BS275" t="s">
        <v>3012</v>
      </c>
      <c r="BT275">
        <v>2</v>
      </c>
      <c r="BU275" t="s">
        <v>2776</v>
      </c>
      <c r="BV275">
        <v>2</v>
      </c>
      <c r="BW275" s="179" t="str">
        <f>IF(山重水复,"风来吴山","夕照雷峰")</f>
        <v>夕照雷峰</v>
      </c>
      <c r="BX275" s="179">
        <v>2</v>
      </c>
      <c r="BY275" t="s">
        <v>2776</v>
      </c>
      <c r="BZ275">
        <v>1</v>
      </c>
      <c r="CA275" t="s">
        <v>2776</v>
      </c>
      <c r="CB275">
        <v>1</v>
      </c>
    </row>
    <row r="276" spans="1:80">
      <c r="A276" s="178" t="str">
        <f ca="1">IFERROR(IF(A275+加速!$L$11&lt;$AS$1,IF(COUNTIF(B275,"*轻*")&gt;0,A275+加速!$L$9,A275+加速!$L$11)+V275,IF(COUNTIF(INDEX(AU276:CB276,1,$AT$1),"*云景*")+COUNTIF(INDEX(AU276:CB276,1,$AT$1),"*鹤归*")+COUNTIF(INDEX(AU276:CB276,1,$AT$1),"*听雷*")&gt;0,A275+加速!$L$11,"")),"")</f>
        <v/>
      </c>
      <c r="B276" s="167" t="str">
        <f ca="1">IF(A276&lt;&gt;"",IF(AND(A276+加速!$L$11&gt;$AS$1,IF(AND(配装计算器!$K$30&lt;&gt;"∞",0),"梦泉虎跑-轻",INDEX(AU276:CB276,1,$AT$1))="云栖松"),"夕照雷峰",IF(AND(配装计算器!$K$30&lt;&gt;"∞",0),"梦泉虎跑-轻",INDEX(AU276:CB276,1,$AT$1))),"")</f>
        <v/>
      </c>
      <c r="C276" t="str">
        <f ca="1" t="shared" si="64"/>
        <v/>
      </c>
      <c r="D276" t="str">
        <f ca="1">IF(B276&lt;&gt;"",IF(C275&lt;=加速!$L$11*(1-E276),0,1),"")</f>
        <v/>
      </c>
      <c r="E276">
        <f ca="1" t="shared" si="59"/>
        <v>1</v>
      </c>
      <c r="G276" t="str">
        <f ca="1" t="shared" si="60"/>
        <v/>
      </c>
      <c r="H276" t="str">
        <f ca="1">IF(B276&lt;&gt;"",IF(AND(COUNTIF(B275,"*轻*莺鸣柳*")&gt;0,COUNTIF(B276,"*轻*")&lt;1),MAX(0,15+I275-(A276-A275)+COUNTIF(B275,"*平湖*")*0),IF(AND(E276=0,MAX(0,H275-(A276-A275))&lt;=加速!$H$11),0,MAX(0,H275-(A276-A275)))),"")</f>
        <v/>
      </c>
      <c r="I276" t="str">
        <f ca="1" t="shared" si="67"/>
        <v/>
      </c>
      <c r="J276" t="str">
        <f ca="1" t="shared" si="68"/>
        <v/>
      </c>
      <c r="K276" t="str">
        <f ca="1">IF(A276&lt;&gt;"",IF(AND(配装计算器!$K$30&lt;&gt;"∞",0),2,INDEX(AU276:CB276,1,$AT$2)),"")</f>
        <v/>
      </c>
      <c r="L276">
        <f ca="1">IFERROR(IF(AND(COUNTIF(B276,"*-峰插*"),技能数据库!$M$72&gt;0),0,IF(COUNTIF(B276,"*鹤归*")&gt;0,16-加速!$L$11,MAX(0,L275-(A276-A275)))),0)</f>
        <v>0</v>
      </c>
      <c r="M276">
        <f ca="1">IF(COUNTIF(IF(AND(配装计算器!$K$30&lt;&gt;"∞",0),INDEX(AU275:CB275,1,$AT$1),INDEX(AU277:CB277,1,$AT$1)),"*鹤归*")=1,L276,0)</f>
        <v>0</v>
      </c>
      <c r="N276">
        <f ca="1">IFERROR(IF(AND(COUNTIF(B276,"*-峰插*"),技能数据库!$M$72&gt;0),0,IF(COUNTIF(B276,"*云飞*")&gt;0,4-COUNTIF(B276,"*玉山揽云*")*4--COUNTIF(B276,"*烟流暮景*")*4-COUNTIF(B276,"*云景*")*加速!$L$11-IF(J276&gt;0,2,0),MAX(0,N275-(A276-A275)-IF(J276&gt;0,2,0)))),0)</f>
        <v>0</v>
      </c>
      <c r="O276">
        <f ca="1">IF(AND(COUNTIF(IF(AND(配装计算器!$K$30&lt;&gt;"∞",0),INDEX(AU275:CB275,1,$AT$1),INDEX(AU277:CB277,1,$AT$1)),"*云飞*")=1,COUNTIF(IF(AND(配装计算器!$K$30&lt;&gt;"∞",0),INDEX(AU275:CB275,1,$AT$1),INDEX(AU277:CB277,1,$AT$1)),"*玉山*")=0),N276,0)</f>
        <v>0</v>
      </c>
      <c r="P276">
        <f ca="1">IFERROR(IF(COUNTIF(B276,"*云栖松*")&gt;0,50-加速!$L$11,MAX(0,P275-(A276-A275))),0)</f>
        <v>0</v>
      </c>
      <c r="Q276">
        <f ca="1">IF(COUNTIF(IF(AND(配装计算器!$K$30&lt;&gt;"∞",0),INDEX(AU275:CB275,1,$AT$1),INDEX(AU277:CB277,1,$AT$1)),"*云栖松*")=1,P276,0)</f>
        <v>0</v>
      </c>
      <c r="R276">
        <f ca="1">IFERROR(IF(COUNTIF(B276,"*莺鸣柳*")&gt;0,45-加速!$L$9,MAX(0,R275-(A276-A275))),0)</f>
        <v>0</v>
      </c>
      <c r="S276">
        <f ca="1">IF(COUNTIF(IF(AND(配装计算器!$K$30&lt;&gt;"∞",0),INDEX(AU275:CB275,1,$AT$1),INDEX(AU277:CB277,1,$AT$1)),"*莺鸣柳*")=1,R276,0)</f>
        <v>0</v>
      </c>
      <c r="T276">
        <f ca="1" t="shared" si="65"/>
        <v>0</v>
      </c>
      <c r="U276">
        <f ca="1">IF(金蛇,IF(COUNTIF(B276,"*金环戴*")+COUNTIF(B276,"*吹风醒*")&gt;0,IF(A276&lt;=3,7.125-2.625-A276-加速!$L$11,7.125+加速!$K$9-(A276+加速!$L$11-T276)),0),0)+IF(金蛇,IF(COUNTIF(B276,"*千切子裂光*")&gt;0,2+加速!$K$9-(A276+加速!$L$11-T276),0),0)</f>
        <v>0</v>
      </c>
      <c r="V276">
        <f ca="1" t="shared" si="66"/>
        <v>0</v>
      </c>
      <c r="W276">
        <f ca="1" t="shared" si="57"/>
        <v>0</v>
      </c>
      <c r="X276">
        <f ca="1">INDEX(加速!$I$13:$I$21,技能数计算!W276+1)</f>
        <v>0</v>
      </c>
      <c r="Y276">
        <f ca="1" t="shared" si="61"/>
        <v>0.5</v>
      </c>
      <c r="Z276">
        <f ca="1" t="shared" si="62"/>
        <v>0</v>
      </c>
      <c r="AA276">
        <f ca="1">MAX(0,IFERROR(IF(COUNTIF(B276,"*叠*")&gt;0,IF(AC275&lt;3,8-A277+A276,AA275+6.875-A277+A276),AA275-A277+A276),AA275-加速!$L$11))</f>
        <v>0</v>
      </c>
      <c r="AB276" t="e">
        <f ca="1">MAX(0,IF(COUNTIF(IF(AND(配装计算器!$K$30&lt;&gt;"∞",0),INDEX(AU276:CB276,1,$AT$1),INDEX(AU276:CB276,1,$AT$1)),"*叠1*")=1,4*25-加速!$L$11,AB275-A276+A275)-IF(OR(COUNTIF(OFFSET(AT276,0,$AT$1,1,1),"*听雷*")&gt;0,AND(碧归&gt;0,COUNTIF(OFFSET(AT276,0,$AT$1,1,1),"*风来*")&gt;0)),0,1)*1.5)</f>
        <v>#VALUE!</v>
      </c>
      <c r="AC276">
        <f ca="1" t="shared" si="58"/>
        <v>3</v>
      </c>
      <c r="AD276">
        <f ca="1">IF(COUNTIF(IF(AND(配装计算器!$K$30&lt;&gt;"∞",0),INDEX(AU276:CB276,1,$AT$1),INDEX(AU277:CB277,1,$AT$1)),"*叠1*")=1,AB276*0+AE275,0)</f>
        <v>0</v>
      </c>
      <c r="AE276" t="e">
        <f ca="1">IF($AN$11&gt;0,IF(COUNTIF(B277,"*叠1*")&gt;0,50-加速!$H$11,MAX(0,AE275-(A277-A276))),0)</f>
        <v>#VALUE!</v>
      </c>
      <c r="AU276" s="176" t="s">
        <v>2768</v>
      </c>
      <c r="AV276">
        <v>2</v>
      </c>
      <c r="AW276" t="s">
        <v>2776</v>
      </c>
      <c r="AX276">
        <v>2</v>
      </c>
      <c r="AY276" t="s">
        <v>2794</v>
      </c>
      <c r="AZ276">
        <v>2</v>
      </c>
      <c r="BA276" t="s">
        <v>2776</v>
      </c>
      <c r="BB276">
        <v>2</v>
      </c>
      <c r="BC276" t="s">
        <v>2768</v>
      </c>
      <c r="BD276">
        <v>2</v>
      </c>
      <c r="BE276" s="176" t="s">
        <v>3035</v>
      </c>
      <c r="BF276">
        <v>2</v>
      </c>
      <c r="BG276" t="s">
        <v>3055</v>
      </c>
      <c r="BH276">
        <v>0</v>
      </c>
      <c r="BI276" s="176" t="s">
        <v>3026</v>
      </c>
      <c r="BJ276">
        <v>2</v>
      </c>
      <c r="BK276" t="s">
        <v>2794</v>
      </c>
      <c r="BL276">
        <v>0</v>
      </c>
      <c r="BM276" t="s">
        <v>2768</v>
      </c>
      <c r="BN276">
        <v>1</v>
      </c>
      <c r="BO276" s="176" t="s">
        <v>2768</v>
      </c>
      <c r="BP276">
        <v>2</v>
      </c>
      <c r="BQ276" t="s">
        <v>2768</v>
      </c>
      <c r="BR276">
        <v>2</v>
      </c>
      <c r="BS276" s="179" t="s">
        <v>2794</v>
      </c>
      <c r="BT276">
        <v>2</v>
      </c>
      <c r="BU276" t="s">
        <v>2768</v>
      </c>
      <c r="BV276">
        <v>2</v>
      </c>
      <c r="BW276" s="182" t="s">
        <v>2794</v>
      </c>
      <c r="BX276" s="179">
        <v>2</v>
      </c>
      <c r="BY276" t="s">
        <v>2768</v>
      </c>
      <c r="BZ276">
        <v>1</v>
      </c>
      <c r="CA276" t="s">
        <v>2768</v>
      </c>
      <c r="CB276">
        <v>1</v>
      </c>
    </row>
    <row r="277" spans="1:80">
      <c r="A277" s="178" t="str">
        <f ca="1">IFERROR(IF(A276+加速!$L$11&lt;$AS$1,IF(COUNTIF(B276,"*轻*")&gt;0,A276+加速!$L$9,A276+加速!$L$11)+V276,IF(COUNTIF(INDEX(AU277:CB277,1,$AT$1),"*云景*")+COUNTIF(INDEX(AU277:CB277,1,$AT$1),"*鹤归*")+COUNTIF(INDEX(AU277:CB277,1,$AT$1),"*听雷*")&gt;0,A276+加速!$L$11,"")),"")</f>
        <v/>
      </c>
      <c r="B277" s="167" t="str">
        <f ca="1">IF(A277&lt;&gt;"",IF(AND(A277+加速!$L$11&gt;$AS$1,IF(AND(配装计算器!$K$30&lt;&gt;"∞",0),"梦泉虎跑-轻",INDEX(AU277:CB277,1,$AT$1))="云栖松"),"夕照雷峰",IF(AND(配装计算器!$K$30&lt;&gt;"∞",0),"梦泉虎跑-轻",INDEX(AU277:CB277,1,$AT$1))),"")</f>
        <v/>
      </c>
      <c r="C277" t="str">
        <f ca="1" t="shared" si="64"/>
        <v/>
      </c>
      <c r="D277" t="str">
        <f ca="1">IF(B277&lt;&gt;"",IF(C276&lt;=加速!$L$11*(1-E277),0,1),"")</f>
        <v/>
      </c>
      <c r="E277">
        <f ca="1" t="shared" si="59"/>
        <v>1</v>
      </c>
      <c r="G277" t="str">
        <f ca="1" t="shared" si="60"/>
        <v/>
      </c>
      <c r="H277" t="str">
        <f ca="1">IF(B277&lt;&gt;"",IF(AND(COUNTIF(B276,"*轻*莺鸣柳*")&gt;0,COUNTIF(B277,"*轻*")&lt;1),MAX(0,15+I276-(A277-A276)+COUNTIF(B276,"*平湖*")*0),IF(AND(E277=0,MAX(0,H276-(A277-A276))&lt;=加速!$H$11),0,MAX(0,H276-(A277-A276)))),"")</f>
        <v/>
      </c>
      <c r="I277" t="str">
        <f ca="1" t="shared" si="67"/>
        <v/>
      </c>
      <c r="J277" t="str">
        <f ca="1" t="shared" si="68"/>
        <v/>
      </c>
      <c r="K277" t="str">
        <f ca="1">IF(A277&lt;&gt;"",IF(AND(配装计算器!$K$30&lt;&gt;"∞",0),2,INDEX(AU277:CB277,1,$AT$2)),"")</f>
        <v/>
      </c>
      <c r="L277">
        <f ca="1">IFERROR(IF(AND(COUNTIF(B277,"*-峰插*"),技能数据库!$M$72&gt;0),0,IF(COUNTIF(B277,"*鹤归*")&gt;0,16-加速!$L$11,MAX(0,L276-(A277-A276)))),0)</f>
        <v>0</v>
      </c>
      <c r="M277">
        <f ca="1">IF(COUNTIF(IF(AND(配装计算器!$K$30&lt;&gt;"∞",0),INDEX(AU276:CB276,1,$AT$1),INDEX(AU278:CB278,1,$AT$1)),"*鹤归*")=1,L277,0)</f>
        <v>0</v>
      </c>
      <c r="N277">
        <f ca="1">IFERROR(IF(AND(COUNTIF(B277,"*-峰插*"),技能数据库!$M$72&gt;0),0,IF(COUNTIF(B277,"*云飞*")&gt;0,4-COUNTIF(B277,"*玉山揽云*")*4--COUNTIF(B277,"*烟流暮景*")*4-COUNTIF(B277,"*云景*")*加速!$L$11-IF(J277&gt;0,2,0),MAX(0,N276-(A277-A276)-IF(J277&gt;0,2,0)))),0)</f>
        <v>0</v>
      </c>
      <c r="O277">
        <f ca="1">IF(AND(COUNTIF(IF(AND(配装计算器!$K$30&lt;&gt;"∞",0),INDEX(AU276:CB276,1,$AT$1),INDEX(AU278:CB278,1,$AT$1)),"*云飞*")=1,COUNTIF(IF(AND(配装计算器!$K$30&lt;&gt;"∞",0),INDEX(AU276:CB276,1,$AT$1),INDEX(AU278:CB278,1,$AT$1)),"*玉山*")=0),N277,0)</f>
        <v>0</v>
      </c>
      <c r="P277">
        <f ca="1">IFERROR(IF(COUNTIF(B277,"*云栖松*")&gt;0,50-加速!$L$11,MAX(0,P276-(A277-A276))),0)</f>
        <v>0</v>
      </c>
      <c r="Q277">
        <f ca="1">IF(COUNTIF(IF(AND(配装计算器!$K$30&lt;&gt;"∞",0),INDEX(AU276:CB276,1,$AT$1),INDEX(AU278:CB278,1,$AT$1)),"*云栖松*")=1,P277,0)</f>
        <v>0</v>
      </c>
      <c r="R277">
        <f ca="1">IFERROR(IF(COUNTIF(B277,"*莺鸣柳*")&gt;0,45-加速!$L$9,MAX(0,R276-(A277-A276))),0)</f>
        <v>0</v>
      </c>
      <c r="S277">
        <f ca="1">IF(COUNTIF(IF(AND(配装计算器!$K$30&lt;&gt;"∞",0),INDEX(AU276:CB276,1,$AT$1),INDEX(AU278:CB278,1,$AT$1)),"*莺鸣柳*")=1,R277,0)</f>
        <v>0</v>
      </c>
      <c r="T277">
        <f ca="1" t="shared" si="65"/>
        <v>0</v>
      </c>
      <c r="U277">
        <f ca="1">IF(金蛇,IF(COUNTIF(B277,"*金环戴*")+COUNTIF(B277,"*吹风醒*")&gt;0,IF(A277&lt;=3,7.125-2.625-A277-加速!$L$11,7.125+加速!$K$9-(A277+加速!$L$11-T277)),0),0)+IF(金蛇,IF(COUNTIF(B277,"*千切子裂光*")&gt;0,2+加速!$K$9-(A277+加速!$L$11-T277),0),0)</f>
        <v>0</v>
      </c>
      <c r="V277">
        <f ca="1" t="shared" si="66"/>
        <v>0</v>
      </c>
      <c r="W277">
        <f ca="1" t="shared" si="57"/>
        <v>0</v>
      </c>
      <c r="X277">
        <f ca="1">INDEX(加速!$I$13:$I$21,技能数计算!W277+1)</f>
        <v>0</v>
      </c>
      <c r="Y277">
        <f ca="1" t="shared" si="61"/>
        <v>0.5</v>
      </c>
      <c r="Z277">
        <f ca="1" t="shared" si="62"/>
        <v>0</v>
      </c>
      <c r="AA277">
        <f ca="1">MAX(0,IFERROR(IF(COUNTIF(B277,"*叠*")&gt;0,IF(AC276&lt;3,8-A278+A277,AA276+6.875-A278+A277),AA276-A278+A277),AA276-加速!$L$11))</f>
        <v>0</v>
      </c>
      <c r="AB277" t="e">
        <f ca="1">MAX(0,IF(COUNTIF(IF(AND(配装计算器!$K$30&lt;&gt;"∞",0),INDEX(AU277:CB277,1,$AT$1),INDEX(AU277:CB277,1,$AT$1)),"*叠1*")=1,4*25-加速!$L$11,AB276-A277+A276)-IF(OR(COUNTIF(OFFSET(AT277,0,$AT$1,1,1),"*听雷*")&gt;0,AND(碧归&gt;0,COUNTIF(OFFSET(AT277,0,$AT$1,1,1),"*风来*")&gt;0)),0,1)*1.5)</f>
        <v>#VALUE!</v>
      </c>
      <c r="AC277">
        <f ca="1" t="shared" si="58"/>
        <v>3</v>
      </c>
      <c r="AD277">
        <f ca="1">IF(COUNTIF(IF(AND(配装计算器!$K$30&lt;&gt;"∞",0),INDEX(AU277:CB277,1,$AT$1),INDEX(AU278:CB278,1,$AT$1)),"*叠1*")=1,AB277*0+AE276,0)</f>
        <v>0</v>
      </c>
      <c r="AE277" t="e">
        <f ca="1">IF($AN$11&gt;0,IF(COUNTIF(B278,"*叠1*")&gt;0,50-加速!$H$11,MAX(0,AE276-(A278-A277))),0)</f>
        <v>#VALUE!</v>
      </c>
      <c r="AU277" s="176" t="s">
        <v>2776</v>
      </c>
      <c r="AV277">
        <v>2</v>
      </c>
      <c r="AW277" t="s">
        <v>2768</v>
      </c>
      <c r="AX277">
        <v>2</v>
      </c>
      <c r="AY277" t="s">
        <v>2768</v>
      </c>
      <c r="AZ277">
        <v>2</v>
      </c>
      <c r="BA277" t="s">
        <v>2768</v>
      </c>
      <c r="BB277">
        <v>2</v>
      </c>
      <c r="BC277" t="s">
        <v>2794</v>
      </c>
      <c r="BD277">
        <v>2</v>
      </c>
      <c r="BE277" t="s">
        <v>2768</v>
      </c>
      <c r="BF277">
        <v>2</v>
      </c>
      <c r="BG277" t="s">
        <v>2776</v>
      </c>
      <c r="BH277">
        <v>2</v>
      </c>
      <c r="BI277" s="176" t="s">
        <v>3026</v>
      </c>
      <c r="BJ277">
        <v>2</v>
      </c>
      <c r="BK277" t="s">
        <v>2776</v>
      </c>
      <c r="BL277">
        <v>0</v>
      </c>
      <c r="BM277" t="s">
        <v>2722</v>
      </c>
      <c r="BN277">
        <v>0</v>
      </c>
      <c r="BO277" s="176" t="s">
        <v>2776</v>
      </c>
      <c r="BP277">
        <v>2</v>
      </c>
      <c r="BQ277" t="s">
        <v>3013</v>
      </c>
      <c r="BR277">
        <v>2</v>
      </c>
      <c r="BS277" s="179" t="s">
        <v>3019</v>
      </c>
      <c r="BT277">
        <v>2</v>
      </c>
      <c r="BU277" t="s">
        <v>2776</v>
      </c>
      <c r="BV277">
        <v>2</v>
      </c>
      <c r="BW277" s="182" t="s">
        <v>2776</v>
      </c>
      <c r="BX277" s="179">
        <v>2</v>
      </c>
      <c r="BY277" t="s">
        <v>2722</v>
      </c>
      <c r="BZ277">
        <v>0</v>
      </c>
      <c r="CA277" t="s">
        <v>2722</v>
      </c>
      <c r="CB277">
        <v>0</v>
      </c>
    </row>
    <row r="278" spans="1:80">
      <c r="A278" s="178" t="str">
        <f ca="1">IFERROR(IF(A277+加速!$L$11&lt;$AS$1,IF(COUNTIF(B277,"*轻*")&gt;0,A277+加速!$L$9,A277+加速!$L$11)+V277,IF(COUNTIF(INDEX(AU278:CB278,1,$AT$1),"*云景*")+COUNTIF(INDEX(AU278:CB278,1,$AT$1),"*鹤归*")+COUNTIF(INDEX(AU278:CB278,1,$AT$1),"*听雷*")&gt;0,A277+加速!$L$11,"")),"")</f>
        <v/>
      </c>
      <c r="B278" s="167" t="str">
        <f ca="1">IF(A278&lt;&gt;"",IF(AND(A278+加速!$L$11&gt;$AS$1,IF(AND(配装计算器!$K$30&lt;&gt;"∞",0),"梦泉虎跑-轻",INDEX(AU278:CB278,1,$AT$1))="云栖松"),"夕照雷峰",IF(AND(配装计算器!$K$30&lt;&gt;"∞",0),"梦泉虎跑-轻",INDEX(AU278:CB278,1,$AT$1))),"")</f>
        <v/>
      </c>
      <c r="C278" t="str">
        <f ca="1" t="shared" si="64"/>
        <v/>
      </c>
      <c r="D278" t="str">
        <f ca="1">IF(B278&lt;&gt;"",IF(C277&lt;=加速!$L$11*(1-E278),0,1),"")</f>
        <v/>
      </c>
      <c r="E278">
        <f ca="1" t="shared" si="59"/>
        <v>1</v>
      </c>
      <c r="G278" t="str">
        <f ca="1" t="shared" si="60"/>
        <v/>
      </c>
      <c r="H278" t="str">
        <f ca="1">IF(B278&lt;&gt;"",IF(AND(COUNTIF(B277,"*轻*莺鸣柳*")&gt;0,COUNTIF(B278,"*轻*")&lt;1),MAX(0,15+I277-(A278-A277)+COUNTIF(B277,"*平湖*")*0),IF(AND(E278=0,MAX(0,H277-(A278-A277))&lt;=加速!$H$11),0,MAX(0,H277-(A278-A277)))),"")</f>
        <v/>
      </c>
      <c r="I278" t="str">
        <f ca="1" t="shared" si="67"/>
        <v/>
      </c>
      <c r="J278" t="str">
        <f ca="1" t="shared" si="68"/>
        <v/>
      </c>
      <c r="K278" t="str">
        <f ca="1">IF(A278&lt;&gt;"",IF(AND(配装计算器!$K$30&lt;&gt;"∞",0),2,INDEX(AU278:CB278,1,$AT$2)),"")</f>
        <v/>
      </c>
      <c r="L278">
        <f ca="1">IFERROR(IF(AND(COUNTIF(B278,"*-峰插*"),技能数据库!$M$72&gt;0),0,IF(COUNTIF(B278,"*鹤归*")&gt;0,16-加速!$L$11,MAX(0,L277-(A278-A277)))),0)</f>
        <v>0</v>
      </c>
      <c r="M278">
        <f ca="1">IF(COUNTIF(IF(AND(配装计算器!$K$30&lt;&gt;"∞",0),INDEX(AU277:CB277,1,$AT$1),INDEX(AU279:CB279,1,$AT$1)),"*鹤归*")=1,L278,0)</f>
        <v>0</v>
      </c>
      <c r="N278">
        <f ca="1">IFERROR(IF(AND(COUNTIF(B278,"*-峰插*"),技能数据库!$M$72&gt;0),0,IF(COUNTIF(B278,"*云飞*")&gt;0,4-COUNTIF(B278,"*玉山揽云*")*4--COUNTIF(B278,"*烟流暮景*")*4-COUNTIF(B278,"*云景*")*加速!$L$11-IF(J278&gt;0,2,0),MAX(0,N277-(A278-A277)-IF(J278&gt;0,2,0)))),0)</f>
        <v>0</v>
      </c>
      <c r="O278">
        <f ca="1">IF(AND(COUNTIF(IF(AND(配装计算器!$K$30&lt;&gt;"∞",0),INDEX(AU277:CB277,1,$AT$1),INDEX(AU279:CB279,1,$AT$1)),"*云飞*")=1,COUNTIF(IF(AND(配装计算器!$K$30&lt;&gt;"∞",0),INDEX(AU277:CB277,1,$AT$1),INDEX(AU279:CB279,1,$AT$1)),"*玉山*")=0),N278,0)</f>
        <v>0</v>
      </c>
      <c r="P278">
        <f ca="1">IFERROR(IF(COUNTIF(B278,"*云栖松*")&gt;0,50-加速!$L$11,MAX(0,P277-(A278-A277))),0)</f>
        <v>0</v>
      </c>
      <c r="Q278">
        <f ca="1">IF(COUNTIF(IF(AND(配装计算器!$K$30&lt;&gt;"∞",0),INDEX(AU277:CB277,1,$AT$1),INDEX(AU279:CB279,1,$AT$1)),"*云栖松*")=1,P278,0)</f>
        <v>0</v>
      </c>
      <c r="R278">
        <f ca="1">IFERROR(IF(COUNTIF(B278,"*莺鸣柳*")&gt;0,45-加速!$L$9,MAX(0,R277-(A278-A277))),0)</f>
        <v>0</v>
      </c>
      <c r="S278">
        <f ca="1">IF(COUNTIF(IF(AND(配装计算器!$K$30&lt;&gt;"∞",0),INDEX(AU277:CB277,1,$AT$1),INDEX(AU279:CB279,1,$AT$1)),"*莺鸣柳*")=1,R278,0)</f>
        <v>0</v>
      </c>
      <c r="T278">
        <f ca="1" t="shared" si="65"/>
        <v>0</v>
      </c>
      <c r="U278">
        <f ca="1">IF(金蛇,IF(COUNTIF(B278,"*金环戴*")+COUNTIF(B278,"*吹风醒*")&gt;0,IF(A278&lt;=3,7.125-2.625-A278-加速!$L$11,7.125+加速!$K$9-(A278+加速!$L$11-T278)),0),0)+IF(金蛇,IF(COUNTIF(B278,"*千切子裂光*")&gt;0,2+加速!$K$9-(A278+加速!$L$11-T278),0),0)</f>
        <v>0</v>
      </c>
      <c r="V278">
        <f ca="1" t="shared" si="66"/>
        <v>0</v>
      </c>
      <c r="W278">
        <f ca="1" t="shared" si="57"/>
        <v>0</v>
      </c>
      <c r="X278">
        <f ca="1">INDEX(加速!$I$13:$I$21,技能数计算!W278+1)</f>
        <v>0</v>
      </c>
      <c r="Y278">
        <f ca="1" t="shared" si="61"/>
        <v>0.5</v>
      </c>
      <c r="Z278">
        <f ca="1" t="shared" si="62"/>
        <v>0</v>
      </c>
      <c r="AA278">
        <f ca="1">MAX(0,IFERROR(IF(COUNTIF(B278,"*叠*")&gt;0,IF(AC277&lt;3,8-A279+A278,AA277+6.875-A279+A278),AA277-A279+A278),AA277-加速!$L$11))</f>
        <v>0</v>
      </c>
      <c r="AB278" t="e">
        <f ca="1">MAX(0,IF(COUNTIF(IF(AND(配装计算器!$K$30&lt;&gt;"∞",0),INDEX(AU278:CB278,1,$AT$1),INDEX(AU278:CB278,1,$AT$1)),"*叠1*")=1,4*25-加速!$L$11,AB277-A278+A277)-IF(OR(COUNTIF(OFFSET(AT278,0,$AT$1,1,1),"*听雷*")&gt;0,AND(碧归&gt;0,COUNTIF(OFFSET(AT278,0,$AT$1,1,1),"*风来*")&gt;0)),0,1)*1.5)</f>
        <v>#VALUE!</v>
      </c>
      <c r="AC278">
        <f ca="1" t="shared" si="58"/>
        <v>3</v>
      </c>
      <c r="AD278">
        <f ca="1">IF(COUNTIF(IF(AND(配装计算器!$K$30&lt;&gt;"∞",0),INDEX(AU278:CB278,1,$AT$1),INDEX(AU279:CB279,1,$AT$1)),"*叠1*")=1,AB278*0+AE277,0)</f>
        <v>0</v>
      </c>
      <c r="AE278" t="e">
        <f ca="1">IF($AN$11&gt;0,IF(COUNTIF(B279,"*叠1*")&gt;0,50-加速!$H$11,MAX(0,AE277-(A279-A278))),0)</f>
        <v>#VALUE!</v>
      </c>
      <c r="AU278" s="176" t="s">
        <v>2768</v>
      </c>
      <c r="AV278">
        <v>2</v>
      </c>
      <c r="AW278" s="180" t="s">
        <v>2789</v>
      </c>
      <c r="AX278">
        <v>2</v>
      </c>
      <c r="AY278" t="s">
        <v>2776</v>
      </c>
      <c r="AZ278">
        <v>2</v>
      </c>
      <c r="BA278" t="s">
        <v>2776</v>
      </c>
      <c r="BB278">
        <v>2</v>
      </c>
      <c r="BC278" s="182" t="s">
        <v>3036</v>
      </c>
      <c r="BD278">
        <v>2</v>
      </c>
      <c r="BE278" t="s">
        <v>2776</v>
      </c>
      <c r="BF278">
        <v>2</v>
      </c>
      <c r="BG278" t="s">
        <v>2768</v>
      </c>
      <c r="BH278">
        <v>2</v>
      </c>
      <c r="BI278" s="176" t="s">
        <v>3036</v>
      </c>
      <c r="BJ278">
        <v>2</v>
      </c>
      <c r="BK278" t="s">
        <v>2768</v>
      </c>
      <c r="BL278">
        <v>0</v>
      </c>
      <c r="BM278" t="s">
        <v>3009</v>
      </c>
      <c r="BN278">
        <v>2</v>
      </c>
      <c r="BO278" s="176" t="s">
        <v>2768</v>
      </c>
      <c r="BP278">
        <v>2</v>
      </c>
      <c r="BQ278" t="s">
        <v>2808</v>
      </c>
      <c r="BR278">
        <v>2</v>
      </c>
      <c r="BS278" s="179" t="s">
        <v>2768</v>
      </c>
      <c r="BT278">
        <v>2</v>
      </c>
      <c r="BU278" t="s">
        <v>2768</v>
      </c>
      <c r="BV278">
        <v>2</v>
      </c>
      <c r="BW278" s="182" t="s">
        <v>2768</v>
      </c>
      <c r="BX278" s="179">
        <v>2</v>
      </c>
      <c r="BY278" t="s">
        <v>3009</v>
      </c>
      <c r="BZ278">
        <v>2</v>
      </c>
      <c r="CA278" t="s">
        <v>3009</v>
      </c>
      <c r="CB278">
        <v>2</v>
      </c>
    </row>
    <row r="279" spans="1:80">
      <c r="A279" s="178" t="str">
        <f ca="1">IFERROR(IF(A278+加速!$L$11&lt;$AS$1,IF(COUNTIF(B278,"*轻*")&gt;0,A278+加速!$L$9,A278+加速!$L$11)+V278,IF(COUNTIF(INDEX(AU279:CB279,1,$AT$1),"*云景*")+COUNTIF(INDEX(AU279:CB279,1,$AT$1),"*鹤归*")+COUNTIF(INDEX(AU279:CB279,1,$AT$1),"*听雷*")&gt;0,A278+加速!$L$11,"")),"")</f>
        <v/>
      </c>
      <c r="B279" s="167" t="str">
        <f ca="1">IF(A279&lt;&gt;"",IF(AND(A279+加速!$L$11&gt;$AS$1,IF(AND(配装计算器!$K$30&lt;&gt;"∞",0),"梦泉虎跑-轻",INDEX(AU279:CB279,1,$AT$1))="云栖松"),"夕照雷峰",IF(AND(配装计算器!$K$30&lt;&gt;"∞",0),"梦泉虎跑-轻",INDEX(AU279:CB279,1,$AT$1))),"")</f>
        <v/>
      </c>
      <c r="C279" t="str">
        <f ca="1" t="shared" si="64"/>
        <v/>
      </c>
      <c r="D279" t="str">
        <f ca="1">IF(B279&lt;&gt;"",IF(C278&lt;=加速!$L$11*(1-E279),0,1),"")</f>
        <v/>
      </c>
      <c r="E279">
        <f ca="1" t="shared" si="59"/>
        <v>1</v>
      </c>
      <c r="G279" t="str">
        <f ca="1" t="shared" si="60"/>
        <v/>
      </c>
      <c r="H279" t="str">
        <f ca="1">IF(B279&lt;&gt;"",IF(AND(COUNTIF(B278,"*轻*莺鸣柳*")&gt;0,COUNTIF(B279,"*轻*")&lt;1),MAX(0,15+I278-(A279-A278)+COUNTIF(B278,"*平湖*")*0),IF(AND(E279=0,MAX(0,H278-(A279-A278))&lt;=加速!$H$11),0,MAX(0,H278-(A279-A278)))),"")</f>
        <v/>
      </c>
      <c r="I279" t="str">
        <f ca="1" t="shared" si="67"/>
        <v/>
      </c>
      <c r="J279" t="str">
        <f ca="1" t="shared" si="68"/>
        <v/>
      </c>
      <c r="K279" t="str">
        <f ca="1">IF(A279&lt;&gt;"",IF(AND(配装计算器!$K$30&lt;&gt;"∞",0),2,INDEX(AU279:CB279,1,$AT$2)),"")</f>
        <v/>
      </c>
      <c r="L279">
        <f ca="1">IFERROR(IF(AND(COUNTIF(B279,"*-峰插*"),技能数据库!$M$72&gt;0),0,IF(COUNTIF(B279,"*鹤归*")&gt;0,16-加速!$L$11,MAX(0,L278-(A279-A278)))),0)</f>
        <v>0</v>
      </c>
      <c r="M279">
        <f ca="1">IF(COUNTIF(IF(AND(配装计算器!$K$30&lt;&gt;"∞",0),INDEX(AU278:CB278,1,$AT$1),INDEX(AU280:CB280,1,$AT$1)),"*鹤归*")=1,L279,0)</f>
        <v>0</v>
      </c>
      <c r="N279">
        <f ca="1">IFERROR(IF(AND(COUNTIF(B279,"*-峰插*"),技能数据库!$M$72&gt;0),0,IF(COUNTIF(B279,"*云飞*")&gt;0,4-COUNTIF(B279,"*玉山揽云*")*4--COUNTIF(B279,"*烟流暮景*")*4-COUNTIF(B279,"*云景*")*加速!$L$11-IF(J279&gt;0,2,0),MAX(0,N278-(A279-A278)-IF(J279&gt;0,2,0)))),0)</f>
        <v>0</v>
      </c>
      <c r="O279">
        <f ca="1">IF(AND(COUNTIF(IF(AND(配装计算器!$K$30&lt;&gt;"∞",0),INDEX(AU278:CB278,1,$AT$1),INDEX(AU280:CB280,1,$AT$1)),"*云飞*")=1,COUNTIF(IF(AND(配装计算器!$K$30&lt;&gt;"∞",0),INDEX(AU278:CB278,1,$AT$1),INDEX(AU280:CB280,1,$AT$1)),"*玉山*")=0),N279,0)</f>
        <v>0</v>
      </c>
      <c r="P279">
        <f ca="1">IFERROR(IF(COUNTIF(B279,"*云栖松*")&gt;0,50-加速!$L$11,MAX(0,P278-(A279-A278))),0)</f>
        <v>0</v>
      </c>
      <c r="Q279">
        <f ca="1">IF(COUNTIF(IF(AND(配装计算器!$K$30&lt;&gt;"∞",0),INDEX(AU278:CB278,1,$AT$1),INDEX(AU280:CB280,1,$AT$1)),"*云栖松*")=1,P279,0)</f>
        <v>0</v>
      </c>
      <c r="R279">
        <f ca="1">IFERROR(IF(COUNTIF(B279,"*莺鸣柳*")&gt;0,45-加速!$L$9,MAX(0,R278-(A279-A278))),0)</f>
        <v>0</v>
      </c>
      <c r="S279">
        <f ca="1">IF(COUNTIF(IF(AND(配装计算器!$K$30&lt;&gt;"∞",0),INDEX(AU278:CB278,1,$AT$1),INDEX(AU280:CB280,1,$AT$1)),"*莺鸣柳*")=1,R279,0)</f>
        <v>0</v>
      </c>
      <c r="T279">
        <f ca="1" t="shared" si="65"/>
        <v>0</v>
      </c>
      <c r="U279">
        <f ca="1">IF(金蛇,IF(COUNTIF(B279,"*金环戴*")+COUNTIF(B279,"*吹风醒*")&gt;0,IF(A279&lt;=3,7.125-2.625-A279-加速!$L$11,7.125+加速!$K$9-(A279+加速!$L$11-T279)),0),0)+IF(金蛇,IF(COUNTIF(B279,"*千切子裂光*")&gt;0,2+加速!$K$9-(A279+加速!$L$11-T279),0),0)</f>
        <v>0</v>
      </c>
      <c r="V279">
        <f ca="1" t="shared" si="66"/>
        <v>0</v>
      </c>
      <c r="W279">
        <f ca="1" t="shared" si="57"/>
        <v>0</v>
      </c>
      <c r="X279">
        <f ca="1">INDEX(加速!$I$13:$I$21,技能数计算!W279+1)</f>
        <v>0</v>
      </c>
      <c r="Y279">
        <f ca="1" t="shared" si="61"/>
        <v>0.5</v>
      </c>
      <c r="Z279">
        <f ca="1" t="shared" si="62"/>
        <v>0</v>
      </c>
      <c r="AA279">
        <f ca="1">MAX(0,IFERROR(IF(COUNTIF(B279,"*叠*")&gt;0,IF(AC278&lt;3,8-A280+A279,AA278+6.875-A280+A279),AA278-A280+A279),AA278-加速!$L$11))</f>
        <v>0</v>
      </c>
      <c r="AB279" t="e">
        <f ca="1">MAX(0,IF(COUNTIF(IF(AND(配装计算器!$K$30&lt;&gt;"∞",0),INDEX(AU279:CB279,1,$AT$1),INDEX(AU279:CB279,1,$AT$1)),"*叠1*")=1,4*25-加速!$L$11,AB278-A279+A278)-IF(OR(COUNTIF(OFFSET(AT279,0,$AT$1,1,1),"*听雷*")&gt;0,AND(碧归&gt;0,COUNTIF(OFFSET(AT279,0,$AT$1,1,1),"*风来*")&gt;0)),0,1)*1.5)</f>
        <v>#VALUE!</v>
      </c>
      <c r="AC279">
        <f ca="1" t="shared" si="58"/>
        <v>3</v>
      </c>
      <c r="AD279">
        <f ca="1">IF(COUNTIF(IF(AND(配装计算器!$K$30&lt;&gt;"∞",0),INDEX(AU279:CB279,1,$AT$1),INDEX(AU280:CB280,1,$AT$1)),"*叠1*")=1,AB279*0+AE278,0)</f>
        <v>0</v>
      </c>
      <c r="AE279" t="e">
        <f ca="1">IF($AN$11&gt;0,IF(COUNTIF(B280,"*叠1*")&gt;0,50-加速!$H$11,MAX(0,AE278-(A280-A279))),0)</f>
        <v>#VALUE!</v>
      </c>
      <c r="AU279" s="176" t="s">
        <v>2776</v>
      </c>
      <c r="AV279">
        <v>2</v>
      </c>
      <c r="AW279" s="176" t="s">
        <v>2794</v>
      </c>
      <c r="AX279">
        <v>2</v>
      </c>
      <c r="AY279" t="s">
        <v>2768</v>
      </c>
      <c r="AZ279">
        <v>2</v>
      </c>
      <c r="BA279" t="s">
        <v>2768</v>
      </c>
      <c r="BB279">
        <v>2</v>
      </c>
      <c r="BC279" s="176" t="s">
        <v>3026</v>
      </c>
      <c r="BD279">
        <v>2</v>
      </c>
      <c r="BE279" t="s">
        <v>2768</v>
      </c>
      <c r="BF279">
        <v>2</v>
      </c>
      <c r="BG279" t="s">
        <v>2776</v>
      </c>
      <c r="BH279">
        <v>2</v>
      </c>
      <c r="BI279" t="s">
        <v>2794</v>
      </c>
      <c r="BJ279">
        <v>2</v>
      </c>
      <c r="BK279" t="s">
        <v>3068</v>
      </c>
      <c r="BL279">
        <v>2</v>
      </c>
      <c r="BM279" t="s">
        <v>2776</v>
      </c>
      <c r="BN279">
        <v>2</v>
      </c>
      <c r="BO279" s="176" t="s">
        <v>2808</v>
      </c>
      <c r="BP279">
        <v>2</v>
      </c>
      <c r="BQ279" t="s">
        <v>2768</v>
      </c>
      <c r="BR279">
        <v>2</v>
      </c>
      <c r="BS279" s="182" t="s">
        <v>3023</v>
      </c>
      <c r="BT279">
        <v>2</v>
      </c>
      <c r="BU279" t="s">
        <v>2808</v>
      </c>
      <c r="BV279">
        <v>2</v>
      </c>
      <c r="BW279" s="182" t="s">
        <v>2776</v>
      </c>
      <c r="BX279" s="179">
        <v>2</v>
      </c>
      <c r="BY279" t="s">
        <v>2768</v>
      </c>
      <c r="BZ279">
        <v>2</v>
      </c>
      <c r="CA279" s="176" t="s">
        <v>2794</v>
      </c>
      <c r="CB279">
        <v>2</v>
      </c>
    </row>
    <row r="280" spans="1:80">
      <c r="A280" s="178" t="str">
        <f ca="1">IFERROR(IF(A279+加速!$L$11&lt;$AS$1,IF(COUNTIF(B279,"*轻*")&gt;0,A279+加速!$L$9,A279+加速!$L$11)+V279,IF(COUNTIF(INDEX(AU280:CB280,1,$AT$1),"*云景*")+COUNTIF(INDEX(AU280:CB280,1,$AT$1),"*鹤归*")+COUNTIF(INDEX(AU280:CB280,1,$AT$1),"*听雷*")&gt;0,A279+加速!$L$11,"")),"")</f>
        <v/>
      </c>
      <c r="B280" s="167" t="str">
        <f ca="1">IF(A280&lt;&gt;"",IF(AND(A280+加速!$L$11&gt;$AS$1,IF(AND(配装计算器!$K$30&lt;&gt;"∞",0),"梦泉虎跑-轻",INDEX(AU280:CB280,1,$AT$1))="云栖松"),"夕照雷峰",IF(AND(配装计算器!$K$30&lt;&gt;"∞",0),"梦泉虎跑-轻",INDEX(AU280:CB280,1,$AT$1))),"")</f>
        <v/>
      </c>
      <c r="C280" t="str">
        <f ca="1" t="shared" si="64"/>
        <v/>
      </c>
      <c r="D280" t="str">
        <f ca="1">IF(B280&lt;&gt;"",IF(C279&lt;=加速!$L$11*(1-E280),0,1),"")</f>
        <v/>
      </c>
      <c r="E280">
        <f ca="1" t="shared" si="59"/>
        <v>1</v>
      </c>
      <c r="G280" t="str">
        <f ca="1" t="shared" si="60"/>
        <v/>
      </c>
      <c r="H280" t="str">
        <f ca="1">IF(B280&lt;&gt;"",IF(AND(COUNTIF(B279,"*轻*莺鸣柳*")&gt;0,COUNTIF(B280,"*轻*")&lt;1),MAX(0,15+I279-(A280-A279)+COUNTIF(B279,"*平湖*")*0),IF(AND(E280=0,MAX(0,H279-(A280-A279))&lt;=加速!$H$11),0,MAX(0,H279-(A280-A279)))),"")</f>
        <v/>
      </c>
      <c r="I280" t="str">
        <f ca="1" t="shared" si="67"/>
        <v/>
      </c>
      <c r="J280" t="str">
        <f ca="1" t="shared" si="68"/>
        <v/>
      </c>
      <c r="K280" t="str">
        <f ca="1">IF(A280&lt;&gt;"",IF(AND(配装计算器!$K$30&lt;&gt;"∞",0),2,INDEX(AU280:CB280,1,$AT$2)),"")</f>
        <v/>
      </c>
      <c r="L280">
        <f ca="1">IFERROR(IF(AND(COUNTIF(B280,"*-峰插*"),技能数据库!$M$72&gt;0),0,IF(COUNTIF(B280,"*鹤归*")&gt;0,16-加速!$L$11,MAX(0,L279-(A280-A279)))),0)</f>
        <v>0</v>
      </c>
      <c r="M280">
        <f ca="1">IF(COUNTIF(IF(AND(配装计算器!$K$30&lt;&gt;"∞",0),INDEX(AU279:CB279,1,$AT$1),INDEX(AU281:CB281,1,$AT$1)),"*鹤归*")=1,L280,0)</f>
        <v>0</v>
      </c>
      <c r="N280">
        <f ca="1">IFERROR(IF(AND(COUNTIF(B280,"*-峰插*"),技能数据库!$M$72&gt;0),0,IF(COUNTIF(B280,"*云飞*")&gt;0,4-COUNTIF(B280,"*玉山揽云*")*4--COUNTIF(B280,"*烟流暮景*")*4-COUNTIF(B280,"*云景*")*加速!$L$11-IF(J280&gt;0,2,0),MAX(0,N279-(A280-A279)-IF(J280&gt;0,2,0)))),0)</f>
        <v>0</v>
      </c>
      <c r="O280">
        <f ca="1">IF(AND(COUNTIF(IF(AND(配装计算器!$K$30&lt;&gt;"∞",0),INDEX(AU279:CB279,1,$AT$1),INDEX(AU281:CB281,1,$AT$1)),"*云飞*")=1,COUNTIF(IF(AND(配装计算器!$K$30&lt;&gt;"∞",0),INDEX(AU279:CB279,1,$AT$1),INDEX(AU281:CB281,1,$AT$1)),"*玉山*")=0),N280,0)</f>
        <v>0</v>
      </c>
      <c r="P280">
        <f ca="1">IFERROR(IF(COUNTIF(B280,"*云栖松*")&gt;0,50-加速!$L$11,MAX(0,P279-(A280-A279))),0)</f>
        <v>0</v>
      </c>
      <c r="Q280">
        <f ca="1">IF(COUNTIF(IF(AND(配装计算器!$K$30&lt;&gt;"∞",0),INDEX(AU279:CB279,1,$AT$1),INDEX(AU281:CB281,1,$AT$1)),"*云栖松*")=1,P280,0)</f>
        <v>0</v>
      </c>
      <c r="R280">
        <f ca="1">IFERROR(IF(COUNTIF(B280,"*莺鸣柳*")&gt;0,45-加速!$L$9,MAX(0,R279-(A280-A279))),0)</f>
        <v>0</v>
      </c>
      <c r="S280">
        <f ca="1">IF(COUNTIF(IF(AND(配装计算器!$K$30&lt;&gt;"∞",0),INDEX(AU279:CB279,1,$AT$1),INDEX(AU281:CB281,1,$AT$1)),"*莺鸣柳*")=1,R280,0)</f>
        <v>0</v>
      </c>
      <c r="T280">
        <f ca="1" t="shared" si="65"/>
        <v>0</v>
      </c>
      <c r="U280">
        <f ca="1">IF(金蛇,IF(COUNTIF(B280,"*金环戴*")+COUNTIF(B280,"*吹风醒*")&gt;0,IF(A280&lt;=3,7.125-2.625-A280-加速!$L$11,7.125+加速!$K$9-(A280+加速!$L$11-T280)),0),0)+IF(金蛇,IF(COUNTIF(B280,"*千切子裂光*")&gt;0,2+加速!$K$9-(A280+加速!$L$11-T280),0),0)</f>
        <v>0</v>
      </c>
      <c r="V280">
        <f ca="1" t="shared" si="66"/>
        <v>0</v>
      </c>
      <c r="W280">
        <f ca="1" t="shared" si="57"/>
        <v>0</v>
      </c>
      <c r="X280">
        <f ca="1">INDEX(加速!$I$13:$I$21,技能数计算!W280+1)</f>
        <v>0</v>
      </c>
      <c r="Y280">
        <f ca="1" t="shared" si="61"/>
        <v>0.5</v>
      </c>
      <c r="Z280">
        <f ca="1" t="shared" si="62"/>
        <v>0</v>
      </c>
      <c r="AA280">
        <f ca="1">MAX(0,IFERROR(IF(COUNTIF(B280,"*叠*")&gt;0,IF(AC279&lt;3,8-A281+A280,AA279+6.875-A281+A280),AA279-A281+A280),AA279-加速!$L$11))</f>
        <v>0</v>
      </c>
      <c r="AB280" t="e">
        <f ca="1">MAX(0,IF(COUNTIF(IF(AND(配装计算器!$K$30&lt;&gt;"∞",0),INDEX(AU280:CB280,1,$AT$1),INDEX(AU280:CB280,1,$AT$1)),"*叠1*")=1,4*25-加速!$L$11,AB279-A280+A279)-IF(OR(COUNTIF(OFFSET(AT280,0,$AT$1,1,1),"*听雷*")&gt;0,AND(碧归&gt;0,COUNTIF(OFFSET(AT280,0,$AT$1,1,1),"*风来*")&gt;0)),0,1)*1.5)</f>
        <v>#VALUE!</v>
      </c>
      <c r="AC280">
        <f ca="1" t="shared" si="58"/>
        <v>3</v>
      </c>
      <c r="AD280">
        <f ca="1">IF(COUNTIF(IF(AND(配装计算器!$K$30&lt;&gt;"∞",0),INDEX(AU280:CB280,1,$AT$1),INDEX(AU281:CB281,1,$AT$1)),"*叠1*")=1,AB280*0+AE279,0)</f>
        <v>0</v>
      </c>
      <c r="AE280" t="e">
        <f ca="1">IF($AN$11&gt;0,IF(COUNTIF(B281,"*叠1*")&gt;0,50-加速!$H$11,MAX(0,AE279-(A281-A280))),0)</f>
        <v>#VALUE!</v>
      </c>
      <c r="AU280" t="s">
        <v>2768</v>
      </c>
      <c r="AV280">
        <v>2</v>
      </c>
      <c r="AW280" s="176" t="s">
        <v>2776</v>
      </c>
      <c r="AX280">
        <v>2</v>
      </c>
      <c r="AY280" t="s">
        <v>2776</v>
      </c>
      <c r="AZ280">
        <v>2</v>
      </c>
      <c r="BA280" t="s">
        <v>2776</v>
      </c>
      <c r="BB280">
        <v>1</v>
      </c>
      <c r="BC280" s="176" t="s">
        <v>3026</v>
      </c>
      <c r="BD280">
        <v>2</v>
      </c>
      <c r="BE280" t="s">
        <v>2776</v>
      </c>
      <c r="BF280">
        <v>2</v>
      </c>
      <c r="BG280" t="s">
        <v>2768</v>
      </c>
      <c r="BH280">
        <v>1</v>
      </c>
      <c r="BI280" t="s">
        <v>2776</v>
      </c>
      <c r="BJ280">
        <v>2</v>
      </c>
      <c r="BK280" t="s">
        <v>2768</v>
      </c>
      <c r="BL280">
        <v>2</v>
      </c>
      <c r="BM280" t="s">
        <v>2768</v>
      </c>
      <c r="BN280">
        <v>2</v>
      </c>
      <c r="BO280" t="s">
        <v>2768</v>
      </c>
      <c r="BP280">
        <v>2</v>
      </c>
      <c r="BQ280" t="s">
        <v>2768</v>
      </c>
      <c r="BR280">
        <v>2</v>
      </c>
      <c r="BS280" s="182" t="s">
        <v>2768</v>
      </c>
      <c r="BT280">
        <v>2</v>
      </c>
      <c r="BU280" t="s">
        <v>2768</v>
      </c>
      <c r="BV280">
        <v>2</v>
      </c>
      <c r="BW280" s="182" t="s">
        <v>2768</v>
      </c>
      <c r="BX280" s="179">
        <v>2</v>
      </c>
      <c r="BY280" t="s">
        <v>2776</v>
      </c>
      <c r="BZ280">
        <v>2</v>
      </c>
      <c r="CA280" s="176" t="s">
        <v>2776</v>
      </c>
      <c r="CB280">
        <v>2</v>
      </c>
    </row>
    <row r="281" spans="1:80">
      <c r="A281" s="178" t="str">
        <f ca="1">IFERROR(IF(A280+加速!$L$11&lt;$AS$1,IF(COUNTIF(B280,"*轻*")&gt;0,A280+加速!$L$9,A280+加速!$L$11)+V280,IF(COUNTIF(INDEX(AU281:CB281,1,$AT$1),"*云景*")+COUNTIF(INDEX(AU281:CB281,1,$AT$1),"*鹤归*")+COUNTIF(INDEX(AU281:CB281,1,$AT$1),"*听雷*")&gt;0,A280+加速!$L$11,"")),"")</f>
        <v/>
      </c>
      <c r="B281" s="167" t="str">
        <f ca="1">IF(A281&lt;&gt;"",IF(AND(A281+加速!$L$11&gt;$AS$1,IF(AND(配装计算器!$K$30&lt;&gt;"∞",0),"梦泉虎跑-轻",INDEX(AU281:CB281,1,$AT$1))="云栖松"),"夕照雷峰",IF(AND(配装计算器!$K$30&lt;&gt;"∞",0),"梦泉虎跑-轻",INDEX(AU281:CB281,1,$AT$1))),"")</f>
        <v/>
      </c>
      <c r="C281" t="str">
        <f ca="1" t="shared" si="64"/>
        <v/>
      </c>
      <c r="D281" t="str">
        <f ca="1">IF(B281&lt;&gt;"",IF(C280&lt;=加速!$L$11*(1-E281),0,1),"")</f>
        <v/>
      </c>
      <c r="E281">
        <f ca="1" t="shared" si="59"/>
        <v>1</v>
      </c>
      <c r="G281" t="str">
        <f ca="1" t="shared" si="60"/>
        <v/>
      </c>
      <c r="H281" t="str">
        <f ca="1">IF(B281&lt;&gt;"",IF(AND(COUNTIF(B280,"*轻*莺鸣柳*")&gt;0,COUNTIF(B281,"*轻*")&lt;1),MAX(0,15+I280-(A281-A280)+COUNTIF(B280,"*平湖*")*0),IF(AND(E281=0,MAX(0,H280-(A281-A280))&lt;=加速!$H$11),0,MAX(0,H280-(A281-A280)))),"")</f>
        <v/>
      </c>
      <c r="I281" t="str">
        <f ca="1" t="shared" si="67"/>
        <v/>
      </c>
      <c r="J281" t="str">
        <f ca="1" t="shared" si="68"/>
        <v/>
      </c>
      <c r="K281" t="str">
        <f ca="1">IF(A281&lt;&gt;"",IF(AND(配装计算器!$K$30&lt;&gt;"∞",0),2,INDEX(AU281:CB281,1,$AT$2)),"")</f>
        <v/>
      </c>
      <c r="L281">
        <f ca="1">IFERROR(IF(AND(COUNTIF(B281,"*-峰插*"),技能数据库!$M$72&gt;0),0,IF(COUNTIF(B281,"*鹤归*")&gt;0,16-加速!$L$11,MAX(0,L280-(A281-A280)))),0)</f>
        <v>0</v>
      </c>
      <c r="M281">
        <f ca="1">IF(COUNTIF(IF(AND(配装计算器!$K$30&lt;&gt;"∞",0),INDEX(AU280:CB280,1,$AT$1),INDEX(AU282:CB282,1,$AT$1)),"*鹤归*")=1,L281,0)</f>
        <v>0</v>
      </c>
      <c r="N281">
        <f ca="1">IFERROR(IF(AND(COUNTIF(B281,"*-峰插*"),技能数据库!$M$72&gt;0),0,IF(COUNTIF(B281,"*云飞*")&gt;0,4-COUNTIF(B281,"*玉山揽云*")*4--COUNTIF(B281,"*烟流暮景*")*4-COUNTIF(B281,"*云景*")*加速!$L$11-IF(J281&gt;0,2,0),MAX(0,N280-(A281-A280)-IF(J281&gt;0,2,0)))),0)</f>
        <v>0</v>
      </c>
      <c r="O281">
        <f ca="1">IF(AND(COUNTIF(IF(AND(配装计算器!$K$30&lt;&gt;"∞",0),INDEX(AU280:CB280,1,$AT$1),INDEX(AU282:CB282,1,$AT$1)),"*云飞*")=1,COUNTIF(IF(AND(配装计算器!$K$30&lt;&gt;"∞",0),INDEX(AU280:CB280,1,$AT$1),INDEX(AU282:CB282,1,$AT$1)),"*玉山*")=0),N281,0)</f>
        <v>0</v>
      </c>
      <c r="P281">
        <f ca="1">IFERROR(IF(COUNTIF(B281,"*云栖松*")&gt;0,50-加速!$L$11,MAX(0,P280-(A281-A280))),0)</f>
        <v>0</v>
      </c>
      <c r="Q281">
        <f ca="1">IF(COUNTIF(IF(AND(配装计算器!$K$30&lt;&gt;"∞",0),INDEX(AU280:CB280,1,$AT$1),INDEX(AU282:CB282,1,$AT$1)),"*云栖松*")=1,P281,0)</f>
        <v>0</v>
      </c>
      <c r="R281">
        <f ca="1">IFERROR(IF(COUNTIF(B281,"*莺鸣柳*")&gt;0,45-加速!$L$9,MAX(0,R280-(A281-A280))),0)</f>
        <v>0</v>
      </c>
      <c r="S281">
        <f ca="1">IF(COUNTIF(IF(AND(配装计算器!$K$30&lt;&gt;"∞",0),INDEX(AU280:CB280,1,$AT$1),INDEX(AU282:CB282,1,$AT$1)),"*莺鸣柳*")=1,R281,0)</f>
        <v>0</v>
      </c>
      <c r="T281">
        <f ca="1" t="shared" si="65"/>
        <v>0</v>
      </c>
      <c r="U281">
        <f ca="1">IF(金蛇,IF(COUNTIF(B281,"*金环戴*")+COUNTIF(B281,"*吹风醒*")&gt;0,IF(A281&lt;=3,7.125-2.625-A281-加速!$L$11,7.125+加速!$K$9-(A281+加速!$L$11-T281)),0),0)+IF(金蛇,IF(COUNTIF(B281,"*千切子裂光*")&gt;0,2+加速!$K$9-(A281+加速!$L$11-T281),0),0)</f>
        <v>0</v>
      </c>
      <c r="V281">
        <f ca="1" t="shared" si="66"/>
        <v>0</v>
      </c>
      <c r="W281">
        <f ca="1" t="shared" si="57"/>
        <v>0</v>
      </c>
      <c r="X281">
        <f ca="1">INDEX(加速!$I$13:$I$21,技能数计算!W281+1)</f>
        <v>0</v>
      </c>
      <c r="Y281">
        <f ca="1" t="shared" si="61"/>
        <v>0.5</v>
      </c>
      <c r="Z281">
        <f ca="1" t="shared" si="62"/>
        <v>0</v>
      </c>
      <c r="AA281">
        <f ca="1">MAX(0,IFERROR(IF(COUNTIF(B281,"*叠*")&gt;0,IF(AC280&lt;3,8-A282+A281,AA280+6.875-A282+A281),AA280-A282+A281),AA280-加速!$L$11))</f>
        <v>0</v>
      </c>
      <c r="AB281" t="e">
        <f ca="1">MAX(0,IF(COUNTIF(IF(AND(配装计算器!$K$30&lt;&gt;"∞",0),INDEX(AU281:CB281,1,$AT$1),INDEX(AU281:CB281,1,$AT$1)),"*叠1*")=1,4*25-加速!$L$11,AB280-A281+A280)-IF(OR(COUNTIF(OFFSET(AT281,0,$AT$1,1,1),"*听雷*")&gt;0,AND(碧归&gt;0,COUNTIF(OFFSET(AT281,0,$AT$1,1,1),"*风来*")&gt;0)),0,1)*1.5)</f>
        <v>#VALUE!</v>
      </c>
      <c r="AC281">
        <f ca="1" t="shared" si="58"/>
        <v>3</v>
      </c>
      <c r="AD281">
        <f ca="1">IF(COUNTIF(IF(AND(配装计算器!$K$30&lt;&gt;"∞",0),INDEX(AU281:CB281,1,$AT$1),INDEX(AU282:CB282,1,$AT$1)),"*叠1*")=1,AB281*0+AE280,0)</f>
        <v>0</v>
      </c>
      <c r="AE281" t="e">
        <f ca="1">IF($AN$11&gt;0,IF(COUNTIF(B282,"*叠1*")&gt;0,50-加速!$H$11,MAX(0,AE280-(A282-A281))),0)</f>
        <v>#VALUE!</v>
      </c>
      <c r="AU281" t="str">
        <f>IF($AN$11=1,"云飞玉皇-玉山揽云","夕照雷峰")</f>
        <v>云飞玉皇-玉山揽云</v>
      </c>
      <c r="AV281">
        <v>2</v>
      </c>
      <c r="AW281" s="176" t="s">
        <v>2768</v>
      </c>
      <c r="AX281">
        <v>2</v>
      </c>
      <c r="AY281" t="s">
        <v>2768</v>
      </c>
      <c r="AZ281">
        <v>2</v>
      </c>
      <c r="BA281" t="s">
        <v>2768</v>
      </c>
      <c r="BB281">
        <v>1</v>
      </c>
      <c r="BC281" s="176" t="s">
        <v>3026</v>
      </c>
      <c r="BD281">
        <v>2</v>
      </c>
      <c r="BE281" t="s">
        <v>3042</v>
      </c>
      <c r="BF281">
        <v>2</v>
      </c>
      <c r="BG281" t="s">
        <v>2776</v>
      </c>
      <c r="BH281">
        <v>1</v>
      </c>
      <c r="BI281" t="s">
        <v>2768</v>
      </c>
      <c r="BJ281">
        <v>2</v>
      </c>
      <c r="BK281" t="s">
        <v>2776</v>
      </c>
      <c r="BL281">
        <v>2</v>
      </c>
      <c r="BM281" s="180" t="s">
        <v>2789</v>
      </c>
      <c r="BN281">
        <v>2</v>
      </c>
      <c r="BO281" t="s">
        <v>2776</v>
      </c>
      <c r="BP281">
        <v>2</v>
      </c>
      <c r="BQ281" t="s">
        <v>2776</v>
      </c>
      <c r="BR281">
        <v>1</v>
      </c>
      <c r="BS281" s="182" t="s">
        <v>2776</v>
      </c>
      <c r="BT281">
        <v>2</v>
      </c>
      <c r="BU281" s="176" t="s">
        <v>2768</v>
      </c>
      <c r="BV281">
        <v>2</v>
      </c>
      <c r="BW281" s="182" t="s">
        <v>2808</v>
      </c>
      <c r="BX281" s="179">
        <v>2</v>
      </c>
      <c r="BY281" t="s">
        <v>2768</v>
      </c>
      <c r="BZ281">
        <v>2</v>
      </c>
      <c r="CA281" s="176" t="s">
        <v>2768</v>
      </c>
      <c r="CB281">
        <v>2</v>
      </c>
    </row>
    <row r="282" spans="1:80">
      <c r="A282" s="178" t="str">
        <f ca="1">IFERROR(IF(A281+加速!$L$11&lt;$AS$1,IF(COUNTIF(B281,"*轻*")&gt;0,A281+加速!$L$9,A281+加速!$L$11)+V281,IF(COUNTIF(INDEX(AU282:CB282,1,$AT$1),"*云景*")+COUNTIF(INDEX(AU282:CB282,1,$AT$1),"*鹤归*")+COUNTIF(INDEX(AU282:CB282,1,$AT$1),"*听雷*")&gt;0,A281+加速!$L$11,"")),"")</f>
        <v/>
      </c>
      <c r="B282" s="167" t="str">
        <f ca="1">IF(A282&lt;&gt;"",IF(AND(A282+加速!$L$11&gt;$AS$1,IF(AND(配装计算器!$K$30&lt;&gt;"∞",0),"梦泉虎跑-轻",INDEX(AU282:CB282,1,$AT$1))="云栖松"),"夕照雷峰",IF(AND(配装计算器!$K$30&lt;&gt;"∞",0),"梦泉虎跑-轻",INDEX(AU282:CB282,1,$AT$1))),"")</f>
        <v/>
      </c>
      <c r="C282" t="str">
        <f ca="1" t="shared" si="64"/>
        <v/>
      </c>
      <c r="D282" t="str">
        <f ca="1">IF(B282&lt;&gt;"",IF(C281&lt;=加速!$L$11*(1-E282),0,1),"")</f>
        <v/>
      </c>
      <c r="E282">
        <f ca="1" t="shared" si="59"/>
        <v>1</v>
      </c>
      <c r="G282" t="str">
        <f ca="1" t="shared" si="60"/>
        <v/>
      </c>
      <c r="H282" t="str">
        <f ca="1">IF(B282&lt;&gt;"",IF(AND(COUNTIF(B281,"*轻*莺鸣柳*")&gt;0,COUNTIF(B282,"*轻*")&lt;1),MAX(0,15+I281-(A282-A281)+COUNTIF(B281,"*平湖*")*0),IF(AND(E282=0,MAX(0,H281-(A282-A281))&lt;=加速!$H$11),0,MAX(0,H281-(A282-A281)))),"")</f>
        <v/>
      </c>
      <c r="I282" t="str">
        <f ca="1" t="shared" si="67"/>
        <v/>
      </c>
      <c r="J282" t="str">
        <f ca="1" t="shared" si="68"/>
        <v/>
      </c>
      <c r="K282" t="str">
        <f ca="1">IF(A282&lt;&gt;"",IF(AND(配装计算器!$K$30&lt;&gt;"∞",0),2,INDEX(AU282:CB282,1,$AT$2)),"")</f>
        <v/>
      </c>
      <c r="L282">
        <f ca="1">IFERROR(IF(AND(COUNTIF(B282,"*-峰插*"),技能数据库!$M$72&gt;0),0,IF(COUNTIF(B282,"*鹤归*")&gt;0,16-加速!$L$11,MAX(0,L281-(A282-A281)))),0)</f>
        <v>0</v>
      </c>
      <c r="M282">
        <f ca="1">IF(COUNTIF(IF(AND(配装计算器!$K$30&lt;&gt;"∞",0),INDEX(AU281:CB281,1,$AT$1),INDEX(AU283:CB283,1,$AT$1)),"*鹤归*")=1,L282,0)</f>
        <v>0</v>
      </c>
      <c r="N282">
        <f ca="1">IFERROR(IF(AND(COUNTIF(B282,"*-峰插*"),技能数据库!$M$72&gt;0),0,IF(COUNTIF(B282,"*云飞*")&gt;0,4-COUNTIF(B282,"*玉山揽云*")*4--COUNTIF(B282,"*烟流暮景*")*4-COUNTIF(B282,"*云景*")*加速!$L$11-IF(J282&gt;0,2,0),MAX(0,N281-(A282-A281)-IF(J282&gt;0,2,0)))),0)</f>
        <v>0</v>
      </c>
      <c r="O282">
        <f ca="1">IF(AND(COUNTIF(IF(AND(配装计算器!$K$30&lt;&gt;"∞",0),INDEX(AU281:CB281,1,$AT$1),INDEX(AU283:CB283,1,$AT$1)),"*云飞*")=1,COUNTIF(IF(AND(配装计算器!$K$30&lt;&gt;"∞",0),INDEX(AU281:CB281,1,$AT$1),INDEX(AU283:CB283,1,$AT$1)),"*玉山*")=0),N282,0)</f>
        <v>0</v>
      </c>
      <c r="P282">
        <f ca="1">IFERROR(IF(COUNTIF(B282,"*云栖松*")&gt;0,50-加速!$L$11,MAX(0,P281-(A282-A281))),0)</f>
        <v>0</v>
      </c>
      <c r="Q282">
        <f ca="1">IF(COUNTIF(IF(AND(配装计算器!$K$30&lt;&gt;"∞",0),INDEX(AU281:CB281,1,$AT$1),INDEX(AU283:CB283,1,$AT$1)),"*云栖松*")=1,P282,0)</f>
        <v>0</v>
      </c>
      <c r="R282">
        <f ca="1">IFERROR(IF(COUNTIF(B282,"*莺鸣柳*")&gt;0,45-加速!$L$9,MAX(0,R281-(A282-A281))),0)</f>
        <v>0</v>
      </c>
      <c r="S282">
        <f ca="1">IF(COUNTIF(IF(AND(配装计算器!$K$30&lt;&gt;"∞",0),INDEX(AU281:CB281,1,$AT$1),INDEX(AU283:CB283,1,$AT$1)),"*莺鸣柳*")=1,R282,0)</f>
        <v>0</v>
      </c>
      <c r="T282">
        <f ca="1" t="shared" si="65"/>
        <v>0</v>
      </c>
      <c r="U282">
        <f ca="1">IF(金蛇,IF(COUNTIF(B282,"*金环戴*")+COUNTIF(B282,"*吹风醒*")&gt;0,IF(A282&lt;=3,7.125-2.625-A282-加速!$L$11,7.125+加速!$K$9-(A282+加速!$L$11-T282)),0),0)+IF(金蛇,IF(COUNTIF(B282,"*千切子裂光*")&gt;0,2+加速!$K$9-(A282+加速!$L$11-T282),0),0)</f>
        <v>0</v>
      </c>
      <c r="V282">
        <f ca="1" t="shared" si="66"/>
        <v>0</v>
      </c>
      <c r="W282">
        <f ca="1" t="shared" si="57"/>
        <v>0</v>
      </c>
      <c r="X282">
        <f ca="1">INDEX(加速!$I$13:$I$21,技能数计算!W282+1)</f>
        <v>0</v>
      </c>
      <c r="Y282">
        <f ca="1" t="shared" si="61"/>
        <v>0.5</v>
      </c>
      <c r="Z282">
        <f ca="1" t="shared" si="62"/>
        <v>0</v>
      </c>
      <c r="AA282">
        <f ca="1">MAX(0,IFERROR(IF(COUNTIF(B282,"*叠*")&gt;0,IF(AC281&lt;3,8-A283+A282,AA281+6.875-A283+A282),AA281-A283+A282),AA281-加速!$L$11))</f>
        <v>0</v>
      </c>
      <c r="AB282" t="e">
        <f ca="1">MAX(0,IF(COUNTIF(IF(AND(配装计算器!$K$30&lt;&gt;"∞",0),INDEX(AU282:CB282,1,$AT$1),INDEX(AU282:CB282,1,$AT$1)),"*叠1*")=1,4*25-加速!$L$11,AB281-A282+A281)-IF(OR(COUNTIF(OFFSET(AT282,0,$AT$1,1,1),"*听雷*")&gt;0,AND(碧归&gt;0,COUNTIF(OFFSET(AT282,0,$AT$1,1,1),"*风来*")&gt;0)),0,1)*1.5)</f>
        <v>#VALUE!</v>
      </c>
      <c r="AC282">
        <f ca="1" t="shared" si="58"/>
        <v>3</v>
      </c>
      <c r="AD282">
        <f ca="1">IF(COUNTIF(IF(AND(配装计算器!$K$30&lt;&gt;"∞",0),INDEX(AU282:CB282,1,$AT$1),INDEX(AU283:CB283,1,$AT$1)),"*叠1*")=1,AB282*0+AE281,0)</f>
        <v>0</v>
      </c>
      <c r="AE282" t="e">
        <f ca="1">IF($AN$11&gt;0,IF(COUNTIF(B283,"*叠1*")&gt;0,50-加速!$H$11,MAX(0,AE281-(A283-A282))),0)</f>
        <v>#VALUE!</v>
      </c>
      <c r="AU282" t="str">
        <f>IF($AN$11=1,"云飞玉皇-玉山揽云","云飞玉皇")</f>
        <v>云飞玉皇-玉山揽云</v>
      </c>
      <c r="AV282">
        <v>2</v>
      </c>
      <c r="AW282" s="176" t="s">
        <v>2776</v>
      </c>
      <c r="AX282">
        <v>2</v>
      </c>
      <c r="AY282" t="s">
        <v>2776</v>
      </c>
      <c r="AZ282">
        <v>1</v>
      </c>
      <c r="BA282" t="s">
        <v>2768</v>
      </c>
      <c r="BB282">
        <v>0</v>
      </c>
      <c r="BC282" s="176" t="s">
        <v>3026</v>
      </c>
      <c r="BD282">
        <v>2</v>
      </c>
      <c r="BE282" t="s">
        <v>2808</v>
      </c>
      <c r="BF282">
        <v>2</v>
      </c>
      <c r="BG282" t="s">
        <v>2768</v>
      </c>
      <c r="BH282">
        <v>0</v>
      </c>
      <c r="BI282" t="s">
        <v>2776</v>
      </c>
      <c r="BJ282">
        <v>2</v>
      </c>
      <c r="BK282" t="s">
        <v>2768</v>
      </c>
      <c r="BL282">
        <v>2</v>
      </c>
      <c r="BM282" s="176" t="s">
        <v>2794</v>
      </c>
      <c r="BN282">
        <v>2</v>
      </c>
      <c r="BO282" t="s">
        <v>2768</v>
      </c>
      <c r="BP282">
        <v>2</v>
      </c>
      <c r="BQ282" t="s">
        <v>3055</v>
      </c>
      <c r="BR282">
        <v>2</v>
      </c>
      <c r="BS282" s="182" t="s">
        <v>2768</v>
      </c>
      <c r="BT282">
        <v>2</v>
      </c>
      <c r="BU282" s="176" t="s">
        <v>2776</v>
      </c>
      <c r="BV282">
        <v>2</v>
      </c>
      <c r="BW282" s="179" t="s">
        <v>2768</v>
      </c>
      <c r="BX282" s="179">
        <v>2</v>
      </c>
      <c r="BY282" s="180" t="s">
        <v>2789</v>
      </c>
      <c r="BZ282">
        <v>2</v>
      </c>
      <c r="CA282" s="176" t="s">
        <v>2776</v>
      </c>
      <c r="CB282">
        <v>2</v>
      </c>
    </row>
    <row r="283" spans="1:80">
      <c r="A283" s="178" t="str">
        <f ca="1">IFERROR(IF(A282+加速!$L$11&lt;$AS$1,IF(COUNTIF(B282,"*轻*")&gt;0,A282+加速!$L$9,A282+加速!$L$11)+V282,IF(COUNTIF(INDEX(AU283:CB283,1,$AT$1),"*云景*")+COUNTIF(INDEX(AU283:CB283,1,$AT$1),"*鹤归*")+COUNTIF(INDEX(AU283:CB283,1,$AT$1),"*听雷*")&gt;0,A282+加速!$L$11,"")),"")</f>
        <v/>
      </c>
      <c r="B283" s="167" t="str">
        <f ca="1">IF(A283&lt;&gt;"",IF(AND(A283+加速!$L$11&gt;$AS$1,IF(AND(配装计算器!$K$30&lt;&gt;"∞",0),"梦泉虎跑-轻",INDEX(AU283:CB283,1,$AT$1))="云栖松"),"夕照雷峰",IF(AND(配装计算器!$K$30&lt;&gt;"∞",0),"梦泉虎跑-轻",INDEX(AU283:CB283,1,$AT$1))),"")</f>
        <v/>
      </c>
      <c r="C283" t="str">
        <f ca="1" t="shared" si="64"/>
        <v/>
      </c>
      <c r="D283" t="str">
        <f ca="1">IF(B283&lt;&gt;"",IF(C282&lt;=加速!$L$11*(1-E283),0,1),"")</f>
        <v/>
      </c>
      <c r="E283">
        <f ca="1" t="shared" si="59"/>
        <v>1</v>
      </c>
      <c r="G283" t="str">
        <f ca="1" t="shared" si="60"/>
        <v/>
      </c>
      <c r="H283" t="str">
        <f ca="1">IF(B283&lt;&gt;"",IF(AND(COUNTIF(B282,"*轻*莺鸣柳*")&gt;0,COUNTIF(B283,"*轻*")&lt;1),MAX(0,15+I282-(A283-A282)+COUNTIF(B282,"*平湖*")*0),IF(AND(E283=0,MAX(0,H282-(A283-A282))&lt;=加速!$H$11),0,MAX(0,H282-(A283-A282)))),"")</f>
        <v/>
      </c>
      <c r="I283" t="str">
        <f ca="1" t="shared" si="67"/>
        <v/>
      </c>
      <c r="J283" t="str">
        <f ca="1" t="shared" si="68"/>
        <v/>
      </c>
      <c r="K283" t="str">
        <f ca="1">IF(A283&lt;&gt;"",IF(AND(配装计算器!$K$30&lt;&gt;"∞",0),2,INDEX(AU283:CB283,1,$AT$2)),"")</f>
        <v/>
      </c>
      <c r="L283">
        <f ca="1">IFERROR(IF(AND(COUNTIF(B283,"*-峰插*"),技能数据库!$M$72&gt;0),0,IF(COUNTIF(B283,"*鹤归*")&gt;0,16-加速!$L$11,MAX(0,L282-(A283-A282)))),0)</f>
        <v>0</v>
      </c>
      <c r="M283">
        <f ca="1">IF(COUNTIF(IF(AND(配装计算器!$K$30&lt;&gt;"∞",0),INDEX(AU282:CB282,1,$AT$1),INDEX(AU284:CB284,1,$AT$1)),"*鹤归*")=1,L283,0)</f>
        <v>0</v>
      </c>
      <c r="N283">
        <f ca="1">IFERROR(IF(AND(COUNTIF(B283,"*-峰插*"),技能数据库!$M$72&gt;0),0,IF(COUNTIF(B283,"*云飞*")&gt;0,4-COUNTIF(B283,"*玉山揽云*")*4--COUNTIF(B283,"*烟流暮景*")*4-COUNTIF(B283,"*云景*")*加速!$L$11-IF(J283&gt;0,2,0),MAX(0,N282-(A283-A282)-IF(J283&gt;0,2,0)))),0)</f>
        <v>0</v>
      </c>
      <c r="O283">
        <f ca="1">IF(AND(COUNTIF(IF(AND(配装计算器!$K$30&lt;&gt;"∞",0),INDEX(AU282:CB282,1,$AT$1),INDEX(AU284:CB284,1,$AT$1)),"*云飞*")=1,COUNTIF(IF(AND(配装计算器!$K$30&lt;&gt;"∞",0),INDEX(AU282:CB282,1,$AT$1),INDEX(AU284:CB284,1,$AT$1)),"*玉山*")=0),N283,0)</f>
        <v>0</v>
      </c>
      <c r="P283">
        <f ca="1">IFERROR(IF(COUNTIF(B283,"*云栖松*")&gt;0,50-加速!$L$11,MAX(0,P282-(A283-A282))),0)</f>
        <v>0</v>
      </c>
      <c r="Q283">
        <f ca="1">IF(COUNTIF(IF(AND(配装计算器!$K$30&lt;&gt;"∞",0),INDEX(AU282:CB282,1,$AT$1),INDEX(AU284:CB284,1,$AT$1)),"*云栖松*")=1,P283,0)</f>
        <v>0</v>
      </c>
      <c r="R283">
        <f ca="1">IFERROR(IF(COUNTIF(B283,"*莺鸣柳*")&gt;0,45-加速!$L$9,MAX(0,R282-(A283-A282))),0)</f>
        <v>0</v>
      </c>
      <c r="S283">
        <f ca="1">IF(COUNTIF(IF(AND(配装计算器!$K$30&lt;&gt;"∞",0),INDEX(AU282:CB282,1,$AT$1),INDEX(AU284:CB284,1,$AT$1)),"*莺鸣柳*")=1,R283,0)</f>
        <v>0</v>
      </c>
      <c r="T283">
        <f ca="1" t="shared" si="65"/>
        <v>0</v>
      </c>
      <c r="U283">
        <f ca="1">IF(金蛇,IF(COUNTIF(B283,"*金环戴*")+COUNTIF(B283,"*吹风醒*")&gt;0,IF(A283&lt;=3,7.125-2.625-A283-加速!$L$11,7.125+加速!$K$9-(A283+加速!$L$11-T283)),0),0)+IF(金蛇,IF(COUNTIF(B283,"*千切子裂光*")&gt;0,2+加速!$K$9-(A283+加速!$L$11-T283),0),0)</f>
        <v>0</v>
      </c>
      <c r="V283">
        <f ca="1" t="shared" si="66"/>
        <v>0</v>
      </c>
      <c r="W283">
        <f ca="1" t="shared" si="57"/>
        <v>0</v>
      </c>
      <c r="X283">
        <f ca="1">INDEX(加速!$I$13:$I$21,技能数计算!W283+1)</f>
        <v>0</v>
      </c>
      <c r="Y283">
        <f ca="1" t="shared" si="61"/>
        <v>0.5</v>
      </c>
      <c r="Z283">
        <f ca="1" t="shared" si="62"/>
        <v>0</v>
      </c>
      <c r="AA283">
        <f ca="1">MAX(0,IFERROR(IF(COUNTIF(B283,"*叠*")&gt;0,IF(AC282&lt;3,8-A284+A283,AA282+6.875-A284+A283),AA282-A284+A283),AA282-加速!$L$11))</f>
        <v>0</v>
      </c>
      <c r="AB283" t="e">
        <f ca="1">MAX(0,IF(COUNTIF(IF(AND(配装计算器!$K$30&lt;&gt;"∞",0),INDEX(AU283:CB283,1,$AT$1),INDEX(AU283:CB283,1,$AT$1)),"*叠1*")=1,4*25-加速!$L$11,AB282-A283+A282)-IF(OR(COUNTIF(OFFSET(AT283,0,$AT$1,1,1),"*听雷*")&gt;0,AND(碧归&gt;0,COUNTIF(OFFSET(AT283,0,$AT$1,1,1),"*风来*")&gt;0)),0,1)*1.5)</f>
        <v>#VALUE!</v>
      </c>
      <c r="AC283">
        <f ca="1" t="shared" si="58"/>
        <v>3</v>
      </c>
      <c r="AD283">
        <f ca="1">IF(COUNTIF(IF(AND(配装计算器!$K$30&lt;&gt;"∞",0),INDEX(AU283:CB283,1,$AT$1),INDEX(AU284:CB284,1,$AT$1)),"*叠1*")=1,AB283*0+AE282,0)</f>
        <v>0</v>
      </c>
      <c r="AE283" t="e">
        <f ca="1">IF($AN$11&gt;0,IF(COUNTIF(B284,"*叠1*")&gt;0,50-加速!$H$11,MAX(0,AE282-(A284-A283))),0)</f>
        <v>#VALUE!</v>
      </c>
      <c r="AU283" t="str">
        <f>IF($AN$11=1,"云飞玉皇-玉山揽云","夕照雷峰")</f>
        <v>云飞玉皇-玉山揽云</v>
      </c>
      <c r="AV283">
        <v>2</v>
      </c>
      <c r="AW283" s="176" t="s">
        <v>2768</v>
      </c>
      <c r="AX283">
        <v>2</v>
      </c>
      <c r="AY283" t="s">
        <v>2768</v>
      </c>
      <c r="AZ283">
        <v>1</v>
      </c>
      <c r="BA283" t="s">
        <v>2722</v>
      </c>
      <c r="BB283">
        <v>0</v>
      </c>
      <c r="BC283" t="s">
        <v>3013</v>
      </c>
      <c r="BD283">
        <v>2</v>
      </c>
      <c r="BE283" t="s">
        <v>2768</v>
      </c>
      <c r="BF283">
        <v>2</v>
      </c>
      <c r="BG283" t="s">
        <v>2768</v>
      </c>
      <c r="BH283">
        <v>0</v>
      </c>
      <c r="BI283" t="s">
        <v>2768</v>
      </c>
      <c r="BJ283">
        <v>2</v>
      </c>
      <c r="BK283" t="s">
        <v>2768</v>
      </c>
      <c r="BL283">
        <v>2</v>
      </c>
      <c r="BM283" s="176" t="s">
        <v>2776</v>
      </c>
      <c r="BN283">
        <v>2</v>
      </c>
      <c r="BO283" t="s">
        <v>2768</v>
      </c>
      <c r="BP283">
        <v>2</v>
      </c>
      <c r="BQ283" t="s">
        <v>2768</v>
      </c>
      <c r="BR283">
        <v>2</v>
      </c>
      <c r="BS283" s="182" t="s">
        <v>3085</v>
      </c>
      <c r="BT283">
        <v>2</v>
      </c>
      <c r="BU283" t="s">
        <v>2768</v>
      </c>
      <c r="BV283">
        <v>1</v>
      </c>
      <c r="BW283" s="179" t="s">
        <v>2776</v>
      </c>
      <c r="BX283" s="179">
        <v>2</v>
      </c>
      <c r="BY283" s="176" t="s">
        <v>2794</v>
      </c>
      <c r="BZ283">
        <v>2</v>
      </c>
      <c r="CA283" s="176" t="s">
        <v>2768</v>
      </c>
      <c r="CB283">
        <v>2</v>
      </c>
    </row>
    <row r="284" spans="1:80">
      <c r="A284" s="178" t="str">
        <f ca="1">IFERROR(IF(A283+加速!$L$11&lt;$AS$1,IF(COUNTIF(B283,"*轻*")&gt;0,A283+加速!$L$9,A283+加速!$L$11)+V283,IF(COUNTIF(INDEX(AU284:CB284,1,$AT$1),"*云景*")+COUNTIF(INDEX(AU284:CB284,1,$AT$1),"*鹤归*")+COUNTIF(INDEX(AU284:CB284,1,$AT$1),"*听雷*")&gt;0,A283+加速!$L$11,"")),"")</f>
        <v/>
      </c>
      <c r="B284" s="167" t="str">
        <f ca="1">IF(A284&lt;&gt;"",IF(AND(A284+加速!$L$11&gt;$AS$1,IF(AND(配装计算器!$K$30&lt;&gt;"∞",0),"梦泉虎跑-轻",INDEX(AU284:CB284,1,$AT$1))="云栖松"),"夕照雷峰",IF(AND(配装计算器!$K$30&lt;&gt;"∞",0),"梦泉虎跑-轻",INDEX(AU284:CB284,1,$AT$1))),"")</f>
        <v/>
      </c>
      <c r="C284" t="str">
        <f ca="1" t="shared" si="64"/>
        <v/>
      </c>
      <c r="D284" t="str">
        <f ca="1">IF(B284&lt;&gt;"",IF(C283&lt;=加速!$L$11*(1-E284),0,1),"")</f>
        <v/>
      </c>
      <c r="E284">
        <f ca="1" t="shared" si="59"/>
        <v>1</v>
      </c>
      <c r="G284" t="str">
        <f ca="1" t="shared" si="60"/>
        <v/>
      </c>
      <c r="H284" t="str">
        <f ca="1">IF(B284&lt;&gt;"",IF(AND(COUNTIF(B283,"*轻*莺鸣柳*")&gt;0,COUNTIF(B284,"*轻*")&lt;1),MAX(0,15+I283-(A284-A283)+COUNTIF(B283,"*平湖*")*0),IF(AND(E284=0,MAX(0,H283-(A284-A283))&lt;=加速!$H$11),0,MAX(0,H283-(A284-A283)))),"")</f>
        <v/>
      </c>
      <c r="I284" t="str">
        <f ca="1" t="shared" si="67"/>
        <v/>
      </c>
      <c r="J284" t="str">
        <f ca="1" t="shared" si="68"/>
        <v/>
      </c>
      <c r="K284" t="str">
        <f ca="1">IF(A284&lt;&gt;"",IF(AND(配装计算器!$K$30&lt;&gt;"∞",0),2,INDEX(AU284:CB284,1,$AT$2)),"")</f>
        <v/>
      </c>
      <c r="L284">
        <f ca="1">IFERROR(IF(AND(COUNTIF(B284,"*-峰插*"),技能数据库!$M$72&gt;0),0,IF(COUNTIF(B284,"*鹤归*")&gt;0,16-加速!$L$11,MAX(0,L283-(A284-A283)))),0)</f>
        <v>0</v>
      </c>
      <c r="M284">
        <f ca="1">IF(COUNTIF(IF(AND(配装计算器!$K$30&lt;&gt;"∞",0),INDEX(AU283:CB283,1,$AT$1),INDEX(AU285:CB285,1,$AT$1)),"*鹤归*")=1,L284,0)</f>
        <v>0</v>
      </c>
      <c r="N284">
        <f ca="1">IFERROR(IF(AND(COUNTIF(B284,"*-峰插*"),技能数据库!$M$72&gt;0),0,IF(COUNTIF(B284,"*云飞*")&gt;0,4-COUNTIF(B284,"*玉山揽云*")*4--COUNTIF(B284,"*烟流暮景*")*4-COUNTIF(B284,"*云景*")*加速!$L$11-IF(J284&gt;0,2,0),MAX(0,N283-(A284-A283)-IF(J284&gt;0,2,0)))),0)</f>
        <v>0</v>
      </c>
      <c r="O284">
        <f ca="1">IF(AND(COUNTIF(IF(AND(配装计算器!$K$30&lt;&gt;"∞",0),INDEX(AU283:CB283,1,$AT$1),INDEX(AU285:CB285,1,$AT$1)),"*云飞*")=1,COUNTIF(IF(AND(配装计算器!$K$30&lt;&gt;"∞",0),INDEX(AU283:CB283,1,$AT$1),INDEX(AU285:CB285,1,$AT$1)),"*玉山*")=0),N284,0)</f>
        <v>0</v>
      </c>
      <c r="P284">
        <f ca="1">IFERROR(IF(COUNTIF(B284,"*云栖松*")&gt;0,50-加速!$L$11,MAX(0,P283-(A284-A283))),0)</f>
        <v>0</v>
      </c>
      <c r="Q284">
        <f ca="1">IF(COUNTIF(IF(AND(配装计算器!$K$30&lt;&gt;"∞",0),INDEX(AU283:CB283,1,$AT$1),INDEX(AU285:CB285,1,$AT$1)),"*云栖松*")=1,P284,0)</f>
        <v>0</v>
      </c>
      <c r="R284">
        <f ca="1">IFERROR(IF(COUNTIF(B284,"*莺鸣柳*")&gt;0,45-加速!$L$9,MAX(0,R283-(A284-A283))),0)</f>
        <v>0</v>
      </c>
      <c r="S284">
        <f ca="1">IF(COUNTIF(IF(AND(配装计算器!$K$30&lt;&gt;"∞",0),INDEX(AU283:CB283,1,$AT$1),INDEX(AU285:CB285,1,$AT$1)),"*莺鸣柳*")=1,R284,0)</f>
        <v>0</v>
      </c>
      <c r="T284">
        <f ca="1" t="shared" si="65"/>
        <v>0</v>
      </c>
      <c r="U284">
        <f ca="1">IF(金蛇,IF(COUNTIF(B284,"*金环戴*")+COUNTIF(B284,"*吹风醒*")&gt;0,IF(A284&lt;=3,7.125-2.625-A284-加速!$L$11,7.125+加速!$K$9-(A284+加速!$L$11-T284)),0),0)+IF(金蛇,IF(COUNTIF(B284,"*千切子裂光*")&gt;0,2+加速!$K$9-(A284+加速!$L$11-T284),0),0)</f>
        <v>0</v>
      </c>
      <c r="V284">
        <f ca="1" t="shared" si="66"/>
        <v>0</v>
      </c>
      <c r="W284">
        <f ca="1" t="shared" si="57"/>
        <v>0</v>
      </c>
      <c r="X284">
        <f ca="1">INDEX(加速!$I$13:$I$21,技能数计算!W284+1)</f>
        <v>0</v>
      </c>
      <c r="Y284">
        <f ca="1" t="shared" si="61"/>
        <v>0.5</v>
      </c>
      <c r="Z284">
        <f ca="1" t="shared" si="62"/>
        <v>0</v>
      </c>
      <c r="AA284">
        <f ca="1">MAX(0,IFERROR(IF(COUNTIF(B284,"*叠*")&gt;0,IF(AC283&lt;3,8-A285+A284,AA283+6.875-A285+A284),AA283-A285+A284),AA283-加速!$L$11))</f>
        <v>0</v>
      </c>
      <c r="AB284" t="e">
        <f ca="1">MAX(0,IF(COUNTIF(IF(AND(配装计算器!$K$30&lt;&gt;"∞",0),INDEX(AU284:CB284,1,$AT$1),INDEX(AU284:CB284,1,$AT$1)),"*叠1*")=1,4*25-加速!$L$11,AB283-A284+A283)-IF(OR(COUNTIF(OFFSET(AT284,0,$AT$1,1,1),"*听雷*")&gt;0,AND(碧归&gt;0,COUNTIF(OFFSET(AT284,0,$AT$1,1,1),"*风来*")&gt;0)),0,1)*1.5)</f>
        <v>#VALUE!</v>
      </c>
      <c r="AC284">
        <f ca="1" t="shared" si="58"/>
        <v>3</v>
      </c>
      <c r="AD284">
        <f ca="1">IF(COUNTIF(IF(AND(配装计算器!$K$30&lt;&gt;"∞",0),INDEX(AU284:CB284,1,$AT$1),INDEX(AU285:CB285,1,$AT$1)),"*叠1*")=1,AB284*0+AE283,0)</f>
        <v>0</v>
      </c>
      <c r="AE284" t="e">
        <f ca="1">IF($AN$11&gt;0,IF(COUNTIF(B285,"*叠1*")&gt;0,50-加速!$H$11,MAX(0,AE283-(A285-A284))),0)</f>
        <v>#VALUE!</v>
      </c>
      <c r="AU284" t="str">
        <f>IF($AN$11=1,橙武补雾锁,"夕照雷峰")</f>
        <v>云飞玉皇-玉山揽云</v>
      </c>
      <c r="AV284">
        <v>2</v>
      </c>
      <c r="AW284" s="176" t="s">
        <v>2808</v>
      </c>
      <c r="AX284">
        <v>2</v>
      </c>
      <c r="AY284" t="s">
        <v>2768</v>
      </c>
      <c r="AZ284">
        <v>0</v>
      </c>
      <c r="BA284" t="s">
        <v>2776</v>
      </c>
      <c r="BB284">
        <v>2</v>
      </c>
      <c r="BC284" t="s">
        <v>2808</v>
      </c>
      <c r="BD284">
        <v>2</v>
      </c>
      <c r="BE284" t="s">
        <v>2768</v>
      </c>
      <c r="BF284">
        <v>2</v>
      </c>
      <c r="BG284" t="s">
        <v>2776</v>
      </c>
      <c r="BH284">
        <v>0</v>
      </c>
      <c r="BI284" t="s">
        <v>2808</v>
      </c>
      <c r="BJ284">
        <v>2</v>
      </c>
      <c r="BK284" s="176" t="s">
        <v>3056</v>
      </c>
      <c r="BL284">
        <v>2</v>
      </c>
      <c r="BM284" s="176" t="s">
        <v>2768</v>
      </c>
      <c r="BN284">
        <v>2</v>
      </c>
      <c r="BO284" t="s">
        <v>2768</v>
      </c>
      <c r="BP284">
        <v>2</v>
      </c>
      <c r="BQ284" t="s">
        <v>2776</v>
      </c>
      <c r="BR284">
        <v>2</v>
      </c>
      <c r="BS284" s="182" t="s">
        <v>3084</v>
      </c>
      <c r="BT284">
        <v>2</v>
      </c>
      <c r="BU284" s="176" t="s">
        <v>2768</v>
      </c>
      <c r="BV284">
        <v>1</v>
      </c>
      <c r="BW284" s="179" t="s">
        <v>2768</v>
      </c>
      <c r="BX284" s="179">
        <v>2</v>
      </c>
      <c r="BY284" s="176" t="s">
        <v>2776</v>
      </c>
      <c r="BZ284">
        <v>2</v>
      </c>
      <c r="CA284" s="176" t="s">
        <v>2808</v>
      </c>
      <c r="CB284">
        <v>2</v>
      </c>
    </row>
    <row r="285" spans="1:80">
      <c r="A285" s="178" t="str">
        <f ca="1">IFERROR(IF(A284+加速!$L$11&lt;$AS$1,IF(COUNTIF(B284,"*轻*")&gt;0,A284+加速!$L$9,A284+加速!$L$11)+V284,IF(COUNTIF(INDEX(AU285:CB285,1,$AT$1),"*云景*")+COUNTIF(INDEX(AU285:CB285,1,$AT$1),"*鹤归*")+COUNTIF(INDEX(AU285:CB285,1,$AT$1),"*听雷*")&gt;0,A284+加速!$L$11,"")),"")</f>
        <v/>
      </c>
      <c r="B285" s="167" t="str">
        <f ca="1">IF(A285&lt;&gt;"",IF(AND(A285+加速!$L$11&gt;$AS$1,IF(AND(配装计算器!$K$30&lt;&gt;"∞",0),"梦泉虎跑-轻",INDEX(AU285:CB285,1,$AT$1))="云栖松"),"夕照雷峰",IF(AND(配装计算器!$K$30&lt;&gt;"∞",0),"梦泉虎跑-轻",INDEX(AU285:CB285,1,$AT$1))),"")</f>
        <v/>
      </c>
      <c r="C285" t="str">
        <f ca="1" t="shared" si="64"/>
        <v/>
      </c>
      <c r="D285" t="str">
        <f ca="1">IF(B285&lt;&gt;"",IF(C284&lt;=加速!$L$11*(1-E285),0,1),"")</f>
        <v/>
      </c>
      <c r="E285">
        <f ca="1" t="shared" si="59"/>
        <v>1</v>
      </c>
      <c r="G285" t="str">
        <f ca="1" t="shared" si="60"/>
        <v/>
      </c>
      <c r="H285" t="str">
        <f ca="1">IF(B285&lt;&gt;"",IF(AND(COUNTIF(B284,"*轻*莺鸣柳*")&gt;0,COUNTIF(B285,"*轻*")&lt;1),MAX(0,15+I284-(A285-A284)+COUNTIF(B284,"*平湖*")*0),IF(AND(E285=0,MAX(0,H284-(A285-A284))&lt;=加速!$H$11),0,MAX(0,H284-(A285-A284)))),"")</f>
        <v/>
      </c>
      <c r="I285" t="str">
        <f ca="1" t="shared" si="67"/>
        <v/>
      </c>
      <c r="J285" t="str">
        <f ca="1" t="shared" si="68"/>
        <v/>
      </c>
      <c r="K285" t="str">
        <f ca="1">IF(A285&lt;&gt;"",IF(AND(配装计算器!$K$30&lt;&gt;"∞",0),2,INDEX(AU285:CB285,1,$AT$2)),"")</f>
        <v/>
      </c>
      <c r="L285">
        <f ca="1">IFERROR(IF(AND(COUNTIF(B285,"*-峰插*"),技能数据库!$M$72&gt;0),0,IF(COUNTIF(B285,"*鹤归*")&gt;0,16-加速!$L$11,MAX(0,L284-(A285-A284)))),0)</f>
        <v>0</v>
      </c>
      <c r="M285">
        <f ca="1">IF(COUNTIF(IF(AND(配装计算器!$K$30&lt;&gt;"∞",0),INDEX(AU284:CB284,1,$AT$1),INDEX(AU286:CB286,1,$AT$1)),"*鹤归*")=1,L285,0)</f>
        <v>0</v>
      </c>
      <c r="N285">
        <f ca="1">IFERROR(IF(AND(COUNTIF(B285,"*-峰插*"),技能数据库!$M$72&gt;0),0,IF(COUNTIF(B285,"*云飞*")&gt;0,4-COUNTIF(B285,"*玉山揽云*")*4--COUNTIF(B285,"*烟流暮景*")*4-COUNTIF(B285,"*云景*")*加速!$L$11-IF(J285&gt;0,2,0),MAX(0,N284-(A285-A284)-IF(J285&gt;0,2,0)))),0)</f>
        <v>0</v>
      </c>
      <c r="O285">
        <f ca="1">IF(AND(COUNTIF(IF(AND(配装计算器!$K$30&lt;&gt;"∞",0),INDEX(AU284:CB284,1,$AT$1),INDEX(AU286:CB286,1,$AT$1)),"*云飞*")=1,COUNTIF(IF(AND(配装计算器!$K$30&lt;&gt;"∞",0),INDEX(AU284:CB284,1,$AT$1),INDEX(AU286:CB286,1,$AT$1)),"*玉山*")=0),N285,0)</f>
        <v>0</v>
      </c>
      <c r="P285">
        <f ca="1">IFERROR(IF(COUNTIF(B285,"*云栖松*")&gt;0,50-加速!$L$11,MAX(0,P284-(A285-A284))),0)</f>
        <v>0</v>
      </c>
      <c r="Q285">
        <f ca="1">IF(COUNTIF(IF(AND(配装计算器!$K$30&lt;&gt;"∞",0),INDEX(AU284:CB284,1,$AT$1),INDEX(AU286:CB286,1,$AT$1)),"*云栖松*")=1,P285,0)</f>
        <v>0</v>
      </c>
      <c r="R285">
        <f ca="1">IFERROR(IF(COUNTIF(B285,"*莺鸣柳*")&gt;0,45-加速!$L$9,MAX(0,R284-(A285-A284))),0)</f>
        <v>0</v>
      </c>
      <c r="S285">
        <f ca="1">IF(COUNTIF(IF(AND(配装计算器!$K$30&lt;&gt;"∞",0),INDEX(AU284:CB284,1,$AT$1),INDEX(AU286:CB286,1,$AT$1)),"*莺鸣柳*")=1,R285,0)</f>
        <v>0</v>
      </c>
      <c r="T285">
        <f ca="1" t="shared" si="65"/>
        <v>0</v>
      </c>
      <c r="U285">
        <f ca="1">IF(金蛇,IF(COUNTIF(B285,"*金环戴*")+COUNTIF(B285,"*吹风醒*")&gt;0,IF(A285&lt;=3,7.125-2.625-A285-加速!$L$11,7.125+加速!$K$9-(A285+加速!$L$11-T285)),0),0)+IF(金蛇,IF(COUNTIF(B285,"*千切子裂光*")&gt;0,2+加速!$K$9-(A285+加速!$L$11-T285),0),0)</f>
        <v>0</v>
      </c>
      <c r="V285">
        <f ca="1" t="shared" si="66"/>
        <v>0</v>
      </c>
      <c r="W285">
        <f ca="1" t="shared" si="57"/>
        <v>0</v>
      </c>
      <c r="X285">
        <f ca="1">INDEX(加速!$I$13:$I$21,技能数计算!W285+1)</f>
        <v>0</v>
      </c>
      <c r="Y285">
        <f ca="1" t="shared" si="61"/>
        <v>0.5</v>
      </c>
      <c r="Z285">
        <f ca="1" t="shared" si="62"/>
        <v>0</v>
      </c>
      <c r="AA285">
        <f ca="1">MAX(0,IFERROR(IF(COUNTIF(B285,"*叠*")&gt;0,IF(AC284&lt;3,8-A286+A285,AA284+6.875-A286+A285),AA284-A286+A285),AA284-加速!$L$11))</f>
        <v>0</v>
      </c>
      <c r="AB285" t="e">
        <f ca="1">MAX(0,IF(COUNTIF(IF(AND(配装计算器!$K$30&lt;&gt;"∞",0),INDEX(AU285:CB285,1,$AT$1),INDEX(AU285:CB285,1,$AT$1)),"*叠1*")=1,4*25-加速!$L$11,AB284-A285+A284)-IF(OR(COUNTIF(OFFSET(AT285,0,$AT$1,1,1),"*听雷*")&gt;0,AND(碧归&gt;0,COUNTIF(OFFSET(AT285,0,$AT$1,1,1),"*风来*")&gt;0)),0,1)*1.5)</f>
        <v>#VALUE!</v>
      </c>
      <c r="AC285">
        <f ca="1" t="shared" si="58"/>
        <v>3</v>
      </c>
      <c r="AD285">
        <f ca="1">IF(COUNTIF(IF(AND(配装计算器!$K$30&lt;&gt;"∞",0),INDEX(AU285:CB285,1,$AT$1),INDEX(AU286:CB286,1,$AT$1)),"*叠1*")=1,AB285*0+AE284,0)</f>
        <v>0</v>
      </c>
      <c r="AE285" t="e">
        <f ca="1">IF($AN$11&gt;0,IF(COUNTIF(B286,"*叠1*")&gt;0,50-加速!$H$11,MAX(0,AE284-(A286-A285))),0)</f>
        <v>#VALUE!</v>
      </c>
      <c r="AU285" t="str">
        <f>IF($AN$11=1,"云飞玉皇-玉山揽云","夕照雷峰")</f>
        <v>云飞玉皇-玉山揽云</v>
      </c>
      <c r="AV285">
        <v>2</v>
      </c>
      <c r="AW285" t="str">
        <f>IF($AN$11=1,"云飞玉皇-玉山揽云","夕照雷峰")</f>
        <v>云飞玉皇-玉山揽云</v>
      </c>
      <c r="AX285">
        <v>2</v>
      </c>
      <c r="AY285" t="s">
        <v>2722</v>
      </c>
      <c r="AZ285">
        <v>0</v>
      </c>
      <c r="BA285" t="s">
        <v>2768</v>
      </c>
      <c r="BB285">
        <v>2</v>
      </c>
      <c r="BC285" t="s">
        <v>2768</v>
      </c>
      <c r="BD285">
        <v>2</v>
      </c>
      <c r="BE285" t="s">
        <v>2768</v>
      </c>
      <c r="BF285">
        <v>2</v>
      </c>
      <c r="BG285" t="s">
        <v>3067</v>
      </c>
      <c r="BH285">
        <v>0</v>
      </c>
      <c r="BI285" t="s">
        <v>2768</v>
      </c>
      <c r="BJ285">
        <v>2</v>
      </c>
      <c r="BK285" s="176" t="s">
        <v>2768</v>
      </c>
      <c r="BL285">
        <v>2</v>
      </c>
      <c r="BM285" s="176" t="s">
        <v>2776</v>
      </c>
      <c r="BN285">
        <v>2</v>
      </c>
      <c r="BO285" t="s">
        <v>2776</v>
      </c>
      <c r="BP285">
        <v>2</v>
      </c>
      <c r="BQ285" t="s">
        <v>2768</v>
      </c>
      <c r="BR285">
        <v>2</v>
      </c>
      <c r="BS285" s="176" t="s">
        <v>2768</v>
      </c>
      <c r="BT285">
        <v>2</v>
      </c>
      <c r="BU285" t="s">
        <v>3055</v>
      </c>
      <c r="BV285">
        <v>0</v>
      </c>
      <c r="BW285" s="179" t="s">
        <v>2768</v>
      </c>
      <c r="BX285" s="179">
        <v>2</v>
      </c>
      <c r="BY285" s="176" t="s">
        <v>2768</v>
      </c>
      <c r="BZ285">
        <v>2</v>
      </c>
      <c r="CA285" s="180" t="s">
        <v>2789</v>
      </c>
      <c r="CB285">
        <v>2</v>
      </c>
    </row>
    <row r="286" spans="1:80">
      <c r="A286" s="178" t="str">
        <f ca="1">IFERROR(IF(A285+加速!$L$11&lt;$AS$1,IF(COUNTIF(B285,"*轻*")&gt;0,A285+加速!$L$9,A285+加速!$L$11)+V285,IF(COUNTIF(INDEX(AU286:CB286,1,$AT$1),"*云景*")+COUNTIF(INDEX(AU286:CB286,1,$AT$1),"*鹤归*")+COUNTIF(INDEX(AU286:CB286,1,$AT$1),"*听雷*")&gt;0,A285+加速!$L$11,"")),"")</f>
        <v/>
      </c>
      <c r="B286" s="167" t="str">
        <f ca="1">IF(A286&lt;&gt;"",IF(AND(A286+加速!$L$11&gt;$AS$1,IF(AND(配装计算器!$K$30&lt;&gt;"∞",0),"梦泉虎跑-轻",INDEX(AU286:CB286,1,$AT$1))="云栖松"),"夕照雷峰",IF(AND(配装计算器!$K$30&lt;&gt;"∞",0),"梦泉虎跑-轻",INDEX(AU286:CB286,1,$AT$1))),"")</f>
        <v/>
      </c>
      <c r="C286" t="str">
        <f ca="1" t="shared" si="64"/>
        <v/>
      </c>
      <c r="D286" t="str">
        <f ca="1">IF(B286&lt;&gt;"",IF(C285&lt;=加速!$L$11*(1-E286),0,1),"")</f>
        <v/>
      </c>
      <c r="E286">
        <f ca="1" t="shared" si="59"/>
        <v>1</v>
      </c>
      <c r="G286" t="str">
        <f ca="1" t="shared" si="60"/>
        <v/>
      </c>
      <c r="H286" t="str">
        <f ca="1">IF(B286&lt;&gt;"",IF(AND(COUNTIF(B285,"*轻*莺鸣柳*")&gt;0,COUNTIF(B286,"*轻*")&lt;1),MAX(0,15+I285-(A286-A285)+COUNTIF(B285,"*平湖*")*0),IF(AND(E286=0,MAX(0,H285-(A286-A285))&lt;=加速!$H$11),0,MAX(0,H285-(A286-A285)))),"")</f>
        <v/>
      </c>
      <c r="I286" t="str">
        <f ca="1" t="shared" si="67"/>
        <v/>
      </c>
      <c r="J286" t="str">
        <f ca="1" t="shared" si="68"/>
        <v/>
      </c>
      <c r="K286" t="str">
        <f ca="1">IF(A286&lt;&gt;"",IF(AND(配装计算器!$K$30&lt;&gt;"∞",0),2,INDEX(AU286:CB286,1,$AT$2)),"")</f>
        <v/>
      </c>
      <c r="L286">
        <f ca="1">IFERROR(IF(AND(COUNTIF(B286,"*-峰插*"),技能数据库!$M$72&gt;0),0,IF(COUNTIF(B286,"*鹤归*")&gt;0,16-加速!$L$11,MAX(0,L285-(A286-A285)))),0)</f>
        <v>0</v>
      </c>
      <c r="M286">
        <f ca="1">IF(COUNTIF(IF(AND(配装计算器!$K$30&lt;&gt;"∞",0),INDEX(AU285:CB285,1,$AT$1),INDEX(AU287:CB287,1,$AT$1)),"*鹤归*")=1,L286,0)</f>
        <v>0</v>
      </c>
      <c r="N286">
        <f ca="1">IFERROR(IF(AND(COUNTIF(B286,"*-峰插*"),技能数据库!$M$72&gt;0),0,IF(COUNTIF(B286,"*云飞*")&gt;0,4-COUNTIF(B286,"*玉山揽云*")*4--COUNTIF(B286,"*烟流暮景*")*4-COUNTIF(B286,"*云景*")*加速!$L$11-IF(J286&gt;0,2,0),MAX(0,N285-(A286-A285)-IF(J286&gt;0,2,0)))),0)</f>
        <v>0</v>
      </c>
      <c r="O286">
        <f ca="1">IF(AND(COUNTIF(IF(AND(配装计算器!$K$30&lt;&gt;"∞",0),INDEX(AU285:CB285,1,$AT$1),INDEX(AU287:CB287,1,$AT$1)),"*云飞*")=1,COUNTIF(IF(AND(配装计算器!$K$30&lt;&gt;"∞",0),INDEX(AU285:CB285,1,$AT$1),INDEX(AU287:CB287,1,$AT$1)),"*玉山*")=0),N286,0)</f>
        <v>0</v>
      </c>
      <c r="P286">
        <f ca="1">IFERROR(IF(COUNTIF(B286,"*云栖松*")&gt;0,50-加速!$L$11,MAX(0,P285-(A286-A285))),0)</f>
        <v>0</v>
      </c>
      <c r="Q286">
        <f ca="1">IF(COUNTIF(IF(AND(配装计算器!$K$30&lt;&gt;"∞",0),INDEX(AU285:CB285,1,$AT$1),INDEX(AU287:CB287,1,$AT$1)),"*云栖松*")=1,P286,0)</f>
        <v>0</v>
      </c>
      <c r="R286">
        <f ca="1">IFERROR(IF(COUNTIF(B286,"*莺鸣柳*")&gt;0,45-加速!$L$9,MAX(0,R285-(A286-A285))),0)</f>
        <v>0</v>
      </c>
      <c r="S286">
        <f ca="1">IF(COUNTIF(IF(AND(配装计算器!$K$30&lt;&gt;"∞",0),INDEX(AU285:CB285,1,$AT$1),INDEX(AU287:CB287,1,$AT$1)),"*莺鸣柳*")=1,R286,0)</f>
        <v>0</v>
      </c>
      <c r="T286">
        <f ca="1" t="shared" si="65"/>
        <v>0</v>
      </c>
      <c r="U286">
        <f ca="1">IF(金蛇,IF(COUNTIF(B286,"*金环戴*")+COUNTIF(B286,"*吹风醒*")&gt;0,IF(A286&lt;=3,7.125-2.625-A286-加速!$L$11,7.125+加速!$K$9-(A286+加速!$L$11-T286)),0),0)+IF(金蛇,IF(COUNTIF(B286,"*千切子裂光*")&gt;0,2+加速!$K$9-(A286+加速!$L$11-T286),0),0)</f>
        <v>0</v>
      </c>
      <c r="V286">
        <f ca="1" t="shared" si="66"/>
        <v>0</v>
      </c>
      <c r="W286">
        <f ca="1" t="shared" si="57"/>
        <v>0</v>
      </c>
      <c r="X286">
        <f ca="1">INDEX(加速!$I$13:$I$21,技能数计算!W286+1)</f>
        <v>0</v>
      </c>
      <c r="Y286">
        <f ca="1" t="shared" si="61"/>
        <v>0.5</v>
      </c>
      <c r="Z286">
        <f ca="1" t="shared" si="62"/>
        <v>0</v>
      </c>
      <c r="AA286">
        <f ca="1">MAX(0,IFERROR(IF(COUNTIF(B286,"*叠*")&gt;0,IF(AC285&lt;3,8-A287+A286,AA285+6.875-A287+A286),AA285-A287+A286),AA285-加速!$L$11))</f>
        <v>0</v>
      </c>
      <c r="AB286" t="e">
        <f ca="1">MAX(0,IF(COUNTIF(IF(AND(配装计算器!$K$30&lt;&gt;"∞",0),INDEX(AU286:CB286,1,$AT$1),INDEX(AU286:CB286,1,$AT$1)),"*叠1*")=1,4*25-加速!$L$11,AB285-A286+A285)-IF(OR(COUNTIF(OFFSET(AT286,0,$AT$1,1,1),"*听雷*")&gt;0,AND(碧归&gt;0,COUNTIF(OFFSET(AT286,0,$AT$1,1,1),"*风来*")&gt;0)),0,1)*1.5)</f>
        <v>#VALUE!</v>
      </c>
      <c r="AC286">
        <f ca="1" t="shared" si="58"/>
        <v>3</v>
      </c>
      <c r="AD286">
        <f ca="1">IF(COUNTIF(IF(AND(配装计算器!$K$30&lt;&gt;"∞",0),INDEX(AU286:CB286,1,$AT$1),INDEX(AU287:CB287,1,$AT$1)),"*叠1*")=1,AB286*0+AE285,0)</f>
        <v>0</v>
      </c>
      <c r="AE286" t="e">
        <f ca="1">IF($AN$11&gt;0,IF(COUNTIF(B287,"*叠1*")&gt;0,50-加速!$H$11,MAX(0,AE285-(A287-A286))),0)</f>
        <v>#VALUE!</v>
      </c>
      <c r="AU286" t="s">
        <v>2776</v>
      </c>
      <c r="AV286">
        <v>2</v>
      </c>
      <c r="AW286" t="str">
        <f>IF($AN$11=1,"云飞玉皇-玉山揽云","云飞玉皇")</f>
        <v>云飞玉皇-玉山揽云</v>
      </c>
      <c r="AX286">
        <v>2</v>
      </c>
      <c r="AY286" t="s">
        <v>2776</v>
      </c>
      <c r="AZ286">
        <v>2</v>
      </c>
      <c r="BA286" t="s">
        <v>2768</v>
      </c>
      <c r="BB286">
        <v>2</v>
      </c>
      <c r="BC286" t="s">
        <v>2768</v>
      </c>
      <c r="BD286">
        <v>2</v>
      </c>
      <c r="BE286" t="s">
        <v>2776</v>
      </c>
      <c r="BF286">
        <v>2</v>
      </c>
      <c r="BG286" t="s">
        <v>2768</v>
      </c>
      <c r="BH286">
        <v>2</v>
      </c>
      <c r="BI286" s="176" t="s">
        <v>2776</v>
      </c>
      <c r="BJ286">
        <v>2</v>
      </c>
      <c r="BK286" s="176" t="s">
        <v>2768</v>
      </c>
      <c r="BL286">
        <v>2</v>
      </c>
      <c r="BM286" s="176" t="s">
        <v>2768</v>
      </c>
      <c r="BN286">
        <v>2</v>
      </c>
      <c r="BO286" s="176" t="s">
        <v>2794</v>
      </c>
      <c r="BP286">
        <v>2</v>
      </c>
      <c r="BQ286" t="s">
        <v>2776</v>
      </c>
      <c r="BR286">
        <v>1</v>
      </c>
      <c r="BS286" s="176" t="s">
        <v>2768</v>
      </c>
      <c r="BT286">
        <v>2</v>
      </c>
      <c r="BU286" t="s">
        <v>2776</v>
      </c>
      <c r="BV286">
        <v>2</v>
      </c>
      <c r="BW286" s="179" t="s">
        <v>2768</v>
      </c>
      <c r="BX286" s="179">
        <v>2</v>
      </c>
      <c r="BY286" s="176" t="s">
        <v>2776</v>
      </c>
      <c r="BZ286">
        <v>2</v>
      </c>
      <c r="CA286" t="s">
        <v>2776</v>
      </c>
      <c r="CB286">
        <v>2</v>
      </c>
    </row>
    <row r="287" spans="1:80">
      <c r="A287" s="178" t="str">
        <f ca="1">IFERROR(IF(A286+加速!$L$11&lt;$AS$1,IF(COUNTIF(B286,"*轻*")&gt;0,A286+加速!$L$9,A286+加速!$L$11)+V286,IF(COUNTIF(INDEX(AU287:CB287,1,$AT$1),"*云景*")+COUNTIF(INDEX(AU287:CB287,1,$AT$1),"*鹤归*")+COUNTIF(INDEX(AU287:CB287,1,$AT$1),"*听雷*")&gt;0,A286+加速!$L$11,"")),"")</f>
        <v/>
      </c>
      <c r="B287" s="167" t="str">
        <f ca="1">IF(A287&lt;&gt;"",IF(AND(A287+加速!$L$11&gt;$AS$1,IF(AND(配装计算器!$K$30&lt;&gt;"∞",0),"梦泉虎跑-轻",INDEX(AU287:CB287,1,$AT$1))="云栖松"),"夕照雷峰",IF(AND(配装计算器!$K$30&lt;&gt;"∞",0),"梦泉虎跑-轻",INDEX(AU287:CB287,1,$AT$1))),"")</f>
        <v/>
      </c>
      <c r="C287" t="str">
        <f ca="1" t="shared" si="64"/>
        <v/>
      </c>
      <c r="D287" t="str">
        <f ca="1">IF(B287&lt;&gt;"",IF(C286&lt;=加速!$L$11*(1-E287),0,1),"")</f>
        <v/>
      </c>
      <c r="E287">
        <f ca="1" t="shared" si="59"/>
        <v>1</v>
      </c>
      <c r="G287" t="str">
        <f ca="1" t="shared" si="60"/>
        <v/>
      </c>
      <c r="H287" t="str">
        <f ca="1">IF(B287&lt;&gt;"",IF(AND(COUNTIF(B286,"*轻*莺鸣柳*")&gt;0,COUNTIF(B287,"*轻*")&lt;1),MAX(0,15+I286-(A287-A286)+COUNTIF(B286,"*平湖*")*0),IF(AND(E287=0,MAX(0,H286-(A287-A286))&lt;=加速!$H$11),0,MAX(0,H286-(A287-A286)))),"")</f>
        <v/>
      </c>
      <c r="I287" t="str">
        <f ca="1" t="shared" si="67"/>
        <v/>
      </c>
      <c r="J287" t="str">
        <f ca="1" t="shared" si="68"/>
        <v/>
      </c>
      <c r="K287" t="str">
        <f ca="1">IF(A287&lt;&gt;"",IF(AND(配装计算器!$K$30&lt;&gt;"∞",0),2,INDEX(AU287:CB287,1,$AT$2)),"")</f>
        <v/>
      </c>
      <c r="L287">
        <f ca="1">IFERROR(IF(AND(COUNTIF(B287,"*-峰插*"),技能数据库!$M$72&gt;0),0,IF(COUNTIF(B287,"*鹤归*")&gt;0,16-加速!$L$11,MAX(0,L286-(A287-A286)))),0)</f>
        <v>0</v>
      </c>
      <c r="M287">
        <f ca="1">IF(COUNTIF(IF(AND(配装计算器!$K$30&lt;&gt;"∞",0),INDEX(AU286:CB286,1,$AT$1),INDEX(AU288:CB288,1,$AT$1)),"*鹤归*")=1,L287,0)</f>
        <v>0</v>
      </c>
      <c r="N287">
        <f ca="1">IFERROR(IF(AND(COUNTIF(B287,"*-峰插*"),技能数据库!$M$72&gt;0),0,IF(COUNTIF(B287,"*云飞*")&gt;0,4-COUNTIF(B287,"*玉山揽云*")*4--COUNTIF(B287,"*烟流暮景*")*4-COUNTIF(B287,"*云景*")*加速!$L$11-IF(J287&gt;0,2,0),MAX(0,N286-(A287-A286)-IF(J287&gt;0,2,0)))),0)</f>
        <v>0</v>
      </c>
      <c r="O287">
        <f ca="1">IF(AND(COUNTIF(IF(AND(配装计算器!$K$30&lt;&gt;"∞",0),INDEX(AU286:CB286,1,$AT$1),INDEX(AU288:CB288,1,$AT$1)),"*云飞*")=1,COUNTIF(IF(AND(配装计算器!$K$30&lt;&gt;"∞",0),INDEX(AU286:CB286,1,$AT$1),INDEX(AU288:CB288,1,$AT$1)),"*玉山*")=0),N287,0)</f>
        <v>0</v>
      </c>
      <c r="P287">
        <f ca="1">IFERROR(IF(COUNTIF(B287,"*云栖松*")&gt;0,50-加速!$L$11,MAX(0,P286-(A287-A286))),0)</f>
        <v>0</v>
      </c>
      <c r="Q287">
        <f ca="1">IF(COUNTIF(IF(AND(配装计算器!$K$30&lt;&gt;"∞",0),INDEX(AU286:CB286,1,$AT$1),INDEX(AU288:CB288,1,$AT$1)),"*云栖松*")=1,P287,0)</f>
        <v>0</v>
      </c>
      <c r="R287">
        <f ca="1">IFERROR(IF(COUNTIF(B287,"*莺鸣柳*")&gt;0,45-加速!$L$9,MAX(0,R286-(A287-A286))),0)</f>
        <v>0</v>
      </c>
      <c r="S287">
        <f ca="1">IF(COUNTIF(IF(AND(配装计算器!$K$30&lt;&gt;"∞",0),INDEX(AU286:CB286,1,$AT$1),INDEX(AU288:CB288,1,$AT$1)),"*莺鸣柳*")=1,R287,0)</f>
        <v>0</v>
      </c>
      <c r="T287">
        <f ca="1" t="shared" si="65"/>
        <v>0</v>
      </c>
      <c r="U287">
        <f ca="1">IF(金蛇,IF(COUNTIF(B287,"*金环戴*")+COUNTIF(B287,"*吹风醒*")&gt;0,IF(A287&lt;=3,7.125-2.625-A287-加速!$L$11,7.125+加速!$K$9-(A287+加速!$L$11-T287)),0),0)+IF(金蛇,IF(COUNTIF(B287,"*千切子裂光*")&gt;0,2+加速!$K$9-(A287+加速!$L$11-T287),0),0)</f>
        <v>0</v>
      </c>
      <c r="V287">
        <f ca="1" t="shared" si="66"/>
        <v>0</v>
      </c>
      <c r="W287">
        <f ca="1" t="shared" si="57"/>
        <v>0</v>
      </c>
      <c r="X287">
        <f ca="1">INDEX(加速!$I$13:$I$21,技能数计算!W287+1)</f>
        <v>0</v>
      </c>
      <c r="Y287">
        <f ca="1" t="shared" si="61"/>
        <v>0.5</v>
      </c>
      <c r="Z287">
        <f ca="1" t="shared" si="62"/>
        <v>0</v>
      </c>
      <c r="AA287">
        <f ca="1">MAX(0,IFERROR(IF(COUNTIF(B287,"*叠*")&gt;0,IF(AC286&lt;3,8-A288+A287,AA286+6.875-A288+A287),AA286-A288+A287),AA286-加速!$L$11))</f>
        <v>0</v>
      </c>
      <c r="AB287" t="e">
        <f ca="1">MAX(0,IF(COUNTIF(IF(AND(配装计算器!$K$30&lt;&gt;"∞",0),INDEX(AU287:CB287,1,$AT$1),INDEX(AU287:CB287,1,$AT$1)),"*叠1*")=1,4*25-加速!$L$11,AB286-A287+A286)-IF(OR(COUNTIF(OFFSET(AT287,0,$AT$1,1,1),"*听雷*")&gt;0,AND(碧归&gt;0,COUNTIF(OFFSET(AT287,0,$AT$1,1,1),"*风来*")&gt;0)),0,1)*1.5)</f>
        <v>#VALUE!</v>
      </c>
      <c r="AC287">
        <f ca="1" t="shared" si="58"/>
        <v>3</v>
      </c>
      <c r="AD287">
        <f ca="1">IF(COUNTIF(IF(AND(配装计算器!$K$30&lt;&gt;"∞",0),INDEX(AU287:CB287,1,$AT$1),INDEX(AU288:CB288,1,$AT$1)),"*叠1*")=1,AB287*0+AE286,0)</f>
        <v>0</v>
      </c>
      <c r="AE287" t="e">
        <f ca="1">IF($AN$11&gt;0,IF(COUNTIF(B288,"*叠1*")&gt;0,50-加速!$H$11,MAX(0,AE286-(A288-A287))),0)</f>
        <v>#VALUE!</v>
      </c>
      <c r="AU287" s="176" t="s">
        <v>2794</v>
      </c>
      <c r="AV287">
        <v>2</v>
      </c>
      <c r="AW287" t="str">
        <f>IF($AN$11=1,"云飞玉皇-玉山揽云","夕照雷峰")</f>
        <v>云飞玉皇-玉山揽云</v>
      </c>
      <c r="AX287">
        <v>2</v>
      </c>
      <c r="AY287" t="s">
        <v>2768</v>
      </c>
      <c r="AZ287">
        <v>2</v>
      </c>
      <c r="BA287" t="s">
        <v>2768</v>
      </c>
      <c r="BB287">
        <v>1</v>
      </c>
      <c r="BC287" t="s">
        <v>2776</v>
      </c>
      <c r="BD287">
        <v>1</v>
      </c>
      <c r="BE287" t="s">
        <v>2768</v>
      </c>
      <c r="BF287">
        <v>1</v>
      </c>
      <c r="BG287" t="s">
        <v>2768</v>
      </c>
      <c r="BH287">
        <v>2</v>
      </c>
      <c r="BI287" t="s">
        <v>2768</v>
      </c>
      <c r="BJ287">
        <v>2</v>
      </c>
      <c r="BK287" s="176" t="s">
        <v>2776</v>
      </c>
      <c r="BL287">
        <v>2</v>
      </c>
      <c r="BM287" s="176" t="s">
        <v>2808</v>
      </c>
      <c r="BN287">
        <v>2</v>
      </c>
      <c r="BO287" s="176" t="s">
        <v>2768</v>
      </c>
      <c r="BP287">
        <v>2</v>
      </c>
      <c r="BQ287" t="s">
        <v>2768</v>
      </c>
      <c r="BR287">
        <v>1</v>
      </c>
      <c r="BS287" s="176" t="s">
        <v>2768</v>
      </c>
      <c r="BT287">
        <v>2</v>
      </c>
      <c r="BU287" t="s">
        <v>2768</v>
      </c>
      <c r="BV287">
        <v>2</v>
      </c>
      <c r="BW287" s="179" t="s">
        <v>2776</v>
      </c>
      <c r="BX287" s="179">
        <v>2</v>
      </c>
      <c r="BY287" s="176" t="s">
        <v>2768</v>
      </c>
      <c r="BZ287">
        <v>2</v>
      </c>
      <c r="CA287" t="s">
        <v>2768</v>
      </c>
      <c r="CB287">
        <v>2</v>
      </c>
    </row>
    <row r="288" spans="1:80">
      <c r="A288" s="178" t="str">
        <f ca="1">IFERROR(IF(A287+加速!$L$11&lt;$AS$1,IF(COUNTIF(B287,"*轻*")&gt;0,A287+加速!$L$9,A287+加速!$L$11)+V287,IF(COUNTIF(INDEX(AU288:CB288,1,$AT$1),"*云景*")+COUNTIF(INDEX(AU288:CB288,1,$AT$1),"*鹤归*")+COUNTIF(INDEX(AU288:CB288,1,$AT$1),"*听雷*")&gt;0,A287+加速!$L$11,"")),"")</f>
        <v/>
      </c>
      <c r="B288" s="167" t="str">
        <f ca="1">IF(A288&lt;&gt;"",IF(AND(A288+加速!$L$11&gt;$AS$1,IF(AND(配装计算器!$K$30&lt;&gt;"∞",0),"梦泉虎跑-轻",INDEX(AU288:CB288,1,$AT$1))="云栖松"),"夕照雷峰",IF(AND(配装计算器!$K$30&lt;&gt;"∞",0),"梦泉虎跑-轻",INDEX(AU288:CB288,1,$AT$1))),"")</f>
        <v/>
      </c>
      <c r="C288" t="str">
        <f ca="1" t="shared" si="64"/>
        <v/>
      </c>
      <c r="D288" t="str">
        <f ca="1">IF(B288&lt;&gt;"",IF(C287&lt;=加速!$L$11*(1-E288),0,1),"")</f>
        <v/>
      </c>
      <c r="E288">
        <f ca="1" t="shared" si="59"/>
        <v>1</v>
      </c>
      <c r="G288" t="str">
        <f ca="1" t="shared" si="60"/>
        <v/>
      </c>
      <c r="H288" t="str">
        <f ca="1">IF(B288&lt;&gt;"",IF(AND(COUNTIF(B287,"*轻*莺鸣柳*")&gt;0,COUNTIF(B288,"*轻*")&lt;1),MAX(0,15+I287-(A288-A287)+COUNTIF(B287,"*平湖*")*0),IF(AND(E288=0,MAX(0,H287-(A288-A287))&lt;=加速!$H$11),0,MAX(0,H287-(A288-A287)))),"")</f>
        <v/>
      </c>
      <c r="I288" t="str">
        <f ca="1" t="shared" si="67"/>
        <v/>
      </c>
      <c r="J288" t="str">
        <f ca="1" t="shared" si="68"/>
        <v/>
      </c>
      <c r="K288" t="str">
        <f ca="1">IF(A288&lt;&gt;"",IF(AND(配装计算器!$K$30&lt;&gt;"∞",0),2,INDEX(AU288:CB288,1,$AT$2)),"")</f>
        <v/>
      </c>
      <c r="L288">
        <f ca="1">IFERROR(IF(AND(COUNTIF(B288,"*-峰插*"),技能数据库!$M$72&gt;0),0,IF(COUNTIF(B288,"*鹤归*")&gt;0,16-加速!$L$11,MAX(0,L287-(A288-A287)))),0)</f>
        <v>0</v>
      </c>
      <c r="M288">
        <f ca="1">IF(COUNTIF(IF(AND(配装计算器!$K$30&lt;&gt;"∞",0),INDEX(AU287:CB287,1,$AT$1),INDEX(AU289:CB289,1,$AT$1)),"*鹤归*")=1,L288,0)</f>
        <v>0</v>
      </c>
      <c r="N288">
        <f ca="1">IFERROR(IF(AND(COUNTIF(B288,"*-峰插*"),技能数据库!$M$72&gt;0),0,IF(COUNTIF(B288,"*云飞*")&gt;0,4-COUNTIF(B288,"*玉山揽云*")*4--COUNTIF(B288,"*烟流暮景*")*4-COUNTIF(B288,"*云景*")*加速!$L$11-IF(J288&gt;0,2,0),MAX(0,N287-(A288-A287)-IF(J288&gt;0,2,0)))),0)</f>
        <v>0</v>
      </c>
      <c r="O288">
        <f ca="1">IF(AND(COUNTIF(IF(AND(配装计算器!$K$30&lt;&gt;"∞",0),INDEX(AU287:CB287,1,$AT$1),INDEX(AU289:CB289,1,$AT$1)),"*云飞*")=1,COUNTIF(IF(AND(配装计算器!$K$30&lt;&gt;"∞",0),INDEX(AU287:CB287,1,$AT$1),INDEX(AU289:CB289,1,$AT$1)),"*玉山*")=0),N288,0)</f>
        <v>0</v>
      </c>
      <c r="P288">
        <f ca="1">IFERROR(IF(COUNTIF(B288,"*云栖松*")&gt;0,50-加速!$L$11,MAX(0,P287-(A288-A287))),0)</f>
        <v>0</v>
      </c>
      <c r="Q288">
        <f ca="1">IF(COUNTIF(IF(AND(配装计算器!$K$30&lt;&gt;"∞",0),INDEX(AU287:CB287,1,$AT$1),INDEX(AU289:CB289,1,$AT$1)),"*云栖松*")=1,P288,0)</f>
        <v>0</v>
      </c>
      <c r="R288">
        <f ca="1">IFERROR(IF(COUNTIF(B288,"*莺鸣柳*")&gt;0,45-加速!$L$9,MAX(0,R287-(A288-A287))),0)</f>
        <v>0</v>
      </c>
      <c r="S288">
        <f ca="1">IF(COUNTIF(IF(AND(配装计算器!$K$30&lt;&gt;"∞",0),INDEX(AU287:CB287,1,$AT$1),INDEX(AU289:CB289,1,$AT$1)),"*莺鸣柳*")=1,R288,0)</f>
        <v>0</v>
      </c>
      <c r="T288">
        <f ca="1" t="shared" si="65"/>
        <v>0</v>
      </c>
      <c r="U288">
        <f ca="1">IF(金蛇,IF(COUNTIF(B288,"*金环戴*")+COUNTIF(B288,"*吹风醒*")&gt;0,IF(A288&lt;=3,7.125-2.625-A288-加速!$L$11,7.125+加速!$K$9-(A288+加速!$L$11-T288)),0),0)+IF(金蛇,IF(COUNTIF(B288,"*千切子裂光*")&gt;0,2+加速!$K$9-(A288+加速!$L$11-T288),0),0)</f>
        <v>0</v>
      </c>
      <c r="V288">
        <f ca="1" t="shared" si="66"/>
        <v>0</v>
      </c>
      <c r="W288">
        <f ca="1" t="shared" si="57"/>
        <v>0</v>
      </c>
      <c r="X288">
        <f ca="1">INDEX(加速!$I$13:$I$21,技能数计算!W288+1)</f>
        <v>0</v>
      </c>
      <c r="Y288">
        <f ca="1" t="shared" si="61"/>
        <v>0.5</v>
      </c>
      <c r="Z288">
        <f ca="1" t="shared" si="62"/>
        <v>0</v>
      </c>
      <c r="AA288">
        <f ca="1">MAX(0,IFERROR(IF(COUNTIF(B288,"*叠*")&gt;0,IF(AC287&lt;3,8-A289+A288,AA287+6.875-A289+A288),AA287-A289+A288),AA287-加速!$L$11))</f>
        <v>0</v>
      </c>
      <c r="AB288" t="e">
        <f ca="1">MAX(0,IF(COUNTIF(IF(AND(配装计算器!$K$30&lt;&gt;"∞",0),INDEX(AU288:CB288,1,$AT$1),INDEX(AU288:CB288,1,$AT$1)),"*叠1*")=1,4*25-加速!$L$11,AB287-A288+A287)-IF(OR(COUNTIF(OFFSET(AT288,0,$AT$1,1,1),"*听雷*")&gt;0,AND(碧归&gt;0,COUNTIF(OFFSET(AT288,0,$AT$1,1,1),"*风来*")&gt;0)),0,1)*1.5)</f>
        <v>#VALUE!</v>
      </c>
      <c r="AC288">
        <f ca="1" t="shared" si="58"/>
        <v>3</v>
      </c>
      <c r="AD288">
        <f ca="1">IF(COUNTIF(IF(AND(配装计算器!$K$30&lt;&gt;"∞",0),INDEX(AU288:CB288,1,$AT$1),INDEX(AU289:CB289,1,$AT$1)),"*叠1*")=1,AB288*0+AE287,0)</f>
        <v>0</v>
      </c>
      <c r="AE288" t="e">
        <f ca="1">IF($AN$11&gt;0,IF(COUNTIF(B289,"*叠1*")&gt;0,50-加速!$H$11,MAX(0,AE287-(A289-A288))),0)</f>
        <v>#VALUE!</v>
      </c>
      <c r="AU288" s="176" t="s">
        <v>2768</v>
      </c>
      <c r="AV288">
        <v>2</v>
      </c>
      <c r="AW288" t="str">
        <f>IF($AN$11=1,橙武补雾锁,"夕照雷峰")</f>
        <v>云飞玉皇-玉山揽云</v>
      </c>
      <c r="AX288">
        <v>2</v>
      </c>
      <c r="AY288" t="s">
        <v>2768</v>
      </c>
      <c r="AZ288">
        <v>2</v>
      </c>
      <c r="BA288" t="s">
        <v>2776</v>
      </c>
      <c r="BB288">
        <v>1</v>
      </c>
      <c r="BC288" t="s">
        <v>2768</v>
      </c>
      <c r="BD288">
        <v>1</v>
      </c>
      <c r="BE288" t="s">
        <v>2768</v>
      </c>
      <c r="BF288">
        <v>1</v>
      </c>
      <c r="BG288" s="176" t="s">
        <v>2794</v>
      </c>
      <c r="BH288">
        <v>1</v>
      </c>
      <c r="BI288" t="s">
        <v>2768</v>
      </c>
      <c r="BJ288">
        <v>1</v>
      </c>
      <c r="BK288" t="s">
        <v>2768</v>
      </c>
      <c r="BL288">
        <v>1</v>
      </c>
      <c r="BM288" t="s">
        <v>2768</v>
      </c>
      <c r="BN288">
        <v>2</v>
      </c>
      <c r="BO288" s="176" t="s">
        <v>2776</v>
      </c>
      <c r="BP288">
        <v>2</v>
      </c>
      <c r="BQ288" t="s">
        <v>2776</v>
      </c>
      <c r="BR288">
        <v>1</v>
      </c>
      <c r="BS288" s="176" t="s">
        <v>2776</v>
      </c>
      <c r="BT288">
        <v>2</v>
      </c>
      <c r="BU288" t="s">
        <v>2776</v>
      </c>
      <c r="BV288">
        <v>2</v>
      </c>
      <c r="BW288" s="182" t="s">
        <v>2794</v>
      </c>
      <c r="BX288" s="179">
        <v>2</v>
      </c>
      <c r="BY288" s="176" t="s">
        <v>2808</v>
      </c>
      <c r="BZ288">
        <v>2</v>
      </c>
      <c r="CA288" t="s">
        <v>2768</v>
      </c>
      <c r="CB288">
        <v>2</v>
      </c>
    </row>
    <row r="289" spans="1:80">
      <c r="A289" s="178" t="str">
        <f ca="1">IFERROR(IF(A288+加速!$L$11&lt;$AS$1,IF(COUNTIF(B288,"*轻*")&gt;0,A288+加速!$L$9,A288+加速!$L$11)+V288,IF(COUNTIF(INDEX(AU289:CB289,1,$AT$1),"*云景*")+COUNTIF(INDEX(AU289:CB289,1,$AT$1),"*鹤归*")+COUNTIF(INDEX(AU289:CB289,1,$AT$1),"*听雷*")&gt;0,A288+加速!$L$11,"")),"")</f>
        <v/>
      </c>
      <c r="B289" s="167" t="str">
        <f ca="1">IF(A289&lt;&gt;"",IF(AND(A289+加速!$L$11&gt;$AS$1,IF(AND(配装计算器!$K$30&lt;&gt;"∞",0),"梦泉虎跑-轻",INDEX(AU289:CB289,1,$AT$1))="云栖松"),"夕照雷峰",IF(AND(配装计算器!$K$30&lt;&gt;"∞",0),"梦泉虎跑-轻",INDEX(AU289:CB289,1,$AT$1))),"")</f>
        <v/>
      </c>
      <c r="C289" t="str">
        <f ca="1" t="shared" si="64"/>
        <v/>
      </c>
      <c r="D289" t="str">
        <f ca="1">IF(B289&lt;&gt;"",IF(C288&lt;=加速!$L$11*(1-E289),0,1),"")</f>
        <v/>
      </c>
      <c r="E289">
        <f ca="1" t="shared" si="59"/>
        <v>1</v>
      </c>
      <c r="G289" t="str">
        <f ca="1" t="shared" si="60"/>
        <v/>
      </c>
      <c r="H289" t="str">
        <f ca="1">IF(B289&lt;&gt;"",IF(AND(COUNTIF(B288,"*轻*莺鸣柳*")&gt;0,COUNTIF(B289,"*轻*")&lt;1),MAX(0,15+I288-(A289-A288)+COUNTIF(B288,"*平湖*")*0),IF(AND(E289=0,MAX(0,H288-(A289-A288))&lt;=加速!$H$11),0,MAX(0,H288-(A289-A288)))),"")</f>
        <v/>
      </c>
      <c r="I289" t="str">
        <f ca="1" t="shared" si="67"/>
        <v/>
      </c>
      <c r="J289" t="str">
        <f ca="1" t="shared" si="68"/>
        <v/>
      </c>
      <c r="K289" t="str">
        <f ca="1">IF(A289&lt;&gt;"",IF(AND(配装计算器!$K$30&lt;&gt;"∞",0),2,INDEX(AU289:CB289,1,$AT$2)),"")</f>
        <v/>
      </c>
      <c r="L289">
        <f ca="1">IFERROR(IF(AND(COUNTIF(B289,"*-峰插*"),技能数据库!$M$72&gt;0),0,IF(COUNTIF(B289,"*鹤归*")&gt;0,16-加速!$L$11,MAX(0,L288-(A289-A288)))),0)</f>
        <v>0</v>
      </c>
      <c r="M289">
        <f ca="1">IF(COUNTIF(IF(AND(配装计算器!$K$30&lt;&gt;"∞",0),INDEX(AU288:CB288,1,$AT$1),INDEX(AU290:CB290,1,$AT$1)),"*鹤归*")=1,L289,0)</f>
        <v>0</v>
      </c>
      <c r="N289">
        <f ca="1">IFERROR(IF(AND(COUNTIF(B289,"*-峰插*"),技能数据库!$M$72&gt;0),0,IF(COUNTIF(B289,"*云飞*")&gt;0,4-COUNTIF(B289,"*玉山揽云*")*4--COUNTIF(B289,"*烟流暮景*")*4-COUNTIF(B289,"*云景*")*加速!$L$11-IF(J289&gt;0,2,0),MAX(0,N288-(A289-A288)-IF(J289&gt;0,2,0)))),0)</f>
        <v>0</v>
      </c>
      <c r="O289">
        <f ca="1">IF(AND(COUNTIF(IF(AND(配装计算器!$K$30&lt;&gt;"∞",0),INDEX(AU288:CB288,1,$AT$1),INDEX(AU290:CB290,1,$AT$1)),"*云飞*")=1,COUNTIF(IF(AND(配装计算器!$K$30&lt;&gt;"∞",0),INDEX(AU288:CB288,1,$AT$1),INDEX(AU290:CB290,1,$AT$1)),"*玉山*")=0),N289,0)</f>
        <v>0</v>
      </c>
      <c r="P289">
        <f ca="1">IFERROR(IF(COUNTIF(B289,"*云栖松*")&gt;0,50-加速!$L$11,MAX(0,P288-(A289-A288))),0)</f>
        <v>0</v>
      </c>
      <c r="Q289">
        <f ca="1">IF(COUNTIF(IF(AND(配装计算器!$K$30&lt;&gt;"∞",0),INDEX(AU288:CB288,1,$AT$1),INDEX(AU290:CB290,1,$AT$1)),"*云栖松*")=1,P289,0)</f>
        <v>0</v>
      </c>
      <c r="R289">
        <f ca="1">IFERROR(IF(COUNTIF(B289,"*莺鸣柳*")&gt;0,45-加速!$L$9,MAX(0,R288-(A289-A288))),0)</f>
        <v>0</v>
      </c>
      <c r="S289">
        <f ca="1">IF(COUNTIF(IF(AND(配装计算器!$K$30&lt;&gt;"∞",0),INDEX(AU288:CB288,1,$AT$1),INDEX(AU290:CB290,1,$AT$1)),"*莺鸣柳*")=1,R289,0)</f>
        <v>0</v>
      </c>
      <c r="T289">
        <f ca="1" t="shared" si="65"/>
        <v>0</v>
      </c>
      <c r="U289">
        <f ca="1">IF(金蛇,IF(COUNTIF(B289,"*金环戴*")+COUNTIF(B289,"*吹风醒*")&gt;0,IF(A289&lt;=3,7.125-2.625-A289-加速!$L$11,7.125+加速!$K$9-(A289+加速!$L$11-T289)),0),0)+IF(金蛇,IF(COUNTIF(B289,"*千切子裂光*")&gt;0,2+加速!$K$9-(A289+加速!$L$11-T289),0),0)</f>
        <v>0</v>
      </c>
      <c r="V289">
        <f ca="1" t="shared" si="66"/>
        <v>0</v>
      </c>
      <c r="W289">
        <f ca="1" t="shared" si="57"/>
        <v>0</v>
      </c>
      <c r="X289">
        <f ca="1">INDEX(加速!$I$13:$I$21,技能数计算!W289+1)</f>
        <v>0</v>
      </c>
      <c r="Y289">
        <f ca="1" t="shared" si="61"/>
        <v>0.5</v>
      </c>
      <c r="Z289">
        <f ca="1" t="shared" si="62"/>
        <v>0</v>
      </c>
      <c r="AA289">
        <f ca="1">MAX(0,IFERROR(IF(COUNTIF(B289,"*叠*")&gt;0,IF(AC288&lt;3,8-A290+A289,AA288+6.875-A290+A289),AA288-A290+A289),AA288-加速!$L$11))</f>
        <v>0</v>
      </c>
      <c r="AB289" t="e">
        <f ca="1">MAX(0,IF(COUNTIF(IF(AND(配装计算器!$K$30&lt;&gt;"∞",0),INDEX(AU289:CB289,1,$AT$1),INDEX(AU289:CB289,1,$AT$1)),"*叠1*")=1,4*25-加速!$L$11,AB288-A289+A288)-IF(OR(COUNTIF(OFFSET(AT289,0,$AT$1,1,1),"*听雷*")&gt;0,AND(碧归&gt;0,COUNTIF(OFFSET(AT289,0,$AT$1,1,1),"*风来*")&gt;0)),0,1)*1.5)</f>
        <v>#VALUE!</v>
      </c>
      <c r="AC289">
        <f ca="1" t="shared" si="58"/>
        <v>3</v>
      </c>
      <c r="AD289">
        <f ca="1">IF(COUNTIF(IF(AND(配装计算器!$K$30&lt;&gt;"∞",0),INDEX(AU289:CB289,1,$AT$1),INDEX(AU290:CB290,1,$AT$1)),"*叠1*")=1,AB289*0+AE288,0)</f>
        <v>0</v>
      </c>
      <c r="AE289" t="e">
        <f ca="1">IF($AN$11&gt;0,IF(COUNTIF(B290,"*叠1*")&gt;0,50-加速!$H$11,MAX(0,AE288-(A290-A289))),0)</f>
        <v>#VALUE!</v>
      </c>
      <c r="AU289" s="176" t="s">
        <v>2776</v>
      </c>
      <c r="AV289">
        <v>2</v>
      </c>
      <c r="AW289" t="str">
        <f>IF($AN$11=1,"云飞玉皇-玉山揽云","夕照雷峰")</f>
        <v>云飞玉皇-玉山揽云</v>
      </c>
      <c r="AX289">
        <v>2</v>
      </c>
      <c r="AY289" t="s">
        <v>2768</v>
      </c>
      <c r="AZ289">
        <v>1</v>
      </c>
      <c r="BA289" t="s">
        <v>2768</v>
      </c>
      <c r="BB289">
        <v>1</v>
      </c>
      <c r="BC289" t="s">
        <v>2794</v>
      </c>
      <c r="BD289">
        <v>2</v>
      </c>
      <c r="BE289" t="s">
        <v>2794</v>
      </c>
      <c r="BF289">
        <v>1</v>
      </c>
      <c r="BG289" t="s">
        <v>2776</v>
      </c>
      <c r="BH289">
        <v>1</v>
      </c>
      <c r="BI289" s="176" t="s">
        <v>2768</v>
      </c>
      <c r="BJ289">
        <v>1</v>
      </c>
      <c r="BK289" s="176" t="s">
        <v>2768</v>
      </c>
      <c r="BL289">
        <v>1</v>
      </c>
      <c r="BM289" t="s">
        <v>2776</v>
      </c>
      <c r="BN289">
        <v>2</v>
      </c>
      <c r="BO289" s="176" t="s">
        <v>2768</v>
      </c>
      <c r="BP289">
        <v>2</v>
      </c>
      <c r="BQ289" t="s">
        <v>2768</v>
      </c>
      <c r="BR289">
        <v>0</v>
      </c>
      <c r="BS289" s="176" t="s">
        <v>2768</v>
      </c>
      <c r="BT289">
        <v>2</v>
      </c>
      <c r="BU289" t="s">
        <v>2768</v>
      </c>
      <c r="BV289">
        <v>1</v>
      </c>
      <c r="BW289" s="182" t="s">
        <v>2768</v>
      </c>
      <c r="BX289" s="179">
        <v>2</v>
      </c>
      <c r="BY289" t="s">
        <v>2768</v>
      </c>
      <c r="BZ289">
        <v>2</v>
      </c>
      <c r="CA289" t="s">
        <v>2768</v>
      </c>
      <c r="CB289">
        <v>2</v>
      </c>
    </row>
    <row r="290" spans="1:80">
      <c r="A290" s="178" t="str">
        <f ca="1">IFERROR(IF(A289+加速!$L$11&lt;$AS$1,IF(COUNTIF(B289,"*轻*")&gt;0,A289+加速!$L$9,A289+加速!$L$11)+V289,IF(COUNTIF(INDEX(AU290:CB290,1,$AT$1),"*云景*")+COUNTIF(INDEX(AU290:CB290,1,$AT$1),"*鹤归*")+COUNTIF(INDEX(AU290:CB290,1,$AT$1),"*听雷*")&gt;0,A289+加速!$L$11,"")),"")</f>
        <v/>
      </c>
      <c r="B290" s="167" t="str">
        <f ca="1">IF(A290&lt;&gt;"",IF(AND(A290+加速!$L$11&gt;$AS$1,IF(AND(配装计算器!$K$30&lt;&gt;"∞",0),"梦泉虎跑-轻",INDEX(AU290:CB290,1,$AT$1))="云栖松"),"夕照雷峰",IF(AND(配装计算器!$K$30&lt;&gt;"∞",0),"梦泉虎跑-轻",INDEX(AU290:CB290,1,$AT$1))),"")</f>
        <v/>
      </c>
      <c r="C290" t="str">
        <f ca="1" t="shared" si="64"/>
        <v/>
      </c>
      <c r="D290" t="str">
        <f ca="1">IF(B290&lt;&gt;"",IF(C289&lt;=加速!$L$11*(1-E290),0,1),"")</f>
        <v/>
      </c>
      <c r="E290">
        <f ca="1" t="shared" si="59"/>
        <v>1</v>
      </c>
      <c r="G290" t="str">
        <f ca="1" t="shared" si="60"/>
        <v/>
      </c>
      <c r="H290" t="str">
        <f ca="1">IF(B290&lt;&gt;"",IF(AND(COUNTIF(B289,"*轻*莺鸣柳*")&gt;0,COUNTIF(B290,"*轻*")&lt;1),MAX(0,15+I289-(A290-A289)+COUNTIF(B289,"*平湖*")*0),IF(AND(E290=0,MAX(0,H289-(A290-A289))&lt;=加速!$H$11),0,MAX(0,H289-(A290-A289)))),"")</f>
        <v/>
      </c>
      <c r="I290" t="str">
        <f ca="1" t="shared" si="67"/>
        <v/>
      </c>
      <c r="J290" t="str">
        <f ca="1" t="shared" si="68"/>
        <v/>
      </c>
      <c r="K290" t="str">
        <f ca="1">IF(A290&lt;&gt;"",IF(AND(配装计算器!$K$30&lt;&gt;"∞",0),2,INDEX(AU290:CB290,1,$AT$2)),"")</f>
        <v/>
      </c>
      <c r="L290">
        <f ca="1">IFERROR(IF(AND(COUNTIF(B290,"*-峰插*"),技能数据库!$M$72&gt;0),0,IF(COUNTIF(B290,"*鹤归*")&gt;0,16-加速!$L$11,MAX(0,L289-(A290-A289)))),0)</f>
        <v>0</v>
      </c>
      <c r="M290">
        <f ca="1">IF(COUNTIF(IF(AND(配装计算器!$K$30&lt;&gt;"∞",0),INDEX(AU289:CB289,1,$AT$1),INDEX(AU291:CB291,1,$AT$1)),"*鹤归*")=1,L290,0)</f>
        <v>0</v>
      </c>
      <c r="N290">
        <f ca="1">IFERROR(IF(AND(COUNTIF(B290,"*-峰插*"),技能数据库!$M$72&gt;0),0,IF(COUNTIF(B290,"*云飞*")&gt;0,4-COUNTIF(B290,"*玉山揽云*")*4--COUNTIF(B290,"*烟流暮景*")*4-COUNTIF(B290,"*云景*")*加速!$L$11-IF(J290&gt;0,2,0),MAX(0,N289-(A290-A289)-IF(J290&gt;0,2,0)))),0)</f>
        <v>0</v>
      </c>
      <c r="O290">
        <f ca="1">IF(AND(COUNTIF(IF(AND(配装计算器!$K$30&lt;&gt;"∞",0),INDEX(AU289:CB289,1,$AT$1),INDEX(AU291:CB291,1,$AT$1)),"*云飞*")=1,COUNTIF(IF(AND(配装计算器!$K$30&lt;&gt;"∞",0),INDEX(AU289:CB289,1,$AT$1),INDEX(AU291:CB291,1,$AT$1)),"*玉山*")=0),N290,0)</f>
        <v>0</v>
      </c>
      <c r="P290">
        <f ca="1">IFERROR(IF(COUNTIF(B290,"*云栖松*")&gt;0,50-加速!$L$11,MAX(0,P289-(A290-A289))),0)</f>
        <v>0</v>
      </c>
      <c r="Q290">
        <f ca="1">IF(COUNTIF(IF(AND(配装计算器!$K$30&lt;&gt;"∞",0),INDEX(AU289:CB289,1,$AT$1),INDEX(AU291:CB291,1,$AT$1)),"*云栖松*")=1,P290,0)</f>
        <v>0</v>
      </c>
      <c r="R290">
        <f ca="1">IFERROR(IF(COUNTIF(B290,"*莺鸣柳*")&gt;0,45-加速!$L$9,MAX(0,R289-(A290-A289))),0)</f>
        <v>0</v>
      </c>
      <c r="S290">
        <f ca="1">IF(COUNTIF(IF(AND(配装计算器!$K$30&lt;&gt;"∞",0),INDEX(AU289:CB289,1,$AT$1),INDEX(AU291:CB291,1,$AT$1)),"*莺鸣柳*")=1,R290,0)</f>
        <v>0</v>
      </c>
      <c r="T290">
        <f ca="1" t="shared" si="65"/>
        <v>0</v>
      </c>
      <c r="U290">
        <f ca="1">IF(金蛇,IF(COUNTIF(B290,"*金环戴*")+COUNTIF(B290,"*吹风醒*")&gt;0,IF(A290&lt;=3,7.125-2.625-A290-加速!$L$11,7.125+加速!$K$9-(A290+加速!$L$11-T290)),0),0)+IF(金蛇,IF(COUNTIF(B290,"*千切子裂光*")&gt;0,2+加速!$K$9-(A290+加速!$L$11-T290),0),0)</f>
        <v>0</v>
      </c>
      <c r="V290">
        <f ca="1" t="shared" si="66"/>
        <v>0</v>
      </c>
      <c r="W290">
        <f ca="1" t="shared" si="57"/>
        <v>0</v>
      </c>
      <c r="X290">
        <f ca="1">INDEX(加速!$I$13:$I$21,技能数计算!W290+1)</f>
        <v>0</v>
      </c>
      <c r="Y290">
        <f ca="1" t="shared" si="61"/>
        <v>0.5</v>
      </c>
      <c r="Z290">
        <f ca="1" t="shared" si="62"/>
        <v>0</v>
      </c>
      <c r="AA290">
        <f ca="1">MAX(0,IFERROR(IF(COUNTIF(B290,"*叠*")&gt;0,IF(AC289&lt;3,8-A291+A290,AA289+6.875-A291+A290),AA289-A291+A290),AA289-加速!$L$11))</f>
        <v>0</v>
      </c>
      <c r="AB290" t="e">
        <f ca="1">MAX(0,IF(COUNTIF(IF(AND(配装计算器!$K$30&lt;&gt;"∞",0),INDEX(AU290:CB290,1,$AT$1),INDEX(AU290:CB290,1,$AT$1)),"*叠1*")=1,4*25-加速!$L$11,AB289-A290+A289)-IF(OR(COUNTIF(OFFSET(AT290,0,$AT$1,1,1),"*听雷*")&gt;0,AND(碧归&gt;0,COUNTIF(OFFSET(AT290,0,$AT$1,1,1),"*风来*")&gt;0)),0,1)*1.5)</f>
        <v>#VALUE!</v>
      </c>
      <c r="AC290">
        <f ca="1" t="shared" si="58"/>
        <v>3</v>
      </c>
      <c r="AD290">
        <f ca="1">IF(COUNTIF(IF(AND(配装计算器!$K$30&lt;&gt;"∞",0),INDEX(AU290:CB290,1,$AT$1),INDEX(AU291:CB291,1,$AT$1)),"*叠1*")=1,AB290*0+AE289,0)</f>
        <v>0</v>
      </c>
      <c r="AE290" t="e">
        <f ca="1">IF($AN$11&gt;0,IF(COUNTIF(B291,"*叠1*")&gt;0,50-加速!$H$11,MAX(0,AE289-(A291-A290))),0)</f>
        <v>#VALUE!</v>
      </c>
      <c r="AU290" s="176" t="s">
        <v>2768</v>
      </c>
      <c r="AV290">
        <v>2</v>
      </c>
      <c r="AW290" t="s">
        <v>2776</v>
      </c>
      <c r="AX290">
        <v>2</v>
      </c>
      <c r="AY290" t="s">
        <v>2776</v>
      </c>
      <c r="AZ290">
        <v>1</v>
      </c>
      <c r="BA290" t="s">
        <v>2768</v>
      </c>
      <c r="BB290">
        <v>0</v>
      </c>
      <c r="BC290" t="s">
        <v>2768</v>
      </c>
      <c r="BD290">
        <v>2</v>
      </c>
      <c r="BE290" t="s">
        <v>2776</v>
      </c>
      <c r="BF290">
        <v>2</v>
      </c>
      <c r="BG290" t="s">
        <v>2768</v>
      </c>
      <c r="BH290">
        <v>1</v>
      </c>
      <c r="BI290" s="176" t="s">
        <v>2776</v>
      </c>
      <c r="BJ290">
        <v>0</v>
      </c>
      <c r="BK290" s="176" t="s">
        <v>2768</v>
      </c>
      <c r="BL290">
        <v>0</v>
      </c>
      <c r="BM290" t="s">
        <v>2768</v>
      </c>
      <c r="BN290">
        <v>2</v>
      </c>
      <c r="BO290" s="176" t="s">
        <v>2776</v>
      </c>
      <c r="BP290">
        <v>2</v>
      </c>
      <c r="BQ290" t="s">
        <v>2768</v>
      </c>
      <c r="BR290">
        <v>0</v>
      </c>
      <c r="BS290" s="176" t="s">
        <v>2794</v>
      </c>
      <c r="BT290">
        <v>2</v>
      </c>
      <c r="BU290" t="s">
        <v>2776</v>
      </c>
      <c r="BV290">
        <v>1</v>
      </c>
      <c r="BW290" s="182" t="s">
        <v>2776</v>
      </c>
      <c r="BX290" s="179">
        <v>2</v>
      </c>
      <c r="BY290" t="s">
        <v>2776</v>
      </c>
      <c r="BZ290">
        <v>2</v>
      </c>
      <c r="CA290" t="s">
        <v>2776</v>
      </c>
      <c r="CB290">
        <v>2</v>
      </c>
    </row>
    <row r="291" spans="1:80">
      <c r="A291" s="178" t="str">
        <f ca="1">IFERROR(IF(A290+加速!$L$11&lt;$AS$1,IF(COUNTIF(B290,"*轻*")&gt;0,A290+加速!$L$9,A290+加速!$L$11)+V290,IF(COUNTIF(INDEX(AU291:CB291,1,$AT$1),"*云景*")+COUNTIF(INDEX(AU291:CB291,1,$AT$1),"*鹤归*")+COUNTIF(INDEX(AU291:CB291,1,$AT$1),"*听雷*")&gt;0,A290+加速!$L$11,"")),"")</f>
        <v/>
      </c>
      <c r="B291" s="167" t="str">
        <f ca="1">IF(A291&lt;&gt;"",IF(AND(A291+加速!$L$11&gt;$AS$1,IF(AND(配装计算器!$K$30&lt;&gt;"∞",0),"梦泉虎跑-轻",INDEX(AU291:CB291,1,$AT$1))="云栖松"),"夕照雷峰",IF(AND(配装计算器!$K$30&lt;&gt;"∞",0),"梦泉虎跑-轻",INDEX(AU291:CB291,1,$AT$1))),"")</f>
        <v/>
      </c>
      <c r="C291" t="str">
        <f ca="1" t="shared" si="64"/>
        <v/>
      </c>
      <c r="D291" t="str">
        <f ca="1">IF(B291&lt;&gt;"",IF(C290&lt;=加速!$L$11*(1-E291),0,1),"")</f>
        <v/>
      </c>
      <c r="E291">
        <f ca="1" t="shared" si="59"/>
        <v>1</v>
      </c>
      <c r="G291" t="str">
        <f ca="1" t="shared" si="60"/>
        <v/>
      </c>
      <c r="H291" t="str">
        <f ca="1">IF(B291&lt;&gt;"",IF(AND(COUNTIF(B290,"*轻*莺鸣柳*")&gt;0,COUNTIF(B291,"*轻*")&lt;1),MAX(0,15+I290-(A291-A290)+COUNTIF(B290,"*平湖*")*0),IF(AND(E291=0,MAX(0,H290-(A291-A290))&lt;=加速!$H$11),0,MAX(0,H290-(A291-A290)))),"")</f>
        <v/>
      </c>
      <c r="I291" t="str">
        <f ca="1" t="shared" si="67"/>
        <v/>
      </c>
      <c r="J291" t="str">
        <f ca="1" t="shared" si="68"/>
        <v/>
      </c>
      <c r="K291" t="str">
        <f ca="1">IF(A291&lt;&gt;"",IF(AND(配装计算器!$K$30&lt;&gt;"∞",0),2,INDEX(AU291:CB291,1,$AT$2)),"")</f>
        <v/>
      </c>
      <c r="L291">
        <f ca="1">IFERROR(IF(AND(COUNTIF(B291,"*-峰插*"),技能数据库!$M$72&gt;0),0,IF(COUNTIF(B291,"*鹤归*")&gt;0,16-加速!$L$11,MAX(0,L290-(A291-A290)))),0)</f>
        <v>0</v>
      </c>
      <c r="M291">
        <f ca="1">IF(COUNTIF(IF(AND(配装计算器!$K$30&lt;&gt;"∞",0),INDEX(AU290:CB290,1,$AT$1),INDEX(AU292:CB292,1,$AT$1)),"*鹤归*")=1,L291,0)</f>
        <v>0</v>
      </c>
      <c r="N291">
        <f ca="1">IFERROR(IF(AND(COUNTIF(B291,"*-峰插*"),技能数据库!$M$72&gt;0),0,IF(COUNTIF(B291,"*云飞*")&gt;0,4-COUNTIF(B291,"*玉山揽云*")*4--COUNTIF(B291,"*烟流暮景*")*4-COUNTIF(B291,"*云景*")*加速!$L$11-IF(J291&gt;0,2,0),MAX(0,N290-(A291-A290)-IF(J291&gt;0,2,0)))),0)</f>
        <v>0</v>
      </c>
      <c r="O291">
        <f ca="1">IF(AND(COUNTIF(IF(AND(配装计算器!$K$30&lt;&gt;"∞",0),INDEX(AU290:CB290,1,$AT$1),INDEX(AU292:CB292,1,$AT$1)),"*云飞*")=1,COUNTIF(IF(AND(配装计算器!$K$30&lt;&gt;"∞",0),INDEX(AU290:CB290,1,$AT$1),INDEX(AU292:CB292,1,$AT$1)),"*玉山*")=0),N291,0)</f>
        <v>0</v>
      </c>
      <c r="P291">
        <f ca="1">IFERROR(IF(COUNTIF(B291,"*云栖松*")&gt;0,50-加速!$L$11,MAX(0,P290-(A291-A290))),0)</f>
        <v>0</v>
      </c>
      <c r="Q291">
        <f ca="1">IF(COUNTIF(IF(AND(配装计算器!$K$30&lt;&gt;"∞",0),INDEX(AU290:CB290,1,$AT$1),INDEX(AU292:CB292,1,$AT$1)),"*云栖松*")=1,P291,0)</f>
        <v>0</v>
      </c>
      <c r="R291">
        <f ca="1">IFERROR(IF(COUNTIF(B291,"*莺鸣柳*")&gt;0,45-加速!$L$9,MAX(0,R290-(A291-A290))),0)</f>
        <v>0</v>
      </c>
      <c r="S291">
        <f ca="1">IF(COUNTIF(IF(AND(配装计算器!$K$30&lt;&gt;"∞",0),INDEX(AU290:CB290,1,$AT$1),INDEX(AU292:CB292,1,$AT$1)),"*莺鸣柳*")=1,R291,0)</f>
        <v>0</v>
      </c>
      <c r="T291">
        <f ca="1" t="shared" si="65"/>
        <v>0</v>
      </c>
      <c r="U291">
        <f ca="1">IF(金蛇,IF(COUNTIF(B291,"*金环戴*")+COUNTIF(B291,"*吹风醒*")&gt;0,IF(A291&lt;=3,7.125-2.625-A291-加速!$L$11,7.125+加速!$K$9-(A291+加速!$L$11-T291)),0),0)+IF(金蛇,IF(COUNTIF(B291,"*千切子裂光*")&gt;0,2+加速!$K$9-(A291+加速!$L$11-T291),0),0)</f>
        <v>0</v>
      </c>
      <c r="V291">
        <f ca="1" t="shared" si="66"/>
        <v>0</v>
      </c>
      <c r="W291">
        <f ca="1" t="shared" si="57"/>
        <v>0</v>
      </c>
      <c r="X291">
        <f ca="1">INDEX(加速!$I$13:$I$21,技能数计算!W291+1)</f>
        <v>0</v>
      </c>
      <c r="Y291">
        <f ca="1" t="shared" si="61"/>
        <v>0.5</v>
      </c>
      <c r="Z291">
        <f ca="1" t="shared" si="62"/>
        <v>0</v>
      </c>
      <c r="AA291">
        <f ca="1">MAX(0,IFERROR(IF(COUNTIF(B291,"*叠*")&gt;0,IF(AC290&lt;3,8-A292+A291,AA290+6.875-A292+A291),AA290-A292+A291),AA290-加速!$L$11))</f>
        <v>0</v>
      </c>
      <c r="AB291" t="e">
        <f ca="1">MAX(0,IF(COUNTIF(IF(AND(配装计算器!$K$30&lt;&gt;"∞",0),INDEX(AU291:CB291,1,$AT$1),INDEX(AU291:CB291,1,$AT$1)),"*叠1*")=1,4*25-加速!$L$11,AB290-A291+A290)-IF(OR(COUNTIF(OFFSET(AT291,0,$AT$1,1,1),"*听雷*")&gt;0,AND(碧归&gt;0,COUNTIF(OFFSET(AT291,0,$AT$1,1,1),"*风来*")&gt;0)),0,1)*1.5)</f>
        <v>#VALUE!</v>
      </c>
      <c r="AC291">
        <f ca="1" t="shared" si="58"/>
        <v>3</v>
      </c>
      <c r="AD291">
        <f ca="1">IF(COUNTIF(IF(AND(配装计算器!$K$30&lt;&gt;"∞",0),INDEX(AU291:CB291,1,$AT$1),INDEX(AU292:CB292,1,$AT$1)),"*叠1*")=1,AB291*0+AE290,0)</f>
        <v>0</v>
      </c>
      <c r="AE291" t="e">
        <f ca="1">IF($AN$11&gt;0,IF(COUNTIF(B292,"*叠1*")&gt;0,50-加速!$H$11,MAX(0,AE290-(A292-A291))),0)</f>
        <v>#VALUE!</v>
      </c>
      <c r="AU291" s="176" t="s">
        <v>2776</v>
      </c>
      <c r="AV291">
        <v>2</v>
      </c>
      <c r="AW291" t="s">
        <v>2768</v>
      </c>
      <c r="AX291">
        <v>2</v>
      </c>
      <c r="AY291" t="s">
        <v>2768</v>
      </c>
      <c r="AZ291">
        <v>1</v>
      </c>
      <c r="BA291" t="s">
        <v>3010</v>
      </c>
      <c r="BB291">
        <v>2</v>
      </c>
      <c r="BC291" t="s">
        <v>2776</v>
      </c>
      <c r="BD291">
        <v>2</v>
      </c>
      <c r="BE291" t="s">
        <v>2768</v>
      </c>
      <c r="BF291">
        <v>2</v>
      </c>
      <c r="BG291" t="s">
        <v>3011</v>
      </c>
      <c r="BH291">
        <v>2</v>
      </c>
      <c r="BI291" t="s">
        <v>2794</v>
      </c>
      <c r="BJ291">
        <v>0</v>
      </c>
      <c r="BK291" s="176" t="s">
        <v>2776</v>
      </c>
      <c r="BL291">
        <v>0</v>
      </c>
      <c r="BM291" t="s">
        <v>2768</v>
      </c>
      <c r="BN291">
        <v>2</v>
      </c>
      <c r="BO291" s="176" t="str">
        <f>IF(0,"云飞玉皇-玉山揽云","夕照雷峰")</f>
        <v>夕照雷峰</v>
      </c>
      <c r="BP291">
        <v>2</v>
      </c>
      <c r="BQ291" t="s">
        <v>3067</v>
      </c>
      <c r="BR291">
        <v>0</v>
      </c>
      <c r="BS291" t="s">
        <v>2768</v>
      </c>
      <c r="BT291">
        <v>2</v>
      </c>
      <c r="BU291" t="s">
        <v>2768</v>
      </c>
      <c r="BV291">
        <v>0</v>
      </c>
      <c r="BW291" s="182" t="s">
        <v>2768</v>
      </c>
      <c r="BX291" s="179">
        <v>2</v>
      </c>
      <c r="BY291" t="s">
        <v>2768</v>
      </c>
      <c r="BZ291">
        <v>2</v>
      </c>
      <c r="CA291" s="176" t="s">
        <v>2794</v>
      </c>
      <c r="CB291">
        <v>2</v>
      </c>
    </row>
    <row r="292" spans="1:80">
      <c r="A292" s="178" t="str">
        <f ca="1">IFERROR(IF(A291+加速!$L$11&lt;$AS$1,IF(COUNTIF(B291,"*轻*")&gt;0,A291+加速!$L$9,A291+加速!$L$11)+V291,IF(COUNTIF(INDEX(AU292:CB292,1,$AT$1),"*云景*")+COUNTIF(INDEX(AU292:CB292,1,$AT$1),"*鹤归*")+COUNTIF(INDEX(AU292:CB292,1,$AT$1),"*听雷*")&gt;0,A291+加速!$L$11,"")),"")</f>
        <v/>
      </c>
      <c r="B292" s="167" t="str">
        <f ca="1">IF(A292&lt;&gt;"",IF(AND(A292+加速!$L$11&gt;$AS$1,IF(AND(配装计算器!$K$30&lt;&gt;"∞",0),"梦泉虎跑-轻",INDEX(AU292:CB292,1,$AT$1))="云栖松"),"夕照雷峰",IF(AND(配装计算器!$K$30&lt;&gt;"∞",0),"梦泉虎跑-轻",INDEX(AU292:CB292,1,$AT$1))),"")</f>
        <v/>
      </c>
      <c r="C292" t="str">
        <f ca="1" t="shared" si="64"/>
        <v/>
      </c>
      <c r="D292" t="str">
        <f ca="1">IF(B292&lt;&gt;"",IF(C291&lt;=加速!$L$11*(1-E292),0,1),"")</f>
        <v/>
      </c>
      <c r="E292">
        <f ca="1" t="shared" si="59"/>
        <v>1</v>
      </c>
      <c r="G292" t="str">
        <f ca="1" t="shared" si="60"/>
        <v/>
      </c>
      <c r="H292" t="str">
        <f ca="1">IF(B292&lt;&gt;"",IF(AND(COUNTIF(B291,"*轻*莺鸣柳*")&gt;0,COUNTIF(B292,"*轻*")&lt;1),MAX(0,15+I291-(A292-A291)+COUNTIF(B291,"*平湖*")*0),IF(AND(E292=0,MAX(0,H291-(A292-A291))&lt;=加速!$H$11),0,MAX(0,H291-(A292-A291)))),"")</f>
        <v/>
      </c>
      <c r="I292" t="str">
        <f ca="1" t="shared" si="67"/>
        <v/>
      </c>
      <c r="J292" t="str">
        <f ca="1" t="shared" si="68"/>
        <v/>
      </c>
      <c r="K292" t="str">
        <f ca="1">IF(A292&lt;&gt;"",IF(AND(配装计算器!$K$30&lt;&gt;"∞",0),2,INDEX(AU292:CB292,1,$AT$2)),"")</f>
        <v/>
      </c>
      <c r="L292">
        <f ca="1">IFERROR(IF(AND(COUNTIF(B292,"*-峰插*"),技能数据库!$M$72&gt;0),0,IF(COUNTIF(B292,"*鹤归*")&gt;0,16-加速!$L$11,MAX(0,L291-(A292-A291)))),0)</f>
        <v>0</v>
      </c>
      <c r="M292">
        <f ca="1">IF(COUNTIF(IF(AND(配装计算器!$K$30&lt;&gt;"∞",0),INDEX(AU291:CB291,1,$AT$1),INDEX(AU293:CB293,1,$AT$1)),"*鹤归*")=1,L292,0)</f>
        <v>0</v>
      </c>
      <c r="N292">
        <f ca="1">IFERROR(IF(AND(COUNTIF(B292,"*-峰插*"),技能数据库!$M$72&gt;0),0,IF(COUNTIF(B292,"*云飞*")&gt;0,4-COUNTIF(B292,"*玉山揽云*")*4--COUNTIF(B292,"*烟流暮景*")*4-COUNTIF(B292,"*云景*")*加速!$L$11-IF(J292&gt;0,2,0),MAX(0,N291-(A292-A291)-IF(J292&gt;0,2,0)))),0)</f>
        <v>0</v>
      </c>
      <c r="O292">
        <f ca="1">IF(AND(COUNTIF(IF(AND(配装计算器!$K$30&lt;&gt;"∞",0),INDEX(AU291:CB291,1,$AT$1),INDEX(AU293:CB293,1,$AT$1)),"*云飞*")=1,COUNTIF(IF(AND(配装计算器!$K$30&lt;&gt;"∞",0),INDEX(AU291:CB291,1,$AT$1),INDEX(AU293:CB293,1,$AT$1)),"*玉山*")=0),N292,0)</f>
        <v>0</v>
      </c>
      <c r="P292">
        <f ca="1">IFERROR(IF(COUNTIF(B292,"*云栖松*")&gt;0,50-加速!$L$11,MAX(0,P291-(A292-A291))),0)</f>
        <v>0</v>
      </c>
      <c r="Q292">
        <f ca="1">IF(COUNTIF(IF(AND(配装计算器!$K$30&lt;&gt;"∞",0),INDEX(AU291:CB291,1,$AT$1),INDEX(AU293:CB293,1,$AT$1)),"*云栖松*")=1,P292,0)</f>
        <v>0</v>
      </c>
      <c r="R292">
        <f ca="1">IFERROR(IF(COUNTIF(B292,"*莺鸣柳*")&gt;0,45-加速!$L$9,MAX(0,R291-(A292-A291))),0)</f>
        <v>0</v>
      </c>
      <c r="S292">
        <f ca="1">IF(COUNTIF(IF(AND(配装计算器!$K$30&lt;&gt;"∞",0),INDEX(AU291:CB291,1,$AT$1),INDEX(AU293:CB293,1,$AT$1)),"*莺鸣柳*")=1,R292,0)</f>
        <v>0</v>
      </c>
      <c r="T292">
        <f ca="1" t="shared" si="65"/>
        <v>0</v>
      </c>
      <c r="U292">
        <f ca="1">IF(金蛇,IF(COUNTIF(B292,"*金环戴*")+COUNTIF(B292,"*吹风醒*")&gt;0,IF(A292&lt;=3,7.125-2.625-A292-加速!$L$11,7.125+加速!$K$9-(A292+加速!$L$11-T292)),0),0)+IF(金蛇,IF(COUNTIF(B292,"*千切子裂光*")&gt;0,2+加速!$K$9-(A292+加速!$L$11-T292),0),0)</f>
        <v>0</v>
      </c>
      <c r="V292">
        <f ca="1" t="shared" si="66"/>
        <v>0</v>
      </c>
      <c r="W292">
        <f ca="1" t="shared" si="57"/>
        <v>0</v>
      </c>
      <c r="X292">
        <f ca="1">INDEX(加速!$I$13:$I$21,技能数计算!W292+1)</f>
        <v>0</v>
      </c>
      <c r="Y292">
        <f ca="1" t="shared" si="61"/>
        <v>0.5</v>
      </c>
      <c r="Z292">
        <f ca="1" t="shared" si="62"/>
        <v>0</v>
      </c>
      <c r="AA292">
        <f ca="1">MAX(0,IFERROR(IF(COUNTIF(B292,"*叠*")&gt;0,IF(AC291&lt;3,8-A293+A292,AA291+6.875-A293+A292),AA291-A293+A292),AA291-加速!$L$11))</f>
        <v>0</v>
      </c>
      <c r="AB292" t="e">
        <f ca="1">MAX(0,IF(COUNTIF(IF(AND(配装计算器!$K$30&lt;&gt;"∞",0),INDEX(AU292:CB292,1,$AT$1),INDEX(AU292:CB292,1,$AT$1)),"*叠1*")=1,4*25-加速!$L$11,AB291-A292+A291)-IF(OR(COUNTIF(OFFSET(AT292,0,$AT$1,1,1),"*听雷*")&gt;0,AND(碧归&gt;0,COUNTIF(OFFSET(AT292,0,$AT$1,1,1),"*风来*")&gt;0)),0,1)*1.5)</f>
        <v>#VALUE!</v>
      </c>
      <c r="AC292">
        <f ca="1" t="shared" si="58"/>
        <v>3</v>
      </c>
      <c r="AD292">
        <f ca="1">IF(COUNTIF(IF(AND(配装计算器!$K$30&lt;&gt;"∞",0),INDEX(AU292:CB292,1,$AT$1),INDEX(AU293:CB293,1,$AT$1)),"*叠1*")=1,AB292*0+AE291,0)</f>
        <v>0</v>
      </c>
      <c r="AE292" t="e">
        <f ca="1">IF($AN$11&gt;0,IF(COUNTIF(B293,"*叠1*")&gt;0,50-加速!$H$11,MAX(0,AE291-(A293-A292))),0)</f>
        <v>#VALUE!</v>
      </c>
      <c r="AU292" s="176" t="s">
        <v>2768</v>
      </c>
      <c r="AV292">
        <v>1</v>
      </c>
      <c r="AW292" s="176" t="s">
        <v>2794</v>
      </c>
      <c r="AX292">
        <v>2</v>
      </c>
      <c r="AY292" t="s">
        <v>2768</v>
      </c>
      <c r="AZ292">
        <v>0</v>
      </c>
      <c r="BA292" t="s">
        <v>3013</v>
      </c>
      <c r="BB292">
        <v>2</v>
      </c>
      <c r="BC292" t="s">
        <v>2768</v>
      </c>
      <c r="BD292">
        <v>2</v>
      </c>
      <c r="BE292" t="s">
        <v>2776</v>
      </c>
      <c r="BF292">
        <v>2</v>
      </c>
      <c r="BG292" t="s">
        <v>2768</v>
      </c>
      <c r="BH292">
        <v>2</v>
      </c>
      <c r="BI292" t="s">
        <v>2768</v>
      </c>
      <c r="BJ292">
        <v>2</v>
      </c>
      <c r="BK292" s="176" t="s">
        <v>2768</v>
      </c>
      <c r="BL292">
        <v>0</v>
      </c>
      <c r="BM292" t="s">
        <v>2768</v>
      </c>
      <c r="BN292">
        <v>2</v>
      </c>
      <c r="BO292" t="str">
        <f>IF(0,"云飞玉皇-玉山揽云","云飞玉皇")</f>
        <v>云飞玉皇</v>
      </c>
      <c r="BP292">
        <v>2</v>
      </c>
      <c r="BQ292" t="s">
        <v>2776</v>
      </c>
      <c r="BR292">
        <v>2</v>
      </c>
      <c r="BS292" t="s">
        <v>2776</v>
      </c>
      <c r="BT292">
        <v>2</v>
      </c>
      <c r="BU292" t="s">
        <v>2768</v>
      </c>
      <c r="BV292">
        <v>0</v>
      </c>
      <c r="BW292" s="182" t="s">
        <v>2776</v>
      </c>
      <c r="BX292" s="179">
        <v>2</v>
      </c>
      <c r="BY292" t="s">
        <v>2768</v>
      </c>
      <c r="BZ292">
        <v>2</v>
      </c>
      <c r="CA292" s="176" t="s">
        <v>2768</v>
      </c>
      <c r="CB292">
        <v>2</v>
      </c>
    </row>
    <row r="293" spans="1:80">
      <c r="A293" s="178" t="str">
        <f ca="1">IFERROR(IF(A292+加速!$L$11&lt;$AS$1,IF(COUNTIF(B292,"*轻*")&gt;0,A292+加速!$L$9,A292+加速!$L$11)+V292,IF(COUNTIF(INDEX(AU293:CB293,1,$AT$1),"*云景*")+COUNTIF(INDEX(AU293:CB293,1,$AT$1),"*鹤归*")+COUNTIF(INDEX(AU293:CB293,1,$AT$1),"*听雷*")&gt;0,A292+加速!$L$11,"")),"")</f>
        <v/>
      </c>
      <c r="B293" s="167" t="str">
        <f ca="1">IF(A293&lt;&gt;"",IF(AND(A293+加速!$L$11&gt;$AS$1,IF(AND(配装计算器!$K$30&lt;&gt;"∞",0),"梦泉虎跑-轻",INDEX(AU293:CB293,1,$AT$1))="云栖松"),"夕照雷峰",IF(AND(配装计算器!$K$30&lt;&gt;"∞",0),"梦泉虎跑-轻",INDEX(AU293:CB293,1,$AT$1))),"")</f>
        <v/>
      </c>
      <c r="C293" t="str">
        <f ca="1" t="shared" si="64"/>
        <v/>
      </c>
      <c r="D293" t="str">
        <f ca="1">IF(B293&lt;&gt;"",IF(C292&lt;=加速!$L$11*(1-E293),0,1),"")</f>
        <v/>
      </c>
      <c r="E293">
        <f ca="1" t="shared" si="59"/>
        <v>1</v>
      </c>
      <c r="G293" t="str">
        <f ca="1" t="shared" si="60"/>
        <v/>
      </c>
      <c r="H293" t="str">
        <f ca="1">IF(B293&lt;&gt;"",IF(AND(COUNTIF(B292,"*轻*莺鸣柳*")&gt;0,COUNTIF(B293,"*轻*")&lt;1),MAX(0,15+I292-(A293-A292)+COUNTIF(B292,"*平湖*")*0),IF(AND(E293=0,MAX(0,H292-(A293-A292))&lt;=加速!$H$11),0,MAX(0,H292-(A293-A292)))),"")</f>
        <v/>
      </c>
      <c r="I293" t="str">
        <f ca="1" t="shared" si="67"/>
        <v/>
      </c>
      <c r="J293" t="str">
        <f ca="1" t="shared" si="68"/>
        <v/>
      </c>
      <c r="K293" t="str">
        <f ca="1">IF(A293&lt;&gt;"",IF(AND(配装计算器!$K$30&lt;&gt;"∞",0),2,INDEX(AU293:CB293,1,$AT$2)),"")</f>
        <v/>
      </c>
      <c r="L293">
        <f ca="1">IFERROR(IF(AND(COUNTIF(B293,"*-峰插*"),技能数据库!$M$72&gt;0),0,IF(COUNTIF(B293,"*鹤归*")&gt;0,16-加速!$L$11,MAX(0,L292-(A293-A292)))),0)</f>
        <v>0</v>
      </c>
      <c r="M293">
        <f ca="1">IF(COUNTIF(IF(AND(配装计算器!$K$30&lt;&gt;"∞",0),INDEX(AU292:CB292,1,$AT$1),INDEX(AU294:CB294,1,$AT$1)),"*鹤归*")=1,L293,0)</f>
        <v>0</v>
      </c>
      <c r="N293">
        <f ca="1">IFERROR(IF(AND(COUNTIF(B293,"*-峰插*"),技能数据库!$M$72&gt;0),0,IF(COUNTIF(B293,"*云飞*")&gt;0,4-COUNTIF(B293,"*玉山揽云*")*4--COUNTIF(B293,"*烟流暮景*")*4-COUNTIF(B293,"*云景*")*加速!$L$11-IF(J293&gt;0,2,0),MAX(0,N292-(A293-A292)-IF(J293&gt;0,2,0)))),0)</f>
        <v>0</v>
      </c>
      <c r="O293">
        <f ca="1">IF(AND(COUNTIF(IF(AND(配装计算器!$K$30&lt;&gt;"∞",0),INDEX(AU292:CB292,1,$AT$1),INDEX(AU294:CB294,1,$AT$1)),"*云飞*")=1,COUNTIF(IF(AND(配装计算器!$K$30&lt;&gt;"∞",0),INDEX(AU292:CB292,1,$AT$1),INDEX(AU294:CB294,1,$AT$1)),"*玉山*")=0),N293,0)</f>
        <v>0</v>
      </c>
      <c r="P293">
        <f ca="1">IFERROR(IF(COUNTIF(B293,"*云栖松*")&gt;0,50-加速!$L$11,MAX(0,P292-(A293-A292))),0)</f>
        <v>0</v>
      </c>
      <c r="Q293">
        <f ca="1">IF(COUNTIF(IF(AND(配装计算器!$K$30&lt;&gt;"∞",0),INDEX(AU292:CB292,1,$AT$1),INDEX(AU294:CB294,1,$AT$1)),"*云栖松*")=1,P293,0)</f>
        <v>0</v>
      </c>
      <c r="R293">
        <f ca="1">IFERROR(IF(COUNTIF(B293,"*莺鸣柳*")&gt;0,45-加速!$L$9,MAX(0,R292-(A293-A292))),0)</f>
        <v>0</v>
      </c>
      <c r="S293">
        <f ca="1">IF(COUNTIF(IF(AND(配装计算器!$K$30&lt;&gt;"∞",0),INDEX(AU292:CB292,1,$AT$1),INDEX(AU294:CB294,1,$AT$1)),"*莺鸣柳*")=1,R293,0)</f>
        <v>0</v>
      </c>
      <c r="T293">
        <f ca="1" t="shared" si="65"/>
        <v>0</v>
      </c>
      <c r="U293">
        <f ca="1">IF(金蛇,IF(COUNTIF(B293,"*金环戴*")+COUNTIF(B293,"*吹风醒*")&gt;0,IF(A293&lt;=3,7.125-2.625-A293-加速!$L$11,7.125+加速!$K$9-(A293+加速!$L$11-T293)),0),0)+IF(金蛇,IF(COUNTIF(B293,"*千切子裂光*")&gt;0,2+加速!$K$9-(A293+加速!$L$11-T293),0),0)</f>
        <v>0</v>
      </c>
      <c r="V293">
        <f ca="1" t="shared" si="66"/>
        <v>0</v>
      </c>
      <c r="W293">
        <f ca="1" t="shared" si="57"/>
        <v>0</v>
      </c>
      <c r="X293">
        <f ca="1">INDEX(加速!$I$13:$I$21,技能数计算!W293+1)</f>
        <v>0</v>
      </c>
      <c r="Y293">
        <f ca="1" t="shared" si="61"/>
        <v>0.5</v>
      </c>
      <c r="Z293">
        <f ca="1" t="shared" si="62"/>
        <v>0</v>
      </c>
      <c r="AA293">
        <f ca="1">MAX(0,IFERROR(IF(COUNTIF(B293,"*叠*")&gt;0,IF(AC292&lt;3,8-A294+A293,AA292+6.875-A294+A293),AA292-A294+A293),AA292-加速!$L$11))</f>
        <v>0</v>
      </c>
      <c r="AB293" t="e">
        <f ca="1">MAX(0,IF(COUNTIF(IF(AND(配装计算器!$K$30&lt;&gt;"∞",0),INDEX(AU293:CB293,1,$AT$1),INDEX(AU293:CB293,1,$AT$1)),"*叠1*")=1,4*25-加速!$L$11,AB292-A293+A292)-IF(OR(COUNTIF(OFFSET(AT293,0,$AT$1,1,1),"*听雷*")&gt;0,AND(碧归&gt;0,COUNTIF(OFFSET(AT293,0,$AT$1,1,1),"*风来*")&gt;0)),0,1)*1.5)</f>
        <v>#VALUE!</v>
      </c>
      <c r="AC293">
        <f ca="1" t="shared" si="58"/>
        <v>3</v>
      </c>
      <c r="AD293">
        <f ca="1">IF(COUNTIF(IF(AND(配装计算器!$K$30&lt;&gt;"∞",0),INDEX(AU293:CB293,1,$AT$1),INDEX(AU294:CB294,1,$AT$1)),"*叠1*")=1,AB293*0+AE292,0)</f>
        <v>0</v>
      </c>
      <c r="AE293" t="e">
        <f ca="1">IF($AN$11&gt;0,IF(COUNTIF(B294,"*叠1*")&gt;0,50-加速!$H$11,MAX(0,AE292-(A294-A293))),0)</f>
        <v>#VALUE!</v>
      </c>
      <c r="AU293" t="s">
        <v>2776</v>
      </c>
      <c r="AV293">
        <v>1</v>
      </c>
      <c r="AW293" s="176" t="s">
        <v>2768</v>
      </c>
      <c r="AX293">
        <v>2</v>
      </c>
      <c r="AY293" t="s">
        <v>3010</v>
      </c>
      <c r="AZ293">
        <v>2</v>
      </c>
      <c r="BA293" t="s">
        <v>3017</v>
      </c>
      <c r="BB293">
        <v>2</v>
      </c>
      <c r="BC293" t="s">
        <v>2776</v>
      </c>
      <c r="BD293">
        <v>2</v>
      </c>
      <c r="BE293" t="s">
        <v>2768</v>
      </c>
      <c r="BF293">
        <v>2</v>
      </c>
      <c r="BG293" t="s">
        <v>3018</v>
      </c>
      <c r="BH293">
        <v>2</v>
      </c>
      <c r="BI293" t="s">
        <v>2776</v>
      </c>
      <c r="BJ293">
        <v>2</v>
      </c>
      <c r="BK293" s="176" t="s">
        <v>3012</v>
      </c>
      <c r="BL293">
        <v>2</v>
      </c>
      <c r="BM293" t="s">
        <v>2776</v>
      </c>
      <c r="BN293">
        <v>2</v>
      </c>
      <c r="BO293" t="str">
        <f>IF(秋,"云栖松","泉凝月")</f>
        <v>泉凝月</v>
      </c>
      <c r="BP293">
        <v>2</v>
      </c>
      <c r="BQ293" t="s">
        <v>2768</v>
      </c>
      <c r="BR293">
        <v>2</v>
      </c>
      <c r="BS293" t="s">
        <v>2768</v>
      </c>
      <c r="BT293">
        <v>2</v>
      </c>
      <c r="BU293" t="s">
        <v>2776</v>
      </c>
      <c r="BV293">
        <v>0</v>
      </c>
      <c r="BW293" s="182" t="s">
        <v>2768</v>
      </c>
      <c r="BX293" s="179">
        <v>2</v>
      </c>
      <c r="BY293" t="s">
        <v>2768</v>
      </c>
      <c r="BZ293">
        <v>2</v>
      </c>
      <c r="CA293" s="176" t="s">
        <v>2776</v>
      </c>
      <c r="CB293">
        <v>2</v>
      </c>
    </row>
    <row r="294" spans="1:80">
      <c r="A294" s="178" t="str">
        <f ca="1">IFERROR(IF(A293+加速!$L$11&lt;$AS$1,IF(COUNTIF(B293,"*轻*")&gt;0,A293+加速!$L$9,A293+加速!$L$11)+V293,IF(COUNTIF(INDEX(AU294:CB294,1,$AT$1),"*云景*")+COUNTIF(INDEX(AU294:CB294,1,$AT$1),"*鹤归*")+COUNTIF(INDEX(AU294:CB294,1,$AT$1),"*听雷*")&gt;0,A293+加速!$L$11,"")),"")</f>
        <v/>
      </c>
      <c r="B294" s="167" t="str">
        <f ca="1">IF(A294&lt;&gt;"",IF(AND(A294+加速!$L$11&gt;$AS$1,IF(AND(配装计算器!$K$30&lt;&gt;"∞",0),"梦泉虎跑-轻",INDEX(AU294:CB294,1,$AT$1))="云栖松"),"夕照雷峰",IF(AND(配装计算器!$K$30&lt;&gt;"∞",0),"梦泉虎跑-轻",INDEX(AU294:CB294,1,$AT$1))),"")</f>
        <v/>
      </c>
      <c r="C294" t="str">
        <f ca="1" t="shared" si="64"/>
        <v/>
      </c>
      <c r="D294" t="str">
        <f ca="1">IF(B294&lt;&gt;"",IF(C293&lt;=加速!$L$11*(1-E294),0,1),"")</f>
        <v/>
      </c>
      <c r="E294">
        <f ca="1" t="shared" si="59"/>
        <v>1</v>
      </c>
      <c r="G294" t="str">
        <f ca="1" t="shared" si="60"/>
        <v/>
      </c>
      <c r="H294" t="str">
        <f ca="1">IF(B294&lt;&gt;"",IF(AND(COUNTIF(B293,"*轻*莺鸣柳*")&gt;0,COUNTIF(B294,"*轻*")&lt;1),MAX(0,15+I293-(A294-A293)+COUNTIF(B293,"*平湖*")*0),IF(AND(E294=0,MAX(0,H293-(A294-A293))&lt;=加速!$H$11),0,MAX(0,H293-(A294-A293)))),"")</f>
        <v/>
      </c>
      <c r="I294" t="str">
        <f ca="1" t="shared" si="67"/>
        <v/>
      </c>
      <c r="J294" t="str">
        <f ca="1" t="shared" si="68"/>
        <v/>
      </c>
      <c r="K294" t="str">
        <f ca="1">IF(A294&lt;&gt;"",IF(AND(配装计算器!$K$30&lt;&gt;"∞",0),2,INDEX(AU294:CB294,1,$AT$2)),"")</f>
        <v/>
      </c>
      <c r="L294">
        <f ca="1">IFERROR(IF(AND(COUNTIF(B294,"*-峰插*"),技能数据库!$M$72&gt;0),0,IF(COUNTIF(B294,"*鹤归*")&gt;0,16-加速!$L$11,MAX(0,L293-(A294-A293)))),0)</f>
        <v>0</v>
      </c>
      <c r="M294">
        <f ca="1">IF(COUNTIF(IF(AND(配装计算器!$K$30&lt;&gt;"∞",0),INDEX(AU293:CB293,1,$AT$1),INDEX(AU295:CB295,1,$AT$1)),"*鹤归*")=1,L294,0)</f>
        <v>0</v>
      </c>
      <c r="N294">
        <f ca="1">IFERROR(IF(AND(COUNTIF(B294,"*-峰插*"),技能数据库!$M$72&gt;0),0,IF(COUNTIF(B294,"*云飞*")&gt;0,4-COUNTIF(B294,"*玉山揽云*")*4--COUNTIF(B294,"*烟流暮景*")*4-COUNTIF(B294,"*云景*")*加速!$L$11-IF(J294&gt;0,2,0),MAX(0,N293-(A294-A293)-IF(J294&gt;0,2,0)))),0)</f>
        <v>0</v>
      </c>
      <c r="O294">
        <f ca="1">IF(AND(COUNTIF(IF(AND(配装计算器!$K$30&lt;&gt;"∞",0),INDEX(AU293:CB293,1,$AT$1),INDEX(AU295:CB295,1,$AT$1)),"*云飞*")=1,COUNTIF(IF(AND(配装计算器!$K$30&lt;&gt;"∞",0),INDEX(AU293:CB293,1,$AT$1),INDEX(AU295:CB295,1,$AT$1)),"*玉山*")=0),N294,0)</f>
        <v>0</v>
      </c>
      <c r="P294">
        <f ca="1">IFERROR(IF(COUNTIF(B294,"*云栖松*")&gt;0,50-加速!$L$11,MAX(0,P293-(A294-A293))),0)</f>
        <v>0</v>
      </c>
      <c r="Q294">
        <f ca="1">IF(COUNTIF(IF(AND(配装计算器!$K$30&lt;&gt;"∞",0),INDEX(AU293:CB293,1,$AT$1),INDEX(AU295:CB295,1,$AT$1)),"*云栖松*")=1,P294,0)</f>
        <v>0</v>
      </c>
      <c r="R294">
        <f ca="1">IFERROR(IF(COUNTIF(B294,"*莺鸣柳*")&gt;0,45-加速!$L$9,MAX(0,R293-(A294-A293))),0)</f>
        <v>0</v>
      </c>
      <c r="S294">
        <f ca="1">IF(COUNTIF(IF(AND(配装计算器!$K$30&lt;&gt;"∞",0),INDEX(AU293:CB293,1,$AT$1),INDEX(AU295:CB295,1,$AT$1)),"*莺鸣柳*")=1,R294,0)</f>
        <v>0</v>
      </c>
      <c r="T294">
        <f ca="1" t="shared" si="65"/>
        <v>0</v>
      </c>
      <c r="U294">
        <f ca="1">IF(金蛇,IF(COUNTIF(B294,"*金环戴*")+COUNTIF(B294,"*吹风醒*")&gt;0,IF(A294&lt;=3,7.125-2.625-A294-加速!$L$11,7.125+加速!$K$9-(A294+加速!$L$11-T294)),0),0)+IF(金蛇,IF(COUNTIF(B294,"*千切子裂光*")&gt;0,2+加速!$K$9-(A294+加速!$L$11-T294),0),0)</f>
        <v>0</v>
      </c>
      <c r="V294">
        <f ca="1" t="shared" si="66"/>
        <v>0</v>
      </c>
      <c r="W294">
        <f ca="1" t="shared" si="57"/>
        <v>0</v>
      </c>
      <c r="X294">
        <f ca="1">INDEX(加速!$I$13:$I$21,技能数计算!W294+1)</f>
        <v>0</v>
      </c>
      <c r="Y294">
        <f ca="1" t="shared" si="61"/>
        <v>0.5</v>
      </c>
      <c r="Z294">
        <f ca="1" t="shared" si="62"/>
        <v>0</v>
      </c>
      <c r="AA294">
        <f ca="1">MAX(0,IFERROR(IF(COUNTIF(B294,"*叠*")&gt;0,IF(AC293&lt;3,8-A295+A294,AA293+6.875-A295+A294),AA293-A295+A294),AA293-加速!$L$11))</f>
        <v>0</v>
      </c>
      <c r="AB294" t="e">
        <f ca="1">MAX(0,IF(COUNTIF(IF(AND(配装计算器!$K$30&lt;&gt;"∞",0),INDEX(AU294:CB294,1,$AT$1),INDEX(AU294:CB294,1,$AT$1)),"*叠1*")=1,4*25-加速!$L$11,AB293-A294+A293)-IF(OR(COUNTIF(OFFSET(AT294,0,$AT$1,1,1),"*听雷*")&gt;0,AND(碧归&gt;0,COUNTIF(OFFSET(AT294,0,$AT$1,1,1),"*风来*")&gt;0)),0,1)*1.5)</f>
        <v>#VALUE!</v>
      </c>
      <c r="AC294">
        <f ca="1" t="shared" si="58"/>
        <v>3</v>
      </c>
      <c r="AD294">
        <f ca="1">IF(COUNTIF(IF(AND(配装计算器!$K$30&lt;&gt;"∞",0),INDEX(AU294:CB294,1,$AT$1),INDEX(AU295:CB295,1,$AT$1)),"*叠1*")=1,AB294*0+AE293,0)</f>
        <v>0</v>
      </c>
      <c r="AE294" t="e">
        <f ca="1">IF($AN$11&gt;0,IF(COUNTIF(B295,"*叠1*")&gt;0,50-加速!$H$11,MAX(0,AE293-(A295-A294))),0)</f>
        <v>#VALUE!</v>
      </c>
      <c r="AU294" t="s">
        <v>2768</v>
      </c>
      <c r="AV294">
        <v>1</v>
      </c>
      <c r="AW294" s="176" t="s">
        <v>2776</v>
      </c>
      <c r="AX294">
        <v>2</v>
      </c>
      <c r="AY294" t="s">
        <v>3013</v>
      </c>
      <c r="AZ294">
        <v>2</v>
      </c>
      <c r="BA294" t="s">
        <v>2808</v>
      </c>
      <c r="BB294">
        <v>2</v>
      </c>
      <c r="BC294" t="s">
        <v>2768</v>
      </c>
      <c r="BD294">
        <v>2</v>
      </c>
      <c r="BE294" t="s">
        <v>2776</v>
      </c>
      <c r="BF294">
        <v>1</v>
      </c>
      <c r="BG294" t="s">
        <v>2768</v>
      </c>
      <c r="BH294">
        <v>2</v>
      </c>
      <c r="BI294" t="s">
        <v>2768</v>
      </c>
      <c r="BJ294">
        <v>2</v>
      </c>
      <c r="BK294" s="176" t="s">
        <v>2794</v>
      </c>
      <c r="BL294">
        <v>2</v>
      </c>
      <c r="BM294" t="s">
        <v>2768</v>
      </c>
      <c r="BN294">
        <v>2</v>
      </c>
      <c r="BO294" t="s">
        <v>2768</v>
      </c>
      <c r="BP294">
        <v>2</v>
      </c>
      <c r="BQ294" t="s">
        <v>2768</v>
      </c>
      <c r="BR294">
        <v>2</v>
      </c>
      <c r="BS294" t="s">
        <v>2776</v>
      </c>
      <c r="BT294">
        <v>1</v>
      </c>
      <c r="BU294" t="s">
        <v>3067</v>
      </c>
      <c r="BV294">
        <v>0</v>
      </c>
      <c r="BW294" s="179" t="s">
        <v>2776</v>
      </c>
      <c r="BX294" s="179">
        <v>2</v>
      </c>
      <c r="BY294" t="s">
        <v>2776</v>
      </c>
      <c r="BZ294">
        <v>2</v>
      </c>
      <c r="CA294" s="176" t="s">
        <v>2768</v>
      </c>
      <c r="CB294">
        <v>2</v>
      </c>
    </row>
    <row r="295" spans="1:80">
      <c r="A295" s="178" t="str">
        <f ca="1">IFERROR(IF(A294+加速!$L$11&lt;$AS$1,IF(COUNTIF(B294,"*轻*")&gt;0,A294+加速!$L$9,A294+加速!$L$11)+V294,IF(COUNTIF(INDEX(AU295:CB295,1,$AT$1),"*云景*")+COUNTIF(INDEX(AU295:CB295,1,$AT$1),"*鹤归*")+COUNTIF(INDEX(AU295:CB295,1,$AT$1),"*听雷*")&gt;0,A294+加速!$L$11,"")),"")</f>
        <v/>
      </c>
      <c r="B295" s="167" t="str">
        <f ca="1">IF(A295&lt;&gt;"",IF(AND(A295+加速!$L$11&gt;$AS$1,IF(AND(配装计算器!$K$30&lt;&gt;"∞",0),"梦泉虎跑-轻",INDEX(AU295:CB295,1,$AT$1))="云栖松"),"夕照雷峰",IF(AND(配装计算器!$K$30&lt;&gt;"∞",0),"梦泉虎跑-轻",INDEX(AU295:CB295,1,$AT$1))),"")</f>
        <v/>
      </c>
      <c r="C295" t="str">
        <f ca="1" t="shared" si="64"/>
        <v/>
      </c>
      <c r="D295" t="str">
        <f ca="1">IF(B295&lt;&gt;"",IF(C294&lt;=加速!$L$11*(1-E295),0,1),"")</f>
        <v/>
      </c>
      <c r="E295">
        <f ca="1" t="shared" si="59"/>
        <v>1</v>
      </c>
      <c r="G295" t="str">
        <f ca="1" t="shared" si="60"/>
        <v/>
      </c>
      <c r="H295" t="str">
        <f ca="1">IF(B295&lt;&gt;"",IF(AND(COUNTIF(B294,"*轻*莺鸣柳*")&gt;0,COUNTIF(B295,"*轻*")&lt;1),MAX(0,15+I294-(A295-A294)+COUNTIF(B294,"*平湖*")*0),IF(AND(E295=0,MAX(0,H294-(A295-A294))&lt;=加速!$H$11),0,MAX(0,H294-(A295-A294)))),"")</f>
        <v/>
      </c>
      <c r="I295" t="str">
        <f ca="1" t="shared" si="67"/>
        <v/>
      </c>
      <c r="J295" t="str">
        <f ca="1" t="shared" si="68"/>
        <v/>
      </c>
      <c r="K295" t="str">
        <f ca="1">IF(A295&lt;&gt;"",IF(AND(配装计算器!$K$30&lt;&gt;"∞",0),2,INDEX(AU295:CB295,1,$AT$2)),"")</f>
        <v/>
      </c>
      <c r="L295">
        <f ca="1">IFERROR(IF(AND(COUNTIF(B295,"*-峰插*"),技能数据库!$M$72&gt;0),0,IF(COUNTIF(B295,"*鹤归*")&gt;0,16-加速!$L$11,MAX(0,L294-(A295-A294)))),0)</f>
        <v>0</v>
      </c>
      <c r="M295">
        <f ca="1">IF(COUNTIF(IF(AND(配装计算器!$K$30&lt;&gt;"∞",0),INDEX(AU294:CB294,1,$AT$1),INDEX(AU296:CB296,1,$AT$1)),"*鹤归*")=1,L295,0)</f>
        <v>0</v>
      </c>
      <c r="N295">
        <f ca="1">IFERROR(IF(AND(COUNTIF(B295,"*-峰插*"),技能数据库!$M$72&gt;0),0,IF(COUNTIF(B295,"*云飞*")&gt;0,4-COUNTIF(B295,"*玉山揽云*")*4--COUNTIF(B295,"*烟流暮景*")*4-COUNTIF(B295,"*云景*")*加速!$L$11-IF(J295&gt;0,2,0),MAX(0,N294-(A295-A294)-IF(J295&gt;0,2,0)))),0)</f>
        <v>0</v>
      </c>
      <c r="O295">
        <f ca="1">IF(AND(COUNTIF(IF(AND(配装计算器!$K$30&lt;&gt;"∞",0),INDEX(AU294:CB294,1,$AT$1),INDEX(AU296:CB296,1,$AT$1)),"*云飞*")=1,COUNTIF(IF(AND(配装计算器!$K$30&lt;&gt;"∞",0),INDEX(AU294:CB294,1,$AT$1),INDEX(AU296:CB296,1,$AT$1)),"*玉山*")=0),N295,0)</f>
        <v>0</v>
      </c>
      <c r="P295">
        <f ca="1">IFERROR(IF(COUNTIF(B295,"*云栖松*")&gt;0,50-加速!$L$11,MAX(0,P294-(A295-A294))),0)</f>
        <v>0</v>
      </c>
      <c r="Q295">
        <f ca="1">IF(COUNTIF(IF(AND(配装计算器!$K$30&lt;&gt;"∞",0),INDEX(AU294:CB294,1,$AT$1),INDEX(AU296:CB296,1,$AT$1)),"*云栖松*")=1,P295,0)</f>
        <v>0</v>
      </c>
      <c r="R295">
        <f ca="1">IFERROR(IF(COUNTIF(B295,"*莺鸣柳*")&gt;0,45-加速!$L$9,MAX(0,R294-(A295-A294))),0)</f>
        <v>0</v>
      </c>
      <c r="S295">
        <f ca="1">IF(COUNTIF(IF(AND(配装计算器!$K$30&lt;&gt;"∞",0),INDEX(AU294:CB294,1,$AT$1),INDEX(AU296:CB296,1,$AT$1)),"*莺鸣柳*")=1,R295,0)</f>
        <v>0</v>
      </c>
      <c r="T295">
        <f ca="1" t="shared" si="65"/>
        <v>0</v>
      </c>
      <c r="U295">
        <f ca="1">IF(金蛇,IF(COUNTIF(B295,"*金环戴*")+COUNTIF(B295,"*吹风醒*")&gt;0,IF(A295&lt;=3,7.125-2.625-A295-加速!$L$11,7.125+加速!$K$9-(A295+加速!$L$11-T295)),0),0)+IF(金蛇,IF(COUNTIF(B295,"*千切子裂光*")&gt;0,2+加速!$K$9-(A295+加速!$L$11-T295),0),0)</f>
        <v>0</v>
      </c>
      <c r="V295">
        <f ca="1" t="shared" si="66"/>
        <v>0</v>
      </c>
      <c r="W295">
        <f ca="1" t="shared" si="57"/>
        <v>0</v>
      </c>
      <c r="X295">
        <f ca="1">INDEX(加速!$I$13:$I$21,技能数计算!W295+1)</f>
        <v>0</v>
      </c>
      <c r="Y295">
        <f ca="1" t="shared" si="61"/>
        <v>0.5</v>
      </c>
      <c r="Z295">
        <f ca="1" t="shared" si="62"/>
        <v>0</v>
      </c>
      <c r="AA295">
        <f ca="1">MAX(0,IFERROR(IF(COUNTIF(B295,"*叠*")&gt;0,IF(AC294&lt;3,8-A296+A295,AA294+6.875-A296+A295),AA294-A296+A295),AA294-加速!$L$11))</f>
        <v>0</v>
      </c>
      <c r="AB295" t="e">
        <f ca="1">MAX(0,IF(COUNTIF(IF(AND(配装计算器!$K$30&lt;&gt;"∞",0),INDEX(AU295:CB295,1,$AT$1),INDEX(AU295:CB295,1,$AT$1)),"*叠1*")=1,4*25-加速!$L$11,AB294-A295+A294)-IF(OR(COUNTIF(OFFSET(AT295,0,$AT$1,1,1),"*听雷*")&gt;0,AND(碧归&gt;0,COUNTIF(OFFSET(AT295,0,$AT$1,1,1),"*风来*")&gt;0)),0,1)*1.5)</f>
        <v>#VALUE!</v>
      </c>
      <c r="AC295">
        <f ca="1" t="shared" si="58"/>
        <v>3</v>
      </c>
      <c r="AD295">
        <f ca="1">IF(COUNTIF(IF(AND(配装计算器!$K$30&lt;&gt;"∞",0),INDEX(AU295:CB295,1,$AT$1),INDEX(AU296:CB296,1,$AT$1)),"*叠1*")=1,AB295*0+AE294,0)</f>
        <v>0</v>
      </c>
      <c r="AE295" t="e">
        <f ca="1">IF($AN$11&gt;0,IF(COUNTIF(B296,"*叠1*")&gt;0,50-加速!$H$11,MAX(0,AE294-(A296-A295))),0)</f>
        <v>#VALUE!</v>
      </c>
      <c r="AU295" t="s">
        <v>2768</v>
      </c>
      <c r="AV295">
        <v>1</v>
      </c>
      <c r="AW295" s="176" t="s">
        <v>2768</v>
      </c>
      <c r="AX295">
        <v>2</v>
      </c>
      <c r="AY295" t="s">
        <v>3017</v>
      </c>
      <c r="AZ295">
        <v>2</v>
      </c>
      <c r="BA295" t="s">
        <v>3022</v>
      </c>
      <c r="BB295">
        <v>2</v>
      </c>
      <c r="BC295" t="s">
        <v>2776</v>
      </c>
      <c r="BD295">
        <v>2</v>
      </c>
      <c r="BE295" t="s">
        <v>2768</v>
      </c>
      <c r="BF295">
        <v>1</v>
      </c>
      <c r="BG295" s="182" t="s">
        <v>3023</v>
      </c>
      <c r="BH295">
        <v>2</v>
      </c>
      <c r="BI295" t="s">
        <v>2776</v>
      </c>
      <c r="BJ295">
        <v>1</v>
      </c>
      <c r="BK295" s="176" t="s">
        <v>3019</v>
      </c>
      <c r="BL295">
        <v>2</v>
      </c>
      <c r="BM295" s="176" t="s">
        <v>2794</v>
      </c>
      <c r="BN295">
        <v>2</v>
      </c>
      <c r="BO295" t="s">
        <v>1886</v>
      </c>
      <c r="BP295">
        <v>2</v>
      </c>
      <c r="BQ295" t="s">
        <v>2768</v>
      </c>
      <c r="BR295">
        <v>1</v>
      </c>
      <c r="BS295" t="s">
        <v>2768</v>
      </c>
      <c r="BT295">
        <v>1</v>
      </c>
      <c r="BU295" t="s">
        <v>2768</v>
      </c>
      <c r="BV295">
        <v>2</v>
      </c>
      <c r="BW295" s="182" t="s">
        <v>3063</v>
      </c>
      <c r="BX295" s="179">
        <v>0</v>
      </c>
      <c r="BY295" s="176" t="s">
        <v>2794</v>
      </c>
      <c r="BZ295">
        <v>2</v>
      </c>
      <c r="CA295" s="176" t="s">
        <v>2808</v>
      </c>
      <c r="CB295">
        <v>2</v>
      </c>
    </row>
    <row r="296" spans="1:80">
      <c r="A296" s="178" t="str">
        <f ca="1">IFERROR(IF(A295+加速!$L$11&lt;$AS$1,IF(COUNTIF(B295,"*轻*")&gt;0,A295+加速!$L$9,A295+加速!$L$11)+V295,IF(COUNTIF(INDEX(AU296:CB296,1,$AT$1),"*云景*")+COUNTIF(INDEX(AU296:CB296,1,$AT$1),"*鹤归*")+COUNTIF(INDEX(AU296:CB296,1,$AT$1),"*听雷*")&gt;0,A295+加速!$L$11,"")),"")</f>
        <v/>
      </c>
      <c r="B296" s="167" t="str">
        <f ca="1">IF(A296&lt;&gt;"",IF(AND(A296+加速!$L$11&gt;$AS$1,IF(AND(配装计算器!$K$30&lt;&gt;"∞",0),"梦泉虎跑-轻",INDEX(AU296:CB296,1,$AT$1))="云栖松"),"夕照雷峰",IF(AND(配装计算器!$K$30&lt;&gt;"∞",0),"梦泉虎跑-轻",INDEX(AU296:CB296,1,$AT$1))),"")</f>
        <v/>
      </c>
      <c r="C296" t="str">
        <f ca="1" t="shared" si="64"/>
        <v/>
      </c>
      <c r="D296" t="str">
        <f ca="1">IF(B296&lt;&gt;"",IF(C295&lt;=加速!$L$11*(1-E296),0,1),"")</f>
        <v/>
      </c>
      <c r="E296">
        <f ca="1" t="shared" si="59"/>
        <v>1</v>
      </c>
      <c r="G296" t="str">
        <f ca="1" t="shared" si="60"/>
        <v/>
      </c>
      <c r="H296" t="str">
        <f ca="1">IF(B296&lt;&gt;"",IF(AND(COUNTIF(B295,"*轻*莺鸣柳*")&gt;0,COUNTIF(B296,"*轻*")&lt;1),MAX(0,15+I295-(A296-A295)+COUNTIF(B295,"*平湖*")*0),IF(AND(E296=0,MAX(0,H295-(A296-A295))&lt;=加速!$H$11),0,MAX(0,H295-(A296-A295)))),"")</f>
        <v/>
      </c>
      <c r="I296" t="str">
        <f ca="1" t="shared" si="67"/>
        <v/>
      </c>
      <c r="J296" t="str">
        <f ca="1" t="shared" si="68"/>
        <v/>
      </c>
      <c r="K296" t="str">
        <f ca="1">IF(A296&lt;&gt;"",IF(AND(配装计算器!$K$30&lt;&gt;"∞",0),2,INDEX(AU296:CB296,1,$AT$2)),"")</f>
        <v/>
      </c>
      <c r="L296">
        <f ca="1">IFERROR(IF(AND(COUNTIF(B296,"*-峰插*"),技能数据库!$M$72&gt;0),0,IF(COUNTIF(B296,"*鹤归*")&gt;0,16-加速!$L$11,MAX(0,L295-(A296-A295)))),0)</f>
        <v>0</v>
      </c>
      <c r="M296">
        <f ca="1">IF(COUNTIF(IF(AND(配装计算器!$K$30&lt;&gt;"∞",0),INDEX(AU295:CB295,1,$AT$1),INDEX(AU297:CB297,1,$AT$1)),"*鹤归*")=1,L296,0)</f>
        <v>0</v>
      </c>
      <c r="N296">
        <f ca="1">IFERROR(IF(AND(COUNTIF(B296,"*-峰插*"),技能数据库!$M$72&gt;0),0,IF(COUNTIF(B296,"*云飞*")&gt;0,4-COUNTIF(B296,"*玉山揽云*")*4--COUNTIF(B296,"*烟流暮景*")*4-COUNTIF(B296,"*云景*")*加速!$L$11-IF(J296&gt;0,2,0),MAX(0,N295-(A296-A295)-IF(J296&gt;0,2,0)))),0)</f>
        <v>0</v>
      </c>
      <c r="O296">
        <f ca="1">IF(AND(COUNTIF(IF(AND(配装计算器!$K$30&lt;&gt;"∞",0),INDEX(AU295:CB295,1,$AT$1),INDEX(AU297:CB297,1,$AT$1)),"*云飞*")=1,COUNTIF(IF(AND(配装计算器!$K$30&lt;&gt;"∞",0),INDEX(AU295:CB295,1,$AT$1),INDEX(AU297:CB297,1,$AT$1)),"*玉山*")=0),N296,0)</f>
        <v>0</v>
      </c>
      <c r="P296">
        <f ca="1">IFERROR(IF(COUNTIF(B296,"*云栖松*")&gt;0,50-加速!$L$11,MAX(0,P295-(A296-A295))),0)</f>
        <v>0</v>
      </c>
      <c r="Q296">
        <f ca="1">IF(COUNTIF(IF(AND(配装计算器!$K$30&lt;&gt;"∞",0),INDEX(AU295:CB295,1,$AT$1),INDEX(AU297:CB297,1,$AT$1)),"*云栖松*")=1,P296,0)</f>
        <v>0</v>
      </c>
      <c r="R296">
        <f ca="1">IFERROR(IF(COUNTIF(B296,"*莺鸣柳*")&gt;0,45-加速!$L$9,MAX(0,R295-(A296-A295))),0)</f>
        <v>0</v>
      </c>
      <c r="S296">
        <f ca="1">IF(COUNTIF(IF(AND(配装计算器!$K$30&lt;&gt;"∞",0),INDEX(AU295:CB295,1,$AT$1),INDEX(AU297:CB297,1,$AT$1)),"*莺鸣柳*")=1,R296,0)</f>
        <v>0</v>
      </c>
      <c r="T296">
        <f ca="1" t="shared" si="65"/>
        <v>0</v>
      </c>
      <c r="U296">
        <f ca="1">IF(金蛇,IF(COUNTIF(B296,"*金环戴*")+COUNTIF(B296,"*吹风醒*")&gt;0,IF(A296&lt;=3,7.125-2.625-A296-加速!$L$11,7.125+加速!$K$9-(A296+加速!$L$11-T296)),0),0)+IF(金蛇,IF(COUNTIF(B296,"*千切子裂光*")&gt;0,2+加速!$K$9-(A296+加速!$L$11-T296),0),0)</f>
        <v>0</v>
      </c>
      <c r="V296">
        <f ca="1" t="shared" si="66"/>
        <v>0</v>
      </c>
      <c r="W296">
        <f ca="1" t="shared" si="57"/>
        <v>0</v>
      </c>
      <c r="X296">
        <f ca="1">INDEX(加速!$I$13:$I$21,技能数计算!W296+1)</f>
        <v>0</v>
      </c>
      <c r="Y296">
        <f ca="1" t="shared" si="61"/>
        <v>0.5</v>
      </c>
      <c r="Z296">
        <f ca="1" t="shared" si="62"/>
        <v>0</v>
      </c>
      <c r="AA296">
        <f ca="1">MAX(0,IFERROR(IF(COUNTIF(B296,"*叠*")&gt;0,IF(AC295&lt;3,8-A297+A296,AA295+6.875-A297+A296),AA295-A297+A296),AA295-加速!$L$11))</f>
        <v>0</v>
      </c>
      <c r="AB296" t="e">
        <f ca="1">MAX(0,IF(COUNTIF(IF(AND(配装计算器!$K$30&lt;&gt;"∞",0),INDEX(AU296:CB296,1,$AT$1),INDEX(AU296:CB296,1,$AT$1)),"*叠1*")=1,4*25-加速!$L$11,AB295-A296+A295)-IF(OR(COUNTIF(OFFSET(AT296,0,$AT$1,1,1),"*听雷*")&gt;0,AND(碧归&gt;0,COUNTIF(OFFSET(AT296,0,$AT$1,1,1),"*风来*")&gt;0)),0,1)*1.5)</f>
        <v>#VALUE!</v>
      </c>
      <c r="AC296">
        <f ca="1" t="shared" si="58"/>
        <v>3</v>
      </c>
      <c r="AD296">
        <f ca="1">IF(COUNTIF(IF(AND(配装计算器!$K$30&lt;&gt;"∞",0),INDEX(AU296:CB296,1,$AT$1),INDEX(AU297:CB297,1,$AT$1)),"*叠1*")=1,AB296*0+AE295,0)</f>
        <v>0</v>
      </c>
      <c r="AE296" t="e">
        <f ca="1">IF($AN$11&gt;0,IF(COUNTIF(B297,"*叠1*")&gt;0,50-加速!$H$11,MAX(0,AE295-(A297-A296))),0)</f>
        <v>#VALUE!</v>
      </c>
      <c r="AU296" t="s">
        <v>3063</v>
      </c>
      <c r="AV296">
        <v>2</v>
      </c>
      <c r="AW296" s="176" t="s">
        <v>2776</v>
      </c>
      <c r="AX296">
        <v>2</v>
      </c>
      <c r="AY296" t="s">
        <v>2808</v>
      </c>
      <c r="AZ296">
        <v>2</v>
      </c>
      <c r="BA296" t="s">
        <v>2776</v>
      </c>
      <c r="BB296">
        <v>2</v>
      </c>
      <c r="BC296" t="s">
        <v>2768</v>
      </c>
      <c r="BD296">
        <v>1</v>
      </c>
      <c r="BE296" t="s">
        <v>2768</v>
      </c>
      <c r="BF296">
        <v>1</v>
      </c>
      <c r="BG296" s="176" t="s">
        <v>2768</v>
      </c>
      <c r="BH296">
        <v>2</v>
      </c>
      <c r="BI296" t="s">
        <v>2768</v>
      </c>
      <c r="BJ296">
        <v>1</v>
      </c>
      <c r="BK296" t="s">
        <v>2768</v>
      </c>
      <c r="BL296">
        <v>2</v>
      </c>
      <c r="BM296" s="176" t="s">
        <v>2768</v>
      </c>
      <c r="BN296">
        <v>2</v>
      </c>
      <c r="BO296" t="s">
        <v>2853</v>
      </c>
      <c r="BP296">
        <v>2</v>
      </c>
      <c r="BQ296" t="s">
        <v>2776</v>
      </c>
      <c r="BR296">
        <v>1</v>
      </c>
      <c r="BS296" t="s">
        <v>3056</v>
      </c>
      <c r="BT296">
        <v>0</v>
      </c>
      <c r="BU296" t="s">
        <v>2768</v>
      </c>
      <c r="BV296">
        <v>2</v>
      </c>
      <c r="BW296" s="179" t="s">
        <v>2768</v>
      </c>
      <c r="BX296" s="179">
        <v>2</v>
      </c>
      <c r="BY296" s="176" t="s">
        <v>2768</v>
      </c>
      <c r="BZ296">
        <v>2</v>
      </c>
      <c r="CA296" t="s">
        <v>2768</v>
      </c>
      <c r="CB296">
        <v>2</v>
      </c>
    </row>
    <row r="297" spans="1:80">
      <c r="A297" s="178" t="str">
        <f ca="1">IFERROR(IF(A296+加速!$L$11&lt;$AS$1,IF(COUNTIF(B296,"*轻*")&gt;0,A296+加速!$L$9,A296+加速!$L$11)+V296,IF(COUNTIF(INDEX(AU297:CB297,1,$AT$1),"*云景*")+COUNTIF(INDEX(AU297:CB297,1,$AT$1),"*鹤归*")+COUNTIF(INDEX(AU297:CB297,1,$AT$1),"*听雷*")&gt;0,A296+加速!$L$11,"")),"")</f>
        <v/>
      </c>
      <c r="B297" s="167" t="str">
        <f ca="1">IF(A297&lt;&gt;"",IF(AND(A297+加速!$L$11&gt;$AS$1,IF(AND(配装计算器!$K$30&lt;&gt;"∞",0),"梦泉虎跑-轻",INDEX(AU297:CB297,1,$AT$1))="云栖松"),"夕照雷峰",IF(AND(配装计算器!$K$30&lt;&gt;"∞",0),"梦泉虎跑-轻",INDEX(AU297:CB297,1,$AT$1))),"")</f>
        <v/>
      </c>
      <c r="C297" t="str">
        <f ca="1" t="shared" si="64"/>
        <v/>
      </c>
      <c r="D297" t="str">
        <f ca="1">IF(B297&lt;&gt;"",IF(C296&lt;=加速!$L$11*(1-E297),0,1),"")</f>
        <v/>
      </c>
      <c r="E297">
        <f ca="1" t="shared" si="59"/>
        <v>1</v>
      </c>
      <c r="G297" t="str">
        <f ca="1" t="shared" si="60"/>
        <v/>
      </c>
      <c r="H297" t="str">
        <f ca="1">IF(B297&lt;&gt;"",IF(AND(COUNTIF(B296,"*轻*莺鸣柳*")&gt;0,COUNTIF(B297,"*轻*")&lt;1),MAX(0,15+I296-(A297-A296)+COUNTIF(B296,"*平湖*")*0),IF(AND(E297=0,MAX(0,H296-(A297-A296))&lt;=加速!$H$11),0,MAX(0,H296-(A297-A296)))),"")</f>
        <v/>
      </c>
      <c r="I297" t="str">
        <f ca="1" t="shared" si="67"/>
        <v/>
      </c>
      <c r="J297" t="str">
        <f ca="1" t="shared" si="68"/>
        <v/>
      </c>
      <c r="K297" t="str">
        <f ca="1">IF(A297&lt;&gt;"",IF(AND(配装计算器!$K$30&lt;&gt;"∞",0),2,INDEX(AU297:CB297,1,$AT$2)),"")</f>
        <v/>
      </c>
      <c r="L297">
        <f ca="1">IFERROR(IF(AND(COUNTIF(B297,"*-峰插*"),技能数据库!$M$72&gt;0),0,IF(COUNTIF(B297,"*鹤归*")&gt;0,16-加速!$L$11,MAX(0,L296-(A297-A296)))),0)</f>
        <v>0</v>
      </c>
      <c r="M297">
        <f ca="1">IF(COUNTIF(IF(AND(配装计算器!$K$30&lt;&gt;"∞",0),INDEX(AU296:CB296,1,$AT$1),INDEX(AU298:CB298,1,$AT$1)),"*鹤归*")=1,L297,0)</f>
        <v>0</v>
      </c>
      <c r="N297">
        <f ca="1">IFERROR(IF(AND(COUNTIF(B297,"*-峰插*"),技能数据库!$M$72&gt;0),0,IF(COUNTIF(B297,"*云飞*")&gt;0,4-COUNTIF(B297,"*玉山揽云*")*4--COUNTIF(B297,"*烟流暮景*")*4-COUNTIF(B297,"*云景*")*加速!$L$11-IF(J297&gt;0,2,0),MAX(0,N296-(A297-A296)-IF(J297&gt;0,2,0)))),0)</f>
        <v>0</v>
      </c>
      <c r="O297">
        <f ca="1">IF(AND(COUNTIF(IF(AND(配装计算器!$K$30&lt;&gt;"∞",0),INDEX(AU296:CB296,1,$AT$1),INDEX(AU298:CB298,1,$AT$1)),"*云飞*")=1,COUNTIF(IF(AND(配装计算器!$K$30&lt;&gt;"∞",0),INDEX(AU296:CB296,1,$AT$1),INDEX(AU298:CB298,1,$AT$1)),"*玉山*")=0),N297,0)</f>
        <v>0</v>
      </c>
      <c r="P297">
        <f ca="1">IFERROR(IF(COUNTIF(B297,"*云栖松*")&gt;0,50-加速!$L$11,MAX(0,P296-(A297-A296))),0)</f>
        <v>0</v>
      </c>
      <c r="Q297">
        <f ca="1">IF(COUNTIF(IF(AND(配装计算器!$K$30&lt;&gt;"∞",0),INDEX(AU296:CB296,1,$AT$1),INDEX(AU298:CB298,1,$AT$1)),"*云栖松*")=1,P297,0)</f>
        <v>0</v>
      </c>
      <c r="R297">
        <f ca="1">IFERROR(IF(COUNTIF(B297,"*莺鸣柳*")&gt;0,45-加速!$L$9,MAX(0,R296-(A297-A296))),0)</f>
        <v>0</v>
      </c>
      <c r="S297">
        <f ca="1">IF(COUNTIF(IF(AND(配装计算器!$K$30&lt;&gt;"∞",0),INDEX(AU296:CB296,1,$AT$1),INDEX(AU298:CB298,1,$AT$1)),"*莺鸣柳*")=1,R297,0)</f>
        <v>0</v>
      </c>
      <c r="T297">
        <f ca="1" t="shared" si="65"/>
        <v>0</v>
      </c>
      <c r="U297">
        <f ca="1">IF(金蛇,IF(COUNTIF(B297,"*金环戴*")+COUNTIF(B297,"*吹风醒*")&gt;0,IF(A297&lt;=3,7.125-2.625-A297-加速!$L$11,7.125+加速!$K$9-(A297+加速!$L$11-T297)),0),0)+IF(金蛇,IF(COUNTIF(B297,"*千切子裂光*")&gt;0,2+加速!$K$9-(A297+加速!$L$11-T297),0),0)</f>
        <v>0</v>
      </c>
      <c r="V297">
        <f ca="1" t="shared" si="66"/>
        <v>0</v>
      </c>
      <c r="W297">
        <f ca="1" t="shared" si="57"/>
        <v>0</v>
      </c>
      <c r="X297">
        <f ca="1">INDEX(加速!$I$13:$I$21,技能数计算!W297+1)</f>
        <v>0</v>
      </c>
      <c r="Y297">
        <f ca="1" t="shared" si="61"/>
        <v>0.5</v>
      </c>
      <c r="Z297">
        <f ca="1" t="shared" si="62"/>
        <v>0</v>
      </c>
      <c r="AA297">
        <f ca="1">MAX(0,IFERROR(IF(COUNTIF(B297,"*叠*")&gt;0,IF(AC296&lt;3,8-A298+A297,AA296+6.875-A298+A297),AA296-A298+A297),AA296-加速!$L$11))</f>
        <v>0</v>
      </c>
      <c r="AB297" t="e">
        <f ca="1">MAX(0,IF(COUNTIF(IF(AND(配装计算器!$K$30&lt;&gt;"∞",0),INDEX(AU297:CB297,1,$AT$1),INDEX(AU297:CB297,1,$AT$1)),"*叠1*")=1,4*25-加速!$L$11,AB296-A297+A296)-IF(OR(COUNTIF(OFFSET(AT297,0,$AT$1,1,1),"*听雷*")&gt;0,AND(碧归&gt;0,COUNTIF(OFFSET(AT297,0,$AT$1,1,1),"*风来*")&gt;0)),0,1)*1.5)</f>
        <v>#VALUE!</v>
      </c>
      <c r="AC297">
        <f ca="1" t="shared" si="58"/>
        <v>3</v>
      </c>
      <c r="AD297">
        <f ca="1">IF(COUNTIF(IF(AND(配装计算器!$K$30&lt;&gt;"∞",0),INDEX(AU297:CB297,1,$AT$1),INDEX(AU298:CB298,1,$AT$1)),"*叠1*")=1,AB297*0+AE296,0)</f>
        <v>0</v>
      </c>
      <c r="AE297" t="e">
        <f ca="1">IF($AN$11&gt;0,IF(COUNTIF(B298,"*叠1*")&gt;0,50-加速!$H$11,MAX(0,AE296-(A298-A297))),0)</f>
        <v>#VALUE!</v>
      </c>
      <c r="AU297" t="s">
        <v>2776</v>
      </c>
      <c r="AV297">
        <v>1</v>
      </c>
      <c r="AW297" s="176" t="s">
        <v>2768</v>
      </c>
      <c r="AX297">
        <v>2</v>
      </c>
      <c r="AY297" t="s">
        <v>3022</v>
      </c>
      <c r="AZ297">
        <v>2</v>
      </c>
      <c r="BA297" t="s">
        <v>2768</v>
      </c>
      <c r="BB297">
        <v>2</v>
      </c>
      <c r="BC297" t="s">
        <v>2768</v>
      </c>
      <c r="BD297">
        <v>1</v>
      </c>
      <c r="BE297" t="s">
        <v>2776</v>
      </c>
      <c r="BF297">
        <v>0</v>
      </c>
      <c r="BG297" s="176" t="s">
        <v>2768</v>
      </c>
      <c r="BH297">
        <v>2</v>
      </c>
      <c r="BI297" t="s">
        <v>2776</v>
      </c>
      <c r="BJ297">
        <v>0</v>
      </c>
      <c r="BK297" t="s">
        <v>3023</v>
      </c>
      <c r="BL297">
        <v>2</v>
      </c>
      <c r="BM297" s="176" t="s">
        <v>2776</v>
      </c>
      <c r="BN297">
        <v>2</v>
      </c>
      <c r="BO297" s="176" t="s">
        <v>2850</v>
      </c>
      <c r="BP297">
        <f>IF(0,2,0)</f>
        <v>0</v>
      </c>
      <c r="BQ297" t="s">
        <v>2768</v>
      </c>
      <c r="BR297">
        <v>1</v>
      </c>
      <c r="BS297" t="s">
        <v>2768</v>
      </c>
      <c r="BT297">
        <v>2</v>
      </c>
      <c r="BU297" s="176" t="s">
        <v>2794</v>
      </c>
      <c r="BV297">
        <v>1</v>
      </c>
      <c r="BW297" s="179" t="s">
        <v>1886</v>
      </c>
      <c r="BX297" s="179">
        <v>2</v>
      </c>
      <c r="BY297" s="176" t="s">
        <v>2776</v>
      </c>
      <c r="BZ297">
        <v>2</v>
      </c>
      <c r="CA297" t="s">
        <v>2776</v>
      </c>
      <c r="CB297">
        <v>2</v>
      </c>
    </row>
    <row r="298" spans="1:80">
      <c r="A298" s="178" t="str">
        <f ca="1">IFERROR(IF(A297+加速!$L$11&lt;$AS$1,IF(COUNTIF(B297,"*轻*")&gt;0,A297+加速!$L$9,A297+加速!$L$11)+V297,IF(COUNTIF(INDEX(AU298:CB298,1,$AT$1),"*云景*")+COUNTIF(INDEX(AU298:CB298,1,$AT$1),"*鹤归*")+COUNTIF(INDEX(AU298:CB298,1,$AT$1),"*听雷*")&gt;0,A297+加速!$L$11,"")),"")</f>
        <v/>
      </c>
      <c r="B298" s="167" t="str">
        <f ca="1">IF(A298&lt;&gt;"",IF(AND(A298+加速!$L$11&gt;$AS$1,IF(AND(配装计算器!$K$30&lt;&gt;"∞",0),"梦泉虎跑-轻",INDEX(AU298:CB298,1,$AT$1))="云栖松"),"夕照雷峰",IF(AND(配装计算器!$K$30&lt;&gt;"∞",0),"梦泉虎跑-轻",INDEX(AU298:CB298,1,$AT$1))),"")</f>
        <v/>
      </c>
      <c r="C298" t="str">
        <f ca="1" t="shared" si="64"/>
        <v/>
      </c>
      <c r="D298" t="str">
        <f ca="1">IF(B298&lt;&gt;"",IF(C297&lt;=加速!$L$11*(1-E298),0,1),"")</f>
        <v/>
      </c>
      <c r="E298">
        <f ca="1" t="shared" si="59"/>
        <v>1</v>
      </c>
      <c r="G298" t="str">
        <f ca="1" t="shared" si="60"/>
        <v/>
      </c>
      <c r="H298" t="str">
        <f ca="1">IF(B298&lt;&gt;"",IF(AND(COUNTIF(B297,"*轻*莺鸣柳*")&gt;0,COUNTIF(B298,"*轻*")&lt;1),MAX(0,15+I297-(A298-A297)+COUNTIF(B297,"*平湖*")*0),IF(AND(E298=0,MAX(0,H297-(A298-A297))&lt;=加速!$H$11),0,MAX(0,H297-(A298-A297)))),"")</f>
        <v/>
      </c>
      <c r="I298" t="str">
        <f ca="1" t="shared" si="67"/>
        <v/>
      </c>
      <c r="J298" t="str">
        <f ca="1" t="shared" si="68"/>
        <v/>
      </c>
      <c r="K298" t="str">
        <f ca="1">IF(A298&lt;&gt;"",IF(AND(配装计算器!$K$30&lt;&gt;"∞",0),2,INDEX(AU298:CB298,1,$AT$2)),"")</f>
        <v/>
      </c>
      <c r="L298">
        <f ca="1">IFERROR(IF(AND(COUNTIF(B298,"*-峰插*"),技能数据库!$M$72&gt;0),0,IF(COUNTIF(B298,"*鹤归*")&gt;0,16-加速!$L$11,MAX(0,L297-(A298-A297)))),0)</f>
        <v>0</v>
      </c>
      <c r="M298">
        <f ca="1">IF(COUNTIF(IF(AND(配装计算器!$K$30&lt;&gt;"∞",0),INDEX(AU297:CB297,1,$AT$1),INDEX(AU299:CB299,1,$AT$1)),"*鹤归*")=1,L298,0)</f>
        <v>0</v>
      </c>
      <c r="N298">
        <f ca="1">IFERROR(IF(AND(COUNTIF(B298,"*-峰插*"),技能数据库!$M$72&gt;0),0,IF(COUNTIF(B298,"*云飞*")&gt;0,4-COUNTIF(B298,"*玉山揽云*")*4--COUNTIF(B298,"*烟流暮景*")*4-COUNTIF(B298,"*云景*")*加速!$L$11-IF(J298&gt;0,2,0),MAX(0,N297-(A298-A297)-IF(J298&gt;0,2,0)))),0)</f>
        <v>0</v>
      </c>
      <c r="O298">
        <f ca="1">IF(AND(COUNTIF(IF(AND(配装计算器!$K$30&lt;&gt;"∞",0),INDEX(AU297:CB297,1,$AT$1),INDEX(AU299:CB299,1,$AT$1)),"*云飞*")=1,COUNTIF(IF(AND(配装计算器!$K$30&lt;&gt;"∞",0),INDEX(AU297:CB297,1,$AT$1),INDEX(AU299:CB299,1,$AT$1)),"*玉山*")=0),N298,0)</f>
        <v>0</v>
      </c>
      <c r="P298">
        <f ca="1">IFERROR(IF(COUNTIF(B298,"*云栖松*")&gt;0,50-加速!$L$11,MAX(0,P297-(A298-A297))),0)</f>
        <v>0</v>
      </c>
      <c r="Q298">
        <f ca="1">IF(COUNTIF(IF(AND(配装计算器!$K$30&lt;&gt;"∞",0),INDEX(AU297:CB297,1,$AT$1),INDEX(AU299:CB299,1,$AT$1)),"*云栖松*")=1,P298,0)</f>
        <v>0</v>
      </c>
      <c r="R298">
        <f ca="1">IFERROR(IF(COUNTIF(B298,"*莺鸣柳*")&gt;0,45-加速!$L$9,MAX(0,R297-(A298-A297))),0)</f>
        <v>0</v>
      </c>
      <c r="S298">
        <f ca="1">IF(COUNTIF(IF(AND(配装计算器!$K$30&lt;&gt;"∞",0),INDEX(AU297:CB297,1,$AT$1),INDEX(AU299:CB299,1,$AT$1)),"*莺鸣柳*")=1,R298,0)</f>
        <v>0</v>
      </c>
      <c r="T298">
        <f ca="1" t="shared" si="65"/>
        <v>0</v>
      </c>
      <c r="U298">
        <f ca="1">IF(金蛇,IF(COUNTIF(B298,"*金环戴*")+COUNTIF(B298,"*吹风醒*")&gt;0,IF(A298&lt;=3,7.125-2.625-A298-加速!$L$11,7.125+加速!$K$9-(A298+加速!$L$11-T298)),0),0)+IF(金蛇,IF(COUNTIF(B298,"*千切子裂光*")&gt;0,2+加速!$K$9-(A298+加速!$L$11-T298),0),0)</f>
        <v>0</v>
      </c>
      <c r="V298">
        <f ca="1" t="shared" si="66"/>
        <v>0</v>
      </c>
      <c r="W298">
        <f ca="1" t="shared" si="57"/>
        <v>0</v>
      </c>
      <c r="X298">
        <f ca="1">INDEX(加速!$I$13:$I$21,技能数计算!W298+1)</f>
        <v>0</v>
      </c>
      <c r="Y298">
        <f ca="1" t="shared" si="61"/>
        <v>0.5</v>
      </c>
      <c r="Z298">
        <f ca="1" t="shared" si="62"/>
        <v>0</v>
      </c>
      <c r="AA298">
        <f ca="1">MAX(0,IFERROR(IF(COUNTIF(B298,"*叠*")&gt;0,IF(AC297&lt;3,8-A299+A298,AA297+6.875-A299+A298),AA297-A299+A298),AA297-加速!$L$11))</f>
        <v>0</v>
      </c>
      <c r="AB298" t="e">
        <f ca="1">MAX(0,IF(COUNTIF(IF(AND(配装计算器!$K$30&lt;&gt;"∞",0),INDEX(AU298:CB298,1,$AT$1),INDEX(AU298:CB298,1,$AT$1)),"*叠1*")=1,4*25-加速!$L$11,AB297-A298+A297)-IF(OR(COUNTIF(OFFSET(AT298,0,$AT$1,1,1),"*听雷*")&gt;0,AND(碧归&gt;0,COUNTIF(OFFSET(AT298,0,$AT$1,1,1),"*风来*")&gt;0)),0,1)*1.5)</f>
        <v>#VALUE!</v>
      </c>
      <c r="AC298">
        <f ca="1" t="shared" si="58"/>
        <v>3</v>
      </c>
      <c r="AD298">
        <f ca="1">IF(COUNTIF(IF(AND(配装计算器!$K$30&lt;&gt;"∞",0),INDEX(AU298:CB298,1,$AT$1),INDEX(AU299:CB299,1,$AT$1)),"*叠1*")=1,AB298*0+AE297,0)</f>
        <v>0</v>
      </c>
      <c r="AE298" t="e">
        <f ca="1">IF($AN$11&gt;0,IF(COUNTIF(B299,"*叠1*")&gt;0,50-加速!$H$11,MAX(0,AE297-(A299-A298))),0)</f>
        <v>#VALUE!</v>
      </c>
      <c r="AU298" t="s">
        <v>2768</v>
      </c>
      <c r="AV298">
        <v>2</v>
      </c>
      <c r="AW298" t="s">
        <v>3056</v>
      </c>
      <c r="AX298">
        <v>1</v>
      </c>
      <c r="AY298" t="s">
        <v>2776</v>
      </c>
      <c r="AZ298">
        <v>2</v>
      </c>
      <c r="BA298" t="s">
        <v>2789</v>
      </c>
      <c r="BB298">
        <v>2</v>
      </c>
      <c r="BC298" t="s">
        <v>2813</v>
      </c>
      <c r="BD298">
        <v>0</v>
      </c>
      <c r="BE298" t="s">
        <v>2722</v>
      </c>
      <c r="BF298">
        <v>0</v>
      </c>
      <c r="BG298" s="176" t="s">
        <v>2789</v>
      </c>
      <c r="BH298">
        <v>2</v>
      </c>
      <c r="BI298" t="s">
        <v>2768</v>
      </c>
      <c r="BJ298">
        <v>0</v>
      </c>
      <c r="BK298" t="s">
        <v>2768</v>
      </c>
      <c r="BL298">
        <v>2</v>
      </c>
      <c r="BM298" s="176" t="s">
        <v>2768</v>
      </c>
      <c r="BN298">
        <v>2</v>
      </c>
      <c r="BO298" s="176" t="str">
        <f>IF(秋,"金环戴","吹风醒")</f>
        <v>吹风醒</v>
      </c>
      <c r="BP298">
        <v>2</v>
      </c>
      <c r="BQ298" t="s">
        <v>2768</v>
      </c>
      <c r="BR298">
        <v>0</v>
      </c>
      <c r="BS298" t="s">
        <v>2768</v>
      </c>
      <c r="BT298">
        <v>2</v>
      </c>
      <c r="BU298" t="s">
        <v>2776</v>
      </c>
      <c r="BV298">
        <v>1</v>
      </c>
      <c r="BW298" s="179" t="s">
        <v>2853</v>
      </c>
      <c r="BX298" s="179">
        <v>2</v>
      </c>
      <c r="BY298" s="176" t="s">
        <v>2768</v>
      </c>
      <c r="BZ298">
        <v>2</v>
      </c>
      <c r="CA298" t="str">
        <f>IF(秋,"云栖松","泉凝月")</f>
        <v>泉凝月</v>
      </c>
      <c r="CB298">
        <v>2</v>
      </c>
    </row>
    <row r="299" spans="1:80">
      <c r="A299" s="178" t="str">
        <f ca="1">IFERROR(IF(A298+加速!$L$11&lt;$AS$1,IF(COUNTIF(B298,"*轻*")&gt;0,A298+加速!$L$9,A298+加速!$L$11)+V298,IF(COUNTIF(INDEX(AU299:CB299,1,$AT$1),"*云景*")+COUNTIF(INDEX(AU299:CB299,1,$AT$1),"*鹤归*")+COUNTIF(INDEX(AU299:CB299,1,$AT$1),"*听雷*")&gt;0,A298+加速!$L$11,"")),"")</f>
        <v/>
      </c>
      <c r="B299" s="167" t="str">
        <f ca="1">IF(A299&lt;&gt;"",IF(AND(A299+加速!$L$11&gt;$AS$1,IF(AND(配装计算器!$K$30&lt;&gt;"∞",0),"梦泉虎跑-轻",INDEX(AU299:CB299,1,$AT$1))="云栖松"),"夕照雷峰",IF(AND(配装计算器!$K$30&lt;&gt;"∞",0),"梦泉虎跑-轻",INDEX(AU299:CB299,1,$AT$1))),"")</f>
        <v/>
      </c>
      <c r="C299" t="str">
        <f ca="1" t="shared" si="64"/>
        <v/>
      </c>
      <c r="D299" t="str">
        <f ca="1">IF(B299&lt;&gt;"",IF(C298&lt;=加速!$L$11*(1-E299),0,1),"")</f>
        <v/>
      </c>
      <c r="E299">
        <f ca="1" t="shared" si="59"/>
        <v>1</v>
      </c>
      <c r="G299" t="str">
        <f ca="1" t="shared" si="60"/>
        <v/>
      </c>
      <c r="H299" t="str">
        <f ca="1">IF(B299&lt;&gt;"",IF(AND(COUNTIF(B298,"*轻*莺鸣柳*")&gt;0,COUNTIF(B299,"*轻*")&lt;1),MAX(0,15+I298-(A299-A298)+COUNTIF(B298,"*平湖*")*0),IF(AND(E299=0,MAX(0,H298-(A299-A298))&lt;=加速!$H$11),0,MAX(0,H298-(A299-A298)))),"")</f>
        <v/>
      </c>
      <c r="I299" t="str">
        <f ca="1" t="shared" si="67"/>
        <v/>
      </c>
      <c r="J299" t="str">
        <f ca="1" t="shared" si="68"/>
        <v/>
      </c>
      <c r="K299" t="str">
        <f ca="1">IF(A299&lt;&gt;"",IF(AND(配装计算器!$K$30&lt;&gt;"∞",0),2,INDEX(AU299:CB299,1,$AT$2)),"")</f>
        <v/>
      </c>
      <c r="L299">
        <f ca="1">IFERROR(IF(AND(COUNTIF(B299,"*-峰插*"),技能数据库!$M$72&gt;0),0,IF(COUNTIF(B299,"*鹤归*")&gt;0,16-加速!$L$11,MAX(0,L298-(A299-A298)))),0)</f>
        <v>0</v>
      </c>
      <c r="M299">
        <f ca="1">IF(COUNTIF(IF(AND(配装计算器!$K$30&lt;&gt;"∞",0),INDEX(AU298:CB298,1,$AT$1),INDEX(AU300:CB300,1,$AT$1)),"*鹤归*")=1,L299,0)</f>
        <v>0</v>
      </c>
      <c r="N299">
        <f ca="1">IFERROR(IF(AND(COUNTIF(B299,"*-峰插*"),技能数据库!$M$72&gt;0),0,IF(COUNTIF(B299,"*云飞*")&gt;0,4-COUNTIF(B299,"*玉山揽云*")*4--COUNTIF(B299,"*烟流暮景*")*4-COUNTIF(B299,"*云景*")*加速!$L$11-IF(J299&gt;0,2,0),MAX(0,N298-(A299-A298)-IF(J299&gt;0,2,0)))),0)</f>
        <v>0</v>
      </c>
      <c r="O299">
        <f ca="1">IF(AND(COUNTIF(IF(AND(配装计算器!$K$30&lt;&gt;"∞",0),INDEX(AU298:CB298,1,$AT$1),INDEX(AU300:CB300,1,$AT$1)),"*云飞*")=1,COUNTIF(IF(AND(配装计算器!$K$30&lt;&gt;"∞",0),INDEX(AU298:CB298,1,$AT$1),INDEX(AU300:CB300,1,$AT$1)),"*玉山*")=0),N299,0)</f>
        <v>0</v>
      </c>
      <c r="P299">
        <f ca="1">IFERROR(IF(COUNTIF(B299,"*云栖松*")&gt;0,50-加速!$L$11,MAX(0,P298-(A299-A298))),0)</f>
        <v>0</v>
      </c>
      <c r="Q299">
        <f ca="1">IF(COUNTIF(IF(AND(配装计算器!$K$30&lt;&gt;"∞",0),INDEX(AU298:CB298,1,$AT$1),INDEX(AU300:CB300,1,$AT$1)),"*云栖松*")=1,P299,0)</f>
        <v>0</v>
      </c>
      <c r="R299">
        <f ca="1">IFERROR(IF(COUNTIF(B299,"*莺鸣柳*")&gt;0,45-加速!$L$9,MAX(0,R298-(A299-A298))),0)</f>
        <v>0</v>
      </c>
      <c r="S299">
        <f ca="1">IF(COUNTIF(IF(AND(配装计算器!$K$30&lt;&gt;"∞",0),INDEX(AU298:CB298,1,$AT$1),INDEX(AU300:CB300,1,$AT$1)),"*莺鸣柳*")=1,R299,0)</f>
        <v>0</v>
      </c>
      <c r="T299">
        <f ca="1" t="shared" si="65"/>
        <v>0</v>
      </c>
      <c r="U299">
        <f ca="1">IF(金蛇,IF(COUNTIF(B299,"*金环戴*")+COUNTIF(B299,"*吹风醒*")&gt;0,IF(A299&lt;=3,7.125-2.625-A299-加速!$L$11,7.125+加速!$K$9-(A299+加速!$L$11-T299)),0),0)+IF(金蛇,IF(COUNTIF(B299,"*千切子裂光*")&gt;0,2+加速!$K$9-(A299+加速!$L$11-T299),0),0)</f>
        <v>0</v>
      </c>
      <c r="V299">
        <f ca="1" t="shared" si="66"/>
        <v>0</v>
      </c>
      <c r="W299">
        <f ca="1" t="shared" si="57"/>
        <v>0</v>
      </c>
      <c r="X299">
        <f ca="1">INDEX(加速!$I$13:$I$21,技能数计算!W299+1)</f>
        <v>0</v>
      </c>
      <c r="Y299">
        <f ca="1" t="shared" si="61"/>
        <v>0.5</v>
      </c>
      <c r="Z299">
        <f ca="1" t="shared" si="62"/>
        <v>0</v>
      </c>
      <c r="AA299">
        <f ca="1">MAX(0,IFERROR(IF(COUNTIF(B299,"*叠*")&gt;0,IF(AC298&lt;3,8-A300+A299,AA298+6.875-A300+A299),AA298-A300+A299),AA298-加速!$L$11))</f>
        <v>0</v>
      </c>
      <c r="AB299" t="e">
        <f ca="1">MAX(0,IF(COUNTIF(IF(AND(配装计算器!$K$30&lt;&gt;"∞",0),INDEX(AU299:CB299,1,$AT$1),INDEX(AU299:CB299,1,$AT$1)),"*叠1*")=1,4*25-加速!$L$11,AB298-A299+A298)-IF(OR(COUNTIF(OFFSET(AT299,0,$AT$1,1,1),"*听雷*")&gt;0,AND(碧归&gt;0,COUNTIF(OFFSET(AT299,0,$AT$1,1,1),"*风来*")&gt;0)),0,1)*1.5)</f>
        <v>#VALUE!</v>
      </c>
      <c r="AC299">
        <f ca="1" t="shared" si="58"/>
        <v>3</v>
      </c>
      <c r="AD299">
        <f ca="1">IF(COUNTIF(IF(AND(配装计算器!$K$30&lt;&gt;"∞",0),INDEX(AU299:CB299,1,$AT$1),INDEX(AU300:CB300,1,$AT$1)),"*叠1*")=1,AB299*0+AE298,0)</f>
        <v>0</v>
      </c>
      <c r="AE299" t="e">
        <f ca="1">IF($AN$11&gt;0,IF(COUNTIF(B300,"*叠1*")&gt;0,50-加速!$H$11,MAX(0,AE298-(A300-A299))),0)</f>
        <v>#VALUE!</v>
      </c>
      <c r="AU299" t="s">
        <v>2768</v>
      </c>
      <c r="AV299">
        <v>2</v>
      </c>
      <c r="AW299" t="s">
        <v>2768</v>
      </c>
      <c r="AX299">
        <v>2</v>
      </c>
      <c r="AY299" t="s">
        <v>2768</v>
      </c>
      <c r="AZ299">
        <v>2</v>
      </c>
      <c r="BA299" t="s">
        <v>2776</v>
      </c>
      <c r="BB299">
        <v>2</v>
      </c>
      <c r="BC299" t="s">
        <v>2776</v>
      </c>
      <c r="BD299">
        <v>2</v>
      </c>
      <c r="BE299" t="s">
        <v>2722</v>
      </c>
      <c r="BF299">
        <v>2</v>
      </c>
      <c r="BG299" s="176" t="s">
        <v>2776</v>
      </c>
      <c r="BH299">
        <v>2</v>
      </c>
      <c r="BI299" t="s">
        <v>2768</v>
      </c>
      <c r="BJ299">
        <v>0</v>
      </c>
      <c r="BK299" t="s">
        <v>2808</v>
      </c>
      <c r="BL299">
        <v>2</v>
      </c>
      <c r="BM299" s="176" t="s">
        <v>2776</v>
      </c>
      <c r="BN299">
        <v>2</v>
      </c>
      <c r="BO299" t="str">
        <f>IF(秋,"夕照雷峰","云飞玉皇")</f>
        <v>云飞玉皇</v>
      </c>
      <c r="BP299">
        <v>2</v>
      </c>
      <c r="BQ299" t="s">
        <v>3010</v>
      </c>
      <c r="BR299">
        <v>2</v>
      </c>
      <c r="BS299" t="s">
        <v>2776</v>
      </c>
      <c r="BT299">
        <v>2</v>
      </c>
      <c r="BU299" t="s">
        <v>2768</v>
      </c>
      <c r="BV299">
        <v>1</v>
      </c>
      <c r="BW299" s="182" t="s">
        <v>3117</v>
      </c>
      <c r="BX299" s="179">
        <v>2</v>
      </c>
      <c r="BY299" s="176" t="s">
        <v>2776</v>
      </c>
      <c r="BZ299">
        <v>2</v>
      </c>
      <c r="CA299" t="s">
        <v>2768</v>
      </c>
      <c r="CB299">
        <v>2</v>
      </c>
    </row>
    <row r="300" spans="1:80">
      <c r="A300" s="178" t="str">
        <f ca="1">IFERROR(IF(A299+加速!$L$11&lt;$AS$1,IF(COUNTIF(B299,"*轻*")&gt;0,A299+加速!$L$9,A299+加速!$L$11)+V299,IF(COUNTIF(INDEX(AU300:CB300,1,$AT$1),"*云景*")+COUNTIF(INDEX(AU300:CB300,1,$AT$1),"*鹤归*")+COUNTIF(INDEX(AU300:CB300,1,$AT$1),"*听雷*")&gt;0,A299+加速!$L$11,"")),"")</f>
        <v/>
      </c>
      <c r="B300" s="167" t="str">
        <f ca="1">IF(A300&lt;&gt;"",IF(AND(A300+加速!$L$11&gt;$AS$1,IF(AND(配装计算器!$K$30&lt;&gt;"∞",0),"梦泉虎跑-轻",INDEX(AU300:CB300,1,$AT$1))="云栖松"),"夕照雷峰",IF(AND(配装计算器!$K$30&lt;&gt;"∞",0),"梦泉虎跑-轻",INDEX(AU300:CB300,1,$AT$1))),"")</f>
        <v/>
      </c>
      <c r="C300" t="str">
        <f ca="1" t="shared" si="64"/>
        <v/>
      </c>
      <c r="D300" t="str">
        <f ca="1">IF(B300&lt;&gt;"",IF(C299&lt;=加速!$L$11*(1-E300),0,1),"")</f>
        <v/>
      </c>
      <c r="E300">
        <f ca="1" t="shared" si="59"/>
        <v>1</v>
      </c>
      <c r="G300" t="str">
        <f ca="1" t="shared" si="60"/>
        <v/>
      </c>
      <c r="H300" t="str">
        <f ca="1">IF(B300&lt;&gt;"",IF(AND(COUNTIF(B299,"*轻*莺鸣柳*")&gt;0,COUNTIF(B300,"*轻*")&lt;1),MAX(0,15+I299-(A300-A299)+COUNTIF(B299,"*平湖*")*0),IF(AND(E300=0,MAX(0,H299-(A300-A299))&lt;=加速!$H$11),0,MAX(0,H299-(A300-A299)))),"")</f>
        <v/>
      </c>
      <c r="I300" t="str">
        <f ca="1" t="shared" si="67"/>
        <v/>
      </c>
      <c r="J300" t="str">
        <f ca="1" t="shared" si="68"/>
        <v/>
      </c>
      <c r="K300" t="str">
        <f ca="1">IF(A300&lt;&gt;"",IF(AND(配装计算器!$K$30&lt;&gt;"∞",0),2,INDEX(AU300:CB300,1,$AT$2)),"")</f>
        <v/>
      </c>
      <c r="L300">
        <f ca="1">IFERROR(IF(AND(COUNTIF(B300,"*-峰插*"),技能数据库!$M$72&gt;0),0,IF(COUNTIF(B300,"*鹤归*")&gt;0,16-加速!$L$11,MAX(0,L299-(A300-A299)))),0)</f>
        <v>0</v>
      </c>
      <c r="M300">
        <f ca="1">IF(COUNTIF(IF(AND(配装计算器!$K$30&lt;&gt;"∞",0),INDEX(AU299:CB299,1,$AT$1),INDEX(AU301:CB301,1,$AT$1)),"*鹤归*")=1,L300,0)</f>
        <v>0</v>
      </c>
      <c r="N300">
        <f ca="1">IFERROR(IF(AND(COUNTIF(B300,"*-峰插*"),技能数据库!$M$72&gt;0),0,IF(COUNTIF(B300,"*云飞*")&gt;0,4-COUNTIF(B300,"*玉山揽云*")*4--COUNTIF(B300,"*烟流暮景*")*4-COUNTIF(B300,"*云景*")*加速!$L$11-IF(J300&gt;0,2,0),MAX(0,N299-(A300-A299)-IF(J300&gt;0,2,0)))),0)</f>
        <v>0</v>
      </c>
      <c r="O300">
        <f ca="1">IF(AND(COUNTIF(IF(AND(配装计算器!$K$30&lt;&gt;"∞",0),INDEX(AU299:CB299,1,$AT$1),INDEX(AU301:CB301,1,$AT$1)),"*云飞*")=1,COUNTIF(IF(AND(配装计算器!$K$30&lt;&gt;"∞",0),INDEX(AU299:CB299,1,$AT$1),INDEX(AU301:CB301,1,$AT$1)),"*玉山*")=0),N300,0)</f>
        <v>0</v>
      </c>
      <c r="P300">
        <f ca="1">IFERROR(IF(COUNTIF(B300,"*云栖松*")&gt;0,50-加速!$L$11,MAX(0,P299-(A300-A299))),0)</f>
        <v>0</v>
      </c>
      <c r="Q300">
        <f ca="1">IF(COUNTIF(IF(AND(配装计算器!$K$30&lt;&gt;"∞",0),INDEX(AU299:CB299,1,$AT$1),INDEX(AU301:CB301,1,$AT$1)),"*云栖松*")=1,P300,0)</f>
        <v>0</v>
      </c>
      <c r="R300">
        <f ca="1">IFERROR(IF(COUNTIF(B300,"*莺鸣柳*")&gt;0,45-加速!$L$9,MAX(0,R299-(A300-A299))),0)</f>
        <v>0</v>
      </c>
      <c r="S300">
        <f ca="1">IF(COUNTIF(IF(AND(配装计算器!$K$30&lt;&gt;"∞",0),INDEX(AU299:CB299,1,$AT$1),INDEX(AU301:CB301,1,$AT$1)),"*莺鸣柳*")=1,R300,0)</f>
        <v>0</v>
      </c>
      <c r="T300">
        <f ca="1" t="shared" si="65"/>
        <v>0</v>
      </c>
      <c r="U300">
        <f ca="1">IF(金蛇,IF(COUNTIF(B300,"*金环戴*")+COUNTIF(B300,"*吹风醒*")&gt;0,IF(A300&lt;=3,7.125-2.625-A300-加速!$L$11,7.125+加速!$K$9-(A300+加速!$L$11-T300)),0),0)+IF(金蛇,IF(COUNTIF(B300,"*千切子裂光*")&gt;0,2+加速!$K$9-(A300+加速!$L$11-T300),0),0)</f>
        <v>0</v>
      </c>
      <c r="V300">
        <f ca="1" t="shared" si="66"/>
        <v>0</v>
      </c>
      <c r="W300">
        <f ca="1" t="shared" si="57"/>
        <v>0</v>
      </c>
      <c r="X300">
        <f ca="1">INDEX(加速!$I$13:$I$21,技能数计算!W300+1)</f>
        <v>0</v>
      </c>
      <c r="Y300">
        <f ca="1" t="shared" si="61"/>
        <v>0.5</v>
      </c>
      <c r="Z300">
        <f ca="1" t="shared" si="62"/>
        <v>0</v>
      </c>
      <c r="AA300">
        <f ca="1">MAX(0,IFERROR(IF(COUNTIF(B300,"*叠*")&gt;0,IF(AC299&lt;3,8-A301+A300,AA299+6.875-A301+A300),AA299-A301+A300),AA299-加速!$L$11))</f>
        <v>0</v>
      </c>
      <c r="AB300" t="e">
        <f ca="1">MAX(0,IF(COUNTIF(IF(AND(配装计算器!$K$30&lt;&gt;"∞",0),INDEX(AU300:CB300,1,$AT$1),INDEX(AU300:CB300,1,$AT$1)),"*叠1*")=1,4*25-加速!$L$11,AB299-A300+A299)-IF(OR(COUNTIF(OFFSET(AT300,0,$AT$1,1,1),"*听雷*")&gt;0,AND(碧归&gt;0,COUNTIF(OFFSET(AT300,0,$AT$1,1,1),"*风来*")&gt;0)),0,1)*1.5)</f>
        <v>#VALUE!</v>
      </c>
      <c r="AC300">
        <f ca="1" t="shared" si="58"/>
        <v>3</v>
      </c>
      <c r="AD300">
        <f ca="1">IF(COUNTIF(IF(AND(配装计算器!$K$30&lt;&gt;"∞",0),INDEX(AU300:CB300,1,$AT$1),INDEX(AU301:CB301,1,$AT$1)),"*叠1*")=1,AB300*0+AE299,0)</f>
        <v>0</v>
      </c>
      <c r="AE300" t="e">
        <f ca="1">IF($AN$11&gt;0,IF(COUNTIF(B301,"*叠1*")&gt;0,50-加速!$H$11,MAX(0,AE299-(A301-A300))),0)</f>
        <v>#VALUE!</v>
      </c>
      <c r="AU300" s="176" t="s">
        <v>2794</v>
      </c>
      <c r="AV300">
        <v>2</v>
      </c>
      <c r="AW300" t="s">
        <v>2768</v>
      </c>
      <c r="AX300">
        <v>2</v>
      </c>
      <c r="AY300" t="s">
        <v>2789</v>
      </c>
      <c r="AZ300">
        <v>2</v>
      </c>
      <c r="BA300" t="s">
        <v>3035</v>
      </c>
      <c r="BB300">
        <v>2</v>
      </c>
      <c r="BC300" t="s">
        <v>2768</v>
      </c>
      <c r="BD300">
        <v>2</v>
      </c>
      <c r="BE300" t="s">
        <v>2768</v>
      </c>
      <c r="BF300">
        <v>2</v>
      </c>
      <c r="BG300" s="176" t="s">
        <v>3035</v>
      </c>
      <c r="BH300">
        <v>2</v>
      </c>
      <c r="BI300" t="s">
        <v>2722</v>
      </c>
      <c r="BJ300">
        <v>0</v>
      </c>
      <c r="BK300" t="s">
        <v>2768</v>
      </c>
      <c r="BL300">
        <v>2</v>
      </c>
      <c r="BM300" s="176" t="str">
        <f>IF(0,"云飞玉皇-玉山揽云","夕照雷峰")</f>
        <v>夕照雷峰</v>
      </c>
      <c r="BN300">
        <v>2</v>
      </c>
      <c r="BO300" s="176" t="str">
        <f>IF(秋,"梦泉虎跑-轻","夕照雷峰")</f>
        <v>夕照雷峰</v>
      </c>
      <c r="BP300">
        <v>2</v>
      </c>
      <c r="BQ300" t="s">
        <v>3013</v>
      </c>
      <c r="BR300">
        <v>2</v>
      </c>
      <c r="BS300" t="s">
        <v>2768</v>
      </c>
      <c r="BT300">
        <v>1</v>
      </c>
      <c r="BU300" t="s">
        <v>3011</v>
      </c>
      <c r="BV300">
        <v>2</v>
      </c>
      <c r="BW300" s="182" t="s">
        <v>2768</v>
      </c>
      <c r="BX300" s="179">
        <v>2</v>
      </c>
      <c r="BY300" s="176" t="str">
        <f>IF(0,"云飞玉皇-玉山揽云","夕照雷峰")</f>
        <v>夕照雷峰</v>
      </c>
      <c r="BZ300">
        <v>2</v>
      </c>
      <c r="CA300" t="s">
        <v>1886</v>
      </c>
      <c r="CB300">
        <v>2</v>
      </c>
    </row>
    <row r="301" spans="1:80">
      <c r="A301" s="178" t="str">
        <f ca="1">IFERROR(IF(A300+加速!$L$11&lt;$AS$1,IF(COUNTIF(B300,"*轻*")&gt;0,A300+加速!$L$9,A300+加速!$L$11)+V300,IF(COUNTIF(INDEX(AU301:CB301,1,$AT$1),"*云景*")+COUNTIF(INDEX(AU301:CB301,1,$AT$1),"*鹤归*")+COUNTIF(INDEX(AU301:CB301,1,$AT$1),"*听雷*")&gt;0,A300+加速!$L$11,"")),"")</f>
        <v/>
      </c>
      <c r="B301" s="167" t="str">
        <f ca="1">IF(A301&lt;&gt;"",IF(AND(A301+加速!$L$11&gt;$AS$1,IF(AND(配装计算器!$K$30&lt;&gt;"∞",0),"梦泉虎跑-轻",INDEX(AU301:CB301,1,$AT$1))="云栖松"),"夕照雷峰",IF(AND(配装计算器!$K$30&lt;&gt;"∞",0),"梦泉虎跑-轻",INDEX(AU301:CB301,1,$AT$1))),"")</f>
        <v/>
      </c>
      <c r="C301" t="str">
        <f ca="1" t="shared" si="64"/>
        <v/>
      </c>
      <c r="D301" t="str">
        <f ca="1">IF(B301&lt;&gt;"",IF(C300&lt;=加速!$L$11*(1-E301),0,1),"")</f>
        <v/>
      </c>
      <c r="E301">
        <f ca="1" t="shared" si="59"/>
        <v>1</v>
      </c>
      <c r="G301" t="str">
        <f ca="1" t="shared" si="60"/>
        <v/>
      </c>
      <c r="H301" t="str">
        <f ca="1">IF(B301&lt;&gt;"",IF(AND(COUNTIF(B300,"*轻*莺鸣柳*")&gt;0,COUNTIF(B301,"*轻*")&lt;1),MAX(0,15+I300-(A301-A300)+COUNTIF(B300,"*平湖*")*0),IF(AND(E301=0,MAX(0,H300-(A301-A300))&lt;=加速!$H$11),0,MAX(0,H300-(A301-A300)))),"")</f>
        <v/>
      </c>
      <c r="I301" t="str">
        <f ca="1" t="shared" si="67"/>
        <v/>
      </c>
      <c r="J301" t="str">
        <f ca="1" t="shared" si="68"/>
        <v/>
      </c>
      <c r="K301" t="str">
        <f ca="1">IF(A301&lt;&gt;"",IF(AND(配装计算器!$K$30&lt;&gt;"∞",0),2,INDEX(AU301:CB301,1,$AT$2)),"")</f>
        <v/>
      </c>
      <c r="L301">
        <f ca="1">IFERROR(IF(AND(COUNTIF(B301,"*-峰插*"),技能数据库!$M$72&gt;0),0,IF(COUNTIF(B301,"*鹤归*")&gt;0,16-加速!$L$11,MAX(0,L300-(A301-A300)))),0)</f>
        <v>0</v>
      </c>
      <c r="M301">
        <f ca="1">IF(COUNTIF(IF(AND(配装计算器!$K$30&lt;&gt;"∞",0),INDEX(AU300:CB300,1,$AT$1),INDEX(AU302:CB302,1,$AT$1)),"*鹤归*")=1,L301,0)</f>
        <v>0</v>
      </c>
      <c r="N301">
        <f ca="1">IFERROR(IF(AND(COUNTIF(B301,"*-峰插*"),技能数据库!$M$72&gt;0),0,IF(COUNTIF(B301,"*云飞*")&gt;0,4-COUNTIF(B301,"*玉山揽云*")*4--COUNTIF(B301,"*烟流暮景*")*4-COUNTIF(B301,"*云景*")*加速!$L$11-IF(J301&gt;0,2,0),MAX(0,N300-(A301-A300)-IF(J301&gt;0,2,0)))),0)</f>
        <v>0</v>
      </c>
      <c r="O301">
        <f ca="1">IF(AND(COUNTIF(IF(AND(配装计算器!$K$30&lt;&gt;"∞",0),INDEX(AU300:CB300,1,$AT$1),INDEX(AU302:CB302,1,$AT$1)),"*云飞*")=1,COUNTIF(IF(AND(配装计算器!$K$30&lt;&gt;"∞",0),INDEX(AU300:CB300,1,$AT$1),INDEX(AU302:CB302,1,$AT$1)),"*玉山*")=0),N301,0)</f>
        <v>0</v>
      </c>
      <c r="P301">
        <f ca="1">IFERROR(IF(COUNTIF(B301,"*云栖松*")&gt;0,50-加速!$L$11,MAX(0,P300-(A301-A300))),0)</f>
        <v>0</v>
      </c>
      <c r="Q301">
        <f ca="1">IF(COUNTIF(IF(AND(配装计算器!$K$30&lt;&gt;"∞",0),INDEX(AU300:CB300,1,$AT$1),INDEX(AU302:CB302,1,$AT$1)),"*云栖松*")=1,P301,0)</f>
        <v>0</v>
      </c>
      <c r="R301">
        <f ca="1">IFERROR(IF(COUNTIF(B301,"*莺鸣柳*")&gt;0,45-加速!$L$9,MAX(0,R300-(A301-A300))),0)</f>
        <v>0</v>
      </c>
      <c r="S301">
        <f ca="1">IF(COUNTIF(IF(AND(配装计算器!$K$30&lt;&gt;"∞",0),INDEX(AU300:CB300,1,$AT$1),INDEX(AU302:CB302,1,$AT$1)),"*莺鸣柳*")=1,R301,0)</f>
        <v>0</v>
      </c>
      <c r="T301">
        <f ca="1" t="shared" si="65"/>
        <v>0</v>
      </c>
      <c r="U301">
        <f ca="1">IF(金蛇,IF(COUNTIF(B301,"*金环戴*")+COUNTIF(B301,"*吹风醒*")&gt;0,IF(A301&lt;=3,7.125-2.625-A301-加速!$L$11,7.125+加速!$K$9-(A301+加速!$L$11-T301)),0),0)+IF(金蛇,IF(COUNTIF(B301,"*千切子裂光*")&gt;0,2+加速!$K$9-(A301+加速!$L$11-T301),0),0)</f>
        <v>0</v>
      </c>
      <c r="V301">
        <f ca="1" t="shared" si="66"/>
        <v>0</v>
      </c>
      <c r="W301">
        <f ca="1" t="shared" si="57"/>
        <v>0</v>
      </c>
      <c r="X301">
        <f ca="1">INDEX(加速!$I$13:$I$21,技能数计算!W301+1)</f>
        <v>0</v>
      </c>
      <c r="Y301">
        <f ca="1" t="shared" si="61"/>
        <v>0.5</v>
      </c>
      <c r="Z301">
        <f ca="1" t="shared" si="62"/>
        <v>0</v>
      </c>
      <c r="AA301">
        <f ca="1">MAX(0,IFERROR(IF(COUNTIF(B301,"*叠*")&gt;0,IF(AC300&lt;3,8-A302+A301,AA300+6.875-A302+A301),AA300-A302+A301),AA300-加速!$L$11))</f>
        <v>0</v>
      </c>
      <c r="AB301" t="e">
        <f ca="1">MAX(0,IF(COUNTIF(IF(AND(配装计算器!$K$30&lt;&gt;"∞",0),INDEX(AU301:CB301,1,$AT$1),INDEX(AU301:CB301,1,$AT$1)),"*叠1*")=1,4*25-加速!$L$11,AB300-A301+A300)-IF(OR(COUNTIF(OFFSET(AT301,0,$AT$1,1,1),"*听雷*")&gt;0,AND(碧归&gt;0,COUNTIF(OFFSET(AT301,0,$AT$1,1,1),"*风来*")&gt;0)),0,1)*1.5)</f>
        <v>#VALUE!</v>
      </c>
      <c r="AC301">
        <f ca="1" t="shared" si="58"/>
        <v>3</v>
      </c>
      <c r="AD301">
        <f ca="1">IF(COUNTIF(IF(AND(配装计算器!$K$30&lt;&gt;"∞",0),INDEX(AU301:CB301,1,$AT$1),INDEX(AU302:CB302,1,$AT$1)),"*叠1*")=1,AB301*0+AE300,0)</f>
        <v>0</v>
      </c>
      <c r="AE301" t="e">
        <f ca="1">IF($AN$11&gt;0,IF(COUNTIF(B302,"*叠1*")&gt;0,50-加速!$H$11,MAX(0,AE300-(A302-A301))),0)</f>
        <v>#VALUE!</v>
      </c>
      <c r="AU301" s="176" t="s">
        <v>2776</v>
      </c>
      <c r="AV301">
        <v>2</v>
      </c>
      <c r="AW301" t="s">
        <v>2768</v>
      </c>
      <c r="AX301">
        <v>2</v>
      </c>
      <c r="AY301" t="s">
        <v>2776</v>
      </c>
      <c r="AZ301">
        <v>2</v>
      </c>
      <c r="BA301" t="s">
        <v>2768</v>
      </c>
      <c r="BB301">
        <v>2</v>
      </c>
      <c r="BC301" t="s">
        <v>2768</v>
      </c>
      <c r="BD301">
        <v>2</v>
      </c>
      <c r="BE301" t="s">
        <v>2776</v>
      </c>
      <c r="BF301">
        <v>2</v>
      </c>
      <c r="BG301" t="s">
        <v>2768</v>
      </c>
      <c r="BH301">
        <v>2</v>
      </c>
      <c r="BI301" t="s">
        <v>2776</v>
      </c>
      <c r="BJ301">
        <v>2</v>
      </c>
      <c r="BK301" t="s">
        <v>2776</v>
      </c>
      <c r="BL301">
        <v>2</v>
      </c>
      <c r="BM301" t="str">
        <f>IF(0,"云飞玉皇-玉山揽云","云飞玉皇")</f>
        <v>云飞玉皇</v>
      </c>
      <c r="BN301">
        <v>2</v>
      </c>
      <c r="BO301" s="176" t="str">
        <f>IF(秋,"九溪弥烟-轻-血毒金蛇锥","梦泉虎跑-轻")</f>
        <v>梦泉虎跑-轻</v>
      </c>
      <c r="BP301">
        <v>0</v>
      </c>
      <c r="BQ301" t="s">
        <v>3018</v>
      </c>
      <c r="BR301">
        <v>2</v>
      </c>
      <c r="BS301" t="s">
        <v>2768</v>
      </c>
      <c r="BT301">
        <v>1</v>
      </c>
      <c r="BU301" t="s">
        <v>2768</v>
      </c>
      <c r="BV301">
        <v>2</v>
      </c>
      <c r="BW301" s="182" t="str">
        <f>IF(秋,"云飞玉皇","云飞玉皇·云景")</f>
        <v>云飞玉皇·云景</v>
      </c>
      <c r="BX301" s="179">
        <v>2</v>
      </c>
      <c r="BY301" t="str">
        <f>IF(0,"云飞玉皇-玉山揽云","云飞玉皇")</f>
        <v>云飞玉皇</v>
      </c>
      <c r="BZ301">
        <v>2</v>
      </c>
      <c r="CA301" t="s">
        <v>2853</v>
      </c>
      <c r="CB301">
        <v>2</v>
      </c>
    </row>
    <row r="302" spans="1:80">
      <c r="A302" s="178" t="str">
        <f ca="1">IFERROR(IF(A301+加速!$L$11&lt;$AS$1,IF(COUNTIF(B301,"*轻*")&gt;0,A301+加速!$L$9,A301+加速!$L$11)+V301,IF(COUNTIF(INDEX(AU302:CB302,1,$AT$1),"*云景*")+COUNTIF(INDEX(AU302:CB302,1,$AT$1),"*鹤归*")+COUNTIF(INDEX(AU302:CB302,1,$AT$1),"*听雷*")&gt;0,A301+加速!$L$11,"")),"")</f>
        <v/>
      </c>
      <c r="B302" s="167" t="str">
        <f ca="1">IF(A302&lt;&gt;"",IF(AND(A302+加速!$L$11&gt;$AS$1,IF(AND(配装计算器!$K$30&lt;&gt;"∞",0),"梦泉虎跑-轻",INDEX(AU302:CB302,1,$AT$1))="云栖松"),"夕照雷峰",IF(AND(配装计算器!$K$30&lt;&gt;"∞",0),"梦泉虎跑-轻",INDEX(AU302:CB302,1,$AT$1))),"")</f>
        <v/>
      </c>
      <c r="C302" t="str">
        <f ca="1" t="shared" si="64"/>
        <v/>
      </c>
      <c r="D302" t="str">
        <f ca="1">IF(B302&lt;&gt;"",IF(C301&lt;=加速!$L$11*(1-E302),0,1),"")</f>
        <v/>
      </c>
      <c r="E302">
        <f ca="1" t="shared" si="59"/>
        <v>1</v>
      </c>
      <c r="G302" t="str">
        <f ca="1" t="shared" si="60"/>
        <v/>
      </c>
      <c r="H302" t="str">
        <f ca="1">IF(B302&lt;&gt;"",IF(AND(COUNTIF(B301,"*轻*莺鸣柳*")&gt;0,COUNTIF(B302,"*轻*")&lt;1),MAX(0,15+I301-(A302-A301)+COUNTIF(B301,"*平湖*")*0),IF(AND(E302=0,MAX(0,H301-(A302-A301))&lt;=加速!$H$11),0,MAX(0,H301-(A302-A301)))),"")</f>
        <v/>
      </c>
      <c r="I302" t="str">
        <f ca="1" t="shared" si="67"/>
        <v/>
      </c>
      <c r="J302" t="str">
        <f ca="1" t="shared" si="68"/>
        <v/>
      </c>
      <c r="K302" t="str">
        <f ca="1">IF(A302&lt;&gt;"",IF(AND(配装计算器!$K$30&lt;&gt;"∞",0),2,INDEX(AU302:CB302,1,$AT$2)),"")</f>
        <v/>
      </c>
      <c r="L302">
        <f ca="1">IFERROR(IF(AND(COUNTIF(B302,"*-峰插*"),技能数据库!$M$72&gt;0),0,IF(COUNTIF(B302,"*鹤归*")&gt;0,16-加速!$L$11,MAX(0,L301-(A302-A301)))),0)</f>
        <v>0</v>
      </c>
      <c r="M302">
        <f ca="1">IF(COUNTIF(IF(AND(配装计算器!$K$30&lt;&gt;"∞",0),INDEX(AU301:CB301,1,$AT$1),INDEX(AU303:CB303,1,$AT$1)),"*鹤归*")=1,L302,0)</f>
        <v>0</v>
      </c>
      <c r="N302">
        <f ca="1">IFERROR(IF(AND(COUNTIF(B302,"*-峰插*"),技能数据库!$M$72&gt;0),0,IF(COUNTIF(B302,"*云飞*")&gt;0,4-COUNTIF(B302,"*玉山揽云*")*4--COUNTIF(B302,"*烟流暮景*")*4-COUNTIF(B302,"*云景*")*加速!$L$11-IF(J302&gt;0,2,0),MAX(0,N301-(A302-A301)-IF(J302&gt;0,2,0)))),0)</f>
        <v>0</v>
      </c>
      <c r="O302">
        <f ca="1">IF(AND(COUNTIF(IF(AND(配装计算器!$K$30&lt;&gt;"∞",0),INDEX(AU301:CB301,1,$AT$1),INDEX(AU303:CB303,1,$AT$1)),"*云飞*")=1,COUNTIF(IF(AND(配装计算器!$K$30&lt;&gt;"∞",0),INDEX(AU301:CB301,1,$AT$1),INDEX(AU303:CB303,1,$AT$1)),"*玉山*")=0),N302,0)</f>
        <v>0</v>
      </c>
      <c r="P302">
        <f ca="1">IFERROR(IF(COUNTIF(B302,"*云栖松*")&gt;0,50-加速!$L$11,MAX(0,P301-(A302-A301))),0)</f>
        <v>0</v>
      </c>
      <c r="Q302">
        <f ca="1">IF(COUNTIF(IF(AND(配装计算器!$K$30&lt;&gt;"∞",0),INDEX(AU301:CB301,1,$AT$1),INDEX(AU303:CB303,1,$AT$1)),"*云栖松*")=1,P302,0)</f>
        <v>0</v>
      </c>
      <c r="R302">
        <f ca="1">IFERROR(IF(COUNTIF(B302,"*莺鸣柳*")&gt;0,45-加速!$L$9,MAX(0,R301-(A302-A301))),0)</f>
        <v>0</v>
      </c>
      <c r="S302">
        <f ca="1">IF(COUNTIF(IF(AND(配装计算器!$K$30&lt;&gt;"∞",0),INDEX(AU301:CB301,1,$AT$1),INDEX(AU303:CB303,1,$AT$1)),"*莺鸣柳*")=1,R302,0)</f>
        <v>0</v>
      </c>
      <c r="T302">
        <f ca="1" t="shared" si="65"/>
        <v>0</v>
      </c>
      <c r="U302">
        <f ca="1">IF(金蛇,IF(COUNTIF(B302,"*金环戴*")+COUNTIF(B302,"*吹风醒*")&gt;0,IF(A302&lt;=3,7.125-2.625-A302-加速!$L$11,7.125+加速!$K$9-(A302+加速!$L$11-T302)),0),0)+IF(金蛇,IF(COUNTIF(B302,"*千切子裂光*")&gt;0,2+加速!$K$9-(A302+加速!$L$11-T302),0),0)</f>
        <v>0</v>
      </c>
      <c r="V302">
        <f ca="1" t="shared" si="66"/>
        <v>0</v>
      </c>
      <c r="W302">
        <f ca="1" t="shared" si="57"/>
        <v>0</v>
      </c>
      <c r="X302">
        <f ca="1">INDEX(加速!$I$13:$I$21,技能数计算!W302+1)</f>
        <v>0</v>
      </c>
      <c r="Y302">
        <f ca="1" t="shared" si="61"/>
        <v>0.5</v>
      </c>
      <c r="Z302">
        <f ca="1" t="shared" si="62"/>
        <v>0</v>
      </c>
      <c r="AA302">
        <f ca="1">MAX(0,IFERROR(IF(COUNTIF(B302,"*叠*")&gt;0,IF(AC301&lt;3,8-A303+A302,AA301+6.875-A303+A302),AA301-A303+A302),AA301-加速!$L$11))</f>
        <v>0</v>
      </c>
      <c r="AB302" t="e">
        <f ca="1">MAX(0,IF(COUNTIF(IF(AND(配装计算器!$K$30&lt;&gt;"∞",0),INDEX(AU302:CB302,1,$AT$1),INDEX(AU302:CB302,1,$AT$1)),"*叠1*")=1,4*25-加速!$L$11,AB301-A302+A301)-IF(OR(COUNTIF(OFFSET(AT302,0,$AT$1,1,1),"*听雷*")&gt;0,AND(碧归&gt;0,COUNTIF(OFFSET(AT302,0,$AT$1,1,1),"*风来*")&gt;0)),0,1)*1.5)</f>
        <v>#VALUE!</v>
      </c>
      <c r="AC302">
        <f ca="1" t="shared" si="58"/>
        <v>3</v>
      </c>
      <c r="AD302">
        <f ca="1">IF(COUNTIF(IF(AND(配装计算器!$K$30&lt;&gt;"∞",0),INDEX(AU302:CB302,1,$AT$1),INDEX(AU303:CB303,1,$AT$1)),"*叠1*")=1,AB302*0+AE301,0)</f>
        <v>0</v>
      </c>
      <c r="AE302" t="e">
        <f ca="1">IF($AN$11&gt;0,IF(COUNTIF(B303,"*叠1*")&gt;0,50-加速!$H$11,MAX(0,AE301-(A303-A302))),0)</f>
        <v>#VALUE!</v>
      </c>
      <c r="AU302" s="176" t="s">
        <v>2768</v>
      </c>
      <c r="AV302">
        <v>1</v>
      </c>
      <c r="AW302" t="s">
        <v>2776</v>
      </c>
      <c r="AX302">
        <v>2</v>
      </c>
      <c r="AY302" t="s">
        <v>3035</v>
      </c>
      <c r="AZ302">
        <v>2</v>
      </c>
      <c r="BA302" t="s">
        <v>2776</v>
      </c>
      <c r="BB302">
        <v>2</v>
      </c>
      <c r="BC302" t="s">
        <v>2768</v>
      </c>
      <c r="BD302">
        <v>1</v>
      </c>
      <c r="BE302" t="s">
        <v>2794</v>
      </c>
      <c r="BF302">
        <v>1</v>
      </c>
      <c r="BG302" t="s">
        <v>2776</v>
      </c>
      <c r="BH302">
        <v>2</v>
      </c>
      <c r="BI302" t="s">
        <v>2768</v>
      </c>
      <c r="BJ302">
        <v>2</v>
      </c>
      <c r="BK302" t="s">
        <v>3036</v>
      </c>
      <c r="BL302">
        <v>2</v>
      </c>
      <c r="BM302" t="str">
        <f>IF(秋,"云栖松","泉凝月")</f>
        <v>泉凝月</v>
      </c>
      <c r="BN302">
        <v>2</v>
      </c>
      <c r="BO302" t="s">
        <v>3009</v>
      </c>
      <c r="BP302">
        <v>2</v>
      </c>
      <c r="BQ302" t="s">
        <v>2768</v>
      </c>
      <c r="BR302">
        <v>2</v>
      </c>
      <c r="BS302" t="s">
        <v>2768</v>
      </c>
      <c r="BT302">
        <v>0</v>
      </c>
      <c r="BU302" t="s">
        <v>3018</v>
      </c>
      <c r="BV302">
        <v>2</v>
      </c>
      <c r="BW302" s="179" t="s">
        <v>2722</v>
      </c>
      <c r="BX302" s="179">
        <v>2</v>
      </c>
      <c r="BY302" t="str">
        <f>IF(秋,"云栖松","泉凝月")</f>
        <v>泉凝月</v>
      </c>
      <c r="BZ302">
        <v>2</v>
      </c>
      <c r="CA302" s="176" t="s">
        <v>2850</v>
      </c>
      <c r="CB302">
        <f>IF(0,2,0)</f>
        <v>0</v>
      </c>
    </row>
    <row r="303" spans="1:80">
      <c r="A303" s="178" t="str">
        <f ca="1">IFERROR(IF(A302+加速!$L$11&lt;$AS$1,IF(COUNTIF(B302,"*轻*")&gt;0,A302+加速!$L$9,A302+加速!$L$11)+V302,IF(COUNTIF(INDEX(AU303:CB303,1,$AT$1),"*云景*")+COUNTIF(INDEX(AU303:CB303,1,$AT$1),"*鹤归*")+COUNTIF(INDEX(AU303:CB303,1,$AT$1),"*听雷*")&gt;0,A302+加速!$L$11,"")),"")</f>
        <v/>
      </c>
      <c r="B303" s="167" t="str">
        <f ca="1">IF(A303&lt;&gt;"",IF(AND(A303+加速!$L$11&gt;$AS$1,IF(AND(配装计算器!$K$30&lt;&gt;"∞",0),"梦泉虎跑-轻",INDEX(AU303:CB303,1,$AT$1))="云栖松"),"夕照雷峰",IF(AND(配装计算器!$K$30&lt;&gt;"∞",0),"梦泉虎跑-轻",INDEX(AU303:CB303,1,$AT$1))),"")</f>
        <v/>
      </c>
      <c r="C303" t="str">
        <f ca="1" t="shared" si="64"/>
        <v/>
      </c>
      <c r="D303" t="str">
        <f ca="1">IF(B303&lt;&gt;"",IF(C302&lt;=加速!$L$11*(1-E303),0,1),"")</f>
        <v/>
      </c>
      <c r="E303">
        <f ca="1" t="shared" si="59"/>
        <v>1</v>
      </c>
      <c r="G303" t="str">
        <f ca="1" t="shared" si="60"/>
        <v/>
      </c>
      <c r="H303" t="str">
        <f ca="1">IF(B303&lt;&gt;"",IF(AND(COUNTIF(B302,"*轻*莺鸣柳*")&gt;0,COUNTIF(B303,"*轻*")&lt;1),MAX(0,15+I302-(A303-A302)+COUNTIF(B302,"*平湖*")*0),IF(AND(E303=0,MAX(0,H302-(A303-A302))&lt;=加速!$H$11),0,MAX(0,H302-(A303-A302)))),"")</f>
        <v/>
      </c>
      <c r="I303" t="str">
        <f ca="1" t="shared" si="67"/>
        <v/>
      </c>
      <c r="J303" t="str">
        <f ca="1" t="shared" si="68"/>
        <v/>
      </c>
      <c r="K303" t="str">
        <f ca="1">IF(A303&lt;&gt;"",IF(AND(配装计算器!$K$30&lt;&gt;"∞",0),2,INDEX(AU303:CB303,1,$AT$2)),"")</f>
        <v/>
      </c>
      <c r="L303">
        <f ca="1">IFERROR(IF(AND(COUNTIF(B303,"*-峰插*"),技能数据库!$M$72&gt;0),0,IF(COUNTIF(B303,"*鹤归*")&gt;0,16-加速!$L$11,MAX(0,L302-(A303-A302)))),0)</f>
        <v>0</v>
      </c>
      <c r="M303">
        <f ca="1">IF(COUNTIF(IF(AND(配装计算器!$K$30&lt;&gt;"∞",0),INDEX(AU302:CB302,1,$AT$1),INDEX(AU304:CB304,1,$AT$1)),"*鹤归*")=1,L303,0)</f>
        <v>0</v>
      </c>
      <c r="N303">
        <f ca="1">IFERROR(IF(AND(COUNTIF(B303,"*-峰插*"),技能数据库!$M$72&gt;0),0,IF(COUNTIF(B303,"*云飞*")&gt;0,4-COUNTIF(B303,"*玉山揽云*")*4--COUNTIF(B303,"*烟流暮景*")*4-COUNTIF(B303,"*云景*")*加速!$L$11-IF(J303&gt;0,2,0),MAX(0,N302-(A303-A302)-IF(J303&gt;0,2,0)))),0)</f>
        <v>0</v>
      </c>
      <c r="O303">
        <f ca="1">IF(AND(COUNTIF(IF(AND(配装计算器!$K$30&lt;&gt;"∞",0),INDEX(AU302:CB302,1,$AT$1),INDEX(AU304:CB304,1,$AT$1)),"*云飞*")=1,COUNTIF(IF(AND(配装计算器!$K$30&lt;&gt;"∞",0),INDEX(AU302:CB302,1,$AT$1),INDEX(AU304:CB304,1,$AT$1)),"*玉山*")=0),N303,0)</f>
        <v>0</v>
      </c>
      <c r="P303">
        <f ca="1">IFERROR(IF(COUNTIF(B303,"*云栖松*")&gt;0,50-加速!$L$11,MAX(0,P302-(A303-A302))),0)</f>
        <v>0</v>
      </c>
      <c r="Q303">
        <f ca="1">IF(COUNTIF(IF(AND(配装计算器!$K$30&lt;&gt;"∞",0),INDEX(AU302:CB302,1,$AT$1),INDEX(AU304:CB304,1,$AT$1)),"*云栖松*")=1,P303,0)</f>
        <v>0</v>
      </c>
      <c r="R303">
        <f ca="1">IFERROR(IF(COUNTIF(B303,"*莺鸣柳*")&gt;0,45-加速!$L$9,MAX(0,R302-(A303-A302))),0)</f>
        <v>0</v>
      </c>
      <c r="S303">
        <f ca="1">IF(COUNTIF(IF(AND(配装计算器!$K$30&lt;&gt;"∞",0),INDEX(AU302:CB302,1,$AT$1),INDEX(AU304:CB304,1,$AT$1)),"*莺鸣柳*")=1,R303,0)</f>
        <v>0</v>
      </c>
      <c r="T303">
        <f ca="1" t="shared" si="65"/>
        <v>0</v>
      </c>
      <c r="U303">
        <f ca="1">IF(金蛇,IF(COUNTIF(B303,"*金环戴*")+COUNTIF(B303,"*吹风醒*")&gt;0,IF(A303&lt;=3,7.125-2.625-A303-加速!$L$11,7.125+加速!$K$9-(A303+加速!$L$11-T303)),0),0)+IF(金蛇,IF(COUNTIF(B303,"*千切子裂光*")&gt;0,2+加速!$K$9-(A303+加速!$L$11-T303),0),0)</f>
        <v>0</v>
      </c>
      <c r="V303">
        <f ca="1" t="shared" si="66"/>
        <v>0</v>
      </c>
      <c r="W303">
        <f ca="1" t="shared" si="57"/>
        <v>0</v>
      </c>
      <c r="X303">
        <f ca="1">INDEX(加速!$I$13:$I$21,技能数计算!W303+1)</f>
        <v>0</v>
      </c>
      <c r="Y303">
        <f ca="1" t="shared" si="61"/>
        <v>0.5</v>
      </c>
      <c r="Z303">
        <f ca="1" t="shared" si="62"/>
        <v>0</v>
      </c>
      <c r="AA303">
        <f ca="1">MAX(0,IFERROR(IF(COUNTIF(B303,"*叠*")&gt;0,IF(AC302&lt;3,8-A304+A303,AA302+6.875-A304+A303),AA302-A304+A303),AA302-加速!$L$11))</f>
        <v>0</v>
      </c>
      <c r="AB303" t="e">
        <f ca="1">MAX(0,IF(COUNTIF(IF(AND(配装计算器!$K$30&lt;&gt;"∞",0),INDEX(AU303:CB303,1,$AT$1),INDEX(AU303:CB303,1,$AT$1)),"*叠1*")=1,4*25-加速!$L$11,AB302-A303+A302)-IF(OR(COUNTIF(OFFSET(AT303,0,$AT$1,1,1),"*听雷*")&gt;0,AND(碧归&gt;0,COUNTIF(OFFSET(AT303,0,$AT$1,1,1),"*风来*")&gt;0)),0,1)*1.5)</f>
        <v>#VALUE!</v>
      </c>
      <c r="AC303">
        <f ca="1" t="shared" si="58"/>
        <v>3</v>
      </c>
      <c r="AD303">
        <f ca="1">IF(COUNTIF(IF(AND(配装计算器!$K$30&lt;&gt;"∞",0),INDEX(AU303:CB303,1,$AT$1),INDEX(AU304:CB304,1,$AT$1)),"*叠1*")=1,AB303*0+AE302,0)</f>
        <v>0</v>
      </c>
      <c r="AE303" t="e">
        <f ca="1">IF($AN$11&gt;0,IF(COUNTIF(B304,"*叠1*")&gt;0,50-加速!$H$11,MAX(0,AE302-(A304-A303))),0)</f>
        <v>#VALUE!</v>
      </c>
      <c r="AU303" s="176" t="s">
        <v>2776</v>
      </c>
      <c r="AV303">
        <v>2</v>
      </c>
      <c r="AW303" t="s">
        <v>2768</v>
      </c>
      <c r="AX303">
        <v>2</v>
      </c>
      <c r="AY303" t="s">
        <v>2768</v>
      </c>
      <c r="AZ303">
        <v>2</v>
      </c>
      <c r="BA303" t="s">
        <v>2768</v>
      </c>
      <c r="BB303">
        <v>2</v>
      </c>
      <c r="BC303" t="s">
        <v>2776</v>
      </c>
      <c r="BD303">
        <v>1</v>
      </c>
      <c r="BE303" t="s">
        <v>2768</v>
      </c>
      <c r="BF303">
        <v>1</v>
      </c>
      <c r="BG303" t="s">
        <v>2768</v>
      </c>
      <c r="BH303">
        <v>2</v>
      </c>
      <c r="BI303" t="s">
        <v>2768</v>
      </c>
      <c r="BJ303">
        <v>2</v>
      </c>
      <c r="BK303" t="s">
        <v>3026</v>
      </c>
      <c r="BL303">
        <v>2</v>
      </c>
      <c r="BM303" t="s">
        <v>2768</v>
      </c>
      <c r="BN303">
        <v>2</v>
      </c>
      <c r="BO303" s="176" t="str">
        <f>IF(秋,"云飞玉皇-蛇牙锥心","云飞玉皇-血毒金蛇锥")</f>
        <v>云飞玉皇-血毒金蛇锥</v>
      </c>
      <c r="BP303">
        <v>2</v>
      </c>
      <c r="BQ303" t="s">
        <v>3023</v>
      </c>
      <c r="BR303">
        <v>2</v>
      </c>
      <c r="BS303" t="s">
        <v>2776</v>
      </c>
      <c r="BT303">
        <v>0</v>
      </c>
      <c r="BU303" t="s">
        <v>2768</v>
      </c>
      <c r="BV303">
        <v>2</v>
      </c>
      <c r="BW303" s="179" t="s">
        <v>3009</v>
      </c>
      <c r="BX303" s="179">
        <v>2</v>
      </c>
      <c r="BY303" t="s">
        <v>2768</v>
      </c>
      <c r="BZ303">
        <v>2</v>
      </c>
      <c r="CA303" s="176" t="str">
        <f>IF(秋,"金环戴","吹风醒")</f>
        <v>吹风醒</v>
      </c>
      <c r="CB303">
        <v>2</v>
      </c>
    </row>
    <row r="304" spans="1:80">
      <c r="A304" s="178" t="str">
        <f ca="1">IFERROR(IF(A303+加速!$L$11&lt;$AS$1,IF(COUNTIF(B303,"*轻*")&gt;0,A303+加速!$L$9,A303+加速!$L$11)+V303,IF(COUNTIF(INDEX(AU304:CB304,1,$AT$1),"*云景*")+COUNTIF(INDEX(AU304:CB304,1,$AT$1),"*鹤归*")+COUNTIF(INDEX(AU304:CB304,1,$AT$1),"*听雷*")&gt;0,A303+加速!$L$11,"")),"")</f>
        <v/>
      </c>
      <c r="B304" s="167" t="str">
        <f ca="1">IF(A304&lt;&gt;"",IF(AND(A304+加速!$L$11&gt;$AS$1,IF(AND(配装计算器!$K$30&lt;&gt;"∞",0),"梦泉虎跑-轻",INDEX(AU304:CB304,1,$AT$1))="云栖松"),"夕照雷峰",IF(AND(配装计算器!$K$30&lt;&gt;"∞",0),"梦泉虎跑-轻",INDEX(AU304:CB304,1,$AT$1))),"")</f>
        <v/>
      </c>
      <c r="C304" t="str">
        <f ca="1" t="shared" si="64"/>
        <v/>
      </c>
      <c r="D304" t="str">
        <f ca="1">IF(B304&lt;&gt;"",IF(C303&lt;=加速!$L$11*(1-E304),0,1),"")</f>
        <v/>
      </c>
      <c r="E304">
        <f ca="1" t="shared" si="59"/>
        <v>1</v>
      </c>
      <c r="G304" t="str">
        <f ca="1" t="shared" si="60"/>
        <v/>
      </c>
      <c r="H304" t="str">
        <f ca="1">IF(B304&lt;&gt;"",IF(AND(COUNTIF(B303,"*轻*莺鸣柳*")&gt;0,COUNTIF(B304,"*轻*")&lt;1),MAX(0,15+I303-(A304-A303)+COUNTIF(B303,"*平湖*")*0),IF(AND(E304=0,MAX(0,H303-(A304-A303))&lt;=加速!$H$11),0,MAX(0,H303-(A304-A303)))),"")</f>
        <v/>
      </c>
      <c r="I304" t="str">
        <f ca="1" t="shared" si="67"/>
        <v/>
      </c>
      <c r="J304" t="str">
        <f ca="1" t="shared" si="68"/>
        <v/>
      </c>
      <c r="K304" t="str">
        <f ca="1">IF(A304&lt;&gt;"",IF(AND(配装计算器!$K$30&lt;&gt;"∞",0),2,INDEX(AU304:CB304,1,$AT$2)),"")</f>
        <v/>
      </c>
      <c r="L304">
        <f ca="1">IFERROR(IF(AND(COUNTIF(B304,"*-峰插*"),技能数据库!$M$72&gt;0),0,IF(COUNTIF(B304,"*鹤归*")&gt;0,16-加速!$L$11,MAX(0,L303-(A304-A303)))),0)</f>
        <v>0</v>
      </c>
      <c r="M304">
        <f ca="1">IF(COUNTIF(IF(AND(配装计算器!$K$30&lt;&gt;"∞",0),INDEX(AU303:CB303,1,$AT$1),INDEX(AU305:CB305,1,$AT$1)),"*鹤归*")=1,L304,0)</f>
        <v>0</v>
      </c>
      <c r="N304">
        <f ca="1">IFERROR(IF(AND(COUNTIF(B304,"*-峰插*"),技能数据库!$M$72&gt;0),0,IF(COUNTIF(B304,"*云飞*")&gt;0,4-COUNTIF(B304,"*玉山揽云*")*4--COUNTIF(B304,"*烟流暮景*")*4-COUNTIF(B304,"*云景*")*加速!$L$11-IF(J304&gt;0,2,0),MAX(0,N303-(A304-A303)-IF(J304&gt;0,2,0)))),0)</f>
        <v>0</v>
      </c>
      <c r="O304">
        <f ca="1">IF(AND(COUNTIF(IF(AND(配装计算器!$K$30&lt;&gt;"∞",0),INDEX(AU303:CB303,1,$AT$1),INDEX(AU305:CB305,1,$AT$1)),"*云飞*")=1,COUNTIF(IF(AND(配装计算器!$K$30&lt;&gt;"∞",0),INDEX(AU303:CB303,1,$AT$1),INDEX(AU305:CB305,1,$AT$1)),"*玉山*")=0),N304,0)</f>
        <v>0</v>
      </c>
      <c r="P304">
        <f ca="1">IFERROR(IF(COUNTIF(B304,"*云栖松*")&gt;0,50-加速!$L$11,MAX(0,P303-(A304-A303))),0)</f>
        <v>0</v>
      </c>
      <c r="Q304">
        <f ca="1">IF(COUNTIF(IF(AND(配装计算器!$K$30&lt;&gt;"∞",0),INDEX(AU303:CB303,1,$AT$1),INDEX(AU305:CB305,1,$AT$1)),"*云栖松*")=1,P304,0)</f>
        <v>0</v>
      </c>
      <c r="R304">
        <f ca="1">IFERROR(IF(COUNTIF(B304,"*莺鸣柳*")&gt;0,45-加速!$L$9,MAX(0,R303-(A304-A303))),0)</f>
        <v>0</v>
      </c>
      <c r="S304">
        <f ca="1">IF(COUNTIF(IF(AND(配装计算器!$K$30&lt;&gt;"∞",0),INDEX(AU303:CB303,1,$AT$1),INDEX(AU305:CB305,1,$AT$1)),"*莺鸣柳*")=1,R304,0)</f>
        <v>0</v>
      </c>
      <c r="T304">
        <f ca="1" t="shared" si="65"/>
        <v>0</v>
      </c>
      <c r="U304">
        <f ca="1">IF(金蛇,IF(COUNTIF(B304,"*金环戴*")+COUNTIF(B304,"*吹风醒*")&gt;0,IF(A304&lt;=3,7.125-2.625-A304-加速!$L$11,7.125+加速!$K$9-(A304+加速!$L$11-T304)),0),0)+IF(金蛇,IF(COUNTIF(B304,"*千切子裂光*")&gt;0,2+加速!$K$9-(A304+加速!$L$11-T304),0),0)</f>
        <v>0</v>
      </c>
      <c r="V304">
        <f ca="1" t="shared" si="66"/>
        <v>0</v>
      </c>
      <c r="W304">
        <f ca="1" t="shared" si="57"/>
        <v>0</v>
      </c>
      <c r="X304">
        <f ca="1">INDEX(加速!$I$13:$I$21,技能数计算!W304+1)</f>
        <v>0</v>
      </c>
      <c r="Y304">
        <f ca="1" t="shared" si="61"/>
        <v>0.5</v>
      </c>
      <c r="Z304">
        <f ca="1" t="shared" si="62"/>
        <v>0</v>
      </c>
      <c r="AA304">
        <f ca="1">MAX(0,IFERROR(IF(COUNTIF(B304,"*叠*")&gt;0,IF(AC303&lt;3,8-A305+A304,AA303+6.875-A305+A304),AA303-A305+A304),AA303-加速!$L$11))</f>
        <v>0</v>
      </c>
      <c r="AB304" t="e">
        <f ca="1">MAX(0,IF(COUNTIF(IF(AND(配装计算器!$K$30&lt;&gt;"∞",0),INDEX(AU304:CB304,1,$AT$1),INDEX(AU304:CB304,1,$AT$1)),"*叠1*")=1,4*25-加速!$L$11,AB303-A304+A303)-IF(OR(COUNTIF(OFFSET(AT304,0,$AT$1,1,1),"*听雷*")&gt;0,AND(碧归&gt;0,COUNTIF(OFFSET(AT304,0,$AT$1,1,1),"*风来*")&gt;0)),0,1)*1.5)</f>
        <v>#VALUE!</v>
      </c>
      <c r="AC304">
        <f ca="1" t="shared" si="58"/>
        <v>3</v>
      </c>
      <c r="AD304">
        <f ca="1">IF(COUNTIF(IF(AND(配装计算器!$K$30&lt;&gt;"∞",0),INDEX(AU304:CB304,1,$AT$1),INDEX(AU305:CB305,1,$AT$1)),"*叠1*")=1,AB304*0+AE303,0)</f>
        <v>0</v>
      </c>
      <c r="AE304" t="e">
        <f ca="1">IF($AN$11&gt;0,IF(COUNTIF(B305,"*叠1*")&gt;0,50-加速!$H$11,MAX(0,AE303-(A305-A304))),0)</f>
        <v>#VALUE!</v>
      </c>
      <c r="AU304" s="176" t="s">
        <v>2768</v>
      </c>
      <c r="AV304">
        <v>1</v>
      </c>
      <c r="AW304" t="s">
        <v>2768</v>
      </c>
      <c r="AX304">
        <v>2</v>
      </c>
      <c r="AY304" t="s">
        <v>2776</v>
      </c>
      <c r="AZ304">
        <v>2</v>
      </c>
      <c r="BA304" t="s">
        <v>2776</v>
      </c>
      <c r="BB304">
        <v>2</v>
      </c>
      <c r="BC304" t="s">
        <v>2768</v>
      </c>
      <c r="BD304">
        <v>1</v>
      </c>
      <c r="BE304" t="s">
        <v>2776</v>
      </c>
      <c r="BF304">
        <v>1</v>
      </c>
      <c r="BG304" t="s">
        <v>2776</v>
      </c>
      <c r="BH304">
        <v>2</v>
      </c>
      <c r="BI304" s="176" t="s">
        <v>2794</v>
      </c>
      <c r="BJ304">
        <v>1</v>
      </c>
      <c r="BK304" t="s">
        <v>3026</v>
      </c>
      <c r="BL304">
        <v>2</v>
      </c>
      <c r="BM304" t="s">
        <v>1886</v>
      </c>
      <c r="BN304">
        <v>2</v>
      </c>
      <c r="BO304" t="s">
        <v>2768</v>
      </c>
      <c r="BP304">
        <v>2</v>
      </c>
      <c r="BQ304" t="s">
        <v>2768</v>
      </c>
      <c r="BR304">
        <v>2</v>
      </c>
      <c r="BS304" t="s">
        <v>2768</v>
      </c>
      <c r="BT304">
        <v>0</v>
      </c>
      <c r="BU304" s="182" t="s">
        <v>3023</v>
      </c>
      <c r="BV304">
        <v>2</v>
      </c>
      <c r="BW304" s="179" t="s">
        <v>2768</v>
      </c>
      <c r="BX304" s="179">
        <v>2</v>
      </c>
      <c r="BY304" t="s">
        <v>1886</v>
      </c>
      <c r="BZ304">
        <v>2</v>
      </c>
      <c r="CA304" s="176" t="s">
        <v>2768</v>
      </c>
      <c r="CB304">
        <v>2</v>
      </c>
    </row>
    <row r="305" spans="1:80">
      <c r="A305" s="178" t="str">
        <f ca="1">IFERROR(IF(A304+加速!$L$11&lt;$AS$1,IF(COUNTIF(B304,"*轻*")&gt;0,A304+加速!$L$9,A304+加速!$L$11)+V304,IF(COUNTIF(INDEX(AU305:CB305,1,$AT$1),"*云景*")+COUNTIF(INDEX(AU305:CB305,1,$AT$1),"*鹤归*")+COUNTIF(INDEX(AU305:CB305,1,$AT$1),"*听雷*")&gt;0,A304+加速!$L$11,"")),"")</f>
        <v/>
      </c>
      <c r="B305" s="167" t="str">
        <f ca="1">IF(A305&lt;&gt;"",IF(AND(A305+加速!$L$11&gt;$AS$1,IF(AND(配装计算器!$K$30&lt;&gt;"∞",0),"梦泉虎跑-轻",INDEX(AU305:CB305,1,$AT$1))="云栖松"),"夕照雷峰",IF(AND(配装计算器!$K$30&lt;&gt;"∞",0),"梦泉虎跑-轻",INDEX(AU305:CB305,1,$AT$1))),"")</f>
        <v/>
      </c>
      <c r="C305" t="str">
        <f ca="1" t="shared" si="64"/>
        <v/>
      </c>
      <c r="D305" t="str">
        <f ca="1">IF(B305&lt;&gt;"",IF(C304&lt;=加速!$L$11*(1-E305),0,1),"")</f>
        <v/>
      </c>
      <c r="E305">
        <f ca="1" t="shared" si="59"/>
        <v>1</v>
      </c>
      <c r="G305" t="str">
        <f ca="1" t="shared" si="60"/>
        <v/>
      </c>
      <c r="H305" t="str">
        <f ca="1">IF(B305&lt;&gt;"",IF(AND(COUNTIF(B304,"*轻*莺鸣柳*")&gt;0,COUNTIF(B305,"*轻*")&lt;1),MAX(0,15+I304-(A305-A304)+COUNTIF(B304,"*平湖*")*0),IF(AND(E305=0,MAX(0,H304-(A305-A304))&lt;=加速!$H$11),0,MAX(0,H304-(A305-A304)))),"")</f>
        <v/>
      </c>
      <c r="I305" t="str">
        <f ca="1" t="shared" si="67"/>
        <v/>
      </c>
      <c r="J305" t="str">
        <f ca="1" t="shared" si="68"/>
        <v/>
      </c>
      <c r="K305" t="str">
        <f ca="1">IF(A305&lt;&gt;"",IF(AND(配装计算器!$K$30&lt;&gt;"∞",0),2,INDEX(AU305:CB305,1,$AT$2)),"")</f>
        <v/>
      </c>
      <c r="L305">
        <f ca="1">IFERROR(IF(AND(COUNTIF(B305,"*-峰插*"),技能数据库!$M$72&gt;0),0,IF(COUNTIF(B305,"*鹤归*")&gt;0,16-加速!$L$11,MAX(0,L304-(A305-A304)))),0)</f>
        <v>0</v>
      </c>
      <c r="M305">
        <f ca="1">IF(COUNTIF(IF(AND(配装计算器!$K$30&lt;&gt;"∞",0),INDEX(AU304:CB304,1,$AT$1),INDEX(AU306:CB306,1,$AT$1)),"*鹤归*")=1,L305,0)</f>
        <v>0</v>
      </c>
      <c r="N305">
        <f ca="1">IFERROR(IF(AND(COUNTIF(B305,"*-峰插*"),技能数据库!$M$72&gt;0),0,IF(COUNTIF(B305,"*云飞*")&gt;0,4-COUNTIF(B305,"*玉山揽云*")*4--COUNTIF(B305,"*烟流暮景*")*4-COUNTIF(B305,"*云景*")*加速!$L$11-IF(J305&gt;0,2,0),MAX(0,N304-(A305-A304)-IF(J305&gt;0,2,0)))),0)</f>
        <v>0</v>
      </c>
      <c r="O305">
        <f ca="1">IF(AND(COUNTIF(IF(AND(配装计算器!$K$30&lt;&gt;"∞",0),INDEX(AU304:CB304,1,$AT$1),INDEX(AU306:CB306,1,$AT$1)),"*云飞*")=1,COUNTIF(IF(AND(配装计算器!$K$30&lt;&gt;"∞",0),INDEX(AU304:CB304,1,$AT$1),INDEX(AU306:CB306,1,$AT$1)),"*玉山*")=0),N305,0)</f>
        <v>0</v>
      </c>
      <c r="P305">
        <f ca="1">IFERROR(IF(COUNTIF(B305,"*云栖松*")&gt;0,50-加速!$L$11,MAX(0,P304-(A305-A304))),0)</f>
        <v>0</v>
      </c>
      <c r="Q305">
        <f ca="1">IF(COUNTIF(IF(AND(配装计算器!$K$30&lt;&gt;"∞",0),INDEX(AU304:CB304,1,$AT$1),INDEX(AU306:CB306,1,$AT$1)),"*云栖松*")=1,P305,0)</f>
        <v>0</v>
      </c>
      <c r="R305">
        <f ca="1">IFERROR(IF(COUNTIF(B305,"*莺鸣柳*")&gt;0,45-加速!$L$9,MAX(0,R304-(A305-A304))),0)</f>
        <v>0</v>
      </c>
      <c r="S305">
        <f ca="1">IF(COUNTIF(IF(AND(配装计算器!$K$30&lt;&gt;"∞",0),INDEX(AU304:CB304,1,$AT$1),INDEX(AU306:CB306,1,$AT$1)),"*莺鸣柳*")=1,R305,0)</f>
        <v>0</v>
      </c>
      <c r="T305">
        <f ca="1" t="shared" si="65"/>
        <v>0</v>
      </c>
      <c r="U305">
        <f ca="1">IF(金蛇,IF(COUNTIF(B305,"*金环戴*")+COUNTIF(B305,"*吹风醒*")&gt;0,IF(A305&lt;=3,7.125-2.625-A305-加速!$L$11,7.125+加速!$K$9-(A305+加速!$L$11-T305)),0),0)+IF(金蛇,IF(COUNTIF(B305,"*千切子裂光*")&gt;0,2+加速!$K$9-(A305+加速!$L$11-T305),0),0)</f>
        <v>0</v>
      </c>
      <c r="V305">
        <f ca="1" t="shared" si="66"/>
        <v>0</v>
      </c>
      <c r="W305">
        <f ca="1" t="shared" si="57"/>
        <v>0</v>
      </c>
      <c r="X305">
        <f ca="1">INDEX(加速!$I$13:$I$21,技能数计算!W305+1)</f>
        <v>0</v>
      </c>
      <c r="Y305">
        <f ca="1" t="shared" si="61"/>
        <v>0.5</v>
      </c>
      <c r="Z305">
        <f ca="1" t="shared" si="62"/>
        <v>0</v>
      </c>
      <c r="AA305">
        <f ca="1">MAX(0,IFERROR(IF(COUNTIF(B305,"*叠*")&gt;0,IF(AC304&lt;3,8-A306+A305,AA304+6.875-A306+A305),AA304-A306+A305),AA304-加速!$L$11))</f>
        <v>0</v>
      </c>
      <c r="AB305" t="e">
        <f ca="1">MAX(0,IF(COUNTIF(IF(AND(配装计算器!$K$30&lt;&gt;"∞",0),INDEX(AU305:CB305,1,$AT$1),INDEX(AU305:CB305,1,$AT$1)),"*叠1*")=1,4*25-加速!$L$11,AB304-A305+A304)-IF(OR(COUNTIF(OFFSET(AT305,0,$AT$1,1,1),"*听雷*")&gt;0,AND(碧归&gt;0,COUNTIF(OFFSET(AT305,0,$AT$1,1,1),"*风来*")&gt;0)),0,1)*1.5)</f>
        <v>#VALUE!</v>
      </c>
      <c r="AC305">
        <f ca="1" t="shared" si="58"/>
        <v>3</v>
      </c>
      <c r="AD305">
        <f ca="1">IF(COUNTIF(IF(AND(配装计算器!$K$30&lt;&gt;"∞",0),INDEX(AU305:CB305,1,$AT$1),INDEX(AU306:CB306,1,$AT$1)),"*叠1*")=1,AB305*0+AE304,0)</f>
        <v>0</v>
      </c>
      <c r="AE305" t="e">
        <f ca="1">IF($AN$11&gt;0,IF(COUNTIF(B306,"*叠1*")&gt;0,50-加速!$H$11,MAX(0,AE304-(A306-A305))),0)</f>
        <v>#VALUE!</v>
      </c>
      <c r="AU305" s="176" t="s">
        <v>2776</v>
      </c>
      <c r="AV305">
        <v>1</v>
      </c>
      <c r="AW305" t="s">
        <v>2768</v>
      </c>
      <c r="AX305">
        <v>2</v>
      </c>
      <c r="AY305" t="s">
        <v>2768</v>
      </c>
      <c r="AZ305">
        <v>2</v>
      </c>
      <c r="BA305" t="s">
        <v>3042</v>
      </c>
      <c r="BB305">
        <v>2</v>
      </c>
      <c r="BC305" t="s">
        <v>2768</v>
      </c>
      <c r="BD305">
        <v>0</v>
      </c>
      <c r="BE305" t="s">
        <v>2768</v>
      </c>
      <c r="BF305">
        <v>0</v>
      </c>
      <c r="BG305" t="s">
        <v>2768</v>
      </c>
      <c r="BH305">
        <v>2</v>
      </c>
      <c r="BI305" t="s">
        <v>2776</v>
      </c>
      <c r="BJ305">
        <v>1</v>
      </c>
      <c r="BK305" t="s">
        <v>3026</v>
      </c>
      <c r="BL305">
        <v>2</v>
      </c>
      <c r="BM305" t="s">
        <v>2853</v>
      </c>
      <c r="BN305">
        <v>2</v>
      </c>
      <c r="BO305" t="str">
        <f>IF(山重水复,"风来吴山","夕照雷峰")</f>
        <v>夕照雷峰</v>
      </c>
      <c r="BP305">
        <v>2</v>
      </c>
      <c r="BQ305" t="s">
        <v>2776</v>
      </c>
      <c r="BR305">
        <v>2</v>
      </c>
      <c r="BS305" t="s">
        <v>3074</v>
      </c>
      <c r="BT305">
        <v>2</v>
      </c>
      <c r="BU305" s="176" t="s">
        <v>2768</v>
      </c>
      <c r="BV305">
        <v>2</v>
      </c>
      <c r="BW305" s="179" t="s">
        <v>2776</v>
      </c>
      <c r="BX305" s="179">
        <v>2</v>
      </c>
      <c r="BY305" t="s">
        <v>2853</v>
      </c>
      <c r="BZ305">
        <v>2</v>
      </c>
      <c r="CA305" s="176" t="str">
        <f>IF(秋,"云飞玉皇","云飞玉皇·云景")</f>
        <v>云飞玉皇·云景</v>
      </c>
      <c r="CB305">
        <v>2</v>
      </c>
    </row>
    <row r="306" spans="1:80">
      <c r="A306" s="178" t="str">
        <f ca="1">IFERROR(IF(A305+加速!$L$11&lt;$AS$1,IF(COUNTIF(B305,"*轻*")&gt;0,A305+加速!$L$9,A305+加速!$L$11)+V305,IF(COUNTIF(INDEX(AU306:CB306,1,$AT$1),"*云景*")+COUNTIF(INDEX(AU306:CB306,1,$AT$1),"*鹤归*")+COUNTIF(INDEX(AU306:CB306,1,$AT$1),"*听雷*")&gt;0,A305+加速!$L$11,"")),"")</f>
        <v/>
      </c>
      <c r="B306" s="167" t="str">
        <f ca="1">IF(A306&lt;&gt;"",IF(AND(A306+加速!$L$11&gt;$AS$1,IF(AND(配装计算器!$K$30&lt;&gt;"∞",0),"梦泉虎跑-轻",INDEX(AU306:CB306,1,$AT$1))="云栖松"),"夕照雷峰",IF(AND(配装计算器!$K$30&lt;&gt;"∞",0),"梦泉虎跑-轻",INDEX(AU306:CB306,1,$AT$1))),"")</f>
        <v/>
      </c>
      <c r="C306" t="str">
        <f ca="1" t="shared" si="64"/>
        <v/>
      </c>
      <c r="D306" t="str">
        <f ca="1">IF(B306&lt;&gt;"",IF(C305&lt;=加速!$L$11*(1-E306),0,1),"")</f>
        <v/>
      </c>
      <c r="E306">
        <f ca="1" t="shared" si="59"/>
        <v>1</v>
      </c>
      <c r="G306" t="str">
        <f ca="1" t="shared" si="60"/>
        <v/>
      </c>
      <c r="H306" t="str">
        <f ca="1">IF(B306&lt;&gt;"",IF(AND(COUNTIF(B305,"*轻*莺鸣柳*")&gt;0,COUNTIF(B306,"*轻*")&lt;1),MAX(0,15+I305-(A306-A305)+COUNTIF(B305,"*平湖*")*0),IF(AND(E306=0,MAX(0,H305-(A306-A305))&lt;=加速!$H$11),0,MAX(0,H305-(A306-A305)))),"")</f>
        <v/>
      </c>
      <c r="I306" t="str">
        <f ca="1" t="shared" si="67"/>
        <v/>
      </c>
      <c r="J306" t="str">
        <f ca="1" t="shared" si="68"/>
        <v/>
      </c>
      <c r="K306" t="str">
        <f ca="1">IF(A306&lt;&gt;"",IF(AND(配装计算器!$K$30&lt;&gt;"∞",0),2,INDEX(AU306:CB306,1,$AT$2)),"")</f>
        <v/>
      </c>
      <c r="L306">
        <f ca="1">IFERROR(IF(AND(COUNTIF(B306,"*-峰插*"),技能数据库!$M$72&gt;0),0,IF(COUNTIF(B306,"*鹤归*")&gt;0,16-加速!$L$11,MAX(0,L305-(A306-A305)))),0)</f>
        <v>0</v>
      </c>
      <c r="M306">
        <f ca="1">IF(COUNTIF(IF(AND(配装计算器!$K$30&lt;&gt;"∞",0),INDEX(AU305:CB305,1,$AT$1),INDEX(AU307:CB307,1,$AT$1)),"*鹤归*")=1,L306,0)</f>
        <v>0</v>
      </c>
      <c r="N306">
        <f ca="1">IFERROR(IF(AND(COUNTIF(B306,"*-峰插*"),技能数据库!$M$72&gt;0),0,IF(COUNTIF(B306,"*云飞*")&gt;0,4-COUNTIF(B306,"*玉山揽云*")*4--COUNTIF(B306,"*烟流暮景*")*4-COUNTIF(B306,"*云景*")*加速!$L$11-IF(J306&gt;0,2,0),MAX(0,N305-(A306-A305)-IF(J306&gt;0,2,0)))),0)</f>
        <v>0</v>
      </c>
      <c r="O306">
        <f ca="1">IF(AND(COUNTIF(IF(AND(配装计算器!$K$30&lt;&gt;"∞",0),INDEX(AU305:CB305,1,$AT$1),INDEX(AU307:CB307,1,$AT$1)),"*云飞*")=1,COUNTIF(IF(AND(配装计算器!$K$30&lt;&gt;"∞",0),INDEX(AU305:CB305,1,$AT$1),INDEX(AU307:CB307,1,$AT$1)),"*玉山*")=0),N306,0)</f>
        <v>0</v>
      </c>
      <c r="P306">
        <f ca="1">IFERROR(IF(COUNTIF(B306,"*云栖松*")&gt;0,50-加速!$L$11,MAX(0,P305-(A306-A305))),0)</f>
        <v>0</v>
      </c>
      <c r="Q306">
        <f ca="1">IF(COUNTIF(IF(AND(配装计算器!$K$30&lt;&gt;"∞",0),INDEX(AU305:CB305,1,$AT$1),INDEX(AU307:CB307,1,$AT$1)),"*云栖松*")=1,P306,0)</f>
        <v>0</v>
      </c>
      <c r="R306">
        <f ca="1">IFERROR(IF(COUNTIF(B306,"*莺鸣柳*")&gt;0,45-加速!$L$9,MAX(0,R305-(A306-A305))),0)</f>
        <v>0</v>
      </c>
      <c r="S306">
        <f ca="1">IF(COUNTIF(IF(AND(配装计算器!$K$30&lt;&gt;"∞",0),INDEX(AU305:CB305,1,$AT$1),INDEX(AU307:CB307,1,$AT$1)),"*莺鸣柳*")=1,R306,0)</f>
        <v>0</v>
      </c>
      <c r="T306">
        <f ca="1" t="shared" si="65"/>
        <v>0</v>
      </c>
      <c r="U306">
        <f ca="1">IF(金蛇,IF(COUNTIF(B306,"*金环戴*")+COUNTIF(B306,"*吹风醒*")&gt;0,IF(A306&lt;=3,7.125-2.625-A306-加速!$L$11,7.125+加速!$K$9-(A306+加速!$L$11-T306)),0),0)+IF(金蛇,IF(COUNTIF(B306,"*千切子裂光*")&gt;0,2+加速!$K$9-(A306+加速!$L$11-T306),0),0)</f>
        <v>0</v>
      </c>
      <c r="V306" t="e">
        <f ca="1" t="shared" si="66"/>
        <v>#VALUE!</v>
      </c>
      <c r="W306">
        <f ca="1" t="shared" si="57"/>
        <v>0</v>
      </c>
      <c r="X306">
        <f ca="1">INDEX(加速!$I$13:$I$21,技能数计算!W306+1)</f>
        <v>0</v>
      </c>
      <c r="Y306">
        <f ca="1" t="shared" si="61"/>
        <v>0.5</v>
      </c>
      <c r="Z306">
        <f ca="1" t="shared" si="62"/>
        <v>0</v>
      </c>
      <c r="AA306">
        <f ca="1">MAX(0,IFERROR(IF(COUNTIF(B306,"*叠*")&gt;0,IF(AC305&lt;3,8-A307+A306,AA305+6.875-A307+A306),AA305-A307+A306),AA305-加速!$L$11))</f>
        <v>0</v>
      </c>
      <c r="AB306" t="e">
        <f ca="1">MAX(0,IF(COUNTIF(IF(AND(配装计算器!$K$30&lt;&gt;"∞",0),INDEX(AU306:CB306,1,$AT$1),INDEX(AU306:CB306,1,$AT$1)),"*叠1*")=1,4*25-加速!$L$11,AB305-A306+A305)-IF(OR(COUNTIF(OFFSET(AT306,0,$AT$1,1,1),"*听雷*")&gt;0,AND(碧归&gt;0,COUNTIF(OFFSET(AT306,0,$AT$1,1,1),"*风来*")&gt;0)),0,1)*1.5)</f>
        <v>#VALUE!</v>
      </c>
      <c r="AC306">
        <f ca="1" t="shared" si="58"/>
        <v>3</v>
      </c>
      <c r="AD306" t="e">
        <f ca="1">IF(COUNTIF(IF(AND(配装计算器!$K$30&lt;&gt;"∞",0),INDEX(AU306:CB306,1,$AT$1),INDEX(AU307:CB307,1,$AT$1)),"*叠1*")=1,AB306*0+AE305,0)</f>
        <v>#VALUE!</v>
      </c>
      <c r="AE306" t="e">
        <f ca="1">IF($AN$11&gt;0,IF(COUNTIF(B307,"*叠1*")&gt;0,50-加速!$H$11,MAX(0,AE305-(A307-A306))),0)</f>
        <v>#VALUE!</v>
      </c>
      <c r="AU306" t="s">
        <v>2722</v>
      </c>
      <c r="AV306">
        <v>0</v>
      </c>
      <c r="AW306" t="s">
        <v>2776</v>
      </c>
      <c r="AX306">
        <v>2</v>
      </c>
      <c r="AY306" t="s">
        <v>2776</v>
      </c>
      <c r="AZ306">
        <v>2</v>
      </c>
      <c r="BA306" t="s">
        <v>2808</v>
      </c>
      <c r="BB306">
        <v>2</v>
      </c>
      <c r="BC306" t="s">
        <v>2768</v>
      </c>
      <c r="BD306">
        <v>0</v>
      </c>
      <c r="BE306" t="s">
        <v>3011</v>
      </c>
      <c r="BF306">
        <v>2</v>
      </c>
      <c r="BG306" t="s">
        <v>2808</v>
      </c>
      <c r="BH306">
        <v>2</v>
      </c>
      <c r="BI306" t="s">
        <v>2768</v>
      </c>
      <c r="BJ306">
        <v>0</v>
      </c>
      <c r="BK306" t="s">
        <v>3026</v>
      </c>
      <c r="BL306">
        <v>2</v>
      </c>
      <c r="BM306" s="176" t="s">
        <v>2850</v>
      </c>
      <c r="BN306">
        <f>IF(0,2,0)</f>
        <v>0</v>
      </c>
      <c r="BO306" s="176" t="s">
        <v>2794</v>
      </c>
      <c r="BP306">
        <v>2</v>
      </c>
      <c r="BQ306" t="s">
        <v>2789</v>
      </c>
      <c r="BR306">
        <v>2</v>
      </c>
      <c r="BS306" t="s">
        <v>2768</v>
      </c>
      <c r="BT306">
        <v>2</v>
      </c>
      <c r="BU306" s="176" t="s">
        <v>2768</v>
      </c>
      <c r="BV306">
        <v>2</v>
      </c>
      <c r="BW306" s="181" t="s">
        <v>2789</v>
      </c>
      <c r="BX306" s="179">
        <v>2</v>
      </c>
      <c r="BY306" s="176" t="s">
        <v>2850</v>
      </c>
      <c r="BZ306">
        <f>IF(0,2,0)</f>
        <v>0</v>
      </c>
      <c r="CA306" t="str">
        <f>IF(0,"云飞玉皇","夕照雷峰")</f>
        <v>夕照雷峰</v>
      </c>
      <c r="CB306">
        <f>IF(0,2,2)</f>
        <v>2</v>
      </c>
    </row>
    <row r="307" spans="1:80">
      <c r="A307" s="178" t="str">
        <f ca="1">IFERROR(IF(A306+加速!$L$11&lt;$AS$1,IF(COUNTIF(B306,"*轻*")&gt;0,A306+加速!$L$9,A306+加速!$L$11)+V306,IF(COUNTIF(INDEX(AU307:CB307,1,$AT$1),"*云景*")+COUNTIF(INDEX(AU307:CB307,1,$AT$1),"*鹤归*")+COUNTIF(INDEX(AU307:CB307,1,$AT$1),"*听雷*")&gt;0,A306+加速!$L$11,"")),"")</f>
        <v/>
      </c>
      <c r="B307" s="167" t="str">
        <f ca="1">IF(A307&lt;&gt;"",IF(AND(A307+加速!$L$11&gt;$AS$1,IF(AND(配装计算器!$K$30&lt;&gt;"∞",0),"梦泉虎跑-轻",INDEX(AU307:CB307,1,$AT$1))="云栖松"),"夕照雷峰",IF(AND(配装计算器!$K$30&lt;&gt;"∞",0),"梦泉虎跑-轻",INDEX(AU307:CB307,1,$AT$1))),"")</f>
        <v/>
      </c>
      <c r="C307" t="str">
        <f ca="1" t="shared" si="64"/>
        <v/>
      </c>
      <c r="D307" t="str">
        <f ca="1">IF(B307&lt;&gt;"",IF(C306&lt;=加速!$L$11*(1-E307),0,1),"")</f>
        <v/>
      </c>
      <c r="E307">
        <f ca="1" t="shared" si="59"/>
        <v>1</v>
      </c>
      <c r="G307" t="str">
        <f ca="1" t="shared" si="60"/>
        <v/>
      </c>
      <c r="H307" t="str">
        <f ca="1">IF(B307&lt;&gt;"",IF(AND(COUNTIF(B306,"*轻*莺鸣柳*")&gt;0,COUNTIF(B307,"*轻*")&lt;1),MAX(0,15+I306-(A307-A306)+COUNTIF(B306,"*平湖*")*0),IF(AND(E307=0,MAX(0,H306-(A307-A306))&lt;=加速!$H$11),0,MAX(0,H306-(A307-A306)))),"")</f>
        <v/>
      </c>
      <c r="I307" t="str">
        <f ca="1" t="shared" si="67"/>
        <v/>
      </c>
      <c r="J307" t="str">
        <f ca="1" t="shared" si="68"/>
        <v/>
      </c>
      <c r="K307" t="str">
        <f ca="1">IF(A307&lt;&gt;"",IF(AND(配装计算器!$K$30&lt;&gt;"∞",0),2,INDEX(AU307:CB307,1,$AT$2)),"")</f>
        <v/>
      </c>
      <c r="L307">
        <f ca="1">IFERROR(IF(AND(COUNTIF(B307,"*-峰插*"),技能数据库!$M$72&gt;0),0,IF(COUNTIF(B307,"*鹤归*")&gt;0,16-加速!$L$11,MAX(0,L306-(A307-A306)))),0)</f>
        <v>0</v>
      </c>
      <c r="M307">
        <f ca="1">IF(COUNTIF(IF(AND(配装计算器!$K$30&lt;&gt;"∞",0),INDEX(AU306:CB306,1,$AT$1),INDEX(AU308:CB308,1,$AT$1)),"*鹤归*")=1,L307,0)</f>
        <v>0</v>
      </c>
      <c r="N307">
        <f ca="1">IFERROR(IF(AND(COUNTIF(B307,"*-峰插*"),技能数据库!$M$72&gt;0),0,IF(COUNTIF(B307,"*云飞*")&gt;0,4-COUNTIF(B307,"*玉山揽云*")*4--COUNTIF(B307,"*烟流暮景*")*4-COUNTIF(B307,"*云景*")*加速!$L$11-IF(J307&gt;0,2,0),MAX(0,N306-(A307-A306)-IF(J307&gt;0,2,0)))),0)</f>
        <v>0</v>
      </c>
      <c r="O307">
        <f ca="1">IF(AND(COUNTIF(IF(AND(配装计算器!$K$30&lt;&gt;"∞",0),INDEX(AU306:CB306,1,$AT$1),INDEX(AU308:CB308,1,$AT$1)),"*云飞*")=1,COUNTIF(IF(AND(配装计算器!$K$30&lt;&gt;"∞",0),INDEX(AU306:CB306,1,$AT$1),INDEX(AU308:CB308,1,$AT$1)),"*玉山*")=0),N307,0)</f>
        <v>0</v>
      </c>
      <c r="P307">
        <f ca="1">IFERROR(IF(COUNTIF(B307,"*云栖松*")&gt;0,50-加速!$L$11,MAX(0,P306-(A307-A306))),0)</f>
        <v>0</v>
      </c>
      <c r="Q307">
        <f ca="1">IF(COUNTIF(IF(AND(配装计算器!$K$30&lt;&gt;"∞",0),INDEX(AU306:CB306,1,$AT$1),INDEX(AU308:CB308,1,$AT$1)),"*云栖松*")=1,P307,0)</f>
        <v>0</v>
      </c>
      <c r="R307">
        <f ca="1">IFERROR(IF(COUNTIF(B307,"*莺鸣柳*")&gt;0,45-加速!$L$9,MAX(0,R306-(A307-A306))),0)</f>
        <v>0</v>
      </c>
      <c r="S307">
        <f ca="1">IF(COUNTIF(IF(AND(配装计算器!$K$30&lt;&gt;"∞",0),INDEX(AU306:CB306,1,$AT$1),INDEX(AU308:CB308,1,$AT$1)),"*莺鸣柳*")=1,R307,0)</f>
        <v>0</v>
      </c>
      <c r="T307">
        <f ca="1" t="shared" si="65"/>
        <v>0</v>
      </c>
      <c r="U307">
        <f ca="1">IF(金蛇,IF(COUNTIF(B307,"*金环戴*")+COUNTIF(B307,"*吹风醒*")&gt;0,IF(A307&lt;=3,7.125-2.625-A307-加速!$L$11,7.125+加速!$K$9-(A307+加速!$L$11-T307)),0),0)+IF(金蛇,IF(COUNTIF(B307,"*千切子裂光*")&gt;0,2+加速!$K$9-(A307+加速!$L$11-T307),0),0)</f>
        <v>0</v>
      </c>
      <c r="V307">
        <f ca="1" t="shared" si="66"/>
        <v>0</v>
      </c>
      <c r="W307">
        <f ca="1" t="shared" si="57"/>
        <v>0</v>
      </c>
      <c r="X307">
        <f ca="1">INDEX(加速!$I$13:$I$21,技能数计算!W307+1)</f>
        <v>0</v>
      </c>
      <c r="Y307">
        <f ca="1" t="shared" si="61"/>
        <v>0.5</v>
      </c>
      <c r="Z307">
        <f ca="1" t="shared" si="62"/>
        <v>0</v>
      </c>
      <c r="AA307">
        <f ca="1">MAX(0,IFERROR(IF(COUNTIF(B307,"*叠*")&gt;0,IF(AC306&lt;3,8-A308+A307,AA306+6.875-A308+A307),AA306-A308+A307),AA306-加速!$L$11))</f>
        <v>0</v>
      </c>
      <c r="AB307">
        <f ca="1">MAX(0,IF(COUNTIF(IF(AND(配装计算器!$K$30&lt;&gt;"∞",0),INDEX(AU307:CB307,1,$AT$1),INDEX(AU307:CB307,1,$AT$1)),"*叠1*")=1,4*25-加速!$L$11,AB306-A307+A306)-IF(OR(COUNTIF(OFFSET(AT307,0,$AT$1,1,1),"*听雷*")&gt;0,AND(碧归&gt;0,COUNTIF(OFFSET(AT307,0,$AT$1,1,1),"*风来*")&gt;0)),0,1)*1.5)</f>
        <v>97.21</v>
      </c>
      <c r="AC307">
        <f ca="1" t="shared" si="58"/>
        <v>3</v>
      </c>
      <c r="AD307">
        <f ca="1">IF(COUNTIF(IF(AND(配装计算器!$K$30&lt;&gt;"∞",0),INDEX(AU307:CB307,1,$AT$1),INDEX(AU308:CB308,1,$AT$1)),"*叠1*")=1,AB307*0+AE306,0)</f>
        <v>0</v>
      </c>
      <c r="AE307" t="e">
        <f ca="1">IF($AN$11&gt;0,IF(COUNTIF(B308,"*叠1*")&gt;0,50-加速!$H$11,MAX(0,AE306-(A308-A307))),0)</f>
        <v>#VALUE!</v>
      </c>
      <c r="AU307" t="s">
        <v>3009</v>
      </c>
      <c r="AV307">
        <v>2</v>
      </c>
      <c r="AW307" t="s">
        <v>2768</v>
      </c>
      <c r="AX307">
        <v>2</v>
      </c>
      <c r="AY307" t="s">
        <v>3042</v>
      </c>
      <c r="AZ307">
        <v>2</v>
      </c>
      <c r="BA307" t="s">
        <v>2768</v>
      </c>
      <c r="BB307">
        <v>2</v>
      </c>
      <c r="BC307" t="s">
        <v>3010</v>
      </c>
      <c r="BD307">
        <v>2</v>
      </c>
      <c r="BE307" t="s">
        <v>2768</v>
      </c>
      <c r="BF307">
        <v>2</v>
      </c>
      <c r="BG307" t="s">
        <v>2768</v>
      </c>
      <c r="BH307">
        <v>2</v>
      </c>
      <c r="BI307" t="s">
        <v>3011</v>
      </c>
      <c r="BJ307">
        <v>2</v>
      </c>
      <c r="BK307" t="s">
        <v>2776</v>
      </c>
      <c r="BL307">
        <v>2</v>
      </c>
      <c r="BM307" s="176" t="str">
        <f>IF(秋,"金环戴","吹风醒")</f>
        <v>吹风醒</v>
      </c>
      <c r="BN307">
        <v>2</v>
      </c>
      <c r="BO307" s="176" t="s">
        <v>2776</v>
      </c>
      <c r="BP307">
        <v>2</v>
      </c>
      <c r="BQ307" t="s">
        <v>2768</v>
      </c>
      <c r="BR307">
        <v>2</v>
      </c>
      <c r="BS307" t="s">
        <v>2776</v>
      </c>
      <c r="BT307">
        <v>2</v>
      </c>
      <c r="BU307" s="176" t="s">
        <v>2789</v>
      </c>
      <c r="BV307">
        <v>2</v>
      </c>
      <c r="BW307" s="179" t="s">
        <v>2768</v>
      </c>
      <c r="BX307" s="179">
        <v>2</v>
      </c>
      <c r="BY307" s="176" t="str">
        <f>IF(秋,"金环戴","吹风醒")</f>
        <v>吹风醒</v>
      </c>
      <c r="BZ307">
        <v>2</v>
      </c>
      <c r="CA307" t="str">
        <f>IF(0,"云飞玉皇","夕照雷峰")</f>
        <v>夕照雷峰</v>
      </c>
      <c r="CB307">
        <v>2</v>
      </c>
    </row>
    <row r="308" spans="1:80">
      <c r="A308" s="178" t="str">
        <f ca="1">IFERROR(IF(A307+加速!$L$11&lt;$AS$1,IF(COUNTIF(B307,"*轻*")&gt;0,A307+加速!$L$9,A307+加速!$L$11)+V307,IF(COUNTIF(INDEX(AU308:CB308,1,$AT$1),"*云景*")+COUNTIF(INDEX(AU308:CB308,1,$AT$1),"*鹤归*")+COUNTIF(INDEX(AU308:CB308,1,$AT$1),"*听雷*")&gt;0,A307+加速!$L$11,"")),"")</f>
        <v/>
      </c>
      <c r="B308" s="167" t="str">
        <f ca="1">IF(A308&lt;&gt;"",IF(AND(A308+加速!$L$11&gt;$AS$1,IF(AND(配装计算器!$K$30&lt;&gt;"∞",0),"梦泉虎跑-轻",INDEX(AU308:CB308,1,$AT$1))="云栖松"),"夕照雷峰",IF(AND(配装计算器!$K$30&lt;&gt;"∞",0),"梦泉虎跑-轻",INDEX(AU308:CB308,1,$AT$1))),"")</f>
        <v/>
      </c>
      <c r="C308" t="str">
        <f ca="1" t="shared" si="64"/>
        <v/>
      </c>
      <c r="D308" t="str">
        <f ca="1">IF(B308&lt;&gt;"",IF(C307&lt;=加速!$L$11*(1-E308),0,1),"")</f>
        <v/>
      </c>
      <c r="E308">
        <f ca="1" t="shared" si="59"/>
        <v>1</v>
      </c>
      <c r="G308" t="str">
        <f ca="1" t="shared" si="60"/>
        <v/>
      </c>
      <c r="H308" t="str">
        <f ca="1">IF(B308&lt;&gt;"",IF(AND(COUNTIF(B307,"*轻*莺鸣柳*")&gt;0,COUNTIF(B308,"*轻*")&lt;1),MAX(0,15+I307-(A308-A307)+COUNTIF(B307,"*平湖*")*0),IF(AND(E308=0,MAX(0,H307-(A308-A307))&lt;=加速!$H$11),0,MAX(0,H307-(A308-A307)))),"")</f>
        <v/>
      </c>
      <c r="I308" t="str">
        <f ca="1" t="shared" si="67"/>
        <v/>
      </c>
      <c r="J308" t="str">
        <f ca="1" t="shared" si="68"/>
        <v/>
      </c>
      <c r="K308" t="str">
        <f ca="1">IF(A308&lt;&gt;"",IF(AND(配装计算器!$K$30&lt;&gt;"∞",0),2,INDEX(AU308:CB308,1,$AT$2)),"")</f>
        <v/>
      </c>
      <c r="L308">
        <f ca="1">IFERROR(IF(AND(COUNTIF(B308,"*-峰插*"),技能数据库!$M$72&gt;0),0,IF(COUNTIF(B308,"*鹤归*")&gt;0,16-加速!$L$11,MAX(0,L307-(A308-A307)))),0)</f>
        <v>0</v>
      </c>
      <c r="M308">
        <f ca="1">IF(COUNTIF(IF(AND(配装计算器!$K$30&lt;&gt;"∞",0),INDEX(AU307:CB307,1,$AT$1),INDEX(AU309:CB309,1,$AT$1)),"*鹤归*")=1,L308,0)</f>
        <v>0</v>
      </c>
      <c r="N308">
        <f ca="1">IFERROR(IF(AND(COUNTIF(B308,"*-峰插*"),技能数据库!$M$72&gt;0),0,IF(COUNTIF(B308,"*云飞*")&gt;0,4-COUNTIF(B308,"*玉山揽云*")*4--COUNTIF(B308,"*烟流暮景*")*4-COUNTIF(B308,"*云景*")*加速!$L$11-IF(J308&gt;0,2,0),MAX(0,N307-(A308-A307)-IF(J308&gt;0,2,0)))),0)</f>
        <v>0</v>
      </c>
      <c r="O308">
        <f ca="1">IF(AND(COUNTIF(IF(AND(配装计算器!$K$30&lt;&gt;"∞",0),INDEX(AU307:CB307,1,$AT$1),INDEX(AU309:CB309,1,$AT$1)),"*云飞*")=1,COUNTIF(IF(AND(配装计算器!$K$30&lt;&gt;"∞",0),INDEX(AU307:CB307,1,$AT$1),INDEX(AU309:CB309,1,$AT$1)),"*玉山*")=0),N308,0)</f>
        <v>0</v>
      </c>
      <c r="P308">
        <f ca="1">IFERROR(IF(COUNTIF(B308,"*云栖松*")&gt;0,50-加速!$L$11,MAX(0,P307-(A308-A307))),0)</f>
        <v>0</v>
      </c>
      <c r="Q308">
        <f ca="1">IF(COUNTIF(IF(AND(配装计算器!$K$30&lt;&gt;"∞",0),INDEX(AU307:CB307,1,$AT$1),INDEX(AU309:CB309,1,$AT$1)),"*云栖松*")=1,P308,0)</f>
        <v>0</v>
      </c>
      <c r="R308">
        <f ca="1">IFERROR(IF(COUNTIF(B308,"*莺鸣柳*")&gt;0,45-加速!$L$9,MAX(0,R307-(A308-A307))),0)</f>
        <v>0</v>
      </c>
      <c r="S308">
        <f ca="1">IF(COUNTIF(IF(AND(配装计算器!$K$30&lt;&gt;"∞",0),INDEX(AU307:CB307,1,$AT$1),INDEX(AU309:CB309,1,$AT$1)),"*莺鸣柳*")=1,R308,0)</f>
        <v>0</v>
      </c>
      <c r="T308">
        <f ca="1" t="shared" si="65"/>
        <v>0</v>
      </c>
      <c r="U308">
        <f ca="1">IF(金蛇,IF(COUNTIF(B308,"*金环戴*")+COUNTIF(B308,"*吹风醒*")&gt;0,IF(A308&lt;=3,7.125-2.625-A308-加速!$L$11,7.125+加速!$K$9-(A308+加速!$L$11-T308)),0),0)+IF(金蛇,IF(COUNTIF(B308,"*千切子裂光*")&gt;0,2+加速!$K$9-(A308+加速!$L$11-T308),0),0)</f>
        <v>0</v>
      </c>
      <c r="V308">
        <f ca="1" t="shared" si="66"/>
        <v>0</v>
      </c>
      <c r="W308">
        <f ca="1" t="shared" si="57"/>
        <v>0</v>
      </c>
      <c r="X308">
        <f ca="1">INDEX(加速!$I$13:$I$21,技能数计算!W308+1)</f>
        <v>0</v>
      </c>
      <c r="Y308">
        <f ca="1" t="shared" si="61"/>
        <v>0.5</v>
      </c>
      <c r="Z308">
        <f ca="1" t="shared" si="62"/>
        <v>0</v>
      </c>
      <c r="AA308">
        <f ca="1">MAX(0,IFERROR(IF(COUNTIF(B308,"*叠*")&gt;0,IF(AC307&lt;3,8-A309+A308,AA307+6.875-A309+A308),AA307-A309+A308),AA307-加速!$L$11))</f>
        <v>0</v>
      </c>
      <c r="AB308" t="e">
        <f ca="1">MAX(0,IF(COUNTIF(IF(AND(配装计算器!$K$30&lt;&gt;"∞",0),INDEX(AU308:CB308,1,$AT$1),INDEX(AU308:CB308,1,$AT$1)),"*叠1*")=1,4*25-加速!$L$11,AB307-A308+A307)-IF(OR(COUNTIF(OFFSET(AT308,0,$AT$1,1,1),"*听雷*")&gt;0,AND(碧归&gt;0,COUNTIF(OFFSET(AT308,0,$AT$1,1,1),"*风来*")&gt;0)),0,1)*1.5)</f>
        <v>#VALUE!</v>
      </c>
      <c r="AC308">
        <f ca="1" t="shared" si="58"/>
        <v>3</v>
      </c>
      <c r="AD308">
        <f ca="1">IF(COUNTIF(IF(AND(配装计算器!$K$30&lt;&gt;"∞",0),INDEX(AU308:CB308,1,$AT$1),INDEX(AU309:CB309,1,$AT$1)),"*叠1*")=1,AB308*0+AE307,0)</f>
        <v>0</v>
      </c>
      <c r="AE308" t="e">
        <f ca="1">IF($AN$11&gt;0,IF(COUNTIF(B309,"*叠1*")&gt;0,50-加速!$H$11,MAX(0,AE307-(A309-A308))),0)</f>
        <v>#VALUE!</v>
      </c>
      <c r="AU308" t="s">
        <v>2768</v>
      </c>
      <c r="AV308">
        <v>2</v>
      </c>
      <c r="AW308" t="s">
        <v>2722</v>
      </c>
      <c r="AX308">
        <v>0</v>
      </c>
      <c r="AY308" t="s">
        <v>2808</v>
      </c>
      <c r="AZ308">
        <v>2</v>
      </c>
      <c r="BA308" t="s">
        <v>2768</v>
      </c>
      <c r="BB308">
        <v>2</v>
      </c>
      <c r="BC308" t="s">
        <v>3013</v>
      </c>
      <c r="BD308">
        <v>2</v>
      </c>
      <c r="BE308" t="s">
        <v>3019</v>
      </c>
      <c r="BF308">
        <v>2</v>
      </c>
      <c r="BG308" s="176" t="s">
        <v>2768</v>
      </c>
      <c r="BH308">
        <v>2</v>
      </c>
      <c r="BI308" t="s">
        <v>2768</v>
      </c>
      <c r="BJ308">
        <v>2</v>
      </c>
      <c r="BK308" t="s">
        <v>2794</v>
      </c>
      <c r="BL308">
        <v>2</v>
      </c>
      <c r="BM308" t="str">
        <f>IF(秋,"夕照雷峰","云飞玉皇")</f>
        <v>云飞玉皇</v>
      </c>
      <c r="BN308">
        <v>2</v>
      </c>
      <c r="BO308" s="176" t="s">
        <v>2768</v>
      </c>
      <c r="BP308">
        <v>2</v>
      </c>
      <c r="BQ308" t="s">
        <v>3035</v>
      </c>
      <c r="BR308">
        <v>2</v>
      </c>
      <c r="BS308" t="s">
        <v>2768</v>
      </c>
      <c r="BT308">
        <v>2</v>
      </c>
      <c r="BU308" s="176" t="s">
        <v>2776</v>
      </c>
      <c r="BV308">
        <v>2</v>
      </c>
      <c r="BW308" s="182" t="s">
        <v>2794</v>
      </c>
      <c r="BX308" s="179">
        <v>2</v>
      </c>
      <c r="BY308" t="str">
        <f>IF(秋,"夕照雷峰","云飞玉皇")</f>
        <v>云飞玉皇</v>
      </c>
      <c r="BZ308">
        <v>2</v>
      </c>
      <c r="CA308" s="176" t="str">
        <f>IF(秋,"夕照雷峰","云飞玉皇")</f>
        <v>云飞玉皇</v>
      </c>
      <c r="CB308">
        <v>2</v>
      </c>
    </row>
    <row r="309" spans="1:80">
      <c r="A309" s="178" t="str">
        <f ca="1">IFERROR(IF(A308+加速!$L$11&lt;$AS$1,IF(COUNTIF(B308,"*轻*")&gt;0,A308+加速!$L$9,A308+加速!$L$11)+V308,IF(COUNTIF(INDEX(AU309:CB309,1,$AT$1),"*云景*")+COUNTIF(INDEX(AU309:CB309,1,$AT$1),"*鹤归*")+COUNTIF(INDEX(AU309:CB309,1,$AT$1),"*听雷*")&gt;0,A308+加速!$L$11,"")),"")</f>
        <v/>
      </c>
      <c r="B309" s="167" t="str">
        <f ca="1">IF(A309&lt;&gt;"",IF(AND(A309+加速!$L$11&gt;$AS$1,IF(AND(配装计算器!$K$30&lt;&gt;"∞",0),"梦泉虎跑-轻",INDEX(AU309:CB309,1,$AT$1))="云栖松"),"夕照雷峰",IF(AND(配装计算器!$K$30&lt;&gt;"∞",0),"梦泉虎跑-轻",INDEX(AU309:CB309,1,$AT$1))),"")</f>
        <v/>
      </c>
      <c r="C309" t="str">
        <f ca="1" t="shared" si="64"/>
        <v/>
      </c>
      <c r="D309" t="str">
        <f ca="1">IF(B309&lt;&gt;"",IF(C308&lt;=加速!$L$11*(1-E309),0,1),"")</f>
        <v/>
      </c>
      <c r="E309">
        <f ca="1" t="shared" si="59"/>
        <v>1</v>
      </c>
      <c r="G309" t="str">
        <f ca="1" t="shared" si="60"/>
        <v/>
      </c>
      <c r="H309" t="str">
        <f ca="1">IF(B309&lt;&gt;"",IF(AND(COUNTIF(B308,"*轻*莺鸣柳*")&gt;0,COUNTIF(B309,"*轻*")&lt;1),MAX(0,15+I308-(A309-A308)+COUNTIF(B308,"*平湖*")*0),IF(AND(E309=0,MAX(0,H308-(A309-A308))&lt;=加速!$H$11),0,MAX(0,H308-(A309-A308)))),"")</f>
        <v/>
      </c>
      <c r="I309" t="str">
        <f ca="1" t="shared" si="67"/>
        <v/>
      </c>
      <c r="J309" t="str">
        <f ca="1" t="shared" si="68"/>
        <v/>
      </c>
      <c r="K309" t="str">
        <f ca="1">IF(A309&lt;&gt;"",IF(AND(配装计算器!$K$30&lt;&gt;"∞",0),2,INDEX(AU309:CB309,1,$AT$2)),"")</f>
        <v/>
      </c>
      <c r="L309">
        <f ca="1">IFERROR(IF(AND(COUNTIF(B309,"*-峰插*"),技能数据库!$M$72&gt;0),0,IF(COUNTIF(B309,"*鹤归*")&gt;0,16-加速!$L$11,MAX(0,L308-(A309-A308)))),0)</f>
        <v>0</v>
      </c>
      <c r="M309">
        <f ca="1">IF(COUNTIF(IF(AND(配装计算器!$K$30&lt;&gt;"∞",0),INDEX(AU308:CB308,1,$AT$1),INDEX(AU310:CB310,1,$AT$1)),"*鹤归*")=1,L309,0)</f>
        <v>0</v>
      </c>
      <c r="N309">
        <f ca="1">IFERROR(IF(AND(COUNTIF(B309,"*-峰插*"),技能数据库!$M$72&gt;0),0,IF(COUNTIF(B309,"*云飞*")&gt;0,4-COUNTIF(B309,"*玉山揽云*")*4--COUNTIF(B309,"*烟流暮景*")*4-COUNTIF(B309,"*云景*")*加速!$L$11-IF(J309&gt;0,2,0),MAX(0,N308-(A309-A308)-IF(J309&gt;0,2,0)))),0)</f>
        <v>0</v>
      </c>
      <c r="O309">
        <f ca="1">IF(AND(COUNTIF(IF(AND(配装计算器!$K$30&lt;&gt;"∞",0),INDEX(AU308:CB308,1,$AT$1),INDEX(AU310:CB310,1,$AT$1)),"*云飞*")=1,COUNTIF(IF(AND(配装计算器!$K$30&lt;&gt;"∞",0),INDEX(AU308:CB308,1,$AT$1),INDEX(AU310:CB310,1,$AT$1)),"*玉山*")=0),N309,0)</f>
        <v>0</v>
      </c>
      <c r="P309">
        <f ca="1">IFERROR(IF(COUNTIF(B309,"*云栖松*")&gt;0,50-加速!$L$11,MAX(0,P308-(A309-A308))),0)</f>
        <v>0</v>
      </c>
      <c r="Q309">
        <f ca="1">IF(COUNTIF(IF(AND(配装计算器!$K$30&lt;&gt;"∞",0),INDEX(AU308:CB308,1,$AT$1),INDEX(AU310:CB310,1,$AT$1)),"*云栖松*")=1,P309,0)</f>
        <v>0</v>
      </c>
      <c r="R309">
        <f ca="1">IFERROR(IF(COUNTIF(B309,"*莺鸣柳*")&gt;0,45-加速!$L$9,MAX(0,R308-(A309-A308))),0)</f>
        <v>0</v>
      </c>
      <c r="S309">
        <f ca="1">IF(COUNTIF(IF(AND(配装计算器!$K$30&lt;&gt;"∞",0),INDEX(AU308:CB308,1,$AT$1),INDEX(AU310:CB310,1,$AT$1)),"*莺鸣柳*")=1,R309,0)</f>
        <v>0</v>
      </c>
      <c r="T309">
        <f ca="1" t="shared" si="65"/>
        <v>0</v>
      </c>
      <c r="U309">
        <f ca="1">IF(金蛇,IF(COUNTIF(B309,"*金环戴*")+COUNTIF(B309,"*吹风醒*")&gt;0,IF(A309&lt;=3,7.125-2.625-A309-加速!$L$11,7.125+加速!$K$9-(A309+加速!$L$11-T309)),0),0)+IF(金蛇,IF(COUNTIF(B309,"*千切子裂光*")&gt;0,2+加速!$K$9-(A309+加速!$L$11-T309),0),0)</f>
        <v>0</v>
      </c>
      <c r="V309">
        <f ca="1" t="shared" si="66"/>
        <v>0</v>
      </c>
      <c r="W309">
        <f ca="1" t="shared" si="57"/>
        <v>0</v>
      </c>
      <c r="X309">
        <f ca="1">INDEX(加速!$I$13:$I$21,技能数计算!W309+1)</f>
        <v>0</v>
      </c>
      <c r="Y309">
        <f ca="1" t="shared" si="61"/>
        <v>0.5</v>
      </c>
      <c r="Z309">
        <f ca="1" t="shared" si="62"/>
        <v>0</v>
      </c>
      <c r="AA309">
        <f ca="1">MAX(0,IFERROR(IF(COUNTIF(B309,"*叠*")&gt;0,IF(AC308&lt;3,8-A310+A309,AA308+6.875-A310+A309),AA308-A310+A309),AA308-加速!$L$11))</f>
        <v>0</v>
      </c>
      <c r="AB309" t="e">
        <f ca="1">MAX(0,IF(COUNTIF(IF(AND(配装计算器!$K$30&lt;&gt;"∞",0),INDEX(AU309:CB309,1,$AT$1),INDEX(AU309:CB309,1,$AT$1)),"*叠1*")=1,4*25-加速!$L$11,AB308-A309+A308)-IF(OR(COUNTIF(OFFSET(AT309,0,$AT$1,1,1),"*听雷*")&gt;0,AND(碧归&gt;0,COUNTIF(OFFSET(AT309,0,$AT$1,1,1),"*风来*")&gt;0)),0,1)*1.5)</f>
        <v>#VALUE!</v>
      </c>
      <c r="AC309">
        <f ca="1" t="shared" si="58"/>
        <v>3</v>
      </c>
      <c r="AD309">
        <f ca="1">IF(COUNTIF(IF(AND(配装计算器!$K$30&lt;&gt;"∞",0),INDEX(AU309:CB309,1,$AT$1),INDEX(AU310:CB310,1,$AT$1)),"*叠1*")=1,AB309*0+AE308,0)</f>
        <v>0</v>
      </c>
      <c r="AE309" t="e">
        <f ca="1">IF($AN$11&gt;0,IF(COUNTIF(B310,"*叠1*")&gt;0,50-加速!$H$11,MAX(0,AE308-(A310-A309))),0)</f>
        <v>#VALUE!</v>
      </c>
      <c r="AU309" t="s">
        <v>2776</v>
      </c>
      <c r="AV309">
        <v>2</v>
      </c>
      <c r="AW309" t="s">
        <v>3009</v>
      </c>
      <c r="AX309">
        <v>2</v>
      </c>
      <c r="AY309" t="s">
        <v>2768</v>
      </c>
      <c r="AZ309">
        <v>2</v>
      </c>
      <c r="BA309" t="s">
        <v>2776</v>
      </c>
      <c r="BB309">
        <v>2</v>
      </c>
      <c r="BC309" t="s">
        <v>3018</v>
      </c>
      <c r="BD309">
        <v>2</v>
      </c>
      <c r="BE309" t="s">
        <v>2768</v>
      </c>
      <c r="BF309">
        <v>2</v>
      </c>
      <c r="BG309" s="176" t="s">
        <v>2776</v>
      </c>
      <c r="BH309">
        <v>2</v>
      </c>
      <c r="BI309" t="s">
        <v>3018</v>
      </c>
      <c r="BJ309">
        <v>2</v>
      </c>
      <c r="BK309" t="s">
        <v>2768</v>
      </c>
      <c r="BL309">
        <v>2</v>
      </c>
      <c r="BM309" s="176" t="str">
        <f>IF(秋,"梦泉虎跑-轻","夕照雷峰")</f>
        <v>夕照雷峰</v>
      </c>
      <c r="BN309">
        <v>2</v>
      </c>
      <c r="BO309" s="176" t="s">
        <v>2776</v>
      </c>
      <c r="BP309">
        <v>2</v>
      </c>
      <c r="BQ309" t="s">
        <v>2776</v>
      </c>
      <c r="BR309">
        <v>2</v>
      </c>
      <c r="BS309" t="s">
        <v>2768</v>
      </c>
      <c r="BT309">
        <v>1</v>
      </c>
      <c r="BU309" s="176" t="s">
        <v>3035</v>
      </c>
      <c r="BV309">
        <v>2</v>
      </c>
      <c r="BW309" s="182" t="s">
        <v>2776</v>
      </c>
      <c r="BX309" s="179">
        <v>2</v>
      </c>
      <c r="BY309" s="176" t="str">
        <f>IF(秋,"梦泉虎跑-轻","夕照雷峰")</f>
        <v>夕照雷峰</v>
      </c>
      <c r="BZ309">
        <v>2</v>
      </c>
      <c r="CA309" s="176" t="str">
        <f>IF(秋,"梦泉虎跑-轻","夕照雷峰")</f>
        <v>夕照雷峰</v>
      </c>
      <c r="CB309">
        <v>1</v>
      </c>
    </row>
    <row r="310" spans="1:80">
      <c r="A310" s="178" t="str">
        <f ca="1">IFERROR(IF(A309+加速!$L$11&lt;$AS$1,IF(COUNTIF(B309,"*轻*")&gt;0,A309+加速!$L$9,A309+加速!$L$11)+V309,IF(COUNTIF(INDEX(AU310:CB310,1,$AT$1),"*云景*")+COUNTIF(INDEX(AU310:CB310,1,$AT$1),"*鹤归*")+COUNTIF(INDEX(AU310:CB310,1,$AT$1),"*听雷*")&gt;0,A309+加速!$L$11,"")),"")</f>
        <v/>
      </c>
      <c r="B310" s="167" t="str">
        <f ca="1">IF(A310&lt;&gt;"",IF(AND(A310+加速!$L$11&gt;$AS$1,IF(AND(配装计算器!$K$30&lt;&gt;"∞",0),"梦泉虎跑-轻",INDEX(AU310:CB310,1,$AT$1))="云栖松"),"夕照雷峰",IF(AND(配装计算器!$K$30&lt;&gt;"∞",0),"梦泉虎跑-轻",INDEX(AU310:CB310,1,$AT$1))),"")</f>
        <v/>
      </c>
      <c r="C310" t="str">
        <f ca="1" t="shared" si="64"/>
        <v/>
      </c>
      <c r="D310" t="str">
        <f ca="1">IF(B310&lt;&gt;"",IF(C309&lt;=加速!$L$11*(1-E310),0,1),"")</f>
        <v/>
      </c>
      <c r="E310">
        <f ca="1" t="shared" si="59"/>
        <v>1</v>
      </c>
      <c r="G310" t="str">
        <f ca="1" t="shared" si="60"/>
        <v/>
      </c>
      <c r="H310" t="str">
        <f ca="1">IF(B310&lt;&gt;"",IF(AND(COUNTIF(B309,"*轻*莺鸣柳*")&gt;0,COUNTIF(B310,"*轻*")&lt;1),MAX(0,15+I309-(A310-A309)+COUNTIF(B309,"*平湖*")*0),IF(AND(E310=0,MAX(0,H309-(A310-A309))&lt;=加速!$H$11),0,MAX(0,H309-(A310-A309)))),"")</f>
        <v/>
      </c>
      <c r="I310" t="str">
        <f ca="1" t="shared" si="67"/>
        <v/>
      </c>
      <c r="J310" t="str">
        <f ca="1" t="shared" si="68"/>
        <v/>
      </c>
      <c r="K310" t="str">
        <f ca="1">IF(A310&lt;&gt;"",IF(AND(配装计算器!$K$30&lt;&gt;"∞",0),2,INDEX(AU310:CB310,1,$AT$2)),"")</f>
        <v/>
      </c>
      <c r="L310">
        <f ca="1">IFERROR(IF(AND(COUNTIF(B310,"*-峰插*"),技能数据库!$M$72&gt;0),0,IF(COUNTIF(B310,"*鹤归*")&gt;0,16-加速!$L$11,MAX(0,L309-(A310-A309)))),0)</f>
        <v>0</v>
      </c>
      <c r="M310">
        <f ca="1">IF(COUNTIF(IF(AND(配装计算器!$K$30&lt;&gt;"∞",0),INDEX(AU309:CB309,1,$AT$1),INDEX(AU311:CB311,1,$AT$1)),"*鹤归*")=1,L310,0)</f>
        <v>0</v>
      </c>
      <c r="N310">
        <f ca="1">IFERROR(IF(AND(COUNTIF(B310,"*-峰插*"),技能数据库!$M$72&gt;0),0,IF(COUNTIF(B310,"*云飞*")&gt;0,4-COUNTIF(B310,"*玉山揽云*")*4--COUNTIF(B310,"*烟流暮景*")*4-COUNTIF(B310,"*云景*")*加速!$L$11-IF(J310&gt;0,2,0),MAX(0,N309-(A310-A309)-IF(J310&gt;0,2,0)))),0)</f>
        <v>0</v>
      </c>
      <c r="O310">
        <f ca="1">IF(AND(COUNTIF(IF(AND(配装计算器!$K$30&lt;&gt;"∞",0),INDEX(AU309:CB309,1,$AT$1),INDEX(AU311:CB311,1,$AT$1)),"*云飞*")=1,COUNTIF(IF(AND(配装计算器!$K$30&lt;&gt;"∞",0),INDEX(AU309:CB309,1,$AT$1),INDEX(AU311:CB311,1,$AT$1)),"*玉山*")=0),N310,0)</f>
        <v>0</v>
      </c>
      <c r="P310">
        <f ca="1">IFERROR(IF(COUNTIF(B310,"*云栖松*")&gt;0,50-加速!$L$11,MAX(0,P309-(A310-A309))),0)</f>
        <v>0</v>
      </c>
      <c r="Q310">
        <f ca="1">IF(COUNTIF(IF(AND(配装计算器!$K$30&lt;&gt;"∞",0),INDEX(AU309:CB309,1,$AT$1),INDEX(AU311:CB311,1,$AT$1)),"*云栖松*")=1,P310,0)</f>
        <v>0</v>
      </c>
      <c r="R310">
        <f ca="1">IFERROR(IF(COUNTIF(B310,"*莺鸣柳*")&gt;0,45-加速!$L$9,MAX(0,R309-(A310-A309))),0)</f>
        <v>0</v>
      </c>
      <c r="S310">
        <f ca="1">IF(COUNTIF(IF(AND(配装计算器!$K$30&lt;&gt;"∞",0),INDEX(AU309:CB309,1,$AT$1),INDEX(AU311:CB311,1,$AT$1)),"*莺鸣柳*")=1,R310,0)</f>
        <v>0</v>
      </c>
      <c r="T310">
        <f ca="1" t="shared" si="65"/>
        <v>0</v>
      </c>
      <c r="U310">
        <f ca="1">IF(金蛇,IF(COUNTIF(B310,"*金环戴*")+COUNTIF(B310,"*吹风醒*")&gt;0,IF(A310&lt;=3,7.125-2.625-A310-加速!$L$11,7.125+加速!$K$9-(A310+加速!$L$11-T310)),0),0)+IF(金蛇,IF(COUNTIF(B310,"*千切子裂光*")&gt;0,2+加速!$K$9-(A310+加速!$L$11-T310),0),0)</f>
        <v>0</v>
      </c>
      <c r="V310">
        <f ca="1" t="shared" si="66"/>
        <v>0</v>
      </c>
      <c r="W310">
        <f ca="1" t="shared" si="57"/>
        <v>0</v>
      </c>
      <c r="X310">
        <f ca="1">INDEX(加速!$I$13:$I$21,技能数计算!W310+1)</f>
        <v>0</v>
      </c>
      <c r="Y310">
        <f ca="1" t="shared" si="61"/>
        <v>0.5</v>
      </c>
      <c r="Z310">
        <f ca="1" t="shared" si="62"/>
        <v>0</v>
      </c>
      <c r="AA310">
        <f ca="1">MAX(0,IFERROR(IF(COUNTIF(B310,"*叠*")&gt;0,IF(AC309&lt;3,8-A311+A310,AA309+6.875-A311+A310),AA309-A311+A310),AA309-加速!$L$11))</f>
        <v>0</v>
      </c>
      <c r="AB310" t="e">
        <f ca="1">MAX(0,IF(COUNTIF(IF(AND(配装计算器!$K$30&lt;&gt;"∞",0),INDEX(AU310:CB310,1,$AT$1),INDEX(AU310:CB310,1,$AT$1)),"*叠1*")=1,4*25-加速!$L$11,AB309-A310+A309)-IF(OR(COUNTIF(OFFSET(AT310,0,$AT$1,1,1),"*听雷*")&gt;0,AND(碧归&gt;0,COUNTIF(OFFSET(AT310,0,$AT$1,1,1),"*风来*")&gt;0)),0,1)*1.5)</f>
        <v>#VALUE!</v>
      </c>
      <c r="AC310">
        <f ca="1" t="shared" si="58"/>
        <v>3</v>
      </c>
      <c r="AD310">
        <f ca="1">IF(COUNTIF(IF(AND(配装计算器!$K$30&lt;&gt;"∞",0),INDEX(AU310:CB310,1,$AT$1),INDEX(AU311:CB311,1,$AT$1)),"*叠1*")=1,AB310*0+AE309,0)</f>
        <v>0</v>
      </c>
      <c r="AE310" t="e">
        <f ca="1">IF($AN$11&gt;0,IF(COUNTIF(B311,"*叠1*")&gt;0,50-加速!$H$11,MAX(0,AE309-(A311-A310))),0)</f>
        <v>#VALUE!</v>
      </c>
      <c r="AU310" t="s">
        <v>2768</v>
      </c>
      <c r="AV310">
        <v>2</v>
      </c>
      <c r="AW310" t="s">
        <v>2776</v>
      </c>
      <c r="AX310">
        <v>2</v>
      </c>
      <c r="AY310" t="s">
        <v>2768</v>
      </c>
      <c r="AZ310">
        <v>2</v>
      </c>
      <c r="BA310" t="s">
        <v>2794</v>
      </c>
      <c r="BB310">
        <v>2</v>
      </c>
      <c r="BC310" t="s">
        <v>2768</v>
      </c>
      <c r="BD310">
        <v>2</v>
      </c>
      <c r="BE310" t="s">
        <v>2768</v>
      </c>
      <c r="BF310">
        <v>2</v>
      </c>
      <c r="BG310" t="s">
        <v>2768</v>
      </c>
      <c r="BH310">
        <v>1</v>
      </c>
      <c r="BI310" t="s">
        <v>2789</v>
      </c>
      <c r="BJ310">
        <v>2</v>
      </c>
      <c r="BK310" t="s">
        <v>2776</v>
      </c>
      <c r="BL310">
        <v>2</v>
      </c>
      <c r="BM310" s="176" t="str">
        <f>IF(秋,"九溪弥烟-轻-血毒金蛇锥","梦泉虎跑-轻")</f>
        <v>梦泉虎跑-轻</v>
      </c>
      <c r="BN310">
        <v>0</v>
      </c>
      <c r="BO310" s="176" t="s">
        <v>2768</v>
      </c>
      <c r="BP310">
        <v>2</v>
      </c>
      <c r="BQ310" t="s">
        <v>2768</v>
      </c>
      <c r="BR310">
        <v>2</v>
      </c>
      <c r="BS310" t="s">
        <v>2768</v>
      </c>
      <c r="BT310">
        <v>1</v>
      </c>
      <c r="BU310" t="s">
        <v>2768</v>
      </c>
      <c r="BV310">
        <v>2</v>
      </c>
      <c r="BW310" s="182" t="s">
        <v>2768</v>
      </c>
      <c r="BX310" s="179">
        <v>2</v>
      </c>
      <c r="BY310" s="176" t="str">
        <f>IF(秋,"九溪弥烟-轻-血毒金蛇锥","梦泉虎跑-轻")</f>
        <v>梦泉虎跑-轻</v>
      </c>
      <c r="BZ310">
        <v>0</v>
      </c>
      <c r="CA310" s="176" t="str">
        <f>IF(秋,"九溪弥烟-轻-血毒金蛇锥","梦泉虎跑-轻")</f>
        <v>梦泉虎跑-轻</v>
      </c>
      <c r="CB310">
        <v>0</v>
      </c>
    </row>
    <row r="311" spans="1:80">
      <c r="A311" s="178" t="str">
        <f ca="1">IFERROR(IF(A310+加速!$L$11&lt;$AS$1,IF(COUNTIF(B310,"*轻*")&gt;0,A310+加速!$L$9,A310+加速!$L$11)+V310,IF(COUNTIF(INDEX(AU311:CB311,1,$AT$1),"*云景*")+COUNTIF(INDEX(AU311:CB311,1,$AT$1),"*鹤归*")+COUNTIF(INDEX(AU311:CB311,1,$AT$1),"*听雷*")&gt;0,A310+加速!$L$11,"")),"")</f>
        <v/>
      </c>
      <c r="B311" s="167" t="str">
        <f ca="1">IF(A311&lt;&gt;"",IF(AND(A311+加速!$L$11&gt;$AS$1,IF(AND(配装计算器!$K$30&lt;&gt;"∞",0),"梦泉虎跑-轻",INDEX(AU311:CB311,1,$AT$1))="云栖松"),"夕照雷峰",IF(AND(配装计算器!$K$30&lt;&gt;"∞",0),"梦泉虎跑-轻",INDEX(AU311:CB311,1,$AT$1))),"")</f>
        <v/>
      </c>
      <c r="C311" t="str">
        <f ca="1" t="shared" si="64"/>
        <v/>
      </c>
      <c r="D311" t="str">
        <f ca="1">IF(B311&lt;&gt;"",IF(C310&lt;=加速!$L$11*(1-E311),0,1),"")</f>
        <v/>
      </c>
      <c r="E311">
        <f ca="1" t="shared" si="59"/>
        <v>1</v>
      </c>
      <c r="G311" t="str">
        <f ca="1" t="shared" si="60"/>
        <v/>
      </c>
      <c r="H311" t="str">
        <f ca="1">IF(B311&lt;&gt;"",IF(AND(COUNTIF(B310,"*轻*莺鸣柳*")&gt;0,COUNTIF(B311,"*轻*")&lt;1),MAX(0,15+I310-(A311-A310)+COUNTIF(B310,"*平湖*")*0),IF(AND(E311=0,MAX(0,H310-(A311-A310))&lt;=加速!$H$11),0,MAX(0,H310-(A311-A310)))),"")</f>
        <v/>
      </c>
      <c r="I311" t="str">
        <f ca="1" t="shared" si="67"/>
        <v/>
      </c>
      <c r="J311" t="str">
        <f ca="1" t="shared" si="68"/>
        <v/>
      </c>
      <c r="K311" t="str">
        <f ca="1">IF(A311&lt;&gt;"",IF(AND(配装计算器!$K$30&lt;&gt;"∞",0),2,INDEX(AU311:CB311,1,$AT$2)),"")</f>
        <v/>
      </c>
      <c r="L311">
        <f ca="1">IFERROR(IF(AND(COUNTIF(B311,"*-峰插*"),技能数据库!$M$72&gt;0),0,IF(COUNTIF(B311,"*鹤归*")&gt;0,16-加速!$L$11,MAX(0,L310-(A311-A310)))),0)</f>
        <v>0</v>
      </c>
      <c r="M311">
        <f ca="1">IF(COUNTIF(IF(AND(配装计算器!$K$30&lt;&gt;"∞",0),INDEX(AU310:CB310,1,$AT$1),INDEX(AU312:CB312,1,$AT$1)),"*鹤归*")=1,L311,0)</f>
        <v>0</v>
      </c>
      <c r="N311">
        <f ca="1">IFERROR(IF(AND(COUNTIF(B311,"*-峰插*"),技能数据库!$M$72&gt;0),0,IF(COUNTIF(B311,"*云飞*")&gt;0,4-COUNTIF(B311,"*玉山揽云*")*4--COUNTIF(B311,"*烟流暮景*")*4-COUNTIF(B311,"*云景*")*加速!$L$11-IF(J311&gt;0,2,0),MAX(0,N310-(A311-A310)-IF(J311&gt;0,2,0)))),0)</f>
        <v>0</v>
      </c>
      <c r="O311">
        <f ca="1">IF(AND(COUNTIF(IF(AND(配装计算器!$K$30&lt;&gt;"∞",0),INDEX(AU310:CB310,1,$AT$1),INDEX(AU312:CB312,1,$AT$1)),"*云飞*")=1,COUNTIF(IF(AND(配装计算器!$K$30&lt;&gt;"∞",0),INDEX(AU310:CB310,1,$AT$1),INDEX(AU312:CB312,1,$AT$1)),"*玉山*")=0),N311,0)</f>
        <v>0</v>
      </c>
      <c r="P311">
        <f ca="1">IFERROR(IF(COUNTIF(B311,"*云栖松*")&gt;0,50-加速!$L$11,MAX(0,P310-(A311-A310))),0)</f>
        <v>0</v>
      </c>
      <c r="Q311">
        <f ca="1">IF(COUNTIF(IF(AND(配装计算器!$K$30&lt;&gt;"∞",0),INDEX(AU310:CB310,1,$AT$1),INDEX(AU312:CB312,1,$AT$1)),"*云栖松*")=1,P311,0)</f>
        <v>0</v>
      </c>
      <c r="R311">
        <f ca="1">IFERROR(IF(COUNTIF(B311,"*莺鸣柳*")&gt;0,45-加速!$L$9,MAX(0,R310-(A311-A310))),0)</f>
        <v>0</v>
      </c>
      <c r="S311">
        <f ca="1">IF(COUNTIF(IF(AND(配装计算器!$K$30&lt;&gt;"∞",0),INDEX(AU310:CB310,1,$AT$1),INDEX(AU312:CB312,1,$AT$1)),"*莺鸣柳*")=1,R311,0)</f>
        <v>0</v>
      </c>
      <c r="T311">
        <f ca="1" t="shared" si="65"/>
        <v>0</v>
      </c>
      <c r="U311">
        <f ca="1">IF(金蛇,IF(COUNTIF(B311,"*金环戴*")+COUNTIF(B311,"*吹风醒*")&gt;0,IF(A311&lt;=3,7.125-2.625-A311-加速!$L$11,7.125+加速!$K$9-(A311+加速!$L$11-T311)),0),0)+IF(金蛇,IF(COUNTIF(B311,"*千切子裂光*")&gt;0,2+加速!$K$9-(A311+加速!$L$11-T311),0),0)</f>
        <v>0</v>
      </c>
      <c r="V311">
        <f ca="1" t="shared" si="66"/>
        <v>0</v>
      </c>
      <c r="W311">
        <f ca="1" t="shared" si="57"/>
        <v>0</v>
      </c>
      <c r="X311">
        <f ca="1">INDEX(加速!$I$13:$I$21,技能数计算!W311+1)</f>
        <v>0</v>
      </c>
      <c r="Y311">
        <f ca="1" t="shared" si="61"/>
        <v>0.5</v>
      </c>
      <c r="Z311">
        <f ca="1" t="shared" si="62"/>
        <v>0</v>
      </c>
      <c r="AA311">
        <f ca="1">MAX(0,IFERROR(IF(COUNTIF(B311,"*叠*")&gt;0,IF(AC310&lt;3,8-A312+A311,AA310+6.875-A312+A311),AA310-A312+A311),AA310-加速!$L$11))</f>
        <v>0</v>
      </c>
      <c r="AB311" t="e">
        <f ca="1">MAX(0,IF(COUNTIF(IF(AND(配装计算器!$K$30&lt;&gt;"∞",0),INDEX(AU311:CB311,1,$AT$1),INDEX(AU311:CB311,1,$AT$1)),"*叠1*")=1,4*25-加速!$L$11,AB310-A311+A310)-IF(OR(COUNTIF(OFFSET(AT311,0,$AT$1,1,1),"*听雷*")&gt;0,AND(碧归&gt;0,COUNTIF(OFFSET(AT311,0,$AT$1,1,1),"*风来*")&gt;0)),0,1)*1.5)</f>
        <v>#VALUE!</v>
      </c>
      <c r="AC311">
        <f ca="1" t="shared" si="58"/>
        <v>3</v>
      </c>
      <c r="AD311">
        <f ca="1">IF(COUNTIF(IF(AND(配装计算器!$K$30&lt;&gt;"∞",0),INDEX(AU311:CB311,1,$AT$1),INDEX(AU312:CB312,1,$AT$1)),"*叠1*")=1,AB311*0+AE310,0)</f>
        <v>0</v>
      </c>
      <c r="AE311" t="e">
        <f ca="1">IF($AN$11&gt;0,IF(COUNTIF(B312,"*叠1*")&gt;0,50-加速!$H$11,MAX(0,AE310-(A312-A311))),0)</f>
        <v>#VALUE!</v>
      </c>
      <c r="AU311" s="180" t="s">
        <v>2789</v>
      </c>
      <c r="AV311">
        <v>2</v>
      </c>
      <c r="AW311" t="s">
        <v>2768</v>
      </c>
      <c r="AX311">
        <v>2</v>
      </c>
      <c r="AY311" t="s">
        <v>2776</v>
      </c>
      <c r="AZ311">
        <v>2</v>
      </c>
      <c r="BA311" t="s">
        <v>2768</v>
      </c>
      <c r="BB311">
        <v>2</v>
      </c>
      <c r="BC311" t="s">
        <v>3023</v>
      </c>
      <c r="BD311">
        <v>2</v>
      </c>
      <c r="BE311" t="s">
        <v>2768</v>
      </c>
      <c r="BF311">
        <v>2</v>
      </c>
      <c r="BG311" s="176" t="s">
        <v>2768</v>
      </c>
      <c r="BH311">
        <v>1</v>
      </c>
      <c r="BI311" s="182" t="s">
        <v>3023</v>
      </c>
      <c r="BJ311">
        <v>2</v>
      </c>
      <c r="BK311" t="s">
        <v>2768</v>
      </c>
      <c r="BL311">
        <v>1</v>
      </c>
      <c r="BM311" t="s">
        <v>3009</v>
      </c>
      <c r="BN311">
        <v>2</v>
      </c>
      <c r="BO311" s="176" t="s">
        <v>2808</v>
      </c>
      <c r="BP311">
        <v>2</v>
      </c>
      <c r="BQ311" t="s">
        <v>2776</v>
      </c>
      <c r="BR311">
        <v>2</v>
      </c>
      <c r="BS311" t="s">
        <v>2776</v>
      </c>
      <c r="BT311">
        <v>0</v>
      </c>
      <c r="BU311" t="s">
        <v>2776</v>
      </c>
      <c r="BV311">
        <v>2</v>
      </c>
      <c r="BW311" s="182" t="s">
        <v>2776</v>
      </c>
      <c r="BX311" s="179">
        <v>2</v>
      </c>
      <c r="BY311" t="s">
        <v>3009</v>
      </c>
      <c r="BZ311">
        <v>2</v>
      </c>
      <c r="CA311" t="s">
        <v>3009</v>
      </c>
      <c r="CB311">
        <v>2</v>
      </c>
    </row>
    <row r="312" spans="1:80">
      <c r="A312" s="178" t="str">
        <f ca="1">IFERROR(IF(A311+加速!$L$11&lt;$AS$1,IF(COUNTIF(B311,"*轻*")&gt;0,A311+加速!$L$9,A311+加速!$L$11)+V311,IF(COUNTIF(INDEX(AU312:CB312,1,$AT$1),"*云景*")+COUNTIF(INDEX(AU312:CB312,1,$AT$1),"*鹤归*")+COUNTIF(INDEX(AU312:CB312,1,$AT$1),"*听雷*")&gt;0,A311+加速!$L$11,"")),"")</f>
        <v/>
      </c>
      <c r="B312" s="167" t="str">
        <f ca="1">IF(A312&lt;&gt;"",IF(AND(A312+加速!$L$11&gt;$AS$1,IF(AND(配装计算器!$K$30&lt;&gt;"∞",0),"梦泉虎跑-轻",INDEX(AU312:CB312,1,$AT$1))="云栖松"),"夕照雷峰",IF(AND(配装计算器!$K$30&lt;&gt;"∞",0),"梦泉虎跑-轻",INDEX(AU312:CB312,1,$AT$1))),"")</f>
        <v/>
      </c>
      <c r="C312" t="str">
        <f ca="1" t="shared" si="64"/>
        <v/>
      </c>
      <c r="D312" t="str">
        <f ca="1">IF(B312&lt;&gt;"",IF(C311&lt;=加速!$L$11*(1-E312),0,1),"")</f>
        <v/>
      </c>
      <c r="E312">
        <f ca="1" t="shared" si="59"/>
        <v>1</v>
      </c>
      <c r="G312" t="str">
        <f ca="1" t="shared" si="60"/>
        <v/>
      </c>
      <c r="H312" t="str">
        <f ca="1">IF(B312&lt;&gt;"",IF(AND(COUNTIF(B311,"*轻*莺鸣柳*")&gt;0,COUNTIF(B312,"*轻*")&lt;1),MAX(0,15+I311-(A312-A311)+COUNTIF(B311,"*平湖*")*0),IF(AND(E312=0,MAX(0,H311-(A312-A311))&lt;=加速!$H$11),0,MAX(0,H311-(A312-A311)))),"")</f>
        <v/>
      </c>
      <c r="I312" t="str">
        <f ca="1" t="shared" si="67"/>
        <v/>
      </c>
      <c r="J312" t="str">
        <f ca="1" t="shared" si="68"/>
        <v/>
      </c>
      <c r="K312" t="str">
        <f ca="1">IF(A312&lt;&gt;"",IF(AND(配装计算器!$K$30&lt;&gt;"∞",0),2,INDEX(AU312:CB312,1,$AT$2)),"")</f>
        <v/>
      </c>
      <c r="L312">
        <f ca="1">IFERROR(IF(AND(COUNTIF(B312,"*-峰插*"),技能数据库!$M$72&gt;0),0,IF(COUNTIF(B312,"*鹤归*")&gt;0,16-加速!$L$11,MAX(0,L311-(A312-A311)))),0)</f>
        <v>0</v>
      </c>
      <c r="M312">
        <f ca="1">IF(COUNTIF(IF(AND(配装计算器!$K$30&lt;&gt;"∞",0),INDEX(AU311:CB311,1,$AT$1),INDEX(AU313:CB313,1,$AT$1)),"*鹤归*")=1,L312,0)</f>
        <v>0</v>
      </c>
      <c r="N312">
        <f ca="1">IFERROR(IF(AND(COUNTIF(B312,"*-峰插*"),技能数据库!$M$72&gt;0),0,IF(COUNTIF(B312,"*云飞*")&gt;0,4-COUNTIF(B312,"*玉山揽云*")*4--COUNTIF(B312,"*烟流暮景*")*4-COUNTIF(B312,"*云景*")*加速!$L$11-IF(J312&gt;0,2,0),MAX(0,N311-(A312-A311)-IF(J312&gt;0,2,0)))),0)</f>
        <v>0</v>
      </c>
      <c r="O312">
        <f ca="1">IF(AND(COUNTIF(IF(AND(配装计算器!$K$30&lt;&gt;"∞",0),INDEX(AU311:CB311,1,$AT$1),INDEX(AU313:CB313,1,$AT$1)),"*云飞*")=1,COUNTIF(IF(AND(配装计算器!$K$30&lt;&gt;"∞",0),INDEX(AU311:CB311,1,$AT$1),INDEX(AU313:CB313,1,$AT$1)),"*玉山*")=0),N312,0)</f>
        <v>0</v>
      </c>
      <c r="P312">
        <f ca="1">IFERROR(IF(COUNTIF(B312,"*云栖松*")&gt;0,50-加速!$L$11,MAX(0,P311-(A312-A311))),0)</f>
        <v>0</v>
      </c>
      <c r="Q312">
        <f ca="1">IF(COUNTIF(IF(AND(配装计算器!$K$30&lt;&gt;"∞",0),INDEX(AU311:CB311,1,$AT$1),INDEX(AU313:CB313,1,$AT$1)),"*云栖松*")=1,P312,0)</f>
        <v>0</v>
      </c>
      <c r="R312">
        <f ca="1">IFERROR(IF(COUNTIF(B312,"*莺鸣柳*")&gt;0,45-加速!$L$9,MAX(0,R311-(A312-A311))),0)</f>
        <v>0</v>
      </c>
      <c r="S312">
        <f ca="1">IF(COUNTIF(IF(AND(配装计算器!$K$30&lt;&gt;"∞",0),INDEX(AU311:CB311,1,$AT$1),INDEX(AU313:CB313,1,$AT$1)),"*莺鸣柳*")=1,R312,0)</f>
        <v>0</v>
      </c>
      <c r="T312">
        <f ca="1" t="shared" si="65"/>
        <v>0</v>
      </c>
      <c r="U312">
        <f ca="1">IF(金蛇,IF(COUNTIF(B312,"*金环戴*")+COUNTIF(B312,"*吹风醒*")&gt;0,IF(A312&lt;=3,7.125-2.625-A312-加速!$L$11,7.125+加速!$K$9-(A312+加速!$L$11-T312)),0),0)+IF(金蛇,IF(COUNTIF(B312,"*千切子裂光*")&gt;0,2+加速!$K$9-(A312+加速!$L$11-T312),0),0)</f>
        <v>0</v>
      </c>
      <c r="V312">
        <f ca="1" t="shared" si="66"/>
        <v>0</v>
      </c>
      <c r="W312">
        <f ca="1" t="shared" si="57"/>
        <v>0</v>
      </c>
      <c r="X312">
        <f ca="1">INDEX(加速!$I$13:$I$21,技能数计算!W312+1)</f>
        <v>0</v>
      </c>
      <c r="Y312">
        <f ca="1" t="shared" si="61"/>
        <v>0.5</v>
      </c>
      <c r="Z312">
        <f ca="1" t="shared" si="62"/>
        <v>0</v>
      </c>
      <c r="AA312">
        <f ca="1">MAX(0,IFERROR(IF(COUNTIF(B312,"*叠*")&gt;0,IF(AC311&lt;3,8-A313+A312,AA311+6.875-A313+A312),AA311-A313+A312),AA311-加速!$L$11))</f>
        <v>0</v>
      </c>
      <c r="AB312" t="e">
        <f ca="1">MAX(0,IF(COUNTIF(IF(AND(配装计算器!$K$30&lt;&gt;"∞",0),INDEX(AU312:CB312,1,$AT$1),INDEX(AU312:CB312,1,$AT$1)),"*叠1*")=1,4*25-加速!$L$11,AB311-A312+A311)-IF(OR(COUNTIF(OFFSET(AT312,0,$AT$1,1,1),"*听雷*")&gt;0,AND(碧归&gt;0,COUNTIF(OFFSET(AT312,0,$AT$1,1,1),"*风来*")&gt;0)),0,1)*1.5)</f>
        <v>#VALUE!</v>
      </c>
      <c r="AC312">
        <f ca="1" t="shared" si="58"/>
        <v>3</v>
      </c>
      <c r="AD312">
        <f ca="1">IF(COUNTIF(IF(AND(配装计算器!$K$30&lt;&gt;"∞",0),INDEX(AU312:CB312,1,$AT$1),INDEX(AU313:CB313,1,$AT$1)),"*叠1*")=1,AB312*0+AE311,0)</f>
        <v>0</v>
      </c>
      <c r="AE312" t="e">
        <f ca="1">IF($AN$11&gt;0,IF(COUNTIF(B313,"*叠1*")&gt;0,50-加速!$H$11,MAX(0,AE311-(A313-A312))),0)</f>
        <v>#VALUE!</v>
      </c>
      <c r="AU312" s="176" t="s">
        <v>2794</v>
      </c>
      <c r="AV312">
        <v>2</v>
      </c>
      <c r="AW312" t="str">
        <f>IF(山重水复,"风来吴山","夕照雷峰")</f>
        <v>夕照雷峰</v>
      </c>
      <c r="AX312">
        <v>2</v>
      </c>
      <c r="AY312" t="s">
        <v>2794</v>
      </c>
      <c r="AZ312">
        <v>2</v>
      </c>
      <c r="BA312" t="s">
        <v>2776</v>
      </c>
      <c r="BB312">
        <v>2</v>
      </c>
      <c r="BC312" t="s">
        <v>2768</v>
      </c>
      <c r="BD312">
        <v>2</v>
      </c>
      <c r="BE312" t="s">
        <v>3042</v>
      </c>
      <c r="BF312">
        <v>2</v>
      </c>
      <c r="BG312" t="s">
        <v>3055</v>
      </c>
      <c r="BH312">
        <v>0</v>
      </c>
      <c r="BI312" s="176" t="s">
        <v>3026</v>
      </c>
      <c r="BJ312">
        <v>2</v>
      </c>
      <c r="BK312" t="s">
        <v>2776</v>
      </c>
      <c r="BL312">
        <v>1</v>
      </c>
      <c r="BM312" s="176" t="str">
        <f>IF(秋,"云飞玉皇-蛇牙锥心","云飞玉皇-血毒金蛇锥")</f>
        <v>云飞玉皇-血毒金蛇锥</v>
      </c>
      <c r="BN312">
        <v>2</v>
      </c>
      <c r="BO312" t="str">
        <f>IF(0,"云飞玉皇-玉山揽云","夕照雷峰")</f>
        <v>夕照雷峰</v>
      </c>
      <c r="BP312">
        <v>2</v>
      </c>
      <c r="BQ312" t="s">
        <v>2768</v>
      </c>
      <c r="BR312">
        <v>2</v>
      </c>
      <c r="BS312" t="s">
        <v>2768</v>
      </c>
      <c r="BT312">
        <v>0</v>
      </c>
      <c r="BU312" t="s">
        <v>2768</v>
      </c>
      <c r="BV312">
        <v>2</v>
      </c>
      <c r="BW312" s="182" t="s">
        <v>2768</v>
      </c>
      <c r="BX312" s="179">
        <v>2</v>
      </c>
      <c r="BY312" t="str">
        <f>IF(秋,"夕照雷峰-蛇牙锥心","夕照雷峰")</f>
        <v>夕照雷峰</v>
      </c>
      <c r="BZ312">
        <v>2</v>
      </c>
      <c r="CA312" s="176" t="str">
        <f>IF(秋,"鹤归孤山-蛇牙锥心","鹤归孤山")</f>
        <v>鹤归孤山</v>
      </c>
      <c r="CB312">
        <v>2</v>
      </c>
    </row>
    <row r="313" spans="1:80">
      <c r="A313" s="178" t="str">
        <f ca="1">IFERROR(IF(A312+加速!$L$11&lt;$AS$1,IF(COUNTIF(B312,"*轻*")&gt;0,A312+加速!$L$9,A312+加速!$L$11)+V312,IF(COUNTIF(INDEX(AU313:CB313,1,$AT$1),"*云景*")+COUNTIF(INDEX(AU313:CB313,1,$AT$1),"*鹤归*")+COUNTIF(INDEX(AU313:CB313,1,$AT$1),"*听雷*")&gt;0,A312+加速!$L$11,"")),"")</f>
        <v/>
      </c>
      <c r="B313" s="167" t="str">
        <f ca="1">IF(A313&lt;&gt;"",IF(AND(A313+加速!$L$11&gt;$AS$1,IF(AND(配装计算器!$K$30&lt;&gt;"∞",0),"梦泉虎跑-轻",INDEX(AU313:CB313,1,$AT$1))="云栖松"),"夕照雷峰",IF(AND(配装计算器!$K$30&lt;&gt;"∞",0),"梦泉虎跑-轻",INDEX(AU313:CB313,1,$AT$1))),"")</f>
        <v/>
      </c>
      <c r="C313" t="str">
        <f ca="1" t="shared" si="64"/>
        <v/>
      </c>
      <c r="D313" t="str">
        <f ca="1">IF(B313&lt;&gt;"",IF(C312&lt;=加速!$L$11*(1-E313),0,1),"")</f>
        <v/>
      </c>
      <c r="E313">
        <f ca="1" t="shared" si="59"/>
        <v>1</v>
      </c>
      <c r="G313" t="str">
        <f ca="1" t="shared" si="60"/>
        <v/>
      </c>
      <c r="H313" t="str">
        <f ca="1">IF(B313&lt;&gt;"",IF(AND(COUNTIF(B312,"*轻*莺鸣柳*")&gt;0,COUNTIF(B313,"*轻*")&lt;1),MAX(0,15+I312-(A313-A312)+COUNTIF(B312,"*平湖*")*0),IF(AND(E313=0,MAX(0,H312-(A313-A312))&lt;=加速!$H$11),0,MAX(0,H312-(A313-A312)))),"")</f>
        <v/>
      </c>
      <c r="I313" t="str">
        <f ca="1" t="shared" si="67"/>
        <v/>
      </c>
      <c r="J313" t="str">
        <f ca="1" t="shared" si="68"/>
        <v/>
      </c>
      <c r="K313" t="str">
        <f ca="1">IF(A313&lt;&gt;"",IF(AND(配装计算器!$K$30&lt;&gt;"∞",0),2,INDEX(AU313:CB313,1,$AT$2)),"")</f>
        <v/>
      </c>
      <c r="L313">
        <f ca="1">IFERROR(IF(AND(COUNTIF(B313,"*-峰插*"),技能数据库!$M$72&gt;0),0,IF(COUNTIF(B313,"*鹤归*")&gt;0,16-加速!$L$11,MAX(0,L312-(A313-A312)))),0)</f>
        <v>0</v>
      </c>
      <c r="M313">
        <f ca="1">IF(COUNTIF(IF(AND(配装计算器!$K$30&lt;&gt;"∞",0),INDEX(AU312:CB312,1,$AT$1),INDEX(AU314:CB314,1,$AT$1)),"*鹤归*")=1,L313,0)</f>
        <v>0</v>
      </c>
      <c r="N313">
        <f ca="1">IFERROR(IF(AND(COUNTIF(B313,"*-峰插*"),技能数据库!$M$72&gt;0),0,IF(COUNTIF(B313,"*云飞*")&gt;0,4-COUNTIF(B313,"*玉山揽云*")*4--COUNTIF(B313,"*烟流暮景*")*4-COUNTIF(B313,"*云景*")*加速!$L$11-IF(J313&gt;0,2,0),MAX(0,N312-(A313-A312)-IF(J313&gt;0,2,0)))),0)</f>
        <v>0</v>
      </c>
      <c r="O313">
        <f ca="1">IF(AND(COUNTIF(IF(AND(配装计算器!$K$30&lt;&gt;"∞",0),INDEX(AU312:CB312,1,$AT$1),INDEX(AU314:CB314,1,$AT$1)),"*云飞*")=1,COUNTIF(IF(AND(配装计算器!$K$30&lt;&gt;"∞",0),INDEX(AU312:CB312,1,$AT$1),INDEX(AU314:CB314,1,$AT$1)),"*玉山*")=0),N313,0)</f>
        <v>0</v>
      </c>
      <c r="P313">
        <f ca="1">IFERROR(IF(COUNTIF(B313,"*云栖松*")&gt;0,50-加速!$L$11,MAX(0,P312-(A313-A312))),0)</f>
        <v>0</v>
      </c>
      <c r="Q313">
        <f ca="1">IF(COUNTIF(IF(AND(配装计算器!$K$30&lt;&gt;"∞",0),INDEX(AU312:CB312,1,$AT$1),INDEX(AU314:CB314,1,$AT$1)),"*云栖松*")=1,P313,0)</f>
        <v>0</v>
      </c>
      <c r="R313">
        <f ca="1">IFERROR(IF(COUNTIF(B313,"*莺鸣柳*")&gt;0,45-加速!$L$9,MAX(0,R312-(A313-A312))),0)</f>
        <v>0</v>
      </c>
      <c r="S313">
        <f ca="1">IF(COUNTIF(IF(AND(配装计算器!$K$30&lt;&gt;"∞",0),INDEX(AU312:CB312,1,$AT$1),INDEX(AU314:CB314,1,$AT$1)),"*莺鸣柳*")=1,R313,0)</f>
        <v>0</v>
      </c>
      <c r="T313">
        <f ca="1" t="shared" si="65"/>
        <v>0</v>
      </c>
      <c r="U313">
        <f ca="1">IF(金蛇,IF(COUNTIF(B313,"*金环戴*")+COUNTIF(B313,"*吹风醒*")&gt;0,IF(A313&lt;=3,7.125-2.625-A313-加速!$L$11,7.125+加速!$K$9-(A313+加速!$L$11-T313)),0),0)+IF(金蛇,IF(COUNTIF(B313,"*千切子裂光*")&gt;0,2+加速!$K$9-(A313+加速!$L$11-T313),0),0)</f>
        <v>0</v>
      </c>
      <c r="V313">
        <f ca="1" t="shared" si="66"/>
        <v>0</v>
      </c>
      <c r="W313">
        <f ca="1" t="shared" si="57"/>
        <v>0</v>
      </c>
      <c r="X313">
        <f ca="1">INDEX(加速!$I$13:$I$21,技能数计算!W313+1)</f>
        <v>0</v>
      </c>
      <c r="Y313">
        <f ca="1" t="shared" si="61"/>
        <v>0.5</v>
      </c>
      <c r="Z313">
        <f ca="1" t="shared" si="62"/>
        <v>0</v>
      </c>
      <c r="AA313">
        <f ca="1">MAX(0,IFERROR(IF(COUNTIF(B313,"*叠*")&gt;0,IF(AC312&lt;3,8-A314+A313,AA312+6.875-A314+A313),AA312-A314+A313),AA312-加速!$L$11))</f>
        <v>0</v>
      </c>
      <c r="AB313" t="e">
        <f ca="1">MAX(0,IF(COUNTIF(IF(AND(配装计算器!$K$30&lt;&gt;"∞",0),INDEX(AU313:CB313,1,$AT$1),INDEX(AU313:CB313,1,$AT$1)),"*叠1*")=1,4*25-加速!$L$11,AB312-A313+A312)-IF(OR(COUNTIF(OFFSET(AT313,0,$AT$1,1,1),"*听雷*")&gt;0,AND(碧归&gt;0,COUNTIF(OFFSET(AT313,0,$AT$1,1,1),"*风来*")&gt;0)),0,1)*1.5)</f>
        <v>#VALUE!</v>
      </c>
      <c r="AC313">
        <f ca="1" t="shared" si="58"/>
        <v>3</v>
      </c>
      <c r="AD313">
        <f ca="1">IF(COUNTIF(IF(AND(配装计算器!$K$30&lt;&gt;"∞",0),INDEX(AU313:CB313,1,$AT$1),INDEX(AU314:CB314,1,$AT$1)),"*叠1*")=1,AB313*0+AE312,0)</f>
        <v>0</v>
      </c>
      <c r="AE313" t="e">
        <f ca="1">IF($AN$11&gt;0,IF(COUNTIF(B314,"*叠1*")&gt;0,50-加速!$H$11,MAX(0,AE312-(A314-A313))),0)</f>
        <v>#VALUE!</v>
      </c>
      <c r="AU313" s="176" t="s">
        <v>2776</v>
      </c>
      <c r="AV313">
        <v>2</v>
      </c>
      <c r="AW313" s="176" t="s">
        <v>2794</v>
      </c>
      <c r="AX313">
        <v>2</v>
      </c>
      <c r="AY313" t="s">
        <v>2768</v>
      </c>
      <c r="AZ313">
        <v>2</v>
      </c>
      <c r="BA313" t="s">
        <v>2768</v>
      </c>
      <c r="BB313">
        <v>2</v>
      </c>
      <c r="BC313" t="s">
        <v>2776</v>
      </c>
      <c r="BD313">
        <v>2</v>
      </c>
      <c r="BE313" t="s">
        <v>3084</v>
      </c>
      <c r="BF313">
        <v>2</v>
      </c>
      <c r="BG313" t="s">
        <v>2776</v>
      </c>
      <c r="BH313">
        <v>2</v>
      </c>
      <c r="BI313" s="176" t="s">
        <v>3026</v>
      </c>
      <c r="BJ313">
        <v>2</v>
      </c>
      <c r="BK313" t="s">
        <v>2768</v>
      </c>
      <c r="BL313">
        <v>0</v>
      </c>
      <c r="BM313" t="s">
        <v>2768</v>
      </c>
      <c r="BN313">
        <v>2</v>
      </c>
      <c r="BO313" t="str">
        <f>IF(0,"云飞玉皇-玉山揽云","云飞玉皇")</f>
        <v>云飞玉皇</v>
      </c>
      <c r="BP313">
        <v>2</v>
      </c>
      <c r="BQ313" t="s">
        <v>3013</v>
      </c>
      <c r="BR313">
        <v>2</v>
      </c>
      <c r="BS313" t="s">
        <v>3024</v>
      </c>
      <c r="BT313">
        <v>2</v>
      </c>
      <c r="BU313" t="s">
        <v>2776</v>
      </c>
      <c r="BV313">
        <v>2</v>
      </c>
      <c r="BW313" s="182" t="s">
        <v>2808</v>
      </c>
      <c r="BX313" s="179">
        <v>2</v>
      </c>
      <c r="BY313" s="176" t="str">
        <f>IF(秋,"云飞玉皇","云飞玉皇-血毒金蛇锥")</f>
        <v>云飞玉皇-血毒金蛇锥</v>
      </c>
      <c r="BZ313">
        <v>2</v>
      </c>
      <c r="CA313" s="176" t="str">
        <f>IF(秋,"云飞玉皇","云飞玉皇-血毒金蛇锥")</f>
        <v>云飞玉皇-血毒金蛇锥</v>
      </c>
      <c r="CB313">
        <v>2</v>
      </c>
    </row>
    <row r="314" spans="1:80">
      <c r="A314" s="178" t="str">
        <f ca="1">IFERROR(IF(A313+加速!$L$11&lt;$AS$1,IF(COUNTIF(B313,"*轻*")&gt;0,A313+加速!$L$9,A313+加速!$L$11)+V313,IF(COUNTIF(INDEX(AU314:CB314,1,$AT$1),"*云景*")+COUNTIF(INDEX(AU314:CB314,1,$AT$1),"*鹤归*")+COUNTIF(INDEX(AU314:CB314,1,$AT$1),"*听雷*")&gt;0,A313+加速!$L$11,"")),"")</f>
        <v/>
      </c>
      <c r="B314" s="167" t="str">
        <f ca="1">IF(A314&lt;&gt;"",IF(AND(A314+加速!$L$11&gt;$AS$1,IF(AND(配装计算器!$K$30&lt;&gt;"∞",0),"梦泉虎跑-轻",INDEX(AU314:CB314,1,$AT$1))="云栖松"),"夕照雷峰",IF(AND(配装计算器!$K$30&lt;&gt;"∞",0),"梦泉虎跑-轻",INDEX(AU314:CB314,1,$AT$1))),"")</f>
        <v/>
      </c>
      <c r="C314" t="str">
        <f ca="1" t="shared" si="64"/>
        <v/>
      </c>
      <c r="D314" t="str">
        <f ca="1">IF(B314&lt;&gt;"",IF(C313&lt;=加速!$L$11*(1-E314),0,1),"")</f>
        <v/>
      </c>
      <c r="E314">
        <f ca="1" t="shared" si="59"/>
        <v>1</v>
      </c>
      <c r="G314" t="str">
        <f ca="1" t="shared" si="60"/>
        <v/>
      </c>
      <c r="H314" t="str">
        <f ca="1">IF(B314&lt;&gt;"",IF(AND(COUNTIF(B313,"*轻*莺鸣柳*")&gt;0,COUNTIF(B314,"*轻*")&lt;1),MAX(0,15+I313-(A314-A313)+COUNTIF(B313,"*平湖*")*0),IF(AND(E314=0,MAX(0,H313-(A314-A313))&lt;=加速!$H$11),0,MAX(0,H313-(A314-A313)))),"")</f>
        <v/>
      </c>
      <c r="I314" t="str">
        <f ca="1" t="shared" si="67"/>
        <v/>
      </c>
      <c r="J314" t="str">
        <f ca="1" t="shared" si="68"/>
        <v/>
      </c>
      <c r="K314" t="str">
        <f ca="1">IF(A314&lt;&gt;"",IF(AND(配装计算器!$K$30&lt;&gt;"∞",0),2,INDEX(AU314:CB314,1,$AT$2)),"")</f>
        <v/>
      </c>
      <c r="L314">
        <f ca="1">IFERROR(IF(AND(COUNTIF(B314,"*-峰插*"),技能数据库!$M$72&gt;0),0,IF(COUNTIF(B314,"*鹤归*")&gt;0,16-加速!$L$11,MAX(0,L313-(A314-A313)))),0)</f>
        <v>0</v>
      </c>
      <c r="M314">
        <f ca="1">IF(COUNTIF(IF(AND(配装计算器!$K$30&lt;&gt;"∞",0),INDEX(AU313:CB313,1,$AT$1),INDEX(AU315:CB315,1,$AT$1)),"*鹤归*")=1,L314,0)</f>
        <v>0</v>
      </c>
      <c r="N314">
        <f ca="1">IFERROR(IF(AND(COUNTIF(B314,"*-峰插*"),技能数据库!$M$72&gt;0),0,IF(COUNTIF(B314,"*云飞*")&gt;0,4-COUNTIF(B314,"*玉山揽云*")*4--COUNTIF(B314,"*烟流暮景*")*4-COUNTIF(B314,"*云景*")*加速!$L$11-IF(J314&gt;0,2,0),MAX(0,N313-(A314-A313)-IF(J314&gt;0,2,0)))),0)</f>
        <v>0</v>
      </c>
      <c r="O314">
        <f ca="1">IF(AND(COUNTIF(IF(AND(配装计算器!$K$30&lt;&gt;"∞",0),INDEX(AU313:CB313,1,$AT$1),INDEX(AU315:CB315,1,$AT$1)),"*云飞*")=1,COUNTIF(IF(AND(配装计算器!$K$30&lt;&gt;"∞",0),INDEX(AU313:CB313,1,$AT$1),INDEX(AU315:CB315,1,$AT$1)),"*玉山*")=0),N314,0)</f>
        <v>0</v>
      </c>
      <c r="P314">
        <f ca="1">IFERROR(IF(COUNTIF(B314,"*云栖松*")&gt;0,50-加速!$L$11,MAX(0,P313-(A314-A313))),0)</f>
        <v>0</v>
      </c>
      <c r="Q314">
        <f ca="1">IF(COUNTIF(IF(AND(配装计算器!$K$30&lt;&gt;"∞",0),INDEX(AU313:CB313,1,$AT$1),INDEX(AU315:CB315,1,$AT$1)),"*云栖松*")=1,P314,0)</f>
        <v>0</v>
      </c>
      <c r="R314">
        <f ca="1">IFERROR(IF(COUNTIF(B314,"*莺鸣柳*")&gt;0,45-加速!$L$9,MAX(0,R313-(A314-A313))),0)</f>
        <v>0</v>
      </c>
      <c r="S314">
        <f ca="1">IF(COUNTIF(IF(AND(配装计算器!$K$30&lt;&gt;"∞",0),INDEX(AU313:CB313,1,$AT$1),INDEX(AU315:CB315,1,$AT$1)),"*莺鸣柳*")=1,R314,0)</f>
        <v>0</v>
      </c>
      <c r="T314">
        <f ca="1" t="shared" si="65"/>
        <v>0</v>
      </c>
      <c r="U314">
        <f ca="1">IF(金蛇,IF(COUNTIF(B314,"*金环戴*")+COUNTIF(B314,"*吹风醒*")&gt;0,IF(A314&lt;=3,7.125-2.625-A314-加速!$L$11,7.125+加速!$K$9-(A314+加速!$L$11-T314)),0),0)+IF(金蛇,IF(COUNTIF(B314,"*千切子裂光*")&gt;0,2+加速!$K$9-(A314+加速!$L$11-T314),0),0)</f>
        <v>0</v>
      </c>
      <c r="V314">
        <f ca="1" t="shared" si="66"/>
        <v>0</v>
      </c>
      <c r="W314">
        <f ca="1" t="shared" si="57"/>
        <v>0</v>
      </c>
      <c r="X314">
        <f ca="1">INDEX(加速!$I$13:$I$21,技能数计算!W314+1)</f>
        <v>0</v>
      </c>
      <c r="Y314">
        <f ca="1" t="shared" si="61"/>
        <v>0.5</v>
      </c>
      <c r="Z314">
        <f ca="1" t="shared" si="62"/>
        <v>0</v>
      </c>
      <c r="AA314">
        <f ca="1">MAX(0,IFERROR(IF(COUNTIF(B314,"*叠*")&gt;0,IF(AC313&lt;3,8-A315+A314,AA313+6.875-A315+A314),AA313-A315+A314),AA313-加速!$L$11))</f>
        <v>0</v>
      </c>
      <c r="AB314" t="e">
        <f ca="1">MAX(0,IF(COUNTIF(IF(AND(配装计算器!$K$30&lt;&gt;"∞",0),INDEX(AU314:CB314,1,$AT$1),INDEX(AU314:CB314,1,$AT$1)),"*叠1*")=1,4*25-加速!$L$11,AB313-A314+A313)-IF(OR(COUNTIF(OFFSET(AT314,0,$AT$1,1,1),"*听雷*")&gt;0,AND(碧归&gt;0,COUNTIF(OFFSET(AT314,0,$AT$1,1,1),"*风来*")&gt;0)),0,1)*1.5)</f>
        <v>#VALUE!</v>
      </c>
      <c r="AC314">
        <f ca="1" t="shared" si="58"/>
        <v>3</v>
      </c>
      <c r="AD314">
        <f ca="1">IF(COUNTIF(IF(AND(配装计算器!$K$30&lt;&gt;"∞",0),INDEX(AU314:CB314,1,$AT$1),INDEX(AU315:CB315,1,$AT$1)),"*叠1*")=1,AB314*0+AE313,0)</f>
        <v>0</v>
      </c>
      <c r="AE314" t="e">
        <f ca="1">IF($AN$11&gt;0,IF(COUNTIF(B315,"*叠1*")&gt;0,50-加速!$H$11,MAX(0,AE313-(A315-A314))),0)</f>
        <v>#VALUE!</v>
      </c>
      <c r="AU314" s="176" t="s">
        <v>2768</v>
      </c>
      <c r="AV314">
        <v>2</v>
      </c>
      <c r="AW314" s="176" t="s">
        <v>2776</v>
      </c>
      <c r="AX314">
        <v>2</v>
      </c>
      <c r="AY314" t="s">
        <v>2776</v>
      </c>
      <c r="AZ314">
        <v>2</v>
      </c>
      <c r="BA314" t="s">
        <v>2776</v>
      </c>
      <c r="BB314">
        <v>2</v>
      </c>
      <c r="BC314" t="s">
        <v>2789</v>
      </c>
      <c r="BD314">
        <v>2</v>
      </c>
      <c r="BE314" t="s">
        <v>2768</v>
      </c>
      <c r="BF314">
        <v>2</v>
      </c>
      <c r="BG314" t="s">
        <v>2768</v>
      </c>
      <c r="BH314">
        <v>2</v>
      </c>
      <c r="BI314" s="176" t="s">
        <v>3026</v>
      </c>
      <c r="BJ314">
        <v>2</v>
      </c>
      <c r="BK314" t="s">
        <v>3056</v>
      </c>
      <c r="BL314">
        <v>0</v>
      </c>
      <c r="BM314" t="str">
        <f>IF(山重水复,"风来吴山","夕照雷峰")</f>
        <v>夕照雷峰</v>
      </c>
      <c r="BN314">
        <v>2</v>
      </c>
      <c r="BO314" s="176" t="str">
        <f>IF(秋,"夕照雷峰","千切子寒光-千切子裂光")</f>
        <v>千切子寒光-千切子裂光</v>
      </c>
      <c r="BP314">
        <v>2</v>
      </c>
      <c r="BQ314" t="s">
        <v>2808</v>
      </c>
      <c r="BR314">
        <v>2</v>
      </c>
      <c r="BS314" s="179" t="s">
        <v>2794</v>
      </c>
      <c r="BT314">
        <v>2</v>
      </c>
      <c r="BU314" t="s">
        <v>2768</v>
      </c>
      <c r="BV314">
        <v>2</v>
      </c>
      <c r="BW314" s="179" t="s">
        <v>2768</v>
      </c>
      <c r="BX314" s="179">
        <v>2</v>
      </c>
      <c r="BY314" t="s">
        <v>2768</v>
      </c>
      <c r="BZ314">
        <v>2</v>
      </c>
      <c r="CA314" s="176" t="s">
        <v>2768</v>
      </c>
      <c r="CB314">
        <v>2</v>
      </c>
    </row>
    <row r="315" spans="1:80">
      <c r="A315" s="178" t="str">
        <f ca="1">IFERROR(IF(A314+加速!$L$11&lt;$AS$1,IF(COUNTIF(B314,"*轻*")&gt;0,A314+加速!$L$9,A314+加速!$L$11)+V314,IF(COUNTIF(INDEX(AU315:CB315,1,$AT$1),"*云景*")+COUNTIF(INDEX(AU315:CB315,1,$AT$1),"*鹤归*")+COUNTIF(INDEX(AU315:CB315,1,$AT$1),"*听雷*")&gt;0,A314+加速!$L$11,"")),"")</f>
        <v/>
      </c>
      <c r="B315" s="167" t="str">
        <f ca="1">IF(A315&lt;&gt;"",IF(AND(A315+加速!$L$11&gt;$AS$1,IF(AND(配装计算器!$K$30&lt;&gt;"∞",0),"梦泉虎跑-轻",INDEX(AU315:CB315,1,$AT$1))="云栖松"),"夕照雷峰",IF(AND(配装计算器!$K$30&lt;&gt;"∞",0),"梦泉虎跑-轻",INDEX(AU315:CB315,1,$AT$1))),"")</f>
        <v/>
      </c>
      <c r="C315" t="str">
        <f ca="1" t="shared" si="64"/>
        <v/>
      </c>
      <c r="D315" t="str">
        <f ca="1">IF(B315&lt;&gt;"",IF(C314&lt;=加速!$L$11*(1-E315),0,1),"")</f>
        <v/>
      </c>
      <c r="E315">
        <f ca="1" t="shared" si="59"/>
        <v>1</v>
      </c>
      <c r="G315" t="str">
        <f ca="1" t="shared" si="60"/>
        <v/>
      </c>
      <c r="H315" t="str">
        <f ca="1">IF(B315&lt;&gt;"",IF(AND(COUNTIF(B314,"*轻*莺鸣柳*")&gt;0,COUNTIF(B315,"*轻*")&lt;1),MAX(0,15+I314-(A315-A314)+COUNTIF(B314,"*平湖*")*0),IF(AND(E315=0,MAX(0,H314-(A315-A314))&lt;=加速!$H$11),0,MAX(0,H314-(A315-A314)))),"")</f>
        <v/>
      </c>
      <c r="I315" t="str">
        <f ca="1" t="shared" si="67"/>
        <v/>
      </c>
      <c r="J315" t="str">
        <f ca="1" t="shared" si="68"/>
        <v/>
      </c>
      <c r="K315" t="str">
        <f ca="1">IF(A315&lt;&gt;"",IF(AND(配装计算器!$K$30&lt;&gt;"∞",0),2,INDEX(AU315:CB315,1,$AT$2)),"")</f>
        <v/>
      </c>
      <c r="L315">
        <f ca="1">IFERROR(IF(AND(COUNTIF(B315,"*-峰插*"),技能数据库!$M$72&gt;0),0,IF(COUNTIF(B315,"*鹤归*")&gt;0,16-加速!$L$11,MAX(0,L314-(A315-A314)))),0)</f>
        <v>0</v>
      </c>
      <c r="M315">
        <f ca="1">IF(COUNTIF(IF(AND(配装计算器!$K$30&lt;&gt;"∞",0),INDEX(AU314:CB314,1,$AT$1),INDEX(AU316:CB316,1,$AT$1)),"*鹤归*")=1,L315,0)</f>
        <v>0</v>
      </c>
      <c r="N315">
        <f ca="1">IFERROR(IF(AND(COUNTIF(B315,"*-峰插*"),技能数据库!$M$72&gt;0),0,IF(COUNTIF(B315,"*云飞*")&gt;0,4-COUNTIF(B315,"*玉山揽云*")*4--COUNTIF(B315,"*烟流暮景*")*4-COUNTIF(B315,"*云景*")*加速!$L$11-IF(J315&gt;0,2,0),MAX(0,N314-(A315-A314)-IF(J315&gt;0,2,0)))),0)</f>
        <v>0</v>
      </c>
      <c r="O315">
        <f ca="1">IF(AND(COUNTIF(IF(AND(配装计算器!$K$30&lt;&gt;"∞",0),INDEX(AU314:CB314,1,$AT$1),INDEX(AU316:CB316,1,$AT$1)),"*云飞*")=1,COUNTIF(IF(AND(配装计算器!$K$30&lt;&gt;"∞",0),INDEX(AU314:CB314,1,$AT$1),INDEX(AU316:CB316,1,$AT$1)),"*玉山*")=0),N315,0)</f>
        <v>0</v>
      </c>
      <c r="P315">
        <f ca="1">IFERROR(IF(COUNTIF(B315,"*云栖松*")&gt;0,50-加速!$L$11,MAX(0,P314-(A315-A314))),0)</f>
        <v>0</v>
      </c>
      <c r="Q315">
        <f ca="1">IF(COUNTIF(IF(AND(配装计算器!$K$30&lt;&gt;"∞",0),INDEX(AU314:CB314,1,$AT$1),INDEX(AU316:CB316,1,$AT$1)),"*云栖松*")=1,P315,0)</f>
        <v>0</v>
      </c>
      <c r="R315">
        <f ca="1">IFERROR(IF(COUNTIF(B315,"*莺鸣柳*")&gt;0,45-加速!$L$9,MAX(0,R314-(A315-A314))),0)</f>
        <v>0</v>
      </c>
      <c r="S315">
        <f ca="1">IF(COUNTIF(IF(AND(配装计算器!$K$30&lt;&gt;"∞",0),INDEX(AU314:CB314,1,$AT$1),INDEX(AU316:CB316,1,$AT$1)),"*莺鸣柳*")=1,R315,0)</f>
        <v>0</v>
      </c>
      <c r="T315">
        <f ca="1" t="shared" si="65"/>
        <v>0</v>
      </c>
      <c r="U315">
        <f ca="1">IF(金蛇,IF(COUNTIF(B315,"*金环戴*")+COUNTIF(B315,"*吹风醒*")&gt;0,IF(A315&lt;=3,7.125-2.625-A315-加速!$L$11,7.125+加速!$K$9-(A315+加速!$L$11-T315)),0),0)+IF(金蛇,IF(COUNTIF(B315,"*千切子裂光*")&gt;0,2+加速!$K$9-(A315+加速!$L$11-T315),0),0)</f>
        <v>0</v>
      </c>
      <c r="V315">
        <f ca="1" t="shared" si="66"/>
        <v>0</v>
      </c>
      <c r="W315">
        <f ca="1" t="shared" si="57"/>
        <v>0</v>
      </c>
      <c r="X315">
        <f ca="1">INDEX(加速!$I$13:$I$21,技能数计算!W315+1)</f>
        <v>0</v>
      </c>
      <c r="Y315">
        <f ca="1" t="shared" si="61"/>
        <v>0.5</v>
      </c>
      <c r="Z315">
        <f ca="1" t="shared" si="62"/>
        <v>0</v>
      </c>
      <c r="AA315">
        <f ca="1">MAX(0,IFERROR(IF(COUNTIF(B315,"*叠*")&gt;0,IF(AC314&lt;3,8-A316+A315,AA314+6.875-A316+A315),AA314-A316+A315),AA314-加速!$L$11))</f>
        <v>0</v>
      </c>
      <c r="AB315" t="e">
        <f ca="1">MAX(0,IF(COUNTIF(IF(AND(配装计算器!$K$30&lt;&gt;"∞",0),INDEX(AU315:CB315,1,$AT$1),INDEX(AU315:CB315,1,$AT$1)),"*叠1*")=1,4*25-加速!$L$11,AB314-A315+A314)-IF(OR(COUNTIF(OFFSET(AT315,0,$AT$1,1,1),"*听雷*")&gt;0,AND(碧归&gt;0,COUNTIF(OFFSET(AT315,0,$AT$1,1,1),"*风来*")&gt;0)),0,1)*1.5)</f>
        <v>#VALUE!</v>
      </c>
      <c r="AC315">
        <f ca="1" t="shared" si="58"/>
        <v>3</v>
      </c>
      <c r="AD315">
        <f ca="1">IF(COUNTIF(IF(AND(配装计算器!$K$30&lt;&gt;"∞",0),INDEX(AU315:CB315,1,$AT$1),INDEX(AU316:CB316,1,$AT$1)),"*叠1*")=1,AB315*0+AE314,0)</f>
        <v>0</v>
      </c>
      <c r="AE315" t="e">
        <f ca="1">IF($AN$11&gt;0,IF(COUNTIF(B316,"*叠1*")&gt;0,50-加速!$H$11,MAX(0,AE314-(A316-A315))),0)</f>
        <v>#VALUE!</v>
      </c>
      <c r="AU315" s="176" t="s">
        <v>2776</v>
      </c>
      <c r="AV315">
        <v>2</v>
      </c>
      <c r="AW315" s="176" t="s">
        <v>2768</v>
      </c>
      <c r="AX315">
        <v>2</v>
      </c>
      <c r="AY315" t="s">
        <v>2768</v>
      </c>
      <c r="AZ315">
        <v>2</v>
      </c>
      <c r="BA315" t="s">
        <v>2768</v>
      </c>
      <c r="BB315">
        <v>2</v>
      </c>
      <c r="BC315" t="s">
        <v>2794</v>
      </c>
      <c r="BD315">
        <v>2</v>
      </c>
      <c r="BE315" t="s">
        <v>2794</v>
      </c>
      <c r="BF315">
        <v>2</v>
      </c>
      <c r="BG315" t="s">
        <v>2776</v>
      </c>
      <c r="BH315">
        <v>2</v>
      </c>
      <c r="BI315" s="176" t="s">
        <v>3026</v>
      </c>
      <c r="BJ315">
        <v>2</v>
      </c>
      <c r="BK315" t="s">
        <v>2768</v>
      </c>
      <c r="BL315">
        <v>2</v>
      </c>
      <c r="BM315" s="176" t="s">
        <v>2794</v>
      </c>
      <c r="BN315">
        <v>2</v>
      </c>
      <c r="BO315" s="176" t="str">
        <f>IF(秋,"夕照雷峰","夕照雷峰")</f>
        <v>夕照雷峰</v>
      </c>
      <c r="BP315">
        <v>2</v>
      </c>
      <c r="BQ315" t="s">
        <v>2768</v>
      </c>
      <c r="BR315">
        <v>2</v>
      </c>
      <c r="BS315" s="179" t="s">
        <v>3019</v>
      </c>
      <c r="BT315">
        <v>2</v>
      </c>
      <c r="BU315" t="s">
        <v>2808</v>
      </c>
      <c r="BV315">
        <v>2</v>
      </c>
      <c r="BW315" s="179" t="s">
        <v>2776</v>
      </c>
      <c r="BX315" s="179">
        <v>2</v>
      </c>
      <c r="BY315" t="str">
        <f>IF(山重水复,"风来吴山","夕照雷峰")</f>
        <v>夕照雷峰</v>
      </c>
      <c r="BZ315">
        <v>2</v>
      </c>
      <c r="CA315" s="176" t="s">
        <v>2776</v>
      </c>
      <c r="CB315">
        <v>2</v>
      </c>
    </row>
    <row r="316" spans="1:80">
      <c r="A316" s="178" t="str">
        <f ca="1">IFERROR(IF(A315+加速!$L$11&lt;$AS$1,IF(COUNTIF(B315,"*轻*")&gt;0,A315+加速!$L$9,A315+加速!$L$11)+V315,IF(COUNTIF(INDEX(AU316:CB316,1,$AT$1),"*云景*")+COUNTIF(INDEX(AU316:CB316,1,$AT$1),"*鹤归*")+COUNTIF(INDEX(AU316:CB316,1,$AT$1),"*听雷*")&gt;0,A315+加速!$L$11,"")),"")</f>
        <v/>
      </c>
      <c r="B316" s="167" t="str">
        <f ca="1">IF(A316&lt;&gt;"",IF(AND(A316+加速!$L$11&gt;$AS$1,IF(AND(配装计算器!$K$30&lt;&gt;"∞",0),"梦泉虎跑-轻",INDEX(AU316:CB316,1,$AT$1))="云栖松"),"夕照雷峰",IF(AND(配装计算器!$K$30&lt;&gt;"∞",0),"梦泉虎跑-轻",INDEX(AU316:CB316,1,$AT$1))),"")</f>
        <v/>
      </c>
      <c r="C316" t="str">
        <f ca="1" t="shared" si="64"/>
        <v/>
      </c>
      <c r="D316" t="str">
        <f ca="1">IF(B316&lt;&gt;"",IF(C315&lt;=加速!$L$11*(1-E316),0,1),"")</f>
        <v/>
      </c>
      <c r="E316">
        <f ca="1" t="shared" si="59"/>
        <v>1</v>
      </c>
      <c r="G316" t="str">
        <f ca="1" t="shared" si="60"/>
        <v/>
      </c>
      <c r="H316" t="str">
        <f ca="1">IF(B316&lt;&gt;"",IF(AND(COUNTIF(B315,"*轻*莺鸣柳*")&gt;0,COUNTIF(B316,"*轻*")&lt;1),MAX(0,15+I315-(A316-A315)+COUNTIF(B315,"*平湖*")*0),IF(AND(E316=0,MAX(0,H315-(A316-A315))&lt;=加速!$H$11),0,MAX(0,H315-(A316-A315)))),"")</f>
        <v/>
      </c>
      <c r="I316" t="str">
        <f ca="1" t="shared" si="67"/>
        <v/>
      </c>
      <c r="J316" t="str">
        <f ca="1" t="shared" si="68"/>
        <v/>
      </c>
      <c r="K316" t="str">
        <f ca="1">IF(A316&lt;&gt;"",IF(AND(配装计算器!$K$30&lt;&gt;"∞",0),2,INDEX(AU316:CB316,1,$AT$2)),"")</f>
        <v/>
      </c>
      <c r="L316">
        <f ca="1">IFERROR(IF(AND(COUNTIF(B316,"*-峰插*"),技能数据库!$M$72&gt;0),0,IF(COUNTIF(B316,"*鹤归*")&gt;0,16-加速!$L$11,MAX(0,L315-(A316-A315)))),0)</f>
        <v>0</v>
      </c>
      <c r="M316">
        <f ca="1">IF(COUNTIF(IF(AND(配装计算器!$K$30&lt;&gt;"∞",0),INDEX(AU315:CB315,1,$AT$1),INDEX(AU317:CB317,1,$AT$1)),"*鹤归*")=1,L316,0)</f>
        <v>0</v>
      </c>
      <c r="N316">
        <f ca="1">IFERROR(IF(AND(COUNTIF(B316,"*-峰插*"),技能数据库!$M$72&gt;0),0,IF(COUNTIF(B316,"*云飞*")&gt;0,4-COUNTIF(B316,"*玉山揽云*")*4--COUNTIF(B316,"*烟流暮景*")*4-COUNTIF(B316,"*云景*")*加速!$L$11-IF(J316&gt;0,2,0),MAX(0,N315-(A316-A315)-IF(J316&gt;0,2,0)))),0)</f>
        <v>0</v>
      </c>
      <c r="O316">
        <f ca="1">IF(AND(COUNTIF(IF(AND(配装计算器!$K$30&lt;&gt;"∞",0),INDEX(AU315:CB315,1,$AT$1),INDEX(AU317:CB317,1,$AT$1)),"*云飞*")=1,COUNTIF(IF(AND(配装计算器!$K$30&lt;&gt;"∞",0),INDEX(AU315:CB315,1,$AT$1),INDEX(AU317:CB317,1,$AT$1)),"*玉山*")=0),N316,0)</f>
        <v>0</v>
      </c>
      <c r="P316">
        <f ca="1">IFERROR(IF(COUNTIF(B316,"*云栖松*")&gt;0,50-加速!$L$11,MAX(0,P315-(A316-A315))),0)</f>
        <v>0</v>
      </c>
      <c r="Q316">
        <f ca="1">IF(COUNTIF(IF(AND(配装计算器!$K$30&lt;&gt;"∞",0),INDEX(AU315:CB315,1,$AT$1),INDEX(AU317:CB317,1,$AT$1)),"*云栖松*")=1,P316,0)</f>
        <v>0</v>
      </c>
      <c r="R316">
        <f ca="1">IFERROR(IF(COUNTIF(B316,"*莺鸣柳*")&gt;0,45-加速!$L$9,MAX(0,R315-(A316-A315))),0)</f>
        <v>0</v>
      </c>
      <c r="S316">
        <f ca="1">IF(COUNTIF(IF(AND(配装计算器!$K$30&lt;&gt;"∞",0),INDEX(AU315:CB315,1,$AT$1),INDEX(AU317:CB317,1,$AT$1)),"*莺鸣柳*")=1,R316,0)</f>
        <v>0</v>
      </c>
      <c r="T316">
        <f ca="1" t="shared" si="65"/>
        <v>0</v>
      </c>
      <c r="U316">
        <f ca="1">IF(金蛇,IF(COUNTIF(B316,"*金环戴*")+COUNTIF(B316,"*吹风醒*")&gt;0,IF(A316&lt;=3,7.125-2.625-A316-加速!$L$11,7.125+加速!$K$9-(A316+加速!$L$11-T316)),0),0)+IF(金蛇,IF(COUNTIF(B316,"*千切子裂光*")&gt;0,2+加速!$K$9-(A316+加速!$L$11-T316),0),0)</f>
        <v>0</v>
      </c>
      <c r="V316">
        <f ca="1" t="shared" si="66"/>
        <v>0</v>
      </c>
      <c r="W316">
        <f ca="1" t="shared" si="57"/>
        <v>0</v>
      </c>
      <c r="X316">
        <f ca="1">INDEX(加速!$I$13:$I$21,技能数计算!W316+1)</f>
        <v>0</v>
      </c>
      <c r="Y316">
        <f ca="1" t="shared" si="61"/>
        <v>0.5</v>
      </c>
      <c r="Z316">
        <f ca="1" t="shared" si="62"/>
        <v>0</v>
      </c>
      <c r="AA316">
        <f ca="1">MAX(0,IFERROR(IF(COUNTIF(B316,"*叠*")&gt;0,IF(AC315&lt;3,8-A317+A316,AA315+6.875-A317+A316),AA315-A317+A316),AA315-加速!$L$11))</f>
        <v>0</v>
      </c>
      <c r="AB316" t="e">
        <f ca="1">MAX(0,IF(COUNTIF(IF(AND(配装计算器!$K$30&lt;&gt;"∞",0),INDEX(AU316:CB316,1,$AT$1),INDEX(AU316:CB316,1,$AT$1)),"*叠1*")=1,4*25-加速!$L$11,AB315-A316+A315)-IF(OR(COUNTIF(OFFSET(AT316,0,$AT$1,1,1),"*听雷*")&gt;0,AND(碧归&gt;0,COUNTIF(OFFSET(AT316,0,$AT$1,1,1),"*风来*")&gt;0)),0,1)*1.5)</f>
        <v>#VALUE!</v>
      </c>
      <c r="AC316">
        <f ca="1" t="shared" si="58"/>
        <v>3</v>
      </c>
      <c r="AD316">
        <f ca="1">IF(COUNTIF(IF(AND(配装计算器!$K$30&lt;&gt;"∞",0),INDEX(AU316:CB316,1,$AT$1),INDEX(AU317:CB317,1,$AT$1)),"*叠1*")=1,AB316*0+AE315,0)</f>
        <v>0</v>
      </c>
      <c r="AE316" t="e">
        <f ca="1">IF($AN$11&gt;0,IF(COUNTIF(B317,"*叠1*")&gt;0,50-加速!$H$11,MAX(0,AE315-(A317-A316))),0)</f>
        <v>#VALUE!</v>
      </c>
      <c r="AU316" s="176" t="s">
        <v>2768</v>
      </c>
      <c r="AV316">
        <v>2</v>
      </c>
      <c r="AW316" s="176" t="s">
        <v>2776</v>
      </c>
      <c r="AX316">
        <v>2</v>
      </c>
      <c r="AY316" t="s">
        <v>2776</v>
      </c>
      <c r="AZ316">
        <v>2</v>
      </c>
      <c r="BA316" t="s">
        <v>2776</v>
      </c>
      <c r="BB316">
        <v>1</v>
      </c>
      <c r="BC316" s="182" t="s">
        <v>3036</v>
      </c>
      <c r="BD316">
        <v>2</v>
      </c>
      <c r="BE316" t="s">
        <v>2768</v>
      </c>
      <c r="BF316">
        <v>2</v>
      </c>
      <c r="BG316" t="s">
        <v>2768</v>
      </c>
      <c r="BH316">
        <v>1</v>
      </c>
      <c r="BI316" s="176" t="s">
        <v>3036</v>
      </c>
      <c r="BJ316">
        <v>2</v>
      </c>
      <c r="BK316" t="s">
        <v>2768</v>
      </c>
      <c r="BL316">
        <v>2</v>
      </c>
      <c r="BM316" s="176" t="s">
        <v>2776</v>
      </c>
      <c r="BN316">
        <v>2</v>
      </c>
      <c r="BO316" t="str">
        <f>IF(0,"云飞玉皇-玉山揽云","夕照雷峰")</f>
        <v>夕照雷峰</v>
      </c>
      <c r="BP316">
        <v>2</v>
      </c>
      <c r="BQ316" t="s">
        <v>2768</v>
      </c>
      <c r="BR316">
        <v>2</v>
      </c>
      <c r="BS316" s="179" t="s">
        <v>2768</v>
      </c>
      <c r="BT316">
        <v>2</v>
      </c>
      <c r="BU316" t="s">
        <v>2768</v>
      </c>
      <c r="BV316">
        <v>2</v>
      </c>
      <c r="BW316" s="179" t="str">
        <f>IF(秋,"夕照雷峰","千切子寒光")</f>
        <v>千切子寒光</v>
      </c>
      <c r="BX316" s="179">
        <v>2</v>
      </c>
      <c r="BY316" s="176" t="s">
        <v>2794</v>
      </c>
      <c r="BZ316">
        <v>2</v>
      </c>
      <c r="CA316" s="176" t="s">
        <v>2768</v>
      </c>
      <c r="CB316">
        <v>2</v>
      </c>
    </row>
    <row r="317" spans="1:80">
      <c r="A317" s="178" t="str">
        <f ca="1">IFERROR(IF(A316+加速!$L$11&lt;$AS$1,IF(COUNTIF(B316,"*轻*")&gt;0,A316+加速!$L$9,A316+加速!$L$11)+V316,IF(COUNTIF(INDEX(AU317:CB317,1,$AT$1),"*云景*")+COUNTIF(INDEX(AU317:CB317,1,$AT$1),"*鹤归*")+COUNTIF(INDEX(AU317:CB317,1,$AT$1),"*听雷*")&gt;0,A316+加速!$L$11,"")),"")</f>
        <v/>
      </c>
      <c r="B317" s="167" t="str">
        <f ca="1">IF(A317&lt;&gt;"",IF(AND(A317+加速!$L$11&gt;$AS$1,IF(AND(配装计算器!$K$30&lt;&gt;"∞",0),"梦泉虎跑-轻",INDEX(AU317:CB317,1,$AT$1))="云栖松"),"夕照雷峰",IF(AND(配装计算器!$K$30&lt;&gt;"∞",0),"梦泉虎跑-轻",INDEX(AU317:CB317,1,$AT$1))),"")</f>
        <v/>
      </c>
      <c r="C317" t="str">
        <f ca="1" t="shared" si="64"/>
        <v/>
      </c>
      <c r="D317" t="str">
        <f ca="1">IF(B317&lt;&gt;"",IF(C316&lt;=加速!$L$11*(1-E317),0,1),"")</f>
        <v/>
      </c>
      <c r="E317">
        <f ca="1" t="shared" si="59"/>
        <v>1</v>
      </c>
      <c r="G317" t="str">
        <f ca="1" t="shared" si="60"/>
        <v/>
      </c>
      <c r="H317" t="str">
        <f ca="1">IF(B317&lt;&gt;"",IF(AND(COUNTIF(B316,"*轻*莺鸣柳*")&gt;0,COUNTIF(B317,"*轻*")&lt;1),MAX(0,15+I316-(A317-A316)+COUNTIF(B316,"*平湖*")*0),IF(AND(E317=0,MAX(0,H316-(A317-A316))&lt;=加速!$H$11),0,MAX(0,H316-(A317-A316)))),"")</f>
        <v/>
      </c>
      <c r="I317" t="str">
        <f ca="1" t="shared" si="67"/>
        <v/>
      </c>
      <c r="J317" t="str">
        <f ca="1" t="shared" si="68"/>
        <v/>
      </c>
      <c r="K317" t="str">
        <f ca="1">IF(A317&lt;&gt;"",IF(AND(配装计算器!$K$30&lt;&gt;"∞",0),2,INDEX(AU317:CB317,1,$AT$2)),"")</f>
        <v/>
      </c>
      <c r="L317">
        <f ca="1">IFERROR(IF(AND(COUNTIF(B317,"*-峰插*"),技能数据库!$M$72&gt;0),0,IF(COUNTIF(B317,"*鹤归*")&gt;0,16-加速!$L$11,MAX(0,L316-(A317-A316)))),0)</f>
        <v>0</v>
      </c>
      <c r="M317">
        <f ca="1">IF(COUNTIF(IF(AND(配装计算器!$K$30&lt;&gt;"∞",0),INDEX(AU316:CB316,1,$AT$1),INDEX(AU318:CB318,1,$AT$1)),"*鹤归*")=1,L317,0)</f>
        <v>0</v>
      </c>
      <c r="N317">
        <f ca="1">IFERROR(IF(AND(COUNTIF(B317,"*-峰插*"),技能数据库!$M$72&gt;0),0,IF(COUNTIF(B317,"*云飞*")&gt;0,4-COUNTIF(B317,"*玉山揽云*")*4--COUNTIF(B317,"*烟流暮景*")*4-COUNTIF(B317,"*云景*")*加速!$L$11-IF(J317&gt;0,2,0),MAX(0,N316-(A317-A316)-IF(J317&gt;0,2,0)))),0)</f>
        <v>0</v>
      </c>
      <c r="O317">
        <f ca="1">IF(AND(COUNTIF(IF(AND(配装计算器!$K$30&lt;&gt;"∞",0),INDEX(AU316:CB316,1,$AT$1),INDEX(AU318:CB318,1,$AT$1)),"*云飞*")=1,COUNTIF(IF(AND(配装计算器!$K$30&lt;&gt;"∞",0),INDEX(AU316:CB316,1,$AT$1),INDEX(AU318:CB318,1,$AT$1)),"*玉山*")=0),N317,0)</f>
        <v>0</v>
      </c>
      <c r="P317">
        <f ca="1">IFERROR(IF(COUNTIF(B317,"*云栖松*")&gt;0,50-加速!$L$11,MAX(0,P316-(A317-A316))),0)</f>
        <v>0</v>
      </c>
      <c r="Q317">
        <f ca="1">IF(COUNTIF(IF(AND(配装计算器!$K$30&lt;&gt;"∞",0),INDEX(AU316:CB316,1,$AT$1),INDEX(AU318:CB318,1,$AT$1)),"*云栖松*")=1,P317,0)</f>
        <v>0</v>
      </c>
      <c r="R317">
        <f ca="1">IFERROR(IF(COUNTIF(B317,"*莺鸣柳*")&gt;0,45-加速!$L$9,MAX(0,R316-(A317-A316))),0)</f>
        <v>0</v>
      </c>
      <c r="S317">
        <f ca="1">IF(COUNTIF(IF(AND(配装计算器!$K$30&lt;&gt;"∞",0),INDEX(AU316:CB316,1,$AT$1),INDEX(AU318:CB318,1,$AT$1)),"*莺鸣柳*")=1,R317,0)</f>
        <v>0</v>
      </c>
      <c r="T317">
        <f ca="1" t="shared" si="65"/>
        <v>0</v>
      </c>
      <c r="U317">
        <f ca="1">IF(金蛇,IF(COUNTIF(B317,"*金环戴*")+COUNTIF(B317,"*吹风醒*")&gt;0,IF(A317&lt;=3,7.125-2.625-A317-加速!$L$11,7.125+加速!$K$9-(A317+加速!$L$11-T317)),0),0)+IF(金蛇,IF(COUNTIF(B317,"*千切子裂光*")&gt;0,2+加速!$K$9-(A317+加速!$L$11-T317),0),0)</f>
        <v>0</v>
      </c>
      <c r="V317">
        <f ca="1" t="shared" si="66"/>
        <v>0</v>
      </c>
      <c r="W317">
        <f ca="1" t="shared" si="57"/>
        <v>0</v>
      </c>
      <c r="X317">
        <f ca="1">INDEX(加速!$I$13:$I$21,技能数计算!W317+1)</f>
        <v>0</v>
      </c>
      <c r="Y317">
        <f ca="1" t="shared" si="61"/>
        <v>0.5</v>
      </c>
      <c r="Z317">
        <f ca="1" t="shared" si="62"/>
        <v>0</v>
      </c>
      <c r="AA317">
        <f ca="1">MAX(0,IFERROR(IF(COUNTIF(B317,"*叠*")&gt;0,IF(AC316&lt;3,8-A318+A317,AA316+6.875-A318+A317),AA316-A318+A317),AA316-加速!$L$11))</f>
        <v>0</v>
      </c>
      <c r="AB317" t="e">
        <f ca="1">MAX(0,IF(COUNTIF(IF(AND(配装计算器!$K$30&lt;&gt;"∞",0),INDEX(AU317:CB317,1,$AT$1),INDEX(AU317:CB317,1,$AT$1)),"*叠1*")=1,4*25-加速!$L$11,AB316-A317+A316)-IF(OR(COUNTIF(OFFSET(AT317,0,$AT$1,1,1),"*听雷*")&gt;0,AND(碧归&gt;0,COUNTIF(OFFSET(AT317,0,$AT$1,1,1),"*风来*")&gt;0)),0,1)*1.5)</f>
        <v>#VALUE!</v>
      </c>
      <c r="AC317">
        <f ca="1" t="shared" si="58"/>
        <v>3</v>
      </c>
      <c r="AD317">
        <f ca="1">IF(COUNTIF(IF(AND(配装计算器!$K$30&lt;&gt;"∞",0),INDEX(AU317:CB317,1,$AT$1),INDEX(AU318:CB318,1,$AT$1)),"*叠1*")=1,AB317*0+AE316,0)</f>
        <v>0</v>
      </c>
      <c r="AE317" t="e">
        <f ca="1">IF($AN$11&gt;0,IF(COUNTIF(B318,"*叠1*")&gt;0,50-加速!$H$11,MAX(0,AE316-(A318-A317))),0)</f>
        <v>#VALUE!</v>
      </c>
      <c r="AU317" s="176" t="s">
        <v>2776</v>
      </c>
      <c r="AV317">
        <v>2</v>
      </c>
      <c r="AW317" s="176" t="s">
        <v>2768</v>
      </c>
      <c r="AX317">
        <v>2</v>
      </c>
      <c r="AY317" t="s">
        <v>2768</v>
      </c>
      <c r="AZ317">
        <v>2</v>
      </c>
      <c r="BA317" t="s">
        <v>2768</v>
      </c>
      <c r="BB317">
        <v>1</v>
      </c>
      <c r="BC317" s="176" t="s">
        <v>3026</v>
      </c>
      <c r="BD317">
        <v>2</v>
      </c>
      <c r="BE317" t="s">
        <v>2776</v>
      </c>
      <c r="BF317">
        <v>2</v>
      </c>
      <c r="BG317" t="s">
        <v>2776</v>
      </c>
      <c r="BH317">
        <v>1</v>
      </c>
      <c r="BI317" t="s">
        <v>2794</v>
      </c>
      <c r="BJ317">
        <v>2</v>
      </c>
      <c r="BK317" t="s">
        <v>2776</v>
      </c>
      <c r="BL317">
        <v>2</v>
      </c>
      <c r="BM317" s="176" t="s">
        <v>2768</v>
      </c>
      <c r="BN317">
        <v>2</v>
      </c>
      <c r="BO317" t="s">
        <v>2776</v>
      </c>
      <c r="BP317">
        <v>2</v>
      </c>
      <c r="BQ317" t="s">
        <v>2776</v>
      </c>
      <c r="BR317">
        <v>1</v>
      </c>
      <c r="BS317" s="182" t="s">
        <v>3023</v>
      </c>
      <c r="BT317">
        <v>2</v>
      </c>
      <c r="BU317" s="176" t="s">
        <v>2768</v>
      </c>
      <c r="BV317">
        <v>2</v>
      </c>
      <c r="BW317" s="179" t="str">
        <f>IF(秋,"夕照雷峰","千切子裂光")</f>
        <v>千切子裂光</v>
      </c>
      <c r="BX317" s="179">
        <v>2</v>
      </c>
      <c r="BY317" s="176" t="s">
        <v>2776</v>
      </c>
      <c r="BZ317">
        <v>2</v>
      </c>
      <c r="CA317" s="176" t="s">
        <v>2808</v>
      </c>
      <c r="CB317">
        <v>2</v>
      </c>
    </row>
    <row r="318" spans="1:80">
      <c r="A318" s="178" t="str">
        <f ca="1">IFERROR(IF(A317+加速!$L$11&lt;$AS$1,IF(COUNTIF(B317,"*轻*")&gt;0,A317+加速!$L$9,A317+加速!$L$11)+V317,IF(COUNTIF(INDEX(AU318:CB318,1,$AT$1),"*云景*")+COUNTIF(INDEX(AU318:CB318,1,$AT$1),"*鹤归*")+COUNTIF(INDEX(AU318:CB318,1,$AT$1),"*听雷*")&gt;0,A317+加速!$L$11,"")),"")</f>
        <v/>
      </c>
      <c r="B318" s="167" t="str">
        <f ca="1">IF(A318&lt;&gt;"",IF(AND(A318+加速!$L$11&gt;$AS$1,IF(AND(配装计算器!$K$30&lt;&gt;"∞",0),"梦泉虎跑-轻",INDEX(AU318:CB318,1,$AT$1))="云栖松"),"夕照雷峰",IF(AND(配装计算器!$K$30&lt;&gt;"∞",0),"梦泉虎跑-轻",INDEX(AU318:CB318,1,$AT$1))),"")</f>
        <v/>
      </c>
      <c r="C318" t="str">
        <f ca="1" t="shared" si="64"/>
        <v/>
      </c>
      <c r="D318" t="str">
        <f ca="1">IF(B318&lt;&gt;"",IF(C317&lt;=加速!$L$11*(1-E318),0,1),"")</f>
        <v/>
      </c>
      <c r="E318">
        <f ca="1" t="shared" si="59"/>
        <v>1</v>
      </c>
      <c r="G318" t="str">
        <f ca="1" t="shared" si="60"/>
        <v/>
      </c>
      <c r="H318" t="str">
        <f ca="1">IF(B318&lt;&gt;"",IF(AND(COUNTIF(B317,"*轻*莺鸣柳*")&gt;0,COUNTIF(B318,"*轻*")&lt;1),MAX(0,15+I317-(A318-A317)+COUNTIF(B317,"*平湖*")*0),IF(AND(E318=0,MAX(0,H317-(A318-A317))&lt;=加速!$H$11),0,MAX(0,H317-(A318-A317)))),"")</f>
        <v/>
      </c>
      <c r="I318" t="str">
        <f ca="1" t="shared" si="67"/>
        <v/>
      </c>
      <c r="J318" t="str">
        <f ca="1" t="shared" si="68"/>
        <v/>
      </c>
      <c r="K318" t="str">
        <f ca="1">IF(A318&lt;&gt;"",IF(AND(配装计算器!$K$30&lt;&gt;"∞",0),2,INDEX(AU318:CB318,1,$AT$2)),"")</f>
        <v/>
      </c>
      <c r="L318">
        <f ca="1">IFERROR(IF(AND(COUNTIF(B318,"*-峰插*"),技能数据库!$M$72&gt;0),0,IF(COUNTIF(B318,"*鹤归*")&gt;0,16-加速!$L$11,MAX(0,L317-(A318-A317)))),0)</f>
        <v>0</v>
      </c>
      <c r="M318">
        <f ca="1">IF(COUNTIF(IF(AND(配装计算器!$K$30&lt;&gt;"∞",0),INDEX(AU317:CB317,1,$AT$1),INDEX(AU319:CB319,1,$AT$1)),"*鹤归*")=1,L318,0)</f>
        <v>0</v>
      </c>
      <c r="N318">
        <f ca="1">IFERROR(IF(AND(COUNTIF(B318,"*-峰插*"),技能数据库!$M$72&gt;0),0,IF(COUNTIF(B318,"*云飞*")&gt;0,4-COUNTIF(B318,"*玉山揽云*")*4--COUNTIF(B318,"*烟流暮景*")*4-COUNTIF(B318,"*云景*")*加速!$L$11-IF(J318&gt;0,2,0),MAX(0,N317-(A318-A317)-IF(J318&gt;0,2,0)))),0)</f>
        <v>0</v>
      </c>
      <c r="O318">
        <f ca="1">IF(AND(COUNTIF(IF(AND(配装计算器!$K$30&lt;&gt;"∞",0),INDEX(AU317:CB317,1,$AT$1),INDEX(AU319:CB319,1,$AT$1)),"*云飞*")=1,COUNTIF(IF(AND(配装计算器!$K$30&lt;&gt;"∞",0),INDEX(AU317:CB317,1,$AT$1),INDEX(AU319:CB319,1,$AT$1)),"*玉山*")=0),N318,0)</f>
        <v>0</v>
      </c>
      <c r="P318">
        <f ca="1">IFERROR(IF(COUNTIF(B318,"*云栖松*")&gt;0,50-加速!$L$11,MAX(0,P317-(A318-A317))),0)</f>
        <v>0</v>
      </c>
      <c r="Q318">
        <f ca="1">IF(COUNTIF(IF(AND(配装计算器!$K$30&lt;&gt;"∞",0),INDEX(AU317:CB317,1,$AT$1),INDEX(AU319:CB319,1,$AT$1)),"*云栖松*")=1,P318,0)</f>
        <v>0</v>
      </c>
      <c r="R318">
        <f ca="1">IFERROR(IF(COUNTIF(B318,"*莺鸣柳*")&gt;0,45-加速!$L$9,MAX(0,R317-(A318-A317))),0)</f>
        <v>0</v>
      </c>
      <c r="S318">
        <f ca="1">IF(COUNTIF(IF(AND(配装计算器!$K$30&lt;&gt;"∞",0),INDEX(AU317:CB317,1,$AT$1),INDEX(AU319:CB319,1,$AT$1)),"*莺鸣柳*")=1,R318,0)</f>
        <v>0</v>
      </c>
      <c r="T318">
        <f ca="1" t="shared" si="65"/>
        <v>0</v>
      </c>
      <c r="U318">
        <f ca="1">IF(金蛇,IF(COUNTIF(B318,"*金环戴*")+COUNTIF(B318,"*吹风醒*")&gt;0,IF(A318&lt;=3,7.125-2.625-A318-加速!$L$11,7.125+加速!$K$9-(A318+加速!$L$11-T318)),0),0)+IF(金蛇,IF(COUNTIF(B318,"*千切子裂光*")&gt;0,2+加速!$K$9-(A318+加速!$L$11-T318),0),0)</f>
        <v>0</v>
      </c>
      <c r="V318">
        <f ca="1" t="shared" si="66"/>
        <v>0</v>
      </c>
      <c r="W318">
        <f ca="1" t="shared" si="57"/>
        <v>0</v>
      </c>
      <c r="X318">
        <f ca="1">INDEX(加速!$I$13:$I$21,技能数计算!W318+1)</f>
        <v>0</v>
      </c>
      <c r="Y318">
        <f ca="1" t="shared" si="61"/>
        <v>0.5</v>
      </c>
      <c r="Z318">
        <f ca="1" t="shared" si="62"/>
        <v>0</v>
      </c>
      <c r="AA318">
        <f ca="1">MAX(0,IFERROR(IF(COUNTIF(B318,"*叠*")&gt;0,IF(AC317&lt;3,8-A319+A318,AA317+6.875-A319+A318),AA317-A319+A318),AA317-加速!$L$11))</f>
        <v>0</v>
      </c>
      <c r="AB318" t="e">
        <f ca="1">MAX(0,IF(COUNTIF(IF(AND(配装计算器!$K$30&lt;&gt;"∞",0),INDEX(AU318:CB318,1,$AT$1),INDEX(AU318:CB318,1,$AT$1)),"*叠1*")=1,4*25-加速!$L$11,AB317-A318+A317)-IF(OR(COUNTIF(OFFSET(AT318,0,$AT$1,1,1),"*听雷*")&gt;0,AND(碧归&gt;0,COUNTIF(OFFSET(AT318,0,$AT$1,1,1),"*风来*")&gt;0)),0,1)*1.5)</f>
        <v>#VALUE!</v>
      </c>
      <c r="AC318">
        <f ca="1" t="shared" si="58"/>
        <v>3</v>
      </c>
      <c r="AD318">
        <f ca="1">IF(COUNTIF(IF(AND(配装计算器!$K$30&lt;&gt;"∞",0),INDEX(AU318:CB318,1,$AT$1),INDEX(AU319:CB319,1,$AT$1)),"*叠1*")=1,AB318*0+AE317,0)</f>
        <v>0</v>
      </c>
      <c r="AE318" t="e">
        <f ca="1">IF($AN$11&gt;0,IF(COUNTIF(B319,"*叠1*")&gt;0,50-加速!$H$11,MAX(0,AE317-(A319-A318))),0)</f>
        <v>#VALUE!</v>
      </c>
      <c r="AU318" t="s">
        <v>2768</v>
      </c>
      <c r="AV318">
        <v>2</v>
      </c>
      <c r="AW318" s="176" t="s">
        <v>2808</v>
      </c>
      <c r="AX318">
        <v>2</v>
      </c>
      <c r="AY318" t="s">
        <v>2776</v>
      </c>
      <c r="AZ318">
        <v>1</v>
      </c>
      <c r="BA318" t="s">
        <v>2768</v>
      </c>
      <c r="BB318">
        <v>0</v>
      </c>
      <c r="BC318" s="176" t="s">
        <v>3026</v>
      </c>
      <c r="BD318">
        <v>2</v>
      </c>
      <c r="BE318" t="s">
        <v>2768</v>
      </c>
      <c r="BF318">
        <v>2</v>
      </c>
      <c r="BG318" t="s">
        <v>2768</v>
      </c>
      <c r="BH318">
        <v>0</v>
      </c>
      <c r="BI318" t="s">
        <v>2776</v>
      </c>
      <c r="BJ318">
        <v>2</v>
      </c>
      <c r="BK318" t="s">
        <v>2768</v>
      </c>
      <c r="BL318">
        <v>1</v>
      </c>
      <c r="BM318" s="176" t="s">
        <v>2776</v>
      </c>
      <c r="BN318">
        <v>2</v>
      </c>
      <c r="BO318" s="176" t="s">
        <v>2794</v>
      </c>
      <c r="BP318">
        <v>2</v>
      </c>
      <c r="BQ318" t="s">
        <v>3055</v>
      </c>
      <c r="BR318">
        <v>2</v>
      </c>
      <c r="BS318" s="182" t="s">
        <v>2768</v>
      </c>
      <c r="BT318">
        <v>2</v>
      </c>
      <c r="BU318" s="176" t="s">
        <v>2776</v>
      </c>
      <c r="BV318">
        <v>2</v>
      </c>
      <c r="BW318" s="179" t="s">
        <v>2768</v>
      </c>
      <c r="BX318" s="179">
        <v>2</v>
      </c>
      <c r="BY318" s="176" t="s">
        <v>2768</v>
      </c>
      <c r="BZ318">
        <v>2</v>
      </c>
      <c r="CA318" t="str">
        <f>IF(山重水复,"风来吴山","夕照雷峰")</f>
        <v>夕照雷峰</v>
      </c>
      <c r="CB318">
        <v>2</v>
      </c>
    </row>
    <row r="319" spans="1:80">
      <c r="A319" s="178" t="str">
        <f ca="1">IFERROR(IF(A318+加速!$L$11&lt;$AS$1,IF(COUNTIF(B318,"*轻*")&gt;0,A318+加速!$L$9,A318+加速!$L$11)+V318,IF(COUNTIF(INDEX(AU319:CB319,1,$AT$1),"*云景*")+COUNTIF(INDEX(AU319:CB319,1,$AT$1),"*鹤归*")+COUNTIF(INDEX(AU319:CB319,1,$AT$1),"*听雷*")&gt;0,A318+加速!$L$11,"")),"")</f>
        <v/>
      </c>
      <c r="B319" s="167" t="str">
        <f ca="1">IF(A319&lt;&gt;"",IF(AND(A319+加速!$L$11&gt;$AS$1,IF(AND(配装计算器!$K$30&lt;&gt;"∞",0),"梦泉虎跑-轻",INDEX(AU319:CB319,1,$AT$1))="云栖松"),"夕照雷峰",IF(AND(配装计算器!$K$30&lt;&gt;"∞",0),"梦泉虎跑-轻",INDEX(AU319:CB319,1,$AT$1))),"")</f>
        <v/>
      </c>
      <c r="C319" t="str">
        <f ca="1" t="shared" si="64"/>
        <v/>
      </c>
      <c r="D319" t="str">
        <f ca="1">IF(B319&lt;&gt;"",IF(C318&lt;=加速!$L$11*(1-E319),0,1),"")</f>
        <v/>
      </c>
      <c r="E319">
        <f ca="1" t="shared" si="59"/>
        <v>1</v>
      </c>
      <c r="G319" t="str">
        <f ca="1" t="shared" si="60"/>
        <v/>
      </c>
      <c r="H319" t="str">
        <f ca="1">IF(B319&lt;&gt;"",IF(AND(COUNTIF(B318,"*轻*莺鸣柳*")&gt;0,COUNTIF(B319,"*轻*")&lt;1),MAX(0,15+I318-(A319-A318)+COUNTIF(B318,"*平湖*")*0),IF(AND(E319=0,MAX(0,H318-(A319-A318))&lt;=加速!$H$11),0,MAX(0,H318-(A319-A318)))),"")</f>
        <v/>
      </c>
      <c r="I319" t="str">
        <f ca="1" t="shared" si="67"/>
        <v/>
      </c>
      <c r="J319" t="str">
        <f ca="1" t="shared" si="68"/>
        <v/>
      </c>
      <c r="K319" t="str">
        <f ca="1">IF(A319&lt;&gt;"",IF(AND(配装计算器!$K$30&lt;&gt;"∞",0),2,INDEX(AU319:CB319,1,$AT$2)),"")</f>
        <v/>
      </c>
      <c r="L319">
        <f ca="1">IFERROR(IF(AND(COUNTIF(B319,"*-峰插*"),技能数据库!$M$72&gt;0),0,IF(COUNTIF(B319,"*鹤归*")&gt;0,16-加速!$L$11,MAX(0,L318-(A319-A318)))),0)</f>
        <v>0</v>
      </c>
      <c r="M319">
        <f ca="1">IF(COUNTIF(IF(AND(配装计算器!$K$30&lt;&gt;"∞",0),INDEX(AU318:CB318,1,$AT$1),INDEX(AU320:CB320,1,$AT$1)),"*鹤归*")=1,L319,0)</f>
        <v>0</v>
      </c>
      <c r="N319">
        <f ca="1">IFERROR(IF(AND(COUNTIF(B319,"*-峰插*"),技能数据库!$M$72&gt;0),0,IF(COUNTIF(B319,"*云飞*")&gt;0,4-COUNTIF(B319,"*玉山揽云*")*4--COUNTIF(B319,"*烟流暮景*")*4-COUNTIF(B319,"*云景*")*加速!$L$11-IF(J319&gt;0,2,0),MAX(0,N318-(A319-A318)-IF(J319&gt;0,2,0)))),0)</f>
        <v>0</v>
      </c>
      <c r="O319">
        <f ca="1">IF(AND(COUNTIF(IF(AND(配装计算器!$K$30&lt;&gt;"∞",0),INDEX(AU318:CB318,1,$AT$1),INDEX(AU320:CB320,1,$AT$1)),"*云飞*")=1,COUNTIF(IF(AND(配装计算器!$K$30&lt;&gt;"∞",0),INDEX(AU318:CB318,1,$AT$1),INDEX(AU320:CB320,1,$AT$1)),"*玉山*")=0),N319,0)</f>
        <v>0</v>
      </c>
      <c r="P319">
        <f ca="1">IFERROR(IF(COUNTIF(B319,"*云栖松*")&gt;0,50-加速!$L$11,MAX(0,P318-(A319-A318))),0)</f>
        <v>0</v>
      </c>
      <c r="Q319">
        <f ca="1">IF(COUNTIF(IF(AND(配装计算器!$K$30&lt;&gt;"∞",0),INDEX(AU318:CB318,1,$AT$1),INDEX(AU320:CB320,1,$AT$1)),"*云栖松*")=1,P319,0)</f>
        <v>0</v>
      </c>
      <c r="R319">
        <f ca="1">IFERROR(IF(COUNTIF(B319,"*莺鸣柳*")&gt;0,45-加速!$L$9,MAX(0,R318-(A319-A318))),0)</f>
        <v>0</v>
      </c>
      <c r="S319">
        <f ca="1">IF(COUNTIF(IF(AND(配装计算器!$K$30&lt;&gt;"∞",0),INDEX(AU318:CB318,1,$AT$1),INDEX(AU320:CB320,1,$AT$1)),"*莺鸣柳*")=1,R319,0)</f>
        <v>0</v>
      </c>
      <c r="T319">
        <f ca="1" t="shared" si="65"/>
        <v>0</v>
      </c>
      <c r="U319">
        <f ca="1">IF(金蛇,IF(COUNTIF(B319,"*金环戴*")+COUNTIF(B319,"*吹风醒*")&gt;0,IF(A319&lt;=3,7.125-2.625-A319-加速!$L$11,7.125+加速!$K$9-(A319+加速!$L$11-T319)),0),0)+IF(金蛇,IF(COUNTIF(B319,"*千切子裂光*")&gt;0,2+加速!$K$9-(A319+加速!$L$11-T319),0),0)</f>
        <v>0</v>
      </c>
      <c r="V319">
        <f ca="1" t="shared" si="66"/>
        <v>0</v>
      </c>
      <c r="W319">
        <f ca="1" t="shared" si="57"/>
        <v>0</v>
      </c>
      <c r="X319">
        <f ca="1">INDEX(加速!$I$13:$I$21,技能数计算!W319+1)</f>
        <v>0</v>
      </c>
      <c r="Y319">
        <f ca="1" t="shared" si="61"/>
        <v>0.5</v>
      </c>
      <c r="Z319">
        <f ca="1" t="shared" si="62"/>
        <v>0</v>
      </c>
      <c r="AA319">
        <f ca="1">MAX(0,IFERROR(IF(COUNTIF(B319,"*叠*")&gt;0,IF(AC318&lt;3,8-A320+A319,AA318+6.875-A320+A319),AA318-A320+A319),AA318-加速!$L$11))</f>
        <v>0</v>
      </c>
      <c r="AB319" t="e">
        <f ca="1">MAX(0,IF(COUNTIF(IF(AND(配装计算器!$K$30&lt;&gt;"∞",0),INDEX(AU319:CB319,1,$AT$1),INDEX(AU319:CB319,1,$AT$1)),"*叠1*")=1,4*25-加速!$L$11,AB318-A319+A318)-IF(OR(COUNTIF(OFFSET(AT319,0,$AT$1,1,1),"*听雷*")&gt;0,AND(碧归&gt;0,COUNTIF(OFFSET(AT319,0,$AT$1,1,1),"*风来*")&gt;0)),0,1)*1.5)</f>
        <v>#VALUE!</v>
      </c>
      <c r="AC319">
        <f ca="1" t="shared" si="58"/>
        <v>3</v>
      </c>
      <c r="AD319">
        <f ca="1">IF(COUNTIF(IF(AND(配装计算器!$K$30&lt;&gt;"∞",0),INDEX(AU319:CB319,1,$AT$1),INDEX(AU320:CB320,1,$AT$1)),"*叠1*")=1,AB319*0+AE318,0)</f>
        <v>0</v>
      </c>
      <c r="AE319" t="e">
        <f ca="1">IF($AN$11&gt;0,IF(COUNTIF(B320,"*叠1*")&gt;0,50-加速!$H$11,MAX(0,AE318-(A320-A319))),0)</f>
        <v>#VALUE!</v>
      </c>
      <c r="AU319" t="str">
        <f>IF($AN$11=1,"云飞玉皇-玉山揽云","夕照雷峰")</f>
        <v>云飞玉皇-玉山揽云</v>
      </c>
      <c r="AV319">
        <v>2</v>
      </c>
      <c r="AW319" t="s">
        <v>2768</v>
      </c>
      <c r="AX319">
        <v>2</v>
      </c>
      <c r="AY319" t="s">
        <v>2768</v>
      </c>
      <c r="AZ319">
        <v>1</v>
      </c>
      <c r="BA319" t="s">
        <v>2722</v>
      </c>
      <c r="BB319">
        <v>0</v>
      </c>
      <c r="BC319" s="176" t="s">
        <v>3026</v>
      </c>
      <c r="BD319">
        <v>2</v>
      </c>
      <c r="BE319" t="s">
        <v>2776</v>
      </c>
      <c r="BF319">
        <v>2</v>
      </c>
      <c r="BG319" t="s">
        <v>2768</v>
      </c>
      <c r="BH319">
        <v>0</v>
      </c>
      <c r="BI319" t="s">
        <v>2768</v>
      </c>
      <c r="BJ319">
        <v>2</v>
      </c>
      <c r="BK319" t="s">
        <v>2768</v>
      </c>
      <c r="BL319">
        <v>1</v>
      </c>
      <c r="BM319" s="176" t="s">
        <v>2768</v>
      </c>
      <c r="BN319">
        <v>2</v>
      </c>
      <c r="BO319" s="176" t="s">
        <v>2768</v>
      </c>
      <c r="BP319">
        <v>2</v>
      </c>
      <c r="BQ319" t="s">
        <v>2768</v>
      </c>
      <c r="BR319">
        <v>2</v>
      </c>
      <c r="BS319" s="182" t="s">
        <v>2776</v>
      </c>
      <c r="BT319">
        <v>2</v>
      </c>
      <c r="BU319" t="s">
        <v>2768</v>
      </c>
      <c r="BV319">
        <v>1</v>
      </c>
      <c r="BW319" s="179" t="s">
        <v>2776</v>
      </c>
      <c r="BX319" s="179">
        <v>2</v>
      </c>
      <c r="BY319" s="176" t="s">
        <v>2776</v>
      </c>
      <c r="BZ319">
        <v>2</v>
      </c>
      <c r="CA319" t="str">
        <f>IF(0,"云飞玉皇-玉山揽云","云飞玉皇")</f>
        <v>云飞玉皇</v>
      </c>
      <c r="CB319">
        <v>2</v>
      </c>
    </row>
    <row r="320" spans="1:80">
      <c r="A320" s="178" t="str">
        <f ca="1">IFERROR(IF(A319+加速!$L$11&lt;$AS$1,IF(COUNTIF(B319,"*轻*")&gt;0,A319+加速!$L$9,A319+加速!$L$11)+V319,IF(COUNTIF(INDEX(AU320:CB320,1,$AT$1),"*云景*")+COUNTIF(INDEX(AU320:CB320,1,$AT$1),"*鹤归*")+COUNTIF(INDEX(AU320:CB320,1,$AT$1),"*听雷*")&gt;0,A319+加速!$L$11,"")),"")</f>
        <v/>
      </c>
      <c r="B320" s="167" t="str">
        <f ca="1">IF(A320&lt;&gt;"",IF(AND(A320+加速!$L$11&gt;$AS$1,IF(AND(配装计算器!$K$30&lt;&gt;"∞",0),"梦泉虎跑-轻",INDEX(AU320:CB320,1,$AT$1))="云栖松"),"夕照雷峰",IF(AND(配装计算器!$K$30&lt;&gt;"∞",0),"梦泉虎跑-轻",INDEX(AU320:CB320,1,$AT$1))),"")</f>
        <v/>
      </c>
      <c r="C320" t="str">
        <f ca="1" t="shared" si="64"/>
        <v/>
      </c>
      <c r="D320" t="str">
        <f ca="1">IF(B320&lt;&gt;"",IF(C319&lt;=加速!$L$11*(1-E320),0,1),"")</f>
        <v/>
      </c>
      <c r="E320">
        <f ca="1" t="shared" si="59"/>
        <v>1</v>
      </c>
      <c r="G320" t="str">
        <f ca="1" t="shared" si="60"/>
        <v/>
      </c>
      <c r="H320" t="str">
        <f ca="1">IF(B320&lt;&gt;"",IF(AND(COUNTIF(B319,"*轻*莺鸣柳*")&gt;0,COUNTIF(B320,"*轻*")&lt;1),MAX(0,15+I319-(A320-A319)+COUNTIF(B319,"*平湖*")*0),IF(AND(E320=0,MAX(0,H319-(A320-A319))&lt;=加速!$H$11),0,MAX(0,H319-(A320-A319)))),"")</f>
        <v/>
      </c>
      <c r="I320" t="str">
        <f ca="1" t="shared" si="67"/>
        <v/>
      </c>
      <c r="J320" t="str">
        <f ca="1" t="shared" si="68"/>
        <v/>
      </c>
      <c r="K320" t="str">
        <f ca="1">IF(A320&lt;&gt;"",IF(AND(配装计算器!$K$30&lt;&gt;"∞",0),2,INDEX(AU320:CB320,1,$AT$2)),"")</f>
        <v/>
      </c>
      <c r="L320">
        <f ca="1">IFERROR(IF(AND(COUNTIF(B320,"*-峰插*"),技能数据库!$M$72&gt;0),0,IF(COUNTIF(B320,"*鹤归*")&gt;0,16-加速!$L$11,MAX(0,L319-(A320-A319)))),0)</f>
        <v>0</v>
      </c>
      <c r="M320">
        <f ca="1">IF(COUNTIF(IF(AND(配装计算器!$K$30&lt;&gt;"∞",0),INDEX(AU319:CB319,1,$AT$1),INDEX(AU321:CB321,1,$AT$1)),"*鹤归*")=1,L320,0)</f>
        <v>0</v>
      </c>
      <c r="N320">
        <f ca="1">IFERROR(IF(AND(COUNTIF(B320,"*-峰插*"),技能数据库!$M$72&gt;0),0,IF(COUNTIF(B320,"*云飞*")&gt;0,4-COUNTIF(B320,"*玉山揽云*")*4--COUNTIF(B320,"*烟流暮景*")*4-COUNTIF(B320,"*云景*")*加速!$L$11-IF(J320&gt;0,2,0),MAX(0,N319-(A320-A319)-IF(J320&gt;0,2,0)))),0)</f>
        <v>0</v>
      </c>
      <c r="O320">
        <f ca="1">IF(AND(COUNTIF(IF(AND(配装计算器!$K$30&lt;&gt;"∞",0),INDEX(AU319:CB319,1,$AT$1),INDEX(AU321:CB321,1,$AT$1)),"*云飞*")=1,COUNTIF(IF(AND(配装计算器!$K$30&lt;&gt;"∞",0),INDEX(AU319:CB319,1,$AT$1),INDEX(AU321:CB321,1,$AT$1)),"*玉山*")=0),N320,0)</f>
        <v>0</v>
      </c>
      <c r="P320">
        <f ca="1">IFERROR(IF(COUNTIF(B320,"*云栖松*")&gt;0,50-加速!$L$11,MAX(0,P319-(A320-A319))),0)</f>
        <v>0</v>
      </c>
      <c r="Q320">
        <f ca="1">IF(COUNTIF(IF(AND(配装计算器!$K$30&lt;&gt;"∞",0),INDEX(AU319:CB319,1,$AT$1),INDEX(AU321:CB321,1,$AT$1)),"*云栖松*")=1,P320,0)</f>
        <v>0</v>
      </c>
      <c r="R320">
        <f ca="1">IFERROR(IF(COUNTIF(B320,"*莺鸣柳*")&gt;0,45-加速!$L$9,MAX(0,R319-(A320-A319))),0)</f>
        <v>0</v>
      </c>
      <c r="S320">
        <f ca="1">IF(COUNTIF(IF(AND(配装计算器!$K$30&lt;&gt;"∞",0),INDEX(AU319:CB319,1,$AT$1),INDEX(AU321:CB321,1,$AT$1)),"*莺鸣柳*")=1,R320,0)</f>
        <v>0</v>
      </c>
      <c r="T320">
        <f ca="1" t="shared" si="65"/>
        <v>0</v>
      </c>
      <c r="U320">
        <f ca="1">IF(金蛇,IF(COUNTIF(B320,"*金环戴*")+COUNTIF(B320,"*吹风醒*")&gt;0,IF(A320&lt;=3,7.125-2.625-A320-加速!$L$11,7.125+加速!$K$9-(A320+加速!$L$11-T320)),0),0)+IF(金蛇,IF(COUNTIF(B320,"*千切子裂光*")&gt;0,2+加速!$K$9-(A320+加速!$L$11-T320),0),0)</f>
        <v>0</v>
      </c>
      <c r="V320">
        <f ca="1" t="shared" si="66"/>
        <v>0</v>
      </c>
      <c r="W320">
        <f ca="1" t="shared" si="57"/>
        <v>0</v>
      </c>
      <c r="X320">
        <f ca="1">INDEX(加速!$I$13:$I$21,技能数计算!W320+1)</f>
        <v>0</v>
      </c>
      <c r="Y320">
        <f ca="1" t="shared" si="61"/>
        <v>0.5</v>
      </c>
      <c r="Z320">
        <f ca="1" t="shared" si="62"/>
        <v>0</v>
      </c>
      <c r="AA320">
        <f ca="1">MAX(0,IFERROR(IF(COUNTIF(B320,"*叠*")&gt;0,IF(AC319&lt;3,8-A321+A320,AA319+6.875-A321+A320),AA319-A321+A320),AA319-加速!$L$11))</f>
        <v>0</v>
      </c>
      <c r="AB320" t="e">
        <f ca="1">MAX(0,IF(COUNTIF(IF(AND(配装计算器!$K$30&lt;&gt;"∞",0),INDEX(AU320:CB320,1,$AT$1),INDEX(AU320:CB320,1,$AT$1)),"*叠1*")=1,4*25-加速!$L$11,AB319-A320+A319)-IF(OR(COUNTIF(OFFSET(AT320,0,$AT$1,1,1),"*听雷*")&gt;0,AND(碧归&gt;0,COUNTIF(OFFSET(AT320,0,$AT$1,1,1),"*风来*")&gt;0)),0,1)*1.5)</f>
        <v>#VALUE!</v>
      </c>
      <c r="AC320">
        <f ca="1" t="shared" si="58"/>
        <v>3</v>
      </c>
      <c r="AD320">
        <f ca="1">IF(COUNTIF(IF(AND(配装计算器!$K$30&lt;&gt;"∞",0),INDEX(AU320:CB320,1,$AT$1),INDEX(AU321:CB321,1,$AT$1)),"*叠1*")=1,AB320*0+AE319,0)</f>
        <v>0</v>
      </c>
      <c r="AE320" t="e">
        <f ca="1">IF($AN$11&gt;0,IF(COUNTIF(B321,"*叠1*")&gt;0,50-加速!$H$11,MAX(0,AE319-(A321-A320))),0)</f>
        <v>#VALUE!</v>
      </c>
      <c r="AU320" t="str">
        <f>IF($AN$11=1,"云飞玉皇-玉山揽云","云飞玉皇")</f>
        <v>云飞玉皇-玉山揽云</v>
      </c>
      <c r="AV320">
        <v>2</v>
      </c>
      <c r="AW320" t="s">
        <v>2776</v>
      </c>
      <c r="AX320">
        <v>2</v>
      </c>
      <c r="AY320" t="s">
        <v>2768</v>
      </c>
      <c r="AZ320">
        <v>0</v>
      </c>
      <c r="BA320" t="s">
        <v>2776</v>
      </c>
      <c r="BB320">
        <v>2</v>
      </c>
      <c r="BC320" s="176" t="s">
        <v>3026</v>
      </c>
      <c r="BD320">
        <v>2</v>
      </c>
      <c r="BE320" t="s">
        <v>2768</v>
      </c>
      <c r="BF320">
        <v>2</v>
      </c>
      <c r="BG320" t="s">
        <v>2776</v>
      </c>
      <c r="BH320">
        <v>0</v>
      </c>
      <c r="BI320" t="s">
        <v>2776</v>
      </c>
      <c r="BJ320">
        <v>2</v>
      </c>
      <c r="BK320" t="s">
        <v>2768</v>
      </c>
      <c r="BL320">
        <v>0</v>
      </c>
      <c r="BM320" s="176" t="s">
        <v>2808</v>
      </c>
      <c r="BN320">
        <v>2</v>
      </c>
      <c r="BO320" s="176" t="s">
        <v>2776</v>
      </c>
      <c r="BP320">
        <v>2</v>
      </c>
      <c r="BQ320" t="s">
        <v>2776</v>
      </c>
      <c r="BR320">
        <v>2</v>
      </c>
      <c r="BS320" s="182" t="s">
        <v>2768</v>
      </c>
      <c r="BT320">
        <v>2</v>
      </c>
      <c r="BU320" s="176" t="s">
        <v>2768</v>
      </c>
      <c r="BV320">
        <v>1</v>
      </c>
      <c r="BW320" s="179" t="s">
        <v>2768</v>
      </c>
      <c r="BX320" s="179">
        <v>2</v>
      </c>
      <c r="BY320" s="176" t="s">
        <v>2768</v>
      </c>
      <c r="BZ320">
        <v>2</v>
      </c>
      <c r="CA320" s="180" t="str">
        <f>IF(0,"云飞玉皇-玉山揽云","夕照雷峰")</f>
        <v>夕照雷峰</v>
      </c>
      <c r="CB320">
        <v>2</v>
      </c>
    </row>
    <row r="321" spans="1:80">
      <c r="A321" s="178" t="str">
        <f ca="1">IFERROR(IF(A320+加速!$L$11&lt;$AS$1,IF(COUNTIF(B320,"*轻*")&gt;0,A320+加速!$L$9,A320+加速!$L$11)+V320,IF(COUNTIF(INDEX(AU321:CB321,1,$AT$1),"*云景*")+COUNTIF(INDEX(AU321:CB321,1,$AT$1),"*鹤归*")+COUNTIF(INDEX(AU321:CB321,1,$AT$1),"*听雷*")&gt;0,A320+加速!$L$11,"")),"")</f>
        <v/>
      </c>
      <c r="B321" s="167" t="str">
        <f ca="1">IF(A321&lt;&gt;"",IF(AND(A321+加速!$L$11&gt;$AS$1,IF(AND(配装计算器!$K$30&lt;&gt;"∞",0),"梦泉虎跑-轻",INDEX(AU321:CB321,1,$AT$1))="云栖松"),"夕照雷峰",IF(AND(配装计算器!$K$30&lt;&gt;"∞",0),"梦泉虎跑-轻",INDEX(AU321:CB321,1,$AT$1))),"")</f>
        <v/>
      </c>
      <c r="C321" t="str">
        <f ca="1" t="shared" si="64"/>
        <v/>
      </c>
      <c r="D321" t="str">
        <f ca="1">IF(B321&lt;&gt;"",IF(C320&lt;=加速!$L$11*(1-E321),0,1),"")</f>
        <v/>
      </c>
      <c r="E321">
        <f ca="1" t="shared" si="59"/>
        <v>1</v>
      </c>
      <c r="G321" t="str">
        <f ca="1" t="shared" si="60"/>
        <v/>
      </c>
      <c r="H321" t="str">
        <f ca="1">IF(B321&lt;&gt;"",IF(AND(COUNTIF(B320,"*轻*莺鸣柳*")&gt;0,COUNTIF(B321,"*轻*")&lt;1),MAX(0,15+I320-(A321-A320)+COUNTIF(B320,"*平湖*")*0),IF(AND(E321=0,MAX(0,H320-(A321-A320))&lt;=加速!$H$11),0,MAX(0,H320-(A321-A320)))),"")</f>
        <v/>
      </c>
      <c r="I321" t="str">
        <f ca="1" t="shared" si="67"/>
        <v/>
      </c>
      <c r="J321" t="str">
        <f ca="1" t="shared" si="68"/>
        <v/>
      </c>
      <c r="K321" t="str">
        <f ca="1">IF(A321&lt;&gt;"",IF(AND(配装计算器!$K$30&lt;&gt;"∞",0),2,INDEX(AU321:CB321,1,$AT$2)),"")</f>
        <v/>
      </c>
      <c r="L321">
        <f ca="1">IFERROR(IF(AND(COUNTIF(B321,"*-峰插*"),技能数据库!$M$72&gt;0),0,IF(COUNTIF(B321,"*鹤归*")&gt;0,16-加速!$L$11,MAX(0,L320-(A321-A320)))),0)</f>
        <v>0</v>
      </c>
      <c r="M321">
        <f ca="1">IF(COUNTIF(IF(AND(配装计算器!$K$30&lt;&gt;"∞",0),INDEX(AU320:CB320,1,$AT$1),INDEX(AU322:CB322,1,$AT$1)),"*鹤归*")=1,L321,0)</f>
        <v>0</v>
      </c>
      <c r="N321">
        <f ca="1">IFERROR(IF(AND(COUNTIF(B321,"*-峰插*"),技能数据库!$M$72&gt;0),0,IF(COUNTIF(B321,"*云飞*")&gt;0,4-COUNTIF(B321,"*玉山揽云*")*4--COUNTIF(B321,"*烟流暮景*")*4-COUNTIF(B321,"*云景*")*加速!$L$11-IF(J321&gt;0,2,0),MAX(0,N320-(A321-A320)-IF(J321&gt;0,2,0)))),0)</f>
        <v>0</v>
      </c>
      <c r="O321">
        <f ca="1">IF(AND(COUNTIF(IF(AND(配装计算器!$K$30&lt;&gt;"∞",0),INDEX(AU320:CB320,1,$AT$1),INDEX(AU322:CB322,1,$AT$1)),"*云飞*")=1,COUNTIF(IF(AND(配装计算器!$K$30&lt;&gt;"∞",0),INDEX(AU320:CB320,1,$AT$1),INDEX(AU322:CB322,1,$AT$1)),"*玉山*")=0),N321,0)</f>
        <v>0</v>
      </c>
      <c r="P321">
        <f ca="1">IFERROR(IF(COUNTIF(B321,"*云栖松*")&gt;0,50-加速!$L$11,MAX(0,P320-(A321-A320))),0)</f>
        <v>0</v>
      </c>
      <c r="Q321">
        <f ca="1">IF(COUNTIF(IF(AND(配装计算器!$K$30&lt;&gt;"∞",0),INDEX(AU320:CB320,1,$AT$1),INDEX(AU322:CB322,1,$AT$1)),"*云栖松*")=1,P321,0)</f>
        <v>0</v>
      </c>
      <c r="R321">
        <f ca="1">IFERROR(IF(COUNTIF(B321,"*莺鸣柳*")&gt;0,45-加速!$L$9,MAX(0,R320-(A321-A320))),0)</f>
        <v>0</v>
      </c>
      <c r="S321">
        <f ca="1">IF(COUNTIF(IF(AND(配装计算器!$K$30&lt;&gt;"∞",0),INDEX(AU320:CB320,1,$AT$1),INDEX(AU322:CB322,1,$AT$1)),"*莺鸣柳*")=1,R321,0)</f>
        <v>0</v>
      </c>
      <c r="T321">
        <f ca="1" t="shared" si="65"/>
        <v>0</v>
      </c>
      <c r="U321">
        <f ca="1">IF(金蛇,IF(COUNTIF(B321,"*金环戴*")+COUNTIF(B321,"*吹风醒*")&gt;0,IF(A321&lt;=3,7.125-2.625-A321-加速!$L$11,7.125+加速!$K$9-(A321+加速!$L$11-T321)),0),0)+IF(金蛇,IF(COUNTIF(B321,"*千切子裂光*")&gt;0,2+加速!$K$9-(A321+加速!$L$11-T321),0),0)</f>
        <v>0</v>
      </c>
      <c r="V321">
        <f ca="1" t="shared" si="66"/>
        <v>0</v>
      </c>
      <c r="W321">
        <f ca="1" t="shared" si="57"/>
        <v>0</v>
      </c>
      <c r="X321">
        <f ca="1">INDEX(加速!$I$13:$I$21,技能数计算!W321+1)</f>
        <v>0</v>
      </c>
      <c r="Y321">
        <f ca="1" t="shared" si="61"/>
        <v>0.5</v>
      </c>
      <c r="Z321">
        <f ca="1" t="shared" si="62"/>
        <v>0</v>
      </c>
      <c r="AA321">
        <f ca="1">MAX(0,IFERROR(IF(COUNTIF(B321,"*叠*")&gt;0,IF(AC320&lt;3,8-A322+A321,AA320+6.875-A322+A321),AA320-A322+A321),AA320-加速!$L$11))</f>
        <v>0</v>
      </c>
      <c r="AB321" t="e">
        <f ca="1">MAX(0,IF(COUNTIF(IF(AND(配装计算器!$K$30&lt;&gt;"∞",0),INDEX(AU321:CB321,1,$AT$1),INDEX(AU321:CB321,1,$AT$1)),"*叠1*")=1,4*25-加速!$L$11,AB320-A321+A320)-IF(OR(COUNTIF(OFFSET(AT321,0,$AT$1,1,1),"*听雷*")&gt;0,AND(碧归&gt;0,COUNTIF(OFFSET(AT321,0,$AT$1,1,1),"*风来*")&gt;0)),0,1)*1.5)</f>
        <v>#VALUE!</v>
      </c>
      <c r="AC321">
        <f ca="1" t="shared" si="58"/>
        <v>3</v>
      </c>
      <c r="AD321">
        <f ca="1">IF(COUNTIF(IF(AND(配装计算器!$K$30&lt;&gt;"∞",0),INDEX(AU321:CB321,1,$AT$1),INDEX(AU322:CB322,1,$AT$1)),"*叠1*")=1,AB321*0+AE320,0)</f>
        <v>0</v>
      </c>
      <c r="AE321" t="e">
        <f ca="1">IF($AN$11&gt;0,IF(COUNTIF(B322,"*叠1*")&gt;0,50-加速!$H$11,MAX(0,AE320-(A322-A321))),0)</f>
        <v>#VALUE!</v>
      </c>
      <c r="AU321" t="str">
        <f>IF($AN$11=1,"云飞玉皇-玉山揽云","夕照雷峰")</f>
        <v>云飞玉皇-玉山揽云</v>
      </c>
      <c r="AV321">
        <v>2</v>
      </c>
      <c r="AW321" t="s">
        <v>2768</v>
      </c>
      <c r="AX321">
        <v>2</v>
      </c>
      <c r="AY321" t="s">
        <v>2722</v>
      </c>
      <c r="AZ321">
        <v>0</v>
      </c>
      <c r="BA321" t="s">
        <v>2768</v>
      </c>
      <c r="BB321">
        <v>2</v>
      </c>
      <c r="BC321" t="s">
        <v>3013</v>
      </c>
      <c r="BD321">
        <v>2</v>
      </c>
      <c r="BE321" t="s">
        <v>2776</v>
      </c>
      <c r="BF321">
        <v>2</v>
      </c>
      <c r="BG321" t="s">
        <v>3067</v>
      </c>
      <c r="BH321">
        <v>0</v>
      </c>
      <c r="BI321" t="s">
        <v>2768</v>
      </c>
      <c r="BJ321">
        <v>2</v>
      </c>
      <c r="BK321" t="s">
        <v>2776</v>
      </c>
      <c r="BL321">
        <v>0</v>
      </c>
      <c r="BM321" t="str">
        <f>IF(0,"云飞玉皇-玉山揽云","夕照雷峰")</f>
        <v>夕照雷峰</v>
      </c>
      <c r="BN321">
        <v>2</v>
      </c>
      <c r="BO321" s="176" t="s">
        <v>2768</v>
      </c>
      <c r="BP321">
        <v>2</v>
      </c>
      <c r="BQ321" t="s">
        <v>2768</v>
      </c>
      <c r="BR321">
        <v>2</v>
      </c>
      <c r="BS321" s="182" t="s">
        <v>3085</v>
      </c>
      <c r="BT321">
        <v>2</v>
      </c>
      <c r="BU321" t="s">
        <v>3055</v>
      </c>
      <c r="BV321">
        <v>0</v>
      </c>
      <c r="BW321" s="179" t="s">
        <v>3021</v>
      </c>
      <c r="BX321" s="179">
        <v>2</v>
      </c>
      <c r="BY321" s="176" t="s">
        <v>2808</v>
      </c>
      <c r="BZ321">
        <v>2</v>
      </c>
      <c r="CA321" s="176" t="str">
        <f>IF(秋,"夕照雷峰","千切子寒光")</f>
        <v>千切子寒光</v>
      </c>
      <c r="CB321">
        <v>2</v>
      </c>
    </row>
    <row r="322" spans="1:80">
      <c r="A322" s="178" t="str">
        <f ca="1">IFERROR(IF(A321+加速!$L$11&lt;$AS$1,IF(COUNTIF(B321,"*轻*")&gt;0,A321+加速!$L$9,A321+加速!$L$11)+V321,IF(COUNTIF(INDEX(AU322:CB322,1,$AT$1),"*云景*")+COUNTIF(INDEX(AU322:CB322,1,$AT$1),"*鹤归*")+COUNTIF(INDEX(AU322:CB322,1,$AT$1),"*听雷*")&gt;0,A321+加速!$L$11,"")),"")</f>
        <v/>
      </c>
      <c r="B322" s="167" t="str">
        <f ca="1">IF(A322&lt;&gt;"",IF(AND(A322+加速!$L$11&gt;$AS$1,IF(AND(配装计算器!$K$30&lt;&gt;"∞",0),"梦泉虎跑-轻",INDEX(AU322:CB322,1,$AT$1))="云栖松"),"夕照雷峰",IF(AND(配装计算器!$K$30&lt;&gt;"∞",0),"梦泉虎跑-轻",INDEX(AU322:CB322,1,$AT$1))),"")</f>
        <v/>
      </c>
      <c r="C322" t="str">
        <f ca="1" t="shared" si="64"/>
        <v/>
      </c>
      <c r="D322" t="str">
        <f ca="1">IF(B322&lt;&gt;"",IF(C321&lt;=加速!$L$11*(1-E322),0,1),"")</f>
        <v/>
      </c>
      <c r="E322">
        <f ca="1" t="shared" si="59"/>
        <v>1</v>
      </c>
      <c r="G322" t="str">
        <f ca="1" t="shared" si="60"/>
        <v/>
      </c>
      <c r="H322" t="str">
        <f ca="1">IF(B322&lt;&gt;"",IF(AND(COUNTIF(B321,"*轻*莺鸣柳*")&gt;0,COUNTIF(B322,"*轻*")&lt;1),MAX(0,15+I321-(A322-A321)+COUNTIF(B321,"*平湖*")*0),IF(AND(E322=0,MAX(0,H321-(A322-A321))&lt;=加速!$H$11),0,MAX(0,H321-(A322-A321)))),"")</f>
        <v/>
      </c>
      <c r="I322" t="str">
        <f ca="1" t="shared" si="67"/>
        <v/>
      </c>
      <c r="J322" t="str">
        <f ca="1" t="shared" si="68"/>
        <v/>
      </c>
      <c r="K322" t="str">
        <f ca="1">IF(A322&lt;&gt;"",IF(AND(配装计算器!$K$30&lt;&gt;"∞",0),2,INDEX(AU322:CB322,1,$AT$2)),"")</f>
        <v/>
      </c>
      <c r="L322">
        <f ca="1">IFERROR(IF(AND(COUNTIF(B322,"*-峰插*"),技能数据库!$M$72&gt;0),0,IF(COUNTIF(B322,"*鹤归*")&gt;0,16-加速!$L$11,MAX(0,L321-(A322-A321)))),0)</f>
        <v>0</v>
      </c>
      <c r="M322">
        <f ca="1">IF(COUNTIF(IF(AND(配装计算器!$K$30&lt;&gt;"∞",0),INDEX(AU321:CB321,1,$AT$1),INDEX(AU323:CB323,1,$AT$1)),"*鹤归*")=1,L322,0)</f>
        <v>0</v>
      </c>
      <c r="N322">
        <f ca="1">IFERROR(IF(AND(COUNTIF(B322,"*-峰插*"),技能数据库!$M$72&gt;0),0,IF(COUNTIF(B322,"*云飞*")&gt;0,4-COUNTIF(B322,"*玉山揽云*")*4--COUNTIF(B322,"*烟流暮景*")*4-COUNTIF(B322,"*云景*")*加速!$L$11-IF(J322&gt;0,2,0),MAX(0,N321-(A322-A321)-IF(J322&gt;0,2,0)))),0)</f>
        <v>0</v>
      </c>
      <c r="O322">
        <f ca="1">IF(AND(COUNTIF(IF(AND(配装计算器!$K$30&lt;&gt;"∞",0),INDEX(AU321:CB321,1,$AT$1),INDEX(AU323:CB323,1,$AT$1)),"*云飞*")=1,COUNTIF(IF(AND(配装计算器!$K$30&lt;&gt;"∞",0),INDEX(AU321:CB321,1,$AT$1),INDEX(AU323:CB323,1,$AT$1)),"*玉山*")=0),N322,0)</f>
        <v>0</v>
      </c>
      <c r="P322">
        <f ca="1">IFERROR(IF(COUNTIF(B322,"*云栖松*")&gt;0,50-加速!$L$11,MAX(0,P321-(A322-A321))),0)</f>
        <v>0</v>
      </c>
      <c r="Q322">
        <f ca="1">IF(COUNTIF(IF(AND(配装计算器!$K$30&lt;&gt;"∞",0),INDEX(AU321:CB321,1,$AT$1),INDEX(AU323:CB323,1,$AT$1)),"*云栖松*")=1,P322,0)</f>
        <v>0</v>
      </c>
      <c r="R322">
        <f ca="1">IFERROR(IF(COUNTIF(B322,"*莺鸣柳*")&gt;0,45-加速!$L$9,MAX(0,R321-(A322-A321))),0)</f>
        <v>0</v>
      </c>
      <c r="S322">
        <f ca="1">IF(COUNTIF(IF(AND(配装计算器!$K$30&lt;&gt;"∞",0),INDEX(AU321:CB321,1,$AT$1),INDEX(AU323:CB323,1,$AT$1)),"*莺鸣柳*")=1,R322,0)</f>
        <v>0</v>
      </c>
      <c r="T322">
        <f ca="1" t="shared" si="65"/>
        <v>0</v>
      </c>
      <c r="U322">
        <f ca="1">IF(金蛇,IF(COUNTIF(B322,"*金环戴*")+COUNTIF(B322,"*吹风醒*")&gt;0,IF(A322&lt;=3,7.125-2.625-A322-加速!$L$11,7.125+加速!$K$9-(A322+加速!$L$11-T322)),0),0)+IF(金蛇,IF(COUNTIF(B322,"*千切子裂光*")&gt;0,2+加速!$K$9-(A322+加速!$L$11-T322),0),0)</f>
        <v>0</v>
      </c>
      <c r="V322">
        <f ca="1" t="shared" si="66"/>
        <v>0</v>
      </c>
      <c r="W322">
        <f ca="1" t="shared" si="57"/>
        <v>0</v>
      </c>
      <c r="X322">
        <f ca="1">INDEX(加速!$I$13:$I$21,技能数计算!W322+1)</f>
        <v>0</v>
      </c>
      <c r="Y322">
        <f ca="1" t="shared" si="61"/>
        <v>0.5</v>
      </c>
      <c r="Z322">
        <f ca="1" t="shared" si="62"/>
        <v>0</v>
      </c>
      <c r="AA322">
        <f ca="1">MAX(0,IFERROR(IF(COUNTIF(B322,"*叠*")&gt;0,IF(AC321&lt;3,8-A323+A322,AA321+6.875-A323+A322),AA321-A323+A322),AA321-加速!$L$11))</f>
        <v>0</v>
      </c>
      <c r="AB322" t="e">
        <f ca="1">MAX(0,IF(COUNTIF(IF(AND(配装计算器!$K$30&lt;&gt;"∞",0),INDEX(AU322:CB322,1,$AT$1),INDEX(AU322:CB322,1,$AT$1)),"*叠1*")=1,4*25-加速!$L$11,AB321-A322+A321)-IF(OR(COUNTIF(OFFSET(AT322,0,$AT$1,1,1),"*听雷*")&gt;0,AND(碧归&gt;0,COUNTIF(OFFSET(AT322,0,$AT$1,1,1),"*风来*")&gt;0)),0,1)*1.5)</f>
        <v>#VALUE!</v>
      </c>
      <c r="AC322">
        <f ca="1" t="shared" si="58"/>
        <v>3</v>
      </c>
      <c r="AD322">
        <f ca="1">IF(COUNTIF(IF(AND(配装计算器!$K$30&lt;&gt;"∞",0),INDEX(AU322:CB322,1,$AT$1),INDEX(AU323:CB323,1,$AT$1)),"*叠1*")=1,AB322*0+AE321,0)</f>
        <v>0</v>
      </c>
      <c r="AE322" t="e">
        <f ca="1">IF($AN$11&gt;0,IF(COUNTIF(B323,"*叠1*")&gt;0,50-加速!$H$11,MAX(0,AE321-(A323-A322))),0)</f>
        <v>#VALUE!</v>
      </c>
      <c r="AU322" t="str">
        <f>IF($AN$11=1,橙武补雾锁,"夕照雷峰")</f>
        <v>云飞玉皇-玉山揽云</v>
      </c>
      <c r="AV322">
        <v>2</v>
      </c>
      <c r="AW322" t="str">
        <f>IF($AN$11=1,"云飞玉皇-玉山揽云","夕照雷峰")</f>
        <v>云飞玉皇-玉山揽云</v>
      </c>
      <c r="AX322">
        <v>2</v>
      </c>
      <c r="AY322" t="s">
        <v>2776</v>
      </c>
      <c r="AZ322">
        <v>2</v>
      </c>
      <c r="BA322" t="s">
        <v>2768</v>
      </c>
      <c r="BB322">
        <v>2</v>
      </c>
      <c r="BC322" t="s">
        <v>2808</v>
      </c>
      <c r="BD322">
        <v>2</v>
      </c>
      <c r="BE322" t="s">
        <v>2768</v>
      </c>
      <c r="BF322">
        <v>1</v>
      </c>
      <c r="BG322" t="s">
        <v>2768</v>
      </c>
      <c r="BH322">
        <v>2</v>
      </c>
      <c r="BI322" t="s">
        <v>2808</v>
      </c>
      <c r="BJ322">
        <v>2</v>
      </c>
      <c r="BK322" t="s">
        <v>2768</v>
      </c>
      <c r="BL322">
        <v>0</v>
      </c>
      <c r="BM322" t="str">
        <f>IF(0,"云飞玉皇-玉山揽云","云飞玉皇")</f>
        <v>云飞玉皇</v>
      </c>
      <c r="BN322">
        <v>2</v>
      </c>
      <c r="BO322" s="176" t="s">
        <v>2776</v>
      </c>
      <c r="BP322">
        <v>2</v>
      </c>
      <c r="BQ322" t="s">
        <v>2776</v>
      </c>
      <c r="BR322">
        <v>1</v>
      </c>
      <c r="BS322" s="182" t="s">
        <v>3084</v>
      </c>
      <c r="BT322">
        <v>2</v>
      </c>
      <c r="BU322" t="s">
        <v>2776</v>
      </c>
      <c r="BV322">
        <v>2</v>
      </c>
      <c r="BW322" s="179" t="s">
        <v>2768</v>
      </c>
      <c r="BX322" s="179">
        <v>2</v>
      </c>
      <c r="BY322" t="str">
        <f>IF(0,"云飞玉皇-玉山揽云","夕照雷峰")</f>
        <v>夕照雷峰</v>
      </c>
      <c r="BZ322">
        <v>2</v>
      </c>
      <c r="CA322" s="176" t="str">
        <f>IF(秋,"夕照雷峰","千切子裂光")</f>
        <v>千切子裂光</v>
      </c>
      <c r="CB322">
        <v>2</v>
      </c>
    </row>
    <row r="323" spans="1:80">
      <c r="A323" s="178" t="str">
        <f ca="1">IFERROR(IF(A322+加速!$L$11&lt;$AS$1,IF(COUNTIF(B322,"*轻*")&gt;0,A322+加速!$L$9,A322+加速!$L$11)+V322,IF(COUNTIF(INDEX(AU323:CB323,1,$AT$1),"*云景*")+COUNTIF(INDEX(AU323:CB323,1,$AT$1),"*鹤归*")+COUNTIF(INDEX(AU323:CB323,1,$AT$1),"*听雷*")&gt;0,A322+加速!$L$11,"")),"")</f>
        <v/>
      </c>
      <c r="B323" s="167" t="str">
        <f ca="1">IF(A323&lt;&gt;"",IF(AND(A323+加速!$L$11&gt;$AS$1,IF(AND(配装计算器!$K$30&lt;&gt;"∞",0),"梦泉虎跑-轻",INDEX(AU323:CB323,1,$AT$1))="云栖松"),"夕照雷峰",IF(AND(配装计算器!$K$30&lt;&gt;"∞",0),"梦泉虎跑-轻",INDEX(AU323:CB323,1,$AT$1))),"")</f>
        <v/>
      </c>
      <c r="C323" t="str">
        <f ca="1" t="shared" si="64"/>
        <v/>
      </c>
      <c r="D323" t="str">
        <f ca="1">IF(B323&lt;&gt;"",IF(C322&lt;=加速!$L$11*(1-E323),0,1),"")</f>
        <v/>
      </c>
      <c r="E323">
        <f ca="1" t="shared" si="59"/>
        <v>1</v>
      </c>
      <c r="G323" t="str">
        <f ca="1" t="shared" si="60"/>
        <v/>
      </c>
      <c r="H323" t="str">
        <f ca="1">IF(B323&lt;&gt;"",IF(AND(COUNTIF(B322,"*轻*莺鸣柳*")&gt;0,COUNTIF(B323,"*轻*")&lt;1),MAX(0,15+I322-(A323-A322)+COUNTIF(B322,"*平湖*")*0),IF(AND(E323=0,MAX(0,H322-(A323-A322))&lt;=加速!$H$11),0,MAX(0,H322-(A323-A322)))),"")</f>
        <v/>
      </c>
      <c r="I323" t="str">
        <f ca="1" t="shared" si="67"/>
        <v/>
      </c>
      <c r="J323" t="str">
        <f ca="1" t="shared" si="68"/>
        <v/>
      </c>
      <c r="K323" t="str">
        <f ca="1">IF(A323&lt;&gt;"",IF(AND(配装计算器!$K$30&lt;&gt;"∞",0),2,INDEX(AU323:CB323,1,$AT$2)),"")</f>
        <v/>
      </c>
      <c r="L323">
        <f ca="1">IFERROR(IF(AND(COUNTIF(B323,"*-峰插*"),技能数据库!$M$72&gt;0),0,IF(COUNTIF(B323,"*鹤归*")&gt;0,16-加速!$L$11,MAX(0,L322-(A323-A322)))),0)</f>
        <v>0</v>
      </c>
      <c r="M323">
        <f ca="1">IF(COUNTIF(IF(AND(配装计算器!$K$30&lt;&gt;"∞",0),INDEX(AU322:CB322,1,$AT$1),INDEX(AU324:CB324,1,$AT$1)),"*鹤归*")=1,L323,0)</f>
        <v>0</v>
      </c>
      <c r="N323">
        <f ca="1">IFERROR(IF(AND(COUNTIF(B323,"*-峰插*"),技能数据库!$M$72&gt;0),0,IF(COUNTIF(B323,"*云飞*")&gt;0,4-COUNTIF(B323,"*玉山揽云*")*4--COUNTIF(B323,"*烟流暮景*")*4-COUNTIF(B323,"*云景*")*加速!$L$11-IF(J323&gt;0,2,0),MAX(0,N322-(A323-A322)-IF(J323&gt;0,2,0)))),0)</f>
        <v>0</v>
      </c>
      <c r="O323">
        <f ca="1">IF(AND(COUNTIF(IF(AND(配装计算器!$K$30&lt;&gt;"∞",0),INDEX(AU322:CB322,1,$AT$1),INDEX(AU324:CB324,1,$AT$1)),"*云飞*")=1,COUNTIF(IF(AND(配装计算器!$K$30&lt;&gt;"∞",0),INDEX(AU322:CB322,1,$AT$1),INDEX(AU324:CB324,1,$AT$1)),"*玉山*")=0),N323,0)</f>
        <v>0</v>
      </c>
      <c r="P323">
        <f ca="1">IFERROR(IF(COUNTIF(B323,"*云栖松*")&gt;0,50-加速!$L$11,MAX(0,P322-(A323-A322))),0)</f>
        <v>0</v>
      </c>
      <c r="Q323">
        <f ca="1">IF(COUNTIF(IF(AND(配装计算器!$K$30&lt;&gt;"∞",0),INDEX(AU322:CB322,1,$AT$1),INDEX(AU324:CB324,1,$AT$1)),"*云栖松*")=1,P323,0)</f>
        <v>0</v>
      </c>
      <c r="R323">
        <f ca="1">IFERROR(IF(COUNTIF(B323,"*莺鸣柳*")&gt;0,45-加速!$L$9,MAX(0,R322-(A323-A322))),0)</f>
        <v>0</v>
      </c>
      <c r="S323">
        <f ca="1">IF(COUNTIF(IF(AND(配装计算器!$K$30&lt;&gt;"∞",0),INDEX(AU322:CB322,1,$AT$1),INDEX(AU324:CB324,1,$AT$1)),"*莺鸣柳*")=1,R323,0)</f>
        <v>0</v>
      </c>
      <c r="T323">
        <f ca="1" t="shared" si="65"/>
        <v>0</v>
      </c>
      <c r="U323">
        <f ca="1">IF(金蛇,IF(COUNTIF(B323,"*金环戴*")+COUNTIF(B323,"*吹风醒*")&gt;0,IF(A323&lt;=3,7.125-2.625-A323-加速!$L$11,7.125+加速!$K$9-(A323+加速!$L$11-T323)),0),0)+IF(金蛇,IF(COUNTIF(B323,"*千切子裂光*")&gt;0,2+加速!$K$9-(A323+加速!$L$11-T323),0),0)</f>
        <v>0</v>
      </c>
      <c r="V323">
        <f ca="1" t="shared" si="66"/>
        <v>0</v>
      </c>
      <c r="W323">
        <f ca="1" t="shared" ref="W323:W386" si="69">IF(COUNTIF(B323,"*风来吴山*")&gt;0,1,IF(W322+1&gt;风车GCD,0,IF(W322&gt;0,W322+1,0)))</f>
        <v>0</v>
      </c>
      <c r="X323">
        <f ca="1">INDEX(加速!$I$13:$I$21,技能数计算!W323+1)</f>
        <v>0</v>
      </c>
      <c r="Y323">
        <f ca="1" t="shared" si="61"/>
        <v>0.5</v>
      </c>
      <c r="Z323">
        <f ca="1" t="shared" si="62"/>
        <v>0</v>
      </c>
      <c r="AA323">
        <f ca="1">MAX(0,IFERROR(IF(COUNTIF(B323,"*叠*")&gt;0,IF(AC322&lt;3,8-A324+A323,AA322+6.875-A324+A323),AA322-A324+A323),AA322-加速!$L$11))</f>
        <v>0</v>
      </c>
      <c r="AB323" t="e">
        <f ca="1">MAX(0,IF(COUNTIF(IF(AND(配装计算器!$K$30&lt;&gt;"∞",0),INDEX(AU323:CB323,1,$AT$1),INDEX(AU323:CB323,1,$AT$1)),"*叠1*")=1,4*25-加速!$L$11,AB322-A323+A322)-IF(OR(COUNTIF(OFFSET(AT323,0,$AT$1,1,1),"*听雷*")&gt;0,AND(碧归&gt;0,COUNTIF(OFFSET(AT323,0,$AT$1,1,1),"*风来*")&gt;0)),0,1)*1.5)</f>
        <v>#VALUE!</v>
      </c>
      <c r="AC323">
        <f ca="1" t="shared" ref="AC323:AC386" si="70">IF(AND(AA323=0,E323=0),0,IF(AND(COUNTIF(B323,"*叠*")&gt;0,OR(AA322=0,AA322&gt;=5)),AC322+1,AC322))</f>
        <v>3</v>
      </c>
      <c r="AD323">
        <f ca="1">IF(COUNTIF(IF(AND(配装计算器!$K$30&lt;&gt;"∞",0),INDEX(AU323:CB323,1,$AT$1),INDEX(AU324:CB324,1,$AT$1)),"*叠1*")=1,AB323*0+AE322,0)</f>
        <v>0</v>
      </c>
      <c r="AE323" t="e">
        <f ca="1">IF($AN$11&gt;0,IF(COUNTIF(B324,"*叠1*")&gt;0,50-加速!$H$11,MAX(0,AE322-(A324-A323))),0)</f>
        <v>#VALUE!</v>
      </c>
      <c r="AU323" t="str">
        <f>IF($AN$11=1,"云飞玉皇-玉山揽云","夕照雷峰")</f>
        <v>云飞玉皇-玉山揽云</v>
      </c>
      <c r="AV323">
        <v>2</v>
      </c>
      <c r="AW323" t="str">
        <f>IF($AN$11=1,"云飞玉皇-玉山揽云","夕照雷峰")</f>
        <v>云飞玉皇-玉山揽云</v>
      </c>
      <c r="AX323">
        <v>2</v>
      </c>
      <c r="AY323" t="s">
        <v>2768</v>
      </c>
      <c r="AZ323">
        <v>2</v>
      </c>
      <c r="BA323" t="s">
        <v>2768</v>
      </c>
      <c r="BB323">
        <v>1</v>
      </c>
      <c r="BC323" t="s">
        <v>2768</v>
      </c>
      <c r="BD323">
        <v>2</v>
      </c>
      <c r="BE323" t="s">
        <v>2768</v>
      </c>
      <c r="BF323">
        <v>1</v>
      </c>
      <c r="BG323" t="s">
        <v>2768</v>
      </c>
      <c r="BH323">
        <v>2</v>
      </c>
      <c r="BI323" s="176" t="s">
        <v>2768</v>
      </c>
      <c r="BJ323">
        <v>2</v>
      </c>
      <c r="BK323" t="s">
        <v>3067</v>
      </c>
      <c r="BL323">
        <v>2</v>
      </c>
      <c r="BM323" s="176" t="str">
        <f>IF(秋,"夕照雷峰","千切子寒光")</f>
        <v>千切子寒光</v>
      </c>
      <c r="BN323">
        <v>2</v>
      </c>
      <c r="BO323" s="176" t="s">
        <v>2768</v>
      </c>
      <c r="BP323">
        <v>2</v>
      </c>
      <c r="BQ323" t="s">
        <v>2768</v>
      </c>
      <c r="BR323">
        <v>1</v>
      </c>
      <c r="BS323" s="176" t="s">
        <v>2768</v>
      </c>
      <c r="BT323">
        <v>2</v>
      </c>
      <c r="BU323" t="s">
        <v>2768</v>
      </c>
      <c r="BV323">
        <v>2</v>
      </c>
      <c r="BW323" s="179" t="s">
        <v>3028</v>
      </c>
      <c r="BX323" s="179">
        <v>2</v>
      </c>
      <c r="BY323" t="str">
        <f>IF(0,"云飞玉皇-玉山揽云","云飞玉皇")</f>
        <v>云飞玉皇</v>
      </c>
      <c r="BZ323">
        <v>2</v>
      </c>
      <c r="CA323" t="s">
        <v>2776</v>
      </c>
      <c r="CB323">
        <v>2</v>
      </c>
    </row>
    <row r="324" spans="1:80">
      <c r="A324" s="178" t="str">
        <f ca="1">IFERROR(IF(A323+加速!$L$11&lt;$AS$1,IF(COUNTIF(B323,"*轻*")&gt;0,A323+加速!$L$9,A323+加速!$L$11)+V323,IF(COUNTIF(INDEX(AU324:CB324,1,$AT$1),"*云景*")+COUNTIF(INDEX(AU324:CB324,1,$AT$1),"*鹤归*")+COUNTIF(INDEX(AU324:CB324,1,$AT$1),"*听雷*")&gt;0,A323+加速!$L$11,"")),"")</f>
        <v/>
      </c>
      <c r="B324" s="167" t="str">
        <f ca="1">IF(A324&lt;&gt;"",IF(AND(A324+加速!$L$11&gt;$AS$1,IF(AND(配装计算器!$K$30&lt;&gt;"∞",0),"梦泉虎跑-轻",INDEX(AU324:CB324,1,$AT$1))="云栖松"),"夕照雷峰",IF(AND(配装计算器!$K$30&lt;&gt;"∞",0),"梦泉虎跑-轻",INDEX(AU324:CB324,1,$AT$1))),"")</f>
        <v/>
      </c>
      <c r="C324" t="str">
        <f ca="1" t="shared" si="64"/>
        <v/>
      </c>
      <c r="D324" t="str">
        <f ca="1">IF(B324&lt;&gt;"",IF(C323&lt;=加速!$L$11*(1-E324),0,1),"")</f>
        <v/>
      </c>
      <c r="E324">
        <f ca="1" t="shared" ref="E324:E387" si="71">IF(OR(COUNTIF(B324,"*夕照雷峰*")&gt;0,COUNTIF(B324,"云飞玉皇*")&gt;0,COUNTIF(B324,"风来吴山*")&gt;0),COUNTIF(B324,"*云景*")+COUNTIF(B324,"*玉山揽云*")+COUNTIF(B324,"*烟流暮景*"),1)</f>
        <v>1</v>
      </c>
      <c r="G324" t="str">
        <f ca="1" t="shared" ref="G324:G387" si="72">IF(B324&lt;&gt;"",IF(AND(碧归&gt;0,COUNTIF(B323,"*风来吴山*")&gt;0),8,MAX(0,G323-COUNTIF(B324,"*云飞*")-COUNTIF(B324,"*鹤*")-COUNTIF(B324,"*夕*"))),"")</f>
        <v/>
      </c>
      <c r="H324" t="str">
        <f ca="1">IF(B324&lt;&gt;"",IF(AND(COUNTIF(B323,"*轻*莺鸣柳*")&gt;0,COUNTIF(B324,"*轻*")&lt;1),MAX(0,15+I323-(A324-A323)+COUNTIF(B323,"*平湖*")*0),IF(AND(E324=0,MAX(0,H323-(A324-A323))&lt;=加速!$H$11),0,MAX(0,H323-(A324-A323)))),"")</f>
        <v/>
      </c>
      <c r="I324" t="str">
        <f ca="1" t="shared" si="67"/>
        <v/>
      </c>
      <c r="J324" t="str">
        <f ca="1" t="shared" si="68"/>
        <v/>
      </c>
      <c r="K324" t="str">
        <f ca="1">IF(A324&lt;&gt;"",IF(AND(配装计算器!$K$30&lt;&gt;"∞",0),2,INDEX(AU324:CB324,1,$AT$2)),"")</f>
        <v/>
      </c>
      <c r="L324">
        <f ca="1">IFERROR(IF(AND(COUNTIF(B324,"*-峰插*"),技能数据库!$M$72&gt;0),0,IF(COUNTIF(B324,"*鹤归*")&gt;0,16-加速!$L$11,MAX(0,L323-(A324-A323)))),0)</f>
        <v>0</v>
      </c>
      <c r="M324">
        <f ca="1">IF(COUNTIF(IF(AND(配装计算器!$K$30&lt;&gt;"∞",0),INDEX(AU323:CB323,1,$AT$1),INDEX(AU325:CB325,1,$AT$1)),"*鹤归*")=1,L324,0)</f>
        <v>0</v>
      </c>
      <c r="N324">
        <f ca="1">IFERROR(IF(AND(COUNTIF(B324,"*-峰插*"),技能数据库!$M$72&gt;0),0,IF(COUNTIF(B324,"*云飞*")&gt;0,4-COUNTIF(B324,"*玉山揽云*")*4--COUNTIF(B324,"*烟流暮景*")*4-COUNTIF(B324,"*云景*")*加速!$L$11-IF(J324&gt;0,2,0),MAX(0,N323-(A324-A323)-IF(J324&gt;0,2,0)))),0)</f>
        <v>0</v>
      </c>
      <c r="O324">
        <f ca="1">IF(AND(COUNTIF(IF(AND(配装计算器!$K$30&lt;&gt;"∞",0),INDEX(AU323:CB323,1,$AT$1),INDEX(AU325:CB325,1,$AT$1)),"*云飞*")=1,COUNTIF(IF(AND(配装计算器!$K$30&lt;&gt;"∞",0),INDEX(AU323:CB323,1,$AT$1),INDEX(AU325:CB325,1,$AT$1)),"*玉山*")=0),N324,0)</f>
        <v>0</v>
      </c>
      <c r="P324">
        <f ca="1">IFERROR(IF(COUNTIF(B324,"*云栖松*")&gt;0,50-加速!$L$11,MAX(0,P323-(A324-A323))),0)</f>
        <v>0</v>
      </c>
      <c r="Q324">
        <f ca="1">IF(COUNTIF(IF(AND(配装计算器!$K$30&lt;&gt;"∞",0),INDEX(AU323:CB323,1,$AT$1),INDEX(AU325:CB325,1,$AT$1)),"*云栖松*")=1,P324,0)</f>
        <v>0</v>
      </c>
      <c r="R324">
        <f ca="1">IFERROR(IF(COUNTIF(B324,"*莺鸣柳*")&gt;0,45-加速!$L$9,MAX(0,R323-(A324-A323))),0)</f>
        <v>0</v>
      </c>
      <c r="S324">
        <f ca="1">IF(COUNTIF(IF(AND(配装计算器!$K$30&lt;&gt;"∞",0),INDEX(AU323:CB323,1,$AT$1),INDEX(AU325:CB325,1,$AT$1)),"*莺鸣柳*")=1,R324,0)</f>
        <v>0</v>
      </c>
      <c r="T324">
        <f ca="1" t="shared" si="65"/>
        <v>0</v>
      </c>
      <c r="U324">
        <f ca="1">IF(金蛇,IF(COUNTIF(B324,"*金环戴*")+COUNTIF(B324,"*吹风醒*")&gt;0,IF(A324&lt;=3,7.125-2.625-A324-加速!$L$11,7.125+加速!$K$9-(A324+加速!$L$11-T324)),0),0)+IF(金蛇,IF(COUNTIF(B324,"*千切子裂光*")&gt;0,2+加速!$K$9-(A324+加速!$L$11-T324),0),0)</f>
        <v>0</v>
      </c>
      <c r="V324">
        <f ca="1" t="shared" si="66"/>
        <v>0</v>
      </c>
      <c r="W324">
        <f ca="1" t="shared" si="69"/>
        <v>0</v>
      </c>
      <c r="X324">
        <f ca="1">INDEX(加速!$I$13:$I$21,技能数计算!W324+1)</f>
        <v>0</v>
      </c>
      <c r="Y324">
        <f ca="1" t="shared" ref="Y324:Y387" si="73">IF(COUNTIF(B324,"*岚尘金蛇*"),A324+2.6125+0.5,Y323)</f>
        <v>0.5</v>
      </c>
      <c r="Z324">
        <f ca="1" t="shared" ref="Z324:Z387" si="74">IF(金蛇,IF(COUNTIF(B324,"*虎跑*")&gt;0,INT((A324-Y324)/3),0),0)</f>
        <v>0</v>
      </c>
      <c r="AA324">
        <f ca="1">MAX(0,IFERROR(IF(COUNTIF(B324,"*叠*")&gt;0,IF(AC323&lt;3,8-A325+A324,AA323+6.875-A325+A324),AA323-A325+A324),AA323-加速!$L$11))</f>
        <v>0</v>
      </c>
      <c r="AB324" t="e">
        <f ca="1">MAX(0,IF(COUNTIF(IF(AND(配装计算器!$K$30&lt;&gt;"∞",0),INDEX(AU324:CB324,1,$AT$1),INDEX(AU324:CB324,1,$AT$1)),"*叠1*")=1,4*25-加速!$L$11,AB323-A324+A323)-IF(OR(COUNTIF(OFFSET(AT324,0,$AT$1,1,1),"*听雷*")&gt;0,AND(碧归&gt;0,COUNTIF(OFFSET(AT324,0,$AT$1,1,1),"*风来*")&gt;0)),0,1)*1.5)</f>
        <v>#VALUE!</v>
      </c>
      <c r="AC324">
        <f ca="1" t="shared" si="70"/>
        <v>3</v>
      </c>
      <c r="AD324">
        <f ca="1">IF(COUNTIF(IF(AND(配装计算器!$K$30&lt;&gt;"∞",0),INDEX(AU324:CB324,1,$AT$1),INDEX(AU325:CB325,1,$AT$1)),"*叠1*")=1,AB324*0+AE323,0)</f>
        <v>0</v>
      </c>
      <c r="AE324" t="e">
        <f ca="1">IF($AN$11&gt;0,IF(COUNTIF(B325,"*叠1*")&gt;0,50-加速!$H$11,MAX(0,AE323-(A325-A324))),0)</f>
        <v>#VALUE!</v>
      </c>
      <c r="AU324" t="s">
        <v>2776</v>
      </c>
      <c r="AV324">
        <v>2</v>
      </c>
      <c r="AW324" t="str">
        <f>IF($AN$11=1,"云飞玉皇-玉山揽云","云飞玉皇")</f>
        <v>云飞玉皇-玉山揽云</v>
      </c>
      <c r="AX324">
        <v>2</v>
      </c>
      <c r="AY324" t="s">
        <v>2768</v>
      </c>
      <c r="AZ324">
        <v>2</v>
      </c>
      <c r="BA324" t="s">
        <v>2776</v>
      </c>
      <c r="BB324">
        <v>1</v>
      </c>
      <c r="BC324" t="s">
        <v>2768</v>
      </c>
      <c r="BD324">
        <v>2</v>
      </c>
      <c r="BE324" t="s">
        <v>3042</v>
      </c>
      <c r="BF324">
        <v>0</v>
      </c>
      <c r="BG324" s="176" t="s">
        <v>2794</v>
      </c>
      <c r="BH324">
        <v>1</v>
      </c>
      <c r="BI324" s="176" t="s">
        <v>2776</v>
      </c>
      <c r="BJ324">
        <v>2</v>
      </c>
      <c r="BK324" s="176" t="s">
        <v>2768</v>
      </c>
      <c r="BL324">
        <v>2</v>
      </c>
      <c r="BM324" s="176" t="str">
        <f>IF(秋,"夕照雷峰","千切子裂光")</f>
        <v>千切子裂光</v>
      </c>
      <c r="BN324">
        <v>2</v>
      </c>
      <c r="BO324" t="s">
        <v>3056</v>
      </c>
      <c r="BP324">
        <v>1</v>
      </c>
      <c r="BQ324" t="s">
        <v>2776</v>
      </c>
      <c r="BR324">
        <v>1</v>
      </c>
      <c r="BS324" s="176" t="s">
        <v>2768</v>
      </c>
      <c r="BT324">
        <v>2</v>
      </c>
      <c r="BU324" t="s">
        <v>2776</v>
      </c>
      <c r="BV324">
        <v>2</v>
      </c>
      <c r="BW324" s="182" t="s">
        <v>2794</v>
      </c>
      <c r="BX324" s="179">
        <v>2</v>
      </c>
      <c r="BY324" s="176" t="str">
        <f>IF(秋,"夕照雷峰","千切子寒光")</f>
        <v>千切子寒光</v>
      </c>
      <c r="BZ324">
        <v>2</v>
      </c>
      <c r="CA324" s="176" t="s">
        <v>2794</v>
      </c>
      <c r="CB324">
        <v>2</v>
      </c>
    </row>
    <row r="325" spans="1:80">
      <c r="A325" s="178" t="str">
        <f ca="1">IFERROR(IF(A324+加速!$L$11&lt;$AS$1,IF(COUNTIF(B324,"*轻*")&gt;0,A324+加速!$L$9,A324+加速!$L$11)+V324,IF(COUNTIF(INDEX(AU325:CB325,1,$AT$1),"*云景*")+COUNTIF(INDEX(AU325:CB325,1,$AT$1),"*鹤归*")+COUNTIF(INDEX(AU325:CB325,1,$AT$1),"*听雷*")&gt;0,A324+加速!$L$11,"")),"")</f>
        <v/>
      </c>
      <c r="B325" s="167" t="str">
        <f ca="1">IF(A325&lt;&gt;"",IF(AND(A325+加速!$L$11&gt;$AS$1,IF(AND(配装计算器!$K$30&lt;&gt;"∞",0),"梦泉虎跑-轻",INDEX(AU325:CB325,1,$AT$1))="云栖松"),"夕照雷峰",IF(AND(配装计算器!$K$30&lt;&gt;"∞",0),"梦泉虎跑-轻",INDEX(AU325:CB325,1,$AT$1))),"")</f>
        <v/>
      </c>
      <c r="C325" t="str">
        <f ca="1" t="shared" ref="C325:C388" si="75">IFERROR(IF(COUNTIF(B325,"*夕照雷峰*")&gt;0,15,MAX(0,C324-(A325-A324))),"")</f>
        <v/>
      </c>
      <c r="D325" t="str">
        <f ca="1">IF(B325&lt;&gt;"",IF(C324&lt;=加速!$L$11*(1-E325),0,1),"")</f>
        <v/>
      </c>
      <c r="E325">
        <f ca="1" t="shared" si="71"/>
        <v>1</v>
      </c>
      <c r="G325" t="str">
        <f ca="1" t="shared" si="72"/>
        <v/>
      </c>
      <c r="H325" t="str">
        <f ca="1">IF(B325&lt;&gt;"",IF(AND(COUNTIF(B324,"*轻*莺鸣柳*")&gt;0,COUNTIF(B325,"*轻*")&lt;1),MAX(0,15+I324-(A325-A324)+COUNTIF(B324,"*平湖*")*0),IF(AND(E325=0,MAX(0,H324-(A325-A324))&lt;=加速!$H$11),0,MAX(0,H324-(A325-A324)))),"")</f>
        <v/>
      </c>
      <c r="I325" t="str">
        <f ca="1" t="shared" si="67"/>
        <v/>
      </c>
      <c r="J325" t="str">
        <f ca="1" t="shared" si="68"/>
        <v/>
      </c>
      <c r="K325" t="str">
        <f ca="1">IF(A325&lt;&gt;"",IF(AND(配装计算器!$K$30&lt;&gt;"∞",0),2,INDEX(AU325:CB325,1,$AT$2)),"")</f>
        <v/>
      </c>
      <c r="L325">
        <f ca="1">IFERROR(IF(AND(COUNTIF(B325,"*-峰插*"),技能数据库!$M$72&gt;0),0,IF(COUNTIF(B325,"*鹤归*")&gt;0,16-加速!$L$11,MAX(0,L324-(A325-A324)))),0)</f>
        <v>0</v>
      </c>
      <c r="M325">
        <f ca="1">IF(COUNTIF(IF(AND(配装计算器!$K$30&lt;&gt;"∞",0),INDEX(AU324:CB324,1,$AT$1),INDEX(AU326:CB326,1,$AT$1)),"*鹤归*")=1,L325,0)</f>
        <v>0</v>
      </c>
      <c r="N325">
        <f ca="1">IFERROR(IF(AND(COUNTIF(B325,"*-峰插*"),技能数据库!$M$72&gt;0),0,IF(COUNTIF(B325,"*云飞*")&gt;0,4-COUNTIF(B325,"*玉山揽云*")*4--COUNTIF(B325,"*烟流暮景*")*4-COUNTIF(B325,"*云景*")*加速!$L$11-IF(J325&gt;0,2,0),MAX(0,N324-(A325-A324)-IF(J325&gt;0,2,0)))),0)</f>
        <v>0</v>
      </c>
      <c r="O325">
        <f ca="1">IF(AND(COUNTIF(IF(AND(配装计算器!$K$30&lt;&gt;"∞",0),INDEX(AU324:CB324,1,$AT$1),INDEX(AU326:CB326,1,$AT$1)),"*云飞*")=1,COUNTIF(IF(AND(配装计算器!$K$30&lt;&gt;"∞",0),INDEX(AU324:CB324,1,$AT$1),INDEX(AU326:CB326,1,$AT$1)),"*玉山*")=0),N325,0)</f>
        <v>0</v>
      </c>
      <c r="P325">
        <f ca="1">IFERROR(IF(COUNTIF(B325,"*云栖松*")&gt;0,50-加速!$L$11,MAX(0,P324-(A325-A324))),0)</f>
        <v>0</v>
      </c>
      <c r="Q325">
        <f ca="1">IF(COUNTIF(IF(AND(配装计算器!$K$30&lt;&gt;"∞",0),INDEX(AU324:CB324,1,$AT$1),INDEX(AU326:CB326,1,$AT$1)),"*云栖松*")=1,P325,0)</f>
        <v>0</v>
      </c>
      <c r="R325">
        <f ca="1">IFERROR(IF(COUNTIF(B325,"*莺鸣柳*")&gt;0,45-加速!$L$9,MAX(0,R324-(A325-A324))),0)</f>
        <v>0</v>
      </c>
      <c r="S325">
        <f ca="1">IF(COUNTIF(IF(AND(配装计算器!$K$30&lt;&gt;"∞",0),INDEX(AU324:CB324,1,$AT$1),INDEX(AU326:CB326,1,$AT$1)),"*莺鸣柳*")=1,R325,0)</f>
        <v>0</v>
      </c>
      <c r="T325">
        <f ca="1" t="shared" ref="T325:T388" si="76">IF(COUNTIF(B325,"*岚尘金蛇*")+COUNTIF(B325,"*千切子寒光*")&gt;0,A325,T324)</f>
        <v>0</v>
      </c>
      <c r="U325">
        <f ca="1">IF(金蛇,IF(COUNTIF(B325,"*金环戴*")+COUNTIF(B325,"*吹风醒*")&gt;0,IF(A325&lt;=3,7.125-2.625-A325-加速!$L$11,7.125+加速!$K$9-(A325+加速!$L$11-T325)),0),0)+IF(金蛇,IF(COUNTIF(B325,"*千切子裂光*")&gt;0,2+加速!$K$9-(A325+加速!$L$11-T325),0),0)</f>
        <v>0</v>
      </c>
      <c r="V325">
        <f ca="1" t="shared" ref="V325:V388" si="77">MAX(0,M325+O325+Q325+S325+AD325)+U325</f>
        <v>0</v>
      </c>
      <c r="W325">
        <f ca="1" t="shared" si="69"/>
        <v>0</v>
      </c>
      <c r="X325">
        <f ca="1">INDEX(加速!$I$13:$I$21,技能数计算!W325+1)</f>
        <v>0</v>
      </c>
      <c r="Y325">
        <f ca="1" t="shared" si="73"/>
        <v>0.5</v>
      </c>
      <c r="Z325">
        <f ca="1" t="shared" si="74"/>
        <v>0</v>
      </c>
      <c r="AA325">
        <f ca="1">MAX(0,IFERROR(IF(COUNTIF(B325,"*叠*")&gt;0,IF(AC324&lt;3,8-A326+A325,AA324+6.875-A326+A325),AA324-A326+A325),AA324-加速!$L$11))</f>
        <v>0</v>
      </c>
      <c r="AB325" t="e">
        <f ca="1">MAX(0,IF(COUNTIF(IF(AND(配装计算器!$K$30&lt;&gt;"∞",0),INDEX(AU325:CB325,1,$AT$1),INDEX(AU325:CB325,1,$AT$1)),"*叠1*")=1,4*25-加速!$L$11,AB324-A325+A324)-IF(OR(COUNTIF(OFFSET(AT325,0,$AT$1,1,1),"*听雷*")&gt;0,AND(碧归&gt;0,COUNTIF(OFFSET(AT325,0,$AT$1,1,1),"*风来*")&gt;0)),0,1)*1.5)</f>
        <v>#VALUE!</v>
      </c>
      <c r="AC325">
        <f ca="1" t="shared" si="70"/>
        <v>3</v>
      </c>
      <c r="AD325">
        <f ca="1">IF(COUNTIF(IF(AND(配装计算器!$K$30&lt;&gt;"∞",0),INDEX(AU325:CB325,1,$AT$1),INDEX(AU326:CB326,1,$AT$1)),"*叠1*")=1,AB325*0+AE324,0)</f>
        <v>0</v>
      </c>
      <c r="AE325" t="e">
        <f ca="1">IF($AN$11&gt;0,IF(COUNTIF(B326,"*叠1*")&gt;0,50-加速!$H$11,MAX(0,AE324-(A326-A325))),0)</f>
        <v>#VALUE!</v>
      </c>
      <c r="AU325" s="176" t="s">
        <v>2794</v>
      </c>
      <c r="AV325">
        <v>2</v>
      </c>
      <c r="AW325" t="str">
        <f>IF($AN$11=1,"云飞玉皇-玉山揽云","夕照雷峰")</f>
        <v>云飞玉皇-玉山揽云</v>
      </c>
      <c r="AX325">
        <v>2</v>
      </c>
      <c r="AY325" t="s">
        <v>2768</v>
      </c>
      <c r="AZ325">
        <v>1</v>
      </c>
      <c r="BA325" t="s">
        <v>2768</v>
      </c>
      <c r="BB325">
        <v>1</v>
      </c>
      <c r="BC325" t="s">
        <v>2776</v>
      </c>
      <c r="BD325">
        <v>1</v>
      </c>
      <c r="BE325" t="s">
        <v>2776</v>
      </c>
      <c r="BF325">
        <v>0</v>
      </c>
      <c r="BG325" t="s">
        <v>2776</v>
      </c>
      <c r="BH325">
        <v>1</v>
      </c>
      <c r="BI325" t="s">
        <v>2768</v>
      </c>
      <c r="BJ325">
        <v>2</v>
      </c>
      <c r="BK325" s="176" t="s">
        <v>2776</v>
      </c>
      <c r="BL325">
        <v>2</v>
      </c>
      <c r="BM325" t="str">
        <f>IF(0,"云飞玉皇-玉山揽云","夕照雷峰")</f>
        <v>夕照雷峰</v>
      </c>
      <c r="BN325">
        <v>2</v>
      </c>
      <c r="BO325" t="s">
        <v>2768</v>
      </c>
      <c r="BP325">
        <v>2</v>
      </c>
      <c r="BQ325" t="s">
        <v>2768</v>
      </c>
      <c r="BR325">
        <v>0</v>
      </c>
      <c r="BS325" s="176" t="s">
        <v>2768</v>
      </c>
      <c r="BT325">
        <v>2</v>
      </c>
      <c r="BU325" t="s">
        <v>2768</v>
      </c>
      <c r="BV325">
        <v>1</v>
      </c>
      <c r="BW325" s="182" t="s">
        <v>2768</v>
      </c>
      <c r="BX325" s="179">
        <v>2</v>
      </c>
      <c r="BY325" s="176" t="str">
        <f>IF(秋,"夕照雷峰","千切子裂光")</f>
        <v>千切子裂光</v>
      </c>
      <c r="BZ325">
        <v>2</v>
      </c>
      <c r="CA325" s="176" t="s">
        <v>2768</v>
      </c>
      <c r="CB325">
        <v>2</v>
      </c>
    </row>
    <row r="326" spans="1:80">
      <c r="A326" s="178" t="str">
        <f ca="1">IFERROR(IF(A325+加速!$L$11&lt;$AS$1,IF(COUNTIF(B325,"*轻*")&gt;0,A325+加速!$L$9,A325+加速!$L$11)+V325,IF(COUNTIF(INDEX(AU326:CB326,1,$AT$1),"*云景*")+COUNTIF(INDEX(AU326:CB326,1,$AT$1),"*鹤归*")+COUNTIF(INDEX(AU326:CB326,1,$AT$1),"*听雷*")&gt;0,A325+加速!$L$11,"")),"")</f>
        <v/>
      </c>
      <c r="B326" s="167" t="str">
        <f ca="1">IF(A326&lt;&gt;"",IF(AND(A326+加速!$L$11&gt;$AS$1,IF(AND(配装计算器!$K$30&lt;&gt;"∞",0),"梦泉虎跑-轻",INDEX(AU326:CB326,1,$AT$1))="云栖松"),"夕照雷峰",IF(AND(配装计算器!$K$30&lt;&gt;"∞",0),"梦泉虎跑-轻",INDEX(AU326:CB326,1,$AT$1))),"")</f>
        <v/>
      </c>
      <c r="C326" t="str">
        <f ca="1" t="shared" si="75"/>
        <v/>
      </c>
      <c r="D326" t="str">
        <f ca="1">IF(B326&lt;&gt;"",IF(C325&lt;=加速!$L$11*(1-E326),0,1),"")</f>
        <v/>
      </c>
      <c r="E326">
        <f ca="1" t="shared" si="71"/>
        <v>1</v>
      </c>
      <c r="G326" t="str">
        <f ca="1" t="shared" si="72"/>
        <v/>
      </c>
      <c r="H326" t="str">
        <f ca="1">IF(B326&lt;&gt;"",IF(AND(COUNTIF(B325,"*轻*莺鸣柳*")&gt;0,COUNTIF(B326,"*轻*")&lt;1),MAX(0,15+I325-(A326-A325)+COUNTIF(B325,"*平湖*")*0),IF(AND(E326=0,MAX(0,H325-(A326-A325))&lt;=加速!$H$11),0,MAX(0,H325-(A326-A325)))),"")</f>
        <v/>
      </c>
      <c r="I326" t="str">
        <f ca="1" t="shared" ref="I326:I389" si="78">IF(B326&lt;&gt;"",IF(COUNTIF(B326,"*轻*")&lt;1,0,IF(COUNTIF(B326,"*莺鸣*")&gt;0,8,MAX(0,I325-(A326-A325)))),"")</f>
        <v/>
      </c>
      <c r="J326" t="str">
        <f ca="1" t="shared" ref="J326:J389" si="79">IF(B326&lt;&gt;"",IF(AND(J325=1,OR(AND(COUNTIF(B326,"*云景*")&gt;0,COUNTIF(B321:B325,"*鹤归*")&gt;0),AND(落剑5=1,COUNTIF(B321:B325,"*鹤归*")&gt;0))),1,IF(COUNTIF(B325,"*鹤归*")&gt;0,4+_666三听,MAX(J325-1,0))),"")</f>
        <v/>
      </c>
      <c r="K326" t="str">
        <f ca="1">IF(A326&lt;&gt;"",IF(AND(配装计算器!$K$30&lt;&gt;"∞",0),2,INDEX(AU326:CB326,1,$AT$2)),"")</f>
        <v/>
      </c>
      <c r="L326">
        <f ca="1">IFERROR(IF(AND(COUNTIF(B326,"*-峰插*"),技能数据库!$M$72&gt;0),0,IF(COUNTIF(B326,"*鹤归*")&gt;0,16-加速!$L$11,MAX(0,L325-(A326-A325)))),0)</f>
        <v>0</v>
      </c>
      <c r="M326">
        <f ca="1">IF(COUNTIF(IF(AND(配装计算器!$K$30&lt;&gt;"∞",0),INDEX(AU325:CB325,1,$AT$1),INDEX(AU327:CB327,1,$AT$1)),"*鹤归*")=1,L326,0)</f>
        <v>0</v>
      </c>
      <c r="N326">
        <f ca="1">IFERROR(IF(AND(COUNTIF(B326,"*-峰插*"),技能数据库!$M$72&gt;0),0,IF(COUNTIF(B326,"*云飞*")&gt;0,4-COUNTIF(B326,"*玉山揽云*")*4--COUNTIF(B326,"*烟流暮景*")*4-COUNTIF(B326,"*云景*")*加速!$L$11-IF(J326&gt;0,2,0),MAX(0,N325-(A326-A325)-IF(J326&gt;0,2,0)))),0)</f>
        <v>0</v>
      </c>
      <c r="O326">
        <f ca="1">IF(AND(COUNTIF(IF(AND(配装计算器!$K$30&lt;&gt;"∞",0),INDEX(AU325:CB325,1,$AT$1),INDEX(AU327:CB327,1,$AT$1)),"*云飞*")=1,COUNTIF(IF(AND(配装计算器!$K$30&lt;&gt;"∞",0),INDEX(AU325:CB325,1,$AT$1),INDEX(AU327:CB327,1,$AT$1)),"*玉山*")=0),N326,0)</f>
        <v>0</v>
      </c>
      <c r="P326">
        <f ca="1">IFERROR(IF(COUNTIF(B326,"*云栖松*")&gt;0,50-加速!$L$11,MAX(0,P325-(A326-A325))),0)</f>
        <v>0</v>
      </c>
      <c r="Q326">
        <f ca="1">IF(COUNTIF(IF(AND(配装计算器!$K$30&lt;&gt;"∞",0),INDEX(AU325:CB325,1,$AT$1),INDEX(AU327:CB327,1,$AT$1)),"*云栖松*")=1,P326,0)</f>
        <v>0</v>
      </c>
      <c r="R326">
        <f ca="1">IFERROR(IF(COUNTIF(B326,"*莺鸣柳*")&gt;0,45-加速!$L$9,MAX(0,R325-(A326-A325))),0)</f>
        <v>0</v>
      </c>
      <c r="S326">
        <f ca="1">IF(COUNTIF(IF(AND(配装计算器!$K$30&lt;&gt;"∞",0),INDEX(AU325:CB325,1,$AT$1),INDEX(AU327:CB327,1,$AT$1)),"*莺鸣柳*")=1,R326,0)</f>
        <v>0</v>
      </c>
      <c r="T326">
        <f ca="1" t="shared" si="76"/>
        <v>0</v>
      </c>
      <c r="U326">
        <f ca="1">IF(金蛇,IF(COUNTIF(B326,"*金环戴*")+COUNTIF(B326,"*吹风醒*")&gt;0,IF(A326&lt;=3,7.125-2.625-A326-加速!$L$11,7.125+加速!$K$9-(A326+加速!$L$11-T326)),0),0)+IF(金蛇,IF(COUNTIF(B326,"*千切子裂光*")&gt;0,2+加速!$K$9-(A326+加速!$L$11-T326),0),0)</f>
        <v>0</v>
      </c>
      <c r="V326">
        <f ca="1" t="shared" si="77"/>
        <v>0</v>
      </c>
      <c r="W326">
        <f ca="1" t="shared" si="69"/>
        <v>0</v>
      </c>
      <c r="X326">
        <f ca="1">INDEX(加速!$I$13:$I$21,技能数计算!W326+1)</f>
        <v>0</v>
      </c>
      <c r="Y326">
        <f ca="1" t="shared" si="73"/>
        <v>0.5</v>
      </c>
      <c r="Z326">
        <f ca="1" t="shared" si="74"/>
        <v>0</v>
      </c>
      <c r="AA326">
        <f ca="1">MAX(0,IFERROR(IF(COUNTIF(B326,"*叠*")&gt;0,IF(AC325&lt;3,8-A327+A326,AA325+6.875-A327+A326),AA325-A327+A326),AA325-加速!$L$11))</f>
        <v>0</v>
      </c>
      <c r="AB326" t="e">
        <f ca="1">MAX(0,IF(COUNTIF(IF(AND(配装计算器!$K$30&lt;&gt;"∞",0),INDEX(AU326:CB326,1,$AT$1),INDEX(AU326:CB326,1,$AT$1)),"*叠1*")=1,4*25-加速!$L$11,AB325-A326+A325)-IF(OR(COUNTIF(OFFSET(AT326,0,$AT$1,1,1),"*听雷*")&gt;0,AND(碧归&gt;0,COUNTIF(OFFSET(AT326,0,$AT$1,1,1),"*风来*")&gt;0)),0,1)*1.5)</f>
        <v>#VALUE!</v>
      </c>
      <c r="AC326">
        <f ca="1" t="shared" si="70"/>
        <v>3</v>
      </c>
      <c r="AD326">
        <f ca="1">IF(COUNTIF(IF(AND(配装计算器!$K$30&lt;&gt;"∞",0),INDEX(AU326:CB326,1,$AT$1),INDEX(AU327:CB327,1,$AT$1)),"*叠1*")=1,AB326*0+AE325,0)</f>
        <v>0</v>
      </c>
      <c r="AE326" t="e">
        <f ca="1">IF($AN$11&gt;0,IF(COUNTIF(B327,"*叠1*")&gt;0,50-加速!$H$11,MAX(0,AE325-(A327-A326))),0)</f>
        <v>#VALUE!</v>
      </c>
      <c r="AU326" s="176" t="s">
        <v>2768</v>
      </c>
      <c r="AV326">
        <v>2</v>
      </c>
      <c r="AW326" t="str">
        <f>IF($AN$11=1,橙武补雾锁,"鹤归孤山")</f>
        <v>云飞玉皇-玉山揽云</v>
      </c>
      <c r="AX326">
        <v>2</v>
      </c>
      <c r="AY326" t="s">
        <v>2776</v>
      </c>
      <c r="AZ326">
        <v>1</v>
      </c>
      <c r="BA326" t="s">
        <v>2768</v>
      </c>
      <c r="BB326">
        <v>0</v>
      </c>
      <c r="BC326" t="s">
        <v>2768</v>
      </c>
      <c r="BD326">
        <v>1</v>
      </c>
      <c r="BE326" t="s">
        <v>2768</v>
      </c>
      <c r="BF326">
        <v>1</v>
      </c>
      <c r="BG326" t="s">
        <v>2768</v>
      </c>
      <c r="BH326">
        <v>1</v>
      </c>
      <c r="BI326" s="176" t="s">
        <v>2768</v>
      </c>
      <c r="BJ326">
        <v>1</v>
      </c>
      <c r="BK326" s="176" t="s">
        <v>2768</v>
      </c>
      <c r="BL326">
        <v>2</v>
      </c>
      <c r="BM326" s="176" t="str">
        <f>IF(秋,"云飞玉皇","夕照雷峰")</f>
        <v>夕照雷峰</v>
      </c>
      <c r="BN326">
        <v>2</v>
      </c>
      <c r="BO326" t="s">
        <v>2768</v>
      </c>
      <c r="BP326">
        <v>2</v>
      </c>
      <c r="BQ326" t="str">
        <f>IF(秋,"云栖松","泉凝月")</f>
        <v>泉凝月</v>
      </c>
      <c r="BR326">
        <v>0</v>
      </c>
      <c r="BS326" s="176" t="s">
        <v>2776</v>
      </c>
      <c r="BT326">
        <v>2</v>
      </c>
      <c r="BU326" t="s">
        <v>2776</v>
      </c>
      <c r="BV326">
        <v>1</v>
      </c>
      <c r="BW326" s="182" t="s">
        <v>2776</v>
      </c>
      <c r="BX326" s="179">
        <v>2</v>
      </c>
      <c r="BY326" t="str">
        <f>IF(0,"云飞玉皇-玉山揽云","夕照雷峰")</f>
        <v>夕照雷峰</v>
      </c>
      <c r="BZ326">
        <v>2</v>
      </c>
      <c r="CA326" s="176" t="s">
        <v>2776</v>
      </c>
      <c r="CB326">
        <v>2</v>
      </c>
    </row>
    <row r="327" spans="1:80">
      <c r="A327" s="178" t="str">
        <f ca="1">IFERROR(IF(A326+加速!$L$11&lt;$AS$1,IF(COUNTIF(B326,"*轻*")&gt;0,A326+加速!$L$9,A326+加速!$L$11)+V326,IF(COUNTIF(INDEX(AU327:CB327,1,$AT$1),"*云景*")+COUNTIF(INDEX(AU327:CB327,1,$AT$1),"*鹤归*")+COUNTIF(INDEX(AU327:CB327,1,$AT$1),"*听雷*")&gt;0,A326+加速!$L$11,"")),"")</f>
        <v/>
      </c>
      <c r="B327" s="167" t="str">
        <f ca="1">IF(A327&lt;&gt;"",IF(AND(A327+加速!$L$11&gt;$AS$1,IF(AND(配装计算器!$K$30&lt;&gt;"∞",0),"梦泉虎跑-轻",INDEX(AU327:CB327,1,$AT$1))="云栖松"),"夕照雷峰",IF(AND(配装计算器!$K$30&lt;&gt;"∞",0),"梦泉虎跑-轻",INDEX(AU327:CB327,1,$AT$1))),"")</f>
        <v/>
      </c>
      <c r="C327" t="str">
        <f ca="1" t="shared" si="75"/>
        <v/>
      </c>
      <c r="D327" t="str">
        <f ca="1">IF(B327&lt;&gt;"",IF(C326&lt;=加速!$L$11*(1-E327),0,1),"")</f>
        <v/>
      </c>
      <c r="E327">
        <f ca="1" t="shared" si="71"/>
        <v>1</v>
      </c>
      <c r="G327" t="str">
        <f ca="1" t="shared" si="72"/>
        <v/>
      </c>
      <c r="H327" t="str">
        <f ca="1">IF(B327&lt;&gt;"",IF(AND(COUNTIF(B326,"*轻*莺鸣柳*")&gt;0,COUNTIF(B327,"*轻*")&lt;1),MAX(0,15+I326-(A327-A326)+COUNTIF(B326,"*平湖*")*0),IF(AND(E327=0,MAX(0,H326-(A327-A326))&lt;=加速!$H$11),0,MAX(0,H326-(A327-A326)))),"")</f>
        <v/>
      </c>
      <c r="I327" t="str">
        <f ca="1" t="shared" si="78"/>
        <v/>
      </c>
      <c r="J327" t="str">
        <f ca="1" t="shared" si="79"/>
        <v/>
      </c>
      <c r="K327" t="str">
        <f ca="1">IF(A327&lt;&gt;"",IF(AND(配装计算器!$K$30&lt;&gt;"∞",0),2,INDEX(AU327:CB327,1,$AT$2)),"")</f>
        <v/>
      </c>
      <c r="L327">
        <f ca="1">IFERROR(IF(AND(COUNTIF(B327,"*-峰插*"),技能数据库!$M$72&gt;0),0,IF(COUNTIF(B327,"*鹤归*")&gt;0,16-加速!$L$11,MAX(0,L326-(A327-A326)))),0)</f>
        <v>0</v>
      </c>
      <c r="M327">
        <f ca="1">IF(COUNTIF(IF(AND(配装计算器!$K$30&lt;&gt;"∞",0),INDEX(AU326:CB326,1,$AT$1),INDEX(AU328:CB328,1,$AT$1)),"*鹤归*")=1,L327,0)</f>
        <v>0</v>
      </c>
      <c r="N327">
        <f ca="1">IFERROR(IF(AND(COUNTIF(B327,"*-峰插*"),技能数据库!$M$72&gt;0),0,IF(COUNTIF(B327,"*云飞*")&gt;0,4-COUNTIF(B327,"*玉山揽云*")*4--COUNTIF(B327,"*烟流暮景*")*4-COUNTIF(B327,"*云景*")*加速!$L$11-IF(J327&gt;0,2,0),MAX(0,N326-(A327-A326)-IF(J327&gt;0,2,0)))),0)</f>
        <v>0</v>
      </c>
      <c r="O327">
        <f ca="1">IF(AND(COUNTIF(IF(AND(配装计算器!$K$30&lt;&gt;"∞",0),INDEX(AU326:CB326,1,$AT$1),INDEX(AU328:CB328,1,$AT$1)),"*云飞*")=1,COUNTIF(IF(AND(配装计算器!$K$30&lt;&gt;"∞",0),INDEX(AU326:CB326,1,$AT$1),INDEX(AU328:CB328,1,$AT$1)),"*玉山*")=0),N327,0)</f>
        <v>0</v>
      </c>
      <c r="P327">
        <f ca="1">IFERROR(IF(COUNTIF(B327,"*云栖松*")&gt;0,50-加速!$L$11,MAX(0,P326-(A327-A326))),0)</f>
        <v>0</v>
      </c>
      <c r="Q327">
        <f ca="1">IF(COUNTIF(IF(AND(配装计算器!$K$30&lt;&gt;"∞",0),INDEX(AU326:CB326,1,$AT$1),INDEX(AU328:CB328,1,$AT$1)),"*云栖松*")=1,P327,0)</f>
        <v>0</v>
      </c>
      <c r="R327">
        <f ca="1">IFERROR(IF(COUNTIF(B327,"*莺鸣柳*")&gt;0,45-加速!$L$9,MAX(0,R326-(A327-A326))),0)</f>
        <v>0</v>
      </c>
      <c r="S327">
        <f ca="1">IF(COUNTIF(IF(AND(配装计算器!$K$30&lt;&gt;"∞",0),INDEX(AU326:CB326,1,$AT$1),INDEX(AU328:CB328,1,$AT$1)),"*莺鸣柳*")=1,R327,0)</f>
        <v>0</v>
      </c>
      <c r="T327">
        <f ca="1" t="shared" si="76"/>
        <v>0</v>
      </c>
      <c r="U327">
        <f ca="1">IF(金蛇,IF(COUNTIF(B327,"*金环戴*")+COUNTIF(B327,"*吹风醒*")&gt;0,IF(A327&lt;=3,7.125-2.625-A327-加速!$L$11,7.125+加速!$K$9-(A327+加速!$L$11-T327)),0),0)+IF(金蛇,IF(COUNTIF(B327,"*千切子裂光*")&gt;0,2+加速!$K$9-(A327+加速!$L$11-T327),0),0)</f>
        <v>0</v>
      </c>
      <c r="V327">
        <f ca="1" t="shared" si="77"/>
        <v>0</v>
      </c>
      <c r="W327">
        <f ca="1" t="shared" si="69"/>
        <v>0</v>
      </c>
      <c r="X327">
        <f ca="1">INDEX(加速!$I$13:$I$21,技能数计算!W327+1)</f>
        <v>0</v>
      </c>
      <c r="Y327">
        <f ca="1" t="shared" si="73"/>
        <v>0.5</v>
      </c>
      <c r="Z327">
        <f ca="1" t="shared" si="74"/>
        <v>0</v>
      </c>
      <c r="AA327">
        <f ca="1">MAX(0,IFERROR(IF(COUNTIF(B327,"*叠*")&gt;0,IF(AC326&lt;3,8-A328+A327,AA326+6.875-A328+A327),AA326-A328+A327),AA326-加速!$L$11))</f>
        <v>0</v>
      </c>
      <c r="AB327" t="e">
        <f ca="1">MAX(0,IF(COUNTIF(IF(AND(配装计算器!$K$30&lt;&gt;"∞",0),INDEX(AU327:CB327,1,$AT$1),INDEX(AU327:CB327,1,$AT$1)),"*叠1*")=1,4*25-加速!$L$11,AB326-A327+A326)-IF(OR(COUNTIF(OFFSET(AT327,0,$AT$1,1,1),"*听雷*")&gt;0,AND(碧归&gt;0,COUNTIF(OFFSET(AT327,0,$AT$1,1,1),"*风来*")&gt;0)),0,1)*1.5)</f>
        <v>#VALUE!</v>
      </c>
      <c r="AC327">
        <f ca="1" t="shared" si="70"/>
        <v>3</v>
      </c>
      <c r="AD327">
        <f ca="1">IF(COUNTIF(IF(AND(配装计算器!$K$30&lt;&gt;"∞",0),INDEX(AU327:CB327,1,$AT$1),INDEX(AU328:CB328,1,$AT$1)),"*叠1*")=1,AB327*0+AE326,0)</f>
        <v>0</v>
      </c>
      <c r="AE327" t="e">
        <f ca="1">IF($AN$11&gt;0,IF(COUNTIF(B328,"*叠1*")&gt;0,50-加速!$H$11,MAX(0,AE326-(A328-A327))),0)</f>
        <v>#VALUE!</v>
      </c>
      <c r="AU327" s="176" t="s">
        <v>2776</v>
      </c>
      <c r="AV327">
        <v>2</v>
      </c>
      <c r="AW327" s="176" t="str">
        <f>IF($AN$11=1,"夕照雷峰","夕照雷峰")</f>
        <v>夕照雷峰</v>
      </c>
      <c r="AX327">
        <v>2</v>
      </c>
      <c r="AY327" t="s">
        <v>2768</v>
      </c>
      <c r="AZ327">
        <v>1</v>
      </c>
      <c r="BA327" t="s">
        <v>3010</v>
      </c>
      <c r="BB327">
        <v>2</v>
      </c>
      <c r="BC327" t="s">
        <v>2794</v>
      </c>
      <c r="BD327">
        <v>2</v>
      </c>
      <c r="BE327" t="s">
        <v>2768</v>
      </c>
      <c r="BF327">
        <v>1</v>
      </c>
      <c r="BG327" t="s">
        <v>3011</v>
      </c>
      <c r="BH327">
        <v>2</v>
      </c>
      <c r="BI327" s="176" t="s">
        <v>2768</v>
      </c>
      <c r="BJ327">
        <v>1</v>
      </c>
      <c r="BK327" s="176" t="s">
        <v>2768</v>
      </c>
      <c r="BL327">
        <v>1</v>
      </c>
      <c r="BM327" s="176" t="str">
        <f>IF(秋,"夕照雷峰","云飞玉皇")</f>
        <v>云飞玉皇</v>
      </c>
      <c r="BN327">
        <v>2</v>
      </c>
      <c r="BO327" t="s">
        <v>2768</v>
      </c>
      <c r="BP327">
        <v>2</v>
      </c>
      <c r="BQ327" t="s">
        <v>2768</v>
      </c>
      <c r="BR327">
        <v>0</v>
      </c>
      <c r="BS327" s="176" t="s">
        <v>2768</v>
      </c>
      <c r="BT327">
        <v>2</v>
      </c>
      <c r="BU327" t="str">
        <f>IF(秋,"云栖松","泉凝月")</f>
        <v>泉凝月</v>
      </c>
      <c r="BV327">
        <v>0</v>
      </c>
      <c r="BW327" s="182" t="s">
        <v>2768</v>
      </c>
      <c r="BX327" s="179">
        <v>1</v>
      </c>
      <c r="BY327" t="s">
        <v>2776</v>
      </c>
      <c r="BZ327">
        <v>2</v>
      </c>
      <c r="CA327" s="176" t="s">
        <v>2768</v>
      </c>
      <c r="CB327">
        <v>2</v>
      </c>
    </row>
    <row r="328" spans="1:80">
      <c r="A328" s="178" t="str">
        <f ca="1">IFERROR(IF(A327+加速!$L$11&lt;$AS$1,IF(COUNTIF(B327,"*轻*")&gt;0,A327+加速!$L$9,A327+加速!$L$11)+V327,IF(COUNTIF(INDEX(AU328:CB328,1,$AT$1),"*云景*")+COUNTIF(INDEX(AU328:CB328,1,$AT$1),"*鹤归*")+COUNTIF(INDEX(AU328:CB328,1,$AT$1),"*听雷*")&gt;0,A327+加速!$L$11,"")),"")</f>
        <v/>
      </c>
      <c r="B328" s="167" t="str">
        <f ca="1">IF(A328&lt;&gt;"",IF(AND(A328+加速!$L$11&gt;$AS$1,IF(AND(配装计算器!$K$30&lt;&gt;"∞",0),"梦泉虎跑-轻",INDEX(AU328:CB328,1,$AT$1))="云栖松"),"夕照雷峰",IF(AND(配装计算器!$K$30&lt;&gt;"∞",0),"梦泉虎跑-轻",INDEX(AU328:CB328,1,$AT$1))),"")</f>
        <v/>
      </c>
      <c r="C328" t="str">
        <f ca="1" t="shared" si="75"/>
        <v/>
      </c>
      <c r="D328" t="str">
        <f ca="1">IF(B328&lt;&gt;"",IF(C327&lt;=加速!$L$11*(1-E328),0,1),"")</f>
        <v/>
      </c>
      <c r="E328">
        <f ca="1" t="shared" si="71"/>
        <v>1</v>
      </c>
      <c r="G328" t="str">
        <f ca="1" t="shared" si="72"/>
        <v/>
      </c>
      <c r="H328" t="str">
        <f ca="1">IF(B328&lt;&gt;"",IF(AND(COUNTIF(B327,"*轻*莺鸣柳*")&gt;0,COUNTIF(B328,"*轻*")&lt;1),MAX(0,15+I327-(A328-A327)+COUNTIF(B327,"*平湖*")*0),IF(AND(E328=0,MAX(0,H327-(A328-A327))&lt;=加速!$H$11),0,MAX(0,H327-(A328-A327)))),"")</f>
        <v/>
      </c>
      <c r="I328" t="str">
        <f ca="1" t="shared" si="78"/>
        <v/>
      </c>
      <c r="J328" t="str">
        <f ca="1" t="shared" si="79"/>
        <v/>
      </c>
      <c r="K328" t="str">
        <f ca="1">IF(A328&lt;&gt;"",IF(AND(配装计算器!$K$30&lt;&gt;"∞",0),2,INDEX(AU328:CB328,1,$AT$2)),"")</f>
        <v/>
      </c>
      <c r="L328">
        <f ca="1">IFERROR(IF(AND(COUNTIF(B328,"*-峰插*"),技能数据库!$M$72&gt;0),0,IF(COUNTIF(B328,"*鹤归*")&gt;0,16-加速!$L$11,MAX(0,L327-(A328-A327)))),0)</f>
        <v>0</v>
      </c>
      <c r="M328">
        <f ca="1">IF(COUNTIF(IF(AND(配装计算器!$K$30&lt;&gt;"∞",0),INDEX(AU327:CB327,1,$AT$1),INDEX(AU329:CB329,1,$AT$1)),"*鹤归*")=1,L328,0)</f>
        <v>0</v>
      </c>
      <c r="N328">
        <f ca="1">IFERROR(IF(AND(COUNTIF(B328,"*-峰插*"),技能数据库!$M$72&gt;0),0,IF(COUNTIF(B328,"*云飞*")&gt;0,4-COUNTIF(B328,"*玉山揽云*")*4--COUNTIF(B328,"*烟流暮景*")*4-COUNTIF(B328,"*云景*")*加速!$L$11-IF(J328&gt;0,2,0),MAX(0,N327-(A328-A327)-IF(J328&gt;0,2,0)))),0)</f>
        <v>0</v>
      </c>
      <c r="O328">
        <f ca="1">IF(AND(COUNTIF(IF(AND(配装计算器!$K$30&lt;&gt;"∞",0),INDEX(AU327:CB327,1,$AT$1),INDEX(AU329:CB329,1,$AT$1)),"*云飞*")=1,COUNTIF(IF(AND(配装计算器!$K$30&lt;&gt;"∞",0),INDEX(AU327:CB327,1,$AT$1),INDEX(AU329:CB329,1,$AT$1)),"*玉山*")=0),N328,0)</f>
        <v>0</v>
      </c>
      <c r="P328">
        <f ca="1">IFERROR(IF(COUNTIF(B328,"*云栖松*")&gt;0,50-加速!$L$11,MAX(0,P327-(A328-A327))),0)</f>
        <v>0</v>
      </c>
      <c r="Q328">
        <f ca="1">IF(COUNTIF(IF(AND(配装计算器!$K$30&lt;&gt;"∞",0),INDEX(AU327:CB327,1,$AT$1),INDEX(AU329:CB329,1,$AT$1)),"*云栖松*")=1,P328,0)</f>
        <v>0</v>
      </c>
      <c r="R328">
        <f ca="1">IFERROR(IF(COUNTIF(B328,"*莺鸣柳*")&gt;0,45-加速!$L$9,MAX(0,R327-(A328-A327))),0)</f>
        <v>0</v>
      </c>
      <c r="S328">
        <f ca="1">IF(COUNTIF(IF(AND(配装计算器!$K$30&lt;&gt;"∞",0),INDEX(AU327:CB327,1,$AT$1),INDEX(AU329:CB329,1,$AT$1)),"*莺鸣柳*")=1,R328,0)</f>
        <v>0</v>
      </c>
      <c r="T328">
        <f ca="1" t="shared" si="76"/>
        <v>0</v>
      </c>
      <c r="U328">
        <f ca="1">IF(金蛇,IF(COUNTIF(B328,"*金环戴*")+COUNTIF(B328,"*吹风醒*")&gt;0,IF(A328&lt;=3,7.125-2.625-A328-加速!$L$11,7.125+加速!$K$9-(A328+加速!$L$11-T328)),0),0)+IF(金蛇,IF(COUNTIF(B328,"*千切子裂光*")&gt;0,2+加速!$K$9-(A328+加速!$L$11-T328),0),0)</f>
        <v>0</v>
      </c>
      <c r="V328">
        <f ca="1" t="shared" si="77"/>
        <v>0</v>
      </c>
      <c r="W328">
        <f ca="1" t="shared" si="69"/>
        <v>0</v>
      </c>
      <c r="X328">
        <f ca="1">INDEX(加速!$I$13:$I$21,技能数计算!W328+1)</f>
        <v>0</v>
      </c>
      <c r="Y328">
        <f ca="1" t="shared" si="73"/>
        <v>0.5</v>
      </c>
      <c r="Z328">
        <f ca="1" t="shared" si="74"/>
        <v>0</v>
      </c>
      <c r="AA328">
        <f ca="1">MAX(0,IFERROR(IF(COUNTIF(B328,"*叠*")&gt;0,IF(AC327&lt;3,8-A329+A328,AA327+6.875-A329+A328),AA327-A329+A328),AA327-加速!$L$11))</f>
        <v>0</v>
      </c>
      <c r="AB328" t="e">
        <f ca="1">MAX(0,IF(COUNTIF(IF(AND(配装计算器!$K$30&lt;&gt;"∞",0),INDEX(AU328:CB328,1,$AT$1),INDEX(AU328:CB328,1,$AT$1)),"*叠1*")=1,4*25-加速!$L$11,AB327-A328+A327)-IF(OR(COUNTIF(OFFSET(AT328,0,$AT$1,1,1),"*听雷*")&gt;0,AND(碧归&gt;0,COUNTIF(OFFSET(AT328,0,$AT$1,1,1),"*风来*")&gt;0)),0,1)*1.5)</f>
        <v>#VALUE!</v>
      </c>
      <c r="AC328">
        <f ca="1" t="shared" si="70"/>
        <v>3</v>
      </c>
      <c r="AD328">
        <f ca="1">IF(COUNTIF(IF(AND(配装计算器!$K$30&lt;&gt;"∞",0),INDEX(AU328:CB328,1,$AT$1),INDEX(AU329:CB329,1,$AT$1)),"*叠1*")=1,AB328*0+AE327,0)</f>
        <v>0</v>
      </c>
      <c r="AE328" t="e">
        <f ca="1">IF($AN$11&gt;0,IF(COUNTIF(B329,"*叠1*")&gt;0,50-加速!$H$11,MAX(0,AE327-(A329-A328))),0)</f>
        <v>#VALUE!</v>
      </c>
      <c r="AU328" s="176" t="s">
        <v>2768</v>
      </c>
      <c r="AV328">
        <v>2</v>
      </c>
      <c r="AW328" t="str">
        <f>IF($AN$11=1,"鹤归孤山","云飞玉皇")</f>
        <v>鹤归孤山</v>
      </c>
      <c r="AX328">
        <v>2</v>
      </c>
      <c r="AY328" t="s">
        <v>2768</v>
      </c>
      <c r="AZ328">
        <v>0</v>
      </c>
      <c r="BA328" t="s">
        <v>3013</v>
      </c>
      <c r="BB328">
        <v>2</v>
      </c>
      <c r="BC328" t="s">
        <v>2768</v>
      </c>
      <c r="BD328">
        <v>2</v>
      </c>
      <c r="BE328" t="s">
        <v>2794</v>
      </c>
      <c r="BF328">
        <v>0</v>
      </c>
      <c r="BG328" t="s">
        <v>2768</v>
      </c>
      <c r="BH328">
        <v>2</v>
      </c>
      <c r="BI328" s="176" t="s">
        <v>2776</v>
      </c>
      <c r="BJ328">
        <v>0</v>
      </c>
      <c r="BK328" s="176" t="s">
        <v>2768</v>
      </c>
      <c r="BL328">
        <v>1</v>
      </c>
      <c r="BM328" s="176" t="s">
        <v>2794</v>
      </c>
      <c r="BN328">
        <v>2</v>
      </c>
      <c r="BO328" t="s">
        <v>2776</v>
      </c>
      <c r="BP328">
        <v>2</v>
      </c>
      <c r="BQ328" t="s">
        <v>2776</v>
      </c>
      <c r="BR328">
        <v>2</v>
      </c>
      <c r="BS328" s="176" t="s">
        <v>2794</v>
      </c>
      <c r="BT328">
        <v>2</v>
      </c>
      <c r="BU328" t="s">
        <v>2768</v>
      </c>
      <c r="BV328">
        <v>0</v>
      </c>
      <c r="BW328" s="182" t="s">
        <v>2776</v>
      </c>
      <c r="BX328" s="179">
        <v>1</v>
      </c>
      <c r="BY328" s="176" t="s">
        <v>2794</v>
      </c>
      <c r="BZ328">
        <v>2</v>
      </c>
      <c r="CA328" s="176" t="s">
        <v>2808</v>
      </c>
      <c r="CB328">
        <v>2</v>
      </c>
    </row>
    <row r="329" spans="1:80">
      <c r="A329" s="178" t="str">
        <f ca="1">IFERROR(IF(A328+加速!$L$11&lt;$AS$1,IF(COUNTIF(B328,"*轻*")&gt;0,A328+加速!$L$9,A328+加速!$L$11)+V328,IF(COUNTIF(INDEX(AU329:CB329,1,$AT$1),"*云景*")+COUNTIF(INDEX(AU329:CB329,1,$AT$1),"*鹤归*")+COUNTIF(INDEX(AU329:CB329,1,$AT$1),"*听雷*")&gt;0,A328+加速!$L$11,"")),"")</f>
        <v/>
      </c>
      <c r="B329" s="167" t="str">
        <f ca="1">IF(A329&lt;&gt;"",IF(AND(A329+加速!$L$11&gt;$AS$1,IF(AND(配装计算器!$K$30&lt;&gt;"∞",0),"梦泉虎跑-轻",INDEX(AU329:CB329,1,$AT$1))="云栖松"),"夕照雷峰",IF(AND(配装计算器!$K$30&lt;&gt;"∞",0),"梦泉虎跑-轻",INDEX(AU329:CB329,1,$AT$1))),"")</f>
        <v/>
      </c>
      <c r="C329" t="str">
        <f ca="1" t="shared" si="75"/>
        <v/>
      </c>
      <c r="D329" t="str">
        <f ca="1">IF(B329&lt;&gt;"",IF(C328&lt;=加速!$L$11*(1-E329),0,1),"")</f>
        <v/>
      </c>
      <c r="E329">
        <f ca="1" t="shared" si="71"/>
        <v>1</v>
      </c>
      <c r="G329" t="str">
        <f ca="1" t="shared" si="72"/>
        <v/>
      </c>
      <c r="H329" t="str">
        <f ca="1">IF(B329&lt;&gt;"",IF(AND(COUNTIF(B328,"*轻*莺鸣柳*")&gt;0,COUNTIF(B329,"*轻*")&lt;1),MAX(0,15+I328-(A329-A328)+COUNTIF(B328,"*平湖*")*0),IF(AND(E329=0,MAX(0,H328-(A329-A328))&lt;=加速!$H$11),0,MAX(0,H328-(A329-A328)))),"")</f>
        <v/>
      </c>
      <c r="I329" t="str">
        <f ca="1" t="shared" si="78"/>
        <v/>
      </c>
      <c r="J329" t="str">
        <f ca="1" t="shared" si="79"/>
        <v/>
      </c>
      <c r="K329" t="str">
        <f ca="1">IF(A329&lt;&gt;"",IF(AND(配装计算器!$K$30&lt;&gt;"∞",0),2,INDEX(AU329:CB329,1,$AT$2)),"")</f>
        <v/>
      </c>
      <c r="L329">
        <f ca="1">IFERROR(IF(AND(COUNTIF(B329,"*-峰插*"),技能数据库!$M$72&gt;0),0,IF(COUNTIF(B329,"*鹤归*")&gt;0,16-加速!$L$11,MAX(0,L328-(A329-A328)))),0)</f>
        <v>0</v>
      </c>
      <c r="M329">
        <f ca="1">IF(COUNTIF(IF(AND(配装计算器!$K$30&lt;&gt;"∞",0),INDEX(AU328:CB328,1,$AT$1),INDEX(AU330:CB330,1,$AT$1)),"*鹤归*")=1,L329,0)</f>
        <v>0</v>
      </c>
      <c r="N329">
        <f ca="1">IFERROR(IF(AND(COUNTIF(B329,"*-峰插*"),技能数据库!$M$72&gt;0),0,IF(COUNTIF(B329,"*云飞*")&gt;0,4-COUNTIF(B329,"*玉山揽云*")*4--COUNTIF(B329,"*烟流暮景*")*4-COUNTIF(B329,"*云景*")*加速!$L$11-IF(J329&gt;0,2,0),MAX(0,N328-(A329-A328)-IF(J329&gt;0,2,0)))),0)</f>
        <v>0</v>
      </c>
      <c r="O329">
        <f ca="1">IF(AND(COUNTIF(IF(AND(配装计算器!$K$30&lt;&gt;"∞",0),INDEX(AU328:CB328,1,$AT$1),INDEX(AU330:CB330,1,$AT$1)),"*云飞*")=1,COUNTIF(IF(AND(配装计算器!$K$30&lt;&gt;"∞",0),INDEX(AU328:CB328,1,$AT$1),INDEX(AU330:CB330,1,$AT$1)),"*玉山*")=0),N329,0)</f>
        <v>0</v>
      </c>
      <c r="P329">
        <f ca="1">IFERROR(IF(COUNTIF(B329,"*云栖松*")&gt;0,50-加速!$L$11,MAX(0,P328-(A329-A328))),0)</f>
        <v>0</v>
      </c>
      <c r="Q329">
        <f ca="1">IF(COUNTIF(IF(AND(配装计算器!$K$30&lt;&gt;"∞",0),INDEX(AU328:CB328,1,$AT$1),INDEX(AU330:CB330,1,$AT$1)),"*云栖松*")=1,P329,0)</f>
        <v>0</v>
      </c>
      <c r="R329">
        <f ca="1">IFERROR(IF(COUNTIF(B329,"*莺鸣柳*")&gt;0,45-加速!$L$9,MAX(0,R328-(A329-A328))),0)</f>
        <v>0</v>
      </c>
      <c r="S329">
        <f ca="1">IF(COUNTIF(IF(AND(配装计算器!$K$30&lt;&gt;"∞",0),INDEX(AU328:CB328,1,$AT$1),INDEX(AU330:CB330,1,$AT$1)),"*莺鸣柳*")=1,R329,0)</f>
        <v>0</v>
      </c>
      <c r="T329">
        <f ca="1" t="shared" si="76"/>
        <v>0</v>
      </c>
      <c r="U329">
        <f ca="1">IF(金蛇,IF(COUNTIF(B329,"*金环戴*")+COUNTIF(B329,"*吹风醒*")&gt;0,IF(A329&lt;=3,7.125-2.625-A329-加速!$L$11,7.125+加速!$K$9-(A329+加速!$L$11-T329)),0),0)+IF(金蛇,IF(COUNTIF(B329,"*千切子裂光*")&gt;0,2+加速!$K$9-(A329+加速!$L$11-T329),0),0)</f>
        <v>0</v>
      </c>
      <c r="V329">
        <f ca="1" t="shared" si="77"/>
        <v>0</v>
      </c>
      <c r="W329">
        <f ca="1" t="shared" si="69"/>
        <v>0</v>
      </c>
      <c r="X329">
        <f ca="1">INDEX(加速!$I$13:$I$21,技能数计算!W329+1)</f>
        <v>0</v>
      </c>
      <c r="Y329">
        <f ca="1" t="shared" si="73"/>
        <v>0.5</v>
      </c>
      <c r="Z329">
        <f ca="1" t="shared" si="74"/>
        <v>0</v>
      </c>
      <c r="AA329">
        <f ca="1">MAX(0,IFERROR(IF(COUNTIF(B329,"*叠*")&gt;0,IF(AC328&lt;3,8-A330+A329,AA328+6.875-A330+A329),AA328-A330+A329),AA328-加速!$L$11))</f>
        <v>0</v>
      </c>
      <c r="AB329" t="e">
        <f ca="1">MAX(0,IF(COUNTIF(IF(AND(配装计算器!$K$30&lt;&gt;"∞",0),INDEX(AU329:CB329,1,$AT$1),INDEX(AU329:CB329,1,$AT$1)),"*叠1*")=1,4*25-加速!$L$11,AB328-A329+A328)-IF(OR(COUNTIF(OFFSET(AT329,0,$AT$1,1,1),"*听雷*")&gt;0,AND(碧归&gt;0,COUNTIF(OFFSET(AT329,0,$AT$1,1,1),"*风来*")&gt;0)),0,1)*1.5)</f>
        <v>#VALUE!</v>
      </c>
      <c r="AC329">
        <f ca="1" t="shared" si="70"/>
        <v>3</v>
      </c>
      <c r="AD329">
        <f ca="1">IF(COUNTIF(IF(AND(配装计算器!$K$30&lt;&gt;"∞",0),INDEX(AU329:CB329,1,$AT$1),INDEX(AU330:CB330,1,$AT$1)),"*叠1*")=1,AB329*0+AE328,0)</f>
        <v>0</v>
      </c>
      <c r="AE329" t="e">
        <f ca="1">IF($AN$11&gt;0,IF(COUNTIF(B330,"*叠1*")&gt;0,50-加速!$H$11,MAX(0,AE328-(A330-A329))),0)</f>
        <v>#VALUE!</v>
      </c>
      <c r="AU329" s="176" t="s">
        <v>2776</v>
      </c>
      <c r="AV329">
        <v>2</v>
      </c>
      <c r="AW329" t="str">
        <f>IF($AN$11=1,"云飞玉皇","夕照雷峰")</f>
        <v>云飞玉皇</v>
      </c>
      <c r="AX329">
        <v>2</v>
      </c>
      <c r="AY329" t="s">
        <v>3010</v>
      </c>
      <c r="AZ329">
        <v>2</v>
      </c>
      <c r="BA329" t="s">
        <v>3017</v>
      </c>
      <c r="BB329">
        <v>2</v>
      </c>
      <c r="BC329" t="s">
        <v>2776</v>
      </c>
      <c r="BD329">
        <v>2</v>
      </c>
      <c r="BE329" t="s">
        <v>2776</v>
      </c>
      <c r="BF329">
        <v>0</v>
      </c>
      <c r="BG329" t="s">
        <v>3018</v>
      </c>
      <c r="BH329">
        <v>2</v>
      </c>
      <c r="BI329" t="s">
        <v>2794</v>
      </c>
      <c r="BJ329">
        <v>0</v>
      </c>
      <c r="BK329" s="176" t="s">
        <v>2776</v>
      </c>
      <c r="BL329">
        <v>0</v>
      </c>
      <c r="BM329" s="176" t="s">
        <v>2768</v>
      </c>
      <c r="BN329">
        <v>2</v>
      </c>
      <c r="BO329" t="s">
        <v>2768</v>
      </c>
      <c r="BP329">
        <v>2</v>
      </c>
      <c r="BQ329" t="s">
        <v>1886</v>
      </c>
      <c r="BR329">
        <v>2</v>
      </c>
      <c r="BS329" t="s">
        <v>2768</v>
      </c>
      <c r="BT329">
        <v>2</v>
      </c>
      <c r="BU329" t="s">
        <v>2776</v>
      </c>
      <c r="BV329">
        <v>0</v>
      </c>
      <c r="BW329" s="182" t="s">
        <v>2768</v>
      </c>
      <c r="BX329" s="179">
        <v>1</v>
      </c>
      <c r="BY329" s="176" t="s">
        <v>2768</v>
      </c>
      <c r="BZ329">
        <v>2</v>
      </c>
      <c r="CA329" t="s">
        <v>2768</v>
      </c>
      <c r="CB329">
        <v>2</v>
      </c>
    </row>
    <row r="330" spans="1:80">
      <c r="A330" s="178" t="str">
        <f ca="1">IFERROR(IF(A329+加速!$L$11&lt;$AS$1,IF(COUNTIF(B329,"*轻*")&gt;0,A329+加速!$L$9,A329+加速!$L$11)+V329,IF(COUNTIF(INDEX(AU330:CB330,1,$AT$1),"*云景*")+COUNTIF(INDEX(AU330:CB330,1,$AT$1),"*鹤归*")+COUNTIF(INDEX(AU330:CB330,1,$AT$1),"*听雷*")&gt;0,A329+加速!$L$11,"")),"")</f>
        <v/>
      </c>
      <c r="B330" s="167" t="str">
        <f ca="1">IF(A330&lt;&gt;"",IF(AND(A330+加速!$L$11&gt;$AS$1,IF(AND(配装计算器!$K$30&lt;&gt;"∞",0),"梦泉虎跑-轻",INDEX(AU330:CB330,1,$AT$1))="云栖松"),"夕照雷峰",IF(AND(配装计算器!$K$30&lt;&gt;"∞",0),"梦泉虎跑-轻",INDEX(AU330:CB330,1,$AT$1))),"")</f>
        <v/>
      </c>
      <c r="C330" t="str">
        <f ca="1" t="shared" si="75"/>
        <v/>
      </c>
      <c r="D330" t="str">
        <f ca="1">IF(B330&lt;&gt;"",IF(C329&lt;=加速!$L$11*(1-E330),0,1),"")</f>
        <v/>
      </c>
      <c r="E330">
        <f ca="1" t="shared" si="71"/>
        <v>1</v>
      </c>
      <c r="G330" t="str">
        <f ca="1" t="shared" si="72"/>
        <v/>
      </c>
      <c r="H330" t="str">
        <f ca="1">IF(B330&lt;&gt;"",IF(AND(COUNTIF(B329,"*轻*莺鸣柳*")&gt;0,COUNTIF(B330,"*轻*")&lt;1),MAX(0,15+I329-(A330-A329)+COUNTIF(B329,"*平湖*")*0),IF(AND(E330=0,MAX(0,H329-(A330-A329))&lt;=加速!$H$11),0,MAX(0,H329-(A330-A329)))),"")</f>
        <v/>
      </c>
      <c r="I330" t="str">
        <f ca="1" t="shared" si="78"/>
        <v/>
      </c>
      <c r="J330" t="str">
        <f ca="1" t="shared" si="79"/>
        <v/>
      </c>
      <c r="K330" t="str">
        <f ca="1">IF(A330&lt;&gt;"",IF(AND(配装计算器!$K$30&lt;&gt;"∞",0),2,INDEX(AU330:CB330,1,$AT$2)),"")</f>
        <v/>
      </c>
      <c r="L330">
        <f ca="1">IFERROR(IF(AND(COUNTIF(B330,"*-峰插*"),技能数据库!$M$72&gt;0),0,IF(COUNTIF(B330,"*鹤归*")&gt;0,16-加速!$L$11,MAX(0,L329-(A330-A329)))),0)</f>
        <v>0</v>
      </c>
      <c r="M330">
        <f ca="1">IF(COUNTIF(IF(AND(配装计算器!$K$30&lt;&gt;"∞",0),INDEX(AU329:CB329,1,$AT$1),INDEX(AU331:CB331,1,$AT$1)),"*鹤归*")=1,L330,0)</f>
        <v>0</v>
      </c>
      <c r="N330">
        <f ca="1">IFERROR(IF(AND(COUNTIF(B330,"*-峰插*"),技能数据库!$M$72&gt;0),0,IF(COUNTIF(B330,"*云飞*")&gt;0,4-COUNTIF(B330,"*玉山揽云*")*4--COUNTIF(B330,"*烟流暮景*")*4-COUNTIF(B330,"*云景*")*加速!$L$11-IF(J330&gt;0,2,0),MAX(0,N329-(A330-A329)-IF(J330&gt;0,2,0)))),0)</f>
        <v>0</v>
      </c>
      <c r="O330">
        <f ca="1">IF(AND(COUNTIF(IF(AND(配装计算器!$K$30&lt;&gt;"∞",0),INDEX(AU329:CB329,1,$AT$1),INDEX(AU331:CB331,1,$AT$1)),"*云飞*")=1,COUNTIF(IF(AND(配装计算器!$K$30&lt;&gt;"∞",0),INDEX(AU329:CB329,1,$AT$1),INDEX(AU331:CB331,1,$AT$1)),"*玉山*")=0),N330,0)</f>
        <v>0</v>
      </c>
      <c r="P330">
        <f ca="1">IFERROR(IF(COUNTIF(B330,"*云栖松*")&gt;0,50-加速!$L$11,MAX(0,P329-(A330-A329))),0)</f>
        <v>0</v>
      </c>
      <c r="Q330">
        <f ca="1">IF(COUNTIF(IF(AND(配装计算器!$K$30&lt;&gt;"∞",0),INDEX(AU329:CB329,1,$AT$1),INDEX(AU331:CB331,1,$AT$1)),"*云栖松*")=1,P330,0)</f>
        <v>0</v>
      </c>
      <c r="R330">
        <f ca="1">IFERROR(IF(COUNTIF(B330,"*莺鸣柳*")&gt;0,45-加速!$L$9,MAX(0,R329-(A330-A329))),0)</f>
        <v>0</v>
      </c>
      <c r="S330">
        <f ca="1">IF(COUNTIF(IF(AND(配装计算器!$K$30&lt;&gt;"∞",0),INDEX(AU329:CB329,1,$AT$1),INDEX(AU331:CB331,1,$AT$1)),"*莺鸣柳*")=1,R330,0)</f>
        <v>0</v>
      </c>
      <c r="T330">
        <f ca="1" t="shared" si="76"/>
        <v>0</v>
      </c>
      <c r="U330">
        <f ca="1">IF(金蛇,IF(COUNTIF(B330,"*金环戴*")+COUNTIF(B330,"*吹风醒*")&gt;0,IF(A330&lt;=3,7.125-2.625-A330-加速!$L$11,7.125+加速!$K$9-(A330+加速!$L$11-T330)),0),0)+IF(金蛇,IF(COUNTIF(B330,"*千切子裂光*")&gt;0,2+加速!$K$9-(A330+加速!$L$11-T330),0),0)</f>
        <v>0</v>
      </c>
      <c r="V330">
        <f ca="1" t="shared" si="77"/>
        <v>0</v>
      </c>
      <c r="W330">
        <f ca="1" t="shared" si="69"/>
        <v>0</v>
      </c>
      <c r="X330">
        <f ca="1">INDEX(加速!$I$13:$I$21,技能数计算!W330+1)</f>
        <v>0</v>
      </c>
      <c r="Y330">
        <f ca="1" t="shared" si="73"/>
        <v>0.5</v>
      </c>
      <c r="Z330">
        <f ca="1" t="shared" si="74"/>
        <v>0</v>
      </c>
      <c r="AA330">
        <f ca="1">MAX(0,IFERROR(IF(COUNTIF(B330,"*叠*")&gt;0,IF(AC329&lt;3,8-A331+A330,AA329+6.875-A331+A330),AA329-A331+A330),AA329-加速!$L$11))</f>
        <v>0</v>
      </c>
      <c r="AB330" t="e">
        <f ca="1">MAX(0,IF(COUNTIF(IF(AND(配装计算器!$K$30&lt;&gt;"∞",0),INDEX(AU330:CB330,1,$AT$1),INDEX(AU330:CB330,1,$AT$1)),"*叠1*")=1,4*25-加速!$L$11,AB329-A330+A329)-IF(OR(COUNTIF(OFFSET(AT330,0,$AT$1,1,1),"*听雷*")&gt;0,AND(碧归&gt;0,COUNTIF(OFFSET(AT330,0,$AT$1,1,1),"*风来*")&gt;0)),0,1)*1.5)</f>
        <v>#VALUE!</v>
      </c>
      <c r="AC330">
        <f ca="1" t="shared" si="70"/>
        <v>3</v>
      </c>
      <c r="AD330">
        <f ca="1">IF(COUNTIF(IF(AND(配装计算器!$K$30&lt;&gt;"∞",0),INDEX(AU330:CB330,1,$AT$1),INDEX(AU331:CB331,1,$AT$1)),"*叠1*")=1,AB330*0+AE329,0)</f>
        <v>0</v>
      </c>
      <c r="AE330" t="e">
        <f ca="1">IF($AN$11&gt;0,IF(COUNTIF(B331,"*叠1*")&gt;0,50-加速!$H$11,MAX(0,AE329-(A331-A330))),0)</f>
        <v>#VALUE!</v>
      </c>
      <c r="AU330" s="176" t="s">
        <v>2768</v>
      </c>
      <c r="AV330">
        <v>1</v>
      </c>
      <c r="AW330" t="str">
        <f>IF($AN$11=1,"夕照雷峰","云飞玉皇")</f>
        <v>夕照雷峰</v>
      </c>
      <c r="AX330">
        <v>2</v>
      </c>
      <c r="AY330" t="s">
        <v>3013</v>
      </c>
      <c r="AZ330">
        <v>2</v>
      </c>
      <c r="BA330" t="s">
        <v>2808</v>
      </c>
      <c r="BB330">
        <v>2</v>
      </c>
      <c r="BC330" t="s">
        <v>2768</v>
      </c>
      <c r="BD330">
        <v>2</v>
      </c>
      <c r="BE330" t="s">
        <v>2768</v>
      </c>
      <c r="BF330">
        <v>0</v>
      </c>
      <c r="BG330" t="s">
        <v>2768</v>
      </c>
      <c r="BH330">
        <v>2</v>
      </c>
      <c r="BI330" t="s">
        <v>2768</v>
      </c>
      <c r="BJ330">
        <v>2</v>
      </c>
      <c r="BK330" t="s">
        <v>2768</v>
      </c>
      <c r="BL330">
        <v>0</v>
      </c>
      <c r="BM330" s="176" t="s">
        <v>2776</v>
      </c>
      <c r="BN330">
        <v>2</v>
      </c>
      <c r="BO330" t="s">
        <v>2768</v>
      </c>
      <c r="BP330">
        <v>2</v>
      </c>
      <c r="BQ330" t="s">
        <v>2853</v>
      </c>
      <c r="BR330">
        <v>2</v>
      </c>
      <c r="BS330" t="s">
        <v>2776</v>
      </c>
      <c r="BT330">
        <v>2</v>
      </c>
      <c r="BU330" t="s">
        <v>1886</v>
      </c>
      <c r="BV330">
        <v>0</v>
      </c>
      <c r="BW330" s="182" t="s">
        <v>2776</v>
      </c>
      <c r="BX330" s="179">
        <v>1</v>
      </c>
      <c r="BY330" s="176" t="s">
        <v>2776</v>
      </c>
      <c r="BZ330">
        <v>2</v>
      </c>
      <c r="CA330" t="s">
        <v>2776</v>
      </c>
      <c r="CB330">
        <v>2</v>
      </c>
    </row>
    <row r="331" spans="1:80">
      <c r="A331" s="178" t="str">
        <f ca="1">IFERROR(IF(A330+加速!$L$11&lt;$AS$1,IF(COUNTIF(B330,"*轻*")&gt;0,A330+加速!$L$9,A330+加速!$L$11)+V330,IF(COUNTIF(INDEX(AU331:CB331,1,$AT$1),"*云景*")+COUNTIF(INDEX(AU331:CB331,1,$AT$1),"*鹤归*")+COUNTIF(INDEX(AU331:CB331,1,$AT$1),"*听雷*")&gt;0,A330+加速!$L$11,"")),"")</f>
        <v/>
      </c>
      <c r="B331" s="167" t="str">
        <f ca="1">IF(A331&lt;&gt;"",IF(AND(A331+加速!$L$11&gt;$AS$1,IF(AND(配装计算器!$K$30&lt;&gt;"∞",0),"梦泉虎跑-轻",INDEX(AU331:CB331,1,$AT$1))="云栖松"),"夕照雷峰",IF(AND(配装计算器!$K$30&lt;&gt;"∞",0),"梦泉虎跑-轻",INDEX(AU331:CB331,1,$AT$1))),"")</f>
        <v/>
      </c>
      <c r="C331" t="str">
        <f ca="1" t="shared" si="75"/>
        <v/>
      </c>
      <c r="D331" t="str">
        <f ca="1">IF(B331&lt;&gt;"",IF(C330&lt;=加速!$L$11*(1-E331),0,1),"")</f>
        <v/>
      </c>
      <c r="E331">
        <f ca="1" t="shared" si="71"/>
        <v>1</v>
      </c>
      <c r="G331" t="str">
        <f ca="1" t="shared" si="72"/>
        <v/>
      </c>
      <c r="H331" t="str">
        <f ca="1">IF(B331&lt;&gt;"",IF(AND(COUNTIF(B330,"*轻*莺鸣柳*")&gt;0,COUNTIF(B331,"*轻*")&lt;1),MAX(0,15+I330-(A331-A330)+COUNTIF(B330,"*平湖*")*0),IF(AND(E331=0,MAX(0,H330-(A331-A330))&lt;=加速!$H$11),0,MAX(0,H330-(A331-A330)))),"")</f>
        <v/>
      </c>
      <c r="I331" t="str">
        <f ca="1" t="shared" si="78"/>
        <v/>
      </c>
      <c r="J331" t="str">
        <f ca="1" t="shared" si="79"/>
        <v/>
      </c>
      <c r="K331" t="str">
        <f ca="1">IF(A331&lt;&gt;"",IF(AND(配装计算器!$K$30&lt;&gt;"∞",0),2,INDEX(AU331:CB331,1,$AT$2)),"")</f>
        <v/>
      </c>
      <c r="L331">
        <f ca="1">IFERROR(IF(AND(COUNTIF(B331,"*-峰插*"),技能数据库!$M$72&gt;0),0,IF(COUNTIF(B331,"*鹤归*")&gt;0,16-加速!$L$11,MAX(0,L330-(A331-A330)))),0)</f>
        <v>0</v>
      </c>
      <c r="M331">
        <f ca="1">IF(COUNTIF(IF(AND(配装计算器!$K$30&lt;&gt;"∞",0),INDEX(AU330:CB330,1,$AT$1),INDEX(AU332:CB332,1,$AT$1)),"*鹤归*")=1,L331,0)</f>
        <v>0</v>
      </c>
      <c r="N331">
        <f ca="1">IFERROR(IF(AND(COUNTIF(B331,"*-峰插*"),技能数据库!$M$72&gt;0),0,IF(COUNTIF(B331,"*云飞*")&gt;0,4-COUNTIF(B331,"*玉山揽云*")*4--COUNTIF(B331,"*烟流暮景*")*4-COUNTIF(B331,"*云景*")*加速!$L$11-IF(J331&gt;0,2,0),MAX(0,N330-(A331-A330)-IF(J331&gt;0,2,0)))),0)</f>
        <v>0</v>
      </c>
      <c r="O331">
        <f ca="1">IF(AND(COUNTIF(IF(AND(配装计算器!$K$30&lt;&gt;"∞",0),INDEX(AU330:CB330,1,$AT$1),INDEX(AU332:CB332,1,$AT$1)),"*云飞*")=1,COUNTIF(IF(AND(配装计算器!$K$30&lt;&gt;"∞",0),INDEX(AU330:CB330,1,$AT$1),INDEX(AU332:CB332,1,$AT$1)),"*玉山*")=0),N331,0)</f>
        <v>0</v>
      </c>
      <c r="P331">
        <f ca="1">IFERROR(IF(COUNTIF(B331,"*云栖松*")&gt;0,50-加速!$L$11,MAX(0,P330-(A331-A330))),0)</f>
        <v>0</v>
      </c>
      <c r="Q331">
        <f ca="1">IF(COUNTIF(IF(AND(配装计算器!$K$30&lt;&gt;"∞",0),INDEX(AU330:CB330,1,$AT$1),INDEX(AU332:CB332,1,$AT$1)),"*云栖松*")=1,P331,0)</f>
        <v>0</v>
      </c>
      <c r="R331">
        <f ca="1">IFERROR(IF(COUNTIF(B331,"*莺鸣柳*")&gt;0,45-加速!$L$9,MAX(0,R330-(A331-A330))),0)</f>
        <v>0</v>
      </c>
      <c r="S331">
        <f ca="1">IF(COUNTIF(IF(AND(配装计算器!$K$30&lt;&gt;"∞",0),INDEX(AU330:CB330,1,$AT$1),INDEX(AU332:CB332,1,$AT$1)),"*莺鸣柳*")=1,R331,0)</f>
        <v>0</v>
      </c>
      <c r="T331">
        <f ca="1" t="shared" si="76"/>
        <v>0</v>
      </c>
      <c r="U331">
        <f ca="1">IF(金蛇,IF(COUNTIF(B331,"*金环戴*")+COUNTIF(B331,"*吹风醒*")&gt;0,IF(A331&lt;=3,7.125-2.625-A331-加速!$L$11,7.125+加速!$K$9-(A331+加速!$L$11-T331)),0),0)+IF(金蛇,IF(COUNTIF(B331,"*千切子裂光*")&gt;0,2+加速!$K$9-(A331+加速!$L$11-T331),0),0)</f>
        <v>0</v>
      </c>
      <c r="V331">
        <f ca="1" t="shared" si="77"/>
        <v>0</v>
      </c>
      <c r="W331">
        <f ca="1" t="shared" si="69"/>
        <v>0</v>
      </c>
      <c r="X331">
        <f ca="1">INDEX(加速!$I$13:$I$21,技能数计算!W331+1)</f>
        <v>0</v>
      </c>
      <c r="Y331">
        <f ca="1" t="shared" si="73"/>
        <v>0.5</v>
      </c>
      <c r="Z331">
        <f ca="1" t="shared" si="74"/>
        <v>0</v>
      </c>
      <c r="AA331">
        <f ca="1">MAX(0,IFERROR(IF(COUNTIF(B331,"*叠*")&gt;0,IF(AC330&lt;3,8-A332+A331,AA330+6.875-A332+A331),AA330-A332+A331),AA330-加速!$L$11))</f>
        <v>0</v>
      </c>
      <c r="AB331" t="e">
        <f ca="1">MAX(0,IF(COUNTIF(IF(AND(配装计算器!$K$30&lt;&gt;"∞",0),INDEX(AU331:CB331,1,$AT$1),INDEX(AU331:CB331,1,$AT$1)),"*叠1*")=1,4*25-加速!$L$11,AB330-A331+A330)-IF(OR(COUNTIF(OFFSET(AT331,0,$AT$1,1,1),"*听雷*")&gt;0,AND(碧归&gt;0,COUNTIF(OFFSET(AT331,0,$AT$1,1,1),"*风来*")&gt;0)),0,1)*1.5)</f>
        <v>#VALUE!</v>
      </c>
      <c r="AC331">
        <f ca="1" t="shared" si="70"/>
        <v>3</v>
      </c>
      <c r="AD331">
        <f ca="1">IF(COUNTIF(IF(AND(配装计算器!$K$30&lt;&gt;"∞",0),INDEX(AU331:CB331,1,$AT$1),INDEX(AU332:CB332,1,$AT$1)),"*叠1*")=1,AB331*0+AE330,0)</f>
        <v>0</v>
      </c>
      <c r="AE331" t="e">
        <f ca="1">IF($AN$11&gt;0,IF(COUNTIF(B332,"*叠1*")&gt;0,50-加速!$H$11,MAX(0,AE330-(A332-A331))),0)</f>
        <v>#VALUE!</v>
      </c>
      <c r="AU331" t="s">
        <v>2776</v>
      </c>
      <c r="AV331">
        <v>1</v>
      </c>
      <c r="AW331" t="str">
        <f>IF($AN$11=1,"云飞玉皇","夕照雷峰")</f>
        <v>云飞玉皇</v>
      </c>
      <c r="AX331">
        <v>2</v>
      </c>
      <c r="AY331" t="s">
        <v>3017</v>
      </c>
      <c r="AZ331">
        <v>2</v>
      </c>
      <c r="BA331" t="s">
        <v>3022</v>
      </c>
      <c r="BB331">
        <v>2</v>
      </c>
      <c r="BC331" t="s">
        <v>2776</v>
      </c>
      <c r="BD331">
        <v>2</v>
      </c>
      <c r="BE331" t="s">
        <v>2776</v>
      </c>
      <c r="BF331">
        <v>0</v>
      </c>
      <c r="BG331" s="182" t="s">
        <v>3023</v>
      </c>
      <c r="BH331">
        <v>2</v>
      </c>
      <c r="BI331" t="s">
        <v>2776</v>
      </c>
      <c r="BJ331">
        <v>2</v>
      </c>
      <c r="BK331" t="s">
        <v>3012</v>
      </c>
      <c r="BL331">
        <v>2</v>
      </c>
      <c r="BM331" s="176" t="s">
        <v>2768</v>
      </c>
      <c r="BN331">
        <v>2</v>
      </c>
      <c r="BO331" t="s">
        <v>2768</v>
      </c>
      <c r="BP331">
        <v>2</v>
      </c>
      <c r="BQ331" s="176" t="s">
        <v>2850</v>
      </c>
      <c r="BR331">
        <v>2</v>
      </c>
      <c r="BS331" t="s">
        <v>2768</v>
      </c>
      <c r="BT331">
        <v>2</v>
      </c>
      <c r="BU331" t="s">
        <v>2853</v>
      </c>
      <c r="BV331">
        <v>2</v>
      </c>
      <c r="BW331" s="179" t="s">
        <v>2718</v>
      </c>
      <c r="BX331" s="179">
        <v>0</v>
      </c>
      <c r="BY331" s="176" t="s">
        <v>2768</v>
      </c>
      <c r="BZ331">
        <v>2</v>
      </c>
      <c r="CA331" t="s">
        <v>2768</v>
      </c>
      <c r="CB331">
        <v>2</v>
      </c>
    </row>
    <row r="332" spans="1:80">
      <c r="A332" s="178" t="str">
        <f ca="1">IFERROR(IF(A331+加速!$L$11&lt;$AS$1,IF(COUNTIF(B331,"*轻*")&gt;0,A331+加速!$L$9,A331+加速!$L$11)+V331,IF(COUNTIF(INDEX(AU332:CB332,1,$AT$1),"*云景*")+COUNTIF(INDEX(AU332:CB332,1,$AT$1),"*鹤归*")+COUNTIF(INDEX(AU332:CB332,1,$AT$1),"*听雷*")&gt;0,A331+加速!$L$11,"")),"")</f>
        <v/>
      </c>
      <c r="B332" s="167" t="str">
        <f ca="1">IF(A332&lt;&gt;"",IF(AND(A332+加速!$L$11&gt;$AS$1,IF(AND(配装计算器!$K$30&lt;&gt;"∞",0),"梦泉虎跑-轻",INDEX(AU332:CB332,1,$AT$1))="云栖松"),"夕照雷峰",IF(AND(配装计算器!$K$30&lt;&gt;"∞",0),"梦泉虎跑-轻",INDEX(AU332:CB332,1,$AT$1))),"")</f>
        <v/>
      </c>
      <c r="C332" t="str">
        <f ca="1" t="shared" si="75"/>
        <v/>
      </c>
      <c r="D332" t="str">
        <f ca="1">IF(B332&lt;&gt;"",IF(C331&lt;=加速!$L$11*(1-E332),0,1),"")</f>
        <v/>
      </c>
      <c r="E332">
        <f ca="1" t="shared" si="71"/>
        <v>1</v>
      </c>
      <c r="G332" t="str">
        <f ca="1" t="shared" si="72"/>
        <v/>
      </c>
      <c r="H332" t="str">
        <f ca="1">IF(B332&lt;&gt;"",IF(AND(COUNTIF(B331,"*轻*莺鸣柳*")&gt;0,COUNTIF(B332,"*轻*")&lt;1),MAX(0,15+I331-(A332-A331)+COUNTIF(B331,"*平湖*")*0),IF(AND(E332=0,MAX(0,H331-(A332-A331))&lt;=加速!$H$11),0,MAX(0,H331-(A332-A331)))),"")</f>
        <v/>
      </c>
      <c r="I332" t="str">
        <f ca="1" t="shared" si="78"/>
        <v/>
      </c>
      <c r="J332" t="str">
        <f ca="1" t="shared" si="79"/>
        <v/>
      </c>
      <c r="K332" t="str">
        <f ca="1">IF(A332&lt;&gt;"",IF(AND(配装计算器!$K$30&lt;&gt;"∞",0),2,INDEX(AU332:CB332,1,$AT$2)),"")</f>
        <v/>
      </c>
      <c r="L332">
        <f ca="1">IFERROR(IF(AND(COUNTIF(B332,"*-峰插*"),技能数据库!$M$72&gt;0),0,IF(COUNTIF(B332,"*鹤归*")&gt;0,16-加速!$L$11,MAX(0,L331-(A332-A331)))),0)</f>
        <v>0</v>
      </c>
      <c r="M332">
        <f ca="1">IF(COUNTIF(IF(AND(配装计算器!$K$30&lt;&gt;"∞",0),INDEX(AU331:CB331,1,$AT$1),INDEX(AU333:CB333,1,$AT$1)),"*鹤归*")=1,L332,0)</f>
        <v>0</v>
      </c>
      <c r="N332">
        <f ca="1">IFERROR(IF(AND(COUNTIF(B332,"*-峰插*"),技能数据库!$M$72&gt;0),0,IF(COUNTIF(B332,"*云飞*")&gt;0,4-COUNTIF(B332,"*玉山揽云*")*4--COUNTIF(B332,"*烟流暮景*")*4-COUNTIF(B332,"*云景*")*加速!$L$11-IF(J332&gt;0,2,0),MAX(0,N331-(A332-A331)-IF(J332&gt;0,2,0)))),0)</f>
        <v>0</v>
      </c>
      <c r="O332">
        <f ca="1">IF(AND(COUNTIF(IF(AND(配装计算器!$K$30&lt;&gt;"∞",0),INDEX(AU331:CB331,1,$AT$1),INDEX(AU333:CB333,1,$AT$1)),"*云飞*")=1,COUNTIF(IF(AND(配装计算器!$K$30&lt;&gt;"∞",0),INDEX(AU331:CB331,1,$AT$1),INDEX(AU333:CB333,1,$AT$1)),"*玉山*")=0),N332,0)</f>
        <v>0</v>
      </c>
      <c r="P332">
        <f ca="1">IFERROR(IF(COUNTIF(B332,"*云栖松*")&gt;0,50-加速!$L$11,MAX(0,P331-(A332-A331))),0)</f>
        <v>0</v>
      </c>
      <c r="Q332">
        <f ca="1">IF(COUNTIF(IF(AND(配装计算器!$K$30&lt;&gt;"∞",0),INDEX(AU331:CB331,1,$AT$1),INDEX(AU333:CB333,1,$AT$1)),"*云栖松*")=1,P332,0)</f>
        <v>0</v>
      </c>
      <c r="R332">
        <f ca="1">IFERROR(IF(COUNTIF(B332,"*莺鸣柳*")&gt;0,45-加速!$L$9,MAX(0,R331-(A332-A331))),0)</f>
        <v>0</v>
      </c>
      <c r="S332">
        <f ca="1">IF(COUNTIF(IF(AND(配装计算器!$K$30&lt;&gt;"∞",0),INDEX(AU331:CB331,1,$AT$1),INDEX(AU333:CB333,1,$AT$1)),"*莺鸣柳*")=1,R332,0)</f>
        <v>0</v>
      </c>
      <c r="T332">
        <f ca="1" t="shared" si="76"/>
        <v>0</v>
      </c>
      <c r="U332">
        <f ca="1">IF(金蛇,IF(COUNTIF(B332,"*金环戴*")+COUNTIF(B332,"*吹风醒*")&gt;0,IF(A332&lt;=3,7.125-2.625-A332-加速!$L$11,7.125+加速!$K$9-(A332+加速!$L$11-T332)),0),0)+IF(金蛇,IF(COUNTIF(B332,"*千切子裂光*")&gt;0,2+加速!$K$9-(A332+加速!$L$11-T332),0),0)</f>
        <v>0</v>
      </c>
      <c r="V332">
        <f ca="1" t="shared" si="77"/>
        <v>0</v>
      </c>
      <c r="W332">
        <f ca="1" t="shared" si="69"/>
        <v>0</v>
      </c>
      <c r="X332">
        <f ca="1">INDEX(加速!$I$13:$I$21,技能数计算!W332+1)</f>
        <v>0</v>
      </c>
      <c r="Y332">
        <f ca="1" t="shared" si="73"/>
        <v>0.5</v>
      </c>
      <c r="Z332">
        <f ca="1" t="shared" si="74"/>
        <v>0</v>
      </c>
      <c r="AA332">
        <f ca="1">MAX(0,IFERROR(IF(COUNTIF(B332,"*叠*")&gt;0,IF(AC331&lt;3,8-A333+A332,AA331+6.875-A333+A332),AA331-A333+A332),AA331-加速!$L$11))</f>
        <v>0</v>
      </c>
      <c r="AB332" t="e">
        <f ca="1">MAX(0,IF(COUNTIF(IF(AND(配装计算器!$K$30&lt;&gt;"∞",0),INDEX(AU332:CB332,1,$AT$1),INDEX(AU332:CB332,1,$AT$1)),"*叠1*")=1,4*25-加速!$L$11,AB331-A332+A331)-IF(OR(COUNTIF(OFFSET(AT332,0,$AT$1,1,1),"*听雷*")&gt;0,AND(碧归&gt;0,COUNTIF(OFFSET(AT332,0,$AT$1,1,1),"*风来*")&gt;0)),0,1)*1.5)</f>
        <v>#VALUE!</v>
      </c>
      <c r="AC332">
        <f ca="1" t="shared" si="70"/>
        <v>3</v>
      </c>
      <c r="AD332">
        <f ca="1">IF(COUNTIF(IF(AND(配装计算器!$K$30&lt;&gt;"∞",0),INDEX(AU332:CB332,1,$AT$1),INDEX(AU333:CB333,1,$AT$1)),"*叠1*")=1,AB332*0+AE331,0)</f>
        <v>0</v>
      </c>
      <c r="AE332" t="e">
        <f ca="1">IF($AN$11&gt;0,IF(COUNTIF(B333,"*叠1*")&gt;0,50-加速!$H$11,MAX(0,AE331-(A333-A332))),0)</f>
        <v>#VALUE!</v>
      </c>
      <c r="AU332" t="s">
        <v>2768</v>
      </c>
      <c r="AV332">
        <v>1</v>
      </c>
      <c r="AW332" t="str">
        <f>IF($AN$11=1,"夕照雷峰","云景·云飞玉皇-黄龙吐翠")</f>
        <v>夕照雷峰</v>
      </c>
      <c r="AX332">
        <f>IF($AN$11=1,2,1)</f>
        <v>2</v>
      </c>
      <c r="AY332" t="s">
        <v>2808</v>
      </c>
      <c r="AZ332">
        <v>2</v>
      </c>
      <c r="BA332" t="s">
        <v>2776</v>
      </c>
      <c r="BB332">
        <v>2</v>
      </c>
      <c r="BC332" t="s">
        <v>2768</v>
      </c>
      <c r="BD332">
        <v>2</v>
      </c>
      <c r="BE332" t="s">
        <v>3012</v>
      </c>
      <c r="BF332">
        <v>2</v>
      </c>
      <c r="BG332" s="176" t="s">
        <v>2768</v>
      </c>
      <c r="BH332">
        <v>2</v>
      </c>
      <c r="BI332" t="s">
        <v>2768</v>
      </c>
      <c r="BJ332">
        <v>2</v>
      </c>
      <c r="BK332" s="176" t="s">
        <v>2794</v>
      </c>
      <c r="BL332">
        <v>2</v>
      </c>
      <c r="BM332" s="176" t="s">
        <v>2776</v>
      </c>
      <c r="BN332">
        <v>2</v>
      </c>
      <c r="BO332" t="s">
        <v>2776</v>
      </c>
      <c r="BP332">
        <v>2</v>
      </c>
      <c r="BQ332" s="176" t="str">
        <f>IF(秋,"金环戴","吹风醒")</f>
        <v>吹风醒</v>
      </c>
      <c r="BR332">
        <v>1</v>
      </c>
      <c r="BS332" t="s">
        <v>2776</v>
      </c>
      <c r="BT332">
        <v>1</v>
      </c>
      <c r="BU332" s="176" t="str">
        <f>IF(秋,"金蛇锥-金环戴","金蛇锥-吹风醒")</f>
        <v>金蛇锥-吹风醒</v>
      </c>
      <c r="BV332">
        <v>2</v>
      </c>
      <c r="BW332" s="179" t="s">
        <v>2768</v>
      </c>
      <c r="BX332" s="179">
        <v>1</v>
      </c>
      <c r="BY332" s="176" t="s">
        <v>2776</v>
      </c>
      <c r="BZ332">
        <v>2</v>
      </c>
      <c r="CA332" t="s">
        <v>2768</v>
      </c>
      <c r="CB332">
        <v>2</v>
      </c>
    </row>
    <row r="333" spans="1:80">
      <c r="A333" s="178" t="str">
        <f ca="1">IFERROR(IF(A332+加速!$L$11&lt;$AS$1,IF(COUNTIF(B332,"*轻*")&gt;0,A332+加速!$L$9,A332+加速!$L$11)+V332,IF(COUNTIF(INDEX(AU333:CB333,1,$AT$1),"*云景*")+COUNTIF(INDEX(AU333:CB333,1,$AT$1),"*鹤归*")+COUNTIF(INDEX(AU333:CB333,1,$AT$1),"*听雷*")&gt;0,A332+加速!$L$11,"")),"")</f>
        <v/>
      </c>
      <c r="B333" s="167" t="str">
        <f ca="1">IF(A333&lt;&gt;"",IF(AND(A333+加速!$L$11&gt;$AS$1,IF(AND(配装计算器!$K$30&lt;&gt;"∞",0),"梦泉虎跑-轻",INDEX(AU333:CB333,1,$AT$1))="云栖松"),"夕照雷峰",IF(AND(配装计算器!$K$30&lt;&gt;"∞",0),"梦泉虎跑-轻",INDEX(AU333:CB333,1,$AT$1))),"")</f>
        <v/>
      </c>
      <c r="C333" t="str">
        <f ca="1" t="shared" si="75"/>
        <v/>
      </c>
      <c r="D333" t="str">
        <f ca="1">IF(B333&lt;&gt;"",IF(C332&lt;=加速!$L$11*(1-E333),0,1),"")</f>
        <v/>
      </c>
      <c r="E333">
        <f ca="1" t="shared" si="71"/>
        <v>1</v>
      </c>
      <c r="G333" t="str">
        <f ca="1" t="shared" si="72"/>
        <v/>
      </c>
      <c r="H333" t="str">
        <f ca="1">IF(B333&lt;&gt;"",IF(AND(COUNTIF(B332,"*轻*莺鸣柳*")&gt;0,COUNTIF(B333,"*轻*")&lt;1),MAX(0,15+I332-(A333-A332)+COUNTIF(B332,"*平湖*")*0),IF(AND(E333=0,MAX(0,H332-(A333-A332))&lt;=加速!$H$11),0,MAX(0,H332-(A333-A332)))),"")</f>
        <v/>
      </c>
      <c r="I333" t="str">
        <f ca="1" t="shared" si="78"/>
        <v/>
      </c>
      <c r="J333" t="str">
        <f ca="1" t="shared" si="79"/>
        <v/>
      </c>
      <c r="K333" t="str">
        <f ca="1">IF(A333&lt;&gt;"",IF(AND(配装计算器!$K$30&lt;&gt;"∞",0),2,INDEX(AU333:CB333,1,$AT$2)),"")</f>
        <v/>
      </c>
      <c r="L333">
        <f ca="1">IFERROR(IF(AND(COUNTIF(B333,"*-峰插*"),技能数据库!$M$72&gt;0),0,IF(COUNTIF(B333,"*鹤归*")&gt;0,16-加速!$L$11,MAX(0,L332-(A333-A332)))),0)</f>
        <v>0</v>
      </c>
      <c r="M333">
        <f ca="1">IF(COUNTIF(IF(AND(配装计算器!$K$30&lt;&gt;"∞",0),INDEX(AU332:CB332,1,$AT$1),INDEX(AU334:CB334,1,$AT$1)),"*鹤归*")=1,L333,0)</f>
        <v>0</v>
      </c>
      <c r="N333">
        <f ca="1">IFERROR(IF(AND(COUNTIF(B333,"*-峰插*"),技能数据库!$M$72&gt;0),0,IF(COUNTIF(B333,"*云飞*")&gt;0,4-COUNTIF(B333,"*玉山揽云*")*4--COUNTIF(B333,"*烟流暮景*")*4-COUNTIF(B333,"*云景*")*加速!$L$11-IF(J333&gt;0,2,0),MAX(0,N332-(A333-A332)-IF(J333&gt;0,2,0)))),0)</f>
        <v>0</v>
      </c>
      <c r="O333">
        <f ca="1">IF(AND(COUNTIF(IF(AND(配装计算器!$K$30&lt;&gt;"∞",0),INDEX(AU332:CB332,1,$AT$1),INDEX(AU334:CB334,1,$AT$1)),"*云飞*")=1,COUNTIF(IF(AND(配装计算器!$K$30&lt;&gt;"∞",0),INDEX(AU332:CB332,1,$AT$1),INDEX(AU334:CB334,1,$AT$1)),"*玉山*")=0),N333,0)</f>
        <v>0</v>
      </c>
      <c r="P333">
        <f ca="1">IFERROR(IF(COUNTIF(B333,"*云栖松*")&gt;0,50-加速!$L$11,MAX(0,P332-(A333-A332))),0)</f>
        <v>0</v>
      </c>
      <c r="Q333">
        <f ca="1">IF(COUNTIF(IF(AND(配装计算器!$K$30&lt;&gt;"∞",0),INDEX(AU332:CB332,1,$AT$1),INDEX(AU334:CB334,1,$AT$1)),"*云栖松*")=1,P333,0)</f>
        <v>0</v>
      </c>
      <c r="R333">
        <f ca="1">IFERROR(IF(COUNTIF(B333,"*莺鸣柳*")&gt;0,45-加速!$L$9,MAX(0,R332-(A333-A332))),0)</f>
        <v>0</v>
      </c>
      <c r="S333">
        <f ca="1">IF(COUNTIF(IF(AND(配装计算器!$K$30&lt;&gt;"∞",0),INDEX(AU332:CB332,1,$AT$1),INDEX(AU334:CB334,1,$AT$1)),"*莺鸣柳*")=1,R333,0)</f>
        <v>0</v>
      </c>
      <c r="T333">
        <f ca="1" t="shared" si="76"/>
        <v>0</v>
      </c>
      <c r="U333">
        <f ca="1">IF(金蛇,IF(COUNTIF(B333,"*金环戴*")+COUNTIF(B333,"*吹风醒*")&gt;0,IF(A333&lt;=3,7.125-2.625-A333-加速!$L$11,7.125+加速!$K$9-(A333+加速!$L$11-T333)),0),0)+IF(金蛇,IF(COUNTIF(B333,"*千切子裂光*")&gt;0,2+加速!$K$9-(A333+加速!$L$11-T333),0),0)</f>
        <v>0</v>
      </c>
      <c r="V333">
        <f ca="1" t="shared" si="77"/>
        <v>0</v>
      </c>
      <c r="W333">
        <f ca="1" t="shared" si="69"/>
        <v>0</v>
      </c>
      <c r="X333">
        <f ca="1">INDEX(加速!$I$13:$I$21,技能数计算!W333+1)</f>
        <v>0</v>
      </c>
      <c r="Y333">
        <f ca="1" t="shared" si="73"/>
        <v>0.5</v>
      </c>
      <c r="Z333">
        <f ca="1" t="shared" si="74"/>
        <v>0</v>
      </c>
      <c r="AA333">
        <f ca="1">MAX(0,IFERROR(IF(COUNTIF(B333,"*叠*")&gt;0,IF(AC332&lt;3,8-A334+A333,AA332+6.875-A334+A333),AA332-A334+A333),AA332-加速!$L$11))</f>
        <v>0</v>
      </c>
      <c r="AB333" t="e">
        <f ca="1">MAX(0,IF(COUNTIF(IF(AND(配装计算器!$K$30&lt;&gt;"∞",0),INDEX(AU333:CB333,1,$AT$1),INDEX(AU333:CB333,1,$AT$1)),"*叠1*")=1,4*25-加速!$L$11,AB332-A333+A332)-IF(OR(COUNTIF(OFFSET(AT333,0,$AT$1,1,1),"*听雷*")&gt;0,AND(碧归&gt;0,COUNTIF(OFFSET(AT333,0,$AT$1,1,1),"*风来*")&gt;0)),0,1)*1.5)</f>
        <v>#VALUE!</v>
      </c>
      <c r="AC333">
        <f ca="1" t="shared" si="70"/>
        <v>3</v>
      </c>
      <c r="AD333">
        <f ca="1">IF(COUNTIF(IF(AND(配装计算器!$K$30&lt;&gt;"∞",0),INDEX(AU333:CB333,1,$AT$1),INDEX(AU334:CB334,1,$AT$1)),"*叠1*")=1,AB333*0+AE332,0)</f>
        <v>0</v>
      </c>
      <c r="AE333" t="e">
        <f ca="1">IF($AN$11&gt;0,IF(COUNTIF(B334,"*叠1*")&gt;0,50-加速!$H$11,MAX(0,AE332-(A334-A333))),0)</f>
        <v>#VALUE!</v>
      </c>
      <c r="AU333" t="s">
        <v>2768</v>
      </c>
      <c r="AV333">
        <v>1</v>
      </c>
      <c r="AW333" t="str">
        <f>IF($AN$11=1,"云飞玉皇","夕照雷峰")</f>
        <v>云飞玉皇</v>
      </c>
      <c r="AX333">
        <v>2</v>
      </c>
      <c r="AY333" t="s">
        <v>3022</v>
      </c>
      <c r="AZ333">
        <v>2</v>
      </c>
      <c r="BA333" t="s">
        <v>2768</v>
      </c>
      <c r="BB333">
        <v>2</v>
      </c>
      <c r="BC333" t="s">
        <v>2776</v>
      </c>
      <c r="BD333">
        <v>2</v>
      </c>
      <c r="BE333" t="s">
        <v>2776</v>
      </c>
      <c r="BF333">
        <v>2</v>
      </c>
      <c r="BG333" s="176" t="s">
        <v>2768</v>
      </c>
      <c r="BH333">
        <v>2</v>
      </c>
      <c r="BI333" t="s">
        <v>2776</v>
      </c>
      <c r="BJ333">
        <v>1</v>
      </c>
      <c r="BK333" s="176" t="s">
        <v>3019</v>
      </c>
      <c r="BL333">
        <v>2</v>
      </c>
      <c r="BM333" s="176" t="s">
        <v>2768</v>
      </c>
      <c r="BN333">
        <v>2</v>
      </c>
      <c r="BO333" t="s">
        <v>2768</v>
      </c>
      <c r="BP333">
        <v>1</v>
      </c>
      <c r="BQ333" s="176" t="str">
        <f>IF(秋,"梦泉虎跑-轻","夕照雷峰")</f>
        <v>夕照雷峰</v>
      </c>
      <c r="BR333">
        <v>1</v>
      </c>
      <c r="BS333" t="s">
        <v>2768</v>
      </c>
      <c r="BT333">
        <v>1</v>
      </c>
      <c r="BU333" t="s">
        <v>2773</v>
      </c>
      <c r="BV333">
        <v>2</v>
      </c>
      <c r="BW333" s="179" t="s">
        <v>2776</v>
      </c>
      <c r="BX333" s="179">
        <v>1</v>
      </c>
      <c r="BY333" t="s">
        <v>2768</v>
      </c>
      <c r="BZ333">
        <v>2</v>
      </c>
      <c r="CA333" t="s">
        <v>2768</v>
      </c>
      <c r="CB333">
        <v>2</v>
      </c>
    </row>
    <row r="334" spans="1:80">
      <c r="A334" s="178" t="str">
        <f ca="1">IFERROR(IF(A333+加速!$L$11&lt;$AS$1,IF(COUNTIF(B333,"*轻*")&gt;0,A333+加速!$L$9,A333+加速!$L$11)+V333,IF(COUNTIF(INDEX(AU334:CB334,1,$AT$1),"*云景*")+COUNTIF(INDEX(AU334:CB334,1,$AT$1),"*鹤归*")+COUNTIF(INDEX(AU334:CB334,1,$AT$1),"*听雷*")&gt;0,A333+加速!$L$11,"")),"")</f>
        <v/>
      </c>
      <c r="B334" s="167" t="str">
        <f ca="1">IF(A334&lt;&gt;"",IF(AND(A334+加速!$L$11&gt;$AS$1,IF(AND(配装计算器!$K$30&lt;&gt;"∞",0),"梦泉虎跑-轻",INDEX(AU334:CB334,1,$AT$1))="云栖松"),"夕照雷峰",IF(AND(配装计算器!$K$30&lt;&gt;"∞",0),"梦泉虎跑-轻",INDEX(AU334:CB334,1,$AT$1))),"")</f>
        <v/>
      </c>
      <c r="C334" t="str">
        <f ca="1" t="shared" si="75"/>
        <v/>
      </c>
      <c r="D334" t="str">
        <f ca="1">IF(B334&lt;&gt;"",IF(C333&lt;=加速!$L$11*(1-E334),0,1),"")</f>
        <v/>
      </c>
      <c r="E334">
        <f ca="1" t="shared" si="71"/>
        <v>1</v>
      </c>
      <c r="G334" t="str">
        <f ca="1" t="shared" si="72"/>
        <v/>
      </c>
      <c r="H334" t="str">
        <f ca="1">IF(B334&lt;&gt;"",IF(AND(COUNTIF(B333,"*轻*莺鸣柳*")&gt;0,COUNTIF(B334,"*轻*")&lt;1),MAX(0,15+I333-(A334-A333)+COUNTIF(B333,"*平湖*")*0),IF(AND(E334=0,MAX(0,H333-(A334-A333))&lt;=加速!$H$11),0,MAX(0,H333-(A334-A333)))),"")</f>
        <v/>
      </c>
      <c r="I334" t="str">
        <f ca="1" t="shared" si="78"/>
        <v/>
      </c>
      <c r="J334" t="str">
        <f ca="1" t="shared" si="79"/>
        <v/>
      </c>
      <c r="K334" t="str">
        <f ca="1">IF(A334&lt;&gt;"",IF(AND(配装计算器!$K$30&lt;&gt;"∞",0),2,INDEX(AU334:CB334,1,$AT$2)),"")</f>
        <v/>
      </c>
      <c r="L334">
        <f ca="1">IFERROR(IF(AND(COUNTIF(B334,"*-峰插*"),技能数据库!$M$72&gt;0),0,IF(COUNTIF(B334,"*鹤归*")&gt;0,16-加速!$L$11,MAX(0,L333-(A334-A333)))),0)</f>
        <v>0</v>
      </c>
      <c r="M334">
        <f ca="1">IF(COUNTIF(IF(AND(配装计算器!$K$30&lt;&gt;"∞",0),INDEX(AU333:CB333,1,$AT$1),INDEX(AU335:CB335,1,$AT$1)),"*鹤归*")=1,L334,0)</f>
        <v>0</v>
      </c>
      <c r="N334">
        <f ca="1">IFERROR(IF(AND(COUNTIF(B334,"*-峰插*"),技能数据库!$M$72&gt;0),0,IF(COUNTIF(B334,"*云飞*")&gt;0,4-COUNTIF(B334,"*玉山揽云*")*4--COUNTIF(B334,"*烟流暮景*")*4-COUNTIF(B334,"*云景*")*加速!$L$11-IF(J334&gt;0,2,0),MAX(0,N333-(A334-A333)-IF(J334&gt;0,2,0)))),0)</f>
        <v>0</v>
      </c>
      <c r="O334">
        <f ca="1">IF(AND(COUNTIF(IF(AND(配装计算器!$K$30&lt;&gt;"∞",0),INDEX(AU333:CB333,1,$AT$1),INDEX(AU335:CB335,1,$AT$1)),"*云飞*")=1,COUNTIF(IF(AND(配装计算器!$K$30&lt;&gt;"∞",0),INDEX(AU333:CB333,1,$AT$1),INDEX(AU335:CB335,1,$AT$1)),"*玉山*")=0),N334,0)</f>
        <v>0</v>
      </c>
      <c r="P334">
        <f ca="1">IFERROR(IF(COUNTIF(B334,"*云栖松*")&gt;0,50-加速!$L$11,MAX(0,P333-(A334-A333))),0)</f>
        <v>0</v>
      </c>
      <c r="Q334">
        <f ca="1">IF(COUNTIF(IF(AND(配装计算器!$K$30&lt;&gt;"∞",0),INDEX(AU333:CB333,1,$AT$1),INDEX(AU335:CB335,1,$AT$1)),"*云栖松*")=1,P334,0)</f>
        <v>0</v>
      </c>
      <c r="R334">
        <f ca="1">IFERROR(IF(COUNTIF(B334,"*莺鸣柳*")&gt;0,45-加速!$L$9,MAX(0,R333-(A334-A333))),0)</f>
        <v>0</v>
      </c>
      <c r="S334">
        <f ca="1">IF(COUNTIF(IF(AND(配装计算器!$K$30&lt;&gt;"∞",0),INDEX(AU333:CB333,1,$AT$1),INDEX(AU335:CB335,1,$AT$1)),"*莺鸣柳*")=1,R334,0)</f>
        <v>0</v>
      </c>
      <c r="T334">
        <f ca="1" t="shared" si="76"/>
        <v>0</v>
      </c>
      <c r="U334">
        <f ca="1">IF(金蛇,IF(COUNTIF(B334,"*金环戴*")+COUNTIF(B334,"*吹风醒*")&gt;0,IF(A334&lt;=3,7.125-2.625-A334-加速!$L$11,7.125+加速!$K$9-(A334+加速!$L$11-T334)),0),0)+IF(金蛇,IF(COUNTIF(B334,"*千切子裂光*")&gt;0,2+加速!$K$9-(A334+加速!$L$11-T334),0),0)</f>
        <v>0</v>
      </c>
      <c r="V334">
        <f ca="1" t="shared" si="77"/>
        <v>0</v>
      </c>
      <c r="W334">
        <f ca="1" t="shared" si="69"/>
        <v>0</v>
      </c>
      <c r="X334">
        <f ca="1">INDEX(加速!$I$13:$I$21,技能数计算!W334+1)</f>
        <v>0</v>
      </c>
      <c r="Y334">
        <f ca="1" t="shared" si="73"/>
        <v>0.5</v>
      </c>
      <c r="Z334">
        <f ca="1" t="shared" si="74"/>
        <v>0</v>
      </c>
      <c r="AA334">
        <f ca="1">MAX(0,IFERROR(IF(COUNTIF(B334,"*叠*")&gt;0,IF(AC333&lt;3,8-A335+A334,AA333+6.875-A335+A334),AA333-A335+A334),AA333-加速!$L$11))</f>
        <v>0</v>
      </c>
      <c r="AB334" t="e">
        <f ca="1">MAX(0,IF(COUNTIF(IF(AND(配装计算器!$K$30&lt;&gt;"∞",0),INDEX(AU334:CB334,1,$AT$1),INDEX(AU334:CB334,1,$AT$1)),"*叠1*")=1,4*25-加速!$L$11,AB333-A334+A333)-IF(OR(COUNTIF(OFFSET(AT334,0,$AT$1,1,1),"*听雷*")&gt;0,AND(碧归&gt;0,COUNTIF(OFFSET(AT334,0,$AT$1,1,1),"*风来*")&gt;0)),0,1)*1.5)</f>
        <v>#VALUE!</v>
      </c>
      <c r="AC334">
        <f ca="1" t="shared" si="70"/>
        <v>3</v>
      </c>
      <c r="AD334">
        <f ca="1">IF(COUNTIF(IF(AND(配装计算器!$K$30&lt;&gt;"∞",0),INDEX(AU334:CB334,1,$AT$1),INDEX(AU335:CB335,1,$AT$1)),"*叠1*")=1,AB334*0+AE333,0)</f>
        <v>0</v>
      </c>
      <c r="AE334" t="e">
        <f ca="1">IF($AN$11&gt;0,IF(COUNTIF(B335,"*叠1*")&gt;0,50-加速!$H$11,MAX(0,AE333-(A335-A334))),0)</f>
        <v>#VALUE!</v>
      </c>
      <c r="AU334" t="s">
        <v>3063</v>
      </c>
      <c r="AV334">
        <v>2</v>
      </c>
      <c r="AW334" t="s">
        <v>2768</v>
      </c>
      <c r="AX334">
        <v>2</v>
      </c>
      <c r="AY334" t="s">
        <v>2776</v>
      </c>
      <c r="AZ334">
        <v>2</v>
      </c>
      <c r="BA334" t="s">
        <v>2768</v>
      </c>
      <c r="BB334">
        <v>2</v>
      </c>
      <c r="BC334" t="s">
        <v>2768</v>
      </c>
      <c r="BD334">
        <v>1</v>
      </c>
      <c r="BE334" t="s">
        <v>3017</v>
      </c>
      <c r="BF334">
        <v>2</v>
      </c>
      <c r="BG334" s="176" t="s">
        <v>2768</v>
      </c>
      <c r="BH334">
        <v>2</v>
      </c>
      <c r="BI334" t="s">
        <v>2768</v>
      </c>
      <c r="BJ334">
        <v>1</v>
      </c>
      <c r="BK334" s="176" t="s">
        <v>2768</v>
      </c>
      <c r="BL334">
        <v>2</v>
      </c>
      <c r="BM334" t="s">
        <v>3056</v>
      </c>
      <c r="BN334">
        <v>1</v>
      </c>
      <c r="BO334" t="s">
        <v>2722</v>
      </c>
      <c r="BP334">
        <v>0</v>
      </c>
      <c r="BQ334" t="s">
        <v>3028</v>
      </c>
      <c r="BR334">
        <v>2</v>
      </c>
      <c r="BS334" t="s">
        <v>3056</v>
      </c>
      <c r="BT334">
        <v>0</v>
      </c>
      <c r="BU334" s="176" t="s">
        <v>2794</v>
      </c>
      <c r="BV334">
        <v>1</v>
      </c>
      <c r="BW334" s="179" t="s">
        <v>2718</v>
      </c>
      <c r="BX334" s="179">
        <v>0</v>
      </c>
      <c r="BY334" t="s">
        <v>2776</v>
      </c>
      <c r="BZ334">
        <v>2</v>
      </c>
      <c r="CA334" t="s">
        <v>2776</v>
      </c>
      <c r="CB334">
        <v>2</v>
      </c>
    </row>
    <row r="335" spans="1:80">
      <c r="A335" s="178" t="str">
        <f ca="1">IFERROR(IF(A334+加速!$L$11&lt;$AS$1,IF(COUNTIF(B334,"*轻*")&gt;0,A334+加速!$L$9,A334+加速!$L$11)+V334,IF(COUNTIF(INDEX(AU335:CB335,1,$AT$1),"*云景*")+COUNTIF(INDEX(AU335:CB335,1,$AT$1),"*鹤归*")+COUNTIF(INDEX(AU335:CB335,1,$AT$1),"*听雷*")&gt;0,A334+加速!$L$11,"")),"")</f>
        <v/>
      </c>
      <c r="B335" s="167" t="str">
        <f ca="1">IF(A335&lt;&gt;"",IF(AND(A335+加速!$L$11&gt;$AS$1,IF(AND(配装计算器!$K$30&lt;&gt;"∞",0),"梦泉虎跑-轻",INDEX(AU335:CB335,1,$AT$1))="云栖松"),"夕照雷峰",IF(AND(配装计算器!$K$30&lt;&gt;"∞",0),"梦泉虎跑-轻",INDEX(AU335:CB335,1,$AT$1))),"")</f>
        <v/>
      </c>
      <c r="C335" t="str">
        <f ca="1" t="shared" si="75"/>
        <v/>
      </c>
      <c r="D335" t="str">
        <f ca="1">IF(B335&lt;&gt;"",IF(C334&lt;=加速!$L$11*(1-E335),0,1),"")</f>
        <v/>
      </c>
      <c r="E335">
        <f ca="1" t="shared" si="71"/>
        <v>1</v>
      </c>
      <c r="G335" t="str">
        <f ca="1" t="shared" si="72"/>
        <v/>
      </c>
      <c r="H335" t="str">
        <f ca="1">IF(B335&lt;&gt;"",IF(AND(COUNTIF(B334,"*轻*莺鸣柳*")&gt;0,COUNTIF(B335,"*轻*")&lt;1),MAX(0,15+I334-(A335-A334)+COUNTIF(B334,"*平湖*")*0),IF(AND(E335=0,MAX(0,H334-(A335-A334))&lt;=加速!$H$11),0,MAX(0,H334-(A335-A334)))),"")</f>
        <v/>
      </c>
      <c r="I335" t="str">
        <f ca="1" t="shared" si="78"/>
        <v/>
      </c>
      <c r="J335" t="str">
        <f ca="1" t="shared" si="79"/>
        <v/>
      </c>
      <c r="K335" t="str">
        <f ca="1">IF(A335&lt;&gt;"",IF(AND(配装计算器!$K$30&lt;&gt;"∞",0),2,INDEX(AU335:CB335,1,$AT$2)),"")</f>
        <v/>
      </c>
      <c r="L335">
        <f ca="1">IFERROR(IF(AND(COUNTIF(B335,"*-峰插*"),技能数据库!$M$72&gt;0),0,IF(COUNTIF(B335,"*鹤归*")&gt;0,16-加速!$L$11,MAX(0,L334-(A335-A334)))),0)</f>
        <v>0</v>
      </c>
      <c r="M335">
        <f ca="1">IF(COUNTIF(IF(AND(配装计算器!$K$30&lt;&gt;"∞",0),INDEX(AU334:CB334,1,$AT$1),INDEX(AU336:CB336,1,$AT$1)),"*鹤归*")=1,L335,0)</f>
        <v>0</v>
      </c>
      <c r="N335">
        <f ca="1">IFERROR(IF(AND(COUNTIF(B335,"*-峰插*"),技能数据库!$M$72&gt;0),0,IF(COUNTIF(B335,"*云飞*")&gt;0,4-COUNTIF(B335,"*玉山揽云*")*4--COUNTIF(B335,"*烟流暮景*")*4-COUNTIF(B335,"*云景*")*加速!$L$11-IF(J335&gt;0,2,0),MAX(0,N334-(A335-A334)-IF(J335&gt;0,2,0)))),0)</f>
        <v>0</v>
      </c>
      <c r="O335">
        <f ca="1">IF(AND(COUNTIF(IF(AND(配装计算器!$K$30&lt;&gt;"∞",0),INDEX(AU334:CB334,1,$AT$1),INDEX(AU336:CB336,1,$AT$1)),"*云飞*")=1,COUNTIF(IF(AND(配装计算器!$K$30&lt;&gt;"∞",0),INDEX(AU334:CB334,1,$AT$1),INDEX(AU336:CB336,1,$AT$1)),"*玉山*")=0),N335,0)</f>
        <v>0</v>
      </c>
      <c r="P335">
        <f ca="1">IFERROR(IF(COUNTIF(B335,"*云栖松*")&gt;0,50-加速!$L$11,MAX(0,P334-(A335-A334))),0)</f>
        <v>0</v>
      </c>
      <c r="Q335">
        <f ca="1">IF(COUNTIF(IF(AND(配装计算器!$K$30&lt;&gt;"∞",0),INDEX(AU334:CB334,1,$AT$1),INDEX(AU336:CB336,1,$AT$1)),"*云栖松*")=1,P335,0)</f>
        <v>0</v>
      </c>
      <c r="R335">
        <f ca="1">IFERROR(IF(COUNTIF(B335,"*莺鸣柳*")&gt;0,45-加速!$L$9,MAX(0,R334-(A335-A334))),0)</f>
        <v>0</v>
      </c>
      <c r="S335">
        <f ca="1">IF(COUNTIF(IF(AND(配装计算器!$K$30&lt;&gt;"∞",0),INDEX(AU334:CB334,1,$AT$1),INDEX(AU336:CB336,1,$AT$1)),"*莺鸣柳*")=1,R335,0)</f>
        <v>0</v>
      </c>
      <c r="T335">
        <f ca="1" t="shared" si="76"/>
        <v>0</v>
      </c>
      <c r="U335">
        <f ca="1">IF(金蛇,IF(COUNTIF(B335,"*金环戴*")+COUNTIF(B335,"*吹风醒*")&gt;0,IF(A335&lt;=3,7.125-2.625-A335-加速!$L$11,7.125+加速!$K$9-(A335+加速!$L$11-T335)),0),0)+IF(金蛇,IF(COUNTIF(B335,"*千切子裂光*")&gt;0,2+加速!$K$9-(A335+加速!$L$11-T335),0),0)</f>
        <v>0</v>
      </c>
      <c r="V335">
        <f ca="1" t="shared" si="77"/>
        <v>0</v>
      </c>
      <c r="W335">
        <f ca="1" t="shared" si="69"/>
        <v>0</v>
      </c>
      <c r="X335">
        <f ca="1">INDEX(加速!$I$13:$I$21,技能数计算!W335+1)</f>
        <v>0</v>
      </c>
      <c r="Y335">
        <f ca="1" t="shared" si="73"/>
        <v>0.5</v>
      </c>
      <c r="Z335">
        <f ca="1" t="shared" si="74"/>
        <v>0</v>
      </c>
      <c r="AA335">
        <f ca="1">MAX(0,IFERROR(IF(COUNTIF(B335,"*叠*")&gt;0,IF(AC334&lt;3,8-A336+A335,AA334+6.875-A336+A335),AA334-A336+A335),AA334-加速!$L$11))</f>
        <v>0</v>
      </c>
      <c r="AB335" t="e">
        <f ca="1">MAX(0,IF(COUNTIF(IF(AND(配装计算器!$K$30&lt;&gt;"∞",0),INDEX(AU335:CB335,1,$AT$1),INDEX(AU335:CB335,1,$AT$1)),"*叠1*")=1,4*25-加速!$L$11,AB334-A335+A334)-IF(OR(COUNTIF(OFFSET(AT335,0,$AT$1,1,1),"*听雷*")&gt;0,AND(碧归&gt;0,COUNTIF(OFFSET(AT335,0,$AT$1,1,1),"*风来*")&gt;0)),0,1)*1.5)</f>
        <v>#VALUE!</v>
      </c>
      <c r="AC335">
        <f ca="1" t="shared" si="70"/>
        <v>3</v>
      </c>
      <c r="AD335">
        <f ca="1">IF(COUNTIF(IF(AND(配装计算器!$K$30&lt;&gt;"∞",0),INDEX(AU335:CB335,1,$AT$1),INDEX(AU336:CB336,1,$AT$1)),"*叠1*")=1,AB335*0+AE334,0)</f>
        <v>0</v>
      </c>
      <c r="AE335" t="e">
        <f ca="1">IF($AN$11&gt;0,IF(COUNTIF(B336,"*叠1*")&gt;0,50-加速!$H$11,MAX(0,AE334-(A336-A335))),0)</f>
        <v>#VALUE!</v>
      </c>
      <c r="AU335" t="s">
        <v>2776</v>
      </c>
      <c r="AV335">
        <v>1</v>
      </c>
      <c r="AW335" t="s">
        <v>2768</v>
      </c>
      <c r="AX335">
        <v>2</v>
      </c>
      <c r="AY335" t="s">
        <v>2768</v>
      </c>
      <c r="AZ335">
        <v>2</v>
      </c>
      <c r="BA335" t="s">
        <v>2776</v>
      </c>
      <c r="BB335">
        <v>2</v>
      </c>
      <c r="BC335" t="s">
        <v>2768</v>
      </c>
      <c r="BD335">
        <v>1</v>
      </c>
      <c r="BE335" t="s">
        <v>2768</v>
      </c>
      <c r="BF335">
        <v>2</v>
      </c>
      <c r="BG335" s="176" t="s">
        <v>2776</v>
      </c>
      <c r="BH335">
        <v>2</v>
      </c>
      <c r="BI335" t="s">
        <v>2776</v>
      </c>
      <c r="BJ335">
        <v>0</v>
      </c>
      <c r="BK335" s="176" t="s">
        <v>3023</v>
      </c>
      <c r="BL335">
        <v>2</v>
      </c>
      <c r="BM335" t="s">
        <v>2768</v>
      </c>
      <c r="BN335">
        <v>2</v>
      </c>
      <c r="BO335" t="s">
        <v>3009</v>
      </c>
      <c r="BP335">
        <v>2</v>
      </c>
      <c r="BQ335" t="s">
        <v>2768</v>
      </c>
      <c r="BR335">
        <v>2</v>
      </c>
      <c r="BS335" t="s">
        <v>2768</v>
      </c>
      <c r="BT335">
        <v>2</v>
      </c>
      <c r="BU335" t="s">
        <v>3028</v>
      </c>
      <c r="BV335">
        <v>1</v>
      </c>
      <c r="BW335" s="179" t="s">
        <v>2768</v>
      </c>
      <c r="BX335" s="179">
        <v>1</v>
      </c>
      <c r="BY335" t="s">
        <v>2718</v>
      </c>
      <c r="BZ335">
        <v>0</v>
      </c>
      <c r="CA335" t="s">
        <v>2718</v>
      </c>
      <c r="CB335">
        <v>0</v>
      </c>
    </row>
    <row r="336" spans="1:80">
      <c r="A336" s="178" t="str">
        <f ca="1">IFERROR(IF(A335+加速!$L$11&lt;$AS$1,IF(COUNTIF(B335,"*轻*")&gt;0,A335+加速!$L$9,A335+加速!$L$11)+V335,IF(COUNTIF(INDEX(AU336:CB336,1,$AT$1),"*云景*")+COUNTIF(INDEX(AU336:CB336,1,$AT$1),"*鹤归*")+COUNTIF(INDEX(AU336:CB336,1,$AT$1),"*听雷*")&gt;0,A335+加速!$L$11,"")),"")</f>
        <v/>
      </c>
      <c r="B336" s="167" t="str">
        <f ca="1">IF(A336&lt;&gt;"",IF(AND(A336+加速!$L$11&gt;$AS$1,IF(AND(配装计算器!$K$30&lt;&gt;"∞",0),"梦泉虎跑-轻",INDEX(AU336:CB336,1,$AT$1))="云栖松"),"夕照雷峰",IF(AND(配装计算器!$K$30&lt;&gt;"∞",0),"梦泉虎跑-轻",INDEX(AU336:CB336,1,$AT$1))),"")</f>
        <v/>
      </c>
      <c r="C336" t="str">
        <f ca="1" t="shared" si="75"/>
        <v/>
      </c>
      <c r="D336" t="str">
        <f ca="1">IF(B336&lt;&gt;"",IF(C335&lt;=加速!$L$11*(1-E336),0,1),"")</f>
        <v/>
      </c>
      <c r="E336">
        <f ca="1" t="shared" si="71"/>
        <v>1</v>
      </c>
      <c r="G336" t="str">
        <f ca="1" t="shared" si="72"/>
        <v/>
      </c>
      <c r="H336" t="str">
        <f ca="1">IF(B336&lt;&gt;"",IF(AND(COUNTIF(B335,"*轻*莺鸣柳*")&gt;0,COUNTIF(B336,"*轻*")&lt;1),MAX(0,15+I335-(A336-A335)+COUNTIF(B335,"*平湖*")*0),IF(AND(E336=0,MAX(0,H335-(A336-A335))&lt;=加速!$H$11),0,MAX(0,H335-(A336-A335)))),"")</f>
        <v/>
      </c>
      <c r="I336" t="str">
        <f ca="1" t="shared" si="78"/>
        <v/>
      </c>
      <c r="J336" t="str">
        <f ca="1" t="shared" si="79"/>
        <v/>
      </c>
      <c r="K336" t="str">
        <f ca="1">IF(A336&lt;&gt;"",IF(AND(配装计算器!$K$30&lt;&gt;"∞",0),2,INDEX(AU336:CB336,1,$AT$2)),"")</f>
        <v/>
      </c>
      <c r="L336">
        <f ca="1">IFERROR(IF(AND(COUNTIF(B336,"*-峰插*"),技能数据库!$M$72&gt;0),0,IF(COUNTIF(B336,"*鹤归*")&gt;0,16-加速!$L$11,MAX(0,L335-(A336-A335)))),0)</f>
        <v>0</v>
      </c>
      <c r="M336">
        <f ca="1">IF(COUNTIF(IF(AND(配装计算器!$K$30&lt;&gt;"∞",0),INDEX(AU335:CB335,1,$AT$1),INDEX(AU337:CB337,1,$AT$1)),"*鹤归*")=1,L336,0)</f>
        <v>0</v>
      </c>
      <c r="N336">
        <f ca="1">IFERROR(IF(AND(COUNTIF(B336,"*-峰插*"),技能数据库!$M$72&gt;0),0,IF(COUNTIF(B336,"*云飞*")&gt;0,4-COUNTIF(B336,"*玉山揽云*")*4--COUNTIF(B336,"*烟流暮景*")*4-COUNTIF(B336,"*云景*")*加速!$L$11-IF(J336&gt;0,2,0),MAX(0,N335-(A336-A335)-IF(J336&gt;0,2,0)))),0)</f>
        <v>0</v>
      </c>
      <c r="O336">
        <f ca="1">IF(AND(COUNTIF(IF(AND(配装计算器!$K$30&lt;&gt;"∞",0),INDEX(AU335:CB335,1,$AT$1),INDEX(AU337:CB337,1,$AT$1)),"*云飞*")=1,COUNTIF(IF(AND(配装计算器!$K$30&lt;&gt;"∞",0),INDEX(AU335:CB335,1,$AT$1),INDEX(AU337:CB337,1,$AT$1)),"*玉山*")=0),N336,0)</f>
        <v>0</v>
      </c>
      <c r="P336">
        <f ca="1">IFERROR(IF(COUNTIF(B336,"*云栖松*")&gt;0,50-加速!$L$11,MAX(0,P335-(A336-A335))),0)</f>
        <v>0</v>
      </c>
      <c r="Q336">
        <f ca="1">IF(COUNTIF(IF(AND(配装计算器!$K$30&lt;&gt;"∞",0),INDEX(AU335:CB335,1,$AT$1),INDEX(AU337:CB337,1,$AT$1)),"*云栖松*")=1,P336,0)</f>
        <v>0</v>
      </c>
      <c r="R336">
        <f ca="1">IFERROR(IF(COUNTIF(B336,"*莺鸣柳*")&gt;0,45-加速!$L$9,MAX(0,R335-(A336-A335))),0)</f>
        <v>0</v>
      </c>
      <c r="S336">
        <f ca="1">IF(COUNTIF(IF(AND(配装计算器!$K$30&lt;&gt;"∞",0),INDEX(AU335:CB335,1,$AT$1),INDEX(AU337:CB337,1,$AT$1)),"*莺鸣柳*")=1,R336,0)</f>
        <v>0</v>
      </c>
      <c r="T336">
        <f ca="1" t="shared" si="76"/>
        <v>0</v>
      </c>
      <c r="U336">
        <f ca="1">IF(金蛇,IF(COUNTIF(B336,"*金环戴*")+COUNTIF(B336,"*吹风醒*")&gt;0,IF(A336&lt;=3,7.125-2.625-A336-加速!$L$11,7.125+加速!$K$9-(A336+加速!$L$11-T336)),0),0)+IF(金蛇,IF(COUNTIF(B336,"*千切子裂光*")&gt;0,2+加速!$K$9-(A336+加速!$L$11-T336),0),0)</f>
        <v>0</v>
      </c>
      <c r="V336">
        <f ca="1" t="shared" si="77"/>
        <v>0</v>
      </c>
      <c r="W336">
        <f ca="1" t="shared" si="69"/>
        <v>0</v>
      </c>
      <c r="X336">
        <f ca="1">INDEX(加速!$I$13:$I$21,技能数计算!W336+1)</f>
        <v>0</v>
      </c>
      <c r="Y336">
        <f ca="1" t="shared" si="73"/>
        <v>0.5</v>
      </c>
      <c r="Z336">
        <f ca="1" t="shared" si="74"/>
        <v>0</v>
      </c>
      <c r="AA336">
        <f ca="1">MAX(0,IFERROR(IF(COUNTIF(B336,"*叠*")&gt;0,IF(AC335&lt;3,8-A337+A336,AA335+6.875-A337+A336),AA335-A337+A336),AA335-加速!$L$11))</f>
        <v>0</v>
      </c>
      <c r="AB336" t="e">
        <f ca="1">MAX(0,IF(COUNTIF(IF(AND(配装计算器!$K$30&lt;&gt;"∞",0),INDEX(AU336:CB336,1,$AT$1),INDEX(AU336:CB336,1,$AT$1)),"*叠1*")=1,4*25-加速!$L$11,AB335-A336+A335)-IF(OR(COUNTIF(OFFSET(AT336,0,$AT$1,1,1),"*听雷*")&gt;0,AND(碧归&gt;0,COUNTIF(OFFSET(AT336,0,$AT$1,1,1),"*风来*")&gt;0)),0,1)*1.5)</f>
        <v>#VALUE!</v>
      </c>
      <c r="AC336">
        <f ca="1" t="shared" si="70"/>
        <v>3</v>
      </c>
      <c r="AD336">
        <f ca="1">IF(COUNTIF(IF(AND(配装计算器!$K$30&lt;&gt;"∞",0),INDEX(AU336:CB336,1,$AT$1),INDEX(AU337:CB337,1,$AT$1)),"*叠1*")=1,AB336*0+AE335,0)</f>
        <v>0</v>
      </c>
      <c r="AE336" t="e">
        <f ca="1">IF($AN$11&gt;0,IF(COUNTIF(B337,"*叠1*")&gt;0,50-加速!$H$11,MAX(0,AE335-(A337-A336))),0)</f>
        <v>#VALUE!</v>
      </c>
      <c r="AU336" t="s">
        <v>2768</v>
      </c>
      <c r="AV336">
        <v>2</v>
      </c>
      <c r="AW336" t="s">
        <v>2776</v>
      </c>
      <c r="AX336">
        <v>2</v>
      </c>
      <c r="AY336" t="s">
        <v>2768</v>
      </c>
      <c r="AZ336">
        <v>2</v>
      </c>
      <c r="BA336" t="s">
        <v>3035</v>
      </c>
      <c r="BB336">
        <v>2</v>
      </c>
      <c r="BC336" t="s">
        <v>2813</v>
      </c>
      <c r="BD336">
        <v>0</v>
      </c>
      <c r="BE336" t="s">
        <v>3023</v>
      </c>
      <c r="BF336">
        <v>2</v>
      </c>
      <c r="BG336" s="176" t="s">
        <v>3035</v>
      </c>
      <c r="BH336">
        <v>2</v>
      </c>
      <c r="BI336" t="s">
        <v>2768</v>
      </c>
      <c r="BJ336">
        <v>0</v>
      </c>
      <c r="BK336" s="176" t="s">
        <v>2768</v>
      </c>
      <c r="BL336">
        <v>2</v>
      </c>
      <c r="BM336" t="s">
        <v>2768</v>
      </c>
      <c r="BN336">
        <v>2</v>
      </c>
      <c r="BO336" t="s">
        <v>2776</v>
      </c>
      <c r="BP336">
        <v>2</v>
      </c>
      <c r="BQ336" t="s">
        <v>2768</v>
      </c>
      <c r="BR336">
        <v>2</v>
      </c>
      <c r="BS336" t="s">
        <v>2768</v>
      </c>
      <c r="BT336">
        <v>2</v>
      </c>
      <c r="BU336" t="s">
        <v>2768</v>
      </c>
      <c r="BV336">
        <v>1</v>
      </c>
      <c r="BW336" s="179" t="s">
        <v>2722</v>
      </c>
      <c r="BX336" s="179">
        <v>2</v>
      </c>
      <c r="BY336" t="s">
        <v>2768</v>
      </c>
      <c r="BZ336">
        <v>2</v>
      </c>
      <c r="CA336" t="s">
        <v>2768</v>
      </c>
      <c r="CB336">
        <v>2</v>
      </c>
    </row>
    <row r="337" spans="1:80">
      <c r="A337" s="178" t="str">
        <f ca="1">IFERROR(IF(A336+加速!$L$11&lt;$AS$1,IF(COUNTIF(B336,"*轻*")&gt;0,A336+加速!$L$9,A336+加速!$L$11)+V336,IF(COUNTIF(INDEX(AU337:CB337,1,$AT$1),"*云景*")+COUNTIF(INDEX(AU337:CB337,1,$AT$1),"*鹤归*")+COUNTIF(INDEX(AU337:CB337,1,$AT$1),"*听雷*")&gt;0,A336+加速!$L$11,"")),"")</f>
        <v/>
      </c>
      <c r="B337" s="167" t="str">
        <f ca="1">IF(A337&lt;&gt;"",IF(AND(A337+加速!$L$11&gt;$AS$1,IF(AND(配装计算器!$K$30&lt;&gt;"∞",0),"梦泉虎跑-轻",INDEX(AU337:CB337,1,$AT$1))="云栖松"),"夕照雷峰",IF(AND(配装计算器!$K$30&lt;&gt;"∞",0),"梦泉虎跑-轻",INDEX(AU337:CB337,1,$AT$1))),"")</f>
        <v/>
      </c>
      <c r="C337" t="str">
        <f ca="1" t="shared" si="75"/>
        <v/>
      </c>
      <c r="D337" t="str">
        <f ca="1">IF(B337&lt;&gt;"",IF(C336&lt;=加速!$L$11*(1-E337),0,1),"")</f>
        <v/>
      </c>
      <c r="E337">
        <f ca="1" t="shared" si="71"/>
        <v>1</v>
      </c>
      <c r="G337" t="str">
        <f ca="1" t="shared" si="72"/>
        <v/>
      </c>
      <c r="H337" t="str">
        <f ca="1">IF(B337&lt;&gt;"",IF(AND(COUNTIF(B336,"*轻*莺鸣柳*")&gt;0,COUNTIF(B337,"*轻*")&lt;1),MAX(0,15+I336-(A337-A336)+COUNTIF(B336,"*平湖*")*0),IF(AND(E337=0,MAX(0,H336-(A337-A336))&lt;=加速!$H$11),0,MAX(0,H336-(A337-A336)))),"")</f>
        <v/>
      </c>
      <c r="I337" t="str">
        <f ca="1" t="shared" si="78"/>
        <v/>
      </c>
      <c r="J337" t="str">
        <f ca="1" t="shared" si="79"/>
        <v/>
      </c>
      <c r="K337" t="str">
        <f ca="1">IF(A337&lt;&gt;"",IF(AND(配装计算器!$K$30&lt;&gt;"∞",0),2,INDEX(AU337:CB337,1,$AT$2)),"")</f>
        <v/>
      </c>
      <c r="L337">
        <f ca="1">IFERROR(IF(AND(COUNTIF(B337,"*-峰插*"),技能数据库!$M$72&gt;0),0,IF(COUNTIF(B337,"*鹤归*")&gt;0,16-加速!$L$11,MAX(0,L336-(A337-A336)))),0)</f>
        <v>0</v>
      </c>
      <c r="M337">
        <f ca="1">IF(COUNTIF(IF(AND(配装计算器!$K$30&lt;&gt;"∞",0),INDEX(AU336:CB336,1,$AT$1),INDEX(AU338:CB338,1,$AT$1)),"*鹤归*")=1,L337,0)</f>
        <v>0</v>
      </c>
      <c r="N337">
        <f ca="1">IFERROR(IF(AND(COUNTIF(B337,"*-峰插*"),技能数据库!$M$72&gt;0),0,IF(COUNTIF(B337,"*云飞*")&gt;0,4-COUNTIF(B337,"*玉山揽云*")*4--COUNTIF(B337,"*烟流暮景*")*4-COUNTIF(B337,"*云景*")*加速!$L$11-IF(J337&gt;0,2,0),MAX(0,N336-(A337-A336)-IF(J337&gt;0,2,0)))),0)</f>
        <v>0</v>
      </c>
      <c r="O337">
        <f ca="1">IF(AND(COUNTIF(IF(AND(配装计算器!$K$30&lt;&gt;"∞",0),INDEX(AU336:CB336,1,$AT$1),INDEX(AU338:CB338,1,$AT$1)),"*云飞*")=1,COUNTIF(IF(AND(配装计算器!$K$30&lt;&gt;"∞",0),INDEX(AU336:CB336,1,$AT$1),INDEX(AU338:CB338,1,$AT$1)),"*玉山*")=0),N337,0)</f>
        <v>0</v>
      </c>
      <c r="P337">
        <f ca="1">IFERROR(IF(COUNTIF(B337,"*云栖松*")&gt;0,50-加速!$L$11,MAX(0,P336-(A337-A336))),0)</f>
        <v>0</v>
      </c>
      <c r="Q337">
        <f ca="1">IF(COUNTIF(IF(AND(配装计算器!$K$30&lt;&gt;"∞",0),INDEX(AU336:CB336,1,$AT$1),INDEX(AU338:CB338,1,$AT$1)),"*云栖松*")=1,P337,0)</f>
        <v>0</v>
      </c>
      <c r="R337">
        <f ca="1">IFERROR(IF(COUNTIF(B337,"*莺鸣柳*")&gt;0,45-加速!$L$9,MAX(0,R336-(A337-A336))),0)</f>
        <v>0</v>
      </c>
      <c r="S337">
        <f ca="1">IF(COUNTIF(IF(AND(配装计算器!$K$30&lt;&gt;"∞",0),INDEX(AU336:CB336,1,$AT$1),INDEX(AU338:CB338,1,$AT$1)),"*莺鸣柳*")=1,R337,0)</f>
        <v>0</v>
      </c>
      <c r="T337">
        <f ca="1" t="shared" si="76"/>
        <v>0</v>
      </c>
      <c r="U337">
        <f ca="1">IF(金蛇,IF(COUNTIF(B337,"*金环戴*")+COUNTIF(B337,"*吹风醒*")&gt;0,IF(A337&lt;=3,7.125-2.625-A337-加速!$L$11,7.125+加速!$K$9-(A337+加速!$L$11-T337)),0),0)+IF(金蛇,IF(COUNTIF(B337,"*千切子裂光*")&gt;0,2+加速!$K$9-(A337+加速!$L$11-T337),0),0)</f>
        <v>0</v>
      </c>
      <c r="V337">
        <f ca="1" t="shared" si="77"/>
        <v>0</v>
      </c>
      <c r="W337">
        <f ca="1" t="shared" si="69"/>
        <v>0</v>
      </c>
      <c r="X337">
        <f ca="1">INDEX(加速!$I$13:$I$21,技能数计算!W337+1)</f>
        <v>0</v>
      </c>
      <c r="Y337">
        <f ca="1" t="shared" si="73"/>
        <v>0.5</v>
      </c>
      <c r="Z337">
        <f ca="1" t="shared" si="74"/>
        <v>0</v>
      </c>
      <c r="AA337">
        <f ca="1">MAX(0,IFERROR(IF(COUNTIF(B337,"*叠*")&gt;0,IF(AC336&lt;3,8-A338+A337,AA336+6.875-A338+A337),AA336-A338+A337),AA336-加速!$L$11))</f>
        <v>0</v>
      </c>
      <c r="AB337" t="e">
        <f ca="1">MAX(0,IF(COUNTIF(IF(AND(配装计算器!$K$30&lt;&gt;"∞",0),INDEX(AU337:CB337,1,$AT$1),INDEX(AU337:CB337,1,$AT$1)),"*叠1*")=1,4*25-加速!$L$11,AB336-A337+A336)-IF(OR(COUNTIF(OFFSET(AT337,0,$AT$1,1,1),"*听雷*")&gt;0,AND(碧归&gt;0,COUNTIF(OFFSET(AT337,0,$AT$1,1,1),"*风来*")&gt;0)),0,1)*1.5)</f>
        <v>#VALUE!</v>
      </c>
      <c r="AC337">
        <f ca="1" t="shared" si="70"/>
        <v>3</v>
      </c>
      <c r="AD337">
        <f ca="1">IF(COUNTIF(IF(AND(配装计算器!$K$30&lt;&gt;"∞",0),INDEX(AU337:CB337,1,$AT$1),INDEX(AU338:CB338,1,$AT$1)),"*叠1*")=1,AB337*0+AE336,0)</f>
        <v>0</v>
      </c>
      <c r="AE337" t="e">
        <f ca="1">IF($AN$11&gt;0,IF(COUNTIF(B338,"*叠1*")&gt;0,50-加速!$H$11,MAX(0,AE336-(A338-A337))),0)</f>
        <v>#VALUE!</v>
      </c>
      <c r="AU337" t="s">
        <v>2768</v>
      </c>
      <c r="AV337">
        <v>2</v>
      </c>
      <c r="AW337" t="s">
        <v>2768</v>
      </c>
      <c r="AX337">
        <v>2</v>
      </c>
      <c r="AY337" t="s">
        <v>2776</v>
      </c>
      <c r="AZ337">
        <v>2</v>
      </c>
      <c r="BA337" t="s">
        <v>2768</v>
      </c>
      <c r="BB337">
        <v>2</v>
      </c>
      <c r="BC337" t="s">
        <v>2776</v>
      </c>
      <c r="BD337">
        <v>2</v>
      </c>
      <c r="BE337" s="182" t="s">
        <v>2768</v>
      </c>
      <c r="BF337">
        <v>2</v>
      </c>
      <c r="BG337" t="s">
        <v>2768</v>
      </c>
      <c r="BH337">
        <v>2</v>
      </c>
      <c r="BI337" t="s">
        <v>2768</v>
      </c>
      <c r="BJ337">
        <v>0</v>
      </c>
      <c r="BK337" s="176" t="s">
        <v>2808</v>
      </c>
      <c r="BL337">
        <v>2</v>
      </c>
      <c r="BM337" t="s">
        <v>2768</v>
      </c>
      <c r="BN337">
        <v>2</v>
      </c>
      <c r="BO337" t="s">
        <v>2768</v>
      </c>
      <c r="BP337">
        <v>2</v>
      </c>
      <c r="BQ337" t="s">
        <v>3010</v>
      </c>
      <c r="BR337">
        <v>2</v>
      </c>
      <c r="BS337" t="s">
        <v>2776</v>
      </c>
      <c r="BT337">
        <v>2</v>
      </c>
      <c r="BU337" t="s">
        <v>3011</v>
      </c>
      <c r="BV337">
        <v>2</v>
      </c>
      <c r="BW337" s="179" t="s">
        <v>3009</v>
      </c>
      <c r="BX337" s="179">
        <v>2</v>
      </c>
      <c r="BY337" t="s">
        <v>2768</v>
      </c>
      <c r="BZ337">
        <v>2</v>
      </c>
      <c r="CA337" t="s">
        <v>2768</v>
      </c>
      <c r="CB337">
        <v>2</v>
      </c>
    </row>
    <row r="338" spans="1:80">
      <c r="A338" s="178" t="str">
        <f ca="1">IFERROR(IF(A337+加速!$L$11&lt;$AS$1,IF(COUNTIF(B337,"*轻*")&gt;0,A337+加速!$L$9,A337+加速!$L$11)+V337,IF(COUNTIF(INDEX(AU338:CB338,1,$AT$1),"*云景*")+COUNTIF(INDEX(AU338:CB338,1,$AT$1),"*鹤归*")+COUNTIF(INDEX(AU338:CB338,1,$AT$1),"*听雷*")&gt;0,A337+加速!$L$11,"")),"")</f>
        <v/>
      </c>
      <c r="B338" s="167" t="str">
        <f ca="1">IF(A338&lt;&gt;"",IF(AND(A338+加速!$L$11&gt;$AS$1,IF(AND(配装计算器!$K$30&lt;&gt;"∞",0),"梦泉虎跑-轻",INDEX(AU338:CB338,1,$AT$1))="云栖松"),"夕照雷峰",IF(AND(配装计算器!$K$30&lt;&gt;"∞",0),"梦泉虎跑-轻",INDEX(AU338:CB338,1,$AT$1))),"")</f>
        <v/>
      </c>
      <c r="C338" t="str">
        <f ca="1" t="shared" si="75"/>
        <v/>
      </c>
      <c r="D338" t="str">
        <f ca="1">IF(B338&lt;&gt;"",IF(C337&lt;=加速!$L$11*(1-E338),0,1),"")</f>
        <v/>
      </c>
      <c r="E338">
        <f ca="1" t="shared" si="71"/>
        <v>1</v>
      </c>
      <c r="G338" t="str">
        <f ca="1" t="shared" si="72"/>
        <v/>
      </c>
      <c r="H338" t="str">
        <f ca="1">IF(B338&lt;&gt;"",IF(AND(COUNTIF(B337,"*轻*莺鸣柳*")&gt;0,COUNTIF(B338,"*轻*")&lt;1),MAX(0,15+I337-(A338-A337)+COUNTIF(B337,"*平湖*")*0),IF(AND(E338=0,MAX(0,H337-(A338-A337))&lt;=加速!$H$11),0,MAX(0,H337-(A338-A337)))),"")</f>
        <v/>
      </c>
      <c r="I338" t="str">
        <f ca="1" t="shared" si="78"/>
        <v/>
      </c>
      <c r="J338" t="str">
        <f ca="1" t="shared" si="79"/>
        <v/>
      </c>
      <c r="K338" t="str">
        <f ca="1">IF(A338&lt;&gt;"",IF(AND(配装计算器!$K$30&lt;&gt;"∞",0),2,INDEX(AU338:CB338,1,$AT$2)),"")</f>
        <v/>
      </c>
      <c r="L338">
        <f ca="1">IFERROR(IF(AND(COUNTIF(B338,"*-峰插*"),技能数据库!$M$72&gt;0),0,IF(COUNTIF(B338,"*鹤归*")&gt;0,16-加速!$L$11,MAX(0,L337-(A338-A337)))),0)</f>
        <v>0</v>
      </c>
      <c r="M338">
        <f ca="1">IF(COUNTIF(IF(AND(配装计算器!$K$30&lt;&gt;"∞",0),INDEX(AU337:CB337,1,$AT$1),INDEX(AU339:CB339,1,$AT$1)),"*鹤归*")=1,L338,0)</f>
        <v>0</v>
      </c>
      <c r="N338">
        <f ca="1">IFERROR(IF(AND(COUNTIF(B338,"*-峰插*"),技能数据库!$M$72&gt;0),0,IF(COUNTIF(B338,"*云飞*")&gt;0,4-COUNTIF(B338,"*玉山揽云*")*4--COUNTIF(B338,"*烟流暮景*")*4-COUNTIF(B338,"*云景*")*加速!$L$11-IF(J338&gt;0,2,0),MAX(0,N337-(A338-A337)-IF(J338&gt;0,2,0)))),0)</f>
        <v>0</v>
      </c>
      <c r="O338">
        <f ca="1">IF(AND(COUNTIF(IF(AND(配装计算器!$K$30&lt;&gt;"∞",0),INDEX(AU337:CB337,1,$AT$1),INDEX(AU339:CB339,1,$AT$1)),"*云飞*")=1,COUNTIF(IF(AND(配装计算器!$K$30&lt;&gt;"∞",0),INDEX(AU337:CB337,1,$AT$1),INDEX(AU339:CB339,1,$AT$1)),"*玉山*")=0),N338,0)</f>
        <v>0</v>
      </c>
      <c r="P338">
        <f ca="1">IFERROR(IF(COUNTIF(B338,"*云栖松*")&gt;0,50-加速!$L$11,MAX(0,P337-(A338-A337))),0)</f>
        <v>0</v>
      </c>
      <c r="Q338">
        <f ca="1">IF(COUNTIF(IF(AND(配装计算器!$K$30&lt;&gt;"∞",0),INDEX(AU337:CB337,1,$AT$1),INDEX(AU339:CB339,1,$AT$1)),"*云栖松*")=1,P338,0)</f>
        <v>0</v>
      </c>
      <c r="R338">
        <f ca="1">IFERROR(IF(COUNTIF(B338,"*莺鸣柳*")&gt;0,45-加速!$L$9,MAX(0,R337-(A338-A337))),0)</f>
        <v>0</v>
      </c>
      <c r="S338">
        <f ca="1">IF(COUNTIF(IF(AND(配装计算器!$K$30&lt;&gt;"∞",0),INDEX(AU337:CB337,1,$AT$1),INDEX(AU339:CB339,1,$AT$1)),"*莺鸣柳*")=1,R338,0)</f>
        <v>0</v>
      </c>
      <c r="T338">
        <f ca="1" t="shared" si="76"/>
        <v>0</v>
      </c>
      <c r="U338">
        <f ca="1">IF(金蛇,IF(COUNTIF(B338,"*金环戴*")+COUNTIF(B338,"*吹风醒*")&gt;0,IF(A338&lt;=3,7.125-2.625-A338-加速!$L$11,7.125+加速!$K$9-(A338+加速!$L$11-T338)),0),0)+IF(金蛇,IF(COUNTIF(B338,"*千切子裂光*")&gt;0,2+加速!$K$9-(A338+加速!$L$11-T338),0),0)</f>
        <v>0</v>
      </c>
      <c r="V338">
        <f ca="1" t="shared" si="77"/>
        <v>0</v>
      </c>
      <c r="W338">
        <f ca="1" t="shared" si="69"/>
        <v>0</v>
      </c>
      <c r="X338">
        <f ca="1">INDEX(加速!$I$13:$I$21,技能数计算!W338+1)</f>
        <v>0</v>
      </c>
      <c r="Y338">
        <f ca="1" t="shared" si="73"/>
        <v>0.5</v>
      </c>
      <c r="Z338">
        <f ca="1" t="shared" si="74"/>
        <v>0</v>
      </c>
      <c r="AA338">
        <f ca="1">MAX(0,IFERROR(IF(COUNTIF(B338,"*叠*")&gt;0,IF(AC337&lt;3,8-A339+A338,AA337+6.875-A339+A338),AA337-A339+A338),AA337-加速!$L$11))</f>
        <v>0</v>
      </c>
      <c r="AB338" t="e">
        <f ca="1">MAX(0,IF(COUNTIF(IF(AND(配装计算器!$K$30&lt;&gt;"∞",0),INDEX(AU338:CB338,1,$AT$1),INDEX(AU338:CB338,1,$AT$1)),"*叠1*")=1,4*25-加速!$L$11,AB337-A338+A337)-IF(OR(COUNTIF(OFFSET(AT338,0,$AT$1,1,1),"*听雷*")&gt;0,AND(碧归&gt;0,COUNTIF(OFFSET(AT338,0,$AT$1,1,1),"*风来*")&gt;0)),0,1)*1.5)</f>
        <v>#VALUE!</v>
      </c>
      <c r="AC338">
        <f ca="1" t="shared" si="70"/>
        <v>3</v>
      </c>
      <c r="AD338">
        <f ca="1">IF(COUNTIF(IF(AND(配装计算器!$K$30&lt;&gt;"∞",0),INDEX(AU338:CB338,1,$AT$1),INDEX(AU339:CB339,1,$AT$1)),"*叠1*")=1,AB338*0+AE337,0)</f>
        <v>0</v>
      </c>
      <c r="AE338" t="e">
        <f ca="1">IF($AN$11&gt;0,IF(COUNTIF(B339,"*叠1*")&gt;0,50-加速!$H$11,MAX(0,AE337-(A339-A338))),0)</f>
        <v>#VALUE!</v>
      </c>
      <c r="AU338" s="176" t="s">
        <v>2794</v>
      </c>
      <c r="AV338">
        <v>2</v>
      </c>
      <c r="AW338" t="s">
        <v>2768</v>
      </c>
      <c r="AX338">
        <v>2</v>
      </c>
      <c r="AY338" t="s">
        <v>3035</v>
      </c>
      <c r="AZ338">
        <v>2</v>
      </c>
      <c r="BA338" t="s">
        <v>2776</v>
      </c>
      <c r="BB338">
        <v>2</v>
      </c>
      <c r="BC338" t="s">
        <v>2768</v>
      </c>
      <c r="BD338">
        <v>2</v>
      </c>
      <c r="BE338" s="176" t="s">
        <v>2768</v>
      </c>
      <c r="BF338">
        <v>2</v>
      </c>
      <c r="BG338" t="s">
        <v>2776</v>
      </c>
      <c r="BH338">
        <v>2</v>
      </c>
      <c r="BI338" t="s">
        <v>2722</v>
      </c>
      <c r="BJ338">
        <v>0</v>
      </c>
      <c r="BK338" t="s">
        <v>2789</v>
      </c>
      <c r="BL338">
        <v>2</v>
      </c>
      <c r="BM338" t="s">
        <v>2776</v>
      </c>
      <c r="BN338">
        <v>2</v>
      </c>
      <c r="BO338" s="180" t="s">
        <v>2789</v>
      </c>
      <c r="BP338">
        <v>2</v>
      </c>
      <c r="BQ338" t="s">
        <v>3013</v>
      </c>
      <c r="BR338">
        <v>2</v>
      </c>
      <c r="BS338" t="s">
        <v>2768</v>
      </c>
      <c r="BT338">
        <v>1</v>
      </c>
      <c r="BU338" t="s">
        <v>2768</v>
      </c>
      <c r="BV338">
        <v>2</v>
      </c>
      <c r="BW338" s="179" t="s">
        <v>3078</v>
      </c>
      <c r="BX338" s="179">
        <v>2</v>
      </c>
      <c r="BY338" t="s">
        <v>2776</v>
      </c>
      <c r="BZ338">
        <v>2</v>
      </c>
      <c r="CA338" t="s">
        <v>2776</v>
      </c>
      <c r="CB338">
        <v>2</v>
      </c>
    </row>
    <row r="339" spans="1:80">
      <c r="A339" s="178" t="str">
        <f ca="1">IFERROR(IF(A338+加速!$L$11&lt;$AS$1,IF(COUNTIF(B338,"*轻*")&gt;0,A338+加速!$L$9,A338+加速!$L$11)+V338,IF(COUNTIF(INDEX(AU339:CB339,1,$AT$1),"*云景*")+COUNTIF(INDEX(AU339:CB339,1,$AT$1),"*鹤归*")+COUNTIF(INDEX(AU339:CB339,1,$AT$1),"*听雷*")&gt;0,A338+加速!$L$11,"")),"")</f>
        <v/>
      </c>
      <c r="B339" s="167" t="str">
        <f ca="1">IF(A339&lt;&gt;"",IF(AND(A339+加速!$L$11&gt;$AS$1,IF(AND(配装计算器!$K$30&lt;&gt;"∞",0),"梦泉虎跑-轻",INDEX(AU339:CB339,1,$AT$1))="云栖松"),"夕照雷峰",IF(AND(配装计算器!$K$30&lt;&gt;"∞",0),"梦泉虎跑-轻",INDEX(AU339:CB339,1,$AT$1))),"")</f>
        <v/>
      </c>
      <c r="C339" t="str">
        <f ca="1" t="shared" si="75"/>
        <v/>
      </c>
      <c r="D339" t="str">
        <f ca="1">IF(B339&lt;&gt;"",IF(C338&lt;=加速!$L$11*(1-E339),0,1),"")</f>
        <v/>
      </c>
      <c r="E339">
        <f ca="1" t="shared" si="71"/>
        <v>1</v>
      </c>
      <c r="G339" t="str">
        <f ca="1" t="shared" si="72"/>
        <v/>
      </c>
      <c r="H339" t="str">
        <f ca="1">IF(B339&lt;&gt;"",IF(AND(COUNTIF(B338,"*轻*莺鸣柳*")&gt;0,COUNTIF(B339,"*轻*")&lt;1),MAX(0,15+I338-(A339-A338)+COUNTIF(B338,"*平湖*")*0),IF(AND(E339=0,MAX(0,H338-(A339-A338))&lt;=加速!$H$11),0,MAX(0,H338-(A339-A338)))),"")</f>
        <v/>
      </c>
      <c r="I339" t="str">
        <f ca="1" t="shared" si="78"/>
        <v/>
      </c>
      <c r="J339" t="str">
        <f ca="1" t="shared" si="79"/>
        <v/>
      </c>
      <c r="K339" t="str">
        <f ca="1">IF(A339&lt;&gt;"",IF(AND(配装计算器!$K$30&lt;&gt;"∞",0),2,INDEX(AU339:CB339,1,$AT$2)),"")</f>
        <v/>
      </c>
      <c r="L339">
        <f ca="1">IFERROR(IF(AND(COUNTIF(B339,"*-峰插*"),技能数据库!$M$72&gt;0),0,IF(COUNTIF(B339,"*鹤归*")&gt;0,16-加速!$L$11,MAX(0,L338-(A339-A338)))),0)</f>
        <v>0</v>
      </c>
      <c r="M339">
        <f ca="1">IF(COUNTIF(IF(AND(配装计算器!$K$30&lt;&gt;"∞",0),INDEX(AU338:CB338,1,$AT$1),INDEX(AU340:CB340,1,$AT$1)),"*鹤归*")=1,L339,0)</f>
        <v>0</v>
      </c>
      <c r="N339">
        <f ca="1">IFERROR(IF(AND(COUNTIF(B339,"*-峰插*"),技能数据库!$M$72&gt;0),0,IF(COUNTIF(B339,"*云飞*")&gt;0,4-COUNTIF(B339,"*玉山揽云*")*4--COUNTIF(B339,"*烟流暮景*")*4-COUNTIF(B339,"*云景*")*加速!$L$11-IF(J339&gt;0,2,0),MAX(0,N338-(A339-A338)-IF(J339&gt;0,2,0)))),0)</f>
        <v>0</v>
      </c>
      <c r="O339">
        <f ca="1">IF(AND(COUNTIF(IF(AND(配装计算器!$K$30&lt;&gt;"∞",0),INDEX(AU338:CB338,1,$AT$1),INDEX(AU340:CB340,1,$AT$1)),"*云飞*")=1,COUNTIF(IF(AND(配装计算器!$K$30&lt;&gt;"∞",0),INDEX(AU338:CB338,1,$AT$1),INDEX(AU340:CB340,1,$AT$1)),"*玉山*")=0),N339,0)</f>
        <v>0</v>
      </c>
      <c r="P339">
        <f ca="1">IFERROR(IF(COUNTIF(B339,"*云栖松*")&gt;0,50-加速!$L$11,MAX(0,P338-(A339-A338))),0)</f>
        <v>0</v>
      </c>
      <c r="Q339">
        <f ca="1">IF(COUNTIF(IF(AND(配装计算器!$K$30&lt;&gt;"∞",0),INDEX(AU338:CB338,1,$AT$1),INDEX(AU340:CB340,1,$AT$1)),"*云栖松*")=1,P339,0)</f>
        <v>0</v>
      </c>
      <c r="R339">
        <f ca="1">IFERROR(IF(COUNTIF(B339,"*莺鸣柳*")&gt;0,45-加速!$L$9,MAX(0,R338-(A339-A338))),0)</f>
        <v>0</v>
      </c>
      <c r="S339">
        <f ca="1">IF(COUNTIF(IF(AND(配装计算器!$K$30&lt;&gt;"∞",0),INDEX(AU338:CB338,1,$AT$1),INDEX(AU340:CB340,1,$AT$1)),"*莺鸣柳*")=1,R339,0)</f>
        <v>0</v>
      </c>
      <c r="T339">
        <f ca="1" t="shared" si="76"/>
        <v>0</v>
      </c>
      <c r="U339">
        <f ca="1">IF(金蛇,IF(COUNTIF(B339,"*金环戴*")+COUNTIF(B339,"*吹风醒*")&gt;0,IF(A339&lt;=3,7.125-2.625-A339-加速!$L$11,7.125+加速!$K$9-(A339+加速!$L$11-T339)),0),0)+IF(金蛇,IF(COUNTIF(B339,"*千切子裂光*")&gt;0,2+加速!$K$9-(A339+加速!$L$11-T339),0),0)</f>
        <v>0</v>
      </c>
      <c r="V339">
        <f ca="1" t="shared" si="77"/>
        <v>0</v>
      </c>
      <c r="W339">
        <f ca="1" t="shared" si="69"/>
        <v>0</v>
      </c>
      <c r="X339">
        <f ca="1">INDEX(加速!$I$13:$I$21,技能数计算!W339+1)</f>
        <v>0</v>
      </c>
      <c r="Y339">
        <f ca="1" t="shared" si="73"/>
        <v>0.5</v>
      </c>
      <c r="Z339">
        <f ca="1" t="shared" si="74"/>
        <v>0</v>
      </c>
      <c r="AA339">
        <f ca="1">MAX(0,IFERROR(IF(COUNTIF(B339,"*叠*")&gt;0,IF(AC338&lt;3,8-A340+A339,AA338+6.875-A340+A339),AA338-A340+A339),AA338-加速!$L$11))</f>
        <v>0</v>
      </c>
      <c r="AB339" t="e">
        <f ca="1">MAX(0,IF(COUNTIF(IF(AND(配装计算器!$K$30&lt;&gt;"∞",0),INDEX(AU339:CB339,1,$AT$1),INDEX(AU339:CB339,1,$AT$1)),"*叠1*")=1,4*25-加速!$L$11,AB338-A339+A338)-IF(OR(COUNTIF(OFFSET(AT339,0,$AT$1,1,1),"*听雷*")&gt;0,AND(碧归&gt;0,COUNTIF(OFFSET(AT339,0,$AT$1,1,1),"*风来*")&gt;0)),0,1)*1.5)</f>
        <v>#VALUE!</v>
      </c>
      <c r="AC339">
        <f ca="1" t="shared" si="70"/>
        <v>3</v>
      </c>
      <c r="AD339">
        <f ca="1">IF(COUNTIF(IF(AND(配装计算器!$K$30&lt;&gt;"∞",0),INDEX(AU339:CB339,1,$AT$1),INDEX(AU340:CB340,1,$AT$1)),"*叠1*")=1,AB339*0+AE338,0)</f>
        <v>0</v>
      </c>
      <c r="AE339" t="e">
        <f ca="1">IF($AN$11&gt;0,IF(COUNTIF(B340,"*叠1*")&gt;0,50-加速!$H$11,MAX(0,AE338-(A340-A339))),0)</f>
        <v>#VALUE!</v>
      </c>
      <c r="AU339" s="176" t="s">
        <v>2776</v>
      </c>
      <c r="AV339">
        <v>2</v>
      </c>
      <c r="AW339" t="s">
        <v>2768</v>
      </c>
      <c r="AX339">
        <v>2</v>
      </c>
      <c r="AY339" t="s">
        <v>2768</v>
      </c>
      <c r="AZ339">
        <v>2</v>
      </c>
      <c r="BA339" t="s">
        <v>2768</v>
      </c>
      <c r="BB339">
        <v>2</v>
      </c>
      <c r="BC339" t="s">
        <v>2768</v>
      </c>
      <c r="BD339">
        <v>2</v>
      </c>
      <c r="BE339" s="176" t="s">
        <v>2789</v>
      </c>
      <c r="BF339">
        <v>2</v>
      </c>
      <c r="BG339" t="s">
        <v>2768</v>
      </c>
      <c r="BH339">
        <v>2</v>
      </c>
      <c r="BI339" t="s">
        <v>2776</v>
      </c>
      <c r="BJ339">
        <v>2</v>
      </c>
      <c r="BK339" t="s">
        <v>2776</v>
      </c>
      <c r="BL339">
        <v>2</v>
      </c>
      <c r="BM339" t="s">
        <v>2768</v>
      </c>
      <c r="BN339">
        <v>2</v>
      </c>
      <c r="BO339" s="176" t="s">
        <v>2794</v>
      </c>
      <c r="BP339">
        <v>2</v>
      </c>
      <c r="BQ339" t="s">
        <v>3018</v>
      </c>
      <c r="BR339">
        <v>2</v>
      </c>
      <c r="BS339" t="str">
        <f>IF(秋,"云栖松","泉凝月")</f>
        <v>泉凝月</v>
      </c>
      <c r="BT339">
        <v>1</v>
      </c>
      <c r="BU339" t="s">
        <v>3018</v>
      </c>
      <c r="BV339">
        <v>2</v>
      </c>
      <c r="BW339" s="179" t="s">
        <v>2768</v>
      </c>
      <c r="BX339" s="179">
        <v>2</v>
      </c>
      <c r="BY339" t="s">
        <v>2718</v>
      </c>
      <c r="BZ339">
        <v>0</v>
      </c>
      <c r="CA339" t="s">
        <v>2718</v>
      </c>
      <c r="CB339">
        <v>0</v>
      </c>
    </row>
    <row r="340" spans="1:80">
      <c r="A340" s="178" t="str">
        <f ca="1">IFERROR(IF(A339+加速!$L$11&lt;$AS$1,IF(COUNTIF(B339,"*轻*")&gt;0,A339+加速!$L$9,A339+加速!$L$11)+V339,IF(COUNTIF(INDEX(AU340:CB340,1,$AT$1),"*云景*")+COUNTIF(INDEX(AU340:CB340,1,$AT$1),"*鹤归*")+COUNTIF(INDEX(AU340:CB340,1,$AT$1),"*听雷*")&gt;0,A339+加速!$L$11,"")),"")</f>
        <v/>
      </c>
      <c r="B340" s="167" t="str">
        <f ca="1">IF(A340&lt;&gt;"",IF(AND(A340+加速!$L$11&gt;$AS$1,IF(AND(配装计算器!$K$30&lt;&gt;"∞",0),"梦泉虎跑-轻",INDEX(AU340:CB340,1,$AT$1))="云栖松"),"夕照雷峰",IF(AND(配装计算器!$K$30&lt;&gt;"∞",0),"梦泉虎跑-轻",INDEX(AU340:CB340,1,$AT$1))),"")</f>
        <v/>
      </c>
      <c r="C340" t="str">
        <f ca="1" t="shared" si="75"/>
        <v/>
      </c>
      <c r="D340" t="str">
        <f ca="1">IF(B340&lt;&gt;"",IF(C339&lt;=加速!$L$11*(1-E340),0,1),"")</f>
        <v/>
      </c>
      <c r="E340">
        <f ca="1" t="shared" si="71"/>
        <v>1</v>
      </c>
      <c r="G340" t="str">
        <f ca="1" t="shared" si="72"/>
        <v/>
      </c>
      <c r="H340" t="str">
        <f ca="1">IF(B340&lt;&gt;"",IF(AND(COUNTIF(B339,"*轻*莺鸣柳*")&gt;0,COUNTIF(B340,"*轻*")&lt;1),MAX(0,15+I339-(A340-A339)+COUNTIF(B339,"*平湖*")*0),IF(AND(E340=0,MAX(0,H339-(A340-A339))&lt;=加速!$H$11),0,MAX(0,H339-(A340-A339)))),"")</f>
        <v/>
      </c>
      <c r="I340" t="str">
        <f ca="1" t="shared" si="78"/>
        <v/>
      </c>
      <c r="J340" t="str">
        <f ca="1" t="shared" si="79"/>
        <v/>
      </c>
      <c r="K340" t="str">
        <f ca="1">IF(A340&lt;&gt;"",IF(AND(配装计算器!$K$30&lt;&gt;"∞",0),2,INDEX(AU340:CB340,1,$AT$2)),"")</f>
        <v/>
      </c>
      <c r="L340">
        <f ca="1">IFERROR(IF(AND(COUNTIF(B340,"*-峰插*"),技能数据库!$M$72&gt;0),0,IF(COUNTIF(B340,"*鹤归*")&gt;0,16-加速!$L$11,MAX(0,L339-(A340-A339)))),0)</f>
        <v>0</v>
      </c>
      <c r="M340">
        <f ca="1">IF(COUNTIF(IF(AND(配装计算器!$K$30&lt;&gt;"∞",0),INDEX(AU339:CB339,1,$AT$1),INDEX(AU341:CB341,1,$AT$1)),"*鹤归*")=1,L340,0)</f>
        <v>0</v>
      </c>
      <c r="N340">
        <f ca="1">IFERROR(IF(AND(COUNTIF(B340,"*-峰插*"),技能数据库!$M$72&gt;0),0,IF(COUNTIF(B340,"*云飞*")&gt;0,4-COUNTIF(B340,"*玉山揽云*")*4--COUNTIF(B340,"*烟流暮景*")*4-COUNTIF(B340,"*云景*")*加速!$L$11-IF(J340&gt;0,2,0),MAX(0,N339-(A340-A339)-IF(J340&gt;0,2,0)))),0)</f>
        <v>0</v>
      </c>
      <c r="O340">
        <f ca="1">IF(AND(COUNTIF(IF(AND(配装计算器!$K$30&lt;&gt;"∞",0),INDEX(AU339:CB339,1,$AT$1),INDEX(AU341:CB341,1,$AT$1)),"*云飞*")=1,COUNTIF(IF(AND(配装计算器!$K$30&lt;&gt;"∞",0),INDEX(AU339:CB339,1,$AT$1),INDEX(AU341:CB341,1,$AT$1)),"*玉山*")=0),N340,0)</f>
        <v>0</v>
      </c>
      <c r="P340">
        <f ca="1">IFERROR(IF(COUNTIF(B340,"*云栖松*")&gt;0,50-加速!$L$11,MAX(0,P339-(A340-A339))),0)</f>
        <v>0</v>
      </c>
      <c r="Q340">
        <f ca="1">IF(COUNTIF(IF(AND(配装计算器!$K$30&lt;&gt;"∞",0),INDEX(AU339:CB339,1,$AT$1),INDEX(AU341:CB341,1,$AT$1)),"*云栖松*")=1,P340,0)</f>
        <v>0</v>
      </c>
      <c r="R340">
        <f ca="1">IFERROR(IF(COUNTIF(B340,"*莺鸣柳*")&gt;0,45-加速!$L$9,MAX(0,R339-(A340-A339))),0)</f>
        <v>0</v>
      </c>
      <c r="S340">
        <f ca="1">IF(COUNTIF(IF(AND(配装计算器!$K$30&lt;&gt;"∞",0),INDEX(AU339:CB339,1,$AT$1),INDEX(AU341:CB341,1,$AT$1)),"*莺鸣柳*")=1,R340,0)</f>
        <v>0</v>
      </c>
      <c r="T340">
        <f ca="1" t="shared" si="76"/>
        <v>0</v>
      </c>
      <c r="U340">
        <f ca="1">IF(金蛇,IF(COUNTIF(B340,"*金环戴*")+COUNTIF(B340,"*吹风醒*")&gt;0,IF(A340&lt;=3,7.125-2.625-A340-加速!$L$11,7.125+加速!$K$9-(A340+加速!$L$11-T340)),0),0)+IF(金蛇,IF(COUNTIF(B340,"*千切子裂光*")&gt;0,2+加速!$K$9-(A340+加速!$L$11-T340),0),0)</f>
        <v>0</v>
      </c>
      <c r="V340">
        <f ca="1" t="shared" si="77"/>
        <v>0</v>
      </c>
      <c r="W340">
        <f ca="1" t="shared" si="69"/>
        <v>0</v>
      </c>
      <c r="X340">
        <f ca="1">INDEX(加速!$I$13:$I$21,技能数计算!W340+1)</f>
        <v>0</v>
      </c>
      <c r="Y340">
        <f ca="1" t="shared" si="73"/>
        <v>0.5</v>
      </c>
      <c r="Z340">
        <f ca="1" t="shared" si="74"/>
        <v>0</v>
      </c>
      <c r="AA340">
        <f ca="1">MAX(0,IFERROR(IF(COUNTIF(B340,"*叠*")&gt;0,IF(AC339&lt;3,8-A341+A340,AA339+6.875-A341+A340),AA339-A341+A340),AA339-加速!$L$11))</f>
        <v>0</v>
      </c>
      <c r="AB340" t="e">
        <f ca="1">MAX(0,IF(COUNTIF(IF(AND(配装计算器!$K$30&lt;&gt;"∞",0),INDEX(AU340:CB340,1,$AT$1),INDEX(AU340:CB340,1,$AT$1)),"*叠1*")=1,4*25-加速!$L$11,AB339-A340+A339)-IF(OR(COUNTIF(OFFSET(AT340,0,$AT$1,1,1),"*听雷*")&gt;0,AND(碧归&gt;0,COUNTIF(OFFSET(AT340,0,$AT$1,1,1),"*风来*")&gt;0)),0,1)*1.5)</f>
        <v>#VALUE!</v>
      </c>
      <c r="AC340">
        <f ca="1" t="shared" si="70"/>
        <v>3</v>
      </c>
      <c r="AD340">
        <f ca="1">IF(COUNTIF(IF(AND(配装计算器!$K$30&lt;&gt;"∞",0),INDEX(AU340:CB340,1,$AT$1),INDEX(AU341:CB341,1,$AT$1)),"*叠1*")=1,AB340*0+AE339,0)</f>
        <v>0</v>
      </c>
      <c r="AE340" t="e">
        <f ca="1">IF($AN$11&gt;0,IF(COUNTIF(B341,"*叠1*")&gt;0,50-加速!$H$11,MAX(0,AE339-(A341-A340))),0)</f>
        <v>#VALUE!</v>
      </c>
      <c r="AU340" s="176" t="s">
        <v>2768</v>
      </c>
      <c r="AV340">
        <v>1</v>
      </c>
      <c r="AW340" t="s">
        <v>2776</v>
      </c>
      <c r="AX340">
        <v>2</v>
      </c>
      <c r="AY340" t="s">
        <v>2776</v>
      </c>
      <c r="AZ340">
        <v>2</v>
      </c>
      <c r="BA340" t="s">
        <v>2776</v>
      </c>
      <c r="BB340">
        <v>2</v>
      </c>
      <c r="BC340" t="s">
        <v>2768</v>
      </c>
      <c r="BD340">
        <v>1</v>
      </c>
      <c r="BE340" s="176" t="s">
        <v>2776</v>
      </c>
      <c r="BF340">
        <v>2</v>
      </c>
      <c r="BG340" t="s">
        <v>2776</v>
      </c>
      <c r="BH340">
        <v>2</v>
      </c>
      <c r="BI340" t="s">
        <v>2768</v>
      </c>
      <c r="BJ340">
        <v>2</v>
      </c>
      <c r="BK340" s="180" t="s">
        <v>3036</v>
      </c>
      <c r="BL340">
        <v>2</v>
      </c>
      <c r="BM340" t="s">
        <v>2768</v>
      </c>
      <c r="BN340">
        <v>2</v>
      </c>
      <c r="BO340" s="176" t="s">
        <v>2776</v>
      </c>
      <c r="BP340">
        <v>2</v>
      </c>
      <c r="BQ340" t="s">
        <v>2768</v>
      </c>
      <c r="BR340">
        <v>2</v>
      </c>
      <c r="BS340" t="s">
        <v>2768</v>
      </c>
      <c r="BT340">
        <v>0</v>
      </c>
      <c r="BU340" t="s">
        <v>2768</v>
      </c>
      <c r="BV340">
        <v>2</v>
      </c>
      <c r="BW340" s="179" t="str">
        <f>IF(山重水复,"风来吴山","夕照雷峰")</f>
        <v>夕照雷峰</v>
      </c>
      <c r="BX340" s="179">
        <v>2</v>
      </c>
      <c r="BY340" t="s">
        <v>2768</v>
      </c>
      <c r="BZ340">
        <v>2</v>
      </c>
      <c r="CA340" t="s">
        <v>2768</v>
      </c>
      <c r="CB340">
        <v>2</v>
      </c>
    </row>
    <row r="341" spans="1:80">
      <c r="A341" s="178" t="str">
        <f ca="1">IFERROR(IF(A340+加速!$L$11&lt;$AS$1,IF(COUNTIF(B340,"*轻*")&gt;0,A340+加速!$L$9,A340+加速!$L$11)+V340,IF(COUNTIF(INDEX(AU341:CB341,1,$AT$1),"*云景*")+COUNTIF(INDEX(AU341:CB341,1,$AT$1),"*鹤归*")+COUNTIF(INDEX(AU341:CB341,1,$AT$1),"*听雷*")&gt;0,A340+加速!$L$11,"")),"")</f>
        <v/>
      </c>
      <c r="B341" s="167" t="str">
        <f ca="1">IF(A341&lt;&gt;"",IF(AND(A341+加速!$L$11&gt;$AS$1,IF(AND(配装计算器!$K$30&lt;&gt;"∞",0),"梦泉虎跑-轻",INDEX(AU341:CB341,1,$AT$1))="云栖松"),"夕照雷峰",IF(AND(配装计算器!$K$30&lt;&gt;"∞",0),"梦泉虎跑-轻",INDEX(AU341:CB341,1,$AT$1))),"")</f>
        <v/>
      </c>
      <c r="C341" t="str">
        <f ca="1" t="shared" si="75"/>
        <v/>
      </c>
      <c r="D341" t="str">
        <f ca="1">IF(B341&lt;&gt;"",IF(C340&lt;=加速!$L$11*(1-E341),0,1),"")</f>
        <v/>
      </c>
      <c r="E341">
        <f ca="1" t="shared" si="71"/>
        <v>1</v>
      </c>
      <c r="G341" t="str">
        <f ca="1" t="shared" si="72"/>
        <v/>
      </c>
      <c r="H341" t="str">
        <f ca="1">IF(B341&lt;&gt;"",IF(AND(COUNTIF(B340,"*轻*莺鸣柳*")&gt;0,COUNTIF(B341,"*轻*")&lt;1),MAX(0,15+I340-(A341-A340)+COUNTIF(B340,"*平湖*")*0),IF(AND(E341=0,MAX(0,H340-(A341-A340))&lt;=加速!$H$11),0,MAX(0,H340-(A341-A340)))),"")</f>
        <v/>
      </c>
      <c r="I341" t="str">
        <f ca="1" t="shared" si="78"/>
        <v/>
      </c>
      <c r="J341" t="str">
        <f ca="1" t="shared" si="79"/>
        <v/>
      </c>
      <c r="K341" t="str">
        <f ca="1">IF(A341&lt;&gt;"",IF(AND(配装计算器!$K$30&lt;&gt;"∞",0),2,INDEX(AU341:CB341,1,$AT$2)),"")</f>
        <v/>
      </c>
      <c r="L341">
        <f ca="1">IFERROR(IF(AND(COUNTIF(B341,"*-峰插*"),技能数据库!$M$72&gt;0),0,IF(COUNTIF(B341,"*鹤归*")&gt;0,16-加速!$L$11,MAX(0,L340-(A341-A340)))),0)</f>
        <v>0</v>
      </c>
      <c r="M341">
        <f ca="1">IF(COUNTIF(IF(AND(配装计算器!$K$30&lt;&gt;"∞",0),INDEX(AU340:CB340,1,$AT$1),INDEX(AU342:CB342,1,$AT$1)),"*鹤归*")=1,L341,0)</f>
        <v>0</v>
      </c>
      <c r="N341">
        <f ca="1">IFERROR(IF(AND(COUNTIF(B341,"*-峰插*"),技能数据库!$M$72&gt;0),0,IF(COUNTIF(B341,"*云飞*")&gt;0,4-COUNTIF(B341,"*玉山揽云*")*4--COUNTIF(B341,"*烟流暮景*")*4-COUNTIF(B341,"*云景*")*加速!$L$11-IF(J341&gt;0,2,0),MAX(0,N340-(A341-A340)-IF(J341&gt;0,2,0)))),0)</f>
        <v>0</v>
      </c>
      <c r="O341">
        <f ca="1">IF(AND(COUNTIF(IF(AND(配装计算器!$K$30&lt;&gt;"∞",0),INDEX(AU340:CB340,1,$AT$1),INDEX(AU342:CB342,1,$AT$1)),"*云飞*")=1,COUNTIF(IF(AND(配装计算器!$K$30&lt;&gt;"∞",0),INDEX(AU340:CB340,1,$AT$1),INDEX(AU342:CB342,1,$AT$1)),"*玉山*")=0),N341,0)</f>
        <v>0</v>
      </c>
      <c r="P341">
        <f ca="1">IFERROR(IF(COUNTIF(B341,"*云栖松*")&gt;0,50-加速!$L$11,MAX(0,P340-(A341-A340))),0)</f>
        <v>0</v>
      </c>
      <c r="Q341">
        <f ca="1">IF(COUNTIF(IF(AND(配装计算器!$K$30&lt;&gt;"∞",0),INDEX(AU340:CB340,1,$AT$1),INDEX(AU342:CB342,1,$AT$1)),"*云栖松*")=1,P341,0)</f>
        <v>0</v>
      </c>
      <c r="R341">
        <f ca="1">IFERROR(IF(COUNTIF(B341,"*莺鸣柳*")&gt;0,45-加速!$L$9,MAX(0,R340-(A341-A340))),0)</f>
        <v>0</v>
      </c>
      <c r="S341">
        <f ca="1">IF(COUNTIF(IF(AND(配装计算器!$K$30&lt;&gt;"∞",0),INDEX(AU340:CB340,1,$AT$1),INDEX(AU342:CB342,1,$AT$1)),"*莺鸣柳*")=1,R341,0)</f>
        <v>0</v>
      </c>
      <c r="T341">
        <f ca="1" t="shared" si="76"/>
        <v>0</v>
      </c>
      <c r="U341">
        <f ca="1">IF(金蛇,IF(COUNTIF(B341,"*金环戴*")+COUNTIF(B341,"*吹风醒*")&gt;0,IF(A341&lt;=3,7.125-2.625-A341-加速!$L$11,7.125+加速!$K$9-(A341+加速!$L$11-T341)),0),0)+IF(金蛇,IF(COUNTIF(B341,"*千切子裂光*")&gt;0,2+加速!$K$9-(A341+加速!$L$11-T341),0),0)</f>
        <v>0</v>
      </c>
      <c r="V341">
        <f ca="1" t="shared" si="77"/>
        <v>0</v>
      </c>
      <c r="W341">
        <f ca="1" t="shared" si="69"/>
        <v>0</v>
      </c>
      <c r="X341">
        <f ca="1">INDEX(加速!$I$13:$I$21,技能数计算!W341+1)</f>
        <v>0</v>
      </c>
      <c r="Y341">
        <f ca="1" t="shared" si="73"/>
        <v>0.5</v>
      </c>
      <c r="Z341">
        <f ca="1" t="shared" si="74"/>
        <v>0</v>
      </c>
      <c r="AA341">
        <f ca="1">MAX(0,IFERROR(IF(COUNTIF(B341,"*叠*")&gt;0,IF(AC340&lt;3,8-A342+A341,AA340+6.875-A342+A341),AA340-A342+A341),AA340-加速!$L$11))</f>
        <v>0</v>
      </c>
      <c r="AB341" t="e">
        <f ca="1">MAX(0,IF(COUNTIF(IF(AND(配装计算器!$K$30&lt;&gt;"∞",0),INDEX(AU341:CB341,1,$AT$1),INDEX(AU341:CB341,1,$AT$1)),"*叠1*")=1,4*25-加速!$L$11,AB340-A341+A340)-IF(OR(COUNTIF(OFFSET(AT341,0,$AT$1,1,1),"*听雷*")&gt;0,AND(碧归&gt;0,COUNTIF(OFFSET(AT341,0,$AT$1,1,1),"*风来*")&gt;0)),0,1)*1.5)</f>
        <v>#VALUE!</v>
      </c>
      <c r="AC341">
        <f ca="1" t="shared" si="70"/>
        <v>3</v>
      </c>
      <c r="AD341">
        <f ca="1">IF(COUNTIF(IF(AND(配装计算器!$K$30&lt;&gt;"∞",0),INDEX(AU341:CB341,1,$AT$1),INDEX(AU342:CB342,1,$AT$1)),"*叠1*")=1,AB341*0+AE340,0)</f>
        <v>0</v>
      </c>
      <c r="AE341" t="e">
        <f ca="1">IF($AN$11&gt;0,IF(COUNTIF(B342,"*叠1*")&gt;0,50-加速!$H$11,MAX(0,AE340-(A342-A341))),0)</f>
        <v>#VALUE!</v>
      </c>
      <c r="AU341" s="176" t="s">
        <v>2776</v>
      </c>
      <c r="AV341">
        <v>2</v>
      </c>
      <c r="AW341" t="s">
        <v>2768</v>
      </c>
      <c r="AX341">
        <v>2</v>
      </c>
      <c r="AY341" t="s">
        <v>2768</v>
      </c>
      <c r="AZ341">
        <v>2</v>
      </c>
      <c r="BA341" t="s">
        <v>3042</v>
      </c>
      <c r="BB341">
        <v>2</v>
      </c>
      <c r="BC341" t="s">
        <v>2776</v>
      </c>
      <c r="BD341">
        <v>1</v>
      </c>
      <c r="BE341" s="176" t="s">
        <v>3035</v>
      </c>
      <c r="BF341">
        <v>2</v>
      </c>
      <c r="BG341" t="s">
        <v>2768</v>
      </c>
      <c r="BH341">
        <v>2</v>
      </c>
      <c r="BI341" t="s">
        <v>2768</v>
      </c>
      <c r="BJ341">
        <v>2</v>
      </c>
      <c r="BK341" t="s">
        <v>3026</v>
      </c>
      <c r="BL341">
        <v>2</v>
      </c>
      <c r="BM341" t="s">
        <v>2768</v>
      </c>
      <c r="BN341">
        <v>2</v>
      </c>
      <c r="BO341" s="176" t="s">
        <v>2768</v>
      </c>
      <c r="BP341">
        <v>2</v>
      </c>
      <c r="BQ341" t="s">
        <v>3023</v>
      </c>
      <c r="BR341">
        <v>2</v>
      </c>
      <c r="BS341" t="s">
        <v>2776</v>
      </c>
      <c r="BT341">
        <v>0</v>
      </c>
      <c r="BU341" s="182" t="s">
        <v>3023</v>
      </c>
      <c r="BV341">
        <v>2</v>
      </c>
      <c r="BW341" s="182" t="s">
        <v>2794</v>
      </c>
      <c r="BX341" s="179">
        <v>2</v>
      </c>
      <c r="BY341" t="s">
        <v>2768</v>
      </c>
      <c r="BZ341">
        <v>1</v>
      </c>
      <c r="CA341" t="s">
        <v>2768</v>
      </c>
      <c r="CB341">
        <v>1</v>
      </c>
    </row>
    <row r="342" spans="1:80">
      <c r="A342" s="178" t="str">
        <f ca="1">IFERROR(IF(A341+加速!$L$11&lt;$AS$1,IF(COUNTIF(B341,"*轻*")&gt;0,A341+加速!$L$9,A341+加速!$L$11)+V341,IF(COUNTIF(INDEX(AU342:CB342,1,$AT$1),"*云景*")+COUNTIF(INDEX(AU342:CB342,1,$AT$1),"*鹤归*")+COUNTIF(INDEX(AU342:CB342,1,$AT$1),"*听雷*")&gt;0,A341+加速!$L$11,"")),"")</f>
        <v/>
      </c>
      <c r="B342" s="167" t="str">
        <f ca="1">IF(A342&lt;&gt;"",IF(AND(A342+加速!$L$11&gt;$AS$1,IF(AND(配装计算器!$K$30&lt;&gt;"∞",0),"梦泉虎跑-轻",INDEX(AU342:CB342,1,$AT$1))="云栖松"),"夕照雷峰",IF(AND(配装计算器!$K$30&lt;&gt;"∞",0),"梦泉虎跑-轻",INDEX(AU342:CB342,1,$AT$1))),"")</f>
        <v/>
      </c>
      <c r="C342" t="str">
        <f ca="1" t="shared" si="75"/>
        <v/>
      </c>
      <c r="D342" t="str">
        <f ca="1">IF(B342&lt;&gt;"",IF(C341&lt;=加速!$L$11*(1-E342),0,1),"")</f>
        <v/>
      </c>
      <c r="E342">
        <f ca="1" t="shared" si="71"/>
        <v>1</v>
      </c>
      <c r="G342" t="str">
        <f ca="1" t="shared" si="72"/>
        <v/>
      </c>
      <c r="H342" t="str">
        <f ca="1">IF(B342&lt;&gt;"",IF(AND(COUNTIF(B341,"*轻*莺鸣柳*")&gt;0,COUNTIF(B342,"*轻*")&lt;1),MAX(0,15+I341-(A342-A341)+COUNTIF(B341,"*平湖*")*0),IF(AND(E342=0,MAX(0,H341-(A342-A341))&lt;=加速!$H$11),0,MAX(0,H341-(A342-A341)))),"")</f>
        <v/>
      </c>
      <c r="I342" t="str">
        <f ca="1" t="shared" si="78"/>
        <v/>
      </c>
      <c r="J342" t="str">
        <f ca="1" t="shared" si="79"/>
        <v/>
      </c>
      <c r="K342" t="str">
        <f ca="1">IF(A342&lt;&gt;"",IF(AND(配装计算器!$K$30&lt;&gt;"∞",0),2,INDEX(AU342:CB342,1,$AT$2)),"")</f>
        <v/>
      </c>
      <c r="L342">
        <f ca="1">IFERROR(IF(AND(COUNTIF(B342,"*-峰插*"),技能数据库!$M$72&gt;0),0,IF(COUNTIF(B342,"*鹤归*")&gt;0,16-加速!$L$11,MAX(0,L341-(A342-A341)))),0)</f>
        <v>0</v>
      </c>
      <c r="M342">
        <f ca="1">IF(COUNTIF(IF(AND(配装计算器!$K$30&lt;&gt;"∞",0),INDEX(AU341:CB341,1,$AT$1),INDEX(AU343:CB343,1,$AT$1)),"*鹤归*")=1,L342,0)</f>
        <v>0</v>
      </c>
      <c r="N342">
        <f ca="1">IFERROR(IF(AND(COUNTIF(B342,"*-峰插*"),技能数据库!$M$72&gt;0),0,IF(COUNTIF(B342,"*云飞*")&gt;0,4-COUNTIF(B342,"*玉山揽云*")*4--COUNTIF(B342,"*烟流暮景*")*4-COUNTIF(B342,"*云景*")*加速!$L$11-IF(J342&gt;0,2,0),MAX(0,N341-(A342-A341)-IF(J342&gt;0,2,0)))),0)</f>
        <v>0</v>
      </c>
      <c r="O342">
        <f ca="1">IF(AND(COUNTIF(IF(AND(配装计算器!$K$30&lt;&gt;"∞",0),INDEX(AU341:CB341,1,$AT$1),INDEX(AU343:CB343,1,$AT$1)),"*云飞*")=1,COUNTIF(IF(AND(配装计算器!$K$30&lt;&gt;"∞",0),INDEX(AU341:CB341,1,$AT$1),INDEX(AU343:CB343,1,$AT$1)),"*玉山*")=0),N342,0)</f>
        <v>0</v>
      </c>
      <c r="P342">
        <f ca="1">IFERROR(IF(COUNTIF(B342,"*云栖松*")&gt;0,50-加速!$L$11,MAX(0,P341-(A342-A341))),0)</f>
        <v>0</v>
      </c>
      <c r="Q342">
        <f ca="1">IF(COUNTIF(IF(AND(配装计算器!$K$30&lt;&gt;"∞",0),INDEX(AU341:CB341,1,$AT$1),INDEX(AU343:CB343,1,$AT$1)),"*云栖松*")=1,P342,0)</f>
        <v>0</v>
      </c>
      <c r="R342">
        <f ca="1">IFERROR(IF(COUNTIF(B342,"*莺鸣柳*")&gt;0,45-加速!$L$9,MAX(0,R341-(A342-A341))),0)</f>
        <v>0</v>
      </c>
      <c r="S342">
        <f ca="1">IF(COUNTIF(IF(AND(配装计算器!$K$30&lt;&gt;"∞",0),INDEX(AU341:CB341,1,$AT$1),INDEX(AU343:CB343,1,$AT$1)),"*莺鸣柳*")=1,R342,0)</f>
        <v>0</v>
      </c>
      <c r="T342">
        <f ca="1" t="shared" si="76"/>
        <v>0</v>
      </c>
      <c r="U342">
        <f ca="1">IF(金蛇,IF(COUNTIF(B342,"*金环戴*")+COUNTIF(B342,"*吹风醒*")&gt;0,IF(A342&lt;=3,7.125-2.625-A342-加速!$L$11,7.125+加速!$K$9-(A342+加速!$L$11-T342)),0),0)+IF(金蛇,IF(COUNTIF(B342,"*千切子裂光*")&gt;0,2+加速!$K$9-(A342+加速!$L$11-T342),0),0)</f>
        <v>0</v>
      </c>
      <c r="V342">
        <f ca="1" t="shared" si="77"/>
        <v>0</v>
      </c>
      <c r="W342">
        <f ca="1" t="shared" si="69"/>
        <v>0</v>
      </c>
      <c r="X342">
        <f ca="1">INDEX(加速!$I$13:$I$21,技能数计算!W342+1)</f>
        <v>0</v>
      </c>
      <c r="Y342">
        <f ca="1" t="shared" si="73"/>
        <v>0.5</v>
      </c>
      <c r="Z342">
        <f ca="1" t="shared" si="74"/>
        <v>0</v>
      </c>
      <c r="AA342">
        <f ca="1">MAX(0,IFERROR(IF(COUNTIF(B342,"*叠*")&gt;0,IF(AC341&lt;3,8-A343+A342,AA341+6.875-A343+A342),AA341-A343+A342),AA341-加速!$L$11))</f>
        <v>0</v>
      </c>
      <c r="AB342" t="e">
        <f ca="1">MAX(0,IF(COUNTIF(IF(AND(配装计算器!$K$30&lt;&gt;"∞",0),INDEX(AU342:CB342,1,$AT$1),INDEX(AU342:CB342,1,$AT$1)),"*叠1*")=1,4*25-加速!$L$11,AB341-A342+A341)-IF(OR(COUNTIF(OFFSET(AT342,0,$AT$1,1,1),"*听雷*")&gt;0,AND(碧归&gt;0,COUNTIF(OFFSET(AT342,0,$AT$1,1,1),"*风来*")&gt;0)),0,1)*1.5)</f>
        <v>#VALUE!</v>
      </c>
      <c r="AC342">
        <f ca="1" t="shared" si="70"/>
        <v>3</v>
      </c>
      <c r="AD342">
        <f ca="1">IF(COUNTIF(IF(AND(配装计算器!$K$30&lt;&gt;"∞",0),INDEX(AU342:CB342,1,$AT$1),INDEX(AU343:CB343,1,$AT$1)),"*叠1*")=1,AB342*0+AE341,0)</f>
        <v>0</v>
      </c>
      <c r="AE342" t="e">
        <f ca="1">IF($AN$11&gt;0,IF(COUNTIF(B343,"*叠1*")&gt;0,50-加速!$H$11,MAX(0,AE341-(A343-A342))),0)</f>
        <v>#VALUE!</v>
      </c>
      <c r="AU342" s="176" t="s">
        <v>2768</v>
      </c>
      <c r="AV342">
        <v>1</v>
      </c>
      <c r="AW342" t="s">
        <v>2722</v>
      </c>
      <c r="AX342">
        <v>0</v>
      </c>
      <c r="AY342" t="s">
        <v>2776</v>
      </c>
      <c r="AZ342">
        <v>2</v>
      </c>
      <c r="BA342" t="s">
        <v>2808</v>
      </c>
      <c r="BB342">
        <v>2</v>
      </c>
      <c r="BC342" t="s">
        <v>2768</v>
      </c>
      <c r="BD342">
        <v>1</v>
      </c>
      <c r="BE342" t="s">
        <v>2768</v>
      </c>
      <c r="BF342">
        <v>2</v>
      </c>
      <c r="BG342" t="s">
        <v>2808</v>
      </c>
      <c r="BH342">
        <v>2</v>
      </c>
      <c r="BI342" s="176" t="s">
        <v>2794</v>
      </c>
      <c r="BJ342">
        <v>1</v>
      </c>
      <c r="BK342" t="s">
        <v>3026</v>
      </c>
      <c r="BL342">
        <v>2</v>
      </c>
      <c r="BM342" t="s">
        <v>2776</v>
      </c>
      <c r="BN342">
        <v>2</v>
      </c>
      <c r="BO342" s="176" t="s">
        <v>2776</v>
      </c>
      <c r="BP342">
        <v>2</v>
      </c>
      <c r="BQ342" t="s">
        <v>2768</v>
      </c>
      <c r="BR342">
        <v>2</v>
      </c>
      <c r="BS342" t="s">
        <v>1886</v>
      </c>
      <c r="BT342">
        <v>0</v>
      </c>
      <c r="BU342" s="186" t="str">
        <f>IF(秋,"夕照雷峰","千切子寒光")</f>
        <v>千切子寒光</v>
      </c>
      <c r="BV342">
        <v>2</v>
      </c>
      <c r="BW342" s="182" t="s">
        <v>2776</v>
      </c>
      <c r="BX342" s="179">
        <v>2</v>
      </c>
      <c r="BY342" t="s">
        <v>2776</v>
      </c>
      <c r="BZ342">
        <v>1</v>
      </c>
      <c r="CA342" t="s">
        <v>2776</v>
      </c>
      <c r="CB342">
        <v>1</v>
      </c>
    </row>
    <row r="343" spans="1:80">
      <c r="A343" s="178" t="str">
        <f ca="1">IFERROR(IF(A342+加速!$L$11&lt;$AS$1,IF(COUNTIF(B342,"*轻*")&gt;0,A342+加速!$L$9,A342+加速!$L$11)+V342,IF(COUNTIF(INDEX(AU343:CB343,1,$AT$1),"*云景*")+COUNTIF(INDEX(AU343:CB343,1,$AT$1),"*鹤归*")+COUNTIF(INDEX(AU343:CB343,1,$AT$1),"*听雷*")&gt;0,A342+加速!$L$11,"")),"")</f>
        <v/>
      </c>
      <c r="B343" s="167" t="str">
        <f ca="1">IF(A343&lt;&gt;"",IF(AND(A343+加速!$L$11&gt;$AS$1,IF(AND(配装计算器!$K$30&lt;&gt;"∞",0),"梦泉虎跑-轻",INDEX(AU343:CB343,1,$AT$1))="云栖松"),"夕照雷峰",IF(AND(配装计算器!$K$30&lt;&gt;"∞",0),"梦泉虎跑-轻",INDEX(AU343:CB343,1,$AT$1))),"")</f>
        <v/>
      </c>
      <c r="C343" t="str">
        <f ca="1" t="shared" si="75"/>
        <v/>
      </c>
      <c r="D343" t="str">
        <f ca="1">IF(B343&lt;&gt;"",IF(C342&lt;=加速!$L$11*(1-E343),0,1),"")</f>
        <v/>
      </c>
      <c r="E343">
        <f ca="1" t="shared" si="71"/>
        <v>1</v>
      </c>
      <c r="G343" t="str">
        <f ca="1" t="shared" si="72"/>
        <v/>
      </c>
      <c r="H343" t="str">
        <f ca="1">IF(B343&lt;&gt;"",IF(AND(COUNTIF(B342,"*轻*莺鸣柳*")&gt;0,COUNTIF(B343,"*轻*")&lt;1),MAX(0,15+I342-(A343-A342)+COUNTIF(B342,"*平湖*")*0),IF(AND(E343=0,MAX(0,H342-(A343-A342))&lt;=加速!$H$11),0,MAX(0,H342-(A343-A342)))),"")</f>
        <v/>
      </c>
      <c r="I343" t="str">
        <f ca="1" t="shared" si="78"/>
        <v/>
      </c>
      <c r="J343" t="str">
        <f ca="1" t="shared" si="79"/>
        <v/>
      </c>
      <c r="K343" t="str">
        <f ca="1">IF(A343&lt;&gt;"",IF(AND(配装计算器!$K$30&lt;&gt;"∞",0),2,INDEX(AU343:CB343,1,$AT$2)),"")</f>
        <v/>
      </c>
      <c r="L343">
        <f ca="1">IFERROR(IF(AND(COUNTIF(B343,"*-峰插*"),技能数据库!$M$72&gt;0),0,IF(COUNTIF(B343,"*鹤归*")&gt;0,16-加速!$L$11,MAX(0,L342-(A343-A342)))),0)</f>
        <v>0</v>
      </c>
      <c r="M343">
        <f ca="1">IF(COUNTIF(IF(AND(配装计算器!$K$30&lt;&gt;"∞",0),INDEX(AU342:CB342,1,$AT$1),INDEX(AU344:CB344,1,$AT$1)),"*鹤归*")=1,L343,0)</f>
        <v>0</v>
      </c>
      <c r="N343">
        <f ca="1">IFERROR(IF(AND(COUNTIF(B343,"*-峰插*"),技能数据库!$M$72&gt;0),0,IF(COUNTIF(B343,"*云飞*")&gt;0,4-COUNTIF(B343,"*玉山揽云*")*4--COUNTIF(B343,"*烟流暮景*")*4-COUNTIF(B343,"*云景*")*加速!$L$11-IF(J343&gt;0,2,0),MAX(0,N342-(A343-A342)-IF(J343&gt;0,2,0)))),0)</f>
        <v>0</v>
      </c>
      <c r="O343">
        <f ca="1">IF(AND(COUNTIF(IF(AND(配装计算器!$K$30&lt;&gt;"∞",0),INDEX(AU342:CB342,1,$AT$1),INDEX(AU344:CB344,1,$AT$1)),"*云飞*")=1,COUNTIF(IF(AND(配装计算器!$K$30&lt;&gt;"∞",0),INDEX(AU342:CB342,1,$AT$1),INDEX(AU344:CB344,1,$AT$1)),"*玉山*")=0),N343,0)</f>
        <v>0</v>
      </c>
      <c r="P343">
        <f ca="1">IFERROR(IF(COUNTIF(B343,"*云栖松*")&gt;0,50-加速!$L$11,MAX(0,P342-(A343-A342))),0)</f>
        <v>0</v>
      </c>
      <c r="Q343">
        <f ca="1">IF(COUNTIF(IF(AND(配装计算器!$K$30&lt;&gt;"∞",0),INDEX(AU342:CB342,1,$AT$1),INDEX(AU344:CB344,1,$AT$1)),"*云栖松*")=1,P343,0)</f>
        <v>0</v>
      </c>
      <c r="R343">
        <f ca="1">IFERROR(IF(COUNTIF(B343,"*莺鸣柳*")&gt;0,45-加速!$L$9,MAX(0,R342-(A343-A342))),0)</f>
        <v>0</v>
      </c>
      <c r="S343">
        <f ca="1">IF(COUNTIF(IF(AND(配装计算器!$K$30&lt;&gt;"∞",0),INDEX(AU342:CB342,1,$AT$1),INDEX(AU344:CB344,1,$AT$1)),"*莺鸣柳*")=1,R343,0)</f>
        <v>0</v>
      </c>
      <c r="T343">
        <f ca="1" t="shared" si="76"/>
        <v>0</v>
      </c>
      <c r="U343">
        <f ca="1">IF(金蛇,IF(COUNTIF(B343,"*金环戴*")+COUNTIF(B343,"*吹风醒*")&gt;0,IF(A343&lt;=3,7.125-2.625-A343-加速!$L$11,7.125+加速!$K$9-(A343+加速!$L$11-T343)),0),0)+IF(金蛇,IF(COUNTIF(B343,"*千切子裂光*")&gt;0,2+加速!$K$9-(A343+加速!$L$11-T343),0),0)</f>
        <v>0</v>
      </c>
      <c r="V343">
        <f ca="1" t="shared" si="77"/>
        <v>0</v>
      </c>
      <c r="W343">
        <f ca="1" t="shared" si="69"/>
        <v>0</v>
      </c>
      <c r="X343">
        <f ca="1">INDEX(加速!$I$13:$I$21,技能数计算!W343+1)</f>
        <v>0</v>
      </c>
      <c r="Y343">
        <f ca="1" t="shared" si="73"/>
        <v>0.5</v>
      </c>
      <c r="Z343">
        <f ca="1" t="shared" si="74"/>
        <v>0</v>
      </c>
      <c r="AA343">
        <f ca="1">MAX(0,IFERROR(IF(COUNTIF(B343,"*叠*")&gt;0,IF(AC342&lt;3,8-A344+A343,AA342+6.875-A344+A343),AA342-A344+A343),AA342-加速!$L$11))</f>
        <v>0</v>
      </c>
      <c r="AB343" t="e">
        <f ca="1">MAX(0,IF(COUNTIF(IF(AND(配装计算器!$K$30&lt;&gt;"∞",0),INDEX(AU343:CB343,1,$AT$1),INDEX(AU343:CB343,1,$AT$1)),"*叠1*")=1,4*25-加速!$L$11,AB342-A343+A342)-IF(OR(COUNTIF(OFFSET(AT343,0,$AT$1,1,1),"*听雷*")&gt;0,AND(碧归&gt;0,COUNTIF(OFFSET(AT343,0,$AT$1,1,1),"*风来*")&gt;0)),0,1)*1.5)</f>
        <v>#VALUE!</v>
      </c>
      <c r="AC343">
        <f ca="1" t="shared" si="70"/>
        <v>3</v>
      </c>
      <c r="AD343">
        <f ca="1">IF(COUNTIF(IF(AND(配装计算器!$K$30&lt;&gt;"∞",0),INDEX(AU343:CB343,1,$AT$1),INDEX(AU344:CB344,1,$AT$1)),"*叠1*")=1,AB343*0+AE342,0)</f>
        <v>0</v>
      </c>
      <c r="AE343" t="e">
        <f ca="1">IF($AN$11&gt;0,IF(COUNTIF(B344,"*叠1*")&gt;0,50-加速!$H$11,MAX(0,AE342-(A344-A343))),0)</f>
        <v>#VALUE!</v>
      </c>
      <c r="AU343" s="176" t="s">
        <v>2776</v>
      </c>
      <c r="AV343">
        <v>1</v>
      </c>
      <c r="AW343" t="s">
        <v>3009</v>
      </c>
      <c r="AX343">
        <v>2</v>
      </c>
      <c r="AY343" t="s">
        <v>3042</v>
      </c>
      <c r="AZ343">
        <v>2</v>
      </c>
      <c r="BA343" t="s">
        <v>2768</v>
      </c>
      <c r="BB343">
        <v>2</v>
      </c>
      <c r="BC343" t="s">
        <v>2768</v>
      </c>
      <c r="BD343">
        <v>0</v>
      </c>
      <c r="BE343" t="s">
        <v>2776</v>
      </c>
      <c r="BF343">
        <v>2</v>
      </c>
      <c r="BG343" t="s">
        <v>2768</v>
      </c>
      <c r="BH343">
        <v>2</v>
      </c>
      <c r="BI343" t="s">
        <v>2776</v>
      </c>
      <c r="BJ343">
        <v>1</v>
      </c>
      <c r="BK343" t="s">
        <v>3026</v>
      </c>
      <c r="BL343">
        <v>2</v>
      </c>
      <c r="BM343" t="s">
        <v>2768</v>
      </c>
      <c r="BN343">
        <v>1</v>
      </c>
      <c r="BO343" s="176" t="s">
        <v>2768</v>
      </c>
      <c r="BP343">
        <v>2</v>
      </c>
      <c r="BQ343" t="s">
        <v>2776</v>
      </c>
      <c r="BR343">
        <v>2</v>
      </c>
      <c r="BS343" t="s">
        <v>2853</v>
      </c>
      <c r="BT343">
        <v>1</v>
      </c>
      <c r="BU343" s="186" t="str">
        <f>IF(秋,"夕照雷峰","千切子裂光")</f>
        <v>千切子裂光</v>
      </c>
      <c r="BV343">
        <v>2</v>
      </c>
      <c r="BW343" s="182" t="s">
        <v>2768</v>
      </c>
      <c r="BX343" s="179">
        <v>2</v>
      </c>
      <c r="BY343" t="s">
        <v>2768</v>
      </c>
      <c r="BZ343">
        <v>1</v>
      </c>
      <c r="CA343" t="s">
        <v>2768</v>
      </c>
      <c r="CB343">
        <v>1</v>
      </c>
    </row>
    <row r="344" spans="1:80">
      <c r="A344" s="178" t="str">
        <f ca="1">IFERROR(IF(A343+加速!$L$11&lt;$AS$1,IF(COUNTIF(B343,"*轻*")&gt;0,A343+加速!$L$9,A343+加速!$L$11)+V343,IF(COUNTIF(INDEX(AU344:CB344,1,$AT$1),"*云景*")+COUNTIF(INDEX(AU344:CB344,1,$AT$1),"*鹤归*")+COUNTIF(INDEX(AU344:CB344,1,$AT$1),"*听雷*")&gt;0,A343+加速!$L$11,"")),"")</f>
        <v/>
      </c>
      <c r="B344" s="167" t="str">
        <f ca="1">IF(A344&lt;&gt;"",IF(AND(A344+加速!$L$11&gt;$AS$1,IF(AND(配装计算器!$K$30&lt;&gt;"∞",0),"梦泉虎跑-轻",INDEX(AU344:CB344,1,$AT$1))="云栖松"),"夕照雷峰",IF(AND(配装计算器!$K$30&lt;&gt;"∞",0),"梦泉虎跑-轻",INDEX(AU344:CB344,1,$AT$1))),"")</f>
        <v/>
      </c>
      <c r="C344" t="str">
        <f ca="1" t="shared" si="75"/>
        <v/>
      </c>
      <c r="D344" t="str">
        <f ca="1">IF(B344&lt;&gt;"",IF(C343&lt;=加速!$L$11*(1-E344),0,1),"")</f>
        <v/>
      </c>
      <c r="E344">
        <f ca="1" t="shared" si="71"/>
        <v>1</v>
      </c>
      <c r="G344" t="str">
        <f ca="1" t="shared" si="72"/>
        <v/>
      </c>
      <c r="H344" t="str">
        <f ca="1">IF(B344&lt;&gt;"",IF(AND(COUNTIF(B343,"*轻*莺鸣柳*")&gt;0,COUNTIF(B344,"*轻*")&lt;1),MAX(0,15+I343-(A344-A343)+COUNTIF(B343,"*平湖*")*0),IF(AND(E344=0,MAX(0,H343-(A344-A343))&lt;=加速!$H$11),0,MAX(0,H343-(A344-A343)))),"")</f>
        <v/>
      </c>
      <c r="I344" t="str">
        <f ca="1" t="shared" si="78"/>
        <v/>
      </c>
      <c r="J344" t="str">
        <f ca="1" t="shared" si="79"/>
        <v/>
      </c>
      <c r="K344" t="str">
        <f ca="1">IF(A344&lt;&gt;"",IF(AND(配装计算器!$K$30&lt;&gt;"∞",0),2,INDEX(AU344:CB344,1,$AT$2)),"")</f>
        <v/>
      </c>
      <c r="L344">
        <f ca="1">IFERROR(IF(AND(COUNTIF(B344,"*-峰插*"),技能数据库!$M$72&gt;0),0,IF(COUNTIF(B344,"*鹤归*")&gt;0,16-加速!$L$11,MAX(0,L343-(A344-A343)))),0)</f>
        <v>0</v>
      </c>
      <c r="M344">
        <f ca="1">IF(COUNTIF(IF(AND(配装计算器!$K$30&lt;&gt;"∞",0),INDEX(AU343:CB343,1,$AT$1),INDEX(AU345:CB345,1,$AT$1)),"*鹤归*")=1,L344,0)</f>
        <v>0</v>
      </c>
      <c r="N344">
        <f ca="1">IFERROR(IF(AND(COUNTIF(B344,"*-峰插*"),技能数据库!$M$72&gt;0),0,IF(COUNTIF(B344,"*云飞*")&gt;0,4-COUNTIF(B344,"*玉山揽云*")*4--COUNTIF(B344,"*烟流暮景*")*4-COUNTIF(B344,"*云景*")*加速!$L$11-IF(J344&gt;0,2,0),MAX(0,N343-(A344-A343)-IF(J344&gt;0,2,0)))),0)</f>
        <v>0</v>
      </c>
      <c r="O344">
        <f ca="1">IF(AND(COUNTIF(IF(AND(配装计算器!$K$30&lt;&gt;"∞",0),INDEX(AU343:CB343,1,$AT$1),INDEX(AU345:CB345,1,$AT$1)),"*云飞*")=1,COUNTIF(IF(AND(配装计算器!$K$30&lt;&gt;"∞",0),INDEX(AU343:CB343,1,$AT$1),INDEX(AU345:CB345,1,$AT$1)),"*玉山*")=0),N344,0)</f>
        <v>0</v>
      </c>
      <c r="P344">
        <f ca="1">IFERROR(IF(COUNTIF(B344,"*云栖松*")&gt;0,50-加速!$L$11,MAX(0,P343-(A344-A343))),0)</f>
        <v>0</v>
      </c>
      <c r="Q344">
        <f ca="1">IF(COUNTIF(IF(AND(配装计算器!$K$30&lt;&gt;"∞",0),INDEX(AU343:CB343,1,$AT$1),INDEX(AU345:CB345,1,$AT$1)),"*云栖松*")=1,P344,0)</f>
        <v>0</v>
      </c>
      <c r="R344">
        <f ca="1">IFERROR(IF(COUNTIF(B344,"*莺鸣柳*")&gt;0,45-加速!$L$9,MAX(0,R343-(A344-A343))),0)</f>
        <v>0</v>
      </c>
      <c r="S344">
        <f ca="1">IF(COUNTIF(IF(AND(配装计算器!$K$30&lt;&gt;"∞",0),INDEX(AU343:CB343,1,$AT$1),INDEX(AU345:CB345,1,$AT$1)),"*莺鸣柳*")=1,R344,0)</f>
        <v>0</v>
      </c>
      <c r="T344">
        <f ca="1" t="shared" si="76"/>
        <v>0</v>
      </c>
      <c r="U344">
        <f ca="1">IF(金蛇,IF(COUNTIF(B344,"*金环戴*")+COUNTIF(B344,"*吹风醒*")&gt;0,IF(A344&lt;=3,7.125-2.625-A344-加速!$L$11,7.125+加速!$K$9-(A344+加速!$L$11-T344)),0),0)+IF(金蛇,IF(COUNTIF(B344,"*千切子裂光*")&gt;0,2+加速!$K$9-(A344+加速!$L$11-T344),0),0)</f>
        <v>0</v>
      </c>
      <c r="V344" t="e">
        <f ca="1" t="shared" si="77"/>
        <v>#VALUE!</v>
      </c>
      <c r="W344">
        <f ca="1" t="shared" si="69"/>
        <v>0</v>
      </c>
      <c r="X344">
        <f ca="1">INDEX(加速!$I$13:$I$21,技能数计算!W344+1)</f>
        <v>0</v>
      </c>
      <c r="Y344">
        <f ca="1" t="shared" si="73"/>
        <v>0.5</v>
      </c>
      <c r="Z344">
        <f ca="1" t="shared" si="74"/>
        <v>0</v>
      </c>
      <c r="AA344">
        <f ca="1">MAX(0,IFERROR(IF(COUNTIF(B344,"*叠*")&gt;0,IF(AC343&lt;3,8-A345+A344,AA343+6.875-A345+A344),AA343-A345+A344),AA343-加速!$L$11))</f>
        <v>0</v>
      </c>
      <c r="AB344" t="e">
        <f ca="1">MAX(0,IF(COUNTIF(IF(AND(配装计算器!$K$30&lt;&gt;"∞",0),INDEX(AU344:CB344,1,$AT$1),INDEX(AU344:CB344,1,$AT$1)),"*叠1*")=1,4*25-加速!$L$11,AB343-A344+A343)-IF(OR(COUNTIF(OFFSET(AT344,0,$AT$1,1,1),"*听雷*")&gt;0,AND(碧归&gt;0,COUNTIF(OFFSET(AT344,0,$AT$1,1,1),"*风来*")&gt;0)),0,1)*1.5)</f>
        <v>#VALUE!</v>
      </c>
      <c r="AC344">
        <f ca="1" t="shared" si="70"/>
        <v>3</v>
      </c>
      <c r="AD344" t="e">
        <f ca="1">IF(COUNTIF(IF(AND(配装计算器!$K$30&lt;&gt;"∞",0),INDEX(AU344:CB344,1,$AT$1),INDEX(AU345:CB345,1,$AT$1)),"*叠1*")=1,AB344*0+AE343,0)</f>
        <v>#VALUE!</v>
      </c>
      <c r="AE344" t="e">
        <f ca="1">IF($AN$11&gt;0,IF(COUNTIF(B345,"*叠1*")&gt;0,50-加速!$H$11,MAX(0,AE343-(A345-A344))),0)</f>
        <v>#VALUE!</v>
      </c>
      <c r="AU344" t="s">
        <v>2722</v>
      </c>
      <c r="AV344">
        <v>0</v>
      </c>
      <c r="AW344" t="s">
        <v>2776</v>
      </c>
      <c r="AX344">
        <v>2</v>
      </c>
      <c r="AY344" t="s">
        <v>2808</v>
      </c>
      <c r="AZ344">
        <v>2</v>
      </c>
      <c r="BA344" t="s">
        <v>2768</v>
      </c>
      <c r="BB344">
        <v>2</v>
      </c>
      <c r="BC344" t="s">
        <v>2768</v>
      </c>
      <c r="BD344">
        <v>0</v>
      </c>
      <c r="BE344" t="s">
        <v>2768</v>
      </c>
      <c r="BF344">
        <v>2</v>
      </c>
      <c r="BG344" s="176" t="s">
        <v>2768</v>
      </c>
      <c r="BH344">
        <v>2</v>
      </c>
      <c r="BI344" t="s">
        <v>2768</v>
      </c>
      <c r="BJ344">
        <v>0</v>
      </c>
      <c r="BK344" s="176" t="s">
        <v>3026</v>
      </c>
      <c r="BL344">
        <v>2</v>
      </c>
      <c r="BM344" t="s">
        <v>2722</v>
      </c>
      <c r="BN344">
        <v>0</v>
      </c>
      <c r="BO344" s="176" t="s">
        <v>2808</v>
      </c>
      <c r="BP344">
        <v>2</v>
      </c>
      <c r="BQ344" t="str">
        <f>IF(秋,"夕照雷峰","千切子寒光")</f>
        <v>千切子寒光</v>
      </c>
      <c r="BR344">
        <v>2</v>
      </c>
      <c r="BS344" s="176" t="str">
        <f>IF(秋,"金蛇锥-金环戴","金蛇锥-吹风醒")</f>
        <v>金蛇锥-吹风醒</v>
      </c>
      <c r="BT344">
        <v>0</v>
      </c>
      <c r="BU344" s="176" t="s">
        <v>2768</v>
      </c>
      <c r="BV344">
        <v>2</v>
      </c>
      <c r="BW344" s="182" t="s">
        <v>2776</v>
      </c>
      <c r="BX344" s="179">
        <v>2</v>
      </c>
      <c r="BY344" t="s">
        <v>2722</v>
      </c>
      <c r="BZ344">
        <v>0</v>
      </c>
      <c r="CA344" t="s">
        <v>2722</v>
      </c>
      <c r="CB344">
        <v>0</v>
      </c>
    </row>
    <row r="345" spans="1:80">
      <c r="A345" s="178" t="str">
        <f ca="1">IFERROR(IF(A344+加速!$L$11&lt;$AS$1,IF(COUNTIF(B344,"*轻*")&gt;0,A344+加速!$L$9,A344+加速!$L$11)+V344,IF(COUNTIF(INDEX(AU345:CB345,1,$AT$1),"*云景*")+COUNTIF(INDEX(AU345:CB345,1,$AT$1),"*鹤归*")+COUNTIF(INDEX(AU345:CB345,1,$AT$1),"*听雷*")&gt;0,A344+加速!$L$11,"")),"")</f>
        <v/>
      </c>
      <c r="B345" s="167" t="str">
        <f ca="1">IF(A345&lt;&gt;"",IF(AND(A345+加速!$L$11&gt;$AS$1,IF(AND(配装计算器!$K$30&lt;&gt;"∞",0),"梦泉虎跑-轻",INDEX(AU345:CB345,1,$AT$1))="云栖松"),"夕照雷峰",IF(AND(配装计算器!$K$30&lt;&gt;"∞",0),"梦泉虎跑-轻",INDEX(AU345:CB345,1,$AT$1))),"")</f>
        <v/>
      </c>
      <c r="C345" t="str">
        <f ca="1" t="shared" si="75"/>
        <v/>
      </c>
      <c r="D345" t="str">
        <f ca="1">IF(B345&lt;&gt;"",IF(C344&lt;=加速!$L$11*(1-E345),0,1),"")</f>
        <v/>
      </c>
      <c r="E345">
        <f ca="1" t="shared" si="71"/>
        <v>1</v>
      </c>
      <c r="G345" t="str">
        <f ca="1" t="shared" si="72"/>
        <v/>
      </c>
      <c r="H345" t="str">
        <f ca="1">IF(B345&lt;&gt;"",IF(AND(COUNTIF(B344,"*轻*莺鸣柳*")&gt;0,COUNTIF(B345,"*轻*")&lt;1),MAX(0,15+I344-(A345-A344)+COUNTIF(B344,"*平湖*")*0),IF(AND(E345=0,MAX(0,H344-(A345-A344))&lt;=加速!$H$11),0,MAX(0,H344-(A345-A344)))),"")</f>
        <v/>
      </c>
      <c r="I345" t="str">
        <f ca="1" t="shared" si="78"/>
        <v/>
      </c>
      <c r="J345" t="str">
        <f ca="1" t="shared" si="79"/>
        <v/>
      </c>
      <c r="K345" t="str">
        <f ca="1">IF(A345&lt;&gt;"",IF(AND(配装计算器!$K$30&lt;&gt;"∞",0),2,INDEX(AU345:CB345,1,$AT$2)),"")</f>
        <v/>
      </c>
      <c r="L345">
        <f ca="1">IFERROR(IF(AND(COUNTIF(B345,"*-峰插*"),技能数据库!$M$72&gt;0),0,IF(COUNTIF(B345,"*鹤归*")&gt;0,16-加速!$L$11,MAX(0,L344-(A345-A344)))),0)</f>
        <v>0</v>
      </c>
      <c r="M345">
        <f ca="1">IF(COUNTIF(IF(AND(配装计算器!$K$30&lt;&gt;"∞",0),INDEX(AU344:CB344,1,$AT$1),INDEX(AU346:CB346,1,$AT$1)),"*鹤归*")=1,L345,0)</f>
        <v>0</v>
      </c>
      <c r="N345">
        <f ca="1">IFERROR(IF(AND(COUNTIF(B345,"*-峰插*"),技能数据库!$M$72&gt;0),0,IF(COUNTIF(B345,"*云飞*")&gt;0,4-COUNTIF(B345,"*玉山揽云*")*4--COUNTIF(B345,"*烟流暮景*")*4-COUNTIF(B345,"*云景*")*加速!$L$11-IF(J345&gt;0,2,0),MAX(0,N344-(A345-A344)-IF(J345&gt;0,2,0)))),0)</f>
        <v>0</v>
      </c>
      <c r="O345">
        <f ca="1">IF(AND(COUNTIF(IF(AND(配装计算器!$K$30&lt;&gt;"∞",0),INDEX(AU344:CB344,1,$AT$1),INDEX(AU346:CB346,1,$AT$1)),"*云飞*")=1,COUNTIF(IF(AND(配装计算器!$K$30&lt;&gt;"∞",0),INDEX(AU344:CB344,1,$AT$1),INDEX(AU346:CB346,1,$AT$1)),"*玉山*")=0),N345,0)</f>
        <v>0</v>
      </c>
      <c r="P345">
        <f ca="1">IFERROR(IF(COUNTIF(B345,"*云栖松*")&gt;0,50-加速!$L$11,MAX(0,P344-(A345-A344))),0)</f>
        <v>0</v>
      </c>
      <c r="Q345">
        <f ca="1">IF(COUNTIF(IF(AND(配装计算器!$K$30&lt;&gt;"∞",0),INDEX(AU344:CB344,1,$AT$1),INDEX(AU346:CB346,1,$AT$1)),"*云栖松*")=1,P345,0)</f>
        <v>0</v>
      </c>
      <c r="R345">
        <f ca="1">IFERROR(IF(COUNTIF(B345,"*莺鸣柳*")&gt;0,45-加速!$L$9,MAX(0,R344-(A345-A344))),0)</f>
        <v>0</v>
      </c>
      <c r="S345">
        <f ca="1">IF(COUNTIF(IF(AND(配装计算器!$K$30&lt;&gt;"∞",0),INDEX(AU344:CB344,1,$AT$1),INDEX(AU346:CB346,1,$AT$1)),"*莺鸣柳*")=1,R345,0)</f>
        <v>0</v>
      </c>
      <c r="T345">
        <f ca="1" t="shared" si="76"/>
        <v>0</v>
      </c>
      <c r="U345">
        <f ca="1">IF(金蛇,IF(COUNTIF(B345,"*金环戴*")+COUNTIF(B345,"*吹风醒*")&gt;0,IF(A345&lt;=3,7.125-2.625-A345-加速!$L$11,7.125+加速!$K$9-(A345+加速!$L$11-T345)),0),0)+IF(金蛇,IF(COUNTIF(B345,"*千切子裂光*")&gt;0,2+加速!$K$9-(A345+加速!$L$11-T345),0),0)</f>
        <v>0</v>
      </c>
      <c r="V345">
        <f ca="1" t="shared" si="77"/>
        <v>0</v>
      </c>
      <c r="W345">
        <f ca="1" t="shared" si="69"/>
        <v>0</v>
      </c>
      <c r="X345">
        <f ca="1">INDEX(加速!$I$13:$I$21,技能数计算!W345+1)</f>
        <v>0</v>
      </c>
      <c r="Y345">
        <f ca="1" t="shared" si="73"/>
        <v>0.5</v>
      </c>
      <c r="Z345">
        <f ca="1" t="shared" si="74"/>
        <v>0</v>
      </c>
      <c r="AA345">
        <f ca="1">MAX(0,IFERROR(IF(COUNTIF(B345,"*叠*")&gt;0,IF(AC344&lt;3,8-A346+A345,AA344+6.875-A346+A345),AA344-A346+A345),AA344-加速!$L$11))</f>
        <v>0</v>
      </c>
      <c r="AB345">
        <f ca="1">MAX(0,IF(COUNTIF(IF(AND(配装计算器!$K$30&lt;&gt;"∞",0),INDEX(AU345:CB345,1,$AT$1),INDEX(AU345:CB345,1,$AT$1)),"*叠1*")=1,4*25-加速!$L$11,AB344-A345+A344)-IF(OR(COUNTIF(OFFSET(AT345,0,$AT$1,1,1),"*听雷*")&gt;0,AND(碧归&gt;0,COUNTIF(OFFSET(AT345,0,$AT$1,1,1),"*风来*")&gt;0)),0,1)*1.5)</f>
        <v>97.21</v>
      </c>
      <c r="AC345">
        <f ca="1" t="shared" si="70"/>
        <v>3</v>
      </c>
      <c r="AD345">
        <f ca="1">IF(COUNTIF(IF(AND(配装计算器!$K$30&lt;&gt;"∞",0),INDEX(AU345:CB345,1,$AT$1),INDEX(AU346:CB346,1,$AT$1)),"*叠1*")=1,AB345*0+AE344,0)</f>
        <v>0</v>
      </c>
      <c r="AE345" t="e">
        <f ca="1">IF($AN$11&gt;0,IF(COUNTIF(B346,"*叠1*")&gt;0,50-加速!$H$11,MAX(0,AE344-(A346-A345))),0)</f>
        <v>#VALUE!</v>
      </c>
      <c r="AU345" t="s">
        <v>3009</v>
      </c>
      <c r="AV345">
        <v>2</v>
      </c>
      <c r="AW345" t="s">
        <v>2768</v>
      </c>
      <c r="AX345">
        <v>2</v>
      </c>
      <c r="AY345" t="s">
        <v>2768</v>
      </c>
      <c r="AZ345">
        <v>2</v>
      </c>
      <c r="BA345" t="s">
        <v>2776</v>
      </c>
      <c r="BB345">
        <v>2</v>
      </c>
      <c r="BC345" t="s">
        <v>3010</v>
      </c>
      <c r="BD345">
        <v>2</v>
      </c>
      <c r="BE345" t="s">
        <v>2776</v>
      </c>
      <c r="BF345">
        <v>2</v>
      </c>
      <c r="BG345" s="176" t="s">
        <v>2776</v>
      </c>
      <c r="BH345">
        <v>2</v>
      </c>
      <c r="BI345" t="s">
        <v>3011</v>
      </c>
      <c r="BJ345">
        <v>2</v>
      </c>
      <c r="BK345" s="176" t="s">
        <v>2776</v>
      </c>
      <c r="BL345">
        <v>2</v>
      </c>
      <c r="BM345" t="s">
        <v>3009</v>
      </c>
      <c r="BN345">
        <v>2</v>
      </c>
      <c r="BO345" t="str">
        <f>IF(0,"云飞玉皇-玉山揽云","夕照雷峰")</f>
        <v>夕照雷峰</v>
      </c>
      <c r="BP345">
        <v>2</v>
      </c>
      <c r="BQ345" t="str">
        <f>IF(秋,"夕照雷峰","千切子裂光")</f>
        <v>千切子裂光</v>
      </c>
      <c r="BR345">
        <v>2</v>
      </c>
      <c r="BS345" t="s">
        <v>2773</v>
      </c>
      <c r="BT345">
        <v>2</v>
      </c>
      <c r="BU345" s="176" t="s">
        <v>2776</v>
      </c>
      <c r="BV345">
        <v>2</v>
      </c>
      <c r="BW345" s="182" t="s">
        <v>2768</v>
      </c>
      <c r="BX345" s="179">
        <v>2</v>
      </c>
      <c r="BY345" t="s">
        <v>3009</v>
      </c>
      <c r="BZ345">
        <v>2</v>
      </c>
      <c r="CA345" t="s">
        <v>3009</v>
      </c>
      <c r="CB345">
        <v>2</v>
      </c>
    </row>
    <row r="346" spans="1:80">
      <c r="A346" s="178" t="str">
        <f ca="1">IFERROR(IF(A345+加速!$L$11&lt;$AS$1,IF(COUNTIF(B345,"*轻*")&gt;0,A345+加速!$L$9,A345+加速!$L$11)+V345,IF(COUNTIF(INDEX(AU346:CB346,1,$AT$1),"*云景*")+COUNTIF(INDEX(AU346:CB346,1,$AT$1),"*鹤归*")+COUNTIF(INDEX(AU346:CB346,1,$AT$1),"*听雷*")&gt;0,A345+加速!$L$11,"")),"")</f>
        <v/>
      </c>
      <c r="B346" s="167" t="str">
        <f ca="1">IF(A346&lt;&gt;"",IF(AND(A346+加速!$L$11&gt;$AS$1,IF(AND(配装计算器!$K$30&lt;&gt;"∞",0),"梦泉虎跑-轻",INDEX(AU346:CB346,1,$AT$1))="云栖松"),"夕照雷峰",IF(AND(配装计算器!$K$30&lt;&gt;"∞",0),"梦泉虎跑-轻",INDEX(AU346:CB346,1,$AT$1))),"")</f>
        <v/>
      </c>
      <c r="C346" t="str">
        <f ca="1" t="shared" si="75"/>
        <v/>
      </c>
      <c r="D346" t="str">
        <f ca="1">IF(B346&lt;&gt;"",IF(C345&lt;=加速!$L$11*(1-E346),0,1),"")</f>
        <v/>
      </c>
      <c r="E346">
        <f ca="1" t="shared" si="71"/>
        <v>1</v>
      </c>
      <c r="G346" t="str">
        <f ca="1" t="shared" si="72"/>
        <v/>
      </c>
      <c r="H346" t="str">
        <f ca="1">IF(B346&lt;&gt;"",IF(AND(COUNTIF(B345,"*轻*莺鸣柳*")&gt;0,COUNTIF(B346,"*轻*")&lt;1),MAX(0,15+I345-(A346-A345)+COUNTIF(B345,"*平湖*")*0),IF(AND(E346=0,MAX(0,H345-(A346-A345))&lt;=加速!$H$11),0,MAX(0,H345-(A346-A345)))),"")</f>
        <v/>
      </c>
      <c r="I346" t="str">
        <f ca="1" t="shared" si="78"/>
        <v/>
      </c>
      <c r="J346" t="str">
        <f ca="1" t="shared" si="79"/>
        <v/>
      </c>
      <c r="K346" t="str">
        <f ca="1">IF(A346&lt;&gt;"",IF(AND(配装计算器!$K$30&lt;&gt;"∞",0),2,INDEX(AU346:CB346,1,$AT$2)),"")</f>
        <v/>
      </c>
      <c r="L346">
        <f ca="1">IFERROR(IF(AND(COUNTIF(B346,"*-峰插*"),技能数据库!$M$72&gt;0),0,IF(COUNTIF(B346,"*鹤归*")&gt;0,16-加速!$L$11,MAX(0,L345-(A346-A345)))),0)</f>
        <v>0</v>
      </c>
      <c r="M346">
        <f ca="1">IF(COUNTIF(IF(AND(配装计算器!$K$30&lt;&gt;"∞",0),INDEX(AU345:CB345,1,$AT$1),INDEX(AU347:CB347,1,$AT$1)),"*鹤归*")=1,L346,0)</f>
        <v>0</v>
      </c>
      <c r="N346">
        <f ca="1">IFERROR(IF(AND(COUNTIF(B346,"*-峰插*"),技能数据库!$M$72&gt;0),0,IF(COUNTIF(B346,"*云飞*")&gt;0,4-COUNTIF(B346,"*玉山揽云*")*4--COUNTIF(B346,"*烟流暮景*")*4-COUNTIF(B346,"*云景*")*加速!$L$11-IF(J346&gt;0,2,0),MAX(0,N345-(A346-A345)-IF(J346&gt;0,2,0)))),0)</f>
        <v>0</v>
      </c>
      <c r="O346">
        <f ca="1">IF(AND(COUNTIF(IF(AND(配装计算器!$K$30&lt;&gt;"∞",0),INDEX(AU345:CB345,1,$AT$1),INDEX(AU347:CB347,1,$AT$1)),"*云飞*")=1,COUNTIF(IF(AND(配装计算器!$K$30&lt;&gt;"∞",0),INDEX(AU345:CB345,1,$AT$1),INDEX(AU347:CB347,1,$AT$1)),"*玉山*")=0),N346,0)</f>
        <v>0</v>
      </c>
      <c r="P346">
        <f ca="1">IFERROR(IF(COUNTIF(B346,"*云栖松*")&gt;0,50-加速!$L$11,MAX(0,P345-(A346-A345))),0)</f>
        <v>0</v>
      </c>
      <c r="Q346">
        <f ca="1">IF(COUNTIF(IF(AND(配装计算器!$K$30&lt;&gt;"∞",0),INDEX(AU345:CB345,1,$AT$1),INDEX(AU347:CB347,1,$AT$1)),"*云栖松*")=1,P346,0)</f>
        <v>0</v>
      </c>
      <c r="R346">
        <f ca="1">IFERROR(IF(COUNTIF(B346,"*莺鸣柳*")&gt;0,45-加速!$L$9,MAX(0,R345-(A346-A345))),0)</f>
        <v>0</v>
      </c>
      <c r="S346">
        <f ca="1">IF(COUNTIF(IF(AND(配装计算器!$K$30&lt;&gt;"∞",0),INDEX(AU345:CB345,1,$AT$1),INDEX(AU347:CB347,1,$AT$1)),"*莺鸣柳*")=1,R346,0)</f>
        <v>0</v>
      </c>
      <c r="T346">
        <f ca="1" t="shared" si="76"/>
        <v>0</v>
      </c>
      <c r="U346">
        <f ca="1">IF(金蛇,IF(COUNTIF(B346,"*金环戴*")+COUNTIF(B346,"*吹风醒*")&gt;0,IF(A346&lt;=3,7.125-2.625-A346-加速!$L$11,7.125+加速!$K$9-(A346+加速!$L$11-T346)),0),0)+IF(金蛇,IF(COUNTIF(B346,"*千切子裂光*")&gt;0,2+加速!$K$9-(A346+加速!$L$11-T346),0),0)</f>
        <v>0</v>
      </c>
      <c r="V346">
        <f ca="1" t="shared" si="77"/>
        <v>0</v>
      </c>
      <c r="W346">
        <f ca="1" t="shared" si="69"/>
        <v>0</v>
      </c>
      <c r="X346">
        <f ca="1">INDEX(加速!$I$13:$I$21,技能数计算!W346+1)</f>
        <v>0</v>
      </c>
      <c r="Y346">
        <f ca="1" t="shared" si="73"/>
        <v>0.5</v>
      </c>
      <c r="Z346">
        <f ca="1" t="shared" si="74"/>
        <v>0</v>
      </c>
      <c r="AA346">
        <f ca="1">MAX(0,IFERROR(IF(COUNTIF(B346,"*叠*")&gt;0,IF(AC345&lt;3,8-A347+A346,AA345+6.875-A347+A346),AA345-A347+A346),AA345-加速!$L$11))</f>
        <v>0</v>
      </c>
      <c r="AB346" t="e">
        <f ca="1">MAX(0,IF(COUNTIF(IF(AND(配装计算器!$K$30&lt;&gt;"∞",0),INDEX(AU346:CB346,1,$AT$1),INDEX(AU346:CB346,1,$AT$1)),"*叠1*")=1,4*25-加速!$L$11,AB345-A346+A345)-IF(OR(COUNTIF(OFFSET(AT346,0,$AT$1,1,1),"*听雷*")&gt;0,AND(碧归&gt;0,COUNTIF(OFFSET(AT346,0,$AT$1,1,1),"*风来*")&gt;0)),0,1)*1.5)</f>
        <v>#VALUE!</v>
      </c>
      <c r="AC346">
        <f ca="1" t="shared" si="70"/>
        <v>3</v>
      </c>
      <c r="AD346">
        <f ca="1">IF(COUNTIF(IF(AND(配装计算器!$K$30&lt;&gt;"∞",0),INDEX(AU346:CB346,1,$AT$1),INDEX(AU347:CB347,1,$AT$1)),"*叠1*")=1,AB346*0+AE345,0)</f>
        <v>0</v>
      </c>
      <c r="AE346" t="e">
        <f ca="1">IF($AN$11&gt;0,IF(COUNTIF(B347,"*叠1*")&gt;0,50-加速!$H$11,MAX(0,AE345-(A347-A346))),0)</f>
        <v>#VALUE!</v>
      </c>
      <c r="AU346" t="s">
        <v>2768</v>
      </c>
      <c r="AV346">
        <v>2</v>
      </c>
      <c r="AW346" s="180" t="s">
        <v>2789</v>
      </c>
      <c r="AX346">
        <v>2</v>
      </c>
      <c r="AY346" t="s">
        <v>2768</v>
      </c>
      <c r="AZ346">
        <v>2</v>
      </c>
      <c r="BA346" t="s">
        <v>2794</v>
      </c>
      <c r="BB346">
        <v>2</v>
      </c>
      <c r="BC346" t="s">
        <v>3013</v>
      </c>
      <c r="BD346">
        <v>2</v>
      </c>
      <c r="BE346" t="s">
        <v>3042</v>
      </c>
      <c r="BF346">
        <v>2</v>
      </c>
      <c r="BG346" t="s">
        <v>2768</v>
      </c>
      <c r="BH346">
        <v>1</v>
      </c>
      <c r="BI346" t="s">
        <v>2768</v>
      </c>
      <c r="BJ346">
        <v>2</v>
      </c>
      <c r="BK346" s="176" t="s">
        <v>2794</v>
      </c>
      <c r="BL346">
        <v>2</v>
      </c>
      <c r="BM346" t="s">
        <v>2776</v>
      </c>
      <c r="BN346">
        <v>2</v>
      </c>
      <c r="BO346" t="str">
        <f>IF(0,"云飞玉皇-玉山揽云","云飞玉皇")</f>
        <v>云飞玉皇</v>
      </c>
      <c r="BP346">
        <v>2</v>
      </c>
      <c r="BQ346" t="str">
        <f>IF(秋,"鹤归孤山-叠-蛇牙锥心","鹤归孤山-叠")</f>
        <v>鹤归孤山-叠</v>
      </c>
      <c r="BR346">
        <v>2</v>
      </c>
      <c r="BS346" t="s">
        <v>2776</v>
      </c>
      <c r="BT346">
        <v>2</v>
      </c>
      <c r="BU346" t="str">
        <f>IF(秋,"鹤归孤山-叠-蛇牙锥心","鹤归孤山-叠")</f>
        <v>鹤归孤山-叠</v>
      </c>
      <c r="BV346">
        <v>2</v>
      </c>
      <c r="BW346" s="182" t="s">
        <v>2808</v>
      </c>
      <c r="BX346" s="179">
        <v>2</v>
      </c>
      <c r="BY346" s="176" t="s">
        <v>2794</v>
      </c>
      <c r="BZ346">
        <v>2</v>
      </c>
      <c r="CA346" s="176" t="s">
        <v>2794</v>
      </c>
      <c r="CB346">
        <v>2</v>
      </c>
    </row>
    <row r="347" spans="1:80">
      <c r="A347" s="178" t="str">
        <f ca="1">IFERROR(IF(A346+加速!$L$11&lt;$AS$1,IF(COUNTIF(B346,"*轻*")&gt;0,A346+加速!$L$9,A346+加速!$L$11)+V346,IF(COUNTIF(INDEX(AU347:CB347,1,$AT$1),"*云景*")+COUNTIF(INDEX(AU347:CB347,1,$AT$1),"*鹤归*")+COUNTIF(INDEX(AU347:CB347,1,$AT$1),"*听雷*")&gt;0,A346+加速!$L$11,"")),"")</f>
        <v/>
      </c>
      <c r="B347" s="167" t="str">
        <f ca="1">IF(A347&lt;&gt;"",IF(AND(A347+加速!$L$11&gt;$AS$1,IF(AND(配装计算器!$K$30&lt;&gt;"∞",0),"梦泉虎跑-轻",INDEX(AU347:CB347,1,$AT$1))="云栖松"),"夕照雷峰",IF(AND(配装计算器!$K$30&lt;&gt;"∞",0),"梦泉虎跑-轻",INDEX(AU347:CB347,1,$AT$1))),"")</f>
        <v/>
      </c>
      <c r="C347" t="str">
        <f ca="1" t="shared" si="75"/>
        <v/>
      </c>
      <c r="D347" t="str">
        <f ca="1">IF(B347&lt;&gt;"",IF(C346&lt;=加速!$L$11*(1-E347),0,1),"")</f>
        <v/>
      </c>
      <c r="E347">
        <f ca="1" t="shared" si="71"/>
        <v>1</v>
      </c>
      <c r="G347" t="str">
        <f ca="1" t="shared" si="72"/>
        <v/>
      </c>
      <c r="H347" t="str">
        <f ca="1">IF(B347&lt;&gt;"",IF(AND(COUNTIF(B346,"*轻*莺鸣柳*")&gt;0,COUNTIF(B347,"*轻*")&lt;1),MAX(0,15+I346-(A347-A346)+COUNTIF(B346,"*平湖*")*0),IF(AND(E347=0,MAX(0,H346-(A347-A346))&lt;=加速!$H$11),0,MAX(0,H346-(A347-A346)))),"")</f>
        <v/>
      </c>
      <c r="I347" t="str">
        <f ca="1" t="shared" si="78"/>
        <v/>
      </c>
      <c r="J347" t="str">
        <f ca="1" t="shared" si="79"/>
        <v/>
      </c>
      <c r="K347" t="str">
        <f ca="1">IF(A347&lt;&gt;"",IF(AND(配装计算器!$K$30&lt;&gt;"∞",0),2,INDEX(AU347:CB347,1,$AT$2)),"")</f>
        <v/>
      </c>
      <c r="L347">
        <f ca="1">IFERROR(IF(AND(COUNTIF(B347,"*-峰插*"),技能数据库!$M$72&gt;0),0,IF(COUNTIF(B347,"*鹤归*")&gt;0,16-加速!$L$11,MAX(0,L346-(A347-A346)))),0)</f>
        <v>0</v>
      </c>
      <c r="M347">
        <f ca="1">IF(COUNTIF(IF(AND(配装计算器!$K$30&lt;&gt;"∞",0),INDEX(AU346:CB346,1,$AT$1),INDEX(AU348:CB348,1,$AT$1)),"*鹤归*")=1,L347,0)</f>
        <v>0</v>
      </c>
      <c r="N347">
        <f ca="1">IFERROR(IF(AND(COUNTIF(B347,"*-峰插*"),技能数据库!$M$72&gt;0),0,IF(COUNTIF(B347,"*云飞*")&gt;0,4-COUNTIF(B347,"*玉山揽云*")*4--COUNTIF(B347,"*烟流暮景*")*4-COUNTIF(B347,"*云景*")*加速!$L$11-IF(J347&gt;0,2,0),MAX(0,N346-(A347-A346)-IF(J347&gt;0,2,0)))),0)</f>
        <v>0</v>
      </c>
      <c r="O347">
        <f ca="1">IF(AND(COUNTIF(IF(AND(配装计算器!$K$30&lt;&gt;"∞",0),INDEX(AU346:CB346,1,$AT$1),INDEX(AU348:CB348,1,$AT$1)),"*云飞*")=1,COUNTIF(IF(AND(配装计算器!$K$30&lt;&gt;"∞",0),INDEX(AU346:CB346,1,$AT$1),INDEX(AU348:CB348,1,$AT$1)),"*玉山*")=0),N347,0)</f>
        <v>0</v>
      </c>
      <c r="P347">
        <f ca="1">IFERROR(IF(COUNTIF(B347,"*云栖松*")&gt;0,50-加速!$L$11,MAX(0,P346-(A347-A346))),0)</f>
        <v>0</v>
      </c>
      <c r="Q347">
        <f ca="1">IF(COUNTIF(IF(AND(配装计算器!$K$30&lt;&gt;"∞",0),INDEX(AU346:CB346,1,$AT$1),INDEX(AU348:CB348,1,$AT$1)),"*云栖松*")=1,P347,0)</f>
        <v>0</v>
      </c>
      <c r="R347">
        <f ca="1">IFERROR(IF(COUNTIF(B347,"*莺鸣柳*")&gt;0,45-加速!$L$9,MAX(0,R346-(A347-A346))),0)</f>
        <v>0</v>
      </c>
      <c r="S347">
        <f ca="1">IF(COUNTIF(IF(AND(配装计算器!$K$30&lt;&gt;"∞",0),INDEX(AU346:CB346,1,$AT$1),INDEX(AU348:CB348,1,$AT$1)),"*莺鸣柳*")=1,R347,0)</f>
        <v>0</v>
      </c>
      <c r="T347">
        <f ca="1" t="shared" si="76"/>
        <v>0</v>
      </c>
      <c r="U347">
        <f ca="1">IF(金蛇,IF(COUNTIF(B347,"*金环戴*")+COUNTIF(B347,"*吹风醒*")&gt;0,IF(A347&lt;=3,7.125-2.625-A347-加速!$L$11,7.125+加速!$K$9-(A347+加速!$L$11-T347)),0),0)+IF(金蛇,IF(COUNTIF(B347,"*千切子裂光*")&gt;0,2+加速!$K$9-(A347+加速!$L$11-T347),0),0)</f>
        <v>0</v>
      </c>
      <c r="V347">
        <f ca="1" t="shared" si="77"/>
        <v>0</v>
      </c>
      <c r="W347">
        <f ca="1" t="shared" si="69"/>
        <v>0</v>
      </c>
      <c r="X347">
        <f ca="1">INDEX(加速!$I$13:$I$21,技能数计算!W347+1)</f>
        <v>0</v>
      </c>
      <c r="Y347">
        <f ca="1" t="shared" si="73"/>
        <v>0.5</v>
      </c>
      <c r="Z347">
        <f ca="1" t="shared" si="74"/>
        <v>0</v>
      </c>
      <c r="AA347">
        <f ca="1">MAX(0,IFERROR(IF(COUNTIF(B347,"*叠*")&gt;0,IF(AC346&lt;3,8-A348+A347,AA346+6.875-A348+A347),AA346-A348+A347),AA346-加速!$L$11))</f>
        <v>0</v>
      </c>
      <c r="AB347" t="e">
        <f ca="1">MAX(0,IF(COUNTIF(IF(AND(配装计算器!$K$30&lt;&gt;"∞",0),INDEX(AU347:CB347,1,$AT$1),INDEX(AU347:CB347,1,$AT$1)),"*叠1*")=1,4*25-加速!$L$11,AB346-A347+A346)-IF(OR(COUNTIF(OFFSET(AT347,0,$AT$1,1,1),"*听雷*")&gt;0,AND(碧归&gt;0,COUNTIF(OFFSET(AT347,0,$AT$1,1,1),"*风来*")&gt;0)),0,1)*1.5)</f>
        <v>#VALUE!</v>
      </c>
      <c r="AC347">
        <f ca="1" t="shared" si="70"/>
        <v>3</v>
      </c>
      <c r="AD347">
        <f ca="1">IF(COUNTIF(IF(AND(配装计算器!$K$30&lt;&gt;"∞",0),INDEX(AU347:CB347,1,$AT$1),INDEX(AU348:CB348,1,$AT$1)),"*叠1*")=1,AB347*0+AE346,0)</f>
        <v>0</v>
      </c>
      <c r="AE347" t="e">
        <f ca="1">IF($AN$11&gt;0,IF(COUNTIF(B348,"*叠1*")&gt;0,50-加速!$H$11,MAX(0,AE346-(A348-A347))),0)</f>
        <v>#VALUE!</v>
      </c>
      <c r="AU347" t="s">
        <v>2776</v>
      </c>
      <c r="AV347">
        <v>2</v>
      </c>
      <c r="AW347" s="176" t="s">
        <v>2794</v>
      </c>
      <c r="AX347">
        <v>2</v>
      </c>
      <c r="AY347" t="s">
        <v>2776</v>
      </c>
      <c r="AZ347">
        <v>2</v>
      </c>
      <c r="BA347" t="s">
        <v>2768</v>
      </c>
      <c r="BB347">
        <v>2</v>
      </c>
      <c r="BC347" t="s">
        <v>3018</v>
      </c>
      <c r="BD347">
        <v>2</v>
      </c>
      <c r="BE347" t="s">
        <v>2808</v>
      </c>
      <c r="BF347">
        <v>2</v>
      </c>
      <c r="BG347" s="176" t="s">
        <v>2768</v>
      </c>
      <c r="BH347">
        <v>1</v>
      </c>
      <c r="BI347" t="s">
        <v>3018</v>
      </c>
      <c r="BJ347">
        <v>2</v>
      </c>
      <c r="BK347" s="176" t="s">
        <v>2768</v>
      </c>
      <c r="BL347">
        <v>2</v>
      </c>
      <c r="BM347" t="s">
        <v>2768</v>
      </c>
      <c r="BN347">
        <v>2</v>
      </c>
      <c r="BO347" t="str">
        <f>IF(0,"云飞玉皇-玉山揽云","夕照雷峰")</f>
        <v>夕照雷峰</v>
      </c>
      <c r="BP347">
        <v>2</v>
      </c>
      <c r="BQ347" t="s">
        <v>2776</v>
      </c>
      <c r="BR347">
        <v>2</v>
      </c>
      <c r="BS347" t="s">
        <v>2768</v>
      </c>
      <c r="BT347">
        <v>2</v>
      </c>
      <c r="BU347" t="s">
        <v>2768</v>
      </c>
      <c r="BV347">
        <v>2</v>
      </c>
      <c r="BW347" s="179" t="s">
        <v>2768</v>
      </c>
      <c r="BX347" s="179">
        <v>2</v>
      </c>
      <c r="BY347" s="176" t="s">
        <v>2776</v>
      </c>
      <c r="BZ347">
        <v>2</v>
      </c>
      <c r="CA347" s="176" t="s">
        <v>2776</v>
      </c>
      <c r="CB347">
        <v>2</v>
      </c>
    </row>
    <row r="348" spans="1:80">
      <c r="A348" s="178" t="str">
        <f ca="1">IFERROR(IF(A347+加速!$L$11&lt;$AS$1,IF(COUNTIF(B347,"*轻*")&gt;0,A347+加速!$L$9,A347+加速!$L$11)+V347,IF(COUNTIF(INDEX(AU348:CB348,1,$AT$1),"*云景*")+COUNTIF(INDEX(AU348:CB348,1,$AT$1),"*鹤归*")+COUNTIF(INDEX(AU348:CB348,1,$AT$1),"*听雷*")&gt;0,A347+加速!$L$11,"")),"")</f>
        <v/>
      </c>
      <c r="B348" s="167" t="str">
        <f ca="1">IF(A348&lt;&gt;"",IF(AND(A348+加速!$L$11&gt;$AS$1,IF(AND(配装计算器!$K$30&lt;&gt;"∞",0),"梦泉虎跑-轻",INDEX(AU348:CB348,1,$AT$1))="云栖松"),"夕照雷峰",IF(AND(配装计算器!$K$30&lt;&gt;"∞",0),"梦泉虎跑-轻",INDEX(AU348:CB348,1,$AT$1))),"")</f>
        <v/>
      </c>
      <c r="C348" t="str">
        <f ca="1" t="shared" si="75"/>
        <v/>
      </c>
      <c r="D348" t="str">
        <f ca="1">IF(B348&lt;&gt;"",IF(C347&lt;=加速!$L$11*(1-E348),0,1),"")</f>
        <v/>
      </c>
      <c r="E348">
        <f ca="1" t="shared" si="71"/>
        <v>1</v>
      </c>
      <c r="G348" t="str">
        <f ca="1" t="shared" si="72"/>
        <v/>
      </c>
      <c r="H348" t="str">
        <f ca="1">IF(B348&lt;&gt;"",IF(AND(COUNTIF(B347,"*轻*莺鸣柳*")&gt;0,COUNTIF(B348,"*轻*")&lt;1),MAX(0,15+I347-(A348-A347)+COUNTIF(B347,"*平湖*")*0),IF(AND(E348=0,MAX(0,H347-(A348-A347))&lt;=加速!$H$11),0,MAX(0,H347-(A348-A347)))),"")</f>
        <v/>
      </c>
      <c r="I348" t="str">
        <f ca="1" t="shared" si="78"/>
        <v/>
      </c>
      <c r="J348" t="str">
        <f ca="1" t="shared" si="79"/>
        <v/>
      </c>
      <c r="K348" t="str">
        <f ca="1">IF(A348&lt;&gt;"",IF(AND(配装计算器!$K$30&lt;&gt;"∞",0),2,INDEX(AU348:CB348,1,$AT$2)),"")</f>
        <v/>
      </c>
      <c r="L348">
        <f ca="1">IFERROR(IF(AND(COUNTIF(B348,"*-峰插*"),技能数据库!$M$72&gt;0),0,IF(COUNTIF(B348,"*鹤归*")&gt;0,16-加速!$L$11,MAX(0,L347-(A348-A347)))),0)</f>
        <v>0</v>
      </c>
      <c r="M348">
        <f ca="1">IF(COUNTIF(IF(AND(配装计算器!$K$30&lt;&gt;"∞",0),INDEX(AU347:CB347,1,$AT$1),INDEX(AU349:CB349,1,$AT$1)),"*鹤归*")=1,L348,0)</f>
        <v>0</v>
      </c>
      <c r="N348">
        <f ca="1">IFERROR(IF(AND(COUNTIF(B348,"*-峰插*"),技能数据库!$M$72&gt;0),0,IF(COUNTIF(B348,"*云飞*")&gt;0,4-COUNTIF(B348,"*玉山揽云*")*4--COUNTIF(B348,"*烟流暮景*")*4-COUNTIF(B348,"*云景*")*加速!$L$11-IF(J348&gt;0,2,0),MAX(0,N347-(A348-A347)-IF(J348&gt;0,2,0)))),0)</f>
        <v>0</v>
      </c>
      <c r="O348">
        <f ca="1">IF(AND(COUNTIF(IF(AND(配装计算器!$K$30&lt;&gt;"∞",0),INDEX(AU347:CB347,1,$AT$1),INDEX(AU349:CB349,1,$AT$1)),"*云飞*")=1,COUNTIF(IF(AND(配装计算器!$K$30&lt;&gt;"∞",0),INDEX(AU347:CB347,1,$AT$1),INDEX(AU349:CB349,1,$AT$1)),"*玉山*")=0),N348,0)</f>
        <v>0</v>
      </c>
      <c r="P348">
        <f ca="1">IFERROR(IF(COUNTIF(B348,"*云栖松*")&gt;0,50-加速!$L$11,MAX(0,P347-(A348-A347))),0)</f>
        <v>0</v>
      </c>
      <c r="Q348">
        <f ca="1">IF(COUNTIF(IF(AND(配装计算器!$K$30&lt;&gt;"∞",0),INDEX(AU347:CB347,1,$AT$1),INDEX(AU349:CB349,1,$AT$1)),"*云栖松*")=1,P348,0)</f>
        <v>0</v>
      </c>
      <c r="R348">
        <f ca="1">IFERROR(IF(COUNTIF(B348,"*莺鸣柳*")&gt;0,45-加速!$L$9,MAX(0,R347-(A348-A347))),0)</f>
        <v>0</v>
      </c>
      <c r="S348">
        <f ca="1">IF(COUNTIF(IF(AND(配装计算器!$K$30&lt;&gt;"∞",0),INDEX(AU347:CB347,1,$AT$1),INDEX(AU349:CB349,1,$AT$1)),"*莺鸣柳*")=1,R348,0)</f>
        <v>0</v>
      </c>
      <c r="T348">
        <f ca="1" t="shared" si="76"/>
        <v>0</v>
      </c>
      <c r="U348">
        <f ca="1">IF(金蛇,IF(COUNTIF(B348,"*金环戴*")+COUNTIF(B348,"*吹风醒*")&gt;0,IF(A348&lt;=3,7.125-2.625-A348-加速!$L$11,7.125+加速!$K$9-(A348+加速!$L$11-T348)),0),0)+IF(金蛇,IF(COUNTIF(B348,"*千切子裂光*")&gt;0,2+加速!$K$9-(A348+加速!$L$11-T348),0),0)</f>
        <v>0</v>
      </c>
      <c r="V348">
        <f ca="1" t="shared" si="77"/>
        <v>0</v>
      </c>
      <c r="W348">
        <f ca="1" t="shared" si="69"/>
        <v>0</v>
      </c>
      <c r="X348">
        <f ca="1">INDEX(加速!$I$13:$I$21,技能数计算!W348+1)</f>
        <v>0</v>
      </c>
      <c r="Y348">
        <f ca="1" t="shared" si="73"/>
        <v>0.5</v>
      </c>
      <c r="Z348">
        <f ca="1" t="shared" si="74"/>
        <v>0</v>
      </c>
      <c r="AA348">
        <f ca="1">MAX(0,IFERROR(IF(COUNTIF(B348,"*叠*")&gt;0,IF(AC347&lt;3,8-A349+A348,AA347+6.875-A349+A348),AA347-A349+A348),AA347-加速!$L$11))</f>
        <v>0</v>
      </c>
      <c r="AB348" t="e">
        <f ca="1">MAX(0,IF(COUNTIF(IF(AND(配装计算器!$K$30&lt;&gt;"∞",0),INDEX(AU348:CB348,1,$AT$1),INDEX(AU348:CB348,1,$AT$1)),"*叠1*")=1,4*25-加速!$L$11,AB347-A348+A347)-IF(OR(COUNTIF(OFFSET(AT348,0,$AT$1,1,1),"*听雷*")&gt;0,AND(碧归&gt;0,COUNTIF(OFFSET(AT348,0,$AT$1,1,1),"*风来*")&gt;0)),0,1)*1.5)</f>
        <v>#VALUE!</v>
      </c>
      <c r="AC348">
        <f ca="1" t="shared" si="70"/>
        <v>3</v>
      </c>
      <c r="AD348">
        <f ca="1">IF(COUNTIF(IF(AND(配装计算器!$K$30&lt;&gt;"∞",0),INDEX(AU348:CB348,1,$AT$1),INDEX(AU349:CB349,1,$AT$1)),"*叠1*")=1,AB348*0+AE347,0)</f>
        <v>0</v>
      </c>
      <c r="AE348" t="e">
        <f ca="1">IF($AN$11&gt;0,IF(COUNTIF(B349,"*叠1*")&gt;0,50-加速!$H$11,MAX(0,AE347-(A349-A348))),0)</f>
        <v>#VALUE!</v>
      </c>
      <c r="AU348" t="s">
        <v>2768</v>
      </c>
      <c r="AV348">
        <v>2</v>
      </c>
      <c r="AW348" s="176" t="s">
        <v>2776</v>
      </c>
      <c r="AX348">
        <v>2</v>
      </c>
      <c r="AY348" t="s">
        <v>2794</v>
      </c>
      <c r="AZ348">
        <v>2</v>
      </c>
      <c r="BA348" t="s">
        <v>2776</v>
      </c>
      <c r="BB348">
        <v>2</v>
      </c>
      <c r="BC348" t="s">
        <v>2768</v>
      </c>
      <c r="BD348">
        <v>2</v>
      </c>
      <c r="BE348" t="s">
        <v>2768</v>
      </c>
      <c r="BF348">
        <v>2</v>
      </c>
      <c r="BG348" t="s">
        <v>3055</v>
      </c>
      <c r="BH348">
        <v>0</v>
      </c>
      <c r="BI348" t="s">
        <v>2768</v>
      </c>
      <c r="BJ348">
        <v>2</v>
      </c>
      <c r="BK348" s="176" t="s">
        <v>2776</v>
      </c>
      <c r="BL348">
        <v>2</v>
      </c>
      <c r="BM348" s="180" t="s">
        <v>2789</v>
      </c>
      <c r="BN348">
        <v>2</v>
      </c>
      <c r="BO348" t="str">
        <f>IF(0,橙武补雾锁,"夕照雷峰")</f>
        <v>夕照雷峰</v>
      </c>
      <c r="BP348">
        <v>2</v>
      </c>
      <c r="BQ348" t="s">
        <v>2768</v>
      </c>
      <c r="BR348">
        <v>2</v>
      </c>
      <c r="BS348" t="s">
        <v>2768</v>
      </c>
      <c r="BT348">
        <v>2</v>
      </c>
      <c r="BU348" t="s">
        <v>2776</v>
      </c>
      <c r="BV348">
        <v>2</v>
      </c>
      <c r="BW348" s="179" t="s">
        <v>2776</v>
      </c>
      <c r="BX348" s="179">
        <v>2</v>
      </c>
      <c r="BY348" s="176" t="s">
        <v>2768</v>
      </c>
      <c r="BZ348">
        <v>2</v>
      </c>
      <c r="CA348" s="176" t="s">
        <v>2768</v>
      </c>
      <c r="CB348">
        <v>2</v>
      </c>
    </row>
    <row r="349" spans="1:80">
      <c r="A349" s="178" t="str">
        <f ca="1">IFERROR(IF(A348+加速!$L$11&lt;$AS$1,IF(COUNTIF(B348,"*轻*")&gt;0,A348+加速!$L$9,A348+加速!$L$11)+V348,IF(COUNTIF(INDEX(AU349:CB349,1,$AT$1),"*云景*")+COUNTIF(INDEX(AU349:CB349,1,$AT$1),"*鹤归*")+COUNTIF(INDEX(AU349:CB349,1,$AT$1),"*听雷*")&gt;0,A348+加速!$L$11,"")),"")</f>
        <v/>
      </c>
      <c r="B349" s="167" t="str">
        <f ca="1">IF(A349&lt;&gt;"",IF(AND(A349+加速!$L$11&gt;$AS$1,IF(AND(配装计算器!$K$30&lt;&gt;"∞",0),"梦泉虎跑-轻",INDEX(AU349:CB349,1,$AT$1))="云栖松"),"夕照雷峰",IF(AND(配装计算器!$K$30&lt;&gt;"∞",0),"梦泉虎跑-轻",INDEX(AU349:CB349,1,$AT$1))),"")</f>
        <v/>
      </c>
      <c r="C349" t="str">
        <f ca="1" t="shared" si="75"/>
        <v/>
      </c>
      <c r="D349" t="str">
        <f ca="1">IF(B349&lt;&gt;"",IF(C348&lt;=加速!$L$11*(1-E349),0,1),"")</f>
        <v/>
      </c>
      <c r="E349">
        <f ca="1" t="shared" si="71"/>
        <v>1</v>
      </c>
      <c r="G349" t="str">
        <f ca="1" t="shared" si="72"/>
        <v/>
      </c>
      <c r="H349" t="str">
        <f ca="1">IF(B349&lt;&gt;"",IF(AND(COUNTIF(B348,"*轻*莺鸣柳*")&gt;0,COUNTIF(B349,"*轻*")&lt;1),MAX(0,15+I348-(A349-A348)+COUNTIF(B348,"*平湖*")*0),IF(AND(E349=0,MAX(0,H348-(A349-A348))&lt;=加速!$H$11),0,MAX(0,H348-(A349-A348)))),"")</f>
        <v/>
      </c>
      <c r="I349" t="str">
        <f ca="1" t="shared" si="78"/>
        <v/>
      </c>
      <c r="J349" t="str">
        <f ca="1" t="shared" si="79"/>
        <v/>
      </c>
      <c r="K349" t="str">
        <f ca="1">IF(A349&lt;&gt;"",IF(AND(配装计算器!$K$30&lt;&gt;"∞",0),2,INDEX(AU349:CB349,1,$AT$2)),"")</f>
        <v/>
      </c>
      <c r="L349">
        <f ca="1">IFERROR(IF(AND(COUNTIF(B349,"*-峰插*"),技能数据库!$M$72&gt;0),0,IF(COUNTIF(B349,"*鹤归*")&gt;0,16-加速!$L$11,MAX(0,L348-(A349-A348)))),0)</f>
        <v>0</v>
      </c>
      <c r="M349">
        <f ca="1">IF(COUNTIF(IF(AND(配装计算器!$K$30&lt;&gt;"∞",0),INDEX(AU348:CB348,1,$AT$1),INDEX(AU350:CB350,1,$AT$1)),"*鹤归*")=1,L349,0)</f>
        <v>0</v>
      </c>
      <c r="N349">
        <f ca="1">IFERROR(IF(AND(COUNTIF(B349,"*-峰插*"),技能数据库!$M$72&gt;0),0,IF(COUNTIF(B349,"*云飞*")&gt;0,4-COUNTIF(B349,"*玉山揽云*")*4--COUNTIF(B349,"*烟流暮景*")*4-COUNTIF(B349,"*云景*")*加速!$L$11-IF(J349&gt;0,2,0),MAX(0,N348-(A349-A348)-IF(J349&gt;0,2,0)))),0)</f>
        <v>0</v>
      </c>
      <c r="O349">
        <f ca="1">IF(AND(COUNTIF(IF(AND(配装计算器!$K$30&lt;&gt;"∞",0),INDEX(AU348:CB348,1,$AT$1),INDEX(AU350:CB350,1,$AT$1)),"*云飞*")=1,COUNTIF(IF(AND(配装计算器!$K$30&lt;&gt;"∞",0),INDEX(AU348:CB348,1,$AT$1),INDEX(AU350:CB350,1,$AT$1)),"*玉山*")=0),N349,0)</f>
        <v>0</v>
      </c>
      <c r="P349">
        <f ca="1">IFERROR(IF(COUNTIF(B349,"*云栖松*")&gt;0,50-加速!$L$11,MAX(0,P348-(A349-A348))),0)</f>
        <v>0</v>
      </c>
      <c r="Q349">
        <f ca="1">IF(COUNTIF(IF(AND(配装计算器!$K$30&lt;&gt;"∞",0),INDEX(AU348:CB348,1,$AT$1),INDEX(AU350:CB350,1,$AT$1)),"*云栖松*")=1,P349,0)</f>
        <v>0</v>
      </c>
      <c r="R349">
        <f ca="1">IFERROR(IF(COUNTIF(B349,"*莺鸣柳*")&gt;0,45-加速!$L$9,MAX(0,R348-(A349-A348))),0)</f>
        <v>0</v>
      </c>
      <c r="S349">
        <f ca="1">IF(COUNTIF(IF(AND(配装计算器!$K$30&lt;&gt;"∞",0),INDEX(AU348:CB348,1,$AT$1),INDEX(AU350:CB350,1,$AT$1)),"*莺鸣柳*")=1,R349,0)</f>
        <v>0</v>
      </c>
      <c r="T349">
        <f ca="1" t="shared" si="76"/>
        <v>0</v>
      </c>
      <c r="U349">
        <f ca="1">IF(金蛇,IF(COUNTIF(B349,"*金环戴*")+COUNTIF(B349,"*吹风醒*")&gt;0,IF(A349&lt;=3,7.125-2.625-A349-加速!$L$11,7.125+加速!$K$9-(A349+加速!$L$11-T349)),0),0)+IF(金蛇,IF(COUNTIF(B349,"*千切子裂光*")&gt;0,2+加速!$K$9-(A349+加速!$L$11-T349),0),0)</f>
        <v>0</v>
      </c>
      <c r="V349">
        <f ca="1" t="shared" si="77"/>
        <v>0</v>
      </c>
      <c r="W349">
        <f ca="1" t="shared" si="69"/>
        <v>0</v>
      </c>
      <c r="X349">
        <f ca="1">INDEX(加速!$I$13:$I$21,技能数计算!W349+1)</f>
        <v>0</v>
      </c>
      <c r="Y349">
        <f ca="1" t="shared" si="73"/>
        <v>0.5</v>
      </c>
      <c r="Z349">
        <f ca="1" t="shared" si="74"/>
        <v>0</v>
      </c>
      <c r="AA349">
        <f ca="1">MAX(0,IFERROR(IF(COUNTIF(B349,"*叠*")&gt;0,IF(AC348&lt;3,8-A350+A349,AA348+6.875-A350+A349),AA348-A350+A349),AA348-加速!$L$11))</f>
        <v>0</v>
      </c>
      <c r="AB349" t="e">
        <f ca="1">MAX(0,IF(COUNTIF(IF(AND(配装计算器!$K$30&lt;&gt;"∞",0),INDEX(AU349:CB349,1,$AT$1),INDEX(AU349:CB349,1,$AT$1)),"*叠1*")=1,4*25-加速!$L$11,AB348-A349+A348)-IF(OR(COUNTIF(OFFSET(AT349,0,$AT$1,1,1),"*听雷*")&gt;0,AND(碧归&gt;0,COUNTIF(OFFSET(AT349,0,$AT$1,1,1),"*风来*")&gt;0)),0,1)*1.5)</f>
        <v>#VALUE!</v>
      </c>
      <c r="AC349">
        <f ca="1" t="shared" si="70"/>
        <v>3</v>
      </c>
      <c r="AD349">
        <f ca="1">IF(COUNTIF(IF(AND(配装计算器!$K$30&lt;&gt;"∞",0),INDEX(AU349:CB349,1,$AT$1),INDEX(AU350:CB350,1,$AT$1)),"*叠1*")=1,AB349*0+AE348,0)</f>
        <v>0</v>
      </c>
      <c r="AE349" t="e">
        <f ca="1">IF($AN$11&gt;0,IF(COUNTIF(B350,"*叠1*")&gt;0,50-加速!$H$11,MAX(0,AE348-(A350-A349))),0)</f>
        <v>#VALUE!</v>
      </c>
      <c r="AU349" t="s">
        <v>2768</v>
      </c>
      <c r="AV349">
        <v>2</v>
      </c>
      <c r="AW349" s="176" t="s">
        <v>2768</v>
      </c>
      <c r="AX349">
        <v>2</v>
      </c>
      <c r="AY349" t="s">
        <v>2768</v>
      </c>
      <c r="AZ349">
        <v>2</v>
      </c>
      <c r="BA349" t="s">
        <v>2768</v>
      </c>
      <c r="BB349">
        <v>2</v>
      </c>
      <c r="BC349" t="s">
        <v>3023</v>
      </c>
      <c r="BD349">
        <v>2</v>
      </c>
      <c r="BE349" t="s">
        <v>2768</v>
      </c>
      <c r="BF349">
        <v>2</v>
      </c>
      <c r="BG349" t="s">
        <v>2776</v>
      </c>
      <c r="BH349">
        <v>2</v>
      </c>
      <c r="BI349" s="182" t="s">
        <v>3023</v>
      </c>
      <c r="BJ349">
        <v>2</v>
      </c>
      <c r="BK349" t="s">
        <v>2768</v>
      </c>
      <c r="BL349">
        <v>1</v>
      </c>
      <c r="BM349" s="176" t="s">
        <v>2794</v>
      </c>
      <c r="BN349">
        <v>2</v>
      </c>
      <c r="BO349" t="str">
        <f>IF(0,"云飞玉皇-玉山揽云","夕照雷峰")</f>
        <v>夕照雷峰</v>
      </c>
      <c r="BP349">
        <v>2</v>
      </c>
      <c r="BQ349" t="s">
        <v>2776</v>
      </c>
      <c r="BR349">
        <v>2</v>
      </c>
      <c r="BS349" t="s">
        <v>2768</v>
      </c>
      <c r="BT349">
        <v>1</v>
      </c>
      <c r="BU349" t="s">
        <v>2768</v>
      </c>
      <c r="BV349">
        <v>2</v>
      </c>
      <c r="BW349" s="179" t="s">
        <v>2768</v>
      </c>
      <c r="BX349" s="179">
        <v>2</v>
      </c>
      <c r="BY349" s="176" t="s">
        <v>2776</v>
      </c>
      <c r="BZ349">
        <v>2</v>
      </c>
      <c r="CA349" s="176" t="s">
        <v>2776</v>
      </c>
      <c r="CB349">
        <v>2</v>
      </c>
    </row>
    <row r="350" spans="1:80">
      <c r="A350" s="178" t="str">
        <f ca="1">IFERROR(IF(A349+加速!$L$11&lt;$AS$1,IF(COUNTIF(B349,"*轻*")&gt;0,A349+加速!$L$9,A349+加速!$L$11)+V349,IF(COUNTIF(INDEX(AU350:CB350,1,$AT$1),"*云景*")+COUNTIF(INDEX(AU350:CB350,1,$AT$1),"*鹤归*")+COUNTIF(INDEX(AU350:CB350,1,$AT$1),"*听雷*")&gt;0,A349+加速!$L$11,"")),"")</f>
        <v/>
      </c>
      <c r="B350" s="167" t="str">
        <f ca="1">IF(A350&lt;&gt;"",IF(AND(A350+加速!$L$11&gt;$AS$1,IF(AND(配装计算器!$K$30&lt;&gt;"∞",0),"梦泉虎跑-轻",INDEX(AU350:CB350,1,$AT$1))="云栖松"),"夕照雷峰",IF(AND(配装计算器!$K$30&lt;&gt;"∞",0),"梦泉虎跑-轻",INDEX(AU350:CB350,1,$AT$1))),"")</f>
        <v/>
      </c>
      <c r="C350" t="str">
        <f ca="1" t="shared" si="75"/>
        <v/>
      </c>
      <c r="D350" t="str">
        <f ca="1">IF(B350&lt;&gt;"",IF(C349&lt;=加速!$L$11*(1-E350),0,1),"")</f>
        <v/>
      </c>
      <c r="E350">
        <f ca="1" t="shared" si="71"/>
        <v>1</v>
      </c>
      <c r="G350" t="str">
        <f ca="1" t="shared" si="72"/>
        <v/>
      </c>
      <c r="H350" t="str">
        <f ca="1">IF(B350&lt;&gt;"",IF(AND(COUNTIF(B349,"*轻*莺鸣柳*")&gt;0,COUNTIF(B350,"*轻*")&lt;1),MAX(0,15+I349-(A350-A349)+COUNTIF(B349,"*平湖*")*0),IF(AND(E350=0,MAX(0,H349-(A350-A349))&lt;=加速!$H$11),0,MAX(0,H349-(A350-A349)))),"")</f>
        <v/>
      </c>
      <c r="I350" t="str">
        <f ca="1" t="shared" si="78"/>
        <v/>
      </c>
      <c r="J350" t="str">
        <f ca="1" t="shared" si="79"/>
        <v/>
      </c>
      <c r="K350" t="str">
        <f ca="1">IF(A350&lt;&gt;"",IF(AND(配装计算器!$K$30&lt;&gt;"∞",0),2,INDEX(AU350:CB350,1,$AT$2)),"")</f>
        <v/>
      </c>
      <c r="L350">
        <f ca="1">IFERROR(IF(AND(COUNTIF(B350,"*-峰插*"),技能数据库!$M$72&gt;0),0,IF(COUNTIF(B350,"*鹤归*")&gt;0,16-加速!$L$11,MAX(0,L349-(A350-A349)))),0)</f>
        <v>0</v>
      </c>
      <c r="M350">
        <f ca="1">IF(COUNTIF(IF(AND(配装计算器!$K$30&lt;&gt;"∞",0),INDEX(AU349:CB349,1,$AT$1),INDEX(AU351:CB351,1,$AT$1)),"*鹤归*")=1,L350,0)</f>
        <v>0</v>
      </c>
      <c r="N350">
        <f ca="1">IFERROR(IF(AND(COUNTIF(B350,"*-峰插*"),技能数据库!$M$72&gt;0),0,IF(COUNTIF(B350,"*云飞*")&gt;0,4-COUNTIF(B350,"*玉山揽云*")*4--COUNTIF(B350,"*烟流暮景*")*4-COUNTIF(B350,"*云景*")*加速!$L$11-IF(J350&gt;0,2,0),MAX(0,N349-(A350-A349)-IF(J350&gt;0,2,0)))),0)</f>
        <v>0</v>
      </c>
      <c r="O350">
        <f ca="1">IF(AND(COUNTIF(IF(AND(配装计算器!$K$30&lt;&gt;"∞",0),INDEX(AU349:CB349,1,$AT$1),INDEX(AU351:CB351,1,$AT$1)),"*云飞*")=1,COUNTIF(IF(AND(配装计算器!$K$30&lt;&gt;"∞",0),INDEX(AU349:CB349,1,$AT$1),INDEX(AU351:CB351,1,$AT$1)),"*玉山*")=0),N350,0)</f>
        <v>0</v>
      </c>
      <c r="P350">
        <f ca="1">IFERROR(IF(COUNTIF(B350,"*云栖松*")&gt;0,50-加速!$L$11,MAX(0,P349-(A350-A349))),0)</f>
        <v>0</v>
      </c>
      <c r="Q350">
        <f ca="1">IF(COUNTIF(IF(AND(配装计算器!$K$30&lt;&gt;"∞",0),INDEX(AU349:CB349,1,$AT$1),INDEX(AU351:CB351,1,$AT$1)),"*云栖松*")=1,P350,0)</f>
        <v>0</v>
      </c>
      <c r="R350">
        <f ca="1">IFERROR(IF(COUNTIF(B350,"*莺鸣柳*")&gt;0,45-加速!$L$9,MAX(0,R349-(A350-A349))),0)</f>
        <v>0</v>
      </c>
      <c r="S350">
        <f ca="1">IF(COUNTIF(IF(AND(配装计算器!$K$30&lt;&gt;"∞",0),INDEX(AU349:CB349,1,$AT$1),INDEX(AU351:CB351,1,$AT$1)),"*莺鸣柳*")=1,R350,0)</f>
        <v>0</v>
      </c>
      <c r="T350">
        <f ca="1" t="shared" si="76"/>
        <v>0</v>
      </c>
      <c r="U350">
        <f ca="1">IF(金蛇,IF(COUNTIF(B350,"*金环戴*")+COUNTIF(B350,"*吹风醒*")&gt;0,IF(A350&lt;=3,7.125-2.625-A350-加速!$L$11,7.125+加速!$K$9-(A350+加速!$L$11-T350)),0),0)+IF(金蛇,IF(COUNTIF(B350,"*千切子裂光*")&gt;0,2+加速!$K$9-(A350+加速!$L$11-T350),0),0)</f>
        <v>0</v>
      </c>
      <c r="V350">
        <f ca="1" t="shared" si="77"/>
        <v>0</v>
      </c>
      <c r="W350">
        <f ca="1" t="shared" si="69"/>
        <v>0</v>
      </c>
      <c r="X350">
        <f ca="1">INDEX(加速!$I$13:$I$21,技能数计算!W350+1)</f>
        <v>0</v>
      </c>
      <c r="Y350">
        <f ca="1" t="shared" si="73"/>
        <v>0.5</v>
      </c>
      <c r="Z350">
        <f ca="1" t="shared" si="74"/>
        <v>0</v>
      </c>
      <c r="AA350">
        <f ca="1">MAX(0,IFERROR(IF(COUNTIF(B350,"*叠*")&gt;0,IF(AC349&lt;3,8-A351+A350,AA349+6.875-A351+A350),AA349-A351+A350),AA349-加速!$L$11))</f>
        <v>0</v>
      </c>
      <c r="AB350" t="e">
        <f ca="1">MAX(0,IF(COUNTIF(IF(AND(配装计算器!$K$30&lt;&gt;"∞",0),INDEX(AU350:CB350,1,$AT$1),INDEX(AU350:CB350,1,$AT$1)),"*叠1*")=1,4*25-加速!$L$11,AB349-A350+A349)-IF(OR(COUNTIF(OFFSET(AT350,0,$AT$1,1,1),"*听雷*")&gt;0,AND(碧归&gt;0,COUNTIF(OFFSET(AT350,0,$AT$1,1,1),"*风来*")&gt;0)),0,1)*1.5)</f>
        <v>#VALUE!</v>
      </c>
      <c r="AC350">
        <f ca="1" t="shared" si="70"/>
        <v>3</v>
      </c>
      <c r="AD350">
        <f ca="1">IF(COUNTIF(IF(AND(配装计算器!$K$30&lt;&gt;"∞",0),INDEX(AU350:CB350,1,$AT$1),INDEX(AU351:CB351,1,$AT$1)),"*叠1*")=1,AB350*0+AE349,0)</f>
        <v>0</v>
      </c>
      <c r="AE350" t="e">
        <f ca="1">IF($AN$11&gt;0,IF(COUNTIF(B351,"*叠1*")&gt;0,50-加速!$H$11,MAX(0,AE349-(A351-A350))),0)</f>
        <v>#VALUE!</v>
      </c>
      <c r="AU350" s="176" t="s">
        <v>2794</v>
      </c>
      <c r="AV350">
        <v>2</v>
      </c>
      <c r="AW350" s="176" t="s">
        <v>2776</v>
      </c>
      <c r="AX350">
        <v>2</v>
      </c>
      <c r="AY350" t="s">
        <v>2776</v>
      </c>
      <c r="AZ350">
        <v>2</v>
      </c>
      <c r="BA350" t="s">
        <v>2776</v>
      </c>
      <c r="BB350">
        <v>2</v>
      </c>
      <c r="BC350" t="s">
        <v>2768</v>
      </c>
      <c r="BD350">
        <v>2</v>
      </c>
      <c r="BE350" t="s">
        <v>2768</v>
      </c>
      <c r="BF350">
        <v>2</v>
      </c>
      <c r="BG350" t="s">
        <v>2768</v>
      </c>
      <c r="BH350">
        <v>2</v>
      </c>
      <c r="BI350" s="176" t="s">
        <v>3026</v>
      </c>
      <c r="BJ350">
        <v>2</v>
      </c>
      <c r="BK350" t="s">
        <v>2776</v>
      </c>
      <c r="BL350">
        <v>1</v>
      </c>
      <c r="BM350" s="176" t="s">
        <v>2776</v>
      </c>
      <c r="BN350">
        <v>2</v>
      </c>
      <c r="BO350" t="s">
        <v>2776</v>
      </c>
      <c r="BP350">
        <v>2</v>
      </c>
      <c r="BQ350" t="s">
        <v>2768</v>
      </c>
      <c r="BR350">
        <v>2</v>
      </c>
      <c r="BS350" t="s">
        <v>2776</v>
      </c>
      <c r="BT350">
        <v>1</v>
      </c>
      <c r="BU350" t="s">
        <v>2776</v>
      </c>
      <c r="BV350">
        <v>2</v>
      </c>
      <c r="BW350" s="179" t="str">
        <f>IF($AN$11=1,"云飞玉皇-玉山揽云","夕照雷峰")</f>
        <v>云飞玉皇-玉山揽云</v>
      </c>
      <c r="BX350" s="179">
        <v>2</v>
      </c>
      <c r="BY350" s="176" t="s">
        <v>2768</v>
      </c>
      <c r="BZ350">
        <v>2</v>
      </c>
      <c r="CA350" s="176" t="s">
        <v>2768</v>
      </c>
      <c r="CB350">
        <v>2</v>
      </c>
    </row>
    <row r="351" spans="1:80">
      <c r="A351" s="178" t="str">
        <f ca="1">IFERROR(IF(A350+加速!$L$11&lt;$AS$1,IF(COUNTIF(B350,"*轻*")&gt;0,A350+加速!$L$9,A350+加速!$L$11)+V350,IF(COUNTIF(INDEX(AU351:CB351,1,$AT$1),"*云景*")+COUNTIF(INDEX(AU351:CB351,1,$AT$1),"*鹤归*")+COUNTIF(INDEX(AU351:CB351,1,$AT$1),"*听雷*")&gt;0,A350+加速!$L$11,"")),"")</f>
        <v/>
      </c>
      <c r="B351" s="167" t="str">
        <f ca="1">IF(A351&lt;&gt;"",IF(AND(A351+加速!$L$11&gt;$AS$1,IF(AND(配装计算器!$K$30&lt;&gt;"∞",0),"梦泉虎跑-轻",INDEX(AU351:CB351,1,$AT$1))="云栖松"),"夕照雷峰",IF(AND(配装计算器!$K$30&lt;&gt;"∞",0),"梦泉虎跑-轻",INDEX(AU351:CB351,1,$AT$1))),"")</f>
        <v/>
      </c>
      <c r="C351" t="str">
        <f ca="1" t="shared" si="75"/>
        <v/>
      </c>
      <c r="D351" t="str">
        <f ca="1">IF(B351&lt;&gt;"",IF(C350&lt;=加速!$L$11*(1-E351),0,1),"")</f>
        <v/>
      </c>
      <c r="E351">
        <f ca="1" t="shared" si="71"/>
        <v>1</v>
      </c>
      <c r="G351" t="str">
        <f ca="1" t="shared" si="72"/>
        <v/>
      </c>
      <c r="H351" t="str">
        <f ca="1">IF(B351&lt;&gt;"",IF(AND(COUNTIF(B350,"*轻*莺鸣柳*")&gt;0,COUNTIF(B351,"*轻*")&lt;1),MAX(0,15+I350-(A351-A350)+COUNTIF(B350,"*平湖*")*0),IF(AND(E351=0,MAX(0,H350-(A351-A350))&lt;=加速!$H$11),0,MAX(0,H350-(A351-A350)))),"")</f>
        <v/>
      </c>
      <c r="I351" t="str">
        <f ca="1" t="shared" si="78"/>
        <v/>
      </c>
      <c r="J351" t="str">
        <f ca="1" t="shared" si="79"/>
        <v/>
      </c>
      <c r="K351" t="str">
        <f ca="1">IF(A351&lt;&gt;"",IF(AND(配装计算器!$K$30&lt;&gt;"∞",0),2,INDEX(AU351:CB351,1,$AT$2)),"")</f>
        <v/>
      </c>
      <c r="L351">
        <f ca="1">IFERROR(IF(AND(COUNTIF(B351,"*-峰插*"),技能数据库!$M$72&gt;0),0,IF(COUNTIF(B351,"*鹤归*")&gt;0,16-加速!$L$11,MAX(0,L350-(A351-A350)))),0)</f>
        <v>0</v>
      </c>
      <c r="M351">
        <f ca="1">IF(COUNTIF(IF(AND(配装计算器!$K$30&lt;&gt;"∞",0),INDEX(AU350:CB350,1,$AT$1),INDEX(AU352:CB352,1,$AT$1)),"*鹤归*")=1,L351,0)</f>
        <v>0</v>
      </c>
      <c r="N351">
        <f ca="1">IFERROR(IF(AND(COUNTIF(B351,"*-峰插*"),技能数据库!$M$72&gt;0),0,IF(COUNTIF(B351,"*云飞*")&gt;0,4-COUNTIF(B351,"*玉山揽云*")*4--COUNTIF(B351,"*烟流暮景*")*4-COUNTIF(B351,"*云景*")*加速!$L$11-IF(J351&gt;0,2,0),MAX(0,N350-(A351-A350)-IF(J351&gt;0,2,0)))),0)</f>
        <v>0</v>
      </c>
      <c r="O351">
        <f ca="1">IF(AND(COUNTIF(IF(AND(配装计算器!$K$30&lt;&gt;"∞",0),INDEX(AU350:CB350,1,$AT$1),INDEX(AU352:CB352,1,$AT$1)),"*云飞*")=1,COUNTIF(IF(AND(配装计算器!$K$30&lt;&gt;"∞",0),INDEX(AU350:CB350,1,$AT$1),INDEX(AU352:CB352,1,$AT$1)),"*玉山*")=0),N351,0)</f>
        <v>0</v>
      </c>
      <c r="P351">
        <f ca="1">IFERROR(IF(COUNTIF(B351,"*云栖松*")&gt;0,50-加速!$L$11,MAX(0,P350-(A351-A350))),0)</f>
        <v>0</v>
      </c>
      <c r="Q351">
        <f ca="1">IF(COUNTIF(IF(AND(配装计算器!$K$30&lt;&gt;"∞",0),INDEX(AU350:CB350,1,$AT$1),INDEX(AU352:CB352,1,$AT$1)),"*云栖松*")=1,P351,0)</f>
        <v>0</v>
      </c>
      <c r="R351">
        <f ca="1">IFERROR(IF(COUNTIF(B351,"*莺鸣柳*")&gt;0,45-加速!$L$9,MAX(0,R350-(A351-A350))),0)</f>
        <v>0</v>
      </c>
      <c r="S351">
        <f ca="1">IF(COUNTIF(IF(AND(配装计算器!$K$30&lt;&gt;"∞",0),INDEX(AU350:CB350,1,$AT$1),INDEX(AU352:CB352,1,$AT$1)),"*莺鸣柳*")=1,R351,0)</f>
        <v>0</v>
      </c>
      <c r="T351">
        <f ca="1" t="shared" si="76"/>
        <v>0</v>
      </c>
      <c r="U351">
        <f ca="1">IF(金蛇,IF(COUNTIF(B351,"*金环戴*")+COUNTIF(B351,"*吹风醒*")&gt;0,IF(A351&lt;=3,7.125-2.625-A351-加速!$L$11,7.125+加速!$K$9-(A351+加速!$L$11-T351)),0),0)+IF(金蛇,IF(COUNTIF(B351,"*千切子裂光*")&gt;0,2+加速!$K$9-(A351+加速!$L$11-T351),0),0)</f>
        <v>0</v>
      </c>
      <c r="V351">
        <f ca="1" t="shared" si="77"/>
        <v>0</v>
      </c>
      <c r="W351">
        <f ca="1" t="shared" si="69"/>
        <v>0</v>
      </c>
      <c r="X351">
        <f ca="1">INDEX(加速!$I$13:$I$21,技能数计算!W351+1)</f>
        <v>0</v>
      </c>
      <c r="Y351">
        <f ca="1" t="shared" si="73"/>
        <v>0.5</v>
      </c>
      <c r="Z351">
        <f ca="1" t="shared" si="74"/>
        <v>0</v>
      </c>
      <c r="AA351">
        <f ca="1">MAX(0,IFERROR(IF(COUNTIF(B351,"*叠*")&gt;0,IF(AC350&lt;3,8-A352+A351,AA350+6.875-A352+A351),AA350-A352+A351),AA350-加速!$L$11))</f>
        <v>0</v>
      </c>
      <c r="AB351" t="e">
        <f ca="1">MAX(0,IF(COUNTIF(IF(AND(配装计算器!$K$30&lt;&gt;"∞",0),INDEX(AU351:CB351,1,$AT$1),INDEX(AU351:CB351,1,$AT$1)),"*叠1*")=1,4*25-加速!$L$11,AB350-A351+A350)-IF(OR(COUNTIF(OFFSET(AT351,0,$AT$1,1,1),"*听雷*")&gt;0,AND(碧归&gt;0,COUNTIF(OFFSET(AT351,0,$AT$1,1,1),"*风来*")&gt;0)),0,1)*1.5)</f>
        <v>#VALUE!</v>
      </c>
      <c r="AC351">
        <f ca="1" t="shared" si="70"/>
        <v>3</v>
      </c>
      <c r="AD351">
        <f ca="1">IF(COUNTIF(IF(AND(配装计算器!$K$30&lt;&gt;"∞",0),INDEX(AU351:CB351,1,$AT$1),INDEX(AU352:CB352,1,$AT$1)),"*叠1*")=1,AB351*0+AE350,0)</f>
        <v>0</v>
      </c>
      <c r="AE351" t="e">
        <f ca="1">IF($AN$11&gt;0,IF(COUNTIF(B352,"*叠1*")&gt;0,50-加速!$H$11,MAX(0,AE350-(A352-A351))),0)</f>
        <v>#VALUE!</v>
      </c>
      <c r="AU351" s="176" t="s">
        <v>2776</v>
      </c>
      <c r="AV351">
        <v>2</v>
      </c>
      <c r="AW351" s="176" t="s">
        <v>2768</v>
      </c>
      <c r="AX351">
        <v>2</v>
      </c>
      <c r="AY351" t="s">
        <v>2768</v>
      </c>
      <c r="AZ351">
        <v>2</v>
      </c>
      <c r="BA351" t="s">
        <v>2768</v>
      </c>
      <c r="BB351">
        <v>2</v>
      </c>
      <c r="BC351" t="s">
        <v>2776</v>
      </c>
      <c r="BD351">
        <v>2</v>
      </c>
      <c r="BE351" t="s">
        <v>2776</v>
      </c>
      <c r="BF351">
        <v>2</v>
      </c>
      <c r="BG351" t="s">
        <v>2776</v>
      </c>
      <c r="BH351">
        <v>2</v>
      </c>
      <c r="BI351" s="176" t="s">
        <v>3026</v>
      </c>
      <c r="BJ351">
        <v>2</v>
      </c>
      <c r="BK351" t="s">
        <v>2768</v>
      </c>
      <c r="BL351">
        <v>0</v>
      </c>
      <c r="BM351" s="176" t="s">
        <v>2768</v>
      </c>
      <c r="BN351">
        <v>2</v>
      </c>
      <c r="BO351" s="176" t="s">
        <v>2794</v>
      </c>
      <c r="BP351">
        <v>2</v>
      </c>
      <c r="BQ351" t="s">
        <v>3013</v>
      </c>
      <c r="BR351">
        <v>2</v>
      </c>
      <c r="BS351" t="s">
        <v>2768</v>
      </c>
      <c r="BT351">
        <v>0</v>
      </c>
      <c r="BU351" t="s">
        <v>2768</v>
      </c>
      <c r="BV351">
        <v>2</v>
      </c>
      <c r="BW351" s="179" t="str">
        <f>IF($AN$11=1,"云飞玉皇-玉山揽云","夕照雷峰")</f>
        <v>云飞玉皇-玉山揽云</v>
      </c>
      <c r="BX351" s="179">
        <v>2</v>
      </c>
      <c r="BY351" s="176" t="s">
        <v>2808</v>
      </c>
      <c r="BZ351">
        <v>2</v>
      </c>
      <c r="CA351" s="176" t="s">
        <v>2808</v>
      </c>
      <c r="CB351">
        <v>2</v>
      </c>
    </row>
    <row r="352" spans="1:80">
      <c r="A352" s="178" t="str">
        <f ca="1">IFERROR(IF(A351+加速!$L$11&lt;$AS$1,IF(COUNTIF(B351,"*轻*")&gt;0,A351+加速!$L$9,A351+加速!$L$11)+V351,IF(COUNTIF(INDEX(AU352:CB352,1,$AT$1),"*云景*")+COUNTIF(INDEX(AU352:CB352,1,$AT$1),"*鹤归*")+COUNTIF(INDEX(AU352:CB352,1,$AT$1),"*听雷*")&gt;0,A351+加速!$L$11,"")),"")</f>
        <v/>
      </c>
      <c r="B352" s="167" t="str">
        <f ca="1">IF(A352&lt;&gt;"",IF(AND(A352+加速!$L$11&gt;$AS$1,IF(AND(配装计算器!$K$30&lt;&gt;"∞",0),"梦泉虎跑-轻",INDEX(AU352:CB352,1,$AT$1))="云栖松"),"夕照雷峰",IF(AND(配装计算器!$K$30&lt;&gt;"∞",0),"梦泉虎跑-轻",INDEX(AU352:CB352,1,$AT$1))),"")</f>
        <v/>
      </c>
      <c r="C352" t="str">
        <f ca="1" t="shared" si="75"/>
        <v/>
      </c>
      <c r="D352" t="str">
        <f ca="1">IF(B352&lt;&gt;"",IF(C351&lt;=加速!$L$11*(1-E352),0,1),"")</f>
        <v/>
      </c>
      <c r="E352">
        <f ca="1" t="shared" si="71"/>
        <v>1</v>
      </c>
      <c r="G352" t="str">
        <f ca="1" t="shared" si="72"/>
        <v/>
      </c>
      <c r="H352" t="str">
        <f ca="1">IF(B352&lt;&gt;"",IF(AND(COUNTIF(B351,"*轻*莺鸣柳*")&gt;0,COUNTIF(B352,"*轻*")&lt;1),MAX(0,15+I351-(A352-A351)+COUNTIF(B351,"*平湖*")*0),IF(AND(E352=0,MAX(0,H351-(A352-A351))&lt;=加速!$H$11),0,MAX(0,H351-(A352-A351)))),"")</f>
        <v/>
      </c>
      <c r="I352" t="str">
        <f ca="1" t="shared" si="78"/>
        <v/>
      </c>
      <c r="J352" t="str">
        <f ca="1" t="shared" si="79"/>
        <v/>
      </c>
      <c r="K352" t="str">
        <f ca="1">IF(A352&lt;&gt;"",IF(AND(配装计算器!$K$30&lt;&gt;"∞",0),2,INDEX(AU352:CB352,1,$AT$2)),"")</f>
        <v/>
      </c>
      <c r="L352">
        <f ca="1">IFERROR(IF(AND(COUNTIF(B352,"*-峰插*"),技能数据库!$M$72&gt;0),0,IF(COUNTIF(B352,"*鹤归*")&gt;0,16-加速!$L$11,MAX(0,L351-(A352-A351)))),0)</f>
        <v>0</v>
      </c>
      <c r="M352">
        <f ca="1">IF(COUNTIF(IF(AND(配装计算器!$K$30&lt;&gt;"∞",0),INDEX(AU351:CB351,1,$AT$1),INDEX(AU353:CB353,1,$AT$1)),"*鹤归*")=1,L352,0)</f>
        <v>0</v>
      </c>
      <c r="N352">
        <f ca="1">IFERROR(IF(AND(COUNTIF(B352,"*-峰插*"),技能数据库!$M$72&gt;0),0,IF(COUNTIF(B352,"*云飞*")&gt;0,4-COUNTIF(B352,"*玉山揽云*")*4--COUNTIF(B352,"*烟流暮景*")*4-COUNTIF(B352,"*云景*")*加速!$L$11-IF(J352&gt;0,2,0),MAX(0,N351-(A352-A351)-IF(J352&gt;0,2,0)))),0)</f>
        <v>0</v>
      </c>
      <c r="O352">
        <f ca="1">IF(AND(COUNTIF(IF(AND(配装计算器!$K$30&lt;&gt;"∞",0),INDEX(AU351:CB351,1,$AT$1),INDEX(AU353:CB353,1,$AT$1)),"*云飞*")=1,COUNTIF(IF(AND(配装计算器!$K$30&lt;&gt;"∞",0),INDEX(AU351:CB351,1,$AT$1),INDEX(AU353:CB353,1,$AT$1)),"*玉山*")=0),N352,0)</f>
        <v>0</v>
      </c>
      <c r="P352">
        <f ca="1">IFERROR(IF(COUNTIF(B352,"*云栖松*")&gt;0,50-加速!$L$11,MAX(0,P351-(A352-A351))),0)</f>
        <v>0</v>
      </c>
      <c r="Q352">
        <f ca="1">IF(COUNTIF(IF(AND(配装计算器!$K$30&lt;&gt;"∞",0),INDEX(AU351:CB351,1,$AT$1),INDEX(AU353:CB353,1,$AT$1)),"*云栖松*")=1,P352,0)</f>
        <v>0</v>
      </c>
      <c r="R352">
        <f ca="1">IFERROR(IF(COUNTIF(B352,"*莺鸣柳*")&gt;0,45-加速!$L$9,MAX(0,R351-(A352-A351))),0)</f>
        <v>0</v>
      </c>
      <c r="S352">
        <f ca="1">IF(COUNTIF(IF(AND(配装计算器!$K$30&lt;&gt;"∞",0),INDEX(AU351:CB351,1,$AT$1),INDEX(AU353:CB353,1,$AT$1)),"*莺鸣柳*")=1,R352,0)</f>
        <v>0</v>
      </c>
      <c r="T352">
        <f ca="1" t="shared" si="76"/>
        <v>0</v>
      </c>
      <c r="U352">
        <f ca="1">IF(金蛇,IF(COUNTIF(B352,"*金环戴*")+COUNTIF(B352,"*吹风醒*")&gt;0,IF(A352&lt;=3,7.125-2.625-A352-加速!$L$11,7.125+加速!$K$9-(A352+加速!$L$11-T352)),0),0)+IF(金蛇,IF(COUNTIF(B352,"*千切子裂光*")&gt;0,2+加速!$K$9-(A352+加速!$L$11-T352),0),0)</f>
        <v>0</v>
      </c>
      <c r="V352">
        <f ca="1" t="shared" si="77"/>
        <v>0</v>
      </c>
      <c r="W352">
        <f ca="1" t="shared" si="69"/>
        <v>0</v>
      </c>
      <c r="X352">
        <f ca="1">INDEX(加速!$I$13:$I$21,技能数计算!W352+1)</f>
        <v>0</v>
      </c>
      <c r="Y352">
        <f ca="1" t="shared" si="73"/>
        <v>0.5</v>
      </c>
      <c r="Z352">
        <f ca="1" t="shared" si="74"/>
        <v>0</v>
      </c>
      <c r="AA352">
        <f ca="1">MAX(0,IFERROR(IF(COUNTIF(B352,"*叠*")&gt;0,IF(AC351&lt;3,8-A353+A352,AA351+6.875-A353+A352),AA351-A353+A352),AA351-加速!$L$11))</f>
        <v>0</v>
      </c>
      <c r="AB352" t="e">
        <f ca="1">MAX(0,IF(COUNTIF(IF(AND(配装计算器!$K$30&lt;&gt;"∞",0),INDEX(AU352:CB352,1,$AT$1),INDEX(AU352:CB352,1,$AT$1)),"*叠1*")=1,4*25-加速!$L$11,AB351-A352+A351)-IF(OR(COUNTIF(OFFSET(AT352,0,$AT$1,1,1),"*听雷*")&gt;0,AND(碧归&gt;0,COUNTIF(OFFSET(AT352,0,$AT$1,1,1),"*风来*")&gt;0)),0,1)*1.5)</f>
        <v>#VALUE!</v>
      </c>
      <c r="AC352">
        <f ca="1" t="shared" si="70"/>
        <v>3</v>
      </c>
      <c r="AD352">
        <f ca="1">IF(COUNTIF(IF(AND(配装计算器!$K$30&lt;&gt;"∞",0),INDEX(AU352:CB352,1,$AT$1),INDEX(AU353:CB353,1,$AT$1)),"*叠1*")=1,AB352*0+AE351,0)</f>
        <v>0</v>
      </c>
      <c r="AE352" t="e">
        <f ca="1">IF($AN$11&gt;0,IF(COUNTIF(B353,"*叠1*")&gt;0,50-加速!$H$11,MAX(0,AE351-(A353-A352))),0)</f>
        <v>#VALUE!</v>
      </c>
      <c r="AU352" s="176" t="s">
        <v>2768</v>
      </c>
      <c r="AV352">
        <v>2</v>
      </c>
      <c r="AW352" s="176" t="s">
        <v>2808</v>
      </c>
      <c r="AX352">
        <v>2</v>
      </c>
      <c r="AY352" t="s">
        <v>2776</v>
      </c>
      <c r="AZ352">
        <v>2</v>
      </c>
      <c r="BA352" t="s">
        <v>2776</v>
      </c>
      <c r="BB352">
        <v>1</v>
      </c>
      <c r="BC352" t="s">
        <v>2768</v>
      </c>
      <c r="BD352">
        <v>2</v>
      </c>
      <c r="BE352" t="s">
        <v>2768</v>
      </c>
      <c r="BF352">
        <v>1</v>
      </c>
      <c r="BG352" t="s">
        <v>2768</v>
      </c>
      <c r="BH352">
        <v>1</v>
      </c>
      <c r="BI352" s="176" t="s">
        <v>3026</v>
      </c>
      <c r="BJ352">
        <v>2</v>
      </c>
      <c r="BK352" t="s">
        <v>3056</v>
      </c>
      <c r="BL352">
        <v>0</v>
      </c>
      <c r="BM352" s="176" t="s">
        <v>2776</v>
      </c>
      <c r="BN352">
        <v>2</v>
      </c>
      <c r="BO352" s="176" t="s">
        <v>2768</v>
      </c>
      <c r="BP352">
        <v>2</v>
      </c>
      <c r="BQ352" t="s">
        <v>2808</v>
      </c>
      <c r="BR352">
        <v>2</v>
      </c>
      <c r="BS352" t="s">
        <v>3012</v>
      </c>
      <c r="BT352">
        <v>2</v>
      </c>
      <c r="BU352" t="s">
        <v>2808</v>
      </c>
      <c r="BV352">
        <v>2</v>
      </c>
      <c r="BW352" s="179" t="str">
        <f>IF($AN$11=1,"云飞玉皇-玉山揽云","云飞玉皇")</f>
        <v>云飞玉皇-玉山揽云</v>
      </c>
      <c r="BX352" s="179">
        <v>2</v>
      </c>
      <c r="BY352" t="s">
        <v>2768</v>
      </c>
      <c r="BZ352">
        <v>2</v>
      </c>
      <c r="CA352" t="str">
        <f>IF(0,"风来吴山","夕照雷峰")</f>
        <v>夕照雷峰</v>
      </c>
      <c r="CB352">
        <v>2</v>
      </c>
    </row>
    <row r="353" spans="1:80">
      <c r="A353" s="178" t="str">
        <f ca="1">IFERROR(IF(A352+加速!$L$11&lt;$AS$1,IF(COUNTIF(B352,"*轻*")&gt;0,A352+加速!$L$9,A352+加速!$L$11)+V352,IF(COUNTIF(INDEX(AU353:CB353,1,$AT$1),"*云景*")+COUNTIF(INDEX(AU353:CB353,1,$AT$1),"*鹤归*")+COUNTIF(INDEX(AU353:CB353,1,$AT$1),"*听雷*")&gt;0,A352+加速!$L$11,"")),"")</f>
        <v/>
      </c>
      <c r="B353" s="167" t="str">
        <f ca="1">IF(A353&lt;&gt;"",IF(AND(A353+加速!$L$11&gt;$AS$1,IF(AND(配装计算器!$K$30&lt;&gt;"∞",0),"梦泉虎跑-轻",INDEX(AU353:CB353,1,$AT$1))="云栖松"),"夕照雷峰",IF(AND(配装计算器!$K$30&lt;&gt;"∞",0),"梦泉虎跑-轻",INDEX(AU353:CB353,1,$AT$1))),"")</f>
        <v/>
      </c>
      <c r="C353" t="str">
        <f ca="1" t="shared" si="75"/>
        <v/>
      </c>
      <c r="D353" t="str">
        <f ca="1">IF(B353&lt;&gt;"",IF(C352&lt;=加速!$L$11*(1-E353),0,1),"")</f>
        <v/>
      </c>
      <c r="E353">
        <f ca="1" t="shared" si="71"/>
        <v>1</v>
      </c>
      <c r="G353" t="str">
        <f ca="1" t="shared" si="72"/>
        <v/>
      </c>
      <c r="H353" t="str">
        <f ca="1">IF(B353&lt;&gt;"",IF(AND(COUNTIF(B352,"*轻*莺鸣柳*")&gt;0,COUNTIF(B353,"*轻*")&lt;1),MAX(0,15+I352-(A353-A352)+COUNTIF(B352,"*平湖*")*0),IF(AND(E353=0,MAX(0,H352-(A353-A352))&lt;=加速!$H$11),0,MAX(0,H352-(A353-A352)))),"")</f>
        <v/>
      </c>
      <c r="I353" t="str">
        <f ca="1" t="shared" si="78"/>
        <v/>
      </c>
      <c r="J353" t="str">
        <f ca="1" t="shared" si="79"/>
        <v/>
      </c>
      <c r="K353" t="str">
        <f ca="1">IF(A353&lt;&gt;"",IF(AND(配装计算器!$K$30&lt;&gt;"∞",0),2,INDEX(AU353:CB353,1,$AT$2)),"")</f>
        <v/>
      </c>
      <c r="L353">
        <f ca="1">IFERROR(IF(AND(COUNTIF(B353,"*-峰插*"),技能数据库!$M$72&gt;0),0,IF(COUNTIF(B353,"*鹤归*")&gt;0,16-加速!$L$11,MAX(0,L352-(A353-A352)))),0)</f>
        <v>0</v>
      </c>
      <c r="M353">
        <f ca="1">IF(COUNTIF(IF(AND(配装计算器!$K$30&lt;&gt;"∞",0),INDEX(AU352:CB352,1,$AT$1),INDEX(AU354:CB354,1,$AT$1)),"*鹤归*")=1,L353,0)</f>
        <v>0</v>
      </c>
      <c r="N353">
        <f ca="1">IFERROR(IF(AND(COUNTIF(B353,"*-峰插*"),技能数据库!$M$72&gt;0),0,IF(COUNTIF(B353,"*云飞*")&gt;0,4-COUNTIF(B353,"*玉山揽云*")*4--COUNTIF(B353,"*烟流暮景*")*4-COUNTIF(B353,"*云景*")*加速!$L$11-IF(J353&gt;0,2,0),MAX(0,N352-(A353-A352)-IF(J353&gt;0,2,0)))),0)</f>
        <v>0</v>
      </c>
      <c r="O353">
        <f ca="1">IF(AND(COUNTIF(IF(AND(配装计算器!$K$30&lt;&gt;"∞",0),INDEX(AU352:CB352,1,$AT$1),INDEX(AU354:CB354,1,$AT$1)),"*云飞*")=1,COUNTIF(IF(AND(配装计算器!$K$30&lt;&gt;"∞",0),INDEX(AU352:CB352,1,$AT$1),INDEX(AU354:CB354,1,$AT$1)),"*玉山*")=0),N353,0)</f>
        <v>0</v>
      </c>
      <c r="P353">
        <f ca="1">IFERROR(IF(COUNTIF(B353,"*云栖松*")&gt;0,50-加速!$L$11,MAX(0,P352-(A353-A352))),0)</f>
        <v>0</v>
      </c>
      <c r="Q353">
        <f ca="1">IF(COUNTIF(IF(AND(配装计算器!$K$30&lt;&gt;"∞",0),INDEX(AU352:CB352,1,$AT$1),INDEX(AU354:CB354,1,$AT$1)),"*云栖松*")=1,P353,0)</f>
        <v>0</v>
      </c>
      <c r="R353">
        <f ca="1">IFERROR(IF(COUNTIF(B353,"*莺鸣柳*")&gt;0,45-加速!$L$9,MAX(0,R352-(A353-A352))),0)</f>
        <v>0</v>
      </c>
      <c r="S353">
        <f ca="1">IF(COUNTIF(IF(AND(配装计算器!$K$30&lt;&gt;"∞",0),INDEX(AU352:CB352,1,$AT$1),INDEX(AU354:CB354,1,$AT$1)),"*莺鸣柳*")=1,R353,0)</f>
        <v>0</v>
      </c>
      <c r="T353">
        <f ca="1" t="shared" si="76"/>
        <v>0</v>
      </c>
      <c r="U353">
        <f ca="1">IF(金蛇,IF(COUNTIF(B353,"*金环戴*")+COUNTIF(B353,"*吹风醒*")&gt;0,IF(A353&lt;=3,7.125-2.625-A353-加速!$L$11,7.125+加速!$K$9-(A353+加速!$L$11-T353)),0),0)+IF(金蛇,IF(COUNTIF(B353,"*千切子裂光*")&gt;0,2+加速!$K$9-(A353+加速!$L$11-T353),0),0)</f>
        <v>0</v>
      </c>
      <c r="V353">
        <f ca="1" t="shared" si="77"/>
        <v>0</v>
      </c>
      <c r="W353">
        <f ca="1" t="shared" si="69"/>
        <v>0</v>
      </c>
      <c r="X353">
        <f ca="1">INDEX(加速!$I$13:$I$21,技能数计算!W353+1)</f>
        <v>0</v>
      </c>
      <c r="Y353">
        <f ca="1" t="shared" si="73"/>
        <v>0.5</v>
      </c>
      <c r="Z353">
        <f ca="1" t="shared" si="74"/>
        <v>0</v>
      </c>
      <c r="AA353">
        <f ca="1">MAX(0,IFERROR(IF(COUNTIF(B353,"*叠*")&gt;0,IF(AC352&lt;3,8-A354+A353,AA352+6.875-A354+A353),AA352-A354+A353),AA352-加速!$L$11))</f>
        <v>0</v>
      </c>
      <c r="AB353" t="e">
        <f ca="1">MAX(0,IF(COUNTIF(IF(AND(配装计算器!$K$30&lt;&gt;"∞",0),INDEX(AU353:CB353,1,$AT$1),INDEX(AU353:CB353,1,$AT$1)),"*叠1*")=1,4*25-加速!$L$11,AB352-A353+A352)-IF(OR(COUNTIF(OFFSET(AT353,0,$AT$1,1,1),"*听雷*")&gt;0,AND(碧归&gt;0,COUNTIF(OFFSET(AT353,0,$AT$1,1,1),"*风来*")&gt;0)),0,1)*1.5)</f>
        <v>#VALUE!</v>
      </c>
      <c r="AC353">
        <f ca="1" t="shared" si="70"/>
        <v>3</v>
      </c>
      <c r="AD353">
        <f ca="1">IF(COUNTIF(IF(AND(配装计算器!$K$30&lt;&gt;"∞",0),INDEX(AU353:CB353,1,$AT$1),INDEX(AU354:CB354,1,$AT$1)),"*叠1*")=1,AB353*0+AE352,0)</f>
        <v>0</v>
      </c>
      <c r="AE353" t="e">
        <f ca="1">IF($AN$11&gt;0,IF(COUNTIF(B354,"*叠1*")&gt;0,50-加速!$H$11,MAX(0,AE352-(A354-A353))),0)</f>
        <v>#VALUE!</v>
      </c>
      <c r="AU353" s="176" t="s">
        <v>2776</v>
      </c>
      <c r="AV353">
        <v>2</v>
      </c>
      <c r="AW353" t="s">
        <v>2768</v>
      </c>
      <c r="AX353">
        <v>2</v>
      </c>
      <c r="AY353" t="s">
        <v>2768</v>
      </c>
      <c r="AZ353">
        <v>2</v>
      </c>
      <c r="BA353" t="s">
        <v>2768</v>
      </c>
      <c r="BB353">
        <v>1</v>
      </c>
      <c r="BC353" t="s">
        <v>2794</v>
      </c>
      <c r="BD353">
        <v>2</v>
      </c>
      <c r="BE353" t="s">
        <v>2768</v>
      </c>
      <c r="BF353">
        <v>1</v>
      </c>
      <c r="BG353" t="s">
        <v>2776</v>
      </c>
      <c r="BH353">
        <v>1</v>
      </c>
      <c r="BI353" s="176" t="s">
        <v>3026</v>
      </c>
      <c r="BJ353">
        <v>2</v>
      </c>
      <c r="BK353" t="s">
        <v>2768</v>
      </c>
      <c r="BL353">
        <v>2</v>
      </c>
      <c r="BM353" s="176" t="s">
        <v>2768</v>
      </c>
      <c r="BN353">
        <v>2</v>
      </c>
      <c r="BO353" s="176" t="s">
        <v>2776</v>
      </c>
      <c r="BP353">
        <v>2</v>
      </c>
      <c r="BQ353" t="s">
        <v>2768</v>
      </c>
      <c r="BR353">
        <v>2</v>
      </c>
      <c r="BS353" s="179" t="s">
        <v>2794</v>
      </c>
      <c r="BT353">
        <v>2</v>
      </c>
      <c r="BU353" t="s">
        <v>2768</v>
      </c>
      <c r="BV353">
        <v>2</v>
      </c>
      <c r="BW353" s="182" t="s">
        <v>2794</v>
      </c>
      <c r="BX353" s="179">
        <v>2</v>
      </c>
      <c r="BY353" t="s">
        <v>2776</v>
      </c>
      <c r="BZ353">
        <v>2</v>
      </c>
      <c r="CA353" t="str">
        <f>IF(0,"云飞玉皇-玉山揽云","云飞玉皇")</f>
        <v>云飞玉皇</v>
      </c>
      <c r="CB353">
        <v>2</v>
      </c>
    </row>
    <row r="354" spans="1:80">
      <c r="A354" s="178" t="str">
        <f ca="1">IFERROR(IF(A353+加速!$L$11&lt;$AS$1,IF(COUNTIF(B353,"*轻*")&gt;0,A353+加速!$L$9,A353+加速!$L$11)+V353,IF(COUNTIF(INDEX(AU354:CB354,1,$AT$1),"*云景*")+COUNTIF(INDEX(AU354:CB354,1,$AT$1),"*鹤归*")+COUNTIF(INDEX(AU354:CB354,1,$AT$1),"*听雷*")&gt;0,A353+加速!$L$11,"")),"")</f>
        <v/>
      </c>
      <c r="B354" s="167" t="str">
        <f ca="1">IF(A354&lt;&gt;"",IF(AND(A354+加速!$L$11&gt;$AS$1,IF(AND(配装计算器!$K$30&lt;&gt;"∞",0),"梦泉虎跑-轻",INDEX(AU354:CB354,1,$AT$1))="云栖松"),"夕照雷峰",IF(AND(配装计算器!$K$30&lt;&gt;"∞",0),"梦泉虎跑-轻",INDEX(AU354:CB354,1,$AT$1))),"")</f>
        <v/>
      </c>
      <c r="C354" t="str">
        <f ca="1" t="shared" si="75"/>
        <v/>
      </c>
      <c r="D354" t="str">
        <f ca="1">IF(B354&lt;&gt;"",IF(C353&lt;=加速!$L$11*(1-E354),0,1),"")</f>
        <v/>
      </c>
      <c r="E354">
        <f ca="1" t="shared" si="71"/>
        <v>1</v>
      </c>
      <c r="G354" t="str">
        <f ca="1" t="shared" si="72"/>
        <v/>
      </c>
      <c r="H354" t="str">
        <f ca="1">IF(B354&lt;&gt;"",IF(AND(COUNTIF(B353,"*轻*莺鸣柳*")&gt;0,COUNTIF(B354,"*轻*")&lt;1),MAX(0,15+I353-(A354-A353)+COUNTIF(B353,"*平湖*")*0),IF(AND(E354=0,MAX(0,H353-(A354-A353))&lt;=加速!$H$11),0,MAX(0,H353-(A354-A353)))),"")</f>
        <v/>
      </c>
      <c r="I354" t="str">
        <f ca="1" t="shared" si="78"/>
        <v/>
      </c>
      <c r="J354" t="str">
        <f ca="1" t="shared" si="79"/>
        <v/>
      </c>
      <c r="K354" t="str">
        <f ca="1">IF(A354&lt;&gt;"",IF(AND(配装计算器!$K$30&lt;&gt;"∞",0),2,INDEX(AU354:CB354,1,$AT$2)),"")</f>
        <v/>
      </c>
      <c r="L354">
        <f ca="1">IFERROR(IF(AND(COUNTIF(B354,"*-峰插*"),技能数据库!$M$72&gt;0),0,IF(COUNTIF(B354,"*鹤归*")&gt;0,16-加速!$L$11,MAX(0,L353-(A354-A353)))),0)</f>
        <v>0</v>
      </c>
      <c r="M354">
        <f ca="1">IF(COUNTIF(IF(AND(配装计算器!$K$30&lt;&gt;"∞",0),INDEX(AU353:CB353,1,$AT$1),INDEX(AU355:CB355,1,$AT$1)),"*鹤归*")=1,L354,0)</f>
        <v>0</v>
      </c>
      <c r="N354">
        <f ca="1">IFERROR(IF(AND(COUNTIF(B354,"*-峰插*"),技能数据库!$M$72&gt;0),0,IF(COUNTIF(B354,"*云飞*")&gt;0,4-COUNTIF(B354,"*玉山揽云*")*4--COUNTIF(B354,"*烟流暮景*")*4-COUNTIF(B354,"*云景*")*加速!$L$11-IF(J354&gt;0,2,0),MAX(0,N353-(A354-A353)-IF(J354&gt;0,2,0)))),0)</f>
        <v>0</v>
      </c>
      <c r="O354">
        <f ca="1">IF(AND(COUNTIF(IF(AND(配装计算器!$K$30&lt;&gt;"∞",0),INDEX(AU353:CB353,1,$AT$1),INDEX(AU355:CB355,1,$AT$1)),"*云飞*")=1,COUNTIF(IF(AND(配装计算器!$K$30&lt;&gt;"∞",0),INDEX(AU353:CB353,1,$AT$1),INDEX(AU355:CB355,1,$AT$1)),"*玉山*")=0),N354,0)</f>
        <v>0</v>
      </c>
      <c r="P354">
        <f ca="1">IFERROR(IF(COUNTIF(B354,"*云栖松*")&gt;0,50-加速!$L$11,MAX(0,P353-(A354-A353))),0)</f>
        <v>0</v>
      </c>
      <c r="Q354">
        <f ca="1">IF(COUNTIF(IF(AND(配装计算器!$K$30&lt;&gt;"∞",0),INDEX(AU353:CB353,1,$AT$1),INDEX(AU355:CB355,1,$AT$1)),"*云栖松*")=1,P354,0)</f>
        <v>0</v>
      </c>
      <c r="R354">
        <f ca="1">IFERROR(IF(COUNTIF(B354,"*莺鸣柳*")&gt;0,45-加速!$L$9,MAX(0,R353-(A354-A353))),0)</f>
        <v>0</v>
      </c>
      <c r="S354">
        <f ca="1">IF(COUNTIF(IF(AND(配装计算器!$K$30&lt;&gt;"∞",0),INDEX(AU353:CB353,1,$AT$1),INDEX(AU355:CB355,1,$AT$1)),"*莺鸣柳*")=1,R354,0)</f>
        <v>0</v>
      </c>
      <c r="T354">
        <f ca="1" t="shared" si="76"/>
        <v>0</v>
      </c>
      <c r="U354">
        <f ca="1">IF(金蛇,IF(COUNTIF(B354,"*金环戴*")+COUNTIF(B354,"*吹风醒*")&gt;0,IF(A354&lt;=3,7.125-2.625-A354-加速!$L$11,7.125+加速!$K$9-(A354+加速!$L$11-T354)),0),0)+IF(金蛇,IF(COUNTIF(B354,"*千切子裂光*")&gt;0,2+加速!$K$9-(A354+加速!$L$11-T354),0),0)</f>
        <v>0</v>
      </c>
      <c r="V354">
        <f ca="1" t="shared" si="77"/>
        <v>0</v>
      </c>
      <c r="W354">
        <f ca="1" t="shared" si="69"/>
        <v>0</v>
      </c>
      <c r="X354">
        <f ca="1">INDEX(加速!$I$13:$I$21,技能数计算!W354+1)</f>
        <v>0</v>
      </c>
      <c r="Y354">
        <f ca="1" t="shared" si="73"/>
        <v>0.5</v>
      </c>
      <c r="Z354">
        <f ca="1" t="shared" si="74"/>
        <v>0</v>
      </c>
      <c r="AA354">
        <f ca="1">MAX(0,IFERROR(IF(COUNTIF(B354,"*叠*")&gt;0,IF(AC353&lt;3,8-A355+A354,AA353+6.875-A355+A354),AA353-A355+A354),AA353-加速!$L$11))</f>
        <v>0</v>
      </c>
      <c r="AB354" t="e">
        <f ca="1">MAX(0,IF(COUNTIF(IF(AND(配装计算器!$K$30&lt;&gt;"∞",0),INDEX(AU354:CB354,1,$AT$1),INDEX(AU354:CB354,1,$AT$1)),"*叠1*")=1,4*25-加速!$L$11,AB353-A354+A353)-IF(OR(COUNTIF(OFFSET(AT354,0,$AT$1,1,1),"*听雷*")&gt;0,AND(碧归&gt;0,COUNTIF(OFFSET(AT354,0,$AT$1,1,1),"*风来*")&gt;0)),0,1)*1.5)</f>
        <v>#VALUE!</v>
      </c>
      <c r="AC354">
        <f ca="1" t="shared" si="70"/>
        <v>3</v>
      </c>
      <c r="AD354">
        <f ca="1">IF(COUNTIF(IF(AND(配装计算器!$K$30&lt;&gt;"∞",0),INDEX(AU354:CB354,1,$AT$1),INDEX(AU355:CB355,1,$AT$1)),"*叠1*")=1,AB354*0+AE353,0)</f>
        <v>0</v>
      </c>
      <c r="AE354" t="e">
        <f ca="1">IF($AN$11&gt;0,IF(COUNTIF(B355,"*叠1*")&gt;0,50-加速!$H$11,MAX(0,AE353-(A355-A354))),0)</f>
        <v>#VALUE!</v>
      </c>
      <c r="AU354" s="176" t="s">
        <v>2768</v>
      </c>
      <c r="AV354">
        <v>2</v>
      </c>
      <c r="AW354" t="s">
        <v>2776</v>
      </c>
      <c r="AX354">
        <v>2</v>
      </c>
      <c r="AY354" t="s">
        <v>2776</v>
      </c>
      <c r="AZ354">
        <v>1</v>
      </c>
      <c r="BA354" t="s">
        <v>2768</v>
      </c>
      <c r="BB354">
        <v>0</v>
      </c>
      <c r="BC354" s="182" t="s">
        <v>3036</v>
      </c>
      <c r="BD354">
        <v>2</v>
      </c>
      <c r="BE354" t="s">
        <v>2794</v>
      </c>
      <c r="BF354">
        <v>1</v>
      </c>
      <c r="BG354" t="s">
        <v>2768</v>
      </c>
      <c r="BH354">
        <v>0</v>
      </c>
      <c r="BI354" s="176" t="s">
        <v>3036</v>
      </c>
      <c r="BJ354">
        <v>2</v>
      </c>
      <c r="BK354" t="s">
        <v>2768</v>
      </c>
      <c r="BL354">
        <v>2</v>
      </c>
      <c r="BM354" s="176" t="s">
        <v>2808</v>
      </c>
      <c r="BN354">
        <v>2</v>
      </c>
      <c r="BO354" s="176" t="s">
        <v>2768</v>
      </c>
      <c r="BP354">
        <v>2</v>
      </c>
      <c r="BQ354" t="s">
        <v>2768</v>
      </c>
      <c r="BR354">
        <v>2</v>
      </c>
      <c r="BS354" s="179" t="s">
        <v>3030</v>
      </c>
      <c r="BT354">
        <v>2</v>
      </c>
      <c r="BU354" s="176" t="s">
        <v>2768</v>
      </c>
      <c r="BV354">
        <v>2</v>
      </c>
      <c r="BW354" s="182" t="str">
        <f>IF($AN$11=1,橙武补雾锁,"夕照雷峰")</f>
        <v>云飞玉皇-玉山揽云</v>
      </c>
      <c r="BX354" s="179">
        <v>2</v>
      </c>
      <c r="BY354" s="175" t="s">
        <v>2789</v>
      </c>
      <c r="BZ354">
        <v>2</v>
      </c>
      <c r="CA354" s="180" t="str">
        <f>IF(0,"云飞玉皇-玉山揽云","风来吴山")</f>
        <v>风来吴山</v>
      </c>
      <c r="CB354">
        <v>2</v>
      </c>
    </row>
    <row r="355" spans="1:80">
      <c r="A355" s="178" t="str">
        <f ca="1">IFERROR(IF(A354+加速!$L$11&lt;$AS$1,IF(COUNTIF(B354,"*轻*")&gt;0,A354+加速!$L$9,A354+加速!$L$11)+V354,IF(COUNTIF(INDEX(AU355:CB355,1,$AT$1),"*云景*")+COUNTIF(INDEX(AU355:CB355,1,$AT$1),"*鹤归*")+COUNTIF(INDEX(AU355:CB355,1,$AT$1),"*听雷*")&gt;0,A354+加速!$L$11,"")),"")</f>
        <v/>
      </c>
      <c r="B355" s="167" t="str">
        <f ca="1">IF(A355&lt;&gt;"",IF(AND(A355+加速!$L$11&gt;$AS$1,IF(AND(配装计算器!$K$30&lt;&gt;"∞",0),"梦泉虎跑-轻",INDEX(AU355:CB355,1,$AT$1))="云栖松"),"夕照雷峰",IF(AND(配装计算器!$K$30&lt;&gt;"∞",0),"梦泉虎跑-轻",INDEX(AU355:CB355,1,$AT$1))),"")</f>
        <v/>
      </c>
      <c r="C355" t="str">
        <f ca="1" t="shared" si="75"/>
        <v/>
      </c>
      <c r="D355" t="str">
        <f ca="1">IF(B355&lt;&gt;"",IF(C354&lt;=加速!$L$11*(1-E355),0,1),"")</f>
        <v/>
      </c>
      <c r="E355">
        <f ca="1" t="shared" si="71"/>
        <v>1</v>
      </c>
      <c r="G355" t="str">
        <f ca="1" t="shared" si="72"/>
        <v/>
      </c>
      <c r="H355" t="str">
        <f ca="1">IF(B355&lt;&gt;"",IF(AND(COUNTIF(B354,"*轻*莺鸣柳*")&gt;0,COUNTIF(B355,"*轻*")&lt;1),MAX(0,15+I354-(A355-A354)+COUNTIF(B354,"*平湖*")*0),IF(AND(E355=0,MAX(0,H354-(A355-A354))&lt;=加速!$H$11),0,MAX(0,H354-(A355-A354)))),"")</f>
        <v/>
      </c>
      <c r="I355" t="str">
        <f ca="1" t="shared" si="78"/>
        <v/>
      </c>
      <c r="J355" t="str">
        <f ca="1" t="shared" si="79"/>
        <v/>
      </c>
      <c r="K355" t="str">
        <f ca="1">IF(A355&lt;&gt;"",IF(AND(配装计算器!$K$30&lt;&gt;"∞",0),2,INDEX(AU355:CB355,1,$AT$2)),"")</f>
        <v/>
      </c>
      <c r="L355">
        <f ca="1">IFERROR(IF(AND(COUNTIF(B355,"*-峰插*"),技能数据库!$M$72&gt;0),0,IF(COUNTIF(B355,"*鹤归*")&gt;0,16-加速!$L$11,MAX(0,L354-(A355-A354)))),0)</f>
        <v>0</v>
      </c>
      <c r="M355">
        <f ca="1">IF(COUNTIF(IF(AND(配装计算器!$K$30&lt;&gt;"∞",0),INDEX(AU354:CB354,1,$AT$1),INDEX(AU356:CB356,1,$AT$1)),"*鹤归*")=1,L355,0)</f>
        <v>0</v>
      </c>
      <c r="N355">
        <f ca="1">IFERROR(IF(AND(COUNTIF(B355,"*-峰插*"),技能数据库!$M$72&gt;0),0,IF(COUNTIF(B355,"*云飞*")&gt;0,4-COUNTIF(B355,"*玉山揽云*")*4--COUNTIF(B355,"*烟流暮景*")*4-COUNTIF(B355,"*云景*")*加速!$L$11-IF(J355&gt;0,2,0),MAX(0,N354-(A355-A354)-IF(J355&gt;0,2,0)))),0)</f>
        <v>0</v>
      </c>
      <c r="O355">
        <f ca="1">IF(AND(COUNTIF(IF(AND(配装计算器!$K$30&lt;&gt;"∞",0),INDEX(AU354:CB354,1,$AT$1),INDEX(AU356:CB356,1,$AT$1)),"*云飞*")=1,COUNTIF(IF(AND(配装计算器!$K$30&lt;&gt;"∞",0),INDEX(AU354:CB354,1,$AT$1),INDEX(AU356:CB356,1,$AT$1)),"*玉山*")=0),N355,0)</f>
        <v>0</v>
      </c>
      <c r="P355">
        <f ca="1">IFERROR(IF(COUNTIF(B355,"*云栖松*")&gt;0,50-加速!$L$11,MAX(0,P354-(A355-A354))),0)</f>
        <v>0</v>
      </c>
      <c r="Q355">
        <f ca="1">IF(COUNTIF(IF(AND(配装计算器!$K$30&lt;&gt;"∞",0),INDEX(AU354:CB354,1,$AT$1),INDEX(AU356:CB356,1,$AT$1)),"*云栖松*")=1,P355,0)</f>
        <v>0</v>
      </c>
      <c r="R355">
        <f ca="1">IFERROR(IF(COUNTIF(B355,"*莺鸣柳*")&gt;0,45-加速!$L$9,MAX(0,R354-(A355-A354))),0)</f>
        <v>0</v>
      </c>
      <c r="S355">
        <f ca="1">IF(COUNTIF(IF(AND(配装计算器!$K$30&lt;&gt;"∞",0),INDEX(AU354:CB354,1,$AT$1),INDEX(AU356:CB356,1,$AT$1)),"*莺鸣柳*")=1,R355,0)</f>
        <v>0</v>
      </c>
      <c r="T355">
        <f ca="1" t="shared" si="76"/>
        <v>0</v>
      </c>
      <c r="U355">
        <f ca="1">IF(金蛇,IF(COUNTIF(B355,"*金环戴*")+COUNTIF(B355,"*吹风醒*")&gt;0,IF(A355&lt;=3,7.125-2.625-A355-加速!$L$11,7.125+加速!$K$9-(A355+加速!$L$11-T355)),0),0)+IF(金蛇,IF(COUNTIF(B355,"*千切子裂光*")&gt;0,2+加速!$K$9-(A355+加速!$L$11-T355),0),0)</f>
        <v>0</v>
      </c>
      <c r="V355">
        <f ca="1" t="shared" si="77"/>
        <v>0</v>
      </c>
      <c r="W355">
        <f ca="1" t="shared" si="69"/>
        <v>0</v>
      </c>
      <c r="X355">
        <f ca="1">INDEX(加速!$I$13:$I$21,技能数计算!W355+1)</f>
        <v>0</v>
      </c>
      <c r="Y355">
        <f ca="1" t="shared" si="73"/>
        <v>0.5</v>
      </c>
      <c r="Z355">
        <f ca="1" t="shared" si="74"/>
        <v>0</v>
      </c>
      <c r="AA355">
        <f ca="1">MAX(0,IFERROR(IF(COUNTIF(B355,"*叠*")&gt;0,IF(AC354&lt;3,8-A356+A355,AA354+6.875-A356+A355),AA354-A356+A355),AA354-加速!$L$11))</f>
        <v>0</v>
      </c>
      <c r="AB355" t="e">
        <f ca="1">MAX(0,IF(COUNTIF(IF(AND(配装计算器!$K$30&lt;&gt;"∞",0),INDEX(AU355:CB355,1,$AT$1),INDEX(AU355:CB355,1,$AT$1)),"*叠1*")=1,4*25-加速!$L$11,AB354-A355+A354)-IF(OR(COUNTIF(OFFSET(AT355,0,$AT$1,1,1),"*听雷*")&gt;0,AND(碧归&gt;0,COUNTIF(OFFSET(AT355,0,$AT$1,1,1),"*风来*")&gt;0)),0,1)*1.5)</f>
        <v>#VALUE!</v>
      </c>
      <c r="AC355">
        <f ca="1" t="shared" si="70"/>
        <v>3</v>
      </c>
      <c r="AD355">
        <f ca="1">IF(COUNTIF(IF(AND(配装计算器!$K$30&lt;&gt;"∞",0),INDEX(AU355:CB355,1,$AT$1),INDEX(AU356:CB356,1,$AT$1)),"*叠1*")=1,AB355*0+AE354,0)</f>
        <v>0</v>
      </c>
      <c r="AE355" t="e">
        <f ca="1">IF($AN$11&gt;0,IF(COUNTIF(B356,"*叠1*")&gt;0,50-加速!$H$11,MAX(0,AE354-(A356-A355))),0)</f>
        <v>#VALUE!</v>
      </c>
      <c r="AU355" s="176" t="s">
        <v>2776</v>
      </c>
      <c r="AV355">
        <v>2</v>
      </c>
      <c r="AW355" t="s">
        <v>2768</v>
      </c>
      <c r="AX355">
        <v>2</v>
      </c>
      <c r="AY355" t="s">
        <v>2768</v>
      </c>
      <c r="AZ355">
        <v>1</v>
      </c>
      <c r="BA355" t="s">
        <v>2722</v>
      </c>
      <c r="BB355">
        <v>0</v>
      </c>
      <c r="BC355" s="176" t="s">
        <v>3026</v>
      </c>
      <c r="BD355">
        <v>2</v>
      </c>
      <c r="BE355" t="s">
        <v>2776</v>
      </c>
      <c r="BF355">
        <v>2</v>
      </c>
      <c r="BG355" t="s">
        <v>2768</v>
      </c>
      <c r="BH355">
        <v>0</v>
      </c>
      <c r="BI355" t="s">
        <v>2794</v>
      </c>
      <c r="BJ355">
        <v>2</v>
      </c>
      <c r="BK355" t="s">
        <v>2776</v>
      </c>
      <c r="BL355">
        <v>2</v>
      </c>
      <c r="BM355" t="str">
        <f>IF(0,"云飞玉皇-玉山揽云","夕照雷峰")</f>
        <v>夕照雷峰</v>
      </c>
      <c r="BN355">
        <v>2</v>
      </c>
      <c r="BO355" s="176" t="s">
        <v>2776</v>
      </c>
      <c r="BP355">
        <v>2</v>
      </c>
      <c r="BQ355" t="s">
        <v>2776</v>
      </c>
      <c r="BR355">
        <v>1</v>
      </c>
      <c r="BS355" s="179" t="s">
        <v>2768</v>
      </c>
      <c r="BT355">
        <v>2</v>
      </c>
      <c r="BU355" s="176" t="s">
        <v>2776</v>
      </c>
      <c r="BV355">
        <v>2</v>
      </c>
      <c r="BW355" s="182" t="s">
        <v>2776</v>
      </c>
      <c r="BX355" s="179">
        <v>2</v>
      </c>
      <c r="BY355" t="s">
        <v>2768</v>
      </c>
      <c r="BZ355">
        <v>2</v>
      </c>
      <c r="CA355" t="str">
        <f>IF(0,橙武补雾锁,"夕照雷峰")</f>
        <v>夕照雷峰</v>
      </c>
      <c r="CB355">
        <v>2</v>
      </c>
    </row>
    <row r="356" spans="1:80">
      <c r="A356" s="178" t="str">
        <f ca="1">IFERROR(IF(A355+加速!$L$11&lt;$AS$1,IF(COUNTIF(B355,"*轻*")&gt;0,A355+加速!$L$9,A355+加速!$L$11)+V355,IF(COUNTIF(INDEX(AU356:CB356,1,$AT$1),"*云景*")+COUNTIF(INDEX(AU356:CB356,1,$AT$1),"*鹤归*")+COUNTIF(INDEX(AU356:CB356,1,$AT$1),"*听雷*")&gt;0,A355+加速!$L$11,"")),"")</f>
        <v/>
      </c>
      <c r="B356" s="167" t="str">
        <f ca="1">IF(A356&lt;&gt;"",IF(AND(A356+加速!$L$11&gt;$AS$1,IF(AND(配装计算器!$K$30&lt;&gt;"∞",0),"梦泉虎跑-轻",INDEX(AU356:CB356,1,$AT$1))="云栖松"),"夕照雷峰",IF(AND(配装计算器!$K$30&lt;&gt;"∞",0),"梦泉虎跑-轻",INDEX(AU356:CB356,1,$AT$1))),"")</f>
        <v/>
      </c>
      <c r="C356" t="str">
        <f ca="1" t="shared" si="75"/>
        <v/>
      </c>
      <c r="D356" t="str">
        <f ca="1">IF(B356&lt;&gt;"",IF(C355&lt;=加速!$L$11*(1-E356),0,1),"")</f>
        <v/>
      </c>
      <c r="E356">
        <f ca="1" t="shared" si="71"/>
        <v>1</v>
      </c>
      <c r="G356" t="str">
        <f ca="1" t="shared" si="72"/>
        <v/>
      </c>
      <c r="H356" t="str">
        <f ca="1">IF(B356&lt;&gt;"",IF(AND(COUNTIF(B355,"*轻*莺鸣柳*")&gt;0,COUNTIF(B356,"*轻*")&lt;1),MAX(0,15+I355-(A356-A355)+COUNTIF(B355,"*平湖*")*0),IF(AND(E356=0,MAX(0,H355-(A356-A355))&lt;=加速!$H$11),0,MAX(0,H355-(A356-A355)))),"")</f>
        <v/>
      </c>
      <c r="I356" t="str">
        <f ca="1" t="shared" si="78"/>
        <v/>
      </c>
      <c r="J356" t="str">
        <f ca="1" t="shared" si="79"/>
        <v/>
      </c>
      <c r="K356" t="str">
        <f ca="1">IF(A356&lt;&gt;"",IF(AND(配装计算器!$K$30&lt;&gt;"∞",0),2,INDEX(AU356:CB356,1,$AT$2)),"")</f>
        <v/>
      </c>
      <c r="L356">
        <f ca="1">IFERROR(IF(AND(COUNTIF(B356,"*-峰插*"),技能数据库!$M$72&gt;0),0,IF(COUNTIF(B356,"*鹤归*")&gt;0,16-加速!$L$11,MAX(0,L355-(A356-A355)))),0)</f>
        <v>0</v>
      </c>
      <c r="M356">
        <f ca="1">IF(COUNTIF(IF(AND(配装计算器!$K$30&lt;&gt;"∞",0),INDEX(AU355:CB355,1,$AT$1),INDEX(AU357:CB357,1,$AT$1)),"*鹤归*")=1,L356,0)</f>
        <v>0</v>
      </c>
      <c r="N356">
        <f ca="1">IFERROR(IF(AND(COUNTIF(B356,"*-峰插*"),技能数据库!$M$72&gt;0),0,IF(COUNTIF(B356,"*云飞*")&gt;0,4-COUNTIF(B356,"*玉山揽云*")*4--COUNTIF(B356,"*烟流暮景*")*4-COUNTIF(B356,"*云景*")*加速!$L$11-IF(J356&gt;0,2,0),MAX(0,N355-(A356-A355)-IF(J356&gt;0,2,0)))),0)</f>
        <v>0</v>
      </c>
      <c r="O356">
        <f ca="1">IF(AND(COUNTIF(IF(AND(配装计算器!$K$30&lt;&gt;"∞",0),INDEX(AU355:CB355,1,$AT$1),INDEX(AU357:CB357,1,$AT$1)),"*云飞*")=1,COUNTIF(IF(AND(配装计算器!$K$30&lt;&gt;"∞",0),INDEX(AU355:CB355,1,$AT$1),INDEX(AU357:CB357,1,$AT$1)),"*玉山*")=0),N356,0)</f>
        <v>0</v>
      </c>
      <c r="P356">
        <f ca="1">IFERROR(IF(COUNTIF(B356,"*云栖松*")&gt;0,50-加速!$L$11,MAX(0,P355-(A356-A355))),0)</f>
        <v>0</v>
      </c>
      <c r="Q356">
        <f ca="1">IF(COUNTIF(IF(AND(配装计算器!$K$30&lt;&gt;"∞",0),INDEX(AU355:CB355,1,$AT$1),INDEX(AU357:CB357,1,$AT$1)),"*云栖松*")=1,P356,0)</f>
        <v>0</v>
      </c>
      <c r="R356">
        <f ca="1">IFERROR(IF(COUNTIF(B356,"*莺鸣柳*")&gt;0,45-加速!$L$9,MAX(0,R355-(A356-A355))),0)</f>
        <v>0</v>
      </c>
      <c r="S356">
        <f ca="1">IF(COUNTIF(IF(AND(配装计算器!$K$30&lt;&gt;"∞",0),INDEX(AU355:CB355,1,$AT$1),INDEX(AU357:CB357,1,$AT$1)),"*莺鸣柳*")=1,R356,0)</f>
        <v>0</v>
      </c>
      <c r="T356">
        <f ca="1" t="shared" si="76"/>
        <v>0</v>
      </c>
      <c r="U356">
        <f ca="1">IF(金蛇,IF(COUNTIF(B356,"*金环戴*")+COUNTIF(B356,"*吹风醒*")&gt;0,IF(A356&lt;=3,7.125-2.625-A356-加速!$L$11,7.125+加速!$K$9-(A356+加速!$L$11-T356)),0),0)+IF(金蛇,IF(COUNTIF(B356,"*千切子裂光*")&gt;0,2+加速!$K$9-(A356+加速!$L$11-T356),0),0)</f>
        <v>0</v>
      </c>
      <c r="V356">
        <f ca="1" t="shared" si="77"/>
        <v>0</v>
      </c>
      <c r="W356">
        <f ca="1" t="shared" si="69"/>
        <v>0</v>
      </c>
      <c r="X356">
        <f ca="1">INDEX(加速!$I$13:$I$21,技能数计算!W356+1)</f>
        <v>0</v>
      </c>
      <c r="Y356">
        <f ca="1" t="shared" si="73"/>
        <v>0.5</v>
      </c>
      <c r="Z356">
        <f ca="1" t="shared" si="74"/>
        <v>0</v>
      </c>
      <c r="AA356">
        <f ca="1">MAX(0,IFERROR(IF(COUNTIF(B356,"*叠*")&gt;0,IF(AC355&lt;3,8-A357+A356,AA355+6.875-A357+A356),AA355-A357+A356),AA355-加速!$L$11))</f>
        <v>0</v>
      </c>
      <c r="AB356" t="e">
        <f ca="1">MAX(0,IF(COUNTIF(IF(AND(配装计算器!$K$30&lt;&gt;"∞",0),INDEX(AU356:CB356,1,$AT$1),INDEX(AU356:CB356,1,$AT$1)),"*叠1*")=1,4*25-加速!$L$11,AB355-A356+A355)-IF(OR(COUNTIF(OFFSET(AT356,0,$AT$1,1,1),"*听雷*")&gt;0,AND(碧归&gt;0,COUNTIF(OFFSET(AT356,0,$AT$1,1,1),"*风来*")&gt;0)),0,1)*1.5)</f>
        <v>#VALUE!</v>
      </c>
      <c r="AC356">
        <f ca="1" t="shared" si="70"/>
        <v>3</v>
      </c>
      <c r="AD356">
        <f ca="1">IF(COUNTIF(IF(AND(配装计算器!$K$30&lt;&gt;"∞",0),INDEX(AU356:CB356,1,$AT$1),INDEX(AU357:CB357,1,$AT$1)),"*叠1*")=1,AB356*0+AE355,0)</f>
        <v>0</v>
      </c>
      <c r="AE356" t="e">
        <f ca="1">IF($AN$11&gt;0,IF(COUNTIF(B357,"*叠1*")&gt;0,50-加速!$H$11,MAX(0,AE355-(A357-A356))),0)</f>
        <v>#VALUE!</v>
      </c>
      <c r="AU356" t="s">
        <v>2768</v>
      </c>
      <c r="AV356">
        <v>2</v>
      </c>
      <c r="AW356" t="s">
        <v>2768</v>
      </c>
      <c r="AX356">
        <v>2</v>
      </c>
      <c r="AY356" t="s">
        <v>2768</v>
      </c>
      <c r="AZ356">
        <v>0</v>
      </c>
      <c r="BA356" t="s">
        <v>2776</v>
      </c>
      <c r="BB356">
        <v>2</v>
      </c>
      <c r="BC356" s="176" t="s">
        <v>3026</v>
      </c>
      <c r="BD356">
        <v>2</v>
      </c>
      <c r="BE356" t="s">
        <v>2768</v>
      </c>
      <c r="BF356">
        <v>2</v>
      </c>
      <c r="BG356" t="s">
        <v>2776</v>
      </c>
      <c r="BH356">
        <v>0</v>
      </c>
      <c r="BI356" t="s">
        <v>2776</v>
      </c>
      <c r="BJ356">
        <v>2</v>
      </c>
      <c r="BK356" t="s">
        <v>2768</v>
      </c>
      <c r="BL356">
        <v>1</v>
      </c>
      <c r="BM356" t="str">
        <f>IF(0,"云飞玉皇-玉山揽云","云飞玉皇")</f>
        <v>云飞玉皇</v>
      </c>
      <c r="BN356">
        <v>2</v>
      </c>
      <c r="BO356" s="176" t="s">
        <v>2768</v>
      </c>
      <c r="BP356">
        <v>2</v>
      </c>
      <c r="BQ356" t="s">
        <v>3055</v>
      </c>
      <c r="BR356">
        <v>2</v>
      </c>
      <c r="BS356" s="182" t="s">
        <v>3023</v>
      </c>
      <c r="BT356">
        <v>2</v>
      </c>
      <c r="BU356" t="s">
        <v>2768</v>
      </c>
      <c r="BV356">
        <v>1</v>
      </c>
      <c r="BW356" s="182" t="s">
        <v>2768</v>
      </c>
      <c r="BX356" s="179">
        <v>2</v>
      </c>
      <c r="BY356" t="s">
        <v>2768</v>
      </c>
      <c r="BZ356">
        <v>2</v>
      </c>
      <c r="CA356" t="str">
        <f>IF(0,"云飞玉皇-玉山揽云","夕照雷峰")</f>
        <v>夕照雷峰</v>
      </c>
      <c r="CB356">
        <v>2</v>
      </c>
    </row>
    <row r="357" spans="1:80">
      <c r="A357" s="178" t="str">
        <f ca="1">IFERROR(IF(A356+加速!$L$11&lt;$AS$1,IF(COUNTIF(B356,"*轻*")&gt;0,A356+加速!$L$9,A356+加速!$L$11)+V356,IF(COUNTIF(INDEX(AU357:CB357,1,$AT$1),"*云景*")+COUNTIF(INDEX(AU357:CB357,1,$AT$1),"*鹤归*")+COUNTIF(INDEX(AU357:CB357,1,$AT$1),"*听雷*")&gt;0,A356+加速!$L$11,"")),"")</f>
        <v/>
      </c>
      <c r="B357" s="167" t="str">
        <f ca="1">IF(A357&lt;&gt;"",IF(AND(A357+加速!$L$11&gt;$AS$1,IF(AND(配装计算器!$K$30&lt;&gt;"∞",0),"梦泉虎跑-轻",INDEX(AU357:CB357,1,$AT$1))="云栖松"),"夕照雷峰",IF(AND(配装计算器!$K$30&lt;&gt;"∞",0),"梦泉虎跑-轻",INDEX(AU357:CB357,1,$AT$1))),"")</f>
        <v/>
      </c>
      <c r="C357" t="str">
        <f ca="1" t="shared" si="75"/>
        <v/>
      </c>
      <c r="D357" t="str">
        <f ca="1">IF(B357&lt;&gt;"",IF(C356&lt;=加速!$L$11*(1-E357),0,1),"")</f>
        <v/>
      </c>
      <c r="E357">
        <f ca="1" t="shared" si="71"/>
        <v>1</v>
      </c>
      <c r="G357" t="str">
        <f ca="1" t="shared" si="72"/>
        <v/>
      </c>
      <c r="H357" t="str">
        <f ca="1">IF(B357&lt;&gt;"",IF(AND(COUNTIF(B356,"*轻*莺鸣柳*")&gt;0,COUNTIF(B357,"*轻*")&lt;1),MAX(0,15+I356-(A357-A356)+COUNTIF(B356,"*平湖*")*0),IF(AND(E357=0,MAX(0,H356-(A357-A356))&lt;=加速!$H$11),0,MAX(0,H356-(A357-A356)))),"")</f>
        <v/>
      </c>
      <c r="I357" t="str">
        <f ca="1" t="shared" si="78"/>
        <v/>
      </c>
      <c r="J357" t="str">
        <f ca="1" t="shared" si="79"/>
        <v/>
      </c>
      <c r="K357" t="str">
        <f ca="1">IF(A357&lt;&gt;"",IF(AND(配装计算器!$K$30&lt;&gt;"∞",0),2,INDEX(AU357:CB357,1,$AT$2)),"")</f>
        <v/>
      </c>
      <c r="L357">
        <f ca="1">IFERROR(IF(AND(COUNTIF(B357,"*-峰插*"),技能数据库!$M$72&gt;0),0,IF(COUNTIF(B357,"*鹤归*")&gt;0,16-加速!$L$11,MAX(0,L356-(A357-A356)))),0)</f>
        <v>0</v>
      </c>
      <c r="M357">
        <f ca="1">IF(COUNTIF(IF(AND(配装计算器!$K$30&lt;&gt;"∞",0),INDEX(AU356:CB356,1,$AT$1),INDEX(AU358:CB358,1,$AT$1)),"*鹤归*")=1,L357,0)</f>
        <v>0</v>
      </c>
      <c r="N357">
        <f ca="1">IFERROR(IF(AND(COUNTIF(B357,"*-峰插*"),技能数据库!$M$72&gt;0),0,IF(COUNTIF(B357,"*云飞*")&gt;0,4-COUNTIF(B357,"*玉山揽云*")*4--COUNTIF(B357,"*烟流暮景*")*4-COUNTIF(B357,"*云景*")*加速!$L$11-IF(J357&gt;0,2,0),MAX(0,N356-(A357-A356)-IF(J357&gt;0,2,0)))),0)</f>
        <v>0</v>
      </c>
      <c r="O357">
        <f ca="1">IF(AND(COUNTIF(IF(AND(配装计算器!$K$30&lt;&gt;"∞",0),INDEX(AU356:CB356,1,$AT$1),INDEX(AU358:CB358,1,$AT$1)),"*云飞*")=1,COUNTIF(IF(AND(配装计算器!$K$30&lt;&gt;"∞",0),INDEX(AU356:CB356,1,$AT$1),INDEX(AU358:CB358,1,$AT$1)),"*玉山*")=0),N357,0)</f>
        <v>0</v>
      </c>
      <c r="P357">
        <f ca="1">IFERROR(IF(COUNTIF(B357,"*云栖松*")&gt;0,50-加速!$L$11,MAX(0,P356-(A357-A356))),0)</f>
        <v>0</v>
      </c>
      <c r="Q357">
        <f ca="1">IF(COUNTIF(IF(AND(配装计算器!$K$30&lt;&gt;"∞",0),INDEX(AU356:CB356,1,$AT$1),INDEX(AU358:CB358,1,$AT$1)),"*云栖松*")=1,P357,0)</f>
        <v>0</v>
      </c>
      <c r="R357">
        <f ca="1">IFERROR(IF(COUNTIF(B357,"*莺鸣柳*")&gt;0,45-加速!$L$9,MAX(0,R356-(A357-A356))),0)</f>
        <v>0</v>
      </c>
      <c r="S357">
        <f ca="1">IF(COUNTIF(IF(AND(配装计算器!$K$30&lt;&gt;"∞",0),INDEX(AU356:CB356,1,$AT$1),INDEX(AU358:CB358,1,$AT$1)),"*莺鸣柳*")=1,R357,0)</f>
        <v>0</v>
      </c>
      <c r="T357">
        <f ca="1" t="shared" si="76"/>
        <v>0</v>
      </c>
      <c r="U357">
        <f ca="1">IF(金蛇,IF(COUNTIF(B357,"*金环戴*")+COUNTIF(B357,"*吹风醒*")&gt;0,IF(A357&lt;=3,7.125-2.625-A357-加速!$L$11,7.125+加速!$K$9-(A357+加速!$L$11-T357)),0),0)+IF(金蛇,IF(COUNTIF(B357,"*千切子裂光*")&gt;0,2+加速!$K$9-(A357+加速!$L$11-T357),0),0)</f>
        <v>0</v>
      </c>
      <c r="V357">
        <f ca="1" t="shared" si="77"/>
        <v>0</v>
      </c>
      <c r="W357">
        <f ca="1" t="shared" si="69"/>
        <v>0</v>
      </c>
      <c r="X357">
        <f ca="1">INDEX(加速!$I$13:$I$21,技能数计算!W357+1)</f>
        <v>0</v>
      </c>
      <c r="Y357">
        <f ca="1" t="shared" si="73"/>
        <v>0.5</v>
      </c>
      <c r="Z357">
        <f ca="1" t="shared" si="74"/>
        <v>0</v>
      </c>
      <c r="AA357">
        <f ca="1">MAX(0,IFERROR(IF(COUNTIF(B357,"*叠*")&gt;0,IF(AC356&lt;3,8-A358+A357,AA356+6.875-A358+A357),AA356-A358+A357),AA356-加速!$L$11))</f>
        <v>0</v>
      </c>
      <c r="AB357" t="e">
        <f ca="1">MAX(0,IF(COUNTIF(IF(AND(配装计算器!$K$30&lt;&gt;"∞",0),INDEX(AU357:CB357,1,$AT$1),INDEX(AU357:CB357,1,$AT$1)),"*叠1*")=1,4*25-加速!$L$11,AB356-A357+A356)-IF(OR(COUNTIF(OFFSET(AT357,0,$AT$1,1,1),"*听雷*")&gt;0,AND(碧归&gt;0,COUNTIF(OFFSET(AT357,0,$AT$1,1,1),"*风来*")&gt;0)),0,1)*1.5)</f>
        <v>#VALUE!</v>
      </c>
      <c r="AC357">
        <f ca="1" t="shared" si="70"/>
        <v>3</v>
      </c>
      <c r="AD357">
        <f ca="1">IF(COUNTIF(IF(AND(配装计算器!$K$30&lt;&gt;"∞",0),INDEX(AU357:CB357,1,$AT$1),INDEX(AU358:CB358,1,$AT$1)),"*叠1*")=1,AB357*0+AE356,0)</f>
        <v>0</v>
      </c>
      <c r="AE357" t="e">
        <f ca="1">IF($AN$11&gt;0,IF(COUNTIF(B358,"*叠1*")&gt;0,50-加速!$H$11,MAX(0,AE356-(A358-A357))),0)</f>
        <v>#VALUE!</v>
      </c>
      <c r="AU357" t="str">
        <f>IF($AN$11=1,"云飞玉皇-玉山揽云","夕照雷峰")</f>
        <v>云飞玉皇-玉山揽云</v>
      </c>
      <c r="AV357">
        <v>2</v>
      </c>
      <c r="AW357" t="s">
        <v>2768</v>
      </c>
      <c r="AX357">
        <v>2</v>
      </c>
      <c r="AY357" t="s">
        <v>2722</v>
      </c>
      <c r="AZ357">
        <v>0</v>
      </c>
      <c r="BA357" t="s">
        <v>2768</v>
      </c>
      <c r="BB357">
        <v>2</v>
      </c>
      <c r="BC357" s="176" t="s">
        <v>3026</v>
      </c>
      <c r="BD357">
        <v>2</v>
      </c>
      <c r="BE357" t="s">
        <v>2776</v>
      </c>
      <c r="BF357">
        <v>2</v>
      </c>
      <c r="BG357" t="s">
        <v>3067</v>
      </c>
      <c r="BH357">
        <v>0</v>
      </c>
      <c r="BI357" t="s">
        <v>2768</v>
      </c>
      <c r="BJ357">
        <v>2</v>
      </c>
      <c r="BK357" t="s">
        <v>2768</v>
      </c>
      <c r="BL357">
        <v>1</v>
      </c>
      <c r="BM357" t="str">
        <f>IF(0,"云飞玉皇-玉山揽云","夕照雷峰")</f>
        <v>夕照雷峰</v>
      </c>
      <c r="BN357">
        <v>2</v>
      </c>
      <c r="BO357" t="s">
        <v>3056</v>
      </c>
      <c r="BP357">
        <v>1</v>
      </c>
      <c r="BQ357" t="s">
        <v>2768</v>
      </c>
      <c r="BR357">
        <v>2</v>
      </c>
      <c r="BS357" s="182" t="s">
        <v>2768</v>
      </c>
      <c r="BT357">
        <v>2</v>
      </c>
      <c r="BU357" s="176" t="s">
        <v>2768</v>
      </c>
      <c r="BV357">
        <v>1</v>
      </c>
      <c r="BW357" s="182" t="s">
        <v>2776</v>
      </c>
      <c r="BX357" s="179">
        <v>2</v>
      </c>
      <c r="BY357" t="s">
        <v>2776</v>
      </c>
      <c r="BZ357">
        <v>2</v>
      </c>
      <c r="CA357" t="str">
        <f>IF(0,"云飞玉皇-玉山揽云","云飞玉皇")</f>
        <v>云飞玉皇</v>
      </c>
      <c r="CB357">
        <v>2</v>
      </c>
    </row>
    <row r="358" spans="1:80">
      <c r="A358" s="178" t="str">
        <f ca="1">IFERROR(IF(A357+加速!$L$11&lt;$AS$1,IF(COUNTIF(B357,"*轻*")&gt;0,A357+加速!$L$9,A357+加速!$L$11)+V357,IF(COUNTIF(INDEX(AU358:CB358,1,$AT$1),"*云景*")+COUNTIF(INDEX(AU358:CB358,1,$AT$1),"*鹤归*")+COUNTIF(INDEX(AU358:CB358,1,$AT$1),"*听雷*")&gt;0,A357+加速!$L$11,"")),"")</f>
        <v/>
      </c>
      <c r="B358" s="167" t="str">
        <f ca="1">IF(A358&lt;&gt;"",IF(AND(A358+加速!$L$11&gt;$AS$1,IF(AND(配装计算器!$K$30&lt;&gt;"∞",0),"梦泉虎跑-轻",INDEX(AU358:CB358,1,$AT$1))="云栖松"),"夕照雷峰",IF(AND(配装计算器!$K$30&lt;&gt;"∞",0),"梦泉虎跑-轻",INDEX(AU358:CB358,1,$AT$1))),"")</f>
        <v/>
      </c>
      <c r="C358" t="str">
        <f ca="1" t="shared" si="75"/>
        <v/>
      </c>
      <c r="D358" t="str">
        <f ca="1">IF(B358&lt;&gt;"",IF(C357&lt;=加速!$L$11*(1-E358),0,1),"")</f>
        <v/>
      </c>
      <c r="E358">
        <f ca="1" t="shared" si="71"/>
        <v>1</v>
      </c>
      <c r="G358" t="str">
        <f ca="1" t="shared" si="72"/>
        <v/>
      </c>
      <c r="H358" t="str">
        <f ca="1">IF(B358&lt;&gt;"",IF(AND(COUNTIF(B357,"*轻*莺鸣柳*")&gt;0,COUNTIF(B358,"*轻*")&lt;1),MAX(0,15+I357-(A358-A357)+COUNTIF(B357,"*平湖*")*0),IF(AND(E358=0,MAX(0,H357-(A358-A357))&lt;=加速!$H$11),0,MAX(0,H357-(A358-A357)))),"")</f>
        <v/>
      </c>
      <c r="I358" t="str">
        <f ca="1" t="shared" si="78"/>
        <v/>
      </c>
      <c r="J358" t="str">
        <f ca="1" t="shared" si="79"/>
        <v/>
      </c>
      <c r="K358" t="str">
        <f ca="1">IF(A358&lt;&gt;"",IF(AND(配装计算器!$K$30&lt;&gt;"∞",0),2,INDEX(AU358:CB358,1,$AT$2)),"")</f>
        <v/>
      </c>
      <c r="L358">
        <f ca="1">IFERROR(IF(AND(COUNTIF(B358,"*-峰插*"),技能数据库!$M$72&gt;0),0,IF(COUNTIF(B358,"*鹤归*")&gt;0,16-加速!$L$11,MAX(0,L357-(A358-A357)))),0)</f>
        <v>0</v>
      </c>
      <c r="M358">
        <f ca="1">IF(COUNTIF(IF(AND(配装计算器!$K$30&lt;&gt;"∞",0),INDEX(AU357:CB357,1,$AT$1),INDEX(AU359:CB359,1,$AT$1)),"*鹤归*")=1,L358,0)</f>
        <v>0</v>
      </c>
      <c r="N358">
        <f ca="1">IFERROR(IF(AND(COUNTIF(B358,"*-峰插*"),技能数据库!$M$72&gt;0),0,IF(COUNTIF(B358,"*云飞*")&gt;0,4-COUNTIF(B358,"*玉山揽云*")*4--COUNTIF(B358,"*烟流暮景*")*4-COUNTIF(B358,"*云景*")*加速!$L$11-IF(J358&gt;0,2,0),MAX(0,N357-(A358-A357)-IF(J358&gt;0,2,0)))),0)</f>
        <v>0</v>
      </c>
      <c r="O358">
        <f ca="1">IF(AND(COUNTIF(IF(AND(配装计算器!$K$30&lt;&gt;"∞",0),INDEX(AU357:CB357,1,$AT$1),INDEX(AU359:CB359,1,$AT$1)),"*云飞*")=1,COUNTIF(IF(AND(配装计算器!$K$30&lt;&gt;"∞",0),INDEX(AU357:CB357,1,$AT$1),INDEX(AU359:CB359,1,$AT$1)),"*玉山*")=0),N358,0)</f>
        <v>0</v>
      </c>
      <c r="P358">
        <f ca="1">IFERROR(IF(COUNTIF(B358,"*云栖松*")&gt;0,50-加速!$L$11,MAX(0,P357-(A358-A357))),0)</f>
        <v>0</v>
      </c>
      <c r="Q358">
        <f ca="1">IF(COUNTIF(IF(AND(配装计算器!$K$30&lt;&gt;"∞",0),INDEX(AU357:CB357,1,$AT$1),INDEX(AU359:CB359,1,$AT$1)),"*云栖松*")=1,P358,0)</f>
        <v>0</v>
      </c>
      <c r="R358">
        <f ca="1">IFERROR(IF(COUNTIF(B358,"*莺鸣柳*")&gt;0,45-加速!$L$9,MAX(0,R357-(A358-A357))),0)</f>
        <v>0</v>
      </c>
      <c r="S358">
        <f ca="1">IF(COUNTIF(IF(AND(配装计算器!$K$30&lt;&gt;"∞",0),INDEX(AU357:CB357,1,$AT$1),INDEX(AU359:CB359,1,$AT$1)),"*莺鸣柳*")=1,R358,0)</f>
        <v>0</v>
      </c>
      <c r="T358">
        <f ca="1" t="shared" si="76"/>
        <v>0</v>
      </c>
      <c r="U358">
        <f ca="1">IF(金蛇,IF(COUNTIF(B358,"*金环戴*")+COUNTIF(B358,"*吹风醒*")&gt;0,IF(A358&lt;=3,7.125-2.625-A358-加速!$L$11,7.125+加速!$K$9-(A358+加速!$L$11-T358)),0),0)+IF(金蛇,IF(COUNTIF(B358,"*千切子裂光*")&gt;0,2+加速!$K$9-(A358+加速!$L$11-T358),0),0)</f>
        <v>0</v>
      </c>
      <c r="V358">
        <f ca="1" t="shared" si="77"/>
        <v>0</v>
      </c>
      <c r="W358">
        <f ca="1" t="shared" si="69"/>
        <v>0</v>
      </c>
      <c r="X358">
        <f ca="1">INDEX(加速!$I$13:$I$21,技能数计算!W358+1)</f>
        <v>0</v>
      </c>
      <c r="Y358">
        <f ca="1" t="shared" si="73"/>
        <v>0.5</v>
      </c>
      <c r="Z358">
        <f ca="1" t="shared" si="74"/>
        <v>0</v>
      </c>
      <c r="AA358">
        <f ca="1">MAX(0,IFERROR(IF(COUNTIF(B358,"*叠*")&gt;0,IF(AC357&lt;3,8-A359+A358,AA357+6.875-A359+A358),AA357-A359+A358),AA357-加速!$L$11))</f>
        <v>0</v>
      </c>
      <c r="AB358" t="e">
        <f ca="1">MAX(0,IF(COUNTIF(IF(AND(配装计算器!$K$30&lt;&gt;"∞",0),INDEX(AU358:CB358,1,$AT$1),INDEX(AU358:CB358,1,$AT$1)),"*叠1*")=1,4*25-加速!$L$11,AB357-A358+A357)-IF(OR(COUNTIF(OFFSET(AT358,0,$AT$1,1,1),"*听雷*")&gt;0,AND(碧归&gt;0,COUNTIF(OFFSET(AT358,0,$AT$1,1,1),"*风来*")&gt;0)),0,1)*1.5)</f>
        <v>#VALUE!</v>
      </c>
      <c r="AC358">
        <f ca="1" t="shared" si="70"/>
        <v>3</v>
      </c>
      <c r="AD358">
        <f ca="1">IF(COUNTIF(IF(AND(配装计算器!$K$30&lt;&gt;"∞",0),INDEX(AU358:CB358,1,$AT$1),INDEX(AU359:CB359,1,$AT$1)),"*叠1*")=1,AB358*0+AE357,0)</f>
        <v>0</v>
      </c>
      <c r="AE358" t="e">
        <f ca="1">IF($AN$11&gt;0,IF(COUNTIF(B359,"*叠1*")&gt;0,50-加速!$H$11,MAX(0,AE357-(A359-A358))),0)</f>
        <v>#VALUE!</v>
      </c>
      <c r="AU358" t="str">
        <f>IF($AN$11=1,"云飞玉皇-玉山揽云","云飞玉皇")</f>
        <v>云飞玉皇-玉山揽云</v>
      </c>
      <c r="AV358">
        <v>2</v>
      </c>
      <c r="AW358" t="s">
        <v>2776</v>
      </c>
      <c r="AX358">
        <v>2</v>
      </c>
      <c r="AY358" t="s">
        <v>2776</v>
      </c>
      <c r="AZ358">
        <v>2</v>
      </c>
      <c r="BA358" t="s">
        <v>2768</v>
      </c>
      <c r="BB358">
        <v>2</v>
      </c>
      <c r="BC358" s="176" t="s">
        <v>3026</v>
      </c>
      <c r="BD358">
        <v>2</v>
      </c>
      <c r="BE358" t="s">
        <v>2768</v>
      </c>
      <c r="BF358">
        <v>2</v>
      </c>
      <c r="BG358" t="s">
        <v>2768</v>
      </c>
      <c r="BH358">
        <v>2</v>
      </c>
      <c r="BI358" t="s">
        <v>2776</v>
      </c>
      <c r="BJ358">
        <v>2</v>
      </c>
      <c r="BK358" t="s">
        <v>2794</v>
      </c>
      <c r="BL358">
        <v>0</v>
      </c>
      <c r="BM358" t="str">
        <f>IF(0,橙武补雾锁,"夕照雷峰")</f>
        <v>夕照雷峰</v>
      </c>
      <c r="BN358">
        <v>2</v>
      </c>
      <c r="BO358" t="s">
        <v>2768</v>
      </c>
      <c r="BP358">
        <v>2</v>
      </c>
      <c r="BQ358" t="s">
        <v>2776</v>
      </c>
      <c r="BR358">
        <v>2</v>
      </c>
      <c r="BS358" s="182" t="s">
        <v>2776</v>
      </c>
      <c r="BT358">
        <v>2</v>
      </c>
      <c r="BU358" t="s">
        <v>3055</v>
      </c>
      <c r="BV358">
        <v>0</v>
      </c>
      <c r="BW358" s="182" t="s">
        <v>2768</v>
      </c>
      <c r="BX358" s="179">
        <v>2</v>
      </c>
      <c r="BY358" s="176" t="s">
        <v>2794</v>
      </c>
      <c r="BZ358">
        <v>2</v>
      </c>
      <c r="CA358" s="176" t="s">
        <v>2794</v>
      </c>
      <c r="CB358">
        <v>2</v>
      </c>
    </row>
    <row r="359" spans="1:80">
      <c r="A359" s="178" t="str">
        <f ca="1">IFERROR(IF(A358+加速!$L$11&lt;$AS$1,IF(COUNTIF(B358,"*轻*")&gt;0,A358+加速!$L$9,A358+加速!$L$11)+V358,IF(COUNTIF(INDEX(AU359:CB359,1,$AT$1),"*云景*")+COUNTIF(INDEX(AU359:CB359,1,$AT$1),"*鹤归*")+COUNTIF(INDEX(AU359:CB359,1,$AT$1),"*听雷*")&gt;0,A358+加速!$L$11,"")),"")</f>
        <v/>
      </c>
      <c r="B359" s="167" t="str">
        <f ca="1">IF(A359&lt;&gt;"",IF(AND(A359+加速!$L$11&gt;$AS$1,IF(AND(配装计算器!$K$30&lt;&gt;"∞",0),"梦泉虎跑-轻",INDEX(AU359:CB359,1,$AT$1))="云栖松"),"夕照雷峰",IF(AND(配装计算器!$K$30&lt;&gt;"∞",0),"梦泉虎跑-轻",INDEX(AU359:CB359,1,$AT$1))),"")</f>
        <v/>
      </c>
      <c r="C359" t="str">
        <f ca="1" t="shared" si="75"/>
        <v/>
      </c>
      <c r="D359" t="str">
        <f ca="1">IF(B359&lt;&gt;"",IF(C358&lt;=加速!$L$11*(1-E359),0,1),"")</f>
        <v/>
      </c>
      <c r="E359">
        <f ca="1" t="shared" si="71"/>
        <v>1</v>
      </c>
      <c r="G359" t="str">
        <f ca="1" t="shared" si="72"/>
        <v/>
      </c>
      <c r="H359" t="str">
        <f ca="1">IF(B359&lt;&gt;"",IF(AND(COUNTIF(B358,"*轻*莺鸣柳*")&gt;0,COUNTIF(B359,"*轻*")&lt;1),MAX(0,15+I358-(A359-A358)+COUNTIF(B358,"*平湖*")*0),IF(AND(E359=0,MAX(0,H358-(A359-A358))&lt;=加速!$H$11),0,MAX(0,H358-(A359-A358)))),"")</f>
        <v/>
      </c>
      <c r="I359" t="str">
        <f ca="1" t="shared" si="78"/>
        <v/>
      </c>
      <c r="J359" t="str">
        <f ca="1" t="shared" si="79"/>
        <v/>
      </c>
      <c r="K359" t="str">
        <f ca="1">IF(A359&lt;&gt;"",IF(AND(配装计算器!$K$30&lt;&gt;"∞",0),2,INDEX(AU359:CB359,1,$AT$2)),"")</f>
        <v/>
      </c>
      <c r="L359">
        <f ca="1">IFERROR(IF(AND(COUNTIF(B359,"*-峰插*"),技能数据库!$M$72&gt;0),0,IF(COUNTIF(B359,"*鹤归*")&gt;0,16-加速!$L$11,MAX(0,L358-(A359-A358)))),0)</f>
        <v>0</v>
      </c>
      <c r="M359">
        <f ca="1">IF(COUNTIF(IF(AND(配装计算器!$K$30&lt;&gt;"∞",0),INDEX(AU358:CB358,1,$AT$1),INDEX(AU360:CB360,1,$AT$1)),"*鹤归*")=1,L359,0)</f>
        <v>0</v>
      </c>
      <c r="N359">
        <f ca="1">IFERROR(IF(AND(COUNTIF(B359,"*-峰插*"),技能数据库!$M$72&gt;0),0,IF(COUNTIF(B359,"*云飞*")&gt;0,4-COUNTIF(B359,"*玉山揽云*")*4--COUNTIF(B359,"*烟流暮景*")*4-COUNTIF(B359,"*云景*")*加速!$L$11-IF(J359&gt;0,2,0),MAX(0,N358-(A359-A358)-IF(J359&gt;0,2,0)))),0)</f>
        <v>0</v>
      </c>
      <c r="O359">
        <f ca="1">IF(AND(COUNTIF(IF(AND(配装计算器!$K$30&lt;&gt;"∞",0),INDEX(AU358:CB358,1,$AT$1),INDEX(AU360:CB360,1,$AT$1)),"*云飞*")=1,COUNTIF(IF(AND(配装计算器!$K$30&lt;&gt;"∞",0),INDEX(AU358:CB358,1,$AT$1),INDEX(AU360:CB360,1,$AT$1)),"*玉山*")=0),N359,0)</f>
        <v>0</v>
      </c>
      <c r="P359">
        <f ca="1">IFERROR(IF(COUNTIF(B359,"*云栖松*")&gt;0,50-加速!$L$11,MAX(0,P358-(A359-A358))),0)</f>
        <v>0</v>
      </c>
      <c r="Q359">
        <f ca="1">IF(COUNTIF(IF(AND(配装计算器!$K$30&lt;&gt;"∞",0),INDEX(AU358:CB358,1,$AT$1),INDEX(AU360:CB360,1,$AT$1)),"*云栖松*")=1,P359,0)</f>
        <v>0</v>
      </c>
      <c r="R359">
        <f ca="1">IFERROR(IF(COUNTIF(B359,"*莺鸣柳*")&gt;0,45-加速!$L$9,MAX(0,R358-(A359-A358))),0)</f>
        <v>0</v>
      </c>
      <c r="S359">
        <f ca="1">IF(COUNTIF(IF(AND(配装计算器!$K$30&lt;&gt;"∞",0),INDEX(AU358:CB358,1,$AT$1),INDEX(AU360:CB360,1,$AT$1)),"*莺鸣柳*")=1,R359,0)</f>
        <v>0</v>
      </c>
      <c r="T359">
        <f ca="1" t="shared" si="76"/>
        <v>0</v>
      </c>
      <c r="U359">
        <f ca="1">IF(金蛇,IF(COUNTIF(B359,"*金环戴*")+COUNTIF(B359,"*吹风醒*")&gt;0,IF(A359&lt;=3,7.125-2.625-A359-加速!$L$11,7.125+加速!$K$9-(A359+加速!$L$11-T359)),0),0)+IF(金蛇,IF(COUNTIF(B359,"*千切子裂光*")&gt;0,2+加速!$K$9-(A359+加速!$L$11-T359),0),0)</f>
        <v>0</v>
      </c>
      <c r="V359">
        <f ca="1" t="shared" si="77"/>
        <v>0</v>
      </c>
      <c r="W359">
        <f ca="1" t="shared" si="69"/>
        <v>0</v>
      </c>
      <c r="X359">
        <f ca="1">INDEX(加速!$I$13:$I$21,技能数计算!W359+1)</f>
        <v>0</v>
      </c>
      <c r="Y359">
        <f ca="1" t="shared" si="73"/>
        <v>0.5</v>
      </c>
      <c r="Z359">
        <f ca="1" t="shared" si="74"/>
        <v>0</v>
      </c>
      <c r="AA359">
        <f ca="1">MAX(0,IFERROR(IF(COUNTIF(B359,"*叠*")&gt;0,IF(AC358&lt;3,8-A360+A359,AA358+6.875-A360+A359),AA358-A360+A359),AA358-加速!$L$11))</f>
        <v>0</v>
      </c>
      <c r="AB359" t="e">
        <f ca="1">MAX(0,IF(COUNTIF(IF(AND(配装计算器!$K$30&lt;&gt;"∞",0),INDEX(AU359:CB359,1,$AT$1),INDEX(AU359:CB359,1,$AT$1)),"*叠1*")=1,4*25-加速!$L$11,AB358-A359+A358)-IF(OR(COUNTIF(OFFSET(AT359,0,$AT$1,1,1),"*听雷*")&gt;0,AND(碧归&gt;0,COUNTIF(OFFSET(AT359,0,$AT$1,1,1),"*风来*")&gt;0)),0,1)*1.5)</f>
        <v>#VALUE!</v>
      </c>
      <c r="AC359">
        <f ca="1" t="shared" si="70"/>
        <v>3</v>
      </c>
      <c r="AD359">
        <f ca="1">IF(COUNTIF(IF(AND(配装计算器!$K$30&lt;&gt;"∞",0),INDEX(AU359:CB359,1,$AT$1),INDEX(AU360:CB360,1,$AT$1)),"*叠1*")=1,AB359*0+AE358,0)</f>
        <v>0</v>
      </c>
      <c r="AE359" t="e">
        <f ca="1">IF($AN$11&gt;0,IF(COUNTIF(B360,"*叠1*")&gt;0,50-加速!$H$11,MAX(0,AE358-(A360-A359))),0)</f>
        <v>#VALUE!</v>
      </c>
      <c r="AU359" t="str">
        <f>IF($AN$11=1,"云飞玉皇-玉山揽云","夕照雷峰")</f>
        <v>云飞玉皇-玉山揽云</v>
      </c>
      <c r="AV359">
        <v>2</v>
      </c>
      <c r="AW359" t="s">
        <v>2768</v>
      </c>
      <c r="AX359">
        <v>2</v>
      </c>
      <c r="AY359" t="s">
        <v>2768</v>
      </c>
      <c r="AZ359">
        <v>2</v>
      </c>
      <c r="BA359" t="s">
        <v>2768</v>
      </c>
      <c r="BB359">
        <v>1</v>
      </c>
      <c r="BC359" t="s">
        <v>3013</v>
      </c>
      <c r="BD359">
        <v>2</v>
      </c>
      <c r="BE359" t="s">
        <v>2776</v>
      </c>
      <c r="BF359">
        <v>1</v>
      </c>
      <c r="BG359" t="s">
        <v>2768</v>
      </c>
      <c r="BH359">
        <v>2</v>
      </c>
      <c r="BI359" t="s">
        <v>2768</v>
      </c>
      <c r="BJ359">
        <v>2</v>
      </c>
      <c r="BK359" t="s">
        <v>2776</v>
      </c>
      <c r="BL359">
        <v>0</v>
      </c>
      <c r="BM359" t="str">
        <f>IF(0,"云飞玉皇-玉山揽云","夕照雷峰")</f>
        <v>夕照雷峰</v>
      </c>
      <c r="BN359">
        <v>2</v>
      </c>
      <c r="BO359" t="s">
        <v>2768</v>
      </c>
      <c r="BP359">
        <v>2</v>
      </c>
      <c r="BQ359" t="s">
        <v>2768</v>
      </c>
      <c r="BR359">
        <v>2</v>
      </c>
      <c r="BS359" s="182" t="s">
        <v>2768</v>
      </c>
      <c r="BT359">
        <v>2</v>
      </c>
      <c r="BU359" t="s">
        <v>2776</v>
      </c>
      <c r="BV359">
        <v>2</v>
      </c>
      <c r="BW359" s="179" t="s">
        <v>2776</v>
      </c>
      <c r="BX359" s="179">
        <v>2</v>
      </c>
      <c r="BY359" s="176" t="str">
        <f>IF(0,"云飞玉皇-玉山揽云","夕照雷峰")</f>
        <v>夕照雷峰</v>
      </c>
      <c r="BZ359">
        <v>2</v>
      </c>
      <c r="CA359" s="176" t="s">
        <v>2768</v>
      </c>
      <c r="CB359">
        <v>2</v>
      </c>
    </row>
    <row r="360" spans="1:80">
      <c r="A360" s="178" t="str">
        <f ca="1">IFERROR(IF(A359+加速!$L$11&lt;$AS$1,IF(COUNTIF(B359,"*轻*")&gt;0,A359+加速!$L$9,A359+加速!$L$11)+V359,IF(COUNTIF(INDEX(AU360:CB360,1,$AT$1),"*云景*")+COUNTIF(INDEX(AU360:CB360,1,$AT$1),"*鹤归*")+COUNTIF(INDEX(AU360:CB360,1,$AT$1),"*听雷*")&gt;0,A359+加速!$L$11,"")),"")</f>
        <v/>
      </c>
      <c r="B360" s="167" t="str">
        <f ca="1">IF(A360&lt;&gt;"",IF(AND(A360+加速!$L$11&gt;$AS$1,IF(AND(配装计算器!$K$30&lt;&gt;"∞",0),"梦泉虎跑-轻",INDEX(AU360:CB360,1,$AT$1))="云栖松"),"夕照雷峰",IF(AND(配装计算器!$K$30&lt;&gt;"∞",0),"梦泉虎跑-轻",INDEX(AU360:CB360,1,$AT$1))),"")</f>
        <v/>
      </c>
      <c r="C360" t="str">
        <f ca="1" t="shared" si="75"/>
        <v/>
      </c>
      <c r="D360" t="str">
        <f ca="1">IF(B360&lt;&gt;"",IF(C359&lt;=加速!$L$11*(1-E360),0,1),"")</f>
        <v/>
      </c>
      <c r="E360">
        <f ca="1" t="shared" si="71"/>
        <v>1</v>
      </c>
      <c r="G360" t="str">
        <f ca="1" t="shared" si="72"/>
        <v/>
      </c>
      <c r="H360" t="str">
        <f ca="1">IF(B360&lt;&gt;"",IF(AND(COUNTIF(B359,"*轻*莺鸣柳*")&gt;0,COUNTIF(B360,"*轻*")&lt;1),MAX(0,15+I359-(A360-A359)+COUNTIF(B359,"*平湖*")*0),IF(AND(E360=0,MAX(0,H359-(A360-A359))&lt;=加速!$H$11),0,MAX(0,H359-(A360-A359)))),"")</f>
        <v/>
      </c>
      <c r="I360" t="str">
        <f ca="1" t="shared" si="78"/>
        <v/>
      </c>
      <c r="J360" t="str">
        <f ca="1" t="shared" si="79"/>
        <v/>
      </c>
      <c r="K360" t="str">
        <f ca="1">IF(A360&lt;&gt;"",IF(AND(配装计算器!$K$30&lt;&gt;"∞",0),2,INDEX(AU360:CB360,1,$AT$2)),"")</f>
        <v/>
      </c>
      <c r="L360">
        <f ca="1">IFERROR(IF(AND(COUNTIF(B360,"*-峰插*"),技能数据库!$M$72&gt;0),0,IF(COUNTIF(B360,"*鹤归*")&gt;0,16-加速!$L$11,MAX(0,L359-(A360-A359)))),0)</f>
        <v>0</v>
      </c>
      <c r="M360">
        <f ca="1">IF(COUNTIF(IF(AND(配装计算器!$K$30&lt;&gt;"∞",0),INDEX(AU359:CB359,1,$AT$1),INDEX(AU361:CB361,1,$AT$1)),"*鹤归*")=1,L360,0)</f>
        <v>0</v>
      </c>
      <c r="N360">
        <f ca="1">IFERROR(IF(AND(COUNTIF(B360,"*-峰插*"),技能数据库!$M$72&gt;0),0,IF(COUNTIF(B360,"*云飞*")&gt;0,4-COUNTIF(B360,"*玉山揽云*")*4--COUNTIF(B360,"*烟流暮景*")*4-COUNTIF(B360,"*云景*")*加速!$L$11-IF(J360&gt;0,2,0),MAX(0,N359-(A360-A359)-IF(J360&gt;0,2,0)))),0)</f>
        <v>0</v>
      </c>
      <c r="O360">
        <f ca="1">IF(AND(COUNTIF(IF(AND(配装计算器!$K$30&lt;&gt;"∞",0),INDEX(AU359:CB359,1,$AT$1),INDEX(AU361:CB361,1,$AT$1)),"*云飞*")=1,COUNTIF(IF(AND(配装计算器!$K$30&lt;&gt;"∞",0),INDEX(AU359:CB359,1,$AT$1),INDEX(AU361:CB361,1,$AT$1)),"*玉山*")=0),N360,0)</f>
        <v>0</v>
      </c>
      <c r="P360">
        <f ca="1">IFERROR(IF(COUNTIF(B360,"*云栖松*")&gt;0,50-加速!$L$11,MAX(0,P359-(A360-A359))),0)</f>
        <v>0</v>
      </c>
      <c r="Q360">
        <f ca="1">IF(COUNTIF(IF(AND(配装计算器!$K$30&lt;&gt;"∞",0),INDEX(AU359:CB359,1,$AT$1),INDEX(AU361:CB361,1,$AT$1)),"*云栖松*")=1,P360,0)</f>
        <v>0</v>
      </c>
      <c r="R360">
        <f ca="1">IFERROR(IF(COUNTIF(B360,"*莺鸣柳*")&gt;0,45-加速!$L$9,MAX(0,R359-(A360-A359))),0)</f>
        <v>0</v>
      </c>
      <c r="S360">
        <f ca="1">IF(COUNTIF(IF(AND(配装计算器!$K$30&lt;&gt;"∞",0),INDEX(AU359:CB359,1,$AT$1),INDEX(AU361:CB361,1,$AT$1)),"*莺鸣柳*")=1,R360,0)</f>
        <v>0</v>
      </c>
      <c r="T360">
        <f ca="1" t="shared" si="76"/>
        <v>0</v>
      </c>
      <c r="U360">
        <f ca="1">IF(金蛇,IF(COUNTIF(B360,"*金环戴*")+COUNTIF(B360,"*吹风醒*")&gt;0,IF(A360&lt;=3,7.125-2.625-A360-加速!$L$11,7.125+加速!$K$9-(A360+加速!$L$11-T360)),0),0)+IF(金蛇,IF(COUNTIF(B360,"*千切子裂光*")&gt;0,2+加速!$K$9-(A360+加速!$L$11-T360),0),0)</f>
        <v>0</v>
      </c>
      <c r="V360">
        <f ca="1" t="shared" si="77"/>
        <v>0</v>
      </c>
      <c r="W360">
        <f ca="1" t="shared" si="69"/>
        <v>0</v>
      </c>
      <c r="X360">
        <f ca="1">INDEX(加速!$I$13:$I$21,技能数计算!W360+1)</f>
        <v>0</v>
      </c>
      <c r="Y360">
        <f ca="1" t="shared" si="73"/>
        <v>0.5</v>
      </c>
      <c r="Z360">
        <f ca="1" t="shared" si="74"/>
        <v>0</v>
      </c>
      <c r="AA360">
        <f ca="1">MAX(0,IFERROR(IF(COUNTIF(B360,"*叠*")&gt;0,IF(AC359&lt;3,8-A361+A360,AA359+6.875-A361+A360),AA359-A361+A360),AA359-加速!$L$11))</f>
        <v>0</v>
      </c>
      <c r="AB360" t="e">
        <f ca="1">MAX(0,IF(COUNTIF(IF(AND(配装计算器!$K$30&lt;&gt;"∞",0),INDEX(AU360:CB360,1,$AT$1),INDEX(AU360:CB360,1,$AT$1)),"*叠1*")=1,4*25-加速!$L$11,AB359-A360+A359)-IF(OR(COUNTIF(OFFSET(AT360,0,$AT$1,1,1),"*听雷*")&gt;0,AND(碧归&gt;0,COUNTIF(OFFSET(AT360,0,$AT$1,1,1),"*风来*")&gt;0)),0,1)*1.5)</f>
        <v>#VALUE!</v>
      </c>
      <c r="AC360">
        <f ca="1" t="shared" si="70"/>
        <v>3</v>
      </c>
      <c r="AD360">
        <f ca="1">IF(COUNTIF(IF(AND(配装计算器!$K$30&lt;&gt;"∞",0),INDEX(AU360:CB360,1,$AT$1),INDEX(AU361:CB361,1,$AT$1)),"*叠1*")=1,AB360*0+AE359,0)</f>
        <v>0</v>
      </c>
      <c r="AE360" t="e">
        <f ca="1">IF($AN$11&gt;0,IF(COUNTIF(B361,"*叠1*")&gt;0,50-加速!$H$11,MAX(0,AE359-(A361-A360))),0)</f>
        <v>#VALUE!</v>
      </c>
      <c r="AU360" t="str">
        <f>IF($AN$11=1,橙武补雾锁,"夕照雷峰")</f>
        <v>云飞玉皇-玉山揽云</v>
      </c>
      <c r="AV360">
        <v>2</v>
      </c>
      <c r="AW360" s="176" t="s">
        <v>2794</v>
      </c>
      <c r="AX360">
        <v>2</v>
      </c>
      <c r="AY360" t="s">
        <v>2768</v>
      </c>
      <c r="AZ360">
        <v>2</v>
      </c>
      <c r="BA360" t="s">
        <v>2776</v>
      </c>
      <c r="BB360">
        <v>1</v>
      </c>
      <c r="BC360" t="s">
        <v>2808</v>
      </c>
      <c r="BD360">
        <v>2</v>
      </c>
      <c r="BE360" t="s">
        <v>2768</v>
      </c>
      <c r="BF360">
        <v>1</v>
      </c>
      <c r="BG360" s="176" t="s">
        <v>2794</v>
      </c>
      <c r="BH360">
        <v>1</v>
      </c>
      <c r="BI360" t="s">
        <v>2808</v>
      </c>
      <c r="BJ360">
        <v>2</v>
      </c>
      <c r="BK360" t="s">
        <v>2768</v>
      </c>
      <c r="BL360">
        <v>0</v>
      </c>
      <c r="BM360" t="s">
        <v>2776</v>
      </c>
      <c r="BN360">
        <v>2</v>
      </c>
      <c r="BO360" t="s">
        <v>2768</v>
      </c>
      <c r="BP360">
        <v>2</v>
      </c>
      <c r="BQ360" t="s">
        <v>2776</v>
      </c>
      <c r="BR360">
        <v>1</v>
      </c>
      <c r="BS360" s="182" t="s">
        <v>2768</v>
      </c>
      <c r="BT360">
        <v>2</v>
      </c>
      <c r="BU360" t="s">
        <v>2768</v>
      </c>
      <c r="BV360">
        <v>2</v>
      </c>
      <c r="BW360" s="179" t="s">
        <v>2718</v>
      </c>
      <c r="BX360" s="179">
        <v>0</v>
      </c>
      <c r="BY360" s="176" t="str">
        <f>IF(0,"云飞玉皇-玉山揽云","云飞玉皇")</f>
        <v>云飞玉皇</v>
      </c>
      <c r="BZ360">
        <v>2</v>
      </c>
      <c r="CA360" s="176" t="s">
        <v>2776</v>
      </c>
      <c r="CB360">
        <v>2</v>
      </c>
    </row>
    <row r="361" spans="1:80">
      <c r="A361" s="178" t="str">
        <f ca="1">IFERROR(IF(A360+加速!$L$11&lt;$AS$1,IF(COUNTIF(B360,"*轻*")&gt;0,A360+加速!$L$9,A360+加速!$L$11)+V360,IF(COUNTIF(INDEX(AU361:CB361,1,$AT$1),"*云景*")+COUNTIF(INDEX(AU361:CB361,1,$AT$1),"*鹤归*")+COUNTIF(INDEX(AU361:CB361,1,$AT$1),"*听雷*")&gt;0,A360+加速!$L$11,"")),"")</f>
        <v/>
      </c>
      <c r="B361" s="167" t="str">
        <f ca="1">IF(A361&lt;&gt;"",IF(AND(A361+加速!$L$11&gt;$AS$1,IF(AND(配装计算器!$K$30&lt;&gt;"∞",0),"梦泉虎跑-轻",INDEX(AU361:CB361,1,$AT$1))="云栖松"),"夕照雷峰",IF(AND(配装计算器!$K$30&lt;&gt;"∞",0),"梦泉虎跑-轻",INDEX(AU361:CB361,1,$AT$1))),"")</f>
        <v/>
      </c>
      <c r="C361" t="str">
        <f ca="1" t="shared" si="75"/>
        <v/>
      </c>
      <c r="D361" t="str">
        <f ca="1">IF(B361&lt;&gt;"",IF(C360&lt;=加速!$L$11*(1-E361),0,1),"")</f>
        <v/>
      </c>
      <c r="E361">
        <f ca="1" t="shared" si="71"/>
        <v>1</v>
      </c>
      <c r="G361" t="str">
        <f ca="1" t="shared" si="72"/>
        <v/>
      </c>
      <c r="H361" t="str">
        <f ca="1">IF(B361&lt;&gt;"",IF(AND(COUNTIF(B360,"*轻*莺鸣柳*")&gt;0,COUNTIF(B361,"*轻*")&lt;1),MAX(0,15+I360-(A361-A360)+COUNTIF(B360,"*平湖*")*0),IF(AND(E361=0,MAX(0,H360-(A361-A360))&lt;=加速!$H$11),0,MAX(0,H360-(A361-A360)))),"")</f>
        <v/>
      </c>
      <c r="I361" t="str">
        <f ca="1" t="shared" si="78"/>
        <v/>
      </c>
      <c r="J361" t="str">
        <f ca="1" t="shared" si="79"/>
        <v/>
      </c>
      <c r="K361" t="str">
        <f ca="1">IF(A361&lt;&gt;"",IF(AND(配装计算器!$K$30&lt;&gt;"∞",0),2,INDEX(AU361:CB361,1,$AT$2)),"")</f>
        <v/>
      </c>
      <c r="L361">
        <f ca="1">IFERROR(IF(AND(COUNTIF(B361,"*-峰插*"),技能数据库!$M$72&gt;0),0,IF(COUNTIF(B361,"*鹤归*")&gt;0,16-加速!$L$11,MAX(0,L360-(A361-A360)))),0)</f>
        <v>0</v>
      </c>
      <c r="M361">
        <f ca="1">IF(COUNTIF(IF(AND(配装计算器!$K$30&lt;&gt;"∞",0),INDEX(AU360:CB360,1,$AT$1),INDEX(AU362:CB362,1,$AT$1)),"*鹤归*")=1,L361,0)</f>
        <v>0</v>
      </c>
      <c r="N361">
        <f ca="1">IFERROR(IF(AND(COUNTIF(B361,"*-峰插*"),技能数据库!$M$72&gt;0),0,IF(COUNTIF(B361,"*云飞*")&gt;0,4-COUNTIF(B361,"*玉山揽云*")*4--COUNTIF(B361,"*烟流暮景*")*4-COUNTIF(B361,"*云景*")*加速!$L$11-IF(J361&gt;0,2,0),MAX(0,N360-(A361-A360)-IF(J361&gt;0,2,0)))),0)</f>
        <v>0</v>
      </c>
      <c r="O361">
        <f ca="1">IF(AND(COUNTIF(IF(AND(配装计算器!$K$30&lt;&gt;"∞",0),INDEX(AU360:CB360,1,$AT$1),INDEX(AU362:CB362,1,$AT$1)),"*云飞*")=1,COUNTIF(IF(AND(配装计算器!$K$30&lt;&gt;"∞",0),INDEX(AU360:CB360,1,$AT$1),INDEX(AU362:CB362,1,$AT$1)),"*玉山*")=0),N361,0)</f>
        <v>0</v>
      </c>
      <c r="P361">
        <f ca="1">IFERROR(IF(COUNTIF(B361,"*云栖松*")&gt;0,50-加速!$L$11,MAX(0,P360-(A361-A360))),0)</f>
        <v>0</v>
      </c>
      <c r="Q361">
        <f ca="1">IF(COUNTIF(IF(AND(配装计算器!$K$30&lt;&gt;"∞",0),INDEX(AU360:CB360,1,$AT$1),INDEX(AU362:CB362,1,$AT$1)),"*云栖松*")=1,P361,0)</f>
        <v>0</v>
      </c>
      <c r="R361">
        <f ca="1">IFERROR(IF(COUNTIF(B361,"*莺鸣柳*")&gt;0,45-加速!$L$9,MAX(0,R360-(A361-A360))),0)</f>
        <v>0</v>
      </c>
      <c r="S361">
        <f ca="1">IF(COUNTIF(IF(AND(配装计算器!$K$30&lt;&gt;"∞",0),INDEX(AU360:CB360,1,$AT$1),INDEX(AU362:CB362,1,$AT$1)),"*莺鸣柳*")=1,R361,0)</f>
        <v>0</v>
      </c>
      <c r="T361">
        <f ca="1" t="shared" si="76"/>
        <v>0</v>
      </c>
      <c r="U361">
        <f ca="1">IF(金蛇,IF(COUNTIF(B361,"*金环戴*")+COUNTIF(B361,"*吹风醒*")&gt;0,IF(A361&lt;=3,7.125-2.625-A361-加速!$L$11,7.125+加速!$K$9-(A361+加速!$L$11-T361)),0),0)+IF(金蛇,IF(COUNTIF(B361,"*千切子裂光*")&gt;0,2+加速!$K$9-(A361+加速!$L$11-T361),0),0)</f>
        <v>0</v>
      </c>
      <c r="V361">
        <f ca="1" t="shared" si="77"/>
        <v>0</v>
      </c>
      <c r="W361">
        <f ca="1" t="shared" si="69"/>
        <v>0</v>
      </c>
      <c r="X361">
        <f ca="1">INDEX(加速!$I$13:$I$21,技能数计算!W361+1)</f>
        <v>0</v>
      </c>
      <c r="Y361">
        <f ca="1" t="shared" si="73"/>
        <v>0.5</v>
      </c>
      <c r="Z361">
        <f ca="1" t="shared" si="74"/>
        <v>0</v>
      </c>
      <c r="AA361">
        <f ca="1">MAX(0,IFERROR(IF(COUNTIF(B361,"*叠*")&gt;0,IF(AC360&lt;3,8-A362+A361,AA360+6.875-A362+A361),AA360-A362+A361),AA360-加速!$L$11))</f>
        <v>0</v>
      </c>
      <c r="AB361" t="e">
        <f ca="1">MAX(0,IF(COUNTIF(IF(AND(配装计算器!$K$30&lt;&gt;"∞",0),INDEX(AU361:CB361,1,$AT$1),INDEX(AU361:CB361,1,$AT$1)),"*叠1*")=1,4*25-加速!$L$11,AB360-A361+A360)-IF(OR(COUNTIF(OFFSET(AT361,0,$AT$1,1,1),"*听雷*")&gt;0,AND(碧归&gt;0,COUNTIF(OFFSET(AT361,0,$AT$1,1,1),"*风来*")&gt;0)),0,1)*1.5)</f>
        <v>#VALUE!</v>
      </c>
      <c r="AC361">
        <f ca="1" t="shared" si="70"/>
        <v>3</v>
      </c>
      <c r="AD361">
        <f ca="1">IF(COUNTIF(IF(AND(配装计算器!$K$30&lt;&gt;"∞",0),INDEX(AU361:CB361,1,$AT$1),INDEX(AU362:CB362,1,$AT$1)),"*叠1*")=1,AB361*0+AE360,0)</f>
        <v>0</v>
      </c>
      <c r="AE361" t="e">
        <f ca="1">IF($AN$11&gt;0,IF(COUNTIF(B362,"*叠1*")&gt;0,50-加速!$H$11,MAX(0,AE360-(A362-A361))),0)</f>
        <v>#VALUE!</v>
      </c>
      <c r="AU361" t="str">
        <f>IF($AN$11=1,"云飞玉皇-玉山揽云","夕照雷峰")</f>
        <v>云飞玉皇-玉山揽云</v>
      </c>
      <c r="AV361">
        <v>2</v>
      </c>
      <c r="AW361" s="176" t="s">
        <v>2768</v>
      </c>
      <c r="AX361">
        <v>2</v>
      </c>
      <c r="AY361" t="s">
        <v>2768</v>
      </c>
      <c r="AZ361">
        <v>1</v>
      </c>
      <c r="BA361" t="s">
        <v>2768</v>
      </c>
      <c r="BB361">
        <v>1</v>
      </c>
      <c r="BC361" t="s">
        <v>2768</v>
      </c>
      <c r="BD361">
        <v>2</v>
      </c>
      <c r="BE361" t="s">
        <v>2768</v>
      </c>
      <c r="BF361">
        <v>1</v>
      </c>
      <c r="BG361" t="s">
        <v>2776</v>
      </c>
      <c r="BH361">
        <v>1</v>
      </c>
      <c r="BI361" t="s">
        <v>2768</v>
      </c>
      <c r="BJ361">
        <v>2</v>
      </c>
      <c r="BK361" t="s">
        <v>3068</v>
      </c>
      <c r="BL361">
        <v>2</v>
      </c>
      <c r="BM361" t="str">
        <f>IF(0,"云飞玉皇-玉山揽云","夕照雷峰")</f>
        <v>夕照雷峰</v>
      </c>
      <c r="BN361">
        <v>2</v>
      </c>
      <c r="BO361" t="s">
        <v>2776</v>
      </c>
      <c r="BP361">
        <v>2</v>
      </c>
      <c r="BQ361" t="s">
        <v>2768</v>
      </c>
      <c r="BR361">
        <v>1</v>
      </c>
      <c r="BS361" s="187" t="str">
        <f>IF(秋,"云景·云飞玉皇-叠-蛇牙锥心","云景·云飞玉皇-叠")</f>
        <v>云景·云飞玉皇-叠</v>
      </c>
      <c r="BT361">
        <v>2</v>
      </c>
      <c r="BU361" t="s">
        <v>2776</v>
      </c>
      <c r="BV361">
        <v>2</v>
      </c>
      <c r="BW361" s="179" t="s">
        <v>2768</v>
      </c>
      <c r="BX361" s="179">
        <v>2</v>
      </c>
      <c r="BY361" s="176" t="str">
        <f>IF(0,橙武补雾锁,"夕照雷峰")</f>
        <v>夕照雷峰</v>
      </c>
      <c r="BZ361">
        <v>2</v>
      </c>
      <c r="CA361" s="176" t="s">
        <v>2768</v>
      </c>
      <c r="CB361">
        <v>2</v>
      </c>
    </row>
    <row r="362" spans="1:80">
      <c r="A362" s="178" t="str">
        <f ca="1">IFERROR(IF(A361+加速!$L$11&lt;$AS$1,IF(COUNTIF(B361,"*轻*")&gt;0,A361+加速!$L$9,A361+加速!$L$11)+V361,IF(COUNTIF(INDEX(AU362:CB362,1,$AT$1),"*云景*")+COUNTIF(INDEX(AU362:CB362,1,$AT$1),"*鹤归*")+COUNTIF(INDEX(AU362:CB362,1,$AT$1),"*听雷*")&gt;0,A361+加速!$L$11,"")),"")</f>
        <v/>
      </c>
      <c r="B362" s="167" t="str">
        <f ca="1">IF(A362&lt;&gt;"",IF(AND(A362+加速!$L$11&gt;$AS$1,IF(AND(配装计算器!$K$30&lt;&gt;"∞",0),"梦泉虎跑-轻",INDEX(AU362:CB362,1,$AT$1))="云栖松"),"夕照雷峰",IF(AND(配装计算器!$K$30&lt;&gt;"∞",0),"梦泉虎跑-轻",INDEX(AU362:CB362,1,$AT$1))),"")</f>
        <v/>
      </c>
      <c r="C362" t="str">
        <f ca="1" t="shared" si="75"/>
        <v/>
      </c>
      <c r="D362" t="str">
        <f ca="1">IF(B362&lt;&gt;"",IF(C361&lt;=加速!$L$11*(1-E362),0,1),"")</f>
        <v/>
      </c>
      <c r="E362">
        <f ca="1" t="shared" si="71"/>
        <v>1</v>
      </c>
      <c r="G362" t="str">
        <f ca="1" t="shared" si="72"/>
        <v/>
      </c>
      <c r="H362" t="str">
        <f ca="1">IF(B362&lt;&gt;"",IF(AND(COUNTIF(B361,"*轻*莺鸣柳*")&gt;0,COUNTIF(B362,"*轻*")&lt;1),MAX(0,15+I361-(A362-A361)+COUNTIF(B361,"*平湖*")*0),IF(AND(E362=0,MAX(0,H361-(A362-A361))&lt;=加速!$H$11),0,MAX(0,H361-(A362-A361)))),"")</f>
        <v/>
      </c>
      <c r="I362" t="str">
        <f ca="1" t="shared" si="78"/>
        <v/>
      </c>
      <c r="J362" t="str">
        <f ca="1" t="shared" si="79"/>
        <v/>
      </c>
      <c r="K362" t="str">
        <f ca="1">IF(A362&lt;&gt;"",IF(AND(配装计算器!$K$30&lt;&gt;"∞",0),2,INDEX(AU362:CB362,1,$AT$2)),"")</f>
        <v/>
      </c>
      <c r="L362">
        <f ca="1">IFERROR(IF(AND(COUNTIF(B362,"*-峰插*"),技能数据库!$M$72&gt;0),0,IF(COUNTIF(B362,"*鹤归*")&gt;0,16-加速!$L$11,MAX(0,L361-(A362-A361)))),0)</f>
        <v>0</v>
      </c>
      <c r="M362">
        <f ca="1">IF(COUNTIF(IF(AND(配装计算器!$K$30&lt;&gt;"∞",0),INDEX(AU361:CB361,1,$AT$1),INDEX(AU363:CB363,1,$AT$1)),"*鹤归*")=1,L362,0)</f>
        <v>0</v>
      </c>
      <c r="N362">
        <f ca="1">IFERROR(IF(AND(COUNTIF(B362,"*-峰插*"),技能数据库!$M$72&gt;0),0,IF(COUNTIF(B362,"*云飞*")&gt;0,4-COUNTIF(B362,"*玉山揽云*")*4--COUNTIF(B362,"*烟流暮景*")*4-COUNTIF(B362,"*云景*")*加速!$L$11-IF(J362&gt;0,2,0),MAX(0,N361-(A362-A361)-IF(J362&gt;0,2,0)))),0)</f>
        <v>0</v>
      </c>
      <c r="O362">
        <f ca="1">IF(AND(COUNTIF(IF(AND(配装计算器!$K$30&lt;&gt;"∞",0),INDEX(AU361:CB361,1,$AT$1),INDEX(AU363:CB363,1,$AT$1)),"*云飞*")=1,COUNTIF(IF(AND(配装计算器!$K$30&lt;&gt;"∞",0),INDEX(AU361:CB361,1,$AT$1),INDEX(AU363:CB363,1,$AT$1)),"*玉山*")=0),N362,0)</f>
        <v>0</v>
      </c>
      <c r="P362">
        <f ca="1">IFERROR(IF(COUNTIF(B362,"*云栖松*")&gt;0,50-加速!$L$11,MAX(0,P361-(A362-A361))),0)</f>
        <v>0</v>
      </c>
      <c r="Q362">
        <f ca="1">IF(COUNTIF(IF(AND(配装计算器!$K$30&lt;&gt;"∞",0),INDEX(AU361:CB361,1,$AT$1),INDEX(AU363:CB363,1,$AT$1)),"*云栖松*")=1,P362,0)</f>
        <v>0</v>
      </c>
      <c r="R362">
        <f ca="1">IFERROR(IF(COUNTIF(B362,"*莺鸣柳*")&gt;0,45-加速!$L$9,MAX(0,R361-(A362-A361))),0)</f>
        <v>0</v>
      </c>
      <c r="S362">
        <f ca="1">IF(COUNTIF(IF(AND(配装计算器!$K$30&lt;&gt;"∞",0),INDEX(AU361:CB361,1,$AT$1),INDEX(AU363:CB363,1,$AT$1)),"*莺鸣柳*")=1,R362,0)</f>
        <v>0</v>
      </c>
      <c r="T362">
        <f ca="1" t="shared" si="76"/>
        <v>0</v>
      </c>
      <c r="U362">
        <f ca="1">IF(金蛇,IF(COUNTIF(B362,"*金环戴*")+COUNTIF(B362,"*吹风醒*")&gt;0,IF(A362&lt;=3,7.125-2.625-A362-加速!$L$11,7.125+加速!$K$9-(A362+加速!$L$11-T362)),0),0)+IF(金蛇,IF(COUNTIF(B362,"*千切子裂光*")&gt;0,2+加速!$K$9-(A362+加速!$L$11-T362),0),0)</f>
        <v>0</v>
      </c>
      <c r="V362">
        <f ca="1" t="shared" si="77"/>
        <v>0</v>
      </c>
      <c r="W362">
        <f ca="1" t="shared" si="69"/>
        <v>0</v>
      </c>
      <c r="X362">
        <f ca="1">INDEX(加速!$I$13:$I$21,技能数计算!W362+1)</f>
        <v>0</v>
      </c>
      <c r="Y362">
        <f ca="1" t="shared" si="73"/>
        <v>0.5</v>
      </c>
      <c r="Z362">
        <f ca="1" t="shared" si="74"/>
        <v>0</v>
      </c>
      <c r="AA362">
        <f ca="1">MAX(0,IFERROR(IF(COUNTIF(B362,"*叠*")&gt;0,IF(AC361&lt;3,8-A363+A362,AA361+6.875-A363+A362),AA361-A363+A362),AA361-加速!$L$11))</f>
        <v>0</v>
      </c>
      <c r="AB362" t="e">
        <f ca="1">MAX(0,IF(COUNTIF(IF(AND(配装计算器!$K$30&lt;&gt;"∞",0),INDEX(AU362:CB362,1,$AT$1),INDEX(AU362:CB362,1,$AT$1)),"*叠1*")=1,4*25-加速!$L$11,AB361-A362+A361)-IF(OR(COUNTIF(OFFSET(AT362,0,$AT$1,1,1),"*听雷*")&gt;0,AND(碧归&gt;0,COUNTIF(OFFSET(AT362,0,$AT$1,1,1),"*风来*")&gt;0)),0,1)*1.5)</f>
        <v>#VALUE!</v>
      </c>
      <c r="AC362">
        <f ca="1" t="shared" si="70"/>
        <v>3</v>
      </c>
      <c r="AD362">
        <f ca="1">IF(COUNTIF(IF(AND(配装计算器!$K$30&lt;&gt;"∞",0),INDEX(AU362:CB362,1,$AT$1),INDEX(AU363:CB363,1,$AT$1)),"*叠1*")=1,AB362*0+AE361,0)</f>
        <v>0</v>
      </c>
      <c r="AE362" t="e">
        <f ca="1">IF($AN$11&gt;0,IF(COUNTIF(B363,"*叠1*")&gt;0,50-加速!$H$11,MAX(0,AE361-(A363-A362))),0)</f>
        <v>#VALUE!</v>
      </c>
      <c r="AU362" t="s">
        <v>2776</v>
      </c>
      <c r="AV362">
        <v>2</v>
      </c>
      <c r="AW362" s="176" t="s">
        <v>2776</v>
      </c>
      <c r="AX362">
        <v>2</v>
      </c>
      <c r="AY362" t="s">
        <v>2776</v>
      </c>
      <c r="AZ362">
        <v>1</v>
      </c>
      <c r="BA362" t="s">
        <v>2768</v>
      </c>
      <c r="BB362">
        <v>0</v>
      </c>
      <c r="BC362" t="s">
        <v>2768</v>
      </c>
      <c r="BD362">
        <v>2</v>
      </c>
      <c r="BE362" t="s">
        <v>2776</v>
      </c>
      <c r="BF362">
        <v>0</v>
      </c>
      <c r="BG362" t="s">
        <v>2768</v>
      </c>
      <c r="BH362">
        <v>1</v>
      </c>
      <c r="BI362" s="176" t="s">
        <v>2776</v>
      </c>
      <c r="BJ362">
        <v>2</v>
      </c>
      <c r="BK362" t="s">
        <v>2768</v>
      </c>
      <c r="BL362">
        <v>2</v>
      </c>
      <c r="BM362" s="176" t="s">
        <v>2794</v>
      </c>
      <c r="BN362">
        <v>2</v>
      </c>
      <c r="BO362" t="s">
        <v>2768</v>
      </c>
      <c r="BP362">
        <v>2</v>
      </c>
      <c r="BQ362" t="s">
        <v>2776</v>
      </c>
      <c r="BR362">
        <v>1</v>
      </c>
      <c r="BS362" s="186" t="str">
        <f>IF(秋,"夕照雷峰","千切子寒光")</f>
        <v>千切子寒光</v>
      </c>
      <c r="BT362">
        <v>2</v>
      </c>
      <c r="BU362" t="s">
        <v>2768</v>
      </c>
      <c r="BV362">
        <v>1</v>
      </c>
      <c r="BW362" s="179" t="s">
        <v>2768</v>
      </c>
      <c r="BX362" s="179">
        <v>2</v>
      </c>
      <c r="BY362" s="176" t="str">
        <f>IF(0,"云飞玉皇-玉山揽云","云景·云飞玉皇")</f>
        <v>云景·云飞玉皇</v>
      </c>
      <c r="BZ362">
        <v>2</v>
      </c>
      <c r="CA362" s="176" t="s">
        <v>2808</v>
      </c>
      <c r="CB362">
        <v>2</v>
      </c>
    </row>
    <row r="363" spans="1:80">
      <c r="A363" s="178" t="str">
        <f ca="1">IFERROR(IF(A362+加速!$L$11&lt;$AS$1,IF(COUNTIF(B362,"*轻*")&gt;0,A362+加速!$L$9,A362+加速!$L$11)+V362,IF(COUNTIF(INDEX(AU363:CB363,1,$AT$1),"*云景*")+COUNTIF(INDEX(AU363:CB363,1,$AT$1),"*鹤归*")+COUNTIF(INDEX(AU363:CB363,1,$AT$1),"*听雷*")&gt;0,A362+加速!$L$11,"")),"")</f>
        <v/>
      </c>
      <c r="B363" s="167" t="str">
        <f ca="1">IF(A363&lt;&gt;"",IF(AND(A363+加速!$L$11&gt;$AS$1,IF(AND(配装计算器!$K$30&lt;&gt;"∞",0),"梦泉虎跑-轻",INDEX(AU363:CB363,1,$AT$1))="云栖松"),"夕照雷峰",IF(AND(配装计算器!$K$30&lt;&gt;"∞",0),"梦泉虎跑-轻",INDEX(AU363:CB363,1,$AT$1))),"")</f>
        <v/>
      </c>
      <c r="C363" t="str">
        <f ca="1" t="shared" si="75"/>
        <v/>
      </c>
      <c r="D363" t="str">
        <f ca="1">IF(B363&lt;&gt;"",IF(C362&lt;=加速!$L$11*(1-E363),0,1),"")</f>
        <v/>
      </c>
      <c r="E363">
        <f ca="1" t="shared" si="71"/>
        <v>1</v>
      </c>
      <c r="G363" t="str">
        <f ca="1" t="shared" si="72"/>
        <v/>
      </c>
      <c r="H363" t="str">
        <f ca="1">IF(B363&lt;&gt;"",IF(AND(COUNTIF(B362,"*轻*莺鸣柳*")&gt;0,COUNTIF(B363,"*轻*")&lt;1),MAX(0,15+I362-(A363-A362)+COUNTIF(B362,"*平湖*")*0),IF(AND(E363=0,MAX(0,H362-(A363-A362))&lt;=加速!$H$11),0,MAX(0,H362-(A363-A362)))),"")</f>
        <v/>
      </c>
      <c r="I363" t="str">
        <f ca="1" t="shared" si="78"/>
        <v/>
      </c>
      <c r="J363" t="str">
        <f ca="1" t="shared" si="79"/>
        <v/>
      </c>
      <c r="K363" t="str">
        <f ca="1">IF(A363&lt;&gt;"",IF(AND(配装计算器!$K$30&lt;&gt;"∞",0),2,INDEX(AU363:CB363,1,$AT$2)),"")</f>
        <v/>
      </c>
      <c r="L363">
        <f ca="1">IFERROR(IF(AND(COUNTIF(B363,"*-峰插*"),技能数据库!$M$72&gt;0),0,IF(COUNTIF(B363,"*鹤归*")&gt;0,16-加速!$L$11,MAX(0,L362-(A363-A362)))),0)</f>
        <v>0</v>
      </c>
      <c r="M363">
        <f ca="1">IF(COUNTIF(IF(AND(配装计算器!$K$30&lt;&gt;"∞",0),INDEX(AU362:CB362,1,$AT$1),INDEX(AU364:CB364,1,$AT$1)),"*鹤归*")=1,L363,0)</f>
        <v>0</v>
      </c>
      <c r="N363">
        <f ca="1">IFERROR(IF(AND(COUNTIF(B363,"*-峰插*"),技能数据库!$M$72&gt;0),0,IF(COUNTIF(B363,"*云飞*")&gt;0,4-COUNTIF(B363,"*玉山揽云*")*4--COUNTIF(B363,"*烟流暮景*")*4-COUNTIF(B363,"*云景*")*加速!$L$11-IF(J363&gt;0,2,0),MAX(0,N362-(A363-A362)-IF(J363&gt;0,2,0)))),0)</f>
        <v>0</v>
      </c>
      <c r="O363">
        <f ca="1">IF(AND(COUNTIF(IF(AND(配装计算器!$K$30&lt;&gt;"∞",0),INDEX(AU362:CB362,1,$AT$1),INDEX(AU364:CB364,1,$AT$1)),"*云飞*")=1,COUNTIF(IF(AND(配装计算器!$K$30&lt;&gt;"∞",0),INDEX(AU362:CB362,1,$AT$1),INDEX(AU364:CB364,1,$AT$1)),"*玉山*")=0),N363,0)</f>
        <v>0</v>
      </c>
      <c r="P363">
        <f ca="1">IFERROR(IF(COUNTIF(B363,"*云栖松*")&gt;0,50-加速!$L$11,MAX(0,P362-(A363-A362))),0)</f>
        <v>0</v>
      </c>
      <c r="Q363">
        <f ca="1">IF(COUNTIF(IF(AND(配装计算器!$K$30&lt;&gt;"∞",0),INDEX(AU362:CB362,1,$AT$1),INDEX(AU364:CB364,1,$AT$1)),"*云栖松*")=1,P363,0)</f>
        <v>0</v>
      </c>
      <c r="R363">
        <f ca="1">IFERROR(IF(COUNTIF(B363,"*莺鸣柳*")&gt;0,45-加速!$L$9,MAX(0,R362-(A363-A362))),0)</f>
        <v>0</v>
      </c>
      <c r="S363">
        <f ca="1">IF(COUNTIF(IF(AND(配装计算器!$K$30&lt;&gt;"∞",0),INDEX(AU362:CB362,1,$AT$1),INDEX(AU364:CB364,1,$AT$1)),"*莺鸣柳*")=1,R363,0)</f>
        <v>0</v>
      </c>
      <c r="T363">
        <f ca="1" t="shared" si="76"/>
        <v>0</v>
      </c>
      <c r="U363">
        <f ca="1">IF(金蛇,IF(COUNTIF(B363,"*金环戴*")+COUNTIF(B363,"*吹风醒*")&gt;0,IF(A363&lt;=3,7.125-2.625-A363-加速!$L$11,7.125+加速!$K$9-(A363+加速!$L$11-T363)),0),0)+IF(金蛇,IF(COUNTIF(B363,"*千切子裂光*")&gt;0,2+加速!$K$9-(A363+加速!$L$11-T363),0),0)</f>
        <v>0</v>
      </c>
      <c r="V363">
        <f ca="1" t="shared" si="77"/>
        <v>0</v>
      </c>
      <c r="W363">
        <f ca="1" t="shared" si="69"/>
        <v>0</v>
      </c>
      <c r="X363">
        <f ca="1">INDEX(加速!$I$13:$I$21,技能数计算!W363+1)</f>
        <v>0</v>
      </c>
      <c r="Y363">
        <f ca="1" t="shared" si="73"/>
        <v>0.5</v>
      </c>
      <c r="Z363">
        <f ca="1" t="shared" si="74"/>
        <v>0</v>
      </c>
      <c r="AA363">
        <f ca="1">MAX(0,IFERROR(IF(COUNTIF(B363,"*叠*")&gt;0,IF(AC362&lt;3,8-A364+A363,AA362+6.875-A364+A363),AA362-A364+A363),AA362-加速!$L$11))</f>
        <v>0</v>
      </c>
      <c r="AB363" t="e">
        <f ca="1">MAX(0,IF(COUNTIF(IF(AND(配装计算器!$K$30&lt;&gt;"∞",0),INDEX(AU363:CB363,1,$AT$1),INDEX(AU363:CB363,1,$AT$1)),"*叠1*")=1,4*25-加速!$L$11,AB362-A363+A362)-IF(OR(COUNTIF(OFFSET(AT363,0,$AT$1,1,1),"*听雷*")&gt;0,AND(碧归&gt;0,COUNTIF(OFFSET(AT363,0,$AT$1,1,1),"*风来*")&gt;0)),0,1)*1.5)</f>
        <v>#VALUE!</v>
      </c>
      <c r="AC363">
        <f ca="1" t="shared" si="70"/>
        <v>3</v>
      </c>
      <c r="AD363">
        <f ca="1">IF(COUNTIF(IF(AND(配装计算器!$K$30&lt;&gt;"∞",0),INDEX(AU363:CB363,1,$AT$1),INDEX(AU364:CB364,1,$AT$1)),"*叠1*")=1,AB363*0+AE362,0)</f>
        <v>0</v>
      </c>
      <c r="AE363" t="e">
        <f ca="1">IF($AN$11&gt;0,IF(COUNTIF(B364,"*叠1*")&gt;0,50-加速!$H$11,MAX(0,AE362-(A364-A363))),0)</f>
        <v>#VALUE!</v>
      </c>
      <c r="AU363" s="176" t="s">
        <v>2794</v>
      </c>
      <c r="AV363">
        <v>2</v>
      </c>
      <c r="AW363" s="176" t="s">
        <v>2768</v>
      </c>
      <c r="AX363">
        <v>2</v>
      </c>
      <c r="AY363" t="s">
        <v>2768</v>
      </c>
      <c r="AZ363">
        <v>1</v>
      </c>
      <c r="BA363" t="s">
        <v>3010</v>
      </c>
      <c r="BB363">
        <v>2</v>
      </c>
      <c r="BC363" t="s">
        <v>2776</v>
      </c>
      <c r="BD363">
        <v>1</v>
      </c>
      <c r="BE363" t="s">
        <v>2722</v>
      </c>
      <c r="BF363">
        <v>0</v>
      </c>
      <c r="BG363" t="s">
        <v>3011</v>
      </c>
      <c r="BH363">
        <v>2</v>
      </c>
      <c r="BI363" t="s">
        <v>2768</v>
      </c>
      <c r="BJ363">
        <v>2</v>
      </c>
      <c r="BK363" t="s">
        <v>2776</v>
      </c>
      <c r="BL363">
        <v>2</v>
      </c>
      <c r="BM363" s="176" t="s">
        <v>2768</v>
      </c>
      <c r="BN363">
        <v>2</v>
      </c>
      <c r="BO363" t="s">
        <v>2768</v>
      </c>
      <c r="BP363">
        <v>2</v>
      </c>
      <c r="BQ363" t="s">
        <v>2768</v>
      </c>
      <c r="BR363">
        <v>0</v>
      </c>
      <c r="BS363" s="186" t="str">
        <f>IF(秋,"夕照雷峰","千切子裂光")</f>
        <v>千切子裂光</v>
      </c>
      <c r="BT363">
        <v>2</v>
      </c>
      <c r="BU363" t="s">
        <v>2776</v>
      </c>
      <c r="BV363">
        <v>1</v>
      </c>
      <c r="BW363" s="179" t="s">
        <v>2776</v>
      </c>
      <c r="BX363" s="179">
        <v>2</v>
      </c>
      <c r="BY363" s="176" t="str">
        <f>IF(0,"云飞玉皇-玉山揽云","夕照雷峰")</f>
        <v>夕照雷峰</v>
      </c>
      <c r="BZ363">
        <v>2</v>
      </c>
      <c r="CA363" t="s">
        <v>2768</v>
      </c>
      <c r="CB363">
        <v>2</v>
      </c>
    </row>
    <row r="364" spans="1:80">
      <c r="A364" s="178" t="str">
        <f ca="1">IFERROR(IF(A363+加速!$L$11&lt;$AS$1,IF(COUNTIF(B363,"*轻*")&gt;0,A363+加速!$L$9,A363+加速!$L$11)+V363,IF(COUNTIF(INDEX(AU364:CB364,1,$AT$1),"*云景*")+COUNTIF(INDEX(AU364:CB364,1,$AT$1),"*鹤归*")+COUNTIF(INDEX(AU364:CB364,1,$AT$1),"*听雷*")&gt;0,A363+加速!$L$11,"")),"")</f>
        <v/>
      </c>
      <c r="B364" s="167" t="str">
        <f ca="1">IF(A364&lt;&gt;"",IF(AND(A364+加速!$L$11&gt;$AS$1,IF(AND(配装计算器!$K$30&lt;&gt;"∞",0),"梦泉虎跑-轻",INDEX(AU364:CB364,1,$AT$1))="云栖松"),"夕照雷峰",IF(AND(配装计算器!$K$30&lt;&gt;"∞",0),"梦泉虎跑-轻",INDEX(AU364:CB364,1,$AT$1))),"")</f>
        <v/>
      </c>
      <c r="C364" t="str">
        <f ca="1" t="shared" si="75"/>
        <v/>
      </c>
      <c r="D364" t="str">
        <f ca="1">IF(B364&lt;&gt;"",IF(C363&lt;=加速!$L$11*(1-E364),0,1),"")</f>
        <v/>
      </c>
      <c r="E364">
        <f ca="1" t="shared" si="71"/>
        <v>1</v>
      </c>
      <c r="G364" t="str">
        <f ca="1" t="shared" si="72"/>
        <v/>
      </c>
      <c r="H364" t="str">
        <f ca="1">IF(B364&lt;&gt;"",IF(AND(COUNTIF(B363,"*轻*莺鸣柳*")&gt;0,COUNTIF(B364,"*轻*")&lt;1),MAX(0,15+I363-(A364-A363)+COUNTIF(B363,"*平湖*")*0),IF(AND(E364=0,MAX(0,H363-(A364-A363))&lt;=加速!$H$11),0,MAX(0,H363-(A364-A363)))),"")</f>
        <v/>
      </c>
      <c r="I364" t="str">
        <f ca="1" t="shared" si="78"/>
        <v/>
      </c>
      <c r="J364" t="str">
        <f ca="1" t="shared" si="79"/>
        <v/>
      </c>
      <c r="K364" t="str">
        <f ca="1">IF(A364&lt;&gt;"",IF(AND(配装计算器!$K$30&lt;&gt;"∞",0),2,INDEX(AU364:CB364,1,$AT$2)),"")</f>
        <v/>
      </c>
      <c r="L364">
        <f ca="1">IFERROR(IF(AND(COUNTIF(B364,"*-峰插*"),技能数据库!$M$72&gt;0),0,IF(COUNTIF(B364,"*鹤归*")&gt;0,16-加速!$L$11,MAX(0,L363-(A364-A363)))),0)</f>
        <v>0</v>
      </c>
      <c r="M364">
        <f ca="1">IF(COUNTIF(IF(AND(配装计算器!$K$30&lt;&gt;"∞",0),INDEX(AU363:CB363,1,$AT$1),INDEX(AU365:CB365,1,$AT$1)),"*鹤归*")=1,L364,0)</f>
        <v>0</v>
      </c>
      <c r="N364">
        <f ca="1">IFERROR(IF(AND(COUNTIF(B364,"*-峰插*"),技能数据库!$M$72&gt;0),0,IF(COUNTIF(B364,"*云飞*")&gt;0,4-COUNTIF(B364,"*玉山揽云*")*4--COUNTIF(B364,"*烟流暮景*")*4-COUNTIF(B364,"*云景*")*加速!$L$11-IF(J364&gt;0,2,0),MAX(0,N363-(A364-A363)-IF(J364&gt;0,2,0)))),0)</f>
        <v>0</v>
      </c>
      <c r="O364">
        <f ca="1">IF(AND(COUNTIF(IF(AND(配装计算器!$K$30&lt;&gt;"∞",0),INDEX(AU363:CB363,1,$AT$1),INDEX(AU365:CB365,1,$AT$1)),"*云飞*")=1,COUNTIF(IF(AND(配装计算器!$K$30&lt;&gt;"∞",0),INDEX(AU363:CB363,1,$AT$1),INDEX(AU365:CB365,1,$AT$1)),"*玉山*")=0),N364,0)</f>
        <v>0</v>
      </c>
      <c r="P364">
        <f ca="1">IFERROR(IF(COUNTIF(B364,"*云栖松*")&gt;0,50-加速!$L$11,MAX(0,P363-(A364-A363))),0)</f>
        <v>0</v>
      </c>
      <c r="Q364">
        <f ca="1">IF(COUNTIF(IF(AND(配装计算器!$K$30&lt;&gt;"∞",0),INDEX(AU363:CB363,1,$AT$1),INDEX(AU365:CB365,1,$AT$1)),"*云栖松*")=1,P364,0)</f>
        <v>0</v>
      </c>
      <c r="R364">
        <f ca="1">IFERROR(IF(COUNTIF(B364,"*莺鸣柳*")&gt;0,45-加速!$L$9,MAX(0,R363-(A364-A363))),0)</f>
        <v>0</v>
      </c>
      <c r="S364">
        <f ca="1">IF(COUNTIF(IF(AND(配装计算器!$K$30&lt;&gt;"∞",0),INDEX(AU363:CB363,1,$AT$1),INDEX(AU365:CB365,1,$AT$1)),"*莺鸣柳*")=1,R364,0)</f>
        <v>0</v>
      </c>
      <c r="T364">
        <f ca="1" t="shared" si="76"/>
        <v>0</v>
      </c>
      <c r="U364">
        <f ca="1">IF(金蛇,IF(COUNTIF(B364,"*金环戴*")+COUNTIF(B364,"*吹风醒*")&gt;0,IF(A364&lt;=3,7.125-2.625-A364-加速!$L$11,7.125+加速!$K$9-(A364+加速!$L$11-T364)),0),0)+IF(金蛇,IF(COUNTIF(B364,"*千切子裂光*")&gt;0,2+加速!$K$9-(A364+加速!$L$11-T364),0),0)</f>
        <v>0</v>
      </c>
      <c r="V364">
        <f ca="1" t="shared" si="77"/>
        <v>0</v>
      </c>
      <c r="W364">
        <f ca="1" t="shared" si="69"/>
        <v>0</v>
      </c>
      <c r="X364">
        <f ca="1">INDEX(加速!$I$13:$I$21,技能数计算!W364+1)</f>
        <v>0</v>
      </c>
      <c r="Y364">
        <f ca="1" t="shared" si="73"/>
        <v>0.5</v>
      </c>
      <c r="Z364">
        <f ca="1" t="shared" si="74"/>
        <v>0</v>
      </c>
      <c r="AA364">
        <f ca="1">MAX(0,IFERROR(IF(COUNTIF(B364,"*叠*")&gt;0,IF(AC363&lt;3,8-A365+A364,AA363+6.875-A365+A364),AA363-A365+A364),AA363-加速!$L$11))</f>
        <v>0</v>
      </c>
      <c r="AB364" t="e">
        <f ca="1">MAX(0,IF(COUNTIF(IF(AND(配装计算器!$K$30&lt;&gt;"∞",0),INDEX(AU364:CB364,1,$AT$1),INDEX(AU364:CB364,1,$AT$1)),"*叠1*")=1,4*25-加速!$L$11,AB363-A364+A363)-IF(OR(COUNTIF(OFFSET(AT364,0,$AT$1,1,1),"*听雷*")&gt;0,AND(碧归&gt;0,COUNTIF(OFFSET(AT364,0,$AT$1,1,1),"*风来*")&gt;0)),0,1)*1.5)</f>
        <v>#VALUE!</v>
      </c>
      <c r="AC364">
        <f ca="1" t="shared" si="70"/>
        <v>3</v>
      </c>
      <c r="AD364">
        <f ca="1">IF(COUNTIF(IF(AND(配装计算器!$K$30&lt;&gt;"∞",0),INDEX(AU364:CB364,1,$AT$1),INDEX(AU365:CB365,1,$AT$1)),"*叠1*")=1,AB364*0+AE363,0)</f>
        <v>0</v>
      </c>
      <c r="AE364" t="e">
        <f ca="1">IF($AN$11&gt;0,IF(COUNTIF(B365,"*叠1*")&gt;0,50-加速!$H$11,MAX(0,AE363-(A365-A364))),0)</f>
        <v>#VALUE!</v>
      </c>
      <c r="AU364" s="176" t="s">
        <v>2768</v>
      </c>
      <c r="AV364">
        <v>2</v>
      </c>
      <c r="AW364" s="176" t="s">
        <v>2776</v>
      </c>
      <c r="AX364">
        <v>2</v>
      </c>
      <c r="AY364" t="s">
        <v>2768</v>
      </c>
      <c r="AZ364">
        <v>0</v>
      </c>
      <c r="BA364" t="s">
        <v>3013</v>
      </c>
      <c r="BB364">
        <v>2</v>
      </c>
      <c r="BC364" t="s">
        <v>2768</v>
      </c>
      <c r="BD364">
        <v>1</v>
      </c>
      <c r="BE364" t="s">
        <v>2722</v>
      </c>
      <c r="BF364">
        <v>2</v>
      </c>
      <c r="BG364" t="s">
        <v>2768</v>
      </c>
      <c r="BH364">
        <v>2</v>
      </c>
      <c r="BI364" t="s">
        <v>2768</v>
      </c>
      <c r="BJ364">
        <v>1</v>
      </c>
      <c r="BK364" t="s">
        <v>2768</v>
      </c>
      <c r="BL364">
        <v>2</v>
      </c>
      <c r="BM364" s="176" t="s">
        <v>2776</v>
      </c>
      <c r="BN364">
        <v>2</v>
      </c>
      <c r="BO364" t="s">
        <v>2768</v>
      </c>
      <c r="BP364">
        <v>2</v>
      </c>
      <c r="BQ364" t="s">
        <v>2768</v>
      </c>
      <c r="BR364">
        <v>0</v>
      </c>
      <c r="BS364" s="176" t="s">
        <v>2768</v>
      </c>
      <c r="BT364">
        <v>2</v>
      </c>
      <c r="BU364" t="s">
        <v>2768</v>
      </c>
      <c r="BV364">
        <v>0</v>
      </c>
      <c r="BW364" s="179" t="s">
        <v>2768</v>
      </c>
      <c r="BX364" s="179">
        <v>2</v>
      </c>
      <c r="BY364" t="s">
        <v>2776</v>
      </c>
      <c r="BZ364">
        <v>2</v>
      </c>
      <c r="CA364" t="s">
        <v>2776</v>
      </c>
      <c r="CB364">
        <v>2</v>
      </c>
    </row>
    <row r="365" spans="1:80">
      <c r="A365" s="178" t="str">
        <f ca="1">IFERROR(IF(A364+加速!$L$11&lt;$AS$1,IF(COUNTIF(B364,"*轻*")&gt;0,A364+加速!$L$9,A364+加速!$L$11)+V364,IF(COUNTIF(INDEX(AU365:CB365,1,$AT$1),"*云景*")+COUNTIF(INDEX(AU365:CB365,1,$AT$1),"*鹤归*")+COUNTIF(INDEX(AU365:CB365,1,$AT$1),"*听雷*")&gt;0,A364+加速!$L$11,"")),"")</f>
        <v/>
      </c>
      <c r="B365" s="167" t="str">
        <f ca="1">IF(A365&lt;&gt;"",IF(AND(A365+加速!$L$11&gt;$AS$1,IF(AND(配装计算器!$K$30&lt;&gt;"∞",0),"梦泉虎跑-轻",INDEX(AU365:CB365,1,$AT$1))="云栖松"),"夕照雷峰",IF(AND(配装计算器!$K$30&lt;&gt;"∞",0),"梦泉虎跑-轻",INDEX(AU365:CB365,1,$AT$1))),"")</f>
        <v/>
      </c>
      <c r="C365" t="str">
        <f ca="1" t="shared" si="75"/>
        <v/>
      </c>
      <c r="D365" t="str">
        <f ca="1">IF(B365&lt;&gt;"",IF(C364&lt;=加速!$L$11*(1-E365),0,1),"")</f>
        <v/>
      </c>
      <c r="E365">
        <f ca="1" t="shared" si="71"/>
        <v>1</v>
      </c>
      <c r="G365" t="str">
        <f ca="1" t="shared" si="72"/>
        <v/>
      </c>
      <c r="H365" t="str">
        <f ca="1">IF(B365&lt;&gt;"",IF(AND(COUNTIF(B364,"*轻*莺鸣柳*")&gt;0,COUNTIF(B365,"*轻*")&lt;1),MAX(0,15+I364-(A365-A364)+COUNTIF(B364,"*平湖*")*0),IF(AND(E365=0,MAX(0,H364-(A365-A364))&lt;=加速!$H$11),0,MAX(0,H364-(A365-A364)))),"")</f>
        <v/>
      </c>
      <c r="I365" t="str">
        <f ca="1" t="shared" si="78"/>
        <v/>
      </c>
      <c r="J365" t="str">
        <f ca="1" t="shared" si="79"/>
        <v/>
      </c>
      <c r="K365" t="str">
        <f ca="1">IF(A365&lt;&gt;"",IF(AND(配装计算器!$K$30&lt;&gt;"∞",0),2,INDEX(AU365:CB365,1,$AT$2)),"")</f>
        <v/>
      </c>
      <c r="L365">
        <f ca="1">IFERROR(IF(AND(COUNTIF(B365,"*-峰插*"),技能数据库!$M$72&gt;0),0,IF(COUNTIF(B365,"*鹤归*")&gt;0,16-加速!$L$11,MAX(0,L364-(A365-A364)))),0)</f>
        <v>0</v>
      </c>
      <c r="M365">
        <f ca="1">IF(COUNTIF(IF(AND(配装计算器!$K$30&lt;&gt;"∞",0),INDEX(AU364:CB364,1,$AT$1),INDEX(AU366:CB366,1,$AT$1)),"*鹤归*")=1,L365,0)</f>
        <v>0</v>
      </c>
      <c r="N365">
        <f ca="1">IFERROR(IF(AND(COUNTIF(B365,"*-峰插*"),技能数据库!$M$72&gt;0),0,IF(COUNTIF(B365,"*云飞*")&gt;0,4-COUNTIF(B365,"*玉山揽云*")*4--COUNTIF(B365,"*烟流暮景*")*4-COUNTIF(B365,"*云景*")*加速!$L$11-IF(J365&gt;0,2,0),MAX(0,N364-(A365-A364)-IF(J365&gt;0,2,0)))),0)</f>
        <v>0</v>
      </c>
      <c r="O365">
        <f ca="1">IF(AND(COUNTIF(IF(AND(配装计算器!$K$30&lt;&gt;"∞",0),INDEX(AU364:CB364,1,$AT$1),INDEX(AU366:CB366,1,$AT$1)),"*云飞*")=1,COUNTIF(IF(AND(配装计算器!$K$30&lt;&gt;"∞",0),INDEX(AU364:CB364,1,$AT$1),INDEX(AU366:CB366,1,$AT$1)),"*玉山*")=0),N365,0)</f>
        <v>0</v>
      </c>
      <c r="P365">
        <f ca="1">IFERROR(IF(COUNTIF(B365,"*云栖松*")&gt;0,50-加速!$L$11,MAX(0,P364-(A365-A364))),0)</f>
        <v>0</v>
      </c>
      <c r="Q365">
        <f ca="1">IF(COUNTIF(IF(AND(配装计算器!$K$30&lt;&gt;"∞",0),INDEX(AU364:CB364,1,$AT$1),INDEX(AU366:CB366,1,$AT$1)),"*云栖松*")=1,P365,0)</f>
        <v>0</v>
      </c>
      <c r="R365">
        <f ca="1">IFERROR(IF(COUNTIF(B365,"*莺鸣柳*")&gt;0,45-加速!$L$9,MAX(0,R364-(A365-A364))),0)</f>
        <v>0</v>
      </c>
      <c r="S365">
        <f ca="1">IF(COUNTIF(IF(AND(配装计算器!$K$30&lt;&gt;"∞",0),INDEX(AU364:CB364,1,$AT$1),INDEX(AU366:CB366,1,$AT$1)),"*莺鸣柳*")=1,R365,0)</f>
        <v>0</v>
      </c>
      <c r="T365">
        <f ca="1" t="shared" si="76"/>
        <v>0</v>
      </c>
      <c r="U365">
        <f ca="1">IF(金蛇,IF(COUNTIF(B365,"*金环戴*")+COUNTIF(B365,"*吹风醒*")&gt;0,IF(A365&lt;=3,7.125-2.625-A365-加速!$L$11,7.125+加速!$K$9-(A365+加速!$L$11-T365)),0),0)+IF(金蛇,IF(COUNTIF(B365,"*千切子裂光*")&gt;0,2+加速!$K$9-(A365+加速!$L$11-T365),0),0)</f>
        <v>0</v>
      </c>
      <c r="V365">
        <f ca="1" t="shared" si="77"/>
        <v>0</v>
      </c>
      <c r="W365">
        <f ca="1" t="shared" si="69"/>
        <v>0</v>
      </c>
      <c r="X365">
        <f ca="1">INDEX(加速!$I$13:$I$21,技能数计算!W365+1)</f>
        <v>0</v>
      </c>
      <c r="Y365">
        <f ca="1" t="shared" si="73"/>
        <v>0.5</v>
      </c>
      <c r="Z365">
        <f ca="1" t="shared" si="74"/>
        <v>0</v>
      </c>
      <c r="AA365">
        <f ca="1">MAX(0,IFERROR(IF(COUNTIF(B365,"*叠*")&gt;0,IF(AC364&lt;3,8-A366+A365,AA364+6.875-A366+A365),AA364-A366+A365),AA364-加速!$L$11))</f>
        <v>0</v>
      </c>
      <c r="AB365" t="e">
        <f ca="1">MAX(0,IF(COUNTIF(IF(AND(配装计算器!$K$30&lt;&gt;"∞",0),INDEX(AU365:CB365,1,$AT$1),INDEX(AU365:CB365,1,$AT$1)),"*叠1*")=1,4*25-加速!$L$11,AB364-A365+A364)-IF(OR(COUNTIF(OFFSET(AT365,0,$AT$1,1,1),"*听雷*")&gt;0,AND(碧归&gt;0,COUNTIF(OFFSET(AT365,0,$AT$1,1,1),"*风来*")&gt;0)),0,1)*1.5)</f>
        <v>#VALUE!</v>
      </c>
      <c r="AC365">
        <f ca="1" t="shared" si="70"/>
        <v>3</v>
      </c>
      <c r="AD365">
        <f ca="1">IF(COUNTIF(IF(AND(配装计算器!$K$30&lt;&gt;"∞",0),INDEX(AU365:CB365,1,$AT$1),INDEX(AU366:CB366,1,$AT$1)),"*叠1*")=1,AB365*0+AE364,0)</f>
        <v>0</v>
      </c>
      <c r="AE365" t="e">
        <f ca="1">IF($AN$11&gt;0,IF(COUNTIF(B366,"*叠1*")&gt;0,50-加速!$H$11,MAX(0,AE364-(A366-A365))),0)</f>
        <v>#VALUE!</v>
      </c>
      <c r="AU365" s="176" t="s">
        <v>2776</v>
      </c>
      <c r="AV365">
        <v>2</v>
      </c>
      <c r="AW365" s="176" t="str">
        <f t="shared" ref="AW365:AW369" si="80">IF($AN$11=1,"云飞玉皇-玉山揽云","夕照雷峰")</f>
        <v>云飞玉皇-玉山揽云</v>
      </c>
      <c r="AX365">
        <v>2</v>
      </c>
      <c r="AY365" t="s">
        <v>3010</v>
      </c>
      <c r="AZ365">
        <v>2</v>
      </c>
      <c r="BA365" t="s">
        <v>3017</v>
      </c>
      <c r="BB365">
        <v>2</v>
      </c>
      <c r="BC365" t="s">
        <v>2794</v>
      </c>
      <c r="BD365">
        <v>2</v>
      </c>
      <c r="BE365" t="s">
        <v>2768</v>
      </c>
      <c r="BF365">
        <v>2</v>
      </c>
      <c r="BG365" t="s">
        <v>3018</v>
      </c>
      <c r="BH365">
        <v>2</v>
      </c>
      <c r="BI365" s="176" t="s">
        <v>2768</v>
      </c>
      <c r="BJ365">
        <v>1</v>
      </c>
      <c r="BK365" t="s">
        <v>2768</v>
      </c>
      <c r="BL365">
        <v>2</v>
      </c>
      <c r="BM365" s="176" t="s">
        <v>2768</v>
      </c>
      <c r="BN365">
        <v>2</v>
      </c>
      <c r="BO365" t="s">
        <v>2776</v>
      </c>
      <c r="BP365">
        <v>2</v>
      </c>
      <c r="BQ365" t="s">
        <v>3067</v>
      </c>
      <c r="BR365">
        <v>0</v>
      </c>
      <c r="BS365" s="176" t="s">
        <v>2776</v>
      </c>
      <c r="BT365">
        <v>2</v>
      </c>
      <c r="BU365" t="s">
        <v>2768</v>
      </c>
      <c r="BV365">
        <v>0</v>
      </c>
      <c r="BW365" s="179" t="s">
        <v>2768</v>
      </c>
      <c r="BX365" s="179">
        <v>1</v>
      </c>
      <c r="BY365" t="s">
        <v>2768</v>
      </c>
      <c r="BZ365">
        <v>2</v>
      </c>
      <c r="CA365" t="s">
        <v>2768</v>
      </c>
      <c r="CB365">
        <v>2</v>
      </c>
    </row>
    <row r="366" spans="1:80">
      <c r="A366" s="178" t="str">
        <f ca="1">IFERROR(IF(A365+加速!$L$11&lt;$AS$1,IF(COUNTIF(B365,"*轻*")&gt;0,A365+加速!$L$9,A365+加速!$L$11)+V365,IF(COUNTIF(INDEX(AU366:CB366,1,$AT$1),"*云景*")+COUNTIF(INDEX(AU366:CB366,1,$AT$1),"*鹤归*")+COUNTIF(INDEX(AU366:CB366,1,$AT$1),"*听雷*")&gt;0,A365+加速!$L$11,"")),"")</f>
        <v/>
      </c>
      <c r="B366" s="167" t="str">
        <f ca="1">IF(A366&lt;&gt;"",IF(AND(A366+加速!$L$11&gt;$AS$1,IF(AND(配装计算器!$K$30&lt;&gt;"∞",0),"梦泉虎跑-轻",INDEX(AU366:CB366,1,$AT$1))="云栖松"),"夕照雷峰",IF(AND(配装计算器!$K$30&lt;&gt;"∞",0),"梦泉虎跑-轻",INDEX(AU366:CB366,1,$AT$1))),"")</f>
        <v/>
      </c>
      <c r="C366" t="str">
        <f ca="1" t="shared" si="75"/>
        <v/>
      </c>
      <c r="D366" t="str">
        <f ca="1">IF(B366&lt;&gt;"",IF(C365&lt;=加速!$L$11*(1-E366),0,1),"")</f>
        <v/>
      </c>
      <c r="E366">
        <f ca="1" t="shared" si="71"/>
        <v>1</v>
      </c>
      <c r="G366" t="str">
        <f ca="1" t="shared" si="72"/>
        <v/>
      </c>
      <c r="H366" t="str">
        <f ca="1">IF(B366&lt;&gt;"",IF(AND(COUNTIF(B365,"*轻*莺鸣柳*")&gt;0,COUNTIF(B366,"*轻*")&lt;1),MAX(0,15+I365-(A366-A365)+COUNTIF(B365,"*平湖*")*0),IF(AND(E366=0,MAX(0,H365-(A366-A365))&lt;=加速!$H$11),0,MAX(0,H365-(A366-A365)))),"")</f>
        <v/>
      </c>
      <c r="I366" t="str">
        <f ca="1" t="shared" si="78"/>
        <v/>
      </c>
      <c r="J366" t="str">
        <f ca="1" t="shared" si="79"/>
        <v/>
      </c>
      <c r="K366" t="str">
        <f ca="1">IF(A366&lt;&gt;"",IF(AND(配装计算器!$K$30&lt;&gt;"∞",0),2,INDEX(AU366:CB366,1,$AT$2)),"")</f>
        <v/>
      </c>
      <c r="L366">
        <f ca="1">IFERROR(IF(AND(COUNTIF(B366,"*-峰插*"),技能数据库!$M$72&gt;0),0,IF(COUNTIF(B366,"*鹤归*")&gt;0,16-加速!$L$11,MAX(0,L365-(A366-A365)))),0)</f>
        <v>0</v>
      </c>
      <c r="M366">
        <f ca="1">IF(COUNTIF(IF(AND(配装计算器!$K$30&lt;&gt;"∞",0),INDEX(AU365:CB365,1,$AT$1),INDEX(AU367:CB367,1,$AT$1)),"*鹤归*")=1,L366,0)</f>
        <v>0</v>
      </c>
      <c r="N366">
        <f ca="1">IFERROR(IF(AND(COUNTIF(B366,"*-峰插*"),技能数据库!$M$72&gt;0),0,IF(COUNTIF(B366,"*云飞*")&gt;0,4-COUNTIF(B366,"*玉山揽云*")*4--COUNTIF(B366,"*烟流暮景*")*4-COUNTIF(B366,"*云景*")*加速!$L$11-IF(J366&gt;0,2,0),MAX(0,N365-(A366-A365)-IF(J366&gt;0,2,0)))),0)</f>
        <v>0</v>
      </c>
      <c r="O366">
        <f ca="1">IF(AND(COUNTIF(IF(AND(配装计算器!$K$30&lt;&gt;"∞",0),INDEX(AU365:CB365,1,$AT$1),INDEX(AU367:CB367,1,$AT$1)),"*云飞*")=1,COUNTIF(IF(AND(配装计算器!$K$30&lt;&gt;"∞",0),INDEX(AU365:CB365,1,$AT$1),INDEX(AU367:CB367,1,$AT$1)),"*玉山*")=0),N366,0)</f>
        <v>0</v>
      </c>
      <c r="P366">
        <f ca="1">IFERROR(IF(COUNTIF(B366,"*云栖松*")&gt;0,50-加速!$L$11,MAX(0,P365-(A366-A365))),0)</f>
        <v>0</v>
      </c>
      <c r="Q366">
        <f ca="1">IF(COUNTIF(IF(AND(配装计算器!$K$30&lt;&gt;"∞",0),INDEX(AU365:CB365,1,$AT$1),INDEX(AU367:CB367,1,$AT$1)),"*云栖松*")=1,P366,0)</f>
        <v>0</v>
      </c>
      <c r="R366">
        <f ca="1">IFERROR(IF(COUNTIF(B366,"*莺鸣柳*")&gt;0,45-加速!$L$9,MAX(0,R365-(A366-A365))),0)</f>
        <v>0</v>
      </c>
      <c r="S366">
        <f ca="1">IF(COUNTIF(IF(AND(配装计算器!$K$30&lt;&gt;"∞",0),INDEX(AU365:CB365,1,$AT$1),INDEX(AU367:CB367,1,$AT$1)),"*莺鸣柳*")=1,R366,0)</f>
        <v>0</v>
      </c>
      <c r="T366">
        <f ca="1" t="shared" si="76"/>
        <v>0</v>
      </c>
      <c r="U366">
        <f ca="1">IF(金蛇,IF(COUNTIF(B366,"*金环戴*")+COUNTIF(B366,"*吹风醒*")&gt;0,IF(A366&lt;=3,7.125-2.625-A366-加速!$L$11,7.125+加速!$K$9-(A366+加速!$L$11-T366)),0),0)+IF(金蛇,IF(COUNTIF(B366,"*千切子裂光*")&gt;0,2+加速!$K$9-(A366+加速!$L$11-T366),0),0)</f>
        <v>0</v>
      </c>
      <c r="V366">
        <f ca="1" t="shared" si="77"/>
        <v>0</v>
      </c>
      <c r="W366">
        <f ca="1" t="shared" si="69"/>
        <v>0</v>
      </c>
      <c r="X366">
        <f ca="1">INDEX(加速!$I$13:$I$21,技能数计算!W366+1)</f>
        <v>0</v>
      </c>
      <c r="Y366">
        <f ca="1" t="shared" si="73"/>
        <v>0.5</v>
      </c>
      <c r="Z366">
        <f ca="1" t="shared" si="74"/>
        <v>0</v>
      </c>
      <c r="AA366">
        <f ca="1">MAX(0,IFERROR(IF(COUNTIF(B366,"*叠*")&gt;0,IF(AC365&lt;3,8-A367+A366,AA365+6.875-A367+A366),AA365-A367+A366),AA365-加速!$L$11))</f>
        <v>0</v>
      </c>
      <c r="AB366" t="e">
        <f ca="1">MAX(0,IF(COUNTIF(IF(AND(配装计算器!$K$30&lt;&gt;"∞",0),INDEX(AU366:CB366,1,$AT$1),INDEX(AU366:CB366,1,$AT$1)),"*叠1*")=1,4*25-加速!$L$11,AB365-A366+A365)-IF(OR(COUNTIF(OFFSET(AT366,0,$AT$1,1,1),"*听雷*")&gt;0,AND(碧归&gt;0,COUNTIF(OFFSET(AT366,0,$AT$1,1,1),"*风来*")&gt;0)),0,1)*1.5)</f>
        <v>#VALUE!</v>
      </c>
      <c r="AC366">
        <f ca="1" t="shared" si="70"/>
        <v>3</v>
      </c>
      <c r="AD366">
        <f ca="1">IF(COUNTIF(IF(AND(配装计算器!$K$30&lt;&gt;"∞",0),INDEX(AU366:CB366,1,$AT$1),INDEX(AU367:CB367,1,$AT$1)),"*叠1*")=1,AB366*0+AE365,0)</f>
        <v>0</v>
      </c>
      <c r="AE366" t="e">
        <f ca="1">IF($AN$11&gt;0,IF(COUNTIF(B367,"*叠1*")&gt;0,50-加速!$H$11,MAX(0,AE365-(A367-A366))),0)</f>
        <v>#VALUE!</v>
      </c>
      <c r="AU366" s="176" t="s">
        <v>2768</v>
      </c>
      <c r="AV366">
        <v>2</v>
      </c>
      <c r="AW366" t="str">
        <f>IF($AN$11=1,"云飞玉皇-玉山揽云","云景·云飞玉皇-黄龙吐翠")</f>
        <v>云飞玉皇-玉山揽云</v>
      </c>
      <c r="AX366">
        <f>IF($AN$11=1,2,1)</f>
        <v>2</v>
      </c>
      <c r="AY366" t="s">
        <v>3013</v>
      </c>
      <c r="AZ366">
        <v>2</v>
      </c>
      <c r="BA366" t="s">
        <v>2808</v>
      </c>
      <c r="BB366">
        <v>2</v>
      </c>
      <c r="BC366" t="s">
        <v>2768</v>
      </c>
      <c r="BD366">
        <v>2</v>
      </c>
      <c r="BE366" t="s">
        <v>2776</v>
      </c>
      <c r="BF366">
        <v>2</v>
      </c>
      <c r="BG366" t="s">
        <v>2768</v>
      </c>
      <c r="BH366">
        <v>2</v>
      </c>
      <c r="BI366" s="176" t="s">
        <v>2776</v>
      </c>
      <c r="BJ366">
        <v>0</v>
      </c>
      <c r="BK366" s="176" t="s">
        <v>3056</v>
      </c>
      <c r="BL366">
        <v>2</v>
      </c>
      <c r="BM366" s="176" t="s">
        <v>2776</v>
      </c>
      <c r="BN366">
        <v>2</v>
      </c>
      <c r="BO366" t="s">
        <v>2768</v>
      </c>
      <c r="BP366">
        <v>1</v>
      </c>
      <c r="BQ366" t="s">
        <v>2776</v>
      </c>
      <c r="BR366">
        <v>2</v>
      </c>
      <c r="BS366" s="176" t="s">
        <v>2768</v>
      </c>
      <c r="BT366">
        <v>2</v>
      </c>
      <c r="BU366" t="s">
        <v>2776</v>
      </c>
      <c r="BV366">
        <v>0</v>
      </c>
      <c r="BW366" s="179" t="s">
        <v>2768</v>
      </c>
      <c r="BX366" s="179">
        <v>1</v>
      </c>
      <c r="BY366" t="s">
        <v>2718</v>
      </c>
      <c r="BZ366">
        <v>0</v>
      </c>
      <c r="CA366" t="s">
        <v>2768</v>
      </c>
      <c r="CB366">
        <v>2</v>
      </c>
    </row>
    <row r="367" spans="1:80">
      <c r="A367" s="178" t="str">
        <f ca="1">IFERROR(IF(A366+加速!$L$11&lt;$AS$1,IF(COUNTIF(B366,"*轻*")&gt;0,A366+加速!$L$9,A366+加速!$L$11)+V366,IF(COUNTIF(INDEX(AU367:CB367,1,$AT$1),"*云景*")+COUNTIF(INDEX(AU367:CB367,1,$AT$1),"*鹤归*")+COUNTIF(INDEX(AU367:CB367,1,$AT$1),"*听雷*")&gt;0,A366+加速!$L$11,"")),"")</f>
        <v/>
      </c>
      <c r="B367" s="167" t="str">
        <f ca="1">IF(A367&lt;&gt;"",IF(AND(A367+加速!$L$11&gt;$AS$1,IF(AND(配装计算器!$K$30&lt;&gt;"∞",0),"梦泉虎跑-轻",INDEX(AU367:CB367,1,$AT$1))="云栖松"),"夕照雷峰",IF(AND(配装计算器!$K$30&lt;&gt;"∞",0),"梦泉虎跑-轻",INDEX(AU367:CB367,1,$AT$1))),"")</f>
        <v/>
      </c>
      <c r="C367" t="str">
        <f ca="1" t="shared" si="75"/>
        <v/>
      </c>
      <c r="D367" t="str">
        <f ca="1">IF(B367&lt;&gt;"",IF(C366&lt;=加速!$L$11*(1-E367),0,1),"")</f>
        <v/>
      </c>
      <c r="E367">
        <f ca="1" t="shared" si="71"/>
        <v>1</v>
      </c>
      <c r="G367" t="str">
        <f ca="1" t="shared" si="72"/>
        <v/>
      </c>
      <c r="H367" t="str">
        <f ca="1">IF(B367&lt;&gt;"",IF(AND(COUNTIF(B366,"*轻*莺鸣柳*")&gt;0,COUNTIF(B367,"*轻*")&lt;1),MAX(0,15+I366-(A367-A366)+COUNTIF(B366,"*平湖*")*0),IF(AND(E367=0,MAX(0,H366-(A367-A366))&lt;=加速!$H$11),0,MAX(0,H366-(A367-A366)))),"")</f>
        <v/>
      </c>
      <c r="I367" t="str">
        <f ca="1" t="shared" si="78"/>
        <v/>
      </c>
      <c r="J367" t="str">
        <f ca="1" t="shared" si="79"/>
        <v/>
      </c>
      <c r="K367" t="str">
        <f ca="1">IF(A367&lt;&gt;"",IF(AND(配装计算器!$K$30&lt;&gt;"∞",0),2,INDEX(AU367:CB367,1,$AT$2)),"")</f>
        <v/>
      </c>
      <c r="L367">
        <f ca="1">IFERROR(IF(AND(COUNTIF(B367,"*-峰插*"),技能数据库!$M$72&gt;0),0,IF(COUNTIF(B367,"*鹤归*")&gt;0,16-加速!$L$11,MAX(0,L366-(A367-A366)))),0)</f>
        <v>0</v>
      </c>
      <c r="M367">
        <f ca="1">IF(COUNTIF(IF(AND(配装计算器!$K$30&lt;&gt;"∞",0),INDEX(AU366:CB366,1,$AT$1),INDEX(AU368:CB368,1,$AT$1)),"*鹤归*")=1,L367,0)</f>
        <v>0</v>
      </c>
      <c r="N367">
        <f ca="1">IFERROR(IF(AND(COUNTIF(B367,"*-峰插*"),技能数据库!$M$72&gt;0),0,IF(COUNTIF(B367,"*云飞*")&gt;0,4-COUNTIF(B367,"*玉山揽云*")*4--COUNTIF(B367,"*烟流暮景*")*4-COUNTIF(B367,"*云景*")*加速!$L$11-IF(J367&gt;0,2,0),MAX(0,N366-(A367-A366)-IF(J367&gt;0,2,0)))),0)</f>
        <v>0</v>
      </c>
      <c r="O367">
        <f ca="1">IF(AND(COUNTIF(IF(AND(配装计算器!$K$30&lt;&gt;"∞",0),INDEX(AU366:CB366,1,$AT$1),INDEX(AU368:CB368,1,$AT$1)),"*云飞*")=1,COUNTIF(IF(AND(配装计算器!$K$30&lt;&gt;"∞",0),INDEX(AU366:CB366,1,$AT$1),INDEX(AU368:CB368,1,$AT$1)),"*玉山*")=0),N367,0)</f>
        <v>0</v>
      </c>
      <c r="P367">
        <f ca="1">IFERROR(IF(COUNTIF(B367,"*云栖松*")&gt;0,50-加速!$L$11,MAX(0,P366-(A367-A366))),0)</f>
        <v>0</v>
      </c>
      <c r="Q367">
        <f ca="1">IF(COUNTIF(IF(AND(配装计算器!$K$30&lt;&gt;"∞",0),INDEX(AU366:CB366,1,$AT$1),INDEX(AU368:CB368,1,$AT$1)),"*云栖松*")=1,P367,0)</f>
        <v>0</v>
      </c>
      <c r="R367">
        <f ca="1">IFERROR(IF(COUNTIF(B367,"*莺鸣柳*")&gt;0,45-加速!$L$9,MAX(0,R366-(A367-A366))),0)</f>
        <v>0</v>
      </c>
      <c r="S367">
        <f ca="1">IF(COUNTIF(IF(AND(配装计算器!$K$30&lt;&gt;"∞",0),INDEX(AU366:CB366,1,$AT$1),INDEX(AU368:CB368,1,$AT$1)),"*莺鸣柳*")=1,R367,0)</f>
        <v>0</v>
      </c>
      <c r="T367">
        <f ca="1" t="shared" si="76"/>
        <v>0</v>
      </c>
      <c r="U367">
        <f ca="1">IF(金蛇,IF(COUNTIF(B367,"*金环戴*")+COUNTIF(B367,"*吹风醒*")&gt;0,IF(A367&lt;=3,7.125-2.625-A367-加速!$L$11,7.125+加速!$K$9-(A367+加速!$L$11-T367)),0),0)+IF(金蛇,IF(COUNTIF(B367,"*千切子裂光*")&gt;0,2+加速!$K$9-(A367+加速!$L$11-T367),0),0)</f>
        <v>0</v>
      </c>
      <c r="V367">
        <f ca="1" t="shared" si="77"/>
        <v>0</v>
      </c>
      <c r="W367">
        <f ca="1" t="shared" si="69"/>
        <v>0</v>
      </c>
      <c r="X367">
        <f ca="1">INDEX(加速!$I$13:$I$21,技能数计算!W367+1)</f>
        <v>0</v>
      </c>
      <c r="Y367">
        <f ca="1" t="shared" si="73"/>
        <v>0.5</v>
      </c>
      <c r="Z367">
        <f ca="1" t="shared" si="74"/>
        <v>0</v>
      </c>
      <c r="AA367">
        <f ca="1">MAX(0,IFERROR(IF(COUNTIF(B367,"*叠*")&gt;0,IF(AC366&lt;3,8-A368+A367,AA366+6.875-A368+A367),AA366-A368+A367),AA366-加速!$L$11))</f>
        <v>0</v>
      </c>
      <c r="AB367" t="e">
        <f ca="1">MAX(0,IF(COUNTIF(IF(AND(配装计算器!$K$30&lt;&gt;"∞",0),INDEX(AU367:CB367,1,$AT$1),INDEX(AU367:CB367,1,$AT$1)),"*叠1*")=1,4*25-加速!$L$11,AB366-A367+A366)-IF(OR(COUNTIF(OFFSET(AT367,0,$AT$1,1,1),"*听雷*")&gt;0,AND(碧归&gt;0,COUNTIF(OFFSET(AT367,0,$AT$1,1,1),"*风来*")&gt;0)),0,1)*1.5)</f>
        <v>#VALUE!</v>
      </c>
      <c r="AC367">
        <f ca="1" t="shared" si="70"/>
        <v>3</v>
      </c>
      <c r="AD367">
        <f ca="1">IF(COUNTIF(IF(AND(配装计算器!$K$30&lt;&gt;"∞",0),INDEX(AU367:CB367,1,$AT$1),INDEX(AU368:CB368,1,$AT$1)),"*叠1*")=1,AB367*0+AE366,0)</f>
        <v>0</v>
      </c>
      <c r="AE367" t="e">
        <f ca="1">IF($AN$11&gt;0,IF(COUNTIF(B368,"*叠1*")&gt;0,50-加速!$H$11,MAX(0,AE366-(A368-A367))),0)</f>
        <v>#VALUE!</v>
      </c>
      <c r="AU367" s="176" t="s">
        <v>2776</v>
      </c>
      <c r="AV367">
        <v>2</v>
      </c>
      <c r="AW367" t="str">
        <f>IF($AN$11=1,橙武补雾锁,"夕照雷峰")</f>
        <v>云飞玉皇-玉山揽云</v>
      </c>
      <c r="AX367">
        <v>2</v>
      </c>
      <c r="AY367" t="s">
        <v>3017</v>
      </c>
      <c r="AZ367">
        <v>2</v>
      </c>
      <c r="BA367" t="s">
        <v>3022</v>
      </c>
      <c r="BB367">
        <v>2</v>
      </c>
      <c r="BC367" t="s">
        <v>2776</v>
      </c>
      <c r="BD367">
        <v>2</v>
      </c>
      <c r="BE367" t="s">
        <v>2794</v>
      </c>
      <c r="BF367">
        <v>1</v>
      </c>
      <c r="BG367" s="182" t="s">
        <v>3023</v>
      </c>
      <c r="BH367">
        <v>2</v>
      </c>
      <c r="BI367" t="s">
        <v>2794</v>
      </c>
      <c r="BJ367">
        <v>0</v>
      </c>
      <c r="BK367" s="176" t="s">
        <v>2768</v>
      </c>
      <c r="BL367">
        <v>2</v>
      </c>
      <c r="BM367" s="176" t="s">
        <v>2768</v>
      </c>
      <c r="BN367">
        <v>2</v>
      </c>
      <c r="BO367" t="s">
        <v>2722</v>
      </c>
      <c r="BP367">
        <v>0</v>
      </c>
      <c r="BQ367" t="s">
        <v>2768</v>
      </c>
      <c r="BR367">
        <v>2</v>
      </c>
      <c r="BS367" s="176" t="s">
        <v>2794</v>
      </c>
      <c r="BT367">
        <v>2</v>
      </c>
      <c r="BU367" t="s">
        <v>3067</v>
      </c>
      <c r="BV367">
        <v>0</v>
      </c>
      <c r="BW367" s="179" t="s">
        <v>2776</v>
      </c>
      <c r="BX367" s="179">
        <v>1</v>
      </c>
      <c r="BY367" t="s">
        <v>2768</v>
      </c>
      <c r="BZ367">
        <v>2</v>
      </c>
      <c r="CA367" t="s">
        <v>2768</v>
      </c>
      <c r="CB367">
        <v>2</v>
      </c>
    </row>
    <row r="368" spans="1:80">
      <c r="A368" s="178" t="str">
        <f ca="1">IFERROR(IF(A367+加速!$L$11&lt;$AS$1,IF(COUNTIF(B367,"*轻*")&gt;0,A367+加速!$L$9,A367+加速!$L$11)+V367,IF(COUNTIF(INDEX(AU368:CB368,1,$AT$1),"*云景*")+COUNTIF(INDEX(AU368:CB368,1,$AT$1),"*鹤归*")+COUNTIF(INDEX(AU368:CB368,1,$AT$1),"*听雷*")&gt;0,A367+加速!$L$11,"")),"")</f>
        <v/>
      </c>
      <c r="B368" s="167" t="str">
        <f ca="1">IF(A368&lt;&gt;"",IF(AND(A368+加速!$L$11&gt;$AS$1,IF(AND(配装计算器!$K$30&lt;&gt;"∞",0),"梦泉虎跑-轻",INDEX(AU368:CB368,1,$AT$1))="云栖松"),"夕照雷峰",IF(AND(配装计算器!$K$30&lt;&gt;"∞",0),"梦泉虎跑-轻",INDEX(AU368:CB368,1,$AT$1))),"")</f>
        <v/>
      </c>
      <c r="C368" t="str">
        <f ca="1" t="shared" si="75"/>
        <v/>
      </c>
      <c r="D368" t="str">
        <f ca="1">IF(B368&lt;&gt;"",IF(C367&lt;=加速!$L$11*(1-E368),0,1),"")</f>
        <v/>
      </c>
      <c r="E368">
        <f ca="1" t="shared" si="71"/>
        <v>1</v>
      </c>
      <c r="G368" t="str">
        <f ca="1" t="shared" si="72"/>
        <v/>
      </c>
      <c r="H368" t="str">
        <f ca="1">IF(B368&lt;&gt;"",IF(AND(COUNTIF(B367,"*轻*莺鸣柳*")&gt;0,COUNTIF(B368,"*轻*")&lt;1),MAX(0,15+I367-(A368-A367)+COUNTIF(B367,"*平湖*")*0),IF(AND(E368=0,MAX(0,H367-(A368-A367))&lt;=加速!$H$11),0,MAX(0,H367-(A368-A367)))),"")</f>
        <v/>
      </c>
      <c r="I368" t="str">
        <f ca="1" t="shared" si="78"/>
        <v/>
      </c>
      <c r="J368" t="str">
        <f ca="1" t="shared" si="79"/>
        <v/>
      </c>
      <c r="K368" t="str">
        <f ca="1">IF(A368&lt;&gt;"",IF(AND(配装计算器!$K$30&lt;&gt;"∞",0),2,INDEX(AU368:CB368,1,$AT$2)),"")</f>
        <v/>
      </c>
      <c r="L368">
        <f ca="1">IFERROR(IF(AND(COUNTIF(B368,"*-峰插*"),技能数据库!$M$72&gt;0),0,IF(COUNTIF(B368,"*鹤归*")&gt;0,16-加速!$L$11,MAX(0,L367-(A368-A367)))),0)</f>
        <v>0</v>
      </c>
      <c r="M368">
        <f ca="1">IF(COUNTIF(IF(AND(配装计算器!$K$30&lt;&gt;"∞",0),INDEX(AU367:CB367,1,$AT$1),INDEX(AU369:CB369,1,$AT$1)),"*鹤归*")=1,L368,0)</f>
        <v>0</v>
      </c>
      <c r="N368">
        <f ca="1">IFERROR(IF(AND(COUNTIF(B368,"*-峰插*"),技能数据库!$M$72&gt;0),0,IF(COUNTIF(B368,"*云飞*")&gt;0,4-COUNTIF(B368,"*玉山揽云*")*4--COUNTIF(B368,"*烟流暮景*")*4-COUNTIF(B368,"*云景*")*加速!$L$11-IF(J368&gt;0,2,0),MAX(0,N367-(A368-A367)-IF(J368&gt;0,2,0)))),0)</f>
        <v>0</v>
      </c>
      <c r="O368">
        <f ca="1">IF(AND(COUNTIF(IF(AND(配装计算器!$K$30&lt;&gt;"∞",0),INDEX(AU367:CB367,1,$AT$1),INDEX(AU369:CB369,1,$AT$1)),"*云飞*")=1,COUNTIF(IF(AND(配装计算器!$K$30&lt;&gt;"∞",0),INDEX(AU367:CB367,1,$AT$1),INDEX(AU369:CB369,1,$AT$1)),"*玉山*")=0),N368,0)</f>
        <v>0</v>
      </c>
      <c r="P368">
        <f ca="1">IFERROR(IF(COUNTIF(B368,"*云栖松*")&gt;0,50-加速!$L$11,MAX(0,P367-(A368-A367))),0)</f>
        <v>0</v>
      </c>
      <c r="Q368">
        <f ca="1">IF(COUNTIF(IF(AND(配装计算器!$K$30&lt;&gt;"∞",0),INDEX(AU367:CB367,1,$AT$1),INDEX(AU369:CB369,1,$AT$1)),"*云栖松*")=1,P368,0)</f>
        <v>0</v>
      </c>
      <c r="R368">
        <f ca="1">IFERROR(IF(COUNTIF(B368,"*莺鸣柳*")&gt;0,45-加速!$L$9,MAX(0,R367-(A368-A367))),0)</f>
        <v>0</v>
      </c>
      <c r="S368">
        <f ca="1">IF(COUNTIF(IF(AND(配装计算器!$K$30&lt;&gt;"∞",0),INDEX(AU367:CB367,1,$AT$1),INDEX(AU369:CB369,1,$AT$1)),"*莺鸣柳*")=1,R368,0)</f>
        <v>0</v>
      </c>
      <c r="T368">
        <f ca="1" t="shared" si="76"/>
        <v>0</v>
      </c>
      <c r="U368">
        <f ca="1">IF(金蛇,IF(COUNTIF(B368,"*金环戴*")+COUNTIF(B368,"*吹风醒*")&gt;0,IF(A368&lt;=3,7.125-2.625-A368-加速!$L$11,7.125+加速!$K$9-(A368+加速!$L$11-T368)),0),0)+IF(金蛇,IF(COUNTIF(B368,"*千切子裂光*")&gt;0,2+加速!$K$9-(A368+加速!$L$11-T368),0),0)</f>
        <v>0</v>
      </c>
      <c r="V368">
        <f ca="1" t="shared" si="77"/>
        <v>0</v>
      </c>
      <c r="W368">
        <f ca="1" t="shared" si="69"/>
        <v>0</v>
      </c>
      <c r="X368">
        <f ca="1">INDEX(加速!$I$13:$I$21,技能数计算!W368+1)</f>
        <v>0</v>
      </c>
      <c r="Y368">
        <f ca="1" t="shared" si="73"/>
        <v>0.5</v>
      </c>
      <c r="Z368">
        <f ca="1" t="shared" si="74"/>
        <v>0</v>
      </c>
      <c r="AA368">
        <f ca="1">MAX(0,IFERROR(IF(COUNTIF(B368,"*叠*")&gt;0,IF(AC367&lt;3,8-A369+A368,AA367+6.875-A369+A368),AA367-A369+A368),AA367-加速!$L$11))</f>
        <v>0</v>
      </c>
      <c r="AB368" t="e">
        <f ca="1">MAX(0,IF(COUNTIF(IF(AND(配装计算器!$K$30&lt;&gt;"∞",0),INDEX(AU368:CB368,1,$AT$1),INDEX(AU368:CB368,1,$AT$1)),"*叠1*")=1,4*25-加速!$L$11,AB367-A368+A367)-IF(OR(COUNTIF(OFFSET(AT368,0,$AT$1,1,1),"*听雷*")&gt;0,AND(碧归&gt;0,COUNTIF(OFFSET(AT368,0,$AT$1,1,1),"*风来*")&gt;0)),0,1)*1.5)</f>
        <v>#VALUE!</v>
      </c>
      <c r="AC368">
        <f ca="1" t="shared" si="70"/>
        <v>3</v>
      </c>
      <c r="AD368">
        <f ca="1">IF(COUNTIF(IF(AND(配装计算器!$K$30&lt;&gt;"∞",0),INDEX(AU368:CB368,1,$AT$1),INDEX(AU369:CB369,1,$AT$1)),"*叠1*")=1,AB368*0+AE367,0)</f>
        <v>0</v>
      </c>
      <c r="AE368" t="e">
        <f ca="1">IF($AN$11&gt;0,IF(COUNTIF(B369,"*叠1*")&gt;0,50-加速!$H$11,MAX(0,AE367-(A369-A368))),0)</f>
        <v>#VALUE!</v>
      </c>
      <c r="AU368" s="176" t="s">
        <v>2768</v>
      </c>
      <c r="AV368">
        <v>1</v>
      </c>
      <c r="AW368" t="str">
        <f t="shared" si="80"/>
        <v>云飞玉皇-玉山揽云</v>
      </c>
      <c r="AX368">
        <v>2</v>
      </c>
      <c r="AY368" t="s">
        <v>2808</v>
      </c>
      <c r="AZ368">
        <v>2</v>
      </c>
      <c r="BA368" t="s">
        <v>2776</v>
      </c>
      <c r="BB368">
        <v>2</v>
      </c>
      <c r="BC368" t="s">
        <v>2768</v>
      </c>
      <c r="BD368">
        <v>2</v>
      </c>
      <c r="BE368" t="s">
        <v>2768</v>
      </c>
      <c r="BF368">
        <v>1</v>
      </c>
      <c r="BG368" s="176" t="s">
        <v>2768</v>
      </c>
      <c r="BH368">
        <v>2</v>
      </c>
      <c r="BI368" t="s">
        <v>2768</v>
      </c>
      <c r="BJ368">
        <v>2</v>
      </c>
      <c r="BK368" s="176" t="s">
        <v>2768</v>
      </c>
      <c r="BL368">
        <v>2</v>
      </c>
      <c r="BM368" t="s">
        <v>3056</v>
      </c>
      <c r="BN368">
        <v>1</v>
      </c>
      <c r="BO368" t="s">
        <v>3009</v>
      </c>
      <c r="BP368">
        <v>2</v>
      </c>
      <c r="BQ368" t="s">
        <v>2768</v>
      </c>
      <c r="BR368">
        <v>2</v>
      </c>
      <c r="BS368" t="s">
        <v>2768</v>
      </c>
      <c r="BT368">
        <v>2</v>
      </c>
      <c r="BU368" t="s">
        <v>2768</v>
      </c>
      <c r="BV368">
        <v>2</v>
      </c>
      <c r="BW368" s="179" t="s">
        <v>2768</v>
      </c>
      <c r="BX368" s="179">
        <v>1</v>
      </c>
      <c r="BY368" t="s">
        <v>2776</v>
      </c>
      <c r="BZ368">
        <v>2</v>
      </c>
      <c r="CA368" t="s">
        <v>2776</v>
      </c>
      <c r="CB368">
        <v>2</v>
      </c>
    </row>
    <row r="369" spans="1:80">
      <c r="A369" s="178" t="str">
        <f ca="1">IFERROR(IF(A368+加速!$L$11&lt;$AS$1,IF(COUNTIF(B368,"*轻*")&gt;0,A368+加速!$L$9,A368+加速!$L$11)+V368,IF(COUNTIF(INDEX(AU369:CB369,1,$AT$1),"*云景*")+COUNTIF(INDEX(AU369:CB369,1,$AT$1),"*鹤归*")+COUNTIF(INDEX(AU369:CB369,1,$AT$1),"*听雷*")&gt;0,A368+加速!$L$11,"")),"")</f>
        <v/>
      </c>
      <c r="B369" s="167" t="str">
        <f ca="1">IF(A369&lt;&gt;"",IF(AND(A369+加速!$L$11&gt;$AS$1,IF(AND(配装计算器!$K$30&lt;&gt;"∞",0),"梦泉虎跑-轻",INDEX(AU369:CB369,1,$AT$1))="云栖松"),"夕照雷峰",IF(AND(配装计算器!$K$30&lt;&gt;"∞",0),"梦泉虎跑-轻",INDEX(AU369:CB369,1,$AT$1))),"")</f>
        <v/>
      </c>
      <c r="C369" t="str">
        <f ca="1" t="shared" si="75"/>
        <v/>
      </c>
      <c r="D369" t="str">
        <f ca="1">IF(B369&lt;&gt;"",IF(C368&lt;=加速!$L$11*(1-E369),0,1),"")</f>
        <v/>
      </c>
      <c r="E369">
        <f ca="1" t="shared" si="71"/>
        <v>1</v>
      </c>
      <c r="G369" t="str">
        <f ca="1" t="shared" si="72"/>
        <v/>
      </c>
      <c r="H369" t="str">
        <f ca="1">IF(B369&lt;&gt;"",IF(AND(COUNTIF(B368,"*轻*莺鸣柳*")&gt;0,COUNTIF(B369,"*轻*")&lt;1),MAX(0,15+I368-(A369-A368)+COUNTIF(B368,"*平湖*")*0),IF(AND(E369=0,MAX(0,H368-(A369-A368))&lt;=加速!$H$11),0,MAX(0,H368-(A369-A368)))),"")</f>
        <v/>
      </c>
      <c r="I369" t="str">
        <f ca="1" t="shared" si="78"/>
        <v/>
      </c>
      <c r="J369" t="str">
        <f ca="1" t="shared" si="79"/>
        <v/>
      </c>
      <c r="K369" t="str">
        <f ca="1">IF(A369&lt;&gt;"",IF(AND(配装计算器!$K$30&lt;&gt;"∞",0),2,INDEX(AU369:CB369,1,$AT$2)),"")</f>
        <v/>
      </c>
      <c r="L369">
        <f ca="1">IFERROR(IF(AND(COUNTIF(B369,"*-峰插*"),技能数据库!$M$72&gt;0),0,IF(COUNTIF(B369,"*鹤归*")&gt;0,16-加速!$L$11,MAX(0,L368-(A369-A368)))),0)</f>
        <v>0</v>
      </c>
      <c r="M369">
        <f ca="1">IF(COUNTIF(IF(AND(配装计算器!$K$30&lt;&gt;"∞",0),INDEX(AU368:CB368,1,$AT$1),INDEX(AU370:CB370,1,$AT$1)),"*鹤归*")=1,L369,0)</f>
        <v>0</v>
      </c>
      <c r="N369">
        <f ca="1">IFERROR(IF(AND(COUNTIF(B369,"*-峰插*"),技能数据库!$M$72&gt;0),0,IF(COUNTIF(B369,"*云飞*")&gt;0,4-COUNTIF(B369,"*玉山揽云*")*4--COUNTIF(B369,"*烟流暮景*")*4-COUNTIF(B369,"*云景*")*加速!$L$11-IF(J369&gt;0,2,0),MAX(0,N368-(A369-A368)-IF(J369&gt;0,2,0)))),0)</f>
        <v>0</v>
      </c>
      <c r="O369">
        <f ca="1">IF(AND(COUNTIF(IF(AND(配装计算器!$K$30&lt;&gt;"∞",0),INDEX(AU368:CB368,1,$AT$1),INDEX(AU370:CB370,1,$AT$1)),"*云飞*")=1,COUNTIF(IF(AND(配装计算器!$K$30&lt;&gt;"∞",0),INDEX(AU368:CB368,1,$AT$1),INDEX(AU370:CB370,1,$AT$1)),"*玉山*")=0),N369,0)</f>
        <v>0</v>
      </c>
      <c r="P369">
        <f ca="1">IFERROR(IF(COUNTIF(B369,"*云栖松*")&gt;0,50-加速!$L$11,MAX(0,P368-(A369-A368))),0)</f>
        <v>0</v>
      </c>
      <c r="Q369">
        <f ca="1">IF(COUNTIF(IF(AND(配装计算器!$K$30&lt;&gt;"∞",0),INDEX(AU368:CB368,1,$AT$1),INDEX(AU370:CB370,1,$AT$1)),"*云栖松*")=1,P369,0)</f>
        <v>0</v>
      </c>
      <c r="R369">
        <f ca="1">IFERROR(IF(COUNTIF(B369,"*莺鸣柳*")&gt;0,45-加速!$L$9,MAX(0,R368-(A369-A368))),0)</f>
        <v>0</v>
      </c>
      <c r="S369">
        <f ca="1">IF(COUNTIF(IF(AND(配装计算器!$K$30&lt;&gt;"∞",0),INDEX(AU368:CB368,1,$AT$1),INDEX(AU370:CB370,1,$AT$1)),"*莺鸣柳*")=1,R369,0)</f>
        <v>0</v>
      </c>
      <c r="T369">
        <f ca="1" t="shared" si="76"/>
        <v>0</v>
      </c>
      <c r="U369">
        <f ca="1">IF(金蛇,IF(COUNTIF(B369,"*金环戴*")+COUNTIF(B369,"*吹风醒*")&gt;0,IF(A369&lt;=3,7.125-2.625-A369-加速!$L$11,7.125+加速!$K$9-(A369+加速!$L$11-T369)),0),0)+IF(金蛇,IF(COUNTIF(B369,"*千切子裂光*")&gt;0,2+加速!$K$9-(A369+加速!$L$11-T369),0),0)</f>
        <v>0</v>
      </c>
      <c r="V369">
        <f ca="1" t="shared" si="77"/>
        <v>0</v>
      </c>
      <c r="W369">
        <f ca="1" t="shared" si="69"/>
        <v>0</v>
      </c>
      <c r="X369">
        <f ca="1">INDEX(加速!$I$13:$I$21,技能数计算!W369+1)</f>
        <v>0</v>
      </c>
      <c r="Y369">
        <f ca="1" t="shared" si="73"/>
        <v>0.5</v>
      </c>
      <c r="Z369">
        <f ca="1" t="shared" si="74"/>
        <v>0</v>
      </c>
      <c r="AA369">
        <f ca="1">MAX(0,IFERROR(IF(COUNTIF(B369,"*叠*")&gt;0,IF(AC368&lt;3,8-A370+A369,AA368+6.875-A370+A369),AA368-A370+A369),AA368-加速!$L$11))</f>
        <v>0</v>
      </c>
      <c r="AB369" t="e">
        <f ca="1">MAX(0,IF(COUNTIF(IF(AND(配装计算器!$K$30&lt;&gt;"∞",0),INDEX(AU369:CB369,1,$AT$1),INDEX(AU369:CB369,1,$AT$1)),"*叠1*")=1,4*25-加速!$L$11,AB368-A369+A368)-IF(OR(COUNTIF(OFFSET(AT369,0,$AT$1,1,1),"*听雷*")&gt;0,AND(碧归&gt;0,COUNTIF(OFFSET(AT369,0,$AT$1,1,1),"*风来*")&gt;0)),0,1)*1.5)</f>
        <v>#VALUE!</v>
      </c>
      <c r="AC369">
        <f ca="1" t="shared" si="70"/>
        <v>3</v>
      </c>
      <c r="AD369">
        <f ca="1">IF(COUNTIF(IF(AND(配装计算器!$K$30&lt;&gt;"∞",0),INDEX(AU369:CB369,1,$AT$1),INDEX(AU370:CB370,1,$AT$1)),"*叠1*")=1,AB369*0+AE368,0)</f>
        <v>0</v>
      </c>
      <c r="AE369" t="e">
        <f ca="1">IF($AN$11&gt;0,IF(COUNTIF(B370,"*叠1*")&gt;0,50-加速!$H$11,MAX(0,AE368-(A370-A369))),0)</f>
        <v>#VALUE!</v>
      </c>
      <c r="AU369" t="s">
        <v>2776</v>
      </c>
      <c r="AV369">
        <v>1</v>
      </c>
      <c r="AW369" t="str">
        <f t="shared" si="80"/>
        <v>云飞玉皇-玉山揽云</v>
      </c>
      <c r="AX369">
        <v>2</v>
      </c>
      <c r="AY369" t="s">
        <v>3022</v>
      </c>
      <c r="AZ369">
        <v>2</v>
      </c>
      <c r="BA369" t="s">
        <v>2768</v>
      </c>
      <c r="BB369">
        <v>2</v>
      </c>
      <c r="BC369" t="s">
        <v>2776</v>
      </c>
      <c r="BD369">
        <v>2</v>
      </c>
      <c r="BE369" t="s">
        <v>2776</v>
      </c>
      <c r="BF369">
        <v>1</v>
      </c>
      <c r="BG369" s="176" t="s">
        <v>2768</v>
      </c>
      <c r="BH369">
        <v>2</v>
      </c>
      <c r="BI369" t="s">
        <v>2776</v>
      </c>
      <c r="BJ369">
        <v>2</v>
      </c>
      <c r="BK369" s="176" t="s">
        <v>2776</v>
      </c>
      <c r="BL369">
        <v>2</v>
      </c>
      <c r="BM369" t="s">
        <v>2768</v>
      </c>
      <c r="BN369">
        <v>2</v>
      </c>
      <c r="BO369" t="s">
        <v>2776</v>
      </c>
      <c r="BP369">
        <v>2</v>
      </c>
      <c r="BQ369" t="s">
        <v>2768</v>
      </c>
      <c r="BR369">
        <v>1</v>
      </c>
      <c r="BS369" t="s">
        <v>2776</v>
      </c>
      <c r="BT369">
        <v>2</v>
      </c>
      <c r="BU369" t="s">
        <v>2768</v>
      </c>
      <c r="BV369">
        <v>2</v>
      </c>
      <c r="BW369" s="179" t="s">
        <v>2722</v>
      </c>
      <c r="BX369" s="179">
        <v>0</v>
      </c>
      <c r="BY369" t="s">
        <v>2718</v>
      </c>
      <c r="BZ369">
        <v>0</v>
      </c>
      <c r="CA369" t="s">
        <v>2718</v>
      </c>
      <c r="CB369">
        <v>0</v>
      </c>
    </row>
    <row r="370" spans="1:80">
      <c r="A370" s="178" t="str">
        <f ca="1">IFERROR(IF(A369+加速!$L$11&lt;$AS$1,IF(COUNTIF(B369,"*轻*")&gt;0,A369+加速!$L$9,A369+加速!$L$11)+V369,IF(COUNTIF(INDEX(AU370:CB370,1,$AT$1),"*云景*")+COUNTIF(INDEX(AU370:CB370,1,$AT$1),"*鹤归*")+COUNTIF(INDEX(AU370:CB370,1,$AT$1),"*听雷*")&gt;0,A369+加速!$L$11,"")),"")</f>
        <v/>
      </c>
      <c r="B370" s="167" t="str">
        <f ca="1">IF(A370&lt;&gt;"",IF(AND(A370+加速!$L$11&gt;$AS$1,IF(AND(配装计算器!$K$30&lt;&gt;"∞",0),"梦泉虎跑-轻",INDEX(AU370:CB370,1,$AT$1))="云栖松"),"夕照雷峰",IF(AND(配装计算器!$K$30&lt;&gt;"∞",0),"梦泉虎跑-轻",INDEX(AU370:CB370,1,$AT$1))),"")</f>
        <v/>
      </c>
      <c r="C370" t="str">
        <f ca="1" t="shared" si="75"/>
        <v/>
      </c>
      <c r="D370" t="str">
        <f ca="1">IF(B370&lt;&gt;"",IF(C369&lt;=加速!$L$11*(1-E370),0,1),"")</f>
        <v/>
      </c>
      <c r="E370">
        <f ca="1" t="shared" si="71"/>
        <v>1</v>
      </c>
      <c r="G370" t="str">
        <f ca="1" t="shared" si="72"/>
        <v/>
      </c>
      <c r="H370" t="str">
        <f ca="1">IF(B370&lt;&gt;"",IF(AND(COUNTIF(B369,"*轻*莺鸣柳*")&gt;0,COUNTIF(B370,"*轻*")&lt;1),MAX(0,15+I369-(A370-A369)+COUNTIF(B369,"*平湖*")*0),IF(AND(E370=0,MAX(0,H369-(A370-A369))&lt;=加速!$H$11),0,MAX(0,H369-(A370-A369)))),"")</f>
        <v/>
      </c>
      <c r="I370" t="str">
        <f ca="1" t="shared" si="78"/>
        <v/>
      </c>
      <c r="J370" t="str">
        <f ca="1" t="shared" si="79"/>
        <v/>
      </c>
      <c r="K370" t="str">
        <f ca="1">IF(A370&lt;&gt;"",IF(AND(配装计算器!$K$30&lt;&gt;"∞",0),2,INDEX(AU370:CB370,1,$AT$2)),"")</f>
        <v/>
      </c>
      <c r="L370">
        <f ca="1">IFERROR(IF(AND(COUNTIF(B370,"*-峰插*"),技能数据库!$M$72&gt;0),0,IF(COUNTIF(B370,"*鹤归*")&gt;0,16-加速!$L$11,MAX(0,L369-(A370-A369)))),0)</f>
        <v>0</v>
      </c>
      <c r="M370">
        <f ca="1">IF(COUNTIF(IF(AND(配装计算器!$K$30&lt;&gt;"∞",0),INDEX(AU369:CB369,1,$AT$1),INDEX(AU371:CB371,1,$AT$1)),"*鹤归*")=1,L370,0)</f>
        <v>0</v>
      </c>
      <c r="N370">
        <f ca="1">IFERROR(IF(AND(COUNTIF(B370,"*-峰插*"),技能数据库!$M$72&gt;0),0,IF(COUNTIF(B370,"*云飞*")&gt;0,4-COUNTIF(B370,"*玉山揽云*")*4--COUNTIF(B370,"*烟流暮景*")*4-COUNTIF(B370,"*云景*")*加速!$L$11-IF(J370&gt;0,2,0),MAX(0,N369-(A370-A369)-IF(J370&gt;0,2,0)))),0)</f>
        <v>0</v>
      </c>
      <c r="O370">
        <f ca="1">IF(AND(COUNTIF(IF(AND(配装计算器!$K$30&lt;&gt;"∞",0),INDEX(AU369:CB369,1,$AT$1),INDEX(AU371:CB371,1,$AT$1)),"*云飞*")=1,COUNTIF(IF(AND(配装计算器!$K$30&lt;&gt;"∞",0),INDEX(AU369:CB369,1,$AT$1),INDEX(AU371:CB371,1,$AT$1)),"*玉山*")=0),N370,0)</f>
        <v>0</v>
      </c>
      <c r="P370">
        <f ca="1">IFERROR(IF(COUNTIF(B370,"*云栖松*")&gt;0,50-加速!$L$11,MAX(0,P369-(A370-A369))),0)</f>
        <v>0</v>
      </c>
      <c r="Q370">
        <f ca="1">IF(COUNTIF(IF(AND(配装计算器!$K$30&lt;&gt;"∞",0),INDEX(AU369:CB369,1,$AT$1),INDEX(AU371:CB371,1,$AT$1)),"*云栖松*")=1,P370,0)</f>
        <v>0</v>
      </c>
      <c r="R370">
        <f ca="1">IFERROR(IF(COUNTIF(B370,"*莺鸣柳*")&gt;0,45-加速!$L$9,MAX(0,R369-(A370-A369))),0)</f>
        <v>0</v>
      </c>
      <c r="S370">
        <f ca="1">IF(COUNTIF(IF(AND(配装计算器!$K$30&lt;&gt;"∞",0),INDEX(AU369:CB369,1,$AT$1),INDEX(AU371:CB371,1,$AT$1)),"*莺鸣柳*")=1,R370,0)</f>
        <v>0</v>
      </c>
      <c r="T370">
        <f ca="1" t="shared" si="76"/>
        <v>0</v>
      </c>
      <c r="U370">
        <f ca="1">IF(金蛇,IF(COUNTIF(B370,"*金环戴*")+COUNTIF(B370,"*吹风醒*")&gt;0,IF(A370&lt;=3,7.125-2.625-A370-加速!$L$11,7.125+加速!$K$9-(A370+加速!$L$11-T370)),0),0)+IF(金蛇,IF(COUNTIF(B370,"*千切子裂光*")&gt;0,2+加速!$K$9-(A370+加速!$L$11-T370),0),0)</f>
        <v>0</v>
      </c>
      <c r="V370">
        <f ca="1" t="shared" si="77"/>
        <v>0</v>
      </c>
      <c r="W370">
        <f ca="1" t="shared" si="69"/>
        <v>0</v>
      </c>
      <c r="X370">
        <f ca="1">INDEX(加速!$I$13:$I$21,技能数计算!W370+1)</f>
        <v>0</v>
      </c>
      <c r="Y370">
        <f ca="1" t="shared" si="73"/>
        <v>0.5</v>
      </c>
      <c r="Z370">
        <f ca="1" t="shared" si="74"/>
        <v>0</v>
      </c>
      <c r="AA370">
        <f ca="1">MAX(0,IFERROR(IF(COUNTIF(B370,"*叠*")&gt;0,IF(AC369&lt;3,8-A371+A370,AA369+6.875-A371+A370),AA369-A371+A370),AA369-加速!$L$11))</f>
        <v>0</v>
      </c>
      <c r="AB370" t="e">
        <f ca="1">MAX(0,IF(COUNTIF(IF(AND(配装计算器!$K$30&lt;&gt;"∞",0),INDEX(AU370:CB370,1,$AT$1),INDEX(AU370:CB370,1,$AT$1)),"*叠1*")=1,4*25-加速!$L$11,AB369-A370+A369)-IF(OR(COUNTIF(OFFSET(AT370,0,$AT$1,1,1),"*听雷*")&gt;0,AND(碧归&gt;0,COUNTIF(OFFSET(AT370,0,$AT$1,1,1),"*风来*")&gt;0)),0,1)*1.5)</f>
        <v>#VALUE!</v>
      </c>
      <c r="AC370">
        <f ca="1" t="shared" si="70"/>
        <v>3</v>
      </c>
      <c r="AD370">
        <f ca="1">IF(COUNTIF(IF(AND(配装计算器!$K$30&lt;&gt;"∞",0),INDEX(AU370:CB370,1,$AT$1),INDEX(AU371:CB371,1,$AT$1)),"*叠1*")=1,AB370*0+AE369,0)</f>
        <v>0</v>
      </c>
      <c r="AE370" t="e">
        <f ca="1">IF($AN$11&gt;0,IF(COUNTIF(B371,"*叠1*")&gt;0,50-加速!$H$11,MAX(0,AE369-(A371-A370))),0)</f>
        <v>#VALUE!</v>
      </c>
      <c r="AU370" t="s">
        <v>2768</v>
      </c>
      <c r="AV370">
        <v>1</v>
      </c>
      <c r="AW370" t="s">
        <v>2776</v>
      </c>
      <c r="AX370">
        <v>2</v>
      </c>
      <c r="AY370" t="s">
        <v>2776</v>
      </c>
      <c r="AZ370">
        <v>2</v>
      </c>
      <c r="BA370" t="s">
        <v>2789</v>
      </c>
      <c r="BB370">
        <v>2</v>
      </c>
      <c r="BC370" t="s">
        <v>2768</v>
      </c>
      <c r="BD370">
        <v>2</v>
      </c>
      <c r="BE370" t="s">
        <v>2768</v>
      </c>
      <c r="BF370">
        <v>0</v>
      </c>
      <c r="BG370" s="176" t="s">
        <v>2789</v>
      </c>
      <c r="BH370">
        <v>2</v>
      </c>
      <c r="BI370" t="s">
        <v>2768</v>
      </c>
      <c r="BJ370">
        <v>2</v>
      </c>
      <c r="BK370" t="s">
        <v>2768</v>
      </c>
      <c r="BL370">
        <v>1</v>
      </c>
      <c r="BM370" t="s">
        <v>2768</v>
      </c>
      <c r="BN370">
        <v>2</v>
      </c>
      <c r="BO370" t="s">
        <v>2768</v>
      </c>
      <c r="BP370">
        <v>2</v>
      </c>
      <c r="BQ370" t="s">
        <v>2776</v>
      </c>
      <c r="BR370">
        <v>1</v>
      </c>
      <c r="BS370" t="s">
        <v>2768</v>
      </c>
      <c r="BT370">
        <v>2</v>
      </c>
      <c r="BU370" s="176" t="s">
        <v>2794</v>
      </c>
      <c r="BV370">
        <v>1</v>
      </c>
      <c r="BW370" s="179" t="s">
        <v>3009</v>
      </c>
      <c r="BX370" s="179">
        <v>2</v>
      </c>
      <c r="BY370" s="176" t="s">
        <v>2794</v>
      </c>
      <c r="BZ370">
        <v>0</v>
      </c>
      <c r="CA370" t="s">
        <v>2768</v>
      </c>
      <c r="CB370">
        <v>2</v>
      </c>
    </row>
    <row r="371" spans="1:80">
      <c r="A371" s="178" t="str">
        <f ca="1">IFERROR(IF(A370+加速!$L$11&lt;$AS$1,IF(COUNTIF(B370,"*轻*")&gt;0,A370+加速!$L$9,A370+加速!$L$11)+V370,IF(COUNTIF(INDEX(AU371:CB371,1,$AT$1),"*云景*")+COUNTIF(INDEX(AU371:CB371,1,$AT$1),"*鹤归*")+COUNTIF(INDEX(AU371:CB371,1,$AT$1),"*听雷*")&gt;0,A370+加速!$L$11,"")),"")</f>
        <v/>
      </c>
      <c r="B371" s="167" t="str">
        <f ca="1">IF(A371&lt;&gt;"",IF(AND(A371+加速!$L$11&gt;$AS$1,IF(AND(配装计算器!$K$30&lt;&gt;"∞",0),"梦泉虎跑-轻",INDEX(AU371:CB371,1,$AT$1))="云栖松"),"夕照雷峰",IF(AND(配装计算器!$K$30&lt;&gt;"∞",0),"梦泉虎跑-轻",INDEX(AU371:CB371,1,$AT$1))),"")</f>
        <v/>
      </c>
      <c r="C371" t="str">
        <f ca="1" t="shared" si="75"/>
        <v/>
      </c>
      <c r="D371" t="str">
        <f ca="1">IF(B371&lt;&gt;"",IF(C370&lt;=加速!$L$11*(1-E371),0,1),"")</f>
        <v/>
      </c>
      <c r="E371">
        <f ca="1" t="shared" si="71"/>
        <v>1</v>
      </c>
      <c r="G371" t="str">
        <f ca="1" t="shared" si="72"/>
        <v/>
      </c>
      <c r="H371" t="str">
        <f ca="1">IF(B371&lt;&gt;"",IF(AND(COUNTIF(B370,"*轻*莺鸣柳*")&gt;0,COUNTIF(B371,"*轻*")&lt;1),MAX(0,15+I370-(A371-A370)+COUNTIF(B370,"*平湖*")*0),IF(AND(E371=0,MAX(0,H370-(A371-A370))&lt;=加速!$H$11),0,MAX(0,H370-(A371-A370)))),"")</f>
        <v/>
      </c>
      <c r="I371" t="str">
        <f ca="1" t="shared" si="78"/>
        <v/>
      </c>
      <c r="J371" t="str">
        <f ca="1" t="shared" si="79"/>
        <v/>
      </c>
      <c r="K371" t="str">
        <f ca="1">IF(A371&lt;&gt;"",IF(AND(配装计算器!$K$30&lt;&gt;"∞",0),2,INDEX(AU371:CB371,1,$AT$2)),"")</f>
        <v/>
      </c>
      <c r="L371">
        <f ca="1">IFERROR(IF(AND(COUNTIF(B371,"*-峰插*"),技能数据库!$M$72&gt;0),0,IF(COUNTIF(B371,"*鹤归*")&gt;0,16-加速!$L$11,MAX(0,L370-(A371-A370)))),0)</f>
        <v>0</v>
      </c>
      <c r="M371">
        <f ca="1">IF(COUNTIF(IF(AND(配装计算器!$K$30&lt;&gt;"∞",0),INDEX(AU370:CB370,1,$AT$1),INDEX(AU372:CB372,1,$AT$1)),"*鹤归*")=1,L371,0)</f>
        <v>0</v>
      </c>
      <c r="N371">
        <f ca="1">IFERROR(IF(AND(COUNTIF(B371,"*-峰插*"),技能数据库!$M$72&gt;0),0,IF(COUNTIF(B371,"*云飞*")&gt;0,4-COUNTIF(B371,"*玉山揽云*")*4--COUNTIF(B371,"*烟流暮景*")*4-COUNTIF(B371,"*云景*")*加速!$L$11-IF(J371&gt;0,2,0),MAX(0,N370-(A371-A370)-IF(J371&gt;0,2,0)))),0)</f>
        <v>0</v>
      </c>
      <c r="O371">
        <f ca="1">IF(AND(COUNTIF(IF(AND(配装计算器!$K$30&lt;&gt;"∞",0),INDEX(AU370:CB370,1,$AT$1),INDEX(AU372:CB372,1,$AT$1)),"*云飞*")=1,COUNTIF(IF(AND(配装计算器!$K$30&lt;&gt;"∞",0),INDEX(AU370:CB370,1,$AT$1),INDEX(AU372:CB372,1,$AT$1)),"*玉山*")=0),N371,0)</f>
        <v>0</v>
      </c>
      <c r="P371">
        <f ca="1">IFERROR(IF(COUNTIF(B371,"*云栖松*")&gt;0,50-加速!$L$11,MAX(0,P370-(A371-A370))),0)</f>
        <v>0</v>
      </c>
      <c r="Q371">
        <f ca="1">IF(COUNTIF(IF(AND(配装计算器!$K$30&lt;&gt;"∞",0),INDEX(AU370:CB370,1,$AT$1),INDEX(AU372:CB372,1,$AT$1)),"*云栖松*")=1,P371,0)</f>
        <v>0</v>
      </c>
      <c r="R371">
        <f ca="1">IFERROR(IF(COUNTIF(B371,"*莺鸣柳*")&gt;0,45-加速!$L$9,MAX(0,R370-(A371-A370))),0)</f>
        <v>0</v>
      </c>
      <c r="S371">
        <f ca="1">IF(COUNTIF(IF(AND(配装计算器!$K$30&lt;&gt;"∞",0),INDEX(AU370:CB370,1,$AT$1),INDEX(AU372:CB372,1,$AT$1)),"*莺鸣柳*")=1,R371,0)</f>
        <v>0</v>
      </c>
      <c r="T371">
        <f ca="1" t="shared" si="76"/>
        <v>0</v>
      </c>
      <c r="U371">
        <f ca="1">IF(金蛇,IF(COUNTIF(B371,"*金环戴*")+COUNTIF(B371,"*吹风醒*")&gt;0,IF(A371&lt;=3,7.125-2.625-A371-加速!$L$11,7.125+加速!$K$9-(A371+加速!$L$11-T371)),0),0)+IF(金蛇,IF(COUNTIF(B371,"*千切子裂光*")&gt;0,2+加速!$K$9-(A371+加速!$L$11-T371),0),0)</f>
        <v>0</v>
      </c>
      <c r="V371">
        <f ca="1" t="shared" si="77"/>
        <v>0</v>
      </c>
      <c r="W371">
        <f ca="1" t="shared" si="69"/>
        <v>0</v>
      </c>
      <c r="X371">
        <f ca="1">INDEX(加速!$I$13:$I$21,技能数计算!W371+1)</f>
        <v>0</v>
      </c>
      <c r="Y371">
        <f ca="1" t="shared" si="73"/>
        <v>0.5</v>
      </c>
      <c r="Z371">
        <f ca="1" t="shared" si="74"/>
        <v>0</v>
      </c>
      <c r="AA371">
        <f ca="1">MAX(0,IFERROR(IF(COUNTIF(B371,"*叠*")&gt;0,IF(AC370&lt;3,8-A372+A371,AA370+6.875-A372+A371),AA370-A372+A371),AA370-加速!$L$11))</f>
        <v>0</v>
      </c>
      <c r="AB371" t="e">
        <f ca="1">MAX(0,IF(COUNTIF(IF(AND(配装计算器!$K$30&lt;&gt;"∞",0),INDEX(AU371:CB371,1,$AT$1),INDEX(AU371:CB371,1,$AT$1)),"*叠1*")=1,4*25-加速!$L$11,AB370-A371+A370)-IF(OR(COUNTIF(OFFSET(AT371,0,$AT$1,1,1),"*听雷*")&gt;0,AND(碧归&gt;0,COUNTIF(OFFSET(AT371,0,$AT$1,1,1),"*风来*")&gt;0)),0,1)*1.5)</f>
        <v>#VALUE!</v>
      </c>
      <c r="AC371">
        <f ca="1" t="shared" si="70"/>
        <v>3</v>
      </c>
      <c r="AD371">
        <f ca="1">IF(COUNTIF(IF(AND(配装计算器!$K$30&lt;&gt;"∞",0),INDEX(AU371:CB371,1,$AT$1),INDEX(AU372:CB372,1,$AT$1)),"*叠1*")=1,AB371*0+AE370,0)</f>
        <v>0</v>
      </c>
      <c r="AE371" t="e">
        <f ca="1">IF($AN$11&gt;0,IF(COUNTIF(B372,"*叠1*")&gt;0,50-加速!$H$11,MAX(0,AE370-(A372-A371))),0)</f>
        <v>#VALUE!</v>
      </c>
      <c r="AU371" t="s">
        <v>2768</v>
      </c>
      <c r="AV371">
        <v>1</v>
      </c>
      <c r="AW371" t="s">
        <v>2768</v>
      </c>
      <c r="AX371">
        <v>2</v>
      </c>
      <c r="AY371" t="s">
        <v>2768</v>
      </c>
      <c r="AZ371">
        <v>2</v>
      </c>
      <c r="BA371" t="s">
        <v>2776</v>
      </c>
      <c r="BB371">
        <v>2</v>
      </c>
      <c r="BC371" t="s">
        <v>2776</v>
      </c>
      <c r="BD371">
        <v>2</v>
      </c>
      <c r="BE371" t="s">
        <v>3011</v>
      </c>
      <c r="BF371">
        <v>2</v>
      </c>
      <c r="BG371" s="176" t="s">
        <v>2776</v>
      </c>
      <c r="BH371">
        <v>2</v>
      </c>
      <c r="BI371" t="s">
        <v>2776</v>
      </c>
      <c r="BJ371">
        <v>1</v>
      </c>
      <c r="BK371" s="176" t="s">
        <v>2768</v>
      </c>
      <c r="BL371">
        <v>1</v>
      </c>
      <c r="BM371" t="s">
        <v>2768</v>
      </c>
      <c r="BN371">
        <v>2</v>
      </c>
      <c r="BO371" t="str">
        <f>IF(山重水复,"风来吴山","夕照雷峰")</f>
        <v>夕照雷峰</v>
      </c>
      <c r="BP371">
        <v>2</v>
      </c>
      <c r="BQ371" t="s">
        <v>2768</v>
      </c>
      <c r="BR371">
        <v>1</v>
      </c>
      <c r="BS371" t="s">
        <v>2776</v>
      </c>
      <c r="BT371">
        <v>1</v>
      </c>
      <c r="BU371" t="s">
        <v>2776</v>
      </c>
      <c r="BV371">
        <v>1</v>
      </c>
      <c r="BW371" s="179" t="s">
        <v>2776</v>
      </c>
      <c r="BX371" s="179">
        <v>2</v>
      </c>
      <c r="BY371" s="176" t="s">
        <v>2768</v>
      </c>
      <c r="BZ371">
        <v>2</v>
      </c>
      <c r="CA371" t="s">
        <v>2768</v>
      </c>
      <c r="CB371">
        <v>2</v>
      </c>
    </row>
    <row r="372" spans="1:80">
      <c r="A372" s="178" t="str">
        <f ca="1">IFERROR(IF(A371+加速!$L$11&lt;$AS$1,IF(COUNTIF(B371,"*轻*")&gt;0,A371+加速!$L$9,A371+加速!$L$11)+V371,IF(COUNTIF(INDEX(AU372:CB372,1,$AT$1),"*云景*")+COUNTIF(INDEX(AU372:CB372,1,$AT$1),"*鹤归*")+COUNTIF(INDEX(AU372:CB372,1,$AT$1),"*听雷*")&gt;0,A371+加速!$L$11,"")),"")</f>
        <v/>
      </c>
      <c r="B372" s="167" t="str">
        <f ca="1">IF(A372&lt;&gt;"",IF(AND(A372+加速!$L$11&gt;$AS$1,IF(AND(配装计算器!$K$30&lt;&gt;"∞",0),"梦泉虎跑-轻",INDEX(AU372:CB372,1,$AT$1))="云栖松"),"夕照雷峰",IF(AND(配装计算器!$K$30&lt;&gt;"∞",0),"梦泉虎跑-轻",INDEX(AU372:CB372,1,$AT$1))),"")</f>
        <v/>
      </c>
      <c r="C372" t="str">
        <f ca="1" t="shared" si="75"/>
        <v/>
      </c>
      <c r="D372" t="str">
        <f ca="1">IF(B372&lt;&gt;"",IF(C371&lt;=加速!$L$11*(1-E372),0,1),"")</f>
        <v/>
      </c>
      <c r="E372">
        <f ca="1" t="shared" si="71"/>
        <v>1</v>
      </c>
      <c r="G372" t="str">
        <f ca="1" t="shared" si="72"/>
        <v/>
      </c>
      <c r="H372" t="str">
        <f ca="1">IF(B372&lt;&gt;"",IF(AND(COUNTIF(B371,"*轻*莺鸣柳*")&gt;0,COUNTIF(B372,"*轻*")&lt;1),MAX(0,15+I371-(A372-A371)+COUNTIF(B371,"*平湖*")*0),IF(AND(E372=0,MAX(0,H371-(A372-A371))&lt;=加速!$H$11),0,MAX(0,H371-(A372-A371)))),"")</f>
        <v/>
      </c>
      <c r="I372" t="str">
        <f ca="1" t="shared" si="78"/>
        <v/>
      </c>
      <c r="J372" t="str">
        <f ca="1" t="shared" si="79"/>
        <v/>
      </c>
      <c r="K372" t="str">
        <f ca="1">IF(A372&lt;&gt;"",IF(AND(配装计算器!$K$30&lt;&gt;"∞",0),2,INDEX(AU372:CB372,1,$AT$2)),"")</f>
        <v/>
      </c>
      <c r="L372">
        <f ca="1">IFERROR(IF(AND(COUNTIF(B372,"*-峰插*"),技能数据库!$M$72&gt;0),0,IF(COUNTIF(B372,"*鹤归*")&gt;0,16-加速!$L$11,MAX(0,L371-(A372-A371)))),0)</f>
        <v>0</v>
      </c>
      <c r="M372">
        <f ca="1">IF(COUNTIF(IF(AND(配装计算器!$K$30&lt;&gt;"∞",0),INDEX(AU371:CB371,1,$AT$1),INDEX(AU373:CB373,1,$AT$1)),"*鹤归*")=1,L372,0)</f>
        <v>0</v>
      </c>
      <c r="N372">
        <f ca="1">IFERROR(IF(AND(COUNTIF(B372,"*-峰插*"),技能数据库!$M$72&gt;0),0,IF(COUNTIF(B372,"*云飞*")&gt;0,4-COUNTIF(B372,"*玉山揽云*")*4--COUNTIF(B372,"*烟流暮景*")*4-COUNTIF(B372,"*云景*")*加速!$L$11-IF(J372&gt;0,2,0),MAX(0,N371-(A372-A371)-IF(J372&gt;0,2,0)))),0)</f>
        <v>0</v>
      </c>
      <c r="O372">
        <f ca="1">IF(AND(COUNTIF(IF(AND(配装计算器!$K$30&lt;&gt;"∞",0),INDEX(AU371:CB371,1,$AT$1),INDEX(AU373:CB373,1,$AT$1)),"*云飞*")=1,COUNTIF(IF(AND(配装计算器!$K$30&lt;&gt;"∞",0),INDEX(AU371:CB371,1,$AT$1),INDEX(AU373:CB373,1,$AT$1)),"*玉山*")=0),N372,0)</f>
        <v>0</v>
      </c>
      <c r="P372">
        <f ca="1">IFERROR(IF(COUNTIF(B372,"*云栖松*")&gt;0,50-加速!$L$11,MAX(0,P371-(A372-A371))),0)</f>
        <v>0</v>
      </c>
      <c r="Q372">
        <f ca="1">IF(COUNTIF(IF(AND(配装计算器!$K$30&lt;&gt;"∞",0),INDEX(AU371:CB371,1,$AT$1),INDEX(AU373:CB373,1,$AT$1)),"*云栖松*")=1,P372,0)</f>
        <v>0</v>
      </c>
      <c r="R372">
        <f ca="1">IFERROR(IF(COUNTIF(B372,"*莺鸣柳*")&gt;0,45-加速!$L$9,MAX(0,R371-(A372-A371))),0)</f>
        <v>0</v>
      </c>
      <c r="S372">
        <f ca="1">IF(COUNTIF(IF(AND(配装计算器!$K$30&lt;&gt;"∞",0),INDEX(AU371:CB371,1,$AT$1),INDEX(AU373:CB373,1,$AT$1)),"*莺鸣柳*")=1,R372,0)</f>
        <v>0</v>
      </c>
      <c r="T372">
        <f ca="1" t="shared" si="76"/>
        <v>0</v>
      </c>
      <c r="U372">
        <f ca="1">IF(金蛇,IF(COUNTIF(B372,"*金环戴*")+COUNTIF(B372,"*吹风醒*")&gt;0,IF(A372&lt;=3,7.125-2.625-A372-加速!$L$11,7.125+加速!$K$9-(A372+加速!$L$11-T372)),0),0)+IF(金蛇,IF(COUNTIF(B372,"*千切子裂光*")&gt;0,2+加速!$K$9-(A372+加速!$L$11-T372),0),0)</f>
        <v>0</v>
      </c>
      <c r="V372">
        <f ca="1" t="shared" si="77"/>
        <v>0</v>
      </c>
      <c r="W372">
        <f ca="1" t="shared" si="69"/>
        <v>0</v>
      </c>
      <c r="X372">
        <f ca="1">INDEX(加速!$I$13:$I$21,技能数计算!W372+1)</f>
        <v>0</v>
      </c>
      <c r="Y372">
        <f ca="1" t="shared" si="73"/>
        <v>0.5</v>
      </c>
      <c r="Z372">
        <f ca="1" t="shared" si="74"/>
        <v>0</v>
      </c>
      <c r="AA372">
        <f ca="1">MAX(0,IFERROR(IF(COUNTIF(B372,"*叠*")&gt;0,IF(AC371&lt;3,8-A373+A372,AA371+6.875-A373+A372),AA371-A373+A372),AA371-加速!$L$11))</f>
        <v>0</v>
      </c>
      <c r="AB372" t="e">
        <f ca="1">MAX(0,IF(COUNTIF(IF(AND(配装计算器!$K$30&lt;&gt;"∞",0),INDEX(AU372:CB372,1,$AT$1),INDEX(AU372:CB372,1,$AT$1)),"*叠1*")=1,4*25-加速!$L$11,AB371-A372+A371)-IF(OR(COUNTIF(OFFSET(AT372,0,$AT$1,1,1),"*听雷*")&gt;0,AND(碧归&gt;0,COUNTIF(OFFSET(AT372,0,$AT$1,1,1),"*风来*")&gt;0)),0,1)*1.5)</f>
        <v>#VALUE!</v>
      </c>
      <c r="AC372">
        <f ca="1" t="shared" si="70"/>
        <v>3</v>
      </c>
      <c r="AD372">
        <f ca="1">IF(COUNTIF(IF(AND(配装计算器!$K$30&lt;&gt;"∞",0),INDEX(AU372:CB372,1,$AT$1),INDEX(AU373:CB373,1,$AT$1)),"*叠1*")=1,AB372*0+AE371,0)</f>
        <v>0</v>
      </c>
      <c r="AE372" t="e">
        <f ca="1">IF($AN$11&gt;0,IF(COUNTIF(B373,"*叠1*")&gt;0,50-加速!$H$11,MAX(0,AE371-(A373-A372))),0)</f>
        <v>#VALUE!</v>
      </c>
      <c r="AU372" t="s">
        <v>3063</v>
      </c>
      <c r="AV372">
        <v>2</v>
      </c>
      <c r="AW372" t="s">
        <v>2768</v>
      </c>
      <c r="AX372">
        <v>2</v>
      </c>
      <c r="AY372" t="s">
        <v>2789</v>
      </c>
      <c r="AZ372">
        <v>2</v>
      </c>
      <c r="BA372" t="s">
        <v>3035</v>
      </c>
      <c r="BB372">
        <v>2</v>
      </c>
      <c r="BC372" t="s">
        <v>2768</v>
      </c>
      <c r="BD372">
        <v>1</v>
      </c>
      <c r="BE372" t="s">
        <v>2768</v>
      </c>
      <c r="BF372">
        <v>2</v>
      </c>
      <c r="BG372" s="176" t="s">
        <v>3035</v>
      </c>
      <c r="BH372">
        <v>2</v>
      </c>
      <c r="BI372" t="s">
        <v>2768</v>
      </c>
      <c r="BJ372">
        <v>1</v>
      </c>
      <c r="BK372" s="176" t="s">
        <v>2768</v>
      </c>
      <c r="BL372">
        <v>0</v>
      </c>
      <c r="BM372" t="s">
        <v>2776</v>
      </c>
      <c r="BN372">
        <v>2</v>
      </c>
      <c r="BO372" s="176" t="s">
        <v>2794</v>
      </c>
      <c r="BP372">
        <v>2</v>
      </c>
      <c r="BQ372" t="s">
        <v>2768</v>
      </c>
      <c r="BR372">
        <v>0</v>
      </c>
      <c r="BS372" t="s">
        <v>2768</v>
      </c>
      <c r="BT372">
        <v>1</v>
      </c>
      <c r="BU372" t="s">
        <v>2768</v>
      </c>
      <c r="BV372">
        <v>1</v>
      </c>
      <c r="BW372" s="179" t="s">
        <v>2768</v>
      </c>
      <c r="BX372" s="179">
        <v>2</v>
      </c>
      <c r="BY372" s="176" t="s">
        <v>2776</v>
      </c>
      <c r="BZ372">
        <v>2</v>
      </c>
      <c r="CA372" t="s">
        <v>2776</v>
      </c>
      <c r="CB372">
        <v>2</v>
      </c>
    </row>
    <row r="373" spans="1:80">
      <c r="A373" s="178" t="str">
        <f ca="1">IFERROR(IF(A372+加速!$L$11&lt;$AS$1,IF(COUNTIF(B372,"*轻*")&gt;0,A372+加速!$L$9,A372+加速!$L$11)+V372,IF(COUNTIF(INDEX(AU373:CB373,1,$AT$1),"*云景*")+COUNTIF(INDEX(AU373:CB373,1,$AT$1),"*鹤归*")+COUNTIF(INDEX(AU373:CB373,1,$AT$1),"*听雷*")&gt;0,A372+加速!$L$11,"")),"")</f>
        <v/>
      </c>
      <c r="B373" s="167" t="str">
        <f ca="1">IF(A373&lt;&gt;"",IF(AND(A373+加速!$L$11&gt;$AS$1,IF(AND(配装计算器!$K$30&lt;&gt;"∞",0),"梦泉虎跑-轻",INDEX(AU373:CB373,1,$AT$1))="云栖松"),"夕照雷峰",IF(AND(配装计算器!$K$30&lt;&gt;"∞",0),"梦泉虎跑-轻",INDEX(AU373:CB373,1,$AT$1))),"")</f>
        <v/>
      </c>
      <c r="C373" t="str">
        <f ca="1" t="shared" si="75"/>
        <v/>
      </c>
      <c r="D373" t="str">
        <f ca="1">IF(B373&lt;&gt;"",IF(C372&lt;=加速!$L$11*(1-E373),0,1),"")</f>
        <v/>
      </c>
      <c r="E373">
        <f ca="1" t="shared" si="71"/>
        <v>1</v>
      </c>
      <c r="G373" t="str">
        <f ca="1" t="shared" si="72"/>
        <v/>
      </c>
      <c r="H373" t="str">
        <f ca="1">IF(B373&lt;&gt;"",IF(AND(COUNTIF(B372,"*轻*莺鸣柳*")&gt;0,COUNTIF(B373,"*轻*")&lt;1),MAX(0,15+I372-(A373-A372)+COUNTIF(B372,"*平湖*")*0),IF(AND(E373=0,MAX(0,H372-(A373-A372))&lt;=加速!$H$11),0,MAX(0,H372-(A373-A372)))),"")</f>
        <v/>
      </c>
      <c r="I373" t="str">
        <f ca="1" t="shared" si="78"/>
        <v/>
      </c>
      <c r="J373" t="str">
        <f ca="1" t="shared" si="79"/>
        <v/>
      </c>
      <c r="K373" t="str">
        <f ca="1">IF(A373&lt;&gt;"",IF(AND(配装计算器!$K$30&lt;&gt;"∞",0),2,INDEX(AU373:CB373,1,$AT$2)),"")</f>
        <v/>
      </c>
      <c r="L373">
        <f ca="1">IFERROR(IF(AND(COUNTIF(B373,"*-峰插*"),技能数据库!$M$72&gt;0),0,IF(COUNTIF(B373,"*鹤归*")&gt;0,16-加速!$L$11,MAX(0,L372-(A373-A372)))),0)</f>
        <v>0</v>
      </c>
      <c r="M373">
        <f ca="1">IF(COUNTIF(IF(AND(配装计算器!$K$30&lt;&gt;"∞",0),INDEX(AU372:CB372,1,$AT$1),INDEX(AU374:CB374,1,$AT$1)),"*鹤归*")=1,L373,0)</f>
        <v>0</v>
      </c>
      <c r="N373">
        <f ca="1">IFERROR(IF(AND(COUNTIF(B373,"*-峰插*"),技能数据库!$M$72&gt;0),0,IF(COUNTIF(B373,"*云飞*")&gt;0,4-COUNTIF(B373,"*玉山揽云*")*4--COUNTIF(B373,"*烟流暮景*")*4-COUNTIF(B373,"*云景*")*加速!$L$11-IF(J373&gt;0,2,0),MAX(0,N372-(A373-A372)-IF(J373&gt;0,2,0)))),0)</f>
        <v>0</v>
      </c>
      <c r="O373">
        <f ca="1">IF(AND(COUNTIF(IF(AND(配装计算器!$K$30&lt;&gt;"∞",0),INDEX(AU372:CB372,1,$AT$1),INDEX(AU374:CB374,1,$AT$1)),"*云飞*")=1,COUNTIF(IF(AND(配装计算器!$K$30&lt;&gt;"∞",0),INDEX(AU372:CB372,1,$AT$1),INDEX(AU374:CB374,1,$AT$1)),"*玉山*")=0),N373,0)</f>
        <v>0</v>
      </c>
      <c r="P373">
        <f ca="1">IFERROR(IF(COUNTIF(B373,"*云栖松*")&gt;0,50-加速!$L$11,MAX(0,P372-(A373-A372))),0)</f>
        <v>0</v>
      </c>
      <c r="Q373">
        <f ca="1">IF(COUNTIF(IF(AND(配装计算器!$K$30&lt;&gt;"∞",0),INDEX(AU372:CB372,1,$AT$1),INDEX(AU374:CB374,1,$AT$1)),"*云栖松*")=1,P373,0)</f>
        <v>0</v>
      </c>
      <c r="R373">
        <f ca="1">IFERROR(IF(COUNTIF(B373,"*莺鸣柳*")&gt;0,45-加速!$L$9,MAX(0,R372-(A373-A372))),0)</f>
        <v>0</v>
      </c>
      <c r="S373">
        <f ca="1">IF(COUNTIF(IF(AND(配装计算器!$K$30&lt;&gt;"∞",0),INDEX(AU372:CB372,1,$AT$1),INDEX(AU374:CB374,1,$AT$1)),"*莺鸣柳*")=1,R373,0)</f>
        <v>0</v>
      </c>
      <c r="T373">
        <f ca="1" t="shared" si="76"/>
        <v>0</v>
      </c>
      <c r="U373">
        <f ca="1">IF(金蛇,IF(COUNTIF(B373,"*金环戴*")+COUNTIF(B373,"*吹风醒*")&gt;0,IF(A373&lt;=3,7.125-2.625-A373-加速!$L$11,7.125+加速!$K$9-(A373+加速!$L$11-T373)),0),0)+IF(金蛇,IF(COUNTIF(B373,"*千切子裂光*")&gt;0,2+加速!$K$9-(A373+加速!$L$11-T373),0),0)</f>
        <v>0</v>
      </c>
      <c r="V373">
        <f ca="1" t="shared" si="77"/>
        <v>0</v>
      </c>
      <c r="W373">
        <f ca="1" t="shared" si="69"/>
        <v>0</v>
      </c>
      <c r="X373">
        <f ca="1">INDEX(加速!$I$13:$I$21,技能数计算!W373+1)</f>
        <v>0</v>
      </c>
      <c r="Y373">
        <f ca="1" t="shared" si="73"/>
        <v>0.5</v>
      </c>
      <c r="Z373">
        <f ca="1" t="shared" si="74"/>
        <v>0</v>
      </c>
      <c r="AA373">
        <f ca="1">MAX(0,IFERROR(IF(COUNTIF(B373,"*叠*")&gt;0,IF(AC372&lt;3,8-A374+A373,AA372+6.875-A374+A373),AA372-A374+A373),AA372-加速!$L$11))</f>
        <v>0</v>
      </c>
      <c r="AB373" t="e">
        <f ca="1">MAX(0,IF(COUNTIF(IF(AND(配装计算器!$K$30&lt;&gt;"∞",0),INDEX(AU373:CB373,1,$AT$1),INDEX(AU373:CB373,1,$AT$1)),"*叠1*")=1,4*25-加速!$L$11,AB372-A373+A372)-IF(OR(COUNTIF(OFFSET(AT373,0,$AT$1,1,1),"*听雷*")&gt;0,AND(碧归&gt;0,COUNTIF(OFFSET(AT373,0,$AT$1,1,1),"*风来*")&gt;0)),0,1)*1.5)</f>
        <v>#VALUE!</v>
      </c>
      <c r="AC373">
        <f ca="1" t="shared" si="70"/>
        <v>3</v>
      </c>
      <c r="AD373">
        <f ca="1">IF(COUNTIF(IF(AND(配装计算器!$K$30&lt;&gt;"∞",0),INDEX(AU373:CB373,1,$AT$1),INDEX(AU374:CB374,1,$AT$1)),"*叠1*")=1,AB373*0+AE372,0)</f>
        <v>0</v>
      </c>
      <c r="AE373" t="e">
        <f ca="1">IF($AN$11&gt;0,IF(COUNTIF(B374,"*叠1*")&gt;0,50-加速!$H$11,MAX(0,AE372-(A374-A373))),0)</f>
        <v>#VALUE!</v>
      </c>
      <c r="AU373" t="s">
        <v>2776</v>
      </c>
      <c r="AV373">
        <v>1</v>
      </c>
      <c r="AW373" t="s">
        <v>2768</v>
      </c>
      <c r="AX373">
        <v>2</v>
      </c>
      <c r="AY373" t="s">
        <v>2776</v>
      </c>
      <c r="AZ373">
        <v>2</v>
      </c>
      <c r="BA373" t="s">
        <v>2768</v>
      </c>
      <c r="BB373">
        <v>2</v>
      </c>
      <c r="BC373" t="s">
        <v>2768</v>
      </c>
      <c r="BD373">
        <v>1</v>
      </c>
      <c r="BE373" t="s">
        <v>3019</v>
      </c>
      <c r="BF373">
        <v>2</v>
      </c>
      <c r="BG373" t="s">
        <v>2768</v>
      </c>
      <c r="BH373">
        <v>2</v>
      </c>
      <c r="BI373" t="s">
        <v>2776</v>
      </c>
      <c r="BJ373">
        <v>0</v>
      </c>
      <c r="BK373" s="176" t="s">
        <v>2776</v>
      </c>
      <c r="BL373">
        <v>0</v>
      </c>
      <c r="BM373" t="s">
        <v>2768</v>
      </c>
      <c r="BN373">
        <v>2</v>
      </c>
      <c r="BO373" s="176" t="s">
        <v>2776</v>
      </c>
      <c r="BP373">
        <v>2</v>
      </c>
      <c r="BQ373" t="s">
        <v>3010</v>
      </c>
      <c r="BR373">
        <v>2</v>
      </c>
      <c r="BS373" t="s">
        <v>3056</v>
      </c>
      <c r="BT373">
        <v>0</v>
      </c>
      <c r="BU373" t="s">
        <v>3011</v>
      </c>
      <c r="BV373">
        <v>2</v>
      </c>
      <c r="BW373" s="181" t="s">
        <v>2789</v>
      </c>
      <c r="BX373" s="179">
        <v>2</v>
      </c>
      <c r="BY373" s="176" t="s">
        <v>2768</v>
      </c>
      <c r="BZ373">
        <v>1</v>
      </c>
      <c r="CA373" t="s">
        <v>2718</v>
      </c>
      <c r="CB373">
        <v>0</v>
      </c>
    </row>
    <row r="374" spans="1:80">
      <c r="A374" s="178" t="str">
        <f ca="1">IFERROR(IF(A373+加速!$L$11&lt;$AS$1,IF(COUNTIF(B373,"*轻*")&gt;0,A373+加速!$L$9,A373+加速!$L$11)+V373,IF(COUNTIF(INDEX(AU374:CB374,1,$AT$1),"*云景*")+COUNTIF(INDEX(AU374:CB374,1,$AT$1),"*鹤归*")+COUNTIF(INDEX(AU374:CB374,1,$AT$1),"*听雷*")&gt;0,A373+加速!$L$11,"")),"")</f>
        <v/>
      </c>
      <c r="B374" s="167" t="str">
        <f ca="1">IF(A374&lt;&gt;"",IF(AND(A374+加速!$L$11&gt;$AS$1,IF(AND(配装计算器!$K$30&lt;&gt;"∞",0),"梦泉虎跑-轻",INDEX(AU374:CB374,1,$AT$1))="云栖松"),"夕照雷峰",IF(AND(配装计算器!$K$30&lt;&gt;"∞",0),"梦泉虎跑-轻",INDEX(AU374:CB374,1,$AT$1))),"")</f>
        <v/>
      </c>
      <c r="C374" t="str">
        <f ca="1" t="shared" si="75"/>
        <v/>
      </c>
      <c r="D374" t="str">
        <f ca="1">IF(B374&lt;&gt;"",IF(C373&lt;=加速!$L$11*(1-E374),0,1),"")</f>
        <v/>
      </c>
      <c r="E374">
        <f ca="1" t="shared" si="71"/>
        <v>1</v>
      </c>
      <c r="G374" t="str">
        <f ca="1" t="shared" si="72"/>
        <v/>
      </c>
      <c r="H374" t="str">
        <f ca="1">IF(B374&lt;&gt;"",IF(AND(COUNTIF(B373,"*轻*莺鸣柳*")&gt;0,COUNTIF(B374,"*轻*")&lt;1),MAX(0,15+I373-(A374-A373)+COUNTIF(B373,"*平湖*")*0),IF(AND(E374=0,MAX(0,H373-(A374-A373))&lt;=加速!$H$11),0,MAX(0,H373-(A374-A373)))),"")</f>
        <v/>
      </c>
      <c r="I374" t="str">
        <f ca="1" t="shared" si="78"/>
        <v/>
      </c>
      <c r="J374" t="str">
        <f ca="1" t="shared" si="79"/>
        <v/>
      </c>
      <c r="K374" t="str">
        <f ca="1">IF(A374&lt;&gt;"",IF(AND(配装计算器!$K$30&lt;&gt;"∞",0),2,INDEX(AU374:CB374,1,$AT$2)),"")</f>
        <v/>
      </c>
      <c r="L374">
        <f ca="1">IFERROR(IF(AND(COUNTIF(B374,"*-峰插*"),技能数据库!$M$72&gt;0),0,IF(COUNTIF(B374,"*鹤归*")&gt;0,16-加速!$L$11,MAX(0,L373-(A374-A373)))),0)</f>
        <v>0</v>
      </c>
      <c r="M374">
        <f ca="1">IF(COUNTIF(IF(AND(配装计算器!$K$30&lt;&gt;"∞",0),INDEX(AU373:CB373,1,$AT$1),INDEX(AU375:CB375,1,$AT$1)),"*鹤归*")=1,L374,0)</f>
        <v>0</v>
      </c>
      <c r="N374">
        <f ca="1">IFERROR(IF(AND(COUNTIF(B374,"*-峰插*"),技能数据库!$M$72&gt;0),0,IF(COUNTIF(B374,"*云飞*")&gt;0,4-COUNTIF(B374,"*玉山揽云*")*4--COUNTIF(B374,"*烟流暮景*")*4-COUNTIF(B374,"*云景*")*加速!$L$11-IF(J374&gt;0,2,0),MAX(0,N373-(A374-A373)-IF(J374&gt;0,2,0)))),0)</f>
        <v>0</v>
      </c>
      <c r="O374">
        <f ca="1">IF(AND(COUNTIF(IF(AND(配装计算器!$K$30&lt;&gt;"∞",0),INDEX(AU373:CB373,1,$AT$1),INDEX(AU375:CB375,1,$AT$1)),"*云飞*")=1,COUNTIF(IF(AND(配装计算器!$K$30&lt;&gt;"∞",0),INDEX(AU373:CB373,1,$AT$1),INDEX(AU375:CB375,1,$AT$1)),"*玉山*")=0),N374,0)</f>
        <v>0</v>
      </c>
      <c r="P374">
        <f ca="1">IFERROR(IF(COUNTIF(B374,"*云栖松*")&gt;0,50-加速!$L$11,MAX(0,P373-(A374-A373))),0)</f>
        <v>0</v>
      </c>
      <c r="Q374">
        <f ca="1">IF(COUNTIF(IF(AND(配装计算器!$K$30&lt;&gt;"∞",0),INDEX(AU373:CB373,1,$AT$1),INDEX(AU375:CB375,1,$AT$1)),"*云栖松*")=1,P374,0)</f>
        <v>0</v>
      </c>
      <c r="R374">
        <f ca="1">IFERROR(IF(COUNTIF(B374,"*莺鸣柳*")&gt;0,45-加速!$L$9,MAX(0,R373-(A374-A373))),0)</f>
        <v>0</v>
      </c>
      <c r="S374">
        <f ca="1">IF(COUNTIF(IF(AND(配装计算器!$K$30&lt;&gt;"∞",0),INDEX(AU373:CB373,1,$AT$1),INDEX(AU375:CB375,1,$AT$1)),"*莺鸣柳*")=1,R374,0)</f>
        <v>0</v>
      </c>
      <c r="T374">
        <f ca="1" t="shared" si="76"/>
        <v>0</v>
      </c>
      <c r="U374">
        <f ca="1">IF(金蛇,IF(COUNTIF(B374,"*金环戴*")+COUNTIF(B374,"*吹风醒*")&gt;0,IF(A374&lt;=3,7.125-2.625-A374-加速!$L$11,7.125+加速!$K$9-(A374+加速!$L$11-T374)),0),0)+IF(金蛇,IF(COUNTIF(B374,"*千切子裂光*")&gt;0,2+加速!$K$9-(A374+加速!$L$11-T374),0),0)</f>
        <v>0</v>
      </c>
      <c r="V374">
        <f ca="1" t="shared" si="77"/>
        <v>0</v>
      </c>
      <c r="W374">
        <f ca="1" t="shared" si="69"/>
        <v>0</v>
      </c>
      <c r="X374">
        <f ca="1">INDEX(加速!$I$13:$I$21,技能数计算!W374+1)</f>
        <v>0</v>
      </c>
      <c r="Y374">
        <f ca="1" t="shared" si="73"/>
        <v>0.5</v>
      </c>
      <c r="Z374">
        <f ca="1" t="shared" si="74"/>
        <v>0</v>
      </c>
      <c r="AA374">
        <f ca="1">MAX(0,IFERROR(IF(COUNTIF(B374,"*叠*")&gt;0,IF(AC373&lt;3,8-A375+A374,AA373+6.875-A375+A374),AA373-A375+A374),AA373-加速!$L$11))</f>
        <v>0</v>
      </c>
      <c r="AB374" t="e">
        <f ca="1">MAX(0,IF(COUNTIF(IF(AND(配装计算器!$K$30&lt;&gt;"∞",0),INDEX(AU374:CB374,1,$AT$1),INDEX(AU374:CB374,1,$AT$1)),"*叠1*")=1,4*25-加速!$L$11,AB373-A374+A373)-IF(OR(COUNTIF(OFFSET(AT374,0,$AT$1,1,1),"*听雷*")&gt;0,AND(碧归&gt;0,COUNTIF(OFFSET(AT374,0,$AT$1,1,1),"*风来*")&gt;0)),0,1)*1.5)</f>
        <v>#VALUE!</v>
      </c>
      <c r="AC374">
        <f ca="1" t="shared" si="70"/>
        <v>3</v>
      </c>
      <c r="AD374">
        <f ca="1">IF(COUNTIF(IF(AND(配装计算器!$K$30&lt;&gt;"∞",0),INDEX(AU374:CB374,1,$AT$1),INDEX(AU375:CB375,1,$AT$1)),"*叠1*")=1,AB374*0+AE373,0)</f>
        <v>0</v>
      </c>
      <c r="AE374" t="e">
        <f ca="1">IF($AN$11&gt;0,IF(COUNTIF(B375,"*叠1*")&gt;0,50-加速!$H$11,MAX(0,AE373-(A375-A374))),0)</f>
        <v>#VALUE!</v>
      </c>
      <c r="AU374" t="s">
        <v>2768</v>
      </c>
      <c r="AV374">
        <v>2</v>
      </c>
      <c r="AW374" t="s">
        <v>2776</v>
      </c>
      <c r="AX374">
        <v>2</v>
      </c>
      <c r="AY374" t="s">
        <v>3035</v>
      </c>
      <c r="AZ374">
        <v>2</v>
      </c>
      <c r="BA374" t="s">
        <v>2776</v>
      </c>
      <c r="BB374">
        <v>2</v>
      </c>
      <c r="BC374" t="s">
        <v>2813</v>
      </c>
      <c r="BD374">
        <v>0</v>
      </c>
      <c r="BE374" t="s">
        <v>2768</v>
      </c>
      <c r="BF374">
        <v>2</v>
      </c>
      <c r="BG374" t="s">
        <v>2776</v>
      </c>
      <c r="BH374">
        <v>2</v>
      </c>
      <c r="BI374" t="s">
        <v>2768</v>
      </c>
      <c r="BJ374">
        <v>0</v>
      </c>
      <c r="BK374" s="176" t="s">
        <v>2768</v>
      </c>
      <c r="BL374">
        <v>0</v>
      </c>
      <c r="BM374" t="s">
        <v>2768</v>
      </c>
      <c r="BN374">
        <v>2</v>
      </c>
      <c r="BO374" s="176" t="s">
        <v>2768</v>
      </c>
      <c r="BP374">
        <v>2</v>
      </c>
      <c r="BQ374" t="s">
        <v>3013</v>
      </c>
      <c r="BR374">
        <v>2</v>
      </c>
      <c r="BS374" t="s">
        <v>2768</v>
      </c>
      <c r="BT374">
        <v>2</v>
      </c>
      <c r="BU374" t="s">
        <v>2768</v>
      </c>
      <c r="BV374">
        <v>2</v>
      </c>
      <c r="BW374" s="182" t="s">
        <v>2794</v>
      </c>
      <c r="BX374" s="179">
        <v>2</v>
      </c>
      <c r="BY374" s="176" t="s">
        <v>2776</v>
      </c>
      <c r="BZ374">
        <v>1</v>
      </c>
      <c r="CA374" t="s">
        <v>2768</v>
      </c>
      <c r="CB374">
        <v>2</v>
      </c>
    </row>
    <row r="375" spans="1:80">
      <c r="A375" s="178" t="str">
        <f ca="1">IFERROR(IF(A374+加速!$L$11&lt;$AS$1,IF(COUNTIF(B374,"*轻*")&gt;0,A374+加速!$L$9,A374+加速!$L$11)+V374,IF(COUNTIF(INDEX(AU375:CB375,1,$AT$1),"*云景*")+COUNTIF(INDEX(AU375:CB375,1,$AT$1),"*鹤归*")+COUNTIF(INDEX(AU375:CB375,1,$AT$1),"*听雷*")&gt;0,A374+加速!$L$11,"")),"")</f>
        <v/>
      </c>
      <c r="B375" s="167" t="str">
        <f ca="1">IF(A375&lt;&gt;"",IF(AND(A375+加速!$L$11&gt;$AS$1,IF(AND(配装计算器!$K$30&lt;&gt;"∞",0),"梦泉虎跑-轻",INDEX(AU375:CB375,1,$AT$1))="云栖松"),"夕照雷峰",IF(AND(配装计算器!$K$30&lt;&gt;"∞",0),"梦泉虎跑-轻",INDEX(AU375:CB375,1,$AT$1))),"")</f>
        <v/>
      </c>
      <c r="C375" t="str">
        <f ca="1" t="shared" si="75"/>
        <v/>
      </c>
      <c r="D375" t="str">
        <f ca="1">IF(B375&lt;&gt;"",IF(C374&lt;=加速!$L$11*(1-E375),0,1),"")</f>
        <v/>
      </c>
      <c r="E375">
        <f ca="1" t="shared" si="71"/>
        <v>1</v>
      </c>
      <c r="G375" t="str">
        <f ca="1" t="shared" si="72"/>
        <v/>
      </c>
      <c r="H375" t="str">
        <f ca="1">IF(B375&lt;&gt;"",IF(AND(COUNTIF(B374,"*轻*莺鸣柳*")&gt;0,COUNTIF(B375,"*轻*")&lt;1),MAX(0,15+I374-(A375-A374)+COUNTIF(B374,"*平湖*")*0),IF(AND(E375=0,MAX(0,H374-(A375-A374))&lt;=加速!$H$11),0,MAX(0,H374-(A375-A374)))),"")</f>
        <v/>
      </c>
      <c r="I375" t="str">
        <f ca="1" t="shared" si="78"/>
        <v/>
      </c>
      <c r="J375" t="str">
        <f ca="1" t="shared" si="79"/>
        <v/>
      </c>
      <c r="K375" t="str">
        <f ca="1">IF(A375&lt;&gt;"",IF(AND(配装计算器!$K$30&lt;&gt;"∞",0),2,INDEX(AU375:CB375,1,$AT$2)),"")</f>
        <v/>
      </c>
      <c r="L375">
        <f ca="1">IFERROR(IF(AND(COUNTIF(B375,"*-峰插*"),技能数据库!$M$72&gt;0),0,IF(COUNTIF(B375,"*鹤归*")&gt;0,16-加速!$L$11,MAX(0,L374-(A375-A374)))),0)</f>
        <v>0</v>
      </c>
      <c r="M375">
        <f ca="1">IF(COUNTIF(IF(AND(配装计算器!$K$30&lt;&gt;"∞",0),INDEX(AU374:CB374,1,$AT$1),INDEX(AU376:CB376,1,$AT$1)),"*鹤归*")=1,L375,0)</f>
        <v>0</v>
      </c>
      <c r="N375">
        <f ca="1">IFERROR(IF(AND(COUNTIF(B375,"*-峰插*"),技能数据库!$M$72&gt;0),0,IF(COUNTIF(B375,"*云飞*")&gt;0,4-COUNTIF(B375,"*玉山揽云*")*4--COUNTIF(B375,"*烟流暮景*")*4-COUNTIF(B375,"*云景*")*加速!$L$11-IF(J375&gt;0,2,0),MAX(0,N374-(A375-A374)-IF(J375&gt;0,2,0)))),0)</f>
        <v>0</v>
      </c>
      <c r="O375">
        <f ca="1">IF(AND(COUNTIF(IF(AND(配装计算器!$K$30&lt;&gt;"∞",0),INDEX(AU374:CB374,1,$AT$1),INDEX(AU376:CB376,1,$AT$1)),"*云飞*")=1,COUNTIF(IF(AND(配装计算器!$K$30&lt;&gt;"∞",0),INDEX(AU374:CB374,1,$AT$1),INDEX(AU376:CB376,1,$AT$1)),"*玉山*")=0),N375,0)</f>
        <v>0</v>
      </c>
      <c r="P375">
        <f ca="1">IFERROR(IF(COUNTIF(B375,"*云栖松*")&gt;0,50-加速!$L$11,MAX(0,P374-(A375-A374))),0)</f>
        <v>0</v>
      </c>
      <c r="Q375">
        <f ca="1">IF(COUNTIF(IF(AND(配装计算器!$K$30&lt;&gt;"∞",0),INDEX(AU374:CB374,1,$AT$1),INDEX(AU376:CB376,1,$AT$1)),"*云栖松*")=1,P375,0)</f>
        <v>0</v>
      </c>
      <c r="R375">
        <f ca="1">IFERROR(IF(COUNTIF(B375,"*莺鸣柳*")&gt;0,45-加速!$L$9,MAX(0,R374-(A375-A374))),0)</f>
        <v>0</v>
      </c>
      <c r="S375">
        <f ca="1">IF(COUNTIF(IF(AND(配装计算器!$K$30&lt;&gt;"∞",0),INDEX(AU374:CB374,1,$AT$1),INDEX(AU376:CB376,1,$AT$1)),"*莺鸣柳*")=1,R375,0)</f>
        <v>0</v>
      </c>
      <c r="T375">
        <f ca="1" t="shared" si="76"/>
        <v>0</v>
      </c>
      <c r="U375">
        <f ca="1">IF(金蛇,IF(COUNTIF(B375,"*金环戴*")+COUNTIF(B375,"*吹风醒*")&gt;0,IF(A375&lt;=3,7.125-2.625-A375-加速!$L$11,7.125+加速!$K$9-(A375+加速!$L$11-T375)),0),0)+IF(金蛇,IF(COUNTIF(B375,"*千切子裂光*")&gt;0,2+加速!$K$9-(A375+加速!$L$11-T375),0),0)</f>
        <v>0</v>
      </c>
      <c r="V375">
        <f ca="1" t="shared" si="77"/>
        <v>0</v>
      </c>
      <c r="W375">
        <f ca="1" t="shared" si="69"/>
        <v>0</v>
      </c>
      <c r="X375">
        <f ca="1">INDEX(加速!$I$13:$I$21,技能数计算!W375+1)</f>
        <v>0</v>
      </c>
      <c r="Y375">
        <f ca="1" t="shared" si="73"/>
        <v>0.5</v>
      </c>
      <c r="Z375">
        <f ca="1" t="shared" si="74"/>
        <v>0</v>
      </c>
      <c r="AA375">
        <f ca="1">MAX(0,IFERROR(IF(COUNTIF(B375,"*叠*")&gt;0,IF(AC374&lt;3,8-A376+A375,AA374+6.875-A376+A375),AA374-A376+A375),AA374-加速!$L$11))</f>
        <v>0</v>
      </c>
      <c r="AB375" t="e">
        <f ca="1">MAX(0,IF(COUNTIF(IF(AND(配装计算器!$K$30&lt;&gt;"∞",0),INDEX(AU375:CB375,1,$AT$1),INDEX(AU375:CB375,1,$AT$1)),"*叠1*")=1,4*25-加速!$L$11,AB374-A375+A374)-IF(OR(COUNTIF(OFFSET(AT375,0,$AT$1,1,1),"*听雷*")&gt;0,AND(碧归&gt;0,COUNTIF(OFFSET(AT375,0,$AT$1,1,1),"*风来*")&gt;0)),0,1)*1.5)</f>
        <v>#VALUE!</v>
      </c>
      <c r="AC375">
        <f ca="1" t="shared" si="70"/>
        <v>3</v>
      </c>
      <c r="AD375">
        <f ca="1">IF(COUNTIF(IF(AND(配装计算器!$K$30&lt;&gt;"∞",0),INDEX(AU375:CB375,1,$AT$1),INDEX(AU376:CB376,1,$AT$1)),"*叠1*")=1,AB375*0+AE374,0)</f>
        <v>0</v>
      </c>
      <c r="AE375" t="e">
        <f ca="1">IF($AN$11&gt;0,IF(COUNTIF(B376,"*叠1*")&gt;0,50-加速!$H$11,MAX(0,AE374-(A376-A375))),0)</f>
        <v>#VALUE!</v>
      </c>
      <c r="AU375" t="s">
        <v>2768</v>
      </c>
      <c r="AV375">
        <v>2</v>
      </c>
      <c r="AW375" t="s">
        <v>2768</v>
      </c>
      <c r="AX375">
        <v>2</v>
      </c>
      <c r="AY375" t="s">
        <v>2768</v>
      </c>
      <c r="AZ375">
        <v>2</v>
      </c>
      <c r="BA375" t="s">
        <v>2768</v>
      </c>
      <c r="BB375">
        <v>2</v>
      </c>
      <c r="BC375" t="s">
        <v>2776</v>
      </c>
      <c r="BD375">
        <v>2</v>
      </c>
      <c r="BE375" t="s">
        <v>2768</v>
      </c>
      <c r="BF375">
        <v>2</v>
      </c>
      <c r="BG375" t="s">
        <v>2768</v>
      </c>
      <c r="BH375">
        <v>2</v>
      </c>
      <c r="BI375" t="s">
        <v>2768</v>
      </c>
      <c r="BJ375">
        <v>0</v>
      </c>
      <c r="BK375" s="176" t="s">
        <v>3012</v>
      </c>
      <c r="BL375">
        <v>2</v>
      </c>
      <c r="BM375" t="s">
        <v>2768</v>
      </c>
      <c r="BN375">
        <v>2</v>
      </c>
      <c r="BO375" s="176" t="s">
        <v>2776</v>
      </c>
      <c r="BP375">
        <v>2</v>
      </c>
      <c r="BQ375" t="s">
        <v>3018</v>
      </c>
      <c r="BR375">
        <v>2</v>
      </c>
      <c r="BS375" t="s">
        <v>2768</v>
      </c>
      <c r="BT375">
        <v>2</v>
      </c>
      <c r="BU375" t="s">
        <v>3018</v>
      </c>
      <c r="BV375">
        <v>2</v>
      </c>
      <c r="BW375" s="182" t="s">
        <v>2776</v>
      </c>
      <c r="BX375" s="179">
        <v>2</v>
      </c>
      <c r="BY375" s="176" t="s">
        <v>2768</v>
      </c>
      <c r="BZ375">
        <v>1</v>
      </c>
      <c r="CA375" t="s">
        <v>2768</v>
      </c>
      <c r="CB375">
        <v>1</v>
      </c>
    </row>
    <row r="376" spans="1:80">
      <c r="A376" s="178" t="str">
        <f ca="1">IFERROR(IF(A375+加速!$L$11&lt;$AS$1,IF(COUNTIF(B375,"*轻*")&gt;0,A375+加速!$L$9,A375+加速!$L$11)+V375,IF(COUNTIF(INDEX(AU376:CB376,1,$AT$1),"*云景*")+COUNTIF(INDEX(AU376:CB376,1,$AT$1),"*鹤归*")+COUNTIF(INDEX(AU376:CB376,1,$AT$1),"*听雷*")&gt;0,A375+加速!$L$11,"")),"")</f>
        <v/>
      </c>
      <c r="B376" s="167" t="str">
        <f ca="1">IF(A376&lt;&gt;"",IF(AND(A376+加速!$L$11&gt;$AS$1,IF(AND(配装计算器!$K$30&lt;&gt;"∞",0),"梦泉虎跑-轻",INDEX(AU376:CB376,1,$AT$1))="云栖松"),"夕照雷峰",IF(AND(配装计算器!$K$30&lt;&gt;"∞",0),"梦泉虎跑-轻",INDEX(AU376:CB376,1,$AT$1))),"")</f>
        <v/>
      </c>
      <c r="C376" t="str">
        <f ca="1" t="shared" si="75"/>
        <v/>
      </c>
      <c r="D376" t="str">
        <f ca="1">IF(B376&lt;&gt;"",IF(C375&lt;=加速!$L$11*(1-E376),0,1),"")</f>
        <v/>
      </c>
      <c r="E376">
        <f ca="1" t="shared" si="71"/>
        <v>1</v>
      </c>
      <c r="G376" t="str">
        <f ca="1" t="shared" si="72"/>
        <v/>
      </c>
      <c r="H376" t="str">
        <f ca="1">IF(B376&lt;&gt;"",IF(AND(COUNTIF(B375,"*轻*莺鸣柳*")&gt;0,COUNTIF(B376,"*轻*")&lt;1),MAX(0,15+I375-(A376-A375)+COUNTIF(B375,"*平湖*")*0),IF(AND(E376=0,MAX(0,H375-(A376-A375))&lt;=加速!$H$11),0,MAX(0,H375-(A376-A375)))),"")</f>
        <v/>
      </c>
      <c r="I376" t="str">
        <f ca="1" t="shared" si="78"/>
        <v/>
      </c>
      <c r="J376" t="str">
        <f ca="1" t="shared" si="79"/>
        <v/>
      </c>
      <c r="K376" t="str">
        <f ca="1">IF(A376&lt;&gt;"",IF(AND(配装计算器!$K$30&lt;&gt;"∞",0),2,INDEX(AU376:CB376,1,$AT$2)),"")</f>
        <v/>
      </c>
      <c r="L376">
        <f ca="1">IFERROR(IF(AND(COUNTIF(B376,"*-峰插*"),技能数据库!$M$72&gt;0),0,IF(COUNTIF(B376,"*鹤归*")&gt;0,16-加速!$L$11,MAX(0,L375-(A376-A375)))),0)</f>
        <v>0</v>
      </c>
      <c r="M376">
        <f ca="1">IF(COUNTIF(IF(AND(配装计算器!$K$30&lt;&gt;"∞",0),INDEX(AU375:CB375,1,$AT$1),INDEX(AU377:CB377,1,$AT$1)),"*鹤归*")=1,L376,0)</f>
        <v>0</v>
      </c>
      <c r="N376">
        <f ca="1">IFERROR(IF(AND(COUNTIF(B376,"*-峰插*"),技能数据库!$M$72&gt;0),0,IF(COUNTIF(B376,"*云飞*")&gt;0,4-COUNTIF(B376,"*玉山揽云*")*4--COUNTIF(B376,"*烟流暮景*")*4-COUNTIF(B376,"*云景*")*加速!$L$11-IF(J376&gt;0,2,0),MAX(0,N375-(A376-A375)-IF(J376&gt;0,2,0)))),0)</f>
        <v>0</v>
      </c>
      <c r="O376">
        <f ca="1">IF(AND(COUNTIF(IF(AND(配装计算器!$K$30&lt;&gt;"∞",0),INDEX(AU375:CB375,1,$AT$1),INDEX(AU377:CB377,1,$AT$1)),"*云飞*")=1,COUNTIF(IF(AND(配装计算器!$K$30&lt;&gt;"∞",0),INDEX(AU375:CB375,1,$AT$1),INDEX(AU377:CB377,1,$AT$1)),"*玉山*")=0),N376,0)</f>
        <v>0</v>
      </c>
      <c r="P376">
        <f ca="1">IFERROR(IF(COUNTIF(B376,"*云栖松*")&gt;0,50-加速!$L$11,MAX(0,P375-(A376-A375))),0)</f>
        <v>0</v>
      </c>
      <c r="Q376">
        <f ca="1">IF(COUNTIF(IF(AND(配装计算器!$K$30&lt;&gt;"∞",0),INDEX(AU375:CB375,1,$AT$1),INDEX(AU377:CB377,1,$AT$1)),"*云栖松*")=1,P376,0)</f>
        <v>0</v>
      </c>
      <c r="R376">
        <f ca="1">IFERROR(IF(COUNTIF(B376,"*莺鸣柳*")&gt;0,45-加速!$L$9,MAX(0,R375-(A376-A375))),0)</f>
        <v>0</v>
      </c>
      <c r="S376">
        <f ca="1">IF(COUNTIF(IF(AND(配装计算器!$K$30&lt;&gt;"∞",0),INDEX(AU375:CB375,1,$AT$1),INDEX(AU377:CB377,1,$AT$1)),"*莺鸣柳*")=1,R376,0)</f>
        <v>0</v>
      </c>
      <c r="T376">
        <f ca="1" t="shared" si="76"/>
        <v>0</v>
      </c>
      <c r="U376">
        <f ca="1">IF(金蛇,IF(COUNTIF(B376,"*金环戴*")+COUNTIF(B376,"*吹风醒*")&gt;0,IF(A376&lt;=3,7.125-2.625-A376-加速!$L$11,7.125+加速!$K$9-(A376+加速!$L$11-T376)),0),0)+IF(金蛇,IF(COUNTIF(B376,"*千切子裂光*")&gt;0,2+加速!$K$9-(A376+加速!$L$11-T376),0),0)</f>
        <v>0</v>
      </c>
      <c r="V376">
        <f ca="1" t="shared" si="77"/>
        <v>0</v>
      </c>
      <c r="W376">
        <f ca="1" t="shared" si="69"/>
        <v>0</v>
      </c>
      <c r="X376">
        <f ca="1">INDEX(加速!$I$13:$I$21,技能数计算!W376+1)</f>
        <v>0</v>
      </c>
      <c r="Y376">
        <f ca="1" t="shared" si="73"/>
        <v>0.5</v>
      </c>
      <c r="Z376">
        <f ca="1" t="shared" si="74"/>
        <v>0</v>
      </c>
      <c r="AA376">
        <f ca="1">MAX(0,IFERROR(IF(COUNTIF(B376,"*叠*")&gt;0,IF(AC375&lt;3,8-A377+A376,AA375+6.875-A377+A376),AA375-A377+A376),AA375-加速!$L$11))</f>
        <v>0</v>
      </c>
      <c r="AB376" t="e">
        <f ca="1">MAX(0,IF(COUNTIF(IF(AND(配装计算器!$K$30&lt;&gt;"∞",0),INDEX(AU376:CB376,1,$AT$1),INDEX(AU376:CB376,1,$AT$1)),"*叠1*")=1,4*25-加速!$L$11,AB375-A376+A375)-IF(OR(COUNTIF(OFFSET(AT376,0,$AT$1,1,1),"*听雷*")&gt;0,AND(碧归&gt;0,COUNTIF(OFFSET(AT376,0,$AT$1,1,1),"*风来*")&gt;0)),0,1)*1.5)</f>
        <v>#VALUE!</v>
      </c>
      <c r="AC376">
        <f ca="1" t="shared" si="70"/>
        <v>3</v>
      </c>
      <c r="AD376">
        <f ca="1">IF(COUNTIF(IF(AND(配装计算器!$K$30&lt;&gt;"∞",0),INDEX(AU376:CB376,1,$AT$1),INDEX(AU377:CB377,1,$AT$1)),"*叠1*")=1,AB376*0+AE375,0)</f>
        <v>0</v>
      </c>
      <c r="AE376" t="e">
        <f ca="1">IF($AN$11&gt;0,IF(COUNTIF(B377,"*叠1*")&gt;0,50-加速!$H$11,MAX(0,AE375-(A377-A376))),0)</f>
        <v>#VALUE!</v>
      </c>
      <c r="AU376" s="176" t="s">
        <v>2794</v>
      </c>
      <c r="AV376">
        <v>2</v>
      </c>
      <c r="AW376" t="s">
        <v>2722</v>
      </c>
      <c r="AX376">
        <v>0</v>
      </c>
      <c r="AY376" t="s">
        <v>2776</v>
      </c>
      <c r="AZ376">
        <v>2</v>
      </c>
      <c r="BA376" t="s">
        <v>2776</v>
      </c>
      <c r="BB376">
        <v>2</v>
      </c>
      <c r="BC376" t="s">
        <v>2768</v>
      </c>
      <c r="BD376">
        <v>2</v>
      </c>
      <c r="BE376" t="s">
        <v>2768</v>
      </c>
      <c r="BF376">
        <v>2</v>
      </c>
      <c r="BG376" t="s">
        <v>2776</v>
      </c>
      <c r="BH376">
        <v>2</v>
      </c>
      <c r="BI376" t="s">
        <v>2722</v>
      </c>
      <c r="BJ376">
        <v>0</v>
      </c>
      <c r="BK376" s="176" t="s">
        <v>2794</v>
      </c>
      <c r="BL376">
        <v>2</v>
      </c>
      <c r="BM376" t="s">
        <v>2776</v>
      </c>
      <c r="BN376">
        <v>2</v>
      </c>
      <c r="BO376" s="176" t="s">
        <v>2768</v>
      </c>
      <c r="BP376">
        <v>2</v>
      </c>
      <c r="BQ376" t="s">
        <v>2768</v>
      </c>
      <c r="BR376">
        <v>2</v>
      </c>
      <c r="BS376" t="s">
        <v>2776</v>
      </c>
      <c r="BT376">
        <v>2</v>
      </c>
      <c r="BU376" t="s">
        <v>2768</v>
      </c>
      <c r="BV376">
        <v>2</v>
      </c>
      <c r="BW376" s="182" t="s">
        <v>2768</v>
      </c>
      <c r="BX376" s="179">
        <v>2</v>
      </c>
      <c r="BY376" t="s">
        <v>2776</v>
      </c>
      <c r="BZ376">
        <v>1</v>
      </c>
      <c r="CA376" t="s">
        <v>2776</v>
      </c>
      <c r="CB376">
        <v>1</v>
      </c>
    </row>
    <row r="377" spans="1:80">
      <c r="A377" s="178" t="str">
        <f ca="1">IFERROR(IF(A376+加速!$L$11&lt;$AS$1,IF(COUNTIF(B376,"*轻*")&gt;0,A376+加速!$L$9,A376+加速!$L$11)+V376,IF(COUNTIF(INDEX(AU377:CB377,1,$AT$1),"*云景*")+COUNTIF(INDEX(AU377:CB377,1,$AT$1),"*鹤归*")+COUNTIF(INDEX(AU377:CB377,1,$AT$1),"*听雷*")&gt;0,A376+加速!$L$11,"")),"")</f>
        <v/>
      </c>
      <c r="B377" s="167" t="str">
        <f ca="1">IF(A377&lt;&gt;"",IF(AND(A377+加速!$L$11&gt;$AS$1,IF(AND(配装计算器!$K$30&lt;&gt;"∞",0),"梦泉虎跑-轻",INDEX(AU377:CB377,1,$AT$1))="云栖松"),"夕照雷峰",IF(AND(配装计算器!$K$30&lt;&gt;"∞",0),"梦泉虎跑-轻",INDEX(AU377:CB377,1,$AT$1))),"")</f>
        <v/>
      </c>
      <c r="C377" t="str">
        <f ca="1" t="shared" si="75"/>
        <v/>
      </c>
      <c r="D377" t="str">
        <f ca="1">IF(B377&lt;&gt;"",IF(C376&lt;=加速!$L$11*(1-E377),0,1),"")</f>
        <v/>
      </c>
      <c r="E377">
        <f ca="1" t="shared" si="71"/>
        <v>1</v>
      </c>
      <c r="G377" t="str">
        <f ca="1" t="shared" si="72"/>
        <v/>
      </c>
      <c r="H377" t="str">
        <f ca="1">IF(B377&lt;&gt;"",IF(AND(COUNTIF(B376,"*轻*莺鸣柳*")&gt;0,COUNTIF(B377,"*轻*")&lt;1),MAX(0,15+I376-(A377-A376)+COUNTIF(B376,"*平湖*")*0),IF(AND(E377=0,MAX(0,H376-(A377-A376))&lt;=加速!$H$11),0,MAX(0,H376-(A377-A376)))),"")</f>
        <v/>
      </c>
      <c r="I377" t="str">
        <f ca="1" t="shared" si="78"/>
        <v/>
      </c>
      <c r="J377" t="str">
        <f ca="1" t="shared" si="79"/>
        <v/>
      </c>
      <c r="K377" t="str">
        <f ca="1">IF(A377&lt;&gt;"",IF(AND(配装计算器!$K$30&lt;&gt;"∞",0),2,INDEX(AU377:CB377,1,$AT$2)),"")</f>
        <v/>
      </c>
      <c r="L377">
        <f ca="1">IFERROR(IF(AND(COUNTIF(B377,"*-峰插*"),技能数据库!$M$72&gt;0),0,IF(COUNTIF(B377,"*鹤归*")&gt;0,16-加速!$L$11,MAX(0,L376-(A377-A376)))),0)</f>
        <v>0</v>
      </c>
      <c r="M377">
        <f ca="1">IF(COUNTIF(IF(AND(配装计算器!$K$30&lt;&gt;"∞",0),INDEX(AU376:CB376,1,$AT$1),INDEX(AU378:CB378,1,$AT$1)),"*鹤归*")=1,L377,0)</f>
        <v>0</v>
      </c>
      <c r="N377">
        <f ca="1">IFERROR(IF(AND(COUNTIF(B377,"*-峰插*"),技能数据库!$M$72&gt;0),0,IF(COUNTIF(B377,"*云飞*")&gt;0,4-COUNTIF(B377,"*玉山揽云*")*4--COUNTIF(B377,"*烟流暮景*")*4-COUNTIF(B377,"*云景*")*加速!$L$11-IF(J377&gt;0,2,0),MAX(0,N376-(A377-A376)-IF(J377&gt;0,2,0)))),0)</f>
        <v>0</v>
      </c>
      <c r="O377">
        <f ca="1">IF(AND(COUNTIF(IF(AND(配装计算器!$K$30&lt;&gt;"∞",0),INDEX(AU376:CB376,1,$AT$1),INDEX(AU378:CB378,1,$AT$1)),"*云飞*")=1,COUNTIF(IF(AND(配装计算器!$K$30&lt;&gt;"∞",0),INDEX(AU376:CB376,1,$AT$1),INDEX(AU378:CB378,1,$AT$1)),"*玉山*")=0),N377,0)</f>
        <v>0</v>
      </c>
      <c r="P377">
        <f ca="1">IFERROR(IF(COUNTIF(B377,"*云栖松*")&gt;0,50-加速!$L$11,MAX(0,P376-(A377-A376))),0)</f>
        <v>0</v>
      </c>
      <c r="Q377">
        <f ca="1">IF(COUNTIF(IF(AND(配装计算器!$K$30&lt;&gt;"∞",0),INDEX(AU376:CB376,1,$AT$1),INDEX(AU378:CB378,1,$AT$1)),"*云栖松*")=1,P377,0)</f>
        <v>0</v>
      </c>
      <c r="R377">
        <f ca="1">IFERROR(IF(COUNTIF(B377,"*莺鸣柳*")&gt;0,45-加速!$L$9,MAX(0,R376-(A377-A376))),0)</f>
        <v>0</v>
      </c>
      <c r="S377">
        <f ca="1">IF(COUNTIF(IF(AND(配装计算器!$K$30&lt;&gt;"∞",0),INDEX(AU376:CB376,1,$AT$1),INDEX(AU378:CB378,1,$AT$1)),"*莺鸣柳*")=1,R377,0)</f>
        <v>0</v>
      </c>
      <c r="T377">
        <f ca="1" t="shared" si="76"/>
        <v>0</v>
      </c>
      <c r="U377">
        <f ca="1">IF(金蛇,IF(COUNTIF(B377,"*金环戴*")+COUNTIF(B377,"*吹风醒*")&gt;0,IF(A377&lt;=3,7.125-2.625-A377-加速!$L$11,7.125+加速!$K$9-(A377+加速!$L$11-T377)),0),0)+IF(金蛇,IF(COUNTIF(B377,"*千切子裂光*")&gt;0,2+加速!$K$9-(A377+加速!$L$11-T377),0),0)</f>
        <v>0</v>
      </c>
      <c r="V377">
        <f ca="1" t="shared" si="77"/>
        <v>0</v>
      </c>
      <c r="W377">
        <f ca="1" t="shared" si="69"/>
        <v>0</v>
      </c>
      <c r="X377">
        <f ca="1">INDEX(加速!$I$13:$I$21,技能数计算!W377+1)</f>
        <v>0</v>
      </c>
      <c r="Y377">
        <f ca="1" t="shared" si="73"/>
        <v>0.5</v>
      </c>
      <c r="Z377">
        <f ca="1" t="shared" si="74"/>
        <v>0</v>
      </c>
      <c r="AA377">
        <f ca="1">MAX(0,IFERROR(IF(COUNTIF(B377,"*叠*")&gt;0,IF(AC376&lt;3,8-A378+A377,AA376+6.875-A378+A377),AA376-A378+A377),AA376-加速!$L$11))</f>
        <v>0</v>
      </c>
      <c r="AB377" t="e">
        <f ca="1">MAX(0,IF(COUNTIF(IF(AND(配装计算器!$K$30&lt;&gt;"∞",0),INDEX(AU377:CB377,1,$AT$1),INDEX(AU377:CB377,1,$AT$1)),"*叠1*")=1,4*25-加速!$L$11,AB376-A377+A376)-IF(OR(COUNTIF(OFFSET(AT377,0,$AT$1,1,1),"*听雷*")&gt;0,AND(碧归&gt;0,COUNTIF(OFFSET(AT377,0,$AT$1,1,1),"*风来*")&gt;0)),0,1)*1.5)</f>
        <v>#VALUE!</v>
      </c>
      <c r="AC377">
        <f ca="1" t="shared" si="70"/>
        <v>3</v>
      </c>
      <c r="AD377">
        <f ca="1">IF(COUNTIF(IF(AND(配装计算器!$K$30&lt;&gt;"∞",0),INDEX(AU377:CB377,1,$AT$1),INDEX(AU378:CB378,1,$AT$1)),"*叠1*")=1,AB377*0+AE376,0)</f>
        <v>0</v>
      </c>
      <c r="AE377" t="e">
        <f ca="1">IF($AN$11&gt;0,IF(COUNTIF(B378,"*叠1*")&gt;0,50-加速!$H$11,MAX(0,AE376-(A378-A377))),0)</f>
        <v>#VALUE!</v>
      </c>
      <c r="AU377" s="176" t="s">
        <v>2776</v>
      </c>
      <c r="AV377">
        <v>2</v>
      </c>
      <c r="AW377" t="s">
        <v>3009</v>
      </c>
      <c r="AX377">
        <v>2</v>
      </c>
      <c r="AY377" t="s">
        <v>2768</v>
      </c>
      <c r="AZ377">
        <v>2</v>
      </c>
      <c r="BA377" t="s">
        <v>3042</v>
      </c>
      <c r="BB377">
        <v>2</v>
      </c>
      <c r="BC377" t="s">
        <v>2768</v>
      </c>
      <c r="BD377">
        <v>2</v>
      </c>
      <c r="BE377" t="s">
        <v>3042</v>
      </c>
      <c r="BF377">
        <v>2</v>
      </c>
      <c r="BG377" t="s">
        <v>2768</v>
      </c>
      <c r="BH377">
        <v>2</v>
      </c>
      <c r="BI377" t="s">
        <v>2776</v>
      </c>
      <c r="BJ377">
        <v>2</v>
      </c>
      <c r="BK377" s="176" t="s">
        <v>3019</v>
      </c>
      <c r="BL377">
        <v>2</v>
      </c>
      <c r="BM377" t="s">
        <v>2768</v>
      </c>
      <c r="BN377">
        <v>1</v>
      </c>
      <c r="BO377" s="176" t="s">
        <v>2808</v>
      </c>
      <c r="BP377">
        <v>2</v>
      </c>
      <c r="BQ377" t="s">
        <v>3023</v>
      </c>
      <c r="BR377">
        <v>2</v>
      </c>
      <c r="BS377" t="s">
        <v>2768</v>
      </c>
      <c r="BT377">
        <v>1</v>
      </c>
      <c r="BU377" s="182" t="s">
        <v>3023</v>
      </c>
      <c r="BV377">
        <v>2</v>
      </c>
      <c r="BW377" s="182" t="s">
        <v>2776</v>
      </c>
      <c r="BX377" s="179">
        <v>2</v>
      </c>
      <c r="BY377" t="s">
        <v>2768</v>
      </c>
      <c r="BZ377">
        <v>1</v>
      </c>
      <c r="CA377" t="s">
        <v>2768</v>
      </c>
      <c r="CB377">
        <v>1</v>
      </c>
    </row>
    <row r="378" spans="1:80">
      <c r="A378" s="178" t="str">
        <f ca="1">IFERROR(IF(A377+加速!$L$11&lt;$AS$1,IF(COUNTIF(B377,"*轻*")&gt;0,A377+加速!$L$9,A377+加速!$L$11)+V377,IF(COUNTIF(INDEX(AU378:CB378,1,$AT$1),"*云景*")+COUNTIF(INDEX(AU378:CB378,1,$AT$1),"*鹤归*")+COUNTIF(INDEX(AU378:CB378,1,$AT$1),"*听雷*")&gt;0,A377+加速!$L$11,"")),"")</f>
        <v/>
      </c>
      <c r="B378" s="167" t="str">
        <f ca="1">IF(A378&lt;&gt;"",IF(AND(A378+加速!$L$11&gt;$AS$1,IF(AND(配装计算器!$K$30&lt;&gt;"∞",0),"梦泉虎跑-轻",INDEX(AU378:CB378,1,$AT$1))="云栖松"),"夕照雷峰",IF(AND(配装计算器!$K$30&lt;&gt;"∞",0),"梦泉虎跑-轻",INDEX(AU378:CB378,1,$AT$1))),"")</f>
        <v/>
      </c>
      <c r="C378" t="str">
        <f ca="1" t="shared" si="75"/>
        <v/>
      </c>
      <c r="D378" t="str">
        <f ca="1">IF(B378&lt;&gt;"",IF(C377&lt;=加速!$L$11*(1-E378),0,1),"")</f>
        <v/>
      </c>
      <c r="E378">
        <f ca="1" t="shared" si="71"/>
        <v>1</v>
      </c>
      <c r="G378" t="str">
        <f ca="1" t="shared" si="72"/>
        <v/>
      </c>
      <c r="H378" t="str">
        <f ca="1">IF(B378&lt;&gt;"",IF(AND(COUNTIF(B377,"*轻*莺鸣柳*")&gt;0,COUNTIF(B378,"*轻*")&lt;1),MAX(0,15+I377-(A378-A377)+COUNTIF(B377,"*平湖*")*0),IF(AND(E378=0,MAX(0,H377-(A378-A377))&lt;=加速!$H$11),0,MAX(0,H377-(A378-A377)))),"")</f>
        <v/>
      </c>
      <c r="I378" t="str">
        <f ca="1" t="shared" si="78"/>
        <v/>
      </c>
      <c r="J378" t="str">
        <f ca="1" t="shared" si="79"/>
        <v/>
      </c>
      <c r="K378" t="str">
        <f ca="1">IF(A378&lt;&gt;"",IF(AND(配装计算器!$K$30&lt;&gt;"∞",0),2,INDEX(AU378:CB378,1,$AT$2)),"")</f>
        <v/>
      </c>
      <c r="L378">
        <f ca="1">IFERROR(IF(AND(COUNTIF(B378,"*-峰插*"),技能数据库!$M$72&gt;0),0,IF(COUNTIF(B378,"*鹤归*")&gt;0,16-加速!$L$11,MAX(0,L377-(A378-A377)))),0)</f>
        <v>0</v>
      </c>
      <c r="M378">
        <f ca="1">IF(COUNTIF(IF(AND(配装计算器!$K$30&lt;&gt;"∞",0),INDEX(AU377:CB377,1,$AT$1),INDEX(AU379:CB379,1,$AT$1)),"*鹤归*")=1,L378,0)</f>
        <v>0</v>
      </c>
      <c r="N378">
        <f ca="1">IFERROR(IF(AND(COUNTIF(B378,"*-峰插*"),技能数据库!$M$72&gt;0),0,IF(COUNTIF(B378,"*云飞*")&gt;0,4-COUNTIF(B378,"*玉山揽云*")*4--COUNTIF(B378,"*烟流暮景*")*4-COUNTIF(B378,"*云景*")*加速!$L$11-IF(J378&gt;0,2,0),MAX(0,N377-(A378-A377)-IF(J378&gt;0,2,0)))),0)</f>
        <v>0</v>
      </c>
      <c r="O378">
        <f ca="1">IF(AND(COUNTIF(IF(AND(配装计算器!$K$30&lt;&gt;"∞",0),INDEX(AU377:CB377,1,$AT$1),INDEX(AU379:CB379,1,$AT$1)),"*云飞*")=1,COUNTIF(IF(AND(配装计算器!$K$30&lt;&gt;"∞",0),INDEX(AU377:CB377,1,$AT$1),INDEX(AU379:CB379,1,$AT$1)),"*玉山*")=0),N378,0)</f>
        <v>0</v>
      </c>
      <c r="P378">
        <f ca="1">IFERROR(IF(COUNTIF(B378,"*云栖松*")&gt;0,50-加速!$L$11,MAX(0,P377-(A378-A377))),0)</f>
        <v>0</v>
      </c>
      <c r="Q378">
        <f ca="1">IF(COUNTIF(IF(AND(配装计算器!$K$30&lt;&gt;"∞",0),INDEX(AU377:CB377,1,$AT$1),INDEX(AU379:CB379,1,$AT$1)),"*云栖松*")=1,P378,0)</f>
        <v>0</v>
      </c>
      <c r="R378">
        <f ca="1">IFERROR(IF(COUNTIF(B378,"*莺鸣柳*")&gt;0,45-加速!$L$9,MAX(0,R377-(A378-A377))),0)</f>
        <v>0</v>
      </c>
      <c r="S378">
        <f ca="1">IF(COUNTIF(IF(AND(配装计算器!$K$30&lt;&gt;"∞",0),INDEX(AU377:CB377,1,$AT$1),INDEX(AU379:CB379,1,$AT$1)),"*莺鸣柳*")=1,R378,0)</f>
        <v>0</v>
      </c>
      <c r="T378">
        <f ca="1" t="shared" si="76"/>
        <v>0</v>
      </c>
      <c r="U378">
        <f ca="1">IF(金蛇,IF(COUNTIF(B378,"*金环戴*")+COUNTIF(B378,"*吹风醒*")&gt;0,IF(A378&lt;=3,7.125-2.625-A378-加速!$L$11,7.125+加速!$K$9-(A378+加速!$L$11-T378)),0),0)+IF(金蛇,IF(COUNTIF(B378,"*千切子裂光*")&gt;0,2+加速!$K$9-(A378+加速!$L$11-T378),0),0)</f>
        <v>0</v>
      </c>
      <c r="V378">
        <f ca="1" t="shared" si="77"/>
        <v>0</v>
      </c>
      <c r="W378">
        <f ca="1" t="shared" si="69"/>
        <v>0</v>
      </c>
      <c r="X378">
        <f ca="1">INDEX(加速!$I$13:$I$21,技能数计算!W378+1)</f>
        <v>0</v>
      </c>
      <c r="Y378">
        <f ca="1" t="shared" si="73"/>
        <v>0.5</v>
      </c>
      <c r="Z378">
        <f ca="1" t="shared" si="74"/>
        <v>0</v>
      </c>
      <c r="AA378">
        <f ca="1">MAX(0,IFERROR(IF(COUNTIF(B378,"*叠*")&gt;0,IF(AC377&lt;3,8-A379+A378,AA377+6.875-A379+A378),AA377-A379+A378),AA377-加速!$L$11))</f>
        <v>0</v>
      </c>
      <c r="AB378" t="e">
        <f ca="1">MAX(0,IF(COUNTIF(IF(AND(配装计算器!$K$30&lt;&gt;"∞",0),INDEX(AU378:CB378,1,$AT$1),INDEX(AU378:CB378,1,$AT$1)),"*叠1*")=1,4*25-加速!$L$11,AB377-A378+A377)-IF(OR(COUNTIF(OFFSET(AT378,0,$AT$1,1,1),"*听雷*")&gt;0,AND(碧归&gt;0,COUNTIF(OFFSET(AT378,0,$AT$1,1,1),"*风来*")&gt;0)),0,1)*1.5)</f>
        <v>#VALUE!</v>
      </c>
      <c r="AC378">
        <f ca="1" t="shared" si="70"/>
        <v>3</v>
      </c>
      <c r="AD378">
        <f ca="1">IF(COUNTIF(IF(AND(配装计算器!$K$30&lt;&gt;"∞",0),INDEX(AU378:CB378,1,$AT$1),INDEX(AU379:CB379,1,$AT$1)),"*叠1*")=1,AB378*0+AE377,0)</f>
        <v>0</v>
      </c>
      <c r="AE378" t="e">
        <f ca="1">IF($AN$11&gt;0,IF(COUNTIF(B379,"*叠1*")&gt;0,50-加速!$H$11,MAX(0,AE377-(A379-A378))),0)</f>
        <v>#VALUE!</v>
      </c>
      <c r="AU378" s="176" t="s">
        <v>2768</v>
      </c>
      <c r="AV378">
        <v>1</v>
      </c>
      <c r="AW378" t="s">
        <v>2776</v>
      </c>
      <c r="AX378">
        <v>2</v>
      </c>
      <c r="AY378" t="s">
        <v>2776</v>
      </c>
      <c r="AZ378">
        <v>2</v>
      </c>
      <c r="BA378" t="s">
        <v>2808</v>
      </c>
      <c r="BB378">
        <v>2</v>
      </c>
      <c r="BC378" t="s">
        <v>2768</v>
      </c>
      <c r="BD378">
        <v>1</v>
      </c>
      <c r="BE378" t="s">
        <v>3084</v>
      </c>
      <c r="BF378">
        <v>2</v>
      </c>
      <c r="BG378" t="s">
        <v>2808</v>
      </c>
      <c r="BH378">
        <v>2</v>
      </c>
      <c r="BI378" t="s">
        <v>2768</v>
      </c>
      <c r="BJ378">
        <v>2</v>
      </c>
      <c r="BK378" t="s">
        <v>2768</v>
      </c>
      <c r="BL378">
        <v>2</v>
      </c>
      <c r="BM378" t="s">
        <v>2722</v>
      </c>
      <c r="BN378">
        <v>0</v>
      </c>
      <c r="BO378" t="s">
        <v>2768</v>
      </c>
      <c r="BP378">
        <v>2</v>
      </c>
      <c r="BQ378" t="s">
        <v>2768</v>
      </c>
      <c r="BR378">
        <v>2</v>
      </c>
      <c r="BS378" t="s">
        <v>2768</v>
      </c>
      <c r="BT378">
        <v>1</v>
      </c>
      <c r="BU378" s="176" t="s">
        <v>2768</v>
      </c>
      <c r="BV378">
        <v>2</v>
      </c>
      <c r="BW378" s="182" t="s">
        <v>2768</v>
      </c>
      <c r="BX378" s="179">
        <v>2</v>
      </c>
      <c r="BY378" t="s">
        <v>2722</v>
      </c>
      <c r="BZ378">
        <v>0</v>
      </c>
      <c r="CA378" t="s">
        <v>2722</v>
      </c>
      <c r="CB378">
        <v>0</v>
      </c>
    </row>
    <row r="379" spans="1:80">
      <c r="A379" s="178" t="str">
        <f ca="1">IFERROR(IF(A378+加速!$L$11&lt;$AS$1,IF(COUNTIF(B378,"*轻*")&gt;0,A378+加速!$L$9,A378+加速!$L$11)+V378,IF(COUNTIF(INDEX(AU379:CB379,1,$AT$1),"*云景*")+COUNTIF(INDEX(AU379:CB379,1,$AT$1),"*鹤归*")+COUNTIF(INDEX(AU379:CB379,1,$AT$1),"*听雷*")&gt;0,A378+加速!$L$11,"")),"")</f>
        <v/>
      </c>
      <c r="B379" s="167" t="str">
        <f ca="1">IF(A379&lt;&gt;"",IF(AND(A379+加速!$L$11&gt;$AS$1,IF(AND(配装计算器!$K$30&lt;&gt;"∞",0),"梦泉虎跑-轻",INDEX(AU379:CB379,1,$AT$1))="云栖松"),"夕照雷峰",IF(AND(配装计算器!$K$30&lt;&gt;"∞",0),"梦泉虎跑-轻",INDEX(AU379:CB379,1,$AT$1))),"")</f>
        <v/>
      </c>
      <c r="C379" t="str">
        <f ca="1" t="shared" si="75"/>
        <v/>
      </c>
      <c r="D379" t="str">
        <f ca="1">IF(B379&lt;&gt;"",IF(C378&lt;=加速!$L$11*(1-E379),0,1),"")</f>
        <v/>
      </c>
      <c r="E379">
        <f ca="1" t="shared" si="71"/>
        <v>1</v>
      </c>
      <c r="G379" t="str">
        <f ca="1" t="shared" si="72"/>
        <v/>
      </c>
      <c r="H379" t="str">
        <f ca="1">IF(B379&lt;&gt;"",IF(AND(COUNTIF(B378,"*轻*莺鸣柳*")&gt;0,COUNTIF(B379,"*轻*")&lt;1),MAX(0,15+I378-(A379-A378)+COUNTIF(B378,"*平湖*")*0),IF(AND(E379=0,MAX(0,H378-(A379-A378))&lt;=加速!$H$11),0,MAX(0,H378-(A379-A378)))),"")</f>
        <v/>
      </c>
      <c r="I379" t="str">
        <f ca="1" t="shared" si="78"/>
        <v/>
      </c>
      <c r="J379" t="str">
        <f ca="1" t="shared" si="79"/>
        <v/>
      </c>
      <c r="K379" t="str">
        <f ca="1">IF(A379&lt;&gt;"",IF(AND(配装计算器!$K$30&lt;&gt;"∞",0),2,INDEX(AU379:CB379,1,$AT$2)),"")</f>
        <v/>
      </c>
      <c r="L379">
        <f ca="1">IFERROR(IF(AND(COUNTIF(B379,"*-峰插*"),技能数据库!$M$72&gt;0),0,IF(COUNTIF(B379,"*鹤归*")&gt;0,16-加速!$L$11,MAX(0,L378-(A379-A378)))),0)</f>
        <v>0</v>
      </c>
      <c r="M379">
        <f ca="1">IF(COUNTIF(IF(AND(配装计算器!$K$30&lt;&gt;"∞",0),INDEX(AU378:CB378,1,$AT$1),INDEX(AU380:CB380,1,$AT$1)),"*鹤归*")=1,L379,0)</f>
        <v>0</v>
      </c>
      <c r="N379">
        <f ca="1">IFERROR(IF(AND(COUNTIF(B379,"*-峰插*"),技能数据库!$M$72&gt;0),0,IF(COUNTIF(B379,"*云飞*")&gt;0,4-COUNTIF(B379,"*玉山揽云*")*4--COUNTIF(B379,"*烟流暮景*")*4-COUNTIF(B379,"*云景*")*加速!$L$11-IF(J379&gt;0,2,0),MAX(0,N378-(A379-A378)-IF(J379&gt;0,2,0)))),0)</f>
        <v>0</v>
      </c>
      <c r="O379">
        <f ca="1">IF(AND(COUNTIF(IF(AND(配装计算器!$K$30&lt;&gt;"∞",0),INDEX(AU378:CB378,1,$AT$1),INDEX(AU380:CB380,1,$AT$1)),"*云飞*")=1,COUNTIF(IF(AND(配装计算器!$K$30&lt;&gt;"∞",0),INDEX(AU378:CB378,1,$AT$1),INDEX(AU380:CB380,1,$AT$1)),"*玉山*")=0),N379,0)</f>
        <v>0</v>
      </c>
      <c r="P379">
        <f ca="1">IFERROR(IF(COUNTIF(B379,"*云栖松*")&gt;0,50-加速!$L$11,MAX(0,P378-(A379-A378))),0)</f>
        <v>0</v>
      </c>
      <c r="Q379">
        <f ca="1">IF(COUNTIF(IF(AND(配装计算器!$K$30&lt;&gt;"∞",0),INDEX(AU378:CB378,1,$AT$1),INDEX(AU380:CB380,1,$AT$1)),"*云栖松*")=1,P379,0)</f>
        <v>0</v>
      </c>
      <c r="R379">
        <f ca="1">IFERROR(IF(COUNTIF(B379,"*莺鸣柳*")&gt;0,45-加速!$L$9,MAX(0,R378-(A379-A378))),0)</f>
        <v>0</v>
      </c>
      <c r="S379">
        <f ca="1">IF(COUNTIF(IF(AND(配装计算器!$K$30&lt;&gt;"∞",0),INDEX(AU378:CB378,1,$AT$1),INDEX(AU380:CB380,1,$AT$1)),"*莺鸣柳*")=1,R379,0)</f>
        <v>0</v>
      </c>
      <c r="T379">
        <f ca="1" t="shared" si="76"/>
        <v>0</v>
      </c>
      <c r="U379">
        <f ca="1">IF(金蛇,IF(COUNTIF(B379,"*金环戴*")+COUNTIF(B379,"*吹风醒*")&gt;0,IF(A379&lt;=3,7.125-2.625-A379-加速!$L$11,7.125+加速!$K$9-(A379+加速!$L$11-T379)),0),0)+IF(金蛇,IF(COUNTIF(B379,"*千切子裂光*")&gt;0,2+加速!$K$9-(A379+加速!$L$11-T379),0),0)</f>
        <v>0</v>
      </c>
      <c r="V379">
        <f ca="1" t="shared" si="77"/>
        <v>0</v>
      </c>
      <c r="W379">
        <f ca="1" t="shared" si="69"/>
        <v>0</v>
      </c>
      <c r="X379">
        <f ca="1">INDEX(加速!$I$13:$I$21,技能数计算!W379+1)</f>
        <v>0</v>
      </c>
      <c r="Y379">
        <f ca="1" t="shared" si="73"/>
        <v>0.5</v>
      </c>
      <c r="Z379">
        <f ca="1" t="shared" si="74"/>
        <v>0</v>
      </c>
      <c r="AA379">
        <f ca="1">MAX(0,IFERROR(IF(COUNTIF(B379,"*叠*")&gt;0,IF(AC378&lt;3,8-A380+A379,AA378+6.875-A380+A379),AA378-A380+A379),AA378-加速!$L$11))</f>
        <v>0</v>
      </c>
      <c r="AB379" t="e">
        <f ca="1">MAX(0,IF(COUNTIF(IF(AND(配装计算器!$K$30&lt;&gt;"∞",0),INDEX(AU379:CB379,1,$AT$1),INDEX(AU379:CB379,1,$AT$1)),"*叠1*")=1,4*25-加速!$L$11,AB378-A379+A378)-IF(OR(COUNTIF(OFFSET(AT379,0,$AT$1,1,1),"*听雷*")&gt;0,AND(碧归&gt;0,COUNTIF(OFFSET(AT379,0,$AT$1,1,1),"*风来*")&gt;0)),0,1)*1.5)</f>
        <v>#VALUE!</v>
      </c>
      <c r="AC379">
        <f ca="1" t="shared" si="70"/>
        <v>3</v>
      </c>
      <c r="AD379">
        <f ca="1">IF(COUNTIF(IF(AND(配装计算器!$K$30&lt;&gt;"∞",0),INDEX(AU379:CB379,1,$AT$1),INDEX(AU380:CB380,1,$AT$1)),"*叠1*")=1,AB379*0+AE378,0)</f>
        <v>0</v>
      </c>
      <c r="AE379" t="e">
        <f ca="1">IF($AN$11&gt;0,IF(COUNTIF(B380,"*叠1*")&gt;0,50-加速!$H$11,MAX(0,AE378-(A380-A379))),0)</f>
        <v>#VALUE!</v>
      </c>
      <c r="AU379" s="176" t="s">
        <v>2776</v>
      </c>
      <c r="AV379">
        <v>2</v>
      </c>
      <c r="AW379" t="s">
        <v>2768</v>
      </c>
      <c r="AX379">
        <v>2</v>
      </c>
      <c r="AY379" t="s">
        <v>3042</v>
      </c>
      <c r="AZ379">
        <v>2</v>
      </c>
      <c r="BA379" t="s">
        <v>2768</v>
      </c>
      <c r="BB379">
        <v>2</v>
      </c>
      <c r="BC379" t="s">
        <v>2776</v>
      </c>
      <c r="BD379">
        <v>1</v>
      </c>
      <c r="BE379" t="s">
        <v>2768</v>
      </c>
      <c r="BF379">
        <v>2</v>
      </c>
      <c r="BG379" t="s">
        <v>2768</v>
      </c>
      <c r="BH379">
        <v>2</v>
      </c>
      <c r="BI379" t="s">
        <v>2768</v>
      </c>
      <c r="BJ379">
        <v>2</v>
      </c>
      <c r="BK379" t="s">
        <v>3023</v>
      </c>
      <c r="BL379">
        <v>2</v>
      </c>
      <c r="BM379" t="s">
        <v>3009</v>
      </c>
      <c r="BN379">
        <v>2</v>
      </c>
      <c r="BO379" t="s">
        <v>2776</v>
      </c>
      <c r="BP379">
        <v>2</v>
      </c>
      <c r="BQ379" t="s">
        <v>2776</v>
      </c>
      <c r="BR379">
        <v>2</v>
      </c>
      <c r="BS379" t="s">
        <v>2768</v>
      </c>
      <c r="BT379">
        <v>0</v>
      </c>
      <c r="BU379" s="176" t="s">
        <v>2768</v>
      </c>
      <c r="BV379">
        <v>2</v>
      </c>
      <c r="BW379" s="182" t="s">
        <v>2808</v>
      </c>
      <c r="BX379" s="179">
        <v>2</v>
      </c>
      <c r="BY379" t="s">
        <v>3009</v>
      </c>
      <c r="BZ379">
        <v>2</v>
      </c>
      <c r="CA379" t="s">
        <v>3009</v>
      </c>
      <c r="CB379">
        <v>2</v>
      </c>
    </row>
    <row r="380" spans="1:80">
      <c r="A380" s="178" t="str">
        <f ca="1">IFERROR(IF(A379+加速!$L$11&lt;$AS$1,IF(COUNTIF(B379,"*轻*")&gt;0,A379+加速!$L$9,A379+加速!$L$11)+V379,IF(COUNTIF(INDEX(AU380:CB380,1,$AT$1),"*云景*")+COUNTIF(INDEX(AU380:CB380,1,$AT$1),"*鹤归*")+COUNTIF(INDEX(AU380:CB380,1,$AT$1),"*听雷*")&gt;0,A379+加速!$L$11,"")),"")</f>
        <v/>
      </c>
      <c r="B380" s="167" t="str">
        <f ca="1">IF(A380&lt;&gt;"",IF(AND(A380+加速!$L$11&gt;$AS$1,IF(AND(配装计算器!$K$30&lt;&gt;"∞",0),"梦泉虎跑-轻",INDEX(AU380:CB380,1,$AT$1))="云栖松"),"夕照雷峰",IF(AND(配装计算器!$K$30&lt;&gt;"∞",0),"梦泉虎跑-轻",INDEX(AU380:CB380,1,$AT$1))),"")</f>
        <v/>
      </c>
      <c r="C380" t="str">
        <f ca="1" t="shared" si="75"/>
        <v/>
      </c>
      <c r="D380" t="str">
        <f ca="1">IF(B380&lt;&gt;"",IF(C379&lt;=加速!$L$11*(1-E380),0,1),"")</f>
        <v/>
      </c>
      <c r="E380">
        <f ca="1" t="shared" si="71"/>
        <v>1</v>
      </c>
      <c r="G380" t="str">
        <f ca="1" t="shared" si="72"/>
        <v/>
      </c>
      <c r="H380" t="str">
        <f ca="1">IF(B380&lt;&gt;"",IF(AND(COUNTIF(B379,"*轻*莺鸣柳*")&gt;0,COUNTIF(B380,"*轻*")&lt;1),MAX(0,15+I379-(A380-A379)+COUNTIF(B379,"*平湖*")*0),IF(AND(E380=0,MAX(0,H379-(A380-A379))&lt;=加速!$H$11),0,MAX(0,H379-(A380-A379)))),"")</f>
        <v/>
      </c>
      <c r="I380" t="str">
        <f ca="1" t="shared" si="78"/>
        <v/>
      </c>
      <c r="J380" t="str">
        <f ca="1" t="shared" si="79"/>
        <v/>
      </c>
      <c r="K380" t="str">
        <f ca="1">IF(A380&lt;&gt;"",IF(AND(配装计算器!$K$30&lt;&gt;"∞",0),2,INDEX(AU380:CB380,1,$AT$2)),"")</f>
        <v/>
      </c>
      <c r="L380">
        <f ca="1">IFERROR(IF(AND(COUNTIF(B380,"*-峰插*"),技能数据库!$M$72&gt;0),0,IF(COUNTIF(B380,"*鹤归*")&gt;0,16-加速!$L$11,MAX(0,L379-(A380-A379)))),0)</f>
        <v>0</v>
      </c>
      <c r="M380">
        <f ca="1">IF(COUNTIF(IF(AND(配装计算器!$K$30&lt;&gt;"∞",0),INDEX(AU379:CB379,1,$AT$1),INDEX(AU381:CB381,1,$AT$1)),"*鹤归*")=1,L380,0)</f>
        <v>0</v>
      </c>
      <c r="N380">
        <f ca="1">IFERROR(IF(AND(COUNTIF(B380,"*-峰插*"),技能数据库!$M$72&gt;0),0,IF(COUNTIF(B380,"*云飞*")&gt;0,4-COUNTIF(B380,"*玉山揽云*")*4--COUNTIF(B380,"*烟流暮景*")*4-COUNTIF(B380,"*云景*")*加速!$L$11-IF(J380&gt;0,2,0),MAX(0,N379-(A380-A379)-IF(J380&gt;0,2,0)))),0)</f>
        <v>0</v>
      </c>
      <c r="O380">
        <f ca="1">IF(AND(COUNTIF(IF(AND(配装计算器!$K$30&lt;&gt;"∞",0),INDEX(AU379:CB379,1,$AT$1),INDEX(AU381:CB381,1,$AT$1)),"*云飞*")=1,COUNTIF(IF(AND(配装计算器!$K$30&lt;&gt;"∞",0),INDEX(AU379:CB379,1,$AT$1),INDEX(AU381:CB381,1,$AT$1)),"*玉山*")=0),N380,0)</f>
        <v>0</v>
      </c>
      <c r="P380">
        <f ca="1">IFERROR(IF(COUNTIF(B380,"*云栖松*")&gt;0,50-加速!$L$11,MAX(0,P379-(A380-A379))),0)</f>
        <v>0</v>
      </c>
      <c r="Q380">
        <f ca="1">IF(COUNTIF(IF(AND(配装计算器!$K$30&lt;&gt;"∞",0),INDEX(AU379:CB379,1,$AT$1),INDEX(AU381:CB381,1,$AT$1)),"*云栖松*")=1,P380,0)</f>
        <v>0</v>
      </c>
      <c r="R380">
        <f ca="1">IFERROR(IF(COUNTIF(B380,"*莺鸣柳*")&gt;0,45-加速!$L$9,MAX(0,R379-(A380-A379))),0)</f>
        <v>0</v>
      </c>
      <c r="S380">
        <f ca="1">IF(COUNTIF(IF(AND(配装计算器!$K$30&lt;&gt;"∞",0),INDEX(AU379:CB379,1,$AT$1),INDEX(AU381:CB381,1,$AT$1)),"*莺鸣柳*")=1,R380,0)</f>
        <v>0</v>
      </c>
      <c r="T380">
        <f ca="1" t="shared" si="76"/>
        <v>0</v>
      </c>
      <c r="U380">
        <f ca="1">IF(金蛇,IF(COUNTIF(B380,"*金环戴*")+COUNTIF(B380,"*吹风醒*")&gt;0,IF(A380&lt;=3,7.125-2.625-A380-加速!$L$11,7.125+加速!$K$9-(A380+加速!$L$11-T380)),0),0)+IF(金蛇,IF(COUNTIF(B380,"*千切子裂光*")&gt;0,2+加速!$K$9-(A380+加速!$L$11-T380),0),0)</f>
        <v>0</v>
      </c>
      <c r="V380">
        <f ca="1" t="shared" si="77"/>
        <v>0</v>
      </c>
      <c r="W380">
        <f ca="1" t="shared" si="69"/>
        <v>0</v>
      </c>
      <c r="X380">
        <f ca="1">INDEX(加速!$I$13:$I$21,技能数计算!W380+1)</f>
        <v>0</v>
      </c>
      <c r="Y380">
        <f ca="1" t="shared" si="73"/>
        <v>0.5</v>
      </c>
      <c r="Z380">
        <f ca="1" t="shared" si="74"/>
        <v>0</v>
      </c>
      <c r="AA380">
        <f ca="1">MAX(0,IFERROR(IF(COUNTIF(B380,"*叠*")&gt;0,IF(AC379&lt;3,8-A381+A380,AA379+6.875-A381+A380),AA379-A381+A380),AA379-加速!$L$11))</f>
        <v>0</v>
      </c>
      <c r="AB380" t="e">
        <f ca="1">MAX(0,IF(COUNTIF(IF(AND(配装计算器!$K$30&lt;&gt;"∞",0),INDEX(AU380:CB380,1,$AT$1),INDEX(AU380:CB380,1,$AT$1)),"*叠1*")=1,4*25-加速!$L$11,AB379-A380+A379)-IF(OR(COUNTIF(OFFSET(AT380,0,$AT$1,1,1),"*听雷*")&gt;0,AND(碧归&gt;0,COUNTIF(OFFSET(AT380,0,$AT$1,1,1),"*风来*")&gt;0)),0,1)*1.5)</f>
        <v>#VALUE!</v>
      </c>
      <c r="AC380">
        <f ca="1" t="shared" si="70"/>
        <v>3</v>
      </c>
      <c r="AD380">
        <f ca="1">IF(COUNTIF(IF(AND(配装计算器!$K$30&lt;&gt;"∞",0),INDEX(AU380:CB380,1,$AT$1),INDEX(AU381:CB381,1,$AT$1)),"*叠1*")=1,AB380*0+AE379,0)</f>
        <v>0</v>
      </c>
      <c r="AE380" t="e">
        <f ca="1">IF($AN$11&gt;0,IF(COUNTIF(B381,"*叠1*")&gt;0,50-加速!$H$11,MAX(0,AE379-(A381-A380))),0)</f>
        <v>#VALUE!</v>
      </c>
      <c r="AU380" s="176" t="s">
        <v>2768</v>
      </c>
      <c r="AV380">
        <v>1</v>
      </c>
      <c r="AW380" t="str">
        <f>IF(山重水复,"风来吴山","夕照雷峰")</f>
        <v>夕照雷峰</v>
      </c>
      <c r="AX380">
        <v>2</v>
      </c>
      <c r="AY380" t="s">
        <v>2808</v>
      </c>
      <c r="AZ380">
        <v>2</v>
      </c>
      <c r="BA380" t="s">
        <v>2768</v>
      </c>
      <c r="BB380">
        <v>2</v>
      </c>
      <c r="BC380" t="s">
        <v>2768</v>
      </c>
      <c r="BD380">
        <v>1</v>
      </c>
      <c r="BE380" t="s">
        <v>2794</v>
      </c>
      <c r="BF380">
        <v>2</v>
      </c>
      <c r="BG380" s="176" t="s">
        <v>2768</v>
      </c>
      <c r="BH380">
        <v>2</v>
      </c>
      <c r="BI380" s="176" t="s">
        <v>2794</v>
      </c>
      <c r="BJ380">
        <v>1</v>
      </c>
      <c r="BK380" t="s">
        <v>2768</v>
      </c>
      <c r="BL380">
        <v>2</v>
      </c>
      <c r="BM380" t="s">
        <v>2776</v>
      </c>
      <c r="BN380">
        <v>2</v>
      </c>
      <c r="BO380" t="s">
        <v>2768</v>
      </c>
      <c r="BP380">
        <v>2</v>
      </c>
      <c r="BQ380" t="s">
        <v>2789</v>
      </c>
      <c r="BR380">
        <v>2</v>
      </c>
      <c r="BS380" t="s">
        <v>2776</v>
      </c>
      <c r="BT380">
        <v>0</v>
      </c>
      <c r="BU380" s="176" t="s">
        <v>2789</v>
      </c>
      <c r="BV380">
        <v>2</v>
      </c>
      <c r="BW380" s="179" t="s">
        <v>2768</v>
      </c>
      <c r="BX380" s="179">
        <v>2</v>
      </c>
      <c r="BY380" t="s">
        <v>2768</v>
      </c>
      <c r="BZ380">
        <v>2</v>
      </c>
      <c r="CA380" s="176" t="s">
        <v>2794</v>
      </c>
      <c r="CB380">
        <v>2</v>
      </c>
    </row>
    <row r="381" spans="1:80">
      <c r="A381" s="178" t="str">
        <f ca="1">IFERROR(IF(A380+加速!$L$11&lt;$AS$1,IF(COUNTIF(B380,"*轻*")&gt;0,A380+加速!$L$9,A380+加速!$L$11)+V380,IF(COUNTIF(INDEX(AU381:CB381,1,$AT$1),"*云景*")+COUNTIF(INDEX(AU381:CB381,1,$AT$1),"*鹤归*")+COUNTIF(INDEX(AU381:CB381,1,$AT$1),"*听雷*")&gt;0,A380+加速!$L$11,"")),"")</f>
        <v/>
      </c>
      <c r="B381" s="167" t="str">
        <f ca="1">IF(A381&lt;&gt;"",IF(AND(A381+加速!$L$11&gt;$AS$1,IF(AND(配装计算器!$K$30&lt;&gt;"∞",0),"梦泉虎跑-轻",INDEX(AU381:CB381,1,$AT$1))="云栖松"),"夕照雷峰",IF(AND(配装计算器!$K$30&lt;&gt;"∞",0),"梦泉虎跑-轻",INDEX(AU381:CB381,1,$AT$1))),"")</f>
        <v/>
      </c>
      <c r="C381" t="str">
        <f ca="1" t="shared" si="75"/>
        <v/>
      </c>
      <c r="D381" t="str">
        <f ca="1">IF(B381&lt;&gt;"",IF(C380&lt;=加速!$L$11*(1-E381),0,1),"")</f>
        <v/>
      </c>
      <c r="E381">
        <f ca="1" t="shared" si="71"/>
        <v>1</v>
      </c>
      <c r="G381" t="str">
        <f ca="1" t="shared" si="72"/>
        <v/>
      </c>
      <c r="H381" t="str">
        <f ca="1">IF(B381&lt;&gt;"",IF(AND(COUNTIF(B380,"*轻*莺鸣柳*")&gt;0,COUNTIF(B381,"*轻*")&lt;1),MAX(0,15+I380-(A381-A380)+COUNTIF(B380,"*平湖*")*0),IF(AND(E381=0,MAX(0,H380-(A381-A380))&lt;=加速!$H$11),0,MAX(0,H380-(A381-A380)))),"")</f>
        <v/>
      </c>
      <c r="I381" t="str">
        <f ca="1" t="shared" si="78"/>
        <v/>
      </c>
      <c r="J381" t="str">
        <f ca="1" t="shared" si="79"/>
        <v/>
      </c>
      <c r="K381" t="str">
        <f ca="1">IF(A381&lt;&gt;"",IF(AND(配装计算器!$K$30&lt;&gt;"∞",0),2,INDEX(AU381:CB381,1,$AT$2)),"")</f>
        <v/>
      </c>
      <c r="L381">
        <f ca="1">IFERROR(IF(AND(COUNTIF(B381,"*-峰插*"),技能数据库!$M$72&gt;0),0,IF(COUNTIF(B381,"*鹤归*")&gt;0,16-加速!$L$11,MAX(0,L380-(A381-A380)))),0)</f>
        <v>0</v>
      </c>
      <c r="M381">
        <f ca="1">IF(COUNTIF(IF(AND(配装计算器!$K$30&lt;&gt;"∞",0),INDEX(AU380:CB380,1,$AT$1),INDEX(AU382:CB382,1,$AT$1)),"*鹤归*")=1,L381,0)</f>
        <v>0</v>
      </c>
      <c r="N381">
        <f ca="1">IFERROR(IF(AND(COUNTIF(B381,"*-峰插*"),技能数据库!$M$72&gt;0),0,IF(COUNTIF(B381,"*云飞*")&gt;0,4-COUNTIF(B381,"*玉山揽云*")*4--COUNTIF(B381,"*烟流暮景*")*4-COUNTIF(B381,"*云景*")*加速!$L$11-IF(J381&gt;0,2,0),MAX(0,N380-(A381-A380)-IF(J381&gt;0,2,0)))),0)</f>
        <v>0</v>
      </c>
      <c r="O381">
        <f ca="1">IF(AND(COUNTIF(IF(AND(配装计算器!$K$30&lt;&gt;"∞",0),INDEX(AU380:CB380,1,$AT$1),INDEX(AU382:CB382,1,$AT$1)),"*云飞*")=1,COUNTIF(IF(AND(配装计算器!$K$30&lt;&gt;"∞",0),INDEX(AU380:CB380,1,$AT$1),INDEX(AU382:CB382,1,$AT$1)),"*玉山*")=0),N381,0)</f>
        <v>0</v>
      </c>
      <c r="P381">
        <f ca="1">IFERROR(IF(COUNTIF(B381,"*云栖松*")&gt;0,50-加速!$L$11,MAX(0,P380-(A381-A380))),0)</f>
        <v>0</v>
      </c>
      <c r="Q381">
        <f ca="1">IF(COUNTIF(IF(AND(配装计算器!$K$30&lt;&gt;"∞",0),INDEX(AU380:CB380,1,$AT$1),INDEX(AU382:CB382,1,$AT$1)),"*云栖松*")=1,P381,0)</f>
        <v>0</v>
      </c>
      <c r="R381">
        <f ca="1">IFERROR(IF(COUNTIF(B381,"*莺鸣柳*")&gt;0,45-加速!$L$9,MAX(0,R380-(A381-A380))),0)</f>
        <v>0</v>
      </c>
      <c r="S381">
        <f ca="1">IF(COUNTIF(IF(AND(配装计算器!$K$30&lt;&gt;"∞",0),INDEX(AU380:CB380,1,$AT$1),INDEX(AU382:CB382,1,$AT$1)),"*莺鸣柳*")=1,R381,0)</f>
        <v>0</v>
      </c>
      <c r="T381">
        <f ca="1" t="shared" si="76"/>
        <v>0</v>
      </c>
      <c r="U381">
        <f ca="1">IF(金蛇,IF(COUNTIF(B381,"*金环戴*")+COUNTIF(B381,"*吹风醒*")&gt;0,IF(A381&lt;=3,7.125-2.625-A381-加速!$L$11,7.125+加速!$K$9-(A381+加速!$L$11-T381)),0),0)+IF(金蛇,IF(COUNTIF(B381,"*千切子裂光*")&gt;0,2+加速!$K$9-(A381+加速!$L$11-T381),0),0)</f>
        <v>0</v>
      </c>
      <c r="V381">
        <f ca="1" t="shared" si="77"/>
        <v>0</v>
      </c>
      <c r="W381">
        <f ca="1" t="shared" si="69"/>
        <v>0</v>
      </c>
      <c r="X381">
        <f ca="1">INDEX(加速!$I$13:$I$21,技能数计算!W381+1)</f>
        <v>0</v>
      </c>
      <c r="Y381">
        <f ca="1" t="shared" si="73"/>
        <v>0.5</v>
      </c>
      <c r="Z381">
        <f ca="1" t="shared" si="74"/>
        <v>0</v>
      </c>
      <c r="AA381">
        <f ca="1">MAX(0,IFERROR(IF(COUNTIF(B381,"*叠*")&gt;0,IF(AC380&lt;3,8-A382+A381,AA380+6.875-A382+A381),AA380-A382+A381),AA380-加速!$L$11))</f>
        <v>0</v>
      </c>
      <c r="AB381" t="e">
        <f ca="1">MAX(0,IF(COUNTIF(IF(AND(配装计算器!$K$30&lt;&gt;"∞",0),INDEX(AU381:CB381,1,$AT$1),INDEX(AU381:CB381,1,$AT$1)),"*叠1*")=1,4*25-加速!$L$11,AB380-A381+A380)-IF(OR(COUNTIF(OFFSET(AT381,0,$AT$1,1,1),"*听雷*")&gt;0,AND(碧归&gt;0,COUNTIF(OFFSET(AT381,0,$AT$1,1,1),"*风来*")&gt;0)),0,1)*1.5)</f>
        <v>#VALUE!</v>
      </c>
      <c r="AC381">
        <f ca="1" t="shared" si="70"/>
        <v>3</v>
      </c>
      <c r="AD381">
        <f ca="1">IF(COUNTIF(IF(AND(配装计算器!$K$30&lt;&gt;"∞",0),INDEX(AU381:CB381,1,$AT$1),INDEX(AU382:CB382,1,$AT$1)),"*叠1*")=1,AB381*0+AE380,0)</f>
        <v>0</v>
      </c>
      <c r="AE381" t="e">
        <f ca="1">IF($AN$11&gt;0,IF(COUNTIF(B382,"*叠1*")&gt;0,50-加速!$H$11,MAX(0,AE380-(A382-A381))),0)</f>
        <v>#VALUE!</v>
      </c>
      <c r="AU381" s="176" t="s">
        <v>2776</v>
      </c>
      <c r="AV381">
        <v>1</v>
      </c>
      <c r="AW381" s="176" t="s">
        <v>2794</v>
      </c>
      <c r="AX381">
        <v>2</v>
      </c>
      <c r="AY381" t="s">
        <v>2768</v>
      </c>
      <c r="AZ381">
        <v>2</v>
      </c>
      <c r="BA381" t="s">
        <v>2776</v>
      </c>
      <c r="BB381">
        <v>2</v>
      </c>
      <c r="BC381" t="s">
        <v>2768</v>
      </c>
      <c r="BD381">
        <v>0</v>
      </c>
      <c r="BE381" t="s">
        <v>2768</v>
      </c>
      <c r="BF381">
        <v>2</v>
      </c>
      <c r="BG381" s="176" t="s">
        <v>2776</v>
      </c>
      <c r="BH381">
        <v>2</v>
      </c>
      <c r="BI381" t="s">
        <v>2776</v>
      </c>
      <c r="BJ381">
        <v>1</v>
      </c>
      <c r="BK381" t="s">
        <v>2808</v>
      </c>
      <c r="BL381">
        <v>2</v>
      </c>
      <c r="BM381" t="s">
        <v>2768</v>
      </c>
      <c r="BN381">
        <v>2</v>
      </c>
      <c r="BO381" t="s">
        <v>2768</v>
      </c>
      <c r="BP381">
        <v>2</v>
      </c>
      <c r="BQ381" t="s">
        <v>2768</v>
      </c>
      <c r="BR381">
        <v>2</v>
      </c>
      <c r="BS381" t="s">
        <v>2768</v>
      </c>
      <c r="BT381">
        <v>0</v>
      </c>
      <c r="BU381" s="176" t="s">
        <v>2776</v>
      </c>
      <c r="BV381">
        <v>2</v>
      </c>
      <c r="BW381" s="179" t="s">
        <v>2776</v>
      </c>
      <c r="BX381" s="179">
        <v>2</v>
      </c>
      <c r="BY381" t="s">
        <v>2776</v>
      </c>
      <c r="BZ381">
        <v>2</v>
      </c>
      <c r="CA381" s="176" t="s">
        <v>2776</v>
      </c>
      <c r="CB381">
        <v>2</v>
      </c>
    </row>
    <row r="382" spans="1:80">
      <c r="A382" s="178" t="str">
        <f ca="1">IFERROR(IF(A381+加速!$L$11&lt;$AS$1,IF(COUNTIF(B381,"*轻*")&gt;0,A381+加速!$L$9,A381+加速!$L$11)+V381,IF(COUNTIF(INDEX(AU382:CB382,1,$AT$1),"*云景*")+COUNTIF(INDEX(AU382:CB382,1,$AT$1),"*鹤归*")+COUNTIF(INDEX(AU382:CB382,1,$AT$1),"*听雷*")&gt;0,A381+加速!$L$11,"")),"")</f>
        <v/>
      </c>
      <c r="B382" s="167" t="str">
        <f ca="1">IF(A382&lt;&gt;"",IF(AND(A382+加速!$L$11&gt;$AS$1,IF(AND(配装计算器!$K$30&lt;&gt;"∞",0),"梦泉虎跑-轻",INDEX(AU382:CB382,1,$AT$1))="云栖松"),"夕照雷峰",IF(AND(配装计算器!$K$30&lt;&gt;"∞",0),"梦泉虎跑-轻",INDEX(AU382:CB382,1,$AT$1))),"")</f>
        <v/>
      </c>
      <c r="C382" t="str">
        <f ca="1" t="shared" si="75"/>
        <v/>
      </c>
      <c r="D382" t="str">
        <f ca="1">IF(B382&lt;&gt;"",IF(C381&lt;=加速!$L$11*(1-E382),0,1),"")</f>
        <v/>
      </c>
      <c r="E382">
        <f ca="1" t="shared" si="71"/>
        <v>1</v>
      </c>
      <c r="G382" t="str">
        <f ca="1" t="shared" si="72"/>
        <v/>
      </c>
      <c r="H382" t="str">
        <f ca="1">IF(B382&lt;&gt;"",IF(AND(COUNTIF(B381,"*轻*莺鸣柳*")&gt;0,COUNTIF(B382,"*轻*")&lt;1),MAX(0,15+I381-(A382-A381)+COUNTIF(B381,"*平湖*")*0),IF(AND(E382=0,MAX(0,H381-(A382-A381))&lt;=加速!$H$11),0,MAX(0,H381-(A382-A381)))),"")</f>
        <v/>
      </c>
      <c r="I382" t="str">
        <f ca="1" t="shared" si="78"/>
        <v/>
      </c>
      <c r="J382" t="str">
        <f ca="1" t="shared" si="79"/>
        <v/>
      </c>
      <c r="K382" t="str">
        <f ca="1">IF(A382&lt;&gt;"",IF(AND(配装计算器!$K$30&lt;&gt;"∞",0),2,INDEX(AU382:CB382,1,$AT$2)),"")</f>
        <v/>
      </c>
      <c r="L382">
        <f ca="1">IFERROR(IF(AND(COUNTIF(B382,"*-峰插*"),技能数据库!$M$72&gt;0),0,IF(COUNTIF(B382,"*鹤归*")&gt;0,16-加速!$L$11,MAX(0,L381-(A382-A381)))),0)</f>
        <v>0</v>
      </c>
      <c r="M382">
        <f ca="1">IF(COUNTIF(IF(AND(配装计算器!$K$30&lt;&gt;"∞",0),INDEX(AU381:CB381,1,$AT$1),INDEX(AU383:CB383,1,$AT$1)),"*鹤归*")=1,L382,0)</f>
        <v>0</v>
      </c>
      <c r="N382">
        <f ca="1">IFERROR(IF(AND(COUNTIF(B382,"*-峰插*"),技能数据库!$M$72&gt;0),0,IF(COUNTIF(B382,"*云飞*")&gt;0,4-COUNTIF(B382,"*玉山揽云*")*4--COUNTIF(B382,"*烟流暮景*")*4-COUNTIF(B382,"*云景*")*加速!$L$11-IF(J382&gt;0,2,0),MAX(0,N381-(A382-A381)-IF(J382&gt;0,2,0)))),0)</f>
        <v>0</v>
      </c>
      <c r="O382">
        <f ca="1">IF(AND(COUNTIF(IF(AND(配装计算器!$K$30&lt;&gt;"∞",0),INDEX(AU381:CB381,1,$AT$1),INDEX(AU383:CB383,1,$AT$1)),"*云飞*")=1,COUNTIF(IF(AND(配装计算器!$K$30&lt;&gt;"∞",0),INDEX(AU381:CB381,1,$AT$1),INDEX(AU383:CB383,1,$AT$1)),"*玉山*")=0),N382,0)</f>
        <v>0</v>
      </c>
      <c r="P382">
        <f ca="1">IFERROR(IF(COUNTIF(B382,"*云栖松*")&gt;0,50-加速!$L$11,MAX(0,P381-(A382-A381))),0)</f>
        <v>0</v>
      </c>
      <c r="Q382">
        <f ca="1">IF(COUNTIF(IF(AND(配装计算器!$K$30&lt;&gt;"∞",0),INDEX(AU381:CB381,1,$AT$1),INDEX(AU383:CB383,1,$AT$1)),"*云栖松*")=1,P382,0)</f>
        <v>0</v>
      </c>
      <c r="R382">
        <f ca="1">IFERROR(IF(COUNTIF(B382,"*莺鸣柳*")&gt;0,45-加速!$L$9,MAX(0,R381-(A382-A381))),0)</f>
        <v>0</v>
      </c>
      <c r="S382">
        <f ca="1">IF(COUNTIF(IF(AND(配装计算器!$K$30&lt;&gt;"∞",0),INDEX(AU381:CB381,1,$AT$1),INDEX(AU383:CB383,1,$AT$1)),"*莺鸣柳*")=1,R382,0)</f>
        <v>0</v>
      </c>
      <c r="T382">
        <f ca="1" t="shared" si="76"/>
        <v>0</v>
      </c>
      <c r="U382">
        <f ca="1">IF(金蛇,IF(COUNTIF(B382,"*金环戴*")+COUNTIF(B382,"*吹风醒*")&gt;0,IF(A382&lt;=3,7.125-2.625-A382-加速!$L$11,7.125+加速!$K$9-(A382+加速!$L$11-T382)),0),0)+IF(金蛇,IF(COUNTIF(B382,"*千切子裂光*")&gt;0,2+加速!$K$9-(A382+加速!$L$11-T382),0),0)</f>
        <v>0</v>
      </c>
      <c r="V382" t="e">
        <f ca="1" t="shared" si="77"/>
        <v>#VALUE!</v>
      </c>
      <c r="W382">
        <f ca="1" t="shared" si="69"/>
        <v>0</v>
      </c>
      <c r="X382">
        <f ca="1">INDEX(加速!$I$13:$I$21,技能数计算!W382+1)</f>
        <v>0</v>
      </c>
      <c r="Y382">
        <f ca="1" t="shared" si="73"/>
        <v>0.5</v>
      </c>
      <c r="Z382">
        <f ca="1" t="shared" si="74"/>
        <v>0</v>
      </c>
      <c r="AA382">
        <f ca="1">MAX(0,IFERROR(IF(COUNTIF(B382,"*叠*")&gt;0,IF(AC381&lt;3,8-A383+A382,AA381+6.875-A383+A382),AA381-A383+A382),AA381-加速!$L$11))</f>
        <v>0</v>
      </c>
      <c r="AB382" t="e">
        <f ca="1">MAX(0,IF(COUNTIF(IF(AND(配装计算器!$K$30&lt;&gt;"∞",0),INDEX(AU382:CB382,1,$AT$1),INDEX(AU382:CB382,1,$AT$1)),"*叠1*")=1,4*25-加速!$L$11,AB381-A382+A381)-IF(OR(COUNTIF(OFFSET(AT382,0,$AT$1,1,1),"*听雷*")&gt;0,AND(碧归&gt;0,COUNTIF(OFFSET(AT382,0,$AT$1,1,1),"*风来*")&gt;0)),0,1)*1.5)</f>
        <v>#VALUE!</v>
      </c>
      <c r="AC382">
        <f ca="1" t="shared" si="70"/>
        <v>3</v>
      </c>
      <c r="AD382" t="e">
        <f ca="1">IF(COUNTIF(IF(AND(配装计算器!$K$30&lt;&gt;"∞",0),INDEX(AU382:CB382,1,$AT$1),INDEX(AU383:CB383,1,$AT$1)),"*叠1*")=1,AB382*0+AE381,0)</f>
        <v>#VALUE!</v>
      </c>
      <c r="AE382" t="e">
        <f ca="1">IF($AN$11&gt;0,IF(COUNTIF(B383,"*叠1*")&gt;0,50-加速!$H$11,MAX(0,AE381-(A383-A382))),0)</f>
        <v>#VALUE!</v>
      </c>
      <c r="AU382" t="s">
        <v>2722</v>
      </c>
      <c r="AV382">
        <v>0</v>
      </c>
      <c r="AW382" s="176" t="s">
        <v>2776</v>
      </c>
      <c r="AX382">
        <v>2</v>
      </c>
      <c r="AY382" t="s">
        <v>2768</v>
      </c>
      <c r="AZ382">
        <v>2</v>
      </c>
      <c r="BA382" t="s">
        <v>2794</v>
      </c>
      <c r="BB382">
        <v>2</v>
      </c>
      <c r="BC382" t="s">
        <v>2768</v>
      </c>
      <c r="BD382">
        <v>0</v>
      </c>
      <c r="BE382" t="s">
        <v>2776</v>
      </c>
      <c r="BF382">
        <v>2</v>
      </c>
      <c r="BG382" t="s">
        <v>2768</v>
      </c>
      <c r="BH382">
        <v>1</v>
      </c>
      <c r="BI382" t="s">
        <v>2768</v>
      </c>
      <c r="BJ382">
        <v>0</v>
      </c>
      <c r="BK382" t="s">
        <v>2768</v>
      </c>
      <c r="BL382">
        <v>2</v>
      </c>
      <c r="BM382" t="str">
        <f>IF(山重水复,"风来吴山","夕照雷峰")</f>
        <v>夕照雷峰</v>
      </c>
      <c r="BN382">
        <v>2</v>
      </c>
      <c r="BO382" t="s">
        <v>2768</v>
      </c>
      <c r="BP382">
        <v>2</v>
      </c>
      <c r="BQ382" t="s">
        <v>3035</v>
      </c>
      <c r="BR382">
        <v>2</v>
      </c>
      <c r="BS382" t="s">
        <v>3074</v>
      </c>
      <c r="BT382">
        <v>2</v>
      </c>
      <c r="BU382" s="176" t="s">
        <v>3035</v>
      </c>
      <c r="BV382">
        <v>2</v>
      </c>
      <c r="BW382" s="179" t="s">
        <v>2768</v>
      </c>
      <c r="BX382" s="179">
        <v>2</v>
      </c>
      <c r="BY382" t="s">
        <v>2768</v>
      </c>
      <c r="BZ382">
        <v>2</v>
      </c>
      <c r="CA382" s="176" t="s">
        <v>2768</v>
      </c>
      <c r="CB382">
        <v>2</v>
      </c>
    </row>
    <row r="383" spans="1:80">
      <c r="A383" s="178" t="str">
        <f ca="1">IFERROR(IF(A382+加速!$L$11&lt;$AS$1,IF(COUNTIF(B382,"*轻*")&gt;0,A382+加速!$L$9,A382+加速!$L$11)+V382,IF(COUNTIF(INDEX(AU383:CB383,1,$AT$1),"*云景*")+COUNTIF(INDEX(AU383:CB383,1,$AT$1),"*鹤归*")+COUNTIF(INDEX(AU383:CB383,1,$AT$1),"*听雷*")&gt;0,A382+加速!$L$11,"")),"")</f>
        <v/>
      </c>
      <c r="B383" s="167" t="str">
        <f ca="1">IF(A383&lt;&gt;"",IF(AND(A383+加速!$L$11&gt;$AS$1,IF(AND(配装计算器!$K$30&lt;&gt;"∞",0),"梦泉虎跑-轻",INDEX(AU383:CB383,1,$AT$1))="云栖松"),"夕照雷峰",IF(AND(配装计算器!$K$30&lt;&gt;"∞",0),"梦泉虎跑-轻",INDEX(AU383:CB383,1,$AT$1))),"")</f>
        <v/>
      </c>
      <c r="C383" t="str">
        <f ca="1" t="shared" si="75"/>
        <v/>
      </c>
      <c r="D383" t="str">
        <f ca="1">IF(B383&lt;&gt;"",IF(C382&lt;=加速!$L$11*(1-E383),0,1),"")</f>
        <v/>
      </c>
      <c r="E383">
        <f ca="1" t="shared" si="71"/>
        <v>1</v>
      </c>
      <c r="G383" t="str">
        <f ca="1" t="shared" si="72"/>
        <v/>
      </c>
      <c r="H383" t="str">
        <f ca="1">IF(B383&lt;&gt;"",IF(AND(COUNTIF(B382,"*轻*莺鸣柳*")&gt;0,COUNTIF(B383,"*轻*")&lt;1),MAX(0,15+I382-(A383-A382)+COUNTIF(B382,"*平湖*")*0),IF(AND(E383=0,MAX(0,H382-(A383-A382))&lt;=加速!$H$11),0,MAX(0,H382-(A383-A382)))),"")</f>
        <v/>
      </c>
      <c r="I383" t="str">
        <f ca="1" t="shared" si="78"/>
        <v/>
      </c>
      <c r="J383" t="str">
        <f ca="1" t="shared" si="79"/>
        <v/>
      </c>
      <c r="K383" t="str">
        <f ca="1">IF(A383&lt;&gt;"",IF(AND(配装计算器!$K$30&lt;&gt;"∞",0),2,INDEX(AU383:CB383,1,$AT$2)),"")</f>
        <v/>
      </c>
      <c r="L383">
        <f ca="1">IFERROR(IF(AND(COUNTIF(B383,"*-峰插*"),技能数据库!$M$72&gt;0),0,IF(COUNTIF(B383,"*鹤归*")&gt;0,16-加速!$L$11,MAX(0,L382-(A383-A382)))),0)</f>
        <v>0</v>
      </c>
      <c r="M383">
        <f ca="1">IF(COUNTIF(IF(AND(配装计算器!$K$30&lt;&gt;"∞",0),INDEX(AU382:CB382,1,$AT$1),INDEX(AU384:CB384,1,$AT$1)),"*鹤归*")=1,L383,0)</f>
        <v>0</v>
      </c>
      <c r="N383">
        <f ca="1">IFERROR(IF(AND(COUNTIF(B383,"*-峰插*"),技能数据库!$M$72&gt;0),0,IF(COUNTIF(B383,"*云飞*")&gt;0,4-COUNTIF(B383,"*玉山揽云*")*4--COUNTIF(B383,"*烟流暮景*")*4-COUNTIF(B383,"*云景*")*加速!$L$11-IF(J383&gt;0,2,0),MAX(0,N382-(A383-A382)-IF(J383&gt;0,2,0)))),0)</f>
        <v>0</v>
      </c>
      <c r="O383">
        <f ca="1">IF(AND(COUNTIF(IF(AND(配装计算器!$K$30&lt;&gt;"∞",0),INDEX(AU382:CB382,1,$AT$1),INDEX(AU384:CB384,1,$AT$1)),"*云飞*")=1,COUNTIF(IF(AND(配装计算器!$K$30&lt;&gt;"∞",0),INDEX(AU382:CB382,1,$AT$1),INDEX(AU384:CB384,1,$AT$1)),"*玉山*")=0),N383,0)</f>
        <v>0</v>
      </c>
      <c r="P383">
        <f ca="1">IFERROR(IF(COUNTIF(B383,"*云栖松*")&gt;0,50-加速!$L$11,MAX(0,P382-(A383-A382))),0)</f>
        <v>0</v>
      </c>
      <c r="Q383">
        <f ca="1">IF(COUNTIF(IF(AND(配装计算器!$K$30&lt;&gt;"∞",0),INDEX(AU382:CB382,1,$AT$1),INDEX(AU384:CB384,1,$AT$1)),"*云栖松*")=1,P383,0)</f>
        <v>0</v>
      </c>
      <c r="R383">
        <f ca="1">IFERROR(IF(COUNTIF(B383,"*莺鸣柳*")&gt;0,45-加速!$L$9,MAX(0,R382-(A383-A382))),0)</f>
        <v>0</v>
      </c>
      <c r="S383">
        <f ca="1">IF(COUNTIF(IF(AND(配装计算器!$K$30&lt;&gt;"∞",0),INDEX(AU382:CB382,1,$AT$1),INDEX(AU384:CB384,1,$AT$1)),"*莺鸣柳*")=1,R383,0)</f>
        <v>0</v>
      </c>
      <c r="T383">
        <f ca="1" t="shared" si="76"/>
        <v>0</v>
      </c>
      <c r="U383">
        <f ca="1">IF(金蛇,IF(COUNTIF(B383,"*金环戴*")+COUNTIF(B383,"*吹风醒*")&gt;0,IF(A383&lt;=3,7.125-2.625-A383-加速!$L$11,7.125+加速!$K$9-(A383+加速!$L$11-T383)),0),0)+IF(金蛇,IF(COUNTIF(B383,"*千切子裂光*")&gt;0,2+加速!$K$9-(A383+加速!$L$11-T383),0),0)</f>
        <v>0</v>
      </c>
      <c r="V383">
        <f ca="1" t="shared" si="77"/>
        <v>0</v>
      </c>
      <c r="W383">
        <f ca="1" t="shared" si="69"/>
        <v>0</v>
      </c>
      <c r="X383">
        <f ca="1">INDEX(加速!$I$13:$I$21,技能数计算!W383+1)</f>
        <v>0</v>
      </c>
      <c r="Y383">
        <f ca="1" t="shared" si="73"/>
        <v>0.5</v>
      </c>
      <c r="Z383">
        <f ca="1" t="shared" si="74"/>
        <v>0</v>
      </c>
      <c r="AA383">
        <f ca="1">MAX(0,IFERROR(IF(COUNTIF(B383,"*叠*")&gt;0,IF(AC382&lt;3,8-A384+A383,AA382+6.875-A384+A383),AA382-A384+A383),AA382-加速!$L$11))</f>
        <v>0</v>
      </c>
      <c r="AB383">
        <f ca="1">MAX(0,IF(COUNTIF(IF(AND(配装计算器!$K$30&lt;&gt;"∞",0),INDEX(AU383:CB383,1,$AT$1),INDEX(AU383:CB383,1,$AT$1)),"*叠1*")=1,4*25-加速!$L$11,AB382-A383+A382)-IF(OR(COUNTIF(OFFSET(AT383,0,$AT$1,1,1),"*听雷*")&gt;0,AND(碧归&gt;0,COUNTIF(OFFSET(AT383,0,$AT$1,1,1),"*风来*")&gt;0)),0,1)*1.5)</f>
        <v>97.21</v>
      </c>
      <c r="AC383">
        <f ca="1" t="shared" si="70"/>
        <v>3</v>
      </c>
      <c r="AD383">
        <f ca="1">IF(COUNTIF(IF(AND(配装计算器!$K$30&lt;&gt;"∞",0),INDEX(AU383:CB383,1,$AT$1),INDEX(AU384:CB384,1,$AT$1)),"*叠1*")=1,AB383*0+AE382,0)</f>
        <v>0</v>
      </c>
      <c r="AE383" t="e">
        <f ca="1">IF($AN$11&gt;0,IF(COUNTIF(B384,"*叠1*")&gt;0,50-加速!$H$11,MAX(0,AE382-(A384-A383))),0)</f>
        <v>#VALUE!</v>
      </c>
      <c r="AU383" t="s">
        <v>3009</v>
      </c>
      <c r="AV383">
        <v>2</v>
      </c>
      <c r="AW383" s="176" t="s">
        <v>2768</v>
      </c>
      <c r="AX383">
        <v>2</v>
      </c>
      <c r="AY383" t="s">
        <v>2776</v>
      </c>
      <c r="AZ383">
        <v>2</v>
      </c>
      <c r="BA383" t="s">
        <v>2768</v>
      </c>
      <c r="BB383">
        <v>2</v>
      </c>
      <c r="BC383" t="s">
        <v>3010</v>
      </c>
      <c r="BD383">
        <v>2</v>
      </c>
      <c r="BE383" t="s">
        <v>2768</v>
      </c>
      <c r="BF383">
        <v>2</v>
      </c>
      <c r="BG383" s="176" t="s">
        <v>2768</v>
      </c>
      <c r="BH383">
        <v>1</v>
      </c>
      <c r="BI383" t="s">
        <v>3011</v>
      </c>
      <c r="BJ383">
        <v>2</v>
      </c>
      <c r="BK383" t="s">
        <v>2776</v>
      </c>
      <c r="BL383">
        <v>2</v>
      </c>
      <c r="BM383" s="176" t="s">
        <v>2794</v>
      </c>
      <c r="BN383">
        <v>2</v>
      </c>
      <c r="BO383" t="s">
        <v>2776</v>
      </c>
      <c r="BP383">
        <v>2</v>
      </c>
      <c r="BQ383" t="s">
        <v>2776</v>
      </c>
      <c r="BR383">
        <v>2</v>
      </c>
      <c r="BS383" t="s">
        <v>2768</v>
      </c>
      <c r="BT383">
        <v>2</v>
      </c>
      <c r="BU383" t="s">
        <v>2768</v>
      </c>
      <c r="BV383">
        <v>2</v>
      </c>
      <c r="BW383" s="179" t="s">
        <v>2768</v>
      </c>
      <c r="BX383" s="179">
        <v>2</v>
      </c>
      <c r="BY383" t="str">
        <f>IF(山重水复,"风来吴山","夕照雷峰")</f>
        <v>夕照雷峰</v>
      </c>
      <c r="BZ383">
        <v>2</v>
      </c>
      <c r="CA383" s="176" t="s">
        <v>2776</v>
      </c>
      <c r="CB383">
        <v>2</v>
      </c>
    </row>
    <row r="384" spans="1:80">
      <c r="A384" s="178" t="str">
        <f ca="1">IFERROR(IF(A383+加速!$L$11&lt;$AS$1,IF(COUNTIF(B383,"*轻*")&gt;0,A383+加速!$L$9,A383+加速!$L$11)+V383,IF(COUNTIF(INDEX(AU384:CB384,1,$AT$1),"*云景*")+COUNTIF(INDEX(AU384:CB384,1,$AT$1),"*鹤归*")+COUNTIF(INDEX(AU384:CB384,1,$AT$1),"*听雷*")&gt;0,A383+加速!$L$11,"")),"")</f>
        <v/>
      </c>
      <c r="B384" s="167" t="str">
        <f ca="1">IF(A384&lt;&gt;"",IF(AND(A384+加速!$L$11&gt;$AS$1,IF(AND(配装计算器!$K$30&lt;&gt;"∞",0),"梦泉虎跑-轻",INDEX(AU384:CB384,1,$AT$1))="云栖松"),"夕照雷峰",IF(AND(配装计算器!$K$30&lt;&gt;"∞",0),"梦泉虎跑-轻",INDEX(AU384:CB384,1,$AT$1))),"")</f>
        <v/>
      </c>
      <c r="C384" t="str">
        <f ca="1" t="shared" si="75"/>
        <v/>
      </c>
      <c r="D384" t="str">
        <f ca="1">IF(B384&lt;&gt;"",IF(C383&lt;=加速!$L$11*(1-E384),0,1),"")</f>
        <v/>
      </c>
      <c r="E384">
        <f ca="1" t="shared" si="71"/>
        <v>1</v>
      </c>
      <c r="G384" t="str">
        <f ca="1" t="shared" si="72"/>
        <v/>
      </c>
      <c r="H384" t="str">
        <f ca="1">IF(B384&lt;&gt;"",IF(AND(COUNTIF(B383,"*轻*莺鸣柳*")&gt;0,COUNTIF(B384,"*轻*")&lt;1),MAX(0,15+I383-(A384-A383)+COUNTIF(B383,"*平湖*")*0),IF(AND(E384=0,MAX(0,H383-(A384-A383))&lt;=加速!$H$11),0,MAX(0,H383-(A384-A383)))),"")</f>
        <v/>
      </c>
      <c r="I384" t="str">
        <f ca="1" t="shared" si="78"/>
        <v/>
      </c>
      <c r="J384" t="str">
        <f ca="1" t="shared" si="79"/>
        <v/>
      </c>
      <c r="K384" t="str">
        <f ca="1">IF(A384&lt;&gt;"",IF(AND(配装计算器!$K$30&lt;&gt;"∞",0),2,INDEX(AU384:CB384,1,$AT$2)),"")</f>
        <v/>
      </c>
      <c r="L384">
        <f ca="1">IFERROR(IF(AND(COUNTIF(B384,"*-峰插*"),技能数据库!$M$72&gt;0),0,IF(COUNTIF(B384,"*鹤归*")&gt;0,16-加速!$L$11,MAX(0,L383-(A384-A383)))),0)</f>
        <v>0</v>
      </c>
      <c r="M384">
        <f ca="1">IF(COUNTIF(IF(AND(配装计算器!$K$30&lt;&gt;"∞",0),INDEX(AU383:CB383,1,$AT$1),INDEX(AU385:CB385,1,$AT$1)),"*鹤归*")=1,L384,0)</f>
        <v>0</v>
      </c>
      <c r="N384">
        <f ca="1">IFERROR(IF(AND(COUNTIF(B384,"*-峰插*"),技能数据库!$M$72&gt;0),0,IF(COUNTIF(B384,"*云飞*")&gt;0,4-COUNTIF(B384,"*玉山揽云*")*4--COUNTIF(B384,"*烟流暮景*")*4-COUNTIF(B384,"*云景*")*加速!$L$11-IF(J384&gt;0,2,0),MAX(0,N383-(A384-A383)-IF(J384&gt;0,2,0)))),0)</f>
        <v>0</v>
      </c>
      <c r="O384">
        <f ca="1">IF(AND(COUNTIF(IF(AND(配装计算器!$K$30&lt;&gt;"∞",0),INDEX(AU383:CB383,1,$AT$1),INDEX(AU385:CB385,1,$AT$1)),"*云飞*")=1,COUNTIF(IF(AND(配装计算器!$K$30&lt;&gt;"∞",0),INDEX(AU383:CB383,1,$AT$1),INDEX(AU385:CB385,1,$AT$1)),"*玉山*")=0),N384,0)</f>
        <v>0</v>
      </c>
      <c r="P384">
        <f ca="1">IFERROR(IF(COUNTIF(B384,"*云栖松*")&gt;0,50-加速!$L$11,MAX(0,P383-(A384-A383))),0)</f>
        <v>0</v>
      </c>
      <c r="Q384">
        <f ca="1">IF(COUNTIF(IF(AND(配装计算器!$K$30&lt;&gt;"∞",0),INDEX(AU383:CB383,1,$AT$1),INDEX(AU385:CB385,1,$AT$1)),"*云栖松*")=1,P384,0)</f>
        <v>0</v>
      </c>
      <c r="R384">
        <f ca="1">IFERROR(IF(COUNTIF(B384,"*莺鸣柳*")&gt;0,45-加速!$L$9,MAX(0,R383-(A384-A383))),0)</f>
        <v>0</v>
      </c>
      <c r="S384">
        <f ca="1">IF(COUNTIF(IF(AND(配装计算器!$K$30&lt;&gt;"∞",0),INDEX(AU383:CB383,1,$AT$1),INDEX(AU385:CB385,1,$AT$1)),"*莺鸣柳*")=1,R384,0)</f>
        <v>0</v>
      </c>
      <c r="T384">
        <f ca="1" t="shared" si="76"/>
        <v>0</v>
      </c>
      <c r="U384">
        <f ca="1">IF(金蛇,IF(COUNTIF(B384,"*金环戴*")+COUNTIF(B384,"*吹风醒*")&gt;0,IF(A384&lt;=3,7.125-2.625-A384-加速!$L$11,7.125+加速!$K$9-(A384+加速!$L$11-T384)),0),0)+IF(金蛇,IF(COUNTIF(B384,"*千切子裂光*")&gt;0,2+加速!$K$9-(A384+加速!$L$11-T384),0),0)</f>
        <v>0</v>
      </c>
      <c r="V384">
        <f ca="1" t="shared" si="77"/>
        <v>0</v>
      </c>
      <c r="W384">
        <f ca="1" t="shared" si="69"/>
        <v>0</v>
      </c>
      <c r="X384">
        <f ca="1">INDEX(加速!$I$13:$I$21,技能数计算!W384+1)</f>
        <v>0</v>
      </c>
      <c r="Y384">
        <f ca="1" t="shared" si="73"/>
        <v>0.5</v>
      </c>
      <c r="Z384">
        <f ca="1" t="shared" si="74"/>
        <v>0</v>
      </c>
      <c r="AA384">
        <f ca="1">MAX(0,IFERROR(IF(COUNTIF(B384,"*叠*")&gt;0,IF(AC383&lt;3,8-A385+A384,AA383+6.875-A385+A384),AA383-A385+A384),AA383-加速!$L$11))</f>
        <v>0</v>
      </c>
      <c r="AB384" t="e">
        <f ca="1">MAX(0,IF(COUNTIF(IF(AND(配装计算器!$K$30&lt;&gt;"∞",0),INDEX(AU384:CB384,1,$AT$1),INDEX(AU384:CB384,1,$AT$1)),"*叠1*")=1,4*25-加速!$L$11,AB383-A384+A383)-IF(OR(COUNTIF(OFFSET(AT384,0,$AT$1,1,1),"*听雷*")&gt;0,AND(碧归&gt;0,COUNTIF(OFFSET(AT384,0,$AT$1,1,1),"*风来*")&gt;0)),0,1)*1.5)</f>
        <v>#VALUE!</v>
      </c>
      <c r="AC384">
        <f ca="1" t="shared" si="70"/>
        <v>3</v>
      </c>
      <c r="AD384">
        <f ca="1">IF(COUNTIF(IF(AND(配装计算器!$K$30&lt;&gt;"∞",0),INDEX(AU384:CB384,1,$AT$1),INDEX(AU385:CB385,1,$AT$1)),"*叠1*")=1,AB384*0+AE383,0)</f>
        <v>0</v>
      </c>
      <c r="AE384" t="e">
        <f ca="1">IF($AN$11&gt;0,IF(COUNTIF(B385,"*叠1*")&gt;0,50-加速!$H$11,MAX(0,AE383-(A385-A384))),0)</f>
        <v>#VALUE!</v>
      </c>
      <c r="AU384" t="s">
        <v>2768</v>
      </c>
      <c r="AV384">
        <v>2</v>
      </c>
      <c r="AW384" s="176" t="s">
        <v>2776</v>
      </c>
      <c r="AX384">
        <v>2</v>
      </c>
      <c r="AY384" t="s">
        <v>2794</v>
      </c>
      <c r="AZ384">
        <v>2</v>
      </c>
      <c r="BA384" t="s">
        <v>2776</v>
      </c>
      <c r="BB384">
        <v>2</v>
      </c>
      <c r="BC384" t="s">
        <v>3013</v>
      </c>
      <c r="BD384">
        <v>2</v>
      </c>
      <c r="BE384" t="s">
        <v>2776</v>
      </c>
      <c r="BF384">
        <v>2</v>
      </c>
      <c r="BG384" t="s">
        <v>3055</v>
      </c>
      <c r="BH384">
        <v>0</v>
      </c>
      <c r="BI384" t="s">
        <v>2768</v>
      </c>
      <c r="BJ384">
        <v>2</v>
      </c>
      <c r="BK384" t="s">
        <v>3036</v>
      </c>
      <c r="BL384">
        <v>2</v>
      </c>
      <c r="BM384" s="176" t="s">
        <v>2776</v>
      </c>
      <c r="BN384">
        <v>2</v>
      </c>
      <c r="BO384" s="176" t="s">
        <v>2794</v>
      </c>
      <c r="BP384">
        <v>2</v>
      </c>
      <c r="BQ384" t="s">
        <v>2768</v>
      </c>
      <c r="BR384">
        <v>2</v>
      </c>
      <c r="BS384" t="s">
        <v>2776</v>
      </c>
      <c r="BT384">
        <v>2</v>
      </c>
      <c r="BU384" t="s">
        <v>2776</v>
      </c>
      <c r="BV384">
        <v>2</v>
      </c>
      <c r="BW384" s="179" t="s">
        <v>2768</v>
      </c>
      <c r="BX384" s="179">
        <v>2</v>
      </c>
      <c r="BY384" s="176" t="s">
        <v>2794</v>
      </c>
      <c r="BZ384">
        <v>2</v>
      </c>
      <c r="CA384" s="176" t="s">
        <v>2768</v>
      </c>
      <c r="CB384">
        <v>2</v>
      </c>
    </row>
    <row r="385" spans="1:80">
      <c r="A385" s="178" t="str">
        <f ca="1">IFERROR(IF(A384+加速!$L$11&lt;$AS$1,IF(COUNTIF(B384,"*轻*")&gt;0,A384+加速!$L$9,A384+加速!$L$11)+V384,IF(COUNTIF(INDEX(AU385:CB385,1,$AT$1),"*云景*")+COUNTIF(INDEX(AU385:CB385,1,$AT$1),"*鹤归*")+COUNTIF(INDEX(AU385:CB385,1,$AT$1),"*听雷*")&gt;0,A384+加速!$L$11,"")),"")</f>
        <v/>
      </c>
      <c r="B385" s="167" t="str">
        <f ca="1">IF(A385&lt;&gt;"",IF(AND(A385+加速!$L$11&gt;$AS$1,IF(AND(配装计算器!$K$30&lt;&gt;"∞",0),"梦泉虎跑-轻",INDEX(AU385:CB385,1,$AT$1))="云栖松"),"夕照雷峰",IF(AND(配装计算器!$K$30&lt;&gt;"∞",0),"梦泉虎跑-轻",INDEX(AU385:CB385,1,$AT$1))),"")</f>
        <v/>
      </c>
      <c r="C385" t="str">
        <f ca="1" t="shared" si="75"/>
        <v/>
      </c>
      <c r="D385" t="str">
        <f ca="1">IF(B385&lt;&gt;"",IF(C384&lt;=加速!$L$11*(1-E385),0,1),"")</f>
        <v/>
      </c>
      <c r="E385">
        <f ca="1" t="shared" si="71"/>
        <v>1</v>
      </c>
      <c r="G385" t="str">
        <f ca="1" t="shared" si="72"/>
        <v/>
      </c>
      <c r="H385" t="str">
        <f ca="1">IF(B385&lt;&gt;"",IF(AND(COUNTIF(B384,"*轻*莺鸣柳*")&gt;0,COUNTIF(B385,"*轻*")&lt;1),MAX(0,15+I384-(A385-A384)+COUNTIF(B384,"*平湖*")*0),IF(AND(E385=0,MAX(0,H384-(A385-A384))&lt;=加速!$H$11),0,MAX(0,H384-(A385-A384)))),"")</f>
        <v/>
      </c>
      <c r="I385" t="str">
        <f ca="1" t="shared" si="78"/>
        <v/>
      </c>
      <c r="J385" t="str">
        <f ca="1" t="shared" si="79"/>
        <v/>
      </c>
      <c r="K385" t="str">
        <f ca="1">IF(A385&lt;&gt;"",IF(AND(配装计算器!$K$30&lt;&gt;"∞",0),2,INDEX(AU385:CB385,1,$AT$2)),"")</f>
        <v/>
      </c>
      <c r="L385">
        <f ca="1">IFERROR(IF(AND(COUNTIF(B385,"*-峰插*"),技能数据库!$M$72&gt;0),0,IF(COUNTIF(B385,"*鹤归*")&gt;0,16-加速!$L$11,MAX(0,L384-(A385-A384)))),0)</f>
        <v>0</v>
      </c>
      <c r="M385">
        <f ca="1">IF(COUNTIF(IF(AND(配装计算器!$K$30&lt;&gt;"∞",0),INDEX(AU384:CB384,1,$AT$1),INDEX(AU386:CB386,1,$AT$1)),"*鹤归*")=1,L385,0)</f>
        <v>0</v>
      </c>
      <c r="N385">
        <f ca="1">IFERROR(IF(AND(COUNTIF(B385,"*-峰插*"),技能数据库!$M$72&gt;0),0,IF(COUNTIF(B385,"*云飞*")&gt;0,4-COUNTIF(B385,"*玉山揽云*")*4--COUNTIF(B385,"*烟流暮景*")*4-COUNTIF(B385,"*云景*")*加速!$L$11-IF(J385&gt;0,2,0),MAX(0,N384-(A385-A384)-IF(J385&gt;0,2,0)))),0)</f>
        <v>0</v>
      </c>
      <c r="O385">
        <f ca="1">IF(AND(COUNTIF(IF(AND(配装计算器!$K$30&lt;&gt;"∞",0),INDEX(AU384:CB384,1,$AT$1),INDEX(AU386:CB386,1,$AT$1)),"*云飞*")=1,COUNTIF(IF(AND(配装计算器!$K$30&lt;&gt;"∞",0),INDEX(AU384:CB384,1,$AT$1),INDEX(AU386:CB386,1,$AT$1)),"*玉山*")=0),N385,0)</f>
        <v>0</v>
      </c>
      <c r="P385">
        <f ca="1">IFERROR(IF(COUNTIF(B385,"*云栖松*")&gt;0,50-加速!$L$11,MAX(0,P384-(A385-A384))),0)</f>
        <v>0</v>
      </c>
      <c r="Q385">
        <f ca="1">IF(COUNTIF(IF(AND(配装计算器!$K$30&lt;&gt;"∞",0),INDEX(AU384:CB384,1,$AT$1),INDEX(AU386:CB386,1,$AT$1)),"*云栖松*")=1,P385,0)</f>
        <v>0</v>
      </c>
      <c r="R385">
        <f ca="1">IFERROR(IF(COUNTIF(B385,"*莺鸣柳*")&gt;0,45-加速!$L$9,MAX(0,R384-(A385-A384))),0)</f>
        <v>0</v>
      </c>
      <c r="S385">
        <f ca="1">IF(COUNTIF(IF(AND(配装计算器!$K$30&lt;&gt;"∞",0),INDEX(AU384:CB384,1,$AT$1),INDEX(AU386:CB386,1,$AT$1)),"*莺鸣柳*")=1,R385,0)</f>
        <v>0</v>
      </c>
      <c r="T385">
        <f ca="1" t="shared" si="76"/>
        <v>0</v>
      </c>
      <c r="U385">
        <f ca="1">IF(金蛇,IF(COUNTIF(B385,"*金环戴*")+COUNTIF(B385,"*吹风醒*")&gt;0,IF(A385&lt;=3,7.125-2.625-A385-加速!$L$11,7.125+加速!$K$9-(A385+加速!$L$11-T385)),0),0)+IF(金蛇,IF(COUNTIF(B385,"*千切子裂光*")&gt;0,2+加速!$K$9-(A385+加速!$L$11-T385),0),0)</f>
        <v>0</v>
      </c>
      <c r="V385">
        <f ca="1" t="shared" si="77"/>
        <v>0</v>
      </c>
      <c r="W385">
        <f ca="1" t="shared" si="69"/>
        <v>0</v>
      </c>
      <c r="X385">
        <f ca="1">INDEX(加速!$I$13:$I$21,技能数计算!W385+1)</f>
        <v>0</v>
      </c>
      <c r="Y385">
        <f ca="1" t="shared" si="73"/>
        <v>0.5</v>
      </c>
      <c r="Z385">
        <f ca="1" t="shared" si="74"/>
        <v>0</v>
      </c>
      <c r="AA385">
        <f ca="1">MAX(0,IFERROR(IF(COUNTIF(B385,"*叠*")&gt;0,IF(AC384&lt;3,8-A386+A385,AA384+6.875-A386+A385),AA384-A386+A385),AA384-加速!$L$11))</f>
        <v>0</v>
      </c>
      <c r="AB385" t="e">
        <f ca="1">MAX(0,IF(COUNTIF(IF(AND(配装计算器!$K$30&lt;&gt;"∞",0),INDEX(AU385:CB385,1,$AT$1),INDEX(AU385:CB385,1,$AT$1)),"*叠1*")=1,4*25-加速!$L$11,AB384-A385+A384)-IF(OR(COUNTIF(OFFSET(AT385,0,$AT$1,1,1),"*听雷*")&gt;0,AND(碧归&gt;0,COUNTIF(OFFSET(AT385,0,$AT$1,1,1),"*风来*")&gt;0)),0,1)*1.5)</f>
        <v>#VALUE!</v>
      </c>
      <c r="AC385">
        <f ca="1" t="shared" si="70"/>
        <v>3</v>
      </c>
      <c r="AD385">
        <f ca="1">IF(COUNTIF(IF(AND(配装计算器!$K$30&lt;&gt;"∞",0),INDEX(AU385:CB385,1,$AT$1),INDEX(AU386:CB386,1,$AT$1)),"*叠1*")=1,AB385*0+AE384,0)</f>
        <v>0</v>
      </c>
      <c r="AE385" t="e">
        <f ca="1">IF($AN$11&gt;0,IF(COUNTIF(B386,"*叠1*")&gt;0,50-加速!$H$11,MAX(0,AE384-(A386-A385))),0)</f>
        <v>#VALUE!</v>
      </c>
      <c r="AU385" t="s">
        <v>2776</v>
      </c>
      <c r="AV385">
        <v>2</v>
      </c>
      <c r="AW385" s="176" t="s">
        <v>2768</v>
      </c>
      <c r="AX385">
        <v>2</v>
      </c>
      <c r="AY385" t="s">
        <v>2768</v>
      </c>
      <c r="AZ385">
        <v>2</v>
      </c>
      <c r="BA385" t="s">
        <v>2768</v>
      </c>
      <c r="BB385">
        <v>2</v>
      </c>
      <c r="BC385" t="s">
        <v>3018</v>
      </c>
      <c r="BD385">
        <v>2</v>
      </c>
      <c r="BE385" t="s">
        <v>2768</v>
      </c>
      <c r="BF385">
        <v>2</v>
      </c>
      <c r="BG385" t="s">
        <v>2776</v>
      </c>
      <c r="BH385">
        <v>2</v>
      </c>
      <c r="BI385" t="s">
        <v>3018</v>
      </c>
      <c r="BJ385">
        <v>2</v>
      </c>
      <c r="BK385" t="s">
        <v>3026</v>
      </c>
      <c r="BL385">
        <v>2</v>
      </c>
      <c r="BM385" s="176" t="s">
        <v>2768</v>
      </c>
      <c r="BN385">
        <v>2</v>
      </c>
      <c r="BO385" s="176" t="s">
        <v>2768</v>
      </c>
      <c r="BP385">
        <v>2</v>
      </c>
      <c r="BQ385" t="s">
        <v>2776</v>
      </c>
      <c r="BR385">
        <v>2</v>
      </c>
      <c r="BS385" t="s">
        <v>2768</v>
      </c>
      <c r="BT385">
        <v>2</v>
      </c>
      <c r="BU385" t="s">
        <v>2768</v>
      </c>
      <c r="BV385">
        <v>2</v>
      </c>
      <c r="BW385" s="179" t="s">
        <v>2776</v>
      </c>
      <c r="BX385" s="179">
        <v>2</v>
      </c>
      <c r="BY385" s="176" t="s">
        <v>2776</v>
      </c>
      <c r="BZ385">
        <v>2</v>
      </c>
      <c r="CA385" s="176" t="s">
        <v>2808</v>
      </c>
      <c r="CB385">
        <v>2</v>
      </c>
    </row>
    <row r="386" spans="1:80">
      <c r="A386" s="178" t="str">
        <f ca="1">IFERROR(IF(A385+加速!$L$11&lt;$AS$1,IF(COUNTIF(B385,"*轻*")&gt;0,A385+加速!$L$9,A385+加速!$L$11)+V385,IF(COUNTIF(INDEX(AU386:CB386,1,$AT$1),"*云景*")+COUNTIF(INDEX(AU386:CB386,1,$AT$1),"*鹤归*")+COUNTIF(INDEX(AU386:CB386,1,$AT$1),"*听雷*")&gt;0,A385+加速!$L$11,"")),"")</f>
        <v/>
      </c>
      <c r="B386" s="167" t="str">
        <f ca="1">IF(A386&lt;&gt;"",IF(AND(A386+加速!$L$11&gt;$AS$1,IF(AND(配装计算器!$K$30&lt;&gt;"∞",0),"梦泉虎跑-轻",INDEX(AU386:CB386,1,$AT$1))="云栖松"),"夕照雷峰",IF(AND(配装计算器!$K$30&lt;&gt;"∞",0),"梦泉虎跑-轻",INDEX(AU386:CB386,1,$AT$1))),"")</f>
        <v/>
      </c>
      <c r="C386" t="str">
        <f ca="1" t="shared" si="75"/>
        <v/>
      </c>
      <c r="D386" t="str">
        <f ca="1">IF(B386&lt;&gt;"",IF(C385&lt;=加速!$L$11*(1-E386),0,1),"")</f>
        <v/>
      </c>
      <c r="E386">
        <f ca="1" t="shared" si="71"/>
        <v>1</v>
      </c>
      <c r="G386" t="str">
        <f ca="1" t="shared" si="72"/>
        <v/>
      </c>
      <c r="H386" t="str">
        <f ca="1">IF(B386&lt;&gt;"",IF(AND(COUNTIF(B385,"*轻*莺鸣柳*")&gt;0,COUNTIF(B386,"*轻*")&lt;1),MAX(0,15+I385-(A386-A385)+COUNTIF(B385,"*平湖*")*0),IF(AND(E386=0,MAX(0,H385-(A386-A385))&lt;=加速!$H$11),0,MAX(0,H385-(A386-A385)))),"")</f>
        <v/>
      </c>
      <c r="I386" t="str">
        <f ca="1" t="shared" si="78"/>
        <v/>
      </c>
      <c r="J386" t="str">
        <f ca="1" t="shared" si="79"/>
        <v/>
      </c>
      <c r="K386" t="str">
        <f ca="1">IF(A386&lt;&gt;"",IF(AND(配装计算器!$K$30&lt;&gt;"∞",0),2,INDEX(AU386:CB386,1,$AT$2)),"")</f>
        <v/>
      </c>
      <c r="L386">
        <f ca="1">IFERROR(IF(AND(COUNTIF(B386,"*-峰插*"),技能数据库!$M$72&gt;0),0,IF(COUNTIF(B386,"*鹤归*")&gt;0,16-加速!$L$11,MAX(0,L385-(A386-A385)))),0)</f>
        <v>0</v>
      </c>
      <c r="M386">
        <f ca="1">IF(COUNTIF(IF(AND(配装计算器!$K$30&lt;&gt;"∞",0),INDEX(AU385:CB385,1,$AT$1),INDEX(AU387:CB387,1,$AT$1)),"*鹤归*")=1,L386,0)</f>
        <v>0</v>
      </c>
      <c r="N386">
        <f ca="1">IFERROR(IF(AND(COUNTIF(B386,"*-峰插*"),技能数据库!$M$72&gt;0),0,IF(COUNTIF(B386,"*云飞*")&gt;0,4-COUNTIF(B386,"*玉山揽云*")*4--COUNTIF(B386,"*烟流暮景*")*4-COUNTIF(B386,"*云景*")*加速!$L$11-IF(J386&gt;0,2,0),MAX(0,N385-(A386-A385)-IF(J386&gt;0,2,0)))),0)</f>
        <v>0</v>
      </c>
      <c r="O386">
        <f ca="1">IF(AND(COUNTIF(IF(AND(配装计算器!$K$30&lt;&gt;"∞",0),INDEX(AU385:CB385,1,$AT$1),INDEX(AU387:CB387,1,$AT$1)),"*云飞*")=1,COUNTIF(IF(AND(配装计算器!$K$30&lt;&gt;"∞",0),INDEX(AU385:CB385,1,$AT$1),INDEX(AU387:CB387,1,$AT$1)),"*玉山*")=0),N386,0)</f>
        <v>0</v>
      </c>
      <c r="P386">
        <f ca="1">IFERROR(IF(COUNTIF(B386,"*云栖松*")&gt;0,50-加速!$L$11,MAX(0,P385-(A386-A385))),0)</f>
        <v>0</v>
      </c>
      <c r="Q386">
        <f ca="1">IF(COUNTIF(IF(AND(配装计算器!$K$30&lt;&gt;"∞",0),INDEX(AU385:CB385,1,$AT$1),INDEX(AU387:CB387,1,$AT$1)),"*云栖松*")=1,P386,0)</f>
        <v>0</v>
      </c>
      <c r="R386">
        <f ca="1">IFERROR(IF(COUNTIF(B386,"*莺鸣柳*")&gt;0,45-加速!$L$9,MAX(0,R385-(A386-A385))),0)</f>
        <v>0</v>
      </c>
      <c r="S386">
        <f ca="1">IF(COUNTIF(IF(AND(配装计算器!$K$30&lt;&gt;"∞",0),INDEX(AU385:CB385,1,$AT$1),INDEX(AU387:CB387,1,$AT$1)),"*莺鸣柳*")=1,R386,0)</f>
        <v>0</v>
      </c>
      <c r="T386">
        <f ca="1" t="shared" si="76"/>
        <v>0</v>
      </c>
      <c r="U386">
        <f ca="1">IF(金蛇,IF(COUNTIF(B386,"*金环戴*")+COUNTIF(B386,"*吹风醒*")&gt;0,IF(A386&lt;=3,7.125-2.625-A386-加速!$L$11,7.125+加速!$K$9-(A386+加速!$L$11-T386)),0),0)+IF(金蛇,IF(COUNTIF(B386,"*千切子裂光*")&gt;0,2+加速!$K$9-(A386+加速!$L$11-T386),0),0)</f>
        <v>0</v>
      </c>
      <c r="V386">
        <f ca="1" t="shared" si="77"/>
        <v>0</v>
      </c>
      <c r="W386">
        <f ca="1" t="shared" si="69"/>
        <v>0</v>
      </c>
      <c r="X386">
        <f ca="1">INDEX(加速!$I$13:$I$21,技能数计算!W386+1)</f>
        <v>0</v>
      </c>
      <c r="Y386">
        <f ca="1" t="shared" si="73"/>
        <v>0.5</v>
      </c>
      <c r="Z386">
        <f ca="1" t="shared" si="74"/>
        <v>0</v>
      </c>
      <c r="AA386">
        <f ca="1">MAX(0,IFERROR(IF(COUNTIF(B386,"*叠*")&gt;0,IF(AC385&lt;3,8-A387+A386,AA385+6.875-A387+A386),AA385-A387+A386),AA385-加速!$L$11))</f>
        <v>0</v>
      </c>
      <c r="AB386" t="e">
        <f ca="1">MAX(0,IF(COUNTIF(IF(AND(配装计算器!$K$30&lt;&gt;"∞",0),INDEX(AU386:CB386,1,$AT$1),INDEX(AU386:CB386,1,$AT$1)),"*叠1*")=1,4*25-加速!$L$11,AB385-A386+A385)-IF(OR(COUNTIF(OFFSET(AT386,0,$AT$1,1,1),"*听雷*")&gt;0,AND(碧归&gt;0,COUNTIF(OFFSET(AT386,0,$AT$1,1,1),"*风来*")&gt;0)),0,1)*1.5)</f>
        <v>#VALUE!</v>
      </c>
      <c r="AC386">
        <f ca="1" t="shared" si="70"/>
        <v>3</v>
      </c>
      <c r="AD386">
        <f ca="1">IF(COUNTIF(IF(AND(配装计算器!$K$30&lt;&gt;"∞",0),INDEX(AU386:CB386,1,$AT$1),INDEX(AU387:CB387,1,$AT$1)),"*叠1*")=1,AB386*0+AE385,0)</f>
        <v>0</v>
      </c>
      <c r="AE386" t="e">
        <f ca="1">IF($AN$11&gt;0,IF(COUNTIF(B387,"*叠1*")&gt;0,50-加速!$H$11,MAX(0,AE385-(A387-A386))),0)</f>
        <v>#VALUE!</v>
      </c>
      <c r="AU386" t="s">
        <v>2768</v>
      </c>
      <c r="AV386">
        <v>2</v>
      </c>
      <c r="AW386" s="176" t="s">
        <v>2808</v>
      </c>
      <c r="AX386">
        <v>2</v>
      </c>
      <c r="AY386" t="s">
        <v>2776</v>
      </c>
      <c r="AZ386">
        <v>2</v>
      </c>
      <c r="BA386" t="s">
        <v>2776</v>
      </c>
      <c r="BB386">
        <v>2</v>
      </c>
      <c r="BC386" t="s">
        <v>2768</v>
      </c>
      <c r="BD386">
        <v>2</v>
      </c>
      <c r="BE386" t="s">
        <v>2776</v>
      </c>
      <c r="BF386">
        <v>2</v>
      </c>
      <c r="BG386" t="s">
        <v>2768</v>
      </c>
      <c r="BH386">
        <v>2</v>
      </c>
      <c r="BI386" t="s">
        <v>2789</v>
      </c>
      <c r="BJ386">
        <v>2</v>
      </c>
      <c r="BK386" t="s">
        <v>3026</v>
      </c>
      <c r="BL386">
        <v>2</v>
      </c>
      <c r="BM386" s="176" t="s">
        <v>2776</v>
      </c>
      <c r="BN386">
        <v>2</v>
      </c>
      <c r="BO386" s="176" t="s">
        <v>2776</v>
      </c>
      <c r="BP386">
        <v>2</v>
      </c>
      <c r="BQ386" t="s">
        <v>2768</v>
      </c>
      <c r="BR386">
        <v>2</v>
      </c>
      <c r="BS386" t="s">
        <v>2768</v>
      </c>
      <c r="BT386">
        <v>1</v>
      </c>
      <c r="BU386" t="s">
        <v>2776</v>
      </c>
      <c r="BV386">
        <v>2</v>
      </c>
      <c r="BW386" s="182" t="s">
        <v>2794</v>
      </c>
      <c r="BX386" s="179">
        <v>2</v>
      </c>
      <c r="BY386" s="176" t="s">
        <v>2768</v>
      </c>
      <c r="BZ386">
        <v>2</v>
      </c>
      <c r="CA386" t="s">
        <v>2768</v>
      </c>
      <c r="CB386">
        <v>2</v>
      </c>
    </row>
    <row r="387" spans="1:80">
      <c r="A387" s="178" t="str">
        <f ca="1">IFERROR(IF(A386+加速!$L$11&lt;$AS$1,IF(COUNTIF(B386,"*轻*")&gt;0,A386+加速!$L$9,A386+加速!$L$11)+V386,IF(COUNTIF(INDEX(AU387:CB387,1,$AT$1),"*云景*")+COUNTIF(INDEX(AU387:CB387,1,$AT$1),"*鹤归*")+COUNTIF(INDEX(AU387:CB387,1,$AT$1),"*听雷*")&gt;0,A386+加速!$L$11,"")),"")</f>
        <v/>
      </c>
      <c r="B387" s="167" t="str">
        <f ca="1">IF(A387&lt;&gt;"",IF(AND(A387+加速!$L$11&gt;$AS$1,IF(AND(配装计算器!$K$30&lt;&gt;"∞",0),"梦泉虎跑-轻",INDEX(AU387:CB387,1,$AT$1))="云栖松"),"夕照雷峰",IF(AND(配装计算器!$K$30&lt;&gt;"∞",0),"梦泉虎跑-轻",INDEX(AU387:CB387,1,$AT$1))),"")</f>
        <v/>
      </c>
      <c r="C387" t="str">
        <f ca="1" t="shared" si="75"/>
        <v/>
      </c>
      <c r="D387" t="str">
        <f ca="1">IF(B387&lt;&gt;"",IF(C386&lt;=加速!$L$11*(1-E387),0,1),"")</f>
        <v/>
      </c>
      <c r="E387">
        <f ca="1" t="shared" si="71"/>
        <v>1</v>
      </c>
      <c r="G387" t="str">
        <f ca="1" t="shared" si="72"/>
        <v/>
      </c>
      <c r="H387" t="str">
        <f ca="1">IF(B387&lt;&gt;"",IF(AND(COUNTIF(B386,"*轻*莺鸣柳*")&gt;0,COUNTIF(B387,"*轻*")&lt;1),MAX(0,15+I386-(A387-A386)+COUNTIF(B386,"*平湖*")*0),IF(AND(E387=0,MAX(0,H386-(A387-A386))&lt;=加速!$H$11),0,MAX(0,H386-(A387-A386)))),"")</f>
        <v/>
      </c>
      <c r="I387" t="str">
        <f ca="1" t="shared" si="78"/>
        <v/>
      </c>
      <c r="J387" t="str">
        <f ca="1" t="shared" si="79"/>
        <v/>
      </c>
      <c r="K387" t="str">
        <f ca="1">IF(A387&lt;&gt;"",IF(AND(配装计算器!$K$30&lt;&gt;"∞",0),2,INDEX(AU387:CB387,1,$AT$2)),"")</f>
        <v/>
      </c>
      <c r="L387">
        <f ca="1">IFERROR(IF(AND(COUNTIF(B387,"*-峰插*"),技能数据库!$M$72&gt;0),0,IF(COUNTIF(B387,"*鹤归*")&gt;0,16-加速!$L$11,MAX(0,L386-(A387-A386)))),0)</f>
        <v>0</v>
      </c>
      <c r="M387">
        <f ca="1">IF(COUNTIF(IF(AND(配装计算器!$K$30&lt;&gt;"∞",0),INDEX(AU386:CB386,1,$AT$1),INDEX(AU388:CB388,1,$AT$1)),"*鹤归*")=1,L387,0)</f>
        <v>0</v>
      </c>
      <c r="N387">
        <f ca="1">IFERROR(IF(AND(COUNTIF(B387,"*-峰插*"),技能数据库!$M$72&gt;0),0,IF(COUNTIF(B387,"*云飞*")&gt;0,4-COUNTIF(B387,"*玉山揽云*")*4--COUNTIF(B387,"*烟流暮景*")*4-COUNTIF(B387,"*云景*")*加速!$L$11-IF(J387&gt;0,2,0),MAX(0,N386-(A387-A386)-IF(J387&gt;0,2,0)))),0)</f>
        <v>0</v>
      </c>
      <c r="O387">
        <f ca="1">IF(AND(COUNTIF(IF(AND(配装计算器!$K$30&lt;&gt;"∞",0),INDEX(AU386:CB386,1,$AT$1),INDEX(AU388:CB388,1,$AT$1)),"*云飞*")=1,COUNTIF(IF(AND(配装计算器!$K$30&lt;&gt;"∞",0),INDEX(AU386:CB386,1,$AT$1),INDEX(AU388:CB388,1,$AT$1)),"*玉山*")=0),N387,0)</f>
        <v>0</v>
      </c>
      <c r="P387">
        <f ca="1">IFERROR(IF(COUNTIF(B387,"*云栖松*")&gt;0,50-加速!$L$11,MAX(0,P386-(A387-A386))),0)</f>
        <v>0</v>
      </c>
      <c r="Q387">
        <f ca="1">IF(COUNTIF(IF(AND(配装计算器!$K$30&lt;&gt;"∞",0),INDEX(AU386:CB386,1,$AT$1),INDEX(AU388:CB388,1,$AT$1)),"*云栖松*")=1,P387,0)</f>
        <v>0</v>
      </c>
      <c r="R387">
        <f ca="1">IFERROR(IF(COUNTIF(B387,"*莺鸣柳*")&gt;0,45-加速!$L$9,MAX(0,R386-(A387-A386))),0)</f>
        <v>0</v>
      </c>
      <c r="S387">
        <f ca="1">IF(COUNTIF(IF(AND(配装计算器!$K$30&lt;&gt;"∞",0),INDEX(AU386:CB386,1,$AT$1),INDEX(AU388:CB388,1,$AT$1)),"*莺鸣柳*")=1,R387,0)</f>
        <v>0</v>
      </c>
      <c r="T387">
        <f ca="1" t="shared" si="76"/>
        <v>0</v>
      </c>
      <c r="U387">
        <f ca="1">IF(金蛇,IF(COUNTIF(B387,"*金环戴*")+COUNTIF(B387,"*吹风醒*")&gt;0,IF(A387&lt;=3,7.125-2.625-A387-加速!$L$11,7.125+加速!$K$9-(A387+加速!$L$11-T387)),0),0)+IF(金蛇,IF(COUNTIF(B387,"*千切子裂光*")&gt;0,2+加速!$K$9-(A387+加速!$L$11-T387),0),0)</f>
        <v>0</v>
      </c>
      <c r="V387">
        <f ca="1" t="shared" si="77"/>
        <v>0</v>
      </c>
      <c r="W387">
        <f ca="1" t="shared" ref="W387:W450" si="81">IF(COUNTIF(B387,"*风来吴山*")&gt;0,1,IF(W386+1&gt;风车GCD,0,IF(W386&gt;0,W386+1,0)))</f>
        <v>0</v>
      </c>
      <c r="X387">
        <f ca="1">INDEX(加速!$I$13:$I$21,技能数计算!W387+1)</f>
        <v>0</v>
      </c>
      <c r="Y387">
        <f ca="1" t="shared" si="73"/>
        <v>0.5</v>
      </c>
      <c r="Z387">
        <f ca="1" t="shared" si="74"/>
        <v>0</v>
      </c>
      <c r="AA387">
        <f ca="1">MAX(0,IFERROR(IF(COUNTIF(B387,"*叠*")&gt;0,IF(AC386&lt;3,8-A388+A387,AA386+6.875-A388+A387),AA386-A388+A387),AA386-加速!$L$11))</f>
        <v>0</v>
      </c>
      <c r="AB387" t="e">
        <f ca="1">MAX(0,IF(COUNTIF(IF(AND(配装计算器!$K$30&lt;&gt;"∞",0),INDEX(AU387:CB387,1,$AT$1),INDEX(AU387:CB387,1,$AT$1)),"*叠1*")=1,4*25-加速!$L$11,AB386-A387+A386)-IF(OR(COUNTIF(OFFSET(AT387,0,$AT$1,1,1),"*听雷*")&gt;0,AND(碧归&gt;0,COUNTIF(OFFSET(AT387,0,$AT$1,1,1),"*风来*")&gt;0)),0,1)*1.5)</f>
        <v>#VALUE!</v>
      </c>
      <c r="AC387">
        <f ca="1" t="shared" ref="AC387:AC450" si="82">IF(AND(AA387=0,E387=0),0,IF(AND(COUNTIF(B387,"*叠*")&gt;0,OR(AA386=0,AA386&gt;=5)),AC386+1,AC386))</f>
        <v>3</v>
      </c>
      <c r="AD387">
        <f ca="1">IF(COUNTIF(IF(AND(配装计算器!$K$30&lt;&gt;"∞",0),INDEX(AU387:CB387,1,$AT$1),INDEX(AU388:CB388,1,$AT$1)),"*叠1*")=1,AB387*0+AE386,0)</f>
        <v>0</v>
      </c>
      <c r="AE387" t="e">
        <f ca="1">IF($AN$11&gt;0,IF(COUNTIF(B388,"*叠1*")&gt;0,50-加速!$H$11,MAX(0,AE386-(A388-A387))),0)</f>
        <v>#VALUE!</v>
      </c>
      <c r="AU387" s="180" t="s">
        <v>2789</v>
      </c>
      <c r="AV387">
        <v>2</v>
      </c>
      <c r="AW387" t="s">
        <v>2768</v>
      </c>
      <c r="AX387">
        <v>2</v>
      </c>
      <c r="AY387" t="s">
        <v>2768</v>
      </c>
      <c r="AZ387">
        <v>2</v>
      </c>
      <c r="BA387" t="s">
        <v>2768</v>
      </c>
      <c r="BB387">
        <v>2</v>
      </c>
      <c r="BC387" t="s">
        <v>3023</v>
      </c>
      <c r="BD387">
        <v>2</v>
      </c>
      <c r="BE387" t="s">
        <v>2768</v>
      </c>
      <c r="BF387">
        <v>1</v>
      </c>
      <c r="BG387" t="s">
        <v>2776</v>
      </c>
      <c r="BH387">
        <v>2</v>
      </c>
      <c r="BI387" s="182" t="s">
        <v>3023</v>
      </c>
      <c r="BJ387">
        <v>2</v>
      </c>
      <c r="BK387" t="s">
        <v>3026</v>
      </c>
      <c r="BL387">
        <v>2</v>
      </c>
      <c r="BM387" s="176" t="s">
        <v>2768</v>
      </c>
      <c r="BN387">
        <v>2</v>
      </c>
      <c r="BO387" s="176" t="s">
        <v>2768</v>
      </c>
      <c r="BP387">
        <v>2</v>
      </c>
      <c r="BQ387" t="s">
        <v>3013</v>
      </c>
      <c r="BR387">
        <v>2</v>
      </c>
      <c r="BS387" t="s">
        <v>2768</v>
      </c>
      <c r="BT387">
        <v>1</v>
      </c>
      <c r="BU387" t="s">
        <v>2768</v>
      </c>
      <c r="BV387">
        <v>2</v>
      </c>
      <c r="BW387" s="182" t="s">
        <v>2768</v>
      </c>
      <c r="BX387" s="179">
        <v>2</v>
      </c>
      <c r="BY387" s="176" t="s">
        <v>2776</v>
      </c>
      <c r="BZ387">
        <v>2</v>
      </c>
      <c r="CA387" t="s">
        <v>2776</v>
      </c>
      <c r="CB387">
        <v>2</v>
      </c>
    </row>
    <row r="388" spans="1:80">
      <c r="A388" s="178" t="str">
        <f ca="1">IFERROR(IF(A387+加速!$L$11&lt;$AS$1,IF(COUNTIF(B387,"*轻*")&gt;0,A387+加速!$L$9,A387+加速!$L$11)+V387,IF(COUNTIF(INDEX(AU388:CB388,1,$AT$1),"*云景*")+COUNTIF(INDEX(AU388:CB388,1,$AT$1),"*鹤归*")+COUNTIF(INDEX(AU388:CB388,1,$AT$1),"*听雷*")&gt;0,A387+加速!$L$11,"")),"")</f>
        <v/>
      </c>
      <c r="B388" s="167" t="str">
        <f ca="1">IF(A388&lt;&gt;"",IF(AND(A388+加速!$L$11&gt;$AS$1,IF(AND(配装计算器!$K$30&lt;&gt;"∞",0),"梦泉虎跑-轻",INDEX(AU388:CB388,1,$AT$1))="云栖松"),"夕照雷峰",IF(AND(配装计算器!$K$30&lt;&gt;"∞",0),"梦泉虎跑-轻",INDEX(AU388:CB388,1,$AT$1))),"")</f>
        <v/>
      </c>
      <c r="C388" t="str">
        <f ca="1" t="shared" si="75"/>
        <v/>
      </c>
      <c r="D388" t="str">
        <f ca="1">IF(B388&lt;&gt;"",IF(C387&lt;=加速!$L$11*(1-E388),0,1),"")</f>
        <v/>
      </c>
      <c r="E388">
        <f ca="1" t="shared" ref="E388:E451" si="83">IF(OR(COUNTIF(B388,"*夕照雷峰*")&gt;0,COUNTIF(B388,"云飞玉皇*")&gt;0,COUNTIF(B388,"风来吴山*")&gt;0),COUNTIF(B388,"*云景*")+COUNTIF(B388,"*玉山揽云*")+COUNTIF(B388,"*烟流暮景*"),1)</f>
        <v>1</v>
      </c>
      <c r="G388" t="str">
        <f ca="1" t="shared" ref="G388:G451" si="84">IF(B388&lt;&gt;"",IF(AND(碧归&gt;0,COUNTIF(B387,"*风来吴山*")&gt;0),8,MAX(0,G387-COUNTIF(B388,"*云飞*")-COUNTIF(B388,"*鹤*")-COUNTIF(B388,"*夕*"))),"")</f>
        <v/>
      </c>
      <c r="H388" t="str">
        <f ca="1">IF(B388&lt;&gt;"",IF(AND(COUNTIF(B387,"*轻*莺鸣柳*")&gt;0,COUNTIF(B388,"*轻*")&lt;1),MAX(0,15+I387-(A388-A387)+COUNTIF(B387,"*平湖*")*0),IF(AND(E388=0,MAX(0,H387-(A388-A387))&lt;=加速!$H$11),0,MAX(0,H387-(A388-A387)))),"")</f>
        <v/>
      </c>
      <c r="I388" t="str">
        <f ca="1" t="shared" si="78"/>
        <v/>
      </c>
      <c r="J388" t="str">
        <f ca="1" t="shared" si="79"/>
        <v/>
      </c>
      <c r="K388" t="str">
        <f ca="1">IF(A388&lt;&gt;"",IF(AND(配装计算器!$K$30&lt;&gt;"∞",0),2,INDEX(AU388:CB388,1,$AT$2)),"")</f>
        <v/>
      </c>
      <c r="L388">
        <f ca="1">IFERROR(IF(AND(COUNTIF(B388,"*-峰插*"),技能数据库!$M$72&gt;0),0,IF(COUNTIF(B388,"*鹤归*")&gt;0,16-加速!$L$11,MAX(0,L387-(A388-A387)))),0)</f>
        <v>0</v>
      </c>
      <c r="M388">
        <f ca="1">IF(COUNTIF(IF(AND(配装计算器!$K$30&lt;&gt;"∞",0),INDEX(AU387:CB387,1,$AT$1),INDEX(AU389:CB389,1,$AT$1)),"*鹤归*")=1,L388,0)</f>
        <v>0</v>
      </c>
      <c r="N388">
        <f ca="1">IFERROR(IF(AND(COUNTIF(B388,"*-峰插*"),技能数据库!$M$72&gt;0),0,IF(COUNTIF(B388,"*云飞*")&gt;0,4-COUNTIF(B388,"*玉山揽云*")*4--COUNTIF(B388,"*烟流暮景*")*4-COUNTIF(B388,"*云景*")*加速!$L$11-IF(J388&gt;0,2,0),MAX(0,N387-(A388-A387)-IF(J388&gt;0,2,0)))),0)</f>
        <v>0</v>
      </c>
      <c r="O388">
        <f ca="1">IF(AND(COUNTIF(IF(AND(配装计算器!$K$30&lt;&gt;"∞",0),INDEX(AU387:CB387,1,$AT$1),INDEX(AU389:CB389,1,$AT$1)),"*云飞*")=1,COUNTIF(IF(AND(配装计算器!$K$30&lt;&gt;"∞",0),INDEX(AU387:CB387,1,$AT$1),INDEX(AU389:CB389,1,$AT$1)),"*玉山*")=0),N388,0)</f>
        <v>0</v>
      </c>
      <c r="P388">
        <f ca="1">IFERROR(IF(COUNTIF(B388,"*云栖松*")&gt;0,50-加速!$L$11,MAX(0,P387-(A388-A387))),0)</f>
        <v>0</v>
      </c>
      <c r="Q388">
        <f ca="1">IF(COUNTIF(IF(AND(配装计算器!$K$30&lt;&gt;"∞",0),INDEX(AU387:CB387,1,$AT$1),INDEX(AU389:CB389,1,$AT$1)),"*云栖松*")=1,P388,0)</f>
        <v>0</v>
      </c>
      <c r="R388">
        <f ca="1">IFERROR(IF(COUNTIF(B388,"*莺鸣柳*")&gt;0,45-加速!$L$9,MAX(0,R387-(A388-A387))),0)</f>
        <v>0</v>
      </c>
      <c r="S388">
        <f ca="1">IF(COUNTIF(IF(AND(配装计算器!$K$30&lt;&gt;"∞",0),INDEX(AU387:CB387,1,$AT$1),INDEX(AU389:CB389,1,$AT$1)),"*莺鸣柳*")=1,R388,0)</f>
        <v>0</v>
      </c>
      <c r="T388">
        <f ca="1" t="shared" si="76"/>
        <v>0</v>
      </c>
      <c r="U388">
        <f ca="1">IF(金蛇,IF(COUNTIF(B388,"*金环戴*")+COUNTIF(B388,"*吹风醒*")&gt;0,IF(A388&lt;=3,7.125-2.625-A388-加速!$L$11,7.125+加速!$K$9-(A388+加速!$L$11-T388)),0),0)+IF(金蛇,IF(COUNTIF(B388,"*千切子裂光*")&gt;0,2+加速!$K$9-(A388+加速!$L$11-T388),0),0)</f>
        <v>0</v>
      </c>
      <c r="V388">
        <f ca="1" t="shared" si="77"/>
        <v>0</v>
      </c>
      <c r="W388">
        <f ca="1" t="shared" si="81"/>
        <v>0</v>
      </c>
      <c r="X388">
        <f ca="1">INDEX(加速!$I$13:$I$21,技能数计算!W388+1)</f>
        <v>0</v>
      </c>
      <c r="Y388">
        <f ca="1" t="shared" ref="Y388:Y451" si="85">IF(COUNTIF(B388,"*岚尘金蛇*"),A388+2.6125+0.5,Y387)</f>
        <v>0.5</v>
      </c>
      <c r="Z388">
        <f ca="1" t="shared" ref="Z388:Z451" si="86">IF(金蛇,IF(COUNTIF(B388,"*虎跑*")&gt;0,INT((A388-Y388)/3),0),0)</f>
        <v>0</v>
      </c>
      <c r="AA388">
        <f ca="1">MAX(0,IFERROR(IF(COUNTIF(B388,"*叠*")&gt;0,IF(AC387&lt;3,8-A389+A388,AA387+6.875-A389+A388),AA387-A389+A388),AA387-加速!$L$11))</f>
        <v>0</v>
      </c>
      <c r="AB388" t="e">
        <f ca="1">MAX(0,IF(COUNTIF(IF(AND(配装计算器!$K$30&lt;&gt;"∞",0),INDEX(AU388:CB388,1,$AT$1),INDEX(AU388:CB388,1,$AT$1)),"*叠1*")=1,4*25-加速!$L$11,AB387-A388+A387)-IF(OR(COUNTIF(OFFSET(AT388,0,$AT$1,1,1),"*听雷*")&gt;0,AND(碧归&gt;0,COUNTIF(OFFSET(AT388,0,$AT$1,1,1),"*风来*")&gt;0)),0,1)*1.5)</f>
        <v>#VALUE!</v>
      </c>
      <c r="AC388">
        <f ca="1" t="shared" si="82"/>
        <v>3</v>
      </c>
      <c r="AD388">
        <f ca="1">IF(COUNTIF(IF(AND(配装计算器!$K$30&lt;&gt;"∞",0),INDEX(AU388:CB388,1,$AT$1),INDEX(AU389:CB389,1,$AT$1)),"*叠1*")=1,AB388*0+AE387,0)</f>
        <v>0</v>
      </c>
      <c r="AE388" t="e">
        <f ca="1">IF($AN$11&gt;0,IF(COUNTIF(B389,"*叠1*")&gt;0,50-加速!$H$11,MAX(0,AE387-(A389-A388))),0)</f>
        <v>#VALUE!</v>
      </c>
      <c r="AU388" s="176" t="s">
        <v>2794</v>
      </c>
      <c r="AV388">
        <v>2</v>
      </c>
      <c r="AW388" t="s">
        <v>2776</v>
      </c>
      <c r="AX388">
        <v>2</v>
      </c>
      <c r="AY388" t="s">
        <v>2776</v>
      </c>
      <c r="AZ388">
        <v>2</v>
      </c>
      <c r="BA388" t="s">
        <v>2776</v>
      </c>
      <c r="BB388">
        <v>1</v>
      </c>
      <c r="BC388" t="s">
        <v>2768</v>
      </c>
      <c r="BD388">
        <v>2</v>
      </c>
      <c r="BE388" t="s">
        <v>2768</v>
      </c>
      <c r="BF388">
        <v>1</v>
      </c>
      <c r="BG388" t="s">
        <v>2768</v>
      </c>
      <c r="BH388">
        <v>1</v>
      </c>
      <c r="BI388" s="176" t="s">
        <v>3026</v>
      </c>
      <c r="BJ388">
        <v>2</v>
      </c>
      <c r="BK388" t="s">
        <v>3026</v>
      </c>
      <c r="BL388">
        <v>2</v>
      </c>
      <c r="BM388" s="176" t="s">
        <v>2808</v>
      </c>
      <c r="BN388">
        <v>2</v>
      </c>
      <c r="BO388" s="176" t="s">
        <v>2776</v>
      </c>
      <c r="BP388">
        <v>2</v>
      </c>
      <c r="BQ388" t="s">
        <v>2808</v>
      </c>
      <c r="BR388">
        <v>2</v>
      </c>
      <c r="BS388" t="s">
        <v>2776</v>
      </c>
      <c r="BT388">
        <v>0</v>
      </c>
      <c r="BU388" t="s">
        <v>2808</v>
      </c>
      <c r="BV388">
        <v>2</v>
      </c>
      <c r="BW388" s="182" t="s">
        <v>2776</v>
      </c>
      <c r="BX388" s="179">
        <v>2</v>
      </c>
      <c r="BY388" s="176" t="s">
        <v>2768</v>
      </c>
      <c r="BZ388">
        <v>2</v>
      </c>
      <c r="CA388" t="str">
        <f>IF(山重水复,"风来吴山","夕照雷峰")</f>
        <v>夕照雷峰</v>
      </c>
      <c r="CB388">
        <v>2</v>
      </c>
    </row>
    <row r="389" spans="1:80">
      <c r="A389" s="178" t="str">
        <f ca="1">IFERROR(IF(A388+加速!$L$11&lt;$AS$1,IF(COUNTIF(B388,"*轻*")&gt;0,A388+加速!$L$9,A388+加速!$L$11)+V388,IF(COUNTIF(INDEX(AU389:CB389,1,$AT$1),"*云景*")+COUNTIF(INDEX(AU389:CB389,1,$AT$1),"*鹤归*")+COUNTIF(INDEX(AU389:CB389,1,$AT$1),"*听雷*")&gt;0,A388+加速!$L$11,"")),"")</f>
        <v/>
      </c>
      <c r="B389" s="167" t="str">
        <f ca="1">IF(A389&lt;&gt;"",IF(AND(A389+加速!$L$11&gt;$AS$1,IF(AND(配装计算器!$K$30&lt;&gt;"∞",0),"梦泉虎跑-轻",INDEX(AU389:CB389,1,$AT$1))="云栖松"),"夕照雷峰",IF(AND(配装计算器!$K$30&lt;&gt;"∞",0),"梦泉虎跑-轻",INDEX(AU389:CB389,1,$AT$1))),"")</f>
        <v/>
      </c>
      <c r="C389" t="str">
        <f ca="1" t="shared" ref="C389:C452" si="87">IFERROR(IF(COUNTIF(B389,"*夕照雷峰*")&gt;0,15,MAX(0,C388-(A389-A388))),"")</f>
        <v/>
      </c>
      <c r="D389" t="str">
        <f ca="1">IF(B389&lt;&gt;"",IF(C388&lt;=加速!$L$11*(1-E389),0,1),"")</f>
        <v/>
      </c>
      <c r="E389">
        <f ca="1" t="shared" si="83"/>
        <v>1</v>
      </c>
      <c r="G389" t="str">
        <f ca="1" t="shared" si="84"/>
        <v/>
      </c>
      <c r="H389" t="str">
        <f ca="1">IF(B389&lt;&gt;"",IF(AND(COUNTIF(B388,"*轻*莺鸣柳*")&gt;0,COUNTIF(B389,"*轻*")&lt;1),MAX(0,15+I388-(A389-A388)+COUNTIF(B388,"*平湖*")*0),IF(AND(E389=0,MAX(0,H388-(A389-A388))&lt;=加速!$H$11),0,MAX(0,H388-(A389-A388)))),"")</f>
        <v/>
      </c>
      <c r="I389" t="str">
        <f ca="1" t="shared" si="78"/>
        <v/>
      </c>
      <c r="J389" t="str">
        <f ca="1" t="shared" si="79"/>
        <v/>
      </c>
      <c r="K389" t="str">
        <f ca="1">IF(A389&lt;&gt;"",IF(AND(配装计算器!$K$30&lt;&gt;"∞",0),2,INDEX(AU389:CB389,1,$AT$2)),"")</f>
        <v/>
      </c>
      <c r="L389">
        <f ca="1">IFERROR(IF(AND(COUNTIF(B389,"*-峰插*"),技能数据库!$M$72&gt;0),0,IF(COUNTIF(B389,"*鹤归*")&gt;0,16-加速!$L$11,MAX(0,L388-(A389-A388)))),0)</f>
        <v>0</v>
      </c>
      <c r="M389">
        <f ca="1">IF(COUNTIF(IF(AND(配装计算器!$K$30&lt;&gt;"∞",0),INDEX(AU388:CB388,1,$AT$1),INDEX(AU390:CB390,1,$AT$1)),"*鹤归*")=1,L389,0)</f>
        <v>0</v>
      </c>
      <c r="N389">
        <f ca="1">IFERROR(IF(AND(COUNTIF(B389,"*-峰插*"),技能数据库!$M$72&gt;0),0,IF(COUNTIF(B389,"*云飞*")&gt;0,4-COUNTIF(B389,"*玉山揽云*")*4--COUNTIF(B389,"*烟流暮景*")*4-COUNTIF(B389,"*云景*")*加速!$L$11-IF(J389&gt;0,2,0),MAX(0,N388-(A389-A388)-IF(J389&gt;0,2,0)))),0)</f>
        <v>0</v>
      </c>
      <c r="O389">
        <f ca="1">IF(AND(COUNTIF(IF(AND(配装计算器!$K$30&lt;&gt;"∞",0),INDEX(AU388:CB388,1,$AT$1),INDEX(AU390:CB390,1,$AT$1)),"*云飞*")=1,COUNTIF(IF(AND(配装计算器!$K$30&lt;&gt;"∞",0),INDEX(AU388:CB388,1,$AT$1),INDEX(AU390:CB390,1,$AT$1)),"*玉山*")=0),N389,0)</f>
        <v>0</v>
      </c>
      <c r="P389">
        <f ca="1">IFERROR(IF(COUNTIF(B389,"*云栖松*")&gt;0,50-加速!$L$11,MAX(0,P388-(A389-A388))),0)</f>
        <v>0</v>
      </c>
      <c r="Q389">
        <f ca="1">IF(COUNTIF(IF(AND(配装计算器!$K$30&lt;&gt;"∞",0),INDEX(AU388:CB388,1,$AT$1),INDEX(AU390:CB390,1,$AT$1)),"*云栖松*")=1,P389,0)</f>
        <v>0</v>
      </c>
      <c r="R389">
        <f ca="1">IFERROR(IF(COUNTIF(B389,"*莺鸣柳*")&gt;0,45-加速!$L$9,MAX(0,R388-(A389-A388))),0)</f>
        <v>0</v>
      </c>
      <c r="S389">
        <f ca="1">IF(COUNTIF(IF(AND(配装计算器!$K$30&lt;&gt;"∞",0),INDEX(AU388:CB388,1,$AT$1),INDEX(AU390:CB390,1,$AT$1)),"*莺鸣柳*")=1,R389,0)</f>
        <v>0</v>
      </c>
      <c r="T389">
        <f ca="1" t="shared" ref="T389:T452" si="88">IF(COUNTIF(B389,"*岚尘金蛇*")+COUNTIF(B389,"*千切子寒光*")&gt;0,A389,T388)</f>
        <v>0</v>
      </c>
      <c r="U389">
        <f ca="1">IF(金蛇,IF(COUNTIF(B389,"*金环戴*")+COUNTIF(B389,"*吹风醒*")&gt;0,IF(A389&lt;=3,7.125-2.625-A389-加速!$L$11,7.125+加速!$K$9-(A389+加速!$L$11-T389)),0),0)+IF(金蛇,IF(COUNTIF(B389,"*千切子裂光*")&gt;0,2+加速!$K$9-(A389+加速!$L$11-T389),0),0)</f>
        <v>0</v>
      </c>
      <c r="V389">
        <f ca="1" t="shared" ref="V389:V452" si="89">MAX(0,M389+O389+Q389+S389+AD389)+U389</f>
        <v>0</v>
      </c>
      <c r="W389">
        <f ca="1" t="shared" si="81"/>
        <v>0</v>
      </c>
      <c r="X389">
        <f ca="1">INDEX(加速!$I$13:$I$21,技能数计算!W389+1)</f>
        <v>0</v>
      </c>
      <c r="Y389">
        <f ca="1" t="shared" si="85"/>
        <v>0.5</v>
      </c>
      <c r="Z389">
        <f ca="1" t="shared" si="86"/>
        <v>0</v>
      </c>
      <c r="AA389">
        <f ca="1">MAX(0,IFERROR(IF(COUNTIF(B389,"*叠*")&gt;0,IF(AC388&lt;3,8-A390+A389,AA388+6.875-A390+A389),AA388-A390+A389),AA388-加速!$L$11))</f>
        <v>0</v>
      </c>
      <c r="AB389" t="e">
        <f ca="1">MAX(0,IF(COUNTIF(IF(AND(配装计算器!$K$30&lt;&gt;"∞",0),INDEX(AU389:CB389,1,$AT$1),INDEX(AU389:CB389,1,$AT$1)),"*叠1*")=1,4*25-加速!$L$11,AB388-A389+A388)-IF(OR(COUNTIF(OFFSET(AT389,0,$AT$1,1,1),"*听雷*")&gt;0,AND(碧归&gt;0,COUNTIF(OFFSET(AT389,0,$AT$1,1,1),"*风来*")&gt;0)),0,1)*1.5)</f>
        <v>#VALUE!</v>
      </c>
      <c r="AC389">
        <f ca="1" t="shared" si="82"/>
        <v>3</v>
      </c>
      <c r="AD389">
        <f ca="1">IF(COUNTIF(IF(AND(配装计算器!$K$30&lt;&gt;"∞",0),INDEX(AU389:CB389,1,$AT$1),INDEX(AU390:CB390,1,$AT$1)),"*叠1*")=1,AB389*0+AE388,0)</f>
        <v>0</v>
      </c>
      <c r="AE389" t="e">
        <f ca="1">IF($AN$11&gt;0,IF(COUNTIF(B390,"*叠1*")&gt;0,50-加速!$H$11,MAX(0,AE388-(A390-A389))),0)</f>
        <v>#VALUE!</v>
      </c>
      <c r="AU389" s="176" t="s">
        <v>2776</v>
      </c>
      <c r="AV389">
        <v>2</v>
      </c>
      <c r="AW389" t="s">
        <v>2768</v>
      </c>
      <c r="AX389">
        <v>2</v>
      </c>
      <c r="AY389" t="s">
        <v>2768</v>
      </c>
      <c r="AZ389">
        <v>2</v>
      </c>
      <c r="BA389" t="s">
        <v>2768</v>
      </c>
      <c r="BB389">
        <v>1</v>
      </c>
      <c r="BC389" t="s">
        <v>2776</v>
      </c>
      <c r="BD389">
        <v>2</v>
      </c>
      <c r="BE389" t="s">
        <v>3042</v>
      </c>
      <c r="BF389">
        <v>0</v>
      </c>
      <c r="BG389" t="s">
        <v>2776</v>
      </c>
      <c r="BH389">
        <v>1</v>
      </c>
      <c r="BI389" s="176" t="s">
        <v>3026</v>
      </c>
      <c r="BJ389">
        <v>2</v>
      </c>
      <c r="BK389" t="s">
        <v>2776</v>
      </c>
      <c r="BL389">
        <v>2</v>
      </c>
      <c r="BM389" t="s">
        <v>2768</v>
      </c>
      <c r="BN389">
        <v>2</v>
      </c>
      <c r="BO389" s="176" t="str">
        <f>IF(0,"云飞玉皇-玉山揽云","夕照雷峰")</f>
        <v>夕照雷峰</v>
      </c>
      <c r="BP389">
        <v>2</v>
      </c>
      <c r="BQ389" t="s">
        <v>2768</v>
      </c>
      <c r="BR389">
        <v>2</v>
      </c>
      <c r="BS389" t="s">
        <v>2768</v>
      </c>
      <c r="BT389">
        <v>0</v>
      </c>
      <c r="BU389" t="s">
        <v>2768</v>
      </c>
      <c r="BV389">
        <v>2</v>
      </c>
      <c r="BW389" s="182" t="s">
        <v>2768</v>
      </c>
      <c r="BX389" s="179">
        <v>2</v>
      </c>
      <c r="BY389" s="176" t="s">
        <v>2808</v>
      </c>
      <c r="BZ389">
        <v>2</v>
      </c>
      <c r="CA389" t="s">
        <v>2768</v>
      </c>
      <c r="CB389">
        <v>2</v>
      </c>
    </row>
    <row r="390" spans="1:80">
      <c r="A390" s="178" t="str">
        <f ca="1">IFERROR(IF(A389+加速!$L$11&lt;$AS$1,IF(COUNTIF(B389,"*轻*")&gt;0,A389+加速!$L$9,A389+加速!$L$11)+V389,IF(COUNTIF(INDEX(AU390:CB390,1,$AT$1),"*云景*")+COUNTIF(INDEX(AU390:CB390,1,$AT$1),"*鹤归*")+COUNTIF(INDEX(AU390:CB390,1,$AT$1),"*听雷*")&gt;0,A389+加速!$L$11,"")),"")</f>
        <v/>
      </c>
      <c r="B390" s="167" t="str">
        <f ca="1">IF(A390&lt;&gt;"",IF(AND(A390+加速!$L$11&gt;$AS$1,IF(AND(配装计算器!$K$30&lt;&gt;"∞",0),"梦泉虎跑-轻",INDEX(AU390:CB390,1,$AT$1))="云栖松"),"夕照雷峰",IF(AND(配装计算器!$K$30&lt;&gt;"∞",0),"梦泉虎跑-轻",INDEX(AU390:CB390,1,$AT$1))),"")</f>
        <v/>
      </c>
      <c r="C390" t="str">
        <f ca="1" t="shared" si="87"/>
        <v/>
      </c>
      <c r="D390" t="str">
        <f ca="1">IF(B390&lt;&gt;"",IF(C389&lt;=加速!$L$11*(1-E390),0,1),"")</f>
        <v/>
      </c>
      <c r="E390">
        <f ca="1" t="shared" si="83"/>
        <v>1</v>
      </c>
      <c r="G390" t="str">
        <f ca="1" t="shared" si="84"/>
        <v/>
      </c>
      <c r="H390" t="str">
        <f ca="1">IF(B390&lt;&gt;"",IF(AND(COUNTIF(B389,"*轻*莺鸣柳*")&gt;0,COUNTIF(B390,"*轻*")&lt;1),MAX(0,15+I389-(A390-A389)+COUNTIF(B389,"*平湖*")*0),IF(AND(E390=0,MAX(0,H389-(A390-A389))&lt;=加速!$H$11),0,MAX(0,H389-(A390-A389)))),"")</f>
        <v/>
      </c>
      <c r="I390" t="str">
        <f ca="1" t="shared" ref="I390:I453" si="90">IF(B390&lt;&gt;"",IF(COUNTIF(B390,"*轻*")&lt;1,0,IF(COUNTIF(B390,"*莺鸣*")&gt;0,8,MAX(0,I389-(A390-A389)))),"")</f>
        <v/>
      </c>
      <c r="J390" t="str">
        <f ca="1" t="shared" ref="J390:J453" si="91">IF(B390&lt;&gt;"",IF(AND(J389=1,OR(AND(COUNTIF(B390,"*云景*")&gt;0,COUNTIF(B385:B389,"*鹤归*")&gt;0),AND(落剑5=1,COUNTIF(B385:B389,"*鹤归*")&gt;0))),1,IF(COUNTIF(B389,"*鹤归*")&gt;0,4+_666三听,MAX(J389-1,0))),"")</f>
        <v/>
      </c>
      <c r="K390" t="str">
        <f ca="1">IF(A390&lt;&gt;"",IF(AND(配装计算器!$K$30&lt;&gt;"∞",0),2,INDEX(AU390:CB390,1,$AT$2)),"")</f>
        <v/>
      </c>
      <c r="L390">
        <f ca="1">IFERROR(IF(AND(COUNTIF(B390,"*-峰插*"),技能数据库!$M$72&gt;0),0,IF(COUNTIF(B390,"*鹤归*")&gt;0,16-加速!$L$11,MAX(0,L389-(A390-A389)))),0)</f>
        <v>0</v>
      </c>
      <c r="M390">
        <f ca="1">IF(COUNTIF(IF(AND(配装计算器!$K$30&lt;&gt;"∞",0),INDEX(AU389:CB389,1,$AT$1),INDEX(AU391:CB391,1,$AT$1)),"*鹤归*")=1,L390,0)</f>
        <v>0</v>
      </c>
      <c r="N390">
        <f ca="1">IFERROR(IF(AND(COUNTIF(B390,"*-峰插*"),技能数据库!$M$72&gt;0),0,IF(COUNTIF(B390,"*云飞*")&gt;0,4-COUNTIF(B390,"*玉山揽云*")*4--COUNTIF(B390,"*烟流暮景*")*4-COUNTIF(B390,"*云景*")*加速!$L$11-IF(J390&gt;0,2,0),MAX(0,N389-(A390-A389)-IF(J390&gt;0,2,0)))),0)</f>
        <v>0</v>
      </c>
      <c r="O390">
        <f ca="1">IF(AND(COUNTIF(IF(AND(配装计算器!$K$30&lt;&gt;"∞",0),INDEX(AU389:CB389,1,$AT$1),INDEX(AU391:CB391,1,$AT$1)),"*云飞*")=1,COUNTIF(IF(AND(配装计算器!$K$30&lt;&gt;"∞",0),INDEX(AU389:CB389,1,$AT$1),INDEX(AU391:CB391,1,$AT$1)),"*玉山*")=0),N390,0)</f>
        <v>0</v>
      </c>
      <c r="P390">
        <f ca="1">IFERROR(IF(COUNTIF(B390,"*云栖松*")&gt;0,50-加速!$L$11,MAX(0,P389-(A390-A389))),0)</f>
        <v>0</v>
      </c>
      <c r="Q390">
        <f ca="1">IF(COUNTIF(IF(AND(配装计算器!$K$30&lt;&gt;"∞",0),INDEX(AU389:CB389,1,$AT$1),INDEX(AU391:CB391,1,$AT$1)),"*云栖松*")=1,P390,0)</f>
        <v>0</v>
      </c>
      <c r="R390">
        <f ca="1">IFERROR(IF(COUNTIF(B390,"*莺鸣柳*")&gt;0,45-加速!$L$9,MAX(0,R389-(A390-A389))),0)</f>
        <v>0</v>
      </c>
      <c r="S390">
        <f ca="1">IF(COUNTIF(IF(AND(配装计算器!$K$30&lt;&gt;"∞",0),INDEX(AU389:CB389,1,$AT$1),INDEX(AU391:CB391,1,$AT$1)),"*莺鸣柳*")=1,R390,0)</f>
        <v>0</v>
      </c>
      <c r="T390">
        <f ca="1" t="shared" si="88"/>
        <v>0</v>
      </c>
      <c r="U390">
        <f ca="1">IF(金蛇,IF(COUNTIF(B390,"*金环戴*")+COUNTIF(B390,"*吹风醒*")&gt;0,IF(A390&lt;=3,7.125-2.625-A390-加速!$L$11,7.125+加速!$K$9-(A390+加速!$L$11-T390)),0),0)+IF(金蛇,IF(COUNTIF(B390,"*千切子裂光*")&gt;0,2+加速!$K$9-(A390+加速!$L$11-T390),0),0)</f>
        <v>0</v>
      </c>
      <c r="V390">
        <f ca="1" t="shared" si="89"/>
        <v>0</v>
      </c>
      <c r="W390">
        <f ca="1" t="shared" si="81"/>
        <v>0</v>
      </c>
      <c r="X390">
        <f ca="1">INDEX(加速!$I$13:$I$21,技能数计算!W390+1)</f>
        <v>0</v>
      </c>
      <c r="Y390">
        <f ca="1" t="shared" si="85"/>
        <v>0.5</v>
      </c>
      <c r="Z390">
        <f ca="1" t="shared" si="86"/>
        <v>0</v>
      </c>
      <c r="AA390">
        <f ca="1">MAX(0,IFERROR(IF(COUNTIF(B390,"*叠*")&gt;0,IF(AC389&lt;3,8-A391+A390,AA389+6.875-A391+A390),AA389-A391+A390),AA389-加速!$L$11))</f>
        <v>0</v>
      </c>
      <c r="AB390" t="e">
        <f ca="1">MAX(0,IF(COUNTIF(IF(AND(配装计算器!$K$30&lt;&gt;"∞",0),INDEX(AU390:CB390,1,$AT$1),INDEX(AU390:CB390,1,$AT$1)),"*叠1*")=1,4*25-加速!$L$11,AB389-A390+A389)-IF(OR(COUNTIF(OFFSET(AT390,0,$AT$1,1,1),"*听雷*")&gt;0,AND(碧归&gt;0,COUNTIF(OFFSET(AT390,0,$AT$1,1,1),"*风来*")&gt;0)),0,1)*1.5)</f>
        <v>#VALUE!</v>
      </c>
      <c r="AC390">
        <f ca="1" t="shared" si="82"/>
        <v>3</v>
      </c>
      <c r="AD390">
        <f ca="1">IF(COUNTIF(IF(AND(配装计算器!$K$30&lt;&gt;"∞",0),INDEX(AU390:CB390,1,$AT$1),INDEX(AU391:CB391,1,$AT$1)),"*叠1*")=1,AB390*0+AE389,0)</f>
        <v>0</v>
      </c>
      <c r="AE390" t="e">
        <f ca="1">IF($AN$11&gt;0,IF(COUNTIF(B391,"*叠1*")&gt;0,50-加速!$H$11,MAX(0,AE389-(A391-A390))),0)</f>
        <v>#VALUE!</v>
      </c>
      <c r="AU390" s="176" t="s">
        <v>2768</v>
      </c>
      <c r="AV390">
        <v>2</v>
      </c>
      <c r="AW390" t="s">
        <v>2768</v>
      </c>
      <c r="AX390">
        <v>2</v>
      </c>
      <c r="AY390" t="s">
        <v>2776</v>
      </c>
      <c r="AZ390">
        <v>1</v>
      </c>
      <c r="BA390" t="s">
        <v>2768</v>
      </c>
      <c r="BB390">
        <v>0</v>
      </c>
      <c r="BC390" t="s">
        <v>2789</v>
      </c>
      <c r="BD390">
        <v>2</v>
      </c>
      <c r="BE390" t="s">
        <v>2776</v>
      </c>
      <c r="BF390">
        <v>0</v>
      </c>
      <c r="BG390" t="s">
        <v>2768</v>
      </c>
      <c r="BH390">
        <v>0</v>
      </c>
      <c r="BI390" s="176" t="s">
        <v>3026</v>
      </c>
      <c r="BJ390">
        <v>2</v>
      </c>
      <c r="BK390" t="s">
        <v>2794</v>
      </c>
      <c r="BL390">
        <v>2</v>
      </c>
      <c r="BM390" t="s">
        <v>2776</v>
      </c>
      <c r="BN390">
        <v>2</v>
      </c>
      <c r="BO390" t="str">
        <f>IF(0,"云飞玉皇-玉山揽云","云飞玉皇")</f>
        <v>云飞玉皇</v>
      </c>
      <c r="BP390">
        <v>2</v>
      </c>
      <c r="BQ390" t="s">
        <v>2768</v>
      </c>
      <c r="BR390">
        <v>2</v>
      </c>
      <c r="BS390" t="s">
        <v>3024</v>
      </c>
      <c r="BT390">
        <v>2</v>
      </c>
      <c r="BU390" s="176" t="s">
        <v>2768</v>
      </c>
      <c r="BV390">
        <v>2</v>
      </c>
      <c r="BW390" s="182" t="s">
        <v>2776</v>
      </c>
      <c r="BX390" s="179">
        <v>2</v>
      </c>
      <c r="BY390" t="s">
        <v>2768</v>
      </c>
      <c r="BZ390">
        <v>2</v>
      </c>
      <c r="CA390" t="s">
        <v>2768</v>
      </c>
      <c r="CB390">
        <v>2</v>
      </c>
    </row>
    <row r="391" spans="1:80">
      <c r="A391" s="178" t="str">
        <f ca="1">IFERROR(IF(A390+加速!$L$11&lt;$AS$1,IF(COUNTIF(B390,"*轻*")&gt;0,A390+加速!$L$9,A390+加速!$L$11)+V390,IF(COUNTIF(INDEX(AU391:CB391,1,$AT$1),"*云景*")+COUNTIF(INDEX(AU391:CB391,1,$AT$1),"*鹤归*")+COUNTIF(INDEX(AU391:CB391,1,$AT$1),"*听雷*")&gt;0,A390+加速!$L$11,"")),"")</f>
        <v/>
      </c>
      <c r="B391" s="167" t="str">
        <f ca="1">IF(A391&lt;&gt;"",IF(AND(A391+加速!$L$11&gt;$AS$1,IF(AND(配装计算器!$K$30&lt;&gt;"∞",0),"梦泉虎跑-轻",INDEX(AU391:CB391,1,$AT$1))="云栖松"),"夕照雷峰",IF(AND(配装计算器!$K$30&lt;&gt;"∞",0),"梦泉虎跑-轻",INDEX(AU391:CB391,1,$AT$1))),"")</f>
        <v/>
      </c>
      <c r="C391" t="str">
        <f ca="1" t="shared" si="87"/>
        <v/>
      </c>
      <c r="D391" t="str">
        <f ca="1">IF(B391&lt;&gt;"",IF(C390&lt;=加速!$L$11*(1-E391),0,1),"")</f>
        <v/>
      </c>
      <c r="E391">
        <f ca="1" t="shared" si="83"/>
        <v>1</v>
      </c>
      <c r="G391" t="str">
        <f ca="1" t="shared" si="84"/>
        <v/>
      </c>
      <c r="H391" t="str">
        <f ca="1">IF(B391&lt;&gt;"",IF(AND(COUNTIF(B390,"*轻*莺鸣柳*")&gt;0,COUNTIF(B391,"*轻*")&lt;1),MAX(0,15+I390-(A391-A390)+COUNTIF(B390,"*平湖*")*0),IF(AND(E391=0,MAX(0,H390-(A391-A390))&lt;=加速!$H$11),0,MAX(0,H390-(A391-A390)))),"")</f>
        <v/>
      </c>
      <c r="I391" t="str">
        <f ca="1" t="shared" si="90"/>
        <v/>
      </c>
      <c r="J391" t="str">
        <f ca="1" t="shared" si="91"/>
        <v/>
      </c>
      <c r="K391" t="str">
        <f ca="1">IF(A391&lt;&gt;"",IF(AND(配装计算器!$K$30&lt;&gt;"∞",0),2,INDEX(AU391:CB391,1,$AT$2)),"")</f>
        <v/>
      </c>
      <c r="L391">
        <f ca="1">IFERROR(IF(AND(COUNTIF(B391,"*-峰插*"),技能数据库!$M$72&gt;0),0,IF(COUNTIF(B391,"*鹤归*")&gt;0,16-加速!$L$11,MAX(0,L390-(A391-A390)))),0)</f>
        <v>0</v>
      </c>
      <c r="M391">
        <f ca="1">IF(COUNTIF(IF(AND(配装计算器!$K$30&lt;&gt;"∞",0),INDEX(AU390:CB390,1,$AT$1),INDEX(AU392:CB392,1,$AT$1)),"*鹤归*")=1,L391,0)</f>
        <v>0</v>
      </c>
      <c r="N391">
        <f ca="1">IFERROR(IF(AND(COUNTIF(B391,"*-峰插*"),技能数据库!$M$72&gt;0),0,IF(COUNTIF(B391,"*云飞*")&gt;0,4-COUNTIF(B391,"*玉山揽云*")*4--COUNTIF(B391,"*烟流暮景*")*4-COUNTIF(B391,"*云景*")*加速!$L$11-IF(J391&gt;0,2,0),MAX(0,N390-(A391-A390)-IF(J391&gt;0,2,0)))),0)</f>
        <v>0</v>
      </c>
      <c r="O391">
        <f ca="1">IF(AND(COUNTIF(IF(AND(配装计算器!$K$30&lt;&gt;"∞",0),INDEX(AU390:CB390,1,$AT$1),INDEX(AU392:CB392,1,$AT$1)),"*云飞*")=1,COUNTIF(IF(AND(配装计算器!$K$30&lt;&gt;"∞",0),INDEX(AU390:CB390,1,$AT$1),INDEX(AU392:CB392,1,$AT$1)),"*玉山*")=0),N391,0)</f>
        <v>0</v>
      </c>
      <c r="P391">
        <f ca="1">IFERROR(IF(COUNTIF(B391,"*云栖松*")&gt;0,50-加速!$L$11,MAX(0,P390-(A391-A390))),0)</f>
        <v>0</v>
      </c>
      <c r="Q391">
        <f ca="1">IF(COUNTIF(IF(AND(配装计算器!$K$30&lt;&gt;"∞",0),INDEX(AU390:CB390,1,$AT$1),INDEX(AU392:CB392,1,$AT$1)),"*云栖松*")=1,P391,0)</f>
        <v>0</v>
      </c>
      <c r="R391">
        <f ca="1">IFERROR(IF(COUNTIF(B391,"*莺鸣柳*")&gt;0,45-加速!$L$9,MAX(0,R390-(A391-A390))),0)</f>
        <v>0</v>
      </c>
      <c r="S391">
        <f ca="1">IF(COUNTIF(IF(AND(配装计算器!$K$30&lt;&gt;"∞",0),INDEX(AU390:CB390,1,$AT$1),INDEX(AU392:CB392,1,$AT$1)),"*莺鸣柳*")=1,R391,0)</f>
        <v>0</v>
      </c>
      <c r="T391">
        <f ca="1" t="shared" si="88"/>
        <v>0</v>
      </c>
      <c r="U391">
        <f ca="1">IF(金蛇,IF(COUNTIF(B391,"*金环戴*")+COUNTIF(B391,"*吹风醒*")&gt;0,IF(A391&lt;=3,7.125-2.625-A391-加速!$L$11,7.125+加速!$K$9-(A391+加速!$L$11-T391)),0),0)+IF(金蛇,IF(COUNTIF(B391,"*千切子裂光*")&gt;0,2+加速!$K$9-(A391+加速!$L$11-T391),0),0)</f>
        <v>0</v>
      </c>
      <c r="V391">
        <f ca="1" t="shared" si="89"/>
        <v>0</v>
      </c>
      <c r="W391">
        <f ca="1" t="shared" si="81"/>
        <v>0</v>
      </c>
      <c r="X391">
        <f ca="1">INDEX(加速!$I$13:$I$21,技能数计算!W391+1)</f>
        <v>0</v>
      </c>
      <c r="Y391">
        <f ca="1" t="shared" si="85"/>
        <v>0.5</v>
      </c>
      <c r="Z391">
        <f ca="1" t="shared" si="86"/>
        <v>0</v>
      </c>
      <c r="AA391">
        <f ca="1">MAX(0,IFERROR(IF(COUNTIF(B391,"*叠*")&gt;0,IF(AC390&lt;3,8-A392+A391,AA390+6.875-A392+A391),AA390-A392+A391),AA390-加速!$L$11))</f>
        <v>0</v>
      </c>
      <c r="AB391" t="e">
        <f ca="1">MAX(0,IF(COUNTIF(IF(AND(配装计算器!$K$30&lt;&gt;"∞",0),INDEX(AU391:CB391,1,$AT$1),INDEX(AU391:CB391,1,$AT$1)),"*叠1*")=1,4*25-加速!$L$11,AB390-A391+A390)-IF(OR(COUNTIF(OFFSET(AT391,0,$AT$1,1,1),"*听雷*")&gt;0,AND(碧归&gt;0,COUNTIF(OFFSET(AT391,0,$AT$1,1,1),"*风来*")&gt;0)),0,1)*1.5)</f>
        <v>#VALUE!</v>
      </c>
      <c r="AC391">
        <f ca="1" t="shared" si="82"/>
        <v>3</v>
      </c>
      <c r="AD391">
        <f ca="1">IF(COUNTIF(IF(AND(配装计算器!$K$30&lt;&gt;"∞",0),INDEX(AU391:CB391,1,$AT$1),INDEX(AU392:CB392,1,$AT$1)),"*叠1*")=1,AB391*0+AE390,0)</f>
        <v>0</v>
      </c>
      <c r="AE391" t="e">
        <f ca="1">IF($AN$11&gt;0,IF(COUNTIF(B392,"*叠1*")&gt;0,50-加速!$H$11,MAX(0,AE390-(A392-A391))),0)</f>
        <v>#VALUE!</v>
      </c>
      <c r="AU391" s="176" t="s">
        <v>2776</v>
      </c>
      <c r="AV391">
        <v>2</v>
      </c>
      <c r="AW391" t="s">
        <v>2768</v>
      </c>
      <c r="AX391">
        <v>2</v>
      </c>
      <c r="AY391" t="s">
        <v>2768</v>
      </c>
      <c r="AZ391">
        <v>1</v>
      </c>
      <c r="BA391" t="s">
        <v>2722</v>
      </c>
      <c r="BB391">
        <v>0</v>
      </c>
      <c r="BC391" t="s">
        <v>2794</v>
      </c>
      <c r="BD391">
        <v>2</v>
      </c>
      <c r="BE391" t="s">
        <v>2768</v>
      </c>
      <c r="BF391">
        <v>1</v>
      </c>
      <c r="BG391" t="s">
        <v>2768</v>
      </c>
      <c r="BH391">
        <v>0</v>
      </c>
      <c r="BI391" s="176" t="s">
        <v>3026</v>
      </c>
      <c r="BJ391">
        <v>2</v>
      </c>
      <c r="BK391" t="s">
        <v>2768</v>
      </c>
      <c r="BL391">
        <v>2</v>
      </c>
      <c r="BM391" t="s">
        <v>2768</v>
      </c>
      <c r="BN391">
        <v>2</v>
      </c>
      <c r="BO391" t="str">
        <f>IF(秋,"云栖松","泉凝月")</f>
        <v>泉凝月</v>
      </c>
      <c r="BP391">
        <v>2</v>
      </c>
      <c r="BQ391" t="s">
        <v>2776</v>
      </c>
      <c r="BR391">
        <v>1</v>
      </c>
      <c r="BS391" s="179" t="s">
        <v>2794</v>
      </c>
      <c r="BT391">
        <v>2</v>
      </c>
      <c r="BU391" s="176" t="s">
        <v>2776</v>
      </c>
      <c r="BV391">
        <v>2</v>
      </c>
      <c r="BW391" s="182" t="str">
        <f t="shared" ref="BW391" si="92">IF($AN$11=1,"云飞玉皇-玉山揽云","夕照雷峰")</f>
        <v>云飞玉皇-玉山揽云</v>
      </c>
      <c r="BX391" s="179">
        <v>2</v>
      </c>
      <c r="BY391" t="s">
        <v>2776</v>
      </c>
      <c r="BZ391">
        <v>2</v>
      </c>
      <c r="CA391" t="s">
        <v>2776</v>
      </c>
      <c r="CB391">
        <v>2</v>
      </c>
    </row>
    <row r="392" spans="1:80">
      <c r="A392" s="178" t="str">
        <f ca="1">IFERROR(IF(A391+加速!$L$11&lt;$AS$1,IF(COUNTIF(B391,"*轻*")&gt;0,A391+加速!$L$9,A391+加速!$L$11)+V391,IF(COUNTIF(INDEX(AU392:CB392,1,$AT$1),"*云景*")+COUNTIF(INDEX(AU392:CB392,1,$AT$1),"*鹤归*")+COUNTIF(INDEX(AU392:CB392,1,$AT$1),"*听雷*")&gt;0,A391+加速!$L$11,"")),"")</f>
        <v/>
      </c>
      <c r="B392" s="167" t="str">
        <f ca="1">IF(A392&lt;&gt;"",IF(AND(A392+加速!$L$11&gt;$AS$1,IF(AND(配装计算器!$K$30&lt;&gt;"∞",0),"梦泉虎跑-轻",INDEX(AU392:CB392,1,$AT$1))="云栖松"),"夕照雷峰",IF(AND(配装计算器!$K$30&lt;&gt;"∞",0),"梦泉虎跑-轻",INDEX(AU392:CB392,1,$AT$1))),"")</f>
        <v/>
      </c>
      <c r="C392" t="str">
        <f ca="1" t="shared" si="87"/>
        <v/>
      </c>
      <c r="D392" t="str">
        <f ca="1">IF(B392&lt;&gt;"",IF(C391&lt;=加速!$L$11*(1-E392),0,1),"")</f>
        <v/>
      </c>
      <c r="E392">
        <f ca="1" t="shared" si="83"/>
        <v>1</v>
      </c>
      <c r="G392" t="str">
        <f ca="1" t="shared" si="84"/>
        <v/>
      </c>
      <c r="H392" t="str">
        <f ca="1">IF(B392&lt;&gt;"",IF(AND(COUNTIF(B391,"*轻*莺鸣柳*")&gt;0,COUNTIF(B392,"*轻*")&lt;1),MAX(0,15+I391-(A392-A391)+COUNTIF(B391,"*平湖*")*0),IF(AND(E392=0,MAX(0,H391-(A392-A391))&lt;=加速!$H$11),0,MAX(0,H391-(A392-A391)))),"")</f>
        <v/>
      </c>
      <c r="I392" t="str">
        <f ca="1" t="shared" si="90"/>
        <v/>
      </c>
      <c r="J392" t="str">
        <f ca="1" t="shared" si="91"/>
        <v/>
      </c>
      <c r="K392" t="str">
        <f ca="1">IF(A392&lt;&gt;"",IF(AND(配装计算器!$K$30&lt;&gt;"∞",0),2,INDEX(AU392:CB392,1,$AT$2)),"")</f>
        <v/>
      </c>
      <c r="L392">
        <f ca="1">IFERROR(IF(AND(COUNTIF(B392,"*-峰插*"),技能数据库!$M$72&gt;0),0,IF(COUNTIF(B392,"*鹤归*")&gt;0,16-加速!$L$11,MAX(0,L391-(A392-A391)))),0)</f>
        <v>0</v>
      </c>
      <c r="M392">
        <f ca="1">IF(COUNTIF(IF(AND(配装计算器!$K$30&lt;&gt;"∞",0),INDEX(AU391:CB391,1,$AT$1),INDEX(AU393:CB393,1,$AT$1)),"*鹤归*")=1,L392,0)</f>
        <v>0</v>
      </c>
      <c r="N392">
        <f ca="1">IFERROR(IF(AND(COUNTIF(B392,"*-峰插*"),技能数据库!$M$72&gt;0),0,IF(COUNTIF(B392,"*云飞*")&gt;0,4-COUNTIF(B392,"*玉山揽云*")*4--COUNTIF(B392,"*烟流暮景*")*4-COUNTIF(B392,"*云景*")*加速!$L$11-IF(J392&gt;0,2,0),MAX(0,N391-(A392-A391)-IF(J392&gt;0,2,0)))),0)</f>
        <v>0</v>
      </c>
      <c r="O392">
        <f ca="1">IF(AND(COUNTIF(IF(AND(配装计算器!$K$30&lt;&gt;"∞",0),INDEX(AU391:CB391,1,$AT$1),INDEX(AU393:CB393,1,$AT$1)),"*云飞*")=1,COUNTIF(IF(AND(配装计算器!$K$30&lt;&gt;"∞",0),INDEX(AU391:CB391,1,$AT$1),INDEX(AU393:CB393,1,$AT$1)),"*玉山*")=0),N392,0)</f>
        <v>0</v>
      </c>
      <c r="P392">
        <f ca="1">IFERROR(IF(COUNTIF(B392,"*云栖松*")&gt;0,50-加速!$L$11,MAX(0,P391-(A392-A391))),0)</f>
        <v>0</v>
      </c>
      <c r="Q392">
        <f ca="1">IF(COUNTIF(IF(AND(配装计算器!$K$30&lt;&gt;"∞",0),INDEX(AU391:CB391,1,$AT$1),INDEX(AU393:CB393,1,$AT$1)),"*云栖松*")=1,P392,0)</f>
        <v>0</v>
      </c>
      <c r="R392">
        <f ca="1">IFERROR(IF(COUNTIF(B392,"*莺鸣柳*")&gt;0,45-加速!$L$9,MAX(0,R391-(A392-A391))),0)</f>
        <v>0</v>
      </c>
      <c r="S392">
        <f ca="1">IF(COUNTIF(IF(AND(配装计算器!$K$30&lt;&gt;"∞",0),INDEX(AU391:CB391,1,$AT$1),INDEX(AU393:CB393,1,$AT$1)),"*莺鸣柳*")=1,R392,0)</f>
        <v>0</v>
      </c>
      <c r="T392">
        <f ca="1" t="shared" si="88"/>
        <v>0</v>
      </c>
      <c r="U392">
        <f ca="1">IF(金蛇,IF(COUNTIF(B392,"*金环戴*")+COUNTIF(B392,"*吹风醒*")&gt;0,IF(A392&lt;=3,7.125-2.625-A392-加速!$L$11,7.125+加速!$K$9-(A392+加速!$L$11-T392)),0),0)+IF(金蛇,IF(COUNTIF(B392,"*千切子裂光*")&gt;0,2+加速!$K$9-(A392+加速!$L$11-T392),0),0)</f>
        <v>0</v>
      </c>
      <c r="V392">
        <f ca="1" t="shared" si="89"/>
        <v>0</v>
      </c>
      <c r="W392">
        <f ca="1" t="shared" si="81"/>
        <v>0</v>
      </c>
      <c r="X392">
        <f ca="1">INDEX(加速!$I$13:$I$21,技能数计算!W392+1)</f>
        <v>0</v>
      </c>
      <c r="Y392">
        <f ca="1" t="shared" si="85"/>
        <v>0.5</v>
      </c>
      <c r="Z392">
        <f ca="1" t="shared" si="86"/>
        <v>0</v>
      </c>
      <c r="AA392">
        <f ca="1">MAX(0,IFERROR(IF(COUNTIF(B392,"*叠*")&gt;0,IF(AC391&lt;3,8-A393+A392,AA391+6.875-A393+A392),AA391-A393+A392),AA391-加速!$L$11))</f>
        <v>0</v>
      </c>
      <c r="AB392" t="e">
        <f ca="1">MAX(0,IF(COUNTIF(IF(AND(配装计算器!$K$30&lt;&gt;"∞",0),INDEX(AU392:CB392,1,$AT$1),INDEX(AU392:CB392,1,$AT$1)),"*叠1*")=1,4*25-加速!$L$11,AB391-A392+A391)-IF(OR(COUNTIF(OFFSET(AT392,0,$AT$1,1,1),"*听雷*")&gt;0,AND(碧归&gt;0,COUNTIF(OFFSET(AT392,0,$AT$1,1,1),"*风来*")&gt;0)),0,1)*1.5)</f>
        <v>#VALUE!</v>
      </c>
      <c r="AC392">
        <f ca="1" t="shared" si="82"/>
        <v>3</v>
      </c>
      <c r="AD392">
        <f ca="1">IF(COUNTIF(IF(AND(配装计算器!$K$30&lt;&gt;"∞",0),INDEX(AU392:CB392,1,$AT$1),INDEX(AU393:CB393,1,$AT$1)),"*叠1*")=1,AB392*0+AE391,0)</f>
        <v>0</v>
      </c>
      <c r="AE392" t="e">
        <f ca="1">IF($AN$11&gt;0,IF(COUNTIF(B393,"*叠1*")&gt;0,50-加速!$H$11,MAX(0,AE391-(A393-A392))),0)</f>
        <v>#VALUE!</v>
      </c>
      <c r="AU392" s="176" t="s">
        <v>2768</v>
      </c>
      <c r="AV392">
        <v>2</v>
      </c>
      <c r="AW392" t="s">
        <v>2776</v>
      </c>
      <c r="AX392">
        <v>2</v>
      </c>
      <c r="AY392" t="s">
        <v>2768</v>
      </c>
      <c r="AZ392">
        <v>0</v>
      </c>
      <c r="BA392" t="s">
        <v>2776</v>
      </c>
      <c r="BB392">
        <v>2</v>
      </c>
      <c r="BC392" s="182" t="s">
        <v>3036</v>
      </c>
      <c r="BD392">
        <v>2</v>
      </c>
      <c r="BE392" t="s">
        <v>2768</v>
      </c>
      <c r="BF392">
        <v>1</v>
      </c>
      <c r="BG392" t="s">
        <v>2776</v>
      </c>
      <c r="BH392">
        <v>0</v>
      </c>
      <c r="BI392" s="176" t="s">
        <v>3036</v>
      </c>
      <c r="BJ392">
        <v>2</v>
      </c>
      <c r="BK392" t="s">
        <v>2776</v>
      </c>
      <c r="BL392">
        <v>2</v>
      </c>
      <c r="BM392" t="s">
        <v>2768</v>
      </c>
      <c r="BN392">
        <v>2</v>
      </c>
      <c r="BO392" t="s">
        <v>2768</v>
      </c>
      <c r="BP392">
        <v>2</v>
      </c>
      <c r="BQ392" t="s">
        <v>3055</v>
      </c>
      <c r="BR392">
        <v>2</v>
      </c>
      <c r="BS392" s="179" t="s">
        <v>3019</v>
      </c>
      <c r="BT392">
        <v>2</v>
      </c>
      <c r="BU392" t="s">
        <v>2768</v>
      </c>
      <c r="BV392">
        <v>1</v>
      </c>
      <c r="BW392" s="179" t="str">
        <f>IF($AN$11=1,"云飞玉皇-玉山揽云","云飞玉皇")</f>
        <v>云飞玉皇-玉山揽云</v>
      </c>
      <c r="BX392" s="179">
        <v>2</v>
      </c>
      <c r="BY392" t="s">
        <v>2768</v>
      </c>
      <c r="BZ392">
        <v>2</v>
      </c>
      <c r="CA392" s="176" t="s">
        <v>2794</v>
      </c>
      <c r="CB392">
        <v>2</v>
      </c>
    </row>
    <row r="393" spans="1:80">
      <c r="A393" s="178" t="str">
        <f ca="1">IFERROR(IF(A392+加速!$L$11&lt;$AS$1,IF(COUNTIF(B392,"*轻*")&gt;0,A392+加速!$L$9,A392+加速!$L$11)+V392,IF(COUNTIF(INDEX(AU393:CB393,1,$AT$1),"*云景*")+COUNTIF(INDEX(AU393:CB393,1,$AT$1),"*鹤归*")+COUNTIF(INDEX(AU393:CB393,1,$AT$1),"*听雷*")&gt;0,A392+加速!$L$11,"")),"")</f>
        <v/>
      </c>
      <c r="B393" s="167" t="str">
        <f ca="1">IF(A393&lt;&gt;"",IF(AND(A393+加速!$L$11&gt;$AS$1,IF(AND(配装计算器!$K$30&lt;&gt;"∞",0),"梦泉虎跑-轻",INDEX(AU393:CB393,1,$AT$1))="云栖松"),"夕照雷峰",IF(AND(配装计算器!$K$30&lt;&gt;"∞",0),"梦泉虎跑-轻",INDEX(AU393:CB393,1,$AT$1))),"")</f>
        <v/>
      </c>
      <c r="C393" t="str">
        <f ca="1" t="shared" si="87"/>
        <v/>
      </c>
      <c r="D393" t="str">
        <f ca="1">IF(B393&lt;&gt;"",IF(C392&lt;=加速!$L$11*(1-E393),0,1),"")</f>
        <v/>
      </c>
      <c r="E393">
        <f ca="1" t="shared" si="83"/>
        <v>1</v>
      </c>
      <c r="G393" t="str">
        <f ca="1" t="shared" si="84"/>
        <v/>
      </c>
      <c r="H393" t="str">
        <f ca="1">IF(B393&lt;&gt;"",IF(AND(COUNTIF(B392,"*轻*莺鸣柳*")&gt;0,COUNTIF(B393,"*轻*")&lt;1),MAX(0,15+I392-(A393-A392)+COUNTIF(B392,"*平湖*")*0),IF(AND(E393=0,MAX(0,H392-(A393-A392))&lt;=加速!$H$11),0,MAX(0,H392-(A393-A392)))),"")</f>
        <v/>
      </c>
      <c r="I393" t="str">
        <f ca="1" t="shared" si="90"/>
        <v/>
      </c>
      <c r="J393" t="str">
        <f ca="1" t="shared" si="91"/>
        <v/>
      </c>
      <c r="K393" t="str">
        <f ca="1">IF(A393&lt;&gt;"",IF(AND(配装计算器!$K$30&lt;&gt;"∞",0),2,INDEX(AU393:CB393,1,$AT$2)),"")</f>
        <v/>
      </c>
      <c r="L393">
        <f ca="1">IFERROR(IF(AND(COUNTIF(B393,"*-峰插*"),技能数据库!$M$72&gt;0),0,IF(COUNTIF(B393,"*鹤归*")&gt;0,16-加速!$L$11,MAX(0,L392-(A393-A392)))),0)</f>
        <v>0</v>
      </c>
      <c r="M393">
        <f ca="1">IF(COUNTIF(IF(AND(配装计算器!$K$30&lt;&gt;"∞",0),INDEX(AU392:CB392,1,$AT$1),INDEX(AU394:CB394,1,$AT$1)),"*鹤归*")=1,L393,0)</f>
        <v>0</v>
      </c>
      <c r="N393">
        <f ca="1">IFERROR(IF(AND(COUNTIF(B393,"*-峰插*"),技能数据库!$M$72&gt;0),0,IF(COUNTIF(B393,"*云飞*")&gt;0,4-COUNTIF(B393,"*玉山揽云*")*4--COUNTIF(B393,"*烟流暮景*")*4-COUNTIF(B393,"*云景*")*加速!$L$11-IF(J393&gt;0,2,0),MAX(0,N392-(A393-A392)-IF(J393&gt;0,2,0)))),0)</f>
        <v>0</v>
      </c>
      <c r="O393">
        <f ca="1">IF(AND(COUNTIF(IF(AND(配装计算器!$K$30&lt;&gt;"∞",0),INDEX(AU392:CB392,1,$AT$1),INDEX(AU394:CB394,1,$AT$1)),"*云飞*")=1,COUNTIF(IF(AND(配装计算器!$K$30&lt;&gt;"∞",0),INDEX(AU392:CB392,1,$AT$1),INDEX(AU394:CB394,1,$AT$1)),"*玉山*")=0),N393,0)</f>
        <v>0</v>
      </c>
      <c r="P393">
        <f ca="1">IFERROR(IF(COUNTIF(B393,"*云栖松*")&gt;0,50-加速!$L$11,MAX(0,P392-(A393-A392))),0)</f>
        <v>0</v>
      </c>
      <c r="Q393">
        <f ca="1">IF(COUNTIF(IF(AND(配装计算器!$K$30&lt;&gt;"∞",0),INDEX(AU392:CB392,1,$AT$1),INDEX(AU394:CB394,1,$AT$1)),"*云栖松*")=1,P393,0)</f>
        <v>0</v>
      </c>
      <c r="R393">
        <f ca="1">IFERROR(IF(COUNTIF(B393,"*莺鸣柳*")&gt;0,45-加速!$L$9,MAX(0,R392-(A393-A392))),0)</f>
        <v>0</v>
      </c>
      <c r="S393">
        <f ca="1">IF(COUNTIF(IF(AND(配装计算器!$K$30&lt;&gt;"∞",0),INDEX(AU392:CB392,1,$AT$1),INDEX(AU394:CB394,1,$AT$1)),"*莺鸣柳*")=1,R393,0)</f>
        <v>0</v>
      </c>
      <c r="T393">
        <f ca="1" t="shared" si="88"/>
        <v>0</v>
      </c>
      <c r="U393">
        <f ca="1">IF(金蛇,IF(COUNTIF(B393,"*金环戴*")+COUNTIF(B393,"*吹风醒*")&gt;0,IF(A393&lt;=3,7.125-2.625-A393-加速!$L$11,7.125+加速!$K$9-(A393+加速!$L$11-T393)),0),0)+IF(金蛇,IF(COUNTIF(B393,"*千切子裂光*")&gt;0,2+加速!$K$9-(A393+加速!$L$11-T393),0),0)</f>
        <v>0</v>
      </c>
      <c r="V393">
        <f ca="1" t="shared" si="89"/>
        <v>0</v>
      </c>
      <c r="W393">
        <f ca="1" t="shared" si="81"/>
        <v>0</v>
      </c>
      <c r="X393">
        <f ca="1">INDEX(加速!$I$13:$I$21,技能数计算!W393+1)</f>
        <v>0</v>
      </c>
      <c r="Y393">
        <f ca="1" t="shared" si="85"/>
        <v>0.5</v>
      </c>
      <c r="Z393">
        <f ca="1" t="shared" si="86"/>
        <v>0</v>
      </c>
      <c r="AA393">
        <f ca="1">MAX(0,IFERROR(IF(COUNTIF(B393,"*叠*")&gt;0,IF(AC392&lt;3,8-A394+A393,AA392+6.875-A394+A393),AA392-A394+A393),AA392-加速!$L$11))</f>
        <v>0</v>
      </c>
      <c r="AB393" t="e">
        <f ca="1">MAX(0,IF(COUNTIF(IF(AND(配装计算器!$K$30&lt;&gt;"∞",0),INDEX(AU393:CB393,1,$AT$1),INDEX(AU393:CB393,1,$AT$1)),"*叠1*")=1,4*25-加速!$L$11,AB392-A393+A392)-IF(OR(COUNTIF(OFFSET(AT393,0,$AT$1,1,1),"*听雷*")&gt;0,AND(碧归&gt;0,COUNTIF(OFFSET(AT393,0,$AT$1,1,1),"*风来*")&gt;0)),0,1)*1.5)</f>
        <v>#VALUE!</v>
      </c>
      <c r="AC393">
        <f ca="1" t="shared" si="82"/>
        <v>3</v>
      </c>
      <c r="AD393">
        <f ca="1">IF(COUNTIF(IF(AND(配装计算器!$K$30&lt;&gt;"∞",0),INDEX(AU393:CB393,1,$AT$1),INDEX(AU394:CB394,1,$AT$1)),"*叠1*")=1,AB393*0+AE392,0)</f>
        <v>0</v>
      </c>
      <c r="AE393" t="e">
        <f ca="1">IF($AN$11&gt;0,IF(COUNTIF(B394,"*叠1*")&gt;0,50-加速!$H$11,MAX(0,AE392-(A394-A393))),0)</f>
        <v>#VALUE!</v>
      </c>
      <c r="AU393" s="176" t="s">
        <v>2776</v>
      </c>
      <c r="AV393">
        <v>2</v>
      </c>
      <c r="AW393" t="s">
        <v>2768</v>
      </c>
      <c r="AX393">
        <v>2</v>
      </c>
      <c r="AY393" t="s">
        <v>2722</v>
      </c>
      <c r="AZ393">
        <v>0</v>
      </c>
      <c r="BA393" t="s">
        <v>2768</v>
      </c>
      <c r="BB393">
        <v>2</v>
      </c>
      <c r="BC393" s="176" t="s">
        <v>3026</v>
      </c>
      <c r="BD393">
        <v>2</v>
      </c>
      <c r="BE393" t="s">
        <v>2794</v>
      </c>
      <c r="BF393">
        <v>0</v>
      </c>
      <c r="BG393" t="s">
        <v>3067</v>
      </c>
      <c r="BH393">
        <v>0</v>
      </c>
      <c r="BI393" t="s">
        <v>2794</v>
      </c>
      <c r="BJ393">
        <v>2</v>
      </c>
      <c r="BK393" t="s">
        <v>2768</v>
      </c>
      <c r="BL393">
        <v>1</v>
      </c>
      <c r="BM393" t="s">
        <v>2768</v>
      </c>
      <c r="BN393">
        <v>2</v>
      </c>
      <c r="BO393" t="s">
        <v>1886</v>
      </c>
      <c r="BP393">
        <v>2</v>
      </c>
      <c r="BQ393" t="s">
        <v>2768</v>
      </c>
      <c r="BR393">
        <v>2</v>
      </c>
      <c r="BS393" s="179" t="s">
        <v>2768</v>
      </c>
      <c r="BT393">
        <v>2</v>
      </c>
      <c r="BU393" s="176" t="s">
        <v>2768</v>
      </c>
      <c r="BV393">
        <v>1</v>
      </c>
      <c r="BW393" s="182" t="s">
        <v>3063</v>
      </c>
      <c r="BX393" s="179">
        <v>0</v>
      </c>
      <c r="BY393" t="s">
        <v>2768</v>
      </c>
      <c r="BZ393">
        <v>2</v>
      </c>
      <c r="CA393" t="str">
        <f>IF(0,"云飞玉皇-玉山揽云","夕照雷峰")</f>
        <v>夕照雷峰</v>
      </c>
      <c r="CB393">
        <v>2</v>
      </c>
    </row>
    <row r="394" spans="1:80">
      <c r="A394" s="178" t="str">
        <f ca="1">IFERROR(IF(A393+加速!$L$11&lt;$AS$1,IF(COUNTIF(B393,"*轻*")&gt;0,A393+加速!$L$9,A393+加速!$L$11)+V393,IF(COUNTIF(INDEX(AU394:CB394,1,$AT$1),"*云景*")+COUNTIF(INDEX(AU394:CB394,1,$AT$1),"*鹤归*")+COUNTIF(INDEX(AU394:CB394,1,$AT$1),"*听雷*")&gt;0,A393+加速!$L$11,"")),"")</f>
        <v/>
      </c>
      <c r="B394" s="167" t="str">
        <f ca="1">IF(A394&lt;&gt;"",IF(AND(A394+加速!$L$11&gt;$AS$1,IF(AND(配装计算器!$K$30&lt;&gt;"∞",0),"梦泉虎跑-轻",INDEX(AU394:CB394,1,$AT$1))="云栖松"),"夕照雷峰",IF(AND(配装计算器!$K$30&lt;&gt;"∞",0),"梦泉虎跑-轻",INDEX(AU394:CB394,1,$AT$1))),"")</f>
        <v/>
      </c>
      <c r="C394" t="str">
        <f ca="1" t="shared" si="87"/>
        <v/>
      </c>
      <c r="D394" t="str">
        <f ca="1">IF(B394&lt;&gt;"",IF(C393&lt;=加速!$L$11*(1-E394),0,1),"")</f>
        <v/>
      </c>
      <c r="E394">
        <f ca="1" t="shared" si="83"/>
        <v>1</v>
      </c>
      <c r="G394" t="str">
        <f ca="1" t="shared" si="84"/>
        <v/>
      </c>
      <c r="H394" t="str">
        <f ca="1">IF(B394&lt;&gt;"",IF(AND(COUNTIF(B393,"*轻*莺鸣柳*")&gt;0,COUNTIF(B394,"*轻*")&lt;1),MAX(0,15+I393-(A394-A393)+COUNTIF(B393,"*平湖*")*0),IF(AND(E394=0,MAX(0,H393-(A394-A393))&lt;=加速!$H$11),0,MAX(0,H393-(A394-A393)))),"")</f>
        <v/>
      </c>
      <c r="I394" t="str">
        <f ca="1" t="shared" si="90"/>
        <v/>
      </c>
      <c r="J394" t="str">
        <f ca="1" t="shared" si="91"/>
        <v/>
      </c>
      <c r="K394" t="str">
        <f ca="1">IF(A394&lt;&gt;"",IF(AND(配装计算器!$K$30&lt;&gt;"∞",0),2,INDEX(AU394:CB394,1,$AT$2)),"")</f>
        <v/>
      </c>
      <c r="L394">
        <f ca="1">IFERROR(IF(AND(COUNTIF(B394,"*-峰插*"),技能数据库!$M$72&gt;0),0,IF(COUNTIF(B394,"*鹤归*")&gt;0,16-加速!$L$11,MAX(0,L393-(A394-A393)))),0)</f>
        <v>0</v>
      </c>
      <c r="M394">
        <f ca="1">IF(COUNTIF(IF(AND(配装计算器!$K$30&lt;&gt;"∞",0),INDEX(AU393:CB393,1,$AT$1),INDEX(AU395:CB395,1,$AT$1)),"*鹤归*")=1,L394,0)</f>
        <v>0</v>
      </c>
      <c r="N394">
        <f ca="1">IFERROR(IF(AND(COUNTIF(B394,"*-峰插*"),技能数据库!$M$72&gt;0),0,IF(COUNTIF(B394,"*云飞*")&gt;0,4-COUNTIF(B394,"*玉山揽云*")*4--COUNTIF(B394,"*烟流暮景*")*4-COUNTIF(B394,"*云景*")*加速!$L$11-IF(J394&gt;0,2,0),MAX(0,N393-(A394-A393)-IF(J394&gt;0,2,0)))),0)</f>
        <v>0</v>
      </c>
      <c r="O394">
        <f ca="1">IF(AND(COUNTIF(IF(AND(配装计算器!$K$30&lt;&gt;"∞",0),INDEX(AU393:CB393,1,$AT$1),INDEX(AU395:CB395,1,$AT$1)),"*云飞*")=1,COUNTIF(IF(AND(配装计算器!$K$30&lt;&gt;"∞",0),INDEX(AU393:CB393,1,$AT$1),INDEX(AU395:CB395,1,$AT$1)),"*玉山*")=0),N394,0)</f>
        <v>0</v>
      </c>
      <c r="P394">
        <f ca="1">IFERROR(IF(COUNTIF(B394,"*云栖松*")&gt;0,50-加速!$L$11,MAX(0,P393-(A394-A393))),0)</f>
        <v>0</v>
      </c>
      <c r="Q394">
        <f ca="1">IF(COUNTIF(IF(AND(配装计算器!$K$30&lt;&gt;"∞",0),INDEX(AU393:CB393,1,$AT$1),INDEX(AU395:CB395,1,$AT$1)),"*云栖松*")=1,P394,0)</f>
        <v>0</v>
      </c>
      <c r="R394">
        <f ca="1">IFERROR(IF(COUNTIF(B394,"*莺鸣柳*")&gt;0,45-加速!$L$9,MAX(0,R393-(A394-A393))),0)</f>
        <v>0</v>
      </c>
      <c r="S394">
        <f ca="1">IF(COUNTIF(IF(AND(配装计算器!$K$30&lt;&gt;"∞",0),INDEX(AU393:CB393,1,$AT$1),INDEX(AU395:CB395,1,$AT$1)),"*莺鸣柳*")=1,R394,0)</f>
        <v>0</v>
      </c>
      <c r="T394">
        <f ca="1" t="shared" si="88"/>
        <v>0</v>
      </c>
      <c r="U394">
        <f ca="1">IF(金蛇,IF(COUNTIF(B394,"*金环戴*")+COUNTIF(B394,"*吹风醒*")&gt;0,IF(A394&lt;=3,7.125-2.625-A394-加速!$L$11,7.125+加速!$K$9-(A394+加速!$L$11-T394)),0),0)+IF(金蛇,IF(COUNTIF(B394,"*千切子裂光*")&gt;0,2+加速!$K$9-(A394+加速!$L$11-T394),0),0)</f>
        <v>0</v>
      </c>
      <c r="V394">
        <f ca="1" t="shared" si="89"/>
        <v>0</v>
      </c>
      <c r="W394">
        <f ca="1" t="shared" si="81"/>
        <v>0</v>
      </c>
      <c r="X394">
        <f ca="1">INDEX(加速!$I$13:$I$21,技能数计算!W394+1)</f>
        <v>0</v>
      </c>
      <c r="Y394">
        <f ca="1" t="shared" si="85"/>
        <v>0.5</v>
      </c>
      <c r="Z394">
        <f ca="1" t="shared" si="86"/>
        <v>0</v>
      </c>
      <c r="AA394">
        <f ca="1">MAX(0,IFERROR(IF(COUNTIF(B394,"*叠*")&gt;0,IF(AC393&lt;3,8-A395+A394,AA393+6.875-A395+A394),AA393-A395+A394),AA393-加速!$L$11))</f>
        <v>0</v>
      </c>
      <c r="AB394" t="e">
        <f ca="1">MAX(0,IF(COUNTIF(IF(AND(配装计算器!$K$30&lt;&gt;"∞",0),INDEX(AU394:CB394,1,$AT$1),INDEX(AU394:CB394,1,$AT$1)),"*叠1*")=1,4*25-加速!$L$11,AB393-A394+A393)-IF(OR(COUNTIF(OFFSET(AT394,0,$AT$1,1,1),"*听雷*")&gt;0,AND(碧归&gt;0,COUNTIF(OFFSET(AT394,0,$AT$1,1,1),"*风来*")&gt;0)),0,1)*1.5)</f>
        <v>#VALUE!</v>
      </c>
      <c r="AC394">
        <f ca="1" t="shared" si="82"/>
        <v>3</v>
      </c>
      <c r="AD394">
        <f ca="1">IF(COUNTIF(IF(AND(配装计算器!$K$30&lt;&gt;"∞",0),INDEX(AU394:CB394,1,$AT$1),INDEX(AU395:CB395,1,$AT$1)),"*叠1*")=1,AB394*0+AE393,0)</f>
        <v>0</v>
      </c>
      <c r="AE394" t="e">
        <f ca="1">IF($AN$11&gt;0,IF(COUNTIF(B395,"*叠1*")&gt;0,50-加速!$H$11,MAX(0,AE393-(A395-A394))),0)</f>
        <v>#VALUE!</v>
      </c>
      <c r="AU394" t="s">
        <v>2768</v>
      </c>
      <c r="AV394">
        <v>2</v>
      </c>
      <c r="AW394" s="176" t="s">
        <v>2794</v>
      </c>
      <c r="AX394">
        <v>2</v>
      </c>
      <c r="AY394" t="s">
        <v>2776</v>
      </c>
      <c r="AZ394">
        <v>2</v>
      </c>
      <c r="BA394" t="s">
        <v>2768</v>
      </c>
      <c r="BB394">
        <v>2</v>
      </c>
      <c r="BC394" s="176" t="s">
        <v>3026</v>
      </c>
      <c r="BD394">
        <v>2</v>
      </c>
      <c r="BE394" t="s">
        <v>2776</v>
      </c>
      <c r="BF394">
        <v>0</v>
      </c>
      <c r="BG394" t="s">
        <v>2768</v>
      </c>
      <c r="BH394">
        <v>2</v>
      </c>
      <c r="BI394" t="s">
        <v>2776</v>
      </c>
      <c r="BJ394">
        <v>2</v>
      </c>
      <c r="BK394" t="s">
        <v>2776</v>
      </c>
      <c r="BL394">
        <v>1</v>
      </c>
      <c r="BM394" t="s">
        <v>2776</v>
      </c>
      <c r="BN394">
        <v>2</v>
      </c>
      <c r="BO394" t="s">
        <v>2853</v>
      </c>
      <c r="BP394">
        <v>2</v>
      </c>
      <c r="BQ394" t="s">
        <v>2776</v>
      </c>
      <c r="BR394">
        <v>2</v>
      </c>
      <c r="BS394" s="182" t="s">
        <v>3023</v>
      </c>
      <c r="BT394">
        <v>2</v>
      </c>
      <c r="BU394" t="s">
        <v>3055</v>
      </c>
      <c r="BV394">
        <v>0</v>
      </c>
      <c r="BW394" s="179" t="s">
        <v>2768</v>
      </c>
      <c r="BX394" s="179">
        <v>2</v>
      </c>
      <c r="BY394" t="s">
        <v>2768</v>
      </c>
      <c r="BZ394">
        <v>2</v>
      </c>
      <c r="CA394" t="str">
        <f>IF(0,"云飞玉皇-玉山揽云","云飞玉皇")</f>
        <v>云飞玉皇</v>
      </c>
      <c r="CB394">
        <v>2</v>
      </c>
    </row>
    <row r="395" spans="1:80">
      <c r="A395" s="178" t="str">
        <f ca="1">IFERROR(IF(A394+加速!$L$11&lt;$AS$1,IF(COUNTIF(B394,"*轻*")&gt;0,A394+加速!$L$9,A394+加速!$L$11)+V394,IF(COUNTIF(INDEX(AU395:CB395,1,$AT$1),"*云景*")+COUNTIF(INDEX(AU395:CB395,1,$AT$1),"*鹤归*")+COUNTIF(INDEX(AU395:CB395,1,$AT$1),"*听雷*")&gt;0,A394+加速!$L$11,"")),"")</f>
        <v/>
      </c>
      <c r="B395" s="167" t="str">
        <f ca="1">IF(A395&lt;&gt;"",IF(AND(A395+加速!$L$11&gt;$AS$1,IF(AND(配装计算器!$K$30&lt;&gt;"∞",0),"梦泉虎跑-轻",INDEX(AU395:CB395,1,$AT$1))="云栖松"),"夕照雷峰",IF(AND(配装计算器!$K$30&lt;&gt;"∞",0),"梦泉虎跑-轻",INDEX(AU395:CB395,1,$AT$1))),"")</f>
        <v/>
      </c>
      <c r="C395" t="str">
        <f ca="1" t="shared" si="87"/>
        <v/>
      </c>
      <c r="D395" t="str">
        <f ca="1">IF(B395&lt;&gt;"",IF(C394&lt;=加速!$L$11*(1-E395),0,1),"")</f>
        <v/>
      </c>
      <c r="E395">
        <f ca="1" t="shared" si="83"/>
        <v>1</v>
      </c>
      <c r="G395" t="str">
        <f ca="1" t="shared" si="84"/>
        <v/>
      </c>
      <c r="H395" t="str">
        <f ca="1">IF(B395&lt;&gt;"",IF(AND(COUNTIF(B394,"*轻*莺鸣柳*")&gt;0,COUNTIF(B395,"*轻*")&lt;1),MAX(0,15+I394-(A395-A394)+COUNTIF(B394,"*平湖*")*0),IF(AND(E395=0,MAX(0,H394-(A395-A394))&lt;=加速!$H$11),0,MAX(0,H394-(A395-A394)))),"")</f>
        <v/>
      </c>
      <c r="I395" t="str">
        <f ca="1" t="shared" si="90"/>
        <v/>
      </c>
      <c r="J395" t="str">
        <f ca="1" t="shared" si="91"/>
        <v/>
      </c>
      <c r="K395" t="str">
        <f ca="1">IF(A395&lt;&gt;"",IF(AND(配装计算器!$K$30&lt;&gt;"∞",0),2,INDEX(AU395:CB395,1,$AT$2)),"")</f>
        <v/>
      </c>
      <c r="L395">
        <f ca="1">IFERROR(IF(AND(COUNTIF(B395,"*-峰插*"),技能数据库!$M$72&gt;0),0,IF(COUNTIF(B395,"*鹤归*")&gt;0,16-加速!$L$11,MAX(0,L394-(A395-A394)))),0)</f>
        <v>0</v>
      </c>
      <c r="M395">
        <f ca="1">IF(COUNTIF(IF(AND(配装计算器!$K$30&lt;&gt;"∞",0),INDEX(AU394:CB394,1,$AT$1),INDEX(AU396:CB396,1,$AT$1)),"*鹤归*")=1,L395,0)</f>
        <v>0</v>
      </c>
      <c r="N395">
        <f ca="1">IFERROR(IF(AND(COUNTIF(B395,"*-峰插*"),技能数据库!$M$72&gt;0),0,IF(COUNTIF(B395,"*云飞*")&gt;0,4-COUNTIF(B395,"*玉山揽云*")*4--COUNTIF(B395,"*烟流暮景*")*4-COUNTIF(B395,"*云景*")*加速!$L$11-IF(J395&gt;0,2,0),MAX(0,N394-(A395-A394)-IF(J395&gt;0,2,0)))),0)</f>
        <v>0</v>
      </c>
      <c r="O395">
        <f ca="1">IF(AND(COUNTIF(IF(AND(配装计算器!$K$30&lt;&gt;"∞",0),INDEX(AU394:CB394,1,$AT$1),INDEX(AU396:CB396,1,$AT$1)),"*云飞*")=1,COUNTIF(IF(AND(配装计算器!$K$30&lt;&gt;"∞",0),INDEX(AU394:CB394,1,$AT$1),INDEX(AU396:CB396,1,$AT$1)),"*玉山*")=0),N395,0)</f>
        <v>0</v>
      </c>
      <c r="P395">
        <f ca="1">IFERROR(IF(COUNTIF(B395,"*云栖松*")&gt;0,50-加速!$L$11,MAX(0,P394-(A395-A394))),0)</f>
        <v>0</v>
      </c>
      <c r="Q395">
        <f ca="1">IF(COUNTIF(IF(AND(配装计算器!$K$30&lt;&gt;"∞",0),INDEX(AU394:CB394,1,$AT$1),INDEX(AU396:CB396,1,$AT$1)),"*云栖松*")=1,P395,0)</f>
        <v>0</v>
      </c>
      <c r="R395">
        <f ca="1">IFERROR(IF(COUNTIF(B395,"*莺鸣柳*")&gt;0,45-加速!$L$9,MAX(0,R394-(A395-A394))),0)</f>
        <v>0</v>
      </c>
      <c r="S395">
        <f ca="1">IF(COUNTIF(IF(AND(配装计算器!$K$30&lt;&gt;"∞",0),INDEX(AU394:CB394,1,$AT$1),INDEX(AU396:CB396,1,$AT$1)),"*莺鸣柳*")=1,R395,0)</f>
        <v>0</v>
      </c>
      <c r="T395">
        <f ca="1" t="shared" si="88"/>
        <v>0</v>
      </c>
      <c r="U395">
        <f ca="1">IF(金蛇,IF(COUNTIF(B395,"*金环戴*")+COUNTIF(B395,"*吹风醒*")&gt;0,IF(A395&lt;=3,7.125-2.625-A395-加速!$L$11,7.125+加速!$K$9-(A395+加速!$L$11-T395)),0),0)+IF(金蛇,IF(COUNTIF(B395,"*千切子裂光*")&gt;0,2+加速!$K$9-(A395+加速!$L$11-T395),0),0)</f>
        <v>0</v>
      </c>
      <c r="V395">
        <f ca="1" t="shared" si="89"/>
        <v>0</v>
      </c>
      <c r="W395">
        <f ca="1" t="shared" si="81"/>
        <v>0</v>
      </c>
      <c r="X395">
        <f ca="1">INDEX(加速!$I$13:$I$21,技能数计算!W395+1)</f>
        <v>0</v>
      </c>
      <c r="Y395">
        <f ca="1" t="shared" si="85"/>
        <v>0.5</v>
      </c>
      <c r="Z395">
        <f ca="1" t="shared" si="86"/>
        <v>0</v>
      </c>
      <c r="AA395">
        <f ca="1">MAX(0,IFERROR(IF(COUNTIF(B395,"*叠*")&gt;0,IF(AC394&lt;3,8-A396+A395,AA394+6.875-A396+A395),AA394-A396+A395),AA394-加速!$L$11))</f>
        <v>0</v>
      </c>
      <c r="AB395" t="e">
        <f ca="1">MAX(0,IF(COUNTIF(IF(AND(配装计算器!$K$30&lt;&gt;"∞",0),INDEX(AU395:CB395,1,$AT$1),INDEX(AU395:CB395,1,$AT$1)),"*叠1*")=1,4*25-加速!$L$11,AB394-A395+A394)-IF(OR(COUNTIF(OFFSET(AT395,0,$AT$1,1,1),"*听雷*")&gt;0,AND(碧归&gt;0,COUNTIF(OFFSET(AT395,0,$AT$1,1,1),"*风来*")&gt;0)),0,1)*1.5)</f>
        <v>#VALUE!</v>
      </c>
      <c r="AC395">
        <f ca="1" t="shared" si="82"/>
        <v>3</v>
      </c>
      <c r="AD395">
        <f ca="1">IF(COUNTIF(IF(AND(配装计算器!$K$30&lt;&gt;"∞",0),INDEX(AU395:CB395,1,$AT$1),INDEX(AU396:CB396,1,$AT$1)),"*叠1*")=1,AB395*0+AE394,0)</f>
        <v>0</v>
      </c>
      <c r="AE395" t="e">
        <f ca="1">IF($AN$11&gt;0,IF(COUNTIF(B396,"*叠1*")&gt;0,50-加速!$H$11,MAX(0,AE394-(A396-A395))),0)</f>
        <v>#VALUE!</v>
      </c>
      <c r="AU395" t="str">
        <f>IF($AN$11=1,"云飞玉皇-玉山揽云","夕照雷峰")</f>
        <v>云飞玉皇-玉山揽云</v>
      </c>
      <c r="AV395">
        <v>2</v>
      </c>
      <c r="AW395" s="176" t="s">
        <v>2768</v>
      </c>
      <c r="AX395">
        <v>2</v>
      </c>
      <c r="AY395" t="s">
        <v>2768</v>
      </c>
      <c r="AZ395">
        <v>2</v>
      </c>
      <c r="BA395" t="s">
        <v>2768</v>
      </c>
      <c r="BB395">
        <v>1</v>
      </c>
      <c r="BC395" s="176" t="s">
        <v>3026</v>
      </c>
      <c r="BD395">
        <v>2</v>
      </c>
      <c r="BE395" t="s">
        <v>2768</v>
      </c>
      <c r="BF395">
        <v>0</v>
      </c>
      <c r="BG395" t="s">
        <v>2768</v>
      </c>
      <c r="BH395">
        <v>2</v>
      </c>
      <c r="BI395" t="s">
        <v>2768</v>
      </c>
      <c r="BJ395">
        <v>2</v>
      </c>
      <c r="BK395" t="s">
        <v>2768</v>
      </c>
      <c r="BL395">
        <v>0</v>
      </c>
      <c r="BM395" t="s">
        <v>2768</v>
      </c>
      <c r="BN395">
        <v>2</v>
      </c>
      <c r="BO395" s="176" t="s">
        <v>2850</v>
      </c>
      <c r="BP395">
        <f>IF(0,2,0)</f>
        <v>0</v>
      </c>
      <c r="BQ395" t="s">
        <v>2768</v>
      </c>
      <c r="BR395">
        <v>2</v>
      </c>
      <c r="BS395" s="182" t="s">
        <v>2768</v>
      </c>
      <c r="BT395">
        <v>2</v>
      </c>
      <c r="BU395" t="s">
        <v>2776</v>
      </c>
      <c r="BV395">
        <v>2</v>
      </c>
      <c r="BW395" s="179" t="s">
        <v>1886</v>
      </c>
      <c r="BX395" s="179">
        <v>2</v>
      </c>
      <c r="BY395" t="s">
        <v>2776</v>
      </c>
      <c r="BZ395">
        <v>2</v>
      </c>
      <c r="CA395" t="str">
        <f>IF(0,橙武补雾锁,"夕照雷峰")</f>
        <v>夕照雷峰</v>
      </c>
      <c r="CB395">
        <v>2</v>
      </c>
    </row>
    <row r="396" spans="1:80">
      <c r="A396" s="178" t="str">
        <f ca="1">IFERROR(IF(A395+加速!$L$11&lt;$AS$1,IF(COUNTIF(B395,"*轻*")&gt;0,A395+加速!$L$9,A395+加速!$L$11)+V395,IF(COUNTIF(INDEX(AU396:CB396,1,$AT$1),"*云景*")+COUNTIF(INDEX(AU396:CB396,1,$AT$1),"*鹤归*")+COUNTIF(INDEX(AU396:CB396,1,$AT$1),"*听雷*")&gt;0,A395+加速!$L$11,"")),"")</f>
        <v/>
      </c>
      <c r="B396" s="167" t="str">
        <f ca="1">IF(A396&lt;&gt;"",IF(AND(A396+加速!$L$11&gt;$AS$1,IF(AND(配装计算器!$K$30&lt;&gt;"∞",0),"梦泉虎跑-轻",INDEX(AU396:CB396,1,$AT$1))="云栖松"),"夕照雷峰",IF(AND(配装计算器!$K$30&lt;&gt;"∞",0),"梦泉虎跑-轻",INDEX(AU396:CB396,1,$AT$1))),"")</f>
        <v/>
      </c>
      <c r="C396" t="str">
        <f ca="1" t="shared" si="87"/>
        <v/>
      </c>
      <c r="D396" t="str">
        <f ca="1">IF(B396&lt;&gt;"",IF(C395&lt;=加速!$L$11*(1-E396),0,1),"")</f>
        <v/>
      </c>
      <c r="E396">
        <f ca="1" t="shared" si="83"/>
        <v>1</v>
      </c>
      <c r="G396" t="str">
        <f ca="1" t="shared" si="84"/>
        <v/>
      </c>
      <c r="H396" t="str">
        <f ca="1">IF(B396&lt;&gt;"",IF(AND(COUNTIF(B395,"*轻*莺鸣柳*")&gt;0,COUNTIF(B396,"*轻*")&lt;1),MAX(0,15+I395-(A396-A395)+COUNTIF(B395,"*平湖*")*0),IF(AND(E396=0,MAX(0,H395-(A396-A395))&lt;=加速!$H$11),0,MAX(0,H395-(A396-A395)))),"")</f>
        <v/>
      </c>
      <c r="I396" t="str">
        <f ca="1" t="shared" si="90"/>
        <v/>
      </c>
      <c r="J396" t="str">
        <f ca="1" t="shared" si="91"/>
        <v/>
      </c>
      <c r="K396" t="str">
        <f ca="1">IF(A396&lt;&gt;"",IF(AND(配装计算器!$K$30&lt;&gt;"∞",0),2,INDEX(AU396:CB396,1,$AT$2)),"")</f>
        <v/>
      </c>
      <c r="L396">
        <f ca="1">IFERROR(IF(AND(COUNTIF(B396,"*-峰插*"),技能数据库!$M$72&gt;0),0,IF(COUNTIF(B396,"*鹤归*")&gt;0,16-加速!$L$11,MAX(0,L395-(A396-A395)))),0)</f>
        <v>0</v>
      </c>
      <c r="M396">
        <f ca="1">IF(COUNTIF(IF(AND(配装计算器!$K$30&lt;&gt;"∞",0),INDEX(AU395:CB395,1,$AT$1),INDEX(AU397:CB397,1,$AT$1)),"*鹤归*")=1,L396,0)</f>
        <v>0</v>
      </c>
      <c r="N396">
        <f ca="1">IFERROR(IF(AND(COUNTIF(B396,"*-峰插*"),技能数据库!$M$72&gt;0),0,IF(COUNTIF(B396,"*云飞*")&gt;0,4-COUNTIF(B396,"*玉山揽云*")*4--COUNTIF(B396,"*烟流暮景*")*4-COUNTIF(B396,"*云景*")*加速!$L$11-IF(J396&gt;0,2,0),MAX(0,N395-(A396-A395)-IF(J396&gt;0,2,0)))),0)</f>
        <v>0</v>
      </c>
      <c r="O396">
        <f ca="1">IF(AND(COUNTIF(IF(AND(配装计算器!$K$30&lt;&gt;"∞",0),INDEX(AU395:CB395,1,$AT$1),INDEX(AU397:CB397,1,$AT$1)),"*云飞*")=1,COUNTIF(IF(AND(配装计算器!$K$30&lt;&gt;"∞",0),INDEX(AU395:CB395,1,$AT$1),INDEX(AU397:CB397,1,$AT$1)),"*玉山*")=0),N396,0)</f>
        <v>0</v>
      </c>
      <c r="P396">
        <f ca="1">IFERROR(IF(COUNTIF(B396,"*云栖松*")&gt;0,50-加速!$L$11,MAX(0,P395-(A396-A395))),0)</f>
        <v>0</v>
      </c>
      <c r="Q396">
        <f ca="1">IF(COUNTIF(IF(AND(配装计算器!$K$30&lt;&gt;"∞",0),INDEX(AU395:CB395,1,$AT$1),INDEX(AU397:CB397,1,$AT$1)),"*云栖松*")=1,P396,0)</f>
        <v>0</v>
      </c>
      <c r="R396">
        <f ca="1">IFERROR(IF(COUNTIF(B396,"*莺鸣柳*")&gt;0,45-加速!$L$9,MAX(0,R395-(A396-A395))),0)</f>
        <v>0</v>
      </c>
      <c r="S396">
        <f ca="1">IF(COUNTIF(IF(AND(配装计算器!$K$30&lt;&gt;"∞",0),INDEX(AU395:CB395,1,$AT$1),INDEX(AU397:CB397,1,$AT$1)),"*莺鸣柳*")=1,R396,0)</f>
        <v>0</v>
      </c>
      <c r="T396">
        <f ca="1" t="shared" si="88"/>
        <v>0</v>
      </c>
      <c r="U396">
        <f ca="1">IF(金蛇,IF(COUNTIF(B396,"*金环戴*")+COUNTIF(B396,"*吹风醒*")&gt;0,IF(A396&lt;=3,7.125-2.625-A396-加速!$L$11,7.125+加速!$K$9-(A396+加速!$L$11-T396)),0),0)+IF(金蛇,IF(COUNTIF(B396,"*千切子裂光*")&gt;0,2+加速!$K$9-(A396+加速!$L$11-T396),0),0)</f>
        <v>0</v>
      </c>
      <c r="V396">
        <f ca="1" t="shared" si="89"/>
        <v>0</v>
      </c>
      <c r="W396">
        <f ca="1" t="shared" si="81"/>
        <v>0</v>
      </c>
      <c r="X396">
        <f ca="1">INDEX(加速!$I$13:$I$21,技能数计算!W396+1)</f>
        <v>0</v>
      </c>
      <c r="Y396">
        <f ca="1" t="shared" si="85"/>
        <v>0.5</v>
      </c>
      <c r="Z396">
        <f ca="1" t="shared" si="86"/>
        <v>0</v>
      </c>
      <c r="AA396">
        <f ca="1">MAX(0,IFERROR(IF(COUNTIF(B396,"*叠*")&gt;0,IF(AC395&lt;3,8-A397+A396,AA395+6.875-A397+A396),AA395-A397+A396),AA395-加速!$L$11))</f>
        <v>0</v>
      </c>
      <c r="AB396" t="e">
        <f ca="1">MAX(0,IF(COUNTIF(IF(AND(配装计算器!$K$30&lt;&gt;"∞",0),INDEX(AU396:CB396,1,$AT$1),INDEX(AU396:CB396,1,$AT$1)),"*叠1*")=1,4*25-加速!$L$11,AB395-A396+A395)-IF(OR(COUNTIF(OFFSET(AT396,0,$AT$1,1,1),"*听雷*")&gt;0,AND(碧归&gt;0,COUNTIF(OFFSET(AT396,0,$AT$1,1,1),"*风来*")&gt;0)),0,1)*1.5)</f>
        <v>#VALUE!</v>
      </c>
      <c r="AC396">
        <f ca="1" t="shared" si="82"/>
        <v>3</v>
      </c>
      <c r="AD396">
        <f ca="1">IF(COUNTIF(IF(AND(配装计算器!$K$30&lt;&gt;"∞",0),INDEX(AU396:CB396,1,$AT$1),INDEX(AU397:CB397,1,$AT$1)),"*叠1*")=1,AB396*0+AE395,0)</f>
        <v>0</v>
      </c>
      <c r="AE396" t="e">
        <f ca="1">IF($AN$11&gt;0,IF(COUNTIF(B397,"*叠1*")&gt;0,50-加速!$H$11,MAX(0,AE395-(A397-A396))),0)</f>
        <v>#VALUE!</v>
      </c>
      <c r="AU396" t="str">
        <f>IF($AN$11=1,"云飞玉皇-玉山揽云","云飞玉皇")</f>
        <v>云飞玉皇-玉山揽云</v>
      </c>
      <c r="AV396">
        <v>2</v>
      </c>
      <c r="AW396" s="176" t="s">
        <v>2776</v>
      </c>
      <c r="AX396">
        <v>2</v>
      </c>
      <c r="AY396" t="s">
        <v>2768</v>
      </c>
      <c r="AZ396">
        <v>2</v>
      </c>
      <c r="BA396" t="s">
        <v>2776</v>
      </c>
      <c r="BB396">
        <v>1</v>
      </c>
      <c r="BC396" s="176" t="s">
        <v>3026</v>
      </c>
      <c r="BD396">
        <v>2</v>
      </c>
      <c r="BE396" t="s">
        <v>2776</v>
      </c>
      <c r="BF396">
        <v>0</v>
      </c>
      <c r="BG396" s="176" t="s">
        <v>2794</v>
      </c>
      <c r="BH396">
        <v>1</v>
      </c>
      <c r="BI396" t="s">
        <v>2776</v>
      </c>
      <c r="BJ396">
        <v>2</v>
      </c>
      <c r="BK396" t="s">
        <v>3056</v>
      </c>
      <c r="BL396">
        <v>0</v>
      </c>
      <c r="BM396" s="176" t="s">
        <v>2794</v>
      </c>
      <c r="BN396">
        <v>2</v>
      </c>
      <c r="BO396" s="176" t="str">
        <f>IF(秋,"金环戴","吹风醒")</f>
        <v>吹风醒</v>
      </c>
      <c r="BP396">
        <v>2</v>
      </c>
      <c r="BQ396" t="s">
        <v>2776</v>
      </c>
      <c r="BR396">
        <v>1</v>
      </c>
      <c r="BS396" s="182" t="s">
        <v>2776</v>
      </c>
      <c r="BT396">
        <v>2</v>
      </c>
      <c r="BU396" t="s">
        <v>2768</v>
      </c>
      <c r="BV396">
        <v>2</v>
      </c>
      <c r="BW396" s="179" t="s">
        <v>2853</v>
      </c>
      <c r="BX396" s="179">
        <v>2</v>
      </c>
      <c r="BY396" s="176" t="s">
        <v>2794</v>
      </c>
      <c r="BZ396">
        <v>2</v>
      </c>
      <c r="CA396" t="str">
        <f>IF(0,"云飞玉皇-玉山揽云","云景·云飞玉皇")</f>
        <v>云景·云飞玉皇</v>
      </c>
      <c r="CB396">
        <v>2</v>
      </c>
    </row>
    <row r="397" spans="1:80">
      <c r="A397" s="178" t="str">
        <f ca="1">IFERROR(IF(A396+加速!$L$11&lt;$AS$1,IF(COUNTIF(B396,"*轻*")&gt;0,A396+加速!$L$9,A396+加速!$L$11)+V396,IF(COUNTIF(INDEX(AU397:CB397,1,$AT$1),"*云景*")+COUNTIF(INDEX(AU397:CB397,1,$AT$1),"*鹤归*")+COUNTIF(INDEX(AU397:CB397,1,$AT$1),"*听雷*")&gt;0,A396+加速!$L$11,"")),"")</f>
        <v/>
      </c>
      <c r="B397" s="167" t="str">
        <f ca="1">IF(A397&lt;&gt;"",IF(AND(A397+加速!$L$11&gt;$AS$1,IF(AND(配装计算器!$K$30&lt;&gt;"∞",0),"梦泉虎跑-轻",INDEX(AU397:CB397,1,$AT$1))="云栖松"),"夕照雷峰",IF(AND(配装计算器!$K$30&lt;&gt;"∞",0),"梦泉虎跑-轻",INDEX(AU397:CB397,1,$AT$1))),"")</f>
        <v/>
      </c>
      <c r="C397" t="str">
        <f ca="1" t="shared" si="87"/>
        <v/>
      </c>
      <c r="D397" t="str">
        <f ca="1">IF(B397&lt;&gt;"",IF(C396&lt;=加速!$L$11*(1-E397),0,1),"")</f>
        <v/>
      </c>
      <c r="E397">
        <f ca="1" t="shared" si="83"/>
        <v>1</v>
      </c>
      <c r="G397" t="str">
        <f ca="1" t="shared" si="84"/>
        <v/>
      </c>
      <c r="H397" t="str">
        <f ca="1">IF(B397&lt;&gt;"",IF(AND(COUNTIF(B396,"*轻*莺鸣柳*")&gt;0,COUNTIF(B397,"*轻*")&lt;1),MAX(0,15+I396-(A397-A396)+COUNTIF(B396,"*平湖*")*0),IF(AND(E397=0,MAX(0,H396-(A397-A396))&lt;=加速!$H$11),0,MAX(0,H396-(A397-A396)))),"")</f>
        <v/>
      </c>
      <c r="I397" t="str">
        <f ca="1" t="shared" si="90"/>
        <v/>
      </c>
      <c r="J397" t="str">
        <f ca="1" t="shared" si="91"/>
        <v/>
      </c>
      <c r="K397" t="str">
        <f ca="1">IF(A397&lt;&gt;"",IF(AND(配装计算器!$K$30&lt;&gt;"∞",0),2,INDEX(AU397:CB397,1,$AT$2)),"")</f>
        <v/>
      </c>
      <c r="L397">
        <f ca="1">IFERROR(IF(AND(COUNTIF(B397,"*-峰插*"),技能数据库!$M$72&gt;0),0,IF(COUNTIF(B397,"*鹤归*")&gt;0,16-加速!$L$11,MAX(0,L396-(A397-A396)))),0)</f>
        <v>0</v>
      </c>
      <c r="M397">
        <f ca="1">IF(COUNTIF(IF(AND(配装计算器!$K$30&lt;&gt;"∞",0),INDEX(AU396:CB396,1,$AT$1),INDEX(AU398:CB398,1,$AT$1)),"*鹤归*")=1,L397,0)</f>
        <v>0</v>
      </c>
      <c r="N397">
        <f ca="1">IFERROR(IF(AND(COUNTIF(B397,"*-峰插*"),技能数据库!$M$72&gt;0),0,IF(COUNTIF(B397,"*云飞*")&gt;0,4-COUNTIF(B397,"*玉山揽云*")*4--COUNTIF(B397,"*烟流暮景*")*4-COUNTIF(B397,"*云景*")*加速!$L$11-IF(J397&gt;0,2,0),MAX(0,N396-(A397-A396)-IF(J397&gt;0,2,0)))),0)</f>
        <v>0</v>
      </c>
      <c r="O397">
        <f ca="1">IF(AND(COUNTIF(IF(AND(配装计算器!$K$30&lt;&gt;"∞",0),INDEX(AU396:CB396,1,$AT$1),INDEX(AU398:CB398,1,$AT$1)),"*云飞*")=1,COUNTIF(IF(AND(配装计算器!$K$30&lt;&gt;"∞",0),INDEX(AU396:CB396,1,$AT$1),INDEX(AU398:CB398,1,$AT$1)),"*玉山*")=0),N397,0)</f>
        <v>0</v>
      </c>
      <c r="P397">
        <f ca="1">IFERROR(IF(COUNTIF(B397,"*云栖松*")&gt;0,50-加速!$L$11,MAX(0,P396-(A397-A396))),0)</f>
        <v>0</v>
      </c>
      <c r="Q397">
        <f ca="1">IF(COUNTIF(IF(AND(配装计算器!$K$30&lt;&gt;"∞",0),INDEX(AU396:CB396,1,$AT$1),INDEX(AU398:CB398,1,$AT$1)),"*云栖松*")=1,P397,0)</f>
        <v>0</v>
      </c>
      <c r="R397">
        <f ca="1">IFERROR(IF(COUNTIF(B397,"*莺鸣柳*")&gt;0,45-加速!$L$9,MAX(0,R396-(A397-A396))),0)</f>
        <v>0</v>
      </c>
      <c r="S397">
        <f ca="1">IF(COUNTIF(IF(AND(配装计算器!$K$30&lt;&gt;"∞",0),INDEX(AU396:CB396,1,$AT$1),INDEX(AU398:CB398,1,$AT$1)),"*莺鸣柳*")=1,R397,0)</f>
        <v>0</v>
      </c>
      <c r="T397">
        <f ca="1" t="shared" si="88"/>
        <v>0</v>
      </c>
      <c r="U397">
        <f ca="1">IF(金蛇,IF(COUNTIF(B397,"*金环戴*")+COUNTIF(B397,"*吹风醒*")&gt;0,IF(A397&lt;=3,7.125-2.625-A397-加速!$L$11,7.125+加速!$K$9-(A397+加速!$L$11-T397)),0),0)+IF(金蛇,IF(COUNTIF(B397,"*千切子裂光*")&gt;0,2+加速!$K$9-(A397+加速!$L$11-T397),0),0)</f>
        <v>0</v>
      </c>
      <c r="V397">
        <f ca="1" t="shared" si="89"/>
        <v>0</v>
      </c>
      <c r="W397">
        <f ca="1" t="shared" si="81"/>
        <v>0</v>
      </c>
      <c r="X397">
        <f ca="1">INDEX(加速!$I$13:$I$21,技能数计算!W397+1)</f>
        <v>0</v>
      </c>
      <c r="Y397">
        <f ca="1" t="shared" si="85"/>
        <v>0.5</v>
      </c>
      <c r="Z397">
        <f ca="1" t="shared" si="86"/>
        <v>0</v>
      </c>
      <c r="AA397">
        <f ca="1">MAX(0,IFERROR(IF(COUNTIF(B397,"*叠*")&gt;0,IF(AC396&lt;3,8-A398+A397,AA396+6.875-A398+A397),AA396-A398+A397),AA396-加速!$L$11))</f>
        <v>0</v>
      </c>
      <c r="AB397" t="e">
        <f ca="1">MAX(0,IF(COUNTIF(IF(AND(配装计算器!$K$30&lt;&gt;"∞",0),INDEX(AU397:CB397,1,$AT$1),INDEX(AU397:CB397,1,$AT$1)),"*叠1*")=1,4*25-加速!$L$11,AB396-A397+A396)-IF(OR(COUNTIF(OFFSET(AT397,0,$AT$1,1,1),"*听雷*")&gt;0,AND(碧归&gt;0,COUNTIF(OFFSET(AT397,0,$AT$1,1,1),"*风来*")&gt;0)),0,1)*1.5)</f>
        <v>#VALUE!</v>
      </c>
      <c r="AC397">
        <f ca="1" t="shared" si="82"/>
        <v>3</v>
      </c>
      <c r="AD397">
        <f ca="1">IF(COUNTIF(IF(AND(配装计算器!$K$30&lt;&gt;"∞",0),INDEX(AU397:CB397,1,$AT$1),INDEX(AU398:CB398,1,$AT$1)),"*叠1*")=1,AB397*0+AE396,0)</f>
        <v>0</v>
      </c>
      <c r="AE397" t="e">
        <f ca="1">IF($AN$11&gt;0,IF(COUNTIF(B398,"*叠1*")&gt;0,50-加速!$H$11,MAX(0,AE396-(A398-A397))),0)</f>
        <v>#VALUE!</v>
      </c>
      <c r="AU397" t="str">
        <f>IF($AN$11=1,"云飞玉皇-玉山揽云","夕照雷峰")</f>
        <v>云飞玉皇-玉山揽云</v>
      </c>
      <c r="AV397">
        <v>2</v>
      </c>
      <c r="AW397" s="176" t="s">
        <v>2768</v>
      </c>
      <c r="AX397">
        <v>2</v>
      </c>
      <c r="AY397" t="s">
        <v>2768</v>
      </c>
      <c r="AZ397">
        <v>1</v>
      </c>
      <c r="BA397" t="s">
        <v>2768</v>
      </c>
      <c r="BB397">
        <v>1</v>
      </c>
      <c r="BC397" t="s">
        <v>3013</v>
      </c>
      <c r="BD397">
        <v>2</v>
      </c>
      <c r="BE397" t="s">
        <v>3012</v>
      </c>
      <c r="BF397">
        <v>2</v>
      </c>
      <c r="BG397" t="s">
        <v>2776</v>
      </c>
      <c r="BH397">
        <v>1</v>
      </c>
      <c r="BI397" t="s">
        <v>2768</v>
      </c>
      <c r="BJ397">
        <v>2</v>
      </c>
      <c r="BK397" t="s">
        <v>2768</v>
      </c>
      <c r="BL397">
        <v>2</v>
      </c>
      <c r="BM397" s="176" t="s">
        <v>2768</v>
      </c>
      <c r="BN397">
        <v>2</v>
      </c>
      <c r="BO397" t="str">
        <f>IF(秋,"夕照雷峰","云飞玉皇")</f>
        <v>云飞玉皇</v>
      </c>
      <c r="BP397">
        <v>2</v>
      </c>
      <c r="BQ397" t="s">
        <v>2768</v>
      </c>
      <c r="BR397">
        <v>1</v>
      </c>
      <c r="BS397" s="182" t="s">
        <v>2768</v>
      </c>
      <c r="BT397">
        <v>2</v>
      </c>
      <c r="BU397" t="s">
        <v>2776</v>
      </c>
      <c r="BV397">
        <v>2</v>
      </c>
      <c r="BW397" s="182" t="s">
        <v>2850</v>
      </c>
      <c r="BX397" s="179">
        <v>2</v>
      </c>
      <c r="BY397" s="176" t="s">
        <v>2768</v>
      </c>
      <c r="BZ397">
        <v>2</v>
      </c>
      <c r="CA397" t="str">
        <f>IF(0,"云飞玉皇-玉山揽云","夕照雷峰")</f>
        <v>夕照雷峰</v>
      </c>
      <c r="CB397">
        <v>2</v>
      </c>
    </row>
    <row r="398" spans="1:80">
      <c r="A398" s="178" t="str">
        <f ca="1">IFERROR(IF(A397+加速!$L$11&lt;$AS$1,IF(COUNTIF(B397,"*轻*")&gt;0,A397+加速!$L$9,A397+加速!$L$11)+V397,IF(COUNTIF(INDEX(AU398:CB398,1,$AT$1),"*云景*")+COUNTIF(INDEX(AU398:CB398,1,$AT$1),"*鹤归*")+COUNTIF(INDEX(AU398:CB398,1,$AT$1),"*听雷*")&gt;0,A397+加速!$L$11,"")),"")</f>
        <v/>
      </c>
      <c r="B398" s="167" t="str">
        <f ca="1">IF(A398&lt;&gt;"",IF(AND(A398+加速!$L$11&gt;$AS$1,IF(AND(配装计算器!$K$30&lt;&gt;"∞",0),"梦泉虎跑-轻",INDEX(AU398:CB398,1,$AT$1))="云栖松"),"夕照雷峰",IF(AND(配装计算器!$K$30&lt;&gt;"∞",0),"梦泉虎跑-轻",INDEX(AU398:CB398,1,$AT$1))),"")</f>
        <v/>
      </c>
      <c r="C398" t="str">
        <f ca="1" t="shared" si="87"/>
        <v/>
      </c>
      <c r="D398" t="str">
        <f ca="1">IF(B398&lt;&gt;"",IF(C397&lt;=加速!$L$11*(1-E398),0,1),"")</f>
        <v/>
      </c>
      <c r="E398">
        <f ca="1" t="shared" si="83"/>
        <v>1</v>
      </c>
      <c r="G398" t="str">
        <f ca="1" t="shared" si="84"/>
        <v/>
      </c>
      <c r="H398" t="str">
        <f ca="1">IF(B398&lt;&gt;"",IF(AND(COUNTIF(B397,"*轻*莺鸣柳*")&gt;0,COUNTIF(B398,"*轻*")&lt;1),MAX(0,15+I397-(A398-A397)+COUNTIF(B397,"*平湖*")*0),IF(AND(E398=0,MAX(0,H397-(A398-A397))&lt;=加速!$H$11),0,MAX(0,H397-(A398-A397)))),"")</f>
        <v/>
      </c>
      <c r="I398" t="str">
        <f ca="1" t="shared" si="90"/>
        <v/>
      </c>
      <c r="J398" t="str">
        <f ca="1" t="shared" si="91"/>
        <v/>
      </c>
      <c r="K398" t="str">
        <f ca="1">IF(A398&lt;&gt;"",IF(AND(配装计算器!$K$30&lt;&gt;"∞",0),2,INDEX(AU398:CB398,1,$AT$2)),"")</f>
        <v/>
      </c>
      <c r="L398">
        <f ca="1">IFERROR(IF(AND(COUNTIF(B398,"*-峰插*"),技能数据库!$M$72&gt;0),0,IF(COUNTIF(B398,"*鹤归*")&gt;0,16-加速!$L$11,MAX(0,L397-(A398-A397)))),0)</f>
        <v>0</v>
      </c>
      <c r="M398">
        <f ca="1">IF(COUNTIF(IF(AND(配装计算器!$K$30&lt;&gt;"∞",0),INDEX(AU397:CB397,1,$AT$1),INDEX(AU399:CB399,1,$AT$1)),"*鹤归*")=1,L398,0)</f>
        <v>0</v>
      </c>
      <c r="N398">
        <f ca="1">IFERROR(IF(AND(COUNTIF(B398,"*-峰插*"),技能数据库!$M$72&gt;0),0,IF(COUNTIF(B398,"*云飞*")&gt;0,4-COUNTIF(B398,"*玉山揽云*")*4--COUNTIF(B398,"*烟流暮景*")*4-COUNTIF(B398,"*云景*")*加速!$L$11-IF(J398&gt;0,2,0),MAX(0,N397-(A398-A397)-IF(J398&gt;0,2,0)))),0)</f>
        <v>0</v>
      </c>
      <c r="O398">
        <f ca="1">IF(AND(COUNTIF(IF(AND(配装计算器!$K$30&lt;&gt;"∞",0),INDEX(AU397:CB397,1,$AT$1),INDEX(AU399:CB399,1,$AT$1)),"*云飞*")=1,COUNTIF(IF(AND(配装计算器!$K$30&lt;&gt;"∞",0),INDEX(AU397:CB397,1,$AT$1),INDEX(AU399:CB399,1,$AT$1)),"*玉山*")=0),N398,0)</f>
        <v>0</v>
      </c>
      <c r="P398">
        <f ca="1">IFERROR(IF(COUNTIF(B398,"*云栖松*")&gt;0,50-加速!$L$11,MAX(0,P397-(A398-A397))),0)</f>
        <v>0</v>
      </c>
      <c r="Q398">
        <f ca="1">IF(COUNTIF(IF(AND(配装计算器!$K$30&lt;&gt;"∞",0),INDEX(AU397:CB397,1,$AT$1),INDEX(AU399:CB399,1,$AT$1)),"*云栖松*")=1,P398,0)</f>
        <v>0</v>
      </c>
      <c r="R398">
        <f ca="1">IFERROR(IF(COUNTIF(B398,"*莺鸣柳*")&gt;0,45-加速!$L$9,MAX(0,R397-(A398-A397))),0)</f>
        <v>0</v>
      </c>
      <c r="S398">
        <f ca="1">IF(COUNTIF(IF(AND(配装计算器!$K$30&lt;&gt;"∞",0),INDEX(AU397:CB397,1,$AT$1),INDEX(AU399:CB399,1,$AT$1)),"*莺鸣柳*")=1,R398,0)</f>
        <v>0</v>
      </c>
      <c r="T398">
        <f ca="1" t="shared" si="88"/>
        <v>0</v>
      </c>
      <c r="U398">
        <f ca="1">IF(金蛇,IF(COUNTIF(B398,"*金环戴*")+COUNTIF(B398,"*吹风醒*")&gt;0,IF(A398&lt;=3,7.125-2.625-A398-加速!$L$11,7.125+加速!$K$9-(A398+加速!$L$11-T398)),0),0)+IF(金蛇,IF(COUNTIF(B398,"*千切子裂光*")&gt;0,2+加速!$K$9-(A398+加速!$L$11-T398),0),0)</f>
        <v>0</v>
      </c>
      <c r="V398">
        <f ca="1" t="shared" si="89"/>
        <v>0</v>
      </c>
      <c r="W398">
        <f ca="1" t="shared" si="81"/>
        <v>0</v>
      </c>
      <c r="X398">
        <f ca="1">INDEX(加速!$I$13:$I$21,技能数计算!W398+1)</f>
        <v>0</v>
      </c>
      <c r="Y398">
        <f ca="1" t="shared" si="85"/>
        <v>0.5</v>
      </c>
      <c r="Z398">
        <f ca="1" t="shared" si="86"/>
        <v>0</v>
      </c>
      <c r="AA398">
        <f ca="1">MAX(0,IFERROR(IF(COUNTIF(B398,"*叠*")&gt;0,IF(AC397&lt;3,8-A399+A398,AA397+6.875-A399+A398),AA397-A399+A398),AA397-加速!$L$11))</f>
        <v>0</v>
      </c>
      <c r="AB398" t="e">
        <f ca="1">MAX(0,IF(COUNTIF(IF(AND(配装计算器!$K$30&lt;&gt;"∞",0),INDEX(AU398:CB398,1,$AT$1),INDEX(AU398:CB398,1,$AT$1)),"*叠1*")=1,4*25-加速!$L$11,AB397-A398+A397)-IF(OR(COUNTIF(OFFSET(AT398,0,$AT$1,1,1),"*听雷*")&gt;0,AND(碧归&gt;0,COUNTIF(OFFSET(AT398,0,$AT$1,1,1),"*风来*")&gt;0)),0,1)*1.5)</f>
        <v>#VALUE!</v>
      </c>
      <c r="AC398">
        <f ca="1" t="shared" si="82"/>
        <v>3</v>
      </c>
      <c r="AD398">
        <f ca="1">IF(COUNTIF(IF(AND(配装计算器!$K$30&lt;&gt;"∞",0),INDEX(AU398:CB398,1,$AT$1),INDEX(AU399:CB399,1,$AT$1)),"*叠1*")=1,AB398*0+AE397,0)</f>
        <v>0</v>
      </c>
      <c r="AE398" t="e">
        <f ca="1">IF($AN$11&gt;0,IF(COUNTIF(B399,"*叠1*")&gt;0,50-加速!$H$11,MAX(0,AE397-(A399-A398))),0)</f>
        <v>#VALUE!</v>
      </c>
      <c r="AU398" t="str">
        <f>IF($AN$11=1,橙武补雾锁,"夕照雷峰")</f>
        <v>云飞玉皇-玉山揽云</v>
      </c>
      <c r="AV398">
        <v>2</v>
      </c>
      <c r="AW398" s="176" t="s">
        <v>2776</v>
      </c>
      <c r="AX398">
        <v>2</v>
      </c>
      <c r="AY398" t="s">
        <v>2776</v>
      </c>
      <c r="AZ398">
        <v>1</v>
      </c>
      <c r="BA398" t="s">
        <v>2768</v>
      </c>
      <c r="BB398">
        <v>0</v>
      </c>
      <c r="BC398" t="s">
        <v>2808</v>
      </c>
      <c r="BD398">
        <v>2</v>
      </c>
      <c r="BE398" t="s">
        <v>2776</v>
      </c>
      <c r="BF398">
        <v>2</v>
      </c>
      <c r="BG398" t="s">
        <v>2768</v>
      </c>
      <c r="BH398">
        <v>1</v>
      </c>
      <c r="BI398" t="s">
        <v>2808</v>
      </c>
      <c r="BJ398">
        <v>2</v>
      </c>
      <c r="BK398" t="s">
        <v>2768</v>
      </c>
      <c r="BL398">
        <v>2</v>
      </c>
      <c r="BM398" s="176" t="s">
        <v>2776</v>
      </c>
      <c r="BN398">
        <v>2</v>
      </c>
      <c r="BO398" s="176" t="str">
        <f>IF(秋,"梦泉虎跑-轻","夕照雷峰")</f>
        <v>夕照雷峰</v>
      </c>
      <c r="BP398">
        <v>2</v>
      </c>
      <c r="BQ398" t="s">
        <v>2776</v>
      </c>
      <c r="BR398">
        <v>1</v>
      </c>
      <c r="BS398" s="182" t="s">
        <v>3085</v>
      </c>
      <c r="BT398">
        <v>2</v>
      </c>
      <c r="BU398" t="s">
        <v>2768</v>
      </c>
      <c r="BV398">
        <v>1</v>
      </c>
      <c r="BW398" s="182" t="str">
        <f>IF(秋,"金环戴","吹风醒")</f>
        <v>吹风醒</v>
      </c>
      <c r="BX398" s="179">
        <v>2</v>
      </c>
      <c r="BY398" s="176" t="s">
        <v>2776</v>
      </c>
      <c r="BZ398">
        <v>2</v>
      </c>
      <c r="CA398" t="s">
        <v>2776</v>
      </c>
      <c r="CB398">
        <v>2</v>
      </c>
    </row>
    <row r="399" spans="1:80">
      <c r="A399" s="178" t="str">
        <f ca="1">IFERROR(IF(A398+加速!$L$11&lt;$AS$1,IF(COUNTIF(B398,"*轻*")&gt;0,A398+加速!$L$9,A398+加速!$L$11)+V398,IF(COUNTIF(INDEX(AU399:CB399,1,$AT$1),"*云景*")+COUNTIF(INDEX(AU399:CB399,1,$AT$1),"*鹤归*")+COUNTIF(INDEX(AU399:CB399,1,$AT$1),"*听雷*")&gt;0,A398+加速!$L$11,"")),"")</f>
        <v/>
      </c>
      <c r="B399" s="167" t="str">
        <f ca="1">IF(A399&lt;&gt;"",IF(AND(A399+加速!$L$11&gt;$AS$1,IF(AND(配装计算器!$K$30&lt;&gt;"∞",0),"梦泉虎跑-轻",INDEX(AU399:CB399,1,$AT$1))="云栖松"),"夕照雷峰",IF(AND(配装计算器!$K$30&lt;&gt;"∞",0),"梦泉虎跑-轻",INDEX(AU399:CB399,1,$AT$1))),"")</f>
        <v/>
      </c>
      <c r="C399" t="str">
        <f ca="1" t="shared" si="87"/>
        <v/>
      </c>
      <c r="D399" t="str">
        <f ca="1">IF(B399&lt;&gt;"",IF(C398&lt;=加速!$L$11*(1-E399),0,1),"")</f>
        <v/>
      </c>
      <c r="E399">
        <f ca="1" t="shared" si="83"/>
        <v>1</v>
      </c>
      <c r="G399" t="str">
        <f ca="1" t="shared" si="84"/>
        <v/>
      </c>
      <c r="H399" t="str">
        <f ca="1">IF(B399&lt;&gt;"",IF(AND(COUNTIF(B398,"*轻*莺鸣柳*")&gt;0,COUNTIF(B399,"*轻*")&lt;1),MAX(0,15+I398-(A399-A398)+COUNTIF(B398,"*平湖*")*0),IF(AND(E399=0,MAX(0,H398-(A399-A398))&lt;=加速!$H$11),0,MAX(0,H398-(A399-A398)))),"")</f>
        <v/>
      </c>
      <c r="I399" t="str">
        <f ca="1" t="shared" si="90"/>
        <v/>
      </c>
      <c r="J399" t="str">
        <f ca="1" t="shared" si="91"/>
        <v/>
      </c>
      <c r="K399" t="str">
        <f ca="1">IF(A399&lt;&gt;"",IF(AND(配装计算器!$K$30&lt;&gt;"∞",0),2,INDEX(AU399:CB399,1,$AT$2)),"")</f>
        <v/>
      </c>
      <c r="L399">
        <f ca="1">IFERROR(IF(AND(COUNTIF(B399,"*-峰插*"),技能数据库!$M$72&gt;0),0,IF(COUNTIF(B399,"*鹤归*")&gt;0,16-加速!$L$11,MAX(0,L398-(A399-A398)))),0)</f>
        <v>0</v>
      </c>
      <c r="M399">
        <f ca="1">IF(COUNTIF(IF(AND(配装计算器!$K$30&lt;&gt;"∞",0),INDEX(AU398:CB398,1,$AT$1),INDEX(AU400:CB400,1,$AT$1)),"*鹤归*")=1,L399,0)</f>
        <v>0</v>
      </c>
      <c r="N399">
        <f ca="1">IFERROR(IF(AND(COUNTIF(B399,"*-峰插*"),技能数据库!$M$72&gt;0),0,IF(COUNTIF(B399,"*云飞*")&gt;0,4-COUNTIF(B399,"*玉山揽云*")*4--COUNTIF(B399,"*烟流暮景*")*4-COUNTIF(B399,"*云景*")*加速!$L$11-IF(J399&gt;0,2,0),MAX(0,N398-(A399-A398)-IF(J399&gt;0,2,0)))),0)</f>
        <v>0</v>
      </c>
      <c r="O399">
        <f ca="1">IF(AND(COUNTIF(IF(AND(配装计算器!$K$30&lt;&gt;"∞",0),INDEX(AU398:CB398,1,$AT$1),INDEX(AU400:CB400,1,$AT$1)),"*云飞*")=1,COUNTIF(IF(AND(配装计算器!$K$30&lt;&gt;"∞",0),INDEX(AU398:CB398,1,$AT$1),INDEX(AU400:CB400,1,$AT$1)),"*玉山*")=0),N399,0)</f>
        <v>0</v>
      </c>
      <c r="P399">
        <f ca="1">IFERROR(IF(COUNTIF(B399,"*云栖松*")&gt;0,50-加速!$L$11,MAX(0,P398-(A399-A398))),0)</f>
        <v>0</v>
      </c>
      <c r="Q399">
        <f ca="1">IF(COUNTIF(IF(AND(配装计算器!$K$30&lt;&gt;"∞",0),INDEX(AU398:CB398,1,$AT$1),INDEX(AU400:CB400,1,$AT$1)),"*云栖松*")=1,P399,0)</f>
        <v>0</v>
      </c>
      <c r="R399">
        <f ca="1">IFERROR(IF(COUNTIF(B399,"*莺鸣柳*")&gt;0,45-加速!$L$9,MAX(0,R398-(A399-A398))),0)</f>
        <v>0</v>
      </c>
      <c r="S399">
        <f ca="1">IF(COUNTIF(IF(AND(配装计算器!$K$30&lt;&gt;"∞",0),INDEX(AU398:CB398,1,$AT$1),INDEX(AU400:CB400,1,$AT$1)),"*莺鸣柳*")=1,R399,0)</f>
        <v>0</v>
      </c>
      <c r="T399">
        <f ca="1" t="shared" si="88"/>
        <v>0</v>
      </c>
      <c r="U399">
        <f ca="1">IF(金蛇,IF(COUNTIF(B399,"*金环戴*")+COUNTIF(B399,"*吹风醒*")&gt;0,IF(A399&lt;=3,7.125-2.625-A399-加速!$L$11,7.125+加速!$K$9-(A399+加速!$L$11-T399)),0),0)+IF(金蛇,IF(COUNTIF(B399,"*千切子裂光*")&gt;0,2+加速!$K$9-(A399+加速!$L$11-T399),0),0)</f>
        <v>0</v>
      </c>
      <c r="V399">
        <f ca="1" t="shared" si="89"/>
        <v>0</v>
      </c>
      <c r="W399">
        <f ca="1" t="shared" si="81"/>
        <v>0</v>
      </c>
      <c r="X399">
        <f ca="1">INDEX(加速!$I$13:$I$21,技能数计算!W399+1)</f>
        <v>0</v>
      </c>
      <c r="Y399">
        <f ca="1" t="shared" si="85"/>
        <v>0.5</v>
      </c>
      <c r="Z399">
        <f ca="1" t="shared" si="86"/>
        <v>0</v>
      </c>
      <c r="AA399">
        <f ca="1">MAX(0,IFERROR(IF(COUNTIF(B399,"*叠*")&gt;0,IF(AC398&lt;3,8-A400+A399,AA398+6.875-A400+A399),AA398-A400+A399),AA398-加速!$L$11))</f>
        <v>0</v>
      </c>
      <c r="AB399" t="e">
        <f ca="1">MAX(0,IF(COUNTIF(IF(AND(配装计算器!$K$30&lt;&gt;"∞",0),INDEX(AU399:CB399,1,$AT$1),INDEX(AU399:CB399,1,$AT$1)),"*叠1*")=1,4*25-加速!$L$11,AB398-A399+A398)-IF(OR(COUNTIF(OFFSET(AT399,0,$AT$1,1,1),"*听雷*")&gt;0,AND(碧归&gt;0,COUNTIF(OFFSET(AT399,0,$AT$1,1,1),"*风来*")&gt;0)),0,1)*1.5)</f>
        <v>#VALUE!</v>
      </c>
      <c r="AC399">
        <f ca="1" t="shared" si="82"/>
        <v>3</v>
      </c>
      <c r="AD399">
        <f ca="1">IF(COUNTIF(IF(AND(配装计算器!$K$30&lt;&gt;"∞",0),INDEX(AU399:CB399,1,$AT$1),INDEX(AU400:CB400,1,$AT$1)),"*叠1*")=1,AB399*0+AE398,0)</f>
        <v>0</v>
      </c>
      <c r="AE399" t="e">
        <f ca="1">IF($AN$11&gt;0,IF(COUNTIF(B400,"*叠1*")&gt;0,50-加速!$H$11,MAX(0,AE398-(A400-A399))),0)</f>
        <v>#VALUE!</v>
      </c>
      <c r="AU399" t="str">
        <f>IF($AN$11=1,"云飞玉皇-玉山揽云","夕照雷峰")</f>
        <v>云飞玉皇-玉山揽云</v>
      </c>
      <c r="AV399">
        <v>2</v>
      </c>
      <c r="AW399" s="176" t="s">
        <v>2768</v>
      </c>
      <c r="AX399">
        <v>2</v>
      </c>
      <c r="AY399" t="s">
        <v>2768</v>
      </c>
      <c r="AZ399">
        <v>1</v>
      </c>
      <c r="BA399" t="s">
        <v>3010</v>
      </c>
      <c r="BB399">
        <v>2</v>
      </c>
      <c r="BC399" t="s">
        <v>2768</v>
      </c>
      <c r="BD399">
        <v>2</v>
      </c>
      <c r="BE399" t="s">
        <v>3017</v>
      </c>
      <c r="BF399">
        <v>2</v>
      </c>
      <c r="BG399" t="s">
        <v>3011</v>
      </c>
      <c r="BH399">
        <v>2</v>
      </c>
      <c r="BI399" s="176" t="s">
        <v>2768</v>
      </c>
      <c r="BJ399">
        <v>2</v>
      </c>
      <c r="BK399" t="s">
        <v>2776</v>
      </c>
      <c r="BL399">
        <v>2</v>
      </c>
      <c r="BM399" s="176" t="s">
        <v>2768</v>
      </c>
      <c r="BN399">
        <v>2</v>
      </c>
      <c r="BO399" s="176" t="str">
        <f>IF(秋,"九溪弥烟-轻-血毒金蛇锥","梦泉虎跑-轻")</f>
        <v>梦泉虎跑-轻</v>
      </c>
      <c r="BP399">
        <v>0</v>
      </c>
      <c r="BQ399" t="s">
        <v>2768</v>
      </c>
      <c r="BR399">
        <v>0</v>
      </c>
      <c r="BS399" s="182" t="s">
        <v>3084</v>
      </c>
      <c r="BT399">
        <v>2</v>
      </c>
      <c r="BU399" t="s">
        <v>2776</v>
      </c>
      <c r="BV399">
        <v>1</v>
      </c>
      <c r="BW399" s="182" t="s">
        <v>2768</v>
      </c>
      <c r="BX399" s="179">
        <v>2</v>
      </c>
      <c r="BY399" s="176" t="s">
        <v>2768</v>
      </c>
      <c r="BZ399">
        <v>2</v>
      </c>
      <c r="CA399" t="str">
        <f>IF(秋,"云栖松","泉凝月")</f>
        <v>泉凝月</v>
      </c>
      <c r="CB399">
        <v>2</v>
      </c>
    </row>
    <row r="400" spans="1:80">
      <c r="A400" s="178" t="str">
        <f ca="1">IFERROR(IF(A399+加速!$L$11&lt;$AS$1,IF(COUNTIF(B399,"*轻*")&gt;0,A399+加速!$L$9,A399+加速!$L$11)+V399,IF(COUNTIF(INDEX(AU400:CB400,1,$AT$1),"*云景*")+COUNTIF(INDEX(AU400:CB400,1,$AT$1),"*鹤归*")+COUNTIF(INDEX(AU400:CB400,1,$AT$1),"*听雷*")&gt;0,A399+加速!$L$11,"")),"")</f>
        <v/>
      </c>
      <c r="B400" s="167" t="str">
        <f ca="1">IF(A400&lt;&gt;"",IF(AND(A400+加速!$L$11&gt;$AS$1,IF(AND(配装计算器!$K$30&lt;&gt;"∞",0),"梦泉虎跑-轻",INDEX(AU400:CB400,1,$AT$1))="云栖松"),"夕照雷峰",IF(AND(配装计算器!$K$30&lt;&gt;"∞",0),"梦泉虎跑-轻",INDEX(AU400:CB400,1,$AT$1))),"")</f>
        <v/>
      </c>
      <c r="C400" t="str">
        <f ca="1" t="shared" si="87"/>
        <v/>
      </c>
      <c r="D400" t="str">
        <f ca="1">IF(B400&lt;&gt;"",IF(C399&lt;=加速!$L$11*(1-E400),0,1),"")</f>
        <v/>
      </c>
      <c r="E400">
        <f ca="1" t="shared" si="83"/>
        <v>1</v>
      </c>
      <c r="G400" t="str">
        <f ca="1" t="shared" si="84"/>
        <v/>
      </c>
      <c r="H400" t="str">
        <f ca="1">IF(B400&lt;&gt;"",IF(AND(COUNTIF(B399,"*轻*莺鸣柳*")&gt;0,COUNTIF(B400,"*轻*")&lt;1),MAX(0,15+I399-(A400-A399)+COUNTIF(B399,"*平湖*")*0),IF(AND(E400=0,MAX(0,H399-(A400-A399))&lt;=加速!$H$11),0,MAX(0,H399-(A400-A399)))),"")</f>
        <v/>
      </c>
      <c r="I400" t="str">
        <f ca="1" t="shared" si="90"/>
        <v/>
      </c>
      <c r="J400" t="str">
        <f ca="1" t="shared" si="91"/>
        <v/>
      </c>
      <c r="K400" t="str">
        <f ca="1">IF(A400&lt;&gt;"",IF(AND(配装计算器!$K$30&lt;&gt;"∞",0),2,INDEX(AU400:CB400,1,$AT$2)),"")</f>
        <v/>
      </c>
      <c r="L400">
        <f ca="1">IFERROR(IF(AND(COUNTIF(B400,"*-峰插*"),技能数据库!$M$72&gt;0),0,IF(COUNTIF(B400,"*鹤归*")&gt;0,16-加速!$L$11,MAX(0,L399-(A400-A399)))),0)</f>
        <v>0</v>
      </c>
      <c r="M400">
        <f ca="1">IF(COUNTIF(IF(AND(配装计算器!$K$30&lt;&gt;"∞",0),INDEX(AU399:CB399,1,$AT$1),INDEX(AU401:CB401,1,$AT$1)),"*鹤归*")=1,L400,0)</f>
        <v>0</v>
      </c>
      <c r="N400">
        <f ca="1">IFERROR(IF(AND(COUNTIF(B400,"*-峰插*"),技能数据库!$M$72&gt;0),0,IF(COUNTIF(B400,"*云飞*")&gt;0,4-COUNTIF(B400,"*玉山揽云*")*4--COUNTIF(B400,"*烟流暮景*")*4-COUNTIF(B400,"*云景*")*加速!$L$11-IF(J400&gt;0,2,0),MAX(0,N399-(A400-A399)-IF(J400&gt;0,2,0)))),0)</f>
        <v>0</v>
      </c>
      <c r="O400">
        <f ca="1">IF(AND(COUNTIF(IF(AND(配装计算器!$K$30&lt;&gt;"∞",0),INDEX(AU399:CB399,1,$AT$1),INDEX(AU401:CB401,1,$AT$1)),"*云飞*")=1,COUNTIF(IF(AND(配装计算器!$K$30&lt;&gt;"∞",0),INDEX(AU399:CB399,1,$AT$1),INDEX(AU401:CB401,1,$AT$1)),"*玉山*")=0),N400,0)</f>
        <v>0</v>
      </c>
      <c r="P400">
        <f ca="1">IFERROR(IF(COUNTIF(B400,"*云栖松*")&gt;0,50-加速!$L$11,MAX(0,P399-(A400-A399))),0)</f>
        <v>0</v>
      </c>
      <c r="Q400">
        <f ca="1">IF(COUNTIF(IF(AND(配装计算器!$K$30&lt;&gt;"∞",0),INDEX(AU399:CB399,1,$AT$1),INDEX(AU401:CB401,1,$AT$1)),"*云栖松*")=1,P400,0)</f>
        <v>0</v>
      </c>
      <c r="R400">
        <f ca="1">IFERROR(IF(COUNTIF(B400,"*莺鸣柳*")&gt;0,45-加速!$L$9,MAX(0,R399-(A400-A399))),0)</f>
        <v>0</v>
      </c>
      <c r="S400">
        <f ca="1">IF(COUNTIF(IF(AND(配装计算器!$K$30&lt;&gt;"∞",0),INDEX(AU399:CB399,1,$AT$1),INDEX(AU401:CB401,1,$AT$1)),"*莺鸣柳*")=1,R400,0)</f>
        <v>0</v>
      </c>
      <c r="T400">
        <f ca="1" t="shared" si="88"/>
        <v>0</v>
      </c>
      <c r="U400">
        <f ca="1">IF(金蛇,IF(COUNTIF(B400,"*金环戴*")+COUNTIF(B400,"*吹风醒*")&gt;0,IF(A400&lt;=3,7.125-2.625-A400-加速!$L$11,7.125+加速!$K$9-(A400+加速!$L$11-T400)),0),0)+IF(金蛇,IF(COUNTIF(B400,"*千切子裂光*")&gt;0,2+加速!$K$9-(A400+加速!$L$11-T400),0),0)</f>
        <v>0</v>
      </c>
      <c r="V400">
        <f ca="1" t="shared" si="89"/>
        <v>0</v>
      </c>
      <c r="W400">
        <f ca="1" t="shared" si="81"/>
        <v>0</v>
      </c>
      <c r="X400">
        <f ca="1">INDEX(加速!$I$13:$I$21,技能数计算!W400+1)</f>
        <v>0</v>
      </c>
      <c r="Y400">
        <f ca="1" t="shared" si="85"/>
        <v>0.5</v>
      </c>
      <c r="Z400">
        <f ca="1" t="shared" si="86"/>
        <v>0</v>
      </c>
      <c r="AA400">
        <f ca="1">MAX(0,IFERROR(IF(COUNTIF(B400,"*叠*")&gt;0,IF(AC399&lt;3,8-A401+A400,AA399+6.875-A401+A400),AA399-A401+A400),AA399-加速!$L$11))</f>
        <v>0</v>
      </c>
      <c r="AB400" t="e">
        <f ca="1">MAX(0,IF(COUNTIF(IF(AND(配装计算器!$K$30&lt;&gt;"∞",0),INDEX(AU400:CB400,1,$AT$1),INDEX(AU400:CB400,1,$AT$1)),"*叠1*")=1,4*25-加速!$L$11,AB399-A400+A399)-IF(OR(COUNTIF(OFFSET(AT400,0,$AT$1,1,1),"*听雷*")&gt;0,AND(碧归&gt;0,COUNTIF(OFFSET(AT400,0,$AT$1,1,1),"*风来*")&gt;0)),0,1)*1.5)</f>
        <v>#VALUE!</v>
      </c>
      <c r="AC400">
        <f ca="1" t="shared" si="82"/>
        <v>3</v>
      </c>
      <c r="AD400">
        <f ca="1">IF(COUNTIF(IF(AND(配装计算器!$K$30&lt;&gt;"∞",0),INDEX(AU400:CB400,1,$AT$1),INDEX(AU401:CB401,1,$AT$1)),"*叠1*")=1,AB400*0+AE399,0)</f>
        <v>0</v>
      </c>
      <c r="AE400" t="e">
        <f ca="1">IF($AN$11&gt;0,IF(COUNTIF(B401,"*叠1*")&gt;0,50-加速!$H$11,MAX(0,AE399-(A401-A400))),0)</f>
        <v>#VALUE!</v>
      </c>
      <c r="AU400" t="s">
        <v>2776</v>
      </c>
      <c r="AV400">
        <v>2</v>
      </c>
      <c r="AW400" t="s">
        <v>3056</v>
      </c>
      <c r="AX400">
        <v>1</v>
      </c>
      <c r="AY400" t="s">
        <v>2768</v>
      </c>
      <c r="AZ400">
        <v>0</v>
      </c>
      <c r="BA400" t="s">
        <v>3013</v>
      </c>
      <c r="BB400">
        <v>2</v>
      </c>
      <c r="BC400" t="s">
        <v>2768</v>
      </c>
      <c r="BD400">
        <v>2</v>
      </c>
      <c r="BE400" t="s">
        <v>2768</v>
      </c>
      <c r="BF400">
        <v>2</v>
      </c>
      <c r="BG400" t="s">
        <v>2768</v>
      </c>
      <c r="BH400">
        <v>2</v>
      </c>
      <c r="BI400" s="176" t="s">
        <v>2776</v>
      </c>
      <c r="BJ400">
        <v>2</v>
      </c>
      <c r="BK400" t="s">
        <v>2768</v>
      </c>
      <c r="BL400">
        <v>1</v>
      </c>
      <c r="BM400" s="176" t="s">
        <v>2776</v>
      </c>
      <c r="BN400">
        <v>2</v>
      </c>
      <c r="BO400" t="s">
        <v>3009</v>
      </c>
      <c r="BP400">
        <v>2</v>
      </c>
      <c r="BQ400" t="s">
        <v>2768</v>
      </c>
      <c r="BR400">
        <v>0</v>
      </c>
      <c r="BS400" s="176" t="s">
        <v>2768</v>
      </c>
      <c r="BT400">
        <v>2</v>
      </c>
      <c r="BU400" t="s">
        <v>2768</v>
      </c>
      <c r="BV400">
        <v>0</v>
      </c>
      <c r="BW400" s="182" t="str">
        <f>IF(秋,"云飞玉皇","云飞玉皇·云景")</f>
        <v>云飞玉皇·云景</v>
      </c>
      <c r="BX400" s="179">
        <v>2</v>
      </c>
      <c r="BY400" s="176" t="s">
        <v>2776</v>
      </c>
      <c r="BZ400">
        <v>2</v>
      </c>
      <c r="CA400" t="s">
        <v>2768</v>
      </c>
      <c r="CB400">
        <v>2</v>
      </c>
    </row>
    <row r="401" spans="1:80">
      <c r="A401" s="178" t="str">
        <f ca="1">IFERROR(IF(A400+加速!$L$11&lt;$AS$1,IF(COUNTIF(B400,"*轻*")&gt;0,A400+加速!$L$9,A400+加速!$L$11)+V400,IF(COUNTIF(INDEX(AU401:CB401,1,$AT$1),"*云景*")+COUNTIF(INDEX(AU401:CB401,1,$AT$1),"*鹤归*")+COUNTIF(INDEX(AU401:CB401,1,$AT$1),"*听雷*")&gt;0,A400+加速!$L$11,"")),"")</f>
        <v/>
      </c>
      <c r="B401" s="167" t="str">
        <f ca="1">IF(A401&lt;&gt;"",IF(AND(A401+加速!$L$11&gt;$AS$1,IF(AND(配装计算器!$K$30&lt;&gt;"∞",0),"梦泉虎跑-轻",INDEX(AU401:CB401,1,$AT$1))="云栖松"),"夕照雷峰",IF(AND(配装计算器!$K$30&lt;&gt;"∞",0),"梦泉虎跑-轻",INDEX(AU401:CB401,1,$AT$1))),"")</f>
        <v/>
      </c>
      <c r="C401" t="str">
        <f ca="1" t="shared" si="87"/>
        <v/>
      </c>
      <c r="D401" t="str">
        <f ca="1">IF(B401&lt;&gt;"",IF(C400&lt;=加速!$L$11*(1-E401),0,1),"")</f>
        <v/>
      </c>
      <c r="E401">
        <f ca="1" t="shared" si="83"/>
        <v>1</v>
      </c>
      <c r="G401" t="str">
        <f ca="1" t="shared" si="84"/>
        <v/>
      </c>
      <c r="H401" t="str">
        <f ca="1">IF(B401&lt;&gt;"",IF(AND(COUNTIF(B400,"*轻*莺鸣柳*")&gt;0,COUNTIF(B401,"*轻*")&lt;1),MAX(0,15+I400-(A401-A400)+COUNTIF(B400,"*平湖*")*0),IF(AND(E401=0,MAX(0,H400-(A401-A400))&lt;=加速!$H$11),0,MAX(0,H400-(A401-A400)))),"")</f>
        <v/>
      </c>
      <c r="I401" t="str">
        <f ca="1" t="shared" si="90"/>
        <v/>
      </c>
      <c r="J401" t="str">
        <f ca="1" t="shared" si="91"/>
        <v/>
      </c>
      <c r="K401" t="str">
        <f ca="1">IF(A401&lt;&gt;"",IF(AND(配装计算器!$K$30&lt;&gt;"∞",0),2,INDEX(AU401:CB401,1,$AT$2)),"")</f>
        <v/>
      </c>
      <c r="L401">
        <f ca="1">IFERROR(IF(AND(COUNTIF(B401,"*-峰插*"),技能数据库!$M$72&gt;0),0,IF(COUNTIF(B401,"*鹤归*")&gt;0,16-加速!$L$11,MAX(0,L400-(A401-A400)))),0)</f>
        <v>0</v>
      </c>
      <c r="M401">
        <f ca="1">IF(COUNTIF(IF(AND(配装计算器!$K$30&lt;&gt;"∞",0),INDEX(AU400:CB400,1,$AT$1),INDEX(AU402:CB402,1,$AT$1)),"*鹤归*")=1,L401,0)</f>
        <v>0</v>
      </c>
      <c r="N401">
        <f ca="1">IFERROR(IF(AND(COUNTIF(B401,"*-峰插*"),技能数据库!$M$72&gt;0),0,IF(COUNTIF(B401,"*云飞*")&gt;0,4-COUNTIF(B401,"*玉山揽云*")*4--COUNTIF(B401,"*烟流暮景*")*4-COUNTIF(B401,"*云景*")*加速!$L$11-IF(J401&gt;0,2,0),MAX(0,N400-(A401-A400)-IF(J401&gt;0,2,0)))),0)</f>
        <v>0</v>
      </c>
      <c r="O401">
        <f ca="1">IF(AND(COUNTIF(IF(AND(配装计算器!$K$30&lt;&gt;"∞",0),INDEX(AU400:CB400,1,$AT$1),INDEX(AU402:CB402,1,$AT$1)),"*云飞*")=1,COUNTIF(IF(AND(配装计算器!$K$30&lt;&gt;"∞",0),INDEX(AU400:CB400,1,$AT$1),INDEX(AU402:CB402,1,$AT$1)),"*玉山*")=0),N401,0)</f>
        <v>0</v>
      </c>
      <c r="P401">
        <f ca="1">IFERROR(IF(COUNTIF(B401,"*云栖松*")&gt;0,50-加速!$L$11,MAX(0,P400-(A401-A400))),0)</f>
        <v>0</v>
      </c>
      <c r="Q401">
        <f ca="1">IF(COUNTIF(IF(AND(配装计算器!$K$30&lt;&gt;"∞",0),INDEX(AU400:CB400,1,$AT$1),INDEX(AU402:CB402,1,$AT$1)),"*云栖松*")=1,P401,0)</f>
        <v>0</v>
      </c>
      <c r="R401">
        <f ca="1">IFERROR(IF(COUNTIF(B401,"*莺鸣柳*")&gt;0,45-加速!$L$9,MAX(0,R400-(A401-A400))),0)</f>
        <v>0</v>
      </c>
      <c r="S401">
        <f ca="1">IF(COUNTIF(IF(AND(配装计算器!$K$30&lt;&gt;"∞",0),INDEX(AU400:CB400,1,$AT$1),INDEX(AU402:CB402,1,$AT$1)),"*莺鸣柳*")=1,R401,0)</f>
        <v>0</v>
      </c>
      <c r="T401">
        <f ca="1" t="shared" si="88"/>
        <v>0</v>
      </c>
      <c r="U401">
        <f ca="1">IF(金蛇,IF(COUNTIF(B401,"*金环戴*")+COUNTIF(B401,"*吹风醒*")&gt;0,IF(A401&lt;=3,7.125-2.625-A401-加速!$L$11,7.125+加速!$K$9-(A401+加速!$L$11-T401)),0),0)+IF(金蛇,IF(COUNTIF(B401,"*千切子裂光*")&gt;0,2+加速!$K$9-(A401+加速!$L$11-T401),0),0)</f>
        <v>0</v>
      </c>
      <c r="V401">
        <f ca="1" t="shared" si="89"/>
        <v>0</v>
      </c>
      <c r="W401">
        <f ca="1" t="shared" si="81"/>
        <v>0</v>
      </c>
      <c r="X401">
        <f ca="1">INDEX(加速!$I$13:$I$21,技能数计算!W401+1)</f>
        <v>0</v>
      </c>
      <c r="Y401">
        <f ca="1" t="shared" si="85"/>
        <v>0.5</v>
      </c>
      <c r="Z401">
        <f ca="1" t="shared" si="86"/>
        <v>0</v>
      </c>
      <c r="AA401">
        <f ca="1">MAX(0,IFERROR(IF(COUNTIF(B401,"*叠*")&gt;0,IF(AC400&lt;3,8-A402+A401,AA400+6.875-A402+A401),AA400-A402+A401),AA400-加速!$L$11))</f>
        <v>0</v>
      </c>
      <c r="AB401" t="e">
        <f ca="1">MAX(0,IF(COUNTIF(IF(AND(配装计算器!$K$30&lt;&gt;"∞",0),INDEX(AU401:CB401,1,$AT$1),INDEX(AU401:CB401,1,$AT$1)),"*叠1*")=1,4*25-加速!$L$11,AB400-A401+A400)-IF(OR(COUNTIF(OFFSET(AT401,0,$AT$1,1,1),"*听雷*")&gt;0,AND(碧归&gt;0,COUNTIF(OFFSET(AT401,0,$AT$1,1,1),"*风来*")&gt;0)),0,1)*1.5)</f>
        <v>#VALUE!</v>
      </c>
      <c r="AC401">
        <f ca="1" t="shared" si="82"/>
        <v>3</v>
      </c>
      <c r="AD401">
        <f ca="1">IF(COUNTIF(IF(AND(配装计算器!$K$30&lt;&gt;"∞",0),INDEX(AU401:CB401,1,$AT$1),INDEX(AU402:CB402,1,$AT$1)),"*叠1*")=1,AB401*0+AE400,0)</f>
        <v>0</v>
      </c>
      <c r="AE401" t="e">
        <f ca="1">IF($AN$11&gt;0,IF(COUNTIF(B402,"*叠1*")&gt;0,50-加速!$H$11,MAX(0,AE400-(A402-A401))),0)</f>
        <v>#VALUE!</v>
      </c>
      <c r="AU401" s="176" t="s">
        <v>2794</v>
      </c>
      <c r="AV401">
        <v>2</v>
      </c>
      <c r="AW401" t="s">
        <v>2768</v>
      </c>
      <c r="AX401">
        <v>2</v>
      </c>
      <c r="AY401" t="s">
        <v>3010</v>
      </c>
      <c r="AZ401">
        <v>2</v>
      </c>
      <c r="BA401" t="s">
        <v>3017</v>
      </c>
      <c r="BB401">
        <v>2</v>
      </c>
      <c r="BC401" t="s">
        <v>2776</v>
      </c>
      <c r="BD401">
        <v>1</v>
      </c>
      <c r="BE401" t="s">
        <v>3023</v>
      </c>
      <c r="BF401">
        <v>2</v>
      </c>
      <c r="BG401" t="s">
        <v>3018</v>
      </c>
      <c r="BH401">
        <v>2</v>
      </c>
      <c r="BI401" t="s">
        <v>2768</v>
      </c>
      <c r="BJ401">
        <v>2</v>
      </c>
      <c r="BK401" t="s">
        <v>2768</v>
      </c>
      <c r="BL401">
        <v>1</v>
      </c>
      <c r="BM401" s="176" t="str">
        <f>IF(0,"云飞玉皇-玉山揽云","夕照雷峰")</f>
        <v>夕照雷峰</v>
      </c>
      <c r="BN401">
        <v>2</v>
      </c>
      <c r="BO401" s="176" t="str">
        <f>IF(秋,"云飞玉皇-蛇牙锥心","云飞玉皇-血毒金蛇锥")</f>
        <v>云飞玉皇-血毒金蛇锥</v>
      </c>
      <c r="BP401">
        <v>2</v>
      </c>
      <c r="BQ401" t="s">
        <v>3067</v>
      </c>
      <c r="BR401">
        <v>0</v>
      </c>
      <c r="BS401" s="176" t="s">
        <v>2768</v>
      </c>
      <c r="BT401">
        <v>2</v>
      </c>
      <c r="BU401" t="s">
        <v>2768</v>
      </c>
      <c r="BV401">
        <v>0</v>
      </c>
      <c r="BW401" s="179" t="s">
        <v>2722</v>
      </c>
      <c r="BX401" s="179">
        <v>2</v>
      </c>
      <c r="BY401" s="176" t="str">
        <f>IF(0,"云飞玉皇-玉山揽云","夕照雷峰")</f>
        <v>夕照雷峰</v>
      </c>
      <c r="BZ401">
        <v>2</v>
      </c>
      <c r="CA401" t="s">
        <v>1886</v>
      </c>
      <c r="CB401">
        <v>2</v>
      </c>
    </row>
    <row r="402" spans="1:80">
      <c r="A402" s="178" t="str">
        <f ca="1">IFERROR(IF(A401+加速!$L$11&lt;$AS$1,IF(COUNTIF(B401,"*轻*")&gt;0,A401+加速!$L$9,A401+加速!$L$11)+V401,IF(COUNTIF(INDEX(AU402:CB402,1,$AT$1),"*云景*")+COUNTIF(INDEX(AU402:CB402,1,$AT$1),"*鹤归*")+COUNTIF(INDEX(AU402:CB402,1,$AT$1),"*听雷*")&gt;0,A401+加速!$L$11,"")),"")</f>
        <v/>
      </c>
      <c r="B402" s="167" t="str">
        <f ca="1">IF(A402&lt;&gt;"",IF(AND(A402+加速!$L$11&gt;$AS$1,IF(AND(配装计算器!$K$30&lt;&gt;"∞",0),"梦泉虎跑-轻",INDEX(AU402:CB402,1,$AT$1))="云栖松"),"夕照雷峰",IF(AND(配装计算器!$K$30&lt;&gt;"∞",0),"梦泉虎跑-轻",INDEX(AU402:CB402,1,$AT$1))),"")</f>
        <v/>
      </c>
      <c r="C402" t="str">
        <f ca="1" t="shared" si="87"/>
        <v/>
      </c>
      <c r="D402" t="str">
        <f ca="1">IF(B402&lt;&gt;"",IF(C401&lt;=加速!$L$11*(1-E402),0,1),"")</f>
        <v/>
      </c>
      <c r="E402">
        <f ca="1" t="shared" si="83"/>
        <v>1</v>
      </c>
      <c r="G402" t="str">
        <f ca="1" t="shared" si="84"/>
        <v/>
      </c>
      <c r="H402" t="str">
        <f ca="1">IF(B402&lt;&gt;"",IF(AND(COUNTIF(B401,"*轻*莺鸣柳*")&gt;0,COUNTIF(B402,"*轻*")&lt;1),MAX(0,15+I401-(A402-A401)+COUNTIF(B401,"*平湖*")*0),IF(AND(E402=0,MAX(0,H401-(A402-A401))&lt;=加速!$H$11),0,MAX(0,H401-(A402-A401)))),"")</f>
        <v/>
      </c>
      <c r="I402" t="str">
        <f ca="1" t="shared" si="90"/>
        <v/>
      </c>
      <c r="J402" t="str">
        <f ca="1" t="shared" si="91"/>
        <v/>
      </c>
      <c r="K402" t="str">
        <f ca="1">IF(A402&lt;&gt;"",IF(AND(配装计算器!$K$30&lt;&gt;"∞",0),2,INDEX(AU402:CB402,1,$AT$2)),"")</f>
        <v/>
      </c>
      <c r="L402">
        <f ca="1">IFERROR(IF(AND(COUNTIF(B402,"*-峰插*"),技能数据库!$M$72&gt;0),0,IF(COUNTIF(B402,"*鹤归*")&gt;0,16-加速!$L$11,MAX(0,L401-(A402-A401)))),0)</f>
        <v>0</v>
      </c>
      <c r="M402">
        <f ca="1">IF(COUNTIF(IF(AND(配装计算器!$K$30&lt;&gt;"∞",0),INDEX(AU401:CB401,1,$AT$1),INDEX(AU403:CB403,1,$AT$1)),"*鹤归*")=1,L402,0)</f>
        <v>0</v>
      </c>
      <c r="N402">
        <f ca="1">IFERROR(IF(AND(COUNTIF(B402,"*-峰插*"),技能数据库!$M$72&gt;0),0,IF(COUNTIF(B402,"*云飞*")&gt;0,4-COUNTIF(B402,"*玉山揽云*")*4--COUNTIF(B402,"*烟流暮景*")*4-COUNTIF(B402,"*云景*")*加速!$L$11-IF(J402&gt;0,2,0),MAX(0,N401-(A402-A401)-IF(J402&gt;0,2,0)))),0)</f>
        <v>0</v>
      </c>
      <c r="O402">
        <f ca="1">IF(AND(COUNTIF(IF(AND(配装计算器!$K$30&lt;&gt;"∞",0),INDEX(AU401:CB401,1,$AT$1),INDEX(AU403:CB403,1,$AT$1)),"*云飞*")=1,COUNTIF(IF(AND(配装计算器!$K$30&lt;&gt;"∞",0),INDEX(AU401:CB401,1,$AT$1),INDEX(AU403:CB403,1,$AT$1)),"*玉山*")=0),N402,0)</f>
        <v>0</v>
      </c>
      <c r="P402">
        <f ca="1">IFERROR(IF(COUNTIF(B402,"*云栖松*")&gt;0,50-加速!$L$11,MAX(0,P401-(A402-A401))),0)</f>
        <v>0</v>
      </c>
      <c r="Q402">
        <f ca="1">IF(COUNTIF(IF(AND(配装计算器!$K$30&lt;&gt;"∞",0),INDEX(AU401:CB401,1,$AT$1),INDEX(AU403:CB403,1,$AT$1)),"*云栖松*")=1,P402,0)</f>
        <v>0</v>
      </c>
      <c r="R402">
        <f ca="1">IFERROR(IF(COUNTIF(B402,"*莺鸣柳*")&gt;0,45-加速!$L$9,MAX(0,R401-(A402-A401))),0)</f>
        <v>0</v>
      </c>
      <c r="S402">
        <f ca="1">IF(COUNTIF(IF(AND(配装计算器!$K$30&lt;&gt;"∞",0),INDEX(AU401:CB401,1,$AT$1),INDEX(AU403:CB403,1,$AT$1)),"*莺鸣柳*")=1,R402,0)</f>
        <v>0</v>
      </c>
      <c r="T402">
        <f ca="1" t="shared" si="88"/>
        <v>0</v>
      </c>
      <c r="U402">
        <f ca="1">IF(金蛇,IF(COUNTIF(B402,"*金环戴*")+COUNTIF(B402,"*吹风醒*")&gt;0,IF(A402&lt;=3,7.125-2.625-A402-加速!$L$11,7.125+加速!$K$9-(A402+加速!$L$11-T402)),0),0)+IF(金蛇,IF(COUNTIF(B402,"*千切子裂光*")&gt;0,2+加速!$K$9-(A402+加速!$L$11-T402),0),0)</f>
        <v>0</v>
      </c>
      <c r="V402">
        <f ca="1" t="shared" si="89"/>
        <v>0</v>
      </c>
      <c r="W402">
        <f ca="1" t="shared" si="81"/>
        <v>0</v>
      </c>
      <c r="X402">
        <f ca="1">INDEX(加速!$I$13:$I$21,技能数计算!W402+1)</f>
        <v>0</v>
      </c>
      <c r="Y402">
        <f ca="1" t="shared" si="85"/>
        <v>0.5</v>
      </c>
      <c r="Z402">
        <f ca="1" t="shared" si="86"/>
        <v>0</v>
      </c>
      <c r="AA402">
        <f ca="1">MAX(0,IFERROR(IF(COUNTIF(B402,"*叠*")&gt;0,IF(AC401&lt;3,8-A403+A402,AA401+6.875-A403+A402),AA401-A403+A402),AA401-加速!$L$11))</f>
        <v>0</v>
      </c>
      <c r="AB402" t="e">
        <f ca="1">MAX(0,IF(COUNTIF(IF(AND(配装计算器!$K$30&lt;&gt;"∞",0),INDEX(AU402:CB402,1,$AT$1),INDEX(AU402:CB402,1,$AT$1)),"*叠1*")=1,4*25-加速!$L$11,AB401-A402+A401)-IF(OR(COUNTIF(OFFSET(AT402,0,$AT$1,1,1),"*听雷*")&gt;0,AND(碧归&gt;0,COUNTIF(OFFSET(AT402,0,$AT$1,1,1),"*风来*")&gt;0)),0,1)*1.5)</f>
        <v>#VALUE!</v>
      </c>
      <c r="AC402">
        <f ca="1" t="shared" si="82"/>
        <v>3</v>
      </c>
      <c r="AD402">
        <f ca="1">IF(COUNTIF(IF(AND(配装计算器!$K$30&lt;&gt;"∞",0),INDEX(AU402:CB402,1,$AT$1),INDEX(AU403:CB403,1,$AT$1)),"*叠1*")=1,AB402*0+AE401,0)</f>
        <v>0</v>
      </c>
      <c r="AE402" t="e">
        <f ca="1">IF($AN$11&gt;0,IF(COUNTIF(B403,"*叠1*")&gt;0,50-加速!$H$11,MAX(0,AE401-(A403-A402))),0)</f>
        <v>#VALUE!</v>
      </c>
      <c r="AU402" s="176" t="s">
        <v>2768</v>
      </c>
      <c r="AV402">
        <v>2</v>
      </c>
      <c r="AW402" t="s">
        <v>2768</v>
      </c>
      <c r="AX402">
        <v>2</v>
      </c>
      <c r="AY402" t="s">
        <v>3013</v>
      </c>
      <c r="AZ402">
        <v>2</v>
      </c>
      <c r="BA402" t="s">
        <v>2808</v>
      </c>
      <c r="BB402">
        <v>2</v>
      </c>
      <c r="BC402" t="s">
        <v>2768</v>
      </c>
      <c r="BD402">
        <v>1</v>
      </c>
      <c r="BE402" s="182" t="s">
        <v>2768</v>
      </c>
      <c r="BF402">
        <v>2</v>
      </c>
      <c r="BG402" t="s">
        <v>2768</v>
      </c>
      <c r="BH402">
        <v>2</v>
      </c>
      <c r="BI402" s="176" t="s">
        <v>2768</v>
      </c>
      <c r="BJ402">
        <v>1</v>
      </c>
      <c r="BK402" t="s">
        <v>2768</v>
      </c>
      <c r="BL402">
        <v>0</v>
      </c>
      <c r="BM402" t="str">
        <f>IF(0,"云飞玉皇-玉山揽云","云飞玉皇")</f>
        <v>云飞玉皇</v>
      </c>
      <c r="BN402">
        <v>2</v>
      </c>
      <c r="BO402" t="s">
        <v>2768</v>
      </c>
      <c r="BP402">
        <v>2</v>
      </c>
      <c r="BQ402" t="s">
        <v>2776</v>
      </c>
      <c r="BR402">
        <v>2</v>
      </c>
      <c r="BS402" s="176" t="s">
        <v>2768</v>
      </c>
      <c r="BT402">
        <v>2</v>
      </c>
      <c r="BU402" t="s">
        <v>2776</v>
      </c>
      <c r="BV402">
        <v>0</v>
      </c>
      <c r="BW402" s="179" t="s">
        <v>3009</v>
      </c>
      <c r="BX402" s="179">
        <v>2</v>
      </c>
      <c r="BY402" t="str">
        <f>IF(0,"云飞玉皇-玉山揽云","云飞玉皇")</f>
        <v>云飞玉皇</v>
      </c>
      <c r="BZ402">
        <v>2</v>
      </c>
      <c r="CA402" t="s">
        <v>2853</v>
      </c>
      <c r="CB402">
        <v>2</v>
      </c>
    </row>
    <row r="403" spans="1:80">
      <c r="A403" s="178" t="str">
        <f ca="1">IFERROR(IF(A402+加速!$L$11&lt;$AS$1,IF(COUNTIF(B402,"*轻*")&gt;0,A402+加速!$L$9,A402+加速!$L$11)+V402,IF(COUNTIF(INDEX(AU403:CB403,1,$AT$1),"*云景*")+COUNTIF(INDEX(AU403:CB403,1,$AT$1),"*鹤归*")+COUNTIF(INDEX(AU403:CB403,1,$AT$1),"*听雷*")&gt;0,A402+加速!$L$11,"")),"")</f>
        <v/>
      </c>
      <c r="B403" s="167" t="str">
        <f ca="1">IF(A403&lt;&gt;"",IF(AND(A403+加速!$L$11&gt;$AS$1,IF(AND(配装计算器!$K$30&lt;&gt;"∞",0),"梦泉虎跑-轻",INDEX(AU403:CB403,1,$AT$1))="云栖松"),"夕照雷峰",IF(AND(配装计算器!$K$30&lt;&gt;"∞",0),"梦泉虎跑-轻",INDEX(AU403:CB403,1,$AT$1))),"")</f>
        <v/>
      </c>
      <c r="C403" t="str">
        <f ca="1" t="shared" si="87"/>
        <v/>
      </c>
      <c r="D403" t="str">
        <f ca="1">IF(B403&lt;&gt;"",IF(C402&lt;=加速!$L$11*(1-E403),0,1),"")</f>
        <v/>
      </c>
      <c r="E403">
        <f ca="1" t="shared" si="83"/>
        <v>1</v>
      </c>
      <c r="G403" t="str">
        <f ca="1" t="shared" si="84"/>
        <v/>
      </c>
      <c r="H403" t="str">
        <f ca="1">IF(B403&lt;&gt;"",IF(AND(COUNTIF(B402,"*轻*莺鸣柳*")&gt;0,COUNTIF(B403,"*轻*")&lt;1),MAX(0,15+I402-(A403-A402)+COUNTIF(B402,"*平湖*")*0),IF(AND(E403=0,MAX(0,H402-(A403-A402))&lt;=加速!$H$11),0,MAX(0,H402-(A403-A402)))),"")</f>
        <v/>
      </c>
      <c r="I403" t="str">
        <f ca="1" t="shared" si="90"/>
        <v/>
      </c>
      <c r="J403" t="str">
        <f ca="1" t="shared" si="91"/>
        <v/>
      </c>
      <c r="K403" t="str">
        <f ca="1">IF(A403&lt;&gt;"",IF(AND(配装计算器!$K$30&lt;&gt;"∞",0),2,INDEX(AU403:CB403,1,$AT$2)),"")</f>
        <v/>
      </c>
      <c r="L403">
        <f ca="1">IFERROR(IF(AND(COUNTIF(B403,"*-峰插*"),技能数据库!$M$72&gt;0),0,IF(COUNTIF(B403,"*鹤归*")&gt;0,16-加速!$L$11,MAX(0,L402-(A403-A402)))),0)</f>
        <v>0</v>
      </c>
      <c r="M403">
        <f ca="1">IF(COUNTIF(IF(AND(配装计算器!$K$30&lt;&gt;"∞",0),INDEX(AU402:CB402,1,$AT$1),INDEX(AU404:CB404,1,$AT$1)),"*鹤归*")=1,L403,0)</f>
        <v>0</v>
      </c>
      <c r="N403">
        <f ca="1">IFERROR(IF(AND(COUNTIF(B403,"*-峰插*"),技能数据库!$M$72&gt;0),0,IF(COUNTIF(B403,"*云飞*")&gt;0,4-COUNTIF(B403,"*玉山揽云*")*4--COUNTIF(B403,"*烟流暮景*")*4-COUNTIF(B403,"*云景*")*加速!$L$11-IF(J403&gt;0,2,0),MAX(0,N402-(A403-A402)-IF(J403&gt;0,2,0)))),0)</f>
        <v>0</v>
      </c>
      <c r="O403">
        <f ca="1">IF(AND(COUNTIF(IF(AND(配装计算器!$K$30&lt;&gt;"∞",0),INDEX(AU402:CB402,1,$AT$1),INDEX(AU404:CB404,1,$AT$1)),"*云飞*")=1,COUNTIF(IF(AND(配装计算器!$K$30&lt;&gt;"∞",0),INDEX(AU402:CB402,1,$AT$1),INDEX(AU404:CB404,1,$AT$1)),"*玉山*")=0),N403,0)</f>
        <v>0</v>
      </c>
      <c r="P403">
        <f ca="1">IFERROR(IF(COUNTIF(B403,"*云栖松*")&gt;0,50-加速!$L$11,MAX(0,P402-(A403-A402))),0)</f>
        <v>0</v>
      </c>
      <c r="Q403">
        <f ca="1">IF(COUNTIF(IF(AND(配装计算器!$K$30&lt;&gt;"∞",0),INDEX(AU402:CB402,1,$AT$1),INDEX(AU404:CB404,1,$AT$1)),"*云栖松*")=1,P403,0)</f>
        <v>0</v>
      </c>
      <c r="R403">
        <f ca="1">IFERROR(IF(COUNTIF(B403,"*莺鸣柳*")&gt;0,45-加速!$L$9,MAX(0,R402-(A403-A402))),0)</f>
        <v>0</v>
      </c>
      <c r="S403">
        <f ca="1">IF(COUNTIF(IF(AND(配装计算器!$K$30&lt;&gt;"∞",0),INDEX(AU402:CB402,1,$AT$1),INDEX(AU404:CB404,1,$AT$1)),"*莺鸣柳*")=1,R403,0)</f>
        <v>0</v>
      </c>
      <c r="T403">
        <f ca="1" t="shared" si="88"/>
        <v>0</v>
      </c>
      <c r="U403">
        <f ca="1">IF(金蛇,IF(COUNTIF(B403,"*金环戴*")+COUNTIF(B403,"*吹风醒*")&gt;0,IF(A403&lt;=3,7.125-2.625-A403-加速!$L$11,7.125+加速!$K$9-(A403+加速!$L$11-T403)),0),0)+IF(金蛇,IF(COUNTIF(B403,"*千切子裂光*")&gt;0,2+加速!$K$9-(A403+加速!$L$11-T403),0),0)</f>
        <v>0</v>
      </c>
      <c r="V403">
        <f ca="1" t="shared" si="89"/>
        <v>0</v>
      </c>
      <c r="W403">
        <f ca="1" t="shared" si="81"/>
        <v>0</v>
      </c>
      <c r="X403">
        <f ca="1">INDEX(加速!$I$13:$I$21,技能数计算!W403+1)</f>
        <v>0</v>
      </c>
      <c r="Y403">
        <f ca="1" t="shared" si="85"/>
        <v>0.5</v>
      </c>
      <c r="Z403">
        <f ca="1" t="shared" si="86"/>
        <v>0</v>
      </c>
      <c r="AA403">
        <f ca="1">MAX(0,IFERROR(IF(COUNTIF(B403,"*叠*")&gt;0,IF(AC402&lt;3,8-A404+A403,AA402+6.875-A404+A403),AA402-A404+A403),AA402-加速!$L$11))</f>
        <v>0</v>
      </c>
      <c r="AB403" t="e">
        <f ca="1">MAX(0,IF(COUNTIF(IF(AND(配装计算器!$K$30&lt;&gt;"∞",0),INDEX(AU403:CB403,1,$AT$1),INDEX(AU403:CB403,1,$AT$1)),"*叠1*")=1,4*25-加速!$L$11,AB402-A403+A402)-IF(OR(COUNTIF(OFFSET(AT403,0,$AT$1,1,1),"*听雷*")&gt;0,AND(碧归&gt;0,COUNTIF(OFFSET(AT403,0,$AT$1,1,1),"*风来*")&gt;0)),0,1)*1.5)</f>
        <v>#VALUE!</v>
      </c>
      <c r="AC403">
        <f ca="1" t="shared" si="82"/>
        <v>3</v>
      </c>
      <c r="AD403">
        <f ca="1">IF(COUNTIF(IF(AND(配装计算器!$K$30&lt;&gt;"∞",0),INDEX(AU403:CB403,1,$AT$1),INDEX(AU404:CB404,1,$AT$1)),"*叠1*")=1,AB403*0+AE402,0)</f>
        <v>0</v>
      </c>
      <c r="AE403" t="e">
        <f ca="1">IF($AN$11&gt;0,IF(COUNTIF(B404,"*叠1*")&gt;0,50-加速!$H$11,MAX(0,AE402-(A404-A403))),0)</f>
        <v>#VALUE!</v>
      </c>
      <c r="AU403" s="176" t="s">
        <v>2776</v>
      </c>
      <c r="AV403">
        <v>2</v>
      </c>
      <c r="AW403" t="s">
        <v>2768</v>
      </c>
      <c r="AX403">
        <v>2</v>
      </c>
      <c r="AY403" t="s">
        <v>3017</v>
      </c>
      <c r="AZ403">
        <v>2</v>
      </c>
      <c r="BA403" t="s">
        <v>3022</v>
      </c>
      <c r="BB403">
        <v>2</v>
      </c>
      <c r="BC403" t="s">
        <v>2794</v>
      </c>
      <c r="BD403">
        <v>2</v>
      </c>
      <c r="BE403" s="176" t="s">
        <v>2768</v>
      </c>
      <c r="BF403">
        <v>2</v>
      </c>
      <c r="BG403" s="182" t="s">
        <v>3023</v>
      </c>
      <c r="BH403">
        <v>2</v>
      </c>
      <c r="BI403" s="176" t="s">
        <v>2768</v>
      </c>
      <c r="BJ403">
        <v>1</v>
      </c>
      <c r="BK403" t="s">
        <v>2776</v>
      </c>
      <c r="BL403">
        <v>0</v>
      </c>
      <c r="BM403" t="str">
        <f>IF(秋,"云栖松","泉凝月")</f>
        <v>泉凝月</v>
      </c>
      <c r="BN403">
        <v>2</v>
      </c>
      <c r="BO403" s="180" t="s">
        <v>2789</v>
      </c>
      <c r="BP403">
        <v>2</v>
      </c>
      <c r="BQ403" t="s">
        <v>2768</v>
      </c>
      <c r="BR403">
        <v>2</v>
      </c>
      <c r="BS403" s="176" t="s">
        <v>2776</v>
      </c>
      <c r="BT403">
        <v>2</v>
      </c>
      <c r="BU403" t="s">
        <v>3067</v>
      </c>
      <c r="BV403">
        <v>0</v>
      </c>
      <c r="BW403" s="179" t="s">
        <v>2768</v>
      </c>
      <c r="BX403" s="179">
        <v>2</v>
      </c>
      <c r="BY403" t="str">
        <f>IF(秋,"云栖松","泉凝月")</f>
        <v>泉凝月</v>
      </c>
      <c r="BZ403">
        <v>2</v>
      </c>
      <c r="CA403" s="176" t="s">
        <v>2850</v>
      </c>
      <c r="CB403">
        <f>IF(0,2,0)</f>
        <v>0</v>
      </c>
    </row>
    <row r="404" spans="1:80">
      <c r="A404" s="178" t="str">
        <f ca="1">IFERROR(IF(A403+加速!$L$11&lt;$AS$1,IF(COUNTIF(B403,"*轻*")&gt;0,A403+加速!$L$9,A403+加速!$L$11)+V403,IF(COUNTIF(INDEX(AU404:CB404,1,$AT$1),"*云景*")+COUNTIF(INDEX(AU404:CB404,1,$AT$1),"*鹤归*")+COUNTIF(INDEX(AU404:CB404,1,$AT$1),"*听雷*")&gt;0,A403+加速!$L$11,"")),"")</f>
        <v/>
      </c>
      <c r="B404" s="167" t="str">
        <f ca="1">IF(A404&lt;&gt;"",IF(AND(A404+加速!$L$11&gt;$AS$1,IF(AND(配装计算器!$K$30&lt;&gt;"∞",0),"梦泉虎跑-轻",INDEX(AU404:CB404,1,$AT$1))="云栖松"),"夕照雷峰",IF(AND(配装计算器!$K$30&lt;&gt;"∞",0),"梦泉虎跑-轻",INDEX(AU404:CB404,1,$AT$1))),"")</f>
        <v/>
      </c>
      <c r="C404" t="str">
        <f ca="1" t="shared" si="87"/>
        <v/>
      </c>
      <c r="D404" t="str">
        <f ca="1">IF(B404&lt;&gt;"",IF(C403&lt;=加速!$L$11*(1-E404),0,1),"")</f>
        <v/>
      </c>
      <c r="E404">
        <f ca="1" t="shared" si="83"/>
        <v>1</v>
      </c>
      <c r="G404" t="str">
        <f ca="1" t="shared" si="84"/>
        <v/>
      </c>
      <c r="H404" t="str">
        <f ca="1">IF(B404&lt;&gt;"",IF(AND(COUNTIF(B403,"*轻*莺鸣柳*")&gt;0,COUNTIF(B404,"*轻*")&lt;1),MAX(0,15+I403-(A404-A403)+COUNTIF(B403,"*平湖*")*0),IF(AND(E404=0,MAX(0,H403-(A404-A403))&lt;=加速!$H$11),0,MAX(0,H403-(A404-A403)))),"")</f>
        <v/>
      </c>
      <c r="I404" t="str">
        <f ca="1" t="shared" si="90"/>
        <v/>
      </c>
      <c r="J404" t="str">
        <f ca="1" t="shared" si="91"/>
        <v/>
      </c>
      <c r="K404" t="str">
        <f ca="1">IF(A404&lt;&gt;"",IF(AND(配装计算器!$K$30&lt;&gt;"∞",0),2,INDEX(AU404:CB404,1,$AT$2)),"")</f>
        <v/>
      </c>
      <c r="L404">
        <f ca="1">IFERROR(IF(AND(COUNTIF(B404,"*-峰插*"),技能数据库!$M$72&gt;0),0,IF(COUNTIF(B404,"*鹤归*")&gt;0,16-加速!$L$11,MAX(0,L403-(A404-A403)))),0)</f>
        <v>0</v>
      </c>
      <c r="M404">
        <f ca="1">IF(COUNTIF(IF(AND(配装计算器!$K$30&lt;&gt;"∞",0),INDEX(AU403:CB403,1,$AT$1),INDEX(AU405:CB405,1,$AT$1)),"*鹤归*")=1,L404,0)</f>
        <v>0</v>
      </c>
      <c r="N404">
        <f ca="1">IFERROR(IF(AND(COUNTIF(B404,"*-峰插*"),技能数据库!$M$72&gt;0),0,IF(COUNTIF(B404,"*云飞*")&gt;0,4-COUNTIF(B404,"*玉山揽云*")*4--COUNTIF(B404,"*烟流暮景*")*4-COUNTIF(B404,"*云景*")*加速!$L$11-IF(J404&gt;0,2,0),MAX(0,N403-(A404-A403)-IF(J404&gt;0,2,0)))),0)</f>
        <v>0</v>
      </c>
      <c r="O404">
        <f ca="1">IF(AND(COUNTIF(IF(AND(配装计算器!$K$30&lt;&gt;"∞",0),INDEX(AU403:CB403,1,$AT$1),INDEX(AU405:CB405,1,$AT$1)),"*云飞*")=1,COUNTIF(IF(AND(配装计算器!$K$30&lt;&gt;"∞",0),INDEX(AU403:CB403,1,$AT$1),INDEX(AU405:CB405,1,$AT$1)),"*玉山*")=0),N404,0)</f>
        <v>0</v>
      </c>
      <c r="P404">
        <f ca="1">IFERROR(IF(COUNTIF(B404,"*云栖松*")&gt;0,50-加速!$L$11,MAX(0,P403-(A404-A403))),0)</f>
        <v>0</v>
      </c>
      <c r="Q404">
        <f ca="1">IF(COUNTIF(IF(AND(配装计算器!$K$30&lt;&gt;"∞",0),INDEX(AU403:CB403,1,$AT$1),INDEX(AU405:CB405,1,$AT$1)),"*云栖松*")=1,P404,0)</f>
        <v>0</v>
      </c>
      <c r="R404">
        <f ca="1">IFERROR(IF(COUNTIF(B404,"*莺鸣柳*")&gt;0,45-加速!$L$9,MAX(0,R403-(A404-A403))),0)</f>
        <v>0</v>
      </c>
      <c r="S404">
        <f ca="1">IF(COUNTIF(IF(AND(配装计算器!$K$30&lt;&gt;"∞",0),INDEX(AU403:CB403,1,$AT$1),INDEX(AU405:CB405,1,$AT$1)),"*莺鸣柳*")=1,R404,0)</f>
        <v>0</v>
      </c>
      <c r="T404">
        <f ca="1" t="shared" si="88"/>
        <v>0</v>
      </c>
      <c r="U404">
        <f ca="1">IF(金蛇,IF(COUNTIF(B404,"*金环戴*")+COUNTIF(B404,"*吹风醒*")&gt;0,IF(A404&lt;=3,7.125-2.625-A404-加速!$L$11,7.125+加速!$K$9-(A404+加速!$L$11-T404)),0),0)+IF(金蛇,IF(COUNTIF(B404,"*千切子裂光*")&gt;0,2+加速!$K$9-(A404+加速!$L$11-T404),0),0)</f>
        <v>0</v>
      </c>
      <c r="V404">
        <f ca="1" t="shared" si="89"/>
        <v>0</v>
      </c>
      <c r="W404">
        <f ca="1" t="shared" si="81"/>
        <v>0</v>
      </c>
      <c r="X404">
        <f ca="1">INDEX(加速!$I$13:$I$21,技能数计算!W404+1)</f>
        <v>0</v>
      </c>
      <c r="Y404">
        <f ca="1" t="shared" si="85"/>
        <v>0.5</v>
      </c>
      <c r="Z404">
        <f ca="1" t="shared" si="86"/>
        <v>0</v>
      </c>
      <c r="AA404">
        <f ca="1">MAX(0,IFERROR(IF(COUNTIF(B404,"*叠*")&gt;0,IF(AC403&lt;3,8-A405+A404,AA403+6.875-A405+A404),AA403-A405+A404),AA403-加速!$L$11))</f>
        <v>0</v>
      </c>
      <c r="AB404" t="e">
        <f ca="1">MAX(0,IF(COUNTIF(IF(AND(配装计算器!$K$30&lt;&gt;"∞",0),INDEX(AU404:CB404,1,$AT$1),INDEX(AU404:CB404,1,$AT$1)),"*叠1*")=1,4*25-加速!$L$11,AB403-A404+A403)-IF(OR(COUNTIF(OFFSET(AT404,0,$AT$1,1,1),"*听雷*")&gt;0,AND(碧归&gt;0,COUNTIF(OFFSET(AT404,0,$AT$1,1,1),"*风来*")&gt;0)),0,1)*1.5)</f>
        <v>#VALUE!</v>
      </c>
      <c r="AC404">
        <f ca="1" t="shared" si="82"/>
        <v>3</v>
      </c>
      <c r="AD404">
        <f ca="1">IF(COUNTIF(IF(AND(配装计算器!$K$30&lt;&gt;"∞",0),INDEX(AU404:CB404,1,$AT$1),INDEX(AU405:CB405,1,$AT$1)),"*叠1*")=1,AB404*0+AE403,0)</f>
        <v>0</v>
      </c>
      <c r="AE404" t="e">
        <f ca="1">IF($AN$11&gt;0,IF(COUNTIF(B405,"*叠1*")&gt;0,50-加速!$H$11,MAX(0,AE403-(A405-A404))),0)</f>
        <v>#VALUE!</v>
      </c>
      <c r="AU404" s="176" t="s">
        <v>2768</v>
      </c>
      <c r="AV404">
        <v>2</v>
      </c>
      <c r="AW404" t="s">
        <v>2776</v>
      </c>
      <c r="AX404">
        <v>2</v>
      </c>
      <c r="AY404" t="s">
        <v>2808</v>
      </c>
      <c r="AZ404">
        <v>2</v>
      </c>
      <c r="BA404" t="s">
        <v>2776</v>
      </c>
      <c r="BB404">
        <v>2</v>
      </c>
      <c r="BC404" t="s">
        <v>2768</v>
      </c>
      <c r="BD404">
        <v>2</v>
      </c>
      <c r="BE404" s="176" t="s">
        <v>2789</v>
      </c>
      <c r="BF404">
        <v>2</v>
      </c>
      <c r="BG404" s="176" t="s">
        <v>2768</v>
      </c>
      <c r="BH404">
        <v>2</v>
      </c>
      <c r="BI404" s="176" t="s">
        <v>2776</v>
      </c>
      <c r="BJ404">
        <v>0</v>
      </c>
      <c r="BK404" t="s">
        <v>2768</v>
      </c>
      <c r="BL404">
        <v>0</v>
      </c>
      <c r="BM404" t="s">
        <v>2768</v>
      </c>
      <c r="BN404">
        <v>2</v>
      </c>
      <c r="BO404" s="176" t="s">
        <v>2794</v>
      </c>
      <c r="BP404">
        <v>2</v>
      </c>
      <c r="BQ404" t="s">
        <v>2768</v>
      </c>
      <c r="BR404">
        <v>2</v>
      </c>
      <c r="BS404" s="176" t="s">
        <v>2768</v>
      </c>
      <c r="BT404">
        <v>2</v>
      </c>
      <c r="BU404" t="s">
        <v>2768</v>
      </c>
      <c r="BV404">
        <v>2</v>
      </c>
      <c r="BW404" s="179" t="s">
        <v>2776</v>
      </c>
      <c r="BX404" s="179">
        <v>2</v>
      </c>
      <c r="BY404" t="s">
        <v>2768</v>
      </c>
      <c r="BZ404">
        <v>2</v>
      </c>
      <c r="CA404" s="176" t="str">
        <f>IF(秋,"金环戴","吹风醒")</f>
        <v>吹风醒</v>
      </c>
      <c r="CB404">
        <v>2</v>
      </c>
    </row>
    <row r="405" spans="1:80">
      <c r="A405" s="178" t="str">
        <f ca="1">IFERROR(IF(A404+加速!$L$11&lt;$AS$1,IF(COUNTIF(B404,"*轻*")&gt;0,A404+加速!$L$9,A404+加速!$L$11)+V404,IF(COUNTIF(INDEX(AU405:CB405,1,$AT$1),"*云景*")+COUNTIF(INDEX(AU405:CB405,1,$AT$1),"*鹤归*")+COUNTIF(INDEX(AU405:CB405,1,$AT$1),"*听雷*")&gt;0,A404+加速!$L$11,"")),"")</f>
        <v/>
      </c>
      <c r="B405" s="167" t="str">
        <f ca="1">IF(A405&lt;&gt;"",IF(AND(A405+加速!$L$11&gt;$AS$1,IF(AND(配装计算器!$K$30&lt;&gt;"∞",0),"梦泉虎跑-轻",INDEX(AU405:CB405,1,$AT$1))="云栖松"),"夕照雷峰",IF(AND(配装计算器!$K$30&lt;&gt;"∞",0),"梦泉虎跑-轻",INDEX(AU405:CB405,1,$AT$1))),"")</f>
        <v/>
      </c>
      <c r="C405" t="str">
        <f ca="1" t="shared" si="87"/>
        <v/>
      </c>
      <c r="D405" t="str">
        <f ca="1">IF(B405&lt;&gt;"",IF(C404&lt;=加速!$L$11*(1-E405),0,1),"")</f>
        <v/>
      </c>
      <c r="E405">
        <f ca="1" t="shared" si="83"/>
        <v>1</v>
      </c>
      <c r="G405" t="str">
        <f ca="1" t="shared" si="84"/>
        <v/>
      </c>
      <c r="H405" t="str">
        <f ca="1">IF(B405&lt;&gt;"",IF(AND(COUNTIF(B404,"*轻*莺鸣柳*")&gt;0,COUNTIF(B405,"*轻*")&lt;1),MAX(0,15+I404-(A405-A404)+COUNTIF(B404,"*平湖*")*0),IF(AND(E405=0,MAX(0,H404-(A405-A404))&lt;=加速!$H$11),0,MAX(0,H404-(A405-A404)))),"")</f>
        <v/>
      </c>
      <c r="I405" t="str">
        <f ca="1" t="shared" si="90"/>
        <v/>
      </c>
      <c r="J405" t="str">
        <f ca="1" t="shared" si="91"/>
        <v/>
      </c>
      <c r="K405" t="str">
        <f ca="1">IF(A405&lt;&gt;"",IF(AND(配装计算器!$K$30&lt;&gt;"∞",0),2,INDEX(AU405:CB405,1,$AT$2)),"")</f>
        <v/>
      </c>
      <c r="L405">
        <f ca="1">IFERROR(IF(AND(COUNTIF(B405,"*-峰插*"),技能数据库!$M$72&gt;0),0,IF(COUNTIF(B405,"*鹤归*")&gt;0,16-加速!$L$11,MAX(0,L404-(A405-A404)))),0)</f>
        <v>0</v>
      </c>
      <c r="M405">
        <f ca="1">IF(COUNTIF(IF(AND(配装计算器!$K$30&lt;&gt;"∞",0),INDEX(AU404:CB404,1,$AT$1),INDEX(AU406:CB406,1,$AT$1)),"*鹤归*")=1,L405,0)</f>
        <v>0</v>
      </c>
      <c r="N405">
        <f ca="1">IFERROR(IF(AND(COUNTIF(B405,"*-峰插*"),技能数据库!$M$72&gt;0),0,IF(COUNTIF(B405,"*云飞*")&gt;0,4-COUNTIF(B405,"*玉山揽云*")*4--COUNTIF(B405,"*烟流暮景*")*4-COUNTIF(B405,"*云景*")*加速!$L$11-IF(J405&gt;0,2,0),MAX(0,N404-(A405-A404)-IF(J405&gt;0,2,0)))),0)</f>
        <v>0</v>
      </c>
      <c r="O405">
        <f ca="1">IF(AND(COUNTIF(IF(AND(配装计算器!$K$30&lt;&gt;"∞",0),INDEX(AU404:CB404,1,$AT$1),INDEX(AU406:CB406,1,$AT$1)),"*云飞*")=1,COUNTIF(IF(AND(配装计算器!$K$30&lt;&gt;"∞",0),INDEX(AU404:CB404,1,$AT$1),INDEX(AU406:CB406,1,$AT$1)),"*玉山*")=0),N405,0)</f>
        <v>0</v>
      </c>
      <c r="P405">
        <f ca="1">IFERROR(IF(COUNTIF(B405,"*云栖松*")&gt;0,50-加速!$L$11,MAX(0,P404-(A405-A404))),0)</f>
        <v>0</v>
      </c>
      <c r="Q405">
        <f ca="1">IF(COUNTIF(IF(AND(配装计算器!$K$30&lt;&gt;"∞",0),INDEX(AU404:CB404,1,$AT$1),INDEX(AU406:CB406,1,$AT$1)),"*云栖松*")=1,P405,0)</f>
        <v>0</v>
      </c>
      <c r="R405">
        <f ca="1">IFERROR(IF(COUNTIF(B405,"*莺鸣柳*")&gt;0,45-加速!$L$9,MAX(0,R404-(A405-A404))),0)</f>
        <v>0</v>
      </c>
      <c r="S405">
        <f ca="1">IF(COUNTIF(IF(AND(配装计算器!$K$30&lt;&gt;"∞",0),INDEX(AU404:CB404,1,$AT$1),INDEX(AU406:CB406,1,$AT$1)),"*莺鸣柳*")=1,R405,0)</f>
        <v>0</v>
      </c>
      <c r="T405">
        <f ca="1" t="shared" si="88"/>
        <v>0</v>
      </c>
      <c r="U405">
        <f ca="1">IF(金蛇,IF(COUNTIF(B405,"*金环戴*")+COUNTIF(B405,"*吹风醒*")&gt;0,IF(A405&lt;=3,7.125-2.625-A405-加速!$L$11,7.125+加速!$K$9-(A405+加速!$L$11-T405)),0),0)+IF(金蛇,IF(COUNTIF(B405,"*千切子裂光*")&gt;0,2+加速!$K$9-(A405+加速!$L$11-T405),0),0)</f>
        <v>0</v>
      </c>
      <c r="V405">
        <f ca="1" t="shared" si="89"/>
        <v>0</v>
      </c>
      <c r="W405">
        <f ca="1" t="shared" si="81"/>
        <v>0</v>
      </c>
      <c r="X405">
        <f ca="1">INDEX(加速!$I$13:$I$21,技能数计算!W405+1)</f>
        <v>0</v>
      </c>
      <c r="Y405">
        <f ca="1" t="shared" si="85"/>
        <v>0.5</v>
      </c>
      <c r="Z405">
        <f ca="1" t="shared" si="86"/>
        <v>0</v>
      </c>
      <c r="AA405">
        <f ca="1">MAX(0,IFERROR(IF(COUNTIF(B405,"*叠*")&gt;0,IF(AC404&lt;3,8-A406+A405,AA404+6.875-A406+A405),AA404-A406+A405),AA404-加速!$L$11))</f>
        <v>0</v>
      </c>
      <c r="AB405" t="e">
        <f ca="1">MAX(0,IF(COUNTIF(IF(AND(配装计算器!$K$30&lt;&gt;"∞",0),INDEX(AU405:CB405,1,$AT$1),INDEX(AU405:CB405,1,$AT$1)),"*叠1*")=1,4*25-加速!$L$11,AB404-A405+A404)-IF(OR(COUNTIF(OFFSET(AT405,0,$AT$1,1,1),"*听雷*")&gt;0,AND(碧归&gt;0,COUNTIF(OFFSET(AT405,0,$AT$1,1,1),"*风来*")&gt;0)),0,1)*1.5)</f>
        <v>#VALUE!</v>
      </c>
      <c r="AC405">
        <f ca="1" t="shared" si="82"/>
        <v>3</v>
      </c>
      <c r="AD405">
        <f ca="1">IF(COUNTIF(IF(AND(配装计算器!$K$30&lt;&gt;"∞",0),INDEX(AU405:CB405,1,$AT$1),INDEX(AU406:CB406,1,$AT$1)),"*叠1*")=1,AB405*0+AE404,0)</f>
        <v>0</v>
      </c>
      <c r="AE405" t="e">
        <f ca="1">IF($AN$11&gt;0,IF(COUNTIF(B406,"*叠1*")&gt;0,50-加速!$H$11,MAX(0,AE404-(A406-A405))),0)</f>
        <v>#VALUE!</v>
      </c>
      <c r="AU405" s="176" t="s">
        <v>2776</v>
      </c>
      <c r="AV405">
        <v>2</v>
      </c>
      <c r="AW405" t="s">
        <v>2768</v>
      </c>
      <c r="AX405">
        <v>2</v>
      </c>
      <c r="AY405" t="s">
        <v>3022</v>
      </c>
      <c r="AZ405">
        <v>2</v>
      </c>
      <c r="BA405" t="s">
        <v>2768</v>
      </c>
      <c r="BB405">
        <v>2</v>
      </c>
      <c r="BC405" t="s">
        <v>2776</v>
      </c>
      <c r="BD405">
        <v>2</v>
      </c>
      <c r="BE405" s="176" t="s">
        <v>2776</v>
      </c>
      <c r="BF405">
        <v>2</v>
      </c>
      <c r="BG405" s="176" t="s">
        <v>2768</v>
      </c>
      <c r="BH405">
        <v>2</v>
      </c>
      <c r="BI405" t="s">
        <v>2794</v>
      </c>
      <c r="BJ405">
        <v>0</v>
      </c>
      <c r="BK405" t="s">
        <v>3067</v>
      </c>
      <c r="BL405">
        <v>2</v>
      </c>
      <c r="BM405" t="s">
        <v>1886</v>
      </c>
      <c r="BN405">
        <v>2</v>
      </c>
      <c r="BO405" s="176" t="s">
        <v>2776</v>
      </c>
      <c r="BP405">
        <v>2</v>
      </c>
      <c r="BQ405" t="s">
        <v>2768</v>
      </c>
      <c r="BR405">
        <v>1</v>
      </c>
      <c r="BS405" s="176" t="s">
        <v>2794</v>
      </c>
      <c r="BT405">
        <v>2</v>
      </c>
      <c r="BU405" t="s">
        <v>2768</v>
      </c>
      <c r="BV405">
        <v>2</v>
      </c>
      <c r="BW405" s="179" t="s">
        <v>2768</v>
      </c>
      <c r="BX405" s="179">
        <v>2</v>
      </c>
      <c r="BY405" t="s">
        <v>1886</v>
      </c>
      <c r="BZ405">
        <v>2</v>
      </c>
      <c r="CA405" s="176" t="s">
        <v>2768</v>
      </c>
      <c r="CB405">
        <v>2</v>
      </c>
    </row>
    <row r="406" spans="1:80">
      <c r="A406" s="178" t="str">
        <f ca="1">IFERROR(IF(A405+加速!$L$11&lt;$AS$1,IF(COUNTIF(B405,"*轻*")&gt;0,A405+加速!$L$9,A405+加速!$L$11)+V405,IF(COUNTIF(INDEX(AU406:CB406,1,$AT$1),"*云景*")+COUNTIF(INDEX(AU406:CB406,1,$AT$1),"*鹤归*")+COUNTIF(INDEX(AU406:CB406,1,$AT$1),"*听雷*")&gt;0,A405+加速!$L$11,"")),"")</f>
        <v/>
      </c>
      <c r="B406" s="167" t="str">
        <f ca="1">IF(A406&lt;&gt;"",IF(AND(A406+加速!$L$11&gt;$AS$1,IF(AND(配装计算器!$K$30&lt;&gt;"∞",0),"梦泉虎跑-轻",INDEX(AU406:CB406,1,$AT$1))="云栖松"),"夕照雷峰",IF(AND(配装计算器!$K$30&lt;&gt;"∞",0),"梦泉虎跑-轻",INDEX(AU406:CB406,1,$AT$1))),"")</f>
        <v/>
      </c>
      <c r="C406" t="str">
        <f ca="1" t="shared" si="87"/>
        <v/>
      </c>
      <c r="D406" t="str">
        <f ca="1">IF(B406&lt;&gt;"",IF(C405&lt;=加速!$L$11*(1-E406),0,1),"")</f>
        <v/>
      </c>
      <c r="E406">
        <f ca="1" t="shared" si="83"/>
        <v>1</v>
      </c>
      <c r="G406" t="str">
        <f ca="1" t="shared" si="84"/>
        <v/>
      </c>
      <c r="H406" t="str">
        <f ca="1">IF(B406&lt;&gt;"",IF(AND(COUNTIF(B405,"*轻*莺鸣柳*")&gt;0,COUNTIF(B406,"*轻*")&lt;1),MAX(0,15+I405-(A406-A405)+COUNTIF(B405,"*平湖*")*0),IF(AND(E406=0,MAX(0,H405-(A406-A405))&lt;=加速!$H$11),0,MAX(0,H405-(A406-A405)))),"")</f>
        <v/>
      </c>
      <c r="I406" t="str">
        <f ca="1" t="shared" si="90"/>
        <v/>
      </c>
      <c r="J406" t="str">
        <f ca="1" t="shared" si="91"/>
        <v/>
      </c>
      <c r="K406" t="str">
        <f ca="1">IF(A406&lt;&gt;"",IF(AND(配装计算器!$K$30&lt;&gt;"∞",0),2,INDEX(AU406:CB406,1,$AT$2)),"")</f>
        <v/>
      </c>
      <c r="L406">
        <f ca="1">IFERROR(IF(AND(COUNTIF(B406,"*-峰插*"),技能数据库!$M$72&gt;0),0,IF(COUNTIF(B406,"*鹤归*")&gt;0,16-加速!$L$11,MAX(0,L405-(A406-A405)))),0)</f>
        <v>0</v>
      </c>
      <c r="M406">
        <f ca="1">IF(COUNTIF(IF(AND(配装计算器!$K$30&lt;&gt;"∞",0),INDEX(AU405:CB405,1,$AT$1),INDEX(AU407:CB407,1,$AT$1)),"*鹤归*")=1,L406,0)</f>
        <v>0</v>
      </c>
      <c r="N406">
        <f ca="1">IFERROR(IF(AND(COUNTIF(B406,"*-峰插*"),技能数据库!$M$72&gt;0),0,IF(COUNTIF(B406,"*云飞*")&gt;0,4-COUNTIF(B406,"*玉山揽云*")*4--COUNTIF(B406,"*烟流暮景*")*4-COUNTIF(B406,"*云景*")*加速!$L$11-IF(J406&gt;0,2,0),MAX(0,N405-(A406-A405)-IF(J406&gt;0,2,0)))),0)</f>
        <v>0</v>
      </c>
      <c r="O406">
        <f ca="1">IF(AND(COUNTIF(IF(AND(配装计算器!$K$30&lt;&gt;"∞",0),INDEX(AU405:CB405,1,$AT$1),INDEX(AU407:CB407,1,$AT$1)),"*云飞*")=1,COUNTIF(IF(AND(配装计算器!$K$30&lt;&gt;"∞",0),INDEX(AU405:CB405,1,$AT$1),INDEX(AU407:CB407,1,$AT$1)),"*玉山*")=0),N406,0)</f>
        <v>0</v>
      </c>
      <c r="P406">
        <f ca="1">IFERROR(IF(COUNTIF(B406,"*云栖松*")&gt;0,50-加速!$L$11,MAX(0,P405-(A406-A405))),0)</f>
        <v>0</v>
      </c>
      <c r="Q406">
        <f ca="1">IF(COUNTIF(IF(AND(配装计算器!$K$30&lt;&gt;"∞",0),INDEX(AU405:CB405,1,$AT$1),INDEX(AU407:CB407,1,$AT$1)),"*云栖松*")=1,P406,0)</f>
        <v>0</v>
      </c>
      <c r="R406">
        <f ca="1">IFERROR(IF(COUNTIF(B406,"*莺鸣柳*")&gt;0,45-加速!$L$9,MAX(0,R405-(A406-A405))),0)</f>
        <v>0</v>
      </c>
      <c r="S406">
        <f ca="1">IF(COUNTIF(IF(AND(配装计算器!$K$30&lt;&gt;"∞",0),INDEX(AU405:CB405,1,$AT$1),INDEX(AU407:CB407,1,$AT$1)),"*莺鸣柳*")=1,R406,0)</f>
        <v>0</v>
      </c>
      <c r="T406">
        <f ca="1" t="shared" si="88"/>
        <v>0</v>
      </c>
      <c r="U406">
        <f ca="1">IF(金蛇,IF(COUNTIF(B406,"*金环戴*")+COUNTIF(B406,"*吹风醒*")&gt;0,IF(A406&lt;=3,7.125-2.625-A406-加速!$L$11,7.125+加速!$K$9-(A406+加速!$L$11-T406)),0),0)+IF(金蛇,IF(COUNTIF(B406,"*千切子裂光*")&gt;0,2+加速!$K$9-(A406+加速!$L$11-T406),0),0)</f>
        <v>0</v>
      </c>
      <c r="V406">
        <f ca="1" t="shared" si="89"/>
        <v>0</v>
      </c>
      <c r="W406">
        <f ca="1" t="shared" si="81"/>
        <v>0</v>
      </c>
      <c r="X406">
        <f ca="1">INDEX(加速!$I$13:$I$21,技能数计算!W406+1)</f>
        <v>0</v>
      </c>
      <c r="Y406">
        <f ca="1" t="shared" si="85"/>
        <v>0.5</v>
      </c>
      <c r="Z406">
        <f ca="1" t="shared" si="86"/>
        <v>0</v>
      </c>
      <c r="AA406">
        <f ca="1">MAX(0,IFERROR(IF(COUNTIF(B406,"*叠*")&gt;0,IF(AC405&lt;3,8-A407+A406,AA405+6.875-A407+A406),AA405-A407+A406),AA405-加速!$L$11))</f>
        <v>0</v>
      </c>
      <c r="AB406" t="e">
        <f ca="1">MAX(0,IF(COUNTIF(IF(AND(配装计算器!$K$30&lt;&gt;"∞",0),INDEX(AU406:CB406,1,$AT$1),INDEX(AU406:CB406,1,$AT$1)),"*叠1*")=1,4*25-加速!$L$11,AB405-A406+A405)-IF(OR(COUNTIF(OFFSET(AT406,0,$AT$1,1,1),"*听雷*")&gt;0,AND(碧归&gt;0,COUNTIF(OFFSET(AT406,0,$AT$1,1,1),"*风来*")&gt;0)),0,1)*1.5)</f>
        <v>#VALUE!</v>
      </c>
      <c r="AC406">
        <f ca="1" t="shared" si="82"/>
        <v>3</v>
      </c>
      <c r="AD406">
        <f ca="1">IF(COUNTIF(IF(AND(配装计算器!$K$30&lt;&gt;"∞",0),INDEX(AU406:CB406,1,$AT$1),INDEX(AU407:CB407,1,$AT$1)),"*叠1*")=1,AB406*0+AE405,0)</f>
        <v>0</v>
      </c>
      <c r="AE406" t="e">
        <f ca="1">IF($AN$11&gt;0,IF(COUNTIF(B407,"*叠1*")&gt;0,50-加速!$H$11,MAX(0,AE405-(A407-A406))),0)</f>
        <v>#VALUE!</v>
      </c>
      <c r="AU406" s="176" t="s">
        <v>2768</v>
      </c>
      <c r="AV406">
        <v>1</v>
      </c>
      <c r="AW406" t="s">
        <v>2768</v>
      </c>
      <c r="AX406">
        <v>2</v>
      </c>
      <c r="AY406" t="s">
        <v>2776</v>
      </c>
      <c r="AZ406">
        <v>2</v>
      </c>
      <c r="BA406" t="s">
        <v>2768</v>
      </c>
      <c r="BB406">
        <v>2</v>
      </c>
      <c r="BC406" t="s">
        <v>2768</v>
      </c>
      <c r="BD406">
        <v>2</v>
      </c>
      <c r="BE406" s="176" t="s">
        <v>3035</v>
      </c>
      <c r="BF406">
        <v>2</v>
      </c>
      <c r="BG406" s="176" t="s">
        <v>2768</v>
      </c>
      <c r="BH406">
        <v>2</v>
      </c>
      <c r="BI406" t="s">
        <v>2768</v>
      </c>
      <c r="BJ406">
        <v>2</v>
      </c>
      <c r="BK406" s="176" t="s">
        <v>2768</v>
      </c>
      <c r="BL406">
        <v>2</v>
      </c>
      <c r="BM406" t="s">
        <v>2853</v>
      </c>
      <c r="BN406">
        <v>2</v>
      </c>
      <c r="BO406" s="176" t="s">
        <v>2768</v>
      </c>
      <c r="BP406">
        <v>2</v>
      </c>
      <c r="BQ406" t="s">
        <v>2776</v>
      </c>
      <c r="BR406">
        <v>1</v>
      </c>
      <c r="BS406" t="s">
        <v>2768</v>
      </c>
      <c r="BT406">
        <v>2</v>
      </c>
      <c r="BU406" s="176" t="s">
        <v>2794</v>
      </c>
      <c r="BV406">
        <v>1</v>
      </c>
      <c r="BW406" s="179" t="s">
        <v>2768</v>
      </c>
      <c r="BX406" s="179">
        <v>2</v>
      </c>
      <c r="BY406" t="s">
        <v>2853</v>
      </c>
      <c r="BZ406">
        <v>2</v>
      </c>
      <c r="CA406" s="176" t="str">
        <f>IF(秋,"云飞玉皇","云飞玉皇·云景")</f>
        <v>云飞玉皇·云景</v>
      </c>
      <c r="CB406">
        <v>2</v>
      </c>
    </row>
    <row r="407" spans="1:80">
      <c r="A407" s="178" t="str">
        <f ca="1">IFERROR(IF(A406+加速!$L$11&lt;$AS$1,IF(COUNTIF(B406,"*轻*")&gt;0,A406+加速!$L$9,A406+加速!$L$11)+V406,IF(COUNTIF(INDEX(AU407:CB407,1,$AT$1),"*云景*")+COUNTIF(INDEX(AU407:CB407,1,$AT$1),"*鹤归*")+COUNTIF(INDEX(AU407:CB407,1,$AT$1),"*听雷*")&gt;0,A406+加速!$L$11,"")),"")</f>
        <v/>
      </c>
      <c r="B407" s="167" t="str">
        <f ca="1">IF(A407&lt;&gt;"",IF(AND(A407+加速!$L$11&gt;$AS$1,IF(AND(配装计算器!$K$30&lt;&gt;"∞",0),"梦泉虎跑-轻",INDEX(AU407:CB407,1,$AT$1))="云栖松"),"夕照雷峰",IF(AND(配装计算器!$K$30&lt;&gt;"∞",0),"梦泉虎跑-轻",INDEX(AU407:CB407,1,$AT$1))),"")</f>
        <v/>
      </c>
      <c r="C407" t="str">
        <f ca="1" t="shared" si="87"/>
        <v/>
      </c>
      <c r="D407" t="str">
        <f ca="1">IF(B407&lt;&gt;"",IF(C406&lt;=加速!$L$11*(1-E407),0,1),"")</f>
        <v/>
      </c>
      <c r="E407">
        <f ca="1" t="shared" si="83"/>
        <v>1</v>
      </c>
      <c r="G407" t="str">
        <f ca="1" t="shared" si="84"/>
        <v/>
      </c>
      <c r="H407" t="str">
        <f ca="1">IF(B407&lt;&gt;"",IF(AND(COUNTIF(B406,"*轻*莺鸣柳*")&gt;0,COUNTIF(B407,"*轻*")&lt;1),MAX(0,15+I406-(A407-A406)+COUNTIF(B406,"*平湖*")*0),IF(AND(E407=0,MAX(0,H406-(A407-A406))&lt;=加速!$H$11),0,MAX(0,H406-(A407-A406)))),"")</f>
        <v/>
      </c>
      <c r="I407" t="str">
        <f ca="1" t="shared" si="90"/>
        <v/>
      </c>
      <c r="J407" t="str">
        <f ca="1" t="shared" si="91"/>
        <v/>
      </c>
      <c r="K407" t="str">
        <f ca="1">IF(A407&lt;&gt;"",IF(AND(配装计算器!$K$30&lt;&gt;"∞",0),2,INDEX(AU407:CB407,1,$AT$2)),"")</f>
        <v/>
      </c>
      <c r="L407">
        <f ca="1">IFERROR(IF(AND(COUNTIF(B407,"*-峰插*"),技能数据库!$M$72&gt;0),0,IF(COUNTIF(B407,"*鹤归*")&gt;0,16-加速!$L$11,MAX(0,L406-(A407-A406)))),0)</f>
        <v>0</v>
      </c>
      <c r="M407">
        <f ca="1">IF(COUNTIF(IF(AND(配装计算器!$K$30&lt;&gt;"∞",0),INDEX(AU406:CB406,1,$AT$1),INDEX(AU408:CB408,1,$AT$1)),"*鹤归*")=1,L407,0)</f>
        <v>0</v>
      </c>
      <c r="N407">
        <f ca="1">IFERROR(IF(AND(COUNTIF(B407,"*-峰插*"),技能数据库!$M$72&gt;0),0,IF(COUNTIF(B407,"*云飞*")&gt;0,4-COUNTIF(B407,"*玉山揽云*")*4--COUNTIF(B407,"*烟流暮景*")*4-COUNTIF(B407,"*云景*")*加速!$L$11-IF(J407&gt;0,2,0),MAX(0,N406-(A407-A406)-IF(J407&gt;0,2,0)))),0)</f>
        <v>0</v>
      </c>
      <c r="O407">
        <f ca="1">IF(AND(COUNTIF(IF(AND(配装计算器!$K$30&lt;&gt;"∞",0),INDEX(AU406:CB406,1,$AT$1),INDEX(AU408:CB408,1,$AT$1)),"*云飞*")=1,COUNTIF(IF(AND(配装计算器!$K$30&lt;&gt;"∞",0),INDEX(AU406:CB406,1,$AT$1),INDEX(AU408:CB408,1,$AT$1)),"*玉山*")=0),N407,0)</f>
        <v>0</v>
      </c>
      <c r="P407">
        <f ca="1">IFERROR(IF(COUNTIF(B407,"*云栖松*")&gt;0,50-加速!$L$11,MAX(0,P406-(A407-A406))),0)</f>
        <v>0</v>
      </c>
      <c r="Q407">
        <f ca="1">IF(COUNTIF(IF(AND(配装计算器!$K$30&lt;&gt;"∞",0),INDEX(AU406:CB406,1,$AT$1),INDEX(AU408:CB408,1,$AT$1)),"*云栖松*")=1,P407,0)</f>
        <v>0</v>
      </c>
      <c r="R407">
        <f ca="1">IFERROR(IF(COUNTIF(B407,"*莺鸣柳*")&gt;0,45-加速!$L$9,MAX(0,R406-(A407-A406))),0)</f>
        <v>0</v>
      </c>
      <c r="S407">
        <f ca="1">IF(COUNTIF(IF(AND(配装计算器!$K$30&lt;&gt;"∞",0),INDEX(AU406:CB406,1,$AT$1),INDEX(AU408:CB408,1,$AT$1)),"*莺鸣柳*")=1,R407,0)</f>
        <v>0</v>
      </c>
      <c r="T407">
        <f ca="1" t="shared" si="88"/>
        <v>0</v>
      </c>
      <c r="U407">
        <f ca="1">IF(金蛇,IF(COUNTIF(B407,"*金环戴*")+COUNTIF(B407,"*吹风醒*")&gt;0,IF(A407&lt;=3,7.125-2.625-A407-加速!$L$11,7.125+加速!$K$9-(A407+加速!$L$11-T407)),0),0)+IF(金蛇,IF(COUNTIF(B407,"*千切子裂光*")&gt;0,2+加速!$K$9-(A407+加速!$L$11-T407),0),0)</f>
        <v>0</v>
      </c>
      <c r="V407">
        <f ca="1" t="shared" si="89"/>
        <v>0</v>
      </c>
      <c r="W407">
        <f ca="1" t="shared" si="81"/>
        <v>0</v>
      </c>
      <c r="X407">
        <f ca="1">INDEX(加速!$I$13:$I$21,技能数计算!W407+1)</f>
        <v>0</v>
      </c>
      <c r="Y407">
        <f ca="1" t="shared" si="85"/>
        <v>0.5</v>
      </c>
      <c r="Z407">
        <f ca="1" t="shared" si="86"/>
        <v>0</v>
      </c>
      <c r="AA407">
        <f ca="1">MAX(0,IFERROR(IF(COUNTIF(B407,"*叠*")&gt;0,IF(AC406&lt;3,8-A408+A407,AA406+6.875-A408+A407),AA406-A408+A407),AA406-加速!$L$11))</f>
        <v>0</v>
      </c>
      <c r="AB407" t="e">
        <f ca="1">MAX(0,IF(COUNTIF(IF(AND(配装计算器!$K$30&lt;&gt;"∞",0),INDEX(AU407:CB407,1,$AT$1),INDEX(AU407:CB407,1,$AT$1)),"*叠1*")=1,4*25-加速!$L$11,AB406-A407+A406)-IF(OR(COUNTIF(OFFSET(AT407,0,$AT$1,1,1),"*听雷*")&gt;0,AND(碧归&gt;0,COUNTIF(OFFSET(AT407,0,$AT$1,1,1),"*风来*")&gt;0)),0,1)*1.5)</f>
        <v>#VALUE!</v>
      </c>
      <c r="AC407">
        <f ca="1" t="shared" si="82"/>
        <v>3</v>
      </c>
      <c r="AD407">
        <f ca="1">IF(COUNTIF(IF(AND(配装计算器!$K$30&lt;&gt;"∞",0),INDEX(AU407:CB407,1,$AT$1),INDEX(AU408:CB408,1,$AT$1)),"*叠1*")=1,AB407*0+AE406,0)</f>
        <v>0</v>
      </c>
      <c r="AE407" t="e">
        <f ca="1">IF($AN$11&gt;0,IF(COUNTIF(B408,"*叠1*")&gt;0,50-加速!$H$11,MAX(0,AE406-(A408-A407))),0)</f>
        <v>#VALUE!</v>
      </c>
      <c r="AU407" t="s">
        <v>2776</v>
      </c>
      <c r="AV407">
        <v>1</v>
      </c>
      <c r="AW407" t="s">
        <v>2768</v>
      </c>
      <c r="AX407">
        <v>2</v>
      </c>
      <c r="AY407" t="s">
        <v>2768</v>
      </c>
      <c r="AZ407">
        <v>2</v>
      </c>
      <c r="BA407" t="s">
        <v>2776</v>
      </c>
      <c r="BB407">
        <v>2</v>
      </c>
      <c r="BC407" t="s">
        <v>2776</v>
      </c>
      <c r="BD407">
        <v>2</v>
      </c>
      <c r="BE407" t="s">
        <v>2768</v>
      </c>
      <c r="BF407">
        <v>2</v>
      </c>
      <c r="BG407" s="176" t="s">
        <v>2776</v>
      </c>
      <c r="BH407">
        <v>2</v>
      </c>
      <c r="BI407" t="s">
        <v>2776</v>
      </c>
      <c r="BJ407">
        <v>2</v>
      </c>
      <c r="BK407" s="176" t="s">
        <v>2776</v>
      </c>
      <c r="BL407">
        <v>2</v>
      </c>
      <c r="BM407" s="176" t="s">
        <v>2850</v>
      </c>
      <c r="BN407">
        <f>IF(0,2,0)</f>
        <v>0</v>
      </c>
      <c r="BO407" s="176" t="s">
        <v>2776</v>
      </c>
      <c r="BP407">
        <v>2</v>
      </c>
      <c r="BQ407" t="s">
        <v>2768</v>
      </c>
      <c r="BR407">
        <v>1</v>
      </c>
      <c r="BS407" t="s">
        <v>2776</v>
      </c>
      <c r="BT407">
        <v>2</v>
      </c>
      <c r="BU407" t="s">
        <v>2776</v>
      </c>
      <c r="BV407">
        <v>1</v>
      </c>
      <c r="BW407" s="182" t="s">
        <v>2794</v>
      </c>
      <c r="BX407" s="179">
        <v>2</v>
      </c>
      <c r="BY407" s="176" t="s">
        <v>2850</v>
      </c>
      <c r="BZ407">
        <f>IF(0,2,0)</f>
        <v>0</v>
      </c>
      <c r="CA407" t="str">
        <f>IF(0,"云飞玉皇","夕照雷峰")</f>
        <v>夕照雷峰</v>
      </c>
      <c r="CB407">
        <f>IF(0,2,2)</f>
        <v>2</v>
      </c>
    </row>
    <row r="408" spans="1:80">
      <c r="A408" s="178" t="str">
        <f ca="1">IFERROR(IF(A407+加速!$L$11&lt;$AS$1,IF(COUNTIF(B407,"*轻*")&gt;0,A407+加速!$L$9,A407+加速!$L$11)+V407,IF(COUNTIF(INDEX(AU408:CB408,1,$AT$1),"*云景*")+COUNTIF(INDEX(AU408:CB408,1,$AT$1),"*鹤归*")+COUNTIF(INDEX(AU408:CB408,1,$AT$1),"*听雷*")&gt;0,A407+加速!$L$11,"")),"")</f>
        <v/>
      </c>
      <c r="B408" s="167" t="str">
        <f ca="1">IF(A408&lt;&gt;"",IF(AND(A408+加速!$L$11&gt;$AS$1,IF(AND(配装计算器!$K$30&lt;&gt;"∞",0),"梦泉虎跑-轻",INDEX(AU408:CB408,1,$AT$1))="云栖松"),"夕照雷峰",IF(AND(配装计算器!$K$30&lt;&gt;"∞",0),"梦泉虎跑-轻",INDEX(AU408:CB408,1,$AT$1))),"")</f>
        <v/>
      </c>
      <c r="C408" t="str">
        <f ca="1" t="shared" si="87"/>
        <v/>
      </c>
      <c r="D408" t="str">
        <f ca="1">IF(B408&lt;&gt;"",IF(C407&lt;=加速!$L$11*(1-E408),0,1),"")</f>
        <v/>
      </c>
      <c r="E408">
        <f ca="1" t="shared" si="83"/>
        <v>1</v>
      </c>
      <c r="G408" t="str">
        <f ca="1" t="shared" si="84"/>
        <v/>
      </c>
      <c r="H408" t="str">
        <f ca="1">IF(B408&lt;&gt;"",IF(AND(COUNTIF(B407,"*轻*莺鸣柳*")&gt;0,COUNTIF(B408,"*轻*")&lt;1),MAX(0,15+I407-(A408-A407)+COUNTIF(B407,"*平湖*")*0),IF(AND(E408=0,MAX(0,H407-(A408-A407))&lt;=加速!$H$11),0,MAX(0,H407-(A408-A407)))),"")</f>
        <v/>
      </c>
      <c r="I408" t="str">
        <f ca="1" t="shared" si="90"/>
        <v/>
      </c>
      <c r="J408" t="str">
        <f ca="1" t="shared" si="91"/>
        <v/>
      </c>
      <c r="K408" t="str">
        <f ca="1">IF(A408&lt;&gt;"",IF(AND(配装计算器!$K$30&lt;&gt;"∞",0),2,INDEX(AU408:CB408,1,$AT$2)),"")</f>
        <v/>
      </c>
      <c r="L408">
        <f ca="1">IFERROR(IF(AND(COUNTIF(B408,"*-峰插*"),技能数据库!$M$72&gt;0),0,IF(COUNTIF(B408,"*鹤归*")&gt;0,16-加速!$L$11,MAX(0,L407-(A408-A407)))),0)</f>
        <v>0</v>
      </c>
      <c r="M408">
        <f ca="1">IF(COUNTIF(IF(AND(配装计算器!$K$30&lt;&gt;"∞",0),INDEX(AU407:CB407,1,$AT$1),INDEX(AU409:CB409,1,$AT$1)),"*鹤归*")=1,L408,0)</f>
        <v>0</v>
      </c>
      <c r="N408">
        <f ca="1">IFERROR(IF(AND(COUNTIF(B408,"*-峰插*"),技能数据库!$M$72&gt;0),0,IF(COUNTIF(B408,"*云飞*")&gt;0,4-COUNTIF(B408,"*玉山揽云*")*4--COUNTIF(B408,"*烟流暮景*")*4-COUNTIF(B408,"*云景*")*加速!$L$11-IF(J408&gt;0,2,0),MAX(0,N407-(A408-A407)-IF(J408&gt;0,2,0)))),0)</f>
        <v>0</v>
      </c>
      <c r="O408">
        <f ca="1">IF(AND(COUNTIF(IF(AND(配装计算器!$K$30&lt;&gt;"∞",0),INDEX(AU407:CB407,1,$AT$1),INDEX(AU409:CB409,1,$AT$1)),"*云飞*")=1,COUNTIF(IF(AND(配装计算器!$K$30&lt;&gt;"∞",0),INDEX(AU407:CB407,1,$AT$1),INDEX(AU409:CB409,1,$AT$1)),"*玉山*")=0),N408,0)</f>
        <v>0</v>
      </c>
      <c r="P408">
        <f ca="1">IFERROR(IF(COUNTIF(B408,"*云栖松*")&gt;0,50-加速!$L$11,MAX(0,P407-(A408-A407))),0)</f>
        <v>0</v>
      </c>
      <c r="Q408">
        <f ca="1">IF(COUNTIF(IF(AND(配装计算器!$K$30&lt;&gt;"∞",0),INDEX(AU407:CB407,1,$AT$1),INDEX(AU409:CB409,1,$AT$1)),"*云栖松*")=1,P408,0)</f>
        <v>0</v>
      </c>
      <c r="R408">
        <f ca="1">IFERROR(IF(COUNTIF(B408,"*莺鸣柳*")&gt;0,45-加速!$L$9,MAX(0,R407-(A408-A407))),0)</f>
        <v>0</v>
      </c>
      <c r="S408">
        <f ca="1">IF(COUNTIF(IF(AND(配装计算器!$K$30&lt;&gt;"∞",0),INDEX(AU407:CB407,1,$AT$1),INDEX(AU409:CB409,1,$AT$1)),"*莺鸣柳*")=1,R408,0)</f>
        <v>0</v>
      </c>
      <c r="T408">
        <f ca="1" t="shared" si="88"/>
        <v>0</v>
      </c>
      <c r="U408">
        <f ca="1">IF(金蛇,IF(COUNTIF(B408,"*金环戴*")+COUNTIF(B408,"*吹风醒*")&gt;0,IF(A408&lt;=3,7.125-2.625-A408-加速!$L$11,7.125+加速!$K$9-(A408+加速!$L$11-T408)),0),0)+IF(金蛇,IF(COUNTIF(B408,"*千切子裂光*")&gt;0,2+加速!$K$9-(A408+加速!$L$11-T408),0),0)</f>
        <v>0</v>
      </c>
      <c r="V408">
        <f ca="1" t="shared" si="89"/>
        <v>0</v>
      </c>
      <c r="W408">
        <f ca="1" t="shared" si="81"/>
        <v>0</v>
      </c>
      <c r="X408">
        <f ca="1">INDEX(加速!$I$13:$I$21,技能数计算!W408+1)</f>
        <v>0</v>
      </c>
      <c r="Y408">
        <f ca="1" t="shared" si="85"/>
        <v>0.5</v>
      </c>
      <c r="Z408">
        <f ca="1" t="shared" si="86"/>
        <v>0</v>
      </c>
      <c r="AA408">
        <f ca="1">MAX(0,IFERROR(IF(COUNTIF(B408,"*叠*")&gt;0,IF(AC407&lt;3,8-A409+A408,AA407+6.875-A409+A408),AA407-A409+A408),AA407-加速!$L$11))</f>
        <v>0</v>
      </c>
      <c r="AB408" t="e">
        <f ca="1">MAX(0,IF(COUNTIF(IF(AND(配装计算器!$K$30&lt;&gt;"∞",0),INDEX(AU408:CB408,1,$AT$1),INDEX(AU408:CB408,1,$AT$1)),"*叠1*")=1,4*25-加速!$L$11,AB407-A408+A407)-IF(OR(COUNTIF(OFFSET(AT408,0,$AT$1,1,1),"*听雷*")&gt;0,AND(碧归&gt;0,COUNTIF(OFFSET(AT408,0,$AT$1,1,1),"*风来*")&gt;0)),0,1)*1.5)</f>
        <v>#VALUE!</v>
      </c>
      <c r="AC408">
        <f ca="1" t="shared" si="82"/>
        <v>3</v>
      </c>
      <c r="AD408">
        <f ca="1">IF(COUNTIF(IF(AND(配装计算器!$K$30&lt;&gt;"∞",0),INDEX(AU408:CB408,1,$AT$1),INDEX(AU409:CB409,1,$AT$1)),"*叠1*")=1,AB408*0+AE407,0)</f>
        <v>0</v>
      </c>
      <c r="AE408" t="e">
        <f ca="1">IF($AN$11&gt;0,IF(COUNTIF(B409,"*叠1*")&gt;0,50-加速!$H$11,MAX(0,AE407-(A409-A408))),0)</f>
        <v>#VALUE!</v>
      </c>
      <c r="AU408" t="s">
        <v>2768</v>
      </c>
      <c r="AV408">
        <v>1</v>
      </c>
      <c r="AW408" t="s">
        <v>2776</v>
      </c>
      <c r="AX408">
        <v>2</v>
      </c>
      <c r="AY408" t="s">
        <v>2768</v>
      </c>
      <c r="AZ408">
        <v>2</v>
      </c>
      <c r="BA408" t="s">
        <v>3035</v>
      </c>
      <c r="BB408">
        <v>2</v>
      </c>
      <c r="BC408" t="s">
        <v>2768</v>
      </c>
      <c r="BD408">
        <v>2</v>
      </c>
      <c r="BE408" t="s">
        <v>2776</v>
      </c>
      <c r="BF408">
        <v>2</v>
      </c>
      <c r="BG408" s="176" t="s">
        <v>3035</v>
      </c>
      <c r="BH408">
        <v>2</v>
      </c>
      <c r="BI408" t="s">
        <v>2768</v>
      </c>
      <c r="BJ408">
        <v>2</v>
      </c>
      <c r="BK408" s="176" t="s">
        <v>2768</v>
      </c>
      <c r="BL408">
        <v>2</v>
      </c>
      <c r="BM408" s="176" t="str">
        <f>IF(秋,"金环戴","吹风醒")</f>
        <v>吹风醒</v>
      </c>
      <c r="BN408">
        <v>2</v>
      </c>
      <c r="BO408" s="176" t="s">
        <v>2768</v>
      </c>
      <c r="BP408">
        <v>2</v>
      </c>
      <c r="BQ408" t="s">
        <v>2768</v>
      </c>
      <c r="BR408">
        <v>0</v>
      </c>
      <c r="BS408" t="s">
        <v>2768</v>
      </c>
      <c r="BT408">
        <v>2</v>
      </c>
      <c r="BU408" t="s">
        <v>2768</v>
      </c>
      <c r="BV408">
        <v>1</v>
      </c>
      <c r="BW408" s="182" t="s">
        <v>2776</v>
      </c>
      <c r="BX408" s="179">
        <v>2</v>
      </c>
      <c r="BY408" s="176" t="str">
        <f>IF(秋,"金环戴","吹风醒")</f>
        <v>吹风醒</v>
      </c>
      <c r="BZ408">
        <v>2</v>
      </c>
      <c r="CA408" t="str">
        <f>IF(0,"云飞玉皇","夕照雷峰")</f>
        <v>夕照雷峰</v>
      </c>
      <c r="CB408">
        <v>2</v>
      </c>
    </row>
    <row r="409" spans="1:80">
      <c r="A409" s="178" t="str">
        <f ca="1">IFERROR(IF(A408+加速!$L$11&lt;$AS$1,IF(COUNTIF(B408,"*轻*")&gt;0,A408+加速!$L$9,A408+加速!$L$11)+V408,IF(COUNTIF(INDEX(AU409:CB409,1,$AT$1),"*云景*")+COUNTIF(INDEX(AU409:CB409,1,$AT$1),"*鹤归*")+COUNTIF(INDEX(AU409:CB409,1,$AT$1),"*听雷*")&gt;0,A408+加速!$L$11,"")),"")</f>
        <v/>
      </c>
      <c r="B409" s="167" t="str">
        <f ca="1">IF(A409&lt;&gt;"",IF(AND(A409+加速!$L$11&gt;$AS$1,IF(AND(配装计算器!$K$30&lt;&gt;"∞",0),"梦泉虎跑-轻",INDEX(AU409:CB409,1,$AT$1))="云栖松"),"夕照雷峰",IF(AND(配装计算器!$K$30&lt;&gt;"∞",0),"梦泉虎跑-轻",INDEX(AU409:CB409,1,$AT$1))),"")</f>
        <v/>
      </c>
      <c r="C409" t="str">
        <f ca="1" t="shared" si="87"/>
        <v/>
      </c>
      <c r="D409" t="str">
        <f ca="1">IF(B409&lt;&gt;"",IF(C408&lt;=加速!$L$11*(1-E409),0,1),"")</f>
        <v/>
      </c>
      <c r="E409">
        <f ca="1" t="shared" si="83"/>
        <v>1</v>
      </c>
      <c r="G409" t="str">
        <f ca="1" t="shared" si="84"/>
        <v/>
      </c>
      <c r="H409" t="str">
        <f ca="1">IF(B409&lt;&gt;"",IF(AND(COUNTIF(B408,"*轻*莺鸣柳*")&gt;0,COUNTIF(B409,"*轻*")&lt;1),MAX(0,15+I408-(A409-A408)+COUNTIF(B408,"*平湖*")*0),IF(AND(E409=0,MAX(0,H408-(A409-A408))&lt;=加速!$H$11),0,MAX(0,H408-(A409-A408)))),"")</f>
        <v/>
      </c>
      <c r="I409" t="str">
        <f ca="1" t="shared" si="90"/>
        <v/>
      </c>
      <c r="J409" t="str">
        <f ca="1" t="shared" si="91"/>
        <v/>
      </c>
      <c r="K409" t="str">
        <f ca="1">IF(A409&lt;&gt;"",IF(AND(配装计算器!$K$30&lt;&gt;"∞",0),2,INDEX(AU409:CB409,1,$AT$2)),"")</f>
        <v/>
      </c>
      <c r="L409">
        <f ca="1">IFERROR(IF(AND(COUNTIF(B409,"*-峰插*"),技能数据库!$M$72&gt;0),0,IF(COUNTIF(B409,"*鹤归*")&gt;0,16-加速!$L$11,MAX(0,L408-(A409-A408)))),0)</f>
        <v>0</v>
      </c>
      <c r="M409">
        <f ca="1">IF(COUNTIF(IF(AND(配装计算器!$K$30&lt;&gt;"∞",0),INDEX(AU408:CB408,1,$AT$1),INDEX(AU410:CB410,1,$AT$1)),"*鹤归*")=1,L409,0)</f>
        <v>0</v>
      </c>
      <c r="N409">
        <f ca="1">IFERROR(IF(AND(COUNTIF(B409,"*-峰插*"),技能数据库!$M$72&gt;0),0,IF(COUNTIF(B409,"*云飞*")&gt;0,4-COUNTIF(B409,"*玉山揽云*")*4--COUNTIF(B409,"*烟流暮景*")*4-COUNTIF(B409,"*云景*")*加速!$L$11-IF(J409&gt;0,2,0),MAX(0,N408-(A409-A408)-IF(J409&gt;0,2,0)))),0)</f>
        <v>0</v>
      </c>
      <c r="O409">
        <f ca="1">IF(AND(COUNTIF(IF(AND(配装计算器!$K$30&lt;&gt;"∞",0),INDEX(AU408:CB408,1,$AT$1),INDEX(AU410:CB410,1,$AT$1)),"*云飞*")=1,COUNTIF(IF(AND(配装计算器!$K$30&lt;&gt;"∞",0),INDEX(AU408:CB408,1,$AT$1),INDEX(AU410:CB410,1,$AT$1)),"*玉山*")=0),N409,0)</f>
        <v>0</v>
      </c>
      <c r="P409">
        <f ca="1">IFERROR(IF(COUNTIF(B409,"*云栖松*")&gt;0,50-加速!$L$11,MAX(0,P408-(A409-A408))),0)</f>
        <v>0</v>
      </c>
      <c r="Q409">
        <f ca="1">IF(COUNTIF(IF(AND(配装计算器!$K$30&lt;&gt;"∞",0),INDEX(AU408:CB408,1,$AT$1),INDEX(AU410:CB410,1,$AT$1)),"*云栖松*")=1,P409,0)</f>
        <v>0</v>
      </c>
      <c r="R409">
        <f ca="1">IFERROR(IF(COUNTIF(B409,"*莺鸣柳*")&gt;0,45-加速!$L$9,MAX(0,R408-(A409-A408))),0)</f>
        <v>0</v>
      </c>
      <c r="S409">
        <f ca="1">IF(COUNTIF(IF(AND(配装计算器!$K$30&lt;&gt;"∞",0),INDEX(AU408:CB408,1,$AT$1),INDEX(AU410:CB410,1,$AT$1)),"*莺鸣柳*")=1,R409,0)</f>
        <v>0</v>
      </c>
      <c r="T409">
        <f ca="1" t="shared" si="88"/>
        <v>0</v>
      </c>
      <c r="U409">
        <f ca="1">IF(金蛇,IF(COUNTIF(B409,"*金环戴*")+COUNTIF(B409,"*吹风醒*")&gt;0,IF(A409&lt;=3,7.125-2.625-A409-加速!$L$11,7.125+加速!$K$9-(A409+加速!$L$11-T409)),0),0)+IF(金蛇,IF(COUNTIF(B409,"*千切子裂光*")&gt;0,2+加速!$K$9-(A409+加速!$L$11-T409),0),0)</f>
        <v>0</v>
      </c>
      <c r="V409">
        <f ca="1" t="shared" si="89"/>
        <v>0</v>
      </c>
      <c r="W409">
        <f ca="1" t="shared" si="81"/>
        <v>0</v>
      </c>
      <c r="X409">
        <f ca="1">INDEX(加速!$I$13:$I$21,技能数计算!W409+1)</f>
        <v>0</v>
      </c>
      <c r="Y409">
        <f ca="1" t="shared" si="85"/>
        <v>0.5</v>
      </c>
      <c r="Z409">
        <f ca="1" t="shared" si="86"/>
        <v>0</v>
      </c>
      <c r="AA409">
        <f ca="1">MAX(0,IFERROR(IF(COUNTIF(B409,"*叠*")&gt;0,IF(AC408&lt;3,8-A410+A409,AA408+6.875-A410+A409),AA408-A410+A409),AA408-加速!$L$11))</f>
        <v>0</v>
      </c>
      <c r="AB409" t="e">
        <f ca="1">MAX(0,IF(COUNTIF(IF(AND(配装计算器!$K$30&lt;&gt;"∞",0),INDEX(AU409:CB409,1,$AT$1),INDEX(AU409:CB409,1,$AT$1)),"*叠1*")=1,4*25-加速!$L$11,AB408-A409+A408)-IF(OR(COUNTIF(OFFSET(AT409,0,$AT$1,1,1),"*听雷*")&gt;0,AND(碧归&gt;0,COUNTIF(OFFSET(AT409,0,$AT$1,1,1),"*风来*")&gt;0)),0,1)*1.5)</f>
        <v>#VALUE!</v>
      </c>
      <c r="AC409">
        <f ca="1" t="shared" si="82"/>
        <v>3</v>
      </c>
      <c r="AD409">
        <f ca="1">IF(COUNTIF(IF(AND(配装计算器!$K$30&lt;&gt;"∞",0),INDEX(AU409:CB409,1,$AT$1),INDEX(AU410:CB410,1,$AT$1)),"*叠1*")=1,AB409*0+AE408,0)</f>
        <v>0</v>
      </c>
      <c r="AE409" t="e">
        <f ca="1">IF($AN$11&gt;0,IF(COUNTIF(B410,"*叠1*")&gt;0,50-加速!$H$11,MAX(0,AE408-(A410-A409))),0)</f>
        <v>#VALUE!</v>
      </c>
      <c r="AU409" t="s">
        <v>2768</v>
      </c>
      <c r="AV409">
        <v>1</v>
      </c>
      <c r="AW409" t="s">
        <v>2768</v>
      </c>
      <c r="AX409">
        <v>2</v>
      </c>
      <c r="AY409" t="s">
        <v>2776</v>
      </c>
      <c r="AZ409">
        <v>2</v>
      </c>
      <c r="BA409" t="s">
        <v>2768</v>
      </c>
      <c r="BB409">
        <v>2</v>
      </c>
      <c r="BC409" t="s">
        <v>2776</v>
      </c>
      <c r="BD409">
        <v>2</v>
      </c>
      <c r="BE409" t="s">
        <v>2768</v>
      </c>
      <c r="BF409">
        <v>2</v>
      </c>
      <c r="BG409" t="s">
        <v>2768</v>
      </c>
      <c r="BH409">
        <v>2</v>
      </c>
      <c r="BI409" t="s">
        <v>2776</v>
      </c>
      <c r="BJ409">
        <v>1</v>
      </c>
      <c r="BK409" s="176" t="s">
        <v>2768</v>
      </c>
      <c r="BL409">
        <v>1</v>
      </c>
      <c r="BM409" t="str">
        <f>IF(秋,"夕照雷峰","云飞玉皇")</f>
        <v>云飞玉皇</v>
      </c>
      <c r="BN409">
        <v>2</v>
      </c>
      <c r="BO409" s="176" t="s">
        <v>2808</v>
      </c>
      <c r="BP409">
        <v>2</v>
      </c>
      <c r="BQ409" t="s">
        <v>3010</v>
      </c>
      <c r="BR409">
        <v>2</v>
      </c>
      <c r="BS409" t="s">
        <v>2776</v>
      </c>
      <c r="BT409">
        <v>1</v>
      </c>
      <c r="BU409" t="s">
        <v>3011</v>
      </c>
      <c r="BV409">
        <v>2</v>
      </c>
      <c r="BW409" s="182" t="s">
        <v>2768</v>
      </c>
      <c r="BX409" s="179">
        <v>2</v>
      </c>
      <c r="BY409" t="str">
        <f>IF(秋,"夕照雷峰","云飞玉皇")</f>
        <v>云飞玉皇</v>
      </c>
      <c r="BZ409">
        <v>2</v>
      </c>
      <c r="CA409" s="176" t="str">
        <f>IF(秋,"夕照雷峰","云飞玉皇")</f>
        <v>云飞玉皇</v>
      </c>
      <c r="CB409">
        <v>2</v>
      </c>
    </row>
    <row r="410" spans="1:80">
      <c r="A410" s="178" t="str">
        <f ca="1">IFERROR(IF(A409+加速!$L$11&lt;$AS$1,IF(COUNTIF(B409,"*轻*")&gt;0,A409+加速!$L$9,A409+加速!$L$11)+V409,IF(COUNTIF(INDEX(AU410:CB410,1,$AT$1),"*云景*")+COUNTIF(INDEX(AU410:CB410,1,$AT$1),"*鹤归*")+COUNTIF(INDEX(AU410:CB410,1,$AT$1),"*听雷*")&gt;0,A409+加速!$L$11,"")),"")</f>
        <v/>
      </c>
      <c r="B410" s="167" t="str">
        <f ca="1">IF(A410&lt;&gt;"",IF(AND(A410+加速!$L$11&gt;$AS$1,IF(AND(配装计算器!$K$30&lt;&gt;"∞",0),"梦泉虎跑-轻",INDEX(AU410:CB410,1,$AT$1))="云栖松"),"夕照雷峰",IF(AND(配装计算器!$K$30&lt;&gt;"∞",0),"梦泉虎跑-轻",INDEX(AU410:CB410,1,$AT$1))),"")</f>
        <v/>
      </c>
      <c r="C410" t="str">
        <f ca="1" t="shared" si="87"/>
        <v/>
      </c>
      <c r="D410" t="str">
        <f ca="1">IF(B410&lt;&gt;"",IF(C409&lt;=加速!$L$11*(1-E410),0,1),"")</f>
        <v/>
      </c>
      <c r="E410">
        <f ca="1" t="shared" si="83"/>
        <v>1</v>
      </c>
      <c r="G410" t="str">
        <f ca="1" t="shared" si="84"/>
        <v/>
      </c>
      <c r="H410" t="str">
        <f ca="1">IF(B410&lt;&gt;"",IF(AND(COUNTIF(B409,"*轻*莺鸣柳*")&gt;0,COUNTIF(B410,"*轻*")&lt;1),MAX(0,15+I409-(A410-A409)+COUNTIF(B409,"*平湖*")*0),IF(AND(E410=0,MAX(0,H409-(A410-A409))&lt;=加速!$H$11),0,MAX(0,H409-(A410-A409)))),"")</f>
        <v/>
      </c>
      <c r="I410" t="str">
        <f ca="1" t="shared" si="90"/>
        <v/>
      </c>
      <c r="J410" t="str">
        <f ca="1" t="shared" si="91"/>
        <v/>
      </c>
      <c r="K410" t="str">
        <f ca="1">IF(A410&lt;&gt;"",IF(AND(配装计算器!$K$30&lt;&gt;"∞",0),2,INDEX(AU410:CB410,1,$AT$2)),"")</f>
        <v/>
      </c>
      <c r="L410">
        <f ca="1">IFERROR(IF(AND(COUNTIF(B410,"*-峰插*"),技能数据库!$M$72&gt;0),0,IF(COUNTIF(B410,"*鹤归*")&gt;0,16-加速!$L$11,MAX(0,L409-(A410-A409)))),0)</f>
        <v>0</v>
      </c>
      <c r="M410">
        <f ca="1">IF(COUNTIF(IF(AND(配装计算器!$K$30&lt;&gt;"∞",0),INDEX(AU409:CB409,1,$AT$1),INDEX(AU411:CB411,1,$AT$1)),"*鹤归*")=1,L410,0)</f>
        <v>0</v>
      </c>
      <c r="N410">
        <f ca="1">IFERROR(IF(AND(COUNTIF(B410,"*-峰插*"),技能数据库!$M$72&gt;0),0,IF(COUNTIF(B410,"*云飞*")&gt;0,4-COUNTIF(B410,"*玉山揽云*")*4--COUNTIF(B410,"*烟流暮景*")*4-COUNTIF(B410,"*云景*")*加速!$L$11-IF(J410&gt;0,2,0),MAX(0,N409-(A410-A409)-IF(J410&gt;0,2,0)))),0)</f>
        <v>0</v>
      </c>
      <c r="O410">
        <f ca="1">IF(AND(COUNTIF(IF(AND(配装计算器!$K$30&lt;&gt;"∞",0),INDEX(AU409:CB409,1,$AT$1),INDEX(AU411:CB411,1,$AT$1)),"*云飞*")=1,COUNTIF(IF(AND(配装计算器!$K$30&lt;&gt;"∞",0),INDEX(AU409:CB409,1,$AT$1),INDEX(AU411:CB411,1,$AT$1)),"*玉山*")=0),N410,0)</f>
        <v>0</v>
      </c>
      <c r="P410">
        <f ca="1">IFERROR(IF(COUNTIF(B410,"*云栖松*")&gt;0,50-加速!$L$11,MAX(0,P409-(A410-A409))),0)</f>
        <v>0</v>
      </c>
      <c r="Q410">
        <f ca="1">IF(COUNTIF(IF(AND(配装计算器!$K$30&lt;&gt;"∞",0),INDEX(AU409:CB409,1,$AT$1),INDEX(AU411:CB411,1,$AT$1)),"*云栖松*")=1,P410,0)</f>
        <v>0</v>
      </c>
      <c r="R410">
        <f ca="1">IFERROR(IF(COUNTIF(B410,"*莺鸣柳*")&gt;0,45-加速!$L$9,MAX(0,R409-(A410-A409))),0)</f>
        <v>0</v>
      </c>
      <c r="S410">
        <f ca="1">IF(COUNTIF(IF(AND(配装计算器!$K$30&lt;&gt;"∞",0),INDEX(AU409:CB409,1,$AT$1),INDEX(AU411:CB411,1,$AT$1)),"*莺鸣柳*")=1,R410,0)</f>
        <v>0</v>
      </c>
      <c r="T410">
        <f ca="1" t="shared" si="88"/>
        <v>0</v>
      </c>
      <c r="U410">
        <f ca="1">IF(金蛇,IF(COUNTIF(B410,"*金环戴*")+COUNTIF(B410,"*吹风醒*")&gt;0,IF(A410&lt;=3,7.125-2.625-A410-加速!$L$11,7.125+加速!$K$9-(A410+加速!$L$11-T410)),0),0)+IF(金蛇,IF(COUNTIF(B410,"*千切子裂光*")&gt;0,2+加速!$K$9-(A410+加速!$L$11-T410),0),0)</f>
        <v>0</v>
      </c>
      <c r="V410">
        <f ca="1" t="shared" si="89"/>
        <v>0</v>
      </c>
      <c r="W410">
        <f ca="1" t="shared" si="81"/>
        <v>0</v>
      </c>
      <c r="X410">
        <f ca="1">INDEX(加速!$I$13:$I$21,技能数计算!W410+1)</f>
        <v>0</v>
      </c>
      <c r="Y410">
        <f ca="1" t="shared" si="85"/>
        <v>0.5</v>
      </c>
      <c r="Z410">
        <f ca="1" t="shared" si="86"/>
        <v>0</v>
      </c>
      <c r="AA410">
        <f ca="1">MAX(0,IFERROR(IF(COUNTIF(B410,"*叠*")&gt;0,IF(AC409&lt;3,8-A411+A410,AA409+6.875-A411+A410),AA409-A411+A410),AA409-加速!$L$11))</f>
        <v>0</v>
      </c>
      <c r="AB410" t="e">
        <f ca="1">MAX(0,IF(COUNTIF(IF(AND(配装计算器!$K$30&lt;&gt;"∞",0),INDEX(AU410:CB410,1,$AT$1),INDEX(AU410:CB410,1,$AT$1)),"*叠1*")=1,4*25-加速!$L$11,AB409-A410+A409)-IF(OR(COUNTIF(OFFSET(AT410,0,$AT$1,1,1),"*听雷*")&gt;0,AND(碧归&gt;0,COUNTIF(OFFSET(AT410,0,$AT$1,1,1),"*风来*")&gt;0)),0,1)*1.5)</f>
        <v>#VALUE!</v>
      </c>
      <c r="AC410">
        <f ca="1" t="shared" si="82"/>
        <v>3</v>
      </c>
      <c r="AD410">
        <f ca="1">IF(COUNTIF(IF(AND(配装计算器!$K$30&lt;&gt;"∞",0),INDEX(AU410:CB410,1,$AT$1),INDEX(AU411:CB411,1,$AT$1)),"*叠1*")=1,AB410*0+AE409,0)</f>
        <v>0</v>
      </c>
      <c r="AE410" t="e">
        <f ca="1">IF($AN$11&gt;0,IF(COUNTIF(B411,"*叠1*")&gt;0,50-加速!$H$11,MAX(0,AE409-(A411-A410))),0)</f>
        <v>#VALUE!</v>
      </c>
      <c r="AU410" t="s">
        <v>3063</v>
      </c>
      <c r="AV410">
        <v>2</v>
      </c>
      <c r="AW410" t="s">
        <v>2722</v>
      </c>
      <c r="AX410">
        <v>0</v>
      </c>
      <c r="AY410" t="s">
        <v>3035</v>
      </c>
      <c r="AZ410">
        <v>2</v>
      </c>
      <c r="BA410" t="s">
        <v>2776</v>
      </c>
      <c r="BB410">
        <v>2</v>
      </c>
      <c r="BC410" t="s">
        <v>2768</v>
      </c>
      <c r="BD410">
        <v>1</v>
      </c>
      <c r="BE410" t="s">
        <v>2776</v>
      </c>
      <c r="BF410">
        <v>2</v>
      </c>
      <c r="BG410" t="s">
        <v>2776</v>
      </c>
      <c r="BH410">
        <v>2</v>
      </c>
      <c r="BI410" t="s">
        <v>2768</v>
      </c>
      <c r="BJ410">
        <v>1</v>
      </c>
      <c r="BK410" s="176" t="s">
        <v>2768</v>
      </c>
      <c r="BL410">
        <v>1</v>
      </c>
      <c r="BM410" s="176" t="str">
        <f>IF(秋,"梦泉虎跑-轻","夕照雷峰")</f>
        <v>夕照雷峰</v>
      </c>
      <c r="BN410">
        <v>2</v>
      </c>
      <c r="BO410" t="str">
        <f>IF(0,"云飞玉皇-玉山揽云","夕照雷峰")</f>
        <v>夕照雷峰</v>
      </c>
      <c r="BP410">
        <v>2</v>
      </c>
      <c r="BQ410" t="s">
        <v>3013</v>
      </c>
      <c r="BR410">
        <v>2</v>
      </c>
      <c r="BS410" t="s">
        <v>2768</v>
      </c>
      <c r="BT410">
        <v>1</v>
      </c>
      <c r="BU410" t="s">
        <v>2768</v>
      </c>
      <c r="BV410">
        <v>2</v>
      </c>
      <c r="BW410" s="182" t="s">
        <v>2776</v>
      </c>
      <c r="BX410" s="179">
        <v>2</v>
      </c>
      <c r="BY410" s="176" t="str">
        <f>IF(秋,"梦泉虎跑-轻","夕照雷峰")</f>
        <v>夕照雷峰</v>
      </c>
      <c r="BZ410">
        <v>2</v>
      </c>
      <c r="CA410" s="176" t="str">
        <f>IF(秋,"梦泉虎跑-轻","夕照雷峰")</f>
        <v>夕照雷峰</v>
      </c>
      <c r="CB410">
        <v>1</v>
      </c>
    </row>
    <row r="411" spans="1:80">
      <c r="A411" s="178" t="str">
        <f ca="1">IFERROR(IF(A410+加速!$L$11&lt;$AS$1,IF(COUNTIF(B410,"*轻*")&gt;0,A410+加速!$L$9,A410+加速!$L$11)+V410,IF(COUNTIF(INDEX(AU411:CB411,1,$AT$1),"*云景*")+COUNTIF(INDEX(AU411:CB411,1,$AT$1),"*鹤归*")+COUNTIF(INDEX(AU411:CB411,1,$AT$1),"*听雷*")&gt;0,A410+加速!$L$11,"")),"")</f>
        <v/>
      </c>
      <c r="B411" s="167" t="str">
        <f ca="1">IF(A411&lt;&gt;"",IF(AND(A411+加速!$L$11&gt;$AS$1,IF(AND(配装计算器!$K$30&lt;&gt;"∞",0),"梦泉虎跑-轻",INDEX(AU411:CB411,1,$AT$1))="云栖松"),"夕照雷峰",IF(AND(配装计算器!$K$30&lt;&gt;"∞",0),"梦泉虎跑-轻",INDEX(AU411:CB411,1,$AT$1))),"")</f>
        <v/>
      </c>
      <c r="C411" t="str">
        <f ca="1" t="shared" si="87"/>
        <v/>
      </c>
      <c r="D411" t="str">
        <f ca="1">IF(B411&lt;&gt;"",IF(C410&lt;=加速!$L$11*(1-E411),0,1),"")</f>
        <v/>
      </c>
      <c r="E411">
        <f ca="1" t="shared" si="83"/>
        <v>1</v>
      </c>
      <c r="G411" t="str">
        <f ca="1" t="shared" si="84"/>
        <v/>
      </c>
      <c r="H411" t="str">
        <f ca="1">IF(B411&lt;&gt;"",IF(AND(COUNTIF(B410,"*轻*莺鸣柳*")&gt;0,COUNTIF(B411,"*轻*")&lt;1),MAX(0,15+I410-(A411-A410)+COUNTIF(B410,"*平湖*")*0),IF(AND(E411=0,MAX(0,H410-(A411-A410))&lt;=加速!$H$11),0,MAX(0,H410-(A411-A410)))),"")</f>
        <v/>
      </c>
      <c r="I411" t="str">
        <f ca="1" t="shared" si="90"/>
        <v/>
      </c>
      <c r="J411" t="str">
        <f ca="1" t="shared" si="91"/>
        <v/>
      </c>
      <c r="K411" t="str">
        <f ca="1">IF(A411&lt;&gt;"",IF(AND(配装计算器!$K$30&lt;&gt;"∞",0),2,INDEX(AU411:CB411,1,$AT$2)),"")</f>
        <v/>
      </c>
      <c r="L411">
        <f ca="1">IFERROR(IF(AND(COUNTIF(B411,"*-峰插*"),技能数据库!$M$72&gt;0),0,IF(COUNTIF(B411,"*鹤归*")&gt;0,16-加速!$L$11,MAX(0,L410-(A411-A410)))),0)</f>
        <v>0</v>
      </c>
      <c r="M411">
        <f ca="1">IF(COUNTIF(IF(AND(配装计算器!$K$30&lt;&gt;"∞",0),INDEX(AU410:CB410,1,$AT$1),INDEX(AU412:CB412,1,$AT$1)),"*鹤归*")=1,L411,0)</f>
        <v>0</v>
      </c>
      <c r="N411">
        <f ca="1">IFERROR(IF(AND(COUNTIF(B411,"*-峰插*"),技能数据库!$M$72&gt;0),0,IF(COUNTIF(B411,"*云飞*")&gt;0,4-COUNTIF(B411,"*玉山揽云*")*4--COUNTIF(B411,"*烟流暮景*")*4-COUNTIF(B411,"*云景*")*加速!$L$11-IF(J411&gt;0,2,0),MAX(0,N410-(A411-A410)-IF(J411&gt;0,2,0)))),0)</f>
        <v>0</v>
      </c>
      <c r="O411">
        <f ca="1">IF(AND(COUNTIF(IF(AND(配装计算器!$K$30&lt;&gt;"∞",0),INDEX(AU410:CB410,1,$AT$1),INDEX(AU412:CB412,1,$AT$1)),"*云飞*")=1,COUNTIF(IF(AND(配装计算器!$K$30&lt;&gt;"∞",0),INDEX(AU410:CB410,1,$AT$1),INDEX(AU412:CB412,1,$AT$1)),"*玉山*")=0),N411,0)</f>
        <v>0</v>
      </c>
      <c r="P411">
        <f ca="1">IFERROR(IF(COUNTIF(B411,"*云栖松*")&gt;0,50-加速!$L$11,MAX(0,P410-(A411-A410))),0)</f>
        <v>0</v>
      </c>
      <c r="Q411">
        <f ca="1">IF(COUNTIF(IF(AND(配装计算器!$K$30&lt;&gt;"∞",0),INDEX(AU410:CB410,1,$AT$1),INDEX(AU412:CB412,1,$AT$1)),"*云栖松*")=1,P411,0)</f>
        <v>0</v>
      </c>
      <c r="R411">
        <f ca="1">IFERROR(IF(COUNTIF(B411,"*莺鸣柳*")&gt;0,45-加速!$L$9,MAX(0,R410-(A411-A410))),0)</f>
        <v>0</v>
      </c>
      <c r="S411">
        <f ca="1">IF(COUNTIF(IF(AND(配装计算器!$K$30&lt;&gt;"∞",0),INDEX(AU410:CB410,1,$AT$1),INDEX(AU412:CB412,1,$AT$1)),"*莺鸣柳*")=1,R411,0)</f>
        <v>0</v>
      </c>
      <c r="T411">
        <f ca="1" t="shared" si="88"/>
        <v>0</v>
      </c>
      <c r="U411">
        <f ca="1">IF(金蛇,IF(COUNTIF(B411,"*金环戴*")+COUNTIF(B411,"*吹风醒*")&gt;0,IF(A411&lt;=3,7.125-2.625-A411-加速!$L$11,7.125+加速!$K$9-(A411+加速!$L$11-T411)),0),0)+IF(金蛇,IF(COUNTIF(B411,"*千切子裂光*")&gt;0,2+加速!$K$9-(A411+加速!$L$11-T411),0),0)</f>
        <v>0</v>
      </c>
      <c r="V411">
        <f ca="1" t="shared" si="89"/>
        <v>0</v>
      </c>
      <c r="W411">
        <f ca="1" t="shared" si="81"/>
        <v>0</v>
      </c>
      <c r="X411">
        <f ca="1">INDEX(加速!$I$13:$I$21,技能数计算!W411+1)</f>
        <v>0</v>
      </c>
      <c r="Y411">
        <f ca="1" t="shared" si="85"/>
        <v>0.5</v>
      </c>
      <c r="Z411">
        <f ca="1" t="shared" si="86"/>
        <v>0</v>
      </c>
      <c r="AA411">
        <f ca="1">MAX(0,IFERROR(IF(COUNTIF(B411,"*叠*")&gt;0,IF(AC410&lt;3,8-A412+A411,AA410+6.875-A412+A411),AA410-A412+A411),AA410-加速!$L$11))</f>
        <v>0</v>
      </c>
      <c r="AB411" t="e">
        <f ca="1">MAX(0,IF(COUNTIF(IF(AND(配装计算器!$K$30&lt;&gt;"∞",0),INDEX(AU411:CB411,1,$AT$1),INDEX(AU411:CB411,1,$AT$1)),"*叠1*")=1,4*25-加速!$L$11,AB410-A411+A410)-IF(OR(COUNTIF(OFFSET(AT411,0,$AT$1,1,1),"*听雷*")&gt;0,AND(碧归&gt;0,COUNTIF(OFFSET(AT411,0,$AT$1,1,1),"*风来*")&gt;0)),0,1)*1.5)</f>
        <v>#VALUE!</v>
      </c>
      <c r="AC411">
        <f ca="1" t="shared" si="82"/>
        <v>3</v>
      </c>
      <c r="AD411">
        <f ca="1">IF(COUNTIF(IF(AND(配装计算器!$K$30&lt;&gt;"∞",0),INDEX(AU411:CB411,1,$AT$1),INDEX(AU412:CB412,1,$AT$1)),"*叠1*")=1,AB411*0+AE410,0)</f>
        <v>0</v>
      </c>
      <c r="AE411" t="e">
        <f ca="1">IF($AN$11&gt;0,IF(COUNTIF(B412,"*叠1*")&gt;0,50-加速!$H$11,MAX(0,AE410-(A412-A411))),0)</f>
        <v>#VALUE!</v>
      </c>
      <c r="AU411" t="s">
        <v>2776</v>
      </c>
      <c r="AV411">
        <v>1</v>
      </c>
      <c r="AW411" t="s">
        <v>3009</v>
      </c>
      <c r="AX411">
        <v>2</v>
      </c>
      <c r="AY411" t="s">
        <v>2768</v>
      </c>
      <c r="AZ411">
        <v>2</v>
      </c>
      <c r="BA411" t="s">
        <v>2768</v>
      </c>
      <c r="BB411">
        <v>2</v>
      </c>
      <c r="BC411" t="s">
        <v>2768</v>
      </c>
      <c r="BD411">
        <v>1</v>
      </c>
      <c r="BE411" t="s">
        <v>3042</v>
      </c>
      <c r="BF411">
        <v>2</v>
      </c>
      <c r="BG411" t="s">
        <v>2768</v>
      </c>
      <c r="BH411">
        <v>2</v>
      </c>
      <c r="BI411" t="s">
        <v>2776</v>
      </c>
      <c r="BJ411">
        <v>0</v>
      </c>
      <c r="BK411" s="176" t="s">
        <v>2776</v>
      </c>
      <c r="BL411">
        <v>0</v>
      </c>
      <c r="BM411" s="176" t="str">
        <f>IF(秋,"九溪弥烟-轻-血毒金蛇锥","梦泉虎跑-轻")</f>
        <v>梦泉虎跑-轻</v>
      </c>
      <c r="BN411">
        <v>0</v>
      </c>
      <c r="BO411" t="str">
        <f>IF(0,"云飞玉皇-玉山揽云","云飞玉皇")</f>
        <v>云飞玉皇</v>
      </c>
      <c r="BP411">
        <v>2</v>
      </c>
      <c r="BQ411" t="s">
        <v>3018</v>
      </c>
      <c r="BR411">
        <v>2</v>
      </c>
      <c r="BS411" t="s">
        <v>3056</v>
      </c>
      <c r="BT411">
        <v>0</v>
      </c>
      <c r="BU411" t="s">
        <v>3018</v>
      </c>
      <c r="BV411">
        <v>2</v>
      </c>
      <c r="BW411" s="182" t="s">
        <v>2768</v>
      </c>
      <c r="BX411" s="179">
        <v>2</v>
      </c>
      <c r="BY411" s="176" t="str">
        <f>IF(秋,"九溪弥烟-轻-血毒金蛇锥","梦泉虎跑-轻")</f>
        <v>梦泉虎跑-轻</v>
      </c>
      <c r="BZ411">
        <v>0</v>
      </c>
      <c r="CA411" s="176" t="str">
        <f>IF(秋,"九溪弥烟-轻-血毒金蛇锥","梦泉虎跑-轻")</f>
        <v>梦泉虎跑-轻</v>
      </c>
      <c r="CB411">
        <v>0</v>
      </c>
    </row>
    <row r="412" spans="1:80">
      <c r="A412" s="178" t="str">
        <f ca="1">IFERROR(IF(A411+加速!$L$11&lt;$AS$1,IF(COUNTIF(B411,"*轻*")&gt;0,A411+加速!$L$9,A411+加速!$L$11)+V411,IF(COUNTIF(INDEX(AU412:CB412,1,$AT$1),"*云景*")+COUNTIF(INDEX(AU412:CB412,1,$AT$1),"*鹤归*")+COUNTIF(INDEX(AU412:CB412,1,$AT$1),"*听雷*")&gt;0,A411+加速!$L$11,"")),"")</f>
        <v/>
      </c>
      <c r="B412" s="167" t="str">
        <f ca="1">IF(A412&lt;&gt;"",IF(AND(A412+加速!$L$11&gt;$AS$1,IF(AND(配装计算器!$K$30&lt;&gt;"∞",0),"梦泉虎跑-轻",INDEX(AU412:CB412,1,$AT$1))="云栖松"),"夕照雷峰",IF(AND(配装计算器!$K$30&lt;&gt;"∞",0),"梦泉虎跑-轻",INDEX(AU412:CB412,1,$AT$1))),"")</f>
        <v/>
      </c>
      <c r="C412" t="str">
        <f ca="1" t="shared" si="87"/>
        <v/>
      </c>
      <c r="D412" t="str">
        <f ca="1">IF(B412&lt;&gt;"",IF(C411&lt;=加速!$L$11*(1-E412),0,1),"")</f>
        <v/>
      </c>
      <c r="E412">
        <f ca="1" t="shared" si="83"/>
        <v>1</v>
      </c>
      <c r="G412" t="str">
        <f ca="1" t="shared" si="84"/>
        <v/>
      </c>
      <c r="H412" t="str">
        <f ca="1">IF(B412&lt;&gt;"",IF(AND(COUNTIF(B411,"*轻*莺鸣柳*")&gt;0,COUNTIF(B412,"*轻*")&lt;1),MAX(0,15+I411-(A412-A411)+COUNTIF(B411,"*平湖*")*0),IF(AND(E412=0,MAX(0,H411-(A412-A411))&lt;=加速!$H$11),0,MAX(0,H411-(A412-A411)))),"")</f>
        <v/>
      </c>
      <c r="I412" t="str">
        <f ca="1" t="shared" si="90"/>
        <v/>
      </c>
      <c r="J412" t="str">
        <f ca="1" t="shared" si="91"/>
        <v/>
      </c>
      <c r="K412" t="str">
        <f ca="1">IF(A412&lt;&gt;"",IF(AND(配装计算器!$K$30&lt;&gt;"∞",0),2,INDEX(AU412:CB412,1,$AT$2)),"")</f>
        <v/>
      </c>
      <c r="L412">
        <f ca="1">IFERROR(IF(AND(COUNTIF(B412,"*-峰插*"),技能数据库!$M$72&gt;0),0,IF(COUNTIF(B412,"*鹤归*")&gt;0,16-加速!$L$11,MAX(0,L411-(A412-A411)))),0)</f>
        <v>0</v>
      </c>
      <c r="M412">
        <f ca="1">IF(COUNTIF(IF(AND(配装计算器!$K$30&lt;&gt;"∞",0),INDEX(AU411:CB411,1,$AT$1),INDEX(AU413:CB413,1,$AT$1)),"*鹤归*")=1,L412,0)</f>
        <v>0</v>
      </c>
      <c r="N412">
        <f ca="1">IFERROR(IF(AND(COUNTIF(B412,"*-峰插*"),技能数据库!$M$72&gt;0),0,IF(COUNTIF(B412,"*云飞*")&gt;0,4-COUNTIF(B412,"*玉山揽云*")*4--COUNTIF(B412,"*烟流暮景*")*4-COUNTIF(B412,"*云景*")*加速!$L$11-IF(J412&gt;0,2,0),MAX(0,N411-(A412-A411)-IF(J412&gt;0,2,0)))),0)</f>
        <v>0</v>
      </c>
      <c r="O412">
        <f ca="1">IF(AND(COUNTIF(IF(AND(配装计算器!$K$30&lt;&gt;"∞",0),INDEX(AU411:CB411,1,$AT$1),INDEX(AU413:CB413,1,$AT$1)),"*云飞*")=1,COUNTIF(IF(AND(配装计算器!$K$30&lt;&gt;"∞",0),INDEX(AU411:CB411,1,$AT$1),INDEX(AU413:CB413,1,$AT$1)),"*玉山*")=0),N412,0)</f>
        <v>0</v>
      </c>
      <c r="P412">
        <f ca="1">IFERROR(IF(COUNTIF(B412,"*云栖松*")&gt;0,50-加速!$L$11,MAX(0,P411-(A412-A411))),0)</f>
        <v>0</v>
      </c>
      <c r="Q412">
        <f ca="1">IF(COUNTIF(IF(AND(配装计算器!$K$30&lt;&gt;"∞",0),INDEX(AU411:CB411,1,$AT$1),INDEX(AU413:CB413,1,$AT$1)),"*云栖松*")=1,P412,0)</f>
        <v>0</v>
      </c>
      <c r="R412">
        <f ca="1">IFERROR(IF(COUNTIF(B412,"*莺鸣柳*")&gt;0,45-加速!$L$9,MAX(0,R411-(A412-A411))),0)</f>
        <v>0</v>
      </c>
      <c r="S412">
        <f ca="1">IF(COUNTIF(IF(AND(配装计算器!$K$30&lt;&gt;"∞",0),INDEX(AU411:CB411,1,$AT$1),INDEX(AU413:CB413,1,$AT$1)),"*莺鸣柳*")=1,R412,0)</f>
        <v>0</v>
      </c>
      <c r="T412">
        <f ca="1" t="shared" si="88"/>
        <v>0</v>
      </c>
      <c r="U412">
        <f ca="1">IF(金蛇,IF(COUNTIF(B412,"*金环戴*")+COUNTIF(B412,"*吹风醒*")&gt;0,IF(A412&lt;=3,7.125-2.625-A412-加速!$L$11,7.125+加速!$K$9-(A412+加速!$L$11-T412)),0),0)+IF(金蛇,IF(COUNTIF(B412,"*千切子裂光*")&gt;0,2+加速!$K$9-(A412+加速!$L$11-T412),0),0)</f>
        <v>0</v>
      </c>
      <c r="V412">
        <f ca="1" t="shared" si="89"/>
        <v>0</v>
      </c>
      <c r="W412">
        <f ca="1" t="shared" si="81"/>
        <v>0</v>
      </c>
      <c r="X412">
        <f ca="1">INDEX(加速!$I$13:$I$21,技能数计算!W412+1)</f>
        <v>0</v>
      </c>
      <c r="Y412">
        <f ca="1" t="shared" si="85"/>
        <v>0.5</v>
      </c>
      <c r="Z412">
        <f ca="1" t="shared" si="86"/>
        <v>0</v>
      </c>
      <c r="AA412">
        <f ca="1">MAX(0,IFERROR(IF(COUNTIF(B412,"*叠*")&gt;0,IF(AC411&lt;3,8-A413+A412,AA411+6.875-A413+A412),AA411-A413+A412),AA411-加速!$L$11))</f>
        <v>0</v>
      </c>
      <c r="AB412" t="e">
        <f ca="1">MAX(0,IF(COUNTIF(IF(AND(配装计算器!$K$30&lt;&gt;"∞",0),INDEX(AU412:CB412,1,$AT$1),INDEX(AU412:CB412,1,$AT$1)),"*叠1*")=1,4*25-加速!$L$11,AB411-A412+A411)-IF(OR(COUNTIF(OFFSET(AT412,0,$AT$1,1,1),"*听雷*")&gt;0,AND(碧归&gt;0,COUNTIF(OFFSET(AT412,0,$AT$1,1,1),"*风来*")&gt;0)),0,1)*1.5)</f>
        <v>#VALUE!</v>
      </c>
      <c r="AC412">
        <f ca="1" t="shared" si="82"/>
        <v>3</v>
      </c>
      <c r="AD412">
        <f ca="1">IF(COUNTIF(IF(AND(配装计算器!$K$30&lt;&gt;"∞",0),INDEX(AU412:CB412,1,$AT$1),INDEX(AU413:CB413,1,$AT$1)),"*叠1*")=1,AB412*0+AE411,0)</f>
        <v>0</v>
      </c>
      <c r="AE412" t="e">
        <f ca="1">IF($AN$11&gt;0,IF(COUNTIF(B413,"*叠1*")&gt;0,50-加速!$H$11,MAX(0,AE411-(A413-A412))),0)</f>
        <v>#VALUE!</v>
      </c>
      <c r="AU412" t="s">
        <v>2768</v>
      </c>
      <c r="AV412">
        <v>2</v>
      </c>
      <c r="AW412" t="s">
        <v>2776</v>
      </c>
      <c r="AX412">
        <v>2</v>
      </c>
      <c r="AY412" t="s">
        <v>2776</v>
      </c>
      <c r="AZ412">
        <v>2</v>
      </c>
      <c r="BA412" t="s">
        <v>2776</v>
      </c>
      <c r="BB412">
        <v>2</v>
      </c>
      <c r="BC412" t="s">
        <v>2813</v>
      </c>
      <c r="BD412">
        <v>0</v>
      </c>
      <c r="BE412" t="s">
        <v>2808</v>
      </c>
      <c r="BF412">
        <v>2</v>
      </c>
      <c r="BG412" t="s">
        <v>2776</v>
      </c>
      <c r="BH412">
        <v>2</v>
      </c>
      <c r="BI412" t="s">
        <v>2768</v>
      </c>
      <c r="BJ412">
        <v>0</v>
      </c>
      <c r="BK412" t="s">
        <v>2768</v>
      </c>
      <c r="BL412">
        <v>0</v>
      </c>
      <c r="BM412" t="s">
        <v>3009</v>
      </c>
      <c r="BN412">
        <v>2</v>
      </c>
      <c r="BO412" s="176" t="str">
        <f>IF(秋,"夕照雷峰","千切子寒光-千切子裂光")</f>
        <v>千切子寒光-千切子裂光</v>
      </c>
      <c r="BP412">
        <v>2</v>
      </c>
      <c r="BQ412" t="s">
        <v>2768</v>
      </c>
      <c r="BR412">
        <v>2</v>
      </c>
      <c r="BS412" t="s">
        <v>2768</v>
      </c>
      <c r="BT412">
        <v>2</v>
      </c>
      <c r="BU412" t="s">
        <v>2768</v>
      </c>
      <c r="BV412">
        <v>2</v>
      </c>
      <c r="BW412" s="182" t="s">
        <v>2808</v>
      </c>
      <c r="BX412" s="179">
        <v>2</v>
      </c>
      <c r="BY412" t="s">
        <v>3009</v>
      </c>
      <c r="BZ412">
        <v>2</v>
      </c>
      <c r="CA412" t="s">
        <v>3009</v>
      </c>
      <c r="CB412">
        <v>2</v>
      </c>
    </row>
    <row r="413" spans="1:80">
      <c r="A413" s="178" t="str">
        <f ca="1">IFERROR(IF(A412+加速!$L$11&lt;$AS$1,IF(COUNTIF(B412,"*轻*")&gt;0,A412+加速!$L$9,A412+加速!$L$11)+V412,IF(COUNTIF(INDEX(AU413:CB413,1,$AT$1),"*云景*")+COUNTIF(INDEX(AU413:CB413,1,$AT$1),"*鹤归*")+COUNTIF(INDEX(AU413:CB413,1,$AT$1),"*听雷*")&gt;0,A412+加速!$L$11,"")),"")</f>
        <v/>
      </c>
      <c r="B413" s="167" t="str">
        <f ca="1">IF(A413&lt;&gt;"",IF(AND(A413+加速!$L$11&gt;$AS$1,IF(AND(配装计算器!$K$30&lt;&gt;"∞",0),"梦泉虎跑-轻",INDEX(AU413:CB413,1,$AT$1))="云栖松"),"夕照雷峰",IF(AND(配装计算器!$K$30&lt;&gt;"∞",0),"梦泉虎跑-轻",INDEX(AU413:CB413,1,$AT$1))),"")</f>
        <v/>
      </c>
      <c r="C413" t="str">
        <f ca="1" t="shared" si="87"/>
        <v/>
      </c>
      <c r="D413" t="str">
        <f ca="1">IF(B413&lt;&gt;"",IF(C412&lt;=加速!$L$11*(1-E413),0,1),"")</f>
        <v/>
      </c>
      <c r="E413">
        <f ca="1" t="shared" si="83"/>
        <v>1</v>
      </c>
      <c r="G413" t="str">
        <f ca="1" t="shared" si="84"/>
        <v/>
      </c>
      <c r="H413" t="str">
        <f ca="1">IF(B413&lt;&gt;"",IF(AND(COUNTIF(B412,"*轻*莺鸣柳*")&gt;0,COUNTIF(B413,"*轻*")&lt;1),MAX(0,15+I412-(A413-A412)+COUNTIF(B412,"*平湖*")*0),IF(AND(E413=0,MAX(0,H412-(A413-A412))&lt;=加速!$H$11),0,MAX(0,H412-(A413-A412)))),"")</f>
        <v/>
      </c>
      <c r="I413" t="str">
        <f ca="1" t="shared" si="90"/>
        <v/>
      </c>
      <c r="J413" t="str">
        <f ca="1" t="shared" si="91"/>
        <v/>
      </c>
      <c r="K413" t="str">
        <f ca="1">IF(A413&lt;&gt;"",IF(AND(配装计算器!$K$30&lt;&gt;"∞",0),2,INDEX(AU413:CB413,1,$AT$2)),"")</f>
        <v/>
      </c>
      <c r="L413">
        <f ca="1">IFERROR(IF(AND(COUNTIF(B413,"*-峰插*"),技能数据库!$M$72&gt;0),0,IF(COUNTIF(B413,"*鹤归*")&gt;0,16-加速!$L$11,MAX(0,L412-(A413-A412)))),0)</f>
        <v>0</v>
      </c>
      <c r="M413">
        <f ca="1">IF(COUNTIF(IF(AND(配装计算器!$K$30&lt;&gt;"∞",0),INDEX(AU412:CB412,1,$AT$1),INDEX(AU414:CB414,1,$AT$1)),"*鹤归*")=1,L413,0)</f>
        <v>0</v>
      </c>
      <c r="N413">
        <f ca="1">IFERROR(IF(AND(COUNTIF(B413,"*-峰插*"),技能数据库!$M$72&gt;0),0,IF(COUNTIF(B413,"*云飞*")&gt;0,4-COUNTIF(B413,"*玉山揽云*")*4--COUNTIF(B413,"*烟流暮景*")*4-COUNTIF(B413,"*云景*")*加速!$L$11-IF(J413&gt;0,2,0),MAX(0,N412-(A413-A412)-IF(J413&gt;0,2,0)))),0)</f>
        <v>0</v>
      </c>
      <c r="O413">
        <f ca="1">IF(AND(COUNTIF(IF(AND(配装计算器!$K$30&lt;&gt;"∞",0),INDEX(AU412:CB412,1,$AT$1),INDEX(AU414:CB414,1,$AT$1)),"*云飞*")=1,COUNTIF(IF(AND(配装计算器!$K$30&lt;&gt;"∞",0),INDEX(AU412:CB412,1,$AT$1),INDEX(AU414:CB414,1,$AT$1)),"*玉山*")=0),N413,0)</f>
        <v>0</v>
      </c>
      <c r="P413">
        <f ca="1">IFERROR(IF(COUNTIF(B413,"*云栖松*")&gt;0,50-加速!$L$11,MAX(0,P412-(A413-A412))),0)</f>
        <v>0</v>
      </c>
      <c r="Q413">
        <f ca="1">IF(COUNTIF(IF(AND(配装计算器!$K$30&lt;&gt;"∞",0),INDEX(AU412:CB412,1,$AT$1),INDEX(AU414:CB414,1,$AT$1)),"*云栖松*")=1,P413,0)</f>
        <v>0</v>
      </c>
      <c r="R413">
        <f ca="1">IFERROR(IF(COUNTIF(B413,"*莺鸣柳*")&gt;0,45-加速!$L$9,MAX(0,R412-(A413-A412))),0)</f>
        <v>0</v>
      </c>
      <c r="S413">
        <f ca="1">IF(COUNTIF(IF(AND(配装计算器!$K$30&lt;&gt;"∞",0),INDEX(AU412:CB412,1,$AT$1),INDEX(AU414:CB414,1,$AT$1)),"*莺鸣柳*")=1,R413,0)</f>
        <v>0</v>
      </c>
      <c r="T413">
        <f ca="1" t="shared" si="88"/>
        <v>0</v>
      </c>
      <c r="U413">
        <f ca="1">IF(金蛇,IF(COUNTIF(B413,"*金环戴*")+COUNTIF(B413,"*吹风醒*")&gt;0,IF(A413&lt;=3,7.125-2.625-A413-加速!$L$11,7.125+加速!$K$9-(A413+加速!$L$11-T413)),0),0)+IF(金蛇,IF(COUNTIF(B413,"*千切子裂光*")&gt;0,2+加速!$K$9-(A413+加速!$L$11-T413),0),0)</f>
        <v>0</v>
      </c>
      <c r="V413">
        <f ca="1" t="shared" si="89"/>
        <v>0</v>
      </c>
      <c r="W413">
        <f ca="1" t="shared" si="81"/>
        <v>0</v>
      </c>
      <c r="X413">
        <f ca="1">INDEX(加速!$I$13:$I$21,技能数计算!W413+1)</f>
        <v>0</v>
      </c>
      <c r="Y413">
        <f ca="1" t="shared" si="85"/>
        <v>0.5</v>
      </c>
      <c r="Z413">
        <f ca="1" t="shared" si="86"/>
        <v>0</v>
      </c>
      <c r="AA413">
        <f ca="1">MAX(0,IFERROR(IF(COUNTIF(B413,"*叠*")&gt;0,IF(AC412&lt;3,8-A414+A413,AA412+6.875-A414+A413),AA412-A414+A413),AA412-加速!$L$11))</f>
        <v>0</v>
      </c>
      <c r="AB413" t="e">
        <f ca="1">MAX(0,IF(COUNTIF(IF(AND(配装计算器!$K$30&lt;&gt;"∞",0),INDEX(AU413:CB413,1,$AT$1),INDEX(AU413:CB413,1,$AT$1)),"*叠1*")=1,4*25-加速!$L$11,AB412-A413+A412)-IF(OR(COUNTIF(OFFSET(AT413,0,$AT$1,1,1),"*听雷*")&gt;0,AND(碧归&gt;0,COUNTIF(OFFSET(AT413,0,$AT$1,1,1),"*风来*")&gt;0)),0,1)*1.5)</f>
        <v>#VALUE!</v>
      </c>
      <c r="AC413">
        <f ca="1" t="shared" si="82"/>
        <v>3</v>
      </c>
      <c r="AD413">
        <f ca="1">IF(COUNTIF(IF(AND(配装计算器!$K$30&lt;&gt;"∞",0),INDEX(AU413:CB413,1,$AT$1),INDEX(AU414:CB414,1,$AT$1)),"*叠1*")=1,AB413*0+AE412,0)</f>
        <v>0</v>
      </c>
      <c r="AE413" t="e">
        <f ca="1">IF($AN$11&gt;0,IF(COUNTIF(B414,"*叠1*")&gt;0,50-加速!$H$11,MAX(0,AE412-(A414-A413))),0)</f>
        <v>#VALUE!</v>
      </c>
      <c r="AU413" t="s">
        <v>2768</v>
      </c>
      <c r="AV413">
        <v>2</v>
      </c>
      <c r="AW413" t="s">
        <v>2768</v>
      </c>
      <c r="AX413">
        <v>2</v>
      </c>
      <c r="AY413" t="s">
        <v>2768</v>
      </c>
      <c r="AZ413">
        <v>2</v>
      </c>
      <c r="BA413" t="s">
        <v>3042</v>
      </c>
      <c r="BB413">
        <v>2</v>
      </c>
      <c r="BC413" t="s">
        <v>2776</v>
      </c>
      <c r="BD413">
        <v>2</v>
      </c>
      <c r="BE413" t="s">
        <v>2768</v>
      </c>
      <c r="BF413">
        <v>2</v>
      </c>
      <c r="BG413" t="s">
        <v>2768</v>
      </c>
      <c r="BH413">
        <v>2</v>
      </c>
      <c r="BI413" t="s">
        <v>2768</v>
      </c>
      <c r="BJ413">
        <v>0</v>
      </c>
      <c r="BK413" t="s">
        <v>3012</v>
      </c>
      <c r="BL413">
        <v>2</v>
      </c>
      <c r="BM413" s="176" t="str">
        <f>IF(秋,"云飞玉皇-蛇牙锥心","云飞玉皇-血毒金蛇锥")</f>
        <v>云飞玉皇-血毒金蛇锥</v>
      </c>
      <c r="BN413">
        <v>2</v>
      </c>
      <c r="BO413" s="176" t="str">
        <f>IF(秋,"夕照雷峰","夕照雷峰")</f>
        <v>夕照雷峰</v>
      </c>
      <c r="BP413">
        <v>2</v>
      </c>
      <c r="BQ413" t="s">
        <v>3023</v>
      </c>
      <c r="BR413">
        <v>2</v>
      </c>
      <c r="BS413" t="s">
        <v>2768</v>
      </c>
      <c r="BT413">
        <v>2</v>
      </c>
      <c r="BU413" s="182" t="s">
        <v>3023</v>
      </c>
      <c r="BV413">
        <v>2</v>
      </c>
      <c r="BW413" s="179" t="s">
        <v>2768</v>
      </c>
      <c r="BX413" s="179">
        <v>2</v>
      </c>
      <c r="BY413" t="str">
        <f>IF(秋,"夕照雷峰-蛇牙锥心","夕照雷峰")</f>
        <v>夕照雷峰</v>
      </c>
      <c r="BZ413">
        <v>2</v>
      </c>
      <c r="CA413" s="176" t="str">
        <f>IF(秋,"鹤归孤山-蛇牙锥心","鹤归孤山")</f>
        <v>鹤归孤山</v>
      </c>
      <c r="CB413">
        <v>2</v>
      </c>
    </row>
    <row r="414" spans="1:80">
      <c r="A414" s="178" t="str">
        <f ca="1">IFERROR(IF(A413+加速!$L$11&lt;$AS$1,IF(COUNTIF(B413,"*轻*")&gt;0,A413+加速!$L$9,A413+加速!$L$11)+V413,IF(COUNTIF(INDEX(AU414:CB414,1,$AT$1),"*云景*")+COUNTIF(INDEX(AU414:CB414,1,$AT$1),"*鹤归*")+COUNTIF(INDEX(AU414:CB414,1,$AT$1),"*听雷*")&gt;0,A413+加速!$L$11,"")),"")</f>
        <v/>
      </c>
      <c r="B414" s="167" t="str">
        <f ca="1">IF(A414&lt;&gt;"",IF(AND(A414+加速!$L$11&gt;$AS$1,IF(AND(配装计算器!$K$30&lt;&gt;"∞",0),"梦泉虎跑-轻",INDEX(AU414:CB414,1,$AT$1))="云栖松"),"夕照雷峰",IF(AND(配装计算器!$K$30&lt;&gt;"∞",0),"梦泉虎跑-轻",INDEX(AU414:CB414,1,$AT$1))),"")</f>
        <v/>
      </c>
      <c r="C414" t="str">
        <f ca="1" t="shared" si="87"/>
        <v/>
      </c>
      <c r="D414" t="str">
        <f ca="1">IF(B414&lt;&gt;"",IF(C413&lt;=加速!$L$11*(1-E414),0,1),"")</f>
        <v/>
      </c>
      <c r="E414">
        <f ca="1" t="shared" si="83"/>
        <v>1</v>
      </c>
      <c r="G414" t="str">
        <f ca="1" t="shared" si="84"/>
        <v/>
      </c>
      <c r="H414" t="str">
        <f ca="1">IF(B414&lt;&gt;"",IF(AND(COUNTIF(B413,"*轻*莺鸣柳*")&gt;0,COUNTIF(B414,"*轻*")&lt;1),MAX(0,15+I413-(A414-A413)+COUNTIF(B413,"*平湖*")*0),IF(AND(E414=0,MAX(0,H413-(A414-A413))&lt;=加速!$H$11),0,MAX(0,H413-(A414-A413)))),"")</f>
        <v/>
      </c>
      <c r="I414" t="str">
        <f ca="1" t="shared" si="90"/>
        <v/>
      </c>
      <c r="J414" t="str">
        <f ca="1" t="shared" si="91"/>
        <v/>
      </c>
      <c r="K414" t="str">
        <f ca="1">IF(A414&lt;&gt;"",IF(AND(配装计算器!$K$30&lt;&gt;"∞",0),2,INDEX(AU414:CB414,1,$AT$2)),"")</f>
        <v/>
      </c>
      <c r="L414">
        <f ca="1">IFERROR(IF(AND(COUNTIF(B414,"*-峰插*"),技能数据库!$M$72&gt;0),0,IF(COUNTIF(B414,"*鹤归*")&gt;0,16-加速!$L$11,MAX(0,L413-(A414-A413)))),0)</f>
        <v>0</v>
      </c>
      <c r="M414">
        <f ca="1">IF(COUNTIF(IF(AND(配装计算器!$K$30&lt;&gt;"∞",0),INDEX(AU413:CB413,1,$AT$1),INDEX(AU415:CB415,1,$AT$1)),"*鹤归*")=1,L414,0)</f>
        <v>0</v>
      </c>
      <c r="N414">
        <f ca="1">IFERROR(IF(AND(COUNTIF(B414,"*-峰插*"),技能数据库!$M$72&gt;0),0,IF(COUNTIF(B414,"*云飞*")&gt;0,4-COUNTIF(B414,"*玉山揽云*")*4--COUNTIF(B414,"*烟流暮景*")*4-COUNTIF(B414,"*云景*")*加速!$L$11-IF(J414&gt;0,2,0),MAX(0,N413-(A414-A413)-IF(J414&gt;0,2,0)))),0)</f>
        <v>0</v>
      </c>
      <c r="O414">
        <f ca="1">IF(AND(COUNTIF(IF(AND(配装计算器!$K$30&lt;&gt;"∞",0),INDEX(AU413:CB413,1,$AT$1),INDEX(AU415:CB415,1,$AT$1)),"*云飞*")=1,COUNTIF(IF(AND(配装计算器!$K$30&lt;&gt;"∞",0),INDEX(AU413:CB413,1,$AT$1),INDEX(AU415:CB415,1,$AT$1)),"*玉山*")=0),N414,0)</f>
        <v>0</v>
      </c>
      <c r="P414">
        <f ca="1">IFERROR(IF(COUNTIF(B414,"*云栖松*")&gt;0,50-加速!$L$11,MAX(0,P413-(A414-A413))),0)</f>
        <v>0</v>
      </c>
      <c r="Q414">
        <f ca="1">IF(COUNTIF(IF(AND(配装计算器!$K$30&lt;&gt;"∞",0),INDEX(AU413:CB413,1,$AT$1),INDEX(AU415:CB415,1,$AT$1)),"*云栖松*")=1,P414,0)</f>
        <v>0</v>
      </c>
      <c r="R414">
        <f ca="1">IFERROR(IF(COUNTIF(B414,"*莺鸣柳*")&gt;0,45-加速!$L$9,MAX(0,R413-(A414-A413))),0)</f>
        <v>0</v>
      </c>
      <c r="S414">
        <f ca="1">IF(COUNTIF(IF(AND(配装计算器!$K$30&lt;&gt;"∞",0),INDEX(AU413:CB413,1,$AT$1),INDEX(AU415:CB415,1,$AT$1)),"*莺鸣柳*")=1,R414,0)</f>
        <v>0</v>
      </c>
      <c r="T414">
        <f ca="1" t="shared" si="88"/>
        <v>0</v>
      </c>
      <c r="U414">
        <f ca="1">IF(金蛇,IF(COUNTIF(B414,"*金环戴*")+COUNTIF(B414,"*吹风醒*")&gt;0,IF(A414&lt;=3,7.125-2.625-A414-加速!$L$11,7.125+加速!$K$9-(A414+加速!$L$11-T414)),0),0)+IF(金蛇,IF(COUNTIF(B414,"*千切子裂光*")&gt;0,2+加速!$K$9-(A414+加速!$L$11-T414),0),0)</f>
        <v>0</v>
      </c>
      <c r="V414">
        <f ca="1" t="shared" si="89"/>
        <v>0</v>
      </c>
      <c r="W414">
        <f ca="1" t="shared" si="81"/>
        <v>0</v>
      </c>
      <c r="X414">
        <f ca="1">INDEX(加速!$I$13:$I$21,技能数计算!W414+1)</f>
        <v>0</v>
      </c>
      <c r="Y414">
        <f ca="1" t="shared" si="85"/>
        <v>0.5</v>
      </c>
      <c r="Z414">
        <f ca="1" t="shared" si="86"/>
        <v>0</v>
      </c>
      <c r="AA414">
        <f ca="1">MAX(0,IFERROR(IF(COUNTIF(B414,"*叠*")&gt;0,IF(AC413&lt;3,8-A415+A414,AA413+6.875-A415+A414),AA413-A415+A414),AA413-加速!$L$11))</f>
        <v>0</v>
      </c>
      <c r="AB414" t="e">
        <f ca="1">MAX(0,IF(COUNTIF(IF(AND(配装计算器!$K$30&lt;&gt;"∞",0),INDEX(AU414:CB414,1,$AT$1),INDEX(AU414:CB414,1,$AT$1)),"*叠1*")=1,4*25-加速!$L$11,AB413-A414+A413)-IF(OR(COUNTIF(OFFSET(AT414,0,$AT$1,1,1),"*听雷*")&gt;0,AND(碧归&gt;0,COUNTIF(OFFSET(AT414,0,$AT$1,1,1),"*风来*")&gt;0)),0,1)*1.5)</f>
        <v>#VALUE!</v>
      </c>
      <c r="AC414">
        <f ca="1" t="shared" si="82"/>
        <v>3</v>
      </c>
      <c r="AD414">
        <f ca="1">IF(COUNTIF(IF(AND(配装计算器!$K$30&lt;&gt;"∞",0),INDEX(AU414:CB414,1,$AT$1),INDEX(AU415:CB415,1,$AT$1)),"*叠1*")=1,AB414*0+AE413,0)</f>
        <v>0</v>
      </c>
      <c r="AE414" t="e">
        <f ca="1">IF($AN$11&gt;0,IF(COUNTIF(B415,"*叠1*")&gt;0,50-加速!$H$11,MAX(0,AE413-(A415-A414))),0)</f>
        <v>#VALUE!</v>
      </c>
      <c r="AU414" s="176" t="s">
        <v>2794</v>
      </c>
      <c r="AV414">
        <v>2</v>
      </c>
      <c r="AW414" s="180" t="s">
        <v>2789</v>
      </c>
      <c r="AX414">
        <v>2</v>
      </c>
      <c r="AY414" t="s">
        <v>2776</v>
      </c>
      <c r="AZ414">
        <v>2</v>
      </c>
      <c r="BA414" t="s">
        <v>2808</v>
      </c>
      <c r="BB414">
        <v>2</v>
      </c>
      <c r="BC414" t="s">
        <v>2768</v>
      </c>
      <c r="BD414">
        <v>2</v>
      </c>
      <c r="BE414" t="s">
        <v>2768</v>
      </c>
      <c r="BF414">
        <v>2</v>
      </c>
      <c r="BG414" t="s">
        <v>2808</v>
      </c>
      <c r="BH414">
        <v>2</v>
      </c>
      <c r="BI414" t="s">
        <v>2722</v>
      </c>
      <c r="BJ414">
        <v>0</v>
      </c>
      <c r="BK414" s="176" t="s">
        <v>2794</v>
      </c>
      <c r="BL414">
        <v>2</v>
      </c>
      <c r="BM414" t="s">
        <v>2768</v>
      </c>
      <c r="BN414">
        <v>2</v>
      </c>
      <c r="BO414" t="str">
        <f>IF(0,"云飞玉皇-玉山揽云","夕照雷峰")</f>
        <v>夕照雷峰</v>
      </c>
      <c r="BP414">
        <v>2</v>
      </c>
      <c r="BQ414" t="s">
        <v>2768</v>
      </c>
      <c r="BR414">
        <v>2</v>
      </c>
      <c r="BS414" t="s">
        <v>2776</v>
      </c>
      <c r="BT414">
        <v>2</v>
      </c>
      <c r="BU414" s="176" t="s">
        <v>2768</v>
      </c>
      <c r="BV414">
        <v>2</v>
      </c>
      <c r="BW414" s="179" t="s">
        <v>2776</v>
      </c>
      <c r="BX414" s="179">
        <v>2</v>
      </c>
      <c r="BY414" s="176" t="str">
        <f>IF(秋,"云飞玉皇","云飞玉皇-血毒金蛇锥")</f>
        <v>云飞玉皇-血毒金蛇锥</v>
      </c>
      <c r="BZ414">
        <v>2</v>
      </c>
      <c r="CA414" s="176" t="str">
        <f>IF(秋,"云飞玉皇","云飞玉皇-血毒金蛇锥")</f>
        <v>云飞玉皇-血毒金蛇锥</v>
      </c>
      <c r="CB414">
        <v>2</v>
      </c>
    </row>
    <row r="415" spans="1:80">
      <c r="A415" s="178" t="str">
        <f ca="1">IFERROR(IF(A414+加速!$L$11&lt;$AS$1,IF(COUNTIF(B414,"*轻*")&gt;0,A414+加速!$L$9,A414+加速!$L$11)+V414,IF(COUNTIF(INDEX(AU415:CB415,1,$AT$1),"*云景*")+COUNTIF(INDEX(AU415:CB415,1,$AT$1),"*鹤归*")+COUNTIF(INDEX(AU415:CB415,1,$AT$1),"*听雷*")&gt;0,A414+加速!$L$11,"")),"")</f>
        <v/>
      </c>
      <c r="B415" s="167" t="str">
        <f ca="1">IF(A415&lt;&gt;"",IF(AND(A415+加速!$L$11&gt;$AS$1,IF(AND(配装计算器!$K$30&lt;&gt;"∞",0),"梦泉虎跑-轻",INDEX(AU415:CB415,1,$AT$1))="云栖松"),"夕照雷峰",IF(AND(配装计算器!$K$30&lt;&gt;"∞",0),"梦泉虎跑-轻",INDEX(AU415:CB415,1,$AT$1))),"")</f>
        <v/>
      </c>
      <c r="C415" t="str">
        <f ca="1" t="shared" si="87"/>
        <v/>
      </c>
      <c r="D415" t="str">
        <f ca="1">IF(B415&lt;&gt;"",IF(C414&lt;=加速!$L$11*(1-E415),0,1),"")</f>
        <v/>
      </c>
      <c r="E415">
        <f ca="1" t="shared" si="83"/>
        <v>1</v>
      </c>
      <c r="G415" t="str">
        <f ca="1" t="shared" si="84"/>
        <v/>
      </c>
      <c r="H415" t="str">
        <f ca="1">IF(B415&lt;&gt;"",IF(AND(COUNTIF(B414,"*轻*莺鸣柳*")&gt;0,COUNTIF(B415,"*轻*")&lt;1),MAX(0,15+I414-(A415-A414)+COUNTIF(B414,"*平湖*")*0),IF(AND(E415=0,MAX(0,H414-(A415-A414))&lt;=加速!$H$11),0,MAX(0,H414-(A415-A414)))),"")</f>
        <v/>
      </c>
      <c r="I415" t="str">
        <f ca="1" t="shared" si="90"/>
        <v/>
      </c>
      <c r="J415" t="str">
        <f ca="1" t="shared" si="91"/>
        <v/>
      </c>
      <c r="K415" t="str">
        <f ca="1">IF(A415&lt;&gt;"",IF(AND(配装计算器!$K$30&lt;&gt;"∞",0),2,INDEX(AU415:CB415,1,$AT$2)),"")</f>
        <v/>
      </c>
      <c r="L415">
        <f ca="1">IFERROR(IF(AND(COUNTIF(B415,"*-峰插*"),技能数据库!$M$72&gt;0),0,IF(COUNTIF(B415,"*鹤归*")&gt;0,16-加速!$L$11,MAX(0,L414-(A415-A414)))),0)</f>
        <v>0</v>
      </c>
      <c r="M415">
        <f ca="1">IF(COUNTIF(IF(AND(配装计算器!$K$30&lt;&gt;"∞",0),INDEX(AU414:CB414,1,$AT$1),INDEX(AU416:CB416,1,$AT$1)),"*鹤归*")=1,L415,0)</f>
        <v>0</v>
      </c>
      <c r="N415">
        <f ca="1">IFERROR(IF(AND(COUNTIF(B415,"*-峰插*"),技能数据库!$M$72&gt;0),0,IF(COUNTIF(B415,"*云飞*")&gt;0,4-COUNTIF(B415,"*玉山揽云*")*4--COUNTIF(B415,"*烟流暮景*")*4-COUNTIF(B415,"*云景*")*加速!$L$11-IF(J415&gt;0,2,0),MAX(0,N414-(A415-A414)-IF(J415&gt;0,2,0)))),0)</f>
        <v>0</v>
      </c>
      <c r="O415">
        <f ca="1">IF(AND(COUNTIF(IF(AND(配装计算器!$K$30&lt;&gt;"∞",0),INDEX(AU414:CB414,1,$AT$1),INDEX(AU416:CB416,1,$AT$1)),"*云飞*")=1,COUNTIF(IF(AND(配装计算器!$K$30&lt;&gt;"∞",0),INDEX(AU414:CB414,1,$AT$1),INDEX(AU416:CB416,1,$AT$1)),"*玉山*")=0),N415,0)</f>
        <v>0</v>
      </c>
      <c r="P415">
        <f ca="1">IFERROR(IF(COUNTIF(B415,"*云栖松*")&gt;0,50-加速!$L$11,MAX(0,P414-(A415-A414))),0)</f>
        <v>0</v>
      </c>
      <c r="Q415">
        <f ca="1">IF(COUNTIF(IF(AND(配装计算器!$K$30&lt;&gt;"∞",0),INDEX(AU414:CB414,1,$AT$1),INDEX(AU416:CB416,1,$AT$1)),"*云栖松*")=1,P415,0)</f>
        <v>0</v>
      </c>
      <c r="R415">
        <f ca="1">IFERROR(IF(COUNTIF(B415,"*莺鸣柳*")&gt;0,45-加速!$L$9,MAX(0,R414-(A415-A414))),0)</f>
        <v>0</v>
      </c>
      <c r="S415">
        <f ca="1">IF(COUNTIF(IF(AND(配装计算器!$K$30&lt;&gt;"∞",0),INDEX(AU414:CB414,1,$AT$1),INDEX(AU416:CB416,1,$AT$1)),"*莺鸣柳*")=1,R415,0)</f>
        <v>0</v>
      </c>
      <c r="T415">
        <f ca="1" t="shared" si="88"/>
        <v>0</v>
      </c>
      <c r="U415">
        <f ca="1">IF(金蛇,IF(COUNTIF(B415,"*金环戴*")+COUNTIF(B415,"*吹风醒*")&gt;0,IF(A415&lt;=3,7.125-2.625-A415-加速!$L$11,7.125+加速!$K$9-(A415+加速!$L$11-T415)),0),0)+IF(金蛇,IF(COUNTIF(B415,"*千切子裂光*")&gt;0,2+加速!$K$9-(A415+加速!$L$11-T415),0),0)</f>
        <v>0</v>
      </c>
      <c r="V415">
        <f ca="1" t="shared" si="89"/>
        <v>0</v>
      </c>
      <c r="W415">
        <f ca="1" t="shared" si="81"/>
        <v>0</v>
      </c>
      <c r="X415">
        <f ca="1">INDEX(加速!$I$13:$I$21,技能数计算!W415+1)</f>
        <v>0</v>
      </c>
      <c r="Y415">
        <f ca="1" t="shared" si="85"/>
        <v>0.5</v>
      </c>
      <c r="Z415">
        <f ca="1" t="shared" si="86"/>
        <v>0</v>
      </c>
      <c r="AA415">
        <f ca="1">MAX(0,IFERROR(IF(COUNTIF(B415,"*叠*")&gt;0,IF(AC414&lt;3,8-A416+A415,AA414+6.875-A416+A415),AA414-A416+A415),AA414-加速!$L$11))</f>
        <v>0</v>
      </c>
      <c r="AB415" t="e">
        <f ca="1">MAX(0,IF(COUNTIF(IF(AND(配装计算器!$K$30&lt;&gt;"∞",0),INDEX(AU415:CB415,1,$AT$1),INDEX(AU415:CB415,1,$AT$1)),"*叠1*")=1,4*25-加速!$L$11,AB414-A415+A414)-IF(OR(COUNTIF(OFFSET(AT415,0,$AT$1,1,1),"*听雷*")&gt;0,AND(碧归&gt;0,COUNTIF(OFFSET(AT415,0,$AT$1,1,1),"*风来*")&gt;0)),0,1)*1.5)</f>
        <v>#VALUE!</v>
      </c>
      <c r="AC415">
        <f ca="1" t="shared" si="82"/>
        <v>3</v>
      </c>
      <c r="AD415">
        <f ca="1">IF(COUNTIF(IF(AND(配装计算器!$K$30&lt;&gt;"∞",0),INDEX(AU415:CB415,1,$AT$1),INDEX(AU416:CB416,1,$AT$1)),"*叠1*")=1,AB415*0+AE414,0)</f>
        <v>0</v>
      </c>
      <c r="AE415" t="e">
        <f ca="1">IF($AN$11&gt;0,IF(COUNTIF(B416,"*叠1*")&gt;0,50-加速!$H$11,MAX(0,AE414-(A416-A415))),0)</f>
        <v>#VALUE!</v>
      </c>
      <c r="AU415" s="176" t="s">
        <v>2776</v>
      </c>
      <c r="AV415">
        <v>2</v>
      </c>
      <c r="AW415" s="176" t="s">
        <v>2794</v>
      </c>
      <c r="AX415">
        <v>2</v>
      </c>
      <c r="AY415" t="s">
        <v>3042</v>
      </c>
      <c r="AZ415">
        <v>2</v>
      </c>
      <c r="BA415" t="s">
        <v>2768</v>
      </c>
      <c r="BB415">
        <v>2</v>
      </c>
      <c r="BC415" t="s">
        <v>2768</v>
      </c>
      <c r="BD415">
        <v>2</v>
      </c>
      <c r="BE415" t="s">
        <v>2768</v>
      </c>
      <c r="BF415">
        <v>2</v>
      </c>
      <c r="BG415" t="s">
        <v>2768</v>
      </c>
      <c r="BH415">
        <v>2</v>
      </c>
      <c r="BI415" t="s">
        <v>2776</v>
      </c>
      <c r="BJ415">
        <v>2</v>
      </c>
      <c r="BK415" s="176" t="s">
        <v>3019</v>
      </c>
      <c r="BL415">
        <v>2</v>
      </c>
      <c r="BM415" s="180" t="s">
        <v>2789</v>
      </c>
      <c r="BN415">
        <v>2</v>
      </c>
      <c r="BO415" t="s">
        <v>2776</v>
      </c>
      <c r="BP415">
        <v>2</v>
      </c>
      <c r="BQ415" t="s">
        <v>2776</v>
      </c>
      <c r="BR415">
        <v>2</v>
      </c>
      <c r="BS415" t="s">
        <v>2768</v>
      </c>
      <c r="BT415">
        <v>1</v>
      </c>
      <c r="BU415" s="176" t="s">
        <v>2768</v>
      </c>
      <c r="BV415">
        <v>2</v>
      </c>
      <c r="BW415" s="179" t="s">
        <v>2768</v>
      </c>
      <c r="BX415" s="179">
        <v>2</v>
      </c>
      <c r="BY415" t="s">
        <v>2768</v>
      </c>
      <c r="BZ415">
        <v>2</v>
      </c>
      <c r="CA415" s="176" t="s">
        <v>2768</v>
      </c>
      <c r="CB415">
        <v>2</v>
      </c>
    </row>
    <row r="416" spans="1:80">
      <c r="A416" s="178" t="str">
        <f ca="1">IFERROR(IF(A415+加速!$L$11&lt;$AS$1,IF(COUNTIF(B415,"*轻*")&gt;0,A415+加速!$L$9,A415+加速!$L$11)+V415,IF(COUNTIF(INDEX(AU416:CB416,1,$AT$1),"*云景*")+COUNTIF(INDEX(AU416:CB416,1,$AT$1),"*鹤归*")+COUNTIF(INDEX(AU416:CB416,1,$AT$1),"*听雷*")&gt;0,A415+加速!$L$11,"")),"")</f>
        <v/>
      </c>
      <c r="B416" s="167" t="str">
        <f ca="1">IF(A416&lt;&gt;"",IF(AND(A416+加速!$L$11&gt;$AS$1,IF(AND(配装计算器!$K$30&lt;&gt;"∞",0),"梦泉虎跑-轻",INDEX(AU416:CB416,1,$AT$1))="云栖松"),"夕照雷峰",IF(AND(配装计算器!$K$30&lt;&gt;"∞",0),"梦泉虎跑-轻",INDEX(AU416:CB416,1,$AT$1))),"")</f>
        <v/>
      </c>
      <c r="C416" t="str">
        <f ca="1" t="shared" si="87"/>
        <v/>
      </c>
      <c r="D416" t="str">
        <f ca="1">IF(B416&lt;&gt;"",IF(C415&lt;=加速!$L$11*(1-E416),0,1),"")</f>
        <v/>
      </c>
      <c r="E416">
        <f ca="1" t="shared" si="83"/>
        <v>1</v>
      </c>
      <c r="G416" t="str">
        <f ca="1" t="shared" si="84"/>
        <v/>
      </c>
      <c r="H416" t="str">
        <f ca="1">IF(B416&lt;&gt;"",IF(AND(COUNTIF(B415,"*轻*莺鸣柳*")&gt;0,COUNTIF(B416,"*轻*")&lt;1),MAX(0,15+I415-(A416-A415)+COUNTIF(B415,"*平湖*")*0),IF(AND(E416=0,MAX(0,H415-(A416-A415))&lt;=加速!$H$11),0,MAX(0,H415-(A416-A415)))),"")</f>
        <v/>
      </c>
      <c r="I416" t="str">
        <f ca="1" t="shared" si="90"/>
        <v/>
      </c>
      <c r="J416" t="str">
        <f ca="1" t="shared" si="91"/>
        <v/>
      </c>
      <c r="K416" t="str">
        <f ca="1">IF(A416&lt;&gt;"",IF(AND(配装计算器!$K$30&lt;&gt;"∞",0),2,INDEX(AU416:CB416,1,$AT$2)),"")</f>
        <v/>
      </c>
      <c r="L416">
        <f ca="1">IFERROR(IF(AND(COUNTIF(B416,"*-峰插*"),技能数据库!$M$72&gt;0),0,IF(COUNTIF(B416,"*鹤归*")&gt;0,16-加速!$L$11,MAX(0,L415-(A416-A415)))),0)</f>
        <v>0</v>
      </c>
      <c r="M416">
        <f ca="1">IF(COUNTIF(IF(AND(配装计算器!$K$30&lt;&gt;"∞",0),INDEX(AU415:CB415,1,$AT$1),INDEX(AU417:CB417,1,$AT$1)),"*鹤归*")=1,L416,0)</f>
        <v>0</v>
      </c>
      <c r="N416">
        <f ca="1">IFERROR(IF(AND(COUNTIF(B416,"*-峰插*"),技能数据库!$M$72&gt;0),0,IF(COUNTIF(B416,"*云飞*")&gt;0,4-COUNTIF(B416,"*玉山揽云*")*4--COUNTIF(B416,"*烟流暮景*")*4-COUNTIF(B416,"*云景*")*加速!$L$11-IF(J416&gt;0,2,0),MAX(0,N415-(A416-A415)-IF(J416&gt;0,2,0)))),0)</f>
        <v>0</v>
      </c>
      <c r="O416">
        <f ca="1">IF(AND(COUNTIF(IF(AND(配装计算器!$K$30&lt;&gt;"∞",0),INDEX(AU415:CB415,1,$AT$1),INDEX(AU417:CB417,1,$AT$1)),"*云飞*")=1,COUNTIF(IF(AND(配装计算器!$K$30&lt;&gt;"∞",0),INDEX(AU415:CB415,1,$AT$1),INDEX(AU417:CB417,1,$AT$1)),"*玉山*")=0),N416,0)</f>
        <v>0</v>
      </c>
      <c r="P416">
        <f ca="1">IFERROR(IF(COUNTIF(B416,"*云栖松*")&gt;0,50-加速!$L$11,MAX(0,P415-(A416-A415))),0)</f>
        <v>0</v>
      </c>
      <c r="Q416">
        <f ca="1">IF(COUNTIF(IF(AND(配装计算器!$K$30&lt;&gt;"∞",0),INDEX(AU415:CB415,1,$AT$1),INDEX(AU417:CB417,1,$AT$1)),"*云栖松*")=1,P416,0)</f>
        <v>0</v>
      </c>
      <c r="R416">
        <f ca="1">IFERROR(IF(COUNTIF(B416,"*莺鸣柳*")&gt;0,45-加速!$L$9,MAX(0,R415-(A416-A415))),0)</f>
        <v>0</v>
      </c>
      <c r="S416">
        <f ca="1">IF(COUNTIF(IF(AND(配装计算器!$K$30&lt;&gt;"∞",0),INDEX(AU415:CB415,1,$AT$1),INDEX(AU417:CB417,1,$AT$1)),"*莺鸣柳*")=1,R416,0)</f>
        <v>0</v>
      </c>
      <c r="T416">
        <f ca="1" t="shared" si="88"/>
        <v>0</v>
      </c>
      <c r="U416">
        <f ca="1">IF(金蛇,IF(COUNTIF(B416,"*金环戴*")+COUNTIF(B416,"*吹风醒*")&gt;0,IF(A416&lt;=3,7.125-2.625-A416-加速!$L$11,7.125+加速!$K$9-(A416+加速!$L$11-T416)),0),0)+IF(金蛇,IF(COUNTIF(B416,"*千切子裂光*")&gt;0,2+加速!$K$9-(A416+加速!$L$11-T416),0),0)</f>
        <v>0</v>
      </c>
      <c r="V416">
        <f ca="1" t="shared" si="89"/>
        <v>0</v>
      </c>
      <c r="W416">
        <f ca="1" t="shared" si="81"/>
        <v>0</v>
      </c>
      <c r="X416">
        <f ca="1">INDEX(加速!$I$13:$I$21,技能数计算!W416+1)</f>
        <v>0</v>
      </c>
      <c r="Y416">
        <f ca="1" t="shared" si="85"/>
        <v>0.5</v>
      </c>
      <c r="Z416">
        <f ca="1" t="shared" si="86"/>
        <v>0</v>
      </c>
      <c r="AA416">
        <f ca="1">MAX(0,IFERROR(IF(COUNTIF(B416,"*叠*")&gt;0,IF(AC415&lt;3,8-A417+A416,AA415+6.875-A417+A416),AA415-A417+A416),AA415-加速!$L$11))</f>
        <v>0</v>
      </c>
      <c r="AB416" t="e">
        <f ca="1">MAX(0,IF(COUNTIF(IF(AND(配装计算器!$K$30&lt;&gt;"∞",0),INDEX(AU416:CB416,1,$AT$1),INDEX(AU416:CB416,1,$AT$1)),"*叠1*")=1,4*25-加速!$L$11,AB415-A416+A415)-IF(OR(COUNTIF(OFFSET(AT416,0,$AT$1,1,1),"*听雷*")&gt;0,AND(碧归&gt;0,COUNTIF(OFFSET(AT416,0,$AT$1,1,1),"*风来*")&gt;0)),0,1)*1.5)</f>
        <v>#VALUE!</v>
      </c>
      <c r="AC416">
        <f ca="1" t="shared" si="82"/>
        <v>3</v>
      </c>
      <c r="AD416">
        <f ca="1">IF(COUNTIF(IF(AND(配装计算器!$K$30&lt;&gt;"∞",0),INDEX(AU416:CB416,1,$AT$1),INDEX(AU417:CB417,1,$AT$1)),"*叠1*")=1,AB416*0+AE415,0)</f>
        <v>0</v>
      </c>
      <c r="AE416" t="e">
        <f ca="1">IF($AN$11&gt;0,IF(COUNTIF(B417,"*叠1*")&gt;0,50-加速!$H$11,MAX(0,AE415-(A417-A416))),0)</f>
        <v>#VALUE!</v>
      </c>
      <c r="AU416" s="176" t="s">
        <v>2768</v>
      </c>
      <c r="AV416">
        <v>1</v>
      </c>
      <c r="AW416" s="176" t="s">
        <v>2776</v>
      </c>
      <c r="AX416">
        <v>2</v>
      </c>
      <c r="AY416" t="s">
        <v>2808</v>
      </c>
      <c r="AZ416">
        <v>2</v>
      </c>
      <c r="BA416" t="s">
        <v>2768</v>
      </c>
      <c r="BB416">
        <v>2</v>
      </c>
      <c r="BC416" t="s">
        <v>2768</v>
      </c>
      <c r="BD416">
        <v>1</v>
      </c>
      <c r="BE416" t="s">
        <v>2776</v>
      </c>
      <c r="BF416">
        <v>2</v>
      </c>
      <c r="BG416" s="176" t="s">
        <v>2768</v>
      </c>
      <c r="BH416">
        <v>2</v>
      </c>
      <c r="BI416" t="s">
        <v>2768</v>
      </c>
      <c r="BJ416">
        <v>2</v>
      </c>
      <c r="BK416" s="176" t="s">
        <v>2768</v>
      </c>
      <c r="BL416">
        <v>2</v>
      </c>
      <c r="BM416" s="176" t="s">
        <v>2794</v>
      </c>
      <c r="BN416">
        <v>2</v>
      </c>
      <c r="BO416" s="176" t="s">
        <v>2794</v>
      </c>
      <c r="BP416">
        <v>2</v>
      </c>
      <c r="BQ416" t="s">
        <v>2768</v>
      </c>
      <c r="BR416">
        <v>2</v>
      </c>
      <c r="BS416" t="s">
        <v>2768</v>
      </c>
      <c r="BT416">
        <v>1</v>
      </c>
      <c r="BU416" s="176" t="s">
        <v>2768</v>
      </c>
      <c r="BV416">
        <v>2</v>
      </c>
      <c r="BW416" s="179" t="s">
        <v>2768</v>
      </c>
      <c r="BX416" s="179">
        <v>2</v>
      </c>
      <c r="BY416" s="180" t="s">
        <v>2789</v>
      </c>
      <c r="BZ416">
        <v>2</v>
      </c>
      <c r="CA416" s="176" t="s">
        <v>2776</v>
      </c>
      <c r="CB416">
        <v>2</v>
      </c>
    </row>
    <row r="417" spans="1:80">
      <c r="A417" s="178" t="str">
        <f ca="1">IFERROR(IF(A416+加速!$L$11&lt;$AS$1,IF(COUNTIF(B416,"*轻*")&gt;0,A416+加速!$L$9,A416+加速!$L$11)+V416,IF(COUNTIF(INDEX(AU417:CB417,1,$AT$1),"*云景*")+COUNTIF(INDEX(AU417:CB417,1,$AT$1),"*鹤归*")+COUNTIF(INDEX(AU417:CB417,1,$AT$1),"*听雷*")&gt;0,A416+加速!$L$11,"")),"")</f>
        <v/>
      </c>
      <c r="B417" s="167" t="str">
        <f ca="1">IF(A417&lt;&gt;"",IF(AND(A417+加速!$L$11&gt;$AS$1,IF(AND(配装计算器!$K$30&lt;&gt;"∞",0),"梦泉虎跑-轻",INDEX(AU417:CB417,1,$AT$1))="云栖松"),"夕照雷峰",IF(AND(配装计算器!$K$30&lt;&gt;"∞",0),"梦泉虎跑-轻",INDEX(AU417:CB417,1,$AT$1))),"")</f>
        <v/>
      </c>
      <c r="C417" t="str">
        <f ca="1" t="shared" si="87"/>
        <v/>
      </c>
      <c r="D417" t="str">
        <f ca="1">IF(B417&lt;&gt;"",IF(C416&lt;=加速!$L$11*(1-E417),0,1),"")</f>
        <v/>
      </c>
      <c r="E417">
        <f ca="1" t="shared" si="83"/>
        <v>1</v>
      </c>
      <c r="G417" t="str">
        <f ca="1" t="shared" si="84"/>
        <v/>
      </c>
      <c r="H417" t="str">
        <f ca="1">IF(B417&lt;&gt;"",IF(AND(COUNTIF(B416,"*轻*莺鸣柳*")&gt;0,COUNTIF(B417,"*轻*")&lt;1),MAX(0,15+I416-(A417-A416)+COUNTIF(B416,"*平湖*")*0),IF(AND(E417=0,MAX(0,H416-(A417-A416))&lt;=加速!$H$11),0,MAX(0,H416-(A417-A416)))),"")</f>
        <v/>
      </c>
      <c r="I417" t="str">
        <f ca="1" t="shared" si="90"/>
        <v/>
      </c>
      <c r="J417" t="str">
        <f ca="1" t="shared" si="91"/>
        <v/>
      </c>
      <c r="K417" t="str">
        <f ca="1">IF(A417&lt;&gt;"",IF(AND(配装计算器!$K$30&lt;&gt;"∞",0),2,INDEX(AU417:CB417,1,$AT$2)),"")</f>
        <v/>
      </c>
      <c r="L417">
        <f ca="1">IFERROR(IF(AND(COUNTIF(B417,"*-峰插*"),技能数据库!$M$72&gt;0),0,IF(COUNTIF(B417,"*鹤归*")&gt;0,16-加速!$L$11,MAX(0,L416-(A417-A416)))),0)</f>
        <v>0</v>
      </c>
      <c r="M417">
        <f ca="1">IF(COUNTIF(IF(AND(配装计算器!$K$30&lt;&gt;"∞",0),INDEX(AU416:CB416,1,$AT$1),INDEX(AU418:CB418,1,$AT$1)),"*鹤归*")=1,L417,0)</f>
        <v>0</v>
      </c>
      <c r="N417">
        <f ca="1">IFERROR(IF(AND(COUNTIF(B417,"*-峰插*"),技能数据库!$M$72&gt;0),0,IF(COUNTIF(B417,"*云飞*")&gt;0,4-COUNTIF(B417,"*玉山揽云*")*4--COUNTIF(B417,"*烟流暮景*")*4-COUNTIF(B417,"*云景*")*加速!$L$11-IF(J417&gt;0,2,0),MAX(0,N416-(A417-A416)-IF(J417&gt;0,2,0)))),0)</f>
        <v>0</v>
      </c>
      <c r="O417">
        <f ca="1">IF(AND(COUNTIF(IF(AND(配装计算器!$K$30&lt;&gt;"∞",0),INDEX(AU416:CB416,1,$AT$1),INDEX(AU418:CB418,1,$AT$1)),"*云飞*")=1,COUNTIF(IF(AND(配装计算器!$K$30&lt;&gt;"∞",0),INDEX(AU416:CB416,1,$AT$1),INDEX(AU418:CB418,1,$AT$1)),"*玉山*")=0),N417,0)</f>
        <v>0</v>
      </c>
      <c r="P417">
        <f ca="1">IFERROR(IF(COUNTIF(B417,"*云栖松*")&gt;0,50-加速!$L$11,MAX(0,P416-(A417-A416))),0)</f>
        <v>0</v>
      </c>
      <c r="Q417">
        <f ca="1">IF(COUNTIF(IF(AND(配装计算器!$K$30&lt;&gt;"∞",0),INDEX(AU416:CB416,1,$AT$1),INDEX(AU418:CB418,1,$AT$1)),"*云栖松*")=1,P417,0)</f>
        <v>0</v>
      </c>
      <c r="R417">
        <f ca="1">IFERROR(IF(COUNTIF(B417,"*莺鸣柳*")&gt;0,45-加速!$L$9,MAX(0,R416-(A417-A416))),0)</f>
        <v>0</v>
      </c>
      <c r="S417">
        <f ca="1">IF(COUNTIF(IF(AND(配装计算器!$K$30&lt;&gt;"∞",0),INDEX(AU416:CB416,1,$AT$1),INDEX(AU418:CB418,1,$AT$1)),"*莺鸣柳*")=1,R417,0)</f>
        <v>0</v>
      </c>
      <c r="T417">
        <f ca="1" t="shared" si="88"/>
        <v>0</v>
      </c>
      <c r="U417">
        <f ca="1">IF(金蛇,IF(COUNTIF(B417,"*金环戴*")+COUNTIF(B417,"*吹风醒*")&gt;0,IF(A417&lt;=3,7.125-2.625-A417-加速!$L$11,7.125+加速!$K$9-(A417+加速!$L$11-T417)),0),0)+IF(金蛇,IF(COUNTIF(B417,"*千切子裂光*")&gt;0,2+加速!$K$9-(A417+加速!$L$11-T417),0),0)</f>
        <v>0</v>
      </c>
      <c r="V417">
        <f ca="1" t="shared" si="89"/>
        <v>0</v>
      </c>
      <c r="W417">
        <f ca="1" t="shared" si="81"/>
        <v>0</v>
      </c>
      <c r="X417">
        <f ca="1">INDEX(加速!$I$13:$I$21,技能数计算!W417+1)</f>
        <v>0</v>
      </c>
      <c r="Y417">
        <f ca="1" t="shared" si="85"/>
        <v>0.5</v>
      </c>
      <c r="Z417">
        <f ca="1" t="shared" si="86"/>
        <v>0</v>
      </c>
      <c r="AA417">
        <f ca="1">MAX(0,IFERROR(IF(COUNTIF(B417,"*叠*")&gt;0,IF(AC416&lt;3,8-A418+A417,AA416+6.875-A418+A417),AA416-A418+A417),AA416-加速!$L$11))</f>
        <v>0</v>
      </c>
      <c r="AB417" t="e">
        <f ca="1">MAX(0,IF(COUNTIF(IF(AND(配装计算器!$K$30&lt;&gt;"∞",0),INDEX(AU417:CB417,1,$AT$1),INDEX(AU417:CB417,1,$AT$1)),"*叠1*")=1,4*25-加速!$L$11,AB416-A417+A416)-IF(OR(COUNTIF(OFFSET(AT417,0,$AT$1,1,1),"*听雷*")&gt;0,AND(碧归&gt;0,COUNTIF(OFFSET(AT417,0,$AT$1,1,1),"*风来*")&gt;0)),0,1)*1.5)</f>
        <v>#VALUE!</v>
      </c>
      <c r="AC417">
        <f ca="1" t="shared" si="82"/>
        <v>3</v>
      </c>
      <c r="AD417">
        <f ca="1">IF(COUNTIF(IF(AND(配装计算器!$K$30&lt;&gt;"∞",0),INDEX(AU417:CB417,1,$AT$1),INDEX(AU418:CB418,1,$AT$1)),"*叠1*")=1,AB417*0+AE416,0)</f>
        <v>0</v>
      </c>
      <c r="AE417" t="e">
        <f ca="1">IF($AN$11&gt;0,IF(COUNTIF(B418,"*叠1*")&gt;0,50-加速!$H$11,MAX(0,AE416-(A418-A417))),0)</f>
        <v>#VALUE!</v>
      </c>
      <c r="AU417" s="176" t="s">
        <v>2776</v>
      </c>
      <c r="AV417">
        <v>2</v>
      </c>
      <c r="AW417" s="176" t="s">
        <v>2768</v>
      </c>
      <c r="AX417">
        <v>2</v>
      </c>
      <c r="AY417" t="s">
        <v>2768</v>
      </c>
      <c r="AZ417">
        <v>2</v>
      </c>
      <c r="BA417" t="s">
        <v>2776</v>
      </c>
      <c r="BB417">
        <v>2</v>
      </c>
      <c r="BC417" t="s">
        <v>2776</v>
      </c>
      <c r="BD417">
        <v>1</v>
      </c>
      <c r="BE417" t="s">
        <v>2768</v>
      </c>
      <c r="BF417">
        <v>1</v>
      </c>
      <c r="BG417" s="176" t="s">
        <v>2776</v>
      </c>
      <c r="BH417">
        <v>2</v>
      </c>
      <c r="BI417" t="s">
        <v>2768</v>
      </c>
      <c r="BJ417">
        <v>2</v>
      </c>
      <c r="BK417" s="176" t="s">
        <v>3023</v>
      </c>
      <c r="BL417">
        <v>2</v>
      </c>
      <c r="BM417" s="176" t="s">
        <v>2776</v>
      </c>
      <c r="BN417">
        <v>2</v>
      </c>
      <c r="BO417" s="176" t="s">
        <v>2768</v>
      </c>
      <c r="BP417">
        <v>2</v>
      </c>
      <c r="BQ417" t="s">
        <v>2768</v>
      </c>
      <c r="BR417">
        <v>2</v>
      </c>
      <c r="BS417" t="s">
        <v>2768</v>
      </c>
      <c r="BT417">
        <v>0</v>
      </c>
      <c r="BU417" s="176" t="s">
        <v>2776</v>
      </c>
      <c r="BV417">
        <v>2</v>
      </c>
      <c r="BW417" s="179" t="s">
        <v>3021</v>
      </c>
      <c r="BX417" s="179">
        <v>2</v>
      </c>
      <c r="BY417" s="176" t="s">
        <v>2794</v>
      </c>
      <c r="BZ417">
        <v>2</v>
      </c>
      <c r="CA417" s="176" t="s">
        <v>2768</v>
      </c>
      <c r="CB417">
        <v>2</v>
      </c>
    </row>
    <row r="418" spans="1:80">
      <c r="A418" s="178" t="str">
        <f ca="1">IFERROR(IF(A417+加速!$L$11&lt;$AS$1,IF(COUNTIF(B417,"*轻*")&gt;0,A417+加速!$L$9,A417+加速!$L$11)+V417,IF(COUNTIF(INDEX(AU418:CB418,1,$AT$1),"*云景*")+COUNTIF(INDEX(AU418:CB418,1,$AT$1),"*鹤归*")+COUNTIF(INDEX(AU418:CB418,1,$AT$1),"*听雷*")&gt;0,A417+加速!$L$11,"")),"")</f>
        <v/>
      </c>
      <c r="B418" s="167" t="str">
        <f ca="1">IF(A418&lt;&gt;"",IF(AND(A418+加速!$L$11&gt;$AS$1,IF(AND(配装计算器!$K$30&lt;&gt;"∞",0),"梦泉虎跑-轻",INDEX(AU418:CB418,1,$AT$1))="云栖松"),"夕照雷峰",IF(AND(配装计算器!$K$30&lt;&gt;"∞",0),"梦泉虎跑-轻",INDEX(AU418:CB418,1,$AT$1))),"")</f>
        <v/>
      </c>
      <c r="C418" t="str">
        <f ca="1" t="shared" si="87"/>
        <v/>
      </c>
      <c r="D418" t="str">
        <f ca="1">IF(B418&lt;&gt;"",IF(C417&lt;=加速!$L$11*(1-E418),0,1),"")</f>
        <v/>
      </c>
      <c r="E418">
        <f ca="1" t="shared" si="83"/>
        <v>1</v>
      </c>
      <c r="G418" t="str">
        <f ca="1" t="shared" si="84"/>
        <v/>
      </c>
      <c r="H418" t="str">
        <f ca="1">IF(B418&lt;&gt;"",IF(AND(COUNTIF(B417,"*轻*莺鸣柳*")&gt;0,COUNTIF(B418,"*轻*")&lt;1),MAX(0,15+I417-(A418-A417)+COUNTIF(B417,"*平湖*")*0),IF(AND(E418=0,MAX(0,H417-(A418-A417))&lt;=加速!$H$11),0,MAX(0,H417-(A418-A417)))),"")</f>
        <v/>
      </c>
      <c r="I418" t="str">
        <f ca="1" t="shared" si="90"/>
        <v/>
      </c>
      <c r="J418" t="str">
        <f ca="1" t="shared" si="91"/>
        <v/>
      </c>
      <c r="K418" t="str">
        <f ca="1">IF(A418&lt;&gt;"",IF(AND(配装计算器!$K$30&lt;&gt;"∞",0),2,INDEX(AU418:CB418,1,$AT$2)),"")</f>
        <v/>
      </c>
      <c r="L418">
        <f ca="1">IFERROR(IF(AND(COUNTIF(B418,"*-峰插*"),技能数据库!$M$72&gt;0),0,IF(COUNTIF(B418,"*鹤归*")&gt;0,16-加速!$L$11,MAX(0,L417-(A418-A417)))),0)</f>
        <v>0</v>
      </c>
      <c r="M418">
        <f ca="1">IF(COUNTIF(IF(AND(配装计算器!$K$30&lt;&gt;"∞",0),INDEX(AU417:CB417,1,$AT$1),INDEX(AU419:CB419,1,$AT$1)),"*鹤归*")=1,L418,0)</f>
        <v>0</v>
      </c>
      <c r="N418">
        <f ca="1">IFERROR(IF(AND(COUNTIF(B418,"*-峰插*"),技能数据库!$M$72&gt;0),0,IF(COUNTIF(B418,"*云飞*")&gt;0,4-COUNTIF(B418,"*玉山揽云*")*4--COUNTIF(B418,"*烟流暮景*")*4-COUNTIF(B418,"*云景*")*加速!$L$11-IF(J418&gt;0,2,0),MAX(0,N417-(A418-A417)-IF(J418&gt;0,2,0)))),0)</f>
        <v>0</v>
      </c>
      <c r="O418">
        <f ca="1">IF(AND(COUNTIF(IF(AND(配装计算器!$K$30&lt;&gt;"∞",0),INDEX(AU417:CB417,1,$AT$1),INDEX(AU419:CB419,1,$AT$1)),"*云飞*")=1,COUNTIF(IF(AND(配装计算器!$K$30&lt;&gt;"∞",0),INDEX(AU417:CB417,1,$AT$1),INDEX(AU419:CB419,1,$AT$1)),"*玉山*")=0),N418,0)</f>
        <v>0</v>
      </c>
      <c r="P418">
        <f ca="1">IFERROR(IF(COUNTIF(B418,"*云栖松*")&gt;0,50-加速!$L$11,MAX(0,P417-(A418-A417))),0)</f>
        <v>0</v>
      </c>
      <c r="Q418">
        <f ca="1">IF(COUNTIF(IF(AND(配装计算器!$K$30&lt;&gt;"∞",0),INDEX(AU417:CB417,1,$AT$1),INDEX(AU419:CB419,1,$AT$1)),"*云栖松*")=1,P418,0)</f>
        <v>0</v>
      </c>
      <c r="R418">
        <f ca="1">IFERROR(IF(COUNTIF(B418,"*莺鸣柳*")&gt;0,45-加速!$L$9,MAX(0,R417-(A418-A417))),0)</f>
        <v>0</v>
      </c>
      <c r="S418">
        <f ca="1">IF(COUNTIF(IF(AND(配装计算器!$K$30&lt;&gt;"∞",0),INDEX(AU417:CB417,1,$AT$1),INDEX(AU419:CB419,1,$AT$1)),"*莺鸣柳*")=1,R418,0)</f>
        <v>0</v>
      </c>
      <c r="T418">
        <f ca="1" t="shared" si="88"/>
        <v>0</v>
      </c>
      <c r="U418">
        <f ca="1">IF(金蛇,IF(COUNTIF(B418,"*金环戴*")+COUNTIF(B418,"*吹风醒*")&gt;0,IF(A418&lt;=3,7.125-2.625-A418-加速!$L$11,7.125+加速!$K$9-(A418+加速!$L$11-T418)),0),0)+IF(金蛇,IF(COUNTIF(B418,"*千切子裂光*")&gt;0,2+加速!$K$9-(A418+加速!$L$11-T418),0),0)</f>
        <v>0</v>
      </c>
      <c r="V418">
        <f ca="1" t="shared" si="89"/>
        <v>0</v>
      </c>
      <c r="W418">
        <f ca="1" t="shared" si="81"/>
        <v>0</v>
      </c>
      <c r="X418">
        <f ca="1">INDEX(加速!$I$13:$I$21,技能数计算!W418+1)</f>
        <v>0</v>
      </c>
      <c r="Y418">
        <f ca="1" t="shared" si="85"/>
        <v>0.5</v>
      </c>
      <c r="Z418">
        <f ca="1" t="shared" si="86"/>
        <v>0</v>
      </c>
      <c r="AA418">
        <f ca="1">MAX(0,IFERROR(IF(COUNTIF(B418,"*叠*")&gt;0,IF(AC417&lt;3,8-A419+A418,AA417+6.875-A419+A418),AA417-A419+A418),AA417-加速!$L$11))</f>
        <v>0</v>
      </c>
      <c r="AB418" t="e">
        <f ca="1">MAX(0,IF(COUNTIF(IF(AND(配装计算器!$K$30&lt;&gt;"∞",0),INDEX(AU418:CB418,1,$AT$1),INDEX(AU418:CB418,1,$AT$1)),"*叠1*")=1,4*25-加速!$L$11,AB417-A418+A417)-IF(OR(COUNTIF(OFFSET(AT418,0,$AT$1,1,1),"*听雷*")&gt;0,AND(碧归&gt;0,COUNTIF(OFFSET(AT418,0,$AT$1,1,1),"*风来*")&gt;0)),0,1)*1.5)</f>
        <v>#VALUE!</v>
      </c>
      <c r="AC418">
        <f ca="1" t="shared" si="82"/>
        <v>3</v>
      </c>
      <c r="AD418">
        <f ca="1">IF(COUNTIF(IF(AND(配装计算器!$K$30&lt;&gt;"∞",0),INDEX(AU418:CB418,1,$AT$1),INDEX(AU419:CB419,1,$AT$1)),"*叠1*")=1,AB418*0+AE417,0)</f>
        <v>0</v>
      </c>
      <c r="AE418" t="e">
        <f ca="1">IF($AN$11&gt;0,IF(COUNTIF(B419,"*叠1*")&gt;0,50-加速!$H$11,MAX(0,AE417-(A419-A418))),0)</f>
        <v>#VALUE!</v>
      </c>
      <c r="AU418" s="176" t="s">
        <v>2768</v>
      </c>
      <c r="AV418">
        <v>1</v>
      </c>
      <c r="AW418" s="176" t="s">
        <v>2776</v>
      </c>
      <c r="AX418">
        <v>2</v>
      </c>
      <c r="AY418" t="s">
        <v>2768</v>
      </c>
      <c r="AZ418">
        <v>2</v>
      </c>
      <c r="BA418" t="s">
        <v>2794</v>
      </c>
      <c r="BB418">
        <v>2</v>
      </c>
      <c r="BC418" t="s">
        <v>2768</v>
      </c>
      <c r="BD418">
        <v>1</v>
      </c>
      <c r="BE418" t="s">
        <v>2768</v>
      </c>
      <c r="BF418">
        <v>1</v>
      </c>
      <c r="BG418" t="s">
        <v>2768</v>
      </c>
      <c r="BH418">
        <v>1</v>
      </c>
      <c r="BI418" s="176" t="s">
        <v>2794</v>
      </c>
      <c r="BJ418">
        <v>1</v>
      </c>
      <c r="BK418" s="176" t="s">
        <v>2768</v>
      </c>
      <c r="BL418">
        <v>2</v>
      </c>
      <c r="BM418" s="176" t="s">
        <v>2768</v>
      </c>
      <c r="BN418">
        <v>2</v>
      </c>
      <c r="BO418" s="176" t="s">
        <v>2776</v>
      </c>
      <c r="BP418">
        <v>2</v>
      </c>
      <c r="BQ418" t="s">
        <v>3035</v>
      </c>
      <c r="BR418">
        <v>2</v>
      </c>
      <c r="BS418" t="s">
        <v>2776</v>
      </c>
      <c r="BT418">
        <v>0</v>
      </c>
      <c r="BU418" s="176" t="s">
        <v>3035</v>
      </c>
      <c r="BV418">
        <v>2</v>
      </c>
      <c r="BW418" s="179" t="s">
        <v>2722</v>
      </c>
      <c r="BX418" s="179">
        <v>2</v>
      </c>
      <c r="BY418" s="176" t="s">
        <v>2776</v>
      </c>
      <c r="BZ418">
        <v>2</v>
      </c>
      <c r="CA418" s="176" t="s">
        <v>2808</v>
      </c>
      <c r="CB418">
        <v>2</v>
      </c>
    </row>
    <row r="419" spans="1:80">
      <c r="A419" s="178" t="str">
        <f ca="1">IFERROR(IF(A418+加速!$L$11&lt;$AS$1,IF(COUNTIF(B418,"*轻*")&gt;0,A418+加速!$L$9,A418+加速!$L$11)+V418,IF(COUNTIF(INDEX(AU419:CB419,1,$AT$1),"*云景*")+COUNTIF(INDEX(AU419:CB419,1,$AT$1),"*鹤归*")+COUNTIF(INDEX(AU419:CB419,1,$AT$1),"*听雷*")&gt;0,A418+加速!$L$11,"")),"")</f>
        <v/>
      </c>
      <c r="B419" s="167" t="str">
        <f ca="1">IF(A419&lt;&gt;"",IF(AND(A419+加速!$L$11&gt;$AS$1,IF(AND(配装计算器!$K$30&lt;&gt;"∞",0),"梦泉虎跑-轻",INDEX(AU419:CB419,1,$AT$1))="云栖松"),"夕照雷峰",IF(AND(配装计算器!$K$30&lt;&gt;"∞",0),"梦泉虎跑-轻",INDEX(AU419:CB419,1,$AT$1))),"")</f>
        <v/>
      </c>
      <c r="C419" t="str">
        <f ca="1" t="shared" si="87"/>
        <v/>
      </c>
      <c r="D419" t="str">
        <f ca="1">IF(B419&lt;&gt;"",IF(C418&lt;=加速!$L$11*(1-E419),0,1),"")</f>
        <v/>
      </c>
      <c r="E419">
        <f ca="1" t="shared" si="83"/>
        <v>1</v>
      </c>
      <c r="G419" t="str">
        <f ca="1" t="shared" si="84"/>
        <v/>
      </c>
      <c r="H419" t="str">
        <f ca="1">IF(B419&lt;&gt;"",IF(AND(COUNTIF(B418,"*轻*莺鸣柳*")&gt;0,COUNTIF(B419,"*轻*")&lt;1),MAX(0,15+I418-(A419-A418)+COUNTIF(B418,"*平湖*")*0),IF(AND(E419=0,MAX(0,H418-(A419-A418))&lt;=加速!$H$11),0,MAX(0,H418-(A419-A418)))),"")</f>
        <v/>
      </c>
      <c r="I419" t="str">
        <f ca="1" t="shared" si="90"/>
        <v/>
      </c>
      <c r="J419" t="str">
        <f ca="1" t="shared" si="91"/>
        <v/>
      </c>
      <c r="K419" t="str">
        <f ca="1">IF(A419&lt;&gt;"",IF(AND(配装计算器!$K$30&lt;&gt;"∞",0),2,INDEX(AU419:CB419,1,$AT$2)),"")</f>
        <v/>
      </c>
      <c r="L419">
        <f ca="1">IFERROR(IF(AND(COUNTIF(B419,"*-峰插*"),技能数据库!$M$72&gt;0),0,IF(COUNTIF(B419,"*鹤归*")&gt;0,16-加速!$L$11,MAX(0,L418-(A419-A418)))),0)</f>
        <v>0</v>
      </c>
      <c r="M419">
        <f ca="1">IF(COUNTIF(IF(AND(配装计算器!$K$30&lt;&gt;"∞",0),INDEX(AU418:CB418,1,$AT$1),INDEX(AU420:CB420,1,$AT$1)),"*鹤归*")=1,L419,0)</f>
        <v>0</v>
      </c>
      <c r="N419">
        <f ca="1">IFERROR(IF(AND(COUNTIF(B419,"*-峰插*"),技能数据库!$M$72&gt;0),0,IF(COUNTIF(B419,"*云飞*")&gt;0,4-COUNTIF(B419,"*玉山揽云*")*4--COUNTIF(B419,"*烟流暮景*")*4-COUNTIF(B419,"*云景*")*加速!$L$11-IF(J419&gt;0,2,0),MAX(0,N418-(A419-A418)-IF(J419&gt;0,2,0)))),0)</f>
        <v>0</v>
      </c>
      <c r="O419">
        <f ca="1">IF(AND(COUNTIF(IF(AND(配装计算器!$K$30&lt;&gt;"∞",0),INDEX(AU418:CB418,1,$AT$1),INDEX(AU420:CB420,1,$AT$1)),"*云飞*")=1,COUNTIF(IF(AND(配装计算器!$K$30&lt;&gt;"∞",0),INDEX(AU418:CB418,1,$AT$1),INDEX(AU420:CB420,1,$AT$1)),"*玉山*")=0),N419,0)</f>
        <v>0</v>
      </c>
      <c r="P419">
        <f ca="1">IFERROR(IF(COUNTIF(B419,"*云栖松*")&gt;0,50-加速!$L$11,MAX(0,P418-(A419-A418))),0)</f>
        <v>0</v>
      </c>
      <c r="Q419">
        <f ca="1">IF(COUNTIF(IF(AND(配装计算器!$K$30&lt;&gt;"∞",0),INDEX(AU418:CB418,1,$AT$1),INDEX(AU420:CB420,1,$AT$1)),"*云栖松*")=1,P419,0)</f>
        <v>0</v>
      </c>
      <c r="R419">
        <f ca="1">IFERROR(IF(COUNTIF(B419,"*莺鸣柳*")&gt;0,45-加速!$L$9,MAX(0,R418-(A419-A418))),0)</f>
        <v>0</v>
      </c>
      <c r="S419">
        <f ca="1">IF(COUNTIF(IF(AND(配装计算器!$K$30&lt;&gt;"∞",0),INDEX(AU418:CB418,1,$AT$1),INDEX(AU420:CB420,1,$AT$1)),"*莺鸣柳*")=1,R419,0)</f>
        <v>0</v>
      </c>
      <c r="T419">
        <f ca="1" t="shared" si="88"/>
        <v>0</v>
      </c>
      <c r="U419">
        <f ca="1">IF(金蛇,IF(COUNTIF(B419,"*金环戴*")+COUNTIF(B419,"*吹风醒*")&gt;0,IF(A419&lt;=3,7.125-2.625-A419-加速!$L$11,7.125+加速!$K$9-(A419+加速!$L$11-T419)),0),0)+IF(金蛇,IF(COUNTIF(B419,"*千切子裂光*")&gt;0,2+加速!$K$9-(A419+加速!$L$11-T419),0),0)</f>
        <v>0</v>
      </c>
      <c r="V419">
        <f ca="1" t="shared" si="89"/>
        <v>0</v>
      </c>
      <c r="W419">
        <f ca="1" t="shared" si="81"/>
        <v>0</v>
      </c>
      <c r="X419">
        <f ca="1">INDEX(加速!$I$13:$I$21,技能数计算!W419+1)</f>
        <v>0</v>
      </c>
      <c r="Y419">
        <f ca="1" t="shared" si="85"/>
        <v>0.5</v>
      </c>
      <c r="Z419">
        <f ca="1" t="shared" si="86"/>
        <v>0</v>
      </c>
      <c r="AA419">
        <f ca="1">MAX(0,IFERROR(IF(COUNTIF(B419,"*叠*")&gt;0,IF(AC418&lt;3,8-A420+A419,AA418+6.875-A420+A419),AA418-A420+A419),AA418-加速!$L$11))</f>
        <v>0</v>
      </c>
      <c r="AB419" t="e">
        <f ca="1">MAX(0,IF(COUNTIF(IF(AND(配装计算器!$K$30&lt;&gt;"∞",0),INDEX(AU419:CB419,1,$AT$1),INDEX(AU419:CB419,1,$AT$1)),"*叠1*")=1,4*25-加速!$L$11,AB418-A419+A418)-IF(OR(COUNTIF(OFFSET(AT419,0,$AT$1,1,1),"*听雷*")&gt;0,AND(碧归&gt;0,COUNTIF(OFFSET(AT419,0,$AT$1,1,1),"*风来*")&gt;0)),0,1)*1.5)</f>
        <v>#VALUE!</v>
      </c>
      <c r="AC419">
        <f ca="1" t="shared" si="82"/>
        <v>3</v>
      </c>
      <c r="AD419">
        <f ca="1">IF(COUNTIF(IF(AND(配装计算器!$K$30&lt;&gt;"∞",0),INDEX(AU419:CB419,1,$AT$1),INDEX(AU420:CB420,1,$AT$1)),"*叠1*")=1,AB419*0+AE418,0)</f>
        <v>0</v>
      </c>
      <c r="AE419" t="e">
        <f ca="1">IF($AN$11&gt;0,IF(COUNTIF(B420,"*叠1*")&gt;0,50-加速!$H$11,MAX(0,AE418-(A420-A419))),0)</f>
        <v>#VALUE!</v>
      </c>
      <c r="AU419" s="176" t="s">
        <v>2776</v>
      </c>
      <c r="AV419">
        <v>1</v>
      </c>
      <c r="AW419" s="176" t="s">
        <v>2768</v>
      </c>
      <c r="AX419">
        <v>2</v>
      </c>
      <c r="AY419" t="s">
        <v>2776</v>
      </c>
      <c r="AZ419">
        <v>2</v>
      </c>
      <c r="BA419" t="s">
        <v>2768</v>
      </c>
      <c r="BB419">
        <v>2</v>
      </c>
      <c r="BC419" t="s">
        <v>2768</v>
      </c>
      <c r="BD419">
        <v>0</v>
      </c>
      <c r="BE419" t="s">
        <v>2794</v>
      </c>
      <c r="BF419">
        <v>1</v>
      </c>
      <c r="BG419" s="176" t="s">
        <v>2768</v>
      </c>
      <c r="BH419">
        <v>1</v>
      </c>
      <c r="BI419" t="s">
        <v>2776</v>
      </c>
      <c r="BJ419">
        <v>1</v>
      </c>
      <c r="BK419" s="176" t="s">
        <v>2808</v>
      </c>
      <c r="BL419">
        <v>2</v>
      </c>
      <c r="BM419" s="176" t="s">
        <v>2776</v>
      </c>
      <c r="BN419">
        <v>2</v>
      </c>
      <c r="BO419" s="176" t="s">
        <v>2768</v>
      </c>
      <c r="BP419">
        <v>2</v>
      </c>
      <c r="BQ419" t="s">
        <v>2776</v>
      </c>
      <c r="BR419">
        <v>2</v>
      </c>
      <c r="BS419" t="s">
        <v>2768</v>
      </c>
      <c r="BT419">
        <v>0</v>
      </c>
      <c r="BU419" t="s">
        <v>2768</v>
      </c>
      <c r="BV419">
        <v>2</v>
      </c>
      <c r="BW419" s="179" t="s">
        <v>3028</v>
      </c>
      <c r="BX419" s="179">
        <v>2</v>
      </c>
      <c r="BY419" s="176" t="s">
        <v>2768</v>
      </c>
      <c r="BZ419">
        <v>2</v>
      </c>
      <c r="CA419" t="str">
        <f>IF(0,"风来吴山","风来吴山")</f>
        <v>风来吴山</v>
      </c>
      <c r="CB419">
        <v>2</v>
      </c>
    </row>
    <row r="420" spans="1:80">
      <c r="A420" s="178" t="str">
        <f ca="1">IFERROR(IF(A419+加速!$L$11&lt;$AS$1,IF(COUNTIF(B419,"*轻*")&gt;0,A419+加速!$L$9,A419+加速!$L$11)+V419,IF(COUNTIF(INDEX(AU420:CB420,1,$AT$1),"*云景*")+COUNTIF(INDEX(AU420:CB420,1,$AT$1),"*鹤归*")+COUNTIF(INDEX(AU420:CB420,1,$AT$1),"*听雷*")&gt;0,A419+加速!$L$11,"")),"")</f>
        <v/>
      </c>
      <c r="B420" s="167" t="str">
        <f ca="1">IF(A420&lt;&gt;"",IF(AND(A420+加速!$L$11&gt;$AS$1,IF(AND(配装计算器!$K$30&lt;&gt;"∞",0),"梦泉虎跑-轻",INDEX(AU420:CB420,1,$AT$1))="云栖松"),"夕照雷峰",IF(AND(配装计算器!$K$30&lt;&gt;"∞",0),"梦泉虎跑-轻",INDEX(AU420:CB420,1,$AT$1))),"")</f>
        <v/>
      </c>
      <c r="C420" t="str">
        <f ca="1" t="shared" si="87"/>
        <v/>
      </c>
      <c r="D420" t="str">
        <f ca="1">IF(B420&lt;&gt;"",IF(C419&lt;=加速!$L$11*(1-E420),0,1),"")</f>
        <v/>
      </c>
      <c r="E420">
        <f ca="1" t="shared" si="83"/>
        <v>1</v>
      </c>
      <c r="G420" t="str">
        <f ca="1" t="shared" si="84"/>
        <v/>
      </c>
      <c r="H420" t="str">
        <f ca="1">IF(B420&lt;&gt;"",IF(AND(COUNTIF(B419,"*轻*莺鸣柳*")&gt;0,COUNTIF(B420,"*轻*")&lt;1),MAX(0,15+I419-(A420-A419)+COUNTIF(B419,"*平湖*")*0),IF(AND(E420=0,MAX(0,H419-(A420-A419))&lt;=加速!$H$11),0,MAX(0,H419-(A420-A419)))),"")</f>
        <v/>
      </c>
      <c r="I420" t="str">
        <f ca="1" t="shared" si="90"/>
        <v/>
      </c>
      <c r="J420" t="str">
        <f ca="1" t="shared" si="91"/>
        <v/>
      </c>
      <c r="K420" t="str">
        <f ca="1">IF(A420&lt;&gt;"",IF(AND(配装计算器!$K$30&lt;&gt;"∞",0),2,INDEX(AU420:CB420,1,$AT$2)),"")</f>
        <v/>
      </c>
      <c r="L420">
        <f ca="1">IFERROR(IF(AND(COUNTIF(B420,"*-峰插*"),技能数据库!$M$72&gt;0),0,IF(COUNTIF(B420,"*鹤归*")&gt;0,16-加速!$L$11,MAX(0,L419-(A420-A419)))),0)</f>
        <v>0</v>
      </c>
      <c r="M420">
        <f ca="1">IF(COUNTIF(IF(AND(配装计算器!$K$30&lt;&gt;"∞",0),INDEX(AU419:CB419,1,$AT$1),INDEX(AU421:CB421,1,$AT$1)),"*鹤归*")=1,L420,0)</f>
        <v>0</v>
      </c>
      <c r="N420">
        <f ca="1">IFERROR(IF(AND(COUNTIF(B420,"*-峰插*"),技能数据库!$M$72&gt;0),0,IF(COUNTIF(B420,"*云飞*")&gt;0,4-COUNTIF(B420,"*玉山揽云*")*4--COUNTIF(B420,"*烟流暮景*")*4-COUNTIF(B420,"*云景*")*加速!$L$11-IF(J420&gt;0,2,0),MAX(0,N419-(A420-A419)-IF(J420&gt;0,2,0)))),0)</f>
        <v>0</v>
      </c>
      <c r="O420">
        <f ca="1">IF(AND(COUNTIF(IF(AND(配装计算器!$K$30&lt;&gt;"∞",0),INDEX(AU419:CB419,1,$AT$1),INDEX(AU421:CB421,1,$AT$1)),"*云飞*")=1,COUNTIF(IF(AND(配装计算器!$K$30&lt;&gt;"∞",0),INDEX(AU419:CB419,1,$AT$1),INDEX(AU421:CB421,1,$AT$1)),"*玉山*")=0),N420,0)</f>
        <v>0</v>
      </c>
      <c r="P420">
        <f ca="1">IFERROR(IF(COUNTIF(B420,"*云栖松*")&gt;0,50-加速!$L$11,MAX(0,P419-(A420-A419))),0)</f>
        <v>0</v>
      </c>
      <c r="Q420">
        <f ca="1">IF(COUNTIF(IF(AND(配装计算器!$K$30&lt;&gt;"∞",0),INDEX(AU419:CB419,1,$AT$1),INDEX(AU421:CB421,1,$AT$1)),"*云栖松*")=1,P420,0)</f>
        <v>0</v>
      </c>
      <c r="R420">
        <f ca="1">IFERROR(IF(COUNTIF(B420,"*莺鸣柳*")&gt;0,45-加速!$L$9,MAX(0,R419-(A420-A419))),0)</f>
        <v>0</v>
      </c>
      <c r="S420">
        <f ca="1">IF(COUNTIF(IF(AND(配装计算器!$K$30&lt;&gt;"∞",0),INDEX(AU419:CB419,1,$AT$1),INDEX(AU421:CB421,1,$AT$1)),"*莺鸣柳*")=1,R420,0)</f>
        <v>0</v>
      </c>
      <c r="T420">
        <f ca="1" t="shared" si="88"/>
        <v>0</v>
      </c>
      <c r="U420">
        <f ca="1">IF(金蛇,IF(COUNTIF(B420,"*金环戴*")+COUNTIF(B420,"*吹风醒*")&gt;0,IF(A420&lt;=3,7.125-2.625-A420-加速!$L$11,7.125+加速!$K$9-(A420+加速!$L$11-T420)),0),0)+IF(金蛇,IF(COUNTIF(B420,"*千切子裂光*")&gt;0,2+加速!$K$9-(A420+加速!$L$11-T420),0),0)</f>
        <v>0</v>
      </c>
      <c r="V420" t="e">
        <f ca="1" t="shared" si="89"/>
        <v>#VALUE!</v>
      </c>
      <c r="W420">
        <f ca="1" t="shared" si="81"/>
        <v>0</v>
      </c>
      <c r="X420">
        <f ca="1">INDEX(加速!$I$13:$I$21,技能数计算!W420+1)</f>
        <v>0</v>
      </c>
      <c r="Y420">
        <f ca="1" t="shared" si="85"/>
        <v>0.5</v>
      </c>
      <c r="Z420">
        <f ca="1" t="shared" si="86"/>
        <v>0</v>
      </c>
      <c r="AA420">
        <f ca="1">MAX(0,IFERROR(IF(COUNTIF(B420,"*叠*")&gt;0,IF(AC419&lt;3,8-A421+A420,AA419+6.875-A421+A420),AA419-A421+A420),AA419-加速!$L$11))</f>
        <v>0</v>
      </c>
      <c r="AB420" t="e">
        <f ca="1">MAX(0,IF(COUNTIF(IF(AND(配装计算器!$K$30&lt;&gt;"∞",0),INDEX(AU420:CB420,1,$AT$1),INDEX(AU420:CB420,1,$AT$1)),"*叠1*")=1,4*25-加速!$L$11,AB419-A420+A419)-IF(OR(COUNTIF(OFFSET(AT420,0,$AT$1,1,1),"*听雷*")&gt;0,AND(碧归&gt;0,COUNTIF(OFFSET(AT420,0,$AT$1,1,1),"*风来*")&gt;0)),0,1)*1.5)</f>
        <v>#VALUE!</v>
      </c>
      <c r="AC420">
        <f ca="1" t="shared" si="82"/>
        <v>3</v>
      </c>
      <c r="AD420" t="e">
        <f ca="1">IF(COUNTIF(IF(AND(配装计算器!$K$30&lt;&gt;"∞",0),INDEX(AU420:CB420,1,$AT$1),INDEX(AU421:CB421,1,$AT$1)),"*叠1*")=1,AB420*0+AE419,0)</f>
        <v>#VALUE!</v>
      </c>
      <c r="AE420" t="e">
        <f ca="1">IF($AN$11&gt;0,IF(COUNTIF(B421,"*叠1*")&gt;0,50-加速!$H$11,MAX(0,AE419-(A421-A420))),0)</f>
        <v>#VALUE!</v>
      </c>
      <c r="AU420" t="s">
        <v>2722</v>
      </c>
      <c r="AV420">
        <v>0</v>
      </c>
      <c r="AW420" s="176" t="s">
        <v>2808</v>
      </c>
      <c r="AX420">
        <v>2</v>
      </c>
      <c r="AY420" t="s">
        <v>2768</v>
      </c>
      <c r="AZ420">
        <v>2</v>
      </c>
      <c r="BA420" t="s">
        <v>2776</v>
      </c>
      <c r="BB420">
        <v>2</v>
      </c>
      <c r="BC420" t="s">
        <v>2768</v>
      </c>
      <c r="BD420">
        <v>0</v>
      </c>
      <c r="BE420" t="s">
        <v>2776</v>
      </c>
      <c r="BF420">
        <v>2</v>
      </c>
      <c r="BG420" t="s">
        <v>3055</v>
      </c>
      <c r="BH420">
        <v>0</v>
      </c>
      <c r="BI420" t="s">
        <v>2768</v>
      </c>
      <c r="BJ420">
        <v>0</v>
      </c>
      <c r="BK420" t="s">
        <v>2789</v>
      </c>
      <c r="BL420">
        <v>2</v>
      </c>
      <c r="BM420" s="176" t="s">
        <v>2768</v>
      </c>
      <c r="BN420">
        <v>2</v>
      </c>
      <c r="BO420" s="176" t="s">
        <v>2776</v>
      </c>
      <c r="BP420">
        <v>2</v>
      </c>
      <c r="BQ420" t="s">
        <v>2768</v>
      </c>
      <c r="BR420">
        <v>2</v>
      </c>
      <c r="BS420" t="s">
        <v>3074</v>
      </c>
      <c r="BT420">
        <v>2</v>
      </c>
      <c r="BU420" t="s">
        <v>2776</v>
      </c>
      <c r="BV420">
        <v>2</v>
      </c>
      <c r="BW420" s="179" t="s">
        <v>2768</v>
      </c>
      <c r="BX420" s="179">
        <v>2</v>
      </c>
      <c r="BY420" s="176" t="s">
        <v>2776</v>
      </c>
      <c r="BZ420">
        <v>2</v>
      </c>
      <c r="CA420" t="str">
        <f>IF(0,"云飞玉皇-玉山揽云","云飞玉皇")</f>
        <v>云飞玉皇</v>
      </c>
      <c r="CB420">
        <v>2</v>
      </c>
    </row>
    <row r="421" spans="1:80">
      <c r="A421" s="178" t="str">
        <f ca="1">IFERROR(IF(A420+加速!$L$11&lt;$AS$1,IF(COUNTIF(B420,"*轻*")&gt;0,A420+加速!$L$9,A420+加速!$L$11)+V420,IF(COUNTIF(INDEX(AU421:CB421,1,$AT$1),"*云景*")+COUNTIF(INDEX(AU421:CB421,1,$AT$1),"*鹤归*")+COUNTIF(INDEX(AU421:CB421,1,$AT$1),"*听雷*")&gt;0,A420+加速!$L$11,"")),"")</f>
        <v/>
      </c>
      <c r="B421" s="167" t="str">
        <f ca="1">IF(A421&lt;&gt;"",IF(AND(A421+加速!$L$11&gt;$AS$1,IF(AND(配装计算器!$K$30&lt;&gt;"∞",0),"梦泉虎跑-轻",INDEX(AU421:CB421,1,$AT$1))="云栖松"),"夕照雷峰",IF(AND(配装计算器!$K$30&lt;&gt;"∞",0),"梦泉虎跑-轻",INDEX(AU421:CB421,1,$AT$1))),"")</f>
        <v/>
      </c>
      <c r="C421" t="str">
        <f ca="1" t="shared" si="87"/>
        <v/>
      </c>
      <c r="D421" t="str">
        <f ca="1">IF(B421&lt;&gt;"",IF(C420&lt;=加速!$L$11*(1-E421),0,1),"")</f>
        <v/>
      </c>
      <c r="E421">
        <f ca="1" t="shared" si="83"/>
        <v>1</v>
      </c>
      <c r="G421" t="str">
        <f ca="1" t="shared" si="84"/>
        <v/>
      </c>
      <c r="H421" t="str">
        <f ca="1">IF(B421&lt;&gt;"",IF(AND(COUNTIF(B420,"*轻*莺鸣柳*")&gt;0,COUNTIF(B421,"*轻*")&lt;1),MAX(0,15+I420-(A421-A420)+COUNTIF(B420,"*平湖*")*0),IF(AND(E421=0,MAX(0,H420-(A421-A420))&lt;=加速!$H$11),0,MAX(0,H420-(A421-A420)))),"")</f>
        <v/>
      </c>
      <c r="I421" t="str">
        <f ca="1" t="shared" si="90"/>
        <v/>
      </c>
      <c r="J421" t="str">
        <f ca="1" t="shared" si="91"/>
        <v/>
      </c>
      <c r="K421" t="str">
        <f ca="1">IF(A421&lt;&gt;"",IF(AND(配装计算器!$K$30&lt;&gt;"∞",0),2,INDEX(AU421:CB421,1,$AT$2)),"")</f>
        <v/>
      </c>
      <c r="L421">
        <f ca="1">IFERROR(IF(AND(COUNTIF(B421,"*-峰插*"),技能数据库!$M$72&gt;0),0,IF(COUNTIF(B421,"*鹤归*")&gt;0,16-加速!$L$11,MAX(0,L420-(A421-A420)))),0)</f>
        <v>0</v>
      </c>
      <c r="M421">
        <f ca="1">IF(COUNTIF(IF(AND(配装计算器!$K$30&lt;&gt;"∞",0),INDEX(AU420:CB420,1,$AT$1),INDEX(AU422:CB422,1,$AT$1)),"*鹤归*")=1,L421,0)</f>
        <v>0</v>
      </c>
      <c r="N421">
        <f ca="1">IFERROR(IF(AND(COUNTIF(B421,"*-峰插*"),技能数据库!$M$72&gt;0),0,IF(COUNTIF(B421,"*云飞*")&gt;0,4-COUNTIF(B421,"*玉山揽云*")*4--COUNTIF(B421,"*烟流暮景*")*4-COUNTIF(B421,"*云景*")*加速!$L$11-IF(J421&gt;0,2,0),MAX(0,N420-(A421-A420)-IF(J421&gt;0,2,0)))),0)</f>
        <v>0</v>
      </c>
      <c r="O421">
        <f ca="1">IF(AND(COUNTIF(IF(AND(配装计算器!$K$30&lt;&gt;"∞",0),INDEX(AU420:CB420,1,$AT$1),INDEX(AU422:CB422,1,$AT$1)),"*云飞*")=1,COUNTIF(IF(AND(配装计算器!$K$30&lt;&gt;"∞",0),INDEX(AU420:CB420,1,$AT$1),INDEX(AU422:CB422,1,$AT$1)),"*玉山*")=0),N421,0)</f>
        <v>0</v>
      </c>
      <c r="P421">
        <f ca="1">IFERROR(IF(COUNTIF(B421,"*云栖松*")&gt;0,50-加速!$L$11,MAX(0,P420-(A421-A420))),0)</f>
        <v>0</v>
      </c>
      <c r="Q421">
        <f ca="1">IF(COUNTIF(IF(AND(配装计算器!$K$30&lt;&gt;"∞",0),INDEX(AU420:CB420,1,$AT$1),INDEX(AU422:CB422,1,$AT$1)),"*云栖松*")=1,P421,0)</f>
        <v>0</v>
      </c>
      <c r="R421">
        <f ca="1">IFERROR(IF(COUNTIF(B421,"*莺鸣柳*")&gt;0,45-加速!$L$9,MAX(0,R420-(A421-A420))),0)</f>
        <v>0</v>
      </c>
      <c r="S421">
        <f ca="1">IF(COUNTIF(IF(AND(配装计算器!$K$30&lt;&gt;"∞",0),INDEX(AU420:CB420,1,$AT$1),INDEX(AU422:CB422,1,$AT$1)),"*莺鸣柳*")=1,R421,0)</f>
        <v>0</v>
      </c>
      <c r="T421">
        <f ca="1" t="shared" si="88"/>
        <v>0</v>
      </c>
      <c r="U421">
        <f ca="1">IF(金蛇,IF(COUNTIF(B421,"*金环戴*")+COUNTIF(B421,"*吹风醒*")&gt;0,IF(A421&lt;=3,7.125-2.625-A421-加速!$L$11,7.125+加速!$K$9-(A421+加速!$L$11-T421)),0),0)+IF(金蛇,IF(COUNTIF(B421,"*千切子裂光*")&gt;0,2+加速!$K$9-(A421+加速!$L$11-T421),0),0)</f>
        <v>0</v>
      </c>
      <c r="V421">
        <f ca="1" t="shared" si="89"/>
        <v>0</v>
      </c>
      <c r="W421">
        <f ca="1" t="shared" si="81"/>
        <v>0</v>
      </c>
      <c r="X421">
        <f ca="1">INDEX(加速!$I$13:$I$21,技能数计算!W421+1)</f>
        <v>0</v>
      </c>
      <c r="Y421">
        <f ca="1" t="shared" si="85"/>
        <v>0.5</v>
      </c>
      <c r="Z421">
        <f ca="1" t="shared" si="86"/>
        <v>0</v>
      </c>
      <c r="AA421">
        <f ca="1">MAX(0,IFERROR(IF(COUNTIF(B421,"*叠*")&gt;0,IF(AC420&lt;3,8-A422+A421,AA420+6.875-A422+A421),AA420-A422+A421),AA420-加速!$L$11))</f>
        <v>0</v>
      </c>
      <c r="AB421">
        <f ca="1">MAX(0,IF(COUNTIF(IF(AND(配装计算器!$K$30&lt;&gt;"∞",0),INDEX(AU421:CB421,1,$AT$1),INDEX(AU421:CB421,1,$AT$1)),"*叠1*")=1,4*25-加速!$L$11,AB420-A421+A420)-IF(OR(COUNTIF(OFFSET(AT421,0,$AT$1,1,1),"*听雷*")&gt;0,AND(碧归&gt;0,COUNTIF(OFFSET(AT421,0,$AT$1,1,1),"*风来*")&gt;0)),0,1)*1.5)</f>
        <v>97.21</v>
      </c>
      <c r="AC421">
        <f ca="1" t="shared" si="82"/>
        <v>3</v>
      </c>
      <c r="AD421">
        <f ca="1">IF(COUNTIF(IF(AND(配装计算器!$K$30&lt;&gt;"∞",0),INDEX(AU421:CB421,1,$AT$1),INDEX(AU422:CB422,1,$AT$1)),"*叠1*")=1,AB421*0+AE420,0)</f>
        <v>0</v>
      </c>
      <c r="AE421" t="e">
        <f ca="1">IF($AN$11&gt;0,IF(COUNTIF(B422,"*叠1*")&gt;0,50-加速!$H$11,MAX(0,AE420-(A422-A421))),0)</f>
        <v>#VALUE!</v>
      </c>
      <c r="AU421" t="s">
        <v>3009</v>
      </c>
      <c r="AV421">
        <v>2</v>
      </c>
      <c r="AW421" t="str">
        <f>IF($AN$11=1,"云飞玉皇-玉山揽云","夕照雷峰")</f>
        <v>云飞玉皇-玉山揽云</v>
      </c>
      <c r="AX421">
        <v>2</v>
      </c>
      <c r="AY421" t="s">
        <v>2794</v>
      </c>
      <c r="AZ421">
        <v>2</v>
      </c>
      <c r="BA421" t="s">
        <v>2768</v>
      </c>
      <c r="BB421">
        <v>2</v>
      </c>
      <c r="BC421" t="s">
        <v>3010</v>
      </c>
      <c r="BD421">
        <v>2</v>
      </c>
      <c r="BE421" t="s">
        <v>2768</v>
      </c>
      <c r="BF421">
        <v>2</v>
      </c>
      <c r="BG421" t="s">
        <v>2776</v>
      </c>
      <c r="BH421">
        <v>2</v>
      </c>
      <c r="BI421" t="s">
        <v>3011</v>
      </c>
      <c r="BJ421">
        <v>2</v>
      </c>
      <c r="BK421" t="s">
        <v>2776</v>
      </c>
      <c r="BL421">
        <v>2</v>
      </c>
      <c r="BM421" s="176" t="s">
        <v>2808</v>
      </c>
      <c r="BN421">
        <v>2</v>
      </c>
      <c r="BO421" s="176" t="s">
        <v>2768</v>
      </c>
      <c r="BP421">
        <v>2</v>
      </c>
      <c r="BQ421" t="s">
        <v>2776</v>
      </c>
      <c r="BR421">
        <v>2</v>
      </c>
      <c r="BS421" t="s">
        <v>2768</v>
      </c>
      <c r="BT421">
        <v>2</v>
      </c>
      <c r="BU421" t="s">
        <v>2768</v>
      </c>
      <c r="BV421">
        <v>2</v>
      </c>
      <c r="BW421" s="179" t="str">
        <f>IF(山重水复,"风来吴山","夕照雷峰")</f>
        <v>夕照雷峰</v>
      </c>
      <c r="BX421" s="179">
        <v>2</v>
      </c>
      <c r="BY421" s="176" t="s">
        <v>2768</v>
      </c>
      <c r="BZ421">
        <v>2</v>
      </c>
      <c r="CA421" s="180" t="str">
        <f>IF(0,"云飞玉皇-玉山揽云","夕照雷峰")</f>
        <v>夕照雷峰</v>
      </c>
      <c r="CB421">
        <v>2</v>
      </c>
    </row>
    <row r="422" spans="1:80">
      <c r="A422" s="178" t="str">
        <f ca="1">IFERROR(IF(A421+加速!$L$11&lt;$AS$1,IF(COUNTIF(B421,"*轻*")&gt;0,A421+加速!$L$9,A421+加速!$L$11)+V421,IF(COUNTIF(INDEX(AU422:CB422,1,$AT$1),"*云景*")+COUNTIF(INDEX(AU422:CB422,1,$AT$1),"*鹤归*")+COUNTIF(INDEX(AU422:CB422,1,$AT$1),"*听雷*")&gt;0,A421+加速!$L$11,"")),"")</f>
        <v/>
      </c>
      <c r="B422" s="167" t="str">
        <f ca="1">IF(A422&lt;&gt;"",IF(AND(A422+加速!$L$11&gt;$AS$1,IF(AND(配装计算器!$K$30&lt;&gt;"∞",0),"梦泉虎跑-轻",INDEX(AU422:CB422,1,$AT$1))="云栖松"),"夕照雷峰",IF(AND(配装计算器!$K$30&lt;&gt;"∞",0),"梦泉虎跑-轻",INDEX(AU422:CB422,1,$AT$1))),"")</f>
        <v/>
      </c>
      <c r="C422" t="str">
        <f ca="1" t="shared" si="87"/>
        <v/>
      </c>
      <c r="D422" t="str">
        <f ca="1">IF(B422&lt;&gt;"",IF(C421&lt;=加速!$L$11*(1-E422),0,1),"")</f>
        <v/>
      </c>
      <c r="E422">
        <f ca="1" t="shared" si="83"/>
        <v>1</v>
      </c>
      <c r="G422" t="str">
        <f ca="1" t="shared" si="84"/>
        <v/>
      </c>
      <c r="H422" t="str">
        <f ca="1">IF(B422&lt;&gt;"",IF(AND(COUNTIF(B421,"*轻*莺鸣柳*")&gt;0,COUNTIF(B422,"*轻*")&lt;1),MAX(0,15+I421-(A422-A421)+COUNTIF(B421,"*平湖*")*0),IF(AND(E422=0,MAX(0,H421-(A422-A421))&lt;=加速!$H$11),0,MAX(0,H421-(A422-A421)))),"")</f>
        <v/>
      </c>
      <c r="I422" t="str">
        <f ca="1" t="shared" si="90"/>
        <v/>
      </c>
      <c r="J422" t="str">
        <f ca="1" t="shared" si="91"/>
        <v/>
      </c>
      <c r="K422" t="str">
        <f ca="1">IF(A422&lt;&gt;"",IF(AND(配装计算器!$K$30&lt;&gt;"∞",0),2,INDEX(AU422:CB422,1,$AT$2)),"")</f>
        <v/>
      </c>
      <c r="L422">
        <f ca="1">IFERROR(IF(AND(COUNTIF(B422,"*-峰插*"),技能数据库!$M$72&gt;0),0,IF(COUNTIF(B422,"*鹤归*")&gt;0,16-加速!$L$11,MAX(0,L421-(A422-A421)))),0)</f>
        <v>0</v>
      </c>
      <c r="M422">
        <f ca="1">IF(COUNTIF(IF(AND(配装计算器!$K$30&lt;&gt;"∞",0),INDEX(AU421:CB421,1,$AT$1),INDEX(AU423:CB423,1,$AT$1)),"*鹤归*")=1,L422,0)</f>
        <v>0</v>
      </c>
      <c r="N422">
        <f ca="1">IFERROR(IF(AND(COUNTIF(B422,"*-峰插*"),技能数据库!$M$72&gt;0),0,IF(COUNTIF(B422,"*云飞*")&gt;0,4-COUNTIF(B422,"*玉山揽云*")*4--COUNTIF(B422,"*烟流暮景*")*4-COUNTIF(B422,"*云景*")*加速!$L$11-IF(J422&gt;0,2,0),MAX(0,N421-(A422-A421)-IF(J422&gt;0,2,0)))),0)</f>
        <v>0</v>
      </c>
      <c r="O422">
        <f ca="1">IF(AND(COUNTIF(IF(AND(配装计算器!$K$30&lt;&gt;"∞",0),INDEX(AU421:CB421,1,$AT$1),INDEX(AU423:CB423,1,$AT$1)),"*云飞*")=1,COUNTIF(IF(AND(配装计算器!$K$30&lt;&gt;"∞",0),INDEX(AU421:CB421,1,$AT$1),INDEX(AU423:CB423,1,$AT$1)),"*玉山*")=0),N422,0)</f>
        <v>0</v>
      </c>
      <c r="P422">
        <f ca="1">IFERROR(IF(COUNTIF(B422,"*云栖松*")&gt;0,50-加速!$L$11,MAX(0,P421-(A422-A421))),0)</f>
        <v>0</v>
      </c>
      <c r="Q422">
        <f ca="1">IF(COUNTIF(IF(AND(配装计算器!$K$30&lt;&gt;"∞",0),INDEX(AU421:CB421,1,$AT$1),INDEX(AU423:CB423,1,$AT$1)),"*云栖松*")=1,P422,0)</f>
        <v>0</v>
      </c>
      <c r="R422">
        <f ca="1">IFERROR(IF(COUNTIF(B422,"*莺鸣柳*")&gt;0,45-加速!$L$9,MAX(0,R421-(A422-A421))),0)</f>
        <v>0</v>
      </c>
      <c r="S422">
        <f ca="1">IF(COUNTIF(IF(AND(配装计算器!$K$30&lt;&gt;"∞",0),INDEX(AU421:CB421,1,$AT$1),INDEX(AU423:CB423,1,$AT$1)),"*莺鸣柳*")=1,R422,0)</f>
        <v>0</v>
      </c>
      <c r="T422">
        <f ca="1" t="shared" si="88"/>
        <v>0</v>
      </c>
      <c r="U422">
        <f ca="1">IF(金蛇,IF(COUNTIF(B422,"*金环戴*")+COUNTIF(B422,"*吹风醒*")&gt;0,IF(A422&lt;=3,7.125-2.625-A422-加速!$L$11,7.125+加速!$K$9-(A422+加速!$L$11-T422)),0),0)+IF(金蛇,IF(COUNTIF(B422,"*千切子裂光*")&gt;0,2+加速!$K$9-(A422+加速!$L$11-T422),0),0)</f>
        <v>0</v>
      </c>
      <c r="V422">
        <f ca="1" t="shared" si="89"/>
        <v>0</v>
      </c>
      <c r="W422">
        <f ca="1" t="shared" si="81"/>
        <v>0</v>
      </c>
      <c r="X422">
        <f ca="1">INDEX(加速!$I$13:$I$21,技能数计算!W422+1)</f>
        <v>0</v>
      </c>
      <c r="Y422">
        <f ca="1" t="shared" si="85"/>
        <v>0.5</v>
      </c>
      <c r="Z422">
        <f ca="1" t="shared" si="86"/>
        <v>0</v>
      </c>
      <c r="AA422">
        <f ca="1">MAX(0,IFERROR(IF(COUNTIF(B422,"*叠*")&gt;0,IF(AC421&lt;3,8-A423+A422,AA421+6.875-A423+A422),AA421-A423+A422),AA421-加速!$L$11))</f>
        <v>0</v>
      </c>
      <c r="AB422" t="e">
        <f ca="1">MAX(0,IF(COUNTIF(IF(AND(配装计算器!$K$30&lt;&gt;"∞",0),INDEX(AU422:CB422,1,$AT$1),INDEX(AU422:CB422,1,$AT$1)),"*叠1*")=1,4*25-加速!$L$11,AB421-A422+A421)-IF(OR(COUNTIF(OFFSET(AT422,0,$AT$1,1,1),"*听雷*")&gt;0,AND(碧归&gt;0,COUNTIF(OFFSET(AT422,0,$AT$1,1,1),"*风来*")&gt;0)),0,1)*1.5)</f>
        <v>#VALUE!</v>
      </c>
      <c r="AC422">
        <f ca="1" t="shared" si="82"/>
        <v>3</v>
      </c>
      <c r="AD422">
        <f ca="1">IF(COUNTIF(IF(AND(配装计算器!$K$30&lt;&gt;"∞",0),INDEX(AU422:CB422,1,$AT$1),INDEX(AU423:CB423,1,$AT$1)),"*叠1*")=1,AB422*0+AE421,0)</f>
        <v>0</v>
      </c>
      <c r="AE422" t="e">
        <f ca="1">IF($AN$11&gt;0,IF(COUNTIF(B423,"*叠1*")&gt;0,50-加速!$H$11,MAX(0,AE421-(A423-A422))),0)</f>
        <v>#VALUE!</v>
      </c>
      <c r="AU422" t="s">
        <v>2768</v>
      </c>
      <c r="AV422">
        <v>2</v>
      </c>
      <c r="AW422" t="str">
        <f>IF($AN$11=1,"云飞玉皇-玉山揽云","云飞玉皇")</f>
        <v>云飞玉皇-玉山揽云</v>
      </c>
      <c r="AX422">
        <v>2</v>
      </c>
      <c r="AY422" t="s">
        <v>2768</v>
      </c>
      <c r="AZ422">
        <v>2</v>
      </c>
      <c r="BA422" t="s">
        <v>2776</v>
      </c>
      <c r="BB422">
        <v>2</v>
      </c>
      <c r="BC422" t="s">
        <v>3013</v>
      </c>
      <c r="BD422">
        <v>2</v>
      </c>
      <c r="BE422" t="s">
        <v>2776</v>
      </c>
      <c r="BF422">
        <v>2</v>
      </c>
      <c r="BG422" t="s">
        <v>2768</v>
      </c>
      <c r="BH422">
        <v>2</v>
      </c>
      <c r="BI422" t="s">
        <v>2768</v>
      </c>
      <c r="BJ422">
        <v>2</v>
      </c>
      <c r="BK422" s="180" t="s">
        <v>3036</v>
      </c>
      <c r="BL422">
        <v>2</v>
      </c>
      <c r="BM422" t="str">
        <f>IF(0,"云飞玉皇-玉山揽云","夕照雷峰")</f>
        <v>夕照雷峰</v>
      </c>
      <c r="BN422">
        <v>2</v>
      </c>
      <c r="BO422" t="s">
        <v>3056</v>
      </c>
      <c r="BP422">
        <v>1</v>
      </c>
      <c r="BQ422" t="s">
        <v>2768</v>
      </c>
      <c r="BR422">
        <v>2</v>
      </c>
      <c r="BS422" t="s">
        <v>2776</v>
      </c>
      <c r="BT422">
        <v>2</v>
      </c>
      <c r="BU422" t="s">
        <v>2776</v>
      </c>
      <c r="BV422">
        <v>2</v>
      </c>
      <c r="BW422" s="182" t="s">
        <v>2794</v>
      </c>
      <c r="BX422" s="179">
        <v>2</v>
      </c>
      <c r="BY422" s="176" t="s">
        <v>2808</v>
      </c>
      <c r="BZ422">
        <v>2</v>
      </c>
      <c r="CA422" s="176" t="str">
        <f>IF(秋,"夕照雷峰","千切子寒光")</f>
        <v>千切子寒光</v>
      </c>
      <c r="CB422">
        <v>2</v>
      </c>
    </row>
    <row r="423" spans="1:80">
      <c r="A423" s="178" t="str">
        <f ca="1">IFERROR(IF(A422+加速!$L$11&lt;$AS$1,IF(COUNTIF(B422,"*轻*")&gt;0,A422+加速!$L$9,A422+加速!$L$11)+V422,IF(COUNTIF(INDEX(AU423:CB423,1,$AT$1),"*云景*")+COUNTIF(INDEX(AU423:CB423,1,$AT$1),"*鹤归*")+COUNTIF(INDEX(AU423:CB423,1,$AT$1),"*听雷*")&gt;0,A422+加速!$L$11,"")),"")</f>
        <v/>
      </c>
      <c r="B423" s="167" t="str">
        <f ca="1">IF(A423&lt;&gt;"",IF(AND(A423+加速!$L$11&gt;$AS$1,IF(AND(配装计算器!$K$30&lt;&gt;"∞",0),"梦泉虎跑-轻",INDEX(AU423:CB423,1,$AT$1))="云栖松"),"夕照雷峰",IF(AND(配装计算器!$K$30&lt;&gt;"∞",0),"梦泉虎跑-轻",INDEX(AU423:CB423,1,$AT$1))),"")</f>
        <v/>
      </c>
      <c r="C423" t="str">
        <f ca="1" t="shared" si="87"/>
        <v/>
      </c>
      <c r="D423" t="str">
        <f ca="1">IF(B423&lt;&gt;"",IF(C422&lt;=加速!$L$11*(1-E423),0,1),"")</f>
        <v/>
      </c>
      <c r="E423">
        <f ca="1" t="shared" si="83"/>
        <v>1</v>
      </c>
      <c r="G423" t="str">
        <f ca="1" t="shared" si="84"/>
        <v/>
      </c>
      <c r="H423" t="str">
        <f ca="1">IF(B423&lt;&gt;"",IF(AND(COUNTIF(B422,"*轻*莺鸣柳*")&gt;0,COUNTIF(B423,"*轻*")&lt;1),MAX(0,15+I422-(A423-A422)+COUNTIF(B422,"*平湖*")*0),IF(AND(E423=0,MAX(0,H422-(A423-A422))&lt;=加速!$H$11),0,MAX(0,H422-(A423-A422)))),"")</f>
        <v/>
      </c>
      <c r="I423" t="str">
        <f ca="1" t="shared" si="90"/>
        <v/>
      </c>
      <c r="J423" t="str">
        <f ca="1" t="shared" si="91"/>
        <v/>
      </c>
      <c r="K423" t="str">
        <f ca="1">IF(A423&lt;&gt;"",IF(AND(配装计算器!$K$30&lt;&gt;"∞",0),2,INDEX(AU423:CB423,1,$AT$2)),"")</f>
        <v/>
      </c>
      <c r="L423">
        <f ca="1">IFERROR(IF(AND(COUNTIF(B423,"*-峰插*"),技能数据库!$M$72&gt;0),0,IF(COUNTIF(B423,"*鹤归*")&gt;0,16-加速!$L$11,MAX(0,L422-(A423-A422)))),0)</f>
        <v>0</v>
      </c>
      <c r="M423">
        <f ca="1">IF(COUNTIF(IF(AND(配装计算器!$K$30&lt;&gt;"∞",0),INDEX(AU422:CB422,1,$AT$1),INDEX(AU424:CB424,1,$AT$1)),"*鹤归*")=1,L423,0)</f>
        <v>0</v>
      </c>
      <c r="N423">
        <f ca="1">IFERROR(IF(AND(COUNTIF(B423,"*-峰插*"),技能数据库!$M$72&gt;0),0,IF(COUNTIF(B423,"*云飞*")&gt;0,4-COUNTIF(B423,"*玉山揽云*")*4--COUNTIF(B423,"*烟流暮景*")*4-COUNTIF(B423,"*云景*")*加速!$L$11-IF(J423&gt;0,2,0),MAX(0,N422-(A423-A422)-IF(J423&gt;0,2,0)))),0)</f>
        <v>0</v>
      </c>
      <c r="O423">
        <f ca="1">IF(AND(COUNTIF(IF(AND(配装计算器!$K$30&lt;&gt;"∞",0),INDEX(AU422:CB422,1,$AT$1),INDEX(AU424:CB424,1,$AT$1)),"*云飞*")=1,COUNTIF(IF(AND(配装计算器!$K$30&lt;&gt;"∞",0),INDEX(AU422:CB422,1,$AT$1),INDEX(AU424:CB424,1,$AT$1)),"*玉山*")=0),N423,0)</f>
        <v>0</v>
      </c>
      <c r="P423">
        <f ca="1">IFERROR(IF(COUNTIF(B423,"*云栖松*")&gt;0,50-加速!$L$11,MAX(0,P422-(A423-A422))),0)</f>
        <v>0</v>
      </c>
      <c r="Q423">
        <f ca="1">IF(COUNTIF(IF(AND(配装计算器!$K$30&lt;&gt;"∞",0),INDEX(AU422:CB422,1,$AT$1),INDEX(AU424:CB424,1,$AT$1)),"*云栖松*")=1,P423,0)</f>
        <v>0</v>
      </c>
      <c r="R423">
        <f ca="1">IFERROR(IF(COUNTIF(B423,"*莺鸣柳*")&gt;0,45-加速!$L$9,MAX(0,R422-(A423-A422))),0)</f>
        <v>0</v>
      </c>
      <c r="S423">
        <f ca="1">IF(COUNTIF(IF(AND(配装计算器!$K$30&lt;&gt;"∞",0),INDEX(AU422:CB422,1,$AT$1),INDEX(AU424:CB424,1,$AT$1)),"*莺鸣柳*")=1,R423,0)</f>
        <v>0</v>
      </c>
      <c r="T423">
        <f ca="1" t="shared" si="88"/>
        <v>0</v>
      </c>
      <c r="U423">
        <f ca="1">IF(金蛇,IF(COUNTIF(B423,"*金环戴*")+COUNTIF(B423,"*吹风醒*")&gt;0,IF(A423&lt;=3,7.125-2.625-A423-加速!$L$11,7.125+加速!$K$9-(A423+加速!$L$11-T423)),0),0)+IF(金蛇,IF(COUNTIF(B423,"*千切子裂光*")&gt;0,2+加速!$K$9-(A423+加速!$L$11-T423),0),0)</f>
        <v>0</v>
      </c>
      <c r="V423">
        <f ca="1" t="shared" si="89"/>
        <v>0</v>
      </c>
      <c r="W423">
        <f ca="1" t="shared" si="81"/>
        <v>0</v>
      </c>
      <c r="X423">
        <f ca="1">INDEX(加速!$I$13:$I$21,技能数计算!W423+1)</f>
        <v>0</v>
      </c>
      <c r="Y423">
        <f ca="1" t="shared" si="85"/>
        <v>0.5</v>
      </c>
      <c r="Z423">
        <f ca="1" t="shared" si="86"/>
        <v>0</v>
      </c>
      <c r="AA423">
        <f ca="1">MAX(0,IFERROR(IF(COUNTIF(B423,"*叠*")&gt;0,IF(AC422&lt;3,8-A424+A423,AA422+6.875-A424+A423),AA422-A424+A423),AA422-加速!$L$11))</f>
        <v>0</v>
      </c>
      <c r="AB423" t="e">
        <f ca="1">MAX(0,IF(COUNTIF(IF(AND(配装计算器!$K$30&lt;&gt;"∞",0),INDEX(AU423:CB423,1,$AT$1),INDEX(AU423:CB423,1,$AT$1)),"*叠1*")=1,4*25-加速!$L$11,AB422-A423+A422)-IF(OR(COUNTIF(OFFSET(AT423,0,$AT$1,1,1),"*听雷*")&gt;0,AND(碧归&gt;0,COUNTIF(OFFSET(AT423,0,$AT$1,1,1),"*风来*")&gt;0)),0,1)*1.5)</f>
        <v>#VALUE!</v>
      </c>
      <c r="AC423">
        <f ca="1" t="shared" si="82"/>
        <v>3</v>
      </c>
      <c r="AD423">
        <f ca="1">IF(COUNTIF(IF(AND(配装计算器!$K$30&lt;&gt;"∞",0),INDEX(AU423:CB423,1,$AT$1),INDEX(AU424:CB424,1,$AT$1)),"*叠1*")=1,AB423*0+AE422,0)</f>
        <v>0</v>
      </c>
      <c r="AE423" t="e">
        <f ca="1">IF($AN$11&gt;0,IF(COUNTIF(B424,"*叠1*")&gt;0,50-加速!$H$11,MAX(0,AE422-(A424-A423))),0)</f>
        <v>#VALUE!</v>
      </c>
      <c r="AU423" t="s">
        <v>2776</v>
      </c>
      <c r="AV423">
        <v>2</v>
      </c>
      <c r="AW423" t="str">
        <f>IF($AN$11=1,"云飞玉皇-玉山揽云","夕照雷峰")</f>
        <v>云飞玉皇-玉山揽云</v>
      </c>
      <c r="AX423">
        <v>2</v>
      </c>
      <c r="AY423" t="s">
        <v>2776</v>
      </c>
      <c r="AZ423">
        <v>2</v>
      </c>
      <c r="BA423" t="s">
        <v>2768</v>
      </c>
      <c r="BB423">
        <v>2</v>
      </c>
      <c r="BC423" t="s">
        <v>3018</v>
      </c>
      <c r="BD423">
        <v>2</v>
      </c>
      <c r="BE423" t="s">
        <v>2768</v>
      </c>
      <c r="BF423">
        <v>2</v>
      </c>
      <c r="BG423" t="s">
        <v>2776</v>
      </c>
      <c r="BH423">
        <v>2</v>
      </c>
      <c r="BI423" t="s">
        <v>3018</v>
      </c>
      <c r="BJ423">
        <v>2</v>
      </c>
      <c r="BK423" t="s">
        <v>3026</v>
      </c>
      <c r="BL423">
        <v>2</v>
      </c>
      <c r="BM423" t="str">
        <f>IF(0,"云飞玉皇-玉山揽云","云飞玉皇")</f>
        <v>云飞玉皇</v>
      </c>
      <c r="BN423">
        <v>2</v>
      </c>
      <c r="BO423" t="s">
        <v>2768</v>
      </c>
      <c r="BP423">
        <v>2</v>
      </c>
      <c r="BQ423" t="s">
        <v>3013</v>
      </c>
      <c r="BR423">
        <v>2</v>
      </c>
      <c r="BS423" t="s">
        <v>2768</v>
      </c>
      <c r="BT423">
        <v>2</v>
      </c>
      <c r="BU423" t="s">
        <v>2768</v>
      </c>
      <c r="BV423">
        <v>2</v>
      </c>
      <c r="BW423" s="182" t="s">
        <v>2776</v>
      </c>
      <c r="BX423" s="179">
        <v>2</v>
      </c>
      <c r="BY423" t="str">
        <f>IF(0,"云飞玉皇-玉山揽云","夕照雷峰")</f>
        <v>夕照雷峰</v>
      </c>
      <c r="BZ423">
        <v>2</v>
      </c>
      <c r="CA423" s="176" t="str">
        <f>IF(秋,"夕照雷峰","千切子裂光")</f>
        <v>千切子裂光</v>
      </c>
      <c r="CB423">
        <v>2</v>
      </c>
    </row>
    <row r="424" spans="1:80">
      <c r="A424" s="178" t="str">
        <f ca="1">IFERROR(IF(A423+加速!$L$11&lt;$AS$1,IF(COUNTIF(B423,"*轻*")&gt;0,A423+加速!$L$9,A423+加速!$L$11)+V423,IF(COUNTIF(INDEX(AU424:CB424,1,$AT$1),"*云景*")+COUNTIF(INDEX(AU424:CB424,1,$AT$1),"*鹤归*")+COUNTIF(INDEX(AU424:CB424,1,$AT$1),"*听雷*")&gt;0,A423+加速!$L$11,"")),"")</f>
        <v/>
      </c>
      <c r="B424" s="167" t="str">
        <f ca="1">IF(A424&lt;&gt;"",IF(AND(A424+加速!$L$11&gt;$AS$1,IF(AND(配装计算器!$K$30&lt;&gt;"∞",0),"梦泉虎跑-轻",INDEX(AU424:CB424,1,$AT$1))="云栖松"),"夕照雷峰",IF(AND(配装计算器!$K$30&lt;&gt;"∞",0),"梦泉虎跑-轻",INDEX(AU424:CB424,1,$AT$1))),"")</f>
        <v/>
      </c>
      <c r="C424" t="str">
        <f ca="1" t="shared" si="87"/>
        <v/>
      </c>
      <c r="D424" t="str">
        <f ca="1">IF(B424&lt;&gt;"",IF(C423&lt;=加速!$L$11*(1-E424),0,1),"")</f>
        <v/>
      </c>
      <c r="E424">
        <f ca="1" t="shared" si="83"/>
        <v>1</v>
      </c>
      <c r="G424" t="str">
        <f ca="1" t="shared" si="84"/>
        <v/>
      </c>
      <c r="H424" t="str">
        <f ca="1">IF(B424&lt;&gt;"",IF(AND(COUNTIF(B423,"*轻*莺鸣柳*")&gt;0,COUNTIF(B424,"*轻*")&lt;1),MAX(0,15+I423-(A424-A423)+COUNTIF(B423,"*平湖*")*0),IF(AND(E424=0,MAX(0,H423-(A424-A423))&lt;=加速!$H$11),0,MAX(0,H423-(A424-A423)))),"")</f>
        <v/>
      </c>
      <c r="I424" t="str">
        <f ca="1" t="shared" si="90"/>
        <v/>
      </c>
      <c r="J424" t="str">
        <f ca="1" t="shared" si="91"/>
        <v/>
      </c>
      <c r="K424" t="str">
        <f ca="1">IF(A424&lt;&gt;"",IF(AND(配装计算器!$K$30&lt;&gt;"∞",0),2,INDEX(AU424:CB424,1,$AT$2)),"")</f>
        <v/>
      </c>
      <c r="L424">
        <f ca="1">IFERROR(IF(AND(COUNTIF(B424,"*-峰插*"),技能数据库!$M$72&gt;0),0,IF(COUNTIF(B424,"*鹤归*")&gt;0,16-加速!$L$11,MAX(0,L423-(A424-A423)))),0)</f>
        <v>0</v>
      </c>
      <c r="M424">
        <f ca="1">IF(COUNTIF(IF(AND(配装计算器!$K$30&lt;&gt;"∞",0),INDEX(AU423:CB423,1,$AT$1),INDEX(AU425:CB425,1,$AT$1)),"*鹤归*")=1,L424,0)</f>
        <v>0</v>
      </c>
      <c r="N424">
        <f ca="1">IFERROR(IF(AND(COUNTIF(B424,"*-峰插*"),技能数据库!$M$72&gt;0),0,IF(COUNTIF(B424,"*云飞*")&gt;0,4-COUNTIF(B424,"*玉山揽云*")*4--COUNTIF(B424,"*烟流暮景*")*4-COUNTIF(B424,"*云景*")*加速!$L$11-IF(J424&gt;0,2,0),MAX(0,N423-(A424-A423)-IF(J424&gt;0,2,0)))),0)</f>
        <v>0</v>
      </c>
      <c r="O424">
        <f ca="1">IF(AND(COUNTIF(IF(AND(配装计算器!$K$30&lt;&gt;"∞",0),INDEX(AU423:CB423,1,$AT$1),INDEX(AU425:CB425,1,$AT$1)),"*云飞*")=1,COUNTIF(IF(AND(配装计算器!$K$30&lt;&gt;"∞",0),INDEX(AU423:CB423,1,$AT$1),INDEX(AU425:CB425,1,$AT$1)),"*玉山*")=0),N424,0)</f>
        <v>0</v>
      </c>
      <c r="P424">
        <f ca="1">IFERROR(IF(COUNTIF(B424,"*云栖松*")&gt;0,50-加速!$L$11,MAX(0,P423-(A424-A423))),0)</f>
        <v>0</v>
      </c>
      <c r="Q424">
        <f ca="1">IF(COUNTIF(IF(AND(配装计算器!$K$30&lt;&gt;"∞",0),INDEX(AU423:CB423,1,$AT$1),INDEX(AU425:CB425,1,$AT$1)),"*云栖松*")=1,P424,0)</f>
        <v>0</v>
      </c>
      <c r="R424">
        <f ca="1">IFERROR(IF(COUNTIF(B424,"*莺鸣柳*")&gt;0,45-加速!$L$9,MAX(0,R423-(A424-A423))),0)</f>
        <v>0</v>
      </c>
      <c r="S424">
        <f ca="1">IF(COUNTIF(IF(AND(配装计算器!$K$30&lt;&gt;"∞",0),INDEX(AU423:CB423,1,$AT$1),INDEX(AU425:CB425,1,$AT$1)),"*莺鸣柳*")=1,R424,0)</f>
        <v>0</v>
      </c>
      <c r="T424">
        <f ca="1" t="shared" si="88"/>
        <v>0</v>
      </c>
      <c r="U424">
        <f ca="1">IF(金蛇,IF(COUNTIF(B424,"*金环戴*")+COUNTIF(B424,"*吹风醒*")&gt;0,IF(A424&lt;=3,7.125-2.625-A424-加速!$L$11,7.125+加速!$K$9-(A424+加速!$L$11-T424)),0),0)+IF(金蛇,IF(COUNTIF(B424,"*千切子裂光*")&gt;0,2+加速!$K$9-(A424+加速!$L$11-T424),0),0)</f>
        <v>0</v>
      </c>
      <c r="V424">
        <f ca="1" t="shared" si="89"/>
        <v>0</v>
      </c>
      <c r="W424">
        <f ca="1" t="shared" si="81"/>
        <v>0</v>
      </c>
      <c r="X424">
        <f ca="1">INDEX(加速!$I$13:$I$21,技能数计算!W424+1)</f>
        <v>0</v>
      </c>
      <c r="Y424">
        <f ca="1" t="shared" si="85"/>
        <v>0.5</v>
      </c>
      <c r="Z424">
        <f ca="1" t="shared" si="86"/>
        <v>0</v>
      </c>
      <c r="AA424">
        <f ca="1">MAX(0,IFERROR(IF(COUNTIF(B424,"*叠*")&gt;0,IF(AC423&lt;3,8-A425+A424,AA423+6.875-A425+A424),AA423-A425+A424),AA423-加速!$L$11))</f>
        <v>0</v>
      </c>
      <c r="AB424" t="e">
        <f ca="1">MAX(0,IF(COUNTIF(IF(AND(配装计算器!$K$30&lt;&gt;"∞",0),INDEX(AU424:CB424,1,$AT$1),INDEX(AU424:CB424,1,$AT$1)),"*叠1*")=1,4*25-加速!$L$11,AB423-A424+A423)-IF(OR(COUNTIF(OFFSET(AT424,0,$AT$1,1,1),"*听雷*")&gt;0,AND(碧归&gt;0,COUNTIF(OFFSET(AT424,0,$AT$1,1,1),"*风来*")&gt;0)),0,1)*1.5)</f>
        <v>#VALUE!</v>
      </c>
      <c r="AC424">
        <f ca="1" t="shared" si="82"/>
        <v>3</v>
      </c>
      <c r="AD424">
        <f ca="1">IF(COUNTIF(IF(AND(配装计算器!$K$30&lt;&gt;"∞",0),INDEX(AU424:CB424,1,$AT$1),INDEX(AU425:CB425,1,$AT$1)),"*叠1*")=1,AB424*0+AE423,0)</f>
        <v>0</v>
      </c>
      <c r="AE424" t="e">
        <f ca="1">IF($AN$11&gt;0,IF(COUNTIF(B425,"*叠1*")&gt;0,50-加速!$H$11,MAX(0,AE423-(A425-A424))),0)</f>
        <v>#VALUE!</v>
      </c>
      <c r="AU424" t="s">
        <v>2768</v>
      </c>
      <c r="AV424">
        <v>2</v>
      </c>
      <c r="AW424" t="str">
        <f>IF($AN$11=1,橙武补雾锁,"夕照雷峰")</f>
        <v>云飞玉皇-玉山揽云</v>
      </c>
      <c r="AX424">
        <v>2</v>
      </c>
      <c r="AY424" t="s">
        <v>2768</v>
      </c>
      <c r="AZ424">
        <v>2</v>
      </c>
      <c r="BA424" t="s">
        <v>2776</v>
      </c>
      <c r="BB424">
        <v>1</v>
      </c>
      <c r="BC424" t="s">
        <v>2768</v>
      </c>
      <c r="BD424">
        <v>2</v>
      </c>
      <c r="BE424" t="s">
        <v>2776</v>
      </c>
      <c r="BF424">
        <v>1</v>
      </c>
      <c r="BG424" t="s">
        <v>2768</v>
      </c>
      <c r="BH424">
        <v>1</v>
      </c>
      <c r="BI424" t="s">
        <v>2768</v>
      </c>
      <c r="BJ424">
        <v>2</v>
      </c>
      <c r="BK424" t="s">
        <v>3026</v>
      </c>
      <c r="BL424">
        <v>2</v>
      </c>
      <c r="BM424" s="176" t="str">
        <f>IF(秋,"夕照雷峰","千切子寒光")</f>
        <v>千切子寒光</v>
      </c>
      <c r="BN424">
        <v>2</v>
      </c>
      <c r="BO424" t="s">
        <v>2768</v>
      </c>
      <c r="BP424">
        <v>2</v>
      </c>
      <c r="BQ424" t="s">
        <v>2808</v>
      </c>
      <c r="BR424">
        <v>2</v>
      </c>
      <c r="BS424" t="s">
        <v>2768</v>
      </c>
      <c r="BT424">
        <v>1</v>
      </c>
      <c r="BU424" t="s">
        <v>2808</v>
      </c>
      <c r="BV424">
        <v>2</v>
      </c>
      <c r="BW424" s="182" t="s">
        <v>2768</v>
      </c>
      <c r="BX424" s="179">
        <v>1</v>
      </c>
      <c r="BY424" t="str">
        <f>IF(0,"云飞玉皇-玉山揽云","云飞玉皇")</f>
        <v>云飞玉皇</v>
      </c>
      <c r="BZ424">
        <v>2</v>
      </c>
      <c r="CA424" t="str">
        <f>IF(0,"云飞玉皇-玉山揽云","云飞玉皇")</f>
        <v>云飞玉皇</v>
      </c>
      <c r="CB424">
        <v>2</v>
      </c>
    </row>
    <row r="425" spans="1:80">
      <c r="A425" s="178" t="str">
        <f ca="1">IFERROR(IF(A424+加速!$L$11&lt;$AS$1,IF(COUNTIF(B424,"*轻*")&gt;0,A424+加速!$L$9,A424+加速!$L$11)+V424,IF(COUNTIF(INDEX(AU425:CB425,1,$AT$1),"*云景*")+COUNTIF(INDEX(AU425:CB425,1,$AT$1),"*鹤归*")+COUNTIF(INDEX(AU425:CB425,1,$AT$1),"*听雷*")&gt;0,A424+加速!$L$11,"")),"")</f>
        <v/>
      </c>
      <c r="B425" s="167" t="str">
        <f ca="1">IF(A425&lt;&gt;"",IF(AND(A425+加速!$L$11&gt;$AS$1,IF(AND(配装计算器!$K$30&lt;&gt;"∞",0),"梦泉虎跑-轻",INDEX(AU425:CB425,1,$AT$1))="云栖松"),"夕照雷峰",IF(AND(配装计算器!$K$30&lt;&gt;"∞",0),"梦泉虎跑-轻",INDEX(AU425:CB425,1,$AT$1))),"")</f>
        <v/>
      </c>
      <c r="C425" t="str">
        <f ca="1" t="shared" si="87"/>
        <v/>
      </c>
      <c r="D425" t="str">
        <f ca="1">IF(B425&lt;&gt;"",IF(C424&lt;=加速!$L$11*(1-E425),0,1),"")</f>
        <v/>
      </c>
      <c r="E425">
        <f ca="1" t="shared" si="83"/>
        <v>1</v>
      </c>
      <c r="G425" t="str">
        <f ca="1" t="shared" si="84"/>
        <v/>
      </c>
      <c r="H425" t="str">
        <f ca="1">IF(B425&lt;&gt;"",IF(AND(COUNTIF(B424,"*轻*莺鸣柳*")&gt;0,COUNTIF(B425,"*轻*")&lt;1),MAX(0,15+I424-(A425-A424)+COUNTIF(B424,"*平湖*")*0),IF(AND(E425=0,MAX(0,H424-(A425-A424))&lt;=加速!$H$11),0,MAX(0,H424-(A425-A424)))),"")</f>
        <v/>
      </c>
      <c r="I425" t="str">
        <f ca="1" t="shared" si="90"/>
        <v/>
      </c>
      <c r="J425" t="str">
        <f ca="1" t="shared" si="91"/>
        <v/>
      </c>
      <c r="K425" t="str">
        <f ca="1">IF(A425&lt;&gt;"",IF(AND(配装计算器!$K$30&lt;&gt;"∞",0),2,INDEX(AU425:CB425,1,$AT$2)),"")</f>
        <v/>
      </c>
      <c r="L425">
        <f ca="1">IFERROR(IF(AND(COUNTIF(B425,"*-峰插*"),技能数据库!$M$72&gt;0),0,IF(COUNTIF(B425,"*鹤归*")&gt;0,16-加速!$L$11,MAX(0,L424-(A425-A424)))),0)</f>
        <v>0</v>
      </c>
      <c r="M425">
        <f ca="1">IF(COUNTIF(IF(AND(配装计算器!$K$30&lt;&gt;"∞",0),INDEX(AU424:CB424,1,$AT$1),INDEX(AU426:CB426,1,$AT$1)),"*鹤归*")=1,L425,0)</f>
        <v>0</v>
      </c>
      <c r="N425">
        <f ca="1">IFERROR(IF(AND(COUNTIF(B425,"*-峰插*"),技能数据库!$M$72&gt;0),0,IF(COUNTIF(B425,"*云飞*")&gt;0,4-COUNTIF(B425,"*玉山揽云*")*4--COUNTIF(B425,"*烟流暮景*")*4-COUNTIF(B425,"*云景*")*加速!$L$11-IF(J425&gt;0,2,0),MAX(0,N424-(A425-A424)-IF(J425&gt;0,2,0)))),0)</f>
        <v>0</v>
      </c>
      <c r="O425">
        <f ca="1">IF(AND(COUNTIF(IF(AND(配装计算器!$K$30&lt;&gt;"∞",0),INDEX(AU424:CB424,1,$AT$1),INDEX(AU426:CB426,1,$AT$1)),"*云飞*")=1,COUNTIF(IF(AND(配装计算器!$K$30&lt;&gt;"∞",0),INDEX(AU424:CB424,1,$AT$1),INDEX(AU426:CB426,1,$AT$1)),"*玉山*")=0),N425,0)</f>
        <v>0</v>
      </c>
      <c r="P425">
        <f ca="1">IFERROR(IF(COUNTIF(B425,"*云栖松*")&gt;0,50-加速!$L$11,MAX(0,P424-(A425-A424))),0)</f>
        <v>0</v>
      </c>
      <c r="Q425">
        <f ca="1">IF(COUNTIF(IF(AND(配装计算器!$K$30&lt;&gt;"∞",0),INDEX(AU424:CB424,1,$AT$1),INDEX(AU426:CB426,1,$AT$1)),"*云栖松*")=1,P425,0)</f>
        <v>0</v>
      </c>
      <c r="R425">
        <f ca="1">IFERROR(IF(COUNTIF(B425,"*莺鸣柳*")&gt;0,45-加速!$L$9,MAX(0,R424-(A425-A424))),0)</f>
        <v>0</v>
      </c>
      <c r="S425">
        <f ca="1">IF(COUNTIF(IF(AND(配装计算器!$K$30&lt;&gt;"∞",0),INDEX(AU424:CB424,1,$AT$1),INDEX(AU426:CB426,1,$AT$1)),"*莺鸣柳*")=1,R425,0)</f>
        <v>0</v>
      </c>
      <c r="T425">
        <f ca="1" t="shared" si="88"/>
        <v>0</v>
      </c>
      <c r="U425">
        <f ca="1">IF(金蛇,IF(COUNTIF(B425,"*金环戴*")+COUNTIF(B425,"*吹风醒*")&gt;0,IF(A425&lt;=3,7.125-2.625-A425-加速!$L$11,7.125+加速!$K$9-(A425+加速!$L$11-T425)),0),0)+IF(金蛇,IF(COUNTIF(B425,"*千切子裂光*")&gt;0,2+加速!$K$9-(A425+加速!$L$11-T425),0),0)</f>
        <v>0</v>
      </c>
      <c r="V425">
        <f ca="1" t="shared" si="89"/>
        <v>0</v>
      </c>
      <c r="W425">
        <f ca="1" t="shared" si="81"/>
        <v>0</v>
      </c>
      <c r="X425">
        <f ca="1">INDEX(加速!$I$13:$I$21,技能数计算!W425+1)</f>
        <v>0</v>
      </c>
      <c r="Y425">
        <f ca="1" t="shared" si="85"/>
        <v>0.5</v>
      </c>
      <c r="Z425">
        <f ca="1" t="shared" si="86"/>
        <v>0</v>
      </c>
      <c r="AA425">
        <f ca="1">MAX(0,IFERROR(IF(COUNTIF(B425,"*叠*")&gt;0,IF(AC424&lt;3,8-A426+A425,AA424+6.875-A426+A425),AA424-A426+A425),AA424-加速!$L$11))</f>
        <v>0</v>
      </c>
      <c r="AB425" t="e">
        <f ca="1">MAX(0,IF(COUNTIF(IF(AND(配装计算器!$K$30&lt;&gt;"∞",0),INDEX(AU425:CB425,1,$AT$1),INDEX(AU425:CB425,1,$AT$1)),"*叠1*")=1,4*25-加速!$L$11,AB424-A425+A424)-IF(OR(COUNTIF(OFFSET(AT425,0,$AT$1,1,1),"*听雷*")&gt;0,AND(碧归&gt;0,COUNTIF(OFFSET(AT425,0,$AT$1,1,1),"*风来*")&gt;0)),0,1)*1.5)</f>
        <v>#VALUE!</v>
      </c>
      <c r="AC425">
        <f ca="1" t="shared" si="82"/>
        <v>3</v>
      </c>
      <c r="AD425">
        <f ca="1">IF(COUNTIF(IF(AND(配装计算器!$K$30&lt;&gt;"∞",0),INDEX(AU425:CB425,1,$AT$1),INDEX(AU426:CB426,1,$AT$1)),"*叠1*")=1,AB425*0+AE424,0)</f>
        <v>0</v>
      </c>
      <c r="AE425" t="e">
        <f ca="1">IF($AN$11&gt;0,IF(COUNTIF(B426,"*叠1*")&gt;0,50-加速!$H$11,MAX(0,AE424-(A426-A425))),0)</f>
        <v>#VALUE!</v>
      </c>
      <c r="AU425" t="s">
        <v>2768</v>
      </c>
      <c r="AV425">
        <v>2</v>
      </c>
      <c r="AW425" t="str">
        <f>IF($AN$11=1,"云飞玉皇-玉山揽云","夕照雷峰")</f>
        <v>云飞玉皇-玉山揽云</v>
      </c>
      <c r="AX425">
        <v>2</v>
      </c>
      <c r="AY425" t="s">
        <v>2776</v>
      </c>
      <c r="AZ425">
        <v>2</v>
      </c>
      <c r="BA425" t="s">
        <v>2768</v>
      </c>
      <c r="BB425">
        <v>1</v>
      </c>
      <c r="BC425" t="s">
        <v>3023</v>
      </c>
      <c r="BD425">
        <v>2</v>
      </c>
      <c r="BE425" t="s">
        <v>2768</v>
      </c>
      <c r="BF425">
        <v>1</v>
      </c>
      <c r="BG425" t="s">
        <v>2776</v>
      </c>
      <c r="BH425">
        <v>1</v>
      </c>
      <c r="BI425" s="182" t="s">
        <v>3023</v>
      </c>
      <c r="BJ425">
        <v>2</v>
      </c>
      <c r="BK425" t="s">
        <v>3026</v>
      </c>
      <c r="BL425">
        <v>2</v>
      </c>
      <c r="BM425" s="176" t="str">
        <f>IF(秋,"夕照雷峰","千切子裂光")</f>
        <v>千切子裂光</v>
      </c>
      <c r="BN425">
        <v>2</v>
      </c>
      <c r="BO425" t="s">
        <v>2768</v>
      </c>
      <c r="BP425">
        <v>2</v>
      </c>
      <c r="BQ425" t="s">
        <v>2768</v>
      </c>
      <c r="BR425">
        <v>2</v>
      </c>
      <c r="BS425" t="s">
        <v>2768</v>
      </c>
      <c r="BT425">
        <v>1</v>
      </c>
      <c r="BU425" t="s">
        <v>2768</v>
      </c>
      <c r="BV425">
        <v>2</v>
      </c>
      <c r="BW425" s="182" t="s">
        <v>2776</v>
      </c>
      <c r="BX425" s="179">
        <v>1</v>
      </c>
      <c r="BY425" s="176" t="str">
        <f>IF(秋,"夕照雷峰","千切子寒光")</f>
        <v>千切子寒光</v>
      </c>
      <c r="BZ425">
        <v>2</v>
      </c>
      <c r="CA425" s="176" t="s">
        <v>2794</v>
      </c>
      <c r="CB425">
        <v>2</v>
      </c>
    </row>
    <row r="426" spans="1:80">
      <c r="A426" s="178" t="str">
        <f ca="1">IFERROR(IF(A425+加速!$L$11&lt;$AS$1,IF(COUNTIF(B425,"*轻*")&gt;0,A425+加速!$L$9,A425+加速!$L$11)+V425,IF(COUNTIF(INDEX(AU426:CB426,1,$AT$1),"*云景*")+COUNTIF(INDEX(AU426:CB426,1,$AT$1),"*鹤归*")+COUNTIF(INDEX(AU426:CB426,1,$AT$1),"*听雷*")&gt;0,A425+加速!$L$11,"")),"")</f>
        <v/>
      </c>
      <c r="B426" s="167" t="str">
        <f ca="1">IF(A426&lt;&gt;"",IF(AND(A426+加速!$L$11&gt;$AS$1,IF(AND(配装计算器!$K$30&lt;&gt;"∞",0),"梦泉虎跑-轻",INDEX(AU426:CB426,1,$AT$1))="云栖松"),"夕照雷峰",IF(AND(配装计算器!$K$30&lt;&gt;"∞",0),"梦泉虎跑-轻",INDEX(AU426:CB426,1,$AT$1))),"")</f>
        <v/>
      </c>
      <c r="C426" t="str">
        <f ca="1" t="shared" si="87"/>
        <v/>
      </c>
      <c r="D426" t="str">
        <f ca="1">IF(B426&lt;&gt;"",IF(C425&lt;=加速!$L$11*(1-E426),0,1),"")</f>
        <v/>
      </c>
      <c r="E426">
        <f ca="1" t="shared" si="83"/>
        <v>1</v>
      </c>
      <c r="G426" t="str">
        <f ca="1" t="shared" si="84"/>
        <v/>
      </c>
      <c r="H426" t="str">
        <f ca="1">IF(B426&lt;&gt;"",IF(AND(COUNTIF(B425,"*轻*莺鸣柳*")&gt;0,COUNTIF(B426,"*轻*")&lt;1),MAX(0,15+I425-(A426-A425)+COUNTIF(B425,"*平湖*")*0),IF(AND(E426=0,MAX(0,H425-(A426-A425))&lt;=加速!$H$11),0,MAX(0,H425-(A426-A425)))),"")</f>
        <v/>
      </c>
      <c r="I426" t="str">
        <f ca="1" t="shared" si="90"/>
        <v/>
      </c>
      <c r="J426" t="str">
        <f ca="1" t="shared" si="91"/>
        <v/>
      </c>
      <c r="K426" t="str">
        <f ca="1">IF(A426&lt;&gt;"",IF(AND(配装计算器!$K$30&lt;&gt;"∞",0),2,INDEX(AU426:CB426,1,$AT$2)),"")</f>
        <v/>
      </c>
      <c r="L426">
        <f ca="1">IFERROR(IF(AND(COUNTIF(B426,"*-峰插*"),技能数据库!$M$72&gt;0),0,IF(COUNTIF(B426,"*鹤归*")&gt;0,16-加速!$L$11,MAX(0,L425-(A426-A425)))),0)</f>
        <v>0</v>
      </c>
      <c r="M426">
        <f ca="1">IF(COUNTIF(IF(AND(配装计算器!$K$30&lt;&gt;"∞",0),INDEX(AU425:CB425,1,$AT$1),INDEX(AU427:CB427,1,$AT$1)),"*鹤归*")=1,L426,0)</f>
        <v>0</v>
      </c>
      <c r="N426">
        <f ca="1">IFERROR(IF(AND(COUNTIF(B426,"*-峰插*"),技能数据库!$M$72&gt;0),0,IF(COUNTIF(B426,"*云飞*")&gt;0,4-COUNTIF(B426,"*玉山揽云*")*4--COUNTIF(B426,"*烟流暮景*")*4-COUNTIF(B426,"*云景*")*加速!$L$11-IF(J426&gt;0,2,0),MAX(0,N425-(A426-A425)-IF(J426&gt;0,2,0)))),0)</f>
        <v>0</v>
      </c>
      <c r="O426">
        <f ca="1">IF(AND(COUNTIF(IF(AND(配装计算器!$K$30&lt;&gt;"∞",0),INDEX(AU425:CB425,1,$AT$1),INDEX(AU427:CB427,1,$AT$1)),"*云飞*")=1,COUNTIF(IF(AND(配装计算器!$K$30&lt;&gt;"∞",0),INDEX(AU425:CB425,1,$AT$1),INDEX(AU427:CB427,1,$AT$1)),"*玉山*")=0),N426,0)</f>
        <v>0</v>
      </c>
      <c r="P426">
        <f ca="1">IFERROR(IF(COUNTIF(B426,"*云栖松*")&gt;0,50-加速!$L$11,MAX(0,P425-(A426-A425))),0)</f>
        <v>0</v>
      </c>
      <c r="Q426">
        <f ca="1">IF(COUNTIF(IF(AND(配装计算器!$K$30&lt;&gt;"∞",0),INDEX(AU425:CB425,1,$AT$1),INDEX(AU427:CB427,1,$AT$1)),"*云栖松*")=1,P426,0)</f>
        <v>0</v>
      </c>
      <c r="R426">
        <f ca="1">IFERROR(IF(COUNTIF(B426,"*莺鸣柳*")&gt;0,45-加速!$L$9,MAX(0,R425-(A426-A425))),0)</f>
        <v>0</v>
      </c>
      <c r="S426">
        <f ca="1">IF(COUNTIF(IF(AND(配装计算器!$K$30&lt;&gt;"∞",0),INDEX(AU425:CB425,1,$AT$1),INDEX(AU427:CB427,1,$AT$1)),"*莺鸣柳*")=1,R426,0)</f>
        <v>0</v>
      </c>
      <c r="T426">
        <f ca="1" t="shared" si="88"/>
        <v>0</v>
      </c>
      <c r="U426">
        <f ca="1">IF(金蛇,IF(COUNTIF(B426,"*金环戴*")+COUNTIF(B426,"*吹风醒*")&gt;0,IF(A426&lt;=3,7.125-2.625-A426-加速!$L$11,7.125+加速!$K$9-(A426+加速!$L$11-T426)),0),0)+IF(金蛇,IF(COUNTIF(B426,"*千切子裂光*")&gt;0,2+加速!$K$9-(A426+加速!$L$11-T426),0),0)</f>
        <v>0</v>
      </c>
      <c r="V426">
        <f ca="1" t="shared" si="89"/>
        <v>0</v>
      </c>
      <c r="W426">
        <f ca="1" t="shared" si="81"/>
        <v>0</v>
      </c>
      <c r="X426">
        <f ca="1">INDEX(加速!$I$13:$I$21,技能数计算!W426+1)</f>
        <v>0</v>
      </c>
      <c r="Y426">
        <f ca="1" t="shared" si="85"/>
        <v>0.5</v>
      </c>
      <c r="Z426">
        <f ca="1" t="shared" si="86"/>
        <v>0</v>
      </c>
      <c r="AA426">
        <f ca="1">MAX(0,IFERROR(IF(COUNTIF(B426,"*叠*")&gt;0,IF(AC425&lt;3,8-A427+A426,AA425+6.875-A427+A426),AA425-A427+A426),AA425-加速!$L$11))</f>
        <v>0</v>
      </c>
      <c r="AB426" t="e">
        <f ca="1">MAX(0,IF(COUNTIF(IF(AND(配装计算器!$K$30&lt;&gt;"∞",0),INDEX(AU426:CB426,1,$AT$1),INDEX(AU426:CB426,1,$AT$1)),"*叠1*")=1,4*25-加速!$L$11,AB425-A426+A425)-IF(OR(COUNTIF(OFFSET(AT426,0,$AT$1,1,1),"*听雷*")&gt;0,AND(碧归&gt;0,COUNTIF(OFFSET(AT426,0,$AT$1,1,1),"*风来*")&gt;0)),0,1)*1.5)</f>
        <v>#VALUE!</v>
      </c>
      <c r="AC426">
        <f ca="1" t="shared" si="82"/>
        <v>3</v>
      </c>
      <c r="AD426">
        <f ca="1">IF(COUNTIF(IF(AND(配装计算器!$K$30&lt;&gt;"∞",0),INDEX(AU426:CB426,1,$AT$1),INDEX(AU427:CB427,1,$AT$1)),"*叠1*")=1,AB426*0+AE425,0)</f>
        <v>0</v>
      </c>
      <c r="AE426" t="e">
        <f ca="1">IF($AN$11&gt;0,IF(COUNTIF(B427,"*叠1*")&gt;0,50-加速!$H$11,MAX(0,AE425-(A427-A426))),0)</f>
        <v>#VALUE!</v>
      </c>
      <c r="AU426" s="176" t="s">
        <v>2794</v>
      </c>
      <c r="AV426">
        <v>2</v>
      </c>
      <c r="AW426" t="s">
        <v>2776</v>
      </c>
      <c r="AX426">
        <v>2</v>
      </c>
      <c r="AY426" t="s">
        <v>2768</v>
      </c>
      <c r="AZ426">
        <v>2</v>
      </c>
      <c r="BA426" t="s">
        <v>2768</v>
      </c>
      <c r="BB426">
        <v>0</v>
      </c>
      <c r="BC426" t="s">
        <v>2768</v>
      </c>
      <c r="BD426">
        <v>2</v>
      </c>
      <c r="BE426" t="s">
        <v>2768</v>
      </c>
      <c r="BF426">
        <v>1</v>
      </c>
      <c r="BG426" t="s">
        <v>2768</v>
      </c>
      <c r="BH426">
        <v>0</v>
      </c>
      <c r="BI426" s="176" t="s">
        <v>3026</v>
      </c>
      <c r="BJ426">
        <v>2</v>
      </c>
      <c r="BK426" s="176" t="s">
        <v>3026</v>
      </c>
      <c r="BL426">
        <v>2</v>
      </c>
      <c r="BM426" t="str">
        <f>IF(0,"云飞玉皇-玉山揽云","夕照雷峰")</f>
        <v>夕照雷峰</v>
      </c>
      <c r="BN426">
        <v>2</v>
      </c>
      <c r="BO426" t="s">
        <v>2776</v>
      </c>
      <c r="BP426">
        <v>2</v>
      </c>
      <c r="BQ426" t="s">
        <v>2768</v>
      </c>
      <c r="BR426">
        <v>2</v>
      </c>
      <c r="BS426" t="s">
        <v>2776</v>
      </c>
      <c r="BT426">
        <v>0</v>
      </c>
      <c r="BU426" s="176" t="s">
        <v>2768</v>
      </c>
      <c r="BV426">
        <v>2</v>
      </c>
      <c r="BW426" s="182" t="s">
        <v>2768</v>
      </c>
      <c r="BX426" s="179">
        <v>1</v>
      </c>
      <c r="BY426" s="176" t="str">
        <f>IF(秋,"夕照雷峰","千切子裂光")</f>
        <v>千切子裂光</v>
      </c>
      <c r="BZ426">
        <v>2</v>
      </c>
      <c r="CA426" s="176" t="s">
        <v>2768</v>
      </c>
      <c r="CB426">
        <v>2</v>
      </c>
    </row>
    <row r="427" spans="1:80">
      <c r="A427" s="178" t="str">
        <f ca="1">IFERROR(IF(A426+加速!$L$11&lt;$AS$1,IF(COUNTIF(B426,"*轻*")&gt;0,A426+加速!$L$9,A426+加速!$L$11)+V426,IF(COUNTIF(INDEX(AU427:CB427,1,$AT$1),"*云景*")+COUNTIF(INDEX(AU427:CB427,1,$AT$1),"*鹤归*")+COUNTIF(INDEX(AU427:CB427,1,$AT$1),"*听雷*")&gt;0,A426+加速!$L$11,"")),"")</f>
        <v/>
      </c>
      <c r="B427" s="167" t="str">
        <f ca="1">IF(A427&lt;&gt;"",IF(AND(A427+加速!$L$11&gt;$AS$1,IF(AND(配装计算器!$K$30&lt;&gt;"∞",0),"梦泉虎跑-轻",INDEX(AU427:CB427,1,$AT$1))="云栖松"),"夕照雷峰",IF(AND(配装计算器!$K$30&lt;&gt;"∞",0),"梦泉虎跑-轻",INDEX(AU427:CB427,1,$AT$1))),"")</f>
        <v/>
      </c>
      <c r="C427" t="str">
        <f ca="1" t="shared" si="87"/>
        <v/>
      </c>
      <c r="D427" t="str">
        <f ca="1">IF(B427&lt;&gt;"",IF(C426&lt;=加速!$L$11*(1-E427),0,1),"")</f>
        <v/>
      </c>
      <c r="E427">
        <f ca="1" t="shared" si="83"/>
        <v>1</v>
      </c>
      <c r="G427" t="str">
        <f ca="1" t="shared" si="84"/>
        <v/>
      </c>
      <c r="H427" t="str">
        <f ca="1">IF(B427&lt;&gt;"",IF(AND(COUNTIF(B426,"*轻*莺鸣柳*")&gt;0,COUNTIF(B427,"*轻*")&lt;1),MAX(0,15+I426-(A427-A426)+COUNTIF(B426,"*平湖*")*0),IF(AND(E427=0,MAX(0,H426-(A427-A426))&lt;=加速!$H$11),0,MAX(0,H426-(A427-A426)))),"")</f>
        <v/>
      </c>
      <c r="I427" t="str">
        <f ca="1" t="shared" si="90"/>
        <v/>
      </c>
      <c r="J427" t="str">
        <f ca="1" t="shared" si="91"/>
        <v/>
      </c>
      <c r="K427" t="str">
        <f ca="1">IF(A427&lt;&gt;"",IF(AND(配装计算器!$K$30&lt;&gt;"∞",0),2,INDEX(AU427:CB427,1,$AT$2)),"")</f>
        <v/>
      </c>
      <c r="L427">
        <f ca="1">IFERROR(IF(AND(COUNTIF(B427,"*-峰插*"),技能数据库!$M$72&gt;0),0,IF(COUNTIF(B427,"*鹤归*")&gt;0,16-加速!$L$11,MAX(0,L426-(A427-A426)))),0)</f>
        <v>0</v>
      </c>
      <c r="M427">
        <f ca="1">IF(COUNTIF(IF(AND(配装计算器!$K$30&lt;&gt;"∞",0),INDEX(AU426:CB426,1,$AT$1),INDEX(AU428:CB428,1,$AT$1)),"*鹤归*")=1,L427,0)</f>
        <v>0</v>
      </c>
      <c r="N427">
        <f ca="1">IFERROR(IF(AND(COUNTIF(B427,"*-峰插*"),技能数据库!$M$72&gt;0),0,IF(COUNTIF(B427,"*云飞*")&gt;0,4-COUNTIF(B427,"*玉山揽云*")*4--COUNTIF(B427,"*烟流暮景*")*4-COUNTIF(B427,"*云景*")*加速!$L$11-IF(J427&gt;0,2,0),MAX(0,N426-(A427-A426)-IF(J427&gt;0,2,0)))),0)</f>
        <v>0</v>
      </c>
      <c r="O427">
        <f ca="1">IF(AND(COUNTIF(IF(AND(配装计算器!$K$30&lt;&gt;"∞",0),INDEX(AU426:CB426,1,$AT$1),INDEX(AU428:CB428,1,$AT$1)),"*云飞*")=1,COUNTIF(IF(AND(配装计算器!$K$30&lt;&gt;"∞",0),INDEX(AU426:CB426,1,$AT$1),INDEX(AU428:CB428,1,$AT$1)),"*玉山*")=0),N427,0)</f>
        <v>0</v>
      </c>
      <c r="P427">
        <f ca="1">IFERROR(IF(COUNTIF(B427,"*云栖松*")&gt;0,50-加速!$L$11,MAX(0,P426-(A427-A426))),0)</f>
        <v>0</v>
      </c>
      <c r="Q427">
        <f ca="1">IF(COUNTIF(IF(AND(配装计算器!$K$30&lt;&gt;"∞",0),INDEX(AU426:CB426,1,$AT$1),INDEX(AU428:CB428,1,$AT$1)),"*云栖松*")=1,P427,0)</f>
        <v>0</v>
      </c>
      <c r="R427">
        <f ca="1">IFERROR(IF(COUNTIF(B427,"*莺鸣柳*")&gt;0,45-加速!$L$9,MAX(0,R426-(A427-A426))),0)</f>
        <v>0</v>
      </c>
      <c r="S427">
        <f ca="1">IF(COUNTIF(IF(AND(配装计算器!$K$30&lt;&gt;"∞",0),INDEX(AU426:CB426,1,$AT$1),INDEX(AU428:CB428,1,$AT$1)),"*莺鸣柳*")=1,R427,0)</f>
        <v>0</v>
      </c>
      <c r="T427">
        <f ca="1" t="shared" si="88"/>
        <v>0</v>
      </c>
      <c r="U427">
        <f ca="1">IF(金蛇,IF(COUNTIF(B427,"*金环戴*")+COUNTIF(B427,"*吹风醒*")&gt;0,IF(A427&lt;=3,7.125-2.625-A427-加速!$L$11,7.125+加速!$K$9-(A427+加速!$L$11-T427)),0),0)+IF(金蛇,IF(COUNTIF(B427,"*千切子裂光*")&gt;0,2+加速!$K$9-(A427+加速!$L$11-T427),0),0)</f>
        <v>0</v>
      </c>
      <c r="V427">
        <f ca="1" t="shared" si="89"/>
        <v>0</v>
      </c>
      <c r="W427">
        <f ca="1" t="shared" si="81"/>
        <v>0</v>
      </c>
      <c r="X427">
        <f ca="1">INDEX(加速!$I$13:$I$21,技能数计算!W427+1)</f>
        <v>0</v>
      </c>
      <c r="Y427">
        <f ca="1" t="shared" si="85"/>
        <v>0.5</v>
      </c>
      <c r="Z427">
        <f ca="1" t="shared" si="86"/>
        <v>0</v>
      </c>
      <c r="AA427">
        <f ca="1">MAX(0,IFERROR(IF(COUNTIF(B427,"*叠*")&gt;0,IF(AC426&lt;3,8-A428+A427,AA426+6.875-A428+A427),AA426-A428+A427),AA426-加速!$L$11))</f>
        <v>0</v>
      </c>
      <c r="AB427" t="e">
        <f ca="1">MAX(0,IF(COUNTIF(IF(AND(配装计算器!$K$30&lt;&gt;"∞",0),INDEX(AU427:CB427,1,$AT$1),INDEX(AU427:CB427,1,$AT$1)),"*叠1*")=1,4*25-加速!$L$11,AB426-A427+A426)-IF(OR(COUNTIF(OFFSET(AT427,0,$AT$1,1,1),"*听雷*")&gt;0,AND(碧归&gt;0,COUNTIF(OFFSET(AT427,0,$AT$1,1,1),"*风来*")&gt;0)),0,1)*1.5)</f>
        <v>#VALUE!</v>
      </c>
      <c r="AC427">
        <f ca="1" t="shared" si="82"/>
        <v>3</v>
      </c>
      <c r="AD427">
        <f ca="1">IF(COUNTIF(IF(AND(配装计算器!$K$30&lt;&gt;"∞",0),INDEX(AU427:CB427,1,$AT$1),INDEX(AU428:CB428,1,$AT$1)),"*叠1*")=1,AB427*0+AE426,0)</f>
        <v>0</v>
      </c>
      <c r="AE427" t="e">
        <f ca="1">IF($AN$11&gt;0,IF(COUNTIF(B428,"*叠1*")&gt;0,50-加速!$H$11,MAX(0,AE426-(A428-A427))),0)</f>
        <v>#VALUE!</v>
      </c>
      <c r="AU427" s="176" t="s">
        <v>2776</v>
      </c>
      <c r="AV427">
        <v>2</v>
      </c>
      <c r="AW427" t="s">
        <v>2768</v>
      </c>
      <c r="AX427">
        <v>2</v>
      </c>
      <c r="AY427" t="s">
        <v>2776</v>
      </c>
      <c r="AZ427">
        <v>1</v>
      </c>
      <c r="BA427" t="s">
        <v>2722</v>
      </c>
      <c r="BB427">
        <v>0</v>
      </c>
      <c r="BC427" t="s">
        <v>2776</v>
      </c>
      <c r="BD427">
        <v>2</v>
      </c>
      <c r="BE427" t="s">
        <v>2776</v>
      </c>
      <c r="BF427">
        <v>0</v>
      </c>
      <c r="BG427" t="s">
        <v>2768</v>
      </c>
      <c r="BH427">
        <v>0</v>
      </c>
      <c r="BI427" s="176" t="s">
        <v>3026</v>
      </c>
      <c r="BJ427">
        <v>2</v>
      </c>
      <c r="BK427" s="176" t="s">
        <v>2776</v>
      </c>
      <c r="BL427">
        <v>2</v>
      </c>
      <c r="BM427" s="176" t="str">
        <f>IF(秋,"云飞玉皇","夕照雷峰")</f>
        <v>夕照雷峰</v>
      </c>
      <c r="BN427">
        <v>2</v>
      </c>
      <c r="BO427" t="s">
        <v>2768</v>
      </c>
      <c r="BP427">
        <v>2</v>
      </c>
      <c r="BQ427" t="s">
        <v>2776</v>
      </c>
      <c r="BR427">
        <v>1</v>
      </c>
      <c r="BS427" t="s">
        <v>2768</v>
      </c>
      <c r="BT427">
        <v>0</v>
      </c>
      <c r="BU427" s="176" t="s">
        <v>2776</v>
      </c>
      <c r="BV427">
        <v>2</v>
      </c>
      <c r="BW427" s="182" t="s">
        <v>2776</v>
      </c>
      <c r="BX427" s="179">
        <v>1</v>
      </c>
      <c r="BY427" t="str">
        <f>IF(0,"云飞玉皇-玉山揽云","夕照雷峰")</f>
        <v>夕照雷峰</v>
      </c>
      <c r="BZ427">
        <v>2</v>
      </c>
      <c r="CA427" s="176" t="s">
        <v>2776</v>
      </c>
      <c r="CB427">
        <v>2</v>
      </c>
    </row>
    <row r="428" spans="1:80">
      <c r="A428" s="178" t="str">
        <f ca="1">IFERROR(IF(A427+加速!$L$11&lt;$AS$1,IF(COUNTIF(B427,"*轻*")&gt;0,A427+加速!$L$9,A427+加速!$L$11)+V427,IF(COUNTIF(INDEX(AU428:CB428,1,$AT$1),"*云景*")+COUNTIF(INDEX(AU428:CB428,1,$AT$1),"*鹤归*")+COUNTIF(INDEX(AU428:CB428,1,$AT$1),"*听雷*")&gt;0,A427+加速!$L$11,"")),"")</f>
        <v/>
      </c>
      <c r="B428" s="167" t="str">
        <f ca="1">IF(A428&lt;&gt;"",IF(AND(A428+加速!$L$11&gt;$AS$1,IF(AND(配装计算器!$K$30&lt;&gt;"∞",0),"梦泉虎跑-轻",INDEX(AU428:CB428,1,$AT$1))="云栖松"),"夕照雷峰",IF(AND(配装计算器!$K$30&lt;&gt;"∞",0),"梦泉虎跑-轻",INDEX(AU428:CB428,1,$AT$1))),"")</f>
        <v/>
      </c>
      <c r="C428" t="str">
        <f ca="1" t="shared" si="87"/>
        <v/>
      </c>
      <c r="D428" t="str">
        <f ca="1">IF(B428&lt;&gt;"",IF(C427&lt;=加速!$L$11*(1-E428),0,1),"")</f>
        <v/>
      </c>
      <c r="E428">
        <f ca="1" t="shared" si="83"/>
        <v>1</v>
      </c>
      <c r="G428" t="str">
        <f ca="1" t="shared" si="84"/>
        <v/>
      </c>
      <c r="H428" t="str">
        <f ca="1">IF(B428&lt;&gt;"",IF(AND(COUNTIF(B427,"*轻*莺鸣柳*")&gt;0,COUNTIF(B428,"*轻*")&lt;1),MAX(0,15+I427-(A428-A427)+COUNTIF(B427,"*平湖*")*0),IF(AND(E428=0,MAX(0,H427-(A428-A427))&lt;=加速!$H$11),0,MAX(0,H427-(A428-A427)))),"")</f>
        <v/>
      </c>
      <c r="I428" t="str">
        <f ca="1" t="shared" si="90"/>
        <v/>
      </c>
      <c r="J428" t="str">
        <f ca="1" t="shared" si="91"/>
        <v/>
      </c>
      <c r="K428" t="str">
        <f ca="1">IF(A428&lt;&gt;"",IF(AND(配装计算器!$K$30&lt;&gt;"∞",0),2,INDEX(AU428:CB428,1,$AT$2)),"")</f>
        <v/>
      </c>
      <c r="L428">
        <f ca="1">IFERROR(IF(AND(COUNTIF(B428,"*-峰插*"),技能数据库!$M$72&gt;0),0,IF(COUNTIF(B428,"*鹤归*")&gt;0,16-加速!$L$11,MAX(0,L427-(A428-A427)))),0)</f>
        <v>0</v>
      </c>
      <c r="M428">
        <f ca="1">IF(COUNTIF(IF(AND(配装计算器!$K$30&lt;&gt;"∞",0),INDEX(AU427:CB427,1,$AT$1),INDEX(AU429:CB429,1,$AT$1)),"*鹤归*")=1,L428,0)</f>
        <v>0</v>
      </c>
      <c r="N428">
        <f ca="1">IFERROR(IF(AND(COUNTIF(B428,"*-峰插*"),技能数据库!$M$72&gt;0),0,IF(COUNTIF(B428,"*云飞*")&gt;0,4-COUNTIF(B428,"*玉山揽云*")*4--COUNTIF(B428,"*烟流暮景*")*4-COUNTIF(B428,"*云景*")*加速!$L$11-IF(J428&gt;0,2,0),MAX(0,N427-(A428-A427)-IF(J428&gt;0,2,0)))),0)</f>
        <v>0</v>
      </c>
      <c r="O428">
        <f ca="1">IF(AND(COUNTIF(IF(AND(配装计算器!$K$30&lt;&gt;"∞",0),INDEX(AU427:CB427,1,$AT$1),INDEX(AU429:CB429,1,$AT$1)),"*云飞*")=1,COUNTIF(IF(AND(配装计算器!$K$30&lt;&gt;"∞",0),INDEX(AU427:CB427,1,$AT$1),INDEX(AU429:CB429,1,$AT$1)),"*玉山*")=0),N428,0)</f>
        <v>0</v>
      </c>
      <c r="P428">
        <f ca="1">IFERROR(IF(COUNTIF(B428,"*云栖松*")&gt;0,50-加速!$L$11,MAX(0,P427-(A428-A427))),0)</f>
        <v>0</v>
      </c>
      <c r="Q428">
        <f ca="1">IF(COUNTIF(IF(AND(配装计算器!$K$30&lt;&gt;"∞",0),INDEX(AU427:CB427,1,$AT$1),INDEX(AU429:CB429,1,$AT$1)),"*云栖松*")=1,P428,0)</f>
        <v>0</v>
      </c>
      <c r="R428">
        <f ca="1">IFERROR(IF(COUNTIF(B428,"*莺鸣柳*")&gt;0,45-加速!$L$9,MAX(0,R427-(A428-A427))),0)</f>
        <v>0</v>
      </c>
      <c r="S428">
        <f ca="1">IF(COUNTIF(IF(AND(配装计算器!$K$30&lt;&gt;"∞",0),INDEX(AU427:CB427,1,$AT$1),INDEX(AU429:CB429,1,$AT$1)),"*莺鸣柳*")=1,R428,0)</f>
        <v>0</v>
      </c>
      <c r="T428">
        <f ca="1" t="shared" si="88"/>
        <v>0</v>
      </c>
      <c r="U428">
        <f ca="1">IF(金蛇,IF(COUNTIF(B428,"*金环戴*")+COUNTIF(B428,"*吹风醒*")&gt;0,IF(A428&lt;=3,7.125-2.625-A428-加速!$L$11,7.125+加速!$K$9-(A428+加速!$L$11-T428)),0),0)+IF(金蛇,IF(COUNTIF(B428,"*千切子裂光*")&gt;0,2+加速!$K$9-(A428+加速!$L$11-T428),0),0)</f>
        <v>0</v>
      </c>
      <c r="V428">
        <f ca="1" t="shared" si="89"/>
        <v>0</v>
      </c>
      <c r="W428">
        <f ca="1" t="shared" si="81"/>
        <v>0</v>
      </c>
      <c r="X428">
        <f ca="1">INDEX(加速!$I$13:$I$21,技能数计算!W428+1)</f>
        <v>0</v>
      </c>
      <c r="Y428">
        <f ca="1" t="shared" si="85"/>
        <v>0.5</v>
      </c>
      <c r="Z428">
        <f ca="1" t="shared" si="86"/>
        <v>0</v>
      </c>
      <c r="AA428">
        <f ca="1">MAX(0,IFERROR(IF(COUNTIF(B428,"*叠*")&gt;0,IF(AC427&lt;3,8-A429+A428,AA427+6.875-A429+A428),AA427-A429+A428),AA427-加速!$L$11))</f>
        <v>0</v>
      </c>
      <c r="AB428" t="e">
        <f ca="1">MAX(0,IF(COUNTIF(IF(AND(配装计算器!$K$30&lt;&gt;"∞",0),INDEX(AU428:CB428,1,$AT$1),INDEX(AU428:CB428,1,$AT$1)),"*叠1*")=1,4*25-加速!$L$11,AB427-A428+A427)-IF(OR(COUNTIF(OFFSET(AT428,0,$AT$1,1,1),"*听雷*")&gt;0,AND(碧归&gt;0,COUNTIF(OFFSET(AT428,0,$AT$1,1,1),"*风来*")&gt;0)),0,1)*1.5)</f>
        <v>#VALUE!</v>
      </c>
      <c r="AC428">
        <f ca="1" t="shared" si="82"/>
        <v>3</v>
      </c>
      <c r="AD428">
        <f ca="1">IF(COUNTIF(IF(AND(配装计算器!$K$30&lt;&gt;"∞",0),INDEX(AU428:CB428,1,$AT$1),INDEX(AU429:CB429,1,$AT$1)),"*叠1*")=1,AB428*0+AE427,0)</f>
        <v>0</v>
      </c>
      <c r="AE428" t="e">
        <f ca="1">IF($AN$11&gt;0,IF(COUNTIF(B429,"*叠1*")&gt;0,50-加速!$H$11,MAX(0,AE427-(A429-A428))),0)</f>
        <v>#VALUE!</v>
      </c>
      <c r="AU428" s="176" t="s">
        <v>2768</v>
      </c>
      <c r="AV428">
        <v>2</v>
      </c>
      <c r="AW428" s="176" t="s">
        <v>2794</v>
      </c>
      <c r="AX428">
        <v>2</v>
      </c>
      <c r="AY428" t="s">
        <v>2768</v>
      </c>
      <c r="AZ428">
        <v>1</v>
      </c>
      <c r="BA428" t="s">
        <v>2776</v>
      </c>
      <c r="BB428">
        <v>2</v>
      </c>
      <c r="BC428" t="s">
        <v>2768</v>
      </c>
      <c r="BD428">
        <v>2</v>
      </c>
      <c r="BE428" t="s">
        <v>2722</v>
      </c>
      <c r="BF428">
        <v>0</v>
      </c>
      <c r="BG428" t="s">
        <v>2776</v>
      </c>
      <c r="BH428">
        <v>0</v>
      </c>
      <c r="BI428" s="176" t="s">
        <v>3026</v>
      </c>
      <c r="BJ428">
        <v>2</v>
      </c>
      <c r="BK428" s="176" t="s">
        <v>2794</v>
      </c>
      <c r="BL428">
        <v>2</v>
      </c>
      <c r="BM428" s="176" t="str">
        <f>IF(秋,"夕照雷峰","云飞玉皇")</f>
        <v>云飞玉皇</v>
      </c>
      <c r="BN428">
        <v>2</v>
      </c>
      <c r="BO428" t="s">
        <v>2768</v>
      </c>
      <c r="BP428">
        <v>2</v>
      </c>
      <c r="BQ428" t="s">
        <v>3055</v>
      </c>
      <c r="BR428">
        <v>2</v>
      </c>
      <c r="BS428" t="s">
        <v>3012</v>
      </c>
      <c r="BT428">
        <v>2</v>
      </c>
      <c r="BU428" t="s">
        <v>2768</v>
      </c>
      <c r="BV428">
        <v>1</v>
      </c>
      <c r="BW428" s="179" t="s">
        <v>2718</v>
      </c>
      <c r="BX428" s="179">
        <v>1</v>
      </c>
      <c r="BY428" t="s">
        <v>2776</v>
      </c>
      <c r="BZ428">
        <v>2</v>
      </c>
      <c r="CA428" s="176" t="s">
        <v>2768</v>
      </c>
      <c r="CB428">
        <v>2</v>
      </c>
    </row>
    <row r="429" spans="1:80">
      <c r="A429" s="178" t="str">
        <f ca="1">IFERROR(IF(A428+加速!$L$11&lt;$AS$1,IF(COUNTIF(B428,"*轻*")&gt;0,A428+加速!$L$9,A428+加速!$L$11)+V428,IF(COUNTIF(INDEX(AU429:CB429,1,$AT$1),"*云景*")+COUNTIF(INDEX(AU429:CB429,1,$AT$1),"*鹤归*")+COUNTIF(INDEX(AU429:CB429,1,$AT$1),"*听雷*")&gt;0,A428+加速!$L$11,"")),"")</f>
        <v/>
      </c>
      <c r="B429" s="167" t="str">
        <f ca="1">IF(A429&lt;&gt;"",IF(AND(A429+加速!$L$11&gt;$AS$1,IF(AND(配装计算器!$K$30&lt;&gt;"∞",0),"梦泉虎跑-轻",INDEX(AU429:CB429,1,$AT$1))="云栖松"),"夕照雷峰",IF(AND(配装计算器!$K$30&lt;&gt;"∞",0),"梦泉虎跑-轻",INDEX(AU429:CB429,1,$AT$1))),"")</f>
        <v/>
      </c>
      <c r="C429" t="str">
        <f ca="1" t="shared" si="87"/>
        <v/>
      </c>
      <c r="D429" t="str">
        <f ca="1">IF(B429&lt;&gt;"",IF(C428&lt;=加速!$L$11*(1-E429),0,1),"")</f>
        <v/>
      </c>
      <c r="E429">
        <f ca="1" t="shared" si="83"/>
        <v>1</v>
      </c>
      <c r="G429" t="str">
        <f ca="1" t="shared" si="84"/>
        <v/>
      </c>
      <c r="H429" t="str">
        <f ca="1">IF(B429&lt;&gt;"",IF(AND(COUNTIF(B428,"*轻*莺鸣柳*")&gt;0,COUNTIF(B429,"*轻*")&lt;1),MAX(0,15+I428-(A429-A428)+COUNTIF(B428,"*平湖*")*0),IF(AND(E429=0,MAX(0,H428-(A429-A428))&lt;=加速!$H$11),0,MAX(0,H428-(A429-A428)))),"")</f>
        <v/>
      </c>
      <c r="I429" t="str">
        <f ca="1" t="shared" si="90"/>
        <v/>
      </c>
      <c r="J429" t="str">
        <f ca="1" t="shared" si="91"/>
        <v/>
      </c>
      <c r="K429" t="str">
        <f ca="1">IF(A429&lt;&gt;"",IF(AND(配装计算器!$K$30&lt;&gt;"∞",0),2,INDEX(AU429:CB429,1,$AT$2)),"")</f>
        <v/>
      </c>
      <c r="L429">
        <f ca="1">IFERROR(IF(AND(COUNTIF(B429,"*-峰插*"),技能数据库!$M$72&gt;0),0,IF(COUNTIF(B429,"*鹤归*")&gt;0,16-加速!$L$11,MAX(0,L428-(A429-A428)))),0)</f>
        <v>0</v>
      </c>
      <c r="M429">
        <f ca="1">IF(COUNTIF(IF(AND(配装计算器!$K$30&lt;&gt;"∞",0),INDEX(AU428:CB428,1,$AT$1),INDEX(AU430:CB430,1,$AT$1)),"*鹤归*")=1,L429,0)</f>
        <v>0</v>
      </c>
      <c r="N429">
        <f ca="1">IFERROR(IF(AND(COUNTIF(B429,"*-峰插*"),技能数据库!$M$72&gt;0),0,IF(COUNTIF(B429,"*云飞*")&gt;0,4-COUNTIF(B429,"*玉山揽云*")*4--COUNTIF(B429,"*烟流暮景*")*4-COUNTIF(B429,"*云景*")*加速!$L$11-IF(J429&gt;0,2,0),MAX(0,N428-(A429-A428)-IF(J429&gt;0,2,0)))),0)</f>
        <v>0</v>
      </c>
      <c r="O429">
        <f ca="1">IF(AND(COUNTIF(IF(AND(配装计算器!$K$30&lt;&gt;"∞",0),INDEX(AU428:CB428,1,$AT$1),INDEX(AU430:CB430,1,$AT$1)),"*云飞*")=1,COUNTIF(IF(AND(配装计算器!$K$30&lt;&gt;"∞",0),INDEX(AU428:CB428,1,$AT$1),INDEX(AU430:CB430,1,$AT$1)),"*玉山*")=0),N429,0)</f>
        <v>0</v>
      </c>
      <c r="P429">
        <f ca="1">IFERROR(IF(COUNTIF(B429,"*云栖松*")&gt;0,50-加速!$L$11,MAX(0,P428-(A429-A428))),0)</f>
        <v>0</v>
      </c>
      <c r="Q429">
        <f ca="1">IF(COUNTIF(IF(AND(配装计算器!$K$30&lt;&gt;"∞",0),INDEX(AU428:CB428,1,$AT$1),INDEX(AU430:CB430,1,$AT$1)),"*云栖松*")=1,P429,0)</f>
        <v>0</v>
      </c>
      <c r="R429">
        <f ca="1">IFERROR(IF(COUNTIF(B429,"*莺鸣柳*")&gt;0,45-加速!$L$9,MAX(0,R428-(A429-A428))),0)</f>
        <v>0</v>
      </c>
      <c r="S429">
        <f ca="1">IF(COUNTIF(IF(AND(配装计算器!$K$30&lt;&gt;"∞",0),INDEX(AU428:CB428,1,$AT$1),INDEX(AU430:CB430,1,$AT$1)),"*莺鸣柳*")=1,R429,0)</f>
        <v>0</v>
      </c>
      <c r="T429">
        <f ca="1" t="shared" si="88"/>
        <v>0</v>
      </c>
      <c r="U429">
        <f ca="1">IF(金蛇,IF(COUNTIF(B429,"*金环戴*")+COUNTIF(B429,"*吹风醒*")&gt;0,IF(A429&lt;=3,7.125-2.625-A429-加速!$L$11,7.125+加速!$K$9-(A429+加速!$L$11-T429)),0),0)+IF(金蛇,IF(COUNTIF(B429,"*千切子裂光*")&gt;0,2+加速!$K$9-(A429+加速!$L$11-T429),0),0)</f>
        <v>0</v>
      </c>
      <c r="V429">
        <f ca="1" t="shared" si="89"/>
        <v>0</v>
      </c>
      <c r="W429">
        <f ca="1" t="shared" si="81"/>
        <v>0</v>
      </c>
      <c r="X429">
        <f ca="1">INDEX(加速!$I$13:$I$21,技能数计算!W429+1)</f>
        <v>0</v>
      </c>
      <c r="Y429">
        <f ca="1" t="shared" si="85"/>
        <v>0.5</v>
      </c>
      <c r="Z429">
        <f ca="1" t="shared" si="86"/>
        <v>0</v>
      </c>
      <c r="AA429">
        <f ca="1">MAX(0,IFERROR(IF(COUNTIF(B429,"*叠*")&gt;0,IF(AC428&lt;3,8-A430+A429,AA428+6.875-A430+A429),AA428-A430+A429),AA428-加速!$L$11))</f>
        <v>0</v>
      </c>
      <c r="AB429" t="e">
        <f ca="1">MAX(0,IF(COUNTIF(IF(AND(配装计算器!$K$30&lt;&gt;"∞",0),INDEX(AU429:CB429,1,$AT$1),INDEX(AU429:CB429,1,$AT$1)),"*叠1*")=1,4*25-加速!$L$11,AB428-A429+A428)-IF(OR(COUNTIF(OFFSET(AT429,0,$AT$1,1,1),"*听雷*")&gt;0,AND(碧归&gt;0,COUNTIF(OFFSET(AT429,0,$AT$1,1,1),"*风来*")&gt;0)),0,1)*1.5)</f>
        <v>#VALUE!</v>
      </c>
      <c r="AC429">
        <f ca="1" t="shared" si="82"/>
        <v>3</v>
      </c>
      <c r="AD429">
        <f ca="1">IF(COUNTIF(IF(AND(配装计算器!$K$30&lt;&gt;"∞",0),INDEX(AU429:CB429,1,$AT$1),INDEX(AU430:CB430,1,$AT$1)),"*叠1*")=1,AB429*0+AE428,0)</f>
        <v>0</v>
      </c>
      <c r="AE429" t="e">
        <f ca="1">IF($AN$11&gt;0,IF(COUNTIF(B430,"*叠1*")&gt;0,50-加速!$H$11,MAX(0,AE428-(A430-A429))),0)</f>
        <v>#VALUE!</v>
      </c>
      <c r="AU429" s="176" t="s">
        <v>2776</v>
      </c>
      <c r="AV429">
        <v>2</v>
      </c>
      <c r="AW429" s="176" t="s">
        <v>2768</v>
      </c>
      <c r="AX429">
        <v>2</v>
      </c>
      <c r="AY429" t="s">
        <v>2768</v>
      </c>
      <c r="AZ429">
        <v>0</v>
      </c>
      <c r="BA429" t="s">
        <v>2768</v>
      </c>
      <c r="BB429">
        <v>2</v>
      </c>
      <c r="BC429" t="s">
        <v>2794</v>
      </c>
      <c r="BD429">
        <v>2</v>
      </c>
      <c r="BE429" t="s">
        <v>2722</v>
      </c>
      <c r="BF429">
        <v>2</v>
      </c>
      <c r="BG429" t="s">
        <v>3067</v>
      </c>
      <c r="BH429">
        <v>0</v>
      </c>
      <c r="BI429" s="176" t="s">
        <v>3026</v>
      </c>
      <c r="BJ429">
        <v>2</v>
      </c>
      <c r="BK429" s="176" t="s">
        <v>2768</v>
      </c>
      <c r="BL429">
        <v>2</v>
      </c>
      <c r="BM429" s="176" t="s">
        <v>2794</v>
      </c>
      <c r="BN429">
        <v>2</v>
      </c>
      <c r="BO429" t="s">
        <v>2768</v>
      </c>
      <c r="BP429">
        <v>2</v>
      </c>
      <c r="BQ429" t="s">
        <v>2768</v>
      </c>
      <c r="BR429">
        <v>2</v>
      </c>
      <c r="BS429" s="179" t="s">
        <v>2794</v>
      </c>
      <c r="BT429">
        <v>2</v>
      </c>
      <c r="BU429" s="176" t="s">
        <v>2768</v>
      </c>
      <c r="BV429">
        <v>1</v>
      </c>
      <c r="BW429" s="179" t="s">
        <v>2718</v>
      </c>
      <c r="BX429" s="179">
        <v>1</v>
      </c>
      <c r="BY429" s="176" t="s">
        <v>2794</v>
      </c>
      <c r="BZ429">
        <v>2</v>
      </c>
      <c r="CA429" s="176" t="s">
        <v>2808</v>
      </c>
      <c r="CB429">
        <v>2</v>
      </c>
    </row>
    <row r="430" spans="1:80">
      <c r="A430" s="178" t="str">
        <f ca="1">IFERROR(IF(A429+加速!$L$11&lt;$AS$1,IF(COUNTIF(B429,"*轻*")&gt;0,A429+加速!$L$9,A429+加速!$L$11)+V429,IF(COUNTIF(INDEX(AU430:CB430,1,$AT$1),"*云景*")+COUNTIF(INDEX(AU430:CB430,1,$AT$1),"*鹤归*")+COUNTIF(INDEX(AU430:CB430,1,$AT$1),"*听雷*")&gt;0,A429+加速!$L$11,"")),"")</f>
        <v/>
      </c>
      <c r="B430" s="167" t="str">
        <f ca="1">IF(A430&lt;&gt;"",IF(AND(A430+加速!$L$11&gt;$AS$1,IF(AND(配装计算器!$K$30&lt;&gt;"∞",0),"梦泉虎跑-轻",INDEX(AU430:CB430,1,$AT$1))="云栖松"),"夕照雷峰",IF(AND(配装计算器!$K$30&lt;&gt;"∞",0),"梦泉虎跑-轻",INDEX(AU430:CB430,1,$AT$1))),"")</f>
        <v/>
      </c>
      <c r="C430" t="str">
        <f ca="1" t="shared" si="87"/>
        <v/>
      </c>
      <c r="D430" t="str">
        <f ca="1">IF(B430&lt;&gt;"",IF(C429&lt;=加速!$L$11*(1-E430),0,1),"")</f>
        <v/>
      </c>
      <c r="E430">
        <f ca="1" t="shared" si="83"/>
        <v>1</v>
      </c>
      <c r="G430" t="str">
        <f ca="1" t="shared" si="84"/>
        <v/>
      </c>
      <c r="H430" t="str">
        <f ca="1">IF(B430&lt;&gt;"",IF(AND(COUNTIF(B429,"*轻*莺鸣柳*")&gt;0,COUNTIF(B430,"*轻*")&lt;1),MAX(0,15+I429-(A430-A429)+COUNTIF(B429,"*平湖*")*0),IF(AND(E430=0,MAX(0,H429-(A430-A429))&lt;=加速!$H$11),0,MAX(0,H429-(A430-A429)))),"")</f>
        <v/>
      </c>
      <c r="I430" t="str">
        <f ca="1" t="shared" si="90"/>
        <v/>
      </c>
      <c r="J430" t="str">
        <f ca="1" t="shared" si="91"/>
        <v/>
      </c>
      <c r="K430" t="str">
        <f ca="1">IF(A430&lt;&gt;"",IF(AND(配装计算器!$K$30&lt;&gt;"∞",0),2,INDEX(AU430:CB430,1,$AT$2)),"")</f>
        <v/>
      </c>
      <c r="L430">
        <f ca="1">IFERROR(IF(AND(COUNTIF(B430,"*-峰插*"),技能数据库!$M$72&gt;0),0,IF(COUNTIF(B430,"*鹤归*")&gt;0,16-加速!$L$11,MAX(0,L429-(A430-A429)))),0)</f>
        <v>0</v>
      </c>
      <c r="M430">
        <f ca="1">IF(COUNTIF(IF(AND(配装计算器!$K$30&lt;&gt;"∞",0),INDEX(AU429:CB429,1,$AT$1),INDEX(AU431:CB431,1,$AT$1)),"*鹤归*")=1,L430,0)</f>
        <v>0</v>
      </c>
      <c r="N430">
        <f ca="1">IFERROR(IF(AND(COUNTIF(B430,"*-峰插*"),技能数据库!$M$72&gt;0),0,IF(COUNTIF(B430,"*云飞*")&gt;0,4-COUNTIF(B430,"*玉山揽云*")*4--COUNTIF(B430,"*烟流暮景*")*4-COUNTIF(B430,"*云景*")*加速!$L$11-IF(J430&gt;0,2,0),MAX(0,N429-(A430-A429)-IF(J430&gt;0,2,0)))),0)</f>
        <v>0</v>
      </c>
      <c r="O430">
        <f ca="1">IF(AND(COUNTIF(IF(AND(配装计算器!$K$30&lt;&gt;"∞",0),INDEX(AU429:CB429,1,$AT$1),INDEX(AU431:CB431,1,$AT$1)),"*云飞*")=1,COUNTIF(IF(AND(配装计算器!$K$30&lt;&gt;"∞",0),INDEX(AU429:CB429,1,$AT$1),INDEX(AU431:CB431,1,$AT$1)),"*玉山*")=0),N430,0)</f>
        <v>0</v>
      </c>
      <c r="P430">
        <f ca="1">IFERROR(IF(COUNTIF(B430,"*云栖松*")&gt;0,50-加速!$L$11,MAX(0,P429-(A430-A429))),0)</f>
        <v>0</v>
      </c>
      <c r="Q430">
        <f ca="1">IF(COUNTIF(IF(AND(配装计算器!$K$30&lt;&gt;"∞",0),INDEX(AU429:CB429,1,$AT$1),INDEX(AU431:CB431,1,$AT$1)),"*云栖松*")=1,P430,0)</f>
        <v>0</v>
      </c>
      <c r="R430">
        <f ca="1">IFERROR(IF(COUNTIF(B430,"*莺鸣柳*")&gt;0,45-加速!$L$9,MAX(0,R429-(A430-A429))),0)</f>
        <v>0</v>
      </c>
      <c r="S430">
        <f ca="1">IF(COUNTIF(IF(AND(配装计算器!$K$30&lt;&gt;"∞",0),INDEX(AU429:CB429,1,$AT$1),INDEX(AU431:CB431,1,$AT$1)),"*莺鸣柳*")=1,R430,0)</f>
        <v>0</v>
      </c>
      <c r="T430">
        <f ca="1" t="shared" si="88"/>
        <v>0</v>
      </c>
      <c r="U430">
        <f ca="1">IF(金蛇,IF(COUNTIF(B430,"*金环戴*")+COUNTIF(B430,"*吹风醒*")&gt;0,IF(A430&lt;=3,7.125-2.625-A430-加速!$L$11,7.125+加速!$K$9-(A430+加速!$L$11-T430)),0),0)+IF(金蛇,IF(COUNTIF(B430,"*千切子裂光*")&gt;0,2+加速!$K$9-(A430+加速!$L$11-T430),0),0)</f>
        <v>0</v>
      </c>
      <c r="V430">
        <f ca="1" t="shared" si="89"/>
        <v>0</v>
      </c>
      <c r="W430">
        <f ca="1" t="shared" si="81"/>
        <v>0</v>
      </c>
      <c r="X430">
        <f ca="1">INDEX(加速!$I$13:$I$21,技能数计算!W430+1)</f>
        <v>0</v>
      </c>
      <c r="Y430">
        <f ca="1" t="shared" si="85"/>
        <v>0.5</v>
      </c>
      <c r="Z430">
        <f ca="1" t="shared" si="86"/>
        <v>0</v>
      </c>
      <c r="AA430">
        <f ca="1">MAX(0,IFERROR(IF(COUNTIF(B430,"*叠*")&gt;0,IF(AC429&lt;3,8-A431+A430,AA429+6.875-A431+A430),AA429-A431+A430),AA429-加速!$L$11))</f>
        <v>0</v>
      </c>
      <c r="AB430" t="e">
        <f ca="1">MAX(0,IF(COUNTIF(IF(AND(配装计算器!$K$30&lt;&gt;"∞",0),INDEX(AU430:CB430,1,$AT$1),INDEX(AU430:CB430,1,$AT$1)),"*叠1*")=1,4*25-加速!$L$11,AB429-A430+A429)-IF(OR(COUNTIF(OFFSET(AT430,0,$AT$1,1,1),"*听雷*")&gt;0,AND(碧归&gt;0,COUNTIF(OFFSET(AT430,0,$AT$1,1,1),"*风来*")&gt;0)),0,1)*1.5)</f>
        <v>#VALUE!</v>
      </c>
      <c r="AC430">
        <f ca="1" t="shared" si="82"/>
        <v>3</v>
      </c>
      <c r="AD430">
        <f ca="1">IF(COUNTIF(IF(AND(配装计算器!$K$30&lt;&gt;"∞",0),INDEX(AU430:CB430,1,$AT$1),INDEX(AU431:CB431,1,$AT$1)),"*叠1*")=1,AB430*0+AE429,0)</f>
        <v>0</v>
      </c>
      <c r="AE430" t="e">
        <f ca="1">IF($AN$11&gt;0,IF(COUNTIF(B431,"*叠1*")&gt;0,50-加速!$H$11,MAX(0,AE429-(A431-A430))),0)</f>
        <v>#VALUE!</v>
      </c>
      <c r="AU430" s="176" t="s">
        <v>2768</v>
      </c>
      <c r="AV430">
        <v>2</v>
      </c>
      <c r="AW430" s="176" t="s">
        <v>2776</v>
      </c>
      <c r="AX430">
        <v>2</v>
      </c>
      <c r="AY430" t="s">
        <v>2722</v>
      </c>
      <c r="AZ430">
        <v>0</v>
      </c>
      <c r="BA430" t="s">
        <v>2768</v>
      </c>
      <c r="BB430">
        <v>2</v>
      </c>
      <c r="BC430" s="182" t="s">
        <v>3036</v>
      </c>
      <c r="BD430">
        <v>2</v>
      </c>
      <c r="BE430" t="s">
        <v>2768</v>
      </c>
      <c r="BF430">
        <v>2</v>
      </c>
      <c r="BG430" t="s">
        <v>2768</v>
      </c>
      <c r="BH430">
        <v>2</v>
      </c>
      <c r="BI430" s="176" t="s">
        <v>3036</v>
      </c>
      <c r="BJ430">
        <v>2</v>
      </c>
      <c r="BK430" s="176" t="s">
        <v>2776</v>
      </c>
      <c r="BL430">
        <v>2</v>
      </c>
      <c r="BM430" s="176" t="s">
        <v>2768</v>
      </c>
      <c r="BN430">
        <v>2</v>
      </c>
      <c r="BO430" t="s">
        <v>2776</v>
      </c>
      <c r="BP430">
        <v>2</v>
      </c>
      <c r="BQ430" t="s">
        <v>2776</v>
      </c>
      <c r="BR430">
        <v>2</v>
      </c>
      <c r="BS430" s="179" t="s">
        <v>3019</v>
      </c>
      <c r="BT430">
        <v>2</v>
      </c>
      <c r="BU430" t="s">
        <v>3055</v>
      </c>
      <c r="BV430">
        <v>0</v>
      </c>
      <c r="BW430" s="179" t="s">
        <v>2776</v>
      </c>
      <c r="BX430" s="179">
        <v>2</v>
      </c>
      <c r="BY430" s="176" t="s">
        <v>2768</v>
      </c>
      <c r="BZ430">
        <v>2</v>
      </c>
      <c r="CA430" t="s">
        <v>2768</v>
      </c>
      <c r="CB430">
        <v>2</v>
      </c>
    </row>
    <row r="431" spans="1:80">
      <c r="A431" s="178" t="str">
        <f ca="1">IFERROR(IF(A430+加速!$L$11&lt;$AS$1,IF(COUNTIF(B430,"*轻*")&gt;0,A430+加速!$L$9,A430+加速!$L$11)+V430,IF(COUNTIF(INDEX(AU431:CB431,1,$AT$1),"*云景*")+COUNTIF(INDEX(AU431:CB431,1,$AT$1),"*鹤归*")+COUNTIF(INDEX(AU431:CB431,1,$AT$1),"*听雷*")&gt;0,A430+加速!$L$11,"")),"")</f>
        <v/>
      </c>
      <c r="B431" s="167" t="str">
        <f ca="1">IF(A431&lt;&gt;"",IF(AND(A431+加速!$L$11&gt;$AS$1,IF(AND(配装计算器!$K$30&lt;&gt;"∞",0),"梦泉虎跑-轻",INDEX(AU431:CB431,1,$AT$1))="云栖松"),"夕照雷峰",IF(AND(配装计算器!$K$30&lt;&gt;"∞",0),"梦泉虎跑-轻",INDEX(AU431:CB431,1,$AT$1))),"")</f>
        <v/>
      </c>
      <c r="C431" t="str">
        <f ca="1" t="shared" si="87"/>
        <v/>
      </c>
      <c r="D431" t="str">
        <f ca="1">IF(B431&lt;&gt;"",IF(C430&lt;=加速!$L$11*(1-E431),0,1),"")</f>
        <v/>
      </c>
      <c r="E431">
        <f ca="1" t="shared" si="83"/>
        <v>1</v>
      </c>
      <c r="G431" t="str">
        <f ca="1" t="shared" si="84"/>
        <v/>
      </c>
      <c r="H431" t="str">
        <f ca="1">IF(B431&lt;&gt;"",IF(AND(COUNTIF(B430,"*轻*莺鸣柳*")&gt;0,COUNTIF(B431,"*轻*")&lt;1),MAX(0,15+I430-(A431-A430)+COUNTIF(B430,"*平湖*")*0),IF(AND(E431=0,MAX(0,H430-(A431-A430))&lt;=加速!$H$11),0,MAX(0,H430-(A431-A430)))),"")</f>
        <v/>
      </c>
      <c r="I431" t="str">
        <f ca="1" t="shared" si="90"/>
        <v/>
      </c>
      <c r="J431" t="str">
        <f ca="1" t="shared" si="91"/>
        <v/>
      </c>
      <c r="K431" t="str">
        <f ca="1">IF(A431&lt;&gt;"",IF(AND(配装计算器!$K$30&lt;&gt;"∞",0),2,INDEX(AU431:CB431,1,$AT$2)),"")</f>
        <v/>
      </c>
      <c r="L431">
        <f ca="1">IFERROR(IF(AND(COUNTIF(B431,"*-峰插*"),技能数据库!$M$72&gt;0),0,IF(COUNTIF(B431,"*鹤归*")&gt;0,16-加速!$L$11,MAX(0,L430-(A431-A430)))),0)</f>
        <v>0</v>
      </c>
      <c r="M431">
        <f ca="1">IF(COUNTIF(IF(AND(配装计算器!$K$30&lt;&gt;"∞",0),INDEX(AU430:CB430,1,$AT$1),INDEX(AU432:CB432,1,$AT$1)),"*鹤归*")=1,L431,0)</f>
        <v>0</v>
      </c>
      <c r="N431">
        <f ca="1">IFERROR(IF(AND(COUNTIF(B431,"*-峰插*"),技能数据库!$M$72&gt;0),0,IF(COUNTIF(B431,"*云飞*")&gt;0,4-COUNTIF(B431,"*玉山揽云*")*4--COUNTIF(B431,"*烟流暮景*")*4-COUNTIF(B431,"*云景*")*加速!$L$11-IF(J431&gt;0,2,0),MAX(0,N430-(A431-A430)-IF(J431&gt;0,2,0)))),0)</f>
        <v>0</v>
      </c>
      <c r="O431">
        <f ca="1">IF(AND(COUNTIF(IF(AND(配装计算器!$K$30&lt;&gt;"∞",0),INDEX(AU430:CB430,1,$AT$1),INDEX(AU432:CB432,1,$AT$1)),"*云飞*")=1,COUNTIF(IF(AND(配装计算器!$K$30&lt;&gt;"∞",0),INDEX(AU430:CB430,1,$AT$1),INDEX(AU432:CB432,1,$AT$1)),"*玉山*")=0),N431,0)</f>
        <v>0</v>
      </c>
      <c r="P431">
        <f ca="1">IFERROR(IF(COUNTIF(B431,"*云栖松*")&gt;0,50-加速!$L$11,MAX(0,P430-(A431-A430))),0)</f>
        <v>0</v>
      </c>
      <c r="Q431">
        <f ca="1">IF(COUNTIF(IF(AND(配装计算器!$K$30&lt;&gt;"∞",0),INDEX(AU430:CB430,1,$AT$1),INDEX(AU432:CB432,1,$AT$1)),"*云栖松*")=1,P431,0)</f>
        <v>0</v>
      </c>
      <c r="R431">
        <f ca="1">IFERROR(IF(COUNTIF(B431,"*莺鸣柳*")&gt;0,45-加速!$L$9,MAX(0,R430-(A431-A430))),0)</f>
        <v>0</v>
      </c>
      <c r="S431">
        <f ca="1">IF(COUNTIF(IF(AND(配装计算器!$K$30&lt;&gt;"∞",0),INDEX(AU430:CB430,1,$AT$1),INDEX(AU432:CB432,1,$AT$1)),"*莺鸣柳*")=1,R431,0)</f>
        <v>0</v>
      </c>
      <c r="T431">
        <f ca="1" t="shared" si="88"/>
        <v>0</v>
      </c>
      <c r="U431">
        <f ca="1">IF(金蛇,IF(COUNTIF(B431,"*金环戴*")+COUNTIF(B431,"*吹风醒*")&gt;0,IF(A431&lt;=3,7.125-2.625-A431-加速!$L$11,7.125+加速!$K$9-(A431+加速!$L$11-T431)),0),0)+IF(金蛇,IF(COUNTIF(B431,"*千切子裂光*")&gt;0,2+加速!$K$9-(A431+加速!$L$11-T431),0),0)</f>
        <v>0</v>
      </c>
      <c r="V431">
        <f ca="1" t="shared" si="89"/>
        <v>0</v>
      </c>
      <c r="W431">
        <f ca="1" t="shared" si="81"/>
        <v>0</v>
      </c>
      <c r="X431">
        <f ca="1">INDEX(加速!$I$13:$I$21,技能数计算!W431+1)</f>
        <v>0</v>
      </c>
      <c r="Y431">
        <f ca="1" t="shared" si="85"/>
        <v>0.5</v>
      </c>
      <c r="Z431">
        <f ca="1" t="shared" si="86"/>
        <v>0</v>
      </c>
      <c r="AA431">
        <f ca="1">MAX(0,IFERROR(IF(COUNTIF(B431,"*叠*")&gt;0,IF(AC430&lt;3,8-A432+A431,AA430+6.875-A432+A431),AA430-A432+A431),AA430-加速!$L$11))</f>
        <v>0</v>
      </c>
      <c r="AB431" t="e">
        <f ca="1">MAX(0,IF(COUNTIF(IF(AND(配装计算器!$K$30&lt;&gt;"∞",0),INDEX(AU431:CB431,1,$AT$1),INDEX(AU431:CB431,1,$AT$1)),"*叠1*")=1,4*25-加速!$L$11,AB430-A431+A430)-IF(OR(COUNTIF(OFFSET(AT431,0,$AT$1,1,1),"*听雷*")&gt;0,AND(碧归&gt;0,COUNTIF(OFFSET(AT431,0,$AT$1,1,1),"*风来*")&gt;0)),0,1)*1.5)</f>
        <v>#VALUE!</v>
      </c>
      <c r="AC431">
        <f ca="1" t="shared" si="82"/>
        <v>3</v>
      </c>
      <c r="AD431">
        <f ca="1">IF(COUNTIF(IF(AND(配装计算器!$K$30&lt;&gt;"∞",0),INDEX(AU431:CB431,1,$AT$1),INDEX(AU432:CB432,1,$AT$1)),"*叠1*")=1,AB431*0+AE430,0)</f>
        <v>0</v>
      </c>
      <c r="AE431" t="e">
        <f ca="1">IF($AN$11&gt;0,IF(COUNTIF(B432,"*叠1*")&gt;0,50-加速!$H$11,MAX(0,AE430-(A432-A431))),0)</f>
        <v>#VALUE!</v>
      </c>
      <c r="AU431" s="176" t="s">
        <v>2776</v>
      </c>
      <c r="AV431">
        <v>2</v>
      </c>
      <c r="AW431" s="176" t="s">
        <v>2768</v>
      </c>
      <c r="AX431">
        <v>2</v>
      </c>
      <c r="AY431" t="s">
        <v>2776</v>
      </c>
      <c r="AZ431">
        <v>2</v>
      </c>
      <c r="BA431" t="s">
        <v>2768</v>
      </c>
      <c r="BB431">
        <v>1</v>
      </c>
      <c r="BC431" s="176" t="s">
        <v>3026</v>
      </c>
      <c r="BD431">
        <v>2</v>
      </c>
      <c r="BE431" t="s">
        <v>2776</v>
      </c>
      <c r="BF431">
        <v>2</v>
      </c>
      <c r="BG431" t="s">
        <v>2768</v>
      </c>
      <c r="BH431">
        <v>2</v>
      </c>
      <c r="BI431" t="s">
        <v>2794</v>
      </c>
      <c r="BJ431">
        <v>2</v>
      </c>
      <c r="BK431" t="s">
        <v>2768</v>
      </c>
      <c r="BL431">
        <v>1</v>
      </c>
      <c r="BM431" s="176" t="s">
        <v>2776</v>
      </c>
      <c r="BN431">
        <v>2</v>
      </c>
      <c r="BO431" t="s">
        <v>2768</v>
      </c>
      <c r="BP431">
        <v>1</v>
      </c>
      <c r="BQ431" t="s">
        <v>2768</v>
      </c>
      <c r="BR431">
        <v>2</v>
      </c>
      <c r="BS431" s="179" t="s">
        <v>2768</v>
      </c>
      <c r="BT431">
        <v>2</v>
      </c>
      <c r="BU431" t="s">
        <v>2776</v>
      </c>
      <c r="BV431">
        <v>2</v>
      </c>
      <c r="BW431" s="179" t="s">
        <v>2768</v>
      </c>
      <c r="BX431" s="179">
        <v>2</v>
      </c>
      <c r="BY431" s="176" t="s">
        <v>2776</v>
      </c>
      <c r="BZ431">
        <v>2</v>
      </c>
      <c r="CA431" t="s">
        <v>2776</v>
      </c>
      <c r="CB431">
        <v>2</v>
      </c>
    </row>
    <row r="432" spans="1:80">
      <c r="A432" s="178" t="str">
        <f ca="1">IFERROR(IF(A431+加速!$L$11&lt;$AS$1,IF(COUNTIF(B431,"*轻*")&gt;0,A431+加速!$L$9,A431+加速!$L$11)+V431,IF(COUNTIF(INDEX(AU432:CB432,1,$AT$1),"*云景*")+COUNTIF(INDEX(AU432:CB432,1,$AT$1),"*鹤归*")+COUNTIF(INDEX(AU432:CB432,1,$AT$1),"*听雷*")&gt;0,A431+加速!$L$11,"")),"")</f>
        <v/>
      </c>
      <c r="B432" s="167" t="str">
        <f ca="1">IF(A432&lt;&gt;"",IF(AND(A432+加速!$L$11&gt;$AS$1,IF(AND(配装计算器!$K$30&lt;&gt;"∞",0),"梦泉虎跑-轻",INDEX(AU432:CB432,1,$AT$1))="云栖松"),"夕照雷峰",IF(AND(配装计算器!$K$30&lt;&gt;"∞",0),"梦泉虎跑-轻",INDEX(AU432:CB432,1,$AT$1))),"")</f>
        <v/>
      </c>
      <c r="C432" t="str">
        <f ca="1" t="shared" si="87"/>
        <v/>
      </c>
      <c r="D432" t="str">
        <f ca="1">IF(B432&lt;&gt;"",IF(C431&lt;=加速!$L$11*(1-E432),0,1),"")</f>
        <v/>
      </c>
      <c r="E432">
        <f ca="1" t="shared" si="83"/>
        <v>1</v>
      </c>
      <c r="G432" t="str">
        <f ca="1" t="shared" si="84"/>
        <v/>
      </c>
      <c r="H432" t="str">
        <f ca="1">IF(B432&lt;&gt;"",IF(AND(COUNTIF(B431,"*轻*莺鸣柳*")&gt;0,COUNTIF(B432,"*轻*")&lt;1),MAX(0,15+I431-(A432-A431)+COUNTIF(B431,"*平湖*")*0),IF(AND(E432=0,MAX(0,H431-(A432-A431))&lt;=加速!$H$11),0,MAX(0,H431-(A432-A431)))),"")</f>
        <v/>
      </c>
      <c r="I432" t="str">
        <f ca="1" t="shared" si="90"/>
        <v/>
      </c>
      <c r="J432" t="str">
        <f ca="1" t="shared" si="91"/>
        <v/>
      </c>
      <c r="K432" t="str">
        <f ca="1">IF(A432&lt;&gt;"",IF(AND(配装计算器!$K$30&lt;&gt;"∞",0),2,INDEX(AU432:CB432,1,$AT$2)),"")</f>
        <v/>
      </c>
      <c r="L432">
        <f ca="1">IFERROR(IF(AND(COUNTIF(B432,"*-峰插*"),技能数据库!$M$72&gt;0),0,IF(COUNTIF(B432,"*鹤归*")&gt;0,16-加速!$L$11,MAX(0,L431-(A432-A431)))),0)</f>
        <v>0</v>
      </c>
      <c r="M432">
        <f ca="1">IF(COUNTIF(IF(AND(配装计算器!$K$30&lt;&gt;"∞",0),INDEX(AU431:CB431,1,$AT$1),INDEX(AU433:CB433,1,$AT$1)),"*鹤归*")=1,L432,0)</f>
        <v>0</v>
      </c>
      <c r="N432">
        <f ca="1">IFERROR(IF(AND(COUNTIF(B432,"*-峰插*"),技能数据库!$M$72&gt;0),0,IF(COUNTIF(B432,"*云飞*")&gt;0,4-COUNTIF(B432,"*玉山揽云*")*4--COUNTIF(B432,"*烟流暮景*")*4-COUNTIF(B432,"*云景*")*加速!$L$11-IF(J432&gt;0,2,0),MAX(0,N431-(A432-A431)-IF(J432&gt;0,2,0)))),0)</f>
        <v>0</v>
      </c>
      <c r="O432">
        <f ca="1">IF(AND(COUNTIF(IF(AND(配装计算器!$K$30&lt;&gt;"∞",0),INDEX(AU431:CB431,1,$AT$1),INDEX(AU433:CB433,1,$AT$1)),"*云飞*")=1,COUNTIF(IF(AND(配装计算器!$K$30&lt;&gt;"∞",0),INDEX(AU431:CB431,1,$AT$1),INDEX(AU433:CB433,1,$AT$1)),"*玉山*")=0),N432,0)</f>
        <v>0</v>
      </c>
      <c r="P432">
        <f ca="1">IFERROR(IF(COUNTIF(B432,"*云栖松*")&gt;0,50-加速!$L$11,MAX(0,P431-(A432-A431))),0)</f>
        <v>0</v>
      </c>
      <c r="Q432">
        <f ca="1">IF(COUNTIF(IF(AND(配装计算器!$K$30&lt;&gt;"∞",0),INDEX(AU431:CB431,1,$AT$1),INDEX(AU433:CB433,1,$AT$1)),"*云栖松*")=1,P432,0)</f>
        <v>0</v>
      </c>
      <c r="R432">
        <f ca="1">IFERROR(IF(COUNTIF(B432,"*莺鸣柳*")&gt;0,45-加速!$L$9,MAX(0,R431-(A432-A431))),0)</f>
        <v>0</v>
      </c>
      <c r="S432">
        <f ca="1">IF(COUNTIF(IF(AND(配装计算器!$K$30&lt;&gt;"∞",0),INDEX(AU431:CB431,1,$AT$1),INDEX(AU433:CB433,1,$AT$1)),"*莺鸣柳*")=1,R432,0)</f>
        <v>0</v>
      </c>
      <c r="T432">
        <f ca="1" t="shared" si="88"/>
        <v>0</v>
      </c>
      <c r="U432">
        <f ca="1">IF(金蛇,IF(COUNTIF(B432,"*金环戴*")+COUNTIF(B432,"*吹风醒*")&gt;0,IF(A432&lt;=3,7.125-2.625-A432-加速!$L$11,7.125+加速!$K$9-(A432+加速!$L$11-T432)),0),0)+IF(金蛇,IF(COUNTIF(B432,"*千切子裂光*")&gt;0,2+加速!$K$9-(A432+加速!$L$11-T432),0),0)</f>
        <v>0</v>
      </c>
      <c r="V432">
        <f ca="1" t="shared" si="89"/>
        <v>0</v>
      </c>
      <c r="W432">
        <f ca="1" t="shared" si="81"/>
        <v>0</v>
      </c>
      <c r="X432">
        <f ca="1">INDEX(加速!$I$13:$I$21,技能数计算!W432+1)</f>
        <v>0</v>
      </c>
      <c r="Y432">
        <f ca="1" t="shared" si="85"/>
        <v>0.5</v>
      </c>
      <c r="Z432">
        <f ca="1" t="shared" si="86"/>
        <v>0</v>
      </c>
      <c r="AA432">
        <f ca="1">MAX(0,IFERROR(IF(COUNTIF(B432,"*叠*")&gt;0,IF(AC431&lt;3,8-A433+A432,AA431+6.875-A433+A432),AA431-A433+A432),AA431-加速!$L$11))</f>
        <v>0</v>
      </c>
      <c r="AB432" t="e">
        <f ca="1">MAX(0,IF(COUNTIF(IF(AND(配装计算器!$K$30&lt;&gt;"∞",0),INDEX(AU432:CB432,1,$AT$1),INDEX(AU432:CB432,1,$AT$1)),"*叠1*")=1,4*25-加速!$L$11,AB431-A432+A431)-IF(OR(COUNTIF(OFFSET(AT432,0,$AT$1,1,1),"*听雷*")&gt;0,AND(碧归&gt;0,COUNTIF(OFFSET(AT432,0,$AT$1,1,1),"*风来*")&gt;0)),0,1)*1.5)</f>
        <v>#VALUE!</v>
      </c>
      <c r="AC432">
        <f ca="1" t="shared" si="82"/>
        <v>3</v>
      </c>
      <c r="AD432">
        <f ca="1">IF(COUNTIF(IF(AND(配装计算器!$K$30&lt;&gt;"∞",0),INDEX(AU432:CB432,1,$AT$1),INDEX(AU433:CB433,1,$AT$1)),"*叠1*")=1,AB432*0+AE431,0)</f>
        <v>0</v>
      </c>
      <c r="AE432" t="e">
        <f ca="1">IF($AN$11&gt;0,IF(COUNTIF(B433,"*叠1*")&gt;0,50-加速!$H$11,MAX(0,AE431-(A433-A432))),0)</f>
        <v>#VALUE!</v>
      </c>
      <c r="AU432" t="s">
        <v>2768</v>
      </c>
      <c r="AV432">
        <v>2</v>
      </c>
      <c r="AW432" s="176" t="s">
        <v>2776</v>
      </c>
      <c r="AX432">
        <v>2</v>
      </c>
      <c r="AY432" t="s">
        <v>2768</v>
      </c>
      <c r="AZ432">
        <v>2</v>
      </c>
      <c r="BA432" t="s">
        <v>2776</v>
      </c>
      <c r="BB432">
        <v>1</v>
      </c>
      <c r="BC432" s="176" t="s">
        <v>3026</v>
      </c>
      <c r="BD432">
        <v>2</v>
      </c>
      <c r="BE432" t="s">
        <v>2794</v>
      </c>
      <c r="BF432">
        <v>1</v>
      </c>
      <c r="BG432" s="176" t="s">
        <v>2794</v>
      </c>
      <c r="BH432">
        <v>1</v>
      </c>
      <c r="BI432" t="s">
        <v>2776</v>
      </c>
      <c r="BJ432">
        <v>2</v>
      </c>
      <c r="BK432" t="s">
        <v>2776</v>
      </c>
      <c r="BL432">
        <v>1</v>
      </c>
      <c r="BM432" s="176" t="s">
        <v>2768</v>
      </c>
      <c r="BN432">
        <v>2</v>
      </c>
      <c r="BO432" t="s">
        <v>2722</v>
      </c>
      <c r="BP432">
        <v>0</v>
      </c>
      <c r="BQ432" t="s">
        <v>2776</v>
      </c>
      <c r="BR432">
        <v>1</v>
      </c>
      <c r="BS432" s="182" t="s">
        <v>3023</v>
      </c>
      <c r="BT432">
        <v>2</v>
      </c>
      <c r="BU432" t="s">
        <v>2768</v>
      </c>
      <c r="BV432">
        <v>2</v>
      </c>
      <c r="BW432" s="179" t="s">
        <v>2768</v>
      </c>
      <c r="BX432" s="179">
        <v>1</v>
      </c>
      <c r="BY432" s="176" t="s">
        <v>2768</v>
      </c>
      <c r="BZ432">
        <v>2</v>
      </c>
      <c r="CA432" t="s">
        <v>2768</v>
      </c>
      <c r="CB432">
        <v>2</v>
      </c>
    </row>
    <row r="433" spans="1:80">
      <c r="A433" s="178" t="str">
        <f ca="1">IFERROR(IF(A432+加速!$L$11&lt;$AS$1,IF(COUNTIF(B432,"*轻*")&gt;0,A432+加速!$L$9,A432+加速!$L$11)+V432,IF(COUNTIF(INDEX(AU433:CB433,1,$AT$1),"*云景*")+COUNTIF(INDEX(AU433:CB433,1,$AT$1),"*鹤归*")+COUNTIF(INDEX(AU433:CB433,1,$AT$1),"*听雷*")&gt;0,A432+加速!$L$11,"")),"")</f>
        <v/>
      </c>
      <c r="B433" s="167" t="str">
        <f ca="1">IF(A433&lt;&gt;"",IF(AND(A433+加速!$L$11&gt;$AS$1,IF(AND(配装计算器!$K$30&lt;&gt;"∞",0),"梦泉虎跑-轻",INDEX(AU433:CB433,1,$AT$1))="云栖松"),"夕照雷峰",IF(AND(配装计算器!$K$30&lt;&gt;"∞",0),"梦泉虎跑-轻",INDEX(AU433:CB433,1,$AT$1))),"")</f>
        <v/>
      </c>
      <c r="C433" t="str">
        <f ca="1" t="shared" si="87"/>
        <v/>
      </c>
      <c r="D433" t="str">
        <f ca="1">IF(B433&lt;&gt;"",IF(C432&lt;=加速!$L$11*(1-E433),0,1),"")</f>
        <v/>
      </c>
      <c r="E433">
        <f ca="1" t="shared" si="83"/>
        <v>1</v>
      </c>
      <c r="G433" t="str">
        <f ca="1" t="shared" si="84"/>
        <v/>
      </c>
      <c r="H433" t="str">
        <f ca="1">IF(B433&lt;&gt;"",IF(AND(COUNTIF(B432,"*轻*莺鸣柳*")&gt;0,COUNTIF(B433,"*轻*")&lt;1),MAX(0,15+I432-(A433-A432)+COUNTIF(B432,"*平湖*")*0),IF(AND(E433=0,MAX(0,H432-(A433-A432))&lt;=加速!$H$11),0,MAX(0,H432-(A433-A432)))),"")</f>
        <v/>
      </c>
      <c r="I433" t="str">
        <f ca="1" t="shared" si="90"/>
        <v/>
      </c>
      <c r="J433" t="str">
        <f ca="1" t="shared" si="91"/>
        <v/>
      </c>
      <c r="K433" t="str">
        <f ca="1">IF(A433&lt;&gt;"",IF(AND(配装计算器!$K$30&lt;&gt;"∞",0),2,INDEX(AU433:CB433,1,$AT$2)),"")</f>
        <v/>
      </c>
      <c r="L433">
        <f ca="1">IFERROR(IF(AND(COUNTIF(B433,"*-峰插*"),技能数据库!$M$72&gt;0),0,IF(COUNTIF(B433,"*鹤归*")&gt;0,16-加速!$L$11,MAX(0,L432-(A433-A432)))),0)</f>
        <v>0</v>
      </c>
      <c r="M433">
        <f ca="1">IF(COUNTIF(IF(AND(配装计算器!$K$30&lt;&gt;"∞",0),INDEX(AU432:CB432,1,$AT$1),INDEX(AU434:CB434,1,$AT$1)),"*鹤归*")=1,L433,0)</f>
        <v>0</v>
      </c>
      <c r="N433">
        <f ca="1">IFERROR(IF(AND(COUNTIF(B433,"*-峰插*"),技能数据库!$M$72&gt;0),0,IF(COUNTIF(B433,"*云飞*")&gt;0,4-COUNTIF(B433,"*玉山揽云*")*4--COUNTIF(B433,"*烟流暮景*")*4-COUNTIF(B433,"*云景*")*加速!$L$11-IF(J433&gt;0,2,0),MAX(0,N432-(A433-A432)-IF(J433&gt;0,2,0)))),0)</f>
        <v>0</v>
      </c>
      <c r="O433">
        <f ca="1">IF(AND(COUNTIF(IF(AND(配装计算器!$K$30&lt;&gt;"∞",0),INDEX(AU432:CB432,1,$AT$1),INDEX(AU434:CB434,1,$AT$1)),"*云飞*")=1,COUNTIF(IF(AND(配装计算器!$K$30&lt;&gt;"∞",0),INDEX(AU432:CB432,1,$AT$1),INDEX(AU434:CB434,1,$AT$1)),"*玉山*")=0),N433,0)</f>
        <v>0</v>
      </c>
      <c r="P433">
        <f ca="1">IFERROR(IF(COUNTIF(B433,"*云栖松*")&gt;0,50-加速!$L$11,MAX(0,P432-(A433-A432))),0)</f>
        <v>0</v>
      </c>
      <c r="Q433">
        <f ca="1">IF(COUNTIF(IF(AND(配装计算器!$K$30&lt;&gt;"∞",0),INDEX(AU432:CB432,1,$AT$1),INDEX(AU434:CB434,1,$AT$1)),"*云栖松*")=1,P433,0)</f>
        <v>0</v>
      </c>
      <c r="R433">
        <f ca="1">IFERROR(IF(COUNTIF(B433,"*莺鸣柳*")&gt;0,45-加速!$L$9,MAX(0,R432-(A433-A432))),0)</f>
        <v>0</v>
      </c>
      <c r="S433">
        <f ca="1">IF(COUNTIF(IF(AND(配装计算器!$K$30&lt;&gt;"∞",0),INDEX(AU432:CB432,1,$AT$1),INDEX(AU434:CB434,1,$AT$1)),"*莺鸣柳*")=1,R433,0)</f>
        <v>0</v>
      </c>
      <c r="T433">
        <f ca="1" t="shared" si="88"/>
        <v>0</v>
      </c>
      <c r="U433">
        <f ca="1">IF(金蛇,IF(COUNTIF(B433,"*金环戴*")+COUNTIF(B433,"*吹风醒*")&gt;0,IF(A433&lt;=3,7.125-2.625-A433-加速!$L$11,7.125+加速!$K$9-(A433+加速!$L$11-T433)),0),0)+IF(金蛇,IF(COUNTIF(B433,"*千切子裂光*")&gt;0,2+加速!$K$9-(A433+加速!$L$11-T433),0),0)</f>
        <v>0</v>
      </c>
      <c r="V433">
        <f ca="1" t="shared" si="89"/>
        <v>0</v>
      </c>
      <c r="W433">
        <f ca="1" t="shared" si="81"/>
        <v>0</v>
      </c>
      <c r="X433">
        <f ca="1">INDEX(加速!$I$13:$I$21,技能数计算!W433+1)</f>
        <v>0</v>
      </c>
      <c r="Y433">
        <f ca="1" t="shared" si="85"/>
        <v>0.5</v>
      </c>
      <c r="Z433">
        <f ca="1" t="shared" si="86"/>
        <v>0</v>
      </c>
      <c r="AA433">
        <f ca="1">MAX(0,IFERROR(IF(COUNTIF(B433,"*叠*")&gt;0,IF(AC432&lt;3,8-A434+A433,AA432+6.875-A434+A433),AA432-A434+A433),AA432-加速!$L$11))</f>
        <v>0</v>
      </c>
      <c r="AB433" t="e">
        <f ca="1">MAX(0,IF(COUNTIF(IF(AND(配装计算器!$K$30&lt;&gt;"∞",0),INDEX(AU433:CB433,1,$AT$1),INDEX(AU433:CB433,1,$AT$1)),"*叠1*")=1,4*25-加速!$L$11,AB432-A433+A432)-IF(OR(COUNTIF(OFFSET(AT433,0,$AT$1,1,1),"*听雷*")&gt;0,AND(碧归&gt;0,COUNTIF(OFFSET(AT433,0,$AT$1,1,1),"*风来*")&gt;0)),0,1)*1.5)</f>
        <v>#VALUE!</v>
      </c>
      <c r="AC433">
        <f ca="1" t="shared" si="82"/>
        <v>3</v>
      </c>
      <c r="AD433">
        <f ca="1">IF(COUNTIF(IF(AND(配装计算器!$K$30&lt;&gt;"∞",0),INDEX(AU433:CB433,1,$AT$1),INDEX(AU434:CB434,1,$AT$1)),"*叠1*")=1,AB433*0+AE432,0)</f>
        <v>0</v>
      </c>
      <c r="AE433" t="e">
        <f ca="1">IF($AN$11&gt;0,IF(COUNTIF(B434,"*叠1*")&gt;0,50-加速!$H$11,MAX(0,AE432-(A434-A433))),0)</f>
        <v>#VALUE!</v>
      </c>
      <c r="AU433" t="str">
        <f>IF($AN$11=1,"云飞玉皇-玉山揽云","夕照雷峰")</f>
        <v>云飞玉皇-玉山揽云</v>
      </c>
      <c r="AV433">
        <v>2</v>
      </c>
      <c r="AW433" s="176" t="s">
        <v>2768</v>
      </c>
      <c r="AX433">
        <v>2</v>
      </c>
      <c r="AY433" t="s">
        <v>2768</v>
      </c>
      <c r="AZ433">
        <v>2</v>
      </c>
      <c r="BA433" t="s">
        <v>2768</v>
      </c>
      <c r="BB433">
        <v>1</v>
      </c>
      <c r="BC433" s="176" t="s">
        <v>3026</v>
      </c>
      <c r="BD433">
        <v>2</v>
      </c>
      <c r="BE433" t="s">
        <v>2768</v>
      </c>
      <c r="BF433">
        <v>1</v>
      </c>
      <c r="BG433" t="s">
        <v>2776</v>
      </c>
      <c r="BH433">
        <v>1</v>
      </c>
      <c r="BI433" t="s">
        <v>2768</v>
      </c>
      <c r="BJ433">
        <v>2</v>
      </c>
      <c r="BK433" t="s">
        <v>2768</v>
      </c>
      <c r="BL433">
        <v>0</v>
      </c>
      <c r="BM433" s="176" t="s">
        <v>2776</v>
      </c>
      <c r="BN433">
        <v>2</v>
      </c>
      <c r="BO433" t="s">
        <v>3009</v>
      </c>
      <c r="BP433">
        <v>2</v>
      </c>
      <c r="BQ433" t="s">
        <v>2768</v>
      </c>
      <c r="BR433">
        <v>1</v>
      </c>
      <c r="BS433" s="182" t="s">
        <v>2768</v>
      </c>
      <c r="BT433">
        <v>2</v>
      </c>
      <c r="BU433" t="s">
        <v>2776</v>
      </c>
      <c r="BV433">
        <v>2</v>
      </c>
      <c r="BW433" s="179" t="s">
        <v>2768</v>
      </c>
      <c r="BX433" s="179">
        <v>1</v>
      </c>
      <c r="BY433" s="176" t="s">
        <v>2776</v>
      </c>
      <c r="BZ433">
        <v>2</v>
      </c>
      <c r="CA433" t="s">
        <v>2768</v>
      </c>
      <c r="CB433">
        <v>2</v>
      </c>
    </row>
    <row r="434" spans="1:80">
      <c r="A434" s="178" t="str">
        <f ca="1">IFERROR(IF(A433+加速!$L$11&lt;$AS$1,IF(COUNTIF(B433,"*轻*")&gt;0,A433+加速!$L$9,A433+加速!$L$11)+V433,IF(COUNTIF(INDEX(AU434:CB434,1,$AT$1),"*云景*")+COUNTIF(INDEX(AU434:CB434,1,$AT$1),"*鹤归*")+COUNTIF(INDEX(AU434:CB434,1,$AT$1),"*听雷*")&gt;0,A433+加速!$L$11,"")),"")</f>
        <v/>
      </c>
      <c r="B434" s="167" t="str">
        <f ca="1">IF(A434&lt;&gt;"",IF(AND(A434+加速!$L$11&gt;$AS$1,IF(AND(配装计算器!$K$30&lt;&gt;"∞",0),"梦泉虎跑-轻",INDEX(AU434:CB434,1,$AT$1))="云栖松"),"夕照雷峰",IF(AND(配装计算器!$K$30&lt;&gt;"∞",0),"梦泉虎跑-轻",INDEX(AU434:CB434,1,$AT$1))),"")</f>
        <v/>
      </c>
      <c r="C434" t="str">
        <f ca="1" t="shared" si="87"/>
        <v/>
      </c>
      <c r="D434" t="str">
        <f ca="1">IF(B434&lt;&gt;"",IF(C433&lt;=加速!$L$11*(1-E434),0,1),"")</f>
        <v/>
      </c>
      <c r="E434">
        <f ca="1" t="shared" si="83"/>
        <v>1</v>
      </c>
      <c r="G434" t="str">
        <f ca="1" t="shared" si="84"/>
        <v/>
      </c>
      <c r="H434" t="str">
        <f ca="1">IF(B434&lt;&gt;"",IF(AND(COUNTIF(B433,"*轻*莺鸣柳*")&gt;0,COUNTIF(B434,"*轻*")&lt;1),MAX(0,15+I433-(A434-A433)+COUNTIF(B433,"*平湖*")*0),IF(AND(E434=0,MAX(0,H433-(A434-A433))&lt;=加速!$H$11),0,MAX(0,H433-(A434-A433)))),"")</f>
        <v/>
      </c>
      <c r="I434" t="str">
        <f ca="1" t="shared" si="90"/>
        <v/>
      </c>
      <c r="J434" t="str">
        <f ca="1" t="shared" si="91"/>
        <v/>
      </c>
      <c r="K434" t="str">
        <f ca="1">IF(A434&lt;&gt;"",IF(AND(配装计算器!$K$30&lt;&gt;"∞",0),2,INDEX(AU434:CB434,1,$AT$2)),"")</f>
        <v/>
      </c>
      <c r="L434">
        <f ca="1">IFERROR(IF(AND(COUNTIF(B434,"*-峰插*"),技能数据库!$M$72&gt;0),0,IF(COUNTIF(B434,"*鹤归*")&gt;0,16-加速!$L$11,MAX(0,L433-(A434-A433)))),0)</f>
        <v>0</v>
      </c>
      <c r="M434">
        <f ca="1">IF(COUNTIF(IF(AND(配装计算器!$K$30&lt;&gt;"∞",0),INDEX(AU433:CB433,1,$AT$1),INDEX(AU435:CB435,1,$AT$1)),"*鹤归*")=1,L434,0)</f>
        <v>0</v>
      </c>
      <c r="N434">
        <f ca="1">IFERROR(IF(AND(COUNTIF(B434,"*-峰插*"),技能数据库!$M$72&gt;0),0,IF(COUNTIF(B434,"*云飞*")&gt;0,4-COUNTIF(B434,"*玉山揽云*")*4--COUNTIF(B434,"*烟流暮景*")*4-COUNTIF(B434,"*云景*")*加速!$L$11-IF(J434&gt;0,2,0),MAX(0,N433-(A434-A433)-IF(J434&gt;0,2,0)))),0)</f>
        <v>0</v>
      </c>
      <c r="O434">
        <f ca="1">IF(AND(COUNTIF(IF(AND(配装计算器!$K$30&lt;&gt;"∞",0),INDEX(AU433:CB433,1,$AT$1),INDEX(AU435:CB435,1,$AT$1)),"*云飞*")=1,COUNTIF(IF(AND(配装计算器!$K$30&lt;&gt;"∞",0),INDEX(AU433:CB433,1,$AT$1),INDEX(AU435:CB435,1,$AT$1)),"*玉山*")=0),N434,0)</f>
        <v>0</v>
      </c>
      <c r="P434">
        <f ca="1">IFERROR(IF(COUNTIF(B434,"*云栖松*")&gt;0,50-加速!$L$11,MAX(0,P433-(A434-A433))),0)</f>
        <v>0</v>
      </c>
      <c r="Q434">
        <f ca="1">IF(COUNTIF(IF(AND(配装计算器!$K$30&lt;&gt;"∞",0),INDEX(AU433:CB433,1,$AT$1),INDEX(AU435:CB435,1,$AT$1)),"*云栖松*")=1,P434,0)</f>
        <v>0</v>
      </c>
      <c r="R434">
        <f ca="1">IFERROR(IF(COUNTIF(B434,"*莺鸣柳*")&gt;0,45-加速!$L$9,MAX(0,R433-(A434-A433))),0)</f>
        <v>0</v>
      </c>
      <c r="S434">
        <f ca="1">IF(COUNTIF(IF(AND(配装计算器!$K$30&lt;&gt;"∞",0),INDEX(AU433:CB433,1,$AT$1),INDEX(AU435:CB435,1,$AT$1)),"*莺鸣柳*")=1,R434,0)</f>
        <v>0</v>
      </c>
      <c r="T434">
        <f ca="1" t="shared" si="88"/>
        <v>0</v>
      </c>
      <c r="U434">
        <f ca="1">IF(金蛇,IF(COUNTIF(B434,"*金环戴*")+COUNTIF(B434,"*吹风醒*")&gt;0,IF(A434&lt;=3,7.125-2.625-A434-加速!$L$11,7.125+加速!$K$9-(A434+加速!$L$11-T434)),0),0)+IF(金蛇,IF(COUNTIF(B434,"*千切子裂光*")&gt;0,2+加速!$K$9-(A434+加速!$L$11-T434),0),0)</f>
        <v>0</v>
      </c>
      <c r="V434">
        <f ca="1" t="shared" si="89"/>
        <v>0</v>
      </c>
      <c r="W434">
        <f ca="1" t="shared" si="81"/>
        <v>0</v>
      </c>
      <c r="X434">
        <f ca="1">INDEX(加速!$I$13:$I$21,技能数计算!W434+1)</f>
        <v>0</v>
      </c>
      <c r="Y434">
        <f ca="1" t="shared" si="85"/>
        <v>0.5</v>
      </c>
      <c r="Z434">
        <f ca="1" t="shared" si="86"/>
        <v>0</v>
      </c>
      <c r="AA434">
        <f ca="1">MAX(0,IFERROR(IF(COUNTIF(B434,"*叠*")&gt;0,IF(AC433&lt;3,8-A435+A434,AA433+6.875-A435+A434),AA433-A435+A434),AA433-加速!$L$11))</f>
        <v>0</v>
      </c>
      <c r="AB434" t="e">
        <f ca="1">MAX(0,IF(COUNTIF(IF(AND(配装计算器!$K$30&lt;&gt;"∞",0),INDEX(AU434:CB434,1,$AT$1),INDEX(AU434:CB434,1,$AT$1)),"*叠1*")=1,4*25-加速!$L$11,AB433-A434+A433)-IF(OR(COUNTIF(OFFSET(AT434,0,$AT$1,1,1),"*听雷*")&gt;0,AND(碧归&gt;0,COUNTIF(OFFSET(AT434,0,$AT$1,1,1),"*风来*")&gt;0)),0,1)*1.5)</f>
        <v>#VALUE!</v>
      </c>
      <c r="AC434">
        <f ca="1" t="shared" si="82"/>
        <v>3</v>
      </c>
      <c r="AD434">
        <f ca="1">IF(COUNTIF(IF(AND(配装计算器!$K$30&lt;&gt;"∞",0),INDEX(AU434:CB434,1,$AT$1),INDEX(AU435:CB435,1,$AT$1)),"*叠1*")=1,AB434*0+AE433,0)</f>
        <v>0</v>
      </c>
      <c r="AE434" t="e">
        <f ca="1">IF($AN$11&gt;0,IF(COUNTIF(B435,"*叠1*")&gt;0,50-加速!$H$11,MAX(0,AE433-(A435-A434))),0)</f>
        <v>#VALUE!</v>
      </c>
      <c r="AU434" t="str">
        <f>IF($AN$11=1,"云飞玉皇-玉山揽云","云飞玉皇")</f>
        <v>云飞玉皇-玉山揽云</v>
      </c>
      <c r="AV434">
        <v>2</v>
      </c>
      <c r="AW434" t="s">
        <v>3056</v>
      </c>
      <c r="AX434">
        <v>1</v>
      </c>
      <c r="AY434" t="s">
        <v>2768</v>
      </c>
      <c r="AZ434">
        <v>1</v>
      </c>
      <c r="BA434" t="s">
        <v>2768</v>
      </c>
      <c r="BB434">
        <v>0</v>
      </c>
      <c r="BC434" s="176" t="s">
        <v>3026</v>
      </c>
      <c r="BD434">
        <v>2</v>
      </c>
      <c r="BE434" t="s">
        <v>2776</v>
      </c>
      <c r="BF434">
        <v>1</v>
      </c>
      <c r="BG434" t="s">
        <v>2768</v>
      </c>
      <c r="BH434">
        <v>1</v>
      </c>
      <c r="BI434" t="s">
        <v>2776</v>
      </c>
      <c r="BJ434">
        <v>2</v>
      </c>
      <c r="BK434" t="s">
        <v>3056</v>
      </c>
      <c r="BL434">
        <v>0</v>
      </c>
      <c r="BM434" s="176" t="s">
        <v>2768</v>
      </c>
      <c r="BN434">
        <v>2</v>
      </c>
      <c r="BO434" t="s">
        <v>2776</v>
      </c>
      <c r="BP434">
        <v>2</v>
      </c>
      <c r="BQ434" t="s">
        <v>2776</v>
      </c>
      <c r="BR434">
        <v>1</v>
      </c>
      <c r="BS434" s="182" t="s">
        <v>2776</v>
      </c>
      <c r="BT434">
        <v>2</v>
      </c>
      <c r="BU434" t="s">
        <v>2768</v>
      </c>
      <c r="BV434">
        <v>1</v>
      </c>
      <c r="BW434" s="179" t="s">
        <v>2776</v>
      </c>
      <c r="BX434" s="179">
        <v>1</v>
      </c>
      <c r="BY434" t="s">
        <v>2768</v>
      </c>
      <c r="BZ434">
        <v>2</v>
      </c>
      <c r="CA434" t="s">
        <v>2768</v>
      </c>
      <c r="CB434">
        <v>2</v>
      </c>
    </row>
    <row r="435" spans="1:80">
      <c r="A435" s="178" t="str">
        <f ca="1">IFERROR(IF(A434+加速!$L$11&lt;$AS$1,IF(COUNTIF(B434,"*轻*")&gt;0,A434+加速!$L$9,A434+加速!$L$11)+V434,IF(COUNTIF(INDEX(AU435:CB435,1,$AT$1),"*云景*")+COUNTIF(INDEX(AU435:CB435,1,$AT$1),"*鹤归*")+COUNTIF(INDEX(AU435:CB435,1,$AT$1),"*听雷*")&gt;0,A434+加速!$L$11,"")),"")</f>
        <v/>
      </c>
      <c r="B435" s="167" t="str">
        <f ca="1">IF(A435&lt;&gt;"",IF(AND(A435+加速!$L$11&gt;$AS$1,IF(AND(配装计算器!$K$30&lt;&gt;"∞",0),"梦泉虎跑-轻",INDEX(AU435:CB435,1,$AT$1))="云栖松"),"夕照雷峰",IF(AND(配装计算器!$K$30&lt;&gt;"∞",0),"梦泉虎跑-轻",INDEX(AU435:CB435,1,$AT$1))),"")</f>
        <v/>
      </c>
      <c r="C435" t="str">
        <f ca="1" t="shared" si="87"/>
        <v/>
      </c>
      <c r="D435" t="str">
        <f ca="1">IF(B435&lt;&gt;"",IF(C434&lt;=加速!$L$11*(1-E435),0,1),"")</f>
        <v/>
      </c>
      <c r="E435">
        <f ca="1" t="shared" si="83"/>
        <v>1</v>
      </c>
      <c r="G435" t="str">
        <f ca="1" t="shared" si="84"/>
        <v/>
      </c>
      <c r="H435" t="str">
        <f ca="1">IF(B435&lt;&gt;"",IF(AND(COUNTIF(B434,"*轻*莺鸣柳*")&gt;0,COUNTIF(B435,"*轻*")&lt;1),MAX(0,15+I434-(A435-A434)+COUNTIF(B434,"*平湖*")*0),IF(AND(E435=0,MAX(0,H434-(A435-A434))&lt;=加速!$H$11),0,MAX(0,H434-(A435-A434)))),"")</f>
        <v/>
      </c>
      <c r="I435" t="str">
        <f ca="1" t="shared" si="90"/>
        <v/>
      </c>
      <c r="J435" t="str">
        <f ca="1" t="shared" si="91"/>
        <v/>
      </c>
      <c r="K435" t="str">
        <f ca="1">IF(A435&lt;&gt;"",IF(AND(配装计算器!$K$30&lt;&gt;"∞",0),2,INDEX(AU435:CB435,1,$AT$2)),"")</f>
        <v/>
      </c>
      <c r="L435">
        <f ca="1">IFERROR(IF(AND(COUNTIF(B435,"*-峰插*"),技能数据库!$M$72&gt;0),0,IF(COUNTIF(B435,"*鹤归*")&gt;0,16-加速!$L$11,MAX(0,L434-(A435-A434)))),0)</f>
        <v>0</v>
      </c>
      <c r="M435">
        <f ca="1">IF(COUNTIF(IF(AND(配装计算器!$K$30&lt;&gt;"∞",0),INDEX(AU434:CB434,1,$AT$1),INDEX(AU436:CB436,1,$AT$1)),"*鹤归*")=1,L435,0)</f>
        <v>0</v>
      </c>
      <c r="N435">
        <f ca="1">IFERROR(IF(AND(COUNTIF(B435,"*-峰插*"),技能数据库!$M$72&gt;0),0,IF(COUNTIF(B435,"*云飞*")&gt;0,4-COUNTIF(B435,"*玉山揽云*")*4--COUNTIF(B435,"*烟流暮景*")*4-COUNTIF(B435,"*云景*")*加速!$L$11-IF(J435&gt;0,2,0),MAX(0,N434-(A435-A434)-IF(J435&gt;0,2,0)))),0)</f>
        <v>0</v>
      </c>
      <c r="O435">
        <f ca="1">IF(AND(COUNTIF(IF(AND(配装计算器!$K$30&lt;&gt;"∞",0),INDEX(AU434:CB434,1,$AT$1),INDEX(AU436:CB436,1,$AT$1)),"*云飞*")=1,COUNTIF(IF(AND(配装计算器!$K$30&lt;&gt;"∞",0),INDEX(AU434:CB434,1,$AT$1),INDEX(AU436:CB436,1,$AT$1)),"*玉山*")=0),N435,0)</f>
        <v>0</v>
      </c>
      <c r="P435">
        <f ca="1">IFERROR(IF(COUNTIF(B435,"*云栖松*")&gt;0,50-加速!$L$11,MAX(0,P434-(A435-A434))),0)</f>
        <v>0</v>
      </c>
      <c r="Q435">
        <f ca="1">IF(COUNTIF(IF(AND(配装计算器!$K$30&lt;&gt;"∞",0),INDEX(AU434:CB434,1,$AT$1),INDEX(AU436:CB436,1,$AT$1)),"*云栖松*")=1,P435,0)</f>
        <v>0</v>
      </c>
      <c r="R435">
        <f ca="1">IFERROR(IF(COUNTIF(B435,"*莺鸣柳*")&gt;0,45-加速!$L$9,MAX(0,R434-(A435-A434))),0)</f>
        <v>0</v>
      </c>
      <c r="S435">
        <f ca="1">IF(COUNTIF(IF(AND(配装计算器!$K$30&lt;&gt;"∞",0),INDEX(AU434:CB434,1,$AT$1),INDEX(AU436:CB436,1,$AT$1)),"*莺鸣柳*")=1,R435,0)</f>
        <v>0</v>
      </c>
      <c r="T435">
        <f ca="1" t="shared" si="88"/>
        <v>0</v>
      </c>
      <c r="U435">
        <f ca="1">IF(金蛇,IF(COUNTIF(B435,"*金环戴*")+COUNTIF(B435,"*吹风醒*")&gt;0,IF(A435&lt;=3,7.125-2.625-A435-加速!$L$11,7.125+加速!$K$9-(A435+加速!$L$11-T435)),0),0)+IF(金蛇,IF(COUNTIF(B435,"*千切子裂光*")&gt;0,2+加速!$K$9-(A435+加速!$L$11-T435),0),0)</f>
        <v>0</v>
      </c>
      <c r="V435">
        <f ca="1" t="shared" si="89"/>
        <v>0</v>
      </c>
      <c r="W435">
        <f ca="1" t="shared" si="81"/>
        <v>0</v>
      </c>
      <c r="X435">
        <f ca="1">INDEX(加速!$I$13:$I$21,技能数计算!W435+1)</f>
        <v>0</v>
      </c>
      <c r="Y435">
        <f ca="1" t="shared" si="85"/>
        <v>0.5</v>
      </c>
      <c r="Z435">
        <f ca="1" t="shared" si="86"/>
        <v>0</v>
      </c>
      <c r="AA435">
        <f ca="1">MAX(0,IFERROR(IF(COUNTIF(B435,"*叠*")&gt;0,IF(AC434&lt;3,8-A436+A435,AA434+6.875-A436+A435),AA434-A436+A435),AA434-加速!$L$11))</f>
        <v>0</v>
      </c>
      <c r="AB435" t="e">
        <f ca="1">MAX(0,IF(COUNTIF(IF(AND(配装计算器!$K$30&lt;&gt;"∞",0),INDEX(AU435:CB435,1,$AT$1),INDEX(AU435:CB435,1,$AT$1)),"*叠1*")=1,4*25-加速!$L$11,AB434-A435+A434)-IF(OR(COUNTIF(OFFSET(AT435,0,$AT$1,1,1),"*听雷*")&gt;0,AND(碧归&gt;0,COUNTIF(OFFSET(AT435,0,$AT$1,1,1),"*风来*")&gt;0)),0,1)*1.5)</f>
        <v>#VALUE!</v>
      </c>
      <c r="AC435">
        <f ca="1" t="shared" si="82"/>
        <v>3</v>
      </c>
      <c r="AD435">
        <f ca="1">IF(COUNTIF(IF(AND(配装计算器!$K$30&lt;&gt;"∞",0),INDEX(AU435:CB435,1,$AT$1),INDEX(AU436:CB436,1,$AT$1)),"*叠1*")=1,AB435*0+AE434,0)</f>
        <v>0</v>
      </c>
      <c r="AE435" t="e">
        <f ca="1">IF($AN$11&gt;0,IF(COUNTIF(B436,"*叠1*")&gt;0,50-加速!$H$11,MAX(0,AE434-(A436-A435))),0)</f>
        <v>#VALUE!</v>
      </c>
      <c r="AU435" t="str">
        <f>IF($AN$11=1,"云飞玉皇-玉山揽云","夕照雷峰")</f>
        <v>云飞玉皇-玉山揽云</v>
      </c>
      <c r="AV435">
        <v>2</v>
      </c>
      <c r="AW435" t="s">
        <v>2768</v>
      </c>
      <c r="AX435">
        <v>2</v>
      </c>
      <c r="AY435" t="s">
        <v>2776</v>
      </c>
      <c r="AZ435">
        <v>1</v>
      </c>
      <c r="BA435" t="s">
        <v>3010</v>
      </c>
      <c r="BB435">
        <v>2</v>
      </c>
      <c r="BC435" t="s">
        <v>3013</v>
      </c>
      <c r="BD435">
        <v>2</v>
      </c>
      <c r="BE435" t="s">
        <v>2768</v>
      </c>
      <c r="BF435">
        <v>0</v>
      </c>
      <c r="BG435" t="s">
        <v>3011</v>
      </c>
      <c r="BH435">
        <v>2</v>
      </c>
      <c r="BI435" t="s">
        <v>2768</v>
      </c>
      <c r="BJ435">
        <v>2</v>
      </c>
      <c r="BK435" t="s">
        <v>2768</v>
      </c>
      <c r="BL435">
        <v>2</v>
      </c>
      <c r="BM435" t="s">
        <v>3056</v>
      </c>
      <c r="BN435">
        <v>1</v>
      </c>
      <c r="BO435" t="s">
        <v>2768</v>
      </c>
      <c r="BP435">
        <v>2</v>
      </c>
      <c r="BQ435" t="s">
        <v>2768</v>
      </c>
      <c r="BR435">
        <v>0</v>
      </c>
      <c r="BS435" s="182" t="s">
        <v>2768</v>
      </c>
      <c r="BT435">
        <v>2</v>
      </c>
      <c r="BU435" t="s">
        <v>2776</v>
      </c>
      <c r="BV435">
        <v>1</v>
      </c>
      <c r="BW435" s="179" t="s">
        <v>2768</v>
      </c>
      <c r="BX435" s="179">
        <v>1</v>
      </c>
      <c r="BY435" t="s">
        <v>2776</v>
      </c>
      <c r="BZ435">
        <v>2</v>
      </c>
      <c r="CA435" t="s">
        <v>2776</v>
      </c>
      <c r="CB435">
        <v>2</v>
      </c>
    </row>
    <row r="436" spans="1:80">
      <c r="A436" s="178" t="str">
        <f ca="1">IFERROR(IF(A435+加速!$L$11&lt;$AS$1,IF(COUNTIF(B435,"*轻*")&gt;0,A435+加速!$L$9,A435+加速!$L$11)+V435,IF(COUNTIF(INDEX(AU436:CB436,1,$AT$1),"*云景*")+COUNTIF(INDEX(AU436:CB436,1,$AT$1),"*鹤归*")+COUNTIF(INDEX(AU436:CB436,1,$AT$1),"*听雷*")&gt;0,A435+加速!$L$11,"")),"")</f>
        <v/>
      </c>
      <c r="B436" s="167" t="str">
        <f ca="1">IF(A436&lt;&gt;"",IF(AND(A436+加速!$L$11&gt;$AS$1,IF(AND(配装计算器!$K$30&lt;&gt;"∞",0),"梦泉虎跑-轻",INDEX(AU436:CB436,1,$AT$1))="云栖松"),"夕照雷峰",IF(AND(配装计算器!$K$30&lt;&gt;"∞",0),"梦泉虎跑-轻",INDEX(AU436:CB436,1,$AT$1))),"")</f>
        <v/>
      </c>
      <c r="C436" t="str">
        <f ca="1" t="shared" si="87"/>
        <v/>
      </c>
      <c r="D436" t="str">
        <f ca="1">IF(B436&lt;&gt;"",IF(C435&lt;=加速!$L$11*(1-E436),0,1),"")</f>
        <v/>
      </c>
      <c r="E436">
        <f ca="1" t="shared" si="83"/>
        <v>1</v>
      </c>
      <c r="G436" t="str">
        <f ca="1" t="shared" si="84"/>
        <v/>
      </c>
      <c r="H436" t="str">
        <f ca="1">IF(B436&lt;&gt;"",IF(AND(COUNTIF(B435,"*轻*莺鸣柳*")&gt;0,COUNTIF(B436,"*轻*")&lt;1),MAX(0,15+I435-(A436-A435)+COUNTIF(B435,"*平湖*")*0),IF(AND(E436=0,MAX(0,H435-(A436-A435))&lt;=加速!$H$11),0,MAX(0,H435-(A436-A435)))),"")</f>
        <v/>
      </c>
      <c r="I436" t="str">
        <f ca="1" t="shared" si="90"/>
        <v/>
      </c>
      <c r="J436" t="str">
        <f ca="1" t="shared" si="91"/>
        <v/>
      </c>
      <c r="K436" t="str">
        <f ca="1">IF(A436&lt;&gt;"",IF(AND(配装计算器!$K$30&lt;&gt;"∞",0),2,INDEX(AU436:CB436,1,$AT$2)),"")</f>
        <v/>
      </c>
      <c r="L436">
        <f ca="1">IFERROR(IF(AND(COUNTIF(B436,"*-峰插*"),技能数据库!$M$72&gt;0),0,IF(COUNTIF(B436,"*鹤归*")&gt;0,16-加速!$L$11,MAX(0,L435-(A436-A435)))),0)</f>
        <v>0</v>
      </c>
      <c r="M436">
        <f ca="1">IF(COUNTIF(IF(AND(配装计算器!$K$30&lt;&gt;"∞",0),INDEX(AU435:CB435,1,$AT$1),INDEX(AU437:CB437,1,$AT$1)),"*鹤归*")=1,L436,0)</f>
        <v>0</v>
      </c>
      <c r="N436">
        <f ca="1">IFERROR(IF(AND(COUNTIF(B436,"*-峰插*"),技能数据库!$M$72&gt;0),0,IF(COUNTIF(B436,"*云飞*")&gt;0,4-COUNTIF(B436,"*玉山揽云*")*4--COUNTIF(B436,"*烟流暮景*")*4-COUNTIF(B436,"*云景*")*加速!$L$11-IF(J436&gt;0,2,0),MAX(0,N435-(A436-A435)-IF(J436&gt;0,2,0)))),0)</f>
        <v>0</v>
      </c>
      <c r="O436">
        <f ca="1">IF(AND(COUNTIF(IF(AND(配装计算器!$K$30&lt;&gt;"∞",0),INDEX(AU435:CB435,1,$AT$1),INDEX(AU437:CB437,1,$AT$1)),"*云飞*")=1,COUNTIF(IF(AND(配装计算器!$K$30&lt;&gt;"∞",0),INDEX(AU435:CB435,1,$AT$1),INDEX(AU437:CB437,1,$AT$1)),"*玉山*")=0),N436,0)</f>
        <v>0</v>
      </c>
      <c r="P436">
        <f ca="1">IFERROR(IF(COUNTIF(B436,"*云栖松*")&gt;0,50-加速!$L$11,MAX(0,P435-(A436-A435))),0)</f>
        <v>0</v>
      </c>
      <c r="Q436">
        <f ca="1">IF(COUNTIF(IF(AND(配装计算器!$K$30&lt;&gt;"∞",0),INDEX(AU435:CB435,1,$AT$1),INDEX(AU437:CB437,1,$AT$1)),"*云栖松*")=1,P436,0)</f>
        <v>0</v>
      </c>
      <c r="R436">
        <f ca="1">IFERROR(IF(COUNTIF(B436,"*莺鸣柳*")&gt;0,45-加速!$L$9,MAX(0,R435-(A436-A435))),0)</f>
        <v>0</v>
      </c>
      <c r="S436">
        <f ca="1">IF(COUNTIF(IF(AND(配装计算器!$K$30&lt;&gt;"∞",0),INDEX(AU435:CB435,1,$AT$1),INDEX(AU437:CB437,1,$AT$1)),"*莺鸣柳*")=1,R436,0)</f>
        <v>0</v>
      </c>
      <c r="T436">
        <f ca="1" t="shared" si="88"/>
        <v>0</v>
      </c>
      <c r="U436">
        <f ca="1">IF(金蛇,IF(COUNTIF(B436,"*金环戴*")+COUNTIF(B436,"*吹风醒*")&gt;0,IF(A436&lt;=3,7.125-2.625-A436-加速!$L$11,7.125+加速!$K$9-(A436+加速!$L$11-T436)),0),0)+IF(金蛇,IF(COUNTIF(B436,"*千切子裂光*")&gt;0,2+加速!$K$9-(A436+加速!$L$11-T436),0),0)</f>
        <v>0</v>
      </c>
      <c r="V436">
        <f ca="1" t="shared" si="89"/>
        <v>0</v>
      </c>
      <c r="W436">
        <f ca="1" t="shared" si="81"/>
        <v>0</v>
      </c>
      <c r="X436">
        <f ca="1">INDEX(加速!$I$13:$I$21,技能数计算!W436+1)</f>
        <v>0</v>
      </c>
      <c r="Y436">
        <f ca="1" t="shared" si="85"/>
        <v>0.5</v>
      </c>
      <c r="Z436">
        <f ca="1" t="shared" si="86"/>
        <v>0</v>
      </c>
      <c r="AA436">
        <f ca="1">MAX(0,IFERROR(IF(COUNTIF(B436,"*叠*")&gt;0,IF(AC435&lt;3,8-A437+A436,AA435+6.875-A437+A436),AA435-A437+A436),AA435-加速!$L$11))</f>
        <v>0</v>
      </c>
      <c r="AB436" t="e">
        <f ca="1">MAX(0,IF(COUNTIF(IF(AND(配装计算器!$K$30&lt;&gt;"∞",0),INDEX(AU436:CB436,1,$AT$1),INDEX(AU436:CB436,1,$AT$1)),"*叠1*")=1,4*25-加速!$L$11,AB435-A436+A435)-IF(OR(COUNTIF(OFFSET(AT436,0,$AT$1,1,1),"*听雷*")&gt;0,AND(碧归&gt;0,COUNTIF(OFFSET(AT436,0,$AT$1,1,1),"*风来*")&gt;0)),0,1)*1.5)</f>
        <v>#VALUE!</v>
      </c>
      <c r="AC436">
        <f ca="1" t="shared" si="82"/>
        <v>3</v>
      </c>
      <c r="AD436">
        <f ca="1">IF(COUNTIF(IF(AND(配装计算器!$K$30&lt;&gt;"∞",0),INDEX(AU436:CB436,1,$AT$1),INDEX(AU437:CB437,1,$AT$1)),"*叠1*")=1,AB436*0+AE435,0)</f>
        <v>0</v>
      </c>
      <c r="AE436" t="e">
        <f ca="1">IF($AN$11&gt;0,IF(COUNTIF(B437,"*叠1*")&gt;0,50-加速!$H$11,MAX(0,AE435-(A437-A436))),0)</f>
        <v>#VALUE!</v>
      </c>
      <c r="AU436" t="str">
        <f>IF($AN$11=1,橙武补雾锁,"夕照雷峰")</f>
        <v>云飞玉皇-玉山揽云</v>
      </c>
      <c r="AV436">
        <v>2</v>
      </c>
      <c r="AW436" t="s">
        <v>2768</v>
      </c>
      <c r="AX436">
        <v>2</v>
      </c>
      <c r="AY436" t="s">
        <v>2768</v>
      </c>
      <c r="AZ436">
        <v>1</v>
      </c>
      <c r="BA436" t="s">
        <v>3013</v>
      </c>
      <c r="BB436">
        <v>2</v>
      </c>
      <c r="BC436" t="s">
        <v>2808</v>
      </c>
      <c r="BD436">
        <v>2</v>
      </c>
      <c r="BE436" t="s">
        <v>3011</v>
      </c>
      <c r="BF436">
        <v>2</v>
      </c>
      <c r="BG436" t="s">
        <v>2768</v>
      </c>
      <c r="BH436">
        <v>2</v>
      </c>
      <c r="BI436" t="s">
        <v>2808</v>
      </c>
      <c r="BJ436">
        <v>2</v>
      </c>
      <c r="BK436" t="s">
        <v>2768</v>
      </c>
      <c r="BL436">
        <v>2</v>
      </c>
      <c r="BM436" t="s">
        <v>2768</v>
      </c>
      <c r="BN436">
        <v>2</v>
      </c>
      <c r="BO436" t="str">
        <f>IF(山重水复,"风来吴山","夕照雷峰")</f>
        <v>夕照雷峰</v>
      </c>
      <c r="BP436">
        <v>2</v>
      </c>
      <c r="BQ436" t="str">
        <f>IF(秋,"云栖松","泉凝月")</f>
        <v>泉凝月</v>
      </c>
      <c r="BR436">
        <v>0</v>
      </c>
      <c r="BS436" s="182" t="s">
        <v>3085</v>
      </c>
      <c r="BT436">
        <v>2</v>
      </c>
      <c r="BU436" t="str">
        <f>IF(秋,"云栖松","泉凝月")</f>
        <v>泉凝月</v>
      </c>
      <c r="BV436">
        <v>0</v>
      </c>
      <c r="BW436" s="179" t="s">
        <v>2722</v>
      </c>
      <c r="BX436" s="179">
        <v>2</v>
      </c>
      <c r="BY436" t="s">
        <v>2718</v>
      </c>
      <c r="BZ436">
        <v>0</v>
      </c>
      <c r="CA436" t="s">
        <v>2718</v>
      </c>
      <c r="CB436">
        <v>0</v>
      </c>
    </row>
    <row r="437" spans="1:80">
      <c r="A437" s="178" t="str">
        <f ca="1">IFERROR(IF(A436+加速!$L$11&lt;$AS$1,IF(COUNTIF(B436,"*轻*")&gt;0,A436+加速!$L$9,A436+加速!$L$11)+V436,IF(COUNTIF(INDEX(AU437:CB437,1,$AT$1),"*云景*")+COUNTIF(INDEX(AU437:CB437,1,$AT$1),"*鹤归*")+COUNTIF(INDEX(AU437:CB437,1,$AT$1),"*听雷*")&gt;0,A436+加速!$L$11,"")),"")</f>
        <v/>
      </c>
      <c r="B437" s="167" t="str">
        <f ca="1">IF(A437&lt;&gt;"",IF(AND(A437+加速!$L$11&gt;$AS$1,IF(AND(配装计算器!$K$30&lt;&gt;"∞",0),"梦泉虎跑-轻",INDEX(AU437:CB437,1,$AT$1))="云栖松"),"夕照雷峰",IF(AND(配装计算器!$K$30&lt;&gt;"∞",0),"梦泉虎跑-轻",INDEX(AU437:CB437,1,$AT$1))),"")</f>
        <v/>
      </c>
      <c r="C437" t="str">
        <f ca="1" t="shared" si="87"/>
        <v/>
      </c>
      <c r="D437" t="str">
        <f ca="1">IF(B437&lt;&gt;"",IF(C436&lt;=加速!$L$11*(1-E437),0,1),"")</f>
        <v/>
      </c>
      <c r="E437">
        <f ca="1" t="shared" si="83"/>
        <v>1</v>
      </c>
      <c r="G437" t="str">
        <f ca="1" t="shared" si="84"/>
        <v/>
      </c>
      <c r="H437" t="str">
        <f ca="1">IF(B437&lt;&gt;"",IF(AND(COUNTIF(B436,"*轻*莺鸣柳*")&gt;0,COUNTIF(B437,"*轻*")&lt;1),MAX(0,15+I436-(A437-A436)+COUNTIF(B436,"*平湖*")*0),IF(AND(E437=0,MAX(0,H436-(A437-A436))&lt;=加速!$H$11),0,MAX(0,H436-(A437-A436)))),"")</f>
        <v/>
      </c>
      <c r="I437" t="str">
        <f ca="1" t="shared" si="90"/>
        <v/>
      </c>
      <c r="J437" t="str">
        <f ca="1" t="shared" si="91"/>
        <v/>
      </c>
      <c r="K437" t="str">
        <f ca="1">IF(A437&lt;&gt;"",IF(AND(配装计算器!$K$30&lt;&gt;"∞",0),2,INDEX(AU437:CB437,1,$AT$2)),"")</f>
        <v/>
      </c>
      <c r="L437">
        <f ca="1">IFERROR(IF(AND(COUNTIF(B437,"*-峰插*"),技能数据库!$M$72&gt;0),0,IF(COUNTIF(B437,"*鹤归*")&gt;0,16-加速!$L$11,MAX(0,L436-(A437-A436)))),0)</f>
        <v>0</v>
      </c>
      <c r="M437">
        <f ca="1">IF(COUNTIF(IF(AND(配装计算器!$K$30&lt;&gt;"∞",0),INDEX(AU436:CB436,1,$AT$1),INDEX(AU438:CB438,1,$AT$1)),"*鹤归*")=1,L437,0)</f>
        <v>0</v>
      </c>
      <c r="N437">
        <f ca="1">IFERROR(IF(AND(COUNTIF(B437,"*-峰插*"),技能数据库!$M$72&gt;0),0,IF(COUNTIF(B437,"*云飞*")&gt;0,4-COUNTIF(B437,"*玉山揽云*")*4--COUNTIF(B437,"*烟流暮景*")*4-COUNTIF(B437,"*云景*")*加速!$L$11-IF(J437&gt;0,2,0),MAX(0,N436-(A437-A436)-IF(J437&gt;0,2,0)))),0)</f>
        <v>0</v>
      </c>
      <c r="O437">
        <f ca="1">IF(AND(COUNTIF(IF(AND(配装计算器!$K$30&lt;&gt;"∞",0),INDEX(AU436:CB436,1,$AT$1),INDEX(AU438:CB438,1,$AT$1)),"*云飞*")=1,COUNTIF(IF(AND(配装计算器!$K$30&lt;&gt;"∞",0),INDEX(AU436:CB436,1,$AT$1),INDEX(AU438:CB438,1,$AT$1)),"*玉山*")=0),N437,0)</f>
        <v>0</v>
      </c>
      <c r="P437">
        <f ca="1">IFERROR(IF(COUNTIF(B437,"*云栖松*")&gt;0,50-加速!$L$11,MAX(0,P436-(A437-A436))),0)</f>
        <v>0</v>
      </c>
      <c r="Q437">
        <f ca="1">IF(COUNTIF(IF(AND(配装计算器!$K$30&lt;&gt;"∞",0),INDEX(AU436:CB436,1,$AT$1),INDEX(AU438:CB438,1,$AT$1)),"*云栖松*")=1,P437,0)</f>
        <v>0</v>
      </c>
      <c r="R437">
        <f ca="1">IFERROR(IF(COUNTIF(B437,"*莺鸣柳*")&gt;0,45-加速!$L$9,MAX(0,R436-(A437-A436))),0)</f>
        <v>0</v>
      </c>
      <c r="S437">
        <f ca="1">IF(COUNTIF(IF(AND(配装计算器!$K$30&lt;&gt;"∞",0),INDEX(AU436:CB436,1,$AT$1),INDEX(AU438:CB438,1,$AT$1)),"*莺鸣柳*")=1,R437,0)</f>
        <v>0</v>
      </c>
      <c r="T437">
        <f ca="1" t="shared" si="88"/>
        <v>0</v>
      </c>
      <c r="U437">
        <f ca="1">IF(金蛇,IF(COUNTIF(B437,"*金环戴*")+COUNTIF(B437,"*吹风醒*")&gt;0,IF(A437&lt;=3,7.125-2.625-A437-加速!$L$11,7.125+加速!$K$9-(A437+加速!$L$11-T437)),0),0)+IF(金蛇,IF(COUNTIF(B437,"*千切子裂光*")&gt;0,2+加速!$K$9-(A437+加速!$L$11-T437),0),0)</f>
        <v>0</v>
      </c>
      <c r="V437">
        <f ca="1" t="shared" si="89"/>
        <v>0</v>
      </c>
      <c r="W437">
        <f ca="1" t="shared" si="81"/>
        <v>0</v>
      </c>
      <c r="X437">
        <f ca="1">INDEX(加速!$I$13:$I$21,技能数计算!W437+1)</f>
        <v>0</v>
      </c>
      <c r="Y437">
        <f ca="1" t="shared" si="85"/>
        <v>0.5</v>
      </c>
      <c r="Z437">
        <f ca="1" t="shared" si="86"/>
        <v>0</v>
      </c>
      <c r="AA437">
        <f ca="1">MAX(0,IFERROR(IF(COUNTIF(B437,"*叠*")&gt;0,IF(AC436&lt;3,8-A438+A437,AA436+6.875-A438+A437),AA436-A438+A437),AA436-加速!$L$11))</f>
        <v>0</v>
      </c>
      <c r="AB437" t="e">
        <f ca="1">MAX(0,IF(COUNTIF(IF(AND(配装计算器!$K$30&lt;&gt;"∞",0),INDEX(AU437:CB437,1,$AT$1),INDEX(AU437:CB437,1,$AT$1)),"*叠1*")=1,4*25-加速!$L$11,AB436-A437+A436)-IF(OR(COUNTIF(OFFSET(AT437,0,$AT$1,1,1),"*听雷*")&gt;0,AND(碧归&gt;0,COUNTIF(OFFSET(AT437,0,$AT$1,1,1),"*风来*")&gt;0)),0,1)*1.5)</f>
        <v>#VALUE!</v>
      </c>
      <c r="AC437">
        <f ca="1" t="shared" si="82"/>
        <v>3</v>
      </c>
      <c r="AD437">
        <f ca="1">IF(COUNTIF(IF(AND(配装计算器!$K$30&lt;&gt;"∞",0),INDEX(AU437:CB437,1,$AT$1),INDEX(AU438:CB438,1,$AT$1)),"*叠1*")=1,AB437*0+AE436,0)</f>
        <v>0</v>
      </c>
      <c r="AE437" t="e">
        <f ca="1">IF($AN$11&gt;0,IF(COUNTIF(B438,"*叠1*")&gt;0,50-加速!$H$11,MAX(0,AE436-(A438-A437))),0)</f>
        <v>#VALUE!</v>
      </c>
      <c r="AU437" t="str">
        <f>IF($AN$11=1,"云飞玉皇-玉山揽云","夕照雷峰")</f>
        <v>云飞玉皇-玉山揽云</v>
      </c>
      <c r="AV437">
        <v>2</v>
      </c>
      <c r="AW437" t="s">
        <v>2768</v>
      </c>
      <c r="AX437">
        <v>2</v>
      </c>
      <c r="AY437" t="s">
        <v>2768</v>
      </c>
      <c r="AZ437">
        <v>0</v>
      </c>
      <c r="BA437" t="s">
        <v>3017</v>
      </c>
      <c r="BB437">
        <v>2</v>
      </c>
      <c r="BC437" t="s">
        <v>2768</v>
      </c>
      <c r="BD437">
        <v>2</v>
      </c>
      <c r="BE437" t="s">
        <v>2768</v>
      </c>
      <c r="BF437">
        <v>2</v>
      </c>
      <c r="BG437" t="s">
        <v>3018</v>
      </c>
      <c r="BH437">
        <v>2</v>
      </c>
      <c r="BI437" t="s">
        <v>2768</v>
      </c>
      <c r="BJ437">
        <v>2</v>
      </c>
      <c r="BK437" t="s">
        <v>2776</v>
      </c>
      <c r="BL437">
        <v>2</v>
      </c>
      <c r="BM437" t="s">
        <v>2768</v>
      </c>
      <c r="BN437">
        <v>2</v>
      </c>
      <c r="BO437" s="176" t="s">
        <v>2794</v>
      </c>
      <c r="BP437">
        <v>2</v>
      </c>
      <c r="BQ437" t="s">
        <v>2768</v>
      </c>
      <c r="BR437">
        <v>0</v>
      </c>
      <c r="BS437" s="182" t="s">
        <v>3084</v>
      </c>
      <c r="BT437">
        <v>2</v>
      </c>
      <c r="BU437" t="s">
        <v>2768</v>
      </c>
      <c r="BV437">
        <v>0</v>
      </c>
      <c r="BW437" s="179" t="s">
        <v>3009</v>
      </c>
      <c r="BX437" s="179">
        <v>2</v>
      </c>
      <c r="BY437" t="s">
        <v>2768</v>
      </c>
      <c r="BZ437">
        <v>2</v>
      </c>
      <c r="CA437" t="s">
        <v>2768</v>
      </c>
      <c r="CB437">
        <v>2</v>
      </c>
    </row>
    <row r="438" spans="1:80">
      <c r="A438" s="178" t="str">
        <f ca="1">IFERROR(IF(A437+加速!$L$11&lt;$AS$1,IF(COUNTIF(B437,"*轻*")&gt;0,A437+加速!$L$9,A437+加速!$L$11)+V437,IF(COUNTIF(INDEX(AU438:CB438,1,$AT$1),"*云景*")+COUNTIF(INDEX(AU438:CB438,1,$AT$1),"*鹤归*")+COUNTIF(INDEX(AU438:CB438,1,$AT$1),"*听雷*")&gt;0,A437+加速!$L$11,"")),"")</f>
        <v/>
      </c>
      <c r="B438" s="167" t="str">
        <f ca="1">IF(A438&lt;&gt;"",IF(AND(A438+加速!$L$11&gt;$AS$1,IF(AND(配装计算器!$K$30&lt;&gt;"∞",0),"梦泉虎跑-轻",INDEX(AU438:CB438,1,$AT$1))="云栖松"),"夕照雷峰",IF(AND(配装计算器!$K$30&lt;&gt;"∞",0),"梦泉虎跑-轻",INDEX(AU438:CB438,1,$AT$1))),"")</f>
        <v/>
      </c>
      <c r="C438" t="str">
        <f ca="1" t="shared" si="87"/>
        <v/>
      </c>
      <c r="D438" t="str">
        <f ca="1">IF(B438&lt;&gt;"",IF(C437&lt;=加速!$L$11*(1-E438),0,1),"")</f>
        <v/>
      </c>
      <c r="E438">
        <f ca="1" t="shared" si="83"/>
        <v>1</v>
      </c>
      <c r="G438" t="str">
        <f ca="1" t="shared" si="84"/>
        <v/>
      </c>
      <c r="H438" t="str">
        <f ca="1">IF(B438&lt;&gt;"",IF(AND(COUNTIF(B437,"*轻*莺鸣柳*")&gt;0,COUNTIF(B438,"*轻*")&lt;1),MAX(0,15+I437-(A438-A437)+COUNTIF(B437,"*平湖*")*0),IF(AND(E438=0,MAX(0,H437-(A438-A437))&lt;=加速!$H$11),0,MAX(0,H437-(A438-A437)))),"")</f>
        <v/>
      </c>
      <c r="I438" t="str">
        <f ca="1" t="shared" si="90"/>
        <v/>
      </c>
      <c r="J438" t="str">
        <f ca="1" t="shared" si="91"/>
        <v/>
      </c>
      <c r="K438" t="str">
        <f ca="1">IF(A438&lt;&gt;"",IF(AND(配装计算器!$K$30&lt;&gt;"∞",0),2,INDEX(AU438:CB438,1,$AT$2)),"")</f>
        <v/>
      </c>
      <c r="L438">
        <f ca="1">IFERROR(IF(AND(COUNTIF(B438,"*-峰插*"),技能数据库!$M$72&gt;0),0,IF(COUNTIF(B438,"*鹤归*")&gt;0,16-加速!$L$11,MAX(0,L437-(A438-A437)))),0)</f>
        <v>0</v>
      </c>
      <c r="M438">
        <f ca="1">IF(COUNTIF(IF(AND(配装计算器!$K$30&lt;&gt;"∞",0),INDEX(AU437:CB437,1,$AT$1),INDEX(AU439:CB439,1,$AT$1)),"*鹤归*")=1,L438,0)</f>
        <v>0</v>
      </c>
      <c r="N438">
        <f ca="1">IFERROR(IF(AND(COUNTIF(B438,"*-峰插*"),技能数据库!$M$72&gt;0),0,IF(COUNTIF(B438,"*云飞*")&gt;0,4-COUNTIF(B438,"*玉山揽云*")*4--COUNTIF(B438,"*烟流暮景*")*4-COUNTIF(B438,"*云景*")*加速!$L$11-IF(J438&gt;0,2,0),MAX(0,N437-(A438-A437)-IF(J438&gt;0,2,0)))),0)</f>
        <v>0</v>
      </c>
      <c r="O438">
        <f ca="1">IF(AND(COUNTIF(IF(AND(配装计算器!$K$30&lt;&gt;"∞",0),INDEX(AU437:CB437,1,$AT$1),INDEX(AU439:CB439,1,$AT$1)),"*云飞*")=1,COUNTIF(IF(AND(配装计算器!$K$30&lt;&gt;"∞",0),INDEX(AU437:CB437,1,$AT$1),INDEX(AU439:CB439,1,$AT$1)),"*玉山*")=0),N438,0)</f>
        <v>0</v>
      </c>
      <c r="P438">
        <f ca="1">IFERROR(IF(COUNTIF(B438,"*云栖松*")&gt;0,50-加速!$L$11,MAX(0,P437-(A438-A437))),0)</f>
        <v>0</v>
      </c>
      <c r="Q438">
        <f ca="1">IF(COUNTIF(IF(AND(配装计算器!$K$30&lt;&gt;"∞",0),INDEX(AU437:CB437,1,$AT$1),INDEX(AU439:CB439,1,$AT$1)),"*云栖松*")=1,P438,0)</f>
        <v>0</v>
      </c>
      <c r="R438">
        <f ca="1">IFERROR(IF(COUNTIF(B438,"*莺鸣柳*")&gt;0,45-加速!$L$9,MAX(0,R437-(A438-A437))),0)</f>
        <v>0</v>
      </c>
      <c r="S438">
        <f ca="1">IF(COUNTIF(IF(AND(配装计算器!$K$30&lt;&gt;"∞",0),INDEX(AU437:CB437,1,$AT$1),INDEX(AU439:CB439,1,$AT$1)),"*莺鸣柳*")=1,R438,0)</f>
        <v>0</v>
      </c>
      <c r="T438">
        <f ca="1" t="shared" si="88"/>
        <v>0</v>
      </c>
      <c r="U438">
        <f ca="1">IF(金蛇,IF(COUNTIF(B438,"*金环戴*")+COUNTIF(B438,"*吹风醒*")&gt;0,IF(A438&lt;=3,7.125-2.625-A438-加速!$L$11,7.125+加速!$K$9-(A438+加速!$L$11-T438)),0),0)+IF(金蛇,IF(COUNTIF(B438,"*千切子裂光*")&gt;0,2+加速!$K$9-(A438+加速!$L$11-T438),0),0)</f>
        <v>0</v>
      </c>
      <c r="V438">
        <f ca="1" t="shared" si="89"/>
        <v>0</v>
      </c>
      <c r="W438">
        <f ca="1" t="shared" si="81"/>
        <v>0</v>
      </c>
      <c r="X438">
        <f ca="1">INDEX(加速!$I$13:$I$21,技能数计算!W438+1)</f>
        <v>0</v>
      </c>
      <c r="Y438">
        <f ca="1" t="shared" si="85"/>
        <v>0.5</v>
      </c>
      <c r="Z438">
        <f ca="1" t="shared" si="86"/>
        <v>0</v>
      </c>
      <c r="AA438">
        <f ca="1">MAX(0,IFERROR(IF(COUNTIF(B438,"*叠*")&gt;0,IF(AC437&lt;3,8-A439+A438,AA437+6.875-A439+A438),AA437-A439+A438),AA437-加速!$L$11))</f>
        <v>0</v>
      </c>
      <c r="AB438" t="e">
        <f ca="1">MAX(0,IF(COUNTIF(IF(AND(配装计算器!$K$30&lt;&gt;"∞",0),INDEX(AU438:CB438,1,$AT$1),INDEX(AU438:CB438,1,$AT$1)),"*叠1*")=1,4*25-加速!$L$11,AB437-A438+A437)-IF(OR(COUNTIF(OFFSET(AT438,0,$AT$1,1,1),"*听雷*")&gt;0,AND(碧归&gt;0,COUNTIF(OFFSET(AT438,0,$AT$1,1,1),"*风来*")&gt;0)),0,1)*1.5)</f>
        <v>#VALUE!</v>
      </c>
      <c r="AC438">
        <f ca="1" t="shared" si="82"/>
        <v>3</v>
      </c>
      <c r="AD438">
        <f ca="1">IF(COUNTIF(IF(AND(配装计算器!$K$30&lt;&gt;"∞",0),INDEX(AU438:CB438,1,$AT$1),INDEX(AU439:CB439,1,$AT$1)),"*叠1*")=1,AB438*0+AE437,0)</f>
        <v>0</v>
      </c>
      <c r="AE438" t="e">
        <f ca="1">IF($AN$11&gt;0,IF(COUNTIF(B439,"*叠1*")&gt;0,50-加速!$H$11,MAX(0,AE437-(A439-A438))),0)</f>
        <v>#VALUE!</v>
      </c>
      <c r="AU438" t="s">
        <v>2776</v>
      </c>
      <c r="AV438">
        <v>2</v>
      </c>
      <c r="AW438" t="s">
        <v>2776</v>
      </c>
      <c r="AX438">
        <v>2</v>
      </c>
      <c r="AY438" t="s">
        <v>3010</v>
      </c>
      <c r="AZ438">
        <v>2</v>
      </c>
      <c r="BA438" t="s">
        <v>2808</v>
      </c>
      <c r="BB438">
        <v>2</v>
      </c>
      <c r="BC438" t="s">
        <v>2768</v>
      </c>
      <c r="BD438">
        <v>2</v>
      </c>
      <c r="BE438" t="s">
        <v>3019</v>
      </c>
      <c r="BF438">
        <v>2</v>
      </c>
      <c r="BG438" t="s">
        <v>2768</v>
      </c>
      <c r="BH438">
        <v>2</v>
      </c>
      <c r="BI438" s="176" t="s">
        <v>2776</v>
      </c>
      <c r="BJ438">
        <v>2</v>
      </c>
      <c r="BK438" t="s">
        <v>2768</v>
      </c>
      <c r="BL438">
        <v>1</v>
      </c>
      <c r="BM438" t="s">
        <v>2768</v>
      </c>
      <c r="BN438">
        <v>2</v>
      </c>
      <c r="BO438" s="176" t="s">
        <v>2776</v>
      </c>
      <c r="BP438">
        <v>2</v>
      </c>
      <c r="BQ438" t="s">
        <v>2776</v>
      </c>
      <c r="BR438">
        <v>0</v>
      </c>
      <c r="BS438" s="176" t="s">
        <v>2768</v>
      </c>
      <c r="BT438">
        <v>2</v>
      </c>
      <c r="BU438" t="s">
        <v>2776</v>
      </c>
      <c r="BV438">
        <v>0</v>
      </c>
      <c r="BW438" s="179" t="s">
        <v>3078</v>
      </c>
      <c r="BX438" s="179">
        <v>2</v>
      </c>
      <c r="BY438" t="s">
        <v>2768</v>
      </c>
      <c r="BZ438">
        <v>2</v>
      </c>
      <c r="CA438" t="s">
        <v>2768</v>
      </c>
      <c r="CB438">
        <v>2</v>
      </c>
    </row>
    <row r="439" spans="1:80">
      <c r="A439" s="178" t="str">
        <f ca="1">IFERROR(IF(A438+加速!$L$11&lt;$AS$1,IF(COUNTIF(B438,"*轻*")&gt;0,A438+加速!$L$9,A438+加速!$L$11)+V438,IF(COUNTIF(INDEX(AU439:CB439,1,$AT$1),"*云景*")+COUNTIF(INDEX(AU439:CB439,1,$AT$1),"*鹤归*")+COUNTIF(INDEX(AU439:CB439,1,$AT$1),"*听雷*")&gt;0,A438+加速!$L$11,"")),"")</f>
        <v/>
      </c>
      <c r="B439" s="167" t="str">
        <f ca="1">IF(A439&lt;&gt;"",IF(AND(A439+加速!$L$11&gt;$AS$1,IF(AND(配装计算器!$K$30&lt;&gt;"∞",0),"梦泉虎跑-轻",INDEX(AU439:CB439,1,$AT$1))="云栖松"),"夕照雷峰",IF(AND(配装计算器!$K$30&lt;&gt;"∞",0),"梦泉虎跑-轻",INDEX(AU439:CB439,1,$AT$1))),"")</f>
        <v/>
      </c>
      <c r="C439" t="str">
        <f ca="1" t="shared" si="87"/>
        <v/>
      </c>
      <c r="D439" t="str">
        <f ca="1">IF(B439&lt;&gt;"",IF(C438&lt;=加速!$L$11*(1-E439),0,1),"")</f>
        <v/>
      </c>
      <c r="E439">
        <f ca="1" t="shared" si="83"/>
        <v>1</v>
      </c>
      <c r="G439" t="str">
        <f ca="1" t="shared" si="84"/>
        <v/>
      </c>
      <c r="H439" t="str">
        <f ca="1">IF(B439&lt;&gt;"",IF(AND(COUNTIF(B438,"*轻*莺鸣柳*")&gt;0,COUNTIF(B439,"*轻*")&lt;1),MAX(0,15+I438-(A439-A438)+COUNTIF(B438,"*平湖*")*0),IF(AND(E439=0,MAX(0,H438-(A439-A438))&lt;=加速!$H$11),0,MAX(0,H438-(A439-A438)))),"")</f>
        <v/>
      </c>
      <c r="I439" t="str">
        <f ca="1" t="shared" si="90"/>
        <v/>
      </c>
      <c r="J439" t="str">
        <f ca="1" t="shared" si="91"/>
        <v/>
      </c>
      <c r="K439" t="str">
        <f ca="1">IF(A439&lt;&gt;"",IF(AND(配装计算器!$K$30&lt;&gt;"∞",0),2,INDEX(AU439:CB439,1,$AT$2)),"")</f>
        <v/>
      </c>
      <c r="L439">
        <f ca="1">IFERROR(IF(AND(COUNTIF(B439,"*-峰插*"),技能数据库!$M$72&gt;0),0,IF(COUNTIF(B439,"*鹤归*")&gt;0,16-加速!$L$11,MAX(0,L438-(A439-A438)))),0)</f>
        <v>0</v>
      </c>
      <c r="M439">
        <f ca="1">IF(COUNTIF(IF(AND(配装计算器!$K$30&lt;&gt;"∞",0),INDEX(AU438:CB438,1,$AT$1),INDEX(AU440:CB440,1,$AT$1)),"*鹤归*")=1,L439,0)</f>
        <v>0</v>
      </c>
      <c r="N439">
        <f ca="1">IFERROR(IF(AND(COUNTIF(B439,"*-峰插*"),技能数据库!$M$72&gt;0),0,IF(COUNTIF(B439,"*云飞*")&gt;0,4-COUNTIF(B439,"*玉山揽云*")*4--COUNTIF(B439,"*烟流暮景*")*4-COUNTIF(B439,"*云景*")*加速!$L$11-IF(J439&gt;0,2,0),MAX(0,N438-(A439-A438)-IF(J439&gt;0,2,0)))),0)</f>
        <v>0</v>
      </c>
      <c r="O439">
        <f ca="1">IF(AND(COUNTIF(IF(AND(配装计算器!$K$30&lt;&gt;"∞",0),INDEX(AU438:CB438,1,$AT$1),INDEX(AU440:CB440,1,$AT$1)),"*云飞*")=1,COUNTIF(IF(AND(配装计算器!$K$30&lt;&gt;"∞",0),INDEX(AU438:CB438,1,$AT$1),INDEX(AU440:CB440,1,$AT$1)),"*玉山*")=0),N439,0)</f>
        <v>0</v>
      </c>
      <c r="P439">
        <f ca="1">IFERROR(IF(COUNTIF(B439,"*云栖松*")&gt;0,50-加速!$L$11,MAX(0,P438-(A439-A438))),0)</f>
        <v>0</v>
      </c>
      <c r="Q439">
        <f ca="1">IF(COUNTIF(IF(AND(配装计算器!$K$30&lt;&gt;"∞",0),INDEX(AU438:CB438,1,$AT$1),INDEX(AU440:CB440,1,$AT$1)),"*云栖松*")=1,P439,0)</f>
        <v>0</v>
      </c>
      <c r="R439">
        <f ca="1">IFERROR(IF(COUNTIF(B439,"*莺鸣柳*")&gt;0,45-加速!$L$9,MAX(0,R438-(A439-A438))),0)</f>
        <v>0</v>
      </c>
      <c r="S439">
        <f ca="1">IF(COUNTIF(IF(AND(配装计算器!$K$30&lt;&gt;"∞",0),INDEX(AU438:CB438,1,$AT$1),INDEX(AU440:CB440,1,$AT$1)),"*莺鸣柳*")=1,R439,0)</f>
        <v>0</v>
      </c>
      <c r="T439">
        <f ca="1" t="shared" si="88"/>
        <v>0</v>
      </c>
      <c r="U439">
        <f ca="1">IF(金蛇,IF(COUNTIF(B439,"*金环戴*")+COUNTIF(B439,"*吹风醒*")&gt;0,IF(A439&lt;=3,7.125-2.625-A439-加速!$L$11,7.125+加速!$K$9-(A439+加速!$L$11-T439)),0),0)+IF(金蛇,IF(COUNTIF(B439,"*千切子裂光*")&gt;0,2+加速!$K$9-(A439+加速!$L$11-T439),0),0)</f>
        <v>0</v>
      </c>
      <c r="V439">
        <f ca="1" t="shared" si="89"/>
        <v>0</v>
      </c>
      <c r="W439">
        <f ca="1" t="shared" si="81"/>
        <v>0</v>
      </c>
      <c r="X439">
        <f ca="1">INDEX(加速!$I$13:$I$21,技能数计算!W439+1)</f>
        <v>0</v>
      </c>
      <c r="Y439">
        <f ca="1" t="shared" si="85"/>
        <v>0.5</v>
      </c>
      <c r="Z439">
        <f ca="1" t="shared" si="86"/>
        <v>0</v>
      </c>
      <c r="AA439">
        <f ca="1">MAX(0,IFERROR(IF(COUNTIF(B439,"*叠*")&gt;0,IF(AC438&lt;3,8-A440+A439,AA438+6.875-A440+A439),AA438-A440+A439),AA438-加速!$L$11))</f>
        <v>0</v>
      </c>
      <c r="AB439" t="e">
        <f ca="1">MAX(0,IF(COUNTIF(IF(AND(配装计算器!$K$30&lt;&gt;"∞",0),INDEX(AU439:CB439,1,$AT$1),INDEX(AU439:CB439,1,$AT$1)),"*叠1*")=1,4*25-加速!$L$11,AB438-A439+A438)-IF(OR(COUNTIF(OFFSET(AT439,0,$AT$1,1,1),"*听雷*")&gt;0,AND(碧归&gt;0,COUNTIF(OFFSET(AT439,0,$AT$1,1,1),"*风来*")&gt;0)),0,1)*1.5)</f>
        <v>#VALUE!</v>
      </c>
      <c r="AC439">
        <f ca="1" t="shared" si="82"/>
        <v>3</v>
      </c>
      <c r="AD439">
        <f ca="1">IF(COUNTIF(IF(AND(配装计算器!$K$30&lt;&gt;"∞",0),INDEX(AU439:CB439,1,$AT$1),INDEX(AU440:CB440,1,$AT$1)),"*叠1*")=1,AB439*0+AE438,0)</f>
        <v>0</v>
      </c>
      <c r="AE439" t="e">
        <f ca="1">IF($AN$11&gt;0,IF(COUNTIF(B440,"*叠1*")&gt;0,50-加速!$H$11,MAX(0,AE438-(A440-A439))),0)</f>
        <v>#VALUE!</v>
      </c>
      <c r="AU439" s="176" t="s">
        <v>2794</v>
      </c>
      <c r="AV439">
        <v>2</v>
      </c>
      <c r="AW439" t="s">
        <v>2768</v>
      </c>
      <c r="AX439">
        <v>2</v>
      </c>
      <c r="AY439" t="s">
        <v>3013</v>
      </c>
      <c r="AZ439">
        <v>2</v>
      </c>
      <c r="BA439" t="s">
        <v>3022</v>
      </c>
      <c r="BB439">
        <v>2</v>
      </c>
      <c r="BC439" t="s">
        <v>2776</v>
      </c>
      <c r="BD439">
        <v>1</v>
      </c>
      <c r="BE439" t="s">
        <v>2768</v>
      </c>
      <c r="BF439">
        <v>2</v>
      </c>
      <c r="BG439" s="182" t="s">
        <v>3023</v>
      </c>
      <c r="BH439">
        <v>2</v>
      </c>
      <c r="BI439" t="s">
        <v>2768</v>
      </c>
      <c r="BJ439">
        <v>2</v>
      </c>
      <c r="BK439" t="s">
        <v>2768</v>
      </c>
      <c r="BL439">
        <v>1</v>
      </c>
      <c r="BM439" t="s">
        <v>2776</v>
      </c>
      <c r="BN439">
        <v>2</v>
      </c>
      <c r="BO439" s="176" t="s">
        <v>2768</v>
      </c>
      <c r="BP439">
        <v>2</v>
      </c>
      <c r="BQ439" t="s">
        <v>1886</v>
      </c>
      <c r="BR439">
        <v>2</v>
      </c>
      <c r="BS439" s="176" t="s">
        <v>2768</v>
      </c>
      <c r="BT439">
        <v>2</v>
      </c>
      <c r="BU439" t="s">
        <v>1886</v>
      </c>
      <c r="BV439">
        <v>0</v>
      </c>
      <c r="BW439" s="179" t="s">
        <v>2768</v>
      </c>
      <c r="BX439" s="179">
        <v>2</v>
      </c>
      <c r="BY439" t="s">
        <v>2776</v>
      </c>
      <c r="BZ439">
        <v>2</v>
      </c>
      <c r="CA439" t="s">
        <v>2776</v>
      </c>
      <c r="CB439">
        <v>2</v>
      </c>
    </row>
    <row r="440" spans="1:80">
      <c r="A440" s="178" t="str">
        <f ca="1">IFERROR(IF(A439+加速!$L$11&lt;$AS$1,IF(COUNTIF(B439,"*轻*")&gt;0,A439+加速!$L$9,A439+加速!$L$11)+V439,IF(COUNTIF(INDEX(AU440:CB440,1,$AT$1),"*云景*")+COUNTIF(INDEX(AU440:CB440,1,$AT$1),"*鹤归*")+COUNTIF(INDEX(AU440:CB440,1,$AT$1),"*听雷*")&gt;0,A439+加速!$L$11,"")),"")</f>
        <v/>
      </c>
      <c r="B440" s="167" t="str">
        <f ca="1">IF(A440&lt;&gt;"",IF(AND(A440+加速!$L$11&gt;$AS$1,IF(AND(配装计算器!$K$30&lt;&gt;"∞",0),"梦泉虎跑-轻",INDEX(AU440:CB440,1,$AT$1))="云栖松"),"夕照雷峰",IF(AND(配装计算器!$K$30&lt;&gt;"∞",0),"梦泉虎跑-轻",INDEX(AU440:CB440,1,$AT$1))),"")</f>
        <v/>
      </c>
      <c r="C440" t="str">
        <f ca="1" t="shared" si="87"/>
        <v/>
      </c>
      <c r="D440" t="str">
        <f ca="1">IF(B440&lt;&gt;"",IF(C439&lt;=加速!$L$11*(1-E440),0,1),"")</f>
        <v/>
      </c>
      <c r="E440">
        <f ca="1" t="shared" si="83"/>
        <v>1</v>
      </c>
      <c r="G440" t="str">
        <f ca="1" t="shared" si="84"/>
        <v/>
      </c>
      <c r="H440" t="str">
        <f ca="1">IF(B440&lt;&gt;"",IF(AND(COUNTIF(B439,"*轻*莺鸣柳*")&gt;0,COUNTIF(B440,"*轻*")&lt;1),MAX(0,15+I439-(A440-A439)+COUNTIF(B439,"*平湖*")*0),IF(AND(E440=0,MAX(0,H439-(A440-A439))&lt;=加速!$H$11),0,MAX(0,H439-(A440-A439)))),"")</f>
        <v/>
      </c>
      <c r="I440" t="str">
        <f ca="1" t="shared" si="90"/>
        <v/>
      </c>
      <c r="J440" t="str">
        <f ca="1" t="shared" si="91"/>
        <v/>
      </c>
      <c r="K440" t="str">
        <f ca="1">IF(A440&lt;&gt;"",IF(AND(配装计算器!$K$30&lt;&gt;"∞",0),2,INDEX(AU440:CB440,1,$AT$2)),"")</f>
        <v/>
      </c>
      <c r="L440">
        <f ca="1">IFERROR(IF(AND(COUNTIF(B440,"*-峰插*"),技能数据库!$M$72&gt;0),0,IF(COUNTIF(B440,"*鹤归*")&gt;0,16-加速!$L$11,MAX(0,L439-(A440-A439)))),0)</f>
        <v>0</v>
      </c>
      <c r="M440">
        <f ca="1">IF(COUNTIF(IF(AND(配装计算器!$K$30&lt;&gt;"∞",0),INDEX(AU439:CB439,1,$AT$1),INDEX(AU441:CB441,1,$AT$1)),"*鹤归*")=1,L440,0)</f>
        <v>0</v>
      </c>
      <c r="N440">
        <f ca="1">IFERROR(IF(AND(COUNTIF(B440,"*-峰插*"),技能数据库!$M$72&gt;0),0,IF(COUNTIF(B440,"*云飞*")&gt;0,4-COUNTIF(B440,"*玉山揽云*")*4--COUNTIF(B440,"*烟流暮景*")*4-COUNTIF(B440,"*云景*")*加速!$L$11-IF(J440&gt;0,2,0),MAX(0,N439-(A440-A439)-IF(J440&gt;0,2,0)))),0)</f>
        <v>0</v>
      </c>
      <c r="O440">
        <f ca="1">IF(AND(COUNTIF(IF(AND(配装计算器!$K$30&lt;&gt;"∞",0),INDEX(AU439:CB439,1,$AT$1),INDEX(AU441:CB441,1,$AT$1)),"*云飞*")=1,COUNTIF(IF(AND(配装计算器!$K$30&lt;&gt;"∞",0),INDEX(AU439:CB439,1,$AT$1),INDEX(AU441:CB441,1,$AT$1)),"*玉山*")=0),N440,0)</f>
        <v>0</v>
      </c>
      <c r="P440">
        <f ca="1">IFERROR(IF(COUNTIF(B440,"*云栖松*")&gt;0,50-加速!$L$11,MAX(0,P439-(A440-A439))),0)</f>
        <v>0</v>
      </c>
      <c r="Q440">
        <f ca="1">IF(COUNTIF(IF(AND(配装计算器!$K$30&lt;&gt;"∞",0),INDEX(AU439:CB439,1,$AT$1),INDEX(AU441:CB441,1,$AT$1)),"*云栖松*")=1,P440,0)</f>
        <v>0</v>
      </c>
      <c r="R440">
        <f ca="1">IFERROR(IF(COUNTIF(B440,"*莺鸣柳*")&gt;0,45-加速!$L$9,MAX(0,R439-(A440-A439))),0)</f>
        <v>0</v>
      </c>
      <c r="S440">
        <f ca="1">IF(COUNTIF(IF(AND(配装计算器!$K$30&lt;&gt;"∞",0),INDEX(AU439:CB439,1,$AT$1),INDEX(AU441:CB441,1,$AT$1)),"*莺鸣柳*")=1,R440,0)</f>
        <v>0</v>
      </c>
      <c r="T440">
        <f ca="1" t="shared" si="88"/>
        <v>0</v>
      </c>
      <c r="U440">
        <f ca="1">IF(金蛇,IF(COUNTIF(B440,"*金环戴*")+COUNTIF(B440,"*吹风醒*")&gt;0,IF(A440&lt;=3,7.125-2.625-A440-加速!$L$11,7.125+加速!$K$9-(A440+加速!$L$11-T440)),0),0)+IF(金蛇,IF(COUNTIF(B440,"*千切子裂光*")&gt;0,2+加速!$K$9-(A440+加速!$L$11-T440),0),0)</f>
        <v>0</v>
      </c>
      <c r="V440">
        <f ca="1" t="shared" si="89"/>
        <v>0</v>
      </c>
      <c r="W440">
        <f ca="1" t="shared" si="81"/>
        <v>0</v>
      </c>
      <c r="X440">
        <f ca="1">INDEX(加速!$I$13:$I$21,技能数计算!W440+1)</f>
        <v>0</v>
      </c>
      <c r="Y440">
        <f ca="1" t="shared" si="85"/>
        <v>0.5</v>
      </c>
      <c r="Z440">
        <f ca="1" t="shared" si="86"/>
        <v>0</v>
      </c>
      <c r="AA440">
        <f ca="1">MAX(0,IFERROR(IF(COUNTIF(B440,"*叠*")&gt;0,IF(AC439&lt;3,8-A441+A440,AA439+6.875-A441+A440),AA439-A441+A440),AA439-加速!$L$11))</f>
        <v>0</v>
      </c>
      <c r="AB440" t="e">
        <f ca="1">MAX(0,IF(COUNTIF(IF(AND(配装计算器!$K$30&lt;&gt;"∞",0),INDEX(AU440:CB440,1,$AT$1),INDEX(AU440:CB440,1,$AT$1)),"*叠1*")=1,4*25-加速!$L$11,AB439-A440+A439)-IF(OR(COUNTIF(OFFSET(AT440,0,$AT$1,1,1),"*听雷*")&gt;0,AND(碧归&gt;0,COUNTIF(OFFSET(AT440,0,$AT$1,1,1),"*风来*")&gt;0)),0,1)*1.5)</f>
        <v>#VALUE!</v>
      </c>
      <c r="AC440">
        <f ca="1" t="shared" si="82"/>
        <v>3</v>
      </c>
      <c r="AD440">
        <f ca="1">IF(COUNTIF(IF(AND(配装计算器!$K$30&lt;&gt;"∞",0),INDEX(AU440:CB440,1,$AT$1),INDEX(AU441:CB441,1,$AT$1)),"*叠1*")=1,AB440*0+AE439,0)</f>
        <v>0</v>
      </c>
      <c r="AE440" t="e">
        <f ca="1">IF($AN$11&gt;0,IF(COUNTIF(B441,"*叠1*")&gt;0,50-加速!$H$11,MAX(0,AE439-(A441-A440))),0)</f>
        <v>#VALUE!</v>
      </c>
      <c r="AU440" s="176" t="s">
        <v>2768</v>
      </c>
      <c r="AV440">
        <v>2</v>
      </c>
      <c r="AW440" t="s">
        <v>2768</v>
      </c>
      <c r="AX440">
        <v>2</v>
      </c>
      <c r="AY440" t="s">
        <v>3017</v>
      </c>
      <c r="AZ440">
        <v>2</v>
      </c>
      <c r="BA440" t="s">
        <v>2776</v>
      </c>
      <c r="BB440">
        <v>2</v>
      </c>
      <c r="BC440" t="s">
        <v>2768</v>
      </c>
      <c r="BD440">
        <v>1</v>
      </c>
      <c r="BE440" t="s">
        <v>2768</v>
      </c>
      <c r="BF440">
        <v>2</v>
      </c>
      <c r="BG440" s="176" t="s">
        <v>2768</v>
      </c>
      <c r="BH440">
        <v>2</v>
      </c>
      <c r="BI440" t="s">
        <v>2768</v>
      </c>
      <c r="BJ440">
        <v>1</v>
      </c>
      <c r="BK440" t="s">
        <v>2794</v>
      </c>
      <c r="BL440">
        <v>0</v>
      </c>
      <c r="BM440" t="s">
        <v>2768</v>
      </c>
      <c r="BN440">
        <v>2</v>
      </c>
      <c r="BO440" s="176" t="s">
        <v>2776</v>
      </c>
      <c r="BP440">
        <v>2</v>
      </c>
      <c r="BQ440" t="s">
        <v>2853</v>
      </c>
      <c r="BR440">
        <v>2</v>
      </c>
      <c r="BS440" s="176" t="s">
        <v>2768</v>
      </c>
      <c r="BT440">
        <v>2</v>
      </c>
      <c r="BU440" t="s">
        <v>2853</v>
      </c>
      <c r="BV440">
        <v>2</v>
      </c>
      <c r="BW440" s="188" t="s">
        <v>2789</v>
      </c>
      <c r="BX440" s="179">
        <v>2</v>
      </c>
      <c r="BY440" t="s">
        <v>2718</v>
      </c>
      <c r="BZ440">
        <v>0</v>
      </c>
      <c r="CA440" t="s">
        <v>2718</v>
      </c>
      <c r="CB440">
        <v>0</v>
      </c>
    </row>
    <row r="441" spans="1:80">
      <c r="A441" s="178" t="str">
        <f ca="1">IFERROR(IF(A440+加速!$L$11&lt;$AS$1,IF(COUNTIF(B440,"*轻*")&gt;0,A440+加速!$L$9,A440+加速!$L$11)+V440,IF(COUNTIF(INDEX(AU441:CB441,1,$AT$1),"*云景*")+COUNTIF(INDEX(AU441:CB441,1,$AT$1),"*鹤归*")+COUNTIF(INDEX(AU441:CB441,1,$AT$1),"*听雷*")&gt;0,A440+加速!$L$11,"")),"")</f>
        <v/>
      </c>
      <c r="B441" s="167" t="str">
        <f ca="1">IF(A441&lt;&gt;"",IF(AND(A441+加速!$L$11&gt;$AS$1,IF(AND(配装计算器!$K$30&lt;&gt;"∞",0),"梦泉虎跑-轻",INDEX(AU441:CB441,1,$AT$1))="云栖松"),"夕照雷峰",IF(AND(配装计算器!$K$30&lt;&gt;"∞",0),"梦泉虎跑-轻",INDEX(AU441:CB441,1,$AT$1))),"")</f>
        <v/>
      </c>
      <c r="C441" t="str">
        <f ca="1" t="shared" si="87"/>
        <v/>
      </c>
      <c r="D441" t="str">
        <f ca="1">IF(B441&lt;&gt;"",IF(C440&lt;=加速!$L$11*(1-E441),0,1),"")</f>
        <v/>
      </c>
      <c r="E441">
        <f ca="1" t="shared" si="83"/>
        <v>1</v>
      </c>
      <c r="G441" t="str">
        <f ca="1" t="shared" si="84"/>
        <v/>
      </c>
      <c r="H441" t="str">
        <f ca="1">IF(B441&lt;&gt;"",IF(AND(COUNTIF(B440,"*轻*莺鸣柳*")&gt;0,COUNTIF(B441,"*轻*")&lt;1),MAX(0,15+I440-(A441-A440)+COUNTIF(B440,"*平湖*")*0),IF(AND(E441=0,MAX(0,H440-(A441-A440))&lt;=加速!$H$11),0,MAX(0,H440-(A441-A440)))),"")</f>
        <v/>
      </c>
      <c r="I441" t="str">
        <f ca="1" t="shared" si="90"/>
        <v/>
      </c>
      <c r="J441" t="str">
        <f ca="1" t="shared" si="91"/>
        <v/>
      </c>
      <c r="K441" t="str">
        <f ca="1">IF(A441&lt;&gt;"",IF(AND(配装计算器!$K$30&lt;&gt;"∞",0),2,INDEX(AU441:CB441,1,$AT$2)),"")</f>
        <v/>
      </c>
      <c r="L441">
        <f ca="1">IFERROR(IF(AND(COUNTIF(B441,"*-峰插*"),技能数据库!$M$72&gt;0),0,IF(COUNTIF(B441,"*鹤归*")&gt;0,16-加速!$L$11,MAX(0,L440-(A441-A440)))),0)</f>
        <v>0</v>
      </c>
      <c r="M441">
        <f ca="1">IF(COUNTIF(IF(AND(配装计算器!$K$30&lt;&gt;"∞",0),INDEX(AU440:CB440,1,$AT$1),INDEX(AU442:CB442,1,$AT$1)),"*鹤归*")=1,L441,0)</f>
        <v>0</v>
      </c>
      <c r="N441">
        <f ca="1">IFERROR(IF(AND(COUNTIF(B441,"*-峰插*"),技能数据库!$M$72&gt;0),0,IF(COUNTIF(B441,"*云飞*")&gt;0,4-COUNTIF(B441,"*玉山揽云*")*4--COUNTIF(B441,"*烟流暮景*")*4-COUNTIF(B441,"*云景*")*加速!$L$11-IF(J441&gt;0,2,0),MAX(0,N440-(A441-A440)-IF(J441&gt;0,2,0)))),0)</f>
        <v>0</v>
      </c>
      <c r="O441">
        <f ca="1">IF(AND(COUNTIF(IF(AND(配装计算器!$K$30&lt;&gt;"∞",0),INDEX(AU440:CB440,1,$AT$1),INDEX(AU442:CB442,1,$AT$1)),"*云飞*")=1,COUNTIF(IF(AND(配装计算器!$K$30&lt;&gt;"∞",0),INDEX(AU440:CB440,1,$AT$1),INDEX(AU442:CB442,1,$AT$1)),"*玉山*")=0),N441,0)</f>
        <v>0</v>
      </c>
      <c r="P441">
        <f ca="1">IFERROR(IF(COUNTIF(B441,"*云栖松*")&gt;0,50-加速!$L$11,MAX(0,P440-(A441-A440))),0)</f>
        <v>0</v>
      </c>
      <c r="Q441">
        <f ca="1">IF(COUNTIF(IF(AND(配装计算器!$K$30&lt;&gt;"∞",0),INDEX(AU440:CB440,1,$AT$1),INDEX(AU442:CB442,1,$AT$1)),"*云栖松*")=1,P441,0)</f>
        <v>0</v>
      </c>
      <c r="R441">
        <f ca="1">IFERROR(IF(COUNTIF(B441,"*莺鸣柳*")&gt;0,45-加速!$L$9,MAX(0,R440-(A441-A440))),0)</f>
        <v>0</v>
      </c>
      <c r="S441">
        <f ca="1">IF(COUNTIF(IF(AND(配装计算器!$K$30&lt;&gt;"∞",0),INDEX(AU440:CB440,1,$AT$1),INDEX(AU442:CB442,1,$AT$1)),"*莺鸣柳*")=1,R441,0)</f>
        <v>0</v>
      </c>
      <c r="T441">
        <f ca="1" t="shared" si="88"/>
        <v>0</v>
      </c>
      <c r="U441">
        <f ca="1">IF(金蛇,IF(COUNTIF(B441,"*金环戴*")+COUNTIF(B441,"*吹风醒*")&gt;0,IF(A441&lt;=3,7.125-2.625-A441-加速!$L$11,7.125+加速!$K$9-(A441+加速!$L$11-T441)),0),0)+IF(金蛇,IF(COUNTIF(B441,"*千切子裂光*")&gt;0,2+加速!$K$9-(A441+加速!$L$11-T441),0),0)</f>
        <v>0</v>
      </c>
      <c r="V441">
        <f ca="1" t="shared" si="89"/>
        <v>0</v>
      </c>
      <c r="W441">
        <f ca="1" t="shared" si="81"/>
        <v>0</v>
      </c>
      <c r="X441">
        <f ca="1">INDEX(加速!$I$13:$I$21,技能数计算!W441+1)</f>
        <v>0</v>
      </c>
      <c r="Y441">
        <f ca="1" t="shared" si="85"/>
        <v>0.5</v>
      </c>
      <c r="Z441">
        <f ca="1" t="shared" si="86"/>
        <v>0</v>
      </c>
      <c r="AA441">
        <f ca="1">MAX(0,IFERROR(IF(COUNTIF(B441,"*叠*")&gt;0,IF(AC440&lt;3,8-A442+A441,AA440+6.875-A442+A441),AA440-A442+A441),AA440-加速!$L$11))</f>
        <v>0</v>
      </c>
      <c r="AB441" t="e">
        <f ca="1">MAX(0,IF(COUNTIF(IF(AND(配装计算器!$K$30&lt;&gt;"∞",0),INDEX(AU441:CB441,1,$AT$1),INDEX(AU441:CB441,1,$AT$1)),"*叠1*")=1,4*25-加速!$L$11,AB440-A441+A440)-IF(OR(COUNTIF(OFFSET(AT441,0,$AT$1,1,1),"*听雷*")&gt;0,AND(碧归&gt;0,COUNTIF(OFFSET(AT441,0,$AT$1,1,1),"*风来*")&gt;0)),0,1)*1.5)</f>
        <v>#VALUE!</v>
      </c>
      <c r="AC441">
        <f ca="1" t="shared" si="82"/>
        <v>3</v>
      </c>
      <c r="AD441">
        <f ca="1">IF(COUNTIF(IF(AND(配装计算器!$K$30&lt;&gt;"∞",0),INDEX(AU441:CB441,1,$AT$1),INDEX(AU442:CB442,1,$AT$1)),"*叠1*")=1,AB441*0+AE440,0)</f>
        <v>0</v>
      </c>
      <c r="AE441" t="e">
        <f ca="1">IF($AN$11&gt;0,IF(COUNTIF(B442,"*叠1*")&gt;0,50-加速!$H$11,MAX(0,AE440-(A442-A441))),0)</f>
        <v>#VALUE!</v>
      </c>
      <c r="AU441" s="176" t="s">
        <v>2776</v>
      </c>
      <c r="AV441">
        <v>2</v>
      </c>
      <c r="AW441" t="s">
        <v>2768</v>
      </c>
      <c r="AX441">
        <v>2</v>
      </c>
      <c r="AY441" t="s">
        <v>2808</v>
      </c>
      <c r="AZ441">
        <v>2</v>
      </c>
      <c r="BA441" t="s">
        <v>2768</v>
      </c>
      <c r="BB441">
        <v>2</v>
      </c>
      <c r="BC441" t="s">
        <v>2794</v>
      </c>
      <c r="BD441">
        <v>2</v>
      </c>
      <c r="BE441" t="s">
        <v>2768</v>
      </c>
      <c r="BF441">
        <v>2</v>
      </c>
      <c r="BG441" s="176" t="s">
        <v>2768</v>
      </c>
      <c r="BH441">
        <v>2</v>
      </c>
      <c r="BI441" s="176" t="s">
        <v>2768</v>
      </c>
      <c r="BJ441">
        <v>1</v>
      </c>
      <c r="BK441" t="s">
        <v>2776</v>
      </c>
      <c r="BL441">
        <v>0</v>
      </c>
      <c r="BM441" t="s">
        <v>2768</v>
      </c>
      <c r="BN441">
        <v>2</v>
      </c>
      <c r="BO441" s="176" t="s">
        <v>2768</v>
      </c>
      <c r="BP441">
        <v>2</v>
      </c>
      <c r="BQ441" s="176" t="s">
        <v>2850</v>
      </c>
      <c r="BR441">
        <f>IF(0,2,0)</f>
        <v>0</v>
      </c>
      <c r="BS441" s="176" t="s">
        <v>2776</v>
      </c>
      <c r="BT441">
        <v>2</v>
      </c>
      <c r="BU441" s="176" t="str">
        <f>IF(秋,"金蛇锥-金环戴","金蛇锥-吹风醒")</f>
        <v>金蛇锥-吹风醒</v>
      </c>
      <c r="BV441">
        <v>2</v>
      </c>
      <c r="BW441" s="182" t="s">
        <v>2794</v>
      </c>
      <c r="BX441" s="179">
        <v>2</v>
      </c>
      <c r="BY441" t="s">
        <v>2768</v>
      </c>
      <c r="BZ441">
        <v>2</v>
      </c>
      <c r="CA441" t="s">
        <v>2768</v>
      </c>
      <c r="CB441">
        <v>2</v>
      </c>
    </row>
    <row r="442" spans="1:80">
      <c r="A442" s="178" t="str">
        <f ca="1">IFERROR(IF(A441+加速!$L$11&lt;$AS$1,IF(COUNTIF(B441,"*轻*")&gt;0,A441+加速!$L$9,A441+加速!$L$11)+V441,IF(COUNTIF(INDEX(AU442:CB442,1,$AT$1),"*云景*")+COUNTIF(INDEX(AU442:CB442,1,$AT$1),"*鹤归*")+COUNTIF(INDEX(AU442:CB442,1,$AT$1),"*听雷*")&gt;0,A441+加速!$L$11,"")),"")</f>
        <v/>
      </c>
      <c r="B442" s="167" t="str">
        <f ca="1">IF(A442&lt;&gt;"",IF(AND(A442+加速!$L$11&gt;$AS$1,IF(AND(配装计算器!$K$30&lt;&gt;"∞",0),"梦泉虎跑-轻",INDEX(AU442:CB442,1,$AT$1))="云栖松"),"夕照雷峰",IF(AND(配装计算器!$K$30&lt;&gt;"∞",0),"梦泉虎跑-轻",INDEX(AU442:CB442,1,$AT$1))),"")</f>
        <v/>
      </c>
      <c r="C442" t="str">
        <f ca="1" t="shared" si="87"/>
        <v/>
      </c>
      <c r="D442" t="str">
        <f ca="1">IF(B442&lt;&gt;"",IF(C441&lt;=加速!$L$11*(1-E442),0,1),"")</f>
        <v/>
      </c>
      <c r="E442">
        <f ca="1" t="shared" si="83"/>
        <v>1</v>
      </c>
      <c r="G442" t="str">
        <f ca="1" t="shared" si="84"/>
        <v/>
      </c>
      <c r="H442" t="str">
        <f ca="1">IF(B442&lt;&gt;"",IF(AND(COUNTIF(B441,"*轻*莺鸣柳*")&gt;0,COUNTIF(B442,"*轻*")&lt;1),MAX(0,15+I441-(A442-A441)+COUNTIF(B441,"*平湖*")*0),IF(AND(E442=0,MAX(0,H441-(A442-A441))&lt;=加速!$H$11),0,MAX(0,H441-(A442-A441)))),"")</f>
        <v/>
      </c>
      <c r="I442" t="str">
        <f ca="1" t="shared" si="90"/>
        <v/>
      </c>
      <c r="J442" t="str">
        <f ca="1" t="shared" si="91"/>
        <v/>
      </c>
      <c r="K442" t="str">
        <f ca="1">IF(A442&lt;&gt;"",IF(AND(配装计算器!$K$30&lt;&gt;"∞",0),2,INDEX(AU442:CB442,1,$AT$2)),"")</f>
        <v/>
      </c>
      <c r="L442">
        <f ca="1">IFERROR(IF(AND(COUNTIF(B442,"*-峰插*"),技能数据库!$M$72&gt;0),0,IF(COUNTIF(B442,"*鹤归*")&gt;0,16-加速!$L$11,MAX(0,L441-(A442-A441)))),0)</f>
        <v>0</v>
      </c>
      <c r="M442">
        <f ca="1">IF(COUNTIF(IF(AND(配装计算器!$K$30&lt;&gt;"∞",0),INDEX(AU441:CB441,1,$AT$1),INDEX(AU443:CB443,1,$AT$1)),"*鹤归*")=1,L442,0)</f>
        <v>0</v>
      </c>
      <c r="N442">
        <f ca="1">IFERROR(IF(AND(COUNTIF(B442,"*-峰插*"),技能数据库!$M$72&gt;0),0,IF(COUNTIF(B442,"*云飞*")&gt;0,4-COUNTIF(B442,"*玉山揽云*")*4--COUNTIF(B442,"*烟流暮景*")*4-COUNTIF(B442,"*云景*")*加速!$L$11-IF(J442&gt;0,2,0),MAX(0,N441-(A442-A441)-IF(J442&gt;0,2,0)))),0)</f>
        <v>0</v>
      </c>
      <c r="O442">
        <f ca="1">IF(AND(COUNTIF(IF(AND(配装计算器!$K$30&lt;&gt;"∞",0),INDEX(AU441:CB441,1,$AT$1),INDEX(AU443:CB443,1,$AT$1)),"*云飞*")=1,COUNTIF(IF(AND(配装计算器!$K$30&lt;&gt;"∞",0),INDEX(AU441:CB441,1,$AT$1),INDEX(AU443:CB443,1,$AT$1)),"*玉山*")=0),N442,0)</f>
        <v>0</v>
      </c>
      <c r="P442">
        <f ca="1">IFERROR(IF(COUNTIF(B442,"*云栖松*")&gt;0,50-加速!$L$11,MAX(0,P441-(A442-A441))),0)</f>
        <v>0</v>
      </c>
      <c r="Q442">
        <f ca="1">IF(COUNTIF(IF(AND(配装计算器!$K$30&lt;&gt;"∞",0),INDEX(AU441:CB441,1,$AT$1),INDEX(AU443:CB443,1,$AT$1)),"*云栖松*")=1,P442,0)</f>
        <v>0</v>
      </c>
      <c r="R442">
        <f ca="1">IFERROR(IF(COUNTIF(B442,"*莺鸣柳*")&gt;0,45-加速!$L$9,MAX(0,R441-(A442-A441))),0)</f>
        <v>0</v>
      </c>
      <c r="S442">
        <f ca="1">IF(COUNTIF(IF(AND(配装计算器!$K$30&lt;&gt;"∞",0),INDEX(AU441:CB441,1,$AT$1),INDEX(AU443:CB443,1,$AT$1)),"*莺鸣柳*")=1,R442,0)</f>
        <v>0</v>
      </c>
      <c r="T442">
        <f ca="1" t="shared" si="88"/>
        <v>0</v>
      </c>
      <c r="U442">
        <f ca="1">IF(金蛇,IF(COUNTIF(B442,"*金环戴*")+COUNTIF(B442,"*吹风醒*")&gt;0,IF(A442&lt;=3,7.125-2.625-A442-加速!$L$11,7.125+加速!$K$9-(A442+加速!$L$11-T442)),0),0)+IF(金蛇,IF(COUNTIF(B442,"*千切子裂光*")&gt;0,2+加速!$K$9-(A442+加速!$L$11-T442),0),0)</f>
        <v>0</v>
      </c>
      <c r="V442">
        <f ca="1" t="shared" si="89"/>
        <v>0</v>
      </c>
      <c r="W442">
        <f ca="1" t="shared" si="81"/>
        <v>0</v>
      </c>
      <c r="X442">
        <f ca="1">INDEX(加速!$I$13:$I$21,技能数计算!W442+1)</f>
        <v>0</v>
      </c>
      <c r="Y442">
        <f ca="1" t="shared" si="85"/>
        <v>0.5</v>
      </c>
      <c r="Z442">
        <f ca="1" t="shared" si="86"/>
        <v>0</v>
      </c>
      <c r="AA442">
        <f ca="1">MAX(0,IFERROR(IF(COUNTIF(B442,"*叠*")&gt;0,IF(AC441&lt;3,8-A443+A442,AA441+6.875-A443+A442),AA441-A443+A442),AA441-加速!$L$11))</f>
        <v>0</v>
      </c>
      <c r="AB442" t="e">
        <f ca="1">MAX(0,IF(COUNTIF(IF(AND(配装计算器!$K$30&lt;&gt;"∞",0),INDEX(AU442:CB442,1,$AT$1),INDEX(AU442:CB442,1,$AT$1)),"*叠1*")=1,4*25-加速!$L$11,AB441-A442+A441)-IF(OR(COUNTIF(OFFSET(AT442,0,$AT$1,1,1),"*听雷*")&gt;0,AND(碧归&gt;0,COUNTIF(OFFSET(AT442,0,$AT$1,1,1),"*风来*")&gt;0)),0,1)*1.5)</f>
        <v>#VALUE!</v>
      </c>
      <c r="AC442">
        <f ca="1" t="shared" si="82"/>
        <v>3</v>
      </c>
      <c r="AD442">
        <f ca="1">IF(COUNTIF(IF(AND(配装计算器!$K$30&lt;&gt;"∞",0),INDEX(AU442:CB442,1,$AT$1),INDEX(AU443:CB443,1,$AT$1)),"*叠1*")=1,AB442*0+AE441,0)</f>
        <v>0</v>
      </c>
      <c r="AE442" t="e">
        <f ca="1">IF($AN$11&gt;0,IF(COUNTIF(B443,"*叠1*")&gt;0,50-加速!$H$11,MAX(0,AE441-(A443-A442))),0)</f>
        <v>#VALUE!</v>
      </c>
      <c r="AU442" s="176" t="s">
        <v>2768</v>
      </c>
      <c r="AV442">
        <v>2</v>
      </c>
      <c r="AW442" t="s">
        <v>2776</v>
      </c>
      <c r="AX442">
        <v>2</v>
      </c>
      <c r="AY442" t="s">
        <v>3022</v>
      </c>
      <c r="AZ442">
        <v>2</v>
      </c>
      <c r="BA442" t="s">
        <v>2789</v>
      </c>
      <c r="BB442">
        <v>2</v>
      </c>
      <c r="BC442" t="s">
        <v>2768</v>
      </c>
      <c r="BD442">
        <v>2</v>
      </c>
      <c r="BE442" t="s">
        <v>3042</v>
      </c>
      <c r="BF442">
        <v>2</v>
      </c>
      <c r="BG442" s="176" t="s">
        <v>2789</v>
      </c>
      <c r="BH442">
        <v>2</v>
      </c>
      <c r="BI442" s="176" t="s">
        <v>2776</v>
      </c>
      <c r="BJ442">
        <v>0</v>
      </c>
      <c r="BK442" t="s">
        <v>2768</v>
      </c>
      <c r="BL442">
        <v>0</v>
      </c>
      <c r="BM442" t="s">
        <v>2768</v>
      </c>
      <c r="BN442">
        <v>2</v>
      </c>
      <c r="BO442" s="176" t="s">
        <v>2808</v>
      </c>
      <c r="BP442">
        <v>2</v>
      </c>
      <c r="BQ442" s="176" t="str">
        <f>IF(秋,"金环戴","吹风醒")</f>
        <v>吹风醒</v>
      </c>
      <c r="BR442">
        <v>2</v>
      </c>
      <c r="BS442" s="176" t="s">
        <v>2768</v>
      </c>
      <c r="BT442">
        <v>2</v>
      </c>
      <c r="BU442" t="s">
        <v>2773</v>
      </c>
      <c r="BV442">
        <v>2</v>
      </c>
      <c r="BW442" s="182" t="s">
        <v>2776</v>
      </c>
      <c r="BX442" s="179">
        <v>2</v>
      </c>
      <c r="BY442" t="s">
        <v>2768</v>
      </c>
      <c r="BZ442">
        <v>1</v>
      </c>
      <c r="CA442" t="s">
        <v>2768</v>
      </c>
      <c r="CB442">
        <v>1</v>
      </c>
    </row>
    <row r="443" spans="1:80">
      <c r="A443" s="178" t="str">
        <f ca="1">IFERROR(IF(A442+加速!$L$11&lt;$AS$1,IF(COUNTIF(B442,"*轻*")&gt;0,A442+加速!$L$9,A442+加速!$L$11)+V442,IF(COUNTIF(INDEX(AU443:CB443,1,$AT$1),"*云景*")+COUNTIF(INDEX(AU443:CB443,1,$AT$1),"*鹤归*")+COUNTIF(INDEX(AU443:CB443,1,$AT$1),"*听雷*")&gt;0,A442+加速!$L$11,"")),"")</f>
        <v/>
      </c>
      <c r="B443" s="167" t="str">
        <f ca="1">IF(A443&lt;&gt;"",IF(AND(A443+加速!$L$11&gt;$AS$1,IF(AND(配装计算器!$K$30&lt;&gt;"∞",0),"梦泉虎跑-轻",INDEX(AU443:CB443,1,$AT$1))="云栖松"),"夕照雷峰",IF(AND(配装计算器!$K$30&lt;&gt;"∞",0),"梦泉虎跑-轻",INDEX(AU443:CB443,1,$AT$1))),"")</f>
        <v/>
      </c>
      <c r="C443" t="str">
        <f ca="1" t="shared" si="87"/>
        <v/>
      </c>
      <c r="D443" t="str">
        <f ca="1">IF(B443&lt;&gt;"",IF(C442&lt;=加速!$L$11*(1-E443),0,1),"")</f>
        <v/>
      </c>
      <c r="E443">
        <f ca="1" t="shared" si="83"/>
        <v>1</v>
      </c>
      <c r="G443" t="str">
        <f ca="1" t="shared" si="84"/>
        <v/>
      </c>
      <c r="H443" t="str">
        <f ca="1">IF(B443&lt;&gt;"",IF(AND(COUNTIF(B442,"*轻*莺鸣柳*")&gt;0,COUNTIF(B443,"*轻*")&lt;1),MAX(0,15+I442-(A443-A442)+COUNTIF(B442,"*平湖*")*0),IF(AND(E443=0,MAX(0,H442-(A443-A442))&lt;=加速!$H$11),0,MAX(0,H442-(A443-A442)))),"")</f>
        <v/>
      </c>
      <c r="I443" t="str">
        <f ca="1" t="shared" si="90"/>
        <v/>
      </c>
      <c r="J443" t="str">
        <f ca="1" t="shared" si="91"/>
        <v/>
      </c>
      <c r="K443" t="str">
        <f ca="1">IF(A443&lt;&gt;"",IF(AND(配装计算器!$K$30&lt;&gt;"∞",0),2,INDEX(AU443:CB443,1,$AT$2)),"")</f>
        <v/>
      </c>
      <c r="L443">
        <f ca="1">IFERROR(IF(AND(COUNTIF(B443,"*-峰插*"),技能数据库!$M$72&gt;0),0,IF(COUNTIF(B443,"*鹤归*")&gt;0,16-加速!$L$11,MAX(0,L442-(A443-A442)))),0)</f>
        <v>0</v>
      </c>
      <c r="M443">
        <f ca="1">IF(COUNTIF(IF(AND(配装计算器!$K$30&lt;&gt;"∞",0),INDEX(AU442:CB442,1,$AT$1),INDEX(AU444:CB444,1,$AT$1)),"*鹤归*")=1,L443,0)</f>
        <v>0</v>
      </c>
      <c r="N443">
        <f ca="1">IFERROR(IF(AND(COUNTIF(B443,"*-峰插*"),技能数据库!$M$72&gt;0),0,IF(COUNTIF(B443,"*云飞*")&gt;0,4-COUNTIF(B443,"*玉山揽云*")*4--COUNTIF(B443,"*烟流暮景*")*4-COUNTIF(B443,"*云景*")*加速!$L$11-IF(J443&gt;0,2,0),MAX(0,N442-(A443-A442)-IF(J443&gt;0,2,0)))),0)</f>
        <v>0</v>
      </c>
      <c r="O443">
        <f ca="1">IF(AND(COUNTIF(IF(AND(配装计算器!$K$30&lt;&gt;"∞",0),INDEX(AU442:CB442,1,$AT$1),INDEX(AU444:CB444,1,$AT$1)),"*云飞*")=1,COUNTIF(IF(AND(配装计算器!$K$30&lt;&gt;"∞",0),INDEX(AU442:CB442,1,$AT$1),INDEX(AU444:CB444,1,$AT$1)),"*玉山*")=0),N443,0)</f>
        <v>0</v>
      </c>
      <c r="P443">
        <f ca="1">IFERROR(IF(COUNTIF(B443,"*云栖松*")&gt;0,50-加速!$L$11,MAX(0,P442-(A443-A442))),0)</f>
        <v>0</v>
      </c>
      <c r="Q443">
        <f ca="1">IF(COUNTIF(IF(AND(配装计算器!$K$30&lt;&gt;"∞",0),INDEX(AU442:CB442,1,$AT$1),INDEX(AU444:CB444,1,$AT$1)),"*云栖松*")=1,P443,0)</f>
        <v>0</v>
      </c>
      <c r="R443">
        <f ca="1">IFERROR(IF(COUNTIF(B443,"*莺鸣柳*")&gt;0,45-加速!$L$9,MAX(0,R442-(A443-A442))),0)</f>
        <v>0</v>
      </c>
      <c r="S443">
        <f ca="1">IF(COUNTIF(IF(AND(配装计算器!$K$30&lt;&gt;"∞",0),INDEX(AU442:CB442,1,$AT$1),INDEX(AU444:CB444,1,$AT$1)),"*莺鸣柳*")=1,R443,0)</f>
        <v>0</v>
      </c>
      <c r="T443">
        <f ca="1" t="shared" si="88"/>
        <v>0</v>
      </c>
      <c r="U443">
        <f ca="1">IF(金蛇,IF(COUNTIF(B443,"*金环戴*")+COUNTIF(B443,"*吹风醒*")&gt;0,IF(A443&lt;=3,7.125-2.625-A443-加速!$L$11,7.125+加速!$K$9-(A443+加速!$L$11-T443)),0),0)+IF(金蛇,IF(COUNTIF(B443,"*千切子裂光*")&gt;0,2+加速!$K$9-(A443+加速!$L$11-T443),0),0)</f>
        <v>0</v>
      </c>
      <c r="V443">
        <f ca="1" t="shared" si="89"/>
        <v>0</v>
      </c>
      <c r="W443">
        <f ca="1" t="shared" si="81"/>
        <v>0</v>
      </c>
      <c r="X443">
        <f ca="1">INDEX(加速!$I$13:$I$21,技能数计算!W443+1)</f>
        <v>0</v>
      </c>
      <c r="Y443">
        <f ca="1" t="shared" si="85"/>
        <v>0.5</v>
      </c>
      <c r="Z443">
        <f ca="1" t="shared" si="86"/>
        <v>0</v>
      </c>
      <c r="AA443">
        <f ca="1">MAX(0,IFERROR(IF(COUNTIF(B443,"*叠*")&gt;0,IF(AC442&lt;3,8-A444+A443,AA442+6.875-A444+A443),AA442-A444+A443),AA442-加速!$L$11))</f>
        <v>0</v>
      </c>
      <c r="AB443" t="e">
        <f ca="1">MAX(0,IF(COUNTIF(IF(AND(配装计算器!$K$30&lt;&gt;"∞",0),INDEX(AU443:CB443,1,$AT$1),INDEX(AU443:CB443,1,$AT$1)),"*叠1*")=1,4*25-加速!$L$11,AB442-A443+A442)-IF(OR(COUNTIF(OFFSET(AT443,0,$AT$1,1,1),"*听雷*")&gt;0,AND(碧归&gt;0,COUNTIF(OFFSET(AT443,0,$AT$1,1,1),"*风来*")&gt;0)),0,1)*1.5)</f>
        <v>#VALUE!</v>
      </c>
      <c r="AC443">
        <f ca="1" t="shared" si="82"/>
        <v>3</v>
      </c>
      <c r="AD443">
        <f ca="1">IF(COUNTIF(IF(AND(配装计算器!$K$30&lt;&gt;"∞",0),INDEX(AU443:CB443,1,$AT$1),INDEX(AU444:CB444,1,$AT$1)),"*叠1*")=1,AB443*0+AE442,0)</f>
        <v>0</v>
      </c>
      <c r="AE443" t="e">
        <f ca="1">IF($AN$11&gt;0,IF(COUNTIF(B444,"*叠1*")&gt;0,50-加速!$H$11,MAX(0,AE442-(A444-A443))),0)</f>
        <v>#VALUE!</v>
      </c>
      <c r="AU443" s="176" t="s">
        <v>2776</v>
      </c>
      <c r="AV443">
        <v>2</v>
      </c>
      <c r="AW443" t="s">
        <v>2768</v>
      </c>
      <c r="AX443">
        <v>2</v>
      </c>
      <c r="AY443" t="s">
        <v>2776</v>
      </c>
      <c r="AZ443">
        <v>2</v>
      </c>
      <c r="BA443" t="s">
        <v>2776</v>
      </c>
      <c r="BB443">
        <v>2</v>
      </c>
      <c r="BC443" t="s">
        <v>2776</v>
      </c>
      <c r="BD443">
        <v>2</v>
      </c>
      <c r="BE443" t="s">
        <v>3084</v>
      </c>
      <c r="BF443">
        <v>2</v>
      </c>
      <c r="BG443" s="176" t="s">
        <v>2776</v>
      </c>
      <c r="BH443">
        <v>2</v>
      </c>
      <c r="BI443" t="s">
        <v>2794</v>
      </c>
      <c r="BJ443">
        <v>0</v>
      </c>
      <c r="BK443" t="s">
        <v>3068</v>
      </c>
      <c r="BL443">
        <v>2</v>
      </c>
      <c r="BM443" t="s">
        <v>2776</v>
      </c>
      <c r="BN443">
        <v>2</v>
      </c>
      <c r="BO443" t="s">
        <v>2768</v>
      </c>
      <c r="BP443">
        <v>2</v>
      </c>
      <c r="BQ443" s="176" t="str">
        <f>IF(秋,"梦泉虎跑-轻","夕照雷峰")</f>
        <v>夕照雷峰</v>
      </c>
      <c r="BR443">
        <v>1</v>
      </c>
      <c r="BS443" s="176" t="s">
        <v>2794</v>
      </c>
      <c r="BT443">
        <v>2</v>
      </c>
      <c r="BU443" s="176" t="s">
        <v>2794</v>
      </c>
      <c r="BV443">
        <v>1</v>
      </c>
      <c r="BW443" s="182" t="s">
        <v>2768</v>
      </c>
      <c r="BX443" s="179">
        <v>2</v>
      </c>
      <c r="BY443" t="s">
        <v>2776</v>
      </c>
      <c r="BZ443">
        <v>1</v>
      </c>
      <c r="CA443" t="s">
        <v>2776</v>
      </c>
      <c r="CB443">
        <v>1</v>
      </c>
    </row>
    <row r="444" spans="1:80">
      <c r="A444" s="178" t="str">
        <f ca="1">IFERROR(IF(A443+加速!$L$11&lt;$AS$1,IF(COUNTIF(B443,"*轻*")&gt;0,A443+加速!$L$9,A443+加速!$L$11)+V443,IF(COUNTIF(INDEX(AU444:CB444,1,$AT$1),"*云景*")+COUNTIF(INDEX(AU444:CB444,1,$AT$1),"*鹤归*")+COUNTIF(INDEX(AU444:CB444,1,$AT$1),"*听雷*")&gt;0,A443+加速!$L$11,"")),"")</f>
        <v/>
      </c>
      <c r="B444" s="167" t="str">
        <f ca="1">IF(A444&lt;&gt;"",IF(AND(A444+加速!$L$11&gt;$AS$1,IF(AND(配装计算器!$K$30&lt;&gt;"∞",0),"梦泉虎跑-轻",INDEX(AU444:CB444,1,$AT$1))="云栖松"),"夕照雷峰",IF(AND(配装计算器!$K$30&lt;&gt;"∞",0),"梦泉虎跑-轻",INDEX(AU444:CB444,1,$AT$1))),"")</f>
        <v/>
      </c>
      <c r="C444" t="str">
        <f ca="1" t="shared" si="87"/>
        <v/>
      </c>
      <c r="D444" t="str">
        <f ca="1">IF(B444&lt;&gt;"",IF(C443&lt;=加速!$L$11*(1-E444),0,1),"")</f>
        <v/>
      </c>
      <c r="E444">
        <f ca="1" t="shared" si="83"/>
        <v>1</v>
      </c>
      <c r="G444" t="str">
        <f ca="1" t="shared" si="84"/>
        <v/>
      </c>
      <c r="H444" t="str">
        <f ca="1">IF(B444&lt;&gt;"",IF(AND(COUNTIF(B443,"*轻*莺鸣柳*")&gt;0,COUNTIF(B444,"*轻*")&lt;1),MAX(0,15+I443-(A444-A443)+COUNTIF(B443,"*平湖*")*0),IF(AND(E444=0,MAX(0,H443-(A444-A443))&lt;=加速!$H$11),0,MAX(0,H443-(A444-A443)))),"")</f>
        <v/>
      </c>
      <c r="I444" t="str">
        <f ca="1" t="shared" si="90"/>
        <v/>
      </c>
      <c r="J444" t="str">
        <f ca="1" t="shared" si="91"/>
        <v/>
      </c>
      <c r="K444" t="str">
        <f ca="1">IF(A444&lt;&gt;"",IF(AND(配装计算器!$K$30&lt;&gt;"∞",0),2,INDEX(AU444:CB444,1,$AT$2)),"")</f>
        <v/>
      </c>
      <c r="L444">
        <f ca="1">IFERROR(IF(AND(COUNTIF(B444,"*-峰插*"),技能数据库!$M$72&gt;0),0,IF(COUNTIF(B444,"*鹤归*")&gt;0,16-加速!$L$11,MAX(0,L443-(A444-A443)))),0)</f>
        <v>0</v>
      </c>
      <c r="M444">
        <f ca="1">IF(COUNTIF(IF(AND(配装计算器!$K$30&lt;&gt;"∞",0),INDEX(AU443:CB443,1,$AT$1),INDEX(AU445:CB445,1,$AT$1)),"*鹤归*")=1,L444,0)</f>
        <v>0</v>
      </c>
      <c r="N444">
        <f ca="1">IFERROR(IF(AND(COUNTIF(B444,"*-峰插*"),技能数据库!$M$72&gt;0),0,IF(COUNTIF(B444,"*云飞*")&gt;0,4-COUNTIF(B444,"*玉山揽云*")*4--COUNTIF(B444,"*烟流暮景*")*4-COUNTIF(B444,"*云景*")*加速!$L$11-IF(J444&gt;0,2,0),MAX(0,N443-(A444-A443)-IF(J444&gt;0,2,0)))),0)</f>
        <v>0</v>
      </c>
      <c r="O444">
        <f ca="1">IF(AND(COUNTIF(IF(AND(配装计算器!$K$30&lt;&gt;"∞",0),INDEX(AU443:CB443,1,$AT$1),INDEX(AU445:CB445,1,$AT$1)),"*云飞*")=1,COUNTIF(IF(AND(配装计算器!$K$30&lt;&gt;"∞",0),INDEX(AU443:CB443,1,$AT$1),INDEX(AU445:CB445,1,$AT$1)),"*玉山*")=0),N444,0)</f>
        <v>0</v>
      </c>
      <c r="P444">
        <f ca="1">IFERROR(IF(COUNTIF(B444,"*云栖松*")&gt;0,50-加速!$L$11,MAX(0,P443-(A444-A443))),0)</f>
        <v>0</v>
      </c>
      <c r="Q444">
        <f ca="1">IF(COUNTIF(IF(AND(配装计算器!$K$30&lt;&gt;"∞",0),INDEX(AU443:CB443,1,$AT$1),INDEX(AU445:CB445,1,$AT$1)),"*云栖松*")=1,P444,0)</f>
        <v>0</v>
      </c>
      <c r="R444">
        <f ca="1">IFERROR(IF(COUNTIF(B444,"*莺鸣柳*")&gt;0,45-加速!$L$9,MAX(0,R443-(A444-A443))),0)</f>
        <v>0</v>
      </c>
      <c r="S444">
        <f ca="1">IF(COUNTIF(IF(AND(配装计算器!$K$30&lt;&gt;"∞",0),INDEX(AU443:CB443,1,$AT$1),INDEX(AU445:CB445,1,$AT$1)),"*莺鸣柳*")=1,R444,0)</f>
        <v>0</v>
      </c>
      <c r="T444">
        <f ca="1" t="shared" si="88"/>
        <v>0</v>
      </c>
      <c r="U444">
        <f ca="1">IF(金蛇,IF(COUNTIF(B444,"*金环戴*")+COUNTIF(B444,"*吹风醒*")&gt;0,IF(A444&lt;=3,7.125-2.625-A444-加速!$L$11,7.125+加速!$K$9-(A444+加速!$L$11-T444)),0),0)+IF(金蛇,IF(COUNTIF(B444,"*千切子裂光*")&gt;0,2+加速!$K$9-(A444+加速!$L$11-T444),0),0)</f>
        <v>0</v>
      </c>
      <c r="V444">
        <f ca="1" t="shared" si="89"/>
        <v>0</v>
      </c>
      <c r="W444">
        <f ca="1" t="shared" si="81"/>
        <v>0</v>
      </c>
      <c r="X444">
        <f ca="1">INDEX(加速!$I$13:$I$21,技能数计算!W444+1)</f>
        <v>0</v>
      </c>
      <c r="Y444">
        <f ca="1" t="shared" si="85"/>
        <v>0.5</v>
      </c>
      <c r="Z444">
        <f ca="1" t="shared" si="86"/>
        <v>0</v>
      </c>
      <c r="AA444">
        <f ca="1">MAX(0,IFERROR(IF(COUNTIF(B444,"*叠*")&gt;0,IF(AC443&lt;3,8-A445+A444,AA443+6.875-A445+A444),AA443-A445+A444),AA443-加速!$L$11))</f>
        <v>0</v>
      </c>
      <c r="AB444" t="e">
        <f ca="1">MAX(0,IF(COUNTIF(IF(AND(配装计算器!$K$30&lt;&gt;"∞",0),INDEX(AU444:CB444,1,$AT$1),INDEX(AU444:CB444,1,$AT$1)),"*叠1*")=1,4*25-加速!$L$11,AB443-A444+A443)-IF(OR(COUNTIF(OFFSET(AT444,0,$AT$1,1,1),"*听雷*")&gt;0,AND(碧归&gt;0,COUNTIF(OFFSET(AT444,0,$AT$1,1,1),"*风来*")&gt;0)),0,1)*1.5)</f>
        <v>#VALUE!</v>
      </c>
      <c r="AC444">
        <f ca="1" t="shared" si="82"/>
        <v>3</v>
      </c>
      <c r="AD444">
        <f ca="1">IF(COUNTIF(IF(AND(配装计算器!$K$30&lt;&gt;"∞",0),INDEX(AU444:CB444,1,$AT$1),INDEX(AU445:CB445,1,$AT$1)),"*叠1*")=1,AB444*0+AE443,0)</f>
        <v>0</v>
      </c>
      <c r="AE444" t="e">
        <f ca="1">IF($AN$11&gt;0,IF(COUNTIF(B445,"*叠1*")&gt;0,50-加速!$H$11,MAX(0,AE443-(A445-A444))),0)</f>
        <v>#VALUE!</v>
      </c>
      <c r="AU444" s="176" t="s">
        <v>2768</v>
      </c>
      <c r="AV444">
        <v>1</v>
      </c>
      <c r="AW444" t="s">
        <v>2722</v>
      </c>
      <c r="AX444">
        <v>0</v>
      </c>
      <c r="AY444" t="s">
        <v>2768</v>
      </c>
      <c r="AZ444">
        <v>2</v>
      </c>
      <c r="BA444" t="s">
        <v>3035</v>
      </c>
      <c r="BB444">
        <v>2</v>
      </c>
      <c r="BC444" t="s">
        <v>2768</v>
      </c>
      <c r="BD444">
        <v>2</v>
      </c>
      <c r="BE444" t="s">
        <v>2768</v>
      </c>
      <c r="BF444">
        <v>2</v>
      </c>
      <c r="BG444" s="176" t="s">
        <v>3035</v>
      </c>
      <c r="BH444">
        <v>2</v>
      </c>
      <c r="BI444" t="s">
        <v>2768</v>
      </c>
      <c r="BJ444">
        <v>2</v>
      </c>
      <c r="BK444" t="s">
        <v>2768</v>
      </c>
      <c r="BL444">
        <v>2</v>
      </c>
      <c r="BM444" t="s">
        <v>2768</v>
      </c>
      <c r="BN444">
        <v>1</v>
      </c>
      <c r="BO444" t="s">
        <v>2776</v>
      </c>
      <c r="BP444">
        <v>2</v>
      </c>
      <c r="BQ444" t="s">
        <v>3028</v>
      </c>
      <c r="BR444">
        <v>2</v>
      </c>
      <c r="BS444" t="s">
        <v>2768</v>
      </c>
      <c r="BT444">
        <v>2</v>
      </c>
      <c r="BU444" t="s">
        <v>3028</v>
      </c>
      <c r="BV444">
        <v>1</v>
      </c>
      <c r="BW444" s="182" t="s">
        <v>2776</v>
      </c>
      <c r="BX444" s="179">
        <v>2</v>
      </c>
      <c r="BY444" t="s">
        <v>2768</v>
      </c>
      <c r="BZ444">
        <v>1</v>
      </c>
      <c r="CA444" t="s">
        <v>2768</v>
      </c>
      <c r="CB444">
        <v>1</v>
      </c>
    </row>
    <row r="445" spans="1:80">
      <c r="A445" s="178" t="str">
        <f ca="1">IFERROR(IF(A444+加速!$L$11&lt;$AS$1,IF(COUNTIF(B444,"*轻*")&gt;0,A444+加速!$L$9,A444+加速!$L$11)+V444,IF(COUNTIF(INDEX(AU445:CB445,1,$AT$1),"*云景*")+COUNTIF(INDEX(AU445:CB445,1,$AT$1),"*鹤归*")+COUNTIF(INDEX(AU445:CB445,1,$AT$1),"*听雷*")&gt;0,A444+加速!$L$11,"")),"")</f>
        <v/>
      </c>
      <c r="B445" s="167" t="str">
        <f ca="1">IF(A445&lt;&gt;"",IF(AND(A445+加速!$L$11&gt;$AS$1,IF(AND(配装计算器!$K$30&lt;&gt;"∞",0),"梦泉虎跑-轻",INDEX(AU445:CB445,1,$AT$1))="云栖松"),"夕照雷峰",IF(AND(配装计算器!$K$30&lt;&gt;"∞",0),"梦泉虎跑-轻",INDEX(AU445:CB445,1,$AT$1))),"")</f>
        <v/>
      </c>
      <c r="C445" t="str">
        <f ca="1" t="shared" si="87"/>
        <v/>
      </c>
      <c r="D445" t="str">
        <f ca="1">IF(B445&lt;&gt;"",IF(C444&lt;=加速!$L$11*(1-E445),0,1),"")</f>
        <v/>
      </c>
      <c r="E445">
        <f ca="1" t="shared" si="83"/>
        <v>1</v>
      </c>
      <c r="G445" t="str">
        <f ca="1" t="shared" si="84"/>
        <v/>
      </c>
      <c r="H445" t="str">
        <f ca="1">IF(B445&lt;&gt;"",IF(AND(COUNTIF(B444,"*轻*莺鸣柳*")&gt;0,COUNTIF(B445,"*轻*")&lt;1),MAX(0,15+I444-(A445-A444)+COUNTIF(B444,"*平湖*")*0),IF(AND(E445=0,MAX(0,H444-(A445-A444))&lt;=加速!$H$11),0,MAX(0,H444-(A445-A444)))),"")</f>
        <v/>
      </c>
      <c r="I445" t="str">
        <f ca="1" t="shared" si="90"/>
        <v/>
      </c>
      <c r="J445" t="str">
        <f ca="1" t="shared" si="91"/>
        <v/>
      </c>
      <c r="K445" t="str">
        <f ca="1">IF(A445&lt;&gt;"",IF(AND(配装计算器!$K$30&lt;&gt;"∞",0),2,INDEX(AU445:CB445,1,$AT$2)),"")</f>
        <v/>
      </c>
      <c r="L445">
        <f ca="1">IFERROR(IF(AND(COUNTIF(B445,"*-峰插*"),技能数据库!$M$72&gt;0),0,IF(COUNTIF(B445,"*鹤归*")&gt;0,16-加速!$L$11,MAX(0,L444-(A445-A444)))),0)</f>
        <v>0</v>
      </c>
      <c r="M445">
        <f ca="1">IF(COUNTIF(IF(AND(配装计算器!$K$30&lt;&gt;"∞",0),INDEX(AU444:CB444,1,$AT$1),INDEX(AU446:CB446,1,$AT$1)),"*鹤归*")=1,L445,0)</f>
        <v>0</v>
      </c>
      <c r="N445">
        <f ca="1">IFERROR(IF(AND(COUNTIF(B445,"*-峰插*"),技能数据库!$M$72&gt;0),0,IF(COUNTIF(B445,"*云飞*")&gt;0,4-COUNTIF(B445,"*玉山揽云*")*4--COUNTIF(B445,"*烟流暮景*")*4-COUNTIF(B445,"*云景*")*加速!$L$11-IF(J445&gt;0,2,0),MAX(0,N444-(A445-A444)-IF(J445&gt;0,2,0)))),0)</f>
        <v>0</v>
      </c>
      <c r="O445">
        <f ca="1">IF(AND(COUNTIF(IF(AND(配装计算器!$K$30&lt;&gt;"∞",0),INDEX(AU444:CB444,1,$AT$1),INDEX(AU446:CB446,1,$AT$1)),"*云飞*")=1,COUNTIF(IF(AND(配装计算器!$K$30&lt;&gt;"∞",0),INDEX(AU444:CB444,1,$AT$1),INDEX(AU446:CB446,1,$AT$1)),"*玉山*")=0),N445,0)</f>
        <v>0</v>
      </c>
      <c r="P445">
        <f ca="1">IFERROR(IF(COUNTIF(B445,"*云栖松*")&gt;0,50-加速!$L$11,MAX(0,P444-(A445-A444))),0)</f>
        <v>0</v>
      </c>
      <c r="Q445">
        <f ca="1">IF(COUNTIF(IF(AND(配装计算器!$K$30&lt;&gt;"∞",0),INDEX(AU444:CB444,1,$AT$1),INDEX(AU446:CB446,1,$AT$1)),"*云栖松*")=1,P445,0)</f>
        <v>0</v>
      </c>
      <c r="R445">
        <f ca="1">IFERROR(IF(COUNTIF(B445,"*莺鸣柳*")&gt;0,45-加速!$L$9,MAX(0,R444-(A445-A444))),0)</f>
        <v>0</v>
      </c>
      <c r="S445">
        <f ca="1">IF(COUNTIF(IF(AND(配装计算器!$K$30&lt;&gt;"∞",0),INDEX(AU444:CB444,1,$AT$1),INDEX(AU446:CB446,1,$AT$1)),"*莺鸣柳*")=1,R445,0)</f>
        <v>0</v>
      </c>
      <c r="T445">
        <f ca="1" t="shared" si="88"/>
        <v>0</v>
      </c>
      <c r="U445">
        <f ca="1">IF(金蛇,IF(COUNTIF(B445,"*金环戴*")+COUNTIF(B445,"*吹风醒*")&gt;0,IF(A445&lt;=3,7.125-2.625-A445-加速!$L$11,7.125+加速!$K$9-(A445+加速!$L$11-T445)),0),0)+IF(金蛇,IF(COUNTIF(B445,"*千切子裂光*")&gt;0,2+加速!$K$9-(A445+加速!$L$11-T445),0),0)</f>
        <v>0</v>
      </c>
      <c r="V445">
        <f ca="1" t="shared" si="89"/>
        <v>0</v>
      </c>
      <c r="W445">
        <f ca="1" t="shared" si="81"/>
        <v>0</v>
      </c>
      <c r="X445">
        <f ca="1">INDEX(加速!$I$13:$I$21,技能数计算!W445+1)</f>
        <v>0</v>
      </c>
      <c r="Y445">
        <f ca="1" t="shared" si="85"/>
        <v>0.5</v>
      </c>
      <c r="Z445">
        <f ca="1" t="shared" si="86"/>
        <v>0</v>
      </c>
      <c r="AA445">
        <f ca="1">MAX(0,IFERROR(IF(COUNTIF(B445,"*叠*")&gt;0,IF(AC444&lt;3,8-A446+A445,AA444+6.875-A446+A445),AA444-A446+A445),AA444-加速!$L$11))</f>
        <v>0</v>
      </c>
      <c r="AB445" t="e">
        <f ca="1">MAX(0,IF(COUNTIF(IF(AND(配装计算器!$K$30&lt;&gt;"∞",0),INDEX(AU445:CB445,1,$AT$1),INDEX(AU445:CB445,1,$AT$1)),"*叠1*")=1,4*25-加速!$L$11,AB444-A445+A444)-IF(OR(COUNTIF(OFFSET(AT445,0,$AT$1,1,1),"*听雷*")&gt;0,AND(碧归&gt;0,COUNTIF(OFFSET(AT445,0,$AT$1,1,1),"*风来*")&gt;0)),0,1)*1.5)</f>
        <v>#VALUE!</v>
      </c>
      <c r="AC445">
        <f ca="1" t="shared" si="82"/>
        <v>3</v>
      </c>
      <c r="AD445">
        <f ca="1">IF(COUNTIF(IF(AND(配装计算器!$K$30&lt;&gt;"∞",0),INDEX(AU445:CB445,1,$AT$1),INDEX(AU446:CB446,1,$AT$1)),"*叠1*")=1,AB445*0+AE444,0)</f>
        <v>0</v>
      </c>
      <c r="AE445" t="e">
        <f ca="1">IF($AN$11&gt;0,IF(COUNTIF(B446,"*叠1*")&gt;0,50-加速!$H$11,MAX(0,AE444-(A446-A445))),0)</f>
        <v>#VALUE!</v>
      </c>
      <c r="AU445" t="s">
        <v>2776</v>
      </c>
      <c r="AV445">
        <v>1</v>
      </c>
      <c r="AW445" t="s">
        <v>3009</v>
      </c>
      <c r="AX445">
        <v>2</v>
      </c>
      <c r="AY445" t="s">
        <v>2789</v>
      </c>
      <c r="AZ445">
        <v>2</v>
      </c>
      <c r="BA445" t="s">
        <v>2768</v>
      </c>
      <c r="BB445">
        <v>2</v>
      </c>
      <c r="BC445" t="s">
        <v>2776</v>
      </c>
      <c r="BD445">
        <v>2</v>
      </c>
      <c r="BE445" t="s">
        <v>2794</v>
      </c>
      <c r="BF445">
        <v>2</v>
      </c>
      <c r="BG445" t="s">
        <v>2768</v>
      </c>
      <c r="BH445">
        <v>2</v>
      </c>
      <c r="BI445" t="s">
        <v>2776</v>
      </c>
      <c r="BJ445">
        <v>2</v>
      </c>
      <c r="BK445" t="s">
        <v>2776</v>
      </c>
      <c r="BL445">
        <v>2</v>
      </c>
      <c r="BM445" t="s">
        <v>2722</v>
      </c>
      <c r="BN445">
        <v>0</v>
      </c>
      <c r="BO445" t="s">
        <v>2768</v>
      </c>
      <c r="BP445">
        <v>2</v>
      </c>
      <c r="BQ445" t="s">
        <v>2768</v>
      </c>
      <c r="BR445">
        <v>2</v>
      </c>
      <c r="BS445" t="s">
        <v>2776</v>
      </c>
      <c r="BT445">
        <v>2</v>
      </c>
      <c r="BU445" t="s">
        <v>2768</v>
      </c>
      <c r="BV445">
        <v>1</v>
      </c>
      <c r="BW445" s="182" t="s">
        <v>2768</v>
      </c>
      <c r="BX445" s="179">
        <v>2</v>
      </c>
      <c r="BY445" t="s">
        <v>2722</v>
      </c>
      <c r="BZ445">
        <v>0</v>
      </c>
      <c r="CA445" t="s">
        <v>2722</v>
      </c>
      <c r="CB445">
        <v>0</v>
      </c>
    </row>
    <row r="446" spans="1:80">
      <c r="A446" s="178" t="str">
        <f ca="1">IFERROR(IF(A445+加速!$L$11&lt;$AS$1,IF(COUNTIF(B445,"*轻*")&gt;0,A445+加速!$L$9,A445+加速!$L$11)+V445,IF(COUNTIF(INDEX(AU446:CB446,1,$AT$1),"*云景*")+COUNTIF(INDEX(AU446:CB446,1,$AT$1),"*鹤归*")+COUNTIF(INDEX(AU446:CB446,1,$AT$1),"*听雷*")&gt;0,A445+加速!$L$11,"")),"")</f>
        <v/>
      </c>
      <c r="B446" s="167" t="str">
        <f ca="1">IF(A446&lt;&gt;"",IF(AND(A446+加速!$L$11&gt;$AS$1,IF(AND(配装计算器!$K$30&lt;&gt;"∞",0),"梦泉虎跑-轻",INDEX(AU446:CB446,1,$AT$1))="云栖松"),"夕照雷峰",IF(AND(配装计算器!$K$30&lt;&gt;"∞",0),"梦泉虎跑-轻",INDEX(AU446:CB446,1,$AT$1))),"")</f>
        <v/>
      </c>
      <c r="C446" t="str">
        <f ca="1" t="shared" si="87"/>
        <v/>
      </c>
      <c r="D446" t="str">
        <f ca="1">IF(B446&lt;&gt;"",IF(C445&lt;=加速!$L$11*(1-E446),0,1),"")</f>
        <v/>
      </c>
      <c r="E446">
        <f ca="1" t="shared" si="83"/>
        <v>1</v>
      </c>
      <c r="G446" t="str">
        <f ca="1" t="shared" si="84"/>
        <v/>
      </c>
      <c r="H446" t="str">
        <f ca="1">IF(B446&lt;&gt;"",IF(AND(COUNTIF(B445,"*轻*莺鸣柳*")&gt;0,COUNTIF(B446,"*轻*")&lt;1),MAX(0,15+I445-(A446-A445)+COUNTIF(B445,"*平湖*")*0),IF(AND(E446=0,MAX(0,H445-(A446-A445))&lt;=加速!$H$11),0,MAX(0,H445-(A446-A445)))),"")</f>
        <v/>
      </c>
      <c r="I446" t="str">
        <f ca="1" t="shared" si="90"/>
        <v/>
      </c>
      <c r="J446" t="str">
        <f ca="1" t="shared" si="91"/>
        <v/>
      </c>
      <c r="K446" t="str">
        <f ca="1">IF(A446&lt;&gt;"",IF(AND(配装计算器!$K$30&lt;&gt;"∞",0),2,INDEX(AU446:CB446,1,$AT$2)),"")</f>
        <v/>
      </c>
      <c r="L446">
        <f ca="1">IFERROR(IF(AND(COUNTIF(B446,"*-峰插*"),技能数据库!$M$72&gt;0),0,IF(COUNTIF(B446,"*鹤归*")&gt;0,16-加速!$L$11,MAX(0,L445-(A446-A445)))),0)</f>
        <v>0</v>
      </c>
      <c r="M446">
        <f ca="1">IF(COUNTIF(IF(AND(配装计算器!$K$30&lt;&gt;"∞",0),INDEX(AU445:CB445,1,$AT$1),INDEX(AU447:CB447,1,$AT$1)),"*鹤归*")=1,L446,0)</f>
        <v>0</v>
      </c>
      <c r="N446">
        <f ca="1">IFERROR(IF(AND(COUNTIF(B446,"*-峰插*"),技能数据库!$M$72&gt;0),0,IF(COUNTIF(B446,"*云飞*")&gt;0,4-COUNTIF(B446,"*玉山揽云*")*4--COUNTIF(B446,"*烟流暮景*")*4-COUNTIF(B446,"*云景*")*加速!$L$11-IF(J446&gt;0,2,0),MAX(0,N445-(A446-A445)-IF(J446&gt;0,2,0)))),0)</f>
        <v>0</v>
      </c>
      <c r="O446">
        <f ca="1">IF(AND(COUNTIF(IF(AND(配装计算器!$K$30&lt;&gt;"∞",0),INDEX(AU445:CB445,1,$AT$1),INDEX(AU447:CB447,1,$AT$1)),"*云飞*")=1,COUNTIF(IF(AND(配装计算器!$K$30&lt;&gt;"∞",0),INDEX(AU445:CB445,1,$AT$1),INDEX(AU447:CB447,1,$AT$1)),"*玉山*")=0),N446,0)</f>
        <v>0</v>
      </c>
      <c r="P446">
        <f ca="1">IFERROR(IF(COUNTIF(B446,"*云栖松*")&gt;0,50-加速!$L$11,MAX(0,P445-(A446-A445))),0)</f>
        <v>0</v>
      </c>
      <c r="Q446">
        <f ca="1">IF(COUNTIF(IF(AND(配装计算器!$K$30&lt;&gt;"∞",0),INDEX(AU445:CB445,1,$AT$1),INDEX(AU447:CB447,1,$AT$1)),"*云栖松*")=1,P446,0)</f>
        <v>0</v>
      </c>
      <c r="R446">
        <f ca="1">IFERROR(IF(COUNTIF(B446,"*莺鸣柳*")&gt;0,45-加速!$L$9,MAX(0,R445-(A446-A445))),0)</f>
        <v>0</v>
      </c>
      <c r="S446">
        <f ca="1">IF(COUNTIF(IF(AND(配装计算器!$K$30&lt;&gt;"∞",0),INDEX(AU445:CB445,1,$AT$1),INDEX(AU447:CB447,1,$AT$1)),"*莺鸣柳*")=1,R446,0)</f>
        <v>0</v>
      </c>
      <c r="T446">
        <f ca="1" t="shared" si="88"/>
        <v>0</v>
      </c>
      <c r="U446">
        <f ca="1">IF(金蛇,IF(COUNTIF(B446,"*金环戴*")+COUNTIF(B446,"*吹风醒*")&gt;0,IF(A446&lt;=3,7.125-2.625-A446-加速!$L$11,7.125+加速!$K$9-(A446+加速!$L$11-T446)),0),0)+IF(金蛇,IF(COUNTIF(B446,"*千切子裂光*")&gt;0,2+加速!$K$9-(A446+加速!$L$11-T446),0),0)</f>
        <v>0</v>
      </c>
      <c r="V446">
        <f ca="1" t="shared" si="89"/>
        <v>0</v>
      </c>
      <c r="W446">
        <f ca="1" t="shared" si="81"/>
        <v>0</v>
      </c>
      <c r="X446">
        <f ca="1">INDEX(加速!$I$13:$I$21,技能数计算!W446+1)</f>
        <v>0</v>
      </c>
      <c r="Y446">
        <f ca="1" t="shared" si="85"/>
        <v>0.5</v>
      </c>
      <c r="Z446">
        <f ca="1" t="shared" si="86"/>
        <v>0</v>
      </c>
      <c r="AA446">
        <f ca="1">MAX(0,IFERROR(IF(COUNTIF(B446,"*叠*")&gt;0,IF(AC445&lt;3,8-A447+A446,AA445+6.875-A447+A446),AA445-A447+A446),AA445-加速!$L$11))</f>
        <v>0</v>
      </c>
      <c r="AB446" t="e">
        <f ca="1">MAX(0,IF(COUNTIF(IF(AND(配装计算器!$K$30&lt;&gt;"∞",0),INDEX(AU446:CB446,1,$AT$1),INDEX(AU446:CB446,1,$AT$1)),"*叠1*")=1,4*25-加速!$L$11,AB445-A446+A445)-IF(OR(COUNTIF(OFFSET(AT446,0,$AT$1,1,1),"*听雷*")&gt;0,AND(碧归&gt;0,COUNTIF(OFFSET(AT446,0,$AT$1,1,1),"*风来*")&gt;0)),0,1)*1.5)</f>
        <v>#VALUE!</v>
      </c>
      <c r="AC446">
        <f ca="1" t="shared" si="82"/>
        <v>3</v>
      </c>
      <c r="AD446">
        <f ca="1">IF(COUNTIF(IF(AND(配装计算器!$K$30&lt;&gt;"∞",0),INDEX(AU446:CB446,1,$AT$1),INDEX(AU447:CB447,1,$AT$1)),"*叠1*")=1,AB446*0+AE445,0)</f>
        <v>0</v>
      </c>
      <c r="AE446" t="e">
        <f ca="1">IF($AN$11&gt;0,IF(COUNTIF(B447,"*叠1*")&gt;0,50-加速!$H$11,MAX(0,AE445-(A447-A446))),0)</f>
        <v>#VALUE!</v>
      </c>
      <c r="AU446" t="s">
        <v>2768</v>
      </c>
      <c r="AV446">
        <v>1</v>
      </c>
      <c r="AW446" t="s">
        <v>2776</v>
      </c>
      <c r="AX446">
        <v>2</v>
      </c>
      <c r="AY446" t="s">
        <v>2776</v>
      </c>
      <c r="AZ446">
        <v>2</v>
      </c>
      <c r="BA446" t="s">
        <v>2776</v>
      </c>
      <c r="BB446">
        <v>2</v>
      </c>
      <c r="BC446" t="s">
        <v>2768</v>
      </c>
      <c r="BD446">
        <v>2</v>
      </c>
      <c r="BE446" t="s">
        <v>2768</v>
      </c>
      <c r="BF446">
        <v>2</v>
      </c>
      <c r="BG446" t="s">
        <v>2776</v>
      </c>
      <c r="BH446">
        <v>2</v>
      </c>
      <c r="BI446" t="s">
        <v>2768</v>
      </c>
      <c r="BJ446">
        <v>2</v>
      </c>
      <c r="BK446" t="s">
        <v>2768</v>
      </c>
      <c r="BL446">
        <v>2</v>
      </c>
      <c r="BM446" t="s">
        <v>3009</v>
      </c>
      <c r="BN446">
        <v>2</v>
      </c>
      <c r="BO446" t="str">
        <f>IF(0,"云飞玉皇-玉山揽云","夕照雷峰")</f>
        <v>夕照雷峰</v>
      </c>
      <c r="BP446">
        <v>2</v>
      </c>
      <c r="BQ446" t="s">
        <v>2768</v>
      </c>
      <c r="BR446">
        <v>2</v>
      </c>
      <c r="BS446" t="s">
        <v>2768</v>
      </c>
      <c r="BT446">
        <v>2</v>
      </c>
      <c r="BU446" t="s">
        <v>3011</v>
      </c>
      <c r="BV446">
        <v>2</v>
      </c>
      <c r="BW446" s="182" t="s">
        <v>2808</v>
      </c>
      <c r="BX446" s="179">
        <v>2</v>
      </c>
      <c r="BY446" t="s">
        <v>3009</v>
      </c>
      <c r="BZ446">
        <v>2</v>
      </c>
      <c r="CA446" t="s">
        <v>3009</v>
      </c>
      <c r="CB446">
        <v>2</v>
      </c>
    </row>
    <row r="447" spans="1:80">
      <c r="A447" s="178" t="str">
        <f ca="1">IFERROR(IF(A446+加速!$L$11&lt;$AS$1,IF(COUNTIF(B446,"*轻*")&gt;0,A446+加速!$L$9,A446+加速!$L$11)+V446,IF(COUNTIF(INDEX(AU447:CB447,1,$AT$1),"*云景*")+COUNTIF(INDEX(AU447:CB447,1,$AT$1),"*鹤归*")+COUNTIF(INDEX(AU447:CB447,1,$AT$1),"*听雷*")&gt;0,A446+加速!$L$11,"")),"")</f>
        <v/>
      </c>
      <c r="B447" s="167" t="str">
        <f ca="1">IF(A447&lt;&gt;"",IF(AND(A447+加速!$L$11&gt;$AS$1,IF(AND(配装计算器!$K$30&lt;&gt;"∞",0),"梦泉虎跑-轻",INDEX(AU447:CB447,1,$AT$1))="云栖松"),"夕照雷峰",IF(AND(配装计算器!$K$30&lt;&gt;"∞",0),"梦泉虎跑-轻",INDEX(AU447:CB447,1,$AT$1))),"")</f>
        <v/>
      </c>
      <c r="C447" t="str">
        <f ca="1" t="shared" si="87"/>
        <v/>
      </c>
      <c r="D447" t="str">
        <f ca="1">IF(B447&lt;&gt;"",IF(C446&lt;=加速!$L$11*(1-E447),0,1),"")</f>
        <v/>
      </c>
      <c r="E447">
        <f ca="1" t="shared" si="83"/>
        <v>1</v>
      </c>
      <c r="G447" t="str">
        <f ca="1" t="shared" si="84"/>
        <v/>
      </c>
      <c r="H447" t="str">
        <f ca="1">IF(B447&lt;&gt;"",IF(AND(COUNTIF(B446,"*轻*莺鸣柳*")&gt;0,COUNTIF(B447,"*轻*")&lt;1),MAX(0,15+I446-(A447-A446)+COUNTIF(B446,"*平湖*")*0),IF(AND(E447=0,MAX(0,H446-(A447-A446))&lt;=加速!$H$11),0,MAX(0,H446-(A447-A446)))),"")</f>
        <v/>
      </c>
      <c r="I447" t="str">
        <f ca="1" t="shared" si="90"/>
        <v/>
      </c>
      <c r="J447" t="str">
        <f ca="1" t="shared" si="91"/>
        <v/>
      </c>
      <c r="K447" t="str">
        <f ca="1">IF(A447&lt;&gt;"",IF(AND(配装计算器!$K$30&lt;&gt;"∞",0),2,INDEX(AU447:CB447,1,$AT$2)),"")</f>
        <v/>
      </c>
      <c r="L447">
        <f ca="1">IFERROR(IF(AND(COUNTIF(B447,"*-峰插*"),技能数据库!$M$72&gt;0),0,IF(COUNTIF(B447,"*鹤归*")&gt;0,16-加速!$L$11,MAX(0,L446-(A447-A446)))),0)</f>
        <v>0</v>
      </c>
      <c r="M447">
        <f ca="1">IF(COUNTIF(IF(AND(配装计算器!$K$30&lt;&gt;"∞",0),INDEX(AU446:CB446,1,$AT$1),INDEX(AU448:CB448,1,$AT$1)),"*鹤归*")=1,L447,0)</f>
        <v>0</v>
      </c>
      <c r="N447">
        <f ca="1">IFERROR(IF(AND(COUNTIF(B447,"*-峰插*"),技能数据库!$M$72&gt;0),0,IF(COUNTIF(B447,"*云飞*")&gt;0,4-COUNTIF(B447,"*玉山揽云*")*4--COUNTIF(B447,"*烟流暮景*")*4-COUNTIF(B447,"*云景*")*加速!$L$11-IF(J447&gt;0,2,0),MAX(0,N446-(A447-A446)-IF(J447&gt;0,2,0)))),0)</f>
        <v>0</v>
      </c>
      <c r="O447">
        <f ca="1">IF(AND(COUNTIF(IF(AND(配装计算器!$K$30&lt;&gt;"∞",0),INDEX(AU446:CB446,1,$AT$1),INDEX(AU448:CB448,1,$AT$1)),"*云飞*")=1,COUNTIF(IF(AND(配装计算器!$K$30&lt;&gt;"∞",0),INDEX(AU446:CB446,1,$AT$1),INDEX(AU448:CB448,1,$AT$1)),"*玉山*")=0),N447,0)</f>
        <v>0</v>
      </c>
      <c r="P447">
        <f ca="1">IFERROR(IF(COUNTIF(B447,"*云栖松*")&gt;0,50-加速!$L$11,MAX(0,P446-(A447-A446))),0)</f>
        <v>0</v>
      </c>
      <c r="Q447">
        <f ca="1">IF(COUNTIF(IF(AND(配装计算器!$K$30&lt;&gt;"∞",0),INDEX(AU446:CB446,1,$AT$1),INDEX(AU448:CB448,1,$AT$1)),"*云栖松*")=1,P447,0)</f>
        <v>0</v>
      </c>
      <c r="R447">
        <f ca="1">IFERROR(IF(COUNTIF(B447,"*莺鸣柳*")&gt;0,45-加速!$L$9,MAX(0,R446-(A447-A446))),0)</f>
        <v>0</v>
      </c>
      <c r="S447">
        <f ca="1">IF(COUNTIF(IF(AND(配装计算器!$K$30&lt;&gt;"∞",0),INDEX(AU446:CB446,1,$AT$1),INDEX(AU448:CB448,1,$AT$1)),"*莺鸣柳*")=1,R447,0)</f>
        <v>0</v>
      </c>
      <c r="T447">
        <f ca="1" t="shared" si="88"/>
        <v>0</v>
      </c>
      <c r="U447">
        <f ca="1">IF(金蛇,IF(COUNTIF(B447,"*金环戴*")+COUNTIF(B447,"*吹风醒*")&gt;0,IF(A447&lt;=3,7.125-2.625-A447-加速!$L$11,7.125+加速!$K$9-(A447+加速!$L$11-T447)),0),0)+IF(金蛇,IF(COUNTIF(B447,"*千切子裂光*")&gt;0,2+加速!$K$9-(A447+加速!$L$11-T447),0),0)</f>
        <v>0</v>
      </c>
      <c r="V447">
        <f ca="1" t="shared" si="89"/>
        <v>0</v>
      </c>
      <c r="W447">
        <f ca="1" t="shared" si="81"/>
        <v>0</v>
      </c>
      <c r="X447">
        <f ca="1">INDEX(加速!$I$13:$I$21,技能数计算!W447+1)</f>
        <v>0</v>
      </c>
      <c r="Y447">
        <f ca="1" t="shared" si="85"/>
        <v>0.5</v>
      </c>
      <c r="Z447">
        <f ca="1" t="shared" si="86"/>
        <v>0</v>
      </c>
      <c r="AA447">
        <f ca="1">MAX(0,IFERROR(IF(COUNTIF(B447,"*叠*")&gt;0,IF(AC446&lt;3,8-A448+A447,AA446+6.875-A448+A447),AA446-A448+A447),AA446-加速!$L$11))</f>
        <v>0</v>
      </c>
      <c r="AB447" t="e">
        <f ca="1">MAX(0,IF(COUNTIF(IF(AND(配装计算器!$K$30&lt;&gt;"∞",0),INDEX(AU447:CB447,1,$AT$1),INDEX(AU447:CB447,1,$AT$1)),"*叠1*")=1,4*25-加速!$L$11,AB446-A447+A446)-IF(OR(COUNTIF(OFFSET(AT447,0,$AT$1,1,1),"*听雷*")&gt;0,AND(碧归&gt;0,COUNTIF(OFFSET(AT447,0,$AT$1,1,1),"*风来*")&gt;0)),0,1)*1.5)</f>
        <v>#VALUE!</v>
      </c>
      <c r="AC447">
        <f ca="1" t="shared" si="82"/>
        <v>3</v>
      </c>
      <c r="AD447">
        <f ca="1">IF(COUNTIF(IF(AND(配装计算器!$K$30&lt;&gt;"∞",0),INDEX(AU447:CB447,1,$AT$1),INDEX(AU448:CB448,1,$AT$1)),"*叠1*")=1,AB447*0+AE446,0)</f>
        <v>0</v>
      </c>
      <c r="AE447" t="e">
        <f ca="1">IF($AN$11&gt;0,IF(COUNTIF(B448,"*叠1*")&gt;0,50-加速!$H$11,MAX(0,AE446-(A448-A447))),0)</f>
        <v>#VALUE!</v>
      </c>
      <c r="AU447" t="s">
        <v>2768</v>
      </c>
      <c r="AV447">
        <v>1</v>
      </c>
      <c r="AW447" t="s">
        <v>2768</v>
      </c>
      <c r="AX447">
        <v>2</v>
      </c>
      <c r="AY447" t="s">
        <v>3035</v>
      </c>
      <c r="AZ447">
        <v>2</v>
      </c>
      <c r="BA447" t="s">
        <v>2768</v>
      </c>
      <c r="BB447">
        <v>2</v>
      </c>
      <c r="BC447" t="s">
        <v>2776</v>
      </c>
      <c r="BD447">
        <v>2</v>
      </c>
      <c r="BE447" t="s">
        <v>2776</v>
      </c>
      <c r="BF447">
        <v>2</v>
      </c>
      <c r="BG447" t="s">
        <v>2768</v>
      </c>
      <c r="BH447">
        <v>2</v>
      </c>
      <c r="BI447" t="s">
        <v>2776</v>
      </c>
      <c r="BJ447">
        <v>1</v>
      </c>
      <c r="BK447" t="s">
        <v>2768</v>
      </c>
      <c r="BL447">
        <v>2</v>
      </c>
      <c r="BM447" t="s">
        <v>2776</v>
      </c>
      <c r="BN447">
        <v>2</v>
      </c>
      <c r="BO447" t="str">
        <f>IF(0,"云飞玉皇-玉山揽云","夕照雷峰")</f>
        <v>夕照雷峰</v>
      </c>
      <c r="BP447">
        <v>2</v>
      </c>
      <c r="BQ447" t="s">
        <v>3010</v>
      </c>
      <c r="BR447">
        <v>2</v>
      </c>
      <c r="BS447" t="s">
        <v>2776</v>
      </c>
      <c r="BT447">
        <v>1</v>
      </c>
      <c r="BU447" t="s">
        <v>2768</v>
      </c>
      <c r="BV447">
        <v>2</v>
      </c>
      <c r="BW447" s="179" t="s">
        <v>2768</v>
      </c>
      <c r="BX447" s="179">
        <v>2</v>
      </c>
      <c r="BY447" s="176" t="s">
        <v>2794</v>
      </c>
      <c r="BZ447">
        <v>2</v>
      </c>
      <c r="CA447" s="176" t="s">
        <v>2794</v>
      </c>
      <c r="CB447">
        <v>2</v>
      </c>
    </row>
    <row r="448" spans="1:80">
      <c r="A448" s="178" t="str">
        <f ca="1">IFERROR(IF(A447+加速!$L$11&lt;$AS$1,IF(COUNTIF(B447,"*轻*")&gt;0,A447+加速!$L$9,A447+加速!$L$11)+V447,IF(COUNTIF(INDEX(AU448:CB448,1,$AT$1),"*云景*")+COUNTIF(INDEX(AU448:CB448,1,$AT$1),"*鹤归*")+COUNTIF(INDEX(AU448:CB448,1,$AT$1),"*听雷*")&gt;0,A447+加速!$L$11,"")),"")</f>
        <v/>
      </c>
      <c r="B448" s="167" t="str">
        <f ca="1">IF(A448&lt;&gt;"",IF(AND(A448+加速!$L$11&gt;$AS$1,IF(AND(配装计算器!$K$30&lt;&gt;"∞",0),"梦泉虎跑-轻",INDEX(AU448:CB448,1,$AT$1))="云栖松"),"夕照雷峰",IF(AND(配装计算器!$K$30&lt;&gt;"∞",0),"梦泉虎跑-轻",INDEX(AU448:CB448,1,$AT$1))),"")</f>
        <v/>
      </c>
      <c r="C448" t="str">
        <f ca="1" t="shared" si="87"/>
        <v/>
      </c>
      <c r="D448" t="str">
        <f ca="1">IF(B448&lt;&gt;"",IF(C447&lt;=加速!$L$11*(1-E448),0,1),"")</f>
        <v/>
      </c>
      <c r="E448">
        <f ca="1" t="shared" si="83"/>
        <v>1</v>
      </c>
      <c r="G448" t="str">
        <f ca="1" t="shared" si="84"/>
        <v/>
      </c>
      <c r="H448" t="str">
        <f ca="1">IF(B448&lt;&gt;"",IF(AND(COUNTIF(B447,"*轻*莺鸣柳*")&gt;0,COUNTIF(B448,"*轻*")&lt;1),MAX(0,15+I447-(A448-A447)+COUNTIF(B447,"*平湖*")*0),IF(AND(E448=0,MAX(0,H447-(A448-A447))&lt;=加速!$H$11),0,MAX(0,H447-(A448-A447)))),"")</f>
        <v/>
      </c>
      <c r="I448" t="str">
        <f ca="1" t="shared" si="90"/>
        <v/>
      </c>
      <c r="J448" t="str">
        <f ca="1" t="shared" si="91"/>
        <v/>
      </c>
      <c r="K448" t="str">
        <f ca="1">IF(A448&lt;&gt;"",IF(AND(配装计算器!$K$30&lt;&gt;"∞",0),2,INDEX(AU448:CB448,1,$AT$2)),"")</f>
        <v/>
      </c>
      <c r="L448">
        <f ca="1">IFERROR(IF(AND(COUNTIF(B448,"*-峰插*"),技能数据库!$M$72&gt;0),0,IF(COUNTIF(B448,"*鹤归*")&gt;0,16-加速!$L$11,MAX(0,L447-(A448-A447)))),0)</f>
        <v>0</v>
      </c>
      <c r="M448">
        <f ca="1">IF(COUNTIF(IF(AND(配装计算器!$K$30&lt;&gt;"∞",0),INDEX(AU447:CB447,1,$AT$1),INDEX(AU449:CB449,1,$AT$1)),"*鹤归*")=1,L448,0)</f>
        <v>0</v>
      </c>
      <c r="N448">
        <f ca="1">IFERROR(IF(AND(COUNTIF(B448,"*-峰插*"),技能数据库!$M$72&gt;0),0,IF(COUNTIF(B448,"*云飞*")&gt;0,4-COUNTIF(B448,"*玉山揽云*")*4--COUNTIF(B448,"*烟流暮景*")*4-COUNTIF(B448,"*云景*")*加速!$L$11-IF(J448&gt;0,2,0),MAX(0,N447-(A448-A447)-IF(J448&gt;0,2,0)))),0)</f>
        <v>0</v>
      </c>
      <c r="O448">
        <f ca="1">IF(AND(COUNTIF(IF(AND(配装计算器!$K$30&lt;&gt;"∞",0),INDEX(AU447:CB447,1,$AT$1),INDEX(AU449:CB449,1,$AT$1)),"*云飞*")=1,COUNTIF(IF(AND(配装计算器!$K$30&lt;&gt;"∞",0),INDEX(AU447:CB447,1,$AT$1),INDEX(AU449:CB449,1,$AT$1)),"*玉山*")=0),N448,0)</f>
        <v>0</v>
      </c>
      <c r="P448">
        <f ca="1">IFERROR(IF(COUNTIF(B448,"*云栖松*")&gt;0,50-加速!$L$11,MAX(0,P447-(A448-A447))),0)</f>
        <v>0</v>
      </c>
      <c r="Q448">
        <f ca="1">IF(COUNTIF(IF(AND(配装计算器!$K$30&lt;&gt;"∞",0),INDEX(AU447:CB447,1,$AT$1),INDEX(AU449:CB449,1,$AT$1)),"*云栖松*")=1,P448,0)</f>
        <v>0</v>
      </c>
      <c r="R448">
        <f ca="1">IFERROR(IF(COUNTIF(B448,"*莺鸣柳*")&gt;0,45-加速!$L$9,MAX(0,R447-(A448-A447))),0)</f>
        <v>0</v>
      </c>
      <c r="S448">
        <f ca="1">IF(COUNTIF(IF(AND(配装计算器!$K$30&lt;&gt;"∞",0),INDEX(AU447:CB447,1,$AT$1),INDEX(AU449:CB449,1,$AT$1)),"*莺鸣柳*")=1,R448,0)</f>
        <v>0</v>
      </c>
      <c r="T448">
        <f ca="1" t="shared" si="88"/>
        <v>0</v>
      </c>
      <c r="U448">
        <f ca="1">IF(金蛇,IF(COUNTIF(B448,"*金环戴*")+COUNTIF(B448,"*吹风醒*")&gt;0,IF(A448&lt;=3,7.125-2.625-A448-加速!$L$11,7.125+加速!$K$9-(A448+加速!$L$11-T448)),0),0)+IF(金蛇,IF(COUNTIF(B448,"*千切子裂光*")&gt;0,2+加速!$K$9-(A448+加速!$L$11-T448),0),0)</f>
        <v>0</v>
      </c>
      <c r="V448">
        <f ca="1" t="shared" si="89"/>
        <v>0</v>
      </c>
      <c r="W448">
        <f ca="1" t="shared" si="81"/>
        <v>0</v>
      </c>
      <c r="X448">
        <f ca="1">INDEX(加速!$I$13:$I$21,技能数计算!W448+1)</f>
        <v>0</v>
      </c>
      <c r="Y448">
        <f ca="1" t="shared" si="85"/>
        <v>0.5</v>
      </c>
      <c r="Z448">
        <f ca="1" t="shared" si="86"/>
        <v>0</v>
      </c>
      <c r="AA448">
        <f ca="1">MAX(0,IFERROR(IF(COUNTIF(B448,"*叠*")&gt;0,IF(AC447&lt;3,8-A449+A448,AA447+6.875-A449+A448),AA447-A449+A448),AA447-加速!$L$11))</f>
        <v>0</v>
      </c>
      <c r="AB448" t="e">
        <f ca="1">MAX(0,IF(COUNTIF(IF(AND(配装计算器!$K$30&lt;&gt;"∞",0),INDEX(AU448:CB448,1,$AT$1),INDEX(AU448:CB448,1,$AT$1)),"*叠1*")=1,4*25-加速!$L$11,AB447-A448+A447)-IF(OR(COUNTIF(OFFSET(AT448,0,$AT$1,1,1),"*听雷*")&gt;0,AND(碧归&gt;0,COUNTIF(OFFSET(AT448,0,$AT$1,1,1),"*风来*")&gt;0)),0,1)*1.5)</f>
        <v>#VALUE!</v>
      </c>
      <c r="AC448">
        <f ca="1" t="shared" si="82"/>
        <v>3</v>
      </c>
      <c r="AD448">
        <f ca="1">IF(COUNTIF(IF(AND(配装计算器!$K$30&lt;&gt;"∞",0),INDEX(AU448:CB448,1,$AT$1),INDEX(AU449:CB449,1,$AT$1)),"*叠1*")=1,AB448*0+AE447,0)</f>
        <v>0</v>
      </c>
      <c r="AE448" t="e">
        <f ca="1">IF($AN$11&gt;0,IF(COUNTIF(B449,"*叠1*")&gt;0,50-加速!$H$11,MAX(0,AE447-(A449-A448))),0)</f>
        <v>#VALUE!</v>
      </c>
      <c r="AU448" t="s">
        <v>3063</v>
      </c>
      <c r="AV448">
        <v>2</v>
      </c>
      <c r="AW448" t="str">
        <f>IF(山重水复,"风来吴山","夕照雷峰")</f>
        <v>夕照雷峰</v>
      </c>
      <c r="AX448">
        <v>2</v>
      </c>
      <c r="AY448" t="s">
        <v>2768</v>
      </c>
      <c r="AZ448">
        <v>2</v>
      </c>
      <c r="BA448" t="s">
        <v>2776</v>
      </c>
      <c r="BB448">
        <v>2</v>
      </c>
      <c r="BC448" t="s">
        <v>2768</v>
      </c>
      <c r="BD448">
        <v>1</v>
      </c>
      <c r="BE448" t="s">
        <v>2768</v>
      </c>
      <c r="BF448">
        <v>2</v>
      </c>
      <c r="BG448" t="s">
        <v>2776</v>
      </c>
      <c r="BH448">
        <v>2</v>
      </c>
      <c r="BI448" t="s">
        <v>2768</v>
      </c>
      <c r="BJ448">
        <v>1</v>
      </c>
      <c r="BK448" s="176" t="s">
        <v>3056</v>
      </c>
      <c r="BL448">
        <v>2</v>
      </c>
      <c r="BM448" t="s">
        <v>2768</v>
      </c>
      <c r="BN448">
        <v>2</v>
      </c>
      <c r="BO448" t="str">
        <f>IF(0,"云飞玉皇-玉山揽云","云飞玉皇")</f>
        <v>云飞玉皇</v>
      </c>
      <c r="BP448">
        <v>2</v>
      </c>
      <c r="BQ448" t="s">
        <v>3013</v>
      </c>
      <c r="BR448">
        <v>2</v>
      </c>
      <c r="BS448" t="s">
        <v>2768</v>
      </c>
      <c r="BT448">
        <v>1</v>
      </c>
      <c r="BU448" t="s">
        <v>3018</v>
      </c>
      <c r="BV448">
        <v>2</v>
      </c>
      <c r="BW448" s="179" t="s">
        <v>2776</v>
      </c>
      <c r="BX448" s="179">
        <v>2</v>
      </c>
      <c r="BY448" s="176" t="s">
        <v>2776</v>
      </c>
      <c r="BZ448">
        <v>2</v>
      </c>
      <c r="CA448" s="176" t="s">
        <v>2776</v>
      </c>
      <c r="CB448">
        <v>2</v>
      </c>
    </row>
    <row r="449" spans="1:80">
      <c r="A449" s="178" t="str">
        <f ca="1">IFERROR(IF(A448+加速!$L$11&lt;$AS$1,IF(COUNTIF(B448,"*轻*")&gt;0,A448+加速!$L$9,A448+加速!$L$11)+V448,IF(COUNTIF(INDEX(AU449:CB449,1,$AT$1),"*云景*")+COUNTIF(INDEX(AU449:CB449,1,$AT$1),"*鹤归*")+COUNTIF(INDEX(AU449:CB449,1,$AT$1),"*听雷*")&gt;0,A448+加速!$L$11,"")),"")</f>
        <v/>
      </c>
      <c r="B449" s="167" t="str">
        <f ca="1">IF(A449&lt;&gt;"",IF(AND(A449+加速!$L$11&gt;$AS$1,IF(AND(配装计算器!$K$30&lt;&gt;"∞",0),"梦泉虎跑-轻",INDEX(AU449:CB449,1,$AT$1))="云栖松"),"夕照雷峰",IF(AND(配装计算器!$K$30&lt;&gt;"∞",0),"梦泉虎跑-轻",INDEX(AU449:CB449,1,$AT$1))),"")</f>
        <v/>
      </c>
      <c r="C449" t="str">
        <f ca="1" t="shared" si="87"/>
        <v/>
      </c>
      <c r="D449" t="str">
        <f ca="1">IF(B449&lt;&gt;"",IF(C448&lt;=加速!$L$11*(1-E449),0,1),"")</f>
        <v/>
      </c>
      <c r="E449">
        <f ca="1" t="shared" si="83"/>
        <v>1</v>
      </c>
      <c r="G449" t="str">
        <f ca="1" t="shared" si="84"/>
        <v/>
      </c>
      <c r="H449" t="str">
        <f ca="1">IF(B449&lt;&gt;"",IF(AND(COUNTIF(B448,"*轻*莺鸣柳*")&gt;0,COUNTIF(B449,"*轻*")&lt;1),MAX(0,15+I448-(A449-A448)+COUNTIF(B448,"*平湖*")*0),IF(AND(E449=0,MAX(0,H448-(A449-A448))&lt;=加速!$H$11),0,MAX(0,H448-(A449-A448)))),"")</f>
        <v/>
      </c>
      <c r="I449" t="str">
        <f ca="1" t="shared" si="90"/>
        <v/>
      </c>
      <c r="J449" t="str">
        <f ca="1" t="shared" si="91"/>
        <v/>
      </c>
      <c r="K449" t="str">
        <f ca="1">IF(A449&lt;&gt;"",IF(AND(配装计算器!$K$30&lt;&gt;"∞",0),2,INDEX(AU449:CB449,1,$AT$2)),"")</f>
        <v/>
      </c>
      <c r="L449">
        <f ca="1">IFERROR(IF(AND(COUNTIF(B449,"*-峰插*"),技能数据库!$M$72&gt;0),0,IF(COUNTIF(B449,"*鹤归*")&gt;0,16-加速!$L$11,MAX(0,L448-(A449-A448)))),0)</f>
        <v>0</v>
      </c>
      <c r="M449">
        <f ca="1">IF(COUNTIF(IF(AND(配装计算器!$K$30&lt;&gt;"∞",0),INDEX(AU448:CB448,1,$AT$1),INDEX(AU450:CB450,1,$AT$1)),"*鹤归*")=1,L449,0)</f>
        <v>0</v>
      </c>
      <c r="N449">
        <f ca="1">IFERROR(IF(AND(COUNTIF(B449,"*-峰插*"),技能数据库!$M$72&gt;0),0,IF(COUNTIF(B449,"*云飞*")&gt;0,4-COUNTIF(B449,"*玉山揽云*")*4--COUNTIF(B449,"*烟流暮景*")*4-COUNTIF(B449,"*云景*")*加速!$L$11-IF(J449&gt;0,2,0),MAX(0,N448-(A449-A448)-IF(J449&gt;0,2,0)))),0)</f>
        <v>0</v>
      </c>
      <c r="O449">
        <f ca="1">IF(AND(COUNTIF(IF(AND(配装计算器!$K$30&lt;&gt;"∞",0),INDEX(AU448:CB448,1,$AT$1),INDEX(AU450:CB450,1,$AT$1)),"*云飞*")=1,COUNTIF(IF(AND(配装计算器!$K$30&lt;&gt;"∞",0),INDEX(AU448:CB448,1,$AT$1),INDEX(AU450:CB450,1,$AT$1)),"*玉山*")=0),N449,0)</f>
        <v>0</v>
      </c>
      <c r="P449">
        <f ca="1">IFERROR(IF(COUNTIF(B449,"*云栖松*")&gt;0,50-加速!$L$11,MAX(0,P448-(A449-A448))),0)</f>
        <v>0</v>
      </c>
      <c r="Q449">
        <f ca="1">IF(COUNTIF(IF(AND(配装计算器!$K$30&lt;&gt;"∞",0),INDEX(AU448:CB448,1,$AT$1),INDEX(AU450:CB450,1,$AT$1)),"*云栖松*")=1,P449,0)</f>
        <v>0</v>
      </c>
      <c r="R449">
        <f ca="1">IFERROR(IF(COUNTIF(B449,"*莺鸣柳*")&gt;0,45-加速!$L$9,MAX(0,R448-(A449-A448))),0)</f>
        <v>0</v>
      </c>
      <c r="S449">
        <f ca="1">IF(COUNTIF(IF(AND(配装计算器!$K$30&lt;&gt;"∞",0),INDEX(AU448:CB448,1,$AT$1),INDEX(AU450:CB450,1,$AT$1)),"*莺鸣柳*")=1,R449,0)</f>
        <v>0</v>
      </c>
      <c r="T449">
        <f ca="1" t="shared" si="88"/>
        <v>0</v>
      </c>
      <c r="U449">
        <f ca="1">IF(金蛇,IF(COUNTIF(B449,"*金环戴*")+COUNTIF(B449,"*吹风醒*")&gt;0,IF(A449&lt;=3,7.125-2.625-A449-加速!$L$11,7.125+加速!$K$9-(A449+加速!$L$11-T449)),0),0)+IF(金蛇,IF(COUNTIF(B449,"*千切子裂光*")&gt;0,2+加速!$K$9-(A449+加速!$L$11-T449),0),0)</f>
        <v>0</v>
      </c>
      <c r="V449">
        <f ca="1" t="shared" si="89"/>
        <v>0</v>
      </c>
      <c r="W449">
        <f ca="1" t="shared" si="81"/>
        <v>0</v>
      </c>
      <c r="X449">
        <f ca="1">INDEX(加速!$I$13:$I$21,技能数计算!W449+1)</f>
        <v>0</v>
      </c>
      <c r="Y449">
        <f ca="1" t="shared" si="85"/>
        <v>0.5</v>
      </c>
      <c r="Z449">
        <f ca="1" t="shared" si="86"/>
        <v>0</v>
      </c>
      <c r="AA449">
        <f ca="1">MAX(0,IFERROR(IF(COUNTIF(B449,"*叠*")&gt;0,IF(AC448&lt;3,8-A450+A449,AA448+6.875-A450+A449),AA448-A450+A449),AA448-加速!$L$11))</f>
        <v>0</v>
      </c>
      <c r="AB449" t="e">
        <f ca="1">MAX(0,IF(COUNTIF(IF(AND(配装计算器!$K$30&lt;&gt;"∞",0),INDEX(AU449:CB449,1,$AT$1),INDEX(AU449:CB449,1,$AT$1)),"*叠1*")=1,4*25-加速!$L$11,AB448-A449+A448)-IF(OR(COUNTIF(OFFSET(AT449,0,$AT$1,1,1),"*听雷*")&gt;0,AND(碧归&gt;0,COUNTIF(OFFSET(AT449,0,$AT$1,1,1),"*风来*")&gt;0)),0,1)*1.5)</f>
        <v>#VALUE!</v>
      </c>
      <c r="AC449">
        <f ca="1" t="shared" si="82"/>
        <v>3</v>
      </c>
      <c r="AD449">
        <f ca="1">IF(COUNTIF(IF(AND(配装计算器!$K$30&lt;&gt;"∞",0),INDEX(AU449:CB449,1,$AT$1),INDEX(AU450:CB450,1,$AT$1)),"*叠1*")=1,AB449*0+AE448,0)</f>
        <v>0</v>
      </c>
      <c r="AE449" t="e">
        <f ca="1">IF($AN$11&gt;0,IF(COUNTIF(B450,"*叠1*")&gt;0,50-加速!$H$11,MAX(0,AE448-(A450-A449))),0)</f>
        <v>#VALUE!</v>
      </c>
      <c r="AU449" t="s">
        <v>2776</v>
      </c>
      <c r="AV449">
        <v>1</v>
      </c>
      <c r="AW449" s="176" t="s">
        <v>2794</v>
      </c>
      <c r="AX449">
        <v>2</v>
      </c>
      <c r="AY449" t="s">
        <v>2776</v>
      </c>
      <c r="AZ449">
        <v>2</v>
      </c>
      <c r="BA449" t="s">
        <v>3042</v>
      </c>
      <c r="BB449">
        <v>2</v>
      </c>
      <c r="BC449" t="s">
        <v>2768</v>
      </c>
      <c r="BD449">
        <v>1</v>
      </c>
      <c r="BE449" t="s">
        <v>2776</v>
      </c>
      <c r="BF449">
        <v>2</v>
      </c>
      <c r="BG449" t="s">
        <v>2768</v>
      </c>
      <c r="BH449">
        <v>2</v>
      </c>
      <c r="BI449" t="s">
        <v>2776</v>
      </c>
      <c r="BJ449">
        <v>0</v>
      </c>
      <c r="BK449" s="176" t="s">
        <v>2768</v>
      </c>
      <c r="BL449">
        <v>2</v>
      </c>
      <c r="BM449" t="str">
        <f>IF(山重水复,"风来吴山","夕照雷峰")</f>
        <v>夕照雷峰</v>
      </c>
      <c r="BN449">
        <v>2</v>
      </c>
      <c r="BO449" s="176" t="s">
        <v>2794</v>
      </c>
      <c r="BP449">
        <v>2</v>
      </c>
      <c r="BQ449" t="s">
        <v>3018</v>
      </c>
      <c r="BR449">
        <v>2</v>
      </c>
      <c r="BS449" t="s">
        <v>3056</v>
      </c>
      <c r="BT449">
        <v>0</v>
      </c>
      <c r="BU449" t="s">
        <v>2768</v>
      </c>
      <c r="BV449">
        <v>2</v>
      </c>
      <c r="BW449" s="179" t="s">
        <v>2768</v>
      </c>
      <c r="BX449" s="179">
        <v>2</v>
      </c>
      <c r="BY449" s="176" t="s">
        <v>2768</v>
      </c>
      <c r="BZ449">
        <v>2</v>
      </c>
      <c r="CA449" s="176" t="s">
        <v>2768</v>
      </c>
      <c r="CB449">
        <v>2</v>
      </c>
    </row>
    <row r="450" spans="1:80">
      <c r="A450" s="178" t="str">
        <f ca="1">IFERROR(IF(A449+加速!$L$11&lt;$AS$1,IF(COUNTIF(B449,"*轻*")&gt;0,A449+加速!$L$9,A449+加速!$L$11)+V449,IF(COUNTIF(INDEX(AU450:CB450,1,$AT$1),"*云景*")+COUNTIF(INDEX(AU450:CB450,1,$AT$1),"*鹤归*")+COUNTIF(INDEX(AU450:CB450,1,$AT$1),"*听雷*")&gt;0,A449+加速!$L$11,"")),"")</f>
        <v/>
      </c>
      <c r="B450" s="167" t="str">
        <f ca="1">IF(A450&lt;&gt;"",IF(AND(A450+加速!$L$11&gt;$AS$1,IF(AND(配装计算器!$K$30&lt;&gt;"∞",0),"梦泉虎跑-轻",INDEX(AU450:CB450,1,$AT$1))="云栖松"),"夕照雷峰",IF(AND(配装计算器!$K$30&lt;&gt;"∞",0),"梦泉虎跑-轻",INDEX(AU450:CB450,1,$AT$1))),"")</f>
        <v/>
      </c>
      <c r="C450" t="str">
        <f ca="1" t="shared" si="87"/>
        <v/>
      </c>
      <c r="D450" t="str">
        <f ca="1">IF(B450&lt;&gt;"",IF(C449&lt;=加速!$L$11*(1-E450),0,1),"")</f>
        <v/>
      </c>
      <c r="E450">
        <f ca="1" t="shared" si="83"/>
        <v>1</v>
      </c>
      <c r="G450" t="str">
        <f ca="1" t="shared" si="84"/>
        <v/>
      </c>
      <c r="H450" t="str">
        <f ca="1">IF(B450&lt;&gt;"",IF(AND(COUNTIF(B449,"*轻*莺鸣柳*")&gt;0,COUNTIF(B450,"*轻*")&lt;1),MAX(0,15+I449-(A450-A449)+COUNTIF(B449,"*平湖*")*0),IF(AND(E450=0,MAX(0,H449-(A450-A449))&lt;=加速!$H$11),0,MAX(0,H449-(A450-A449)))),"")</f>
        <v/>
      </c>
      <c r="I450" t="str">
        <f ca="1" t="shared" si="90"/>
        <v/>
      </c>
      <c r="J450" t="str">
        <f ca="1" t="shared" si="91"/>
        <v/>
      </c>
      <c r="K450" t="str">
        <f ca="1">IF(A450&lt;&gt;"",IF(AND(配装计算器!$K$30&lt;&gt;"∞",0),2,INDEX(AU450:CB450,1,$AT$2)),"")</f>
        <v/>
      </c>
      <c r="L450">
        <f ca="1">IFERROR(IF(AND(COUNTIF(B450,"*-峰插*"),技能数据库!$M$72&gt;0),0,IF(COUNTIF(B450,"*鹤归*")&gt;0,16-加速!$L$11,MAX(0,L449-(A450-A449)))),0)</f>
        <v>0</v>
      </c>
      <c r="M450">
        <f ca="1">IF(COUNTIF(IF(AND(配装计算器!$K$30&lt;&gt;"∞",0),INDEX(AU449:CB449,1,$AT$1),INDEX(AU451:CB451,1,$AT$1)),"*鹤归*")=1,L450,0)</f>
        <v>0</v>
      </c>
      <c r="N450">
        <f ca="1">IFERROR(IF(AND(COUNTIF(B450,"*-峰插*"),技能数据库!$M$72&gt;0),0,IF(COUNTIF(B450,"*云飞*")&gt;0,4-COUNTIF(B450,"*玉山揽云*")*4--COUNTIF(B450,"*烟流暮景*")*4-COUNTIF(B450,"*云景*")*加速!$L$11-IF(J450&gt;0,2,0),MAX(0,N449-(A450-A449)-IF(J450&gt;0,2,0)))),0)</f>
        <v>0</v>
      </c>
      <c r="O450">
        <f ca="1">IF(AND(COUNTIF(IF(AND(配装计算器!$K$30&lt;&gt;"∞",0),INDEX(AU449:CB449,1,$AT$1),INDEX(AU451:CB451,1,$AT$1)),"*云飞*")=1,COUNTIF(IF(AND(配装计算器!$K$30&lt;&gt;"∞",0),INDEX(AU449:CB449,1,$AT$1),INDEX(AU451:CB451,1,$AT$1)),"*玉山*")=0),N450,0)</f>
        <v>0</v>
      </c>
      <c r="P450">
        <f ca="1">IFERROR(IF(COUNTIF(B450,"*云栖松*")&gt;0,50-加速!$L$11,MAX(0,P449-(A450-A449))),0)</f>
        <v>0</v>
      </c>
      <c r="Q450">
        <f ca="1">IF(COUNTIF(IF(AND(配装计算器!$K$30&lt;&gt;"∞",0),INDEX(AU449:CB449,1,$AT$1),INDEX(AU451:CB451,1,$AT$1)),"*云栖松*")=1,P450,0)</f>
        <v>0</v>
      </c>
      <c r="R450">
        <f ca="1">IFERROR(IF(COUNTIF(B450,"*莺鸣柳*")&gt;0,45-加速!$L$9,MAX(0,R449-(A450-A449))),0)</f>
        <v>0</v>
      </c>
      <c r="S450">
        <f ca="1">IF(COUNTIF(IF(AND(配装计算器!$K$30&lt;&gt;"∞",0),INDEX(AU449:CB449,1,$AT$1),INDEX(AU451:CB451,1,$AT$1)),"*莺鸣柳*")=1,R450,0)</f>
        <v>0</v>
      </c>
      <c r="T450">
        <f ca="1" t="shared" si="88"/>
        <v>0</v>
      </c>
      <c r="U450">
        <f ca="1">IF(金蛇,IF(COUNTIF(B450,"*金环戴*")+COUNTIF(B450,"*吹风醒*")&gt;0,IF(A450&lt;=3,7.125-2.625-A450-加速!$L$11,7.125+加速!$K$9-(A450+加速!$L$11-T450)),0),0)+IF(金蛇,IF(COUNTIF(B450,"*千切子裂光*")&gt;0,2+加速!$K$9-(A450+加速!$L$11-T450),0),0)</f>
        <v>0</v>
      </c>
      <c r="V450">
        <f ca="1" t="shared" si="89"/>
        <v>0</v>
      </c>
      <c r="W450">
        <f ca="1" t="shared" si="81"/>
        <v>0</v>
      </c>
      <c r="X450">
        <f ca="1">INDEX(加速!$I$13:$I$21,技能数计算!W450+1)</f>
        <v>0</v>
      </c>
      <c r="Y450">
        <f ca="1" t="shared" si="85"/>
        <v>0.5</v>
      </c>
      <c r="Z450">
        <f ca="1" t="shared" si="86"/>
        <v>0</v>
      </c>
      <c r="AA450">
        <f ca="1">MAX(0,IFERROR(IF(COUNTIF(B450,"*叠*")&gt;0,IF(AC449&lt;3,8-A451+A450,AA449+6.875-A451+A450),AA449-A451+A450),AA449-加速!$L$11))</f>
        <v>0</v>
      </c>
      <c r="AB450" t="e">
        <f ca="1">MAX(0,IF(COUNTIF(IF(AND(配装计算器!$K$30&lt;&gt;"∞",0),INDEX(AU450:CB450,1,$AT$1),INDEX(AU450:CB450,1,$AT$1)),"*叠1*")=1,4*25-加速!$L$11,AB449-A450+A449)-IF(OR(COUNTIF(OFFSET(AT450,0,$AT$1,1,1),"*听雷*")&gt;0,AND(碧归&gt;0,COUNTIF(OFFSET(AT450,0,$AT$1,1,1),"*风来*")&gt;0)),0,1)*1.5)</f>
        <v>#VALUE!</v>
      </c>
      <c r="AC450">
        <f ca="1" t="shared" si="82"/>
        <v>3</v>
      </c>
      <c r="AD450">
        <f ca="1">IF(COUNTIF(IF(AND(配装计算器!$K$30&lt;&gt;"∞",0),INDEX(AU450:CB450,1,$AT$1),INDEX(AU451:CB451,1,$AT$1)),"*叠1*")=1,AB450*0+AE449,0)</f>
        <v>0</v>
      </c>
      <c r="AE450" t="e">
        <f ca="1">IF($AN$11&gt;0,IF(COUNTIF(B451,"*叠1*")&gt;0,50-加速!$H$11,MAX(0,AE449-(A451-A450))),0)</f>
        <v>#VALUE!</v>
      </c>
      <c r="AU450" t="s">
        <v>2768</v>
      </c>
      <c r="AV450">
        <v>2</v>
      </c>
      <c r="AW450" s="176" t="s">
        <v>2776</v>
      </c>
      <c r="AX450">
        <v>2</v>
      </c>
      <c r="AY450" t="s">
        <v>2768</v>
      </c>
      <c r="AZ450">
        <v>2</v>
      </c>
      <c r="BA450" t="s">
        <v>2808</v>
      </c>
      <c r="BB450">
        <v>2</v>
      </c>
      <c r="BC450" t="s">
        <v>2813</v>
      </c>
      <c r="BD450">
        <v>0</v>
      </c>
      <c r="BE450" t="s">
        <v>2768</v>
      </c>
      <c r="BF450">
        <v>2</v>
      </c>
      <c r="BG450" t="s">
        <v>2808</v>
      </c>
      <c r="BH450">
        <v>2</v>
      </c>
      <c r="BI450" t="s">
        <v>2768</v>
      </c>
      <c r="BJ450">
        <v>0</v>
      </c>
      <c r="BK450" s="176" t="s">
        <v>2768</v>
      </c>
      <c r="BL450">
        <v>2</v>
      </c>
      <c r="BM450" s="176" t="s">
        <v>2794</v>
      </c>
      <c r="BN450">
        <v>2</v>
      </c>
      <c r="BO450" s="176" t="str">
        <f>IF(0,橙武补雾锁,"夕照雷峰")</f>
        <v>夕照雷峰</v>
      </c>
      <c r="BP450">
        <v>2</v>
      </c>
      <c r="BQ450" t="s">
        <v>2768</v>
      </c>
      <c r="BR450">
        <v>2</v>
      </c>
      <c r="BS450" t="s">
        <v>2768</v>
      </c>
      <c r="BT450">
        <v>2</v>
      </c>
      <c r="BU450" s="182" t="s">
        <v>3023</v>
      </c>
      <c r="BV450">
        <v>2</v>
      </c>
      <c r="BW450" s="179" t="s">
        <v>2768</v>
      </c>
      <c r="BX450" s="179">
        <v>2</v>
      </c>
      <c r="BY450" s="176" t="s">
        <v>2776</v>
      </c>
      <c r="BZ450">
        <v>2</v>
      </c>
      <c r="CA450" s="176" t="s">
        <v>2776</v>
      </c>
      <c r="CB450">
        <v>2</v>
      </c>
    </row>
    <row r="451" spans="1:80">
      <c r="A451" s="178" t="str">
        <f ca="1">IFERROR(IF(A450+加速!$L$11&lt;$AS$1,IF(COUNTIF(B450,"*轻*")&gt;0,A450+加速!$L$9,A450+加速!$L$11)+V450,IF(COUNTIF(INDEX(AU451:CB451,1,$AT$1),"*云景*")+COUNTIF(INDEX(AU451:CB451,1,$AT$1),"*鹤归*")+COUNTIF(INDEX(AU451:CB451,1,$AT$1),"*听雷*")&gt;0,A450+加速!$L$11,"")),"")</f>
        <v/>
      </c>
      <c r="B451" s="167" t="str">
        <f ca="1">IF(A451&lt;&gt;"",IF(AND(A451+加速!$L$11&gt;$AS$1,IF(AND(配装计算器!$K$30&lt;&gt;"∞",0),"梦泉虎跑-轻",INDEX(AU451:CB451,1,$AT$1))="云栖松"),"夕照雷峰",IF(AND(配装计算器!$K$30&lt;&gt;"∞",0),"梦泉虎跑-轻",INDEX(AU451:CB451,1,$AT$1))),"")</f>
        <v/>
      </c>
      <c r="C451" t="str">
        <f ca="1" t="shared" si="87"/>
        <v/>
      </c>
      <c r="D451" t="str">
        <f ca="1">IF(B451&lt;&gt;"",IF(C450&lt;=加速!$L$11*(1-E451),0,1),"")</f>
        <v/>
      </c>
      <c r="E451">
        <f ca="1" t="shared" si="83"/>
        <v>1</v>
      </c>
      <c r="G451" t="str">
        <f ca="1" t="shared" si="84"/>
        <v/>
      </c>
      <c r="H451" t="str">
        <f ca="1">IF(B451&lt;&gt;"",IF(AND(COUNTIF(B450,"*轻*莺鸣柳*")&gt;0,COUNTIF(B451,"*轻*")&lt;1),MAX(0,15+I450-(A451-A450)+COUNTIF(B450,"*平湖*")*0),IF(AND(E451=0,MAX(0,H450-(A451-A450))&lt;=加速!$H$11),0,MAX(0,H450-(A451-A450)))),"")</f>
        <v/>
      </c>
      <c r="I451" t="str">
        <f ca="1" t="shared" si="90"/>
        <v/>
      </c>
      <c r="J451" t="str">
        <f ca="1" t="shared" si="91"/>
        <v/>
      </c>
      <c r="K451" t="str">
        <f ca="1">IF(A451&lt;&gt;"",IF(AND(配装计算器!$K$30&lt;&gt;"∞",0),2,INDEX(AU451:CB451,1,$AT$2)),"")</f>
        <v/>
      </c>
      <c r="L451">
        <f ca="1">IFERROR(IF(AND(COUNTIF(B451,"*-峰插*"),技能数据库!$M$72&gt;0),0,IF(COUNTIF(B451,"*鹤归*")&gt;0,16-加速!$L$11,MAX(0,L450-(A451-A450)))),0)</f>
        <v>0</v>
      </c>
      <c r="M451">
        <f ca="1">IF(COUNTIF(IF(AND(配装计算器!$K$30&lt;&gt;"∞",0),INDEX(AU450:CB450,1,$AT$1),INDEX(AU452:CB452,1,$AT$1)),"*鹤归*")=1,L451,0)</f>
        <v>0</v>
      </c>
      <c r="N451">
        <f ca="1">IFERROR(IF(AND(COUNTIF(B451,"*-峰插*"),技能数据库!$M$72&gt;0),0,IF(COUNTIF(B451,"*云飞*")&gt;0,4-COUNTIF(B451,"*玉山揽云*")*4--COUNTIF(B451,"*烟流暮景*")*4-COUNTIF(B451,"*云景*")*加速!$L$11-IF(J451&gt;0,2,0),MAX(0,N450-(A451-A450)-IF(J451&gt;0,2,0)))),0)</f>
        <v>0</v>
      </c>
      <c r="O451">
        <f ca="1">IF(AND(COUNTIF(IF(AND(配装计算器!$K$30&lt;&gt;"∞",0),INDEX(AU450:CB450,1,$AT$1),INDEX(AU452:CB452,1,$AT$1)),"*云飞*")=1,COUNTIF(IF(AND(配装计算器!$K$30&lt;&gt;"∞",0),INDEX(AU450:CB450,1,$AT$1),INDEX(AU452:CB452,1,$AT$1)),"*玉山*")=0),N451,0)</f>
        <v>0</v>
      </c>
      <c r="P451">
        <f ca="1">IFERROR(IF(COUNTIF(B451,"*云栖松*")&gt;0,50-加速!$L$11,MAX(0,P450-(A451-A450))),0)</f>
        <v>0</v>
      </c>
      <c r="Q451">
        <f ca="1">IF(COUNTIF(IF(AND(配装计算器!$K$30&lt;&gt;"∞",0),INDEX(AU450:CB450,1,$AT$1),INDEX(AU452:CB452,1,$AT$1)),"*云栖松*")=1,P451,0)</f>
        <v>0</v>
      </c>
      <c r="R451">
        <f ca="1">IFERROR(IF(COUNTIF(B451,"*莺鸣柳*")&gt;0,45-加速!$L$9,MAX(0,R450-(A451-A450))),0)</f>
        <v>0</v>
      </c>
      <c r="S451">
        <f ca="1">IF(COUNTIF(IF(AND(配装计算器!$K$30&lt;&gt;"∞",0),INDEX(AU450:CB450,1,$AT$1),INDEX(AU452:CB452,1,$AT$1)),"*莺鸣柳*")=1,R451,0)</f>
        <v>0</v>
      </c>
      <c r="T451">
        <f ca="1" t="shared" si="88"/>
        <v>0</v>
      </c>
      <c r="U451">
        <f ca="1">IF(金蛇,IF(COUNTIF(B451,"*金环戴*")+COUNTIF(B451,"*吹风醒*")&gt;0,IF(A451&lt;=3,7.125-2.625-A451-加速!$L$11,7.125+加速!$K$9-(A451+加速!$L$11-T451)),0),0)+IF(金蛇,IF(COUNTIF(B451,"*千切子裂光*")&gt;0,2+加速!$K$9-(A451+加速!$L$11-T451),0),0)</f>
        <v>0</v>
      </c>
      <c r="V451">
        <f ca="1" t="shared" si="89"/>
        <v>0</v>
      </c>
      <c r="W451">
        <f ca="1" t="shared" ref="W451:W515" si="93">IF(COUNTIF(B451,"*风来吴山*")&gt;0,1,IF(W450+1&gt;风车GCD,0,IF(W450&gt;0,W450+1,0)))</f>
        <v>0</v>
      </c>
      <c r="X451">
        <f ca="1">INDEX(加速!$I$13:$I$21,技能数计算!W451+1)</f>
        <v>0</v>
      </c>
      <c r="Y451">
        <f ca="1" t="shared" si="85"/>
        <v>0.5</v>
      </c>
      <c r="Z451">
        <f ca="1" t="shared" si="86"/>
        <v>0</v>
      </c>
      <c r="AA451">
        <f ca="1">MAX(0,IFERROR(IF(COUNTIF(B451,"*叠*")&gt;0,IF(AC450&lt;3,8-A452+A451,AA450+6.875-A452+A451),AA450-A452+A451),AA450-加速!$L$11))</f>
        <v>0</v>
      </c>
      <c r="AB451" t="e">
        <f ca="1">MAX(0,IF(COUNTIF(IF(AND(配装计算器!$K$30&lt;&gt;"∞",0),INDEX(AU451:CB451,1,$AT$1),INDEX(AU451:CB451,1,$AT$1)),"*叠1*")=1,4*25-加速!$L$11,AB450-A451+A450)-IF(OR(COUNTIF(OFFSET(AT451,0,$AT$1,1,1),"*听雷*")&gt;0,AND(碧归&gt;0,COUNTIF(OFFSET(AT451,0,$AT$1,1,1),"*风来*")&gt;0)),0,1)*1.5)</f>
        <v>#VALUE!</v>
      </c>
      <c r="AC451">
        <f ca="1" t="shared" ref="AC451:AC515" si="94">IF(AND(AA451=0,E451=0),0,IF(AND(COUNTIF(B451,"*叠*")&gt;0,OR(AA450=0,AA450&gt;=5)),AC450+1,AC450))</f>
        <v>3</v>
      </c>
      <c r="AD451">
        <f ca="1">IF(COUNTIF(IF(AND(配装计算器!$K$30&lt;&gt;"∞",0),INDEX(AU451:CB451,1,$AT$1),INDEX(AU452:CB452,1,$AT$1)),"*叠1*")=1,AB451*0+AE450,0)</f>
        <v>0</v>
      </c>
      <c r="AE451" t="e">
        <f ca="1">IF($AN$11&gt;0,IF(COUNTIF(B452,"*叠1*")&gt;0,50-加速!$H$11,MAX(0,AE450-(A452-A451))),0)</f>
        <v>#VALUE!</v>
      </c>
      <c r="AU451" t="s">
        <v>2768</v>
      </c>
      <c r="AV451">
        <v>2</v>
      </c>
      <c r="AW451" s="176" t="s">
        <v>2768</v>
      </c>
      <c r="AX451">
        <v>2</v>
      </c>
      <c r="AY451" t="s">
        <v>2776</v>
      </c>
      <c r="AZ451">
        <v>2</v>
      </c>
      <c r="BA451" t="s">
        <v>2768</v>
      </c>
      <c r="BB451">
        <v>2</v>
      </c>
      <c r="BC451" t="s">
        <v>2776</v>
      </c>
      <c r="BD451">
        <v>2</v>
      </c>
      <c r="BE451" t="s">
        <v>2776</v>
      </c>
      <c r="BF451">
        <v>2</v>
      </c>
      <c r="BG451" t="s">
        <v>2768</v>
      </c>
      <c r="BH451">
        <v>2</v>
      </c>
      <c r="BI451" t="s">
        <v>2768</v>
      </c>
      <c r="BJ451">
        <v>0</v>
      </c>
      <c r="BK451" s="176" t="s">
        <v>2776</v>
      </c>
      <c r="BL451">
        <v>2</v>
      </c>
      <c r="BM451" s="176" t="s">
        <v>2776</v>
      </c>
      <c r="BN451">
        <v>2</v>
      </c>
      <c r="BO451" s="176" t="s">
        <v>2776</v>
      </c>
      <c r="BP451">
        <v>2</v>
      </c>
      <c r="BQ451" t="s">
        <v>3023</v>
      </c>
      <c r="BR451">
        <v>2</v>
      </c>
      <c r="BS451" t="s">
        <v>2768</v>
      </c>
      <c r="BT451">
        <v>2</v>
      </c>
      <c r="BU451" s="186" t="str">
        <f>IF(秋,"夕照雷峰","千切子寒光")</f>
        <v>千切子寒光</v>
      </c>
      <c r="BV451">
        <v>2</v>
      </c>
      <c r="BW451" s="179" t="s">
        <v>2768</v>
      </c>
      <c r="BX451" s="179">
        <v>2</v>
      </c>
      <c r="BY451" s="176" t="s">
        <v>2768</v>
      </c>
      <c r="BZ451">
        <v>2</v>
      </c>
      <c r="CA451" s="176" t="s">
        <v>2768</v>
      </c>
      <c r="CB451">
        <v>2</v>
      </c>
    </row>
    <row r="452" spans="1:80">
      <c r="A452" s="178" t="str">
        <f ca="1">IFERROR(IF(A451+加速!$L$11&lt;$AS$1,IF(COUNTIF(B451,"*轻*")&gt;0,A451+加速!$L$9,A451+加速!$L$11)+V451,IF(COUNTIF(INDEX(AU452:CB452,1,$AT$1),"*云景*")+COUNTIF(INDEX(AU452:CB452,1,$AT$1),"*鹤归*")+COUNTIF(INDEX(AU452:CB452,1,$AT$1),"*听雷*")&gt;0,A451+加速!$L$11,"")),"")</f>
        <v/>
      </c>
      <c r="B452" s="167" t="str">
        <f ca="1">IF(A452&lt;&gt;"",IF(AND(A452+加速!$L$11&gt;$AS$1,IF(AND(配装计算器!$K$30&lt;&gt;"∞",0),"梦泉虎跑-轻",INDEX(AU452:CB452,1,$AT$1))="云栖松"),"夕照雷峰",IF(AND(配装计算器!$K$30&lt;&gt;"∞",0),"梦泉虎跑-轻",INDEX(AU452:CB452,1,$AT$1))),"")</f>
        <v/>
      </c>
      <c r="C452" t="str">
        <f ca="1" t="shared" si="87"/>
        <v/>
      </c>
      <c r="D452" t="str">
        <f ca="1">IF(B452&lt;&gt;"",IF(C451&lt;=加速!$L$11*(1-E452),0,1),"")</f>
        <v/>
      </c>
      <c r="E452">
        <f ca="1" t="shared" ref="E452:E515" si="95">IF(OR(COUNTIF(B452,"*夕照雷峰*")&gt;0,COUNTIF(B452,"云飞玉皇*")&gt;0,COUNTIF(B452,"风来吴山*")&gt;0),COUNTIF(B452,"*云景*")+COUNTIF(B452,"*玉山揽云*")+COUNTIF(B452,"*烟流暮景*"),1)</f>
        <v>1</v>
      </c>
      <c r="G452" t="str">
        <f ca="1" t="shared" ref="G452:G515" si="96">IF(B452&lt;&gt;"",IF(AND(碧归&gt;0,COUNTIF(B451,"*风来吴山*")&gt;0),8,MAX(0,G451-COUNTIF(B452,"*云飞*")-COUNTIF(B452,"*鹤*")-COUNTIF(B452,"*夕*"))),"")</f>
        <v/>
      </c>
      <c r="H452" t="str">
        <f ca="1">IF(B452&lt;&gt;"",IF(AND(COUNTIF(B451,"*轻*莺鸣柳*")&gt;0,COUNTIF(B452,"*轻*")&lt;1),MAX(0,15+I451-(A452-A451)+COUNTIF(B451,"*平湖*")*0),IF(AND(E452=0,MAX(0,H451-(A452-A451))&lt;=加速!$H$11),0,MAX(0,H451-(A452-A451)))),"")</f>
        <v/>
      </c>
      <c r="I452" t="str">
        <f ca="1" t="shared" si="90"/>
        <v/>
      </c>
      <c r="J452" t="str">
        <f ca="1" t="shared" si="91"/>
        <v/>
      </c>
      <c r="K452" t="str">
        <f ca="1">IF(A452&lt;&gt;"",IF(AND(配装计算器!$K$30&lt;&gt;"∞",0),2,INDEX(AU452:CB452,1,$AT$2)),"")</f>
        <v/>
      </c>
      <c r="L452">
        <f ca="1">IFERROR(IF(AND(COUNTIF(B452,"*-峰插*"),技能数据库!$M$72&gt;0),0,IF(COUNTIF(B452,"*鹤归*")&gt;0,16-加速!$L$11,MAX(0,L451-(A452-A451)))),0)</f>
        <v>0</v>
      </c>
      <c r="M452">
        <f ca="1">IF(COUNTIF(IF(AND(配装计算器!$K$30&lt;&gt;"∞",0),INDEX(AU451:CB451,1,$AT$1),INDEX(AU453:CB453,1,$AT$1)),"*鹤归*")=1,L452,0)</f>
        <v>0</v>
      </c>
      <c r="N452">
        <f ca="1">IFERROR(IF(AND(COUNTIF(B452,"*-峰插*"),技能数据库!$M$72&gt;0),0,IF(COUNTIF(B452,"*云飞*")&gt;0,4-COUNTIF(B452,"*玉山揽云*")*4--COUNTIF(B452,"*烟流暮景*")*4-COUNTIF(B452,"*云景*")*加速!$L$11-IF(J452&gt;0,2,0),MAX(0,N451-(A452-A451)-IF(J452&gt;0,2,0)))),0)</f>
        <v>0</v>
      </c>
      <c r="O452">
        <f ca="1">IF(AND(COUNTIF(IF(AND(配装计算器!$K$30&lt;&gt;"∞",0),INDEX(AU451:CB451,1,$AT$1),INDEX(AU453:CB453,1,$AT$1)),"*云飞*")=1,COUNTIF(IF(AND(配装计算器!$K$30&lt;&gt;"∞",0),INDEX(AU451:CB451,1,$AT$1),INDEX(AU453:CB453,1,$AT$1)),"*玉山*")=0),N452,0)</f>
        <v>0</v>
      </c>
      <c r="P452">
        <f ca="1">IFERROR(IF(COUNTIF(B452,"*云栖松*")&gt;0,50-加速!$L$11,MAX(0,P451-(A452-A451))),0)</f>
        <v>0</v>
      </c>
      <c r="Q452">
        <f ca="1">IF(COUNTIF(IF(AND(配装计算器!$K$30&lt;&gt;"∞",0),INDEX(AU451:CB451,1,$AT$1),INDEX(AU453:CB453,1,$AT$1)),"*云栖松*")=1,P452,0)</f>
        <v>0</v>
      </c>
      <c r="R452">
        <f ca="1">IFERROR(IF(COUNTIF(B452,"*莺鸣柳*")&gt;0,45-加速!$L$9,MAX(0,R451-(A452-A451))),0)</f>
        <v>0</v>
      </c>
      <c r="S452">
        <f ca="1">IF(COUNTIF(IF(AND(配装计算器!$K$30&lt;&gt;"∞",0),INDEX(AU451:CB451,1,$AT$1),INDEX(AU453:CB453,1,$AT$1)),"*莺鸣柳*")=1,R452,0)</f>
        <v>0</v>
      </c>
      <c r="T452">
        <f ca="1" t="shared" si="88"/>
        <v>0</v>
      </c>
      <c r="U452">
        <f ca="1">IF(金蛇,IF(COUNTIF(B452,"*金环戴*")+COUNTIF(B452,"*吹风醒*")&gt;0,IF(A452&lt;=3,7.125-2.625-A452-加速!$L$11,7.125+加速!$K$9-(A452+加速!$L$11-T452)),0),0)+IF(金蛇,IF(COUNTIF(B452,"*千切子裂光*")&gt;0,2+加速!$K$9-(A452+加速!$L$11-T452),0),0)</f>
        <v>0</v>
      </c>
      <c r="V452">
        <f ca="1" t="shared" si="89"/>
        <v>0</v>
      </c>
      <c r="W452">
        <f ca="1" t="shared" si="93"/>
        <v>0</v>
      </c>
      <c r="X452">
        <f ca="1">INDEX(加速!$I$13:$I$21,技能数计算!W452+1)</f>
        <v>0</v>
      </c>
      <c r="Y452">
        <f ca="1" t="shared" ref="Y452:Y515" si="97">IF(COUNTIF(B452,"*岚尘金蛇*"),A452+2.6125+0.5,Y451)</f>
        <v>0.5</v>
      </c>
      <c r="Z452">
        <f ca="1" t="shared" ref="Z452:Z515" si="98">IF(金蛇,IF(COUNTIF(B452,"*虎跑*")&gt;0,INT((A452-Y452)/3),0),0)</f>
        <v>0</v>
      </c>
      <c r="AA452">
        <f ca="1">MAX(0,IFERROR(IF(COUNTIF(B452,"*叠*")&gt;0,IF(AC451&lt;3,8-A453+A452,AA451+6.875-A453+A452),AA451-A453+A452),AA451-加速!$L$11))</f>
        <v>0</v>
      </c>
      <c r="AB452" t="e">
        <f ca="1">MAX(0,IF(COUNTIF(IF(AND(配装计算器!$K$30&lt;&gt;"∞",0),INDEX(AU452:CB452,1,$AT$1),INDEX(AU452:CB452,1,$AT$1)),"*叠1*")=1,4*25-加速!$L$11,AB451-A452+A451)-IF(OR(COUNTIF(OFFSET(AT452,0,$AT$1,1,1),"*听雷*")&gt;0,AND(碧归&gt;0,COUNTIF(OFFSET(AT452,0,$AT$1,1,1),"*风来*")&gt;0)),0,1)*1.5)</f>
        <v>#VALUE!</v>
      </c>
      <c r="AC452">
        <f ca="1" t="shared" si="94"/>
        <v>3</v>
      </c>
      <c r="AD452">
        <f ca="1">IF(COUNTIF(IF(AND(配装计算器!$K$30&lt;&gt;"∞",0),INDEX(AU452:CB452,1,$AT$1),INDEX(AU453:CB453,1,$AT$1)),"*叠1*")=1,AB452*0+AE451,0)</f>
        <v>0</v>
      </c>
      <c r="AE452" t="e">
        <f ca="1">IF($AN$11&gt;0,IF(COUNTIF(B453,"*叠1*")&gt;0,50-加速!$H$11,MAX(0,AE451-(A453-A452))),0)</f>
        <v>#VALUE!</v>
      </c>
      <c r="AU452" s="176" t="s">
        <v>2794</v>
      </c>
      <c r="AV452">
        <v>2</v>
      </c>
      <c r="AW452" s="176" t="s">
        <v>2776</v>
      </c>
      <c r="AX452">
        <v>2</v>
      </c>
      <c r="AY452" t="s">
        <v>3042</v>
      </c>
      <c r="AZ452">
        <v>2</v>
      </c>
      <c r="BA452" t="s">
        <v>2768</v>
      </c>
      <c r="BB452">
        <v>2</v>
      </c>
      <c r="BC452" t="s">
        <v>2768</v>
      </c>
      <c r="BD452">
        <v>2</v>
      </c>
      <c r="BE452" t="s">
        <v>2768</v>
      </c>
      <c r="BF452">
        <v>1</v>
      </c>
      <c r="BG452" s="176" t="s">
        <v>2768</v>
      </c>
      <c r="BH452">
        <v>2</v>
      </c>
      <c r="BI452" t="s">
        <v>2722</v>
      </c>
      <c r="BJ452">
        <v>0</v>
      </c>
      <c r="BK452" t="s">
        <v>2768</v>
      </c>
      <c r="BL452">
        <v>1</v>
      </c>
      <c r="BM452" s="176" t="s">
        <v>2768</v>
      </c>
      <c r="BN452">
        <v>2</v>
      </c>
      <c r="BO452" s="176" t="s">
        <v>2768</v>
      </c>
      <c r="BP452">
        <v>2</v>
      </c>
      <c r="BQ452" t="s">
        <v>2768</v>
      </c>
      <c r="BR452">
        <v>2</v>
      </c>
      <c r="BS452" t="s">
        <v>2776</v>
      </c>
      <c r="BT452">
        <v>2</v>
      </c>
      <c r="BU452" s="186" t="str">
        <f>IF(秋,"夕照雷峰","千切子裂光")</f>
        <v>千切子裂光</v>
      </c>
      <c r="BV452">
        <v>2</v>
      </c>
      <c r="BW452" s="179" t="s">
        <v>2776</v>
      </c>
      <c r="BX452" s="179">
        <v>2</v>
      </c>
      <c r="BY452" s="176" t="s">
        <v>2808</v>
      </c>
      <c r="BZ452">
        <v>2</v>
      </c>
      <c r="CA452" s="176" t="s">
        <v>2808</v>
      </c>
      <c r="CB452">
        <v>2</v>
      </c>
    </row>
    <row r="453" spans="1:80">
      <c r="A453" s="178" t="str">
        <f ca="1">IFERROR(IF(A452+加速!$L$11&lt;$AS$1,IF(COUNTIF(B452,"*轻*")&gt;0,A452+加速!$L$9,A452+加速!$L$11)+V452,IF(COUNTIF(INDEX(AU453:CB453,1,$AT$1),"*云景*")+COUNTIF(INDEX(AU453:CB453,1,$AT$1),"*鹤归*")+COUNTIF(INDEX(AU453:CB453,1,$AT$1),"*听雷*")&gt;0,A452+加速!$L$11,"")),"")</f>
        <v/>
      </c>
      <c r="B453" s="167" t="str">
        <f ca="1">IF(A453&lt;&gt;"",IF(AND(A453+加速!$L$11&gt;$AS$1,IF(AND(配装计算器!$K$30&lt;&gt;"∞",0),"梦泉虎跑-轻",INDEX(AU453:CB453,1,$AT$1))="云栖松"),"夕照雷峰",IF(AND(配装计算器!$K$30&lt;&gt;"∞",0),"梦泉虎跑-轻",INDEX(AU453:CB453,1,$AT$1))),"")</f>
        <v/>
      </c>
      <c r="C453" t="str">
        <f ca="1" t="shared" ref="C453:C515" si="99">IFERROR(IF(COUNTIF(B453,"*夕照雷峰*")&gt;0,15,MAX(0,C452-(A453-A452))),"")</f>
        <v/>
      </c>
      <c r="D453" t="str">
        <f ca="1">IF(B453&lt;&gt;"",IF(C452&lt;=加速!$L$11*(1-E453),0,1),"")</f>
        <v/>
      </c>
      <c r="E453">
        <f ca="1" t="shared" si="95"/>
        <v>1</v>
      </c>
      <c r="G453" t="str">
        <f ca="1" t="shared" si="96"/>
        <v/>
      </c>
      <c r="H453" t="str">
        <f ca="1">IF(B453&lt;&gt;"",IF(AND(COUNTIF(B452,"*轻*莺鸣柳*")&gt;0,COUNTIF(B453,"*轻*")&lt;1),MAX(0,15+I452-(A453-A452)+COUNTIF(B452,"*平湖*")*0),IF(AND(E453=0,MAX(0,H452-(A453-A452))&lt;=加速!$H$11),0,MAX(0,H452-(A453-A452)))),"")</f>
        <v/>
      </c>
      <c r="I453" t="str">
        <f ca="1" t="shared" si="90"/>
        <v/>
      </c>
      <c r="J453" t="str">
        <f ca="1" t="shared" si="91"/>
        <v/>
      </c>
      <c r="K453" t="str">
        <f ca="1">IF(A453&lt;&gt;"",IF(AND(配装计算器!$K$30&lt;&gt;"∞",0),2,INDEX(AU453:CB453,1,$AT$2)),"")</f>
        <v/>
      </c>
      <c r="L453">
        <f ca="1">IFERROR(IF(AND(COUNTIF(B453,"*-峰插*"),技能数据库!$M$72&gt;0),0,IF(COUNTIF(B453,"*鹤归*")&gt;0,16-加速!$L$11,MAX(0,L452-(A453-A452)))),0)</f>
        <v>0</v>
      </c>
      <c r="M453">
        <f ca="1">IF(COUNTIF(IF(AND(配装计算器!$K$30&lt;&gt;"∞",0),INDEX(AU452:CB452,1,$AT$1),INDEX(AU454:CB454,1,$AT$1)),"*鹤归*")=1,L453,0)</f>
        <v>0</v>
      </c>
      <c r="N453">
        <f ca="1">IFERROR(IF(AND(COUNTIF(B453,"*-峰插*"),技能数据库!$M$72&gt;0),0,IF(COUNTIF(B453,"*云飞*")&gt;0,4-COUNTIF(B453,"*玉山揽云*")*4--COUNTIF(B453,"*烟流暮景*")*4-COUNTIF(B453,"*云景*")*加速!$L$11-IF(J453&gt;0,2,0),MAX(0,N452-(A453-A452)-IF(J453&gt;0,2,0)))),0)</f>
        <v>0</v>
      </c>
      <c r="O453">
        <f ca="1">IF(AND(COUNTIF(IF(AND(配装计算器!$K$30&lt;&gt;"∞",0),INDEX(AU452:CB452,1,$AT$1),INDEX(AU454:CB454,1,$AT$1)),"*云飞*")=1,COUNTIF(IF(AND(配装计算器!$K$30&lt;&gt;"∞",0),INDEX(AU452:CB452,1,$AT$1),INDEX(AU454:CB454,1,$AT$1)),"*玉山*")=0),N453,0)</f>
        <v>0</v>
      </c>
      <c r="P453">
        <f ca="1">IFERROR(IF(COUNTIF(B453,"*云栖松*")&gt;0,50-加速!$L$11,MAX(0,P452-(A453-A452))),0)</f>
        <v>0</v>
      </c>
      <c r="Q453">
        <f ca="1">IF(COUNTIF(IF(AND(配装计算器!$K$30&lt;&gt;"∞",0),INDEX(AU452:CB452,1,$AT$1),INDEX(AU454:CB454,1,$AT$1)),"*云栖松*")=1,P453,0)</f>
        <v>0</v>
      </c>
      <c r="R453">
        <f ca="1">IFERROR(IF(COUNTIF(B453,"*莺鸣柳*")&gt;0,45-加速!$L$9,MAX(0,R452-(A453-A452))),0)</f>
        <v>0</v>
      </c>
      <c r="S453">
        <f ca="1">IF(COUNTIF(IF(AND(配装计算器!$K$30&lt;&gt;"∞",0),INDEX(AU452:CB452,1,$AT$1),INDEX(AU454:CB454,1,$AT$1)),"*莺鸣柳*")=1,R453,0)</f>
        <v>0</v>
      </c>
      <c r="T453">
        <f ca="1" t="shared" ref="T453:T515" si="100">IF(COUNTIF(B453,"*岚尘金蛇*")+COUNTIF(B453,"*千切子寒光*")&gt;0,A453,T452)</f>
        <v>0</v>
      </c>
      <c r="U453">
        <f ca="1">IF(金蛇,IF(COUNTIF(B453,"*金环戴*")+COUNTIF(B453,"*吹风醒*")&gt;0,IF(A453&lt;=3,7.125-2.625-A453-加速!$L$11,7.125+加速!$K$9-(A453+加速!$L$11-T453)),0),0)+IF(金蛇,IF(COUNTIF(B453,"*千切子裂光*")&gt;0,2+加速!$K$9-(A453+加速!$L$11-T453),0),0)</f>
        <v>0</v>
      </c>
      <c r="V453">
        <f ca="1" t="shared" ref="V453:V515" si="101">MAX(0,M453+O453+Q453+S453+AD453)+U453</f>
        <v>0</v>
      </c>
      <c r="W453">
        <f ca="1" t="shared" si="93"/>
        <v>0</v>
      </c>
      <c r="X453">
        <f ca="1">INDEX(加速!$I$13:$I$21,技能数计算!W453+1)</f>
        <v>0</v>
      </c>
      <c r="Y453">
        <f ca="1" t="shared" si="97"/>
        <v>0.5</v>
      </c>
      <c r="Z453">
        <f ca="1" t="shared" si="98"/>
        <v>0</v>
      </c>
      <c r="AA453">
        <f ca="1">MAX(0,IFERROR(IF(COUNTIF(B453,"*叠*")&gt;0,IF(AC452&lt;3,8-A454+A453,AA452+6.875-A454+A453),AA452-A454+A453),AA452-加速!$L$11))</f>
        <v>0</v>
      </c>
      <c r="AB453" t="e">
        <f ca="1">MAX(0,IF(COUNTIF(IF(AND(配装计算器!$K$30&lt;&gt;"∞",0),INDEX(AU453:CB453,1,$AT$1),INDEX(AU453:CB453,1,$AT$1)),"*叠1*")=1,4*25-加速!$L$11,AB452-A453+A452)-IF(OR(COUNTIF(OFFSET(AT453,0,$AT$1,1,1),"*听雷*")&gt;0,AND(碧归&gt;0,COUNTIF(OFFSET(AT453,0,$AT$1,1,1),"*风来*")&gt;0)),0,1)*1.5)</f>
        <v>#VALUE!</v>
      </c>
      <c r="AC453">
        <f ca="1" t="shared" si="94"/>
        <v>3</v>
      </c>
      <c r="AD453">
        <f ca="1">IF(COUNTIF(IF(AND(配装计算器!$K$30&lt;&gt;"∞",0),INDEX(AU453:CB453,1,$AT$1),INDEX(AU454:CB454,1,$AT$1)),"*叠1*")=1,AB453*0+AE452,0)</f>
        <v>0</v>
      </c>
      <c r="AE453" t="e">
        <f ca="1">IF($AN$11&gt;0,IF(COUNTIF(B454,"*叠1*")&gt;0,50-加速!$H$11,MAX(0,AE452-(A454-A453))),0)</f>
        <v>#VALUE!</v>
      </c>
      <c r="AU453" s="176" t="s">
        <v>2776</v>
      </c>
      <c r="AV453">
        <v>2</v>
      </c>
      <c r="AW453" s="176" t="s">
        <v>2768</v>
      </c>
      <c r="AX453">
        <v>2</v>
      </c>
      <c r="AY453" t="s">
        <v>2808</v>
      </c>
      <c r="AZ453">
        <v>2</v>
      </c>
      <c r="BA453" t="s">
        <v>2776</v>
      </c>
      <c r="BB453">
        <v>2</v>
      </c>
      <c r="BC453" t="s">
        <v>2768</v>
      </c>
      <c r="BD453">
        <v>2</v>
      </c>
      <c r="BE453" t="s">
        <v>2768</v>
      </c>
      <c r="BF453">
        <v>1</v>
      </c>
      <c r="BG453" s="176" t="s">
        <v>2776</v>
      </c>
      <c r="BH453">
        <v>2</v>
      </c>
      <c r="BI453" t="s">
        <v>2776</v>
      </c>
      <c r="BJ453">
        <v>2</v>
      </c>
      <c r="BK453" s="176" t="s">
        <v>2768</v>
      </c>
      <c r="BL453">
        <v>1</v>
      </c>
      <c r="BM453" s="176" t="s">
        <v>2776</v>
      </c>
      <c r="BN453">
        <v>2</v>
      </c>
      <c r="BO453" s="176" t="s">
        <v>2776</v>
      </c>
      <c r="BP453">
        <v>2</v>
      </c>
      <c r="BQ453" t="s">
        <v>2776</v>
      </c>
      <c r="BR453">
        <v>2</v>
      </c>
      <c r="BS453" t="s">
        <v>2768</v>
      </c>
      <c r="BT453">
        <v>1</v>
      </c>
      <c r="BU453" s="176" t="s">
        <v>2789</v>
      </c>
      <c r="BV453">
        <v>2</v>
      </c>
      <c r="BW453" s="182" t="s">
        <v>2794</v>
      </c>
      <c r="BX453" s="179">
        <v>2</v>
      </c>
      <c r="BY453" t="s">
        <v>2768</v>
      </c>
      <c r="BZ453">
        <v>2</v>
      </c>
      <c r="CA453" t="s">
        <v>2768</v>
      </c>
      <c r="CB453">
        <v>2</v>
      </c>
    </row>
    <row r="454" spans="1:80">
      <c r="A454" s="178" t="str">
        <f ca="1">IFERROR(IF(A453+加速!$L$11&lt;$AS$1,IF(COUNTIF(B453,"*轻*")&gt;0,A453+加速!$L$9,A453+加速!$L$11)+V453,IF(COUNTIF(INDEX(AU454:CB454,1,$AT$1),"*云景*")+COUNTIF(INDEX(AU454:CB454,1,$AT$1),"*鹤归*")+COUNTIF(INDEX(AU454:CB454,1,$AT$1),"*听雷*")&gt;0,A453+加速!$L$11,"")),"")</f>
        <v/>
      </c>
      <c r="B454" s="167" t="str">
        <f ca="1">IF(A454&lt;&gt;"",IF(AND(A454+加速!$L$11&gt;$AS$1,IF(AND(配装计算器!$K$30&lt;&gt;"∞",0),"梦泉虎跑-轻",INDEX(AU454:CB454,1,$AT$1))="云栖松"),"夕照雷峰",IF(AND(配装计算器!$K$30&lt;&gt;"∞",0),"梦泉虎跑-轻",INDEX(AU454:CB454,1,$AT$1))),"")</f>
        <v/>
      </c>
      <c r="C454" t="str">
        <f ca="1" t="shared" si="99"/>
        <v/>
      </c>
      <c r="D454" t="str">
        <f ca="1">IF(B454&lt;&gt;"",IF(C453&lt;=加速!$L$11*(1-E454),0,1),"")</f>
        <v/>
      </c>
      <c r="E454">
        <f ca="1" t="shared" si="95"/>
        <v>1</v>
      </c>
      <c r="G454" t="str">
        <f ca="1" t="shared" si="96"/>
        <v/>
      </c>
      <c r="H454" t="str">
        <f ca="1">IF(B454&lt;&gt;"",IF(AND(COUNTIF(B453,"*轻*莺鸣柳*")&gt;0,COUNTIF(B454,"*轻*")&lt;1),MAX(0,15+I453-(A454-A453)+COUNTIF(B453,"*平湖*")*0),IF(AND(E454=0,MAX(0,H453-(A454-A453))&lt;=加速!$H$11),0,MAX(0,H453-(A454-A453)))),"")</f>
        <v/>
      </c>
      <c r="I454" t="str">
        <f ca="1" t="shared" ref="I454:I515" si="102">IF(B454&lt;&gt;"",IF(COUNTIF(B454,"*轻*")&lt;1,0,IF(COUNTIF(B454,"*莺鸣*")&gt;0,8,MAX(0,I453-(A454-A453)))),"")</f>
        <v/>
      </c>
      <c r="J454" t="str">
        <f ca="1" t="shared" ref="J454:J515" si="103">IF(B454&lt;&gt;"",IF(AND(J453=1,OR(AND(COUNTIF(B454,"*云景*")&gt;0,COUNTIF(B449:B453,"*鹤归*")&gt;0),AND(落剑5=1,COUNTIF(B449:B453,"*鹤归*")&gt;0))),1,IF(COUNTIF(B453,"*鹤归*")&gt;0,4+_666三听,MAX(J453-1,0))),"")</f>
        <v/>
      </c>
      <c r="K454" t="str">
        <f ca="1">IF(A454&lt;&gt;"",IF(AND(配装计算器!$K$30&lt;&gt;"∞",0),2,INDEX(AU454:CB454,1,$AT$2)),"")</f>
        <v/>
      </c>
      <c r="L454">
        <f ca="1">IFERROR(IF(AND(COUNTIF(B454,"*-峰插*"),技能数据库!$M$72&gt;0),0,IF(COUNTIF(B454,"*鹤归*")&gt;0,16-加速!$L$11,MAX(0,L453-(A454-A453)))),0)</f>
        <v>0</v>
      </c>
      <c r="M454">
        <f ca="1">IF(COUNTIF(IF(AND(配装计算器!$K$30&lt;&gt;"∞",0),INDEX(AU453:CB453,1,$AT$1),INDEX(AU455:CB455,1,$AT$1)),"*鹤归*")=1,L454,0)</f>
        <v>0</v>
      </c>
      <c r="N454">
        <f ca="1">IFERROR(IF(AND(COUNTIF(B454,"*-峰插*"),技能数据库!$M$72&gt;0),0,IF(COUNTIF(B454,"*云飞*")&gt;0,4-COUNTIF(B454,"*玉山揽云*")*4--COUNTIF(B454,"*烟流暮景*")*4-COUNTIF(B454,"*云景*")*加速!$L$11-IF(J454&gt;0,2,0),MAX(0,N453-(A454-A453)-IF(J454&gt;0,2,0)))),0)</f>
        <v>0</v>
      </c>
      <c r="O454">
        <f ca="1">IF(AND(COUNTIF(IF(AND(配装计算器!$K$30&lt;&gt;"∞",0),INDEX(AU453:CB453,1,$AT$1),INDEX(AU455:CB455,1,$AT$1)),"*云飞*")=1,COUNTIF(IF(AND(配装计算器!$K$30&lt;&gt;"∞",0),INDEX(AU453:CB453,1,$AT$1),INDEX(AU455:CB455,1,$AT$1)),"*玉山*")=0),N454,0)</f>
        <v>0</v>
      </c>
      <c r="P454">
        <f ca="1">IFERROR(IF(COUNTIF(B454,"*云栖松*")&gt;0,50-加速!$L$11,MAX(0,P453-(A454-A453))),0)</f>
        <v>0</v>
      </c>
      <c r="Q454">
        <f ca="1">IF(COUNTIF(IF(AND(配装计算器!$K$30&lt;&gt;"∞",0),INDEX(AU453:CB453,1,$AT$1),INDEX(AU455:CB455,1,$AT$1)),"*云栖松*")=1,P454,0)</f>
        <v>0</v>
      </c>
      <c r="R454">
        <f ca="1">IFERROR(IF(COUNTIF(B454,"*莺鸣柳*")&gt;0,45-加速!$L$9,MAX(0,R453-(A454-A453))),0)</f>
        <v>0</v>
      </c>
      <c r="S454">
        <f ca="1">IF(COUNTIF(IF(AND(配装计算器!$K$30&lt;&gt;"∞",0),INDEX(AU453:CB453,1,$AT$1),INDEX(AU455:CB455,1,$AT$1)),"*莺鸣柳*")=1,R454,0)</f>
        <v>0</v>
      </c>
      <c r="T454">
        <f ca="1" t="shared" si="100"/>
        <v>0</v>
      </c>
      <c r="U454">
        <f ca="1">IF(金蛇,IF(COUNTIF(B454,"*金环戴*")+COUNTIF(B454,"*吹风醒*")&gt;0,IF(A454&lt;=3,7.125-2.625-A454-加速!$L$11,7.125+加速!$K$9-(A454+加速!$L$11-T454)),0),0)+IF(金蛇,IF(COUNTIF(B454,"*千切子裂光*")&gt;0,2+加速!$K$9-(A454+加速!$L$11-T454),0),0)</f>
        <v>0</v>
      </c>
      <c r="V454">
        <f ca="1" t="shared" si="101"/>
        <v>0</v>
      </c>
      <c r="W454">
        <f ca="1" t="shared" si="93"/>
        <v>0</v>
      </c>
      <c r="X454">
        <f ca="1">INDEX(加速!$I$13:$I$21,技能数计算!W454+1)</f>
        <v>0</v>
      </c>
      <c r="Y454">
        <f ca="1" t="shared" si="97"/>
        <v>0.5</v>
      </c>
      <c r="Z454">
        <f ca="1" t="shared" si="98"/>
        <v>0</v>
      </c>
      <c r="AA454">
        <f ca="1">MAX(0,IFERROR(IF(COUNTIF(B454,"*叠*")&gt;0,IF(AC453&lt;3,8-A455+A454,AA453+6.875-A455+A454),AA453-A455+A454),AA453-加速!$L$11))</f>
        <v>0</v>
      </c>
      <c r="AB454" t="e">
        <f ca="1">MAX(0,IF(COUNTIF(IF(AND(配装计算器!$K$30&lt;&gt;"∞",0),INDEX(AU454:CB454,1,$AT$1),INDEX(AU454:CB454,1,$AT$1)),"*叠1*")=1,4*25-加速!$L$11,AB453-A454+A453)-IF(OR(COUNTIF(OFFSET(AT454,0,$AT$1,1,1),"*听雷*")&gt;0,AND(碧归&gt;0,COUNTIF(OFFSET(AT454,0,$AT$1,1,1),"*风来*")&gt;0)),0,1)*1.5)</f>
        <v>#VALUE!</v>
      </c>
      <c r="AC454">
        <f ca="1" t="shared" si="94"/>
        <v>3</v>
      </c>
      <c r="AD454">
        <f ca="1">IF(COUNTIF(IF(AND(配装计算器!$K$30&lt;&gt;"∞",0),INDEX(AU454:CB454,1,$AT$1),INDEX(AU455:CB455,1,$AT$1)),"*叠1*")=1,AB454*0+AE453,0)</f>
        <v>0</v>
      </c>
      <c r="AE454" t="e">
        <f ca="1">IF($AN$11&gt;0,IF(COUNTIF(B455,"*叠1*")&gt;0,50-加速!$H$11,MAX(0,AE453-(A455-A454))),0)</f>
        <v>#VALUE!</v>
      </c>
      <c r="AU454" s="176" t="s">
        <v>2768</v>
      </c>
      <c r="AV454">
        <v>1</v>
      </c>
      <c r="AW454" s="176" t="s">
        <v>2808</v>
      </c>
      <c r="AX454">
        <v>2</v>
      </c>
      <c r="AY454" t="s">
        <v>2768</v>
      </c>
      <c r="AZ454">
        <v>2</v>
      </c>
      <c r="BA454" t="s">
        <v>2794</v>
      </c>
      <c r="BB454">
        <v>2</v>
      </c>
      <c r="BC454" t="s">
        <v>2768</v>
      </c>
      <c r="BD454">
        <v>1</v>
      </c>
      <c r="BE454" t="s">
        <v>3042</v>
      </c>
      <c r="BF454">
        <v>0</v>
      </c>
      <c r="BG454" t="s">
        <v>2768</v>
      </c>
      <c r="BH454">
        <v>1</v>
      </c>
      <c r="BI454" t="s">
        <v>2768</v>
      </c>
      <c r="BJ454">
        <v>2</v>
      </c>
      <c r="BK454" s="176" t="s">
        <v>2768</v>
      </c>
      <c r="BL454">
        <v>0</v>
      </c>
      <c r="BM454" s="176" t="s">
        <v>2768</v>
      </c>
      <c r="BN454">
        <v>2</v>
      </c>
      <c r="BO454" s="176" t="s">
        <v>2768</v>
      </c>
      <c r="BP454">
        <v>2</v>
      </c>
      <c r="BQ454" t="s">
        <v>2789</v>
      </c>
      <c r="BR454">
        <v>2</v>
      </c>
      <c r="BS454" t="str">
        <f>IF(秋,"云栖松","泉凝月")</f>
        <v>泉凝月</v>
      </c>
      <c r="BT454">
        <v>1</v>
      </c>
      <c r="BU454" s="176" t="s">
        <v>2776</v>
      </c>
      <c r="BV454">
        <v>2</v>
      </c>
      <c r="BW454" s="182" t="s">
        <v>2768</v>
      </c>
      <c r="BX454" s="179">
        <v>2</v>
      </c>
      <c r="BY454" t="s">
        <v>2776</v>
      </c>
      <c r="BZ454">
        <v>2</v>
      </c>
      <c r="CA454" t="s">
        <v>2776</v>
      </c>
      <c r="CB454">
        <v>2</v>
      </c>
    </row>
    <row r="455" spans="1:80">
      <c r="A455" s="178" t="str">
        <f ca="1">IFERROR(IF(A454+加速!$L$11&lt;$AS$1,IF(COUNTIF(B454,"*轻*")&gt;0,A454+加速!$L$9,A454+加速!$L$11)+V454,IF(COUNTIF(INDEX(AU455:CB455,1,$AT$1),"*云景*")+COUNTIF(INDEX(AU455:CB455,1,$AT$1),"*鹤归*")+COUNTIF(INDEX(AU455:CB455,1,$AT$1),"*听雷*")&gt;0,A454+加速!$L$11,"")),"")</f>
        <v/>
      </c>
      <c r="B455" s="167" t="str">
        <f ca="1">IF(A455&lt;&gt;"",IF(AND(A455+加速!$L$11&gt;$AS$1,IF(AND(配装计算器!$K$30&lt;&gt;"∞",0),"梦泉虎跑-轻",INDEX(AU455:CB455,1,$AT$1))="云栖松"),"夕照雷峰",IF(AND(配装计算器!$K$30&lt;&gt;"∞",0),"梦泉虎跑-轻",INDEX(AU455:CB455,1,$AT$1))),"")</f>
        <v/>
      </c>
      <c r="C455" t="str">
        <f ca="1" t="shared" si="99"/>
        <v/>
      </c>
      <c r="D455" t="str">
        <f ca="1">IF(B455&lt;&gt;"",IF(C454&lt;=加速!$L$11*(1-E455),0,1),"")</f>
        <v/>
      </c>
      <c r="E455">
        <f ca="1" t="shared" si="95"/>
        <v>1</v>
      </c>
      <c r="G455" t="str">
        <f ca="1" t="shared" si="96"/>
        <v/>
      </c>
      <c r="H455" t="str">
        <f ca="1">IF(B455&lt;&gt;"",IF(AND(COUNTIF(B454,"*轻*莺鸣柳*")&gt;0,COUNTIF(B455,"*轻*")&lt;1),MAX(0,15+I454-(A455-A454)+COUNTIF(B454,"*平湖*")*0),IF(AND(E455=0,MAX(0,H454-(A455-A454))&lt;=加速!$H$11),0,MAX(0,H454-(A455-A454)))),"")</f>
        <v/>
      </c>
      <c r="I455" t="str">
        <f ca="1" t="shared" si="102"/>
        <v/>
      </c>
      <c r="J455" t="str">
        <f ca="1" t="shared" si="103"/>
        <v/>
      </c>
      <c r="K455" t="str">
        <f ca="1">IF(A455&lt;&gt;"",IF(AND(配装计算器!$K$30&lt;&gt;"∞",0),2,INDEX(AU455:CB455,1,$AT$2)),"")</f>
        <v/>
      </c>
      <c r="L455">
        <f ca="1">IFERROR(IF(AND(COUNTIF(B455,"*-峰插*"),技能数据库!$M$72&gt;0),0,IF(COUNTIF(B455,"*鹤归*")&gt;0,16-加速!$L$11,MAX(0,L454-(A455-A454)))),0)</f>
        <v>0</v>
      </c>
      <c r="M455">
        <f ca="1">IF(COUNTIF(IF(AND(配装计算器!$K$30&lt;&gt;"∞",0),INDEX(AU454:CB454,1,$AT$1),INDEX(AU456:CB456,1,$AT$1)),"*鹤归*")=1,L455,0)</f>
        <v>0</v>
      </c>
      <c r="N455">
        <f ca="1">IFERROR(IF(AND(COUNTIF(B455,"*-峰插*"),技能数据库!$M$72&gt;0),0,IF(COUNTIF(B455,"*云飞*")&gt;0,4-COUNTIF(B455,"*玉山揽云*")*4--COUNTIF(B455,"*烟流暮景*")*4-COUNTIF(B455,"*云景*")*加速!$L$11-IF(J455&gt;0,2,0),MAX(0,N454-(A455-A454)-IF(J455&gt;0,2,0)))),0)</f>
        <v>0</v>
      </c>
      <c r="O455">
        <f ca="1">IF(AND(COUNTIF(IF(AND(配装计算器!$K$30&lt;&gt;"∞",0),INDEX(AU454:CB454,1,$AT$1),INDEX(AU456:CB456,1,$AT$1)),"*云飞*")=1,COUNTIF(IF(AND(配装计算器!$K$30&lt;&gt;"∞",0),INDEX(AU454:CB454,1,$AT$1),INDEX(AU456:CB456,1,$AT$1)),"*玉山*")=0),N455,0)</f>
        <v>0</v>
      </c>
      <c r="P455">
        <f ca="1">IFERROR(IF(COUNTIF(B455,"*云栖松*")&gt;0,50-加速!$L$11,MAX(0,P454-(A455-A454))),0)</f>
        <v>0</v>
      </c>
      <c r="Q455">
        <f ca="1">IF(COUNTIF(IF(AND(配装计算器!$K$30&lt;&gt;"∞",0),INDEX(AU454:CB454,1,$AT$1),INDEX(AU456:CB456,1,$AT$1)),"*云栖松*")=1,P455,0)</f>
        <v>0</v>
      </c>
      <c r="R455">
        <f ca="1">IFERROR(IF(COUNTIF(B455,"*莺鸣柳*")&gt;0,45-加速!$L$9,MAX(0,R454-(A455-A454))),0)</f>
        <v>0</v>
      </c>
      <c r="S455">
        <f ca="1">IF(COUNTIF(IF(AND(配装计算器!$K$30&lt;&gt;"∞",0),INDEX(AU454:CB454,1,$AT$1),INDEX(AU456:CB456,1,$AT$1)),"*莺鸣柳*")=1,R455,0)</f>
        <v>0</v>
      </c>
      <c r="T455">
        <f ca="1" t="shared" si="100"/>
        <v>0</v>
      </c>
      <c r="U455">
        <f ca="1">IF(金蛇,IF(COUNTIF(B455,"*金环戴*")+COUNTIF(B455,"*吹风醒*")&gt;0,IF(A455&lt;=3,7.125-2.625-A455-加速!$L$11,7.125+加速!$K$9-(A455+加速!$L$11-T455)),0),0)+IF(金蛇,IF(COUNTIF(B455,"*千切子裂光*")&gt;0,2+加速!$K$9-(A455+加速!$L$11-T455),0),0)</f>
        <v>0</v>
      </c>
      <c r="V455">
        <f ca="1" t="shared" si="101"/>
        <v>0</v>
      </c>
      <c r="W455">
        <f ca="1" t="shared" si="93"/>
        <v>0</v>
      </c>
      <c r="X455">
        <f ca="1">INDEX(加速!$I$13:$I$21,技能数计算!W455+1)</f>
        <v>0</v>
      </c>
      <c r="Y455">
        <f ca="1" t="shared" si="97"/>
        <v>0.5</v>
      </c>
      <c r="Z455">
        <f ca="1" t="shared" si="98"/>
        <v>0</v>
      </c>
      <c r="AA455">
        <f ca="1">MAX(0,IFERROR(IF(COUNTIF(B455,"*叠*")&gt;0,IF(AC454&lt;3,8-A456+A455,AA454+6.875-A456+A455),AA454-A456+A455),AA454-加速!$L$11))</f>
        <v>0</v>
      </c>
      <c r="AB455" t="e">
        <f ca="1">MAX(0,IF(COUNTIF(IF(AND(配装计算器!$K$30&lt;&gt;"∞",0),INDEX(AU455:CB455,1,$AT$1),INDEX(AU455:CB455,1,$AT$1)),"*叠1*")=1,4*25-加速!$L$11,AB454-A455+A454)-IF(OR(COUNTIF(OFFSET(AT455,0,$AT$1,1,1),"*听雷*")&gt;0,AND(碧归&gt;0,COUNTIF(OFFSET(AT455,0,$AT$1,1,1),"*风来*")&gt;0)),0,1)*1.5)</f>
        <v>#VALUE!</v>
      </c>
      <c r="AC455">
        <f ca="1" t="shared" si="94"/>
        <v>3</v>
      </c>
      <c r="AD455">
        <f ca="1">IF(COUNTIF(IF(AND(配装计算器!$K$30&lt;&gt;"∞",0),INDEX(AU455:CB455,1,$AT$1),INDEX(AU456:CB456,1,$AT$1)),"*叠1*")=1,AB455*0+AE454,0)</f>
        <v>0</v>
      </c>
      <c r="AE455" t="e">
        <f ca="1">IF($AN$11&gt;0,IF(COUNTIF(B456,"*叠1*")&gt;0,50-加速!$H$11,MAX(0,AE454-(A456-A455))),0)</f>
        <v>#VALUE!</v>
      </c>
      <c r="AU455" s="176" t="s">
        <v>2776</v>
      </c>
      <c r="AV455">
        <v>2</v>
      </c>
      <c r="AW455" t="s">
        <v>2768</v>
      </c>
      <c r="AX455">
        <v>2</v>
      </c>
      <c r="AY455" t="s">
        <v>2768</v>
      </c>
      <c r="AZ455">
        <v>2</v>
      </c>
      <c r="BA455" t="s">
        <v>2768</v>
      </c>
      <c r="BB455">
        <v>2</v>
      </c>
      <c r="BC455" t="s">
        <v>2776</v>
      </c>
      <c r="BD455">
        <v>1</v>
      </c>
      <c r="BE455" t="s">
        <v>2776</v>
      </c>
      <c r="BF455">
        <v>0</v>
      </c>
      <c r="BG455" s="176" t="s">
        <v>2768</v>
      </c>
      <c r="BH455">
        <v>1</v>
      </c>
      <c r="BI455" t="s">
        <v>2768</v>
      </c>
      <c r="BJ455">
        <v>2</v>
      </c>
      <c r="BK455" s="176" t="s">
        <v>2776</v>
      </c>
      <c r="BL455">
        <v>0</v>
      </c>
      <c r="BM455" s="176" t="s">
        <v>2808</v>
      </c>
      <c r="BN455">
        <v>2</v>
      </c>
      <c r="BO455" t="s">
        <v>3056</v>
      </c>
      <c r="BP455">
        <v>1</v>
      </c>
      <c r="BQ455" t="str">
        <f>IF(秋,"夕照雷峰","千切子寒光-千切子裂光")</f>
        <v>千切子寒光-千切子裂光</v>
      </c>
      <c r="BR455">
        <v>2</v>
      </c>
      <c r="BS455" t="s">
        <v>2768</v>
      </c>
      <c r="BT455">
        <v>0</v>
      </c>
      <c r="BU455" t="str">
        <f>IF(秋,"鹤归孤山-叠-蛇牙锥心","鹤归孤山-叠")</f>
        <v>鹤归孤山-叠</v>
      </c>
      <c r="BV455">
        <v>2</v>
      </c>
      <c r="BW455" s="182" t="s">
        <v>2776</v>
      </c>
      <c r="BX455" s="179">
        <v>2</v>
      </c>
      <c r="BY455" t="str">
        <f>IF(山重水复,"风来吴山","夕照雷峰")</f>
        <v>夕照雷峰</v>
      </c>
      <c r="BZ455">
        <v>2</v>
      </c>
      <c r="CA455" t="str">
        <f>IF(山重水复,"风来吴山","夕照雷峰")</f>
        <v>夕照雷峰</v>
      </c>
      <c r="CB455">
        <v>2</v>
      </c>
    </row>
    <row r="456" spans="1:80">
      <c r="A456" s="178" t="str">
        <f ca="1">IFERROR(IF(A455+加速!$L$11&lt;$AS$1,IF(COUNTIF(B455,"*轻*")&gt;0,A455+加速!$L$9,A455+加速!$L$11)+V455,IF(COUNTIF(INDEX(AU456:CB456,1,$AT$1),"*云景*")+COUNTIF(INDEX(AU456:CB456,1,$AT$1),"*鹤归*")+COUNTIF(INDEX(AU456:CB456,1,$AT$1),"*听雷*")&gt;0,A455+加速!$L$11,"")),"")</f>
        <v/>
      </c>
      <c r="B456" s="167" t="str">
        <f ca="1">IF(A456&lt;&gt;"",IF(AND(A456+加速!$L$11&gt;$AS$1,IF(AND(配装计算器!$K$30&lt;&gt;"∞",0),"梦泉虎跑-轻",INDEX(AU456:CB456,1,$AT$1))="云栖松"),"夕照雷峰",IF(AND(配装计算器!$K$30&lt;&gt;"∞",0),"梦泉虎跑-轻",INDEX(AU456:CB456,1,$AT$1))),"")</f>
        <v/>
      </c>
      <c r="C456" t="str">
        <f ca="1" t="shared" si="99"/>
        <v/>
      </c>
      <c r="D456" t="str">
        <f ca="1">IF(B456&lt;&gt;"",IF(C455&lt;=加速!$L$11*(1-E456),0,1),"")</f>
        <v/>
      </c>
      <c r="E456">
        <f ca="1" t="shared" si="95"/>
        <v>1</v>
      </c>
      <c r="G456" t="str">
        <f ca="1" t="shared" si="96"/>
        <v/>
      </c>
      <c r="H456" t="str">
        <f ca="1">IF(B456&lt;&gt;"",IF(AND(COUNTIF(B455,"*轻*莺鸣柳*")&gt;0,COUNTIF(B456,"*轻*")&lt;1),MAX(0,15+I455-(A456-A455)+COUNTIF(B455,"*平湖*")*0),IF(AND(E456=0,MAX(0,H455-(A456-A455))&lt;=加速!$H$11),0,MAX(0,H455-(A456-A455)))),"")</f>
        <v/>
      </c>
      <c r="I456" t="str">
        <f ca="1" t="shared" si="102"/>
        <v/>
      </c>
      <c r="J456" t="str">
        <f ca="1" t="shared" si="103"/>
        <v/>
      </c>
      <c r="K456" t="str">
        <f ca="1">IF(A456&lt;&gt;"",IF(AND(配装计算器!$K$30&lt;&gt;"∞",0),2,INDEX(AU456:CB456,1,$AT$2)),"")</f>
        <v/>
      </c>
      <c r="L456">
        <f ca="1">IFERROR(IF(AND(COUNTIF(B456,"*-峰插*"),技能数据库!$M$72&gt;0),0,IF(COUNTIF(B456,"*鹤归*")&gt;0,16-加速!$L$11,MAX(0,L455-(A456-A455)))),0)</f>
        <v>0</v>
      </c>
      <c r="M456">
        <f ca="1">IF(COUNTIF(IF(AND(配装计算器!$K$30&lt;&gt;"∞",0),INDEX(AU455:CB455,1,$AT$1),INDEX(AU457:CB457,1,$AT$1)),"*鹤归*")=1,L456,0)</f>
        <v>0</v>
      </c>
      <c r="N456">
        <f ca="1">IFERROR(IF(AND(COUNTIF(B456,"*-峰插*"),技能数据库!$M$72&gt;0),0,IF(COUNTIF(B456,"*云飞*")&gt;0,4-COUNTIF(B456,"*玉山揽云*")*4--COUNTIF(B456,"*烟流暮景*")*4-COUNTIF(B456,"*云景*")*加速!$L$11-IF(J456&gt;0,2,0),MAX(0,N455-(A456-A455)-IF(J456&gt;0,2,0)))),0)</f>
        <v>0</v>
      </c>
      <c r="O456">
        <f ca="1">IF(AND(COUNTIF(IF(AND(配装计算器!$K$30&lt;&gt;"∞",0),INDEX(AU455:CB455,1,$AT$1),INDEX(AU457:CB457,1,$AT$1)),"*云飞*")=1,COUNTIF(IF(AND(配装计算器!$K$30&lt;&gt;"∞",0),INDEX(AU455:CB455,1,$AT$1),INDEX(AU457:CB457,1,$AT$1)),"*玉山*")=0),N456,0)</f>
        <v>0</v>
      </c>
      <c r="P456">
        <f ca="1">IFERROR(IF(COUNTIF(B456,"*云栖松*")&gt;0,50-加速!$L$11,MAX(0,P455-(A456-A455))),0)</f>
        <v>0</v>
      </c>
      <c r="Q456">
        <f ca="1">IF(COUNTIF(IF(AND(配装计算器!$K$30&lt;&gt;"∞",0),INDEX(AU455:CB455,1,$AT$1),INDEX(AU457:CB457,1,$AT$1)),"*云栖松*")=1,P456,0)</f>
        <v>0</v>
      </c>
      <c r="R456">
        <f ca="1">IFERROR(IF(COUNTIF(B456,"*莺鸣柳*")&gt;0,45-加速!$L$9,MAX(0,R455-(A456-A455))),0)</f>
        <v>0</v>
      </c>
      <c r="S456">
        <f ca="1">IF(COUNTIF(IF(AND(配装计算器!$K$30&lt;&gt;"∞",0),INDEX(AU455:CB455,1,$AT$1),INDEX(AU457:CB457,1,$AT$1)),"*莺鸣柳*")=1,R456,0)</f>
        <v>0</v>
      </c>
      <c r="T456">
        <f ca="1" t="shared" si="100"/>
        <v>0</v>
      </c>
      <c r="U456">
        <f ca="1">IF(金蛇,IF(COUNTIF(B456,"*金环戴*")+COUNTIF(B456,"*吹风醒*")&gt;0,IF(A456&lt;=3,7.125-2.625-A456-加速!$L$11,7.125+加速!$K$9-(A456+加速!$L$11-T456)),0),0)+IF(金蛇,IF(COUNTIF(B456,"*千切子裂光*")&gt;0,2+加速!$K$9-(A456+加速!$L$11-T456),0),0)</f>
        <v>0</v>
      </c>
      <c r="V456">
        <f ca="1" t="shared" si="101"/>
        <v>0</v>
      </c>
      <c r="W456">
        <f ca="1" t="shared" si="93"/>
        <v>0</v>
      </c>
      <c r="X456">
        <f ca="1">INDEX(加速!$I$13:$I$21,技能数计算!W456+1)</f>
        <v>0</v>
      </c>
      <c r="Y456">
        <f ca="1" t="shared" si="97"/>
        <v>0.5</v>
      </c>
      <c r="Z456">
        <f ca="1" t="shared" si="98"/>
        <v>0</v>
      </c>
      <c r="AA456">
        <f ca="1">MAX(0,IFERROR(IF(COUNTIF(B456,"*叠*")&gt;0,IF(AC455&lt;3,8-A457+A456,AA455+6.875-A457+A456),AA455-A457+A456),AA455-加速!$L$11))</f>
        <v>0</v>
      </c>
      <c r="AB456" t="e">
        <f ca="1">MAX(0,IF(COUNTIF(IF(AND(配装计算器!$K$30&lt;&gt;"∞",0),INDEX(AU456:CB456,1,$AT$1),INDEX(AU456:CB456,1,$AT$1)),"*叠1*")=1,4*25-加速!$L$11,AB455-A456+A455)-IF(OR(COUNTIF(OFFSET(AT456,0,$AT$1,1,1),"*听雷*")&gt;0,AND(碧归&gt;0,COUNTIF(OFFSET(AT456,0,$AT$1,1,1),"*风来*")&gt;0)),0,1)*1.5)</f>
        <v>#VALUE!</v>
      </c>
      <c r="AC456">
        <f ca="1" t="shared" si="94"/>
        <v>3</v>
      </c>
      <c r="AD456">
        <f ca="1">IF(COUNTIF(IF(AND(配装计算器!$K$30&lt;&gt;"∞",0),INDEX(AU456:CB456,1,$AT$1),INDEX(AU457:CB457,1,$AT$1)),"*叠1*")=1,AB456*0+AE455,0)</f>
        <v>0</v>
      </c>
      <c r="AE456" t="e">
        <f ca="1">IF($AN$11&gt;0,IF(COUNTIF(B457,"*叠1*")&gt;0,50-加速!$H$11,MAX(0,AE455-(A457-A456))),0)</f>
        <v>#VALUE!</v>
      </c>
      <c r="AU456" s="176" t="s">
        <v>2768</v>
      </c>
      <c r="AV456">
        <v>1</v>
      </c>
      <c r="AW456" t="s">
        <v>2776</v>
      </c>
      <c r="AX456">
        <v>2</v>
      </c>
      <c r="AY456" t="s">
        <v>2776</v>
      </c>
      <c r="AZ456">
        <v>2</v>
      </c>
      <c r="BA456" t="s">
        <v>2776</v>
      </c>
      <c r="BB456">
        <v>2</v>
      </c>
      <c r="BC456" t="s">
        <v>2768</v>
      </c>
      <c r="BD456">
        <v>1</v>
      </c>
      <c r="BE456" t="s">
        <v>2768</v>
      </c>
      <c r="BF456">
        <v>1</v>
      </c>
      <c r="BG456" t="s">
        <v>3055</v>
      </c>
      <c r="BH456">
        <v>0</v>
      </c>
      <c r="BI456" s="176" t="s">
        <v>2794</v>
      </c>
      <c r="BJ456">
        <v>1</v>
      </c>
      <c r="BK456" s="176" t="s">
        <v>2768</v>
      </c>
      <c r="BL456">
        <v>0</v>
      </c>
      <c r="BM456" t="s">
        <v>2768</v>
      </c>
      <c r="BN456">
        <v>2</v>
      </c>
      <c r="BO456" t="s">
        <v>2768</v>
      </c>
      <c r="BP456">
        <v>2</v>
      </c>
      <c r="BQ456" t="str">
        <f>IF(秋,"鹤归孤山-叠-蛇牙锥心","鹤归孤山-叠")</f>
        <v>鹤归孤山-叠</v>
      </c>
      <c r="BR456">
        <v>2</v>
      </c>
      <c r="BS456" t="s">
        <v>2776</v>
      </c>
      <c r="BT456">
        <v>0</v>
      </c>
      <c r="BU456" t="s">
        <v>2768</v>
      </c>
      <c r="BV456">
        <v>2</v>
      </c>
      <c r="BW456" s="182" t="s">
        <v>2768</v>
      </c>
      <c r="BX456" s="179">
        <v>2</v>
      </c>
      <c r="BY456" t="s">
        <v>2768</v>
      </c>
      <c r="BZ456">
        <v>2</v>
      </c>
      <c r="CA456" t="s">
        <v>2768</v>
      </c>
      <c r="CB456">
        <v>2</v>
      </c>
    </row>
    <row r="457" spans="1:80">
      <c r="A457" s="178" t="str">
        <f ca="1">IFERROR(IF(A456+加速!$L$11&lt;$AS$1,IF(COUNTIF(B456,"*轻*")&gt;0,A456+加速!$L$9,A456+加速!$L$11)+V456,IF(COUNTIF(INDEX(AU457:CB457,1,$AT$1),"*云景*")+COUNTIF(INDEX(AU457:CB457,1,$AT$1),"*鹤归*")+COUNTIF(INDEX(AU457:CB457,1,$AT$1),"*听雷*")&gt;0,A456+加速!$L$11,"")),"")</f>
        <v/>
      </c>
      <c r="B457" s="167" t="str">
        <f ca="1">IF(A457&lt;&gt;"",IF(AND(A457+加速!$L$11&gt;$AS$1,IF(AND(配装计算器!$K$30&lt;&gt;"∞",0),"梦泉虎跑-轻",INDEX(AU457:CB457,1,$AT$1))="云栖松"),"夕照雷峰",IF(AND(配装计算器!$K$30&lt;&gt;"∞",0),"梦泉虎跑-轻",INDEX(AU457:CB457,1,$AT$1))),"")</f>
        <v/>
      </c>
      <c r="C457" t="str">
        <f ca="1" t="shared" si="99"/>
        <v/>
      </c>
      <c r="D457" t="str">
        <f ca="1">IF(B457&lt;&gt;"",IF(C456&lt;=加速!$L$11*(1-E457),0,1),"")</f>
        <v/>
      </c>
      <c r="E457">
        <f ca="1" t="shared" si="95"/>
        <v>1</v>
      </c>
      <c r="G457" t="str">
        <f ca="1" t="shared" si="96"/>
        <v/>
      </c>
      <c r="H457" t="str">
        <f ca="1">IF(B457&lt;&gt;"",IF(AND(COUNTIF(B456,"*轻*莺鸣柳*")&gt;0,COUNTIF(B457,"*轻*")&lt;1),MAX(0,15+I456-(A457-A456)+COUNTIF(B456,"*平湖*")*0),IF(AND(E457=0,MAX(0,H456-(A457-A456))&lt;=加速!$H$11),0,MAX(0,H456-(A457-A456)))),"")</f>
        <v/>
      </c>
      <c r="I457" t="str">
        <f ca="1" t="shared" si="102"/>
        <v/>
      </c>
      <c r="J457" t="str">
        <f ca="1" t="shared" si="103"/>
        <v/>
      </c>
      <c r="K457" t="str">
        <f ca="1">IF(A457&lt;&gt;"",IF(AND(配装计算器!$K$30&lt;&gt;"∞",0),2,INDEX(AU457:CB457,1,$AT$2)),"")</f>
        <v/>
      </c>
      <c r="L457">
        <f ca="1">IFERROR(IF(AND(COUNTIF(B457,"*-峰插*"),技能数据库!$M$72&gt;0),0,IF(COUNTIF(B457,"*鹤归*")&gt;0,16-加速!$L$11,MAX(0,L456-(A457-A456)))),0)</f>
        <v>0</v>
      </c>
      <c r="M457">
        <f ca="1">IF(COUNTIF(IF(AND(配装计算器!$K$30&lt;&gt;"∞",0),INDEX(AU456:CB456,1,$AT$1),INDEX(AU458:CB458,1,$AT$1)),"*鹤归*")=1,L457,0)</f>
        <v>0</v>
      </c>
      <c r="N457">
        <f ca="1">IFERROR(IF(AND(COUNTIF(B457,"*-峰插*"),技能数据库!$M$72&gt;0),0,IF(COUNTIF(B457,"*云飞*")&gt;0,4-COUNTIF(B457,"*玉山揽云*")*4--COUNTIF(B457,"*烟流暮景*")*4-COUNTIF(B457,"*云景*")*加速!$L$11-IF(J457&gt;0,2,0),MAX(0,N456-(A457-A456)-IF(J457&gt;0,2,0)))),0)</f>
        <v>0</v>
      </c>
      <c r="O457">
        <f ca="1">IF(AND(COUNTIF(IF(AND(配装计算器!$K$30&lt;&gt;"∞",0),INDEX(AU456:CB456,1,$AT$1),INDEX(AU458:CB458,1,$AT$1)),"*云飞*")=1,COUNTIF(IF(AND(配装计算器!$K$30&lt;&gt;"∞",0),INDEX(AU456:CB456,1,$AT$1),INDEX(AU458:CB458,1,$AT$1)),"*玉山*")=0),N457,0)</f>
        <v>0</v>
      </c>
      <c r="P457">
        <f ca="1">IFERROR(IF(COUNTIF(B457,"*云栖松*")&gt;0,50-加速!$L$11,MAX(0,P456-(A457-A456))),0)</f>
        <v>0</v>
      </c>
      <c r="Q457">
        <f ca="1">IF(COUNTIF(IF(AND(配装计算器!$K$30&lt;&gt;"∞",0),INDEX(AU456:CB456,1,$AT$1),INDEX(AU458:CB458,1,$AT$1)),"*云栖松*")=1,P457,0)</f>
        <v>0</v>
      </c>
      <c r="R457">
        <f ca="1">IFERROR(IF(COUNTIF(B457,"*莺鸣柳*")&gt;0,45-加速!$L$9,MAX(0,R456-(A457-A456))),0)</f>
        <v>0</v>
      </c>
      <c r="S457">
        <f ca="1">IF(COUNTIF(IF(AND(配装计算器!$K$30&lt;&gt;"∞",0),INDEX(AU456:CB456,1,$AT$1),INDEX(AU458:CB458,1,$AT$1)),"*莺鸣柳*")=1,R457,0)</f>
        <v>0</v>
      </c>
      <c r="T457">
        <f ca="1" t="shared" si="100"/>
        <v>0</v>
      </c>
      <c r="U457">
        <f ca="1">IF(金蛇,IF(COUNTIF(B457,"*金环戴*")+COUNTIF(B457,"*吹风醒*")&gt;0,IF(A457&lt;=3,7.125-2.625-A457-加速!$L$11,7.125+加速!$K$9-(A457+加速!$L$11-T457)),0),0)+IF(金蛇,IF(COUNTIF(B457,"*千切子裂光*")&gt;0,2+加速!$K$9-(A457+加速!$L$11-T457),0),0)</f>
        <v>0</v>
      </c>
      <c r="V457">
        <f ca="1" t="shared" si="101"/>
        <v>0</v>
      </c>
      <c r="W457">
        <f ca="1" t="shared" si="93"/>
        <v>0</v>
      </c>
      <c r="X457">
        <f ca="1">INDEX(加速!$I$13:$I$21,技能数计算!W457+1)</f>
        <v>0</v>
      </c>
      <c r="Y457">
        <f ca="1" t="shared" si="97"/>
        <v>0.5</v>
      </c>
      <c r="Z457">
        <f ca="1" t="shared" si="98"/>
        <v>0</v>
      </c>
      <c r="AA457">
        <f ca="1">MAX(0,IFERROR(IF(COUNTIF(B457,"*叠*")&gt;0,IF(AC456&lt;3,8-A458+A457,AA456+6.875-A458+A457),AA456-A458+A457),AA456-加速!$L$11))</f>
        <v>0</v>
      </c>
      <c r="AB457" t="e">
        <f ca="1">MAX(0,IF(COUNTIF(IF(AND(配装计算器!$K$30&lt;&gt;"∞",0),INDEX(AU457:CB457,1,$AT$1),INDEX(AU457:CB457,1,$AT$1)),"*叠1*")=1,4*25-加速!$L$11,AB456-A457+A456)-IF(OR(COUNTIF(OFFSET(AT457,0,$AT$1,1,1),"*听雷*")&gt;0,AND(碧归&gt;0,COUNTIF(OFFSET(AT457,0,$AT$1,1,1),"*风来*")&gt;0)),0,1)*1.5)</f>
        <v>#VALUE!</v>
      </c>
      <c r="AC457">
        <f ca="1" t="shared" si="94"/>
        <v>3</v>
      </c>
      <c r="AD457">
        <f ca="1">IF(COUNTIF(IF(AND(配装计算器!$K$30&lt;&gt;"∞",0),INDEX(AU457:CB457,1,$AT$1),INDEX(AU458:CB458,1,$AT$1)),"*叠1*")=1,AB457*0+AE456,0)</f>
        <v>0</v>
      </c>
      <c r="AE457" t="e">
        <f ca="1">IF($AN$11&gt;0,IF(COUNTIF(B458,"*叠1*")&gt;0,50-加速!$H$11,MAX(0,AE456-(A458-A457))),0)</f>
        <v>#VALUE!</v>
      </c>
      <c r="AU457" s="176" t="s">
        <v>2776</v>
      </c>
      <c r="AV457">
        <v>1</v>
      </c>
      <c r="AW457" t="s">
        <v>2768</v>
      </c>
      <c r="AX457">
        <v>2</v>
      </c>
      <c r="AY457" t="s">
        <v>2794</v>
      </c>
      <c r="AZ457">
        <v>2</v>
      </c>
      <c r="BA457" t="s">
        <v>2768</v>
      </c>
      <c r="BB457">
        <v>2</v>
      </c>
      <c r="BC457" t="s">
        <v>2768</v>
      </c>
      <c r="BD457">
        <v>0</v>
      </c>
      <c r="BE457" t="s">
        <v>2768</v>
      </c>
      <c r="BF457">
        <v>1</v>
      </c>
      <c r="BG457" t="s">
        <v>2776</v>
      </c>
      <c r="BH457">
        <v>2</v>
      </c>
      <c r="BI457" t="s">
        <v>2776</v>
      </c>
      <c r="BJ457">
        <v>1</v>
      </c>
      <c r="BK457" s="176" t="s">
        <v>3012</v>
      </c>
      <c r="BL457">
        <v>2</v>
      </c>
      <c r="BM457" t="s">
        <v>2776</v>
      </c>
      <c r="BN457">
        <v>2</v>
      </c>
      <c r="BO457" t="s">
        <v>2768</v>
      </c>
      <c r="BP457">
        <v>2</v>
      </c>
      <c r="BQ457" t="s">
        <v>2776</v>
      </c>
      <c r="BR457">
        <v>2</v>
      </c>
      <c r="BS457" t="s">
        <v>1886</v>
      </c>
      <c r="BT457">
        <v>0</v>
      </c>
      <c r="BU457" t="s">
        <v>2776</v>
      </c>
      <c r="BV457">
        <v>2</v>
      </c>
      <c r="BW457" s="182" t="s">
        <v>2776</v>
      </c>
      <c r="BX457" s="179">
        <v>2</v>
      </c>
      <c r="BY457" t="s">
        <v>2768</v>
      </c>
      <c r="BZ457">
        <v>2</v>
      </c>
      <c r="CA457" t="s">
        <v>2768</v>
      </c>
      <c r="CB457">
        <v>2</v>
      </c>
    </row>
    <row r="458" spans="1:80">
      <c r="A458" s="178" t="str">
        <f ca="1">IFERROR(IF(A457+加速!$L$11&lt;$AS$1,IF(COUNTIF(B457,"*轻*")&gt;0,A457+加速!$L$9,A457+加速!$L$11)+V457,IF(COUNTIF(INDEX(AU458:CB458,1,$AT$1),"*云景*")+COUNTIF(INDEX(AU458:CB458,1,$AT$1),"*鹤归*")+COUNTIF(INDEX(AU458:CB458,1,$AT$1),"*听雷*")&gt;0,A457+加速!$L$11,"")),"")</f>
        <v/>
      </c>
      <c r="B458" s="167" t="str">
        <f ca="1">IF(A458&lt;&gt;"",IF(AND(A458+加速!$L$11&gt;$AS$1,IF(AND(配装计算器!$K$30&lt;&gt;"∞",0),"梦泉虎跑-轻",INDEX(AU458:CB458,1,$AT$1))="云栖松"),"夕照雷峰",IF(AND(配装计算器!$K$30&lt;&gt;"∞",0),"梦泉虎跑-轻",INDEX(AU458:CB458,1,$AT$1))),"")</f>
        <v/>
      </c>
      <c r="C458" t="str">
        <f ca="1" t="shared" si="99"/>
        <v/>
      </c>
      <c r="D458" t="str">
        <f ca="1">IF(B458&lt;&gt;"",IF(C457&lt;=加速!$L$11*(1-E458),0,1),"")</f>
        <v/>
      </c>
      <c r="E458">
        <f ca="1" t="shared" si="95"/>
        <v>1</v>
      </c>
      <c r="G458" t="str">
        <f ca="1" t="shared" si="96"/>
        <v/>
      </c>
      <c r="H458" t="str">
        <f ca="1">IF(B458&lt;&gt;"",IF(AND(COUNTIF(B457,"*轻*莺鸣柳*")&gt;0,COUNTIF(B458,"*轻*")&lt;1),MAX(0,15+I457-(A458-A457)+COUNTIF(B457,"*平湖*")*0),IF(AND(E458=0,MAX(0,H457-(A458-A457))&lt;=加速!$H$11),0,MAX(0,H457-(A458-A457)))),"")</f>
        <v/>
      </c>
      <c r="I458" t="str">
        <f ca="1" t="shared" si="102"/>
        <v/>
      </c>
      <c r="J458" t="str">
        <f ca="1" t="shared" si="103"/>
        <v/>
      </c>
      <c r="K458" t="str">
        <f ca="1">IF(A458&lt;&gt;"",IF(AND(配装计算器!$K$30&lt;&gt;"∞",0),2,INDEX(AU458:CB458,1,$AT$2)),"")</f>
        <v/>
      </c>
      <c r="L458">
        <f ca="1">IFERROR(IF(AND(COUNTIF(B458,"*-峰插*"),技能数据库!$M$72&gt;0),0,IF(COUNTIF(B458,"*鹤归*")&gt;0,16-加速!$L$11,MAX(0,L457-(A458-A457)))),0)</f>
        <v>0</v>
      </c>
      <c r="M458">
        <f ca="1">IF(COUNTIF(IF(AND(配装计算器!$K$30&lt;&gt;"∞",0),INDEX(AU457:CB457,1,$AT$1),INDEX(AU459:CB459,1,$AT$1)),"*鹤归*")=1,L458,0)</f>
        <v>0</v>
      </c>
      <c r="N458">
        <f ca="1">IFERROR(IF(AND(COUNTIF(B458,"*-峰插*"),技能数据库!$M$72&gt;0),0,IF(COUNTIF(B458,"*云飞*")&gt;0,4-COUNTIF(B458,"*玉山揽云*")*4--COUNTIF(B458,"*烟流暮景*")*4-COUNTIF(B458,"*云景*")*加速!$L$11-IF(J458&gt;0,2,0),MAX(0,N457-(A458-A457)-IF(J458&gt;0,2,0)))),0)</f>
        <v>0</v>
      </c>
      <c r="O458">
        <f ca="1">IF(AND(COUNTIF(IF(AND(配装计算器!$K$30&lt;&gt;"∞",0),INDEX(AU457:CB457,1,$AT$1),INDEX(AU459:CB459,1,$AT$1)),"*云飞*")=1,COUNTIF(IF(AND(配装计算器!$K$30&lt;&gt;"∞",0),INDEX(AU457:CB457,1,$AT$1),INDEX(AU459:CB459,1,$AT$1)),"*玉山*")=0),N458,0)</f>
        <v>0</v>
      </c>
      <c r="P458">
        <f ca="1">IFERROR(IF(COUNTIF(B458,"*云栖松*")&gt;0,50-加速!$L$11,MAX(0,P457-(A458-A457))),0)</f>
        <v>0</v>
      </c>
      <c r="Q458">
        <f ca="1">IF(COUNTIF(IF(AND(配装计算器!$K$30&lt;&gt;"∞",0),INDEX(AU457:CB457,1,$AT$1),INDEX(AU459:CB459,1,$AT$1)),"*云栖松*")=1,P458,0)</f>
        <v>0</v>
      </c>
      <c r="R458">
        <f ca="1">IFERROR(IF(COUNTIF(B458,"*莺鸣柳*")&gt;0,45-加速!$L$9,MAX(0,R457-(A458-A457))),0)</f>
        <v>0</v>
      </c>
      <c r="S458">
        <f ca="1">IF(COUNTIF(IF(AND(配装计算器!$K$30&lt;&gt;"∞",0),INDEX(AU457:CB457,1,$AT$1),INDEX(AU459:CB459,1,$AT$1)),"*莺鸣柳*")=1,R458,0)</f>
        <v>0</v>
      </c>
      <c r="T458">
        <f ca="1" t="shared" si="100"/>
        <v>0</v>
      </c>
      <c r="U458">
        <f ca="1">IF(金蛇,IF(COUNTIF(B458,"*金环戴*")+COUNTIF(B458,"*吹风醒*")&gt;0,IF(A458&lt;=3,7.125-2.625-A458-加速!$L$11,7.125+加速!$K$9-(A458+加速!$L$11-T458)),0),0)+IF(金蛇,IF(COUNTIF(B458,"*千切子裂光*")&gt;0,2+加速!$K$9-(A458+加速!$L$11-T458),0),0)</f>
        <v>0</v>
      </c>
      <c r="V458" t="e">
        <f ca="1" t="shared" si="101"/>
        <v>#VALUE!</v>
      </c>
      <c r="W458">
        <f ca="1" t="shared" si="93"/>
        <v>0</v>
      </c>
      <c r="X458">
        <f ca="1">INDEX(加速!$I$13:$I$21,技能数计算!W458+1)</f>
        <v>0</v>
      </c>
      <c r="Y458">
        <f ca="1" t="shared" si="97"/>
        <v>0.5</v>
      </c>
      <c r="Z458">
        <f ca="1" t="shared" si="98"/>
        <v>0</v>
      </c>
      <c r="AA458">
        <f ca="1">MAX(0,IFERROR(IF(COUNTIF(B458,"*叠*")&gt;0,IF(AC457&lt;3,8-A459+A458,AA457+6.875-A459+A458),AA457-A459+A458),AA457-加速!$L$11))</f>
        <v>0</v>
      </c>
      <c r="AB458" t="e">
        <f ca="1">MAX(0,IF(COUNTIF(IF(AND(配装计算器!$K$30&lt;&gt;"∞",0),INDEX(AU458:CB458,1,$AT$1),INDEX(AU458:CB458,1,$AT$1)),"*叠1*")=1,4*25-加速!$L$11,AB457-A458+A457)-IF(OR(COUNTIF(OFFSET(AT458,0,$AT$1,1,1),"*听雷*")&gt;0,AND(碧归&gt;0,COUNTIF(OFFSET(AT458,0,$AT$1,1,1),"*风来*")&gt;0)),0,1)*1.5)</f>
        <v>#VALUE!</v>
      </c>
      <c r="AC458">
        <f ca="1" t="shared" si="94"/>
        <v>3</v>
      </c>
      <c r="AD458" t="e">
        <f ca="1">IF(COUNTIF(IF(AND(配装计算器!$K$30&lt;&gt;"∞",0),INDEX(AU458:CB458,1,$AT$1),INDEX(AU459:CB459,1,$AT$1)),"*叠1*")=1,AB458*0+AE457,0)</f>
        <v>#VALUE!</v>
      </c>
      <c r="AE458" t="e">
        <f ca="1">IF($AN$11&gt;0,IF(COUNTIF(B459,"*叠1*")&gt;0,50-加速!$H$11,MAX(0,AE457-(A459-A458))),0)</f>
        <v>#VALUE!</v>
      </c>
      <c r="AU458" t="s">
        <v>2722</v>
      </c>
      <c r="AV458">
        <v>0</v>
      </c>
      <c r="AW458" t="str">
        <f>IF($AN$11=1,"云飞玉皇-玉山揽云","夕照雷峰")</f>
        <v>云飞玉皇-玉山揽云</v>
      </c>
      <c r="AX458">
        <v>2</v>
      </c>
      <c r="AY458" t="s">
        <v>2768</v>
      </c>
      <c r="AZ458">
        <v>2</v>
      </c>
      <c r="BA458" t="s">
        <v>2776</v>
      </c>
      <c r="BB458">
        <v>2</v>
      </c>
      <c r="BC458" t="s">
        <v>2768</v>
      </c>
      <c r="BD458">
        <v>0</v>
      </c>
      <c r="BE458" t="s">
        <v>2794</v>
      </c>
      <c r="BF458">
        <v>0</v>
      </c>
      <c r="BG458" t="s">
        <v>2768</v>
      </c>
      <c r="BH458">
        <v>2</v>
      </c>
      <c r="BI458" t="s">
        <v>2768</v>
      </c>
      <c r="BJ458">
        <v>0</v>
      </c>
      <c r="BK458" s="176" t="s">
        <v>2794</v>
      </c>
      <c r="BL458">
        <v>2</v>
      </c>
      <c r="BM458" t="s">
        <v>2768</v>
      </c>
      <c r="BN458">
        <v>2</v>
      </c>
      <c r="BO458" t="s">
        <v>2768</v>
      </c>
      <c r="BP458">
        <v>2</v>
      </c>
      <c r="BQ458" t="s">
        <v>2768</v>
      </c>
      <c r="BR458">
        <v>2</v>
      </c>
      <c r="BS458" t="s">
        <v>2853</v>
      </c>
      <c r="BT458">
        <v>1</v>
      </c>
      <c r="BU458" t="s">
        <v>2768</v>
      </c>
      <c r="BV458">
        <v>2</v>
      </c>
      <c r="BW458" s="182" t="str">
        <f t="shared" ref="BW458:BW462" si="104">IF($AN$11=1,"云飞玉皇-玉山揽云","夕照雷峰")</f>
        <v>云飞玉皇-玉山揽云</v>
      </c>
      <c r="BX458" s="179">
        <v>2</v>
      </c>
      <c r="BY458" t="s">
        <v>2776</v>
      </c>
      <c r="BZ458">
        <v>2</v>
      </c>
      <c r="CA458" t="s">
        <v>2776</v>
      </c>
      <c r="CB458">
        <v>2</v>
      </c>
    </row>
    <row r="459" spans="1:80">
      <c r="A459" s="178" t="str">
        <f ca="1">IFERROR(IF(A458+加速!$L$11&lt;$AS$1,IF(COUNTIF(B458,"*轻*")&gt;0,A458+加速!$L$9,A458+加速!$L$11)+V458,IF(COUNTIF(INDEX(AU459:CB459,1,$AT$1),"*云景*")+COUNTIF(INDEX(AU459:CB459,1,$AT$1),"*鹤归*")+COUNTIF(INDEX(AU459:CB459,1,$AT$1),"*听雷*")&gt;0,A458+加速!$L$11,"")),"")</f>
        <v/>
      </c>
      <c r="B459" s="167" t="str">
        <f ca="1">IF(A459&lt;&gt;"",IF(AND(A459+加速!$L$11&gt;$AS$1,IF(AND(配装计算器!$K$30&lt;&gt;"∞",0),"梦泉虎跑-轻",INDEX(AU459:CB459,1,$AT$1))="云栖松"),"夕照雷峰",IF(AND(配装计算器!$K$30&lt;&gt;"∞",0),"梦泉虎跑-轻",INDEX(AU459:CB459,1,$AT$1))),"")</f>
        <v/>
      </c>
      <c r="C459" t="str">
        <f ca="1" t="shared" si="99"/>
        <v/>
      </c>
      <c r="D459" t="str">
        <f ca="1">IF(B459&lt;&gt;"",IF(C458&lt;=加速!$L$11*(1-E459),0,1),"")</f>
        <v/>
      </c>
      <c r="E459">
        <f ca="1" t="shared" si="95"/>
        <v>1</v>
      </c>
      <c r="G459" t="str">
        <f ca="1" t="shared" si="96"/>
        <v/>
      </c>
      <c r="H459" t="str">
        <f ca="1">IF(B459&lt;&gt;"",IF(AND(COUNTIF(B458,"*轻*莺鸣柳*")&gt;0,COUNTIF(B459,"*轻*")&lt;1),MAX(0,15+I458-(A459-A458)+COUNTIF(B458,"*平湖*")*0),IF(AND(E459=0,MAX(0,H458-(A459-A458))&lt;=加速!$H$11),0,MAX(0,H458-(A459-A458)))),"")</f>
        <v/>
      </c>
      <c r="I459" t="str">
        <f ca="1" t="shared" si="102"/>
        <v/>
      </c>
      <c r="J459" t="str">
        <f ca="1" t="shared" si="103"/>
        <v/>
      </c>
      <c r="K459" t="str">
        <f ca="1">IF(A459&lt;&gt;"",IF(AND(配装计算器!$K$30&lt;&gt;"∞",0),2,INDEX(AU459:CB459,1,$AT$2)),"")</f>
        <v/>
      </c>
      <c r="L459">
        <f ca="1">IFERROR(IF(AND(COUNTIF(B459,"*-峰插*"),技能数据库!$M$72&gt;0),0,IF(COUNTIF(B459,"*鹤归*")&gt;0,16-加速!$L$11,MAX(0,L458-(A459-A458)))),0)</f>
        <v>0</v>
      </c>
      <c r="M459">
        <f ca="1">IF(COUNTIF(IF(AND(配装计算器!$K$30&lt;&gt;"∞",0),INDEX(AU458:CB458,1,$AT$1),INDEX(AU460:CB460,1,$AT$1)),"*鹤归*")=1,L459,0)</f>
        <v>0</v>
      </c>
      <c r="N459">
        <f ca="1">IFERROR(IF(AND(COUNTIF(B459,"*-峰插*"),技能数据库!$M$72&gt;0),0,IF(COUNTIF(B459,"*云飞*")&gt;0,4-COUNTIF(B459,"*玉山揽云*")*4--COUNTIF(B459,"*烟流暮景*")*4-COUNTIF(B459,"*云景*")*加速!$L$11-IF(J459&gt;0,2,0),MAX(0,N458-(A459-A458)-IF(J459&gt;0,2,0)))),0)</f>
        <v>0</v>
      </c>
      <c r="O459">
        <f ca="1">IF(AND(COUNTIF(IF(AND(配装计算器!$K$30&lt;&gt;"∞",0),INDEX(AU458:CB458,1,$AT$1),INDEX(AU460:CB460,1,$AT$1)),"*云飞*")=1,COUNTIF(IF(AND(配装计算器!$K$30&lt;&gt;"∞",0),INDEX(AU458:CB458,1,$AT$1),INDEX(AU460:CB460,1,$AT$1)),"*玉山*")=0),N459,0)</f>
        <v>0</v>
      </c>
      <c r="P459">
        <f ca="1">IFERROR(IF(COUNTIF(B459,"*云栖松*")&gt;0,50-加速!$L$11,MAX(0,P458-(A459-A458))),0)</f>
        <v>0</v>
      </c>
      <c r="Q459">
        <f ca="1">IF(COUNTIF(IF(AND(配装计算器!$K$30&lt;&gt;"∞",0),INDEX(AU458:CB458,1,$AT$1),INDEX(AU460:CB460,1,$AT$1)),"*云栖松*")=1,P459,0)</f>
        <v>0</v>
      </c>
      <c r="R459">
        <f ca="1">IFERROR(IF(COUNTIF(B459,"*莺鸣柳*")&gt;0,45-加速!$L$9,MAX(0,R458-(A459-A458))),0)</f>
        <v>0</v>
      </c>
      <c r="S459">
        <f ca="1">IF(COUNTIF(IF(AND(配装计算器!$K$30&lt;&gt;"∞",0),INDEX(AU458:CB458,1,$AT$1),INDEX(AU460:CB460,1,$AT$1)),"*莺鸣柳*")=1,R459,0)</f>
        <v>0</v>
      </c>
      <c r="T459">
        <f ca="1" t="shared" si="100"/>
        <v>0</v>
      </c>
      <c r="U459">
        <f ca="1">IF(金蛇,IF(COUNTIF(B459,"*金环戴*")+COUNTIF(B459,"*吹风醒*")&gt;0,IF(A459&lt;=3,7.125-2.625-A459-加速!$L$11,7.125+加速!$K$9-(A459+加速!$L$11-T459)),0),0)+IF(金蛇,IF(COUNTIF(B459,"*千切子裂光*")&gt;0,2+加速!$K$9-(A459+加速!$L$11-T459),0),0)</f>
        <v>0</v>
      </c>
      <c r="V459">
        <f ca="1" t="shared" si="101"/>
        <v>0</v>
      </c>
      <c r="W459">
        <f ca="1" t="shared" si="93"/>
        <v>0</v>
      </c>
      <c r="X459">
        <f ca="1">INDEX(加速!$I$13:$I$21,技能数计算!W459+1)</f>
        <v>0</v>
      </c>
      <c r="Y459">
        <f ca="1" t="shared" si="97"/>
        <v>0.5</v>
      </c>
      <c r="Z459">
        <f ca="1" t="shared" si="98"/>
        <v>0</v>
      </c>
      <c r="AA459">
        <f ca="1">MAX(0,IFERROR(IF(COUNTIF(B459,"*叠*")&gt;0,IF(AC458&lt;3,8-A460+A459,AA458+6.875-A460+A459),AA458-A460+A459),AA458-加速!$L$11))</f>
        <v>0</v>
      </c>
      <c r="AB459">
        <f ca="1">MAX(0,IF(COUNTIF(IF(AND(配装计算器!$K$30&lt;&gt;"∞",0),INDEX(AU459:CB459,1,$AT$1),INDEX(AU459:CB459,1,$AT$1)),"*叠1*")=1,4*25-加速!$L$11,AB458-A459+A458)-IF(OR(COUNTIF(OFFSET(AT459,0,$AT$1,1,1),"*听雷*")&gt;0,AND(碧归&gt;0,COUNTIF(OFFSET(AT459,0,$AT$1,1,1),"*风来*")&gt;0)),0,1)*1.5)</f>
        <v>97.21</v>
      </c>
      <c r="AC459">
        <f ca="1" t="shared" si="94"/>
        <v>3</v>
      </c>
      <c r="AD459">
        <f ca="1">IF(COUNTIF(IF(AND(配装计算器!$K$30&lt;&gt;"∞",0),INDEX(AU459:CB459,1,$AT$1),INDEX(AU460:CB460,1,$AT$1)),"*叠1*")=1,AB459*0+AE458,0)</f>
        <v>0</v>
      </c>
      <c r="AE459" t="e">
        <f ca="1">IF($AN$11&gt;0,IF(COUNTIF(B460,"*叠1*")&gt;0,50-加速!$H$11,MAX(0,AE458-(A460-A459))),0)</f>
        <v>#VALUE!</v>
      </c>
      <c r="AU459" t="s">
        <v>3009</v>
      </c>
      <c r="AV459">
        <v>2</v>
      </c>
      <c r="AW459" t="str">
        <f>IF($AN$11=1,"云飞玉皇-玉山揽云","夕照雷峰")</f>
        <v>云飞玉皇-玉山揽云</v>
      </c>
      <c r="AX459">
        <v>2</v>
      </c>
      <c r="AY459" t="s">
        <v>2776</v>
      </c>
      <c r="AZ459">
        <v>2</v>
      </c>
      <c r="BA459" t="s">
        <v>2768</v>
      </c>
      <c r="BB459">
        <v>2</v>
      </c>
      <c r="BC459" t="s">
        <v>3010</v>
      </c>
      <c r="BD459">
        <v>2</v>
      </c>
      <c r="BE459" t="s">
        <v>2776</v>
      </c>
      <c r="BF459">
        <v>0</v>
      </c>
      <c r="BG459" t="s">
        <v>2776</v>
      </c>
      <c r="BH459">
        <v>2</v>
      </c>
      <c r="BI459" t="s">
        <v>3011</v>
      </c>
      <c r="BJ459">
        <v>2</v>
      </c>
      <c r="BK459" s="176" t="s">
        <v>3019</v>
      </c>
      <c r="BL459">
        <v>2</v>
      </c>
      <c r="BM459" t="str">
        <f>IF(0,"云飞玉皇-玉山揽云","夕照雷峰")</f>
        <v>夕照雷峰</v>
      </c>
      <c r="BN459">
        <v>2</v>
      </c>
      <c r="BO459" t="s">
        <v>2776</v>
      </c>
      <c r="BP459">
        <v>2</v>
      </c>
      <c r="BQ459" t="s">
        <v>2776</v>
      </c>
      <c r="BR459">
        <v>2</v>
      </c>
      <c r="BS459" s="176" t="str">
        <f>IF(秋,"金蛇锥-金环戴","金蛇锥-吹风醒")</f>
        <v>金蛇锥-吹风醒</v>
      </c>
      <c r="BT459">
        <v>0</v>
      </c>
      <c r="BU459" t="s">
        <v>2776</v>
      </c>
      <c r="BV459">
        <v>2</v>
      </c>
      <c r="BW459" s="179" t="str">
        <f>IF($AN$11=1,"云飞玉皇-玉山揽云","云飞玉皇")</f>
        <v>云飞玉皇-玉山揽云</v>
      </c>
      <c r="BX459" s="179">
        <v>2</v>
      </c>
      <c r="BY459" s="176" t="s">
        <v>2794</v>
      </c>
      <c r="BZ459">
        <v>2</v>
      </c>
      <c r="CA459" s="176" t="s">
        <v>2794</v>
      </c>
      <c r="CB459">
        <v>2</v>
      </c>
    </row>
    <row r="460" spans="1:80">
      <c r="A460" s="178" t="str">
        <f ca="1">IFERROR(IF(A459+加速!$L$11&lt;$AS$1,IF(COUNTIF(B459,"*轻*")&gt;0,A459+加速!$L$9,A459+加速!$L$11)+V459,IF(COUNTIF(INDEX(AU460:CB460,1,$AT$1),"*云景*")+COUNTIF(INDEX(AU460:CB460,1,$AT$1),"*鹤归*")+COUNTIF(INDEX(AU460:CB460,1,$AT$1),"*听雷*")&gt;0,A459+加速!$L$11,"")),"")</f>
        <v/>
      </c>
      <c r="B460" s="167" t="str">
        <f ca="1">IF(A460&lt;&gt;"",IF(AND(A460+加速!$L$11&gt;$AS$1,IF(AND(配装计算器!$K$30&lt;&gt;"∞",0),"梦泉虎跑-轻",INDEX(AU460:CB460,1,$AT$1))="云栖松"),"夕照雷峰",IF(AND(配装计算器!$K$30&lt;&gt;"∞",0),"梦泉虎跑-轻",INDEX(AU460:CB460,1,$AT$1))),"")</f>
        <v/>
      </c>
      <c r="C460" t="str">
        <f ca="1" t="shared" si="99"/>
        <v/>
      </c>
      <c r="D460" t="str">
        <f ca="1">IF(B460&lt;&gt;"",IF(C459&lt;=加速!$L$11*(1-E460),0,1),"")</f>
        <v/>
      </c>
      <c r="E460">
        <f ca="1" t="shared" si="95"/>
        <v>1</v>
      </c>
      <c r="G460" t="str">
        <f ca="1" t="shared" si="96"/>
        <v/>
      </c>
      <c r="H460" t="str">
        <f ca="1">IF(B460&lt;&gt;"",IF(AND(COUNTIF(B459,"*轻*莺鸣柳*")&gt;0,COUNTIF(B460,"*轻*")&lt;1),MAX(0,15+I459-(A460-A459)+COUNTIF(B459,"*平湖*")*0),IF(AND(E460=0,MAX(0,H459-(A460-A459))&lt;=加速!$H$11),0,MAX(0,H459-(A460-A459)))),"")</f>
        <v/>
      </c>
      <c r="I460" t="str">
        <f ca="1" t="shared" si="102"/>
        <v/>
      </c>
      <c r="J460" t="str">
        <f ca="1" t="shared" si="103"/>
        <v/>
      </c>
      <c r="K460" t="str">
        <f ca="1">IF(A460&lt;&gt;"",IF(AND(配装计算器!$K$30&lt;&gt;"∞",0),2,INDEX(AU460:CB460,1,$AT$2)),"")</f>
        <v/>
      </c>
      <c r="L460">
        <f ca="1">IFERROR(IF(AND(COUNTIF(B460,"*-峰插*"),技能数据库!$M$72&gt;0),0,IF(COUNTIF(B460,"*鹤归*")&gt;0,16-加速!$L$11,MAX(0,L459-(A460-A459)))),0)</f>
        <v>0</v>
      </c>
      <c r="M460">
        <f ca="1">IF(COUNTIF(IF(AND(配装计算器!$K$30&lt;&gt;"∞",0),INDEX(AU459:CB459,1,$AT$1),INDEX(AU461:CB461,1,$AT$1)),"*鹤归*")=1,L460,0)</f>
        <v>0</v>
      </c>
      <c r="N460">
        <f ca="1">IFERROR(IF(AND(COUNTIF(B460,"*-峰插*"),技能数据库!$M$72&gt;0),0,IF(COUNTIF(B460,"*云飞*")&gt;0,4-COUNTIF(B460,"*玉山揽云*")*4--COUNTIF(B460,"*烟流暮景*")*4-COUNTIF(B460,"*云景*")*加速!$L$11-IF(J460&gt;0,2,0),MAX(0,N459-(A460-A459)-IF(J460&gt;0,2,0)))),0)</f>
        <v>0</v>
      </c>
      <c r="O460">
        <f ca="1">IF(AND(COUNTIF(IF(AND(配装计算器!$K$30&lt;&gt;"∞",0),INDEX(AU459:CB459,1,$AT$1),INDEX(AU461:CB461,1,$AT$1)),"*云飞*")=1,COUNTIF(IF(AND(配装计算器!$K$30&lt;&gt;"∞",0),INDEX(AU459:CB459,1,$AT$1),INDEX(AU461:CB461,1,$AT$1)),"*玉山*")=0),N460,0)</f>
        <v>0</v>
      </c>
      <c r="P460">
        <f ca="1">IFERROR(IF(COUNTIF(B460,"*云栖松*")&gt;0,50-加速!$L$11,MAX(0,P459-(A460-A459))),0)</f>
        <v>0</v>
      </c>
      <c r="Q460">
        <f ca="1">IF(COUNTIF(IF(AND(配装计算器!$K$30&lt;&gt;"∞",0),INDEX(AU459:CB459,1,$AT$1),INDEX(AU461:CB461,1,$AT$1)),"*云栖松*")=1,P460,0)</f>
        <v>0</v>
      </c>
      <c r="R460">
        <f ca="1">IFERROR(IF(COUNTIF(B460,"*莺鸣柳*")&gt;0,45-加速!$L$9,MAX(0,R459-(A460-A459))),0)</f>
        <v>0</v>
      </c>
      <c r="S460">
        <f ca="1">IF(COUNTIF(IF(AND(配装计算器!$K$30&lt;&gt;"∞",0),INDEX(AU459:CB459,1,$AT$1),INDEX(AU461:CB461,1,$AT$1)),"*莺鸣柳*")=1,R460,0)</f>
        <v>0</v>
      </c>
      <c r="T460">
        <f ca="1" t="shared" si="100"/>
        <v>0</v>
      </c>
      <c r="U460">
        <f ca="1">IF(金蛇,IF(COUNTIF(B460,"*金环戴*")+COUNTIF(B460,"*吹风醒*")&gt;0,IF(A460&lt;=3,7.125-2.625-A460-加速!$L$11,7.125+加速!$K$9-(A460+加速!$L$11-T460)),0),0)+IF(金蛇,IF(COUNTIF(B460,"*千切子裂光*")&gt;0,2+加速!$K$9-(A460+加速!$L$11-T460),0),0)</f>
        <v>0</v>
      </c>
      <c r="V460">
        <f ca="1" t="shared" si="101"/>
        <v>0</v>
      </c>
      <c r="W460">
        <f ca="1" t="shared" si="93"/>
        <v>0</v>
      </c>
      <c r="X460">
        <f ca="1">INDEX(加速!$I$13:$I$21,技能数计算!W460+1)</f>
        <v>0</v>
      </c>
      <c r="Y460">
        <f ca="1" t="shared" si="97"/>
        <v>0.5</v>
      </c>
      <c r="Z460">
        <f ca="1" t="shared" si="98"/>
        <v>0</v>
      </c>
      <c r="AA460">
        <f ca="1">MAX(0,IFERROR(IF(COUNTIF(B460,"*叠*")&gt;0,IF(AC459&lt;3,8-A461+A460,AA459+6.875-A461+A460),AA459-A461+A460),AA459-加速!$L$11))</f>
        <v>0</v>
      </c>
      <c r="AB460" t="e">
        <f ca="1">MAX(0,IF(COUNTIF(IF(AND(配装计算器!$K$30&lt;&gt;"∞",0),INDEX(AU460:CB460,1,$AT$1),INDEX(AU460:CB460,1,$AT$1)),"*叠1*")=1,4*25-加速!$L$11,AB459-A460+A459)-IF(OR(COUNTIF(OFFSET(AT460,0,$AT$1,1,1),"*听雷*")&gt;0,AND(碧归&gt;0,COUNTIF(OFFSET(AT460,0,$AT$1,1,1),"*风来*")&gt;0)),0,1)*1.5)</f>
        <v>#VALUE!</v>
      </c>
      <c r="AC460">
        <f ca="1" t="shared" si="94"/>
        <v>3</v>
      </c>
      <c r="AD460">
        <f ca="1">IF(COUNTIF(IF(AND(配装计算器!$K$30&lt;&gt;"∞",0),INDEX(AU460:CB460,1,$AT$1),INDEX(AU461:CB461,1,$AT$1)),"*叠1*")=1,AB460*0+AE459,0)</f>
        <v>0</v>
      </c>
      <c r="AE460" t="e">
        <f ca="1">IF($AN$11&gt;0,IF(COUNTIF(B461,"*叠1*")&gt;0,50-加速!$H$11,MAX(0,AE459-(A461-A460))),0)</f>
        <v>#VALUE!</v>
      </c>
      <c r="AU460" t="s">
        <v>2768</v>
      </c>
      <c r="AV460">
        <v>2</v>
      </c>
      <c r="AW460" t="str">
        <f>IF($AN$11=1,"云飞玉皇-玉山揽云","云飞玉皇")</f>
        <v>云飞玉皇-玉山揽云</v>
      </c>
      <c r="AX460">
        <v>2</v>
      </c>
      <c r="AY460" t="s">
        <v>2768</v>
      </c>
      <c r="AZ460">
        <v>2</v>
      </c>
      <c r="BA460" t="s">
        <v>2776</v>
      </c>
      <c r="BB460">
        <v>1</v>
      </c>
      <c r="BC460" t="s">
        <v>3013</v>
      </c>
      <c r="BD460">
        <v>2</v>
      </c>
      <c r="BE460" t="s">
        <v>2768</v>
      </c>
      <c r="BF460">
        <v>0</v>
      </c>
      <c r="BG460" t="s">
        <v>2768</v>
      </c>
      <c r="BH460">
        <v>1</v>
      </c>
      <c r="BI460" t="s">
        <v>2768</v>
      </c>
      <c r="BJ460">
        <v>2</v>
      </c>
      <c r="BK460" t="s">
        <v>2768</v>
      </c>
      <c r="BL460">
        <v>2</v>
      </c>
      <c r="BM460" t="str">
        <f>IF(0,"云飞玉皇-玉山揽云","夕照雷峰")</f>
        <v>夕照雷峰</v>
      </c>
      <c r="BN460">
        <v>2</v>
      </c>
      <c r="BO460" t="s">
        <v>2768</v>
      </c>
      <c r="BP460">
        <v>2</v>
      </c>
      <c r="BQ460" t="s">
        <v>2768</v>
      </c>
      <c r="BR460">
        <v>2</v>
      </c>
      <c r="BS460" t="s">
        <v>2773</v>
      </c>
      <c r="BT460">
        <v>2</v>
      </c>
      <c r="BU460" t="s">
        <v>2768</v>
      </c>
      <c r="BV460">
        <v>2</v>
      </c>
      <c r="BW460" s="179" t="str">
        <f>IF($AN$11=1,橙武补雾锁,"听雷-重")</f>
        <v>云飞玉皇-玉山揽云</v>
      </c>
      <c r="BX460" s="179">
        <v>0</v>
      </c>
      <c r="BY460" s="176" t="str">
        <f>IF(0,"云飞玉皇-玉山揽云","夕照雷峰")</f>
        <v>夕照雷峰</v>
      </c>
      <c r="BZ460">
        <v>2</v>
      </c>
      <c r="CA460" t="str">
        <f>IF(0,"云飞玉皇-玉山揽云","夕照雷峰")</f>
        <v>夕照雷峰</v>
      </c>
      <c r="CB460">
        <v>2</v>
      </c>
    </row>
    <row r="461" spans="1:80">
      <c r="A461" s="178" t="str">
        <f ca="1">IFERROR(IF(A460+加速!$L$11&lt;$AS$1,IF(COUNTIF(B460,"*轻*")&gt;0,A460+加速!$L$9,A460+加速!$L$11)+V460,IF(COUNTIF(INDEX(AU461:CB461,1,$AT$1),"*云景*")+COUNTIF(INDEX(AU461:CB461,1,$AT$1),"*鹤归*")+COUNTIF(INDEX(AU461:CB461,1,$AT$1),"*听雷*")&gt;0,A460+加速!$L$11,"")),"")</f>
        <v/>
      </c>
      <c r="B461" s="167" t="str">
        <f ca="1">IF(A461&lt;&gt;"",IF(AND(A461+加速!$L$11&gt;$AS$1,IF(AND(配装计算器!$K$30&lt;&gt;"∞",0),"梦泉虎跑-轻",INDEX(AU461:CB461,1,$AT$1))="云栖松"),"夕照雷峰",IF(AND(配装计算器!$K$30&lt;&gt;"∞",0),"梦泉虎跑-轻",INDEX(AU461:CB461,1,$AT$1))),"")</f>
        <v/>
      </c>
      <c r="C461" t="str">
        <f ca="1" t="shared" si="99"/>
        <v/>
      </c>
      <c r="D461" t="str">
        <f ca="1">IF(B461&lt;&gt;"",IF(C460&lt;=加速!$L$11*(1-E461),0,1),"")</f>
        <v/>
      </c>
      <c r="E461">
        <f ca="1" t="shared" si="95"/>
        <v>1</v>
      </c>
      <c r="G461" t="str">
        <f ca="1" t="shared" si="96"/>
        <v/>
      </c>
      <c r="H461" t="str">
        <f ca="1">IF(B461&lt;&gt;"",IF(AND(COUNTIF(B460,"*轻*莺鸣柳*")&gt;0,COUNTIF(B461,"*轻*")&lt;1),MAX(0,15+I460-(A461-A460)+COUNTIF(B460,"*平湖*")*0),IF(AND(E461=0,MAX(0,H460-(A461-A460))&lt;=加速!$H$11),0,MAX(0,H460-(A461-A460)))),"")</f>
        <v/>
      </c>
      <c r="I461" t="str">
        <f ca="1" t="shared" si="102"/>
        <v/>
      </c>
      <c r="J461" t="str">
        <f ca="1" t="shared" si="103"/>
        <v/>
      </c>
      <c r="K461" t="str">
        <f ca="1">IF(A461&lt;&gt;"",IF(AND(配装计算器!$K$30&lt;&gt;"∞",0),2,INDEX(AU461:CB461,1,$AT$2)),"")</f>
        <v/>
      </c>
      <c r="L461">
        <f ca="1">IFERROR(IF(AND(COUNTIF(B461,"*-峰插*"),技能数据库!$M$72&gt;0),0,IF(COUNTIF(B461,"*鹤归*")&gt;0,16-加速!$L$11,MAX(0,L460-(A461-A460)))),0)</f>
        <v>0</v>
      </c>
      <c r="M461">
        <f ca="1">IF(COUNTIF(IF(AND(配装计算器!$K$30&lt;&gt;"∞",0),INDEX(AU460:CB460,1,$AT$1),INDEX(AU462:CB462,1,$AT$1)),"*鹤归*")=1,L461,0)</f>
        <v>0</v>
      </c>
      <c r="N461">
        <f ca="1">IFERROR(IF(AND(COUNTIF(B461,"*-峰插*"),技能数据库!$M$72&gt;0),0,IF(COUNTIF(B461,"*云飞*")&gt;0,4-COUNTIF(B461,"*玉山揽云*")*4--COUNTIF(B461,"*烟流暮景*")*4-COUNTIF(B461,"*云景*")*加速!$L$11-IF(J461&gt;0,2,0),MAX(0,N460-(A461-A460)-IF(J461&gt;0,2,0)))),0)</f>
        <v>0</v>
      </c>
      <c r="O461">
        <f ca="1">IF(AND(COUNTIF(IF(AND(配装计算器!$K$30&lt;&gt;"∞",0),INDEX(AU460:CB460,1,$AT$1),INDEX(AU462:CB462,1,$AT$1)),"*云飞*")=1,COUNTIF(IF(AND(配装计算器!$K$30&lt;&gt;"∞",0),INDEX(AU460:CB460,1,$AT$1),INDEX(AU462:CB462,1,$AT$1)),"*玉山*")=0),N461,0)</f>
        <v>0</v>
      </c>
      <c r="P461">
        <f ca="1">IFERROR(IF(COUNTIF(B461,"*云栖松*")&gt;0,50-加速!$L$11,MAX(0,P460-(A461-A460))),0)</f>
        <v>0</v>
      </c>
      <c r="Q461">
        <f ca="1">IF(COUNTIF(IF(AND(配装计算器!$K$30&lt;&gt;"∞",0),INDEX(AU460:CB460,1,$AT$1),INDEX(AU462:CB462,1,$AT$1)),"*云栖松*")=1,P461,0)</f>
        <v>0</v>
      </c>
      <c r="R461">
        <f ca="1">IFERROR(IF(COUNTIF(B461,"*莺鸣柳*")&gt;0,45-加速!$L$9,MAX(0,R460-(A461-A460))),0)</f>
        <v>0</v>
      </c>
      <c r="S461">
        <f ca="1">IF(COUNTIF(IF(AND(配装计算器!$K$30&lt;&gt;"∞",0),INDEX(AU460:CB460,1,$AT$1),INDEX(AU462:CB462,1,$AT$1)),"*莺鸣柳*")=1,R461,0)</f>
        <v>0</v>
      </c>
      <c r="T461">
        <f ca="1" t="shared" si="100"/>
        <v>0</v>
      </c>
      <c r="U461">
        <f ca="1">IF(金蛇,IF(COUNTIF(B461,"*金环戴*")+COUNTIF(B461,"*吹风醒*")&gt;0,IF(A461&lt;=3,7.125-2.625-A461-加速!$L$11,7.125+加速!$K$9-(A461+加速!$L$11-T461)),0),0)+IF(金蛇,IF(COUNTIF(B461,"*千切子裂光*")&gt;0,2+加速!$K$9-(A461+加速!$L$11-T461),0),0)</f>
        <v>0</v>
      </c>
      <c r="V461">
        <f ca="1" t="shared" si="101"/>
        <v>0</v>
      </c>
      <c r="W461">
        <f ca="1" t="shared" si="93"/>
        <v>0</v>
      </c>
      <c r="X461">
        <f ca="1">INDEX(加速!$I$13:$I$21,技能数计算!W461+1)</f>
        <v>0</v>
      </c>
      <c r="Y461">
        <f ca="1" t="shared" si="97"/>
        <v>0.5</v>
      </c>
      <c r="Z461">
        <f ca="1" t="shared" si="98"/>
        <v>0</v>
      </c>
      <c r="AA461">
        <f ca="1">MAX(0,IFERROR(IF(COUNTIF(B461,"*叠*")&gt;0,IF(AC460&lt;3,8-A462+A461,AA460+6.875-A462+A461),AA460-A462+A461),AA460-加速!$L$11))</f>
        <v>0</v>
      </c>
      <c r="AB461" t="e">
        <f ca="1">MAX(0,IF(COUNTIF(IF(AND(配装计算器!$K$30&lt;&gt;"∞",0),INDEX(AU461:CB461,1,$AT$1),INDEX(AU461:CB461,1,$AT$1)),"*叠1*")=1,4*25-加速!$L$11,AB460-A461+A460)-IF(OR(COUNTIF(OFFSET(AT461,0,$AT$1,1,1),"*听雷*")&gt;0,AND(碧归&gt;0,COUNTIF(OFFSET(AT461,0,$AT$1,1,1),"*风来*")&gt;0)),0,1)*1.5)</f>
        <v>#VALUE!</v>
      </c>
      <c r="AC461">
        <f ca="1" t="shared" si="94"/>
        <v>3</v>
      </c>
      <c r="AD461">
        <f ca="1">IF(COUNTIF(IF(AND(配装计算器!$K$30&lt;&gt;"∞",0),INDEX(AU461:CB461,1,$AT$1),INDEX(AU462:CB462,1,$AT$1)),"*叠1*")=1,AB461*0+AE460,0)</f>
        <v>0</v>
      </c>
      <c r="AE461" t="e">
        <f ca="1">IF($AN$11&gt;0,IF(COUNTIF(B462,"*叠1*")&gt;0,50-加速!$H$11,MAX(0,AE460-(A462-A461))),0)</f>
        <v>#VALUE!</v>
      </c>
      <c r="AU461" t="s">
        <v>2776</v>
      </c>
      <c r="AV461">
        <v>2</v>
      </c>
      <c r="AW461" t="str">
        <f>IF($AN$11=1,"云飞玉皇-玉山揽云","夕照雷峰")</f>
        <v>云飞玉皇-玉山揽云</v>
      </c>
      <c r="AX461">
        <v>2</v>
      </c>
      <c r="AY461" t="s">
        <v>2776</v>
      </c>
      <c r="AZ461">
        <v>2</v>
      </c>
      <c r="BA461" t="s">
        <v>2768</v>
      </c>
      <c r="BB461">
        <v>1</v>
      </c>
      <c r="BC461" t="s">
        <v>3018</v>
      </c>
      <c r="BD461">
        <v>2</v>
      </c>
      <c r="BE461" t="s">
        <v>2776</v>
      </c>
      <c r="BF461">
        <v>0</v>
      </c>
      <c r="BG461" t="s">
        <v>2776</v>
      </c>
      <c r="BH461">
        <v>1</v>
      </c>
      <c r="BI461" t="s">
        <v>3018</v>
      </c>
      <c r="BJ461">
        <v>2</v>
      </c>
      <c r="BK461" t="s">
        <v>3023</v>
      </c>
      <c r="BL461">
        <v>2</v>
      </c>
      <c r="BM461" t="str">
        <f>IF(0,"云飞玉皇-玉山揽云","云飞玉皇")</f>
        <v>云飞玉皇</v>
      </c>
      <c r="BN461">
        <v>2</v>
      </c>
      <c r="BO461" t="s">
        <v>2768</v>
      </c>
      <c r="BP461">
        <v>2</v>
      </c>
      <c r="BQ461" t="s">
        <v>3013</v>
      </c>
      <c r="BR461">
        <v>2</v>
      </c>
      <c r="BS461" t="s">
        <v>2776</v>
      </c>
      <c r="BT461">
        <v>2</v>
      </c>
      <c r="BU461" t="s">
        <v>2808</v>
      </c>
      <c r="BV461">
        <v>2</v>
      </c>
      <c r="BW461" s="179" t="str">
        <f t="shared" si="104"/>
        <v>云飞玉皇-玉山揽云</v>
      </c>
      <c r="BX461" s="179">
        <v>2</v>
      </c>
      <c r="BY461" s="176" t="str">
        <f>IF(0,"云飞玉皇-玉山揽云","云飞玉皇")</f>
        <v>云飞玉皇</v>
      </c>
      <c r="BZ461">
        <v>2</v>
      </c>
      <c r="CA461" t="str">
        <f>IF(0,"云飞玉皇-玉山揽云","云飞玉皇")</f>
        <v>云飞玉皇</v>
      </c>
      <c r="CB461">
        <v>2</v>
      </c>
    </row>
    <row r="462" spans="1:80">
      <c r="A462" s="178" t="str">
        <f ca="1">IFERROR(IF(A461+加速!$L$11&lt;$AS$1,IF(COUNTIF(B461,"*轻*")&gt;0,A461+加速!$L$9,A461+加速!$L$11)+V461,IF(COUNTIF(INDEX(AU462:CB462,1,$AT$1),"*云景*")+COUNTIF(INDEX(AU462:CB462,1,$AT$1),"*鹤归*")+COUNTIF(INDEX(AU462:CB462,1,$AT$1),"*听雷*")&gt;0,A461+加速!$L$11,"")),"")</f>
        <v/>
      </c>
      <c r="B462" s="167" t="str">
        <f ca="1">IF(A462&lt;&gt;"",IF(AND(A462+加速!$L$11&gt;$AS$1,IF(AND(配装计算器!$K$30&lt;&gt;"∞",0),"梦泉虎跑-轻",INDEX(AU462:CB462,1,$AT$1))="云栖松"),"夕照雷峰",IF(AND(配装计算器!$K$30&lt;&gt;"∞",0),"梦泉虎跑-轻",INDEX(AU462:CB462,1,$AT$1))),"")</f>
        <v/>
      </c>
      <c r="C462" t="str">
        <f ca="1" t="shared" si="99"/>
        <v/>
      </c>
      <c r="D462" t="str">
        <f ca="1">IF(B462&lt;&gt;"",IF(C461&lt;=加速!$L$11*(1-E462),0,1),"")</f>
        <v/>
      </c>
      <c r="E462">
        <f ca="1" t="shared" si="95"/>
        <v>1</v>
      </c>
      <c r="G462" t="str">
        <f ca="1" t="shared" si="96"/>
        <v/>
      </c>
      <c r="H462" t="str">
        <f ca="1">IF(B462&lt;&gt;"",IF(AND(COUNTIF(B461,"*轻*莺鸣柳*")&gt;0,COUNTIF(B462,"*轻*")&lt;1),MAX(0,15+I461-(A462-A461)+COUNTIF(B461,"*平湖*")*0),IF(AND(E462=0,MAX(0,H461-(A462-A461))&lt;=加速!$H$11),0,MAX(0,H461-(A462-A461)))),"")</f>
        <v/>
      </c>
      <c r="I462" t="str">
        <f ca="1" t="shared" si="102"/>
        <v/>
      </c>
      <c r="J462" t="str">
        <f ca="1" t="shared" si="103"/>
        <v/>
      </c>
      <c r="K462" t="str">
        <f ca="1">IF(A462&lt;&gt;"",IF(AND(配装计算器!$K$30&lt;&gt;"∞",0),2,INDEX(AU462:CB462,1,$AT$2)),"")</f>
        <v/>
      </c>
      <c r="L462">
        <f ca="1">IFERROR(IF(AND(COUNTIF(B462,"*-峰插*"),技能数据库!$M$72&gt;0),0,IF(COUNTIF(B462,"*鹤归*")&gt;0,16-加速!$L$11,MAX(0,L461-(A462-A461)))),0)</f>
        <v>0</v>
      </c>
      <c r="M462">
        <f ca="1">IF(COUNTIF(IF(AND(配装计算器!$K$30&lt;&gt;"∞",0),INDEX(AU461:CB461,1,$AT$1),INDEX(AU463:CB463,1,$AT$1)),"*鹤归*")=1,L462,0)</f>
        <v>0</v>
      </c>
      <c r="N462">
        <f ca="1">IFERROR(IF(AND(COUNTIF(B462,"*-峰插*"),技能数据库!$M$72&gt;0),0,IF(COUNTIF(B462,"*云飞*")&gt;0,4-COUNTIF(B462,"*玉山揽云*")*4--COUNTIF(B462,"*烟流暮景*")*4-COUNTIF(B462,"*云景*")*加速!$L$11-IF(J462&gt;0,2,0),MAX(0,N461-(A462-A461)-IF(J462&gt;0,2,0)))),0)</f>
        <v>0</v>
      </c>
      <c r="O462">
        <f ca="1">IF(AND(COUNTIF(IF(AND(配装计算器!$K$30&lt;&gt;"∞",0),INDEX(AU461:CB461,1,$AT$1),INDEX(AU463:CB463,1,$AT$1)),"*云飞*")=1,COUNTIF(IF(AND(配装计算器!$K$30&lt;&gt;"∞",0),INDEX(AU461:CB461,1,$AT$1),INDEX(AU463:CB463,1,$AT$1)),"*玉山*")=0),N462,0)</f>
        <v>0</v>
      </c>
      <c r="P462">
        <f ca="1">IFERROR(IF(COUNTIF(B462,"*云栖松*")&gt;0,50-加速!$L$11,MAX(0,P461-(A462-A461))),0)</f>
        <v>0</v>
      </c>
      <c r="Q462">
        <f ca="1">IF(COUNTIF(IF(AND(配装计算器!$K$30&lt;&gt;"∞",0),INDEX(AU461:CB461,1,$AT$1),INDEX(AU463:CB463,1,$AT$1)),"*云栖松*")=1,P462,0)</f>
        <v>0</v>
      </c>
      <c r="R462">
        <f ca="1">IFERROR(IF(COUNTIF(B462,"*莺鸣柳*")&gt;0,45-加速!$L$9,MAX(0,R461-(A462-A461))),0)</f>
        <v>0</v>
      </c>
      <c r="S462">
        <f ca="1">IF(COUNTIF(IF(AND(配装计算器!$K$30&lt;&gt;"∞",0),INDEX(AU461:CB461,1,$AT$1),INDEX(AU463:CB463,1,$AT$1)),"*莺鸣柳*")=1,R462,0)</f>
        <v>0</v>
      </c>
      <c r="T462">
        <f ca="1" t="shared" si="100"/>
        <v>0</v>
      </c>
      <c r="U462">
        <f ca="1">IF(金蛇,IF(COUNTIF(B462,"*金环戴*")+COUNTIF(B462,"*吹风醒*")&gt;0,IF(A462&lt;=3,7.125-2.625-A462-加速!$L$11,7.125+加速!$K$9-(A462+加速!$L$11-T462)),0),0)+IF(金蛇,IF(COUNTIF(B462,"*千切子裂光*")&gt;0,2+加速!$K$9-(A462+加速!$L$11-T462),0),0)</f>
        <v>0</v>
      </c>
      <c r="V462">
        <f ca="1" t="shared" si="101"/>
        <v>0</v>
      </c>
      <c r="W462">
        <f ca="1" t="shared" si="93"/>
        <v>0</v>
      </c>
      <c r="X462">
        <f ca="1">INDEX(加速!$I$13:$I$21,技能数计算!W462+1)</f>
        <v>0</v>
      </c>
      <c r="Y462">
        <f ca="1" t="shared" si="97"/>
        <v>0.5</v>
      </c>
      <c r="Z462">
        <f ca="1" t="shared" si="98"/>
        <v>0</v>
      </c>
      <c r="AA462">
        <f ca="1">MAX(0,IFERROR(IF(COUNTIF(B462,"*叠*")&gt;0,IF(AC461&lt;3,8-A463+A462,AA461+6.875-A463+A462),AA461-A463+A462),AA461-加速!$L$11))</f>
        <v>0</v>
      </c>
      <c r="AB462" t="e">
        <f ca="1">MAX(0,IF(COUNTIF(IF(AND(配装计算器!$K$30&lt;&gt;"∞",0),INDEX(AU462:CB462,1,$AT$1),INDEX(AU462:CB462,1,$AT$1)),"*叠1*")=1,4*25-加速!$L$11,AB461-A462+A461)-IF(OR(COUNTIF(OFFSET(AT462,0,$AT$1,1,1),"*听雷*")&gt;0,AND(碧归&gt;0,COUNTIF(OFFSET(AT462,0,$AT$1,1,1),"*风来*")&gt;0)),0,1)*1.5)</f>
        <v>#VALUE!</v>
      </c>
      <c r="AC462">
        <f ca="1" t="shared" si="94"/>
        <v>3</v>
      </c>
      <c r="AD462">
        <f ca="1">IF(COUNTIF(IF(AND(配装计算器!$K$30&lt;&gt;"∞",0),INDEX(AU462:CB462,1,$AT$1),INDEX(AU463:CB463,1,$AT$1)),"*叠1*")=1,AB462*0+AE461,0)</f>
        <v>0</v>
      </c>
      <c r="AE462" t="e">
        <f ca="1">IF($AN$11&gt;0,IF(COUNTIF(B463,"*叠1*")&gt;0,50-加速!$H$11,MAX(0,AE461-(A463-A462))),0)</f>
        <v>#VALUE!</v>
      </c>
      <c r="AU462" t="s">
        <v>2768</v>
      </c>
      <c r="AV462">
        <v>2</v>
      </c>
      <c r="AW462" t="str">
        <f>IF($AN$11=1,橙武补雾锁,"鹤归孤山")</f>
        <v>云飞玉皇-玉山揽云</v>
      </c>
      <c r="AX462">
        <v>2</v>
      </c>
      <c r="AY462" t="s">
        <v>2768</v>
      </c>
      <c r="AZ462">
        <v>2</v>
      </c>
      <c r="BA462" t="s">
        <v>2768</v>
      </c>
      <c r="BB462">
        <v>0</v>
      </c>
      <c r="BC462" t="s">
        <v>2768</v>
      </c>
      <c r="BD462">
        <v>2</v>
      </c>
      <c r="BE462" t="s">
        <v>3012</v>
      </c>
      <c r="BF462">
        <v>2</v>
      </c>
      <c r="BG462" t="s">
        <v>2768</v>
      </c>
      <c r="BH462">
        <v>0</v>
      </c>
      <c r="BI462" t="s">
        <v>2789</v>
      </c>
      <c r="BJ462">
        <v>2</v>
      </c>
      <c r="BK462" t="s">
        <v>2768</v>
      </c>
      <c r="BL462">
        <v>2</v>
      </c>
      <c r="BM462" t="str">
        <f>IF(0,"云飞玉皇-玉山揽云","夕照雷峰")</f>
        <v>夕照雷峰</v>
      </c>
      <c r="BN462">
        <v>2</v>
      </c>
      <c r="BO462" t="s">
        <v>2768</v>
      </c>
      <c r="BP462">
        <v>2</v>
      </c>
      <c r="BQ462" t="s">
        <v>2808</v>
      </c>
      <c r="BR462">
        <v>2</v>
      </c>
      <c r="BS462" t="s">
        <v>2768</v>
      </c>
      <c r="BT462">
        <v>2</v>
      </c>
      <c r="BU462" t="s">
        <v>2768</v>
      </c>
      <c r="BV462">
        <v>2</v>
      </c>
      <c r="BW462" s="179" t="str">
        <f t="shared" si="104"/>
        <v>云飞玉皇-玉山揽云</v>
      </c>
      <c r="BX462" s="179">
        <v>2</v>
      </c>
      <c r="BY462" s="176" t="str">
        <f>IF(0,橙武补雾锁,"夕照雷峰")</f>
        <v>夕照雷峰</v>
      </c>
      <c r="BZ462">
        <v>2</v>
      </c>
      <c r="CA462" t="str">
        <f>IF(0,橙武补雾锁,"夕照雷峰")</f>
        <v>夕照雷峰</v>
      </c>
      <c r="CB462">
        <v>2</v>
      </c>
    </row>
    <row r="463" spans="1:80">
      <c r="A463" s="178" t="str">
        <f ca="1">IFERROR(IF(A462+加速!$L$11&lt;$AS$1,IF(COUNTIF(B462,"*轻*")&gt;0,A462+加速!$L$9,A462+加速!$L$11)+V462,IF(COUNTIF(INDEX(AU463:CB463,1,$AT$1),"*云景*")+COUNTIF(INDEX(AU463:CB463,1,$AT$1),"*鹤归*")+COUNTIF(INDEX(AU463:CB463,1,$AT$1),"*听雷*")&gt;0,A462+加速!$L$11,"")),"")</f>
        <v/>
      </c>
      <c r="B463" s="167" t="str">
        <f ca="1">IF(A463&lt;&gt;"",IF(AND(A463+加速!$L$11&gt;$AS$1,IF(AND(配装计算器!$K$30&lt;&gt;"∞",0),"梦泉虎跑-轻",INDEX(AU463:CB463,1,$AT$1))="云栖松"),"夕照雷峰",IF(AND(配装计算器!$K$30&lt;&gt;"∞",0),"梦泉虎跑-轻",INDEX(AU463:CB463,1,$AT$1))),"")</f>
        <v/>
      </c>
      <c r="C463" t="str">
        <f ca="1" t="shared" si="99"/>
        <v/>
      </c>
      <c r="D463" t="str">
        <f ca="1">IF(B463&lt;&gt;"",IF(C462&lt;=加速!$L$11*(1-E463),0,1),"")</f>
        <v/>
      </c>
      <c r="E463">
        <f ca="1" t="shared" si="95"/>
        <v>1</v>
      </c>
      <c r="G463" t="str">
        <f ca="1" t="shared" si="96"/>
        <v/>
      </c>
      <c r="H463" t="str">
        <f ca="1">IF(B463&lt;&gt;"",IF(AND(COUNTIF(B462,"*轻*莺鸣柳*")&gt;0,COUNTIF(B463,"*轻*")&lt;1),MAX(0,15+I462-(A463-A462)+COUNTIF(B462,"*平湖*")*0),IF(AND(E463=0,MAX(0,H462-(A463-A462))&lt;=加速!$H$11),0,MAX(0,H462-(A463-A462)))),"")</f>
        <v/>
      </c>
      <c r="I463" t="str">
        <f ca="1" t="shared" si="102"/>
        <v/>
      </c>
      <c r="J463" t="str">
        <f ca="1" t="shared" si="103"/>
        <v/>
      </c>
      <c r="K463" t="str">
        <f ca="1">IF(A463&lt;&gt;"",IF(AND(配装计算器!$K$30&lt;&gt;"∞",0),2,INDEX(AU463:CB463,1,$AT$2)),"")</f>
        <v/>
      </c>
      <c r="L463">
        <f ca="1">IFERROR(IF(AND(COUNTIF(B463,"*-峰插*"),技能数据库!$M$72&gt;0),0,IF(COUNTIF(B463,"*鹤归*")&gt;0,16-加速!$L$11,MAX(0,L462-(A463-A462)))),0)</f>
        <v>0</v>
      </c>
      <c r="M463">
        <f ca="1">IF(COUNTIF(IF(AND(配装计算器!$K$30&lt;&gt;"∞",0),INDEX(AU462:CB462,1,$AT$1),INDEX(AU464:CB464,1,$AT$1)),"*鹤归*")=1,L463,0)</f>
        <v>0</v>
      </c>
      <c r="N463">
        <f ca="1">IFERROR(IF(AND(COUNTIF(B463,"*-峰插*"),技能数据库!$M$72&gt;0),0,IF(COUNTIF(B463,"*云飞*")&gt;0,4-COUNTIF(B463,"*玉山揽云*")*4--COUNTIF(B463,"*烟流暮景*")*4-COUNTIF(B463,"*云景*")*加速!$L$11-IF(J463&gt;0,2,0),MAX(0,N462-(A463-A462)-IF(J463&gt;0,2,0)))),0)</f>
        <v>0</v>
      </c>
      <c r="O463">
        <f ca="1">IF(AND(COUNTIF(IF(AND(配装计算器!$K$30&lt;&gt;"∞",0),INDEX(AU462:CB462,1,$AT$1),INDEX(AU464:CB464,1,$AT$1)),"*云飞*")=1,COUNTIF(IF(AND(配装计算器!$K$30&lt;&gt;"∞",0),INDEX(AU462:CB462,1,$AT$1),INDEX(AU464:CB464,1,$AT$1)),"*玉山*")=0),N463,0)</f>
        <v>0</v>
      </c>
      <c r="P463">
        <f ca="1">IFERROR(IF(COUNTIF(B463,"*云栖松*")&gt;0,50-加速!$L$11,MAX(0,P462-(A463-A462))),0)</f>
        <v>0</v>
      </c>
      <c r="Q463">
        <f ca="1">IF(COUNTIF(IF(AND(配装计算器!$K$30&lt;&gt;"∞",0),INDEX(AU462:CB462,1,$AT$1),INDEX(AU464:CB464,1,$AT$1)),"*云栖松*")=1,P463,0)</f>
        <v>0</v>
      </c>
      <c r="R463">
        <f ca="1">IFERROR(IF(COUNTIF(B463,"*莺鸣柳*")&gt;0,45-加速!$L$9,MAX(0,R462-(A463-A462))),0)</f>
        <v>0</v>
      </c>
      <c r="S463">
        <f ca="1">IF(COUNTIF(IF(AND(配装计算器!$K$30&lt;&gt;"∞",0),INDEX(AU462:CB462,1,$AT$1),INDEX(AU464:CB464,1,$AT$1)),"*莺鸣柳*")=1,R463,0)</f>
        <v>0</v>
      </c>
      <c r="T463">
        <f ca="1" t="shared" si="100"/>
        <v>0</v>
      </c>
      <c r="U463">
        <f ca="1">IF(金蛇,IF(COUNTIF(B463,"*金环戴*")+COUNTIF(B463,"*吹风醒*")&gt;0,IF(A463&lt;=3,7.125-2.625-A463-加速!$L$11,7.125+加速!$K$9-(A463+加速!$L$11-T463)),0),0)+IF(金蛇,IF(COUNTIF(B463,"*千切子裂光*")&gt;0,2+加速!$K$9-(A463+加速!$L$11-T463),0),0)</f>
        <v>0</v>
      </c>
      <c r="V463">
        <f ca="1" t="shared" si="101"/>
        <v>0</v>
      </c>
      <c r="W463">
        <f ca="1" t="shared" si="93"/>
        <v>0</v>
      </c>
      <c r="X463">
        <f ca="1">INDEX(加速!$I$13:$I$21,技能数计算!W463+1)</f>
        <v>0</v>
      </c>
      <c r="Y463">
        <f ca="1" t="shared" si="97"/>
        <v>0.5</v>
      </c>
      <c r="Z463">
        <f ca="1" t="shared" si="98"/>
        <v>0</v>
      </c>
      <c r="AA463">
        <f ca="1">MAX(0,IFERROR(IF(COUNTIF(B463,"*叠*")&gt;0,IF(AC462&lt;3,8-A464+A463,AA462+6.875-A464+A463),AA462-A464+A463),AA462-加速!$L$11))</f>
        <v>0</v>
      </c>
      <c r="AB463" t="e">
        <f ca="1">MAX(0,IF(COUNTIF(IF(AND(配装计算器!$K$30&lt;&gt;"∞",0),INDEX(AU463:CB463,1,$AT$1),INDEX(AU463:CB463,1,$AT$1)),"*叠1*")=1,4*25-加速!$L$11,AB462-A463+A462)-IF(OR(COUNTIF(OFFSET(AT463,0,$AT$1,1,1),"*听雷*")&gt;0,AND(碧归&gt;0,COUNTIF(OFFSET(AT463,0,$AT$1,1,1),"*风来*")&gt;0)),0,1)*1.5)</f>
        <v>#VALUE!</v>
      </c>
      <c r="AC463">
        <f ca="1" t="shared" si="94"/>
        <v>3</v>
      </c>
      <c r="AD463">
        <f ca="1">IF(COUNTIF(IF(AND(配装计算器!$K$30&lt;&gt;"∞",0),INDEX(AU463:CB463,1,$AT$1),INDEX(AU464:CB464,1,$AT$1)),"*叠1*")=1,AB463*0+AE462,0)</f>
        <v>0</v>
      </c>
      <c r="AE463" t="e">
        <f ca="1">IF($AN$11&gt;0,IF(COUNTIF(B464,"*叠1*")&gt;0,50-加速!$H$11,MAX(0,AE462-(A464-A463))),0)</f>
        <v>#VALUE!</v>
      </c>
      <c r="AU463" s="180" t="s">
        <v>2789</v>
      </c>
      <c r="AV463">
        <v>2</v>
      </c>
      <c r="AW463" s="176" t="str">
        <f>IF($AN$11=1,"夕照雷峰","夕照雷峰")</f>
        <v>夕照雷峰</v>
      </c>
      <c r="AX463">
        <v>2</v>
      </c>
      <c r="AY463" t="s">
        <v>2776</v>
      </c>
      <c r="AZ463">
        <v>1</v>
      </c>
      <c r="BA463" t="s">
        <v>2722</v>
      </c>
      <c r="BB463">
        <v>0</v>
      </c>
      <c r="BC463" t="s">
        <v>3023</v>
      </c>
      <c r="BD463">
        <v>2</v>
      </c>
      <c r="BE463" t="s">
        <v>2776</v>
      </c>
      <c r="BF463">
        <v>2</v>
      </c>
      <c r="BG463" t="s">
        <v>2768</v>
      </c>
      <c r="BH463">
        <v>0</v>
      </c>
      <c r="BI463" s="182" t="s">
        <v>3023</v>
      </c>
      <c r="BJ463">
        <v>2</v>
      </c>
      <c r="BK463" t="s">
        <v>2808</v>
      </c>
      <c r="BL463">
        <v>2</v>
      </c>
      <c r="BM463" s="176" t="s">
        <v>2794</v>
      </c>
      <c r="BN463">
        <v>2</v>
      </c>
      <c r="BO463" t="s">
        <v>2776</v>
      </c>
      <c r="BP463">
        <v>2</v>
      </c>
      <c r="BQ463" t="s">
        <v>2768</v>
      </c>
      <c r="BR463">
        <v>2</v>
      </c>
      <c r="BS463" t="s">
        <v>2768</v>
      </c>
      <c r="BT463">
        <v>2</v>
      </c>
      <c r="BU463" s="176" t="s">
        <v>2768</v>
      </c>
      <c r="BV463">
        <v>2</v>
      </c>
      <c r="BW463" s="179" t="s">
        <v>2776</v>
      </c>
      <c r="BX463" s="179">
        <v>2</v>
      </c>
      <c r="BY463" s="176" t="str">
        <f>IF(0,"云飞玉皇-玉山揽云","云景·云飞玉皇")</f>
        <v>云景·云飞玉皇</v>
      </c>
      <c r="BZ463">
        <v>2</v>
      </c>
      <c r="CA463" t="str">
        <f>IF(0,"云飞玉皇-玉山揽云","云景·云飞玉皇")</f>
        <v>云景·云飞玉皇</v>
      </c>
      <c r="CB463">
        <v>2</v>
      </c>
    </row>
    <row r="464" spans="1:80">
      <c r="A464" s="178" t="str">
        <f ca="1">IFERROR(IF(A463+加速!$L$11&lt;$AS$1,IF(COUNTIF(B463,"*轻*")&gt;0,A463+加速!$L$9,A463+加速!$L$11)+V463,IF(COUNTIF(INDEX(AU464:CB464,1,$AT$1),"*云景*")+COUNTIF(INDEX(AU464:CB464,1,$AT$1),"*鹤归*")+COUNTIF(INDEX(AU464:CB464,1,$AT$1),"*听雷*")&gt;0,A463+加速!$L$11,"")),"")</f>
        <v/>
      </c>
      <c r="B464" s="167" t="str">
        <f ca="1">IF(A464&lt;&gt;"",IF(AND(A464+加速!$L$11&gt;$AS$1,IF(AND(配装计算器!$K$30&lt;&gt;"∞",0),"梦泉虎跑-轻",INDEX(AU464:CB464,1,$AT$1))="云栖松"),"夕照雷峰",IF(AND(配装计算器!$K$30&lt;&gt;"∞",0),"梦泉虎跑-轻",INDEX(AU464:CB464,1,$AT$1))),"")</f>
        <v/>
      </c>
      <c r="C464" t="str">
        <f ca="1" t="shared" si="99"/>
        <v/>
      </c>
      <c r="D464" t="str">
        <f ca="1">IF(B464&lt;&gt;"",IF(C463&lt;=加速!$L$11*(1-E464),0,1),"")</f>
        <v/>
      </c>
      <c r="E464">
        <f ca="1" t="shared" si="95"/>
        <v>1</v>
      </c>
      <c r="G464" t="str">
        <f ca="1" t="shared" si="96"/>
        <v/>
      </c>
      <c r="H464" t="str">
        <f ca="1">IF(B464&lt;&gt;"",IF(AND(COUNTIF(B463,"*轻*莺鸣柳*")&gt;0,COUNTIF(B464,"*轻*")&lt;1),MAX(0,15+I463-(A464-A463)+COUNTIF(B463,"*平湖*")*0),IF(AND(E464=0,MAX(0,H463-(A464-A463))&lt;=加速!$H$11),0,MAX(0,H463-(A464-A463)))),"")</f>
        <v/>
      </c>
      <c r="I464" t="str">
        <f ca="1" t="shared" si="102"/>
        <v/>
      </c>
      <c r="J464" t="str">
        <f ca="1" t="shared" si="103"/>
        <v/>
      </c>
      <c r="K464" t="str">
        <f ca="1">IF(A464&lt;&gt;"",IF(AND(配装计算器!$K$30&lt;&gt;"∞",0),2,INDEX(AU464:CB464,1,$AT$2)),"")</f>
        <v/>
      </c>
      <c r="L464">
        <f ca="1">IFERROR(IF(AND(COUNTIF(B464,"*-峰插*"),技能数据库!$M$72&gt;0),0,IF(COUNTIF(B464,"*鹤归*")&gt;0,16-加速!$L$11,MAX(0,L463-(A464-A463)))),0)</f>
        <v>0</v>
      </c>
      <c r="M464">
        <f ca="1">IF(COUNTIF(IF(AND(配装计算器!$K$30&lt;&gt;"∞",0),INDEX(AU463:CB463,1,$AT$1),INDEX(AU465:CB465,1,$AT$1)),"*鹤归*")=1,L464,0)</f>
        <v>0</v>
      </c>
      <c r="N464">
        <f ca="1">IFERROR(IF(AND(COUNTIF(B464,"*-峰插*"),技能数据库!$M$72&gt;0),0,IF(COUNTIF(B464,"*云飞*")&gt;0,4-COUNTIF(B464,"*玉山揽云*")*4--COUNTIF(B464,"*烟流暮景*")*4-COUNTIF(B464,"*云景*")*加速!$L$11-IF(J464&gt;0,2,0),MAX(0,N463-(A464-A463)-IF(J464&gt;0,2,0)))),0)</f>
        <v>0</v>
      </c>
      <c r="O464">
        <f ca="1">IF(AND(COUNTIF(IF(AND(配装计算器!$K$30&lt;&gt;"∞",0),INDEX(AU463:CB463,1,$AT$1),INDEX(AU465:CB465,1,$AT$1)),"*云飞*")=1,COUNTIF(IF(AND(配装计算器!$K$30&lt;&gt;"∞",0),INDEX(AU463:CB463,1,$AT$1),INDEX(AU465:CB465,1,$AT$1)),"*玉山*")=0),N464,0)</f>
        <v>0</v>
      </c>
      <c r="P464">
        <f ca="1">IFERROR(IF(COUNTIF(B464,"*云栖松*")&gt;0,50-加速!$L$11,MAX(0,P463-(A464-A463))),0)</f>
        <v>0</v>
      </c>
      <c r="Q464">
        <f ca="1">IF(COUNTIF(IF(AND(配装计算器!$K$30&lt;&gt;"∞",0),INDEX(AU463:CB463,1,$AT$1),INDEX(AU465:CB465,1,$AT$1)),"*云栖松*")=1,P464,0)</f>
        <v>0</v>
      </c>
      <c r="R464">
        <f ca="1">IFERROR(IF(COUNTIF(B464,"*莺鸣柳*")&gt;0,45-加速!$L$9,MAX(0,R463-(A464-A463))),0)</f>
        <v>0</v>
      </c>
      <c r="S464">
        <f ca="1">IF(COUNTIF(IF(AND(配装计算器!$K$30&lt;&gt;"∞",0),INDEX(AU463:CB463,1,$AT$1),INDEX(AU465:CB465,1,$AT$1)),"*莺鸣柳*")=1,R464,0)</f>
        <v>0</v>
      </c>
      <c r="T464">
        <f ca="1" t="shared" si="100"/>
        <v>0</v>
      </c>
      <c r="U464">
        <f ca="1">IF(金蛇,IF(COUNTIF(B464,"*金环戴*")+COUNTIF(B464,"*吹风醒*")&gt;0,IF(A464&lt;=3,7.125-2.625-A464-加速!$L$11,7.125+加速!$K$9-(A464+加速!$L$11-T464)),0),0)+IF(金蛇,IF(COUNTIF(B464,"*千切子裂光*")&gt;0,2+加速!$K$9-(A464+加速!$L$11-T464),0),0)</f>
        <v>0</v>
      </c>
      <c r="V464">
        <f ca="1" t="shared" si="101"/>
        <v>0</v>
      </c>
      <c r="W464">
        <f ca="1" t="shared" si="93"/>
        <v>0</v>
      </c>
      <c r="X464">
        <f ca="1">INDEX(加速!$I$13:$I$21,技能数计算!W464+1)</f>
        <v>0</v>
      </c>
      <c r="Y464">
        <f ca="1" t="shared" si="97"/>
        <v>0.5</v>
      </c>
      <c r="Z464">
        <f ca="1" t="shared" si="98"/>
        <v>0</v>
      </c>
      <c r="AA464">
        <f ca="1">MAX(0,IFERROR(IF(COUNTIF(B464,"*叠*")&gt;0,IF(AC463&lt;3,8-A465+A464,AA463+6.875-A465+A464),AA463-A465+A464),AA463-加速!$L$11))</f>
        <v>0</v>
      </c>
      <c r="AB464" t="e">
        <f ca="1">MAX(0,IF(COUNTIF(IF(AND(配装计算器!$K$30&lt;&gt;"∞",0),INDEX(AU464:CB464,1,$AT$1),INDEX(AU464:CB464,1,$AT$1)),"*叠1*")=1,4*25-加速!$L$11,AB463-A464+A463)-IF(OR(COUNTIF(OFFSET(AT464,0,$AT$1,1,1),"*听雷*")&gt;0,AND(碧归&gt;0,COUNTIF(OFFSET(AT464,0,$AT$1,1,1),"*风来*")&gt;0)),0,1)*1.5)</f>
        <v>#VALUE!</v>
      </c>
      <c r="AC464">
        <f ca="1" t="shared" si="94"/>
        <v>3</v>
      </c>
      <c r="AD464">
        <f ca="1">IF(COUNTIF(IF(AND(配装计算器!$K$30&lt;&gt;"∞",0),INDEX(AU464:CB464,1,$AT$1),INDEX(AU465:CB465,1,$AT$1)),"*叠1*")=1,AB464*0+AE463,0)</f>
        <v>0</v>
      </c>
      <c r="AE464" t="e">
        <f ca="1">IF($AN$11&gt;0,IF(COUNTIF(B465,"*叠1*")&gt;0,50-加速!$H$11,MAX(0,AE463-(A465-A464))),0)</f>
        <v>#VALUE!</v>
      </c>
      <c r="AU464" s="176" t="s">
        <v>2794</v>
      </c>
      <c r="AV464">
        <v>2</v>
      </c>
      <c r="AW464" t="str">
        <f>IF($AN$11=1,"鹤归孤山","云飞玉皇")</f>
        <v>鹤归孤山</v>
      </c>
      <c r="AX464">
        <v>2</v>
      </c>
      <c r="AY464" t="s">
        <v>2768</v>
      </c>
      <c r="AZ464">
        <v>1</v>
      </c>
      <c r="BA464" t="s">
        <v>2776</v>
      </c>
      <c r="BB464">
        <v>2</v>
      </c>
      <c r="BC464" t="s">
        <v>2768</v>
      </c>
      <c r="BD464">
        <v>2</v>
      </c>
      <c r="BE464" t="s">
        <v>3017</v>
      </c>
      <c r="BF464">
        <v>2</v>
      </c>
      <c r="BG464" t="s">
        <v>2776</v>
      </c>
      <c r="BH464">
        <v>0</v>
      </c>
      <c r="BI464" s="176" t="s">
        <v>3026</v>
      </c>
      <c r="BJ464">
        <v>2</v>
      </c>
      <c r="BK464" t="s">
        <v>2768</v>
      </c>
      <c r="BL464">
        <v>2</v>
      </c>
      <c r="BM464" s="176" t="str">
        <f>IF(0,橙武补雾锁,"夕照雷峰")</f>
        <v>夕照雷峰</v>
      </c>
      <c r="BN464">
        <v>2</v>
      </c>
      <c r="BO464" t="s">
        <v>2768</v>
      </c>
      <c r="BP464">
        <v>1</v>
      </c>
      <c r="BQ464" t="s">
        <v>2768</v>
      </c>
      <c r="BR464">
        <v>2</v>
      </c>
      <c r="BS464" t="s">
        <v>2768</v>
      </c>
      <c r="BT464">
        <v>1</v>
      </c>
      <c r="BU464" s="176" t="s">
        <v>2776</v>
      </c>
      <c r="BV464">
        <v>2</v>
      </c>
      <c r="BW464" s="179" t="s">
        <v>2768</v>
      </c>
      <c r="BX464" s="179">
        <v>2</v>
      </c>
      <c r="BY464" s="176" t="str">
        <f>IF(0,"云飞玉皇-玉山揽云","夕照雷峰")</f>
        <v>夕照雷峰</v>
      </c>
      <c r="BZ464">
        <v>2</v>
      </c>
      <c r="CA464" t="str">
        <f>IF(0,"云飞玉皇-玉山揽云","夕照雷峰")</f>
        <v>夕照雷峰</v>
      </c>
      <c r="CB464">
        <v>2</v>
      </c>
    </row>
    <row r="465" spans="1:80">
      <c r="A465" s="178" t="str">
        <f ca="1">IFERROR(IF(A464+加速!$L$11&lt;$AS$1,IF(COUNTIF(B464,"*轻*")&gt;0,A464+加速!$L$9,A464+加速!$L$11)+V464,IF(COUNTIF(INDEX(AU465:CB465,1,$AT$1),"*云景*")+COUNTIF(INDEX(AU465:CB465,1,$AT$1),"*鹤归*")+COUNTIF(INDEX(AU465:CB465,1,$AT$1),"*听雷*")&gt;0,A464+加速!$L$11,"")),"")</f>
        <v/>
      </c>
      <c r="B465" s="167" t="str">
        <f ca="1">IF(A465&lt;&gt;"",IF(AND(A465+加速!$L$11&gt;$AS$1,IF(AND(配装计算器!$K$30&lt;&gt;"∞",0),"梦泉虎跑-轻",INDEX(AU465:CB465,1,$AT$1))="云栖松"),"夕照雷峰",IF(AND(配装计算器!$K$30&lt;&gt;"∞",0),"梦泉虎跑-轻",INDEX(AU465:CB465,1,$AT$1))),"")</f>
        <v/>
      </c>
      <c r="C465" t="str">
        <f ca="1" t="shared" si="99"/>
        <v/>
      </c>
      <c r="D465" t="str">
        <f ca="1">IF(B465&lt;&gt;"",IF(C464&lt;=加速!$L$11*(1-E465),0,1),"")</f>
        <v/>
      </c>
      <c r="E465">
        <f ca="1" t="shared" si="95"/>
        <v>1</v>
      </c>
      <c r="G465" t="str">
        <f ca="1" t="shared" si="96"/>
        <v/>
      </c>
      <c r="H465" t="str">
        <f ca="1">IF(B465&lt;&gt;"",IF(AND(COUNTIF(B464,"*轻*莺鸣柳*")&gt;0,COUNTIF(B465,"*轻*")&lt;1),MAX(0,15+I464-(A465-A464)+COUNTIF(B464,"*平湖*")*0),IF(AND(E465=0,MAX(0,H464-(A465-A464))&lt;=加速!$H$11),0,MAX(0,H464-(A465-A464)))),"")</f>
        <v/>
      </c>
      <c r="I465" t="str">
        <f ca="1" t="shared" si="102"/>
        <v/>
      </c>
      <c r="J465" t="str">
        <f ca="1" t="shared" si="103"/>
        <v/>
      </c>
      <c r="K465" t="str">
        <f ca="1">IF(A465&lt;&gt;"",IF(AND(配装计算器!$K$30&lt;&gt;"∞",0),2,INDEX(AU465:CB465,1,$AT$2)),"")</f>
        <v/>
      </c>
      <c r="L465">
        <f ca="1">IFERROR(IF(AND(COUNTIF(B465,"*-峰插*"),技能数据库!$M$72&gt;0),0,IF(COUNTIF(B465,"*鹤归*")&gt;0,16-加速!$L$11,MAX(0,L464-(A465-A464)))),0)</f>
        <v>0</v>
      </c>
      <c r="M465">
        <f ca="1">IF(COUNTIF(IF(AND(配装计算器!$K$30&lt;&gt;"∞",0),INDEX(AU464:CB464,1,$AT$1),INDEX(AU466:CB466,1,$AT$1)),"*鹤归*")=1,L465,0)</f>
        <v>0</v>
      </c>
      <c r="N465">
        <f ca="1">IFERROR(IF(AND(COUNTIF(B465,"*-峰插*"),技能数据库!$M$72&gt;0),0,IF(COUNTIF(B465,"*云飞*")&gt;0,4-COUNTIF(B465,"*玉山揽云*")*4--COUNTIF(B465,"*烟流暮景*")*4-COUNTIF(B465,"*云景*")*加速!$L$11-IF(J465&gt;0,2,0),MAX(0,N464-(A465-A464)-IF(J465&gt;0,2,0)))),0)</f>
        <v>0</v>
      </c>
      <c r="O465">
        <f ca="1">IF(AND(COUNTIF(IF(AND(配装计算器!$K$30&lt;&gt;"∞",0),INDEX(AU464:CB464,1,$AT$1),INDEX(AU466:CB466,1,$AT$1)),"*云飞*")=1,COUNTIF(IF(AND(配装计算器!$K$30&lt;&gt;"∞",0),INDEX(AU464:CB464,1,$AT$1),INDEX(AU466:CB466,1,$AT$1)),"*玉山*")=0),N465,0)</f>
        <v>0</v>
      </c>
      <c r="P465">
        <f ca="1">IFERROR(IF(COUNTIF(B465,"*云栖松*")&gt;0,50-加速!$L$11,MAX(0,P464-(A465-A464))),0)</f>
        <v>0</v>
      </c>
      <c r="Q465">
        <f ca="1">IF(COUNTIF(IF(AND(配装计算器!$K$30&lt;&gt;"∞",0),INDEX(AU464:CB464,1,$AT$1),INDEX(AU466:CB466,1,$AT$1)),"*云栖松*")=1,P465,0)</f>
        <v>0</v>
      </c>
      <c r="R465">
        <f ca="1">IFERROR(IF(COUNTIF(B465,"*莺鸣柳*")&gt;0,45-加速!$L$9,MAX(0,R464-(A465-A464))),0)</f>
        <v>0</v>
      </c>
      <c r="S465">
        <f ca="1">IF(COUNTIF(IF(AND(配装计算器!$K$30&lt;&gt;"∞",0),INDEX(AU464:CB464,1,$AT$1),INDEX(AU466:CB466,1,$AT$1)),"*莺鸣柳*")=1,R465,0)</f>
        <v>0</v>
      </c>
      <c r="T465">
        <f ca="1" t="shared" si="100"/>
        <v>0</v>
      </c>
      <c r="U465">
        <f ca="1">IF(金蛇,IF(COUNTIF(B465,"*金环戴*")+COUNTIF(B465,"*吹风醒*")&gt;0,IF(A465&lt;=3,7.125-2.625-A465-加速!$L$11,7.125+加速!$K$9-(A465+加速!$L$11-T465)),0),0)+IF(金蛇,IF(COUNTIF(B465,"*千切子裂光*")&gt;0,2+加速!$K$9-(A465+加速!$L$11-T465),0),0)</f>
        <v>0</v>
      </c>
      <c r="V465">
        <f ca="1" t="shared" si="101"/>
        <v>0</v>
      </c>
      <c r="W465">
        <f ca="1" t="shared" si="93"/>
        <v>0</v>
      </c>
      <c r="X465">
        <f ca="1">INDEX(加速!$I$13:$I$21,技能数计算!W465+1)</f>
        <v>0</v>
      </c>
      <c r="Y465">
        <f ca="1" t="shared" si="97"/>
        <v>0.5</v>
      </c>
      <c r="Z465">
        <f ca="1" t="shared" si="98"/>
        <v>0</v>
      </c>
      <c r="AA465">
        <f ca="1">MAX(0,IFERROR(IF(COUNTIF(B465,"*叠*")&gt;0,IF(AC464&lt;3,8-A466+A465,AA464+6.875-A466+A465),AA464-A466+A465),AA464-加速!$L$11))</f>
        <v>0</v>
      </c>
      <c r="AB465" t="e">
        <f ca="1">MAX(0,IF(COUNTIF(IF(AND(配装计算器!$K$30&lt;&gt;"∞",0),INDEX(AU465:CB465,1,$AT$1),INDEX(AU465:CB465,1,$AT$1)),"*叠1*")=1,4*25-加速!$L$11,AB464-A465+A464)-IF(OR(COUNTIF(OFFSET(AT465,0,$AT$1,1,1),"*听雷*")&gt;0,AND(碧归&gt;0,COUNTIF(OFFSET(AT465,0,$AT$1,1,1),"*风来*")&gt;0)),0,1)*1.5)</f>
        <v>#VALUE!</v>
      </c>
      <c r="AC465">
        <f ca="1" t="shared" si="94"/>
        <v>3</v>
      </c>
      <c r="AD465">
        <f ca="1">IF(COUNTIF(IF(AND(配装计算器!$K$30&lt;&gt;"∞",0),INDEX(AU465:CB465,1,$AT$1),INDEX(AU466:CB466,1,$AT$1)),"*叠1*")=1,AB465*0+AE464,0)</f>
        <v>0</v>
      </c>
      <c r="AE465" t="e">
        <f ca="1">IF($AN$11&gt;0,IF(COUNTIF(B466,"*叠1*")&gt;0,50-加速!$H$11,MAX(0,AE464-(A466-A465))),0)</f>
        <v>#VALUE!</v>
      </c>
      <c r="AU465" s="176" t="s">
        <v>2776</v>
      </c>
      <c r="AV465">
        <v>2</v>
      </c>
      <c r="AW465" t="str">
        <f>IF($AN$11=1,"云飞玉皇","夕照雷峰")</f>
        <v>云飞玉皇</v>
      </c>
      <c r="AX465">
        <v>2</v>
      </c>
      <c r="AY465" t="s">
        <v>2768</v>
      </c>
      <c r="AZ465">
        <v>0</v>
      </c>
      <c r="BA465" t="s">
        <v>2768</v>
      </c>
      <c r="BB465">
        <v>2</v>
      </c>
      <c r="BC465" t="s">
        <v>2776</v>
      </c>
      <c r="BD465">
        <v>2</v>
      </c>
      <c r="BE465" t="s">
        <v>2768</v>
      </c>
      <c r="BF465">
        <v>2</v>
      </c>
      <c r="BG465" t="s">
        <v>3067</v>
      </c>
      <c r="BH465">
        <v>0</v>
      </c>
      <c r="BI465" s="176" t="s">
        <v>3026</v>
      </c>
      <c r="BJ465">
        <v>2</v>
      </c>
      <c r="BK465" t="s">
        <v>2776</v>
      </c>
      <c r="BL465">
        <v>2</v>
      </c>
      <c r="BM465" s="176" t="s">
        <v>2776</v>
      </c>
      <c r="BN465">
        <v>2</v>
      </c>
      <c r="BO465" t="s">
        <v>2722</v>
      </c>
      <c r="BP465">
        <v>0</v>
      </c>
      <c r="BQ465" t="s">
        <v>2776</v>
      </c>
      <c r="BR465">
        <v>1</v>
      </c>
      <c r="BS465" t="s">
        <v>2776</v>
      </c>
      <c r="BT465">
        <v>1</v>
      </c>
      <c r="BU465" t="s">
        <v>2768</v>
      </c>
      <c r="BV465">
        <v>1</v>
      </c>
      <c r="BW465" s="179" t="s">
        <v>2768</v>
      </c>
      <c r="BX465" s="179">
        <v>1</v>
      </c>
      <c r="BY465" t="s">
        <v>2776</v>
      </c>
      <c r="BZ465">
        <v>2</v>
      </c>
      <c r="CA465" t="s">
        <v>2776</v>
      </c>
      <c r="CB465">
        <v>2</v>
      </c>
    </row>
    <row r="466" spans="1:80">
      <c r="A466" s="178" t="str">
        <f ca="1">IFERROR(IF(A465+加速!$L$11&lt;$AS$1,IF(COUNTIF(B465,"*轻*")&gt;0,A465+加速!$L$9,A465+加速!$L$11)+V465,IF(COUNTIF(INDEX(AU466:CB466,1,$AT$1),"*云景*")+COUNTIF(INDEX(AU466:CB466,1,$AT$1),"*鹤归*")+COUNTIF(INDEX(AU466:CB466,1,$AT$1),"*听雷*")&gt;0,A465+加速!$L$11,"")),"")</f>
        <v/>
      </c>
      <c r="B466" s="167" t="str">
        <f ca="1">IF(A466&lt;&gt;"",IF(AND(A466+加速!$L$11&gt;$AS$1,IF(AND(配装计算器!$K$30&lt;&gt;"∞",0),"梦泉虎跑-轻",INDEX(AU466:CB466,1,$AT$1))="云栖松"),"夕照雷峰",IF(AND(配装计算器!$K$30&lt;&gt;"∞",0),"梦泉虎跑-轻",INDEX(AU466:CB466,1,$AT$1))),"")</f>
        <v/>
      </c>
      <c r="C466" t="str">
        <f ca="1" t="shared" si="99"/>
        <v/>
      </c>
      <c r="D466" t="str">
        <f ca="1">IF(B466&lt;&gt;"",IF(C465&lt;=加速!$L$11*(1-E466),0,1),"")</f>
        <v/>
      </c>
      <c r="E466">
        <f ca="1" t="shared" si="95"/>
        <v>1</v>
      </c>
      <c r="G466" t="str">
        <f ca="1" t="shared" si="96"/>
        <v/>
      </c>
      <c r="H466" t="str">
        <f ca="1">IF(B466&lt;&gt;"",IF(AND(COUNTIF(B465,"*轻*莺鸣柳*")&gt;0,COUNTIF(B466,"*轻*")&lt;1),MAX(0,15+I465-(A466-A465)+COUNTIF(B465,"*平湖*")*0),IF(AND(E466=0,MAX(0,H465-(A466-A465))&lt;=加速!$H$11),0,MAX(0,H465-(A466-A465)))),"")</f>
        <v/>
      </c>
      <c r="I466" t="str">
        <f ca="1" t="shared" si="102"/>
        <v/>
      </c>
      <c r="J466" t="str">
        <f ca="1" t="shared" si="103"/>
        <v/>
      </c>
      <c r="K466" t="str">
        <f ca="1">IF(A466&lt;&gt;"",IF(AND(配装计算器!$K$30&lt;&gt;"∞",0),2,INDEX(AU466:CB466,1,$AT$2)),"")</f>
        <v/>
      </c>
      <c r="L466">
        <f ca="1">IFERROR(IF(AND(COUNTIF(B466,"*-峰插*"),技能数据库!$M$72&gt;0),0,IF(COUNTIF(B466,"*鹤归*")&gt;0,16-加速!$L$11,MAX(0,L465-(A466-A465)))),0)</f>
        <v>0</v>
      </c>
      <c r="M466">
        <f ca="1">IF(COUNTIF(IF(AND(配装计算器!$K$30&lt;&gt;"∞",0),INDEX(AU465:CB465,1,$AT$1),INDEX(AU467:CB467,1,$AT$1)),"*鹤归*")=1,L466,0)</f>
        <v>0</v>
      </c>
      <c r="N466">
        <f ca="1">IFERROR(IF(AND(COUNTIF(B466,"*-峰插*"),技能数据库!$M$72&gt;0),0,IF(COUNTIF(B466,"*云飞*")&gt;0,4-COUNTIF(B466,"*玉山揽云*")*4--COUNTIF(B466,"*烟流暮景*")*4-COUNTIF(B466,"*云景*")*加速!$L$11-IF(J466&gt;0,2,0),MAX(0,N465-(A466-A465)-IF(J466&gt;0,2,0)))),0)</f>
        <v>0</v>
      </c>
      <c r="O466">
        <f ca="1">IF(AND(COUNTIF(IF(AND(配装计算器!$K$30&lt;&gt;"∞",0),INDEX(AU465:CB465,1,$AT$1),INDEX(AU467:CB467,1,$AT$1)),"*云飞*")=1,COUNTIF(IF(AND(配装计算器!$K$30&lt;&gt;"∞",0),INDEX(AU465:CB465,1,$AT$1),INDEX(AU467:CB467,1,$AT$1)),"*玉山*")=0),N466,0)</f>
        <v>0</v>
      </c>
      <c r="P466">
        <f ca="1">IFERROR(IF(COUNTIF(B466,"*云栖松*")&gt;0,50-加速!$L$11,MAX(0,P465-(A466-A465))),0)</f>
        <v>0</v>
      </c>
      <c r="Q466">
        <f ca="1">IF(COUNTIF(IF(AND(配装计算器!$K$30&lt;&gt;"∞",0),INDEX(AU465:CB465,1,$AT$1),INDEX(AU467:CB467,1,$AT$1)),"*云栖松*")=1,P466,0)</f>
        <v>0</v>
      </c>
      <c r="R466">
        <f ca="1">IFERROR(IF(COUNTIF(B466,"*莺鸣柳*")&gt;0,45-加速!$L$9,MAX(0,R465-(A466-A465))),0)</f>
        <v>0</v>
      </c>
      <c r="S466">
        <f ca="1">IF(COUNTIF(IF(AND(配装计算器!$K$30&lt;&gt;"∞",0),INDEX(AU465:CB465,1,$AT$1),INDEX(AU467:CB467,1,$AT$1)),"*莺鸣柳*")=1,R466,0)</f>
        <v>0</v>
      </c>
      <c r="T466">
        <f ca="1" t="shared" si="100"/>
        <v>0</v>
      </c>
      <c r="U466">
        <f ca="1">IF(金蛇,IF(COUNTIF(B466,"*金环戴*")+COUNTIF(B466,"*吹风醒*")&gt;0,IF(A466&lt;=3,7.125-2.625-A466-加速!$L$11,7.125+加速!$K$9-(A466+加速!$L$11-T466)),0),0)+IF(金蛇,IF(COUNTIF(B466,"*千切子裂光*")&gt;0,2+加速!$K$9-(A466+加速!$L$11-T466),0),0)</f>
        <v>0</v>
      </c>
      <c r="V466">
        <f ca="1" t="shared" si="101"/>
        <v>0</v>
      </c>
      <c r="W466">
        <f ca="1" t="shared" si="93"/>
        <v>0</v>
      </c>
      <c r="X466">
        <f ca="1">INDEX(加速!$I$13:$I$21,技能数计算!W466+1)</f>
        <v>0</v>
      </c>
      <c r="Y466">
        <f ca="1" t="shared" si="97"/>
        <v>0.5</v>
      </c>
      <c r="Z466">
        <f ca="1" t="shared" si="98"/>
        <v>0</v>
      </c>
      <c r="AA466">
        <f ca="1">MAX(0,IFERROR(IF(COUNTIF(B466,"*叠*")&gt;0,IF(AC465&lt;3,8-A467+A466,AA465+6.875-A467+A466),AA465-A467+A466),AA465-加速!$L$11))</f>
        <v>0</v>
      </c>
      <c r="AB466" t="e">
        <f ca="1">MAX(0,IF(COUNTIF(IF(AND(配装计算器!$K$30&lt;&gt;"∞",0),INDEX(AU466:CB466,1,$AT$1),INDEX(AU466:CB466,1,$AT$1)),"*叠1*")=1,4*25-加速!$L$11,AB465-A466+A465)-IF(OR(COUNTIF(OFFSET(AT466,0,$AT$1,1,1),"*听雷*")&gt;0,AND(碧归&gt;0,COUNTIF(OFFSET(AT466,0,$AT$1,1,1),"*风来*")&gt;0)),0,1)*1.5)</f>
        <v>#VALUE!</v>
      </c>
      <c r="AC466">
        <f ca="1" t="shared" si="94"/>
        <v>3</v>
      </c>
      <c r="AD466">
        <f ca="1">IF(COUNTIF(IF(AND(配装计算器!$K$30&lt;&gt;"∞",0),INDEX(AU466:CB466,1,$AT$1),INDEX(AU467:CB467,1,$AT$1)),"*叠1*")=1,AB466*0+AE465,0)</f>
        <v>0</v>
      </c>
      <c r="AE466" t="e">
        <f ca="1">IF($AN$11&gt;0,IF(COUNTIF(B467,"*叠1*")&gt;0,50-加速!$H$11,MAX(0,AE465-(A467-A466))),0)</f>
        <v>#VALUE!</v>
      </c>
      <c r="AU466" s="176" t="s">
        <v>2768</v>
      </c>
      <c r="AV466">
        <v>2</v>
      </c>
      <c r="AW466" t="str">
        <f>IF($AN$11=1,"夕照雷峰","云飞玉皇")</f>
        <v>夕照雷峰</v>
      </c>
      <c r="AX466">
        <v>2</v>
      </c>
      <c r="AY466" t="s">
        <v>2722</v>
      </c>
      <c r="AZ466">
        <v>0</v>
      </c>
      <c r="BA466" t="s">
        <v>2768</v>
      </c>
      <c r="BB466">
        <v>2</v>
      </c>
      <c r="BC466" t="s">
        <v>2789</v>
      </c>
      <c r="BD466">
        <v>2</v>
      </c>
      <c r="BE466" t="s">
        <v>3023</v>
      </c>
      <c r="BF466">
        <v>2</v>
      </c>
      <c r="BG466" t="s">
        <v>2768</v>
      </c>
      <c r="BH466">
        <v>2</v>
      </c>
      <c r="BI466" s="176" t="s">
        <v>3026</v>
      </c>
      <c r="BJ466">
        <v>2</v>
      </c>
      <c r="BK466" t="s">
        <v>3036</v>
      </c>
      <c r="BL466">
        <v>2</v>
      </c>
      <c r="BM466" s="176" t="s">
        <v>2768</v>
      </c>
      <c r="BN466">
        <v>2</v>
      </c>
      <c r="BO466" t="s">
        <v>3009</v>
      </c>
      <c r="BP466">
        <v>2</v>
      </c>
      <c r="BQ466" t="s">
        <v>3055</v>
      </c>
      <c r="BR466">
        <v>2</v>
      </c>
      <c r="BS466" t="s">
        <v>2768</v>
      </c>
      <c r="BT466">
        <v>0</v>
      </c>
      <c r="BU466" s="176" t="s">
        <v>2768</v>
      </c>
      <c r="BV466">
        <v>1</v>
      </c>
      <c r="BW466" s="179" t="s">
        <v>2768</v>
      </c>
      <c r="BX466" s="179">
        <v>1</v>
      </c>
      <c r="BY466" t="s">
        <v>2768</v>
      </c>
      <c r="BZ466">
        <v>2</v>
      </c>
      <c r="CA466" t="s">
        <v>2768</v>
      </c>
      <c r="CB466">
        <v>2</v>
      </c>
    </row>
    <row r="467" spans="1:80">
      <c r="A467" s="178" t="str">
        <f ca="1">IFERROR(IF(A466+加速!$L$11&lt;$AS$1,IF(COUNTIF(B466,"*轻*")&gt;0,A466+加速!$L$9,A466+加速!$L$11)+V466,IF(COUNTIF(INDEX(AU467:CB467,1,$AT$1),"*云景*")+COUNTIF(INDEX(AU467:CB467,1,$AT$1),"*鹤归*")+COUNTIF(INDEX(AU467:CB467,1,$AT$1),"*听雷*")&gt;0,A466+加速!$L$11,"")),"")</f>
        <v/>
      </c>
      <c r="B467" s="167" t="str">
        <f ca="1">IF(A467&lt;&gt;"",IF(AND(A467+加速!$L$11&gt;$AS$1,IF(AND(配装计算器!$K$30&lt;&gt;"∞",0),"梦泉虎跑-轻",INDEX(AU467:CB467,1,$AT$1))="云栖松"),"夕照雷峰",IF(AND(配装计算器!$K$30&lt;&gt;"∞",0),"梦泉虎跑-轻",INDEX(AU467:CB467,1,$AT$1))),"")</f>
        <v/>
      </c>
      <c r="C467" t="str">
        <f ca="1" t="shared" si="99"/>
        <v/>
      </c>
      <c r="D467" t="str">
        <f ca="1">IF(B467&lt;&gt;"",IF(C466&lt;=加速!$L$11*(1-E467),0,1),"")</f>
        <v/>
      </c>
      <c r="E467">
        <f ca="1" t="shared" si="95"/>
        <v>1</v>
      </c>
      <c r="G467" t="str">
        <f ca="1" t="shared" si="96"/>
        <v/>
      </c>
      <c r="H467" t="str">
        <f ca="1">IF(B467&lt;&gt;"",IF(AND(COUNTIF(B466,"*轻*莺鸣柳*")&gt;0,COUNTIF(B467,"*轻*")&lt;1),MAX(0,15+I466-(A467-A466)+COUNTIF(B466,"*平湖*")*0),IF(AND(E467=0,MAX(0,H466-(A467-A466))&lt;=加速!$H$11),0,MAX(0,H466-(A467-A466)))),"")</f>
        <v/>
      </c>
      <c r="I467" t="str">
        <f ca="1" t="shared" si="102"/>
        <v/>
      </c>
      <c r="J467" t="str">
        <f ca="1" t="shared" si="103"/>
        <v/>
      </c>
      <c r="K467" t="str">
        <f ca="1">IF(A467&lt;&gt;"",IF(AND(配装计算器!$K$30&lt;&gt;"∞",0),2,INDEX(AU467:CB467,1,$AT$2)),"")</f>
        <v/>
      </c>
      <c r="L467">
        <f ca="1">IFERROR(IF(AND(COUNTIF(B467,"*-峰插*"),技能数据库!$M$72&gt;0),0,IF(COUNTIF(B467,"*鹤归*")&gt;0,16-加速!$L$11,MAX(0,L466-(A467-A466)))),0)</f>
        <v>0</v>
      </c>
      <c r="M467">
        <f ca="1">IF(COUNTIF(IF(AND(配装计算器!$K$30&lt;&gt;"∞",0),INDEX(AU466:CB466,1,$AT$1),INDEX(AU468:CB468,1,$AT$1)),"*鹤归*")=1,L467,0)</f>
        <v>0</v>
      </c>
      <c r="N467">
        <f ca="1">IFERROR(IF(AND(COUNTIF(B467,"*-峰插*"),技能数据库!$M$72&gt;0),0,IF(COUNTIF(B467,"*云飞*")&gt;0,4-COUNTIF(B467,"*玉山揽云*")*4--COUNTIF(B467,"*烟流暮景*")*4-COUNTIF(B467,"*云景*")*加速!$L$11-IF(J467&gt;0,2,0),MAX(0,N466-(A467-A466)-IF(J467&gt;0,2,0)))),0)</f>
        <v>0</v>
      </c>
      <c r="O467">
        <f ca="1">IF(AND(COUNTIF(IF(AND(配装计算器!$K$30&lt;&gt;"∞",0),INDEX(AU466:CB466,1,$AT$1),INDEX(AU468:CB468,1,$AT$1)),"*云飞*")=1,COUNTIF(IF(AND(配装计算器!$K$30&lt;&gt;"∞",0),INDEX(AU466:CB466,1,$AT$1),INDEX(AU468:CB468,1,$AT$1)),"*玉山*")=0),N467,0)</f>
        <v>0</v>
      </c>
      <c r="P467">
        <f ca="1">IFERROR(IF(COUNTIF(B467,"*云栖松*")&gt;0,50-加速!$L$11,MAX(0,P466-(A467-A466))),0)</f>
        <v>0</v>
      </c>
      <c r="Q467">
        <f ca="1">IF(COUNTIF(IF(AND(配装计算器!$K$30&lt;&gt;"∞",0),INDEX(AU466:CB466,1,$AT$1),INDEX(AU468:CB468,1,$AT$1)),"*云栖松*")=1,P467,0)</f>
        <v>0</v>
      </c>
      <c r="R467">
        <f ca="1">IFERROR(IF(COUNTIF(B467,"*莺鸣柳*")&gt;0,45-加速!$L$9,MAX(0,R466-(A467-A466))),0)</f>
        <v>0</v>
      </c>
      <c r="S467">
        <f ca="1">IF(COUNTIF(IF(AND(配装计算器!$K$30&lt;&gt;"∞",0),INDEX(AU466:CB466,1,$AT$1),INDEX(AU468:CB468,1,$AT$1)),"*莺鸣柳*")=1,R467,0)</f>
        <v>0</v>
      </c>
      <c r="T467">
        <f ca="1" t="shared" si="100"/>
        <v>0</v>
      </c>
      <c r="U467">
        <f ca="1">IF(金蛇,IF(COUNTIF(B467,"*金环戴*")+COUNTIF(B467,"*吹风醒*")&gt;0,IF(A467&lt;=3,7.125-2.625-A467-加速!$L$11,7.125+加速!$K$9-(A467+加速!$L$11-T467)),0),0)+IF(金蛇,IF(COUNTIF(B467,"*千切子裂光*")&gt;0,2+加速!$K$9-(A467+加速!$L$11-T467),0),0)</f>
        <v>0</v>
      </c>
      <c r="V467">
        <f ca="1" t="shared" si="101"/>
        <v>0</v>
      </c>
      <c r="W467">
        <f ca="1" t="shared" si="93"/>
        <v>0</v>
      </c>
      <c r="X467">
        <f ca="1">INDEX(加速!$I$13:$I$21,技能数计算!W467+1)</f>
        <v>0</v>
      </c>
      <c r="Y467">
        <f ca="1" t="shared" si="97"/>
        <v>0.5</v>
      </c>
      <c r="Z467">
        <f ca="1" t="shared" si="98"/>
        <v>0</v>
      </c>
      <c r="AA467">
        <f ca="1">MAX(0,IFERROR(IF(COUNTIF(B467,"*叠*")&gt;0,IF(AC466&lt;3,8-A468+A467,AA466+6.875-A468+A467),AA466-A468+A467),AA466-加速!$L$11))</f>
        <v>0</v>
      </c>
      <c r="AB467" t="e">
        <f ca="1">MAX(0,IF(COUNTIF(IF(AND(配装计算器!$K$30&lt;&gt;"∞",0),INDEX(AU467:CB467,1,$AT$1),INDEX(AU467:CB467,1,$AT$1)),"*叠1*")=1,4*25-加速!$L$11,AB466-A467+A466)-IF(OR(COUNTIF(OFFSET(AT467,0,$AT$1,1,1),"*听雷*")&gt;0,AND(碧归&gt;0,COUNTIF(OFFSET(AT467,0,$AT$1,1,1),"*风来*")&gt;0)),0,1)*1.5)</f>
        <v>#VALUE!</v>
      </c>
      <c r="AC467">
        <f ca="1" t="shared" si="94"/>
        <v>3</v>
      </c>
      <c r="AD467">
        <f ca="1">IF(COUNTIF(IF(AND(配装计算器!$K$30&lt;&gt;"∞",0),INDEX(AU467:CB467,1,$AT$1),INDEX(AU468:CB468,1,$AT$1)),"*叠1*")=1,AB467*0+AE466,0)</f>
        <v>0</v>
      </c>
      <c r="AE467" t="e">
        <f ca="1">IF($AN$11&gt;0,IF(COUNTIF(B468,"*叠1*")&gt;0,50-加速!$H$11,MAX(0,AE466-(A468-A467))),0)</f>
        <v>#VALUE!</v>
      </c>
      <c r="AU467" s="176" t="s">
        <v>2776</v>
      </c>
      <c r="AV467">
        <v>2</v>
      </c>
      <c r="AW467" t="str">
        <f>IF($AN$11=1,"云飞玉皇","夕照雷峰")</f>
        <v>云飞玉皇</v>
      </c>
      <c r="AX467">
        <v>2</v>
      </c>
      <c r="AY467" t="s">
        <v>2776</v>
      </c>
      <c r="AZ467">
        <v>2</v>
      </c>
      <c r="BA467" t="s">
        <v>2768</v>
      </c>
      <c r="BB467">
        <v>1</v>
      </c>
      <c r="BC467" t="s">
        <v>2794</v>
      </c>
      <c r="BD467">
        <v>2</v>
      </c>
      <c r="BE467" s="182" t="s">
        <v>2768</v>
      </c>
      <c r="BF467">
        <v>2</v>
      </c>
      <c r="BG467" t="s">
        <v>2768</v>
      </c>
      <c r="BH467">
        <v>2</v>
      </c>
      <c r="BI467" s="176" t="s">
        <v>3026</v>
      </c>
      <c r="BJ467">
        <v>2</v>
      </c>
      <c r="BK467" t="s">
        <v>3026</v>
      </c>
      <c r="BL467">
        <v>2</v>
      </c>
      <c r="BM467" s="176" t="s">
        <v>2776</v>
      </c>
      <c r="BN467">
        <v>2</v>
      </c>
      <c r="BO467" t="s">
        <v>2776</v>
      </c>
      <c r="BP467">
        <v>2</v>
      </c>
      <c r="BQ467" t="s">
        <v>2768</v>
      </c>
      <c r="BR467">
        <v>2</v>
      </c>
      <c r="BS467" t="s">
        <v>3024</v>
      </c>
      <c r="BT467">
        <v>2</v>
      </c>
      <c r="BU467" t="s">
        <v>3055</v>
      </c>
      <c r="BV467">
        <v>0</v>
      </c>
      <c r="BW467" s="179" t="s">
        <v>2776</v>
      </c>
      <c r="BX467" s="179">
        <v>1</v>
      </c>
      <c r="BY467" t="s">
        <v>2718</v>
      </c>
      <c r="BZ467">
        <v>0</v>
      </c>
      <c r="CA467" t="s">
        <v>2768</v>
      </c>
      <c r="CB467">
        <v>2</v>
      </c>
    </row>
    <row r="468" spans="1:80">
      <c r="A468" s="178" t="str">
        <f ca="1">IFERROR(IF(A467+加速!$L$11&lt;$AS$1,IF(COUNTIF(B467,"*轻*")&gt;0,A467+加速!$L$9,A467+加速!$L$11)+V467,IF(COUNTIF(INDEX(AU468:CB468,1,$AT$1),"*云景*")+COUNTIF(INDEX(AU468:CB468,1,$AT$1),"*鹤归*")+COUNTIF(INDEX(AU468:CB468,1,$AT$1),"*听雷*")&gt;0,A467+加速!$L$11,"")),"")</f>
        <v/>
      </c>
      <c r="B468" s="167" t="str">
        <f ca="1">IF(A468&lt;&gt;"",IF(AND(A468+加速!$L$11&gt;$AS$1,IF(AND(配装计算器!$K$30&lt;&gt;"∞",0),"梦泉虎跑-轻",INDEX(AU468:CB468,1,$AT$1))="云栖松"),"夕照雷峰",IF(AND(配装计算器!$K$30&lt;&gt;"∞",0),"梦泉虎跑-轻",INDEX(AU468:CB468,1,$AT$1))),"")</f>
        <v/>
      </c>
      <c r="C468" t="str">
        <f ca="1" t="shared" si="99"/>
        <v/>
      </c>
      <c r="D468" t="str">
        <f ca="1">IF(B468&lt;&gt;"",IF(C467&lt;=加速!$L$11*(1-E468),0,1),"")</f>
        <v/>
      </c>
      <c r="E468">
        <f ca="1" t="shared" si="95"/>
        <v>1</v>
      </c>
      <c r="G468" t="str">
        <f ca="1" t="shared" si="96"/>
        <v/>
      </c>
      <c r="H468" t="str">
        <f ca="1">IF(B468&lt;&gt;"",IF(AND(COUNTIF(B467,"*轻*莺鸣柳*")&gt;0,COUNTIF(B468,"*轻*")&lt;1),MAX(0,15+I467-(A468-A467)+COUNTIF(B467,"*平湖*")*0),IF(AND(E468=0,MAX(0,H467-(A468-A467))&lt;=加速!$H$11),0,MAX(0,H467-(A468-A467)))),"")</f>
        <v/>
      </c>
      <c r="I468" t="str">
        <f ca="1" t="shared" si="102"/>
        <v/>
      </c>
      <c r="J468" t="str">
        <f ca="1" t="shared" si="103"/>
        <v/>
      </c>
      <c r="K468" t="str">
        <f ca="1">IF(A468&lt;&gt;"",IF(AND(配装计算器!$K$30&lt;&gt;"∞",0),2,INDEX(AU468:CB468,1,$AT$2)),"")</f>
        <v/>
      </c>
      <c r="L468">
        <f ca="1">IFERROR(IF(AND(COUNTIF(B468,"*-峰插*"),技能数据库!$M$72&gt;0),0,IF(COUNTIF(B468,"*鹤归*")&gt;0,16-加速!$L$11,MAX(0,L467-(A468-A467)))),0)</f>
        <v>0</v>
      </c>
      <c r="M468">
        <f ca="1">IF(COUNTIF(IF(AND(配装计算器!$K$30&lt;&gt;"∞",0),INDEX(AU467:CB467,1,$AT$1),INDEX(AU469:CB469,1,$AT$1)),"*鹤归*")=1,L468,0)</f>
        <v>0</v>
      </c>
      <c r="N468">
        <f ca="1">IFERROR(IF(AND(COUNTIF(B468,"*-峰插*"),技能数据库!$M$72&gt;0),0,IF(COUNTIF(B468,"*云飞*")&gt;0,4-COUNTIF(B468,"*玉山揽云*")*4--COUNTIF(B468,"*烟流暮景*")*4-COUNTIF(B468,"*云景*")*加速!$L$11-IF(J468&gt;0,2,0),MAX(0,N467-(A468-A467)-IF(J468&gt;0,2,0)))),0)</f>
        <v>0</v>
      </c>
      <c r="O468">
        <f ca="1">IF(AND(COUNTIF(IF(AND(配装计算器!$K$30&lt;&gt;"∞",0),INDEX(AU467:CB467,1,$AT$1),INDEX(AU469:CB469,1,$AT$1)),"*云飞*")=1,COUNTIF(IF(AND(配装计算器!$K$30&lt;&gt;"∞",0),INDEX(AU467:CB467,1,$AT$1),INDEX(AU469:CB469,1,$AT$1)),"*玉山*")=0),N468,0)</f>
        <v>0</v>
      </c>
      <c r="P468">
        <f ca="1">IFERROR(IF(COUNTIF(B468,"*云栖松*")&gt;0,50-加速!$L$11,MAX(0,P467-(A468-A467))),0)</f>
        <v>0</v>
      </c>
      <c r="Q468">
        <f ca="1">IF(COUNTIF(IF(AND(配装计算器!$K$30&lt;&gt;"∞",0),INDEX(AU467:CB467,1,$AT$1),INDEX(AU469:CB469,1,$AT$1)),"*云栖松*")=1,P468,0)</f>
        <v>0</v>
      </c>
      <c r="R468">
        <f ca="1">IFERROR(IF(COUNTIF(B468,"*莺鸣柳*")&gt;0,45-加速!$L$9,MAX(0,R467-(A468-A467))),0)</f>
        <v>0</v>
      </c>
      <c r="S468">
        <f ca="1">IF(COUNTIF(IF(AND(配装计算器!$K$30&lt;&gt;"∞",0),INDEX(AU467:CB467,1,$AT$1),INDEX(AU469:CB469,1,$AT$1)),"*莺鸣柳*")=1,R468,0)</f>
        <v>0</v>
      </c>
      <c r="T468">
        <f ca="1" t="shared" si="100"/>
        <v>0</v>
      </c>
      <c r="U468">
        <f ca="1">IF(金蛇,IF(COUNTIF(B468,"*金环戴*")+COUNTIF(B468,"*吹风醒*")&gt;0,IF(A468&lt;=3,7.125-2.625-A468-加速!$L$11,7.125+加速!$K$9-(A468+加速!$L$11-T468)),0),0)+IF(金蛇,IF(COUNTIF(B468,"*千切子裂光*")&gt;0,2+加速!$K$9-(A468+加速!$L$11-T468),0),0)</f>
        <v>0</v>
      </c>
      <c r="V468">
        <f ca="1" t="shared" si="101"/>
        <v>0</v>
      </c>
      <c r="W468">
        <f ca="1" t="shared" si="93"/>
        <v>0</v>
      </c>
      <c r="X468">
        <f ca="1">INDEX(加速!$I$13:$I$21,技能数计算!W468+1)</f>
        <v>0</v>
      </c>
      <c r="Y468">
        <f ca="1" t="shared" si="97"/>
        <v>0.5</v>
      </c>
      <c r="Z468">
        <f ca="1" t="shared" si="98"/>
        <v>0</v>
      </c>
      <c r="AA468">
        <f ca="1">MAX(0,IFERROR(IF(COUNTIF(B468,"*叠*")&gt;0,IF(AC467&lt;3,8-A469+A468,AA467+6.875-A469+A468),AA467-A469+A468),AA467-加速!$L$11))</f>
        <v>0</v>
      </c>
      <c r="AB468" t="e">
        <f ca="1">MAX(0,IF(COUNTIF(IF(AND(配装计算器!$K$30&lt;&gt;"∞",0),INDEX(AU468:CB468,1,$AT$1),INDEX(AU468:CB468,1,$AT$1)),"*叠1*")=1,4*25-加速!$L$11,AB467-A468+A467)-IF(OR(COUNTIF(OFFSET(AT468,0,$AT$1,1,1),"*听雷*")&gt;0,AND(碧归&gt;0,COUNTIF(OFFSET(AT468,0,$AT$1,1,1),"*风来*")&gt;0)),0,1)*1.5)</f>
        <v>#VALUE!</v>
      </c>
      <c r="AC468">
        <f ca="1" t="shared" si="94"/>
        <v>3</v>
      </c>
      <c r="AD468">
        <f ca="1">IF(COUNTIF(IF(AND(配装计算器!$K$30&lt;&gt;"∞",0),INDEX(AU468:CB468,1,$AT$1),INDEX(AU469:CB469,1,$AT$1)),"*叠1*")=1,AB468*0+AE467,0)</f>
        <v>0</v>
      </c>
      <c r="AE468" t="e">
        <f ca="1">IF($AN$11&gt;0,IF(COUNTIF(B469,"*叠1*")&gt;0,50-加速!$H$11,MAX(0,AE467-(A469-A468))),0)</f>
        <v>#VALUE!</v>
      </c>
      <c r="AU468" s="176" t="s">
        <v>2768</v>
      </c>
      <c r="AV468">
        <v>2</v>
      </c>
      <c r="AW468" t="str">
        <f>IF($AN$11=1,"夕照雷峰","云景·云飞玉皇-黄龙吐翠")</f>
        <v>夕照雷峰</v>
      </c>
      <c r="AX468">
        <f>IF($AN$11=1,2,1)</f>
        <v>2</v>
      </c>
      <c r="AY468" t="s">
        <v>2768</v>
      </c>
      <c r="AZ468">
        <v>2</v>
      </c>
      <c r="BA468" t="s">
        <v>2776</v>
      </c>
      <c r="BB468">
        <v>1</v>
      </c>
      <c r="BC468" s="182" t="s">
        <v>3036</v>
      </c>
      <c r="BD468">
        <v>2</v>
      </c>
      <c r="BE468" s="176" t="s">
        <v>2768</v>
      </c>
      <c r="BF468">
        <v>2</v>
      </c>
      <c r="BG468" s="176" t="s">
        <v>2794</v>
      </c>
      <c r="BH468">
        <v>1</v>
      </c>
      <c r="BI468" s="176" t="s">
        <v>3036</v>
      </c>
      <c r="BJ468">
        <v>2</v>
      </c>
      <c r="BK468" t="s">
        <v>3026</v>
      </c>
      <c r="BL468">
        <v>2</v>
      </c>
      <c r="BM468" s="176" t="s">
        <v>2768</v>
      </c>
      <c r="BN468">
        <v>2</v>
      </c>
      <c r="BO468" t="s">
        <v>2768</v>
      </c>
      <c r="BP468">
        <v>2</v>
      </c>
      <c r="BQ468" t="s">
        <v>2776</v>
      </c>
      <c r="BR468">
        <v>2</v>
      </c>
      <c r="BS468" s="179" t="s">
        <v>2794</v>
      </c>
      <c r="BT468">
        <v>2</v>
      </c>
      <c r="BU468" t="s">
        <v>2776</v>
      </c>
      <c r="BV468">
        <v>2</v>
      </c>
      <c r="BW468" s="179" t="s">
        <v>2768</v>
      </c>
      <c r="BX468" s="179">
        <v>1</v>
      </c>
      <c r="BY468" t="s">
        <v>2768</v>
      </c>
      <c r="BZ468">
        <v>2</v>
      </c>
      <c r="CA468" t="s">
        <v>2768</v>
      </c>
      <c r="CB468">
        <v>2</v>
      </c>
    </row>
    <row r="469" spans="1:80">
      <c r="A469" s="178" t="str">
        <f ca="1">IFERROR(IF(A468+加速!$L$11&lt;$AS$1,IF(COUNTIF(B468,"*轻*")&gt;0,A468+加速!$L$9,A468+加速!$L$11)+V468,IF(COUNTIF(INDEX(AU469:CB469,1,$AT$1),"*云景*")+COUNTIF(INDEX(AU469:CB469,1,$AT$1),"*鹤归*")+COUNTIF(INDEX(AU469:CB469,1,$AT$1),"*听雷*")&gt;0,A468+加速!$L$11,"")),"")</f>
        <v/>
      </c>
      <c r="B469" s="167" t="str">
        <f ca="1">IF(A469&lt;&gt;"",IF(AND(A469+加速!$L$11&gt;$AS$1,IF(AND(配装计算器!$K$30&lt;&gt;"∞",0),"梦泉虎跑-轻",INDEX(AU469:CB469,1,$AT$1))="云栖松"),"夕照雷峰",IF(AND(配装计算器!$K$30&lt;&gt;"∞",0),"梦泉虎跑-轻",INDEX(AU469:CB469,1,$AT$1))),"")</f>
        <v/>
      </c>
      <c r="C469" t="str">
        <f ca="1" t="shared" si="99"/>
        <v/>
      </c>
      <c r="D469" t="str">
        <f ca="1">IF(B469&lt;&gt;"",IF(C468&lt;=加速!$L$11*(1-E469),0,1),"")</f>
        <v/>
      </c>
      <c r="E469">
        <f ca="1" t="shared" si="95"/>
        <v>1</v>
      </c>
      <c r="G469" t="str">
        <f ca="1" t="shared" si="96"/>
        <v/>
      </c>
      <c r="H469" t="str">
        <f ca="1">IF(B469&lt;&gt;"",IF(AND(COUNTIF(B468,"*轻*莺鸣柳*")&gt;0,COUNTIF(B469,"*轻*")&lt;1),MAX(0,15+I468-(A469-A468)+COUNTIF(B468,"*平湖*")*0),IF(AND(E469=0,MAX(0,H468-(A469-A468))&lt;=加速!$H$11),0,MAX(0,H468-(A469-A468)))),"")</f>
        <v/>
      </c>
      <c r="I469" t="str">
        <f ca="1" t="shared" si="102"/>
        <v/>
      </c>
      <c r="J469" t="str">
        <f ca="1" t="shared" si="103"/>
        <v/>
      </c>
      <c r="K469" t="str">
        <f ca="1">IF(A469&lt;&gt;"",IF(AND(配装计算器!$K$30&lt;&gt;"∞",0),2,INDEX(AU469:CB469,1,$AT$2)),"")</f>
        <v/>
      </c>
      <c r="L469">
        <f ca="1">IFERROR(IF(AND(COUNTIF(B469,"*-峰插*"),技能数据库!$M$72&gt;0),0,IF(COUNTIF(B469,"*鹤归*")&gt;0,16-加速!$L$11,MAX(0,L468-(A469-A468)))),0)</f>
        <v>0</v>
      </c>
      <c r="M469">
        <f ca="1">IF(COUNTIF(IF(AND(配装计算器!$K$30&lt;&gt;"∞",0),INDEX(AU468:CB468,1,$AT$1),INDEX(AU470:CB470,1,$AT$1)),"*鹤归*")=1,L469,0)</f>
        <v>0</v>
      </c>
      <c r="N469">
        <f ca="1">IFERROR(IF(AND(COUNTIF(B469,"*-峰插*"),技能数据库!$M$72&gt;0),0,IF(COUNTIF(B469,"*云飞*")&gt;0,4-COUNTIF(B469,"*玉山揽云*")*4--COUNTIF(B469,"*烟流暮景*")*4-COUNTIF(B469,"*云景*")*加速!$L$11-IF(J469&gt;0,2,0),MAX(0,N468-(A469-A468)-IF(J469&gt;0,2,0)))),0)</f>
        <v>0</v>
      </c>
      <c r="O469">
        <f ca="1">IF(AND(COUNTIF(IF(AND(配装计算器!$K$30&lt;&gt;"∞",0),INDEX(AU468:CB468,1,$AT$1),INDEX(AU470:CB470,1,$AT$1)),"*云飞*")=1,COUNTIF(IF(AND(配装计算器!$K$30&lt;&gt;"∞",0),INDEX(AU468:CB468,1,$AT$1),INDEX(AU470:CB470,1,$AT$1)),"*玉山*")=0),N469,0)</f>
        <v>0</v>
      </c>
      <c r="P469">
        <f ca="1">IFERROR(IF(COUNTIF(B469,"*云栖松*")&gt;0,50-加速!$L$11,MAX(0,P468-(A469-A468))),0)</f>
        <v>0</v>
      </c>
      <c r="Q469">
        <f ca="1">IF(COUNTIF(IF(AND(配装计算器!$K$30&lt;&gt;"∞",0),INDEX(AU468:CB468,1,$AT$1),INDEX(AU470:CB470,1,$AT$1)),"*云栖松*")=1,P469,0)</f>
        <v>0</v>
      </c>
      <c r="R469">
        <f ca="1">IFERROR(IF(COUNTIF(B469,"*莺鸣柳*")&gt;0,45-加速!$L$9,MAX(0,R468-(A469-A468))),0)</f>
        <v>0</v>
      </c>
      <c r="S469">
        <f ca="1">IF(COUNTIF(IF(AND(配装计算器!$K$30&lt;&gt;"∞",0),INDEX(AU468:CB468,1,$AT$1),INDEX(AU470:CB470,1,$AT$1)),"*莺鸣柳*")=1,R469,0)</f>
        <v>0</v>
      </c>
      <c r="T469">
        <f ca="1" t="shared" si="100"/>
        <v>0</v>
      </c>
      <c r="U469">
        <f ca="1">IF(金蛇,IF(COUNTIF(B469,"*金环戴*")+COUNTIF(B469,"*吹风醒*")&gt;0,IF(A469&lt;=3,7.125-2.625-A469-加速!$L$11,7.125+加速!$K$9-(A469+加速!$L$11-T469)),0),0)+IF(金蛇,IF(COUNTIF(B469,"*千切子裂光*")&gt;0,2+加速!$K$9-(A469+加速!$L$11-T469),0),0)</f>
        <v>0</v>
      </c>
      <c r="V469">
        <f ca="1" t="shared" si="101"/>
        <v>0</v>
      </c>
      <c r="W469">
        <f ca="1" t="shared" si="93"/>
        <v>0</v>
      </c>
      <c r="X469">
        <f ca="1">INDEX(加速!$I$13:$I$21,技能数计算!W469+1)</f>
        <v>0</v>
      </c>
      <c r="Y469">
        <f ca="1" t="shared" si="97"/>
        <v>0.5</v>
      </c>
      <c r="Z469">
        <f ca="1" t="shared" si="98"/>
        <v>0</v>
      </c>
      <c r="AA469">
        <f ca="1">MAX(0,IFERROR(IF(COUNTIF(B469,"*叠*")&gt;0,IF(AC468&lt;3,8-A470+A469,AA468+6.875-A470+A469),AA468-A470+A469),AA468-加速!$L$11))</f>
        <v>0</v>
      </c>
      <c r="AB469" t="e">
        <f ca="1">MAX(0,IF(COUNTIF(IF(AND(配装计算器!$K$30&lt;&gt;"∞",0),INDEX(AU469:CB469,1,$AT$1),INDEX(AU469:CB469,1,$AT$1)),"*叠1*")=1,4*25-加速!$L$11,AB468-A469+A468)-IF(OR(COUNTIF(OFFSET(AT469,0,$AT$1,1,1),"*听雷*")&gt;0,AND(碧归&gt;0,COUNTIF(OFFSET(AT469,0,$AT$1,1,1),"*风来*")&gt;0)),0,1)*1.5)</f>
        <v>#VALUE!</v>
      </c>
      <c r="AC469">
        <f ca="1" t="shared" si="94"/>
        <v>3</v>
      </c>
      <c r="AD469">
        <f ca="1">IF(COUNTIF(IF(AND(配装计算器!$K$30&lt;&gt;"∞",0),INDEX(AU469:CB469,1,$AT$1),INDEX(AU470:CB470,1,$AT$1)),"*叠1*")=1,AB469*0+AE468,0)</f>
        <v>0</v>
      </c>
      <c r="AE469" t="e">
        <f ca="1">IF($AN$11&gt;0,IF(COUNTIF(B470,"*叠1*")&gt;0,50-加速!$H$11,MAX(0,AE468-(A470-A469))),0)</f>
        <v>#VALUE!</v>
      </c>
      <c r="AU469" s="176" t="s">
        <v>2776</v>
      </c>
      <c r="AV469">
        <v>2</v>
      </c>
      <c r="AW469" t="str">
        <f>IF($AN$11=1,"云飞玉皇","夕照雷峰")</f>
        <v>云飞玉皇</v>
      </c>
      <c r="AX469">
        <v>2</v>
      </c>
      <c r="AY469" t="s">
        <v>2768</v>
      </c>
      <c r="AZ469">
        <v>2</v>
      </c>
      <c r="BA469" t="s">
        <v>2768</v>
      </c>
      <c r="BB469">
        <v>1</v>
      </c>
      <c r="BC469" s="176" t="s">
        <v>3026</v>
      </c>
      <c r="BD469">
        <v>2</v>
      </c>
      <c r="BE469" s="176" t="s">
        <v>2789</v>
      </c>
      <c r="BF469">
        <v>2</v>
      </c>
      <c r="BG469" t="s">
        <v>2776</v>
      </c>
      <c r="BH469">
        <v>1</v>
      </c>
      <c r="BI469" t="s">
        <v>2794</v>
      </c>
      <c r="BJ469">
        <v>2</v>
      </c>
      <c r="BK469" t="s">
        <v>3026</v>
      </c>
      <c r="BL469">
        <v>2</v>
      </c>
      <c r="BM469" t="s">
        <v>3056</v>
      </c>
      <c r="BN469">
        <v>1</v>
      </c>
      <c r="BO469" s="180" t="s">
        <v>2789</v>
      </c>
      <c r="BP469">
        <v>2</v>
      </c>
      <c r="BQ469" t="s">
        <v>2768</v>
      </c>
      <c r="BR469">
        <v>2</v>
      </c>
      <c r="BS469" s="179" t="s">
        <v>3030</v>
      </c>
      <c r="BT469">
        <v>2</v>
      </c>
      <c r="BU469" t="s">
        <v>2768</v>
      </c>
      <c r="BV469">
        <v>2</v>
      </c>
      <c r="BW469" s="182" t="s">
        <v>2722</v>
      </c>
      <c r="BX469" s="179">
        <v>0</v>
      </c>
      <c r="BY469" t="s">
        <v>2776</v>
      </c>
      <c r="BZ469">
        <v>2</v>
      </c>
      <c r="CA469" t="s">
        <v>2776</v>
      </c>
      <c r="CB469">
        <v>2</v>
      </c>
    </row>
    <row r="470" spans="1:80">
      <c r="A470" s="178" t="str">
        <f ca="1">IFERROR(IF(A469+加速!$L$11&lt;$AS$1,IF(COUNTIF(B469,"*轻*")&gt;0,A469+加速!$L$9,A469+加速!$L$11)+V469,IF(COUNTIF(INDEX(AU470:CB470,1,$AT$1),"*云景*")+COUNTIF(INDEX(AU470:CB470,1,$AT$1),"*鹤归*")+COUNTIF(INDEX(AU470:CB470,1,$AT$1),"*听雷*")&gt;0,A469+加速!$L$11,"")),"")</f>
        <v/>
      </c>
      <c r="B470" s="167" t="str">
        <f ca="1">IF(A470&lt;&gt;"",IF(AND(A470+加速!$L$11&gt;$AS$1,IF(AND(配装计算器!$K$30&lt;&gt;"∞",0),"梦泉虎跑-轻",INDEX(AU470:CB470,1,$AT$1))="云栖松"),"夕照雷峰",IF(AND(配装计算器!$K$30&lt;&gt;"∞",0),"梦泉虎跑-轻",INDEX(AU470:CB470,1,$AT$1))),"")</f>
        <v/>
      </c>
      <c r="C470" t="str">
        <f ca="1" t="shared" si="99"/>
        <v/>
      </c>
      <c r="D470" t="str">
        <f ca="1">IF(B470&lt;&gt;"",IF(C469&lt;=加速!$L$11*(1-E470),0,1),"")</f>
        <v/>
      </c>
      <c r="E470">
        <f ca="1" t="shared" si="95"/>
        <v>1</v>
      </c>
      <c r="G470" t="str">
        <f ca="1" t="shared" si="96"/>
        <v/>
      </c>
      <c r="H470" t="str">
        <f ca="1">IF(B470&lt;&gt;"",IF(AND(COUNTIF(B469,"*轻*莺鸣柳*")&gt;0,COUNTIF(B470,"*轻*")&lt;1),MAX(0,15+I469-(A470-A469)+COUNTIF(B469,"*平湖*")*0),IF(AND(E470=0,MAX(0,H469-(A470-A469))&lt;=加速!$H$11),0,MAX(0,H469-(A470-A469)))),"")</f>
        <v/>
      </c>
      <c r="I470" t="str">
        <f ca="1" t="shared" si="102"/>
        <v/>
      </c>
      <c r="J470" t="str">
        <f ca="1" t="shared" si="103"/>
        <v/>
      </c>
      <c r="K470" t="str">
        <f ca="1">IF(A470&lt;&gt;"",IF(AND(配装计算器!$K$30&lt;&gt;"∞",0),2,INDEX(AU470:CB470,1,$AT$2)),"")</f>
        <v/>
      </c>
      <c r="L470">
        <f ca="1">IFERROR(IF(AND(COUNTIF(B470,"*-峰插*"),技能数据库!$M$72&gt;0),0,IF(COUNTIF(B470,"*鹤归*")&gt;0,16-加速!$L$11,MAX(0,L469-(A470-A469)))),0)</f>
        <v>0</v>
      </c>
      <c r="M470">
        <f ca="1">IF(COUNTIF(IF(AND(配装计算器!$K$30&lt;&gt;"∞",0),INDEX(AU469:CB469,1,$AT$1),INDEX(AU471:CB471,1,$AT$1)),"*鹤归*")=1,L470,0)</f>
        <v>0</v>
      </c>
      <c r="N470">
        <f ca="1">IFERROR(IF(AND(COUNTIF(B470,"*-峰插*"),技能数据库!$M$72&gt;0),0,IF(COUNTIF(B470,"*云飞*")&gt;0,4-COUNTIF(B470,"*玉山揽云*")*4--COUNTIF(B470,"*烟流暮景*")*4-COUNTIF(B470,"*云景*")*加速!$L$11-IF(J470&gt;0,2,0),MAX(0,N469-(A470-A469)-IF(J470&gt;0,2,0)))),0)</f>
        <v>0</v>
      </c>
      <c r="O470">
        <f ca="1">IF(AND(COUNTIF(IF(AND(配装计算器!$K$30&lt;&gt;"∞",0),INDEX(AU469:CB469,1,$AT$1),INDEX(AU471:CB471,1,$AT$1)),"*云飞*")=1,COUNTIF(IF(AND(配装计算器!$K$30&lt;&gt;"∞",0),INDEX(AU469:CB469,1,$AT$1),INDEX(AU471:CB471,1,$AT$1)),"*玉山*")=0),N470,0)</f>
        <v>0</v>
      </c>
      <c r="P470">
        <f ca="1">IFERROR(IF(COUNTIF(B470,"*云栖松*")&gt;0,50-加速!$L$11,MAX(0,P469-(A470-A469))),0)</f>
        <v>0</v>
      </c>
      <c r="Q470">
        <f ca="1">IF(COUNTIF(IF(AND(配装计算器!$K$30&lt;&gt;"∞",0),INDEX(AU469:CB469,1,$AT$1),INDEX(AU471:CB471,1,$AT$1)),"*云栖松*")=1,P470,0)</f>
        <v>0</v>
      </c>
      <c r="R470">
        <f ca="1">IFERROR(IF(COUNTIF(B470,"*莺鸣柳*")&gt;0,45-加速!$L$9,MAX(0,R469-(A470-A469))),0)</f>
        <v>0</v>
      </c>
      <c r="S470">
        <f ca="1">IF(COUNTIF(IF(AND(配装计算器!$K$30&lt;&gt;"∞",0),INDEX(AU469:CB469,1,$AT$1),INDEX(AU471:CB471,1,$AT$1)),"*莺鸣柳*")=1,R470,0)</f>
        <v>0</v>
      </c>
      <c r="T470">
        <f ca="1" t="shared" si="100"/>
        <v>0</v>
      </c>
      <c r="U470">
        <f ca="1">IF(金蛇,IF(COUNTIF(B470,"*金环戴*")+COUNTIF(B470,"*吹风醒*")&gt;0,IF(A470&lt;=3,7.125-2.625-A470-加速!$L$11,7.125+加速!$K$9-(A470+加速!$L$11-T470)),0),0)+IF(金蛇,IF(COUNTIF(B470,"*千切子裂光*")&gt;0,2+加速!$K$9-(A470+加速!$L$11-T470),0),0)</f>
        <v>0</v>
      </c>
      <c r="V470">
        <f ca="1" t="shared" si="101"/>
        <v>0</v>
      </c>
      <c r="W470">
        <f ca="1" t="shared" si="93"/>
        <v>0</v>
      </c>
      <c r="X470">
        <f ca="1">INDEX(加速!$I$13:$I$21,技能数计算!W470+1)</f>
        <v>0</v>
      </c>
      <c r="Y470">
        <f ca="1" t="shared" si="97"/>
        <v>0.5</v>
      </c>
      <c r="Z470">
        <f ca="1" t="shared" si="98"/>
        <v>0</v>
      </c>
      <c r="AA470">
        <f ca="1">MAX(0,IFERROR(IF(COUNTIF(B470,"*叠*")&gt;0,IF(AC469&lt;3,8-A471+A470,AA469+6.875-A471+A470),AA469-A471+A470),AA469-加速!$L$11))</f>
        <v>0</v>
      </c>
      <c r="AB470" t="e">
        <f ca="1">MAX(0,IF(COUNTIF(IF(AND(配装计算器!$K$30&lt;&gt;"∞",0),INDEX(AU470:CB470,1,$AT$1),INDEX(AU470:CB470,1,$AT$1)),"*叠1*")=1,4*25-加速!$L$11,AB469-A470+A469)-IF(OR(COUNTIF(OFFSET(AT470,0,$AT$1,1,1),"*听雷*")&gt;0,AND(碧归&gt;0,COUNTIF(OFFSET(AT470,0,$AT$1,1,1),"*风来*")&gt;0)),0,1)*1.5)</f>
        <v>#VALUE!</v>
      </c>
      <c r="AC470">
        <f ca="1" t="shared" si="94"/>
        <v>3</v>
      </c>
      <c r="AD470">
        <f ca="1">IF(COUNTIF(IF(AND(配装计算器!$K$30&lt;&gt;"∞",0),INDEX(AU470:CB470,1,$AT$1),INDEX(AU471:CB471,1,$AT$1)),"*叠1*")=1,AB470*0+AE469,0)</f>
        <v>0</v>
      </c>
      <c r="AE470" t="e">
        <f ca="1">IF($AN$11&gt;0,IF(COUNTIF(B471,"*叠1*")&gt;0,50-加速!$H$11,MAX(0,AE469-(A471-A470))),0)</f>
        <v>#VALUE!</v>
      </c>
      <c r="AU470" t="s">
        <v>2768</v>
      </c>
      <c r="AV470">
        <v>2</v>
      </c>
      <c r="AW470" t="s">
        <v>2768</v>
      </c>
      <c r="AX470">
        <v>2</v>
      </c>
      <c r="AY470" t="s">
        <v>2768</v>
      </c>
      <c r="AZ470">
        <v>1</v>
      </c>
      <c r="BA470" t="s">
        <v>2768</v>
      </c>
      <c r="BB470">
        <v>0</v>
      </c>
      <c r="BC470" s="176" t="s">
        <v>3026</v>
      </c>
      <c r="BD470">
        <v>2</v>
      </c>
      <c r="BE470" s="176" t="s">
        <v>2776</v>
      </c>
      <c r="BF470">
        <v>2</v>
      </c>
      <c r="BG470" t="s">
        <v>2768</v>
      </c>
      <c r="BH470">
        <v>1</v>
      </c>
      <c r="BI470" t="s">
        <v>2776</v>
      </c>
      <c r="BJ470">
        <v>2</v>
      </c>
      <c r="BK470" t="s">
        <v>3026</v>
      </c>
      <c r="BL470">
        <v>2</v>
      </c>
      <c r="BM470" t="s">
        <v>2768</v>
      </c>
      <c r="BN470">
        <v>2</v>
      </c>
      <c r="BO470" s="176" t="s">
        <v>2794</v>
      </c>
      <c r="BP470">
        <v>2</v>
      </c>
      <c r="BQ470" t="s">
        <v>2776</v>
      </c>
      <c r="BR470">
        <v>1</v>
      </c>
      <c r="BS470" s="179" t="s">
        <v>2768</v>
      </c>
      <c r="BT470">
        <v>2</v>
      </c>
      <c r="BU470" t="s">
        <v>2776</v>
      </c>
      <c r="BV470">
        <v>2</v>
      </c>
      <c r="BW470" s="179" t="s">
        <v>3009</v>
      </c>
      <c r="BX470" s="179">
        <v>2</v>
      </c>
      <c r="BY470" t="s">
        <v>2718</v>
      </c>
      <c r="BZ470">
        <v>0</v>
      </c>
      <c r="CA470" t="s">
        <v>2718</v>
      </c>
      <c r="CB470">
        <v>0</v>
      </c>
    </row>
    <row r="471" spans="1:80">
      <c r="A471" s="178" t="str">
        <f ca="1">IFERROR(IF(A470+加速!$L$11&lt;$AS$1,IF(COUNTIF(B470,"*轻*")&gt;0,A470+加速!$L$9,A470+加速!$L$11)+V470,IF(COUNTIF(INDEX(AU471:CB471,1,$AT$1),"*云景*")+COUNTIF(INDEX(AU471:CB471,1,$AT$1),"*鹤归*")+COUNTIF(INDEX(AU471:CB471,1,$AT$1),"*听雷*")&gt;0,A470+加速!$L$11,"")),"")</f>
        <v/>
      </c>
      <c r="B471" s="167" t="str">
        <f ca="1">IF(A471&lt;&gt;"",IF(AND(A471+加速!$L$11&gt;$AS$1,IF(AND(配装计算器!$K$30&lt;&gt;"∞",0),"梦泉虎跑-轻",INDEX(AU471:CB471,1,$AT$1))="云栖松"),"夕照雷峰",IF(AND(配装计算器!$K$30&lt;&gt;"∞",0),"梦泉虎跑-轻",INDEX(AU471:CB471,1,$AT$1))),"")</f>
        <v/>
      </c>
      <c r="C471" t="str">
        <f ca="1" t="shared" si="99"/>
        <v/>
      </c>
      <c r="D471" t="str">
        <f ca="1">IF(B471&lt;&gt;"",IF(C470&lt;=加速!$L$11*(1-E471),0,1),"")</f>
        <v/>
      </c>
      <c r="E471">
        <f ca="1" t="shared" si="95"/>
        <v>1</v>
      </c>
      <c r="G471" t="str">
        <f ca="1" t="shared" si="96"/>
        <v/>
      </c>
      <c r="H471" t="str">
        <f ca="1">IF(B471&lt;&gt;"",IF(AND(COUNTIF(B470,"*轻*莺鸣柳*")&gt;0,COUNTIF(B471,"*轻*")&lt;1),MAX(0,15+I470-(A471-A470)+COUNTIF(B470,"*平湖*")*0),IF(AND(E471=0,MAX(0,H470-(A471-A470))&lt;=加速!$H$11),0,MAX(0,H470-(A471-A470)))),"")</f>
        <v/>
      </c>
      <c r="I471" t="str">
        <f ca="1" t="shared" si="102"/>
        <v/>
      </c>
      <c r="J471" t="str">
        <f ca="1" t="shared" si="103"/>
        <v/>
      </c>
      <c r="K471" t="str">
        <f ca="1">IF(A471&lt;&gt;"",IF(AND(配装计算器!$K$30&lt;&gt;"∞",0),2,INDEX(AU471:CB471,1,$AT$2)),"")</f>
        <v/>
      </c>
      <c r="L471">
        <f ca="1">IFERROR(IF(AND(COUNTIF(B471,"*-峰插*"),技能数据库!$M$72&gt;0),0,IF(COUNTIF(B471,"*鹤归*")&gt;0,16-加速!$L$11,MAX(0,L470-(A471-A470)))),0)</f>
        <v>0</v>
      </c>
      <c r="M471">
        <f ca="1">IF(COUNTIF(IF(AND(配装计算器!$K$30&lt;&gt;"∞",0),INDEX(AU470:CB470,1,$AT$1),INDEX(AU472:CB472,1,$AT$1)),"*鹤归*")=1,L471,0)</f>
        <v>0</v>
      </c>
      <c r="N471">
        <f ca="1">IFERROR(IF(AND(COUNTIF(B471,"*-峰插*"),技能数据库!$M$72&gt;0),0,IF(COUNTIF(B471,"*云飞*")&gt;0,4-COUNTIF(B471,"*玉山揽云*")*4--COUNTIF(B471,"*烟流暮景*")*4-COUNTIF(B471,"*云景*")*加速!$L$11-IF(J471&gt;0,2,0),MAX(0,N470-(A471-A470)-IF(J471&gt;0,2,0)))),0)</f>
        <v>0</v>
      </c>
      <c r="O471">
        <f ca="1">IF(AND(COUNTIF(IF(AND(配装计算器!$K$30&lt;&gt;"∞",0),INDEX(AU470:CB470,1,$AT$1),INDEX(AU472:CB472,1,$AT$1)),"*云飞*")=1,COUNTIF(IF(AND(配装计算器!$K$30&lt;&gt;"∞",0),INDEX(AU470:CB470,1,$AT$1),INDEX(AU472:CB472,1,$AT$1)),"*玉山*")=0),N471,0)</f>
        <v>0</v>
      </c>
      <c r="P471">
        <f ca="1">IFERROR(IF(COUNTIF(B471,"*云栖松*")&gt;0,50-加速!$L$11,MAX(0,P470-(A471-A470))),0)</f>
        <v>0</v>
      </c>
      <c r="Q471">
        <f ca="1">IF(COUNTIF(IF(AND(配装计算器!$K$30&lt;&gt;"∞",0),INDEX(AU470:CB470,1,$AT$1),INDEX(AU472:CB472,1,$AT$1)),"*云栖松*")=1,P471,0)</f>
        <v>0</v>
      </c>
      <c r="R471">
        <f ca="1">IFERROR(IF(COUNTIF(B471,"*莺鸣柳*")&gt;0,45-加速!$L$9,MAX(0,R470-(A471-A470))),0)</f>
        <v>0</v>
      </c>
      <c r="S471">
        <f ca="1">IF(COUNTIF(IF(AND(配装计算器!$K$30&lt;&gt;"∞",0),INDEX(AU470:CB470,1,$AT$1),INDEX(AU472:CB472,1,$AT$1)),"*莺鸣柳*")=1,R471,0)</f>
        <v>0</v>
      </c>
      <c r="T471">
        <f ca="1" t="shared" si="100"/>
        <v>0</v>
      </c>
      <c r="U471">
        <f ca="1">IF(金蛇,IF(COUNTIF(B471,"*金环戴*")+COUNTIF(B471,"*吹风醒*")&gt;0,IF(A471&lt;=3,7.125-2.625-A471-加速!$L$11,7.125+加速!$K$9-(A471+加速!$L$11-T471)),0),0)+IF(金蛇,IF(COUNTIF(B471,"*千切子裂光*")&gt;0,2+加速!$K$9-(A471+加速!$L$11-T471),0),0)</f>
        <v>0</v>
      </c>
      <c r="V471">
        <f ca="1" t="shared" si="101"/>
        <v>0</v>
      </c>
      <c r="W471">
        <f ca="1" t="shared" si="93"/>
        <v>0</v>
      </c>
      <c r="X471">
        <f ca="1">INDEX(加速!$I$13:$I$21,技能数计算!W471+1)</f>
        <v>0</v>
      </c>
      <c r="Y471">
        <f ca="1" t="shared" si="97"/>
        <v>0.5</v>
      </c>
      <c r="Z471">
        <f ca="1" t="shared" si="98"/>
        <v>0</v>
      </c>
      <c r="AA471">
        <f ca="1">MAX(0,IFERROR(IF(COUNTIF(B471,"*叠*")&gt;0,IF(AC470&lt;3,8-A472+A471,AA470+6.875-A472+A471),AA470-A472+A471),AA470-加速!$L$11))</f>
        <v>0</v>
      </c>
      <c r="AB471" t="e">
        <f ca="1">MAX(0,IF(COUNTIF(IF(AND(配装计算器!$K$30&lt;&gt;"∞",0),INDEX(AU471:CB471,1,$AT$1),INDEX(AU471:CB471,1,$AT$1)),"*叠1*")=1,4*25-加速!$L$11,AB470-A471+A470)-IF(OR(COUNTIF(OFFSET(AT471,0,$AT$1,1,1),"*听雷*")&gt;0,AND(碧归&gt;0,COUNTIF(OFFSET(AT471,0,$AT$1,1,1),"*风来*")&gt;0)),0,1)*1.5)</f>
        <v>#VALUE!</v>
      </c>
      <c r="AC471">
        <f ca="1" t="shared" si="94"/>
        <v>3</v>
      </c>
      <c r="AD471">
        <f ca="1">IF(COUNTIF(IF(AND(配装计算器!$K$30&lt;&gt;"∞",0),INDEX(AU471:CB471,1,$AT$1),INDEX(AU472:CB472,1,$AT$1)),"*叠1*")=1,AB471*0+AE470,0)</f>
        <v>0</v>
      </c>
      <c r="AE471" t="e">
        <f ca="1">IF($AN$11&gt;0,IF(COUNTIF(B472,"*叠1*")&gt;0,50-加速!$H$11,MAX(0,AE470-(A472-A471))),0)</f>
        <v>#VALUE!</v>
      </c>
      <c r="AU471" t="str">
        <f>IF($AN$11=1,"云飞玉皇-玉山揽云","夕照雷峰")</f>
        <v>云飞玉皇-玉山揽云</v>
      </c>
      <c r="AV471">
        <v>2</v>
      </c>
      <c r="AW471" t="s">
        <v>2768</v>
      </c>
      <c r="AX471">
        <v>2</v>
      </c>
      <c r="AY471" t="s">
        <v>2776</v>
      </c>
      <c r="AZ471">
        <v>1</v>
      </c>
      <c r="BA471" t="s">
        <v>3010</v>
      </c>
      <c r="BB471">
        <v>2</v>
      </c>
      <c r="BC471" s="176" t="s">
        <v>3026</v>
      </c>
      <c r="BD471">
        <v>2</v>
      </c>
      <c r="BE471" s="176" t="s">
        <v>3035</v>
      </c>
      <c r="BF471">
        <v>2</v>
      </c>
      <c r="BG471" t="s">
        <v>3011</v>
      </c>
      <c r="BH471">
        <v>2</v>
      </c>
      <c r="BI471" t="s">
        <v>2768</v>
      </c>
      <c r="BJ471">
        <v>2</v>
      </c>
      <c r="BK471" t="s">
        <v>2776</v>
      </c>
      <c r="BL471">
        <v>2</v>
      </c>
      <c r="BM471" t="s">
        <v>2768</v>
      </c>
      <c r="BN471">
        <v>2</v>
      </c>
      <c r="BO471" s="176" t="s">
        <v>2776</v>
      </c>
      <c r="BP471">
        <v>2</v>
      </c>
      <c r="BQ471" t="s">
        <v>2768</v>
      </c>
      <c r="BR471">
        <v>1</v>
      </c>
      <c r="BS471" s="182" t="s">
        <v>3023</v>
      </c>
      <c r="BT471">
        <v>2</v>
      </c>
      <c r="BU471" t="s">
        <v>2768</v>
      </c>
      <c r="BV471">
        <v>1</v>
      </c>
      <c r="BW471" s="179" t="s">
        <v>2776</v>
      </c>
      <c r="BX471" s="179">
        <v>2</v>
      </c>
      <c r="BY471" s="176" t="s">
        <v>2794</v>
      </c>
      <c r="BZ471">
        <v>0</v>
      </c>
      <c r="CA471" t="s">
        <v>2768</v>
      </c>
      <c r="CB471">
        <v>2</v>
      </c>
    </row>
    <row r="472" spans="1:80">
      <c r="A472" s="178" t="str">
        <f ca="1">IFERROR(IF(A471+加速!$L$11&lt;$AS$1,IF(COUNTIF(B471,"*轻*")&gt;0,A471+加速!$L$9,A471+加速!$L$11)+V471,IF(COUNTIF(INDEX(AU472:CB472,1,$AT$1),"*云景*")+COUNTIF(INDEX(AU472:CB472,1,$AT$1),"*鹤归*")+COUNTIF(INDEX(AU472:CB472,1,$AT$1),"*听雷*")&gt;0,A471+加速!$L$11,"")),"")</f>
        <v/>
      </c>
      <c r="B472" s="167" t="str">
        <f ca="1">IF(A472&lt;&gt;"",IF(AND(A472+加速!$L$11&gt;$AS$1,IF(AND(配装计算器!$K$30&lt;&gt;"∞",0),"梦泉虎跑-轻",INDEX(AU472:CB472,1,$AT$1))="云栖松"),"夕照雷峰",IF(AND(配装计算器!$K$30&lt;&gt;"∞",0),"梦泉虎跑-轻",INDEX(AU472:CB472,1,$AT$1))),"")</f>
        <v/>
      </c>
      <c r="C472" t="str">
        <f ca="1" t="shared" si="99"/>
        <v/>
      </c>
      <c r="D472" t="str">
        <f ca="1">IF(B472&lt;&gt;"",IF(C471&lt;=加速!$L$11*(1-E472),0,1),"")</f>
        <v/>
      </c>
      <c r="E472">
        <f ca="1" t="shared" si="95"/>
        <v>1</v>
      </c>
      <c r="G472" t="str">
        <f ca="1" t="shared" si="96"/>
        <v/>
      </c>
      <c r="H472" t="str">
        <f ca="1">IF(B472&lt;&gt;"",IF(AND(COUNTIF(B471,"*轻*莺鸣柳*")&gt;0,COUNTIF(B472,"*轻*")&lt;1),MAX(0,15+I471-(A472-A471)+COUNTIF(B471,"*平湖*")*0),IF(AND(E472=0,MAX(0,H471-(A472-A471))&lt;=加速!$H$11),0,MAX(0,H471-(A472-A471)))),"")</f>
        <v/>
      </c>
      <c r="I472" t="str">
        <f ca="1" t="shared" si="102"/>
        <v/>
      </c>
      <c r="J472" t="str">
        <f ca="1" t="shared" si="103"/>
        <v/>
      </c>
      <c r="K472" t="str">
        <f ca="1">IF(A472&lt;&gt;"",IF(AND(配装计算器!$K$30&lt;&gt;"∞",0),2,INDEX(AU472:CB472,1,$AT$2)),"")</f>
        <v/>
      </c>
      <c r="L472">
        <f ca="1">IFERROR(IF(AND(COUNTIF(B472,"*-峰插*"),技能数据库!$M$72&gt;0),0,IF(COUNTIF(B472,"*鹤归*")&gt;0,16-加速!$L$11,MAX(0,L471-(A472-A471)))),0)</f>
        <v>0</v>
      </c>
      <c r="M472">
        <f ca="1">IF(COUNTIF(IF(AND(配装计算器!$K$30&lt;&gt;"∞",0),INDEX(AU471:CB471,1,$AT$1),INDEX(AU473:CB473,1,$AT$1)),"*鹤归*")=1,L472,0)</f>
        <v>0</v>
      </c>
      <c r="N472">
        <f ca="1">IFERROR(IF(AND(COUNTIF(B472,"*-峰插*"),技能数据库!$M$72&gt;0),0,IF(COUNTIF(B472,"*云飞*")&gt;0,4-COUNTIF(B472,"*玉山揽云*")*4--COUNTIF(B472,"*烟流暮景*")*4-COUNTIF(B472,"*云景*")*加速!$L$11-IF(J472&gt;0,2,0),MAX(0,N471-(A472-A471)-IF(J472&gt;0,2,0)))),0)</f>
        <v>0</v>
      </c>
      <c r="O472">
        <f ca="1">IF(AND(COUNTIF(IF(AND(配装计算器!$K$30&lt;&gt;"∞",0),INDEX(AU471:CB471,1,$AT$1),INDEX(AU473:CB473,1,$AT$1)),"*云飞*")=1,COUNTIF(IF(AND(配装计算器!$K$30&lt;&gt;"∞",0),INDEX(AU471:CB471,1,$AT$1),INDEX(AU473:CB473,1,$AT$1)),"*玉山*")=0),N472,0)</f>
        <v>0</v>
      </c>
      <c r="P472">
        <f ca="1">IFERROR(IF(COUNTIF(B472,"*云栖松*")&gt;0,50-加速!$L$11,MAX(0,P471-(A472-A471))),0)</f>
        <v>0</v>
      </c>
      <c r="Q472">
        <f ca="1">IF(COUNTIF(IF(AND(配装计算器!$K$30&lt;&gt;"∞",0),INDEX(AU471:CB471,1,$AT$1),INDEX(AU473:CB473,1,$AT$1)),"*云栖松*")=1,P472,0)</f>
        <v>0</v>
      </c>
      <c r="R472">
        <f ca="1">IFERROR(IF(COUNTIF(B472,"*莺鸣柳*")&gt;0,45-加速!$L$9,MAX(0,R471-(A472-A471))),0)</f>
        <v>0</v>
      </c>
      <c r="S472">
        <f ca="1">IF(COUNTIF(IF(AND(配装计算器!$K$30&lt;&gt;"∞",0),INDEX(AU471:CB471,1,$AT$1),INDEX(AU473:CB473,1,$AT$1)),"*莺鸣柳*")=1,R472,0)</f>
        <v>0</v>
      </c>
      <c r="T472">
        <f ca="1" t="shared" si="100"/>
        <v>0</v>
      </c>
      <c r="U472">
        <f ca="1">IF(金蛇,IF(COUNTIF(B472,"*金环戴*")+COUNTIF(B472,"*吹风醒*")&gt;0,IF(A472&lt;=3,7.125-2.625-A472-加速!$L$11,7.125+加速!$K$9-(A472+加速!$L$11-T472)),0),0)+IF(金蛇,IF(COUNTIF(B472,"*千切子裂光*")&gt;0,2+加速!$K$9-(A472+加速!$L$11-T472),0),0)</f>
        <v>0</v>
      </c>
      <c r="V472">
        <f ca="1" t="shared" si="101"/>
        <v>0</v>
      </c>
      <c r="W472">
        <f ca="1" t="shared" si="93"/>
        <v>0</v>
      </c>
      <c r="X472">
        <f ca="1">INDEX(加速!$I$13:$I$21,技能数计算!W472+1)</f>
        <v>0</v>
      </c>
      <c r="Y472">
        <f ca="1" t="shared" si="97"/>
        <v>0.5</v>
      </c>
      <c r="Z472">
        <f ca="1" t="shared" si="98"/>
        <v>0</v>
      </c>
      <c r="AA472">
        <f ca="1">MAX(0,IFERROR(IF(COUNTIF(B472,"*叠*")&gt;0,IF(AC471&lt;3,8-A473+A472,AA471+6.875-A473+A472),AA471-A473+A472),AA471-加速!$L$11))</f>
        <v>0</v>
      </c>
      <c r="AB472" t="e">
        <f ca="1">MAX(0,IF(COUNTIF(IF(AND(配装计算器!$K$30&lt;&gt;"∞",0),INDEX(AU472:CB472,1,$AT$1),INDEX(AU472:CB472,1,$AT$1)),"*叠1*")=1,4*25-加速!$L$11,AB471-A472+A471)-IF(OR(COUNTIF(OFFSET(AT472,0,$AT$1,1,1),"*听雷*")&gt;0,AND(碧归&gt;0,COUNTIF(OFFSET(AT472,0,$AT$1,1,1),"*风来*")&gt;0)),0,1)*1.5)</f>
        <v>#VALUE!</v>
      </c>
      <c r="AC472">
        <f ca="1" t="shared" si="94"/>
        <v>3</v>
      </c>
      <c r="AD472">
        <f ca="1">IF(COUNTIF(IF(AND(配装计算器!$K$30&lt;&gt;"∞",0),INDEX(AU472:CB472,1,$AT$1),INDEX(AU473:CB473,1,$AT$1)),"*叠1*")=1,AB472*0+AE471,0)</f>
        <v>0</v>
      </c>
      <c r="AE472" t="e">
        <f ca="1">IF($AN$11&gt;0,IF(COUNTIF(B473,"*叠1*")&gt;0,50-加速!$H$11,MAX(0,AE471-(A473-A472))),0)</f>
        <v>#VALUE!</v>
      </c>
      <c r="AU472" t="str">
        <f>IF($AN$11=1,"云飞玉皇-玉山揽云","云飞玉皇")</f>
        <v>云飞玉皇-玉山揽云</v>
      </c>
      <c r="AV472">
        <v>2</v>
      </c>
      <c r="AW472" t="s">
        <v>2776</v>
      </c>
      <c r="AX472">
        <v>2</v>
      </c>
      <c r="AY472" t="s">
        <v>2768</v>
      </c>
      <c r="AZ472">
        <v>1</v>
      </c>
      <c r="BA472" t="s">
        <v>3013</v>
      </c>
      <c r="BB472">
        <v>2</v>
      </c>
      <c r="BC472" s="176" t="s">
        <v>3026</v>
      </c>
      <c r="BD472">
        <v>2</v>
      </c>
      <c r="BE472" t="s">
        <v>2768</v>
      </c>
      <c r="BF472">
        <v>2</v>
      </c>
      <c r="BG472" t="s">
        <v>2768</v>
      </c>
      <c r="BH472">
        <v>2</v>
      </c>
      <c r="BI472" t="s">
        <v>2776</v>
      </c>
      <c r="BJ472">
        <v>2</v>
      </c>
      <c r="BK472" t="s">
        <v>2794</v>
      </c>
      <c r="BL472">
        <v>2</v>
      </c>
      <c r="BM472" t="s">
        <v>2768</v>
      </c>
      <c r="BN472">
        <v>2</v>
      </c>
      <c r="BO472" s="176" t="s">
        <v>2768</v>
      </c>
      <c r="BP472">
        <v>2</v>
      </c>
      <c r="BQ472" t="s">
        <v>2776</v>
      </c>
      <c r="BR472">
        <v>1</v>
      </c>
      <c r="BS472" s="182" t="s">
        <v>2768</v>
      </c>
      <c r="BT472">
        <v>2</v>
      </c>
      <c r="BU472" t="s">
        <v>2776</v>
      </c>
      <c r="BV472">
        <v>1</v>
      </c>
      <c r="BW472" s="179" t="s">
        <v>2768</v>
      </c>
      <c r="BX472" s="179">
        <v>2</v>
      </c>
      <c r="BY472" s="176" t="s">
        <v>2768</v>
      </c>
      <c r="BZ472">
        <v>2</v>
      </c>
      <c r="CA472" t="s">
        <v>2768</v>
      </c>
      <c r="CB472">
        <v>2</v>
      </c>
    </row>
    <row r="473" spans="1:80">
      <c r="A473" s="178" t="str">
        <f ca="1">IFERROR(IF(A472+加速!$L$11&lt;$AS$1,IF(COUNTIF(B472,"*轻*")&gt;0,A472+加速!$L$9,A472+加速!$L$11)+V472,IF(COUNTIF(INDEX(AU473:CB473,1,$AT$1),"*云景*")+COUNTIF(INDEX(AU473:CB473,1,$AT$1),"*鹤归*")+COUNTIF(INDEX(AU473:CB473,1,$AT$1),"*听雷*")&gt;0,A472+加速!$L$11,"")),"")</f>
        <v/>
      </c>
      <c r="B473" s="167" t="str">
        <f ca="1">IF(A473&lt;&gt;"",IF(AND(A473+加速!$L$11&gt;$AS$1,IF(AND(配装计算器!$K$30&lt;&gt;"∞",0),"梦泉虎跑-轻",INDEX(AU473:CB473,1,$AT$1))="云栖松"),"夕照雷峰",IF(AND(配装计算器!$K$30&lt;&gt;"∞",0),"梦泉虎跑-轻",INDEX(AU473:CB473,1,$AT$1))),"")</f>
        <v/>
      </c>
      <c r="C473" t="str">
        <f ca="1" t="shared" si="99"/>
        <v/>
      </c>
      <c r="D473" t="str">
        <f ca="1">IF(B473&lt;&gt;"",IF(C472&lt;=加速!$L$11*(1-E473),0,1),"")</f>
        <v/>
      </c>
      <c r="E473">
        <f ca="1" t="shared" si="95"/>
        <v>1</v>
      </c>
      <c r="G473" t="str">
        <f ca="1" t="shared" si="96"/>
        <v/>
      </c>
      <c r="H473" t="str">
        <f ca="1">IF(B473&lt;&gt;"",IF(AND(COUNTIF(B472,"*轻*莺鸣柳*")&gt;0,COUNTIF(B473,"*轻*")&lt;1),MAX(0,15+I472-(A473-A472)+COUNTIF(B472,"*平湖*")*0),IF(AND(E473=0,MAX(0,H472-(A473-A472))&lt;=加速!$H$11),0,MAX(0,H472-(A473-A472)))),"")</f>
        <v/>
      </c>
      <c r="I473" t="str">
        <f ca="1" t="shared" si="102"/>
        <v/>
      </c>
      <c r="J473" t="str">
        <f ca="1" t="shared" si="103"/>
        <v/>
      </c>
      <c r="K473" t="str">
        <f ca="1">IF(A473&lt;&gt;"",IF(AND(配装计算器!$K$30&lt;&gt;"∞",0),2,INDEX(AU473:CB473,1,$AT$2)),"")</f>
        <v/>
      </c>
      <c r="L473">
        <f ca="1">IFERROR(IF(AND(COUNTIF(B473,"*-峰插*"),技能数据库!$M$72&gt;0),0,IF(COUNTIF(B473,"*鹤归*")&gt;0,16-加速!$L$11,MAX(0,L472-(A473-A472)))),0)</f>
        <v>0</v>
      </c>
      <c r="M473">
        <f ca="1">IF(COUNTIF(IF(AND(配装计算器!$K$30&lt;&gt;"∞",0),INDEX(AU472:CB472,1,$AT$1),INDEX(AU474:CB474,1,$AT$1)),"*鹤归*")=1,L473,0)</f>
        <v>0</v>
      </c>
      <c r="N473">
        <f ca="1">IFERROR(IF(AND(COUNTIF(B473,"*-峰插*"),技能数据库!$M$72&gt;0),0,IF(COUNTIF(B473,"*云飞*")&gt;0,4-COUNTIF(B473,"*玉山揽云*")*4--COUNTIF(B473,"*烟流暮景*")*4-COUNTIF(B473,"*云景*")*加速!$L$11-IF(J473&gt;0,2,0),MAX(0,N472-(A473-A472)-IF(J473&gt;0,2,0)))),0)</f>
        <v>0</v>
      </c>
      <c r="O473">
        <f ca="1">IF(AND(COUNTIF(IF(AND(配装计算器!$K$30&lt;&gt;"∞",0),INDEX(AU472:CB472,1,$AT$1),INDEX(AU474:CB474,1,$AT$1)),"*云飞*")=1,COUNTIF(IF(AND(配装计算器!$K$30&lt;&gt;"∞",0),INDEX(AU472:CB472,1,$AT$1),INDEX(AU474:CB474,1,$AT$1)),"*玉山*")=0),N473,0)</f>
        <v>0</v>
      </c>
      <c r="P473">
        <f ca="1">IFERROR(IF(COUNTIF(B473,"*云栖松*")&gt;0,50-加速!$L$11,MAX(0,P472-(A473-A472))),0)</f>
        <v>0</v>
      </c>
      <c r="Q473">
        <f ca="1">IF(COUNTIF(IF(AND(配装计算器!$K$30&lt;&gt;"∞",0),INDEX(AU472:CB472,1,$AT$1),INDEX(AU474:CB474,1,$AT$1)),"*云栖松*")=1,P473,0)</f>
        <v>0</v>
      </c>
      <c r="R473">
        <f ca="1">IFERROR(IF(COUNTIF(B473,"*莺鸣柳*")&gt;0,45-加速!$L$9,MAX(0,R472-(A473-A472))),0)</f>
        <v>0</v>
      </c>
      <c r="S473">
        <f ca="1">IF(COUNTIF(IF(AND(配装计算器!$K$30&lt;&gt;"∞",0),INDEX(AU472:CB472,1,$AT$1),INDEX(AU474:CB474,1,$AT$1)),"*莺鸣柳*")=1,R473,0)</f>
        <v>0</v>
      </c>
      <c r="T473">
        <f ca="1" t="shared" si="100"/>
        <v>0</v>
      </c>
      <c r="U473">
        <f ca="1">IF(金蛇,IF(COUNTIF(B473,"*金环戴*")+COUNTIF(B473,"*吹风醒*")&gt;0,IF(A473&lt;=3,7.125-2.625-A473-加速!$L$11,7.125+加速!$K$9-(A473+加速!$L$11-T473)),0),0)+IF(金蛇,IF(COUNTIF(B473,"*千切子裂光*")&gt;0,2+加速!$K$9-(A473+加速!$L$11-T473),0),0)</f>
        <v>0</v>
      </c>
      <c r="V473">
        <f ca="1" t="shared" si="101"/>
        <v>0</v>
      </c>
      <c r="W473">
        <f ca="1" t="shared" si="93"/>
        <v>0</v>
      </c>
      <c r="X473">
        <f ca="1">INDEX(加速!$I$13:$I$21,技能数计算!W473+1)</f>
        <v>0</v>
      </c>
      <c r="Y473">
        <f ca="1" t="shared" si="97"/>
        <v>0.5</v>
      </c>
      <c r="Z473">
        <f ca="1" t="shared" si="98"/>
        <v>0</v>
      </c>
      <c r="AA473">
        <f ca="1">MAX(0,IFERROR(IF(COUNTIF(B473,"*叠*")&gt;0,IF(AC472&lt;3,8-A474+A473,AA472+6.875-A474+A473),AA472-A474+A473),AA472-加速!$L$11))</f>
        <v>0</v>
      </c>
      <c r="AB473" t="e">
        <f ca="1">MAX(0,IF(COUNTIF(IF(AND(配装计算器!$K$30&lt;&gt;"∞",0),INDEX(AU473:CB473,1,$AT$1),INDEX(AU473:CB473,1,$AT$1)),"*叠1*")=1,4*25-加速!$L$11,AB472-A473+A472)-IF(OR(COUNTIF(OFFSET(AT473,0,$AT$1,1,1),"*听雷*")&gt;0,AND(碧归&gt;0,COUNTIF(OFFSET(AT473,0,$AT$1,1,1),"*风来*")&gt;0)),0,1)*1.5)</f>
        <v>#VALUE!</v>
      </c>
      <c r="AC473">
        <f ca="1" t="shared" si="94"/>
        <v>3</v>
      </c>
      <c r="AD473">
        <f ca="1">IF(COUNTIF(IF(AND(配装计算器!$K$30&lt;&gt;"∞",0),INDEX(AU473:CB473,1,$AT$1),INDEX(AU474:CB474,1,$AT$1)),"*叠1*")=1,AB473*0+AE472,0)</f>
        <v>0</v>
      </c>
      <c r="AE473" t="e">
        <f ca="1">IF($AN$11&gt;0,IF(COUNTIF(B474,"*叠1*")&gt;0,50-加速!$H$11,MAX(0,AE472-(A474-A473))),0)</f>
        <v>#VALUE!</v>
      </c>
      <c r="AU473" t="str">
        <f>IF($AN$11=1,"云飞玉皇-玉山揽云","夕照雷峰")</f>
        <v>云飞玉皇-玉山揽云</v>
      </c>
      <c r="AV473">
        <v>2</v>
      </c>
      <c r="AW473" t="s">
        <v>2768</v>
      </c>
      <c r="AX473">
        <v>2</v>
      </c>
      <c r="AY473" t="s">
        <v>2768</v>
      </c>
      <c r="AZ473">
        <v>0</v>
      </c>
      <c r="BA473" t="s">
        <v>3017</v>
      </c>
      <c r="BB473">
        <v>2</v>
      </c>
      <c r="BC473" t="s">
        <v>3013</v>
      </c>
      <c r="BD473">
        <v>2</v>
      </c>
      <c r="BE473" t="s">
        <v>2776</v>
      </c>
      <c r="BF473">
        <v>2</v>
      </c>
      <c r="BG473" t="s">
        <v>3018</v>
      </c>
      <c r="BH473">
        <v>2</v>
      </c>
      <c r="BI473" t="s">
        <v>2768</v>
      </c>
      <c r="BJ473">
        <v>2</v>
      </c>
      <c r="BK473" t="s">
        <v>2768</v>
      </c>
      <c r="BL473">
        <v>2</v>
      </c>
      <c r="BM473" t="s">
        <v>2776</v>
      </c>
      <c r="BN473">
        <v>2</v>
      </c>
      <c r="BO473" s="176" t="s">
        <v>2776</v>
      </c>
      <c r="BP473">
        <v>2</v>
      </c>
      <c r="BQ473" t="s">
        <v>2768</v>
      </c>
      <c r="BR473">
        <v>0</v>
      </c>
      <c r="BS473" s="182" t="s">
        <v>2776</v>
      </c>
      <c r="BT473">
        <v>2</v>
      </c>
      <c r="BU473" t="s">
        <v>2768</v>
      </c>
      <c r="BV473">
        <v>0</v>
      </c>
      <c r="BW473" s="179" t="str">
        <f>IF(山重水复,"风来吴山","夕照雷峰")</f>
        <v>夕照雷峰</v>
      </c>
      <c r="BX473" s="179">
        <v>2</v>
      </c>
      <c r="BY473" s="176" t="s">
        <v>2776</v>
      </c>
      <c r="BZ473">
        <v>2</v>
      </c>
      <c r="CA473" t="s">
        <v>2776</v>
      </c>
      <c r="CB473">
        <v>2</v>
      </c>
    </row>
    <row r="474" spans="1:80">
      <c r="A474" s="178" t="str">
        <f ca="1">IFERROR(IF(A473+加速!$L$11&lt;$AS$1,IF(COUNTIF(B473,"*轻*")&gt;0,A473+加速!$L$9,A473+加速!$L$11)+V473,IF(COUNTIF(INDEX(AU474:CB474,1,$AT$1),"*云景*")+COUNTIF(INDEX(AU474:CB474,1,$AT$1),"*鹤归*")+COUNTIF(INDEX(AU474:CB474,1,$AT$1),"*听雷*")&gt;0,A473+加速!$L$11,"")),"")</f>
        <v/>
      </c>
      <c r="B474" s="167" t="str">
        <f ca="1">IF(A474&lt;&gt;"",IF(AND(A474+加速!$L$11&gt;$AS$1,IF(AND(配装计算器!$K$30&lt;&gt;"∞",0),"梦泉虎跑-轻",INDEX(AU474:CB474,1,$AT$1))="云栖松"),"夕照雷峰",IF(AND(配装计算器!$K$30&lt;&gt;"∞",0),"梦泉虎跑-轻",INDEX(AU474:CB474,1,$AT$1))),"")</f>
        <v/>
      </c>
      <c r="C474" t="str">
        <f ca="1" t="shared" si="99"/>
        <v/>
      </c>
      <c r="D474" t="str">
        <f ca="1">IF(B474&lt;&gt;"",IF(C473&lt;=加速!$L$11*(1-E474),0,1),"")</f>
        <v/>
      </c>
      <c r="E474">
        <f ca="1" t="shared" si="95"/>
        <v>1</v>
      </c>
      <c r="G474" t="str">
        <f ca="1" t="shared" si="96"/>
        <v/>
      </c>
      <c r="H474" t="str">
        <f ca="1">IF(B474&lt;&gt;"",IF(AND(COUNTIF(B473,"*轻*莺鸣柳*")&gt;0,COUNTIF(B474,"*轻*")&lt;1),MAX(0,15+I473-(A474-A473)+COUNTIF(B473,"*平湖*")*0),IF(AND(E474=0,MAX(0,H473-(A474-A473))&lt;=加速!$H$11),0,MAX(0,H473-(A474-A473)))),"")</f>
        <v/>
      </c>
      <c r="I474" t="str">
        <f ca="1" t="shared" si="102"/>
        <v/>
      </c>
      <c r="J474" t="str">
        <f ca="1" t="shared" si="103"/>
        <v/>
      </c>
      <c r="K474" t="str">
        <f ca="1">IF(A474&lt;&gt;"",IF(AND(配装计算器!$K$30&lt;&gt;"∞",0),2,INDEX(AU474:CB474,1,$AT$2)),"")</f>
        <v/>
      </c>
      <c r="L474">
        <f ca="1">IFERROR(IF(AND(COUNTIF(B474,"*-峰插*"),技能数据库!$M$72&gt;0),0,IF(COUNTIF(B474,"*鹤归*")&gt;0,16-加速!$L$11,MAX(0,L473-(A474-A473)))),0)</f>
        <v>0</v>
      </c>
      <c r="M474">
        <f ca="1">IF(COUNTIF(IF(AND(配装计算器!$K$30&lt;&gt;"∞",0),INDEX(AU473:CB473,1,$AT$1),INDEX(AU475:CB475,1,$AT$1)),"*鹤归*")=1,L474,0)</f>
        <v>0</v>
      </c>
      <c r="N474">
        <f ca="1">IFERROR(IF(AND(COUNTIF(B474,"*-峰插*"),技能数据库!$M$72&gt;0),0,IF(COUNTIF(B474,"*云飞*")&gt;0,4-COUNTIF(B474,"*玉山揽云*")*4--COUNTIF(B474,"*烟流暮景*")*4-COUNTIF(B474,"*云景*")*加速!$L$11-IF(J474&gt;0,2,0),MAX(0,N473-(A474-A473)-IF(J474&gt;0,2,0)))),0)</f>
        <v>0</v>
      </c>
      <c r="O474">
        <f ca="1">IF(AND(COUNTIF(IF(AND(配装计算器!$K$30&lt;&gt;"∞",0),INDEX(AU473:CB473,1,$AT$1),INDEX(AU475:CB475,1,$AT$1)),"*云飞*")=1,COUNTIF(IF(AND(配装计算器!$K$30&lt;&gt;"∞",0),INDEX(AU473:CB473,1,$AT$1),INDEX(AU475:CB475,1,$AT$1)),"*玉山*")=0),N474,0)</f>
        <v>0</v>
      </c>
      <c r="P474">
        <f ca="1">IFERROR(IF(COUNTIF(B474,"*云栖松*")&gt;0,50-加速!$L$11,MAX(0,P473-(A474-A473))),0)</f>
        <v>0</v>
      </c>
      <c r="Q474">
        <f ca="1">IF(COUNTIF(IF(AND(配装计算器!$K$30&lt;&gt;"∞",0),INDEX(AU473:CB473,1,$AT$1),INDEX(AU475:CB475,1,$AT$1)),"*云栖松*")=1,P474,0)</f>
        <v>0</v>
      </c>
      <c r="R474">
        <f ca="1">IFERROR(IF(COUNTIF(B474,"*莺鸣柳*")&gt;0,45-加速!$L$9,MAX(0,R473-(A474-A473))),0)</f>
        <v>0</v>
      </c>
      <c r="S474">
        <f ca="1">IF(COUNTIF(IF(AND(配装计算器!$K$30&lt;&gt;"∞",0),INDEX(AU473:CB473,1,$AT$1),INDEX(AU475:CB475,1,$AT$1)),"*莺鸣柳*")=1,R474,0)</f>
        <v>0</v>
      </c>
      <c r="T474">
        <f ca="1" t="shared" si="100"/>
        <v>0</v>
      </c>
      <c r="U474">
        <f ca="1">IF(金蛇,IF(COUNTIF(B474,"*金环戴*")+COUNTIF(B474,"*吹风醒*")&gt;0,IF(A474&lt;=3,7.125-2.625-A474-加速!$L$11,7.125+加速!$K$9-(A474+加速!$L$11-T474)),0),0)+IF(金蛇,IF(COUNTIF(B474,"*千切子裂光*")&gt;0,2+加速!$K$9-(A474+加速!$L$11-T474),0),0)</f>
        <v>0</v>
      </c>
      <c r="V474">
        <f ca="1" t="shared" si="101"/>
        <v>0</v>
      </c>
      <c r="W474">
        <f ca="1" t="shared" si="93"/>
        <v>0</v>
      </c>
      <c r="X474">
        <f ca="1">INDEX(加速!$I$13:$I$21,技能数计算!W474+1)</f>
        <v>0</v>
      </c>
      <c r="Y474">
        <f ca="1" t="shared" si="97"/>
        <v>0.5</v>
      </c>
      <c r="Z474">
        <f ca="1" t="shared" si="98"/>
        <v>0</v>
      </c>
      <c r="AA474">
        <f ca="1">MAX(0,IFERROR(IF(COUNTIF(B474,"*叠*")&gt;0,IF(AC473&lt;3,8-A475+A474,AA473+6.875-A475+A474),AA473-A475+A474),AA473-加速!$L$11))</f>
        <v>0</v>
      </c>
      <c r="AB474" t="e">
        <f ca="1">MAX(0,IF(COUNTIF(IF(AND(配装计算器!$K$30&lt;&gt;"∞",0),INDEX(AU474:CB474,1,$AT$1),INDEX(AU474:CB474,1,$AT$1)),"*叠1*")=1,4*25-加速!$L$11,AB473-A474+A473)-IF(OR(COUNTIF(OFFSET(AT474,0,$AT$1,1,1),"*听雷*")&gt;0,AND(碧归&gt;0,COUNTIF(OFFSET(AT474,0,$AT$1,1,1),"*风来*")&gt;0)),0,1)*1.5)</f>
        <v>#VALUE!</v>
      </c>
      <c r="AC474">
        <f ca="1" t="shared" si="94"/>
        <v>3</v>
      </c>
      <c r="AD474">
        <f ca="1">IF(COUNTIF(IF(AND(配装计算器!$K$30&lt;&gt;"∞",0),INDEX(AU474:CB474,1,$AT$1),INDEX(AU475:CB475,1,$AT$1)),"*叠1*")=1,AB474*0+AE473,0)</f>
        <v>0</v>
      </c>
      <c r="AE474" t="e">
        <f ca="1">IF($AN$11&gt;0,IF(COUNTIF(B475,"*叠1*")&gt;0,50-加速!$H$11,MAX(0,AE473-(A475-A474))),0)</f>
        <v>#VALUE!</v>
      </c>
      <c r="AU474" t="str">
        <f>IF($AN$11=1,橙武补雾锁,"夕照雷峰")</f>
        <v>云飞玉皇-玉山揽云</v>
      </c>
      <c r="AV474">
        <v>2</v>
      </c>
      <c r="AW474" t="s">
        <v>2768</v>
      </c>
      <c r="AX474">
        <v>2</v>
      </c>
      <c r="AY474" t="s">
        <v>3010</v>
      </c>
      <c r="AZ474">
        <v>2</v>
      </c>
      <c r="BA474" t="s">
        <v>2808</v>
      </c>
      <c r="BB474">
        <v>2</v>
      </c>
      <c r="BC474" t="s">
        <v>2808</v>
      </c>
      <c r="BD474">
        <v>2</v>
      </c>
      <c r="BE474" t="s">
        <v>2768</v>
      </c>
      <c r="BF474">
        <v>2</v>
      </c>
      <c r="BG474" t="s">
        <v>2768</v>
      </c>
      <c r="BH474">
        <v>2</v>
      </c>
      <c r="BI474" t="s">
        <v>2808</v>
      </c>
      <c r="BJ474">
        <v>2</v>
      </c>
      <c r="BK474" t="s">
        <v>2776</v>
      </c>
      <c r="BL474">
        <v>2</v>
      </c>
      <c r="BM474" t="s">
        <v>2768</v>
      </c>
      <c r="BN474">
        <v>2</v>
      </c>
      <c r="BO474" s="176" t="s">
        <v>2768</v>
      </c>
      <c r="BP474">
        <v>2</v>
      </c>
      <c r="BQ474" t="s">
        <v>2768</v>
      </c>
      <c r="BR474">
        <v>0</v>
      </c>
      <c r="BS474" s="182" t="s">
        <v>2768</v>
      </c>
      <c r="BT474">
        <v>2</v>
      </c>
      <c r="BU474" t="s">
        <v>2768</v>
      </c>
      <c r="BV474">
        <v>0</v>
      </c>
      <c r="BW474" s="182" t="s">
        <v>2794</v>
      </c>
      <c r="BX474" s="179">
        <v>2</v>
      </c>
      <c r="BY474" s="176" t="s">
        <v>2768</v>
      </c>
      <c r="BZ474">
        <v>1</v>
      </c>
      <c r="CA474" t="s">
        <v>2718</v>
      </c>
      <c r="CB474">
        <v>0</v>
      </c>
    </row>
    <row r="475" spans="1:80">
      <c r="A475" s="178" t="str">
        <f ca="1">IFERROR(IF(A474+加速!$L$11&lt;$AS$1,IF(COUNTIF(B474,"*轻*")&gt;0,A474+加速!$L$9,A474+加速!$L$11)+V474,IF(COUNTIF(INDEX(AU475:CB475,1,$AT$1),"*云景*")+COUNTIF(INDEX(AU475:CB475,1,$AT$1),"*鹤归*")+COUNTIF(INDEX(AU475:CB475,1,$AT$1),"*听雷*")&gt;0,A474+加速!$L$11,"")),"")</f>
        <v/>
      </c>
      <c r="B475" s="167" t="str">
        <f ca="1">IF(A475&lt;&gt;"",IF(AND(A475+加速!$L$11&gt;$AS$1,IF(AND(配装计算器!$K$30&lt;&gt;"∞",0),"梦泉虎跑-轻",INDEX(AU475:CB475,1,$AT$1))="云栖松"),"夕照雷峰",IF(AND(配装计算器!$K$30&lt;&gt;"∞",0),"梦泉虎跑-轻",INDEX(AU475:CB475,1,$AT$1))),"")</f>
        <v/>
      </c>
      <c r="C475" t="str">
        <f ca="1" t="shared" si="99"/>
        <v/>
      </c>
      <c r="D475" t="str">
        <f ca="1">IF(B475&lt;&gt;"",IF(C474&lt;=加速!$L$11*(1-E475),0,1),"")</f>
        <v/>
      </c>
      <c r="E475">
        <f ca="1" t="shared" si="95"/>
        <v>1</v>
      </c>
      <c r="G475" t="str">
        <f ca="1" t="shared" si="96"/>
        <v/>
      </c>
      <c r="H475" t="str">
        <f ca="1">IF(B475&lt;&gt;"",IF(AND(COUNTIF(B474,"*轻*莺鸣柳*")&gt;0,COUNTIF(B475,"*轻*")&lt;1),MAX(0,15+I474-(A475-A474)+COUNTIF(B474,"*平湖*")*0),IF(AND(E475=0,MAX(0,H474-(A475-A474))&lt;=加速!$H$11),0,MAX(0,H474-(A475-A474)))),"")</f>
        <v/>
      </c>
      <c r="I475" t="str">
        <f ca="1" t="shared" si="102"/>
        <v/>
      </c>
      <c r="J475" t="str">
        <f ca="1" t="shared" si="103"/>
        <v/>
      </c>
      <c r="K475" t="str">
        <f ca="1">IF(A475&lt;&gt;"",IF(AND(配装计算器!$K$30&lt;&gt;"∞",0),2,INDEX(AU475:CB475,1,$AT$2)),"")</f>
        <v/>
      </c>
      <c r="L475">
        <f ca="1">IFERROR(IF(AND(COUNTIF(B475,"*-峰插*"),技能数据库!$M$72&gt;0),0,IF(COUNTIF(B475,"*鹤归*")&gt;0,16-加速!$L$11,MAX(0,L474-(A475-A474)))),0)</f>
        <v>0</v>
      </c>
      <c r="M475">
        <f ca="1">IF(COUNTIF(IF(AND(配装计算器!$K$30&lt;&gt;"∞",0),INDEX(AU474:CB474,1,$AT$1),INDEX(AU476:CB476,1,$AT$1)),"*鹤归*")=1,L475,0)</f>
        <v>0</v>
      </c>
      <c r="N475">
        <f ca="1">IFERROR(IF(AND(COUNTIF(B475,"*-峰插*"),技能数据库!$M$72&gt;0),0,IF(COUNTIF(B475,"*云飞*")&gt;0,4-COUNTIF(B475,"*玉山揽云*")*4--COUNTIF(B475,"*烟流暮景*")*4-COUNTIF(B475,"*云景*")*加速!$L$11-IF(J475&gt;0,2,0),MAX(0,N474-(A475-A474)-IF(J475&gt;0,2,0)))),0)</f>
        <v>0</v>
      </c>
      <c r="O475">
        <f ca="1">IF(AND(COUNTIF(IF(AND(配装计算器!$K$30&lt;&gt;"∞",0),INDEX(AU474:CB474,1,$AT$1),INDEX(AU476:CB476,1,$AT$1)),"*云飞*")=1,COUNTIF(IF(AND(配装计算器!$K$30&lt;&gt;"∞",0),INDEX(AU474:CB474,1,$AT$1),INDEX(AU476:CB476,1,$AT$1)),"*玉山*")=0),N475,0)</f>
        <v>0</v>
      </c>
      <c r="P475">
        <f ca="1">IFERROR(IF(COUNTIF(B475,"*云栖松*")&gt;0,50-加速!$L$11,MAX(0,P474-(A475-A474))),0)</f>
        <v>0</v>
      </c>
      <c r="Q475">
        <f ca="1">IF(COUNTIF(IF(AND(配装计算器!$K$30&lt;&gt;"∞",0),INDEX(AU474:CB474,1,$AT$1),INDEX(AU476:CB476,1,$AT$1)),"*云栖松*")=1,P475,0)</f>
        <v>0</v>
      </c>
      <c r="R475">
        <f ca="1">IFERROR(IF(COUNTIF(B475,"*莺鸣柳*")&gt;0,45-加速!$L$9,MAX(0,R474-(A475-A474))),0)</f>
        <v>0</v>
      </c>
      <c r="S475">
        <f ca="1">IF(COUNTIF(IF(AND(配装计算器!$K$30&lt;&gt;"∞",0),INDEX(AU474:CB474,1,$AT$1),INDEX(AU476:CB476,1,$AT$1)),"*莺鸣柳*")=1,R475,0)</f>
        <v>0</v>
      </c>
      <c r="T475">
        <f ca="1" t="shared" si="100"/>
        <v>0</v>
      </c>
      <c r="U475">
        <f ca="1">IF(金蛇,IF(COUNTIF(B475,"*金环戴*")+COUNTIF(B475,"*吹风醒*")&gt;0,IF(A475&lt;=3,7.125-2.625-A475-加速!$L$11,7.125+加速!$K$9-(A475+加速!$L$11-T475)),0),0)+IF(金蛇,IF(COUNTIF(B475,"*千切子裂光*")&gt;0,2+加速!$K$9-(A475+加速!$L$11-T475),0),0)</f>
        <v>0</v>
      </c>
      <c r="V475">
        <f ca="1" t="shared" si="101"/>
        <v>0</v>
      </c>
      <c r="W475">
        <f ca="1" t="shared" si="93"/>
        <v>0</v>
      </c>
      <c r="X475">
        <f ca="1">INDEX(加速!$I$13:$I$21,技能数计算!W475+1)</f>
        <v>0</v>
      </c>
      <c r="Y475">
        <f ca="1" t="shared" si="97"/>
        <v>0.5</v>
      </c>
      <c r="Z475">
        <f ca="1" t="shared" si="98"/>
        <v>0</v>
      </c>
      <c r="AA475">
        <f ca="1">MAX(0,IFERROR(IF(COUNTIF(B475,"*叠*")&gt;0,IF(AC474&lt;3,8-A476+A475,AA474+6.875-A476+A475),AA474-A476+A475),AA474-加速!$L$11))</f>
        <v>0</v>
      </c>
      <c r="AB475" t="e">
        <f ca="1">MAX(0,IF(COUNTIF(IF(AND(配装计算器!$K$30&lt;&gt;"∞",0),INDEX(AU475:CB475,1,$AT$1),INDEX(AU475:CB475,1,$AT$1)),"*叠1*")=1,4*25-加速!$L$11,AB474-A475+A474)-IF(OR(COUNTIF(OFFSET(AT475,0,$AT$1,1,1),"*听雷*")&gt;0,AND(碧归&gt;0,COUNTIF(OFFSET(AT475,0,$AT$1,1,1),"*风来*")&gt;0)),0,1)*1.5)</f>
        <v>#VALUE!</v>
      </c>
      <c r="AC475">
        <f ca="1" t="shared" si="94"/>
        <v>3</v>
      </c>
      <c r="AD475">
        <f ca="1">IF(COUNTIF(IF(AND(配装计算器!$K$30&lt;&gt;"∞",0),INDEX(AU475:CB475,1,$AT$1),INDEX(AU476:CB476,1,$AT$1)),"*叠1*")=1,AB475*0+AE474,0)</f>
        <v>0</v>
      </c>
      <c r="AE475" t="e">
        <f ca="1">IF($AN$11&gt;0,IF(COUNTIF(B476,"*叠1*")&gt;0,50-加速!$H$11,MAX(0,AE474-(A476-A475))),0)</f>
        <v>#VALUE!</v>
      </c>
      <c r="AU475" t="str">
        <f>IF($AN$11=1,"云飞玉皇-玉山揽云","夕照雷峰")</f>
        <v>云飞玉皇-玉山揽云</v>
      </c>
      <c r="AV475">
        <v>2</v>
      </c>
      <c r="AW475" t="s">
        <v>2768</v>
      </c>
      <c r="AX475">
        <v>2</v>
      </c>
      <c r="AY475" t="s">
        <v>3013</v>
      </c>
      <c r="AZ475">
        <v>2</v>
      </c>
      <c r="BA475" t="s">
        <v>3022</v>
      </c>
      <c r="BB475">
        <v>2</v>
      </c>
      <c r="BC475" t="s">
        <v>2768</v>
      </c>
      <c r="BD475">
        <v>2</v>
      </c>
      <c r="BE475" t="s">
        <v>2776</v>
      </c>
      <c r="BF475">
        <v>2</v>
      </c>
      <c r="BG475" s="182" t="s">
        <v>3023</v>
      </c>
      <c r="BH475">
        <v>2</v>
      </c>
      <c r="BI475" s="176" t="s">
        <v>2768</v>
      </c>
      <c r="BJ475">
        <v>2</v>
      </c>
      <c r="BK475" t="s">
        <v>2768</v>
      </c>
      <c r="BL475">
        <v>1</v>
      </c>
      <c r="BM475" t="s">
        <v>2768</v>
      </c>
      <c r="BN475">
        <v>2</v>
      </c>
      <c r="BO475" s="176" t="s">
        <v>2808</v>
      </c>
      <c r="BP475">
        <v>2</v>
      </c>
      <c r="BQ475" t="s">
        <v>3067</v>
      </c>
      <c r="BR475">
        <v>0</v>
      </c>
      <c r="BS475" s="182" t="s">
        <v>2768</v>
      </c>
      <c r="BT475">
        <v>2</v>
      </c>
      <c r="BU475" t="s">
        <v>2776</v>
      </c>
      <c r="BV475">
        <v>0</v>
      </c>
      <c r="BW475" s="182" t="s">
        <v>2776</v>
      </c>
      <c r="BX475" s="179">
        <v>2</v>
      </c>
      <c r="BY475" s="176" t="s">
        <v>2776</v>
      </c>
      <c r="BZ475">
        <v>1</v>
      </c>
      <c r="CA475" t="s">
        <v>2768</v>
      </c>
      <c r="CB475">
        <v>2</v>
      </c>
    </row>
    <row r="476" spans="1:80">
      <c r="A476" s="178" t="str">
        <f ca="1">IFERROR(IF(A475+加速!$L$11&lt;$AS$1,IF(COUNTIF(B475,"*轻*")&gt;0,A475+加速!$L$9,A475+加速!$L$11)+V475,IF(COUNTIF(INDEX(AU476:CB476,1,$AT$1),"*云景*")+COUNTIF(INDEX(AU476:CB476,1,$AT$1),"*鹤归*")+COUNTIF(INDEX(AU476:CB476,1,$AT$1),"*听雷*")&gt;0,A475+加速!$L$11,"")),"")</f>
        <v/>
      </c>
      <c r="B476" s="167" t="str">
        <f ca="1">IF(A476&lt;&gt;"",IF(AND(A476+加速!$L$11&gt;$AS$1,IF(AND(配装计算器!$K$30&lt;&gt;"∞",0),"梦泉虎跑-轻",INDEX(AU476:CB476,1,$AT$1))="云栖松"),"夕照雷峰",IF(AND(配装计算器!$K$30&lt;&gt;"∞",0),"梦泉虎跑-轻",INDEX(AU476:CB476,1,$AT$1))),"")</f>
        <v/>
      </c>
      <c r="C476" t="str">
        <f ca="1" t="shared" si="99"/>
        <v/>
      </c>
      <c r="D476" t="str">
        <f ca="1">IF(B476&lt;&gt;"",IF(C475&lt;=加速!$L$11*(1-E476),0,1),"")</f>
        <v/>
      </c>
      <c r="E476">
        <f ca="1" t="shared" si="95"/>
        <v>1</v>
      </c>
      <c r="G476" t="str">
        <f ca="1" t="shared" si="96"/>
        <v/>
      </c>
      <c r="H476" t="str">
        <f ca="1">IF(B476&lt;&gt;"",IF(AND(COUNTIF(B475,"*轻*莺鸣柳*")&gt;0,COUNTIF(B476,"*轻*")&lt;1),MAX(0,15+I475-(A476-A475)+COUNTIF(B475,"*平湖*")*0),IF(AND(E476=0,MAX(0,H475-(A476-A475))&lt;=加速!$H$11),0,MAX(0,H475-(A476-A475)))),"")</f>
        <v/>
      </c>
      <c r="I476" t="str">
        <f ca="1" t="shared" si="102"/>
        <v/>
      </c>
      <c r="J476" t="str">
        <f ca="1" t="shared" si="103"/>
        <v/>
      </c>
      <c r="K476" t="str">
        <f ca="1">IF(A476&lt;&gt;"",IF(AND(配装计算器!$K$30&lt;&gt;"∞",0),2,INDEX(AU476:CB476,1,$AT$2)),"")</f>
        <v/>
      </c>
      <c r="L476">
        <f ca="1">IFERROR(IF(AND(COUNTIF(B476,"*-峰插*"),技能数据库!$M$72&gt;0),0,IF(COUNTIF(B476,"*鹤归*")&gt;0,16-加速!$L$11,MAX(0,L475-(A476-A475)))),0)</f>
        <v>0</v>
      </c>
      <c r="M476">
        <f ca="1">IF(COUNTIF(IF(AND(配装计算器!$K$30&lt;&gt;"∞",0),INDEX(AU475:CB475,1,$AT$1),INDEX(AU477:CB477,1,$AT$1)),"*鹤归*")=1,L476,0)</f>
        <v>0</v>
      </c>
      <c r="N476">
        <f ca="1">IFERROR(IF(AND(COUNTIF(B476,"*-峰插*"),技能数据库!$M$72&gt;0),0,IF(COUNTIF(B476,"*云飞*")&gt;0,4-COUNTIF(B476,"*玉山揽云*")*4--COUNTIF(B476,"*烟流暮景*")*4-COUNTIF(B476,"*云景*")*加速!$L$11-IF(J476&gt;0,2,0),MAX(0,N475-(A476-A475)-IF(J476&gt;0,2,0)))),0)</f>
        <v>0</v>
      </c>
      <c r="O476">
        <f ca="1">IF(AND(COUNTIF(IF(AND(配装计算器!$K$30&lt;&gt;"∞",0),INDEX(AU475:CB475,1,$AT$1),INDEX(AU477:CB477,1,$AT$1)),"*云飞*")=1,COUNTIF(IF(AND(配装计算器!$K$30&lt;&gt;"∞",0),INDEX(AU475:CB475,1,$AT$1),INDEX(AU477:CB477,1,$AT$1)),"*玉山*")=0),N476,0)</f>
        <v>0</v>
      </c>
      <c r="P476">
        <f ca="1">IFERROR(IF(COUNTIF(B476,"*云栖松*")&gt;0,50-加速!$L$11,MAX(0,P475-(A476-A475))),0)</f>
        <v>0</v>
      </c>
      <c r="Q476">
        <f ca="1">IF(COUNTIF(IF(AND(配装计算器!$K$30&lt;&gt;"∞",0),INDEX(AU475:CB475,1,$AT$1),INDEX(AU477:CB477,1,$AT$1)),"*云栖松*")=1,P476,0)</f>
        <v>0</v>
      </c>
      <c r="R476">
        <f ca="1">IFERROR(IF(COUNTIF(B476,"*莺鸣柳*")&gt;0,45-加速!$L$9,MAX(0,R475-(A476-A475))),0)</f>
        <v>0</v>
      </c>
      <c r="S476">
        <f ca="1">IF(COUNTIF(IF(AND(配装计算器!$K$30&lt;&gt;"∞",0),INDEX(AU475:CB475,1,$AT$1),INDEX(AU477:CB477,1,$AT$1)),"*莺鸣柳*")=1,R476,0)</f>
        <v>0</v>
      </c>
      <c r="T476">
        <f ca="1" t="shared" si="100"/>
        <v>0</v>
      </c>
      <c r="U476">
        <f ca="1">IF(金蛇,IF(COUNTIF(B476,"*金环戴*")+COUNTIF(B476,"*吹风醒*")&gt;0,IF(A476&lt;=3,7.125-2.625-A476-加速!$L$11,7.125+加速!$K$9-(A476+加速!$L$11-T476)),0),0)+IF(金蛇,IF(COUNTIF(B476,"*千切子裂光*")&gt;0,2+加速!$K$9-(A476+加速!$L$11-T476),0),0)</f>
        <v>0</v>
      </c>
      <c r="V476">
        <f ca="1" t="shared" si="101"/>
        <v>0</v>
      </c>
      <c r="W476">
        <f ca="1" t="shared" si="93"/>
        <v>0</v>
      </c>
      <c r="X476">
        <f ca="1">INDEX(加速!$I$13:$I$21,技能数计算!W476+1)</f>
        <v>0</v>
      </c>
      <c r="Y476">
        <f ca="1" t="shared" si="97"/>
        <v>0.5</v>
      </c>
      <c r="Z476">
        <f ca="1" t="shared" si="98"/>
        <v>0</v>
      </c>
      <c r="AA476">
        <f ca="1">MAX(0,IFERROR(IF(COUNTIF(B476,"*叠*")&gt;0,IF(AC475&lt;3,8-A477+A476,AA475+6.875-A477+A476),AA475-A477+A476),AA475-加速!$L$11))</f>
        <v>0</v>
      </c>
      <c r="AB476" t="e">
        <f ca="1">MAX(0,IF(COUNTIF(IF(AND(配装计算器!$K$30&lt;&gt;"∞",0),INDEX(AU476:CB476,1,$AT$1),INDEX(AU476:CB476,1,$AT$1)),"*叠1*")=1,4*25-加速!$L$11,AB475-A476+A475)-IF(OR(COUNTIF(OFFSET(AT476,0,$AT$1,1,1),"*听雷*")&gt;0,AND(碧归&gt;0,COUNTIF(OFFSET(AT476,0,$AT$1,1,1),"*风来*")&gt;0)),0,1)*1.5)</f>
        <v>#VALUE!</v>
      </c>
      <c r="AC476">
        <f ca="1" t="shared" si="94"/>
        <v>3</v>
      </c>
      <c r="AD476">
        <f ca="1">IF(COUNTIF(IF(AND(配装计算器!$K$30&lt;&gt;"∞",0),INDEX(AU476:CB476,1,$AT$1),INDEX(AU477:CB477,1,$AT$1)),"*叠1*")=1,AB476*0+AE475,0)</f>
        <v>0</v>
      </c>
      <c r="AE476" t="e">
        <f ca="1">IF($AN$11&gt;0,IF(COUNTIF(B477,"*叠1*")&gt;0,50-加速!$H$11,MAX(0,AE475-(A477-A476))),0)</f>
        <v>#VALUE!</v>
      </c>
      <c r="AU476" t="s">
        <v>2776</v>
      </c>
      <c r="AV476">
        <v>2</v>
      </c>
      <c r="AW476" t="s">
        <v>2776</v>
      </c>
      <c r="AX476">
        <v>2</v>
      </c>
      <c r="AY476" t="s">
        <v>3017</v>
      </c>
      <c r="AZ476">
        <v>2</v>
      </c>
      <c r="BA476" t="s">
        <v>2776</v>
      </c>
      <c r="BB476">
        <v>2</v>
      </c>
      <c r="BC476" t="s">
        <v>2768</v>
      </c>
      <c r="BD476">
        <v>2</v>
      </c>
      <c r="BE476" t="s">
        <v>3042</v>
      </c>
      <c r="BF476">
        <v>2</v>
      </c>
      <c r="BG476" s="176" t="s">
        <v>2768</v>
      </c>
      <c r="BH476">
        <v>2</v>
      </c>
      <c r="BI476" s="176" t="s">
        <v>2776</v>
      </c>
      <c r="BJ476">
        <v>2</v>
      </c>
      <c r="BK476" t="s">
        <v>2776</v>
      </c>
      <c r="BL476">
        <v>1</v>
      </c>
      <c r="BM476" t="s">
        <v>2768</v>
      </c>
      <c r="BN476">
        <v>2</v>
      </c>
      <c r="BO476" t="s">
        <v>2768</v>
      </c>
      <c r="BP476">
        <v>2</v>
      </c>
      <c r="BQ476" t="s">
        <v>2776</v>
      </c>
      <c r="BR476">
        <v>2</v>
      </c>
      <c r="BS476" s="187" t="str">
        <f>IF(秋,"云景·云飞玉皇-叠-蛇牙锥心","云景·云飞玉皇-叠")</f>
        <v>云景·云飞玉皇-叠</v>
      </c>
      <c r="BT476">
        <v>2</v>
      </c>
      <c r="BU476" t="s">
        <v>3067</v>
      </c>
      <c r="BV476">
        <v>0</v>
      </c>
      <c r="BW476" s="182" t="s">
        <v>2768</v>
      </c>
      <c r="BX476" s="179">
        <v>2</v>
      </c>
      <c r="BY476" s="176" t="s">
        <v>2768</v>
      </c>
      <c r="BZ476">
        <v>1</v>
      </c>
      <c r="CA476" t="s">
        <v>2768</v>
      </c>
      <c r="CB476">
        <v>1</v>
      </c>
    </row>
    <row r="477" spans="1:80">
      <c r="A477" s="178" t="str">
        <f ca="1">IFERROR(IF(A476+加速!$L$11&lt;$AS$1,IF(COUNTIF(B476,"*轻*")&gt;0,A476+加速!$L$9,A476+加速!$L$11)+V476,IF(COUNTIF(INDEX(AU477:CB477,1,$AT$1),"*云景*")+COUNTIF(INDEX(AU477:CB477,1,$AT$1),"*鹤归*")+COUNTIF(INDEX(AU477:CB477,1,$AT$1),"*听雷*")&gt;0,A476+加速!$L$11,"")),"")</f>
        <v/>
      </c>
      <c r="B477" s="167" t="str">
        <f ca="1">IF(A477&lt;&gt;"",IF(AND(A477+加速!$L$11&gt;$AS$1,IF(AND(配装计算器!$K$30&lt;&gt;"∞",0),"梦泉虎跑-轻",INDEX(AU477:CB477,1,$AT$1))="云栖松"),"夕照雷峰",IF(AND(配装计算器!$K$30&lt;&gt;"∞",0),"梦泉虎跑-轻",INDEX(AU477:CB477,1,$AT$1))),"")</f>
        <v/>
      </c>
      <c r="C477" t="str">
        <f ca="1" t="shared" si="99"/>
        <v/>
      </c>
      <c r="D477" t="str">
        <f ca="1">IF(B477&lt;&gt;"",IF(C476&lt;=加速!$L$11*(1-E477),0,1),"")</f>
        <v/>
      </c>
      <c r="E477">
        <f ca="1" t="shared" si="95"/>
        <v>1</v>
      </c>
      <c r="G477" t="str">
        <f ca="1" t="shared" si="96"/>
        <v/>
      </c>
      <c r="H477" t="str">
        <f ca="1">IF(B477&lt;&gt;"",IF(AND(COUNTIF(B476,"*轻*莺鸣柳*")&gt;0,COUNTIF(B477,"*轻*")&lt;1),MAX(0,15+I476-(A477-A476)+COUNTIF(B476,"*平湖*")*0),IF(AND(E477=0,MAX(0,H476-(A477-A476))&lt;=加速!$H$11),0,MAX(0,H476-(A477-A476)))),"")</f>
        <v/>
      </c>
      <c r="I477" t="str">
        <f ca="1" t="shared" si="102"/>
        <v/>
      </c>
      <c r="J477" t="str">
        <f ca="1" t="shared" si="103"/>
        <v/>
      </c>
      <c r="K477" t="str">
        <f ca="1">IF(A477&lt;&gt;"",IF(AND(配装计算器!$K$30&lt;&gt;"∞",0),2,INDEX(AU477:CB477,1,$AT$2)),"")</f>
        <v/>
      </c>
      <c r="L477">
        <f ca="1">IFERROR(IF(AND(COUNTIF(B477,"*-峰插*"),技能数据库!$M$72&gt;0),0,IF(COUNTIF(B477,"*鹤归*")&gt;0,16-加速!$L$11,MAX(0,L476-(A477-A476)))),0)</f>
        <v>0</v>
      </c>
      <c r="M477">
        <f ca="1">IF(COUNTIF(IF(AND(配装计算器!$K$30&lt;&gt;"∞",0),INDEX(AU476:CB476,1,$AT$1),INDEX(AU478:CB478,1,$AT$1)),"*鹤归*")=1,L477,0)</f>
        <v>0</v>
      </c>
      <c r="N477">
        <f ca="1">IFERROR(IF(AND(COUNTIF(B477,"*-峰插*"),技能数据库!$M$72&gt;0),0,IF(COUNTIF(B477,"*云飞*")&gt;0,4-COUNTIF(B477,"*玉山揽云*")*4--COUNTIF(B477,"*烟流暮景*")*4-COUNTIF(B477,"*云景*")*加速!$L$11-IF(J477&gt;0,2,0),MAX(0,N476-(A477-A476)-IF(J477&gt;0,2,0)))),0)</f>
        <v>0</v>
      </c>
      <c r="O477">
        <f ca="1">IF(AND(COUNTIF(IF(AND(配装计算器!$K$30&lt;&gt;"∞",0),INDEX(AU476:CB476,1,$AT$1),INDEX(AU478:CB478,1,$AT$1)),"*云飞*")=1,COUNTIF(IF(AND(配装计算器!$K$30&lt;&gt;"∞",0),INDEX(AU476:CB476,1,$AT$1),INDEX(AU478:CB478,1,$AT$1)),"*玉山*")=0),N477,0)</f>
        <v>0</v>
      </c>
      <c r="P477">
        <f ca="1">IFERROR(IF(COUNTIF(B477,"*云栖松*")&gt;0,50-加速!$L$11,MAX(0,P476-(A477-A476))),0)</f>
        <v>0</v>
      </c>
      <c r="Q477">
        <f ca="1">IF(COUNTIF(IF(AND(配装计算器!$K$30&lt;&gt;"∞",0),INDEX(AU476:CB476,1,$AT$1),INDEX(AU478:CB478,1,$AT$1)),"*云栖松*")=1,P477,0)</f>
        <v>0</v>
      </c>
      <c r="R477">
        <f ca="1">IFERROR(IF(COUNTIF(B477,"*莺鸣柳*")&gt;0,45-加速!$L$9,MAX(0,R476-(A477-A476))),0)</f>
        <v>0</v>
      </c>
      <c r="S477">
        <f ca="1">IF(COUNTIF(IF(AND(配装计算器!$K$30&lt;&gt;"∞",0),INDEX(AU476:CB476,1,$AT$1),INDEX(AU478:CB478,1,$AT$1)),"*莺鸣柳*")=1,R477,0)</f>
        <v>0</v>
      </c>
      <c r="T477">
        <f ca="1" t="shared" si="100"/>
        <v>0</v>
      </c>
      <c r="U477">
        <f ca="1">IF(金蛇,IF(COUNTIF(B477,"*金环戴*")+COUNTIF(B477,"*吹风醒*")&gt;0,IF(A477&lt;=3,7.125-2.625-A477-加速!$L$11,7.125+加速!$K$9-(A477+加速!$L$11-T477)),0),0)+IF(金蛇,IF(COUNTIF(B477,"*千切子裂光*")&gt;0,2+加速!$K$9-(A477+加速!$L$11-T477),0),0)</f>
        <v>0</v>
      </c>
      <c r="V477">
        <f ca="1" t="shared" si="101"/>
        <v>0</v>
      </c>
      <c r="W477">
        <f ca="1" t="shared" si="93"/>
        <v>0</v>
      </c>
      <c r="X477">
        <f ca="1">INDEX(加速!$I$13:$I$21,技能数计算!W477+1)</f>
        <v>0</v>
      </c>
      <c r="Y477">
        <f ca="1" t="shared" si="97"/>
        <v>0.5</v>
      </c>
      <c r="Z477">
        <f ca="1" t="shared" si="98"/>
        <v>0</v>
      </c>
      <c r="AA477">
        <f ca="1">MAX(0,IFERROR(IF(COUNTIF(B477,"*叠*")&gt;0,IF(AC476&lt;3,8-A478+A477,AA476+6.875-A478+A477),AA476-A478+A477),AA476-加速!$L$11))</f>
        <v>0</v>
      </c>
      <c r="AB477" t="e">
        <f ca="1">MAX(0,IF(COUNTIF(IF(AND(配装计算器!$K$30&lt;&gt;"∞",0),INDEX(AU477:CB477,1,$AT$1),INDEX(AU477:CB477,1,$AT$1)),"*叠1*")=1,4*25-加速!$L$11,AB476-A477+A476)-IF(OR(COUNTIF(OFFSET(AT477,0,$AT$1,1,1),"*听雷*")&gt;0,AND(碧归&gt;0,COUNTIF(OFFSET(AT477,0,$AT$1,1,1),"*风来*")&gt;0)),0,1)*1.5)</f>
        <v>#VALUE!</v>
      </c>
      <c r="AC477">
        <f ca="1" t="shared" si="94"/>
        <v>3</v>
      </c>
      <c r="AD477">
        <f ca="1">IF(COUNTIF(IF(AND(配装计算器!$K$30&lt;&gt;"∞",0),INDEX(AU477:CB477,1,$AT$1),INDEX(AU478:CB478,1,$AT$1)),"*叠1*")=1,AB477*0+AE476,0)</f>
        <v>0</v>
      </c>
      <c r="AE477" t="e">
        <f ca="1">IF($AN$11&gt;0,IF(COUNTIF(B478,"*叠1*")&gt;0,50-加速!$H$11,MAX(0,AE476-(A478-A477))),0)</f>
        <v>#VALUE!</v>
      </c>
      <c r="AU477" s="176" t="s">
        <v>2794</v>
      </c>
      <c r="AV477">
        <v>2</v>
      </c>
      <c r="AW477" t="s">
        <v>2768</v>
      </c>
      <c r="AX477">
        <v>2</v>
      </c>
      <c r="AY477" t="s">
        <v>2808</v>
      </c>
      <c r="AZ477">
        <v>2</v>
      </c>
      <c r="BA477" t="s">
        <v>2768</v>
      </c>
      <c r="BB477">
        <v>2</v>
      </c>
      <c r="BC477" t="s">
        <v>2776</v>
      </c>
      <c r="BD477">
        <v>1</v>
      </c>
      <c r="BE477" t="s">
        <v>2808</v>
      </c>
      <c r="BF477">
        <v>2</v>
      </c>
      <c r="BG477" s="176" t="s">
        <v>2768</v>
      </c>
      <c r="BH477">
        <v>2</v>
      </c>
      <c r="BI477" t="s">
        <v>2768</v>
      </c>
      <c r="BJ477">
        <v>2</v>
      </c>
      <c r="BK477" t="s">
        <v>2768</v>
      </c>
      <c r="BL477">
        <v>0</v>
      </c>
      <c r="BM477" t="s">
        <v>2776</v>
      </c>
      <c r="BN477">
        <v>2</v>
      </c>
      <c r="BO477" t="s">
        <v>2776</v>
      </c>
      <c r="BP477">
        <v>2</v>
      </c>
      <c r="BQ477" t="s">
        <v>2768</v>
      </c>
      <c r="BR477">
        <v>2</v>
      </c>
      <c r="BS477" s="186" t="str">
        <f>IF(秋,"夕照雷峰","千切子寒光")</f>
        <v>千切子寒光</v>
      </c>
      <c r="BT477">
        <v>2</v>
      </c>
      <c r="BU477" t="s">
        <v>2768</v>
      </c>
      <c r="BV477">
        <v>2</v>
      </c>
      <c r="BW477" s="182" t="s">
        <v>2776</v>
      </c>
      <c r="BX477" s="179">
        <v>2</v>
      </c>
      <c r="BY477" t="s">
        <v>2776</v>
      </c>
      <c r="BZ477">
        <v>1</v>
      </c>
      <c r="CA477" t="s">
        <v>2776</v>
      </c>
      <c r="CB477">
        <v>1</v>
      </c>
    </row>
    <row r="478" spans="1:80">
      <c r="A478" s="178" t="str">
        <f ca="1">IFERROR(IF(A477+加速!$L$11&lt;$AS$1,IF(COUNTIF(B477,"*轻*")&gt;0,A477+加速!$L$9,A477+加速!$L$11)+V477,IF(COUNTIF(INDEX(AU478:CB478,1,$AT$1),"*云景*")+COUNTIF(INDEX(AU478:CB478,1,$AT$1),"*鹤归*")+COUNTIF(INDEX(AU478:CB478,1,$AT$1),"*听雷*")&gt;0,A477+加速!$L$11,"")),"")</f>
        <v/>
      </c>
      <c r="B478" s="167" t="str">
        <f ca="1">IF(A478&lt;&gt;"",IF(AND(A478+加速!$L$11&gt;$AS$1,IF(AND(配装计算器!$K$30&lt;&gt;"∞",0),"梦泉虎跑-轻",INDEX(AU478:CB478,1,$AT$1))="云栖松"),"夕照雷峰",IF(AND(配装计算器!$K$30&lt;&gt;"∞",0),"梦泉虎跑-轻",INDEX(AU478:CB478,1,$AT$1))),"")</f>
        <v/>
      </c>
      <c r="C478" t="str">
        <f ca="1" t="shared" si="99"/>
        <v/>
      </c>
      <c r="D478" t="str">
        <f ca="1">IF(B478&lt;&gt;"",IF(C477&lt;=加速!$L$11*(1-E478),0,1),"")</f>
        <v/>
      </c>
      <c r="E478">
        <f ca="1" t="shared" si="95"/>
        <v>1</v>
      </c>
      <c r="G478" t="str">
        <f ca="1" t="shared" si="96"/>
        <v/>
      </c>
      <c r="H478" t="str">
        <f ca="1">IF(B478&lt;&gt;"",IF(AND(COUNTIF(B477,"*轻*莺鸣柳*")&gt;0,COUNTIF(B478,"*轻*")&lt;1),MAX(0,15+I477-(A478-A477)+COUNTIF(B477,"*平湖*")*0),IF(AND(E478=0,MAX(0,H477-(A478-A477))&lt;=加速!$H$11),0,MAX(0,H477-(A478-A477)))),"")</f>
        <v/>
      </c>
      <c r="I478" t="str">
        <f ca="1" t="shared" si="102"/>
        <v/>
      </c>
      <c r="J478" t="str">
        <f ca="1" t="shared" si="103"/>
        <v/>
      </c>
      <c r="K478" t="str">
        <f ca="1">IF(A478&lt;&gt;"",IF(AND(配装计算器!$K$30&lt;&gt;"∞",0),2,INDEX(AU478:CB478,1,$AT$2)),"")</f>
        <v/>
      </c>
      <c r="L478">
        <f ca="1">IFERROR(IF(AND(COUNTIF(B478,"*-峰插*"),技能数据库!$M$72&gt;0),0,IF(COUNTIF(B478,"*鹤归*")&gt;0,16-加速!$L$11,MAX(0,L477-(A478-A477)))),0)</f>
        <v>0</v>
      </c>
      <c r="M478">
        <f ca="1">IF(COUNTIF(IF(AND(配装计算器!$K$30&lt;&gt;"∞",0),INDEX(AU477:CB477,1,$AT$1),INDEX(AU479:CB479,1,$AT$1)),"*鹤归*")=1,L478,0)</f>
        <v>0</v>
      </c>
      <c r="N478">
        <f ca="1">IFERROR(IF(AND(COUNTIF(B478,"*-峰插*"),技能数据库!$M$72&gt;0),0,IF(COUNTIF(B478,"*云飞*")&gt;0,4-COUNTIF(B478,"*玉山揽云*")*4--COUNTIF(B478,"*烟流暮景*")*4-COUNTIF(B478,"*云景*")*加速!$L$11-IF(J478&gt;0,2,0),MAX(0,N477-(A478-A477)-IF(J478&gt;0,2,0)))),0)</f>
        <v>0</v>
      </c>
      <c r="O478">
        <f ca="1">IF(AND(COUNTIF(IF(AND(配装计算器!$K$30&lt;&gt;"∞",0),INDEX(AU477:CB477,1,$AT$1),INDEX(AU479:CB479,1,$AT$1)),"*云飞*")=1,COUNTIF(IF(AND(配装计算器!$K$30&lt;&gt;"∞",0),INDEX(AU477:CB477,1,$AT$1),INDEX(AU479:CB479,1,$AT$1)),"*玉山*")=0),N478,0)</f>
        <v>0</v>
      </c>
      <c r="P478">
        <f ca="1">IFERROR(IF(COUNTIF(B478,"*云栖松*")&gt;0,50-加速!$L$11,MAX(0,P477-(A478-A477))),0)</f>
        <v>0</v>
      </c>
      <c r="Q478">
        <f ca="1">IF(COUNTIF(IF(AND(配装计算器!$K$30&lt;&gt;"∞",0),INDEX(AU477:CB477,1,$AT$1),INDEX(AU479:CB479,1,$AT$1)),"*云栖松*")=1,P478,0)</f>
        <v>0</v>
      </c>
      <c r="R478">
        <f ca="1">IFERROR(IF(COUNTIF(B478,"*莺鸣柳*")&gt;0,45-加速!$L$9,MAX(0,R477-(A478-A477))),0)</f>
        <v>0</v>
      </c>
      <c r="S478">
        <f ca="1">IF(COUNTIF(IF(AND(配装计算器!$K$30&lt;&gt;"∞",0),INDEX(AU477:CB477,1,$AT$1),INDEX(AU479:CB479,1,$AT$1)),"*莺鸣柳*")=1,R478,0)</f>
        <v>0</v>
      </c>
      <c r="T478">
        <f ca="1" t="shared" si="100"/>
        <v>0</v>
      </c>
      <c r="U478">
        <f ca="1">IF(金蛇,IF(COUNTIF(B478,"*金环戴*")+COUNTIF(B478,"*吹风醒*")&gt;0,IF(A478&lt;=3,7.125-2.625-A478-加速!$L$11,7.125+加速!$K$9-(A478+加速!$L$11-T478)),0),0)+IF(金蛇,IF(COUNTIF(B478,"*千切子裂光*")&gt;0,2+加速!$K$9-(A478+加速!$L$11-T478),0),0)</f>
        <v>0</v>
      </c>
      <c r="V478">
        <f ca="1" t="shared" si="101"/>
        <v>0</v>
      </c>
      <c r="W478">
        <f ca="1" t="shared" si="93"/>
        <v>0</v>
      </c>
      <c r="X478">
        <f ca="1">INDEX(加速!$I$13:$I$21,技能数计算!W478+1)</f>
        <v>0</v>
      </c>
      <c r="Y478">
        <f ca="1" t="shared" si="97"/>
        <v>0.5</v>
      </c>
      <c r="Z478">
        <f ca="1" t="shared" si="98"/>
        <v>0</v>
      </c>
      <c r="AA478">
        <f ca="1">MAX(0,IFERROR(IF(COUNTIF(B478,"*叠*")&gt;0,IF(AC477&lt;3,8-A479+A478,AA477+6.875-A479+A478),AA477-A479+A478),AA477-加速!$L$11))</f>
        <v>0</v>
      </c>
      <c r="AB478" t="e">
        <f ca="1">MAX(0,IF(COUNTIF(IF(AND(配装计算器!$K$30&lt;&gt;"∞",0),INDEX(AU478:CB478,1,$AT$1),INDEX(AU478:CB478,1,$AT$1)),"*叠1*")=1,4*25-加速!$L$11,AB477-A478+A477)-IF(OR(COUNTIF(OFFSET(AT478,0,$AT$1,1,1),"*听雷*")&gt;0,AND(碧归&gt;0,COUNTIF(OFFSET(AT478,0,$AT$1,1,1),"*风来*")&gt;0)),0,1)*1.5)</f>
        <v>#VALUE!</v>
      </c>
      <c r="AC478">
        <f ca="1" t="shared" si="94"/>
        <v>3</v>
      </c>
      <c r="AD478">
        <f ca="1">IF(COUNTIF(IF(AND(配装计算器!$K$30&lt;&gt;"∞",0),INDEX(AU478:CB478,1,$AT$1),INDEX(AU479:CB479,1,$AT$1)),"*叠1*")=1,AB478*0+AE477,0)</f>
        <v>0</v>
      </c>
      <c r="AE478" t="e">
        <f ca="1">IF($AN$11&gt;0,IF(COUNTIF(B479,"*叠1*")&gt;0,50-加速!$H$11,MAX(0,AE477-(A479-A478))),0)</f>
        <v>#VALUE!</v>
      </c>
      <c r="AU478" s="176" t="s">
        <v>2768</v>
      </c>
      <c r="AV478">
        <v>2</v>
      </c>
      <c r="AW478" t="s">
        <v>2722</v>
      </c>
      <c r="AX478">
        <v>0</v>
      </c>
      <c r="AY478" t="s">
        <v>3022</v>
      </c>
      <c r="AZ478">
        <v>2</v>
      </c>
      <c r="BA478" t="s">
        <v>2768</v>
      </c>
      <c r="BB478">
        <v>2</v>
      </c>
      <c r="BC478" t="s">
        <v>2768</v>
      </c>
      <c r="BD478">
        <v>1</v>
      </c>
      <c r="BE478" t="s">
        <v>2768</v>
      </c>
      <c r="BF478">
        <v>2</v>
      </c>
      <c r="BG478" s="176" t="s">
        <v>2768</v>
      </c>
      <c r="BH478">
        <v>2</v>
      </c>
      <c r="BI478" s="176" t="s">
        <v>2768</v>
      </c>
      <c r="BJ478">
        <v>1</v>
      </c>
      <c r="BK478" t="s">
        <v>3056</v>
      </c>
      <c r="BL478">
        <v>0</v>
      </c>
      <c r="BM478" t="s">
        <v>2768</v>
      </c>
      <c r="BN478">
        <v>1</v>
      </c>
      <c r="BO478" t="s">
        <v>2768</v>
      </c>
      <c r="BP478">
        <v>2</v>
      </c>
      <c r="BQ478" t="s">
        <v>2768</v>
      </c>
      <c r="BR478">
        <v>2</v>
      </c>
      <c r="BS478" s="186" t="str">
        <f>IF(秋,"夕照雷峰","千切子裂光")</f>
        <v>千切子裂光</v>
      </c>
      <c r="BT478">
        <v>2</v>
      </c>
      <c r="BU478" t="s">
        <v>2768</v>
      </c>
      <c r="BV478">
        <v>2</v>
      </c>
      <c r="BW478" s="182" t="s">
        <v>2768</v>
      </c>
      <c r="BX478" s="179">
        <v>2</v>
      </c>
      <c r="BY478" t="s">
        <v>2768</v>
      </c>
      <c r="BZ478">
        <v>1</v>
      </c>
      <c r="CA478" t="s">
        <v>2768</v>
      </c>
      <c r="CB478">
        <v>1</v>
      </c>
    </row>
    <row r="479" spans="1:80">
      <c r="A479" s="178" t="str">
        <f ca="1">IFERROR(IF(A478+加速!$L$11&lt;$AS$1,IF(COUNTIF(B478,"*轻*")&gt;0,A478+加速!$L$9,A478+加速!$L$11)+V478,IF(COUNTIF(INDEX(AU479:CB479,1,$AT$1),"*云景*")+COUNTIF(INDEX(AU479:CB479,1,$AT$1),"*鹤归*")+COUNTIF(INDEX(AU479:CB479,1,$AT$1),"*听雷*")&gt;0,A478+加速!$L$11,"")),"")</f>
        <v/>
      </c>
      <c r="B479" s="167" t="str">
        <f ca="1">IF(A479&lt;&gt;"",IF(AND(A479+加速!$L$11&gt;$AS$1,IF(AND(配装计算器!$K$30&lt;&gt;"∞",0),"梦泉虎跑-轻",INDEX(AU479:CB479,1,$AT$1))="云栖松"),"夕照雷峰",IF(AND(配装计算器!$K$30&lt;&gt;"∞",0),"梦泉虎跑-轻",INDEX(AU479:CB479,1,$AT$1))),"")</f>
        <v/>
      </c>
      <c r="C479" t="str">
        <f ca="1" t="shared" si="99"/>
        <v/>
      </c>
      <c r="D479" t="str">
        <f ca="1">IF(B479&lt;&gt;"",IF(C478&lt;=加速!$L$11*(1-E479),0,1),"")</f>
        <v/>
      </c>
      <c r="E479">
        <f ca="1" t="shared" si="95"/>
        <v>1</v>
      </c>
      <c r="G479" t="str">
        <f ca="1" t="shared" si="96"/>
        <v/>
      </c>
      <c r="H479" t="str">
        <f ca="1">IF(B479&lt;&gt;"",IF(AND(COUNTIF(B478,"*轻*莺鸣柳*")&gt;0,COUNTIF(B479,"*轻*")&lt;1),MAX(0,15+I478-(A479-A478)+COUNTIF(B478,"*平湖*")*0),IF(AND(E479=0,MAX(0,H478-(A479-A478))&lt;=加速!$H$11),0,MAX(0,H478-(A479-A478)))),"")</f>
        <v/>
      </c>
      <c r="I479" t="str">
        <f ca="1" t="shared" si="102"/>
        <v/>
      </c>
      <c r="J479" t="str">
        <f ca="1" t="shared" si="103"/>
        <v/>
      </c>
      <c r="K479" t="str">
        <f ca="1">IF(A479&lt;&gt;"",IF(AND(配装计算器!$K$30&lt;&gt;"∞",0),2,INDEX(AU479:CB479,1,$AT$2)),"")</f>
        <v/>
      </c>
      <c r="L479">
        <f ca="1">IFERROR(IF(AND(COUNTIF(B479,"*-峰插*"),技能数据库!$M$72&gt;0),0,IF(COUNTIF(B479,"*鹤归*")&gt;0,16-加速!$L$11,MAX(0,L478-(A479-A478)))),0)</f>
        <v>0</v>
      </c>
      <c r="M479">
        <f ca="1">IF(COUNTIF(IF(AND(配装计算器!$K$30&lt;&gt;"∞",0),INDEX(AU478:CB478,1,$AT$1),INDEX(AU480:CB480,1,$AT$1)),"*鹤归*")=1,L479,0)</f>
        <v>0</v>
      </c>
      <c r="N479">
        <f ca="1">IFERROR(IF(AND(COUNTIF(B479,"*-峰插*"),技能数据库!$M$72&gt;0),0,IF(COUNTIF(B479,"*云飞*")&gt;0,4-COUNTIF(B479,"*玉山揽云*")*4--COUNTIF(B479,"*烟流暮景*")*4-COUNTIF(B479,"*云景*")*加速!$L$11-IF(J479&gt;0,2,0),MAX(0,N478-(A479-A478)-IF(J479&gt;0,2,0)))),0)</f>
        <v>0</v>
      </c>
      <c r="O479">
        <f ca="1">IF(AND(COUNTIF(IF(AND(配装计算器!$K$30&lt;&gt;"∞",0),INDEX(AU478:CB478,1,$AT$1),INDEX(AU480:CB480,1,$AT$1)),"*云飞*")=1,COUNTIF(IF(AND(配装计算器!$K$30&lt;&gt;"∞",0),INDEX(AU478:CB478,1,$AT$1),INDEX(AU480:CB480,1,$AT$1)),"*玉山*")=0),N479,0)</f>
        <v>0</v>
      </c>
      <c r="P479">
        <f ca="1">IFERROR(IF(COUNTIF(B479,"*云栖松*")&gt;0,50-加速!$L$11,MAX(0,P478-(A479-A478))),0)</f>
        <v>0</v>
      </c>
      <c r="Q479">
        <f ca="1">IF(COUNTIF(IF(AND(配装计算器!$K$30&lt;&gt;"∞",0),INDEX(AU478:CB478,1,$AT$1),INDEX(AU480:CB480,1,$AT$1)),"*云栖松*")=1,P479,0)</f>
        <v>0</v>
      </c>
      <c r="R479">
        <f ca="1">IFERROR(IF(COUNTIF(B479,"*莺鸣柳*")&gt;0,45-加速!$L$9,MAX(0,R478-(A479-A478))),0)</f>
        <v>0</v>
      </c>
      <c r="S479">
        <f ca="1">IF(COUNTIF(IF(AND(配装计算器!$K$30&lt;&gt;"∞",0),INDEX(AU478:CB478,1,$AT$1),INDEX(AU480:CB480,1,$AT$1)),"*莺鸣柳*")=1,R479,0)</f>
        <v>0</v>
      </c>
      <c r="T479">
        <f ca="1" t="shared" si="100"/>
        <v>0</v>
      </c>
      <c r="U479">
        <f ca="1">IF(金蛇,IF(COUNTIF(B479,"*金环戴*")+COUNTIF(B479,"*吹风醒*")&gt;0,IF(A479&lt;=3,7.125-2.625-A479-加速!$L$11,7.125+加速!$K$9-(A479+加速!$L$11-T479)),0),0)+IF(金蛇,IF(COUNTIF(B479,"*千切子裂光*")&gt;0,2+加速!$K$9-(A479+加速!$L$11-T479),0),0)</f>
        <v>0</v>
      </c>
      <c r="V479">
        <f ca="1" t="shared" si="101"/>
        <v>0</v>
      </c>
      <c r="W479">
        <f ca="1" t="shared" si="93"/>
        <v>0</v>
      </c>
      <c r="X479">
        <f ca="1">INDEX(加速!$I$13:$I$21,技能数计算!W479+1)</f>
        <v>0</v>
      </c>
      <c r="Y479">
        <f ca="1" t="shared" si="97"/>
        <v>0.5</v>
      </c>
      <c r="Z479">
        <f ca="1" t="shared" si="98"/>
        <v>0</v>
      </c>
      <c r="AA479">
        <f ca="1">MAX(0,IFERROR(IF(COUNTIF(B479,"*叠*")&gt;0,IF(AC478&lt;3,8-A480+A479,AA478+6.875-A480+A479),AA478-A480+A479),AA478-加速!$L$11))</f>
        <v>0</v>
      </c>
      <c r="AB479" t="e">
        <f ca="1">MAX(0,IF(COUNTIF(IF(AND(配装计算器!$K$30&lt;&gt;"∞",0),INDEX(AU479:CB479,1,$AT$1),INDEX(AU479:CB479,1,$AT$1)),"*叠1*")=1,4*25-加速!$L$11,AB478-A479+A478)-IF(OR(COUNTIF(OFFSET(AT479,0,$AT$1,1,1),"*听雷*")&gt;0,AND(碧归&gt;0,COUNTIF(OFFSET(AT479,0,$AT$1,1,1),"*风来*")&gt;0)),0,1)*1.5)</f>
        <v>#VALUE!</v>
      </c>
      <c r="AC479">
        <f ca="1" t="shared" si="94"/>
        <v>3</v>
      </c>
      <c r="AD479">
        <f ca="1">IF(COUNTIF(IF(AND(配装计算器!$K$30&lt;&gt;"∞",0),INDEX(AU479:CB479,1,$AT$1),INDEX(AU480:CB480,1,$AT$1)),"*叠1*")=1,AB479*0+AE478,0)</f>
        <v>0</v>
      </c>
      <c r="AE479" t="e">
        <f ca="1">IF($AN$11&gt;0,IF(COUNTIF(B480,"*叠1*")&gt;0,50-加速!$H$11,MAX(0,AE478-(A480-A479))),0)</f>
        <v>#VALUE!</v>
      </c>
      <c r="AU479" s="176" t="s">
        <v>2776</v>
      </c>
      <c r="AV479">
        <v>2</v>
      </c>
      <c r="AW479" t="s">
        <v>3009</v>
      </c>
      <c r="AX479">
        <v>2</v>
      </c>
      <c r="AY479" t="s">
        <v>2776</v>
      </c>
      <c r="AZ479">
        <v>2</v>
      </c>
      <c r="BA479" t="s">
        <v>2776</v>
      </c>
      <c r="BB479">
        <v>2</v>
      </c>
      <c r="BC479" t="s">
        <v>2794</v>
      </c>
      <c r="BD479">
        <v>2</v>
      </c>
      <c r="BE479" t="s">
        <v>2768</v>
      </c>
      <c r="BF479">
        <v>2</v>
      </c>
      <c r="BG479" s="176" t="s">
        <v>2776</v>
      </c>
      <c r="BH479">
        <v>2</v>
      </c>
      <c r="BI479" s="176" t="s">
        <v>2768</v>
      </c>
      <c r="BJ479">
        <v>1</v>
      </c>
      <c r="BK479" t="s">
        <v>2768</v>
      </c>
      <c r="BL479">
        <v>2</v>
      </c>
      <c r="BM479" t="s">
        <v>2722</v>
      </c>
      <c r="BN479">
        <v>0</v>
      </c>
      <c r="BO479" t="s">
        <v>2768</v>
      </c>
      <c r="BP479">
        <v>2</v>
      </c>
      <c r="BQ479" t="s">
        <v>2768</v>
      </c>
      <c r="BR479">
        <v>1</v>
      </c>
      <c r="BS479" s="176" t="s">
        <v>2768</v>
      </c>
      <c r="BT479">
        <v>2</v>
      </c>
      <c r="BU479" s="176" t="s">
        <v>2794</v>
      </c>
      <c r="BV479">
        <v>1</v>
      </c>
      <c r="BW479" s="182" t="s">
        <v>2808</v>
      </c>
      <c r="BX479" s="179">
        <v>2</v>
      </c>
      <c r="BY479" t="s">
        <v>2722</v>
      </c>
      <c r="BZ479">
        <v>0</v>
      </c>
      <c r="CA479" t="s">
        <v>2722</v>
      </c>
      <c r="CB479">
        <v>0</v>
      </c>
    </row>
    <row r="480" spans="1:80">
      <c r="A480" s="178" t="str">
        <f ca="1">IFERROR(IF(A479+加速!$L$11&lt;$AS$1,IF(COUNTIF(B479,"*轻*")&gt;0,A479+加速!$L$9,A479+加速!$L$11)+V479,IF(COUNTIF(INDEX(AU480:CB480,1,$AT$1),"*云景*")+COUNTIF(INDEX(AU480:CB480,1,$AT$1),"*鹤归*")+COUNTIF(INDEX(AU480:CB480,1,$AT$1),"*听雷*")&gt;0,A479+加速!$L$11,"")),"")</f>
        <v/>
      </c>
      <c r="B480" s="167" t="str">
        <f ca="1">IF(A480&lt;&gt;"",IF(AND(A480+加速!$L$11&gt;$AS$1,IF(AND(配装计算器!$K$30&lt;&gt;"∞",0),"梦泉虎跑-轻",INDEX(AU480:CB480,1,$AT$1))="云栖松"),"夕照雷峰",IF(AND(配装计算器!$K$30&lt;&gt;"∞",0),"梦泉虎跑-轻",INDEX(AU480:CB480,1,$AT$1))),"")</f>
        <v/>
      </c>
      <c r="C480" t="str">
        <f ca="1" t="shared" si="99"/>
        <v/>
      </c>
      <c r="D480" t="str">
        <f ca="1">IF(B480&lt;&gt;"",IF(C479&lt;=加速!$L$11*(1-E480),0,1),"")</f>
        <v/>
      </c>
      <c r="E480">
        <f ca="1" t="shared" si="95"/>
        <v>1</v>
      </c>
      <c r="G480" t="str">
        <f ca="1" t="shared" si="96"/>
        <v/>
      </c>
      <c r="H480" t="str">
        <f ca="1">IF(B480&lt;&gt;"",IF(AND(COUNTIF(B479,"*轻*莺鸣柳*")&gt;0,COUNTIF(B480,"*轻*")&lt;1),MAX(0,15+I479-(A480-A479)+COUNTIF(B479,"*平湖*")*0),IF(AND(E480=0,MAX(0,H479-(A480-A479))&lt;=加速!$H$11),0,MAX(0,H479-(A480-A479)))),"")</f>
        <v/>
      </c>
      <c r="I480" t="str">
        <f ca="1" t="shared" si="102"/>
        <v/>
      </c>
      <c r="J480" t="str">
        <f ca="1" t="shared" si="103"/>
        <v/>
      </c>
      <c r="K480" t="str">
        <f ca="1">IF(A480&lt;&gt;"",IF(AND(配装计算器!$K$30&lt;&gt;"∞",0),2,INDEX(AU480:CB480,1,$AT$2)),"")</f>
        <v/>
      </c>
      <c r="L480">
        <f ca="1">IFERROR(IF(AND(COUNTIF(B480,"*-峰插*"),技能数据库!$M$72&gt;0),0,IF(COUNTIF(B480,"*鹤归*")&gt;0,16-加速!$L$11,MAX(0,L479-(A480-A479)))),0)</f>
        <v>0</v>
      </c>
      <c r="M480">
        <f ca="1">IF(COUNTIF(IF(AND(配装计算器!$K$30&lt;&gt;"∞",0),INDEX(AU479:CB479,1,$AT$1),INDEX(AU481:CB481,1,$AT$1)),"*鹤归*")=1,L480,0)</f>
        <v>0</v>
      </c>
      <c r="N480">
        <f ca="1">IFERROR(IF(AND(COUNTIF(B480,"*-峰插*"),技能数据库!$M$72&gt;0),0,IF(COUNTIF(B480,"*云飞*")&gt;0,4-COUNTIF(B480,"*玉山揽云*")*4--COUNTIF(B480,"*烟流暮景*")*4-COUNTIF(B480,"*云景*")*加速!$L$11-IF(J480&gt;0,2,0),MAX(0,N479-(A480-A479)-IF(J480&gt;0,2,0)))),0)</f>
        <v>0</v>
      </c>
      <c r="O480">
        <f ca="1">IF(AND(COUNTIF(IF(AND(配装计算器!$K$30&lt;&gt;"∞",0),INDEX(AU479:CB479,1,$AT$1),INDEX(AU481:CB481,1,$AT$1)),"*云飞*")=1,COUNTIF(IF(AND(配装计算器!$K$30&lt;&gt;"∞",0),INDEX(AU479:CB479,1,$AT$1),INDEX(AU481:CB481,1,$AT$1)),"*玉山*")=0),N480,0)</f>
        <v>0</v>
      </c>
      <c r="P480">
        <f ca="1">IFERROR(IF(COUNTIF(B480,"*云栖松*")&gt;0,50-加速!$L$11,MAX(0,P479-(A480-A479))),0)</f>
        <v>0</v>
      </c>
      <c r="Q480">
        <f ca="1">IF(COUNTIF(IF(AND(配装计算器!$K$30&lt;&gt;"∞",0),INDEX(AU479:CB479,1,$AT$1),INDEX(AU481:CB481,1,$AT$1)),"*云栖松*")=1,P480,0)</f>
        <v>0</v>
      </c>
      <c r="R480">
        <f ca="1">IFERROR(IF(COUNTIF(B480,"*莺鸣柳*")&gt;0,45-加速!$L$9,MAX(0,R479-(A480-A479))),0)</f>
        <v>0</v>
      </c>
      <c r="S480">
        <f ca="1">IF(COUNTIF(IF(AND(配装计算器!$K$30&lt;&gt;"∞",0),INDEX(AU479:CB479,1,$AT$1),INDEX(AU481:CB481,1,$AT$1)),"*莺鸣柳*")=1,R480,0)</f>
        <v>0</v>
      </c>
      <c r="T480">
        <f ca="1" t="shared" si="100"/>
        <v>0</v>
      </c>
      <c r="U480">
        <f ca="1">IF(金蛇,IF(COUNTIF(B480,"*金环戴*")+COUNTIF(B480,"*吹风醒*")&gt;0,IF(A480&lt;=3,7.125-2.625-A480-加速!$L$11,7.125+加速!$K$9-(A480+加速!$L$11-T480)),0),0)+IF(金蛇,IF(COUNTIF(B480,"*千切子裂光*")&gt;0,2+加速!$K$9-(A480+加速!$L$11-T480),0),0)</f>
        <v>0</v>
      </c>
      <c r="V480">
        <f ca="1" t="shared" si="101"/>
        <v>0</v>
      </c>
      <c r="W480">
        <f ca="1" t="shared" si="93"/>
        <v>0</v>
      </c>
      <c r="X480">
        <f ca="1">INDEX(加速!$I$13:$I$21,技能数计算!W480+1)</f>
        <v>0</v>
      </c>
      <c r="Y480">
        <f ca="1" t="shared" si="97"/>
        <v>0.5</v>
      </c>
      <c r="Z480">
        <f ca="1" t="shared" si="98"/>
        <v>0</v>
      </c>
      <c r="AA480">
        <f ca="1">MAX(0,IFERROR(IF(COUNTIF(B480,"*叠*")&gt;0,IF(AC479&lt;3,8-A481+A480,AA479+6.875-A481+A480),AA479-A481+A480),AA479-加速!$L$11))</f>
        <v>0</v>
      </c>
      <c r="AB480" t="e">
        <f ca="1">MAX(0,IF(COUNTIF(IF(AND(配装计算器!$K$30&lt;&gt;"∞",0),INDEX(AU480:CB480,1,$AT$1),INDEX(AU480:CB480,1,$AT$1)),"*叠1*")=1,4*25-加速!$L$11,AB479-A480+A479)-IF(OR(COUNTIF(OFFSET(AT480,0,$AT$1,1,1),"*听雷*")&gt;0,AND(碧归&gt;0,COUNTIF(OFFSET(AT480,0,$AT$1,1,1),"*风来*")&gt;0)),0,1)*1.5)</f>
        <v>#VALUE!</v>
      </c>
      <c r="AC480">
        <f ca="1" t="shared" si="94"/>
        <v>3</v>
      </c>
      <c r="AD480">
        <f ca="1">IF(COUNTIF(IF(AND(配装计算器!$K$30&lt;&gt;"∞",0),INDEX(AU480:CB480,1,$AT$1),INDEX(AU481:CB481,1,$AT$1)),"*叠1*")=1,AB480*0+AE479,0)</f>
        <v>0</v>
      </c>
      <c r="AE480" t="e">
        <f ca="1">IF($AN$11&gt;0,IF(COUNTIF(B481,"*叠1*")&gt;0,50-加速!$H$11,MAX(0,AE479-(A481-A480))),0)</f>
        <v>#VALUE!</v>
      </c>
      <c r="AU480" s="176" t="s">
        <v>2768</v>
      </c>
      <c r="AV480">
        <v>2</v>
      </c>
      <c r="AW480" t="s">
        <v>2776</v>
      </c>
      <c r="AX480">
        <v>2</v>
      </c>
      <c r="AY480" t="s">
        <v>2768</v>
      </c>
      <c r="AZ480">
        <v>2</v>
      </c>
      <c r="BA480" t="s">
        <v>3035</v>
      </c>
      <c r="BB480">
        <v>2</v>
      </c>
      <c r="BC480" t="s">
        <v>2768</v>
      </c>
      <c r="BD480">
        <v>2</v>
      </c>
      <c r="BE480" t="s">
        <v>2768</v>
      </c>
      <c r="BF480">
        <v>2</v>
      </c>
      <c r="BG480" s="176" t="s">
        <v>3035</v>
      </c>
      <c r="BH480">
        <v>2</v>
      </c>
      <c r="BI480" s="176" t="s">
        <v>2776</v>
      </c>
      <c r="BJ480">
        <v>0</v>
      </c>
      <c r="BK480" t="s">
        <v>2768</v>
      </c>
      <c r="BL480">
        <v>2</v>
      </c>
      <c r="BM480" t="s">
        <v>3009</v>
      </c>
      <c r="BN480">
        <v>2</v>
      </c>
      <c r="BO480" t="s">
        <v>2768</v>
      </c>
      <c r="BP480">
        <v>2</v>
      </c>
      <c r="BQ480" t="s">
        <v>2776</v>
      </c>
      <c r="BR480">
        <v>1</v>
      </c>
      <c r="BS480" s="176" t="s">
        <v>2776</v>
      </c>
      <c r="BT480">
        <v>2</v>
      </c>
      <c r="BU480" t="s">
        <v>2776</v>
      </c>
      <c r="BV480">
        <v>1</v>
      </c>
      <c r="BW480" s="179" t="s">
        <v>2768</v>
      </c>
      <c r="BX480" s="179">
        <v>2</v>
      </c>
      <c r="BY480" t="s">
        <v>3009</v>
      </c>
      <c r="BZ480">
        <v>2</v>
      </c>
      <c r="CA480" t="s">
        <v>3009</v>
      </c>
      <c r="CB480">
        <v>2</v>
      </c>
    </row>
    <row r="481" spans="1:80">
      <c r="A481" s="178" t="str">
        <f ca="1">IFERROR(IF(A480+加速!$L$11&lt;$AS$1,IF(COUNTIF(B480,"*轻*")&gt;0,A480+加速!$L$9,A480+加速!$L$11)+V480,IF(COUNTIF(INDEX(AU481:CB481,1,$AT$1),"*云景*")+COUNTIF(INDEX(AU481:CB481,1,$AT$1),"*鹤归*")+COUNTIF(INDEX(AU481:CB481,1,$AT$1),"*听雷*")&gt;0,A480+加速!$L$11,"")),"")</f>
        <v/>
      </c>
      <c r="B481" s="167" t="str">
        <f ca="1">IF(A481&lt;&gt;"",IF(AND(A481+加速!$L$11&gt;$AS$1,IF(AND(配装计算器!$K$30&lt;&gt;"∞",0),"梦泉虎跑-轻",INDEX(AU481:CB481,1,$AT$1))="云栖松"),"夕照雷峰",IF(AND(配装计算器!$K$30&lt;&gt;"∞",0),"梦泉虎跑-轻",INDEX(AU481:CB481,1,$AT$1))),"")</f>
        <v/>
      </c>
      <c r="C481" t="str">
        <f ca="1" t="shared" si="99"/>
        <v/>
      </c>
      <c r="D481" t="str">
        <f ca="1">IF(B481&lt;&gt;"",IF(C480&lt;=加速!$L$11*(1-E481),0,1),"")</f>
        <v/>
      </c>
      <c r="E481">
        <f ca="1" t="shared" si="95"/>
        <v>1</v>
      </c>
      <c r="G481" t="str">
        <f ca="1" t="shared" si="96"/>
        <v/>
      </c>
      <c r="H481" t="str">
        <f ca="1">IF(B481&lt;&gt;"",IF(AND(COUNTIF(B480,"*轻*莺鸣柳*")&gt;0,COUNTIF(B481,"*轻*")&lt;1),MAX(0,15+I480-(A481-A480)+COUNTIF(B480,"*平湖*")*0),IF(AND(E481=0,MAX(0,H480-(A481-A480))&lt;=加速!$H$11),0,MAX(0,H480-(A481-A480)))),"")</f>
        <v/>
      </c>
      <c r="I481" t="str">
        <f ca="1" t="shared" si="102"/>
        <v/>
      </c>
      <c r="J481" t="str">
        <f ca="1" t="shared" si="103"/>
        <v/>
      </c>
      <c r="K481" t="str">
        <f ca="1">IF(A481&lt;&gt;"",IF(AND(配装计算器!$K$30&lt;&gt;"∞",0),2,INDEX(AU481:CB481,1,$AT$2)),"")</f>
        <v/>
      </c>
      <c r="L481">
        <f ca="1">IFERROR(IF(AND(COUNTIF(B481,"*-峰插*"),技能数据库!$M$72&gt;0),0,IF(COUNTIF(B481,"*鹤归*")&gt;0,16-加速!$L$11,MAX(0,L480-(A481-A480)))),0)</f>
        <v>0</v>
      </c>
      <c r="M481">
        <f ca="1">IF(COUNTIF(IF(AND(配装计算器!$K$30&lt;&gt;"∞",0),INDEX(AU480:CB480,1,$AT$1),INDEX(AU482:CB482,1,$AT$1)),"*鹤归*")=1,L481,0)</f>
        <v>0</v>
      </c>
      <c r="N481">
        <f ca="1">IFERROR(IF(AND(COUNTIF(B481,"*-峰插*"),技能数据库!$M$72&gt;0),0,IF(COUNTIF(B481,"*云飞*")&gt;0,4-COUNTIF(B481,"*玉山揽云*")*4--COUNTIF(B481,"*烟流暮景*")*4-COUNTIF(B481,"*云景*")*加速!$L$11-IF(J481&gt;0,2,0),MAX(0,N480-(A481-A480)-IF(J481&gt;0,2,0)))),0)</f>
        <v>0</v>
      </c>
      <c r="O481">
        <f ca="1">IF(AND(COUNTIF(IF(AND(配装计算器!$K$30&lt;&gt;"∞",0),INDEX(AU480:CB480,1,$AT$1),INDEX(AU482:CB482,1,$AT$1)),"*云飞*")=1,COUNTIF(IF(AND(配装计算器!$K$30&lt;&gt;"∞",0),INDEX(AU480:CB480,1,$AT$1),INDEX(AU482:CB482,1,$AT$1)),"*玉山*")=0),N481,0)</f>
        <v>0</v>
      </c>
      <c r="P481">
        <f ca="1">IFERROR(IF(COUNTIF(B481,"*云栖松*")&gt;0,50-加速!$L$11,MAX(0,P480-(A481-A480))),0)</f>
        <v>0</v>
      </c>
      <c r="Q481">
        <f ca="1">IF(COUNTIF(IF(AND(配装计算器!$K$30&lt;&gt;"∞",0),INDEX(AU480:CB480,1,$AT$1),INDEX(AU482:CB482,1,$AT$1)),"*云栖松*")=1,P481,0)</f>
        <v>0</v>
      </c>
      <c r="R481">
        <f ca="1">IFERROR(IF(COUNTIF(B481,"*莺鸣柳*")&gt;0,45-加速!$L$9,MAX(0,R480-(A481-A480))),0)</f>
        <v>0</v>
      </c>
      <c r="S481">
        <f ca="1">IF(COUNTIF(IF(AND(配装计算器!$K$30&lt;&gt;"∞",0),INDEX(AU480:CB480,1,$AT$1),INDEX(AU482:CB482,1,$AT$1)),"*莺鸣柳*")=1,R481,0)</f>
        <v>0</v>
      </c>
      <c r="T481">
        <f ca="1" t="shared" si="100"/>
        <v>0</v>
      </c>
      <c r="U481">
        <f ca="1">IF(金蛇,IF(COUNTIF(B481,"*金环戴*")+COUNTIF(B481,"*吹风醒*")&gt;0,IF(A481&lt;=3,7.125-2.625-A481-加速!$L$11,7.125+加速!$K$9-(A481+加速!$L$11-T481)),0),0)+IF(金蛇,IF(COUNTIF(B481,"*千切子裂光*")&gt;0,2+加速!$K$9-(A481+加速!$L$11-T481),0),0)</f>
        <v>0</v>
      </c>
      <c r="V481">
        <f ca="1" t="shared" si="101"/>
        <v>0</v>
      </c>
      <c r="W481">
        <f ca="1" t="shared" si="93"/>
        <v>0</v>
      </c>
      <c r="X481">
        <f ca="1">INDEX(加速!$I$13:$I$21,技能数计算!W481+1)</f>
        <v>0</v>
      </c>
      <c r="Y481">
        <f ca="1" t="shared" si="97"/>
        <v>0.5</v>
      </c>
      <c r="Z481">
        <f ca="1" t="shared" si="98"/>
        <v>0</v>
      </c>
      <c r="AA481">
        <f ca="1">MAX(0,IFERROR(IF(COUNTIF(B481,"*叠*")&gt;0,IF(AC480&lt;3,8-A482+A481,AA480+6.875-A482+A481),AA480-A482+A481),AA480-加速!$L$11))</f>
        <v>0</v>
      </c>
      <c r="AB481" t="e">
        <f ca="1">MAX(0,IF(COUNTIF(IF(AND(配装计算器!$K$30&lt;&gt;"∞",0),INDEX(AU481:CB481,1,$AT$1),INDEX(AU481:CB481,1,$AT$1)),"*叠1*")=1,4*25-加速!$L$11,AB480-A481+A480)-IF(OR(COUNTIF(OFFSET(AT481,0,$AT$1,1,1),"*听雷*")&gt;0,AND(碧归&gt;0,COUNTIF(OFFSET(AT481,0,$AT$1,1,1),"*风来*")&gt;0)),0,1)*1.5)</f>
        <v>#VALUE!</v>
      </c>
      <c r="AC481">
        <f ca="1" t="shared" si="94"/>
        <v>3</v>
      </c>
      <c r="AD481">
        <f ca="1">IF(COUNTIF(IF(AND(配装计算器!$K$30&lt;&gt;"∞",0),INDEX(AU481:CB481,1,$AT$1),INDEX(AU482:CB482,1,$AT$1)),"*叠1*")=1,AB481*0+AE480,0)</f>
        <v>0</v>
      </c>
      <c r="AE481" t="e">
        <f ca="1">IF($AN$11&gt;0,IF(COUNTIF(B482,"*叠1*")&gt;0,50-加速!$H$11,MAX(0,AE480-(A482-A481))),0)</f>
        <v>#VALUE!</v>
      </c>
      <c r="AU481" s="176" t="s">
        <v>2776</v>
      </c>
      <c r="AV481">
        <v>2</v>
      </c>
      <c r="AW481" t="s">
        <v>2768</v>
      </c>
      <c r="AX481">
        <v>2</v>
      </c>
      <c r="AY481" t="s">
        <v>2768</v>
      </c>
      <c r="AZ481">
        <v>2</v>
      </c>
      <c r="BA481" t="s">
        <v>2768</v>
      </c>
      <c r="BB481">
        <v>2</v>
      </c>
      <c r="BC481" t="s">
        <v>2776</v>
      </c>
      <c r="BD481">
        <v>2</v>
      </c>
      <c r="BE481" t="s">
        <v>2776</v>
      </c>
      <c r="BF481">
        <v>2</v>
      </c>
      <c r="BG481" t="s">
        <v>2768</v>
      </c>
      <c r="BH481">
        <v>2</v>
      </c>
      <c r="BI481" t="s">
        <v>2794</v>
      </c>
      <c r="BJ481">
        <v>0</v>
      </c>
      <c r="BK481" t="s">
        <v>2776</v>
      </c>
      <c r="BL481">
        <v>2</v>
      </c>
      <c r="BM481" t="s">
        <v>2776</v>
      </c>
      <c r="BN481">
        <v>2</v>
      </c>
      <c r="BO481" t="s">
        <v>2776</v>
      </c>
      <c r="BP481">
        <v>2</v>
      </c>
      <c r="BQ481" t="s">
        <v>2768</v>
      </c>
      <c r="BR481">
        <v>1</v>
      </c>
      <c r="BS481" s="176" t="s">
        <v>2768</v>
      </c>
      <c r="BT481">
        <v>2</v>
      </c>
      <c r="BU481" t="s">
        <v>2768</v>
      </c>
      <c r="BV481">
        <v>1</v>
      </c>
      <c r="BW481" s="179" t="s">
        <v>2776</v>
      </c>
      <c r="BX481" s="179">
        <v>2</v>
      </c>
      <c r="BY481" t="s">
        <v>2768</v>
      </c>
      <c r="BZ481">
        <v>2</v>
      </c>
      <c r="CA481" s="176" t="s">
        <v>2794</v>
      </c>
      <c r="CB481">
        <v>2</v>
      </c>
    </row>
    <row r="482" spans="1:80">
      <c r="A482" s="178" t="str">
        <f ca="1">IFERROR(IF(A481+加速!$L$11&lt;$AS$1,IF(COUNTIF(B481,"*轻*")&gt;0,A481+加速!$L$9,A481+加速!$L$11)+V481,IF(COUNTIF(INDEX(AU482:CB482,1,$AT$1),"*云景*")+COUNTIF(INDEX(AU482:CB482,1,$AT$1),"*鹤归*")+COUNTIF(INDEX(AU482:CB482,1,$AT$1),"*听雷*")&gt;0,A481+加速!$L$11,"")),"")</f>
        <v/>
      </c>
      <c r="B482" s="167" t="str">
        <f ca="1">IF(A482&lt;&gt;"",IF(AND(A482+加速!$L$11&gt;$AS$1,IF(AND(配装计算器!$K$30&lt;&gt;"∞",0),"梦泉虎跑-轻",INDEX(AU482:CB482,1,$AT$1))="云栖松"),"夕照雷峰",IF(AND(配装计算器!$K$30&lt;&gt;"∞",0),"梦泉虎跑-轻",INDEX(AU482:CB482,1,$AT$1))),"")</f>
        <v/>
      </c>
      <c r="C482" t="str">
        <f ca="1" t="shared" si="99"/>
        <v/>
      </c>
      <c r="D482" t="str">
        <f ca="1">IF(B482&lt;&gt;"",IF(C481&lt;=加速!$L$11*(1-E482),0,1),"")</f>
        <v/>
      </c>
      <c r="E482">
        <f ca="1" t="shared" si="95"/>
        <v>1</v>
      </c>
      <c r="G482" t="str">
        <f ca="1" t="shared" si="96"/>
        <v/>
      </c>
      <c r="H482" t="str">
        <f ca="1">IF(B482&lt;&gt;"",IF(AND(COUNTIF(B481,"*轻*莺鸣柳*")&gt;0,COUNTIF(B482,"*轻*")&lt;1),MAX(0,15+I481-(A482-A481)+COUNTIF(B481,"*平湖*")*0),IF(AND(E482=0,MAX(0,H481-(A482-A481))&lt;=加速!$H$11),0,MAX(0,H481-(A482-A481)))),"")</f>
        <v/>
      </c>
      <c r="I482" t="str">
        <f ca="1" t="shared" si="102"/>
        <v/>
      </c>
      <c r="J482" t="str">
        <f ca="1" t="shared" si="103"/>
        <v/>
      </c>
      <c r="K482" t="str">
        <f ca="1">IF(A482&lt;&gt;"",IF(AND(配装计算器!$K$30&lt;&gt;"∞",0),2,INDEX(AU482:CB482,1,$AT$2)),"")</f>
        <v/>
      </c>
      <c r="L482">
        <f ca="1">IFERROR(IF(AND(COUNTIF(B482,"*-峰插*"),技能数据库!$M$72&gt;0),0,IF(COUNTIF(B482,"*鹤归*")&gt;0,16-加速!$L$11,MAX(0,L481-(A482-A481)))),0)</f>
        <v>0</v>
      </c>
      <c r="M482">
        <f ca="1">IF(COUNTIF(IF(AND(配装计算器!$K$30&lt;&gt;"∞",0),INDEX(AU481:CB481,1,$AT$1),INDEX(AU483:CB483,1,$AT$1)),"*鹤归*")=1,L482,0)</f>
        <v>0</v>
      </c>
      <c r="N482">
        <f ca="1">IFERROR(IF(AND(COUNTIF(B482,"*-峰插*"),技能数据库!$M$72&gt;0),0,IF(COUNTIF(B482,"*云飞*")&gt;0,4-COUNTIF(B482,"*玉山揽云*")*4--COUNTIF(B482,"*烟流暮景*")*4-COUNTIF(B482,"*云景*")*加速!$L$11-IF(J482&gt;0,2,0),MAX(0,N481-(A482-A481)-IF(J482&gt;0,2,0)))),0)</f>
        <v>0</v>
      </c>
      <c r="O482">
        <f ca="1">IF(AND(COUNTIF(IF(AND(配装计算器!$K$30&lt;&gt;"∞",0),INDEX(AU481:CB481,1,$AT$1),INDEX(AU483:CB483,1,$AT$1)),"*云飞*")=1,COUNTIF(IF(AND(配装计算器!$K$30&lt;&gt;"∞",0),INDEX(AU481:CB481,1,$AT$1),INDEX(AU483:CB483,1,$AT$1)),"*玉山*")=0),N482,0)</f>
        <v>0</v>
      </c>
      <c r="P482">
        <f ca="1">IFERROR(IF(COUNTIF(B482,"*云栖松*")&gt;0,50-加速!$L$11,MAX(0,P481-(A482-A481))),0)</f>
        <v>0</v>
      </c>
      <c r="Q482">
        <f ca="1">IF(COUNTIF(IF(AND(配装计算器!$K$30&lt;&gt;"∞",0),INDEX(AU481:CB481,1,$AT$1),INDEX(AU483:CB483,1,$AT$1)),"*云栖松*")=1,P482,0)</f>
        <v>0</v>
      </c>
      <c r="R482">
        <f ca="1">IFERROR(IF(COUNTIF(B482,"*莺鸣柳*")&gt;0,45-加速!$L$9,MAX(0,R481-(A482-A481))),0)</f>
        <v>0</v>
      </c>
      <c r="S482">
        <f ca="1">IF(COUNTIF(IF(AND(配装计算器!$K$30&lt;&gt;"∞",0),INDEX(AU481:CB481,1,$AT$1),INDEX(AU483:CB483,1,$AT$1)),"*莺鸣柳*")=1,R482,0)</f>
        <v>0</v>
      </c>
      <c r="T482">
        <f ca="1" t="shared" si="100"/>
        <v>0</v>
      </c>
      <c r="U482">
        <f ca="1">IF(金蛇,IF(COUNTIF(B482,"*金环戴*")+COUNTIF(B482,"*吹风醒*")&gt;0,IF(A482&lt;=3,7.125-2.625-A482-加速!$L$11,7.125+加速!$K$9-(A482+加速!$L$11-T482)),0),0)+IF(金蛇,IF(COUNTIF(B482,"*千切子裂光*")&gt;0,2+加速!$K$9-(A482+加速!$L$11-T482),0),0)</f>
        <v>0</v>
      </c>
      <c r="V482">
        <f ca="1" t="shared" si="101"/>
        <v>0</v>
      </c>
      <c r="W482">
        <f ca="1" t="shared" si="93"/>
        <v>0</v>
      </c>
      <c r="X482">
        <f ca="1">INDEX(加速!$I$13:$I$21,技能数计算!W482+1)</f>
        <v>0</v>
      </c>
      <c r="Y482">
        <f ca="1" t="shared" si="97"/>
        <v>0.5</v>
      </c>
      <c r="Z482">
        <f ca="1" t="shared" si="98"/>
        <v>0</v>
      </c>
      <c r="AA482">
        <f ca="1">MAX(0,IFERROR(IF(COUNTIF(B482,"*叠*")&gt;0,IF(AC481&lt;3,8-A483+A482,AA481+6.875-A483+A482),AA481-A483+A482),AA481-加速!$L$11))</f>
        <v>0</v>
      </c>
      <c r="AB482" t="e">
        <f ca="1">MAX(0,IF(COUNTIF(IF(AND(配装计算器!$K$30&lt;&gt;"∞",0),INDEX(AU482:CB482,1,$AT$1),INDEX(AU482:CB482,1,$AT$1)),"*叠1*")=1,4*25-加速!$L$11,AB481-A482+A481)-IF(OR(COUNTIF(OFFSET(AT482,0,$AT$1,1,1),"*听雷*")&gt;0,AND(碧归&gt;0,COUNTIF(OFFSET(AT482,0,$AT$1,1,1),"*风来*")&gt;0)),0,1)*1.5)</f>
        <v>#VALUE!</v>
      </c>
      <c r="AC482">
        <f ca="1" t="shared" si="94"/>
        <v>3</v>
      </c>
      <c r="AD482">
        <f ca="1">IF(COUNTIF(IF(AND(配装计算器!$K$30&lt;&gt;"∞",0),INDEX(AU482:CB482,1,$AT$1),INDEX(AU483:CB483,1,$AT$1)),"*叠1*")=1,AB482*0+AE481,0)</f>
        <v>0</v>
      </c>
      <c r="AE482" t="e">
        <f ca="1">IF($AN$11&gt;0,IF(COUNTIF(B483,"*叠1*")&gt;0,50-加速!$H$11,MAX(0,AE481-(A483-A482))),0)</f>
        <v>#VALUE!</v>
      </c>
      <c r="AU482" s="176" t="s">
        <v>2768</v>
      </c>
      <c r="AV482">
        <v>1</v>
      </c>
      <c r="AW482" s="180" t="s">
        <v>2789</v>
      </c>
      <c r="AX482">
        <v>2</v>
      </c>
      <c r="AY482" t="s">
        <v>2776</v>
      </c>
      <c r="AZ482">
        <v>2</v>
      </c>
      <c r="BA482" t="s">
        <v>2776</v>
      </c>
      <c r="BB482">
        <v>2</v>
      </c>
      <c r="BC482" t="s">
        <v>2768</v>
      </c>
      <c r="BD482">
        <v>2</v>
      </c>
      <c r="BE482" t="s">
        <v>2768</v>
      </c>
      <c r="BF482">
        <v>1</v>
      </c>
      <c r="BG482" t="s">
        <v>2776</v>
      </c>
      <c r="BH482">
        <v>2</v>
      </c>
      <c r="BI482" t="s">
        <v>2768</v>
      </c>
      <c r="BJ482">
        <v>2</v>
      </c>
      <c r="BK482" t="s">
        <v>2768</v>
      </c>
      <c r="BL482">
        <v>1</v>
      </c>
      <c r="BM482" t="s">
        <v>2768</v>
      </c>
      <c r="BN482">
        <v>2</v>
      </c>
      <c r="BO482" s="176" t="s">
        <v>2794</v>
      </c>
      <c r="BP482">
        <v>2</v>
      </c>
      <c r="BQ482" t="s">
        <v>2768</v>
      </c>
      <c r="BR482">
        <v>0</v>
      </c>
      <c r="BS482" s="176" t="s">
        <v>2794</v>
      </c>
      <c r="BT482">
        <v>2</v>
      </c>
      <c r="BU482" t="s">
        <v>3011</v>
      </c>
      <c r="BV482">
        <v>2</v>
      </c>
      <c r="BW482" s="179" t="s">
        <v>2768</v>
      </c>
      <c r="BX482" s="179">
        <v>2</v>
      </c>
      <c r="BY482" t="s">
        <v>2776</v>
      </c>
      <c r="BZ482">
        <v>2</v>
      </c>
      <c r="CA482" s="176" t="s">
        <v>2776</v>
      </c>
      <c r="CB482">
        <v>2</v>
      </c>
    </row>
    <row r="483" spans="1:80">
      <c r="A483" s="178" t="str">
        <f ca="1">IFERROR(IF(A482+加速!$L$11&lt;$AS$1,IF(COUNTIF(B482,"*轻*")&gt;0,A482+加速!$L$9,A482+加速!$L$11)+V482,IF(COUNTIF(INDEX(AU483:CB483,1,$AT$1),"*云景*")+COUNTIF(INDEX(AU483:CB483,1,$AT$1),"*鹤归*")+COUNTIF(INDEX(AU483:CB483,1,$AT$1),"*听雷*")&gt;0,A482+加速!$L$11,"")),"")</f>
        <v/>
      </c>
      <c r="B483" s="167" t="str">
        <f ca="1">IF(A483&lt;&gt;"",IF(AND(A483+加速!$L$11&gt;$AS$1,IF(AND(配装计算器!$K$30&lt;&gt;"∞",0),"梦泉虎跑-轻",INDEX(AU483:CB483,1,$AT$1))="云栖松"),"夕照雷峰",IF(AND(配装计算器!$K$30&lt;&gt;"∞",0),"梦泉虎跑-轻",INDEX(AU483:CB483,1,$AT$1))),"")</f>
        <v/>
      </c>
      <c r="C483" t="str">
        <f ca="1" t="shared" si="99"/>
        <v/>
      </c>
      <c r="D483" t="str">
        <f ca="1">IF(B483&lt;&gt;"",IF(C482&lt;=加速!$L$11*(1-E483),0,1),"")</f>
        <v/>
      </c>
      <c r="E483">
        <f ca="1" t="shared" si="95"/>
        <v>1</v>
      </c>
      <c r="G483" t="str">
        <f ca="1" t="shared" si="96"/>
        <v/>
      </c>
      <c r="H483" t="str">
        <f ca="1">IF(B483&lt;&gt;"",IF(AND(COUNTIF(B482,"*轻*莺鸣柳*")&gt;0,COUNTIF(B483,"*轻*")&lt;1),MAX(0,15+I482-(A483-A482)+COUNTIF(B482,"*平湖*")*0),IF(AND(E483=0,MAX(0,H482-(A483-A482))&lt;=加速!$H$11),0,MAX(0,H482-(A483-A482)))),"")</f>
        <v/>
      </c>
      <c r="I483" t="str">
        <f ca="1" t="shared" si="102"/>
        <v/>
      </c>
      <c r="J483" t="str">
        <f ca="1" t="shared" si="103"/>
        <v/>
      </c>
      <c r="K483" t="str">
        <f ca="1">IF(A483&lt;&gt;"",IF(AND(配装计算器!$K$30&lt;&gt;"∞",0),2,INDEX(AU483:CB483,1,$AT$2)),"")</f>
        <v/>
      </c>
      <c r="L483">
        <f ca="1">IFERROR(IF(AND(COUNTIF(B483,"*-峰插*"),技能数据库!$M$72&gt;0),0,IF(COUNTIF(B483,"*鹤归*")&gt;0,16-加速!$L$11,MAX(0,L482-(A483-A482)))),0)</f>
        <v>0</v>
      </c>
      <c r="M483">
        <f ca="1">IF(COUNTIF(IF(AND(配装计算器!$K$30&lt;&gt;"∞",0),INDEX(AU482:CB482,1,$AT$1),INDEX(AU484:CB484,1,$AT$1)),"*鹤归*")=1,L483,0)</f>
        <v>0</v>
      </c>
      <c r="N483">
        <f ca="1">IFERROR(IF(AND(COUNTIF(B483,"*-峰插*"),技能数据库!$M$72&gt;0),0,IF(COUNTIF(B483,"*云飞*")&gt;0,4-COUNTIF(B483,"*玉山揽云*")*4--COUNTIF(B483,"*烟流暮景*")*4-COUNTIF(B483,"*云景*")*加速!$L$11-IF(J483&gt;0,2,0),MAX(0,N482-(A483-A482)-IF(J483&gt;0,2,0)))),0)</f>
        <v>0</v>
      </c>
      <c r="O483">
        <f ca="1">IF(AND(COUNTIF(IF(AND(配装计算器!$K$30&lt;&gt;"∞",0),INDEX(AU482:CB482,1,$AT$1),INDEX(AU484:CB484,1,$AT$1)),"*云飞*")=1,COUNTIF(IF(AND(配装计算器!$K$30&lt;&gt;"∞",0),INDEX(AU482:CB482,1,$AT$1),INDEX(AU484:CB484,1,$AT$1)),"*玉山*")=0),N483,0)</f>
        <v>0</v>
      </c>
      <c r="P483">
        <f ca="1">IFERROR(IF(COUNTIF(B483,"*云栖松*")&gt;0,50-加速!$L$11,MAX(0,P482-(A483-A482))),0)</f>
        <v>0</v>
      </c>
      <c r="Q483">
        <f ca="1">IF(COUNTIF(IF(AND(配装计算器!$K$30&lt;&gt;"∞",0),INDEX(AU482:CB482,1,$AT$1),INDEX(AU484:CB484,1,$AT$1)),"*云栖松*")=1,P483,0)</f>
        <v>0</v>
      </c>
      <c r="R483">
        <f ca="1">IFERROR(IF(COUNTIF(B483,"*莺鸣柳*")&gt;0,45-加速!$L$9,MAX(0,R482-(A483-A482))),0)</f>
        <v>0</v>
      </c>
      <c r="S483">
        <f ca="1">IF(COUNTIF(IF(AND(配装计算器!$K$30&lt;&gt;"∞",0),INDEX(AU482:CB482,1,$AT$1),INDEX(AU484:CB484,1,$AT$1)),"*莺鸣柳*")=1,R483,0)</f>
        <v>0</v>
      </c>
      <c r="T483">
        <f ca="1" t="shared" si="100"/>
        <v>0</v>
      </c>
      <c r="U483">
        <f ca="1">IF(金蛇,IF(COUNTIF(B483,"*金环戴*")+COUNTIF(B483,"*吹风醒*")&gt;0,IF(A483&lt;=3,7.125-2.625-A483-加速!$L$11,7.125+加速!$K$9-(A483+加速!$L$11-T483)),0),0)+IF(金蛇,IF(COUNTIF(B483,"*千切子裂光*")&gt;0,2+加速!$K$9-(A483+加速!$L$11-T483),0),0)</f>
        <v>0</v>
      </c>
      <c r="V483">
        <f ca="1" t="shared" si="101"/>
        <v>0</v>
      </c>
      <c r="W483">
        <f ca="1" t="shared" si="93"/>
        <v>0</v>
      </c>
      <c r="X483">
        <f ca="1">INDEX(加速!$I$13:$I$21,技能数计算!W483+1)</f>
        <v>0</v>
      </c>
      <c r="Y483">
        <f ca="1" t="shared" si="97"/>
        <v>0.5</v>
      </c>
      <c r="Z483">
        <f ca="1" t="shared" si="98"/>
        <v>0</v>
      </c>
      <c r="AA483">
        <f ca="1">MAX(0,IFERROR(IF(COUNTIF(B483,"*叠*")&gt;0,IF(AC482&lt;3,8-A484+A483,AA482+6.875-A484+A483),AA482-A484+A483),AA482-加速!$L$11))</f>
        <v>0</v>
      </c>
      <c r="AB483" t="e">
        <f ca="1">MAX(0,IF(COUNTIF(IF(AND(配装计算器!$K$30&lt;&gt;"∞",0),INDEX(AU483:CB483,1,$AT$1),INDEX(AU483:CB483,1,$AT$1)),"*叠1*")=1,4*25-加速!$L$11,AB482-A483+A482)-IF(OR(COUNTIF(OFFSET(AT483,0,$AT$1,1,1),"*听雷*")&gt;0,AND(碧归&gt;0,COUNTIF(OFFSET(AT483,0,$AT$1,1,1),"*风来*")&gt;0)),0,1)*1.5)</f>
        <v>#VALUE!</v>
      </c>
      <c r="AC483">
        <f ca="1" t="shared" si="94"/>
        <v>3</v>
      </c>
      <c r="AD483">
        <f ca="1">IF(COUNTIF(IF(AND(配装计算器!$K$30&lt;&gt;"∞",0),INDEX(AU483:CB483,1,$AT$1),INDEX(AU484:CB484,1,$AT$1)),"*叠1*")=1,AB483*0+AE482,0)</f>
        <v>0</v>
      </c>
      <c r="AE483" t="e">
        <f ca="1">IF($AN$11&gt;0,IF(COUNTIF(B484,"*叠1*")&gt;0,50-加速!$H$11,MAX(0,AE482-(A484-A483))),0)</f>
        <v>#VALUE!</v>
      </c>
      <c r="AU483" t="s">
        <v>2776</v>
      </c>
      <c r="AV483">
        <v>1</v>
      </c>
      <c r="AW483" s="176" t="s">
        <v>2794</v>
      </c>
      <c r="AX483">
        <v>2</v>
      </c>
      <c r="AY483" t="s">
        <v>3035</v>
      </c>
      <c r="AZ483">
        <v>2</v>
      </c>
      <c r="BA483" t="s">
        <v>2768</v>
      </c>
      <c r="BB483">
        <v>2</v>
      </c>
      <c r="BC483" t="s">
        <v>2776</v>
      </c>
      <c r="BD483">
        <v>2</v>
      </c>
      <c r="BE483" t="s">
        <v>2768</v>
      </c>
      <c r="BF483">
        <v>1</v>
      </c>
      <c r="BG483" t="s">
        <v>2768</v>
      </c>
      <c r="BH483">
        <v>2</v>
      </c>
      <c r="BI483" t="s">
        <v>2776</v>
      </c>
      <c r="BJ483">
        <v>2</v>
      </c>
      <c r="BK483" t="s">
        <v>2768</v>
      </c>
      <c r="BL483">
        <v>1</v>
      </c>
      <c r="BM483" s="180" t="s">
        <v>2789</v>
      </c>
      <c r="BN483">
        <v>2</v>
      </c>
      <c r="BO483" s="176" t="s">
        <v>2768</v>
      </c>
      <c r="BP483">
        <v>2</v>
      </c>
      <c r="BQ483" t="s">
        <v>3010</v>
      </c>
      <c r="BR483">
        <v>2</v>
      </c>
      <c r="BS483" t="s">
        <v>2768</v>
      </c>
      <c r="BT483">
        <v>2</v>
      </c>
      <c r="BU483" t="s">
        <v>2768</v>
      </c>
      <c r="BV483">
        <v>2</v>
      </c>
      <c r="BW483" s="179" t="s">
        <v>2768</v>
      </c>
      <c r="BX483" s="179">
        <v>2</v>
      </c>
      <c r="BY483" t="s">
        <v>2768</v>
      </c>
      <c r="BZ483">
        <v>2</v>
      </c>
      <c r="CA483" s="176" t="s">
        <v>2768</v>
      </c>
      <c r="CB483">
        <v>2</v>
      </c>
    </row>
    <row r="484" spans="1:80">
      <c r="A484" s="178" t="str">
        <f ca="1">IFERROR(IF(A483+加速!$L$11&lt;$AS$1,IF(COUNTIF(B483,"*轻*")&gt;0,A483+加速!$L$9,A483+加速!$L$11)+V483,IF(COUNTIF(INDEX(AU484:CB484,1,$AT$1),"*云景*")+COUNTIF(INDEX(AU484:CB484,1,$AT$1),"*鹤归*")+COUNTIF(INDEX(AU484:CB484,1,$AT$1),"*听雷*")&gt;0,A483+加速!$L$11,"")),"")</f>
        <v/>
      </c>
      <c r="B484" s="167" t="str">
        <f ca="1">IF(A484&lt;&gt;"",IF(AND(A484+加速!$L$11&gt;$AS$1,IF(AND(配装计算器!$K$30&lt;&gt;"∞",0),"梦泉虎跑-轻",INDEX(AU484:CB484,1,$AT$1))="云栖松"),"夕照雷峰",IF(AND(配装计算器!$K$30&lt;&gt;"∞",0),"梦泉虎跑-轻",INDEX(AU484:CB484,1,$AT$1))),"")</f>
        <v/>
      </c>
      <c r="C484" t="str">
        <f ca="1" t="shared" si="99"/>
        <v/>
      </c>
      <c r="D484" t="str">
        <f ca="1">IF(B484&lt;&gt;"",IF(C483&lt;=加速!$L$11*(1-E484),0,1),"")</f>
        <v/>
      </c>
      <c r="E484">
        <f ca="1" t="shared" si="95"/>
        <v>1</v>
      </c>
      <c r="G484" t="str">
        <f ca="1" t="shared" si="96"/>
        <v/>
      </c>
      <c r="H484" t="str">
        <f ca="1">IF(B484&lt;&gt;"",IF(AND(COUNTIF(B483,"*轻*莺鸣柳*")&gt;0,COUNTIF(B484,"*轻*")&lt;1),MAX(0,15+I483-(A484-A483)+COUNTIF(B483,"*平湖*")*0),IF(AND(E484=0,MAX(0,H483-(A484-A483))&lt;=加速!$H$11),0,MAX(0,H483-(A484-A483)))),"")</f>
        <v/>
      </c>
      <c r="I484" t="str">
        <f ca="1" t="shared" si="102"/>
        <v/>
      </c>
      <c r="J484" t="str">
        <f ca="1" t="shared" si="103"/>
        <v/>
      </c>
      <c r="K484" t="str">
        <f ca="1">IF(A484&lt;&gt;"",IF(AND(配装计算器!$K$30&lt;&gt;"∞",0),2,INDEX(AU484:CB484,1,$AT$2)),"")</f>
        <v/>
      </c>
      <c r="L484">
        <f ca="1">IFERROR(IF(AND(COUNTIF(B484,"*-峰插*"),技能数据库!$M$72&gt;0),0,IF(COUNTIF(B484,"*鹤归*")&gt;0,16-加速!$L$11,MAX(0,L483-(A484-A483)))),0)</f>
        <v>0</v>
      </c>
      <c r="M484">
        <f ca="1">IF(COUNTIF(IF(AND(配装计算器!$K$30&lt;&gt;"∞",0),INDEX(AU483:CB483,1,$AT$1),INDEX(AU485:CB485,1,$AT$1)),"*鹤归*")=1,L484,0)</f>
        <v>0</v>
      </c>
      <c r="N484">
        <f ca="1">IFERROR(IF(AND(COUNTIF(B484,"*-峰插*"),技能数据库!$M$72&gt;0),0,IF(COUNTIF(B484,"*云飞*")&gt;0,4-COUNTIF(B484,"*玉山揽云*")*4--COUNTIF(B484,"*烟流暮景*")*4-COUNTIF(B484,"*云景*")*加速!$L$11-IF(J484&gt;0,2,0),MAX(0,N483-(A484-A483)-IF(J484&gt;0,2,0)))),0)</f>
        <v>0</v>
      </c>
      <c r="O484">
        <f ca="1">IF(AND(COUNTIF(IF(AND(配装计算器!$K$30&lt;&gt;"∞",0),INDEX(AU483:CB483,1,$AT$1),INDEX(AU485:CB485,1,$AT$1)),"*云飞*")=1,COUNTIF(IF(AND(配装计算器!$K$30&lt;&gt;"∞",0),INDEX(AU483:CB483,1,$AT$1),INDEX(AU485:CB485,1,$AT$1)),"*玉山*")=0),N484,0)</f>
        <v>0</v>
      </c>
      <c r="P484">
        <f ca="1">IFERROR(IF(COUNTIF(B484,"*云栖松*")&gt;0,50-加速!$L$11,MAX(0,P483-(A484-A483))),0)</f>
        <v>0</v>
      </c>
      <c r="Q484">
        <f ca="1">IF(COUNTIF(IF(AND(配装计算器!$K$30&lt;&gt;"∞",0),INDEX(AU483:CB483,1,$AT$1),INDEX(AU485:CB485,1,$AT$1)),"*云栖松*")=1,P484,0)</f>
        <v>0</v>
      </c>
      <c r="R484">
        <f ca="1">IFERROR(IF(COUNTIF(B484,"*莺鸣柳*")&gt;0,45-加速!$L$9,MAX(0,R483-(A484-A483))),0)</f>
        <v>0</v>
      </c>
      <c r="S484">
        <f ca="1">IF(COUNTIF(IF(AND(配装计算器!$K$30&lt;&gt;"∞",0),INDEX(AU483:CB483,1,$AT$1),INDEX(AU485:CB485,1,$AT$1)),"*莺鸣柳*")=1,R484,0)</f>
        <v>0</v>
      </c>
      <c r="T484">
        <f ca="1" t="shared" si="100"/>
        <v>0</v>
      </c>
      <c r="U484">
        <f ca="1">IF(金蛇,IF(COUNTIF(B484,"*金环戴*")+COUNTIF(B484,"*吹风醒*")&gt;0,IF(A484&lt;=3,7.125-2.625-A484-加速!$L$11,7.125+加速!$K$9-(A484+加速!$L$11-T484)),0),0)+IF(金蛇,IF(COUNTIF(B484,"*千切子裂光*")&gt;0,2+加速!$K$9-(A484+加速!$L$11-T484),0),0)</f>
        <v>0</v>
      </c>
      <c r="V484">
        <f ca="1" t="shared" si="101"/>
        <v>0</v>
      </c>
      <c r="W484">
        <f ca="1" t="shared" si="93"/>
        <v>0</v>
      </c>
      <c r="X484">
        <f ca="1">INDEX(加速!$I$13:$I$21,技能数计算!W484+1)</f>
        <v>0</v>
      </c>
      <c r="Y484">
        <f ca="1" t="shared" si="97"/>
        <v>0.5</v>
      </c>
      <c r="Z484">
        <f ca="1" t="shared" si="98"/>
        <v>0</v>
      </c>
      <c r="AA484">
        <f ca="1">MAX(0,IFERROR(IF(COUNTIF(B484,"*叠*")&gt;0,IF(AC483&lt;3,8-A485+A484,AA483+6.875-A485+A484),AA483-A485+A484),AA483-加速!$L$11))</f>
        <v>0</v>
      </c>
      <c r="AB484" t="e">
        <f ca="1">MAX(0,IF(COUNTIF(IF(AND(配装计算器!$K$30&lt;&gt;"∞",0),INDEX(AU484:CB484,1,$AT$1),INDEX(AU484:CB484,1,$AT$1)),"*叠1*")=1,4*25-加速!$L$11,AB483-A484+A483)-IF(OR(COUNTIF(OFFSET(AT484,0,$AT$1,1,1),"*听雷*")&gt;0,AND(碧归&gt;0,COUNTIF(OFFSET(AT484,0,$AT$1,1,1),"*风来*")&gt;0)),0,1)*1.5)</f>
        <v>#VALUE!</v>
      </c>
      <c r="AC484">
        <f ca="1" t="shared" si="94"/>
        <v>3</v>
      </c>
      <c r="AD484">
        <f ca="1">IF(COUNTIF(IF(AND(配装计算器!$K$30&lt;&gt;"∞",0),INDEX(AU484:CB484,1,$AT$1),INDEX(AU485:CB485,1,$AT$1)),"*叠1*")=1,AB484*0+AE483,0)</f>
        <v>0</v>
      </c>
      <c r="AE484" t="e">
        <f ca="1">IF($AN$11&gt;0,IF(COUNTIF(B485,"*叠1*")&gt;0,50-加速!$H$11,MAX(0,AE483-(A485-A484))),0)</f>
        <v>#VALUE!</v>
      </c>
      <c r="AU484" t="s">
        <v>2768</v>
      </c>
      <c r="AV484">
        <v>1</v>
      </c>
      <c r="AW484" s="176" t="s">
        <v>2776</v>
      </c>
      <c r="AX484">
        <v>2</v>
      </c>
      <c r="AY484" t="s">
        <v>2768</v>
      </c>
      <c r="AZ484">
        <v>2</v>
      </c>
      <c r="BA484" t="s">
        <v>2776</v>
      </c>
      <c r="BB484">
        <v>2</v>
      </c>
      <c r="BC484" t="s">
        <v>2768</v>
      </c>
      <c r="BD484">
        <v>2</v>
      </c>
      <c r="BE484" t="s">
        <v>2794</v>
      </c>
      <c r="BF484">
        <v>1</v>
      </c>
      <c r="BG484" t="s">
        <v>2776</v>
      </c>
      <c r="BH484">
        <v>2</v>
      </c>
      <c r="BI484" t="s">
        <v>2768</v>
      </c>
      <c r="BJ484">
        <v>2</v>
      </c>
      <c r="BK484" t="s">
        <v>2768</v>
      </c>
      <c r="BL484">
        <v>0</v>
      </c>
      <c r="BM484" s="176" t="s">
        <v>2794</v>
      </c>
      <c r="BN484">
        <v>2</v>
      </c>
      <c r="BO484" s="176" t="s">
        <v>2776</v>
      </c>
      <c r="BP484">
        <v>2</v>
      </c>
      <c r="BQ484" t="s">
        <v>3013</v>
      </c>
      <c r="BR484">
        <v>2</v>
      </c>
      <c r="BS484" t="s">
        <v>2776</v>
      </c>
      <c r="BT484">
        <v>2</v>
      </c>
      <c r="BU484" t="s">
        <v>3018</v>
      </c>
      <c r="BV484">
        <v>2</v>
      </c>
      <c r="BW484" s="179" t="s">
        <v>2768</v>
      </c>
      <c r="BX484" s="179">
        <v>2</v>
      </c>
      <c r="BY484" s="180" t="s">
        <v>2789</v>
      </c>
      <c r="BZ484">
        <v>2</v>
      </c>
      <c r="CA484" s="176" t="s">
        <v>2776</v>
      </c>
      <c r="CB484">
        <v>2</v>
      </c>
    </row>
    <row r="485" spans="1:80">
      <c r="A485" s="178" t="str">
        <f ca="1">IFERROR(IF(A484+加速!$L$11&lt;$AS$1,IF(COUNTIF(B484,"*轻*")&gt;0,A484+加速!$L$9,A484+加速!$L$11)+V484,IF(COUNTIF(INDEX(AU485:CB485,1,$AT$1),"*云景*")+COUNTIF(INDEX(AU485:CB485,1,$AT$1),"*鹤归*")+COUNTIF(INDEX(AU485:CB485,1,$AT$1),"*听雷*")&gt;0,A484+加速!$L$11,"")),"")</f>
        <v/>
      </c>
      <c r="B485" s="167" t="str">
        <f ca="1">IF(A485&lt;&gt;"",IF(AND(A485+加速!$L$11&gt;$AS$1,IF(AND(配装计算器!$K$30&lt;&gt;"∞",0),"梦泉虎跑-轻",INDEX(AU485:CB485,1,$AT$1))="云栖松"),"夕照雷峰",IF(AND(配装计算器!$K$30&lt;&gt;"∞",0),"梦泉虎跑-轻",INDEX(AU485:CB485,1,$AT$1))),"")</f>
        <v/>
      </c>
      <c r="C485" t="str">
        <f ca="1" t="shared" si="99"/>
        <v/>
      </c>
      <c r="D485" t="str">
        <f ca="1">IF(B485&lt;&gt;"",IF(C484&lt;=加速!$L$11*(1-E485),0,1),"")</f>
        <v/>
      </c>
      <c r="E485">
        <f ca="1" t="shared" si="95"/>
        <v>1</v>
      </c>
      <c r="G485" t="str">
        <f ca="1" t="shared" si="96"/>
        <v/>
      </c>
      <c r="H485" t="str">
        <f ca="1">IF(B485&lt;&gt;"",IF(AND(COUNTIF(B484,"*轻*莺鸣柳*")&gt;0,COUNTIF(B485,"*轻*")&lt;1),MAX(0,15+I484-(A485-A484)+COUNTIF(B484,"*平湖*")*0),IF(AND(E485=0,MAX(0,H484-(A485-A484))&lt;=加速!$H$11),0,MAX(0,H484-(A485-A484)))),"")</f>
        <v/>
      </c>
      <c r="I485" t="str">
        <f ca="1" t="shared" si="102"/>
        <v/>
      </c>
      <c r="J485" t="str">
        <f ca="1" t="shared" si="103"/>
        <v/>
      </c>
      <c r="K485" t="str">
        <f ca="1">IF(A485&lt;&gt;"",IF(AND(配装计算器!$K$30&lt;&gt;"∞",0),2,INDEX(AU485:CB485,1,$AT$2)),"")</f>
        <v/>
      </c>
      <c r="L485">
        <f ca="1">IFERROR(IF(AND(COUNTIF(B485,"*-峰插*"),技能数据库!$M$72&gt;0),0,IF(COUNTIF(B485,"*鹤归*")&gt;0,16-加速!$L$11,MAX(0,L484-(A485-A484)))),0)</f>
        <v>0</v>
      </c>
      <c r="M485">
        <f ca="1">IF(COUNTIF(IF(AND(配装计算器!$K$30&lt;&gt;"∞",0),INDEX(AU484:CB484,1,$AT$1),INDEX(AU486:CB486,1,$AT$1)),"*鹤归*")=1,L485,0)</f>
        <v>0</v>
      </c>
      <c r="N485">
        <f ca="1">IFERROR(IF(AND(COUNTIF(B485,"*-峰插*"),技能数据库!$M$72&gt;0),0,IF(COUNTIF(B485,"*云飞*")&gt;0,4-COUNTIF(B485,"*玉山揽云*")*4--COUNTIF(B485,"*烟流暮景*")*4-COUNTIF(B485,"*云景*")*加速!$L$11-IF(J485&gt;0,2,0),MAX(0,N484-(A485-A484)-IF(J485&gt;0,2,0)))),0)</f>
        <v>0</v>
      </c>
      <c r="O485">
        <f ca="1">IF(AND(COUNTIF(IF(AND(配装计算器!$K$30&lt;&gt;"∞",0),INDEX(AU484:CB484,1,$AT$1),INDEX(AU486:CB486,1,$AT$1)),"*云飞*")=1,COUNTIF(IF(AND(配装计算器!$K$30&lt;&gt;"∞",0),INDEX(AU484:CB484,1,$AT$1),INDEX(AU486:CB486,1,$AT$1)),"*玉山*")=0),N485,0)</f>
        <v>0</v>
      </c>
      <c r="P485">
        <f ca="1">IFERROR(IF(COUNTIF(B485,"*云栖松*")&gt;0,50-加速!$L$11,MAX(0,P484-(A485-A484))),0)</f>
        <v>0</v>
      </c>
      <c r="Q485">
        <f ca="1">IF(COUNTIF(IF(AND(配装计算器!$K$30&lt;&gt;"∞",0),INDEX(AU484:CB484,1,$AT$1),INDEX(AU486:CB486,1,$AT$1)),"*云栖松*")=1,P485,0)</f>
        <v>0</v>
      </c>
      <c r="R485">
        <f ca="1">IFERROR(IF(COUNTIF(B485,"*莺鸣柳*")&gt;0,45-加速!$L$9,MAX(0,R484-(A485-A484))),0)</f>
        <v>0</v>
      </c>
      <c r="S485">
        <f ca="1">IF(COUNTIF(IF(AND(配装计算器!$K$30&lt;&gt;"∞",0),INDEX(AU484:CB484,1,$AT$1),INDEX(AU486:CB486,1,$AT$1)),"*莺鸣柳*")=1,R485,0)</f>
        <v>0</v>
      </c>
      <c r="T485">
        <f ca="1" t="shared" si="100"/>
        <v>0</v>
      </c>
      <c r="U485">
        <f ca="1">IF(金蛇,IF(COUNTIF(B485,"*金环戴*")+COUNTIF(B485,"*吹风醒*")&gt;0,IF(A485&lt;=3,7.125-2.625-A485-加速!$L$11,7.125+加速!$K$9-(A485+加速!$L$11-T485)),0),0)+IF(金蛇,IF(COUNTIF(B485,"*千切子裂光*")&gt;0,2+加速!$K$9-(A485+加速!$L$11-T485),0),0)</f>
        <v>0</v>
      </c>
      <c r="V485">
        <f ca="1" t="shared" si="101"/>
        <v>0</v>
      </c>
      <c r="W485">
        <f ca="1" t="shared" si="93"/>
        <v>0</v>
      </c>
      <c r="X485">
        <f ca="1">INDEX(加速!$I$13:$I$21,技能数计算!W485+1)</f>
        <v>0</v>
      </c>
      <c r="Y485">
        <f ca="1" t="shared" si="97"/>
        <v>0.5</v>
      </c>
      <c r="Z485">
        <f ca="1" t="shared" si="98"/>
        <v>0</v>
      </c>
      <c r="AA485">
        <f ca="1">MAX(0,IFERROR(IF(COUNTIF(B485,"*叠*")&gt;0,IF(AC484&lt;3,8-A486+A485,AA484+6.875-A486+A485),AA484-A486+A485),AA484-加速!$L$11))</f>
        <v>0</v>
      </c>
      <c r="AB485" t="e">
        <f ca="1">MAX(0,IF(COUNTIF(IF(AND(配装计算器!$K$30&lt;&gt;"∞",0),INDEX(AU485:CB485,1,$AT$1),INDEX(AU485:CB485,1,$AT$1)),"*叠1*")=1,4*25-加速!$L$11,AB484-A485+A484)-IF(OR(COUNTIF(OFFSET(AT485,0,$AT$1,1,1),"*听雷*")&gt;0,AND(碧归&gt;0,COUNTIF(OFFSET(AT485,0,$AT$1,1,1),"*风来*")&gt;0)),0,1)*1.5)</f>
        <v>#VALUE!</v>
      </c>
      <c r="AC485">
        <f ca="1" t="shared" si="94"/>
        <v>3</v>
      </c>
      <c r="AD485">
        <f ca="1">IF(COUNTIF(IF(AND(配装计算器!$K$30&lt;&gt;"∞",0),INDEX(AU485:CB485,1,$AT$1),INDEX(AU486:CB486,1,$AT$1)),"*叠1*")=1,AB485*0+AE484,0)</f>
        <v>0</v>
      </c>
      <c r="AE485" t="e">
        <f ca="1">IF($AN$11&gt;0,IF(COUNTIF(B486,"*叠1*")&gt;0,50-加速!$H$11,MAX(0,AE484-(A486-A485))),0)</f>
        <v>#VALUE!</v>
      </c>
      <c r="AU485" t="s">
        <v>2768</v>
      </c>
      <c r="AV485">
        <v>1</v>
      </c>
      <c r="AW485" s="176" t="s">
        <v>2768</v>
      </c>
      <c r="AX485">
        <v>2</v>
      </c>
      <c r="AY485" t="s">
        <v>2776</v>
      </c>
      <c r="AZ485">
        <v>2</v>
      </c>
      <c r="BA485" t="s">
        <v>3042</v>
      </c>
      <c r="BB485">
        <v>2</v>
      </c>
      <c r="BC485" t="s">
        <v>2776</v>
      </c>
      <c r="BD485">
        <v>2</v>
      </c>
      <c r="BE485" t="s">
        <v>2776</v>
      </c>
      <c r="BF485">
        <v>2</v>
      </c>
      <c r="BG485" t="s">
        <v>2768</v>
      </c>
      <c r="BH485">
        <v>2</v>
      </c>
      <c r="BI485" t="s">
        <v>2776</v>
      </c>
      <c r="BJ485">
        <v>1</v>
      </c>
      <c r="BK485" t="s">
        <v>2776</v>
      </c>
      <c r="BL485">
        <v>0</v>
      </c>
      <c r="BM485" s="176" t="s">
        <v>2776</v>
      </c>
      <c r="BN485">
        <v>2</v>
      </c>
      <c r="BO485" s="176" t="s">
        <v>2768</v>
      </c>
      <c r="BP485">
        <v>2</v>
      </c>
      <c r="BQ485" t="s">
        <v>3018</v>
      </c>
      <c r="BR485">
        <v>2</v>
      </c>
      <c r="BS485" t="s">
        <v>2768</v>
      </c>
      <c r="BT485">
        <v>2</v>
      </c>
      <c r="BU485" t="s">
        <v>2768</v>
      </c>
      <c r="BV485">
        <v>2</v>
      </c>
      <c r="BW485" s="179" t="s">
        <v>2776</v>
      </c>
      <c r="BX485" s="179">
        <v>2</v>
      </c>
      <c r="BY485" s="176" t="s">
        <v>2794</v>
      </c>
      <c r="BZ485">
        <v>2</v>
      </c>
      <c r="CA485" s="176" t="s">
        <v>2768</v>
      </c>
      <c r="CB485">
        <v>2</v>
      </c>
    </row>
    <row r="486" spans="1:80">
      <c r="A486" s="178" t="str">
        <f ca="1">IFERROR(IF(A485+加速!$L$11&lt;$AS$1,IF(COUNTIF(B485,"*轻*")&gt;0,A485+加速!$L$9,A485+加速!$L$11)+V485,IF(COUNTIF(INDEX(AU486:CB486,1,$AT$1),"*云景*")+COUNTIF(INDEX(AU486:CB486,1,$AT$1),"*鹤归*")+COUNTIF(INDEX(AU486:CB486,1,$AT$1),"*听雷*")&gt;0,A485+加速!$L$11,"")),"")</f>
        <v/>
      </c>
      <c r="B486" s="167" t="str">
        <f ca="1">IF(A486&lt;&gt;"",IF(AND(A486+加速!$L$11&gt;$AS$1,IF(AND(配装计算器!$K$30&lt;&gt;"∞",0),"梦泉虎跑-轻",INDEX(AU486:CB486,1,$AT$1))="云栖松"),"夕照雷峰",IF(AND(配装计算器!$K$30&lt;&gt;"∞",0),"梦泉虎跑-轻",INDEX(AU486:CB486,1,$AT$1))),"")</f>
        <v/>
      </c>
      <c r="C486" t="str">
        <f ca="1" t="shared" si="99"/>
        <v/>
      </c>
      <c r="D486" t="str">
        <f ca="1">IF(B486&lt;&gt;"",IF(C485&lt;=加速!$L$11*(1-E486),0,1),"")</f>
        <v/>
      </c>
      <c r="E486">
        <f ca="1" t="shared" si="95"/>
        <v>1</v>
      </c>
      <c r="G486" t="str">
        <f ca="1" t="shared" si="96"/>
        <v/>
      </c>
      <c r="H486" t="str">
        <f ca="1">IF(B486&lt;&gt;"",IF(AND(COUNTIF(B485,"*轻*莺鸣柳*")&gt;0,COUNTIF(B486,"*轻*")&lt;1),MAX(0,15+I485-(A486-A485)+COUNTIF(B485,"*平湖*")*0),IF(AND(E486=0,MAX(0,H485-(A486-A485))&lt;=加速!$H$11),0,MAX(0,H485-(A486-A485)))),"")</f>
        <v/>
      </c>
      <c r="I486" t="str">
        <f ca="1" t="shared" si="102"/>
        <v/>
      </c>
      <c r="J486" t="str">
        <f ca="1" t="shared" si="103"/>
        <v/>
      </c>
      <c r="K486" t="str">
        <f ca="1">IF(A486&lt;&gt;"",IF(AND(配装计算器!$K$30&lt;&gt;"∞",0),2,INDEX(AU486:CB486,1,$AT$2)),"")</f>
        <v/>
      </c>
      <c r="L486">
        <f ca="1">IFERROR(IF(AND(COUNTIF(B486,"*-峰插*"),技能数据库!$M$72&gt;0),0,IF(COUNTIF(B486,"*鹤归*")&gt;0,16-加速!$L$11,MAX(0,L485-(A486-A485)))),0)</f>
        <v>0</v>
      </c>
      <c r="M486">
        <f ca="1">IF(COUNTIF(IF(AND(配装计算器!$K$30&lt;&gt;"∞",0),INDEX(AU485:CB485,1,$AT$1),INDEX(AU487:CB487,1,$AT$1)),"*鹤归*")=1,L486,0)</f>
        <v>0</v>
      </c>
      <c r="N486">
        <f ca="1">IFERROR(IF(AND(COUNTIF(B486,"*-峰插*"),技能数据库!$M$72&gt;0),0,IF(COUNTIF(B486,"*云飞*")&gt;0,4-COUNTIF(B486,"*玉山揽云*")*4--COUNTIF(B486,"*烟流暮景*")*4-COUNTIF(B486,"*云景*")*加速!$L$11-IF(J486&gt;0,2,0),MAX(0,N485-(A486-A485)-IF(J486&gt;0,2,0)))),0)</f>
        <v>0</v>
      </c>
      <c r="O486">
        <f ca="1">IF(AND(COUNTIF(IF(AND(配装计算器!$K$30&lt;&gt;"∞",0),INDEX(AU485:CB485,1,$AT$1),INDEX(AU487:CB487,1,$AT$1)),"*云飞*")=1,COUNTIF(IF(AND(配装计算器!$K$30&lt;&gt;"∞",0),INDEX(AU485:CB485,1,$AT$1),INDEX(AU487:CB487,1,$AT$1)),"*玉山*")=0),N486,0)</f>
        <v>0</v>
      </c>
      <c r="P486">
        <f ca="1">IFERROR(IF(COUNTIF(B486,"*云栖松*")&gt;0,50-加速!$L$11,MAX(0,P485-(A486-A485))),0)</f>
        <v>0</v>
      </c>
      <c r="Q486">
        <f ca="1">IF(COUNTIF(IF(AND(配装计算器!$K$30&lt;&gt;"∞",0),INDEX(AU485:CB485,1,$AT$1),INDEX(AU487:CB487,1,$AT$1)),"*云栖松*")=1,P486,0)</f>
        <v>0</v>
      </c>
      <c r="R486">
        <f ca="1">IFERROR(IF(COUNTIF(B486,"*莺鸣柳*")&gt;0,45-加速!$L$9,MAX(0,R485-(A486-A485))),0)</f>
        <v>0</v>
      </c>
      <c r="S486">
        <f ca="1">IF(COUNTIF(IF(AND(配装计算器!$K$30&lt;&gt;"∞",0),INDEX(AU485:CB485,1,$AT$1),INDEX(AU487:CB487,1,$AT$1)),"*莺鸣柳*")=1,R486,0)</f>
        <v>0</v>
      </c>
      <c r="T486">
        <f ca="1" t="shared" si="100"/>
        <v>0</v>
      </c>
      <c r="U486">
        <f ca="1">IF(金蛇,IF(COUNTIF(B486,"*金环戴*")+COUNTIF(B486,"*吹风醒*")&gt;0,IF(A486&lt;=3,7.125-2.625-A486-加速!$L$11,7.125+加速!$K$9-(A486+加速!$L$11-T486)),0),0)+IF(金蛇,IF(COUNTIF(B486,"*千切子裂光*")&gt;0,2+加速!$K$9-(A486+加速!$L$11-T486),0),0)</f>
        <v>0</v>
      </c>
      <c r="V486">
        <f ca="1" t="shared" si="101"/>
        <v>0</v>
      </c>
      <c r="W486">
        <f ca="1" t="shared" si="93"/>
        <v>0</v>
      </c>
      <c r="X486">
        <f ca="1">INDEX(加速!$I$13:$I$21,技能数计算!W486+1)</f>
        <v>0</v>
      </c>
      <c r="Y486">
        <f ca="1" t="shared" si="97"/>
        <v>0.5</v>
      </c>
      <c r="Z486">
        <f ca="1" t="shared" si="98"/>
        <v>0</v>
      </c>
      <c r="AA486">
        <f ca="1">MAX(0,IFERROR(IF(COUNTIF(B486,"*叠*")&gt;0,IF(AC485&lt;3,8-A487+A486,AA485+6.875-A487+A486),AA485-A487+A486),AA485-加速!$L$11))</f>
        <v>0</v>
      </c>
      <c r="AB486" t="e">
        <f ca="1">MAX(0,IF(COUNTIF(IF(AND(配装计算器!$K$30&lt;&gt;"∞",0),INDEX(AU486:CB486,1,$AT$1),INDEX(AU486:CB486,1,$AT$1)),"*叠1*")=1,4*25-加速!$L$11,AB485-A486+A485)-IF(OR(COUNTIF(OFFSET(AT486,0,$AT$1,1,1),"*听雷*")&gt;0,AND(碧归&gt;0,COUNTIF(OFFSET(AT486,0,$AT$1,1,1),"*风来*")&gt;0)),0,1)*1.5)</f>
        <v>#VALUE!</v>
      </c>
      <c r="AC486">
        <f ca="1" t="shared" si="94"/>
        <v>3</v>
      </c>
      <c r="AD486">
        <f ca="1">IF(COUNTIF(IF(AND(配装计算器!$K$30&lt;&gt;"∞",0),INDEX(AU486:CB486,1,$AT$1),INDEX(AU487:CB487,1,$AT$1)),"*叠1*")=1,AB486*0+AE485,0)</f>
        <v>0</v>
      </c>
      <c r="AE486" t="e">
        <f ca="1">IF($AN$11&gt;0,IF(COUNTIF(B487,"*叠1*")&gt;0,50-加速!$H$11,MAX(0,AE485-(A487-A486))),0)</f>
        <v>#VALUE!</v>
      </c>
      <c r="AU486" t="s">
        <v>3063</v>
      </c>
      <c r="AV486">
        <v>2</v>
      </c>
      <c r="AW486" s="176" t="s">
        <v>2776</v>
      </c>
      <c r="AX486">
        <v>2</v>
      </c>
      <c r="AY486" t="s">
        <v>2768</v>
      </c>
      <c r="AZ486">
        <v>2</v>
      </c>
      <c r="BA486" t="s">
        <v>2808</v>
      </c>
      <c r="BB486">
        <v>2</v>
      </c>
      <c r="BC486" t="s">
        <v>2768</v>
      </c>
      <c r="BD486">
        <v>1</v>
      </c>
      <c r="BE486" t="s">
        <v>2768</v>
      </c>
      <c r="BF486">
        <v>2</v>
      </c>
      <c r="BG486" t="s">
        <v>2808</v>
      </c>
      <c r="BH486">
        <v>2</v>
      </c>
      <c r="BI486" t="s">
        <v>2768</v>
      </c>
      <c r="BJ486">
        <v>1</v>
      </c>
      <c r="BK486" t="s">
        <v>2768</v>
      </c>
      <c r="BL486">
        <v>0</v>
      </c>
      <c r="BM486" s="176" t="s">
        <v>2768</v>
      </c>
      <c r="BN486">
        <v>2</v>
      </c>
      <c r="BO486" s="176" t="s">
        <v>2776</v>
      </c>
      <c r="BP486">
        <v>2</v>
      </c>
      <c r="BQ486" t="s">
        <v>2768</v>
      </c>
      <c r="BR486">
        <v>2</v>
      </c>
      <c r="BS486" t="s">
        <v>2776</v>
      </c>
      <c r="BT486">
        <v>1</v>
      </c>
      <c r="BU486" s="182" t="s">
        <v>3023</v>
      </c>
      <c r="BV486">
        <v>2</v>
      </c>
      <c r="BW486" s="182" t="s">
        <v>2794</v>
      </c>
      <c r="BX486" s="179">
        <v>2</v>
      </c>
      <c r="BY486" s="176" t="s">
        <v>2776</v>
      </c>
      <c r="BZ486">
        <v>2</v>
      </c>
      <c r="CA486" s="176" t="s">
        <v>2808</v>
      </c>
      <c r="CB486">
        <v>2</v>
      </c>
    </row>
    <row r="487" spans="1:80">
      <c r="A487" s="178" t="str">
        <f ca="1">IFERROR(IF(A486+加速!$L$11&lt;$AS$1,IF(COUNTIF(B486,"*轻*")&gt;0,A486+加速!$L$9,A486+加速!$L$11)+V486,IF(COUNTIF(INDEX(AU487:CB487,1,$AT$1),"*云景*")+COUNTIF(INDEX(AU487:CB487,1,$AT$1),"*鹤归*")+COUNTIF(INDEX(AU487:CB487,1,$AT$1),"*听雷*")&gt;0,A486+加速!$L$11,"")),"")</f>
        <v/>
      </c>
      <c r="B487" s="167" t="str">
        <f ca="1">IF(A487&lt;&gt;"",IF(AND(A487+加速!$L$11&gt;$AS$1,IF(AND(配装计算器!$K$30&lt;&gt;"∞",0),"梦泉虎跑-轻",INDEX(AU487:CB487,1,$AT$1))="云栖松"),"夕照雷峰",IF(AND(配装计算器!$K$30&lt;&gt;"∞",0),"梦泉虎跑-轻",INDEX(AU487:CB487,1,$AT$1))),"")</f>
        <v/>
      </c>
      <c r="C487" t="str">
        <f ca="1" t="shared" si="99"/>
        <v/>
      </c>
      <c r="D487" t="str">
        <f ca="1">IF(B487&lt;&gt;"",IF(C486&lt;=加速!$L$11*(1-E487),0,1),"")</f>
        <v/>
      </c>
      <c r="E487">
        <f ca="1" t="shared" si="95"/>
        <v>1</v>
      </c>
      <c r="G487" t="str">
        <f ca="1" t="shared" si="96"/>
        <v/>
      </c>
      <c r="H487" t="str">
        <f ca="1">IF(B487&lt;&gt;"",IF(AND(COUNTIF(B486,"*轻*莺鸣柳*")&gt;0,COUNTIF(B487,"*轻*")&lt;1),MAX(0,15+I486-(A487-A486)+COUNTIF(B486,"*平湖*")*0),IF(AND(E487=0,MAX(0,H486-(A487-A486))&lt;=加速!$H$11),0,MAX(0,H486-(A487-A486)))),"")</f>
        <v/>
      </c>
      <c r="I487" t="str">
        <f ca="1" t="shared" si="102"/>
        <v/>
      </c>
      <c r="J487" t="str">
        <f ca="1" t="shared" si="103"/>
        <v/>
      </c>
      <c r="K487" t="str">
        <f ca="1">IF(A487&lt;&gt;"",IF(AND(配装计算器!$K$30&lt;&gt;"∞",0),2,INDEX(AU487:CB487,1,$AT$2)),"")</f>
        <v/>
      </c>
      <c r="L487">
        <f ca="1">IFERROR(IF(AND(COUNTIF(B487,"*-峰插*"),技能数据库!$M$72&gt;0),0,IF(COUNTIF(B487,"*鹤归*")&gt;0,16-加速!$L$11,MAX(0,L486-(A487-A486)))),0)</f>
        <v>0</v>
      </c>
      <c r="M487">
        <f ca="1">IF(COUNTIF(IF(AND(配装计算器!$K$30&lt;&gt;"∞",0),INDEX(AU486:CB486,1,$AT$1),INDEX(AU488:CB488,1,$AT$1)),"*鹤归*")=1,L487,0)</f>
        <v>0</v>
      </c>
      <c r="N487">
        <f ca="1">IFERROR(IF(AND(COUNTIF(B487,"*-峰插*"),技能数据库!$M$72&gt;0),0,IF(COUNTIF(B487,"*云飞*")&gt;0,4-COUNTIF(B487,"*玉山揽云*")*4--COUNTIF(B487,"*烟流暮景*")*4-COUNTIF(B487,"*云景*")*加速!$L$11-IF(J487&gt;0,2,0),MAX(0,N486-(A487-A486)-IF(J487&gt;0,2,0)))),0)</f>
        <v>0</v>
      </c>
      <c r="O487">
        <f ca="1">IF(AND(COUNTIF(IF(AND(配装计算器!$K$30&lt;&gt;"∞",0),INDEX(AU486:CB486,1,$AT$1),INDEX(AU488:CB488,1,$AT$1)),"*云飞*")=1,COUNTIF(IF(AND(配装计算器!$K$30&lt;&gt;"∞",0),INDEX(AU486:CB486,1,$AT$1),INDEX(AU488:CB488,1,$AT$1)),"*玉山*")=0),N487,0)</f>
        <v>0</v>
      </c>
      <c r="P487">
        <f ca="1">IFERROR(IF(COUNTIF(B487,"*云栖松*")&gt;0,50-加速!$L$11,MAX(0,P486-(A487-A486))),0)</f>
        <v>0</v>
      </c>
      <c r="Q487">
        <f ca="1">IF(COUNTIF(IF(AND(配装计算器!$K$30&lt;&gt;"∞",0),INDEX(AU486:CB486,1,$AT$1),INDEX(AU488:CB488,1,$AT$1)),"*云栖松*")=1,P487,0)</f>
        <v>0</v>
      </c>
      <c r="R487">
        <f ca="1">IFERROR(IF(COUNTIF(B487,"*莺鸣柳*")&gt;0,45-加速!$L$9,MAX(0,R486-(A487-A486))),0)</f>
        <v>0</v>
      </c>
      <c r="S487">
        <f ca="1">IF(COUNTIF(IF(AND(配装计算器!$K$30&lt;&gt;"∞",0),INDEX(AU486:CB486,1,$AT$1),INDEX(AU488:CB488,1,$AT$1)),"*莺鸣柳*")=1,R487,0)</f>
        <v>0</v>
      </c>
      <c r="T487">
        <f ca="1" t="shared" si="100"/>
        <v>0</v>
      </c>
      <c r="U487">
        <f ca="1">IF(金蛇,IF(COUNTIF(B487,"*金环戴*")+COUNTIF(B487,"*吹风醒*")&gt;0,IF(A487&lt;=3,7.125-2.625-A487-加速!$L$11,7.125+加速!$K$9-(A487+加速!$L$11-T487)),0),0)+IF(金蛇,IF(COUNTIF(B487,"*千切子裂光*")&gt;0,2+加速!$K$9-(A487+加速!$L$11-T487),0),0)</f>
        <v>0</v>
      </c>
      <c r="V487">
        <f ca="1" t="shared" si="101"/>
        <v>0</v>
      </c>
      <c r="W487">
        <f ca="1" t="shared" si="93"/>
        <v>0</v>
      </c>
      <c r="X487">
        <f ca="1">INDEX(加速!$I$13:$I$21,技能数计算!W487+1)</f>
        <v>0</v>
      </c>
      <c r="Y487">
        <f ca="1" t="shared" si="97"/>
        <v>0.5</v>
      </c>
      <c r="Z487">
        <f ca="1" t="shared" si="98"/>
        <v>0</v>
      </c>
      <c r="AA487">
        <f ca="1">MAX(0,IFERROR(IF(COUNTIF(B487,"*叠*")&gt;0,IF(AC486&lt;3,8-A488+A487,AA486+6.875-A488+A487),AA486-A488+A487),AA486-加速!$L$11))</f>
        <v>0</v>
      </c>
      <c r="AB487" t="e">
        <f ca="1">MAX(0,IF(COUNTIF(IF(AND(配装计算器!$K$30&lt;&gt;"∞",0),INDEX(AU487:CB487,1,$AT$1),INDEX(AU487:CB487,1,$AT$1)),"*叠1*")=1,4*25-加速!$L$11,AB486-A487+A486)-IF(OR(COUNTIF(OFFSET(AT487,0,$AT$1,1,1),"*听雷*")&gt;0,AND(碧归&gt;0,COUNTIF(OFFSET(AT487,0,$AT$1,1,1),"*风来*")&gt;0)),0,1)*1.5)</f>
        <v>#VALUE!</v>
      </c>
      <c r="AC487">
        <f ca="1" t="shared" si="94"/>
        <v>3</v>
      </c>
      <c r="AD487">
        <f ca="1">IF(COUNTIF(IF(AND(配装计算器!$K$30&lt;&gt;"∞",0),INDEX(AU487:CB487,1,$AT$1),INDEX(AU488:CB488,1,$AT$1)),"*叠1*")=1,AB487*0+AE486,0)</f>
        <v>0</v>
      </c>
      <c r="AE487" t="e">
        <f ca="1">IF($AN$11&gt;0,IF(COUNTIF(B488,"*叠1*")&gt;0,50-加速!$H$11,MAX(0,AE486-(A488-A487))),0)</f>
        <v>#VALUE!</v>
      </c>
      <c r="AU487" t="s">
        <v>2776</v>
      </c>
      <c r="AV487">
        <v>1</v>
      </c>
      <c r="AW487" s="176" t="s">
        <v>2768</v>
      </c>
      <c r="AX487">
        <v>2</v>
      </c>
      <c r="AY487" t="s">
        <v>2776</v>
      </c>
      <c r="AZ487">
        <v>2</v>
      </c>
      <c r="BA487" t="s">
        <v>2768</v>
      </c>
      <c r="BB487">
        <v>2</v>
      </c>
      <c r="BC487" t="s">
        <v>2768</v>
      </c>
      <c r="BD487">
        <v>1</v>
      </c>
      <c r="BE487" t="s">
        <v>2776</v>
      </c>
      <c r="BF487">
        <v>2</v>
      </c>
      <c r="BG487" t="s">
        <v>2768</v>
      </c>
      <c r="BH487">
        <v>2</v>
      </c>
      <c r="BI487" t="s">
        <v>2776</v>
      </c>
      <c r="BJ487">
        <v>0</v>
      </c>
      <c r="BK487" t="s">
        <v>3067</v>
      </c>
      <c r="BL487">
        <v>2</v>
      </c>
      <c r="BM487" s="176" t="s">
        <v>2776</v>
      </c>
      <c r="BN487">
        <v>2</v>
      </c>
      <c r="BO487" s="176" t="str">
        <f>IF(0,"云飞玉皇-玉山揽云","夕照雷峰")</f>
        <v>夕照雷峰</v>
      </c>
      <c r="BP487">
        <v>2</v>
      </c>
      <c r="BQ487" t="s">
        <v>3023</v>
      </c>
      <c r="BR487">
        <v>2</v>
      </c>
      <c r="BS487" t="s">
        <v>2768</v>
      </c>
      <c r="BT487">
        <v>1</v>
      </c>
      <c r="BU487" s="176" t="s">
        <v>2768</v>
      </c>
      <c r="BV487">
        <v>2</v>
      </c>
      <c r="BW487" s="182" t="s">
        <v>2768</v>
      </c>
      <c r="BX487" s="179">
        <v>2</v>
      </c>
      <c r="BY487" s="176" t="s">
        <v>2768</v>
      </c>
      <c r="BZ487">
        <v>2</v>
      </c>
      <c r="CA487" s="180" t="s">
        <v>2789</v>
      </c>
      <c r="CB487">
        <v>2</v>
      </c>
    </row>
    <row r="488" spans="1:80">
      <c r="A488" s="178" t="str">
        <f ca="1">IFERROR(IF(A487+加速!$L$11&lt;$AS$1,IF(COUNTIF(B487,"*轻*")&gt;0,A487+加速!$L$9,A487+加速!$L$11)+V487,IF(COUNTIF(INDEX(AU488:CB488,1,$AT$1),"*云景*")+COUNTIF(INDEX(AU488:CB488,1,$AT$1),"*鹤归*")+COUNTIF(INDEX(AU488:CB488,1,$AT$1),"*听雷*")&gt;0,A487+加速!$L$11,"")),"")</f>
        <v/>
      </c>
      <c r="B488" s="167" t="str">
        <f ca="1">IF(A488&lt;&gt;"",IF(AND(A488+加速!$L$11&gt;$AS$1,IF(AND(配装计算器!$K$30&lt;&gt;"∞",0),"梦泉虎跑-轻",INDEX(AU488:CB488,1,$AT$1))="云栖松"),"夕照雷峰",IF(AND(配装计算器!$K$30&lt;&gt;"∞",0),"梦泉虎跑-轻",INDEX(AU488:CB488,1,$AT$1))),"")</f>
        <v/>
      </c>
      <c r="C488" t="str">
        <f ca="1" t="shared" si="99"/>
        <v/>
      </c>
      <c r="D488" t="str">
        <f ca="1">IF(B488&lt;&gt;"",IF(C487&lt;=加速!$L$11*(1-E488),0,1),"")</f>
        <v/>
      </c>
      <c r="E488">
        <f ca="1" t="shared" si="95"/>
        <v>1</v>
      </c>
      <c r="G488" t="str">
        <f ca="1" t="shared" si="96"/>
        <v/>
      </c>
      <c r="H488" t="str">
        <f ca="1">IF(B488&lt;&gt;"",IF(AND(COUNTIF(B487,"*轻*莺鸣柳*")&gt;0,COUNTIF(B488,"*轻*")&lt;1),MAX(0,15+I487-(A488-A487)+COUNTIF(B487,"*平湖*")*0),IF(AND(E488=0,MAX(0,H487-(A488-A487))&lt;=加速!$H$11),0,MAX(0,H487-(A488-A487)))),"")</f>
        <v/>
      </c>
      <c r="I488" t="str">
        <f ca="1" t="shared" si="102"/>
        <v/>
      </c>
      <c r="J488" t="str">
        <f ca="1" t="shared" si="103"/>
        <v/>
      </c>
      <c r="K488" t="str">
        <f ca="1">IF(A488&lt;&gt;"",IF(AND(配装计算器!$K$30&lt;&gt;"∞",0),2,INDEX(AU488:CB488,1,$AT$2)),"")</f>
        <v/>
      </c>
      <c r="L488">
        <f ca="1">IFERROR(IF(AND(COUNTIF(B488,"*-峰插*"),技能数据库!$M$72&gt;0),0,IF(COUNTIF(B488,"*鹤归*")&gt;0,16-加速!$L$11,MAX(0,L487-(A488-A487)))),0)</f>
        <v>0</v>
      </c>
      <c r="M488">
        <f ca="1">IF(COUNTIF(IF(AND(配装计算器!$K$30&lt;&gt;"∞",0),INDEX(AU487:CB487,1,$AT$1),INDEX(AU489:CB489,1,$AT$1)),"*鹤归*")=1,L488,0)</f>
        <v>0</v>
      </c>
      <c r="N488">
        <f ca="1">IFERROR(IF(AND(COUNTIF(B488,"*-峰插*"),技能数据库!$M$72&gt;0),0,IF(COUNTIF(B488,"*云飞*")&gt;0,4-COUNTIF(B488,"*玉山揽云*")*4--COUNTIF(B488,"*烟流暮景*")*4-COUNTIF(B488,"*云景*")*加速!$L$11-IF(J488&gt;0,2,0),MAX(0,N487-(A488-A487)-IF(J488&gt;0,2,0)))),0)</f>
        <v>0</v>
      </c>
      <c r="O488">
        <f ca="1">IF(AND(COUNTIF(IF(AND(配装计算器!$K$30&lt;&gt;"∞",0),INDEX(AU487:CB487,1,$AT$1),INDEX(AU489:CB489,1,$AT$1)),"*云飞*")=1,COUNTIF(IF(AND(配装计算器!$K$30&lt;&gt;"∞",0),INDEX(AU487:CB487,1,$AT$1),INDEX(AU489:CB489,1,$AT$1)),"*玉山*")=0),N488,0)</f>
        <v>0</v>
      </c>
      <c r="P488">
        <f ca="1">IFERROR(IF(COUNTIF(B488,"*云栖松*")&gt;0,50-加速!$L$11,MAX(0,P487-(A488-A487))),0)</f>
        <v>0</v>
      </c>
      <c r="Q488">
        <f ca="1">IF(COUNTIF(IF(AND(配装计算器!$K$30&lt;&gt;"∞",0),INDEX(AU487:CB487,1,$AT$1),INDEX(AU489:CB489,1,$AT$1)),"*云栖松*")=1,P488,0)</f>
        <v>0</v>
      </c>
      <c r="R488">
        <f ca="1">IFERROR(IF(COUNTIF(B488,"*莺鸣柳*")&gt;0,45-加速!$L$9,MAX(0,R487-(A488-A487))),0)</f>
        <v>0</v>
      </c>
      <c r="S488">
        <f ca="1">IF(COUNTIF(IF(AND(配装计算器!$K$30&lt;&gt;"∞",0),INDEX(AU487:CB487,1,$AT$1),INDEX(AU489:CB489,1,$AT$1)),"*莺鸣柳*")=1,R488,0)</f>
        <v>0</v>
      </c>
      <c r="T488">
        <f ca="1" t="shared" si="100"/>
        <v>0</v>
      </c>
      <c r="U488">
        <f ca="1">IF(金蛇,IF(COUNTIF(B488,"*金环戴*")+COUNTIF(B488,"*吹风醒*")&gt;0,IF(A488&lt;=3,7.125-2.625-A488-加速!$L$11,7.125+加速!$K$9-(A488+加速!$L$11-T488)),0),0)+IF(金蛇,IF(COUNTIF(B488,"*千切子裂光*")&gt;0,2+加速!$K$9-(A488+加速!$L$11-T488),0),0)</f>
        <v>0</v>
      </c>
      <c r="V488">
        <f ca="1" t="shared" si="101"/>
        <v>0</v>
      </c>
      <c r="W488">
        <f ca="1" t="shared" si="93"/>
        <v>0</v>
      </c>
      <c r="X488">
        <f ca="1">INDEX(加速!$I$13:$I$21,技能数计算!W488+1)</f>
        <v>0</v>
      </c>
      <c r="Y488">
        <f ca="1" t="shared" si="97"/>
        <v>0.5</v>
      </c>
      <c r="Z488">
        <f ca="1" t="shared" si="98"/>
        <v>0</v>
      </c>
      <c r="AA488">
        <f ca="1">MAX(0,IFERROR(IF(COUNTIF(B488,"*叠*")&gt;0,IF(AC487&lt;3,8-A489+A488,AA487+6.875-A489+A488),AA487-A489+A488),AA487-加速!$L$11))</f>
        <v>0</v>
      </c>
      <c r="AB488" t="e">
        <f ca="1">MAX(0,IF(COUNTIF(IF(AND(配装计算器!$K$30&lt;&gt;"∞",0),INDEX(AU488:CB488,1,$AT$1),INDEX(AU488:CB488,1,$AT$1)),"*叠1*")=1,4*25-加速!$L$11,AB487-A488+A487)-IF(OR(COUNTIF(OFFSET(AT488,0,$AT$1,1,1),"*听雷*")&gt;0,AND(碧归&gt;0,COUNTIF(OFFSET(AT488,0,$AT$1,1,1),"*风来*")&gt;0)),0,1)*1.5)</f>
        <v>#VALUE!</v>
      </c>
      <c r="AC488">
        <f ca="1" t="shared" si="94"/>
        <v>3</v>
      </c>
      <c r="AD488">
        <f ca="1">IF(COUNTIF(IF(AND(配装计算器!$K$30&lt;&gt;"∞",0),INDEX(AU488:CB488,1,$AT$1),INDEX(AU489:CB489,1,$AT$1)),"*叠1*")=1,AB488*0+AE487,0)</f>
        <v>0</v>
      </c>
      <c r="AE488" t="e">
        <f ca="1">IF($AN$11&gt;0,IF(COUNTIF(B489,"*叠1*")&gt;0,50-加速!$H$11,MAX(0,AE487-(A489-A488))),0)</f>
        <v>#VALUE!</v>
      </c>
      <c r="AU488" t="s">
        <v>2768</v>
      </c>
      <c r="AV488">
        <v>2</v>
      </c>
      <c r="AW488" s="176" t="s">
        <v>2808</v>
      </c>
      <c r="AX488">
        <v>2</v>
      </c>
      <c r="AY488" t="s">
        <v>3042</v>
      </c>
      <c r="AZ488">
        <v>2</v>
      </c>
      <c r="BA488" t="s">
        <v>2768</v>
      </c>
      <c r="BB488">
        <v>2</v>
      </c>
      <c r="BC488" t="s">
        <v>2813</v>
      </c>
      <c r="BD488">
        <v>0</v>
      </c>
      <c r="BE488" t="s">
        <v>2768</v>
      </c>
      <c r="BF488">
        <v>2</v>
      </c>
      <c r="BG488" s="176" t="s">
        <v>2768</v>
      </c>
      <c r="BH488">
        <v>2</v>
      </c>
      <c r="BI488" t="s">
        <v>2768</v>
      </c>
      <c r="BJ488">
        <v>0</v>
      </c>
      <c r="BK488" s="176" t="s">
        <v>2768</v>
      </c>
      <c r="BL488">
        <v>2</v>
      </c>
      <c r="BM488" s="176" t="s">
        <v>2768</v>
      </c>
      <c r="BN488">
        <v>2</v>
      </c>
      <c r="BO488" t="str">
        <f>IF(0,"云飞玉皇-玉山揽云","云飞玉皇")</f>
        <v>云飞玉皇</v>
      </c>
      <c r="BP488">
        <v>2</v>
      </c>
      <c r="BQ488" t="s">
        <v>2768</v>
      </c>
      <c r="BR488">
        <v>2</v>
      </c>
      <c r="BS488" t="s">
        <v>3056</v>
      </c>
      <c r="BT488">
        <v>0</v>
      </c>
      <c r="BU488" s="176" t="s">
        <v>2768</v>
      </c>
      <c r="BV488">
        <v>2</v>
      </c>
      <c r="BW488" s="182" t="s">
        <v>2776</v>
      </c>
      <c r="BX488" s="179">
        <v>2</v>
      </c>
      <c r="BY488" s="176" t="s">
        <v>2776</v>
      </c>
      <c r="BZ488">
        <v>2</v>
      </c>
      <c r="CA488" t="s">
        <v>2776</v>
      </c>
      <c r="CB488">
        <v>2</v>
      </c>
    </row>
    <row r="489" spans="1:80">
      <c r="A489" s="178" t="str">
        <f ca="1">IFERROR(IF(A488+加速!$L$11&lt;$AS$1,IF(COUNTIF(B488,"*轻*")&gt;0,A488+加速!$L$9,A488+加速!$L$11)+V488,IF(COUNTIF(INDEX(AU489:CB489,1,$AT$1),"*云景*")+COUNTIF(INDEX(AU489:CB489,1,$AT$1),"*鹤归*")+COUNTIF(INDEX(AU489:CB489,1,$AT$1),"*听雷*")&gt;0,A488+加速!$L$11,"")),"")</f>
        <v/>
      </c>
      <c r="B489" s="167" t="str">
        <f ca="1">IF(A489&lt;&gt;"",IF(AND(A489+加速!$L$11&gt;$AS$1,IF(AND(配装计算器!$K$30&lt;&gt;"∞",0),"梦泉虎跑-轻",INDEX(AU489:CB489,1,$AT$1))="云栖松"),"夕照雷峰",IF(AND(配装计算器!$K$30&lt;&gt;"∞",0),"梦泉虎跑-轻",INDEX(AU489:CB489,1,$AT$1))),"")</f>
        <v/>
      </c>
      <c r="C489" t="str">
        <f ca="1" t="shared" si="99"/>
        <v/>
      </c>
      <c r="D489" t="str">
        <f ca="1">IF(B489&lt;&gt;"",IF(C488&lt;=加速!$L$11*(1-E489),0,1),"")</f>
        <v/>
      </c>
      <c r="E489">
        <f ca="1" t="shared" si="95"/>
        <v>1</v>
      </c>
      <c r="G489" t="str">
        <f ca="1" t="shared" si="96"/>
        <v/>
      </c>
      <c r="H489" t="str">
        <f ca="1">IF(B489&lt;&gt;"",IF(AND(COUNTIF(B488,"*轻*莺鸣柳*")&gt;0,COUNTIF(B489,"*轻*")&lt;1),MAX(0,15+I488-(A489-A488)+COUNTIF(B488,"*平湖*")*0),IF(AND(E489=0,MAX(0,H488-(A489-A488))&lt;=加速!$H$11),0,MAX(0,H488-(A489-A488)))),"")</f>
        <v/>
      </c>
      <c r="I489" t="str">
        <f ca="1" t="shared" si="102"/>
        <v/>
      </c>
      <c r="J489" t="str">
        <f ca="1" t="shared" si="103"/>
        <v/>
      </c>
      <c r="K489" t="str">
        <f ca="1">IF(A489&lt;&gt;"",IF(AND(配装计算器!$K$30&lt;&gt;"∞",0),2,INDEX(AU489:CB489,1,$AT$2)),"")</f>
        <v/>
      </c>
      <c r="L489">
        <f ca="1">IFERROR(IF(AND(COUNTIF(B489,"*-峰插*"),技能数据库!$M$72&gt;0),0,IF(COUNTIF(B489,"*鹤归*")&gt;0,16-加速!$L$11,MAX(0,L488-(A489-A488)))),0)</f>
        <v>0</v>
      </c>
      <c r="M489">
        <f ca="1">IF(COUNTIF(IF(AND(配装计算器!$K$30&lt;&gt;"∞",0),INDEX(AU488:CB488,1,$AT$1),INDEX(AU490:CB490,1,$AT$1)),"*鹤归*")=1,L489,0)</f>
        <v>0</v>
      </c>
      <c r="N489">
        <f ca="1">IFERROR(IF(AND(COUNTIF(B489,"*-峰插*"),技能数据库!$M$72&gt;0),0,IF(COUNTIF(B489,"*云飞*")&gt;0,4-COUNTIF(B489,"*玉山揽云*")*4--COUNTIF(B489,"*烟流暮景*")*4-COUNTIF(B489,"*云景*")*加速!$L$11-IF(J489&gt;0,2,0),MAX(0,N488-(A489-A488)-IF(J489&gt;0,2,0)))),0)</f>
        <v>0</v>
      </c>
      <c r="O489">
        <f ca="1">IF(AND(COUNTIF(IF(AND(配装计算器!$K$30&lt;&gt;"∞",0),INDEX(AU488:CB488,1,$AT$1),INDEX(AU490:CB490,1,$AT$1)),"*云飞*")=1,COUNTIF(IF(AND(配装计算器!$K$30&lt;&gt;"∞",0),INDEX(AU488:CB488,1,$AT$1),INDEX(AU490:CB490,1,$AT$1)),"*玉山*")=0),N489,0)</f>
        <v>0</v>
      </c>
      <c r="P489">
        <f ca="1">IFERROR(IF(COUNTIF(B489,"*云栖松*")&gt;0,50-加速!$L$11,MAX(0,P488-(A489-A488))),0)</f>
        <v>0</v>
      </c>
      <c r="Q489">
        <f ca="1">IF(COUNTIF(IF(AND(配装计算器!$K$30&lt;&gt;"∞",0),INDEX(AU488:CB488,1,$AT$1),INDEX(AU490:CB490,1,$AT$1)),"*云栖松*")=1,P489,0)</f>
        <v>0</v>
      </c>
      <c r="R489">
        <f ca="1">IFERROR(IF(COUNTIF(B489,"*莺鸣柳*")&gt;0,45-加速!$L$9,MAX(0,R488-(A489-A488))),0)</f>
        <v>0</v>
      </c>
      <c r="S489">
        <f ca="1">IF(COUNTIF(IF(AND(配装计算器!$K$30&lt;&gt;"∞",0),INDEX(AU488:CB488,1,$AT$1),INDEX(AU490:CB490,1,$AT$1)),"*莺鸣柳*")=1,R489,0)</f>
        <v>0</v>
      </c>
      <c r="T489">
        <f ca="1" t="shared" si="100"/>
        <v>0</v>
      </c>
      <c r="U489">
        <f ca="1">IF(金蛇,IF(COUNTIF(B489,"*金环戴*")+COUNTIF(B489,"*吹风醒*")&gt;0,IF(A489&lt;=3,7.125-2.625-A489-加速!$L$11,7.125+加速!$K$9-(A489+加速!$L$11-T489)),0),0)+IF(金蛇,IF(COUNTIF(B489,"*千切子裂光*")&gt;0,2+加速!$K$9-(A489+加速!$L$11-T489),0),0)</f>
        <v>0</v>
      </c>
      <c r="V489">
        <f ca="1" t="shared" si="101"/>
        <v>0</v>
      </c>
      <c r="W489">
        <f ca="1" t="shared" si="93"/>
        <v>0</v>
      </c>
      <c r="X489">
        <f ca="1">INDEX(加速!$I$13:$I$21,技能数计算!W489+1)</f>
        <v>0</v>
      </c>
      <c r="Y489">
        <f ca="1" t="shared" si="97"/>
        <v>0.5</v>
      </c>
      <c r="Z489">
        <f ca="1" t="shared" si="98"/>
        <v>0</v>
      </c>
      <c r="AA489">
        <f ca="1">MAX(0,IFERROR(IF(COUNTIF(B489,"*叠*")&gt;0,IF(AC488&lt;3,8-A490+A489,AA488+6.875-A490+A489),AA488-A490+A489),AA488-加速!$L$11))</f>
        <v>0</v>
      </c>
      <c r="AB489" t="e">
        <f ca="1">MAX(0,IF(COUNTIF(IF(AND(配装计算器!$K$30&lt;&gt;"∞",0),INDEX(AU489:CB489,1,$AT$1),INDEX(AU489:CB489,1,$AT$1)),"*叠1*")=1,4*25-加速!$L$11,AB488-A489+A488)-IF(OR(COUNTIF(OFFSET(AT489,0,$AT$1,1,1),"*听雷*")&gt;0,AND(碧归&gt;0,COUNTIF(OFFSET(AT489,0,$AT$1,1,1),"*风来*")&gt;0)),0,1)*1.5)</f>
        <v>#VALUE!</v>
      </c>
      <c r="AC489">
        <f ca="1" t="shared" si="94"/>
        <v>3</v>
      </c>
      <c r="AD489">
        <f ca="1">IF(COUNTIF(IF(AND(配装计算器!$K$30&lt;&gt;"∞",0),INDEX(AU489:CB489,1,$AT$1),INDEX(AU490:CB490,1,$AT$1)),"*叠1*")=1,AB489*0+AE488,0)</f>
        <v>0</v>
      </c>
      <c r="AE489" t="e">
        <f ca="1">IF($AN$11&gt;0,IF(COUNTIF(B490,"*叠1*")&gt;0,50-加速!$H$11,MAX(0,AE488-(A490-A489))),0)</f>
        <v>#VALUE!</v>
      </c>
      <c r="AU489" t="s">
        <v>2768</v>
      </c>
      <c r="AV489">
        <v>2</v>
      </c>
      <c r="AW489" t="s">
        <v>2768</v>
      </c>
      <c r="AX489">
        <v>2</v>
      </c>
      <c r="AY489" t="s">
        <v>2808</v>
      </c>
      <c r="AZ489">
        <v>2</v>
      </c>
      <c r="BA489" t="s">
        <v>2776</v>
      </c>
      <c r="BB489">
        <v>2</v>
      </c>
      <c r="BC489" t="s">
        <v>2776</v>
      </c>
      <c r="BD489">
        <v>2</v>
      </c>
      <c r="BE489" t="s">
        <v>2776</v>
      </c>
      <c r="BF489">
        <v>1</v>
      </c>
      <c r="BG489" s="176" t="s">
        <v>2776</v>
      </c>
      <c r="BH489">
        <v>2</v>
      </c>
      <c r="BI489" t="s">
        <v>2768</v>
      </c>
      <c r="BJ489">
        <v>0</v>
      </c>
      <c r="BK489" s="176" t="s">
        <v>2776</v>
      </c>
      <c r="BL489">
        <v>2</v>
      </c>
      <c r="BM489" s="176" t="s">
        <v>2808</v>
      </c>
      <c r="BN489">
        <v>2</v>
      </c>
      <c r="BO489" t="str">
        <f>IF(秋,"云栖松","泉凝月")</f>
        <v>泉凝月</v>
      </c>
      <c r="BP489">
        <v>2</v>
      </c>
      <c r="BQ489" t="s">
        <v>2776</v>
      </c>
      <c r="BR489">
        <v>2</v>
      </c>
      <c r="BS489" t="s">
        <v>2768</v>
      </c>
      <c r="BT489">
        <v>2</v>
      </c>
      <c r="BU489" s="176" t="s">
        <v>2768</v>
      </c>
      <c r="BV489">
        <v>2</v>
      </c>
      <c r="BW489" s="182" t="s">
        <v>2768</v>
      </c>
      <c r="BX489" s="179">
        <v>2</v>
      </c>
      <c r="BY489" s="176" t="s">
        <v>2768</v>
      </c>
      <c r="BZ489">
        <v>2</v>
      </c>
      <c r="CA489" t="s">
        <v>2768</v>
      </c>
      <c r="CB489">
        <v>2</v>
      </c>
    </row>
    <row r="490" spans="1:80">
      <c r="A490" s="178" t="str">
        <f ca="1">IFERROR(IF(A489+加速!$L$11&lt;$AS$1,IF(COUNTIF(B489,"*轻*")&gt;0,A489+加速!$L$9,A489+加速!$L$11)+V489,IF(COUNTIF(INDEX(AU490:CB490,1,$AT$1),"*云景*")+COUNTIF(INDEX(AU490:CB490,1,$AT$1),"*鹤归*")+COUNTIF(INDEX(AU490:CB490,1,$AT$1),"*听雷*")&gt;0,A489+加速!$L$11,"")),"")</f>
        <v/>
      </c>
      <c r="B490" s="167" t="str">
        <f ca="1">IF(A490&lt;&gt;"",IF(AND(A490+加速!$L$11&gt;$AS$1,IF(AND(配装计算器!$K$30&lt;&gt;"∞",0),"梦泉虎跑-轻",INDEX(AU490:CB490,1,$AT$1))="云栖松"),"夕照雷峰",IF(AND(配装计算器!$K$30&lt;&gt;"∞",0),"梦泉虎跑-轻",INDEX(AU490:CB490,1,$AT$1))),"")</f>
        <v/>
      </c>
      <c r="C490" t="str">
        <f ca="1" t="shared" si="99"/>
        <v/>
      </c>
      <c r="D490" t="str">
        <f ca="1">IF(B490&lt;&gt;"",IF(C489&lt;=加速!$L$11*(1-E490),0,1),"")</f>
        <v/>
      </c>
      <c r="E490">
        <f ca="1" t="shared" si="95"/>
        <v>1</v>
      </c>
      <c r="G490" t="str">
        <f ca="1" t="shared" si="96"/>
        <v/>
      </c>
      <c r="H490" t="str">
        <f ca="1">IF(B490&lt;&gt;"",IF(AND(COUNTIF(B489,"*轻*莺鸣柳*")&gt;0,COUNTIF(B490,"*轻*")&lt;1),MAX(0,15+I489-(A490-A489)+COUNTIF(B489,"*平湖*")*0),IF(AND(E490=0,MAX(0,H489-(A490-A489))&lt;=加速!$H$11),0,MAX(0,H489-(A490-A489)))),"")</f>
        <v/>
      </c>
      <c r="I490" t="str">
        <f ca="1" t="shared" si="102"/>
        <v/>
      </c>
      <c r="J490" t="str">
        <f ca="1" t="shared" si="103"/>
        <v/>
      </c>
      <c r="K490" t="str">
        <f ca="1">IF(A490&lt;&gt;"",IF(AND(配装计算器!$K$30&lt;&gt;"∞",0),2,INDEX(AU490:CB490,1,$AT$2)),"")</f>
        <v/>
      </c>
      <c r="L490">
        <f ca="1">IFERROR(IF(AND(COUNTIF(B490,"*-峰插*"),技能数据库!$M$72&gt;0),0,IF(COUNTIF(B490,"*鹤归*")&gt;0,16-加速!$L$11,MAX(0,L489-(A490-A489)))),0)</f>
        <v>0</v>
      </c>
      <c r="M490">
        <f ca="1">IF(COUNTIF(IF(AND(配装计算器!$K$30&lt;&gt;"∞",0),INDEX(AU489:CB489,1,$AT$1),INDEX(AU491:CB491,1,$AT$1)),"*鹤归*")=1,L490,0)</f>
        <v>0</v>
      </c>
      <c r="N490">
        <f ca="1">IFERROR(IF(AND(COUNTIF(B490,"*-峰插*"),技能数据库!$M$72&gt;0),0,IF(COUNTIF(B490,"*云飞*")&gt;0,4-COUNTIF(B490,"*玉山揽云*")*4--COUNTIF(B490,"*烟流暮景*")*4-COUNTIF(B490,"*云景*")*加速!$L$11-IF(J490&gt;0,2,0),MAX(0,N489-(A490-A489)-IF(J490&gt;0,2,0)))),0)</f>
        <v>0</v>
      </c>
      <c r="O490">
        <f ca="1">IF(AND(COUNTIF(IF(AND(配装计算器!$K$30&lt;&gt;"∞",0),INDEX(AU489:CB489,1,$AT$1),INDEX(AU491:CB491,1,$AT$1)),"*云飞*")=1,COUNTIF(IF(AND(配装计算器!$K$30&lt;&gt;"∞",0),INDEX(AU489:CB489,1,$AT$1),INDEX(AU491:CB491,1,$AT$1)),"*玉山*")=0),N490,0)</f>
        <v>0</v>
      </c>
      <c r="P490">
        <f ca="1">IFERROR(IF(COUNTIF(B490,"*云栖松*")&gt;0,50-加速!$L$11,MAX(0,P489-(A490-A489))),0)</f>
        <v>0</v>
      </c>
      <c r="Q490">
        <f ca="1">IF(COUNTIF(IF(AND(配装计算器!$K$30&lt;&gt;"∞",0),INDEX(AU489:CB489,1,$AT$1),INDEX(AU491:CB491,1,$AT$1)),"*云栖松*")=1,P490,0)</f>
        <v>0</v>
      </c>
      <c r="R490">
        <f ca="1">IFERROR(IF(COUNTIF(B490,"*莺鸣柳*")&gt;0,45-加速!$L$9,MAX(0,R489-(A490-A489))),0)</f>
        <v>0</v>
      </c>
      <c r="S490">
        <f ca="1">IF(COUNTIF(IF(AND(配装计算器!$K$30&lt;&gt;"∞",0),INDEX(AU489:CB489,1,$AT$1),INDEX(AU491:CB491,1,$AT$1)),"*莺鸣柳*")=1,R490,0)</f>
        <v>0</v>
      </c>
      <c r="T490">
        <f ca="1" t="shared" si="100"/>
        <v>0</v>
      </c>
      <c r="U490">
        <f ca="1">IF(金蛇,IF(COUNTIF(B490,"*金环戴*")+COUNTIF(B490,"*吹风醒*")&gt;0,IF(A490&lt;=3,7.125-2.625-A490-加速!$L$11,7.125+加速!$K$9-(A490+加速!$L$11-T490)),0),0)+IF(金蛇,IF(COUNTIF(B490,"*千切子裂光*")&gt;0,2+加速!$K$9-(A490+加速!$L$11-T490),0),0)</f>
        <v>0</v>
      </c>
      <c r="V490">
        <f ca="1" t="shared" si="101"/>
        <v>0</v>
      </c>
      <c r="W490">
        <f ca="1" t="shared" si="93"/>
        <v>0</v>
      </c>
      <c r="X490">
        <f ca="1">INDEX(加速!$I$13:$I$21,技能数计算!W490+1)</f>
        <v>0</v>
      </c>
      <c r="Y490">
        <f ca="1" t="shared" si="97"/>
        <v>0.5</v>
      </c>
      <c r="Z490">
        <f ca="1" t="shared" si="98"/>
        <v>0</v>
      </c>
      <c r="AA490">
        <f ca="1">MAX(0,IFERROR(IF(COUNTIF(B490,"*叠*")&gt;0,IF(AC489&lt;3,8-A491+A490,AA489+6.875-A491+A490),AA489-A491+A490),AA489-加速!$L$11))</f>
        <v>0</v>
      </c>
      <c r="AB490" t="e">
        <f ca="1">MAX(0,IF(COUNTIF(IF(AND(配装计算器!$K$30&lt;&gt;"∞",0),INDEX(AU490:CB490,1,$AT$1),INDEX(AU490:CB490,1,$AT$1)),"*叠1*")=1,4*25-加速!$L$11,AB489-A490+A489)-IF(OR(COUNTIF(OFFSET(AT490,0,$AT$1,1,1),"*听雷*")&gt;0,AND(碧归&gt;0,COUNTIF(OFFSET(AT490,0,$AT$1,1,1),"*风来*")&gt;0)),0,1)*1.5)</f>
        <v>#VALUE!</v>
      </c>
      <c r="AC490">
        <f ca="1" t="shared" si="94"/>
        <v>3</v>
      </c>
      <c r="AD490">
        <f ca="1">IF(COUNTIF(IF(AND(配装计算器!$K$30&lt;&gt;"∞",0),INDEX(AU490:CB490,1,$AT$1),INDEX(AU491:CB491,1,$AT$1)),"*叠1*")=1,AB490*0+AE489,0)</f>
        <v>0</v>
      </c>
      <c r="AE490" t="e">
        <f ca="1">IF($AN$11&gt;0,IF(COUNTIF(B491,"*叠1*")&gt;0,50-加速!$H$11,MAX(0,AE489-(A491-A490))),0)</f>
        <v>#VALUE!</v>
      </c>
      <c r="AU490" s="176" t="s">
        <v>2794</v>
      </c>
      <c r="AV490">
        <v>2</v>
      </c>
      <c r="AW490" t="s">
        <v>2776</v>
      </c>
      <c r="AX490">
        <v>2</v>
      </c>
      <c r="AY490" t="s">
        <v>2768</v>
      </c>
      <c r="AZ490">
        <v>2</v>
      </c>
      <c r="BA490" t="s">
        <v>2794</v>
      </c>
      <c r="BB490">
        <v>2</v>
      </c>
      <c r="BC490" t="s">
        <v>2768</v>
      </c>
      <c r="BD490">
        <v>2</v>
      </c>
      <c r="BE490" t="s">
        <v>2768</v>
      </c>
      <c r="BF490">
        <v>1</v>
      </c>
      <c r="BG490" t="s">
        <v>2768</v>
      </c>
      <c r="BH490">
        <v>1</v>
      </c>
      <c r="BI490" t="s">
        <v>2722</v>
      </c>
      <c r="BJ490">
        <v>0</v>
      </c>
      <c r="BK490" s="176" t="s">
        <v>2768</v>
      </c>
      <c r="BL490">
        <v>2</v>
      </c>
      <c r="BM490" t="s">
        <v>2768</v>
      </c>
      <c r="BN490">
        <v>2</v>
      </c>
      <c r="BO490" t="s">
        <v>2768</v>
      </c>
      <c r="BP490">
        <v>2</v>
      </c>
      <c r="BQ490" t="s">
        <v>2768</v>
      </c>
      <c r="BR490">
        <v>2</v>
      </c>
      <c r="BS490" t="s">
        <v>2768</v>
      </c>
      <c r="BT490">
        <v>2</v>
      </c>
      <c r="BU490" s="176" t="s">
        <v>2776</v>
      </c>
      <c r="BV490">
        <v>2</v>
      </c>
      <c r="BW490" s="182" t="s">
        <v>2776</v>
      </c>
      <c r="BX490" s="179">
        <v>2</v>
      </c>
      <c r="BY490" s="176" t="s">
        <v>2808</v>
      </c>
      <c r="BZ490">
        <v>2</v>
      </c>
      <c r="CA490" t="s">
        <v>2768</v>
      </c>
      <c r="CB490">
        <v>2</v>
      </c>
    </row>
    <row r="491" spans="1:80">
      <c r="A491" s="178" t="str">
        <f ca="1">IFERROR(IF(A490+加速!$L$11&lt;$AS$1,IF(COUNTIF(B490,"*轻*")&gt;0,A490+加速!$L$9,A490+加速!$L$11)+V490,IF(COUNTIF(INDEX(AU491:CB491,1,$AT$1),"*云景*")+COUNTIF(INDEX(AU491:CB491,1,$AT$1),"*鹤归*")+COUNTIF(INDEX(AU491:CB491,1,$AT$1),"*听雷*")&gt;0,A490+加速!$L$11,"")),"")</f>
        <v/>
      </c>
      <c r="B491" s="167" t="str">
        <f ca="1">IF(A491&lt;&gt;"",IF(AND(A491+加速!$L$11&gt;$AS$1,IF(AND(配装计算器!$K$30&lt;&gt;"∞",0),"梦泉虎跑-轻",INDEX(AU491:CB491,1,$AT$1))="云栖松"),"夕照雷峰",IF(AND(配装计算器!$K$30&lt;&gt;"∞",0),"梦泉虎跑-轻",INDEX(AU491:CB491,1,$AT$1))),"")</f>
        <v/>
      </c>
      <c r="C491" t="str">
        <f ca="1" t="shared" si="99"/>
        <v/>
      </c>
      <c r="D491" t="str">
        <f ca="1">IF(B491&lt;&gt;"",IF(C490&lt;=加速!$L$11*(1-E491),0,1),"")</f>
        <v/>
      </c>
      <c r="E491">
        <f ca="1" t="shared" si="95"/>
        <v>1</v>
      </c>
      <c r="G491" t="str">
        <f ca="1" t="shared" si="96"/>
        <v/>
      </c>
      <c r="H491" t="str">
        <f ca="1">IF(B491&lt;&gt;"",IF(AND(COUNTIF(B490,"*轻*莺鸣柳*")&gt;0,COUNTIF(B491,"*轻*")&lt;1),MAX(0,15+I490-(A491-A490)+COUNTIF(B490,"*平湖*")*0),IF(AND(E491=0,MAX(0,H490-(A491-A490))&lt;=加速!$H$11),0,MAX(0,H490-(A491-A490)))),"")</f>
        <v/>
      </c>
      <c r="I491" t="str">
        <f ca="1" t="shared" si="102"/>
        <v/>
      </c>
      <c r="J491" t="str">
        <f ca="1" t="shared" si="103"/>
        <v/>
      </c>
      <c r="K491" t="str">
        <f ca="1">IF(A491&lt;&gt;"",IF(AND(配装计算器!$K$30&lt;&gt;"∞",0),2,INDEX(AU491:CB491,1,$AT$2)),"")</f>
        <v/>
      </c>
      <c r="L491">
        <f ca="1">IFERROR(IF(AND(COUNTIF(B491,"*-峰插*"),技能数据库!$M$72&gt;0),0,IF(COUNTIF(B491,"*鹤归*")&gt;0,16-加速!$L$11,MAX(0,L490-(A491-A490)))),0)</f>
        <v>0</v>
      </c>
      <c r="M491">
        <f ca="1">IF(COUNTIF(IF(AND(配装计算器!$K$30&lt;&gt;"∞",0),INDEX(AU490:CB490,1,$AT$1),INDEX(AU492:CB492,1,$AT$1)),"*鹤归*")=1,L491,0)</f>
        <v>0</v>
      </c>
      <c r="N491">
        <f ca="1">IFERROR(IF(AND(COUNTIF(B491,"*-峰插*"),技能数据库!$M$72&gt;0),0,IF(COUNTIF(B491,"*云飞*")&gt;0,4-COUNTIF(B491,"*玉山揽云*")*4--COUNTIF(B491,"*烟流暮景*")*4-COUNTIF(B491,"*云景*")*加速!$L$11-IF(J491&gt;0,2,0),MAX(0,N490-(A491-A490)-IF(J491&gt;0,2,0)))),0)</f>
        <v>0</v>
      </c>
      <c r="O491">
        <f ca="1">IF(AND(COUNTIF(IF(AND(配装计算器!$K$30&lt;&gt;"∞",0),INDEX(AU490:CB490,1,$AT$1),INDEX(AU492:CB492,1,$AT$1)),"*云飞*")=1,COUNTIF(IF(AND(配装计算器!$K$30&lt;&gt;"∞",0),INDEX(AU490:CB490,1,$AT$1),INDEX(AU492:CB492,1,$AT$1)),"*玉山*")=0),N491,0)</f>
        <v>0</v>
      </c>
      <c r="P491">
        <f ca="1">IFERROR(IF(COUNTIF(B491,"*云栖松*")&gt;0,50-加速!$L$11,MAX(0,P490-(A491-A490))),0)</f>
        <v>0</v>
      </c>
      <c r="Q491">
        <f ca="1">IF(COUNTIF(IF(AND(配装计算器!$K$30&lt;&gt;"∞",0),INDEX(AU490:CB490,1,$AT$1),INDEX(AU492:CB492,1,$AT$1)),"*云栖松*")=1,P491,0)</f>
        <v>0</v>
      </c>
      <c r="R491">
        <f ca="1">IFERROR(IF(COUNTIF(B491,"*莺鸣柳*")&gt;0,45-加速!$L$9,MAX(0,R490-(A491-A490))),0)</f>
        <v>0</v>
      </c>
      <c r="S491">
        <f ca="1">IF(COUNTIF(IF(AND(配装计算器!$K$30&lt;&gt;"∞",0),INDEX(AU490:CB490,1,$AT$1),INDEX(AU492:CB492,1,$AT$1)),"*莺鸣柳*")=1,R491,0)</f>
        <v>0</v>
      </c>
      <c r="T491">
        <f ca="1" t="shared" si="100"/>
        <v>0</v>
      </c>
      <c r="U491">
        <f ca="1">IF(金蛇,IF(COUNTIF(B491,"*金环戴*")+COUNTIF(B491,"*吹风醒*")&gt;0,IF(A491&lt;=3,7.125-2.625-A491-加速!$L$11,7.125+加速!$K$9-(A491+加速!$L$11-T491)),0),0)+IF(金蛇,IF(COUNTIF(B491,"*千切子裂光*")&gt;0,2+加速!$K$9-(A491+加速!$L$11-T491),0),0)</f>
        <v>0</v>
      </c>
      <c r="V491">
        <f ca="1" t="shared" si="101"/>
        <v>0</v>
      </c>
      <c r="W491">
        <f ca="1" t="shared" si="93"/>
        <v>0</v>
      </c>
      <c r="X491">
        <f ca="1">INDEX(加速!$I$13:$I$21,技能数计算!W491+1)</f>
        <v>0</v>
      </c>
      <c r="Y491">
        <f ca="1" t="shared" si="97"/>
        <v>0.5</v>
      </c>
      <c r="Z491">
        <f ca="1" t="shared" si="98"/>
        <v>0</v>
      </c>
      <c r="AA491">
        <f ca="1">MAX(0,IFERROR(IF(COUNTIF(B491,"*叠*")&gt;0,IF(AC490&lt;3,8-A492+A491,AA490+6.875-A492+A491),AA490-A492+A491),AA490-加速!$L$11))</f>
        <v>0</v>
      </c>
      <c r="AB491" t="e">
        <f ca="1">MAX(0,IF(COUNTIF(IF(AND(配装计算器!$K$30&lt;&gt;"∞",0),INDEX(AU491:CB491,1,$AT$1),INDEX(AU491:CB491,1,$AT$1)),"*叠1*")=1,4*25-加速!$L$11,AB490-A491+A490)-IF(OR(COUNTIF(OFFSET(AT491,0,$AT$1,1,1),"*听雷*")&gt;0,AND(碧归&gt;0,COUNTIF(OFFSET(AT491,0,$AT$1,1,1),"*风来*")&gt;0)),0,1)*1.5)</f>
        <v>#VALUE!</v>
      </c>
      <c r="AC491">
        <f ca="1" t="shared" si="94"/>
        <v>3</v>
      </c>
      <c r="AD491">
        <f ca="1">IF(COUNTIF(IF(AND(配装计算器!$K$30&lt;&gt;"∞",0),INDEX(AU491:CB491,1,$AT$1),INDEX(AU492:CB492,1,$AT$1)),"*叠1*")=1,AB491*0+AE490,0)</f>
        <v>0</v>
      </c>
      <c r="AE491" t="e">
        <f ca="1">IF($AN$11&gt;0,IF(COUNTIF(B492,"*叠1*")&gt;0,50-加速!$H$11,MAX(0,AE490-(A492-A491))),0)</f>
        <v>#VALUE!</v>
      </c>
      <c r="AU491" s="176" t="s">
        <v>2776</v>
      </c>
      <c r="AV491">
        <v>2</v>
      </c>
      <c r="AW491" t="s">
        <v>2768</v>
      </c>
      <c r="AX491">
        <v>2</v>
      </c>
      <c r="AY491" t="s">
        <v>2768</v>
      </c>
      <c r="AZ491">
        <v>2</v>
      </c>
      <c r="BA491" t="s">
        <v>2768</v>
      </c>
      <c r="BB491">
        <v>2</v>
      </c>
      <c r="BC491" t="s">
        <v>2768</v>
      </c>
      <c r="BD491">
        <v>2</v>
      </c>
      <c r="BE491" t="s">
        <v>2768</v>
      </c>
      <c r="BF491">
        <v>1</v>
      </c>
      <c r="BG491" s="176" t="s">
        <v>2768</v>
      </c>
      <c r="BH491">
        <v>1</v>
      </c>
      <c r="BI491" t="s">
        <v>2776</v>
      </c>
      <c r="BJ491">
        <v>2</v>
      </c>
      <c r="BK491" s="176" t="s">
        <v>2768</v>
      </c>
      <c r="BL491">
        <v>1</v>
      </c>
      <c r="BM491" t="s">
        <v>2776</v>
      </c>
      <c r="BN491">
        <v>2</v>
      </c>
      <c r="BO491" t="s">
        <v>1886</v>
      </c>
      <c r="BP491">
        <v>2</v>
      </c>
      <c r="BQ491" t="s">
        <v>2768</v>
      </c>
      <c r="BR491">
        <v>2</v>
      </c>
      <c r="BS491" t="s">
        <v>2776</v>
      </c>
      <c r="BT491">
        <v>2</v>
      </c>
      <c r="BU491" s="176" t="s">
        <v>3035</v>
      </c>
      <c r="BV491">
        <v>2</v>
      </c>
      <c r="BW491" s="182" t="s">
        <v>2768</v>
      </c>
      <c r="BX491" s="179">
        <v>2</v>
      </c>
      <c r="BY491" t="s">
        <v>2768</v>
      </c>
      <c r="BZ491">
        <v>2</v>
      </c>
      <c r="CA491" t="s">
        <v>2768</v>
      </c>
      <c r="CB491">
        <v>2</v>
      </c>
    </row>
    <row r="492" spans="1:80">
      <c r="A492" s="178" t="str">
        <f ca="1">IFERROR(IF(A491+加速!$L$11&lt;$AS$1,IF(COUNTIF(B491,"*轻*")&gt;0,A491+加速!$L$9,A491+加速!$L$11)+V491,IF(COUNTIF(INDEX(AU492:CB492,1,$AT$1),"*云景*")+COUNTIF(INDEX(AU492:CB492,1,$AT$1),"*鹤归*")+COUNTIF(INDEX(AU492:CB492,1,$AT$1),"*听雷*")&gt;0,A491+加速!$L$11,"")),"")</f>
        <v/>
      </c>
      <c r="B492" s="167" t="str">
        <f ca="1">IF(A492&lt;&gt;"",IF(AND(A492+加速!$L$11&gt;$AS$1,IF(AND(配装计算器!$K$30&lt;&gt;"∞",0),"梦泉虎跑-轻",INDEX(AU492:CB492,1,$AT$1))="云栖松"),"夕照雷峰",IF(AND(配装计算器!$K$30&lt;&gt;"∞",0),"梦泉虎跑-轻",INDEX(AU492:CB492,1,$AT$1))),"")</f>
        <v/>
      </c>
      <c r="C492" t="str">
        <f ca="1" t="shared" si="99"/>
        <v/>
      </c>
      <c r="D492" t="str">
        <f ca="1">IF(B492&lt;&gt;"",IF(C491&lt;=加速!$L$11*(1-E492),0,1),"")</f>
        <v/>
      </c>
      <c r="E492">
        <f ca="1" t="shared" si="95"/>
        <v>1</v>
      </c>
      <c r="G492" t="str">
        <f ca="1" t="shared" si="96"/>
        <v/>
      </c>
      <c r="H492" t="str">
        <f ca="1">IF(B492&lt;&gt;"",IF(AND(COUNTIF(B491,"*轻*莺鸣柳*")&gt;0,COUNTIF(B492,"*轻*")&lt;1),MAX(0,15+I491-(A492-A491)+COUNTIF(B491,"*平湖*")*0),IF(AND(E492=0,MAX(0,H491-(A492-A491))&lt;=加速!$H$11),0,MAX(0,H491-(A492-A491)))),"")</f>
        <v/>
      </c>
      <c r="I492" t="str">
        <f ca="1" t="shared" si="102"/>
        <v/>
      </c>
      <c r="J492" t="str">
        <f ca="1" t="shared" si="103"/>
        <v/>
      </c>
      <c r="K492" t="str">
        <f ca="1">IF(A492&lt;&gt;"",IF(AND(配装计算器!$K$30&lt;&gt;"∞",0),2,INDEX(AU492:CB492,1,$AT$2)),"")</f>
        <v/>
      </c>
      <c r="L492">
        <f ca="1">IFERROR(IF(AND(COUNTIF(B492,"*-峰插*"),技能数据库!$M$72&gt;0),0,IF(COUNTIF(B492,"*鹤归*")&gt;0,16-加速!$L$11,MAX(0,L491-(A492-A491)))),0)</f>
        <v>0</v>
      </c>
      <c r="M492">
        <f ca="1">IF(COUNTIF(IF(AND(配装计算器!$K$30&lt;&gt;"∞",0),INDEX(AU491:CB491,1,$AT$1),INDEX(AU493:CB493,1,$AT$1)),"*鹤归*")=1,L492,0)</f>
        <v>0</v>
      </c>
      <c r="N492">
        <f ca="1">IFERROR(IF(AND(COUNTIF(B492,"*-峰插*"),技能数据库!$M$72&gt;0),0,IF(COUNTIF(B492,"*云飞*")&gt;0,4-COUNTIF(B492,"*玉山揽云*")*4--COUNTIF(B492,"*烟流暮景*")*4-COUNTIF(B492,"*云景*")*加速!$L$11-IF(J492&gt;0,2,0),MAX(0,N491-(A492-A491)-IF(J492&gt;0,2,0)))),0)</f>
        <v>0</v>
      </c>
      <c r="O492">
        <f ca="1">IF(AND(COUNTIF(IF(AND(配装计算器!$K$30&lt;&gt;"∞",0),INDEX(AU491:CB491,1,$AT$1),INDEX(AU493:CB493,1,$AT$1)),"*云飞*")=1,COUNTIF(IF(AND(配装计算器!$K$30&lt;&gt;"∞",0),INDEX(AU491:CB491,1,$AT$1),INDEX(AU493:CB493,1,$AT$1)),"*玉山*")=0),N492,0)</f>
        <v>0</v>
      </c>
      <c r="P492">
        <f ca="1">IFERROR(IF(COUNTIF(B492,"*云栖松*")&gt;0,50-加速!$L$11,MAX(0,P491-(A492-A491))),0)</f>
        <v>0</v>
      </c>
      <c r="Q492">
        <f ca="1">IF(COUNTIF(IF(AND(配装计算器!$K$30&lt;&gt;"∞",0),INDEX(AU491:CB491,1,$AT$1),INDEX(AU493:CB493,1,$AT$1)),"*云栖松*")=1,P492,0)</f>
        <v>0</v>
      </c>
      <c r="R492">
        <f ca="1">IFERROR(IF(COUNTIF(B492,"*莺鸣柳*")&gt;0,45-加速!$L$9,MAX(0,R491-(A492-A491))),0)</f>
        <v>0</v>
      </c>
      <c r="S492">
        <f ca="1">IF(COUNTIF(IF(AND(配装计算器!$K$30&lt;&gt;"∞",0),INDEX(AU491:CB491,1,$AT$1),INDEX(AU493:CB493,1,$AT$1)),"*莺鸣柳*")=1,R492,0)</f>
        <v>0</v>
      </c>
      <c r="T492">
        <f ca="1" t="shared" si="100"/>
        <v>0</v>
      </c>
      <c r="U492">
        <f ca="1">IF(金蛇,IF(COUNTIF(B492,"*金环戴*")+COUNTIF(B492,"*吹风醒*")&gt;0,IF(A492&lt;=3,7.125-2.625-A492-加速!$L$11,7.125+加速!$K$9-(A492+加速!$L$11-T492)),0),0)+IF(金蛇,IF(COUNTIF(B492,"*千切子裂光*")&gt;0,2+加速!$K$9-(A492+加速!$L$11-T492),0),0)</f>
        <v>0</v>
      </c>
      <c r="V492">
        <f ca="1" t="shared" si="101"/>
        <v>0</v>
      </c>
      <c r="W492">
        <f ca="1" t="shared" si="93"/>
        <v>0</v>
      </c>
      <c r="X492">
        <f ca="1">INDEX(加速!$I$13:$I$21,技能数计算!W492+1)</f>
        <v>0</v>
      </c>
      <c r="Y492">
        <f ca="1" t="shared" si="97"/>
        <v>0.5</v>
      </c>
      <c r="Z492">
        <f ca="1" t="shared" si="98"/>
        <v>0</v>
      </c>
      <c r="AA492">
        <f ca="1">MAX(0,IFERROR(IF(COUNTIF(B492,"*叠*")&gt;0,IF(AC491&lt;3,8-A493+A492,AA491+6.875-A493+A492),AA491-A493+A492),AA491-加速!$L$11))</f>
        <v>0</v>
      </c>
      <c r="AB492" t="e">
        <f ca="1">MAX(0,IF(COUNTIF(IF(AND(配装计算器!$K$30&lt;&gt;"∞",0),INDEX(AU492:CB492,1,$AT$1),INDEX(AU492:CB492,1,$AT$1)),"*叠1*")=1,4*25-加速!$L$11,AB491-A492+A491)-IF(OR(COUNTIF(OFFSET(AT492,0,$AT$1,1,1),"*听雷*")&gt;0,AND(碧归&gt;0,COUNTIF(OFFSET(AT492,0,$AT$1,1,1),"*风来*")&gt;0)),0,1)*1.5)</f>
        <v>#VALUE!</v>
      </c>
      <c r="AC492">
        <f ca="1" t="shared" si="94"/>
        <v>3</v>
      </c>
      <c r="AD492">
        <f ca="1">IF(COUNTIF(IF(AND(配装计算器!$K$30&lt;&gt;"∞",0),INDEX(AU492:CB492,1,$AT$1),INDEX(AU493:CB493,1,$AT$1)),"*叠1*")=1,AB492*0+AE491,0)</f>
        <v>0</v>
      </c>
      <c r="AE492" t="e">
        <f ca="1">IF($AN$11&gt;0,IF(COUNTIF(B493,"*叠1*")&gt;0,50-加速!$H$11,MAX(0,AE491-(A493-A492))),0)</f>
        <v>#VALUE!</v>
      </c>
      <c r="AU492" s="176" t="s">
        <v>2768</v>
      </c>
      <c r="AV492">
        <v>1</v>
      </c>
      <c r="AW492" t="s">
        <v>2768</v>
      </c>
      <c r="AX492">
        <v>2</v>
      </c>
      <c r="AY492" t="s">
        <v>2776</v>
      </c>
      <c r="AZ492">
        <v>2</v>
      </c>
      <c r="BA492" t="s">
        <v>2776</v>
      </c>
      <c r="BB492">
        <v>2</v>
      </c>
      <c r="BC492" t="s">
        <v>2768</v>
      </c>
      <c r="BD492">
        <v>1</v>
      </c>
      <c r="BE492" t="s">
        <v>2776</v>
      </c>
      <c r="BF492">
        <v>0</v>
      </c>
      <c r="BG492" t="s">
        <v>3055</v>
      </c>
      <c r="BH492">
        <v>0</v>
      </c>
      <c r="BI492" t="s">
        <v>2768</v>
      </c>
      <c r="BJ492">
        <v>2</v>
      </c>
      <c r="BK492" s="176" t="s">
        <v>2768</v>
      </c>
      <c r="BL492">
        <v>1</v>
      </c>
      <c r="BM492" t="s">
        <v>2768</v>
      </c>
      <c r="BN492">
        <v>2</v>
      </c>
      <c r="BO492" t="s">
        <v>2853</v>
      </c>
      <c r="BP492">
        <v>2</v>
      </c>
      <c r="BQ492" t="s">
        <v>3035</v>
      </c>
      <c r="BR492">
        <v>2</v>
      </c>
      <c r="BS492" t="s">
        <v>2768</v>
      </c>
      <c r="BT492">
        <v>1</v>
      </c>
      <c r="BU492" t="s">
        <v>2768</v>
      </c>
      <c r="BV492">
        <v>2</v>
      </c>
      <c r="BW492" s="179" t="s">
        <v>2776</v>
      </c>
      <c r="BX492" s="179">
        <v>2</v>
      </c>
      <c r="BY492" t="s">
        <v>2776</v>
      </c>
      <c r="BZ492">
        <v>2</v>
      </c>
      <c r="CA492" t="s">
        <v>2776</v>
      </c>
      <c r="CB492">
        <v>2</v>
      </c>
    </row>
    <row r="493" spans="1:80">
      <c r="A493" s="178" t="str">
        <f ca="1">IFERROR(IF(A492+加速!$L$11&lt;$AS$1,IF(COUNTIF(B492,"*轻*")&gt;0,A492+加速!$L$9,A492+加速!$L$11)+V492,IF(COUNTIF(INDEX(AU493:CB493,1,$AT$1),"*云景*")+COUNTIF(INDEX(AU493:CB493,1,$AT$1),"*鹤归*")+COUNTIF(INDEX(AU493:CB493,1,$AT$1),"*听雷*")&gt;0,A492+加速!$L$11,"")),"")</f>
        <v/>
      </c>
      <c r="B493" s="167" t="str">
        <f ca="1">IF(A493&lt;&gt;"",IF(AND(A493+加速!$L$11&gt;$AS$1,IF(AND(配装计算器!$K$30&lt;&gt;"∞",0),"梦泉虎跑-轻",INDEX(AU493:CB493,1,$AT$1))="云栖松"),"夕照雷峰",IF(AND(配装计算器!$K$30&lt;&gt;"∞",0),"梦泉虎跑-轻",INDEX(AU493:CB493,1,$AT$1))),"")</f>
        <v/>
      </c>
      <c r="C493" t="str">
        <f ca="1" t="shared" si="99"/>
        <v/>
      </c>
      <c r="D493" t="str">
        <f ca="1">IF(B493&lt;&gt;"",IF(C492&lt;=加速!$L$11*(1-E493),0,1),"")</f>
        <v/>
      </c>
      <c r="E493">
        <f ca="1" t="shared" si="95"/>
        <v>1</v>
      </c>
      <c r="G493" t="str">
        <f ca="1" t="shared" si="96"/>
        <v/>
      </c>
      <c r="H493" t="str">
        <f ca="1">IF(B493&lt;&gt;"",IF(AND(COUNTIF(B492,"*轻*莺鸣柳*")&gt;0,COUNTIF(B493,"*轻*")&lt;1),MAX(0,15+I492-(A493-A492)+COUNTIF(B492,"*平湖*")*0),IF(AND(E493=0,MAX(0,H492-(A493-A492))&lt;=加速!$H$11),0,MAX(0,H492-(A493-A492)))),"")</f>
        <v/>
      </c>
      <c r="I493" t="str">
        <f ca="1" t="shared" si="102"/>
        <v/>
      </c>
      <c r="J493" t="str">
        <f ca="1" t="shared" si="103"/>
        <v/>
      </c>
      <c r="K493" t="str">
        <f ca="1">IF(A493&lt;&gt;"",IF(AND(配装计算器!$K$30&lt;&gt;"∞",0),2,INDEX(AU493:CB493,1,$AT$2)),"")</f>
        <v/>
      </c>
      <c r="L493">
        <f ca="1">IFERROR(IF(AND(COUNTIF(B493,"*-峰插*"),技能数据库!$M$72&gt;0),0,IF(COUNTIF(B493,"*鹤归*")&gt;0,16-加速!$L$11,MAX(0,L492-(A493-A492)))),0)</f>
        <v>0</v>
      </c>
      <c r="M493">
        <f ca="1">IF(COUNTIF(IF(AND(配装计算器!$K$30&lt;&gt;"∞",0),INDEX(AU492:CB492,1,$AT$1),INDEX(AU494:CB494,1,$AT$1)),"*鹤归*")=1,L493,0)</f>
        <v>0</v>
      </c>
      <c r="N493">
        <f ca="1">IFERROR(IF(AND(COUNTIF(B493,"*-峰插*"),技能数据库!$M$72&gt;0),0,IF(COUNTIF(B493,"*云飞*")&gt;0,4-COUNTIF(B493,"*玉山揽云*")*4--COUNTIF(B493,"*烟流暮景*")*4-COUNTIF(B493,"*云景*")*加速!$L$11-IF(J493&gt;0,2,0),MAX(0,N492-(A493-A492)-IF(J493&gt;0,2,0)))),0)</f>
        <v>0</v>
      </c>
      <c r="O493">
        <f ca="1">IF(AND(COUNTIF(IF(AND(配装计算器!$K$30&lt;&gt;"∞",0),INDEX(AU492:CB492,1,$AT$1),INDEX(AU494:CB494,1,$AT$1)),"*云飞*")=1,COUNTIF(IF(AND(配装计算器!$K$30&lt;&gt;"∞",0),INDEX(AU492:CB492,1,$AT$1),INDEX(AU494:CB494,1,$AT$1)),"*玉山*")=0),N493,0)</f>
        <v>0</v>
      </c>
      <c r="P493">
        <f ca="1">IFERROR(IF(COUNTIF(B493,"*云栖松*")&gt;0,50-加速!$L$11,MAX(0,P492-(A493-A492))),0)</f>
        <v>0</v>
      </c>
      <c r="Q493">
        <f ca="1">IF(COUNTIF(IF(AND(配装计算器!$K$30&lt;&gt;"∞",0),INDEX(AU492:CB492,1,$AT$1),INDEX(AU494:CB494,1,$AT$1)),"*云栖松*")=1,P493,0)</f>
        <v>0</v>
      </c>
      <c r="R493">
        <f ca="1">IFERROR(IF(COUNTIF(B493,"*莺鸣柳*")&gt;0,45-加速!$L$9,MAX(0,R492-(A493-A492))),0)</f>
        <v>0</v>
      </c>
      <c r="S493">
        <f ca="1">IF(COUNTIF(IF(AND(配装计算器!$K$30&lt;&gt;"∞",0),INDEX(AU492:CB492,1,$AT$1),INDEX(AU494:CB494,1,$AT$1)),"*莺鸣柳*")=1,R493,0)</f>
        <v>0</v>
      </c>
      <c r="T493">
        <f ca="1" t="shared" si="100"/>
        <v>0</v>
      </c>
      <c r="U493">
        <f ca="1">IF(金蛇,IF(COUNTIF(B493,"*金环戴*")+COUNTIF(B493,"*吹风醒*")&gt;0,IF(A493&lt;=3,7.125-2.625-A493-加速!$L$11,7.125+加速!$K$9-(A493+加速!$L$11-T493)),0),0)+IF(金蛇,IF(COUNTIF(B493,"*千切子裂光*")&gt;0,2+加速!$K$9-(A493+加速!$L$11-T493),0),0)</f>
        <v>0</v>
      </c>
      <c r="V493">
        <f ca="1" t="shared" si="101"/>
        <v>0</v>
      </c>
      <c r="W493">
        <f ca="1" t="shared" si="93"/>
        <v>0</v>
      </c>
      <c r="X493">
        <f ca="1">INDEX(加速!$I$13:$I$21,技能数计算!W493+1)</f>
        <v>0</v>
      </c>
      <c r="Y493">
        <f ca="1" t="shared" si="97"/>
        <v>0.5</v>
      </c>
      <c r="Z493">
        <f ca="1" t="shared" si="98"/>
        <v>0</v>
      </c>
      <c r="AA493">
        <f ca="1">MAX(0,IFERROR(IF(COUNTIF(B493,"*叠*")&gt;0,IF(AC492&lt;3,8-A494+A493,AA492+6.875-A494+A493),AA492-A494+A493),AA492-加速!$L$11))</f>
        <v>0</v>
      </c>
      <c r="AB493" t="e">
        <f ca="1">MAX(0,IF(COUNTIF(IF(AND(配装计算器!$K$30&lt;&gt;"∞",0),INDEX(AU493:CB493,1,$AT$1),INDEX(AU493:CB493,1,$AT$1)),"*叠1*")=1,4*25-加速!$L$11,AB492-A493+A492)-IF(OR(COUNTIF(OFFSET(AT493,0,$AT$1,1,1),"*听雷*")&gt;0,AND(碧归&gt;0,COUNTIF(OFFSET(AT493,0,$AT$1,1,1),"*风来*")&gt;0)),0,1)*1.5)</f>
        <v>#VALUE!</v>
      </c>
      <c r="AC493">
        <f ca="1" t="shared" si="94"/>
        <v>3</v>
      </c>
      <c r="AD493">
        <f ca="1">IF(COUNTIF(IF(AND(配装计算器!$K$30&lt;&gt;"∞",0),INDEX(AU493:CB493,1,$AT$1),INDEX(AU494:CB494,1,$AT$1)),"*叠1*")=1,AB493*0+AE492,0)</f>
        <v>0</v>
      </c>
      <c r="AE493" t="e">
        <f ca="1">IF($AN$11&gt;0,IF(COUNTIF(B494,"*叠1*")&gt;0,50-加速!$H$11,MAX(0,AE492-(A494-A493))),0)</f>
        <v>#VALUE!</v>
      </c>
      <c r="AU493" s="176" t="s">
        <v>2776</v>
      </c>
      <c r="AV493">
        <v>2</v>
      </c>
      <c r="AW493" t="s">
        <v>2768</v>
      </c>
      <c r="AX493">
        <v>2</v>
      </c>
      <c r="AY493" t="s">
        <v>2794</v>
      </c>
      <c r="AZ493">
        <v>2</v>
      </c>
      <c r="BA493" t="s">
        <v>2768</v>
      </c>
      <c r="BB493">
        <v>2</v>
      </c>
      <c r="BC493" t="s">
        <v>2776</v>
      </c>
      <c r="BD493">
        <v>1</v>
      </c>
      <c r="BE493" t="s">
        <v>2722</v>
      </c>
      <c r="BF493">
        <v>0</v>
      </c>
      <c r="BG493" t="s">
        <v>2776</v>
      </c>
      <c r="BH493">
        <v>2</v>
      </c>
      <c r="BI493" t="s">
        <v>2768</v>
      </c>
      <c r="BJ493">
        <v>2</v>
      </c>
      <c r="BK493" s="176" t="s">
        <v>2776</v>
      </c>
      <c r="BL493">
        <v>0</v>
      </c>
      <c r="BM493" t="s">
        <v>2768</v>
      </c>
      <c r="BN493">
        <v>2</v>
      </c>
      <c r="BO493" s="176" t="s">
        <v>2850</v>
      </c>
      <c r="BP493">
        <f>IF(0,2,0)</f>
        <v>0</v>
      </c>
      <c r="BQ493" t="s">
        <v>2776</v>
      </c>
      <c r="BR493">
        <v>2</v>
      </c>
      <c r="BS493" t="s">
        <v>2768</v>
      </c>
      <c r="BT493">
        <v>1</v>
      </c>
      <c r="BU493" t="s">
        <v>2776</v>
      </c>
      <c r="BV493">
        <v>2</v>
      </c>
      <c r="BW493" s="182" t="s">
        <v>3063</v>
      </c>
      <c r="BX493" s="179">
        <v>0</v>
      </c>
      <c r="BY493" t="s">
        <v>2768</v>
      </c>
      <c r="BZ493">
        <v>2</v>
      </c>
      <c r="CA493" s="176" t="s">
        <v>2794</v>
      </c>
      <c r="CB493">
        <v>2</v>
      </c>
    </row>
    <row r="494" spans="1:80">
      <c r="A494" s="178" t="str">
        <f ca="1">IFERROR(IF(A493+加速!$L$11&lt;$AS$1,IF(COUNTIF(B493,"*轻*")&gt;0,A493+加速!$L$9,A493+加速!$L$11)+V493,IF(COUNTIF(INDEX(AU494:CB494,1,$AT$1),"*云景*")+COUNTIF(INDEX(AU494:CB494,1,$AT$1),"*鹤归*")+COUNTIF(INDEX(AU494:CB494,1,$AT$1),"*听雷*")&gt;0,A493+加速!$L$11,"")),"")</f>
        <v/>
      </c>
      <c r="B494" s="167" t="str">
        <f ca="1">IF(A494&lt;&gt;"",IF(AND(A494+加速!$L$11&gt;$AS$1,IF(AND(配装计算器!$K$30&lt;&gt;"∞",0),"梦泉虎跑-轻",INDEX(AU494:CB494,1,$AT$1))="云栖松"),"夕照雷峰",IF(AND(配装计算器!$K$30&lt;&gt;"∞",0),"梦泉虎跑-轻",INDEX(AU494:CB494,1,$AT$1))),"")</f>
        <v/>
      </c>
      <c r="C494" t="str">
        <f ca="1" t="shared" si="99"/>
        <v/>
      </c>
      <c r="D494" t="str">
        <f ca="1">IF(B494&lt;&gt;"",IF(C493&lt;=加速!$L$11*(1-E494),0,1),"")</f>
        <v/>
      </c>
      <c r="E494">
        <f ca="1" t="shared" si="95"/>
        <v>1</v>
      </c>
      <c r="G494" t="str">
        <f ca="1" t="shared" si="96"/>
        <v/>
      </c>
      <c r="H494" t="str">
        <f ca="1">IF(B494&lt;&gt;"",IF(AND(COUNTIF(B493,"*轻*莺鸣柳*")&gt;0,COUNTIF(B494,"*轻*")&lt;1),MAX(0,15+I493-(A494-A493)+COUNTIF(B493,"*平湖*")*0),IF(AND(E494=0,MAX(0,H493-(A494-A493))&lt;=加速!$H$11),0,MAX(0,H493-(A494-A493)))),"")</f>
        <v/>
      </c>
      <c r="I494" t="str">
        <f ca="1" t="shared" si="102"/>
        <v/>
      </c>
      <c r="J494" t="str">
        <f ca="1" t="shared" si="103"/>
        <v/>
      </c>
      <c r="K494" t="str">
        <f ca="1">IF(A494&lt;&gt;"",IF(AND(配装计算器!$K$30&lt;&gt;"∞",0),2,INDEX(AU494:CB494,1,$AT$2)),"")</f>
        <v/>
      </c>
      <c r="L494">
        <f ca="1">IFERROR(IF(AND(COUNTIF(B494,"*-峰插*"),技能数据库!$M$72&gt;0),0,IF(COUNTIF(B494,"*鹤归*")&gt;0,16-加速!$L$11,MAX(0,L493-(A494-A493)))),0)</f>
        <v>0</v>
      </c>
      <c r="M494">
        <f ca="1">IF(COUNTIF(IF(AND(配装计算器!$K$30&lt;&gt;"∞",0),INDEX(AU493:CB493,1,$AT$1),INDEX(AU495:CB495,1,$AT$1)),"*鹤归*")=1,L494,0)</f>
        <v>0</v>
      </c>
      <c r="N494">
        <f ca="1">IFERROR(IF(AND(COUNTIF(B494,"*-峰插*"),技能数据库!$M$72&gt;0),0,IF(COUNTIF(B494,"*云飞*")&gt;0,4-COUNTIF(B494,"*玉山揽云*")*4--COUNTIF(B494,"*烟流暮景*")*4-COUNTIF(B494,"*云景*")*加速!$L$11-IF(J494&gt;0,2,0),MAX(0,N493-(A494-A493)-IF(J494&gt;0,2,0)))),0)</f>
        <v>0</v>
      </c>
      <c r="O494">
        <f ca="1">IF(AND(COUNTIF(IF(AND(配装计算器!$K$30&lt;&gt;"∞",0),INDEX(AU493:CB493,1,$AT$1),INDEX(AU495:CB495,1,$AT$1)),"*云飞*")=1,COUNTIF(IF(AND(配装计算器!$K$30&lt;&gt;"∞",0),INDEX(AU493:CB493,1,$AT$1),INDEX(AU495:CB495,1,$AT$1)),"*玉山*")=0),N494,0)</f>
        <v>0</v>
      </c>
      <c r="P494">
        <f ca="1">IFERROR(IF(COUNTIF(B494,"*云栖松*")&gt;0,50-加速!$L$11,MAX(0,P493-(A494-A493))),0)</f>
        <v>0</v>
      </c>
      <c r="Q494">
        <f ca="1">IF(COUNTIF(IF(AND(配装计算器!$K$30&lt;&gt;"∞",0),INDEX(AU493:CB493,1,$AT$1),INDEX(AU495:CB495,1,$AT$1)),"*云栖松*")=1,P494,0)</f>
        <v>0</v>
      </c>
      <c r="R494">
        <f ca="1">IFERROR(IF(COUNTIF(B494,"*莺鸣柳*")&gt;0,45-加速!$L$9,MAX(0,R493-(A494-A493))),0)</f>
        <v>0</v>
      </c>
      <c r="S494">
        <f ca="1">IF(COUNTIF(IF(AND(配装计算器!$K$30&lt;&gt;"∞",0),INDEX(AU493:CB493,1,$AT$1),INDEX(AU495:CB495,1,$AT$1)),"*莺鸣柳*")=1,R494,0)</f>
        <v>0</v>
      </c>
      <c r="T494">
        <f ca="1" t="shared" si="100"/>
        <v>0</v>
      </c>
      <c r="U494">
        <f ca="1">IF(金蛇,IF(COUNTIF(B494,"*金环戴*")+COUNTIF(B494,"*吹风醒*")&gt;0,IF(A494&lt;=3,7.125-2.625-A494-加速!$L$11,7.125+加速!$K$9-(A494+加速!$L$11-T494)),0),0)+IF(金蛇,IF(COUNTIF(B494,"*千切子裂光*")&gt;0,2+加速!$K$9-(A494+加速!$L$11-T494),0),0)</f>
        <v>0</v>
      </c>
      <c r="V494">
        <f ca="1" t="shared" si="101"/>
        <v>0</v>
      </c>
      <c r="W494">
        <f ca="1" t="shared" si="93"/>
        <v>0</v>
      </c>
      <c r="X494">
        <f ca="1">INDEX(加速!$I$13:$I$21,技能数计算!W494+1)</f>
        <v>0</v>
      </c>
      <c r="Y494">
        <f ca="1" t="shared" si="97"/>
        <v>0.5</v>
      </c>
      <c r="Z494">
        <f ca="1" t="shared" si="98"/>
        <v>0</v>
      </c>
      <c r="AA494">
        <f ca="1">MAX(0,IFERROR(IF(COUNTIF(B494,"*叠*")&gt;0,IF(AC493&lt;3,8-A495+A494,AA493+6.875-A495+A494),AA493-A495+A494),AA493-加速!$L$11))</f>
        <v>0</v>
      </c>
      <c r="AB494" t="e">
        <f ca="1">MAX(0,IF(COUNTIF(IF(AND(配装计算器!$K$30&lt;&gt;"∞",0),INDEX(AU494:CB494,1,$AT$1),INDEX(AU494:CB494,1,$AT$1)),"*叠1*")=1,4*25-加速!$L$11,AB493-A494+A493)-IF(OR(COUNTIF(OFFSET(AT494,0,$AT$1,1,1),"*听雷*")&gt;0,AND(碧归&gt;0,COUNTIF(OFFSET(AT494,0,$AT$1,1,1),"*风来*")&gt;0)),0,1)*1.5)</f>
        <v>#VALUE!</v>
      </c>
      <c r="AC494">
        <f ca="1" t="shared" si="94"/>
        <v>3</v>
      </c>
      <c r="AD494">
        <f ca="1">IF(COUNTIF(IF(AND(配装计算器!$K$30&lt;&gt;"∞",0),INDEX(AU494:CB494,1,$AT$1),INDEX(AU495:CB495,1,$AT$1)),"*叠1*")=1,AB494*0+AE493,0)</f>
        <v>0</v>
      </c>
      <c r="AE494" t="e">
        <f ca="1">IF($AN$11&gt;0,IF(COUNTIF(B495,"*叠1*")&gt;0,50-加速!$H$11,MAX(0,AE493-(A495-A494))),0)</f>
        <v>#VALUE!</v>
      </c>
      <c r="AU494" s="176" t="s">
        <v>2768</v>
      </c>
      <c r="AV494">
        <v>1</v>
      </c>
      <c r="AW494" t="s">
        <v>2776</v>
      </c>
      <c r="AX494">
        <v>2</v>
      </c>
      <c r="AY494" t="s">
        <v>2768</v>
      </c>
      <c r="AZ494">
        <v>2</v>
      </c>
      <c r="BA494" t="s">
        <v>2776</v>
      </c>
      <c r="BB494">
        <v>2</v>
      </c>
      <c r="BC494" t="s">
        <v>2768</v>
      </c>
      <c r="BD494">
        <v>1</v>
      </c>
      <c r="BE494" t="s">
        <v>2722</v>
      </c>
      <c r="BF494">
        <v>2</v>
      </c>
      <c r="BG494" t="s">
        <v>2768</v>
      </c>
      <c r="BH494">
        <v>2</v>
      </c>
      <c r="BI494" s="176" t="s">
        <v>2794</v>
      </c>
      <c r="BJ494">
        <v>1</v>
      </c>
      <c r="BK494" t="s">
        <v>2768</v>
      </c>
      <c r="BL494">
        <v>0</v>
      </c>
      <c r="BM494" t="s">
        <v>2768</v>
      </c>
      <c r="BN494">
        <v>2</v>
      </c>
      <c r="BO494" s="176" t="str">
        <f>IF(秋,"金环戴","吹风醒")</f>
        <v>吹风醒</v>
      </c>
      <c r="BP494">
        <v>2</v>
      </c>
      <c r="BQ494" t="s">
        <v>2768</v>
      </c>
      <c r="BR494">
        <v>2</v>
      </c>
      <c r="BS494" t="s">
        <v>2768</v>
      </c>
      <c r="BT494">
        <v>0</v>
      </c>
      <c r="BU494" t="s">
        <v>2768</v>
      </c>
      <c r="BV494">
        <v>2</v>
      </c>
      <c r="BW494" s="179" t="s">
        <v>2768</v>
      </c>
      <c r="BX494" s="179">
        <v>2</v>
      </c>
      <c r="BY494" t="s">
        <v>2768</v>
      </c>
      <c r="BZ494">
        <v>2</v>
      </c>
      <c r="CA494" s="176" t="s">
        <v>2768</v>
      </c>
      <c r="CB494">
        <v>2</v>
      </c>
    </row>
    <row r="495" spans="1:80">
      <c r="A495" s="178" t="str">
        <f ca="1">IFERROR(IF(A494+加速!$L$11&lt;$AS$1,IF(COUNTIF(B494,"*轻*")&gt;0,A494+加速!$L$9,A494+加速!$L$11)+V494,IF(COUNTIF(INDEX(AU495:CB495,1,$AT$1),"*云景*")+COUNTIF(INDEX(AU495:CB495,1,$AT$1),"*鹤归*")+COUNTIF(INDEX(AU495:CB495,1,$AT$1),"*听雷*")&gt;0,A494+加速!$L$11,"")),"")</f>
        <v/>
      </c>
      <c r="B495" s="167" t="str">
        <f ca="1">IF(A495&lt;&gt;"",IF(AND(A495+加速!$L$11&gt;$AS$1,IF(AND(配装计算器!$K$30&lt;&gt;"∞",0),"梦泉虎跑-轻",INDEX(AU495:CB495,1,$AT$1))="云栖松"),"夕照雷峰",IF(AND(配装计算器!$K$30&lt;&gt;"∞",0),"梦泉虎跑-轻",INDEX(AU495:CB495,1,$AT$1))),"")</f>
        <v/>
      </c>
      <c r="C495" t="str">
        <f ca="1" t="shared" si="99"/>
        <v/>
      </c>
      <c r="D495" t="str">
        <f ca="1">IF(B495&lt;&gt;"",IF(C494&lt;=加速!$L$11*(1-E495),0,1),"")</f>
        <v/>
      </c>
      <c r="E495">
        <f ca="1" t="shared" si="95"/>
        <v>1</v>
      </c>
      <c r="G495" t="str">
        <f ca="1" t="shared" si="96"/>
        <v/>
      </c>
      <c r="H495" t="str">
        <f ca="1">IF(B495&lt;&gt;"",IF(AND(COUNTIF(B494,"*轻*莺鸣柳*")&gt;0,COUNTIF(B495,"*轻*")&lt;1),MAX(0,15+I494-(A495-A494)+COUNTIF(B494,"*平湖*")*0),IF(AND(E495=0,MAX(0,H494-(A495-A494))&lt;=加速!$H$11),0,MAX(0,H494-(A495-A494)))),"")</f>
        <v/>
      </c>
      <c r="I495" t="str">
        <f ca="1" t="shared" si="102"/>
        <v/>
      </c>
      <c r="J495" t="str">
        <f ca="1" t="shared" si="103"/>
        <v/>
      </c>
      <c r="K495" t="str">
        <f ca="1">IF(A495&lt;&gt;"",IF(AND(配装计算器!$K$30&lt;&gt;"∞",0),2,INDEX(AU495:CB495,1,$AT$2)),"")</f>
        <v/>
      </c>
      <c r="L495">
        <f ca="1">IFERROR(IF(AND(COUNTIF(B495,"*-峰插*"),技能数据库!$M$72&gt;0),0,IF(COUNTIF(B495,"*鹤归*")&gt;0,16-加速!$L$11,MAX(0,L494-(A495-A494)))),0)</f>
        <v>0</v>
      </c>
      <c r="M495">
        <f ca="1">IF(COUNTIF(IF(AND(配装计算器!$K$30&lt;&gt;"∞",0),INDEX(AU494:CB494,1,$AT$1),INDEX(AU496:CB496,1,$AT$1)),"*鹤归*")=1,L495,0)</f>
        <v>0</v>
      </c>
      <c r="N495">
        <f ca="1">IFERROR(IF(AND(COUNTIF(B495,"*-峰插*"),技能数据库!$M$72&gt;0),0,IF(COUNTIF(B495,"*云飞*")&gt;0,4-COUNTIF(B495,"*玉山揽云*")*4--COUNTIF(B495,"*烟流暮景*")*4-COUNTIF(B495,"*云景*")*加速!$L$11-IF(J495&gt;0,2,0),MAX(0,N494-(A495-A494)-IF(J495&gt;0,2,0)))),0)</f>
        <v>0</v>
      </c>
      <c r="O495">
        <f ca="1">IF(AND(COUNTIF(IF(AND(配装计算器!$K$30&lt;&gt;"∞",0),INDEX(AU494:CB494,1,$AT$1),INDEX(AU496:CB496,1,$AT$1)),"*云飞*")=1,COUNTIF(IF(AND(配装计算器!$K$30&lt;&gt;"∞",0),INDEX(AU494:CB494,1,$AT$1),INDEX(AU496:CB496,1,$AT$1)),"*玉山*")=0),N495,0)</f>
        <v>0</v>
      </c>
      <c r="P495">
        <f ca="1">IFERROR(IF(COUNTIF(B495,"*云栖松*")&gt;0,50-加速!$L$11,MAX(0,P494-(A495-A494))),0)</f>
        <v>0</v>
      </c>
      <c r="Q495">
        <f ca="1">IF(COUNTIF(IF(AND(配装计算器!$K$30&lt;&gt;"∞",0),INDEX(AU494:CB494,1,$AT$1),INDEX(AU496:CB496,1,$AT$1)),"*云栖松*")=1,P495,0)</f>
        <v>0</v>
      </c>
      <c r="R495">
        <f ca="1">IFERROR(IF(COUNTIF(B495,"*莺鸣柳*")&gt;0,45-加速!$L$9,MAX(0,R494-(A495-A494))),0)</f>
        <v>0</v>
      </c>
      <c r="S495">
        <f ca="1">IF(COUNTIF(IF(AND(配装计算器!$K$30&lt;&gt;"∞",0),INDEX(AU494:CB494,1,$AT$1),INDEX(AU496:CB496,1,$AT$1)),"*莺鸣柳*")=1,R495,0)</f>
        <v>0</v>
      </c>
      <c r="T495">
        <f ca="1" t="shared" si="100"/>
        <v>0</v>
      </c>
      <c r="U495">
        <f ca="1">IF(金蛇,IF(COUNTIF(B495,"*金环戴*")+COUNTIF(B495,"*吹风醒*")&gt;0,IF(A495&lt;=3,7.125-2.625-A495-加速!$L$11,7.125+加速!$K$9-(A495+加速!$L$11-T495)),0),0)+IF(金蛇,IF(COUNTIF(B495,"*千切子裂光*")&gt;0,2+加速!$K$9-(A495+加速!$L$11-T495),0),0)</f>
        <v>0</v>
      </c>
      <c r="V495">
        <f ca="1" t="shared" si="101"/>
        <v>0</v>
      </c>
      <c r="W495">
        <f ca="1" t="shared" si="93"/>
        <v>0</v>
      </c>
      <c r="X495">
        <f ca="1">INDEX(加速!$I$13:$I$21,技能数计算!W495+1)</f>
        <v>0</v>
      </c>
      <c r="Y495">
        <f ca="1" t="shared" si="97"/>
        <v>0.5</v>
      </c>
      <c r="Z495">
        <f ca="1" t="shared" si="98"/>
        <v>0</v>
      </c>
      <c r="AA495">
        <f ca="1">MAX(0,IFERROR(IF(COUNTIF(B495,"*叠*")&gt;0,IF(AC494&lt;3,8-A496+A495,AA494+6.875-A496+A495),AA494-A496+A495),AA494-加速!$L$11))</f>
        <v>0</v>
      </c>
      <c r="AB495" t="e">
        <f ca="1">MAX(0,IF(COUNTIF(IF(AND(配装计算器!$K$30&lt;&gt;"∞",0),INDEX(AU495:CB495,1,$AT$1),INDEX(AU495:CB495,1,$AT$1)),"*叠1*")=1,4*25-加速!$L$11,AB494-A495+A494)-IF(OR(COUNTIF(OFFSET(AT495,0,$AT$1,1,1),"*听雷*")&gt;0,AND(碧归&gt;0,COUNTIF(OFFSET(AT495,0,$AT$1,1,1),"*风来*")&gt;0)),0,1)*1.5)</f>
        <v>#VALUE!</v>
      </c>
      <c r="AC495">
        <f ca="1" t="shared" si="94"/>
        <v>3</v>
      </c>
      <c r="AD495">
        <f ca="1">IF(COUNTIF(IF(AND(配装计算器!$K$30&lt;&gt;"∞",0),INDEX(AU495:CB495,1,$AT$1),INDEX(AU496:CB496,1,$AT$1)),"*叠1*")=1,AB495*0+AE494,0)</f>
        <v>0</v>
      </c>
      <c r="AE495" t="e">
        <f ca="1">IF($AN$11&gt;0,IF(COUNTIF(B496,"*叠1*")&gt;0,50-加速!$H$11,MAX(0,AE494-(A496-A495))),0)</f>
        <v>#VALUE!</v>
      </c>
      <c r="AU495" s="176" t="s">
        <v>2776</v>
      </c>
      <c r="AV495">
        <v>1</v>
      </c>
      <c r="AW495" t="s">
        <v>2768</v>
      </c>
      <c r="AX495">
        <v>2</v>
      </c>
      <c r="AY495" t="s">
        <v>2776</v>
      </c>
      <c r="AZ495">
        <v>2</v>
      </c>
      <c r="BA495" t="s">
        <v>2768</v>
      </c>
      <c r="BB495">
        <v>2</v>
      </c>
      <c r="BC495" t="s">
        <v>2768</v>
      </c>
      <c r="BD495">
        <v>0</v>
      </c>
      <c r="BE495" t="s">
        <v>2768</v>
      </c>
      <c r="BF495">
        <v>2</v>
      </c>
      <c r="BG495" t="s">
        <v>2776</v>
      </c>
      <c r="BH495">
        <v>2</v>
      </c>
      <c r="BI495" t="s">
        <v>2776</v>
      </c>
      <c r="BJ495">
        <v>1</v>
      </c>
      <c r="BK495" t="s">
        <v>3012</v>
      </c>
      <c r="BL495">
        <v>2</v>
      </c>
      <c r="BM495" t="s">
        <v>2776</v>
      </c>
      <c r="BN495">
        <v>2</v>
      </c>
      <c r="BO495" t="str">
        <f>IF(秋,"夕照雷峰","云飞玉皇")</f>
        <v>云飞玉皇</v>
      </c>
      <c r="BP495">
        <v>2</v>
      </c>
      <c r="BQ495" t="s">
        <v>2776</v>
      </c>
      <c r="BR495">
        <v>2</v>
      </c>
      <c r="BS495" t="s">
        <v>2776</v>
      </c>
      <c r="BT495">
        <v>0</v>
      </c>
      <c r="BU495" t="s">
        <v>2776</v>
      </c>
      <c r="BV495">
        <v>2</v>
      </c>
      <c r="BW495" s="179" t="s">
        <v>1886</v>
      </c>
      <c r="BX495" s="179">
        <v>2</v>
      </c>
      <c r="BY495" t="s">
        <v>2768</v>
      </c>
      <c r="BZ495">
        <v>2</v>
      </c>
      <c r="CA495" s="176" t="s">
        <v>2776</v>
      </c>
      <c r="CB495">
        <v>2</v>
      </c>
    </row>
    <row r="496" spans="1:80">
      <c r="A496" s="178" t="str">
        <f ca="1">IFERROR(IF(A495+加速!$L$11&lt;$AS$1,IF(COUNTIF(B495,"*轻*")&gt;0,A495+加速!$L$9,A495+加速!$L$11)+V495,IF(COUNTIF(INDEX(AU496:CB496,1,$AT$1),"*云景*")+COUNTIF(INDEX(AU496:CB496,1,$AT$1),"*鹤归*")+COUNTIF(INDEX(AU496:CB496,1,$AT$1),"*听雷*")&gt;0,A495+加速!$L$11,"")),"")</f>
        <v/>
      </c>
      <c r="B496" s="167" t="str">
        <f ca="1">IF(A496&lt;&gt;"",IF(AND(A496+加速!$L$11&gt;$AS$1,IF(AND(配装计算器!$K$30&lt;&gt;"∞",0),"梦泉虎跑-轻",INDEX(AU496:CB496,1,$AT$1))="云栖松"),"夕照雷峰",IF(AND(配装计算器!$K$30&lt;&gt;"∞",0),"梦泉虎跑-轻",INDEX(AU496:CB496,1,$AT$1))),"")</f>
        <v/>
      </c>
      <c r="C496" t="str">
        <f ca="1" t="shared" si="99"/>
        <v/>
      </c>
      <c r="D496" t="str">
        <f ca="1">IF(B496&lt;&gt;"",IF(C495&lt;=加速!$L$11*(1-E496),0,1),"")</f>
        <v/>
      </c>
      <c r="E496">
        <f ca="1" t="shared" si="95"/>
        <v>1</v>
      </c>
      <c r="G496" t="str">
        <f ca="1" t="shared" si="96"/>
        <v/>
      </c>
      <c r="H496" t="str">
        <f ca="1">IF(B496&lt;&gt;"",IF(AND(COUNTIF(B495,"*轻*莺鸣柳*")&gt;0,COUNTIF(B496,"*轻*")&lt;1),MAX(0,15+I495-(A496-A495)+COUNTIF(B495,"*平湖*")*0),IF(AND(E496=0,MAX(0,H495-(A496-A495))&lt;=加速!$H$11),0,MAX(0,H495-(A496-A495)))),"")</f>
        <v/>
      </c>
      <c r="I496" t="str">
        <f ca="1" t="shared" si="102"/>
        <v/>
      </c>
      <c r="J496" t="str">
        <f ca="1" t="shared" si="103"/>
        <v/>
      </c>
      <c r="K496" t="str">
        <f ca="1">IF(A496&lt;&gt;"",IF(AND(配装计算器!$K$30&lt;&gt;"∞",0),2,INDEX(AU496:CB496,1,$AT$2)),"")</f>
        <v/>
      </c>
      <c r="L496">
        <f ca="1">IFERROR(IF(AND(COUNTIF(B496,"*-峰插*"),技能数据库!$M$72&gt;0),0,IF(COUNTIF(B496,"*鹤归*")&gt;0,16-加速!$L$11,MAX(0,L495-(A496-A495)))),0)</f>
        <v>0</v>
      </c>
      <c r="M496">
        <f ca="1">IF(COUNTIF(IF(AND(配装计算器!$K$30&lt;&gt;"∞",0),INDEX(AU495:CB495,1,$AT$1),INDEX(AU497:CB497,1,$AT$1)),"*鹤归*")=1,L496,0)</f>
        <v>0</v>
      </c>
      <c r="N496">
        <f ca="1">IFERROR(IF(AND(COUNTIF(B496,"*-峰插*"),技能数据库!$M$72&gt;0),0,IF(COUNTIF(B496,"*云飞*")&gt;0,4-COUNTIF(B496,"*玉山揽云*")*4--COUNTIF(B496,"*烟流暮景*")*4-COUNTIF(B496,"*云景*")*加速!$L$11-IF(J496&gt;0,2,0),MAX(0,N495-(A496-A495)-IF(J496&gt;0,2,0)))),0)</f>
        <v>0</v>
      </c>
      <c r="O496">
        <f ca="1">IF(AND(COUNTIF(IF(AND(配装计算器!$K$30&lt;&gt;"∞",0),INDEX(AU495:CB495,1,$AT$1),INDEX(AU497:CB497,1,$AT$1)),"*云飞*")=1,COUNTIF(IF(AND(配装计算器!$K$30&lt;&gt;"∞",0),INDEX(AU495:CB495,1,$AT$1),INDEX(AU497:CB497,1,$AT$1)),"*玉山*")=0),N496,0)</f>
        <v>0</v>
      </c>
      <c r="P496">
        <f ca="1">IFERROR(IF(COUNTIF(B496,"*云栖松*")&gt;0,50-加速!$L$11,MAX(0,P495-(A496-A495))),0)</f>
        <v>0</v>
      </c>
      <c r="Q496">
        <f ca="1">IF(COUNTIF(IF(AND(配装计算器!$K$30&lt;&gt;"∞",0),INDEX(AU495:CB495,1,$AT$1),INDEX(AU497:CB497,1,$AT$1)),"*云栖松*")=1,P496,0)</f>
        <v>0</v>
      </c>
      <c r="R496">
        <f ca="1">IFERROR(IF(COUNTIF(B496,"*莺鸣柳*")&gt;0,45-加速!$L$9,MAX(0,R495-(A496-A495))),0)</f>
        <v>0</v>
      </c>
      <c r="S496">
        <f ca="1">IF(COUNTIF(IF(AND(配装计算器!$K$30&lt;&gt;"∞",0),INDEX(AU495:CB495,1,$AT$1),INDEX(AU497:CB497,1,$AT$1)),"*莺鸣柳*")=1,R496,0)</f>
        <v>0</v>
      </c>
      <c r="T496">
        <f ca="1" t="shared" si="100"/>
        <v>0</v>
      </c>
      <c r="U496">
        <f ca="1">IF(金蛇,IF(COUNTIF(B496,"*金环戴*")+COUNTIF(B496,"*吹风醒*")&gt;0,IF(A496&lt;=3,7.125-2.625-A496-加速!$L$11,7.125+加速!$K$9-(A496+加速!$L$11-T496)),0),0)+IF(金蛇,IF(COUNTIF(B496,"*千切子裂光*")&gt;0,2+加速!$K$9-(A496+加速!$L$11-T496),0),0)</f>
        <v>0</v>
      </c>
      <c r="V496" t="e">
        <f ca="1" t="shared" si="101"/>
        <v>#VALUE!</v>
      </c>
      <c r="W496">
        <f ca="1" t="shared" si="93"/>
        <v>0</v>
      </c>
      <c r="X496">
        <f ca="1">INDEX(加速!$I$13:$I$21,技能数计算!W496+1)</f>
        <v>0</v>
      </c>
      <c r="Y496">
        <f ca="1" t="shared" si="97"/>
        <v>0.5</v>
      </c>
      <c r="Z496">
        <f ca="1" t="shared" si="98"/>
        <v>0</v>
      </c>
      <c r="AA496">
        <f ca="1">MAX(0,IFERROR(IF(COUNTIF(B496,"*叠*")&gt;0,IF(AC495&lt;3,8-A497+A496,AA495+6.875-A497+A496),AA495-A497+A496),AA495-加速!$L$11))</f>
        <v>0</v>
      </c>
      <c r="AB496" t="e">
        <f ca="1">MAX(0,IF(COUNTIF(IF(AND(配装计算器!$K$30&lt;&gt;"∞",0),INDEX(AU496:CB496,1,$AT$1),INDEX(AU496:CB496,1,$AT$1)),"*叠1*")=1,4*25-加速!$L$11,AB495-A496+A495)-IF(OR(COUNTIF(OFFSET(AT496,0,$AT$1,1,1),"*听雷*")&gt;0,AND(碧归&gt;0,COUNTIF(OFFSET(AT496,0,$AT$1,1,1),"*风来*")&gt;0)),0,1)*1.5)</f>
        <v>#VALUE!</v>
      </c>
      <c r="AC496">
        <f ca="1" t="shared" si="94"/>
        <v>3</v>
      </c>
      <c r="AD496" t="e">
        <f ca="1">IF(COUNTIF(IF(AND(配装计算器!$K$30&lt;&gt;"∞",0),INDEX(AU496:CB496,1,$AT$1),INDEX(AU497:CB497,1,$AT$1)),"*叠1*")=1,AB496*0+AE495,0)</f>
        <v>#VALUE!</v>
      </c>
      <c r="AE496" t="e">
        <f ca="1">IF($AN$11&gt;0,IF(COUNTIF(B497,"*叠1*")&gt;0,50-加速!$H$11,MAX(0,AE495-(A497-A496))),0)</f>
        <v>#VALUE!</v>
      </c>
      <c r="AU496" t="s">
        <v>2722</v>
      </c>
      <c r="AV496">
        <v>0</v>
      </c>
      <c r="AW496" s="176" t="s">
        <v>2794</v>
      </c>
      <c r="AX496">
        <v>2</v>
      </c>
      <c r="AY496" t="s">
        <v>2768</v>
      </c>
      <c r="AZ496">
        <v>2</v>
      </c>
      <c r="BA496" t="s">
        <v>2776</v>
      </c>
      <c r="BB496">
        <v>1</v>
      </c>
      <c r="BC496" t="s">
        <v>2768</v>
      </c>
      <c r="BD496">
        <v>0</v>
      </c>
      <c r="BE496" t="s">
        <v>2776</v>
      </c>
      <c r="BF496">
        <v>2</v>
      </c>
      <c r="BG496" t="s">
        <v>2768</v>
      </c>
      <c r="BH496">
        <v>1</v>
      </c>
      <c r="BI496" t="s">
        <v>2768</v>
      </c>
      <c r="BJ496">
        <v>0</v>
      </c>
      <c r="BK496" s="176" t="s">
        <v>2794</v>
      </c>
      <c r="BL496">
        <v>2</v>
      </c>
      <c r="BM496" t="s">
        <v>2768</v>
      </c>
      <c r="BN496">
        <v>2</v>
      </c>
      <c r="BO496" s="176" t="str">
        <f>IF(秋,"梦泉虎跑-轻","夕照雷峰")</f>
        <v>夕照雷峰</v>
      </c>
      <c r="BP496">
        <v>2</v>
      </c>
      <c r="BQ496" t="s">
        <v>2768</v>
      </c>
      <c r="BR496">
        <v>2</v>
      </c>
      <c r="BS496" t="s">
        <v>2768</v>
      </c>
      <c r="BT496">
        <v>0</v>
      </c>
      <c r="BU496" t="s">
        <v>2768</v>
      </c>
      <c r="BV496">
        <v>2</v>
      </c>
      <c r="BW496" s="179" t="s">
        <v>2853</v>
      </c>
      <c r="BX496" s="179">
        <v>2</v>
      </c>
      <c r="BY496" t="s">
        <v>2776</v>
      </c>
      <c r="BZ496">
        <v>2</v>
      </c>
      <c r="CA496" s="176" t="s">
        <v>2768</v>
      </c>
      <c r="CB496">
        <v>2</v>
      </c>
    </row>
    <row r="497" spans="1:80">
      <c r="A497" s="178" t="str">
        <f ca="1">IFERROR(IF(A496+加速!$L$11&lt;$AS$1,IF(COUNTIF(B496,"*轻*")&gt;0,A496+加速!$L$9,A496+加速!$L$11)+V496,IF(COUNTIF(INDEX(AU497:CB497,1,$AT$1),"*云景*")+COUNTIF(INDEX(AU497:CB497,1,$AT$1),"*鹤归*")+COUNTIF(INDEX(AU497:CB497,1,$AT$1),"*听雷*")&gt;0,A496+加速!$L$11,"")),"")</f>
        <v/>
      </c>
      <c r="B497" s="167" t="str">
        <f ca="1">IF(A497&lt;&gt;"",IF(AND(A497+加速!$L$11&gt;$AS$1,IF(AND(配装计算器!$K$30&lt;&gt;"∞",0),"梦泉虎跑-轻",INDEX(AU497:CB497,1,$AT$1))="云栖松"),"夕照雷峰",IF(AND(配装计算器!$K$30&lt;&gt;"∞",0),"梦泉虎跑-轻",INDEX(AU497:CB497,1,$AT$1))),"")</f>
        <v/>
      </c>
      <c r="C497" t="str">
        <f ca="1" t="shared" si="99"/>
        <v/>
      </c>
      <c r="D497" t="str">
        <f ca="1">IF(B497&lt;&gt;"",IF(C496&lt;=加速!$L$11*(1-E497),0,1),"")</f>
        <v/>
      </c>
      <c r="E497">
        <f ca="1" t="shared" si="95"/>
        <v>1</v>
      </c>
      <c r="G497" t="str">
        <f ca="1" t="shared" si="96"/>
        <v/>
      </c>
      <c r="H497" t="str">
        <f ca="1">IF(B497&lt;&gt;"",IF(AND(COUNTIF(B496,"*轻*莺鸣柳*")&gt;0,COUNTIF(B497,"*轻*")&lt;1),MAX(0,15+I496-(A497-A496)+COUNTIF(B496,"*平湖*")*0),IF(AND(E497=0,MAX(0,H496-(A497-A496))&lt;=加速!$H$11),0,MAX(0,H496-(A497-A496)))),"")</f>
        <v/>
      </c>
      <c r="I497" t="str">
        <f ca="1" t="shared" si="102"/>
        <v/>
      </c>
      <c r="J497" t="str">
        <f ca="1" t="shared" si="103"/>
        <v/>
      </c>
      <c r="K497" t="str">
        <f ca="1">IF(A497&lt;&gt;"",IF(AND(配装计算器!$K$30&lt;&gt;"∞",0),2,INDEX(AU497:CB497,1,$AT$2)),"")</f>
        <v/>
      </c>
      <c r="L497">
        <f ca="1">IFERROR(IF(AND(COUNTIF(B497,"*-峰插*"),技能数据库!$M$72&gt;0),0,IF(COUNTIF(B497,"*鹤归*")&gt;0,16-加速!$L$11,MAX(0,L496-(A497-A496)))),0)</f>
        <v>0</v>
      </c>
      <c r="M497">
        <f ca="1">IF(COUNTIF(IF(AND(配装计算器!$K$30&lt;&gt;"∞",0),INDEX(AU496:CB496,1,$AT$1),INDEX(AU498:CB498,1,$AT$1)),"*鹤归*")=1,L497,0)</f>
        <v>0</v>
      </c>
      <c r="N497">
        <f ca="1">IFERROR(IF(AND(COUNTIF(B497,"*-峰插*"),技能数据库!$M$72&gt;0),0,IF(COUNTIF(B497,"*云飞*")&gt;0,4-COUNTIF(B497,"*玉山揽云*")*4--COUNTIF(B497,"*烟流暮景*")*4-COUNTIF(B497,"*云景*")*加速!$L$11-IF(J497&gt;0,2,0),MAX(0,N496-(A497-A496)-IF(J497&gt;0,2,0)))),0)</f>
        <v>0</v>
      </c>
      <c r="O497">
        <f ca="1">IF(AND(COUNTIF(IF(AND(配装计算器!$K$30&lt;&gt;"∞",0),INDEX(AU496:CB496,1,$AT$1),INDEX(AU498:CB498,1,$AT$1)),"*云飞*")=1,COUNTIF(IF(AND(配装计算器!$K$30&lt;&gt;"∞",0),INDEX(AU496:CB496,1,$AT$1),INDEX(AU498:CB498,1,$AT$1)),"*玉山*")=0),N497,0)</f>
        <v>0</v>
      </c>
      <c r="P497">
        <f ca="1">IFERROR(IF(COUNTIF(B497,"*云栖松*")&gt;0,50-加速!$L$11,MAX(0,P496-(A497-A496))),0)</f>
        <v>0</v>
      </c>
      <c r="Q497">
        <f ca="1">IF(COUNTIF(IF(AND(配装计算器!$K$30&lt;&gt;"∞",0),INDEX(AU496:CB496,1,$AT$1),INDEX(AU498:CB498,1,$AT$1)),"*云栖松*")=1,P497,0)</f>
        <v>0</v>
      </c>
      <c r="R497">
        <f ca="1">IFERROR(IF(COUNTIF(B497,"*莺鸣柳*")&gt;0,45-加速!$L$9,MAX(0,R496-(A497-A496))),0)</f>
        <v>0</v>
      </c>
      <c r="S497">
        <f ca="1">IF(COUNTIF(IF(AND(配装计算器!$K$30&lt;&gt;"∞",0),INDEX(AU496:CB496,1,$AT$1),INDEX(AU498:CB498,1,$AT$1)),"*莺鸣柳*")=1,R497,0)</f>
        <v>0</v>
      </c>
      <c r="T497">
        <f ca="1" t="shared" si="100"/>
        <v>0</v>
      </c>
      <c r="U497">
        <f ca="1">IF(金蛇,IF(COUNTIF(B497,"*金环戴*")+COUNTIF(B497,"*吹风醒*")&gt;0,IF(A497&lt;=3,7.125-2.625-A497-加速!$L$11,7.125+加速!$K$9-(A497+加速!$L$11-T497)),0),0)+IF(金蛇,IF(COUNTIF(B497,"*千切子裂光*")&gt;0,2+加速!$K$9-(A497+加速!$L$11-T497),0),0)</f>
        <v>0</v>
      </c>
      <c r="V497">
        <f ca="1" t="shared" si="101"/>
        <v>0</v>
      </c>
      <c r="W497">
        <f ca="1" t="shared" si="93"/>
        <v>0</v>
      </c>
      <c r="X497">
        <f ca="1">INDEX(加速!$I$13:$I$21,技能数计算!W497+1)</f>
        <v>0</v>
      </c>
      <c r="Y497">
        <f ca="1" t="shared" si="97"/>
        <v>0.5</v>
      </c>
      <c r="Z497">
        <f ca="1" t="shared" si="98"/>
        <v>0</v>
      </c>
      <c r="AA497">
        <f ca="1">MAX(0,IFERROR(IF(COUNTIF(B497,"*叠*")&gt;0,IF(AC496&lt;3,8-A498+A497,AA496+6.875-A498+A497),AA496-A498+A497),AA496-加速!$L$11))</f>
        <v>0</v>
      </c>
      <c r="AB497">
        <f ca="1">MAX(0,IF(COUNTIF(IF(AND(配装计算器!$K$30&lt;&gt;"∞",0),INDEX(AU497:CB497,1,$AT$1),INDEX(AU497:CB497,1,$AT$1)),"*叠1*")=1,4*25-加速!$L$11,AB496-A497+A496)-IF(OR(COUNTIF(OFFSET(AT497,0,$AT$1,1,1),"*听雷*")&gt;0,AND(碧归&gt;0,COUNTIF(OFFSET(AT497,0,$AT$1,1,1),"*风来*")&gt;0)),0,1)*1.5)</f>
        <v>97.21</v>
      </c>
      <c r="AC497">
        <f ca="1" t="shared" si="94"/>
        <v>3</v>
      </c>
      <c r="AD497">
        <f ca="1">IF(COUNTIF(IF(AND(配装计算器!$K$30&lt;&gt;"∞",0),INDEX(AU497:CB497,1,$AT$1),INDEX(AU498:CB498,1,$AT$1)),"*叠1*")=1,AB497*0+AE496,0)</f>
        <v>0</v>
      </c>
      <c r="AE497" t="e">
        <f ca="1">IF($AN$11&gt;0,IF(COUNTIF(B498,"*叠1*")&gt;0,50-加速!$H$11,MAX(0,AE496-(A498-A497))),0)</f>
        <v>#VALUE!</v>
      </c>
      <c r="AU497" t="s">
        <v>3009</v>
      </c>
      <c r="AV497">
        <v>2</v>
      </c>
      <c r="AW497" s="176" t="s">
        <v>2768</v>
      </c>
      <c r="AX497">
        <v>2</v>
      </c>
      <c r="AY497" t="s">
        <v>2776</v>
      </c>
      <c r="AZ497">
        <v>2</v>
      </c>
      <c r="BA497" t="s">
        <v>2768</v>
      </c>
      <c r="BB497">
        <v>1</v>
      </c>
      <c r="BC497" t="s">
        <v>3010</v>
      </c>
      <c r="BD497">
        <v>2</v>
      </c>
      <c r="BE497" t="s">
        <v>2794</v>
      </c>
      <c r="BF497">
        <v>1</v>
      </c>
      <c r="BG497" t="s">
        <v>2776</v>
      </c>
      <c r="BH497">
        <v>1</v>
      </c>
      <c r="BI497" t="s">
        <v>3011</v>
      </c>
      <c r="BJ497">
        <v>2</v>
      </c>
      <c r="BK497" s="176" t="s">
        <v>3019</v>
      </c>
      <c r="BL497">
        <v>2</v>
      </c>
      <c r="BM497" s="176" t="s">
        <v>2794</v>
      </c>
      <c r="BN497">
        <v>2</v>
      </c>
      <c r="BO497" s="176" t="str">
        <f>IF(秋,"九溪弥烟-轻-血毒金蛇锥","梦泉虎跑-轻")</f>
        <v>梦泉虎跑-轻</v>
      </c>
      <c r="BP497">
        <v>0</v>
      </c>
      <c r="BQ497" t="s">
        <v>3013</v>
      </c>
      <c r="BR497">
        <v>2</v>
      </c>
      <c r="BS497" t="s">
        <v>3074</v>
      </c>
      <c r="BT497">
        <v>2</v>
      </c>
      <c r="BU497" t="s">
        <v>2808</v>
      </c>
      <c r="BV497">
        <v>2</v>
      </c>
      <c r="BW497" s="182" t="s">
        <v>3117</v>
      </c>
      <c r="BX497" s="179">
        <v>2</v>
      </c>
      <c r="BY497" s="176" t="s">
        <v>2794</v>
      </c>
      <c r="BZ497">
        <v>2</v>
      </c>
      <c r="CA497" s="176" t="s">
        <v>2808</v>
      </c>
      <c r="CB497">
        <v>2</v>
      </c>
    </row>
    <row r="498" spans="1:80">
      <c r="A498" s="178" t="str">
        <f ca="1">IFERROR(IF(A497+加速!$L$11&lt;$AS$1,IF(COUNTIF(B497,"*轻*")&gt;0,A497+加速!$L$9,A497+加速!$L$11)+V497,IF(COUNTIF(INDEX(AU498:CB498,1,$AT$1),"*云景*")+COUNTIF(INDEX(AU498:CB498,1,$AT$1),"*鹤归*")+COUNTIF(INDEX(AU498:CB498,1,$AT$1),"*听雷*")&gt;0,A497+加速!$L$11,"")),"")</f>
        <v/>
      </c>
      <c r="B498" s="167" t="str">
        <f ca="1">IF(A498&lt;&gt;"",IF(AND(A498+加速!$L$11&gt;$AS$1,IF(AND(配装计算器!$K$30&lt;&gt;"∞",0),"梦泉虎跑-轻",INDEX(AU498:CB498,1,$AT$1))="云栖松"),"夕照雷峰",IF(AND(配装计算器!$K$30&lt;&gt;"∞",0),"梦泉虎跑-轻",INDEX(AU498:CB498,1,$AT$1))),"")</f>
        <v/>
      </c>
      <c r="C498" t="str">
        <f ca="1" t="shared" si="99"/>
        <v/>
      </c>
      <c r="D498" t="str">
        <f ca="1">IF(B498&lt;&gt;"",IF(C497&lt;=加速!$L$11*(1-E498),0,1),"")</f>
        <v/>
      </c>
      <c r="E498">
        <f ca="1" t="shared" si="95"/>
        <v>1</v>
      </c>
      <c r="G498" t="str">
        <f ca="1" t="shared" si="96"/>
        <v/>
      </c>
      <c r="H498" t="str">
        <f ca="1">IF(B498&lt;&gt;"",IF(AND(COUNTIF(B497,"*轻*莺鸣柳*")&gt;0,COUNTIF(B498,"*轻*")&lt;1),MAX(0,15+I497-(A498-A497)+COUNTIF(B497,"*平湖*")*0),IF(AND(E498=0,MAX(0,H497-(A498-A497))&lt;=加速!$H$11),0,MAX(0,H497-(A498-A497)))),"")</f>
        <v/>
      </c>
      <c r="I498" t="str">
        <f ca="1" t="shared" si="102"/>
        <v/>
      </c>
      <c r="J498" t="str">
        <f ca="1" t="shared" si="103"/>
        <v/>
      </c>
      <c r="K498" t="str">
        <f ca="1">IF(A498&lt;&gt;"",IF(AND(配装计算器!$K$30&lt;&gt;"∞",0),2,INDEX(AU498:CB498,1,$AT$2)),"")</f>
        <v/>
      </c>
      <c r="L498">
        <f ca="1">IFERROR(IF(AND(COUNTIF(B498,"*-峰插*"),技能数据库!$M$72&gt;0),0,IF(COUNTIF(B498,"*鹤归*")&gt;0,16-加速!$L$11,MAX(0,L497-(A498-A497)))),0)</f>
        <v>0</v>
      </c>
      <c r="M498">
        <f ca="1">IF(COUNTIF(IF(AND(配装计算器!$K$30&lt;&gt;"∞",0),INDEX(AU497:CB497,1,$AT$1),INDEX(AU499:CB499,1,$AT$1)),"*鹤归*")=1,L498,0)</f>
        <v>0</v>
      </c>
      <c r="N498">
        <f ca="1">IFERROR(IF(AND(COUNTIF(B498,"*-峰插*"),技能数据库!$M$72&gt;0),0,IF(COUNTIF(B498,"*云飞*")&gt;0,4-COUNTIF(B498,"*玉山揽云*")*4--COUNTIF(B498,"*烟流暮景*")*4-COUNTIF(B498,"*云景*")*加速!$L$11-IF(J498&gt;0,2,0),MAX(0,N497-(A498-A497)-IF(J498&gt;0,2,0)))),0)</f>
        <v>0</v>
      </c>
      <c r="O498">
        <f ca="1">IF(AND(COUNTIF(IF(AND(配装计算器!$K$30&lt;&gt;"∞",0),INDEX(AU497:CB497,1,$AT$1),INDEX(AU499:CB499,1,$AT$1)),"*云飞*")=1,COUNTIF(IF(AND(配装计算器!$K$30&lt;&gt;"∞",0),INDEX(AU497:CB497,1,$AT$1),INDEX(AU499:CB499,1,$AT$1)),"*玉山*")=0),N498,0)</f>
        <v>0</v>
      </c>
      <c r="P498">
        <f ca="1">IFERROR(IF(COUNTIF(B498,"*云栖松*")&gt;0,50-加速!$L$11,MAX(0,P497-(A498-A497))),0)</f>
        <v>0</v>
      </c>
      <c r="Q498">
        <f ca="1">IF(COUNTIF(IF(AND(配装计算器!$K$30&lt;&gt;"∞",0),INDEX(AU497:CB497,1,$AT$1),INDEX(AU499:CB499,1,$AT$1)),"*云栖松*")=1,P498,0)</f>
        <v>0</v>
      </c>
      <c r="R498">
        <f ca="1">IFERROR(IF(COUNTIF(B498,"*莺鸣柳*")&gt;0,45-加速!$L$9,MAX(0,R497-(A498-A497))),0)</f>
        <v>0</v>
      </c>
      <c r="S498">
        <f ca="1">IF(COUNTIF(IF(AND(配装计算器!$K$30&lt;&gt;"∞",0),INDEX(AU497:CB497,1,$AT$1),INDEX(AU499:CB499,1,$AT$1)),"*莺鸣柳*")=1,R498,0)</f>
        <v>0</v>
      </c>
      <c r="T498">
        <f ca="1" t="shared" si="100"/>
        <v>0</v>
      </c>
      <c r="U498">
        <f ca="1">IF(金蛇,IF(COUNTIF(B498,"*金环戴*")+COUNTIF(B498,"*吹风醒*")&gt;0,IF(A498&lt;=3,7.125-2.625-A498-加速!$L$11,7.125+加速!$K$9-(A498+加速!$L$11-T498)),0),0)+IF(金蛇,IF(COUNTIF(B498,"*千切子裂光*")&gt;0,2+加速!$K$9-(A498+加速!$L$11-T498),0),0)</f>
        <v>0</v>
      </c>
      <c r="V498">
        <f ca="1" t="shared" si="101"/>
        <v>0</v>
      </c>
      <c r="W498">
        <f ca="1" t="shared" si="93"/>
        <v>0</v>
      </c>
      <c r="X498">
        <f ca="1">INDEX(加速!$I$13:$I$21,技能数计算!W498+1)</f>
        <v>0</v>
      </c>
      <c r="Y498">
        <f ca="1" t="shared" si="97"/>
        <v>0.5</v>
      </c>
      <c r="Z498">
        <f ca="1" t="shared" si="98"/>
        <v>0</v>
      </c>
      <c r="AA498">
        <f ca="1">MAX(0,IFERROR(IF(COUNTIF(B498,"*叠*")&gt;0,IF(AC497&lt;3,8-A499+A498,AA497+6.875-A499+A498),AA497-A499+A498),AA497-加速!$L$11))</f>
        <v>0</v>
      </c>
      <c r="AB498" t="e">
        <f ca="1">MAX(0,IF(COUNTIF(IF(AND(配装计算器!$K$30&lt;&gt;"∞",0),INDEX(AU498:CB498,1,$AT$1),INDEX(AU498:CB498,1,$AT$1)),"*叠1*")=1,4*25-加速!$L$11,AB497-A498+A497)-IF(OR(COUNTIF(OFFSET(AT498,0,$AT$1,1,1),"*听雷*")&gt;0,AND(碧归&gt;0,COUNTIF(OFFSET(AT498,0,$AT$1,1,1),"*风来*")&gt;0)),0,1)*1.5)</f>
        <v>#VALUE!</v>
      </c>
      <c r="AC498">
        <f ca="1" t="shared" si="94"/>
        <v>3</v>
      </c>
      <c r="AD498">
        <f ca="1">IF(COUNTIF(IF(AND(配装计算器!$K$30&lt;&gt;"∞",0),INDEX(AU498:CB498,1,$AT$1),INDEX(AU499:CB499,1,$AT$1)),"*叠1*")=1,AB498*0+AE497,0)</f>
        <v>0</v>
      </c>
      <c r="AE498" t="e">
        <f ca="1">IF($AN$11&gt;0,IF(COUNTIF(B499,"*叠1*")&gt;0,50-加速!$H$11,MAX(0,AE497-(A499-A498))),0)</f>
        <v>#VALUE!</v>
      </c>
      <c r="AU498" t="s">
        <v>2768</v>
      </c>
      <c r="AV498">
        <v>2</v>
      </c>
      <c r="AW498" s="176" t="s">
        <v>2776</v>
      </c>
      <c r="AX498">
        <v>2</v>
      </c>
      <c r="AY498" t="s">
        <v>2768</v>
      </c>
      <c r="AZ498">
        <v>2</v>
      </c>
      <c r="BA498" t="s">
        <v>2768</v>
      </c>
      <c r="BB498">
        <v>0</v>
      </c>
      <c r="BC498" t="s">
        <v>3013</v>
      </c>
      <c r="BD498">
        <v>2</v>
      </c>
      <c r="BE498" t="s">
        <v>2768</v>
      </c>
      <c r="BF498">
        <v>1</v>
      </c>
      <c r="BG498" t="s">
        <v>2768</v>
      </c>
      <c r="BH498">
        <v>0</v>
      </c>
      <c r="BI498" t="s">
        <v>2768</v>
      </c>
      <c r="BJ498">
        <v>2</v>
      </c>
      <c r="BK498" s="176" t="s">
        <v>2768</v>
      </c>
      <c r="BL498">
        <v>2</v>
      </c>
      <c r="BM498" s="176" t="s">
        <v>2768</v>
      </c>
      <c r="BN498">
        <v>2</v>
      </c>
      <c r="BO498" t="s">
        <v>3009</v>
      </c>
      <c r="BP498">
        <v>2</v>
      </c>
      <c r="BQ498" t="s">
        <v>2808</v>
      </c>
      <c r="BR498">
        <v>2</v>
      </c>
      <c r="BS498" t="s">
        <v>2768</v>
      </c>
      <c r="BT498">
        <v>2</v>
      </c>
      <c r="BU498" t="s">
        <v>2768</v>
      </c>
      <c r="BV498">
        <v>2</v>
      </c>
      <c r="BW498" s="182" t="s">
        <v>2768</v>
      </c>
      <c r="BX498" s="179">
        <v>2</v>
      </c>
      <c r="BY498" s="176" t="s">
        <v>2768</v>
      </c>
      <c r="BZ498">
        <v>2</v>
      </c>
      <c r="CA498" t="s">
        <v>2768</v>
      </c>
      <c r="CB498">
        <v>2</v>
      </c>
    </row>
    <row r="499" spans="1:80">
      <c r="A499" s="178" t="str">
        <f ca="1">IFERROR(IF(A498+加速!$L$11&lt;$AS$1,IF(COUNTIF(B498,"*轻*")&gt;0,A498+加速!$L$9,A498+加速!$L$11)+V498,IF(COUNTIF(INDEX(AU499:CB499,1,$AT$1),"*云景*")+COUNTIF(INDEX(AU499:CB499,1,$AT$1),"*鹤归*")+COUNTIF(INDEX(AU499:CB499,1,$AT$1),"*听雷*")&gt;0,A498+加速!$L$11,"")),"")</f>
        <v/>
      </c>
      <c r="B499" s="167" t="str">
        <f ca="1">IF(A499&lt;&gt;"",IF(AND(A499+加速!$L$11&gt;$AS$1,IF(AND(配装计算器!$K$30&lt;&gt;"∞",0),"梦泉虎跑-轻",INDEX(AU499:CB499,1,$AT$1))="云栖松"),"夕照雷峰",IF(AND(配装计算器!$K$30&lt;&gt;"∞",0),"梦泉虎跑-轻",INDEX(AU499:CB499,1,$AT$1))),"")</f>
        <v/>
      </c>
      <c r="C499" t="str">
        <f ca="1" t="shared" si="99"/>
        <v/>
      </c>
      <c r="D499" t="str">
        <f ca="1">IF(B499&lt;&gt;"",IF(C498&lt;=加速!$L$11*(1-E499),0,1),"")</f>
        <v/>
      </c>
      <c r="E499">
        <f ca="1" t="shared" si="95"/>
        <v>1</v>
      </c>
      <c r="G499" t="str">
        <f ca="1" t="shared" si="96"/>
        <v/>
      </c>
      <c r="H499" t="str">
        <f ca="1">IF(B499&lt;&gt;"",IF(AND(COUNTIF(B498,"*轻*莺鸣柳*")&gt;0,COUNTIF(B499,"*轻*")&lt;1),MAX(0,15+I498-(A499-A498)+COUNTIF(B498,"*平湖*")*0),IF(AND(E499=0,MAX(0,H498-(A499-A498))&lt;=加速!$H$11),0,MAX(0,H498-(A499-A498)))),"")</f>
        <v/>
      </c>
      <c r="I499" t="str">
        <f ca="1" t="shared" si="102"/>
        <v/>
      </c>
      <c r="J499" t="str">
        <f ca="1" t="shared" si="103"/>
        <v/>
      </c>
      <c r="K499" t="str">
        <f ca="1">IF(A499&lt;&gt;"",IF(AND(配装计算器!$K$30&lt;&gt;"∞",0),2,INDEX(AU499:CB499,1,$AT$2)),"")</f>
        <v/>
      </c>
      <c r="L499">
        <f ca="1">IFERROR(IF(AND(COUNTIF(B499,"*-峰插*"),技能数据库!$M$72&gt;0),0,IF(COUNTIF(B499,"*鹤归*")&gt;0,16-加速!$L$11,MAX(0,L498-(A499-A498)))),0)</f>
        <v>0</v>
      </c>
      <c r="M499">
        <f ca="1">IF(COUNTIF(IF(AND(配装计算器!$K$30&lt;&gt;"∞",0),INDEX(AU498:CB498,1,$AT$1),INDEX(AU500:CB500,1,$AT$1)),"*鹤归*")=1,L499,0)</f>
        <v>0</v>
      </c>
      <c r="N499">
        <f ca="1">IFERROR(IF(AND(COUNTIF(B499,"*-峰插*"),技能数据库!$M$72&gt;0),0,IF(COUNTIF(B499,"*云飞*")&gt;0,4-COUNTIF(B499,"*玉山揽云*")*4--COUNTIF(B499,"*烟流暮景*")*4-COUNTIF(B499,"*云景*")*加速!$L$11-IF(J499&gt;0,2,0),MAX(0,N498-(A499-A498)-IF(J499&gt;0,2,0)))),0)</f>
        <v>0</v>
      </c>
      <c r="O499">
        <f ca="1">IF(AND(COUNTIF(IF(AND(配装计算器!$K$30&lt;&gt;"∞",0),INDEX(AU498:CB498,1,$AT$1),INDEX(AU500:CB500,1,$AT$1)),"*云飞*")=1,COUNTIF(IF(AND(配装计算器!$K$30&lt;&gt;"∞",0),INDEX(AU498:CB498,1,$AT$1),INDEX(AU500:CB500,1,$AT$1)),"*玉山*")=0),N499,0)</f>
        <v>0</v>
      </c>
      <c r="P499">
        <f ca="1">IFERROR(IF(COUNTIF(B499,"*云栖松*")&gt;0,50-加速!$L$11,MAX(0,P498-(A499-A498))),0)</f>
        <v>0</v>
      </c>
      <c r="Q499">
        <f ca="1">IF(COUNTIF(IF(AND(配装计算器!$K$30&lt;&gt;"∞",0),INDEX(AU498:CB498,1,$AT$1),INDEX(AU500:CB500,1,$AT$1)),"*云栖松*")=1,P499,0)</f>
        <v>0</v>
      </c>
      <c r="R499">
        <f ca="1">IFERROR(IF(COUNTIF(B499,"*莺鸣柳*")&gt;0,45-加速!$L$9,MAX(0,R498-(A499-A498))),0)</f>
        <v>0</v>
      </c>
      <c r="S499">
        <f ca="1">IF(COUNTIF(IF(AND(配装计算器!$K$30&lt;&gt;"∞",0),INDEX(AU498:CB498,1,$AT$1),INDEX(AU500:CB500,1,$AT$1)),"*莺鸣柳*")=1,R499,0)</f>
        <v>0</v>
      </c>
      <c r="T499">
        <f ca="1" t="shared" si="100"/>
        <v>0</v>
      </c>
      <c r="U499">
        <f ca="1">IF(金蛇,IF(COUNTIF(B499,"*金环戴*")+COUNTIF(B499,"*吹风醒*")&gt;0,IF(A499&lt;=3,7.125-2.625-A499-加速!$L$11,7.125+加速!$K$9-(A499+加速!$L$11-T499)),0),0)+IF(金蛇,IF(COUNTIF(B499,"*千切子裂光*")&gt;0,2+加速!$K$9-(A499+加速!$L$11-T499),0),0)</f>
        <v>0</v>
      </c>
      <c r="V499">
        <f ca="1" t="shared" si="101"/>
        <v>0</v>
      </c>
      <c r="W499">
        <f ca="1" t="shared" si="93"/>
        <v>0</v>
      </c>
      <c r="X499">
        <f ca="1">INDEX(加速!$I$13:$I$21,技能数计算!W499+1)</f>
        <v>0</v>
      </c>
      <c r="Y499">
        <f ca="1" t="shared" si="97"/>
        <v>0.5</v>
      </c>
      <c r="Z499">
        <f ca="1" t="shared" si="98"/>
        <v>0</v>
      </c>
      <c r="AA499">
        <f ca="1">MAX(0,IFERROR(IF(COUNTIF(B499,"*叠*")&gt;0,IF(AC498&lt;3,8-A500+A499,AA498+6.875-A500+A499),AA498-A500+A499),AA498-加速!$L$11))</f>
        <v>0</v>
      </c>
      <c r="AB499" t="e">
        <f ca="1">MAX(0,IF(COUNTIF(IF(AND(配装计算器!$K$30&lt;&gt;"∞",0),INDEX(AU499:CB499,1,$AT$1),INDEX(AU499:CB499,1,$AT$1)),"*叠1*")=1,4*25-加速!$L$11,AB498-A499+A498)-IF(OR(COUNTIF(OFFSET(AT499,0,$AT$1,1,1),"*听雷*")&gt;0,AND(碧归&gt;0,COUNTIF(OFFSET(AT499,0,$AT$1,1,1),"*风来*")&gt;0)),0,1)*1.5)</f>
        <v>#VALUE!</v>
      </c>
      <c r="AC499">
        <f ca="1" t="shared" si="94"/>
        <v>3</v>
      </c>
      <c r="AD499">
        <f ca="1">IF(COUNTIF(IF(AND(配装计算器!$K$30&lt;&gt;"∞",0),INDEX(AU499:CB499,1,$AT$1),INDEX(AU500:CB500,1,$AT$1)),"*叠1*")=1,AB499*0+AE498,0)</f>
        <v>0</v>
      </c>
      <c r="AE499" t="e">
        <f ca="1">IF($AN$11&gt;0,IF(COUNTIF(B500,"*叠1*")&gt;0,50-加速!$H$11,MAX(0,AE498-(A500-A499))),0)</f>
        <v>#VALUE!</v>
      </c>
      <c r="AU499" t="s">
        <v>2776</v>
      </c>
      <c r="AV499">
        <v>2</v>
      </c>
      <c r="AW499" s="176" t="s">
        <v>2768</v>
      </c>
      <c r="AX499">
        <v>2</v>
      </c>
      <c r="AY499" t="s">
        <v>2776</v>
      </c>
      <c r="AZ499">
        <v>1</v>
      </c>
      <c r="BA499" t="s">
        <v>2722</v>
      </c>
      <c r="BB499">
        <v>0</v>
      </c>
      <c r="BC499" t="s">
        <v>3018</v>
      </c>
      <c r="BD499">
        <v>2</v>
      </c>
      <c r="BE499" t="s">
        <v>2776</v>
      </c>
      <c r="BF499">
        <v>1</v>
      </c>
      <c r="BG499" t="s">
        <v>2768</v>
      </c>
      <c r="BH499">
        <v>0</v>
      </c>
      <c r="BI499" t="s">
        <v>3018</v>
      </c>
      <c r="BJ499">
        <v>2</v>
      </c>
      <c r="BK499" s="176" t="s">
        <v>3023</v>
      </c>
      <c r="BL499">
        <v>2</v>
      </c>
      <c r="BM499" s="176" t="s">
        <v>2776</v>
      </c>
      <c r="BN499">
        <v>2</v>
      </c>
      <c r="BO499" s="176" t="str">
        <f>IF(秋,"云飞玉皇-蛇牙锥心","云飞玉皇-血毒金蛇锥")</f>
        <v>云飞玉皇-血毒金蛇锥</v>
      </c>
      <c r="BP499">
        <v>2</v>
      </c>
      <c r="BQ499" t="s">
        <v>2768</v>
      </c>
      <c r="BR499">
        <v>2</v>
      </c>
      <c r="BS499" t="s">
        <v>2776</v>
      </c>
      <c r="BT499">
        <v>2</v>
      </c>
      <c r="BU499" s="176" t="s">
        <v>2768</v>
      </c>
      <c r="BV499">
        <v>2</v>
      </c>
      <c r="BW499" s="182" t="str">
        <f>IF(秋,"云飞玉皇","云飞玉皇·云景")</f>
        <v>云飞玉皇·云景</v>
      </c>
      <c r="BX499" s="179">
        <v>2</v>
      </c>
      <c r="BY499" s="176" t="s">
        <v>2776</v>
      </c>
      <c r="BZ499">
        <v>2</v>
      </c>
      <c r="CA499" t="s">
        <v>2776</v>
      </c>
      <c r="CB499">
        <v>2</v>
      </c>
    </row>
    <row r="500" spans="1:80">
      <c r="A500" s="178" t="str">
        <f ca="1">IFERROR(IF(A499+加速!$L$11&lt;$AS$1,IF(COUNTIF(B499,"*轻*")&gt;0,A499+加速!$L$9,A499+加速!$L$11)+V499,IF(COUNTIF(INDEX(AU500:CB500,1,$AT$1),"*云景*")+COUNTIF(INDEX(AU500:CB500,1,$AT$1),"*鹤归*")+COUNTIF(INDEX(AU500:CB500,1,$AT$1),"*听雷*")&gt;0,A499+加速!$L$11,"")),"")</f>
        <v/>
      </c>
      <c r="B500" s="167" t="str">
        <f ca="1">IF(A500&lt;&gt;"",IF(AND(A500+加速!$L$11&gt;$AS$1,IF(AND(配装计算器!$K$30&lt;&gt;"∞",0),"梦泉虎跑-轻",INDEX(AU500:CB500,1,$AT$1))="云栖松"),"夕照雷峰",IF(AND(配装计算器!$K$30&lt;&gt;"∞",0),"梦泉虎跑-轻",INDEX(AU500:CB500,1,$AT$1))),"")</f>
        <v/>
      </c>
      <c r="C500" t="str">
        <f ca="1" t="shared" si="99"/>
        <v/>
      </c>
      <c r="D500" t="str">
        <f ca="1">IF(B500&lt;&gt;"",IF(C499&lt;=加速!$L$11*(1-E500),0,1),"")</f>
        <v/>
      </c>
      <c r="E500">
        <f ca="1" t="shared" si="95"/>
        <v>1</v>
      </c>
      <c r="G500" t="str">
        <f ca="1" t="shared" si="96"/>
        <v/>
      </c>
      <c r="H500" t="str">
        <f ca="1">IF(B500&lt;&gt;"",IF(AND(COUNTIF(B499,"*轻*莺鸣柳*")&gt;0,COUNTIF(B500,"*轻*")&lt;1),MAX(0,15+I499-(A500-A499)+COUNTIF(B499,"*平湖*")*0),IF(AND(E500=0,MAX(0,H499-(A500-A499))&lt;=加速!$H$11),0,MAX(0,H499-(A500-A499)))),"")</f>
        <v/>
      </c>
      <c r="I500" t="str">
        <f ca="1" t="shared" si="102"/>
        <v/>
      </c>
      <c r="J500" t="str">
        <f ca="1" t="shared" si="103"/>
        <v/>
      </c>
      <c r="K500" t="str">
        <f ca="1">IF(A500&lt;&gt;"",IF(AND(配装计算器!$K$30&lt;&gt;"∞",0),2,INDEX(AU500:CB500,1,$AT$2)),"")</f>
        <v/>
      </c>
      <c r="L500">
        <f ca="1">IFERROR(IF(AND(COUNTIF(B500,"*-峰插*"),技能数据库!$M$72&gt;0),0,IF(COUNTIF(B500,"*鹤归*")&gt;0,16-加速!$L$11,MAX(0,L499-(A500-A499)))),0)</f>
        <v>0</v>
      </c>
      <c r="M500">
        <f ca="1">IF(COUNTIF(IF(AND(配装计算器!$K$30&lt;&gt;"∞",0),INDEX(AU499:CB499,1,$AT$1),INDEX(AU501:CB501,1,$AT$1)),"*鹤归*")=1,L500,0)</f>
        <v>0</v>
      </c>
      <c r="N500">
        <f ca="1">IFERROR(IF(AND(COUNTIF(B500,"*-峰插*"),技能数据库!$M$72&gt;0),0,IF(COUNTIF(B500,"*云飞*")&gt;0,4-COUNTIF(B500,"*玉山揽云*")*4--COUNTIF(B500,"*烟流暮景*")*4-COUNTIF(B500,"*云景*")*加速!$L$11-IF(J500&gt;0,2,0),MAX(0,N499-(A500-A499)-IF(J500&gt;0,2,0)))),0)</f>
        <v>0</v>
      </c>
      <c r="O500">
        <f ca="1">IF(AND(COUNTIF(IF(AND(配装计算器!$K$30&lt;&gt;"∞",0),INDEX(AU499:CB499,1,$AT$1),INDEX(AU501:CB501,1,$AT$1)),"*云飞*")=1,COUNTIF(IF(AND(配装计算器!$K$30&lt;&gt;"∞",0),INDEX(AU499:CB499,1,$AT$1),INDEX(AU501:CB501,1,$AT$1)),"*玉山*")=0),N500,0)</f>
        <v>0</v>
      </c>
      <c r="P500">
        <f ca="1">IFERROR(IF(COUNTIF(B500,"*云栖松*")&gt;0,50-加速!$L$11,MAX(0,P499-(A500-A499))),0)</f>
        <v>0</v>
      </c>
      <c r="Q500">
        <f ca="1">IF(COUNTIF(IF(AND(配装计算器!$K$30&lt;&gt;"∞",0),INDEX(AU499:CB499,1,$AT$1),INDEX(AU501:CB501,1,$AT$1)),"*云栖松*")=1,P500,0)</f>
        <v>0</v>
      </c>
      <c r="R500">
        <f ca="1">IFERROR(IF(COUNTIF(B500,"*莺鸣柳*")&gt;0,45-加速!$L$9,MAX(0,R499-(A500-A499))),0)</f>
        <v>0</v>
      </c>
      <c r="S500">
        <f ca="1">IF(COUNTIF(IF(AND(配装计算器!$K$30&lt;&gt;"∞",0),INDEX(AU499:CB499,1,$AT$1),INDEX(AU501:CB501,1,$AT$1)),"*莺鸣柳*")=1,R500,0)</f>
        <v>0</v>
      </c>
      <c r="T500">
        <f ca="1" t="shared" si="100"/>
        <v>0</v>
      </c>
      <c r="U500">
        <f ca="1">IF(金蛇,IF(COUNTIF(B500,"*金环戴*")+COUNTIF(B500,"*吹风醒*")&gt;0,IF(A500&lt;=3,7.125-2.625-A500-加速!$L$11,7.125+加速!$K$9-(A500+加速!$L$11-T500)),0),0)+IF(金蛇,IF(COUNTIF(B500,"*千切子裂光*")&gt;0,2+加速!$K$9-(A500+加速!$L$11-T500),0),0)</f>
        <v>0</v>
      </c>
      <c r="V500">
        <f ca="1" t="shared" si="101"/>
        <v>0</v>
      </c>
      <c r="W500">
        <f ca="1" t="shared" si="93"/>
        <v>0</v>
      </c>
      <c r="X500">
        <f ca="1">INDEX(加速!$I$13:$I$21,技能数计算!W500+1)</f>
        <v>0</v>
      </c>
      <c r="Y500">
        <f ca="1" t="shared" si="97"/>
        <v>0.5</v>
      </c>
      <c r="Z500">
        <f ca="1" t="shared" si="98"/>
        <v>0</v>
      </c>
      <c r="AA500">
        <f ca="1">MAX(0,IFERROR(IF(COUNTIF(B500,"*叠*")&gt;0,IF(AC499&lt;3,8-A501+A500,AA499+6.875-A501+A500),AA499-A501+A500),AA499-加速!$L$11))</f>
        <v>0</v>
      </c>
      <c r="AB500" t="e">
        <f ca="1">MAX(0,IF(COUNTIF(IF(AND(配装计算器!$K$30&lt;&gt;"∞",0),INDEX(AU500:CB500,1,$AT$1),INDEX(AU500:CB500,1,$AT$1)),"*叠1*")=1,4*25-加速!$L$11,AB499-A500+A499)-IF(OR(COUNTIF(OFFSET(AT500,0,$AT$1,1,1),"*听雷*")&gt;0,AND(碧归&gt;0,COUNTIF(OFFSET(AT500,0,$AT$1,1,1),"*风来*")&gt;0)),0,1)*1.5)</f>
        <v>#VALUE!</v>
      </c>
      <c r="AC500">
        <f ca="1" t="shared" si="94"/>
        <v>3</v>
      </c>
      <c r="AD500">
        <f ca="1">IF(COUNTIF(IF(AND(配装计算器!$K$30&lt;&gt;"∞",0),INDEX(AU500:CB500,1,$AT$1),INDEX(AU501:CB501,1,$AT$1)),"*叠1*")=1,AB500*0+AE499,0)</f>
        <v>0</v>
      </c>
      <c r="AE500" t="e">
        <f ca="1">IF($AN$11&gt;0,IF(COUNTIF(B501,"*叠1*")&gt;0,50-加速!$H$11,MAX(0,AE499-(A501-A500))),0)</f>
        <v>#VALUE!</v>
      </c>
      <c r="AU500" t="s">
        <v>2768</v>
      </c>
      <c r="AV500">
        <v>2</v>
      </c>
      <c r="AW500" s="176" t="s">
        <v>2776</v>
      </c>
      <c r="AX500">
        <v>2</v>
      </c>
      <c r="AY500" t="s">
        <v>2768</v>
      </c>
      <c r="AZ500">
        <v>1</v>
      </c>
      <c r="BA500" t="s">
        <v>2776</v>
      </c>
      <c r="BB500">
        <v>2</v>
      </c>
      <c r="BC500" t="s">
        <v>2768</v>
      </c>
      <c r="BD500">
        <v>2</v>
      </c>
      <c r="BE500" t="s">
        <v>2768</v>
      </c>
      <c r="BF500">
        <v>0</v>
      </c>
      <c r="BG500" t="s">
        <v>2776</v>
      </c>
      <c r="BH500">
        <v>0</v>
      </c>
      <c r="BI500" t="s">
        <v>2768</v>
      </c>
      <c r="BJ500">
        <v>2</v>
      </c>
      <c r="BK500" s="176" t="s">
        <v>2768</v>
      </c>
      <c r="BL500">
        <v>2</v>
      </c>
      <c r="BM500" s="176" t="s">
        <v>2768</v>
      </c>
      <c r="BN500">
        <v>2</v>
      </c>
      <c r="BO500" t="s">
        <v>2768</v>
      </c>
      <c r="BP500">
        <v>2</v>
      </c>
      <c r="BQ500" t="s">
        <v>2768</v>
      </c>
      <c r="BR500">
        <v>2</v>
      </c>
      <c r="BS500" t="s">
        <v>2768</v>
      </c>
      <c r="BT500">
        <v>2</v>
      </c>
      <c r="BU500" s="176" t="s">
        <v>2776</v>
      </c>
      <c r="BV500">
        <v>2</v>
      </c>
      <c r="BW500" s="179" t="s">
        <v>2722</v>
      </c>
      <c r="BX500" s="179">
        <v>1</v>
      </c>
      <c r="BY500" s="176" t="s">
        <v>2768</v>
      </c>
      <c r="BZ500">
        <v>2</v>
      </c>
      <c r="CA500" t="str">
        <f>IF(秋,"云栖松","泉凝月")</f>
        <v>泉凝月</v>
      </c>
      <c r="CB500">
        <v>2</v>
      </c>
    </row>
    <row r="501" spans="1:80">
      <c r="A501" s="178" t="str">
        <f ca="1">IFERROR(IF(A500+加速!$L$11&lt;$AS$1,IF(COUNTIF(B500,"*轻*")&gt;0,A500+加速!$L$9,A500+加速!$L$11)+V500,IF(COUNTIF(INDEX(AU501:CB501,1,$AT$1),"*云景*")+COUNTIF(INDEX(AU501:CB501,1,$AT$1),"*鹤归*")+COUNTIF(INDEX(AU501:CB501,1,$AT$1),"*听雷*")&gt;0,A500+加速!$L$11,"")),"")</f>
        <v/>
      </c>
      <c r="B501" s="167" t="str">
        <f ca="1">IF(A501&lt;&gt;"",IF(AND(A501+加速!$L$11&gt;$AS$1,IF(AND(配装计算器!$K$30&lt;&gt;"∞",0),"梦泉虎跑-轻",INDEX(AU501:CB501,1,$AT$1))="云栖松"),"夕照雷峰",IF(AND(配装计算器!$K$30&lt;&gt;"∞",0),"梦泉虎跑-轻",INDEX(AU501:CB501,1,$AT$1))),"")</f>
        <v/>
      </c>
      <c r="C501" t="str">
        <f ca="1" t="shared" si="99"/>
        <v/>
      </c>
      <c r="D501" t="str">
        <f ca="1">IF(B501&lt;&gt;"",IF(C500&lt;=加速!$L$11*(1-E501),0,1),"")</f>
        <v/>
      </c>
      <c r="E501">
        <f ca="1" t="shared" si="95"/>
        <v>1</v>
      </c>
      <c r="G501" t="str">
        <f ca="1" t="shared" si="96"/>
        <v/>
      </c>
      <c r="H501" t="str">
        <f ca="1">IF(B501&lt;&gt;"",IF(AND(COUNTIF(B500,"*轻*莺鸣柳*")&gt;0,COUNTIF(B501,"*轻*")&lt;1),MAX(0,15+I500-(A501-A500)+COUNTIF(B500,"*平湖*")*0),IF(AND(E501=0,MAX(0,H500-(A501-A500))&lt;=加速!$H$11),0,MAX(0,H500-(A501-A500)))),"")</f>
        <v/>
      </c>
      <c r="I501" t="str">
        <f ca="1" t="shared" si="102"/>
        <v/>
      </c>
      <c r="J501" t="str">
        <f ca="1" t="shared" si="103"/>
        <v/>
      </c>
      <c r="K501" t="str">
        <f ca="1">IF(A501&lt;&gt;"",IF(AND(配装计算器!$K$30&lt;&gt;"∞",0),2,INDEX(AU501:CB501,1,$AT$2)),"")</f>
        <v/>
      </c>
      <c r="L501">
        <f ca="1">IFERROR(IF(AND(COUNTIF(B501,"*-峰插*"),技能数据库!$M$72&gt;0),0,IF(COUNTIF(B501,"*鹤归*")&gt;0,16-加速!$L$11,MAX(0,L500-(A501-A500)))),0)</f>
        <v>0</v>
      </c>
      <c r="M501">
        <f ca="1">IF(COUNTIF(IF(AND(配装计算器!$K$30&lt;&gt;"∞",0),INDEX(AU500:CB500,1,$AT$1),INDEX(AU502:CB502,1,$AT$1)),"*鹤归*")=1,L501,0)</f>
        <v>0</v>
      </c>
      <c r="N501">
        <f ca="1">IFERROR(IF(AND(COUNTIF(B501,"*-峰插*"),技能数据库!$M$72&gt;0),0,IF(COUNTIF(B501,"*云飞*")&gt;0,4-COUNTIF(B501,"*玉山揽云*")*4--COUNTIF(B501,"*烟流暮景*")*4-COUNTIF(B501,"*云景*")*加速!$L$11-IF(J501&gt;0,2,0),MAX(0,N500-(A501-A500)-IF(J501&gt;0,2,0)))),0)</f>
        <v>0</v>
      </c>
      <c r="O501">
        <f ca="1">IF(AND(COUNTIF(IF(AND(配装计算器!$K$30&lt;&gt;"∞",0),INDEX(AU500:CB500,1,$AT$1),INDEX(AU502:CB502,1,$AT$1)),"*云飞*")=1,COUNTIF(IF(AND(配装计算器!$K$30&lt;&gt;"∞",0),INDEX(AU500:CB500,1,$AT$1),INDEX(AU502:CB502,1,$AT$1)),"*玉山*")=0),N501,0)</f>
        <v>0</v>
      </c>
      <c r="P501">
        <f ca="1">IFERROR(IF(COUNTIF(B501,"*云栖松*")&gt;0,50-加速!$L$11,MAX(0,P500-(A501-A500))),0)</f>
        <v>0</v>
      </c>
      <c r="Q501">
        <f ca="1">IF(COUNTIF(IF(AND(配装计算器!$K$30&lt;&gt;"∞",0),INDEX(AU500:CB500,1,$AT$1),INDEX(AU502:CB502,1,$AT$1)),"*云栖松*")=1,P501,0)</f>
        <v>0</v>
      </c>
      <c r="R501">
        <f ca="1">IFERROR(IF(COUNTIF(B501,"*莺鸣柳*")&gt;0,45-加速!$L$9,MAX(0,R500-(A501-A500))),0)</f>
        <v>0</v>
      </c>
      <c r="S501">
        <f ca="1">IF(COUNTIF(IF(AND(配装计算器!$K$30&lt;&gt;"∞",0),INDEX(AU500:CB500,1,$AT$1),INDEX(AU502:CB502,1,$AT$1)),"*莺鸣柳*")=1,R501,0)</f>
        <v>0</v>
      </c>
      <c r="T501">
        <f ca="1" t="shared" si="100"/>
        <v>0</v>
      </c>
      <c r="U501">
        <f ca="1">IF(金蛇,IF(COUNTIF(B501,"*金环戴*")+COUNTIF(B501,"*吹风醒*")&gt;0,IF(A501&lt;=3,7.125-2.625-A501-加速!$L$11,7.125+加速!$K$9-(A501+加速!$L$11-T501)),0),0)+IF(金蛇,IF(COUNTIF(B501,"*千切子裂光*")&gt;0,2+加速!$K$9-(A501+加速!$L$11-T501),0),0)</f>
        <v>0</v>
      </c>
      <c r="V501">
        <f ca="1" t="shared" si="101"/>
        <v>0</v>
      </c>
      <c r="W501">
        <f ca="1" t="shared" si="93"/>
        <v>0</v>
      </c>
      <c r="X501">
        <f ca="1">INDEX(加速!$I$13:$I$21,技能数计算!W501+1)</f>
        <v>0</v>
      </c>
      <c r="Y501">
        <f ca="1" t="shared" si="97"/>
        <v>0.5</v>
      </c>
      <c r="Z501">
        <f ca="1" t="shared" si="98"/>
        <v>0</v>
      </c>
      <c r="AA501">
        <f ca="1">MAX(0,IFERROR(IF(COUNTIF(B501,"*叠*")&gt;0,IF(AC500&lt;3,8-A502+A501,AA500+6.875-A502+A501),AA500-A502+A501),AA500-加速!$L$11))</f>
        <v>0</v>
      </c>
      <c r="AB501" t="e">
        <f ca="1">MAX(0,IF(COUNTIF(IF(AND(配装计算器!$K$30&lt;&gt;"∞",0),INDEX(AU501:CB501,1,$AT$1),INDEX(AU501:CB501,1,$AT$1)),"*叠1*")=1,4*25-加速!$L$11,AB500-A501+A500)-IF(OR(COUNTIF(OFFSET(AT501,0,$AT$1,1,1),"*听雷*")&gt;0,AND(碧归&gt;0,COUNTIF(OFFSET(AT501,0,$AT$1,1,1),"*风来*")&gt;0)),0,1)*1.5)</f>
        <v>#VALUE!</v>
      </c>
      <c r="AC501">
        <f ca="1" t="shared" si="94"/>
        <v>3</v>
      </c>
      <c r="AD501">
        <f ca="1">IF(COUNTIF(IF(AND(配装计算器!$K$30&lt;&gt;"∞",0),INDEX(AU501:CB501,1,$AT$1),INDEX(AU502:CB502,1,$AT$1)),"*叠1*")=1,AB501*0+AE500,0)</f>
        <v>0</v>
      </c>
      <c r="AE501" t="e">
        <f ca="1">IF($AN$11&gt;0,IF(COUNTIF(B502,"*叠1*")&gt;0,50-加速!$H$11,MAX(0,AE500-(A502-A501))),0)</f>
        <v>#VALUE!</v>
      </c>
      <c r="AU501" t="s">
        <v>2768</v>
      </c>
      <c r="AV501">
        <v>2</v>
      </c>
      <c r="AW501" s="176" t="str">
        <f t="shared" ref="AW501:AW505" si="105">IF($AN$11=1,"云飞玉皇-玉山揽云","夕照雷峰")</f>
        <v>云飞玉皇-玉山揽云</v>
      </c>
      <c r="AX501">
        <v>2</v>
      </c>
      <c r="AY501" t="s">
        <v>2768</v>
      </c>
      <c r="AZ501">
        <v>0</v>
      </c>
      <c r="BA501" t="s">
        <v>2768</v>
      </c>
      <c r="BB501">
        <v>2</v>
      </c>
      <c r="BC501" t="s">
        <v>3023</v>
      </c>
      <c r="BD501">
        <v>2</v>
      </c>
      <c r="BE501" t="s">
        <v>3011</v>
      </c>
      <c r="BF501">
        <v>2</v>
      </c>
      <c r="BG501" t="s">
        <v>3067</v>
      </c>
      <c r="BH501">
        <v>0</v>
      </c>
      <c r="BI501" s="182" t="s">
        <v>3023</v>
      </c>
      <c r="BJ501">
        <v>2</v>
      </c>
      <c r="BK501" s="176" t="s">
        <v>2808</v>
      </c>
      <c r="BL501">
        <v>2</v>
      </c>
      <c r="BM501" s="176" t="s">
        <v>2776</v>
      </c>
      <c r="BN501">
        <v>2</v>
      </c>
      <c r="BO501" t="str">
        <f>IF(山重水复,"风来吴山","夕照雷峰")</f>
        <v>夕照雷峰</v>
      </c>
      <c r="BP501">
        <v>2</v>
      </c>
      <c r="BQ501" t="s">
        <v>2776</v>
      </c>
      <c r="BR501">
        <v>1</v>
      </c>
      <c r="BS501" t="s">
        <v>2768</v>
      </c>
      <c r="BT501">
        <v>1</v>
      </c>
      <c r="BU501" t="s">
        <v>2768</v>
      </c>
      <c r="BV501">
        <v>1</v>
      </c>
      <c r="BW501" s="179" t="s">
        <v>3009</v>
      </c>
      <c r="BX501" s="179">
        <v>2</v>
      </c>
      <c r="BY501" s="176" t="s">
        <v>2776</v>
      </c>
      <c r="BZ501">
        <v>2</v>
      </c>
      <c r="CA501" t="s">
        <v>2768</v>
      </c>
      <c r="CB501">
        <v>2</v>
      </c>
    </row>
    <row r="502" spans="1:80">
      <c r="A502" s="178" t="str">
        <f ca="1">IFERROR(IF(A501+加速!$L$11&lt;$AS$1,IF(COUNTIF(B501,"*轻*")&gt;0,A501+加速!$L$9,A501+加速!$L$11)+V501,IF(COUNTIF(INDEX(AU502:CB502,1,$AT$1),"*云景*")+COUNTIF(INDEX(AU502:CB502,1,$AT$1),"*鹤归*")+COUNTIF(INDEX(AU502:CB502,1,$AT$1),"*听雷*")&gt;0,A501+加速!$L$11,"")),"")</f>
        <v/>
      </c>
      <c r="B502" s="167" t="str">
        <f ca="1">IF(A502&lt;&gt;"",IF(AND(A502+加速!$L$11&gt;$AS$1,IF(AND(配装计算器!$K$30&lt;&gt;"∞",0),"梦泉虎跑-轻",INDEX(AU502:CB502,1,$AT$1))="云栖松"),"夕照雷峰",IF(AND(配装计算器!$K$30&lt;&gt;"∞",0),"梦泉虎跑-轻",INDEX(AU502:CB502,1,$AT$1))),"")</f>
        <v/>
      </c>
      <c r="C502" t="str">
        <f ca="1" t="shared" si="99"/>
        <v/>
      </c>
      <c r="D502" t="str">
        <f ca="1">IF(B502&lt;&gt;"",IF(C501&lt;=加速!$L$11*(1-E502),0,1),"")</f>
        <v/>
      </c>
      <c r="E502">
        <f ca="1" t="shared" si="95"/>
        <v>1</v>
      </c>
      <c r="G502" t="str">
        <f ca="1" t="shared" si="96"/>
        <v/>
      </c>
      <c r="H502" t="str">
        <f ca="1">IF(B502&lt;&gt;"",IF(AND(COUNTIF(B501,"*轻*莺鸣柳*")&gt;0,COUNTIF(B502,"*轻*")&lt;1),MAX(0,15+I501-(A502-A501)+COUNTIF(B501,"*平湖*")*0),IF(AND(E502=0,MAX(0,H501-(A502-A501))&lt;=加速!$H$11),0,MAX(0,H501-(A502-A501)))),"")</f>
        <v/>
      </c>
      <c r="I502" t="str">
        <f ca="1" t="shared" si="102"/>
        <v/>
      </c>
      <c r="J502" t="str">
        <f ca="1" t="shared" si="103"/>
        <v/>
      </c>
      <c r="K502" t="str">
        <f ca="1">IF(A502&lt;&gt;"",IF(AND(配装计算器!$K$30&lt;&gt;"∞",0),2,INDEX(AU502:CB502,1,$AT$2)),"")</f>
        <v/>
      </c>
      <c r="L502">
        <f ca="1">IFERROR(IF(AND(COUNTIF(B502,"*-峰插*"),技能数据库!$M$72&gt;0),0,IF(COUNTIF(B502,"*鹤归*")&gt;0,16-加速!$L$11,MAX(0,L501-(A502-A501)))),0)</f>
        <v>0</v>
      </c>
      <c r="M502">
        <f ca="1">IF(COUNTIF(IF(AND(配装计算器!$K$30&lt;&gt;"∞",0),INDEX(AU501:CB501,1,$AT$1),INDEX(AU503:CB503,1,$AT$1)),"*鹤归*")=1,L502,0)</f>
        <v>0</v>
      </c>
      <c r="N502">
        <f ca="1">IFERROR(IF(AND(COUNTIF(B502,"*-峰插*"),技能数据库!$M$72&gt;0),0,IF(COUNTIF(B502,"*云飞*")&gt;0,4-COUNTIF(B502,"*玉山揽云*")*4--COUNTIF(B502,"*烟流暮景*")*4-COUNTIF(B502,"*云景*")*加速!$L$11-IF(J502&gt;0,2,0),MAX(0,N501-(A502-A501)-IF(J502&gt;0,2,0)))),0)</f>
        <v>0</v>
      </c>
      <c r="O502">
        <f ca="1">IF(AND(COUNTIF(IF(AND(配装计算器!$K$30&lt;&gt;"∞",0),INDEX(AU501:CB501,1,$AT$1),INDEX(AU503:CB503,1,$AT$1)),"*云飞*")=1,COUNTIF(IF(AND(配装计算器!$K$30&lt;&gt;"∞",0),INDEX(AU501:CB501,1,$AT$1),INDEX(AU503:CB503,1,$AT$1)),"*玉山*")=0),N502,0)</f>
        <v>0</v>
      </c>
      <c r="P502">
        <f ca="1">IFERROR(IF(COUNTIF(B502,"*云栖松*")&gt;0,50-加速!$L$11,MAX(0,P501-(A502-A501))),0)</f>
        <v>0</v>
      </c>
      <c r="Q502">
        <f ca="1">IF(COUNTIF(IF(AND(配装计算器!$K$30&lt;&gt;"∞",0),INDEX(AU501:CB501,1,$AT$1),INDEX(AU503:CB503,1,$AT$1)),"*云栖松*")=1,P502,0)</f>
        <v>0</v>
      </c>
      <c r="R502">
        <f ca="1">IFERROR(IF(COUNTIF(B502,"*莺鸣柳*")&gt;0,45-加速!$L$9,MAX(0,R501-(A502-A501))),0)</f>
        <v>0</v>
      </c>
      <c r="S502">
        <f ca="1">IF(COUNTIF(IF(AND(配装计算器!$K$30&lt;&gt;"∞",0),INDEX(AU501:CB501,1,$AT$1),INDEX(AU503:CB503,1,$AT$1)),"*莺鸣柳*")=1,R502,0)</f>
        <v>0</v>
      </c>
      <c r="T502">
        <f ca="1" t="shared" si="100"/>
        <v>0</v>
      </c>
      <c r="U502">
        <f ca="1">IF(金蛇,IF(COUNTIF(B502,"*金环戴*")+COUNTIF(B502,"*吹风醒*")&gt;0,IF(A502&lt;=3,7.125-2.625-A502-加速!$L$11,7.125+加速!$K$9-(A502+加速!$L$11-T502)),0),0)+IF(金蛇,IF(COUNTIF(B502,"*千切子裂光*")&gt;0,2+加速!$K$9-(A502+加速!$L$11-T502),0),0)</f>
        <v>0</v>
      </c>
      <c r="V502">
        <f ca="1" t="shared" si="101"/>
        <v>0</v>
      </c>
      <c r="W502">
        <f ca="1" t="shared" si="93"/>
        <v>0</v>
      </c>
      <c r="X502">
        <f ca="1">INDEX(加速!$I$13:$I$21,技能数计算!W502+1)</f>
        <v>0</v>
      </c>
      <c r="Y502">
        <f ca="1" t="shared" si="97"/>
        <v>0.5</v>
      </c>
      <c r="Z502">
        <f ca="1" t="shared" si="98"/>
        <v>0</v>
      </c>
      <c r="AA502">
        <f ca="1">MAX(0,IFERROR(IF(COUNTIF(B502,"*叠*")&gt;0,IF(AC501&lt;3,8-A503+A502,AA501+6.875-A503+A502),AA501-A503+A502),AA501-加速!$L$11))</f>
        <v>0</v>
      </c>
      <c r="AB502" t="e">
        <f ca="1">MAX(0,IF(COUNTIF(IF(AND(配装计算器!$K$30&lt;&gt;"∞",0),INDEX(AU502:CB502,1,$AT$1),INDEX(AU502:CB502,1,$AT$1)),"*叠1*")=1,4*25-加速!$L$11,AB501-A502+A501)-IF(OR(COUNTIF(OFFSET(AT502,0,$AT$1,1,1),"*听雷*")&gt;0,AND(碧归&gt;0,COUNTIF(OFFSET(AT502,0,$AT$1,1,1),"*风来*")&gt;0)),0,1)*1.5)</f>
        <v>#VALUE!</v>
      </c>
      <c r="AC502">
        <f ca="1" t="shared" si="94"/>
        <v>3</v>
      </c>
      <c r="AD502">
        <f ca="1">IF(COUNTIF(IF(AND(配装计算器!$K$30&lt;&gt;"∞",0),INDEX(AU502:CB502,1,$AT$1),INDEX(AU503:CB503,1,$AT$1)),"*叠1*")=1,AB502*0+AE501,0)</f>
        <v>0</v>
      </c>
      <c r="AE502" t="e">
        <f ca="1">IF($AN$11&gt;0,IF(COUNTIF(B503,"*叠1*")&gt;0,50-加速!$H$11,MAX(0,AE501-(A503-A502))),0)</f>
        <v>#VALUE!</v>
      </c>
      <c r="AU502" s="176" t="s">
        <v>2794</v>
      </c>
      <c r="AV502">
        <v>2</v>
      </c>
      <c r="AW502" t="str">
        <f>IF($AN$11=1,"云飞玉皇-玉山揽云","云景·云飞玉皇-黄龙吐翠")</f>
        <v>云飞玉皇-玉山揽云</v>
      </c>
      <c r="AX502">
        <f>IF($AN$11=1,2,1)</f>
        <v>2</v>
      </c>
      <c r="AY502" t="s">
        <v>2722</v>
      </c>
      <c r="AZ502">
        <v>0</v>
      </c>
      <c r="BA502" t="s">
        <v>2768</v>
      </c>
      <c r="BB502">
        <v>2</v>
      </c>
      <c r="BC502" t="s">
        <v>2768</v>
      </c>
      <c r="BD502">
        <v>2</v>
      </c>
      <c r="BE502" t="s">
        <v>2768</v>
      </c>
      <c r="BF502">
        <v>2</v>
      </c>
      <c r="BG502" t="s">
        <v>2768</v>
      </c>
      <c r="BH502">
        <v>2</v>
      </c>
      <c r="BI502" s="176" t="s">
        <v>3026</v>
      </c>
      <c r="BJ502">
        <v>2</v>
      </c>
      <c r="BK502" t="s">
        <v>2789</v>
      </c>
      <c r="BL502">
        <v>2</v>
      </c>
      <c r="BM502" s="176" t="str">
        <f>IF(0,"云飞玉皇-玉山揽云","夕照雷峰")</f>
        <v>夕照雷峰</v>
      </c>
      <c r="BN502">
        <v>2</v>
      </c>
      <c r="BO502" s="176" t="s">
        <v>2794</v>
      </c>
      <c r="BP502">
        <v>2</v>
      </c>
      <c r="BQ502" t="s">
        <v>3055</v>
      </c>
      <c r="BR502">
        <v>2</v>
      </c>
      <c r="BS502" t="s">
        <v>2768</v>
      </c>
      <c r="BT502">
        <v>1</v>
      </c>
      <c r="BU502" s="176" t="s">
        <v>2768</v>
      </c>
      <c r="BV502">
        <v>1</v>
      </c>
      <c r="BW502" s="179" t="s">
        <v>2768</v>
      </c>
      <c r="BX502" s="179">
        <v>2</v>
      </c>
      <c r="BY502" s="176" t="str">
        <f>IF(0,"云飞玉皇-玉山揽云","夕照雷峰")</f>
        <v>夕照雷峰</v>
      </c>
      <c r="BZ502">
        <v>2</v>
      </c>
      <c r="CA502" t="s">
        <v>1886</v>
      </c>
      <c r="CB502">
        <v>2</v>
      </c>
    </row>
    <row r="503" spans="1:80">
      <c r="A503" s="178" t="str">
        <f ca="1">IFERROR(IF(A502+加速!$L$11&lt;$AS$1,IF(COUNTIF(B502,"*轻*")&gt;0,A502+加速!$L$9,A502+加速!$L$11)+V502,IF(COUNTIF(INDEX(AU503:CB503,1,$AT$1),"*云景*")+COUNTIF(INDEX(AU503:CB503,1,$AT$1),"*鹤归*")+COUNTIF(INDEX(AU503:CB503,1,$AT$1),"*听雷*")&gt;0,A502+加速!$L$11,"")),"")</f>
        <v/>
      </c>
      <c r="B503" s="167" t="str">
        <f ca="1">IF(A503&lt;&gt;"",IF(AND(A503+加速!$L$11&gt;$AS$1,IF(AND(配装计算器!$K$30&lt;&gt;"∞",0),"梦泉虎跑-轻",INDEX(AU503:CB503,1,$AT$1))="云栖松"),"夕照雷峰",IF(AND(配装计算器!$K$30&lt;&gt;"∞",0),"梦泉虎跑-轻",INDEX(AU503:CB503,1,$AT$1))),"")</f>
        <v/>
      </c>
      <c r="C503" t="str">
        <f ca="1" t="shared" si="99"/>
        <v/>
      </c>
      <c r="D503" t="str">
        <f ca="1">IF(B503&lt;&gt;"",IF(C502&lt;=加速!$L$11*(1-E503),0,1),"")</f>
        <v/>
      </c>
      <c r="E503">
        <f ca="1" t="shared" si="95"/>
        <v>1</v>
      </c>
      <c r="G503" t="str">
        <f ca="1" t="shared" si="96"/>
        <v/>
      </c>
      <c r="H503" t="str">
        <f ca="1">IF(B503&lt;&gt;"",IF(AND(COUNTIF(B502,"*轻*莺鸣柳*")&gt;0,COUNTIF(B503,"*轻*")&lt;1),MAX(0,15+I502-(A503-A502)+COUNTIF(B502,"*平湖*")*0),IF(AND(E503=0,MAX(0,H502-(A503-A502))&lt;=加速!$H$11),0,MAX(0,H502-(A503-A502)))),"")</f>
        <v/>
      </c>
      <c r="I503" t="str">
        <f ca="1" t="shared" si="102"/>
        <v/>
      </c>
      <c r="J503" t="str">
        <f ca="1" t="shared" si="103"/>
        <v/>
      </c>
      <c r="K503" t="str">
        <f ca="1">IF(A503&lt;&gt;"",IF(AND(配装计算器!$K$30&lt;&gt;"∞",0),2,INDEX(AU503:CB503,1,$AT$2)),"")</f>
        <v/>
      </c>
      <c r="L503">
        <f ca="1">IFERROR(IF(AND(COUNTIF(B503,"*-峰插*"),技能数据库!$M$72&gt;0),0,IF(COUNTIF(B503,"*鹤归*")&gt;0,16-加速!$L$11,MAX(0,L502-(A503-A502)))),0)</f>
        <v>0</v>
      </c>
      <c r="M503">
        <f ca="1">IF(COUNTIF(IF(AND(配装计算器!$K$30&lt;&gt;"∞",0),INDEX(AU502:CB502,1,$AT$1),INDEX(AU504:CB504,1,$AT$1)),"*鹤归*")=1,L503,0)</f>
        <v>0</v>
      </c>
      <c r="N503">
        <f ca="1">IFERROR(IF(AND(COUNTIF(B503,"*-峰插*"),技能数据库!$M$72&gt;0),0,IF(COUNTIF(B503,"*云飞*")&gt;0,4-COUNTIF(B503,"*玉山揽云*")*4--COUNTIF(B503,"*烟流暮景*")*4-COUNTIF(B503,"*云景*")*加速!$L$11-IF(J503&gt;0,2,0),MAX(0,N502-(A503-A502)-IF(J503&gt;0,2,0)))),0)</f>
        <v>0</v>
      </c>
      <c r="O503">
        <f ca="1">IF(AND(COUNTIF(IF(AND(配装计算器!$K$30&lt;&gt;"∞",0),INDEX(AU502:CB502,1,$AT$1),INDEX(AU504:CB504,1,$AT$1)),"*云飞*")=1,COUNTIF(IF(AND(配装计算器!$K$30&lt;&gt;"∞",0),INDEX(AU502:CB502,1,$AT$1),INDEX(AU504:CB504,1,$AT$1)),"*玉山*")=0),N503,0)</f>
        <v>0</v>
      </c>
      <c r="P503">
        <f ca="1">IFERROR(IF(COUNTIF(B503,"*云栖松*")&gt;0,50-加速!$L$11,MAX(0,P502-(A503-A502))),0)</f>
        <v>0</v>
      </c>
      <c r="Q503">
        <f ca="1">IF(COUNTIF(IF(AND(配装计算器!$K$30&lt;&gt;"∞",0),INDEX(AU502:CB502,1,$AT$1),INDEX(AU504:CB504,1,$AT$1)),"*云栖松*")=1,P503,0)</f>
        <v>0</v>
      </c>
      <c r="R503">
        <f ca="1">IFERROR(IF(COUNTIF(B503,"*莺鸣柳*")&gt;0,45-加速!$L$9,MAX(0,R502-(A503-A502))),0)</f>
        <v>0</v>
      </c>
      <c r="S503">
        <f ca="1">IF(COUNTIF(IF(AND(配装计算器!$K$30&lt;&gt;"∞",0),INDEX(AU502:CB502,1,$AT$1),INDEX(AU504:CB504,1,$AT$1)),"*莺鸣柳*")=1,R503,0)</f>
        <v>0</v>
      </c>
      <c r="T503">
        <f ca="1" t="shared" si="100"/>
        <v>0</v>
      </c>
      <c r="U503">
        <f ca="1">IF(金蛇,IF(COUNTIF(B503,"*金环戴*")+COUNTIF(B503,"*吹风醒*")&gt;0,IF(A503&lt;=3,7.125-2.625-A503-加速!$L$11,7.125+加速!$K$9-(A503+加速!$L$11-T503)),0),0)+IF(金蛇,IF(COUNTIF(B503,"*千切子裂光*")&gt;0,2+加速!$K$9-(A503+加速!$L$11-T503),0),0)</f>
        <v>0</v>
      </c>
      <c r="V503">
        <f ca="1" t="shared" si="101"/>
        <v>0</v>
      </c>
      <c r="W503">
        <f ca="1" t="shared" si="93"/>
        <v>0</v>
      </c>
      <c r="X503">
        <f ca="1">INDEX(加速!$I$13:$I$21,技能数计算!W503+1)</f>
        <v>0</v>
      </c>
      <c r="Y503">
        <f ca="1" t="shared" si="97"/>
        <v>0.5</v>
      </c>
      <c r="Z503">
        <f ca="1" t="shared" si="98"/>
        <v>0</v>
      </c>
      <c r="AA503">
        <f ca="1">MAX(0,IFERROR(IF(COUNTIF(B503,"*叠*")&gt;0,IF(AC502&lt;3,8-A504+A503,AA502+6.875-A504+A503),AA502-A504+A503),AA502-加速!$L$11))</f>
        <v>0</v>
      </c>
      <c r="AB503" t="e">
        <f ca="1">MAX(0,IF(COUNTIF(IF(AND(配装计算器!$K$30&lt;&gt;"∞",0),INDEX(AU503:CB503,1,$AT$1),INDEX(AU503:CB503,1,$AT$1)),"*叠1*")=1,4*25-加速!$L$11,AB502-A503+A502)-IF(OR(COUNTIF(OFFSET(AT503,0,$AT$1,1,1),"*听雷*")&gt;0,AND(碧归&gt;0,COUNTIF(OFFSET(AT503,0,$AT$1,1,1),"*风来*")&gt;0)),0,1)*1.5)</f>
        <v>#VALUE!</v>
      </c>
      <c r="AC503">
        <f ca="1" t="shared" si="94"/>
        <v>3</v>
      </c>
      <c r="AD503">
        <f ca="1">IF(COUNTIF(IF(AND(配装计算器!$K$30&lt;&gt;"∞",0),INDEX(AU503:CB503,1,$AT$1),INDEX(AU504:CB504,1,$AT$1)),"*叠1*")=1,AB503*0+AE502,0)</f>
        <v>0</v>
      </c>
      <c r="AE503" t="e">
        <f ca="1">IF($AN$11&gt;0,IF(COUNTIF(B504,"*叠1*")&gt;0,50-加速!$H$11,MAX(0,AE502-(A504-A503))),0)</f>
        <v>#VALUE!</v>
      </c>
      <c r="AU503" s="176" t="s">
        <v>2776</v>
      </c>
      <c r="AV503">
        <v>2</v>
      </c>
      <c r="AW503" t="str">
        <f>IF($AN$11=1,橙武补雾锁,"夕照雷峰")</f>
        <v>云飞玉皇-玉山揽云</v>
      </c>
      <c r="AX503">
        <v>2</v>
      </c>
      <c r="AY503" t="s">
        <v>2776</v>
      </c>
      <c r="AZ503">
        <v>2</v>
      </c>
      <c r="BA503" t="s">
        <v>2768</v>
      </c>
      <c r="BB503">
        <v>1</v>
      </c>
      <c r="BC503" t="s">
        <v>2776</v>
      </c>
      <c r="BD503">
        <v>2</v>
      </c>
      <c r="BE503" t="s">
        <v>3019</v>
      </c>
      <c r="BF503">
        <v>2</v>
      </c>
      <c r="BG503" t="s">
        <v>2768</v>
      </c>
      <c r="BH503">
        <v>2</v>
      </c>
      <c r="BI503" s="176" t="s">
        <v>3026</v>
      </c>
      <c r="BJ503">
        <v>2</v>
      </c>
      <c r="BK503" t="s">
        <v>2776</v>
      </c>
      <c r="BL503">
        <v>2</v>
      </c>
      <c r="BM503" t="str">
        <f>IF(0,"云飞玉皇-玉山揽云","云飞玉皇")</f>
        <v>云飞玉皇</v>
      </c>
      <c r="BN503">
        <v>2</v>
      </c>
      <c r="BO503" s="176" t="s">
        <v>2776</v>
      </c>
      <c r="BP503">
        <v>2</v>
      </c>
      <c r="BQ503" t="s">
        <v>2768</v>
      </c>
      <c r="BR503">
        <v>2</v>
      </c>
      <c r="BS503" t="s">
        <v>2776</v>
      </c>
      <c r="BT503">
        <v>0</v>
      </c>
      <c r="BU503" t="s">
        <v>3055</v>
      </c>
      <c r="BV503">
        <v>0</v>
      </c>
      <c r="BW503" s="179" t="s">
        <v>2776</v>
      </c>
      <c r="BX503" s="179">
        <v>2</v>
      </c>
      <c r="BY503" t="str">
        <f>IF(0,"云飞玉皇-玉山揽云","云飞玉皇")</f>
        <v>云飞玉皇</v>
      </c>
      <c r="BZ503">
        <v>2</v>
      </c>
      <c r="CA503" t="s">
        <v>2853</v>
      </c>
      <c r="CB503">
        <v>2</v>
      </c>
    </row>
    <row r="504" spans="1:80">
      <c r="A504" s="178" t="str">
        <f ca="1">IFERROR(IF(A503+加速!$L$11&lt;$AS$1,IF(COUNTIF(B503,"*轻*")&gt;0,A503+加速!$L$9,A503+加速!$L$11)+V503,IF(COUNTIF(INDEX(AU504:CB504,1,$AT$1),"*云景*")+COUNTIF(INDEX(AU504:CB504,1,$AT$1),"*鹤归*")+COUNTIF(INDEX(AU504:CB504,1,$AT$1),"*听雷*")&gt;0,A503+加速!$L$11,"")),"")</f>
        <v/>
      </c>
      <c r="B504" s="167" t="str">
        <f ca="1">IF(A504&lt;&gt;"",IF(AND(A504+加速!$L$11&gt;$AS$1,IF(AND(配装计算器!$K$30&lt;&gt;"∞",0),"梦泉虎跑-轻",INDEX(AU504:CB504,1,$AT$1))="云栖松"),"夕照雷峰",IF(AND(配装计算器!$K$30&lt;&gt;"∞",0),"梦泉虎跑-轻",INDEX(AU504:CB504,1,$AT$1))),"")</f>
        <v/>
      </c>
      <c r="C504" t="str">
        <f ca="1" t="shared" si="99"/>
        <v/>
      </c>
      <c r="D504" t="str">
        <f ca="1">IF(B504&lt;&gt;"",IF(C503&lt;=加速!$L$11*(1-E504),0,1),"")</f>
        <v/>
      </c>
      <c r="E504">
        <f ca="1" t="shared" si="95"/>
        <v>1</v>
      </c>
      <c r="G504" t="str">
        <f ca="1" t="shared" si="96"/>
        <v/>
      </c>
      <c r="H504" t="str">
        <f ca="1">IF(B504&lt;&gt;"",IF(AND(COUNTIF(B503,"*轻*莺鸣柳*")&gt;0,COUNTIF(B504,"*轻*")&lt;1),MAX(0,15+I503-(A504-A503)+COUNTIF(B503,"*平湖*")*0),IF(AND(E504=0,MAX(0,H503-(A504-A503))&lt;=加速!$H$11),0,MAX(0,H503-(A504-A503)))),"")</f>
        <v/>
      </c>
      <c r="I504" t="str">
        <f ca="1" t="shared" si="102"/>
        <v/>
      </c>
      <c r="J504" t="str">
        <f ca="1" t="shared" si="103"/>
        <v/>
      </c>
      <c r="K504" t="str">
        <f ca="1">IF(A504&lt;&gt;"",IF(AND(配装计算器!$K$30&lt;&gt;"∞",0),2,INDEX(AU504:CB504,1,$AT$2)),"")</f>
        <v/>
      </c>
      <c r="L504">
        <f ca="1">IFERROR(IF(AND(COUNTIF(B504,"*-峰插*"),技能数据库!$M$72&gt;0),0,IF(COUNTIF(B504,"*鹤归*")&gt;0,16-加速!$L$11,MAX(0,L503-(A504-A503)))),0)</f>
        <v>0</v>
      </c>
      <c r="M504">
        <f ca="1">IF(COUNTIF(IF(AND(配装计算器!$K$30&lt;&gt;"∞",0),INDEX(AU503:CB503,1,$AT$1),INDEX(AU505:CB505,1,$AT$1)),"*鹤归*")=1,L504,0)</f>
        <v>0</v>
      </c>
      <c r="N504">
        <f ca="1">IFERROR(IF(AND(COUNTIF(B504,"*-峰插*"),技能数据库!$M$72&gt;0),0,IF(COUNTIF(B504,"*云飞*")&gt;0,4-COUNTIF(B504,"*玉山揽云*")*4--COUNTIF(B504,"*烟流暮景*")*4-COUNTIF(B504,"*云景*")*加速!$L$11-IF(J504&gt;0,2,0),MAX(0,N503-(A504-A503)-IF(J504&gt;0,2,0)))),0)</f>
        <v>0</v>
      </c>
      <c r="O504">
        <f ca="1">IF(AND(COUNTIF(IF(AND(配装计算器!$K$30&lt;&gt;"∞",0),INDEX(AU503:CB503,1,$AT$1),INDEX(AU505:CB505,1,$AT$1)),"*云飞*")=1,COUNTIF(IF(AND(配装计算器!$K$30&lt;&gt;"∞",0),INDEX(AU503:CB503,1,$AT$1),INDEX(AU505:CB505,1,$AT$1)),"*玉山*")=0),N504,0)</f>
        <v>0</v>
      </c>
      <c r="P504">
        <f ca="1">IFERROR(IF(COUNTIF(B504,"*云栖松*")&gt;0,50-加速!$L$11,MAX(0,P503-(A504-A503))),0)</f>
        <v>0</v>
      </c>
      <c r="Q504">
        <f ca="1">IF(COUNTIF(IF(AND(配装计算器!$K$30&lt;&gt;"∞",0),INDEX(AU503:CB503,1,$AT$1),INDEX(AU505:CB505,1,$AT$1)),"*云栖松*")=1,P504,0)</f>
        <v>0</v>
      </c>
      <c r="R504">
        <f ca="1">IFERROR(IF(COUNTIF(B504,"*莺鸣柳*")&gt;0,45-加速!$L$9,MAX(0,R503-(A504-A503))),0)</f>
        <v>0</v>
      </c>
      <c r="S504">
        <f ca="1">IF(COUNTIF(IF(AND(配装计算器!$K$30&lt;&gt;"∞",0),INDEX(AU503:CB503,1,$AT$1),INDEX(AU505:CB505,1,$AT$1)),"*莺鸣柳*")=1,R504,0)</f>
        <v>0</v>
      </c>
      <c r="T504">
        <f ca="1" t="shared" si="100"/>
        <v>0</v>
      </c>
      <c r="U504">
        <f ca="1">IF(金蛇,IF(COUNTIF(B504,"*金环戴*")+COUNTIF(B504,"*吹风醒*")&gt;0,IF(A504&lt;=3,7.125-2.625-A504-加速!$L$11,7.125+加速!$K$9-(A504+加速!$L$11-T504)),0),0)+IF(金蛇,IF(COUNTIF(B504,"*千切子裂光*")&gt;0,2+加速!$K$9-(A504+加速!$L$11-T504),0),0)</f>
        <v>0</v>
      </c>
      <c r="V504">
        <f ca="1" t="shared" si="101"/>
        <v>0</v>
      </c>
      <c r="W504">
        <f ca="1" t="shared" si="93"/>
        <v>0</v>
      </c>
      <c r="X504">
        <f ca="1">INDEX(加速!$I$13:$I$21,技能数计算!W504+1)</f>
        <v>0</v>
      </c>
      <c r="Y504">
        <f ca="1" t="shared" si="97"/>
        <v>0.5</v>
      </c>
      <c r="Z504">
        <f ca="1" t="shared" si="98"/>
        <v>0</v>
      </c>
      <c r="AA504">
        <f ca="1">MAX(0,IFERROR(IF(COUNTIF(B504,"*叠*")&gt;0,IF(AC503&lt;3,8-A505+A504,AA503+6.875-A505+A504),AA503-A505+A504),AA503-加速!$L$11))</f>
        <v>0</v>
      </c>
      <c r="AB504" t="e">
        <f ca="1">MAX(0,IF(COUNTIF(IF(AND(配装计算器!$K$30&lt;&gt;"∞",0),INDEX(AU504:CB504,1,$AT$1),INDEX(AU504:CB504,1,$AT$1)),"*叠1*")=1,4*25-加速!$L$11,AB503-A504+A503)-IF(OR(COUNTIF(OFFSET(AT504,0,$AT$1,1,1),"*听雷*")&gt;0,AND(碧归&gt;0,COUNTIF(OFFSET(AT504,0,$AT$1,1,1),"*风来*")&gt;0)),0,1)*1.5)</f>
        <v>#VALUE!</v>
      </c>
      <c r="AC504">
        <f ca="1" t="shared" si="94"/>
        <v>3</v>
      </c>
      <c r="AD504">
        <f ca="1">IF(COUNTIF(IF(AND(配装计算器!$K$30&lt;&gt;"∞",0),INDEX(AU504:CB504,1,$AT$1),INDEX(AU505:CB505,1,$AT$1)),"*叠1*")=1,AB504*0+AE503,0)</f>
        <v>0</v>
      </c>
      <c r="AE504" t="e">
        <f ca="1">IF($AN$11&gt;0,IF(COUNTIF(B505,"*叠1*")&gt;0,50-加速!$H$11,MAX(0,AE503-(A505-A504))),0)</f>
        <v>#VALUE!</v>
      </c>
      <c r="AU504" s="176" t="s">
        <v>2768</v>
      </c>
      <c r="AV504">
        <v>2</v>
      </c>
      <c r="AW504" t="str">
        <f t="shared" si="105"/>
        <v>云飞玉皇-玉山揽云</v>
      </c>
      <c r="AX504">
        <v>2</v>
      </c>
      <c r="AY504" t="s">
        <v>2768</v>
      </c>
      <c r="AZ504">
        <v>2</v>
      </c>
      <c r="BA504" t="s">
        <v>2776</v>
      </c>
      <c r="BB504">
        <v>1</v>
      </c>
      <c r="BC504" t="s">
        <v>2768</v>
      </c>
      <c r="BD504">
        <v>2</v>
      </c>
      <c r="BE504" t="s">
        <v>2768</v>
      </c>
      <c r="BF504">
        <v>2</v>
      </c>
      <c r="BG504" s="176" t="s">
        <v>2794</v>
      </c>
      <c r="BH504">
        <v>1</v>
      </c>
      <c r="BI504" s="176" t="s">
        <v>3026</v>
      </c>
      <c r="BJ504">
        <v>2</v>
      </c>
      <c r="BK504" s="180" t="s">
        <v>3036</v>
      </c>
      <c r="BL504">
        <v>2</v>
      </c>
      <c r="BM504" t="str">
        <f>IF(秋,"云栖松","泉凝月")</f>
        <v>泉凝月</v>
      </c>
      <c r="BN504">
        <v>2</v>
      </c>
      <c r="BO504" s="176" t="s">
        <v>2768</v>
      </c>
      <c r="BP504">
        <v>2</v>
      </c>
      <c r="BQ504" t="s">
        <v>2776</v>
      </c>
      <c r="BR504">
        <v>2</v>
      </c>
      <c r="BS504" t="s">
        <v>2768</v>
      </c>
      <c r="BT504">
        <v>0</v>
      </c>
      <c r="BU504" t="s">
        <v>2776</v>
      </c>
      <c r="BV504">
        <v>2</v>
      </c>
      <c r="BW504" s="179" t="s">
        <v>2768</v>
      </c>
      <c r="BX504" s="179">
        <v>2</v>
      </c>
      <c r="BY504" t="str">
        <f>IF(秋,"云栖松","泉凝月")</f>
        <v>泉凝月</v>
      </c>
      <c r="BZ504">
        <v>2</v>
      </c>
      <c r="CA504" s="176" t="s">
        <v>2850</v>
      </c>
      <c r="CB504">
        <f>IF(0,2,0)</f>
        <v>0</v>
      </c>
    </row>
    <row r="505" spans="1:80">
      <c r="A505" s="178" t="str">
        <f ca="1">IFERROR(IF(A504+加速!$L$11&lt;$AS$1,IF(COUNTIF(B504,"*轻*")&gt;0,A504+加速!$L$9,A504+加速!$L$11)+V504,IF(COUNTIF(INDEX(AU505:CB505,1,$AT$1),"*云景*")+COUNTIF(INDEX(AU505:CB505,1,$AT$1),"*鹤归*")+COUNTIF(INDEX(AU505:CB505,1,$AT$1),"*听雷*")&gt;0,A504+加速!$L$11,"")),"")</f>
        <v/>
      </c>
      <c r="B505" s="167" t="str">
        <f ca="1">IF(A505&lt;&gt;"",IF(AND(A505+加速!$L$11&gt;$AS$1,IF(AND(配装计算器!$K$30&lt;&gt;"∞",0),"梦泉虎跑-轻",INDEX(AU505:CB505,1,$AT$1))="云栖松"),"夕照雷峰",IF(AND(配装计算器!$K$30&lt;&gt;"∞",0),"梦泉虎跑-轻",INDEX(AU505:CB505,1,$AT$1))),"")</f>
        <v/>
      </c>
      <c r="C505" t="str">
        <f ca="1" t="shared" si="99"/>
        <v/>
      </c>
      <c r="D505" t="str">
        <f ca="1">IF(B505&lt;&gt;"",IF(C504&lt;=加速!$L$11*(1-E505),0,1),"")</f>
        <v/>
      </c>
      <c r="E505">
        <f ca="1" t="shared" si="95"/>
        <v>1</v>
      </c>
      <c r="G505" t="str">
        <f ca="1" t="shared" si="96"/>
        <v/>
      </c>
      <c r="H505" t="str">
        <f ca="1">IF(B505&lt;&gt;"",IF(AND(COUNTIF(B504,"*轻*莺鸣柳*")&gt;0,COUNTIF(B505,"*轻*")&lt;1),MAX(0,15+I504-(A505-A504)+COUNTIF(B504,"*平湖*")*0),IF(AND(E505=0,MAX(0,H504-(A505-A504))&lt;=加速!$H$11),0,MAX(0,H504-(A505-A504)))),"")</f>
        <v/>
      </c>
      <c r="I505" t="str">
        <f ca="1" t="shared" si="102"/>
        <v/>
      </c>
      <c r="J505" t="str">
        <f ca="1" t="shared" si="103"/>
        <v/>
      </c>
      <c r="K505" t="str">
        <f ca="1">IF(A505&lt;&gt;"",IF(AND(配装计算器!$K$30&lt;&gt;"∞",0),2,INDEX(AU505:CB505,1,$AT$2)),"")</f>
        <v/>
      </c>
      <c r="L505">
        <f ca="1">IFERROR(IF(AND(COUNTIF(B505,"*-峰插*"),技能数据库!$M$72&gt;0),0,IF(COUNTIF(B505,"*鹤归*")&gt;0,16-加速!$L$11,MAX(0,L504-(A505-A504)))),0)</f>
        <v>0</v>
      </c>
      <c r="M505">
        <f ca="1">IF(COUNTIF(IF(AND(配装计算器!$K$30&lt;&gt;"∞",0),INDEX(AU504:CB504,1,$AT$1),INDEX(AU506:CB506,1,$AT$1)),"*鹤归*")=1,L505,0)</f>
        <v>0</v>
      </c>
      <c r="N505">
        <f ca="1">IFERROR(IF(AND(COUNTIF(B505,"*-峰插*"),技能数据库!$M$72&gt;0),0,IF(COUNTIF(B505,"*云飞*")&gt;0,4-COUNTIF(B505,"*玉山揽云*")*4--COUNTIF(B505,"*烟流暮景*")*4-COUNTIF(B505,"*云景*")*加速!$L$11-IF(J505&gt;0,2,0),MAX(0,N504-(A505-A504)-IF(J505&gt;0,2,0)))),0)</f>
        <v>0</v>
      </c>
      <c r="O505">
        <f ca="1">IF(AND(COUNTIF(IF(AND(配装计算器!$K$30&lt;&gt;"∞",0),INDEX(AU504:CB504,1,$AT$1),INDEX(AU506:CB506,1,$AT$1)),"*云飞*")=1,COUNTIF(IF(AND(配装计算器!$K$30&lt;&gt;"∞",0),INDEX(AU504:CB504,1,$AT$1),INDEX(AU506:CB506,1,$AT$1)),"*玉山*")=0),N505,0)</f>
        <v>0</v>
      </c>
      <c r="P505">
        <f ca="1">IFERROR(IF(COUNTIF(B505,"*云栖松*")&gt;0,50-加速!$L$11,MAX(0,P504-(A505-A504))),0)</f>
        <v>0</v>
      </c>
      <c r="Q505">
        <f ca="1">IF(COUNTIF(IF(AND(配装计算器!$K$30&lt;&gt;"∞",0),INDEX(AU504:CB504,1,$AT$1),INDEX(AU506:CB506,1,$AT$1)),"*云栖松*")=1,P505,0)</f>
        <v>0</v>
      </c>
      <c r="R505">
        <f ca="1">IFERROR(IF(COUNTIF(B505,"*莺鸣柳*")&gt;0,45-加速!$L$9,MAX(0,R504-(A505-A504))),0)</f>
        <v>0</v>
      </c>
      <c r="S505">
        <f ca="1">IF(COUNTIF(IF(AND(配装计算器!$K$30&lt;&gt;"∞",0),INDEX(AU504:CB504,1,$AT$1),INDEX(AU506:CB506,1,$AT$1)),"*莺鸣柳*")=1,R505,0)</f>
        <v>0</v>
      </c>
      <c r="T505">
        <f ca="1" t="shared" si="100"/>
        <v>0</v>
      </c>
      <c r="U505">
        <f ca="1">IF(金蛇,IF(COUNTIF(B505,"*金环戴*")+COUNTIF(B505,"*吹风醒*")&gt;0,IF(A505&lt;=3,7.125-2.625-A505-加速!$L$11,7.125+加速!$K$9-(A505+加速!$L$11-T505)),0),0)+IF(金蛇,IF(COUNTIF(B505,"*千切子裂光*")&gt;0,2+加速!$K$9-(A505+加速!$L$11-T505),0),0)</f>
        <v>0</v>
      </c>
      <c r="V505">
        <f ca="1" t="shared" si="101"/>
        <v>0</v>
      </c>
      <c r="W505">
        <f ca="1" t="shared" si="93"/>
        <v>0</v>
      </c>
      <c r="X505">
        <f ca="1">INDEX(加速!$I$13:$I$21,技能数计算!W505+1)</f>
        <v>0</v>
      </c>
      <c r="Y505">
        <f ca="1" t="shared" si="97"/>
        <v>0.5</v>
      </c>
      <c r="Z505">
        <f ca="1" t="shared" si="98"/>
        <v>0</v>
      </c>
      <c r="AA505">
        <f ca="1">MAX(0,IFERROR(IF(COUNTIF(B505,"*叠*")&gt;0,IF(AC504&lt;3,8-A506+A505,AA504+6.875-A506+A505),AA504-A506+A505),AA504-加速!$L$11))</f>
        <v>0</v>
      </c>
      <c r="AB505" t="e">
        <f ca="1">MAX(0,IF(COUNTIF(IF(AND(配装计算器!$K$30&lt;&gt;"∞",0),INDEX(AU505:CB505,1,$AT$1),INDEX(AU505:CB505,1,$AT$1)),"*叠1*")=1,4*25-加速!$L$11,AB504-A505+A504)-IF(OR(COUNTIF(OFFSET(AT505,0,$AT$1,1,1),"*听雷*")&gt;0,AND(碧归&gt;0,COUNTIF(OFFSET(AT505,0,$AT$1,1,1),"*风来*")&gt;0)),0,1)*1.5)</f>
        <v>#VALUE!</v>
      </c>
      <c r="AC505">
        <f ca="1" t="shared" si="94"/>
        <v>3</v>
      </c>
      <c r="AD505">
        <f ca="1">IF(COUNTIF(IF(AND(配装计算器!$K$30&lt;&gt;"∞",0),INDEX(AU505:CB505,1,$AT$1),INDEX(AU506:CB506,1,$AT$1)),"*叠1*")=1,AB505*0+AE504,0)</f>
        <v>0</v>
      </c>
      <c r="AE505" t="e">
        <f ca="1">IF($AN$11&gt;0,IF(COUNTIF(B506,"*叠1*")&gt;0,50-加速!$H$11,MAX(0,AE504-(A506-A505))),0)</f>
        <v>#VALUE!</v>
      </c>
      <c r="AU505" s="176" t="s">
        <v>2776</v>
      </c>
      <c r="AV505">
        <v>2</v>
      </c>
      <c r="AW505" t="str">
        <f t="shared" si="105"/>
        <v>云飞玉皇-玉山揽云</v>
      </c>
      <c r="AX505">
        <v>2</v>
      </c>
      <c r="AY505" t="s">
        <v>2768</v>
      </c>
      <c r="AZ505">
        <v>2</v>
      </c>
      <c r="BA505" t="s">
        <v>2768</v>
      </c>
      <c r="BB505">
        <v>1</v>
      </c>
      <c r="BC505" t="s">
        <v>2794</v>
      </c>
      <c r="BD505">
        <v>2</v>
      </c>
      <c r="BE505" t="s">
        <v>2768</v>
      </c>
      <c r="BF505">
        <v>2</v>
      </c>
      <c r="BG505" t="s">
        <v>2776</v>
      </c>
      <c r="BH505">
        <v>1</v>
      </c>
      <c r="BI505" s="176" t="s">
        <v>3026</v>
      </c>
      <c r="BJ505">
        <v>2</v>
      </c>
      <c r="BK505" t="s">
        <v>3026</v>
      </c>
      <c r="BL505">
        <v>2</v>
      </c>
      <c r="BM505" t="s">
        <v>2768</v>
      </c>
      <c r="BN505">
        <v>2</v>
      </c>
      <c r="BO505" s="176" t="s">
        <v>2776</v>
      </c>
      <c r="BP505">
        <v>2</v>
      </c>
      <c r="BQ505" t="s">
        <v>2768</v>
      </c>
      <c r="BR505">
        <v>2</v>
      </c>
      <c r="BS505" t="s">
        <v>3012</v>
      </c>
      <c r="BT505">
        <v>2</v>
      </c>
      <c r="BU505" t="s">
        <v>2768</v>
      </c>
      <c r="BV505">
        <v>2</v>
      </c>
      <c r="BW505" s="179" t="s">
        <v>2768</v>
      </c>
      <c r="BX505" s="179">
        <v>2</v>
      </c>
      <c r="BY505" t="s">
        <v>2768</v>
      </c>
      <c r="BZ505">
        <v>2</v>
      </c>
      <c r="CA505" s="176" t="str">
        <f>IF(秋,"金环戴","吹风醒")</f>
        <v>吹风醒</v>
      </c>
      <c r="CB505">
        <v>2</v>
      </c>
    </row>
    <row r="506" spans="1:80">
      <c r="A506" s="178" t="str">
        <f ca="1">IFERROR(IF(A505+加速!$L$11&lt;$AS$1,IF(COUNTIF(B505,"*轻*")&gt;0,A505+加速!$L$9,A505+加速!$L$11)+V505,IF(COUNTIF(INDEX(AU506:CB506,1,$AT$1),"*云景*")+COUNTIF(INDEX(AU506:CB506,1,$AT$1),"*鹤归*")+COUNTIF(INDEX(AU506:CB506,1,$AT$1),"*听雷*")&gt;0,A505+加速!$L$11,"")),"")</f>
        <v/>
      </c>
      <c r="B506" s="167" t="str">
        <f ca="1">IF(A506&lt;&gt;"",IF(AND(A506+加速!$L$11&gt;$AS$1,IF(AND(配装计算器!$K$30&lt;&gt;"∞",0),"梦泉虎跑-轻",INDEX(AU506:CB506,1,$AT$1))="云栖松"),"夕照雷峰",IF(AND(配装计算器!$K$30&lt;&gt;"∞",0),"梦泉虎跑-轻",INDEX(AU506:CB506,1,$AT$1))),"")</f>
        <v/>
      </c>
      <c r="C506" t="str">
        <f ca="1" t="shared" si="99"/>
        <v/>
      </c>
      <c r="D506" t="str">
        <f ca="1">IF(B506&lt;&gt;"",IF(C505&lt;=加速!$L$11*(1-E506),0,1),"")</f>
        <v/>
      </c>
      <c r="E506">
        <f ca="1" t="shared" si="95"/>
        <v>1</v>
      </c>
      <c r="G506" t="str">
        <f ca="1" t="shared" si="96"/>
        <v/>
      </c>
      <c r="H506" t="str">
        <f ca="1">IF(B506&lt;&gt;"",IF(AND(COUNTIF(B505,"*轻*莺鸣柳*")&gt;0,COUNTIF(B506,"*轻*")&lt;1),MAX(0,15+I505-(A506-A505)+COUNTIF(B505,"*平湖*")*0),IF(AND(E506=0,MAX(0,H505-(A506-A505))&lt;=加速!$H$11),0,MAX(0,H505-(A506-A505)))),"")</f>
        <v/>
      </c>
      <c r="I506" t="str">
        <f ca="1" t="shared" si="102"/>
        <v/>
      </c>
      <c r="J506" t="str">
        <f ca="1" t="shared" si="103"/>
        <v/>
      </c>
      <c r="K506" t="str">
        <f ca="1">IF(A506&lt;&gt;"",IF(AND(配装计算器!$K$30&lt;&gt;"∞",0),2,INDEX(AU506:CB506,1,$AT$2)),"")</f>
        <v/>
      </c>
      <c r="L506">
        <f ca="1">IFERROR(IF(AND(COUNTIF(B506,"*-峰插*"),技能数据库!$M$72&gt;0),0,IF(COUNTIF(B506,"*鹤归*")&gt;0,16-加速!$L$11,MAX(0,L505-(A506-A505)))),0)</f>
        <v>0</v>
      </c>
      <c r="M506">
        <f ca="1">IF(COUNTIF(IF(AND(配装计算器!$K$30&lt;&gt;"∞",0),INDEX(AU505:CB505,1,$AT$1),INDEX(AU507:CB507,1,$AT$1)),"*鹤归*")=1,L506,0)</f>
        <v>0</v>
      </c>
      <c r="N506">
        <f ca="1">IFERROR(IF(AND(COUNTIF(B506,"*-峰插*"),技能数据库!$M$72&gt;0),0,IF(COUNTIF(B506,"*云飞*")&gt;0,4-COUNTIF(B506,"*玉山揽云*")*4--COUNTIF(B506,"*烟流暮景*")*4-COUNTIF(B506,"*云景*")*加速!$L$11-IF(J506&gt;0,2,0),MAX(0,N505-(A506-A505)-IF(J506&gt;0,2,0)))),0)</f>
        <v>0</v>
      </c>
      <c r="O506">
        <f ca="1">IF(AND(COUNTIF(IF(AND(配装计算器!$K$30&lt;&gt;"∞",0),INDEX(AU505:CB505,1,$AT$1),INDEX(AU507:CB507,1,$AT$1)),"*云飞*")=1,COUNTIF(IF(AND(配装计算器!$K$30&lt;&gt;"∞",0),INDEX(AU505:CB505,1,$AT$1),INDEX(AU507:CB507,1,$AT$1)),"*玉山*")=0),N506,0)</f>
        <v>0</v>
      </c>
      <c r="P506">
        <f ca="1">IFERROR(IF(COUNTIF(B506,"*云栖松*")&gt;0,50-加速!$L$11,MAX(0,P505-(A506-A505))),0)</f>
        <v>0</v>
      </c>
      <c r="Q506">
        <f ca="1">IF(COUNTIF(IF(AND(配装计算器!$K$30&lt;&gt;"∞",0),INDEX(AU505:CB505,1,$AT$1),INDEX(AU507:CB507,1,$AT$1)),"*云栖松*")=1,P506,0)</f>
        <v>0</v>
      </c>
      <c r="R506">
        <f ca="1">IFERROR(IF(COUNTIF(B506,"*莺鸣柳*")&gt;0,45-加速!$L$9,MAX(0,R505-(A506-A505))),0)</f>
        <v>0</v>
      </c>
      <c r="S506">
        <f ca="1">IF(COUNTIF(IF(AND(配装计算器!$K$30&lt;&gt;"∞",0),INDEX(AU505:CB505,1,$AT$1),INDEX(AU507:CB507,1,$AT$1)),"*莺鸣柳*")=1,R506,0)</f>
        <v>0</v>
      </c>
      <c r="T506">
        <f ca="1" t="shared" si="100"/>
        <v>0</v>
      </c>
      <c r="U506">
        <f ca="1">IF(金蛇,IF(COUNTIF(B506,"*金环戴*")+COUNTIF(B506,"*吹风醒*")&gt;0,IF(A506&lt;=3,7.125-2.625-A506-加速!$L$11,7.125+加速!$K$9-(A506+加速!$L$11-T506)),0),0)+IF(金蛇,IF(COUNTIF(B506,"*千切子裂光*")&gt;0,2+加速!$K$9-(A506+加速!$L$11-T506),0),0)</f>
        <v>0</v>
      </c>
      <c r="V506">
        <f ca="1" t="shared" si="101"/>
        <v>0</v>
      </c>
      <c r="W506">
        <f ca="1" t="shared" si="93"/>
        <v>0</v>
      </c>
      <c r="X506">
        <f ca="1">INDEX(加速!$I$13:$I$21,技能数计算!W506+1)</f>
        <v>0</v>
      </c>
      <c r="Y506">
        <f ca="1" t="shared" si="97"/>
        <v>0.5</v>
      </c>
      <c r="Z506">
        <f ca="1" t="shared" si="98"/>
        <v>0</v>
      </c>
      <c r="AA506">
        <f ca="1">MAX(0,IFERROR(IF(COUNTIF(B506,"*叠*")&gt;0,IF(AC505&lt;3,8-A507+A506,AA505+6.875-A507+A506),AA505-A507+A506),AA505-加速!$L$11))</f>
        <v>0</v>
      </c>
      <c r="AB506" t="e">
        <f ca="1">MAX(0,IF(COUNTIF(IF(AND(配装计算器!$K$30&lt;&gt;"∞",0),INDEX(AU506:CB506,1,$AT$1),INDEX(AU506:CB506,1,$AT$1)),"*叠1*")=1,4*25-加速!$L$11,AB505-A506+A505)-IF(OR(COUNTIF(OFFSET(AT506,0,$AT$1,1,1),"*听雷*")&gt;0,AND(碧归&gt;0,COUNTIF(OFFSET(AT506,0,$AT$1,1,1),"*风来*")&gt;0)),0,1)*1.5)</f>
        <v>#VALUE!</v>
      </c>
      <c r="AC506">
        <f ca="1" t="shared" si="94"/>
        <v>3</v>
      </c>
      <c r="AD506">
        <f ca="1">IF(COUNTIF(IF(AND(配装计算器!$K$30&lt;&gt;"∞",0),INDEX(AU506:CB506,1,$AT$1),INDEX(AU507:CB507,1,$AT$1)),"*叠1*")=1,AB506*0+AE505,0)</f>
        <v>0</v>
      </c>
      <c r="AE506" t="e">
        <f ca="1">IF($AN$11&gt;0,IF(COUNTIF(B507,"*叠1*")&gt;0,50-加速!$H$11,MAX(0,AE505-(A507-A506))),0)</f>
        <v>#VALUE!</v>
      </c>
      <c r="AU506" s="176" t="s">
        <v>2768</v>
      </c>
      <c r="AV506">
        <v>2</v>
      </c>
      <c r="AW506" t="s">
        <v>2776</v>
      </c>
      <c r="AX506">
        <v>2</v>
      </c>
      <c r="AY506" t="s">
        <v>2768</v>
      </c>
      <c r="AZ506">
        <v>1</v>
      </c>
      <c r="BA506" t="s">
        <v>2768</v>
      </c>
      <c r="BB506">
        <v>0</v>
      </c>
      <c r="BC506" s="182" t="s">
        <v>3036</v>
      </c>
      <c r="BD506">
        <v>2</v>
      </c>
      <c r="BE506" t="s">
        <v>2768</v>
      </c>
      <c r="BF506">
        <v>2</v>
      </c>
      <c r="BG506" t="s">
        <v>2768</v>
      </c>
      <c r="BH506">
        <v>1</v>
      </c>
      <c r="BI506" s="176" t="s">
        <v>3036</v>
      </c>
      <c r="BJ506">
        <v>2</v>
      </c>
      <c r="BK506" t="s">
        <v>3026</v>
      </c>
      <c r="BL506">
        <v>2</v>
      </c>
      <c r="BM506" t="s">
        <v>1886</v>
      </c>
      <c r="BN506">
        <v>2</v>
      </c>
      <c r="BO506" s="176" t="s">
        <v>2768</v>
      </c>
      <c r="BP506">
        <v>2</v>
      </c>
      <c r="BQ506" t="s">
        <v>2776</v>
      </c>
      <c r="BR506">
        <v>1</v>
      </c>
      <c r="BS506" s="179" t="s">
        <v>2794</v>
      </c>
      <c r="BT506">
        <v>2</v>
      </c>
      <c r="BU506" t="s">
        <v>2776</v>
      </c>
      <c r="BV506">
        <v>2</v>
      </c>
      <c r="BW506" s="182" t="s">
        <v>2794</v>
      </c>
      <c r="BX506" s="179">
        <v>2</v>
      </c>
      <c r="BY506" t="s">
        <v>1886</v>
      </c>
      <c r="BZ506">
        <v>2</v>
      </c>
      <c r="CA506" s="176" t="s">
        <v>2768</v>
      </c>
      <c r="CB506">
        <v>2</v>
      </c>
    </row>
    <row r="507" spans="1:80">
      <c r="A507" s="178" t="str">
        <f ca="1">IFERROR(IF(A506+加速!$L$11&lt;$AS$1,IF(COUNTIF(B506,"*轻*")&gt;0,A506+加速!$L$9,A506+加速!$L$11)+V506,IF(COUNTIF(INDEX(AU507:CB507,1,$AT$1),"*云景*")+COUNTIF(INDEX(AU507:CB507,1,$AT$1),"*鹤归*")+COUNTIF(INDEX(AU507:CB507,1,$AT$1),"*听雷*")&gt;0,A506+加速!$L$11,"")),"")</f>
        <v/>
      </c>
      <c r="B507" s="167" t="str">
        <f ca="1">IF(A507&lt;&gt;"",IF(AND(A507+加速!$L$11&gt;$AS$1,IF(AND(配装计算器!$K$30&lt;&gt;"∞",0),"梦泉虎跑-轻",INDEX(AU507:CB507,1,$AT$1))="云栖松"),"夕照雷峰",IF(AND(配装计算器!$K$30&lt;&gt;"∞",0),"梦泉虎跑-轻",INDEX(AU507:CB507,1,$AT$1))),"")</f>
        <v/>
      </c>
      <c r="C507" t="str">
        <f ca="1" t="shared" si="99"/>
        <v/>
      </c>
      <c r="D507" t="str">
        <f ca="1">IF(B507&lt;&gt;"",IF(C506&lt;=加速!$L$11*(1-E507),0,1),"")</f>
        <v/>
      </c>
      <c r="E507">
        <f ca="1" t="shared" si="95"/>
        <v>1</v>
      </c>
      <c r="G507" t="str">
        <f ca="1" t="shared" si="96"/>
        <v/>
      </c>
      <c r="H507" t="str">
        <f ca="1">IF(B507&lt;&gt;"",IF(AND(COUNTIF(B506,"*轻*莺鸣柳*")&gt;0,COUNTIF(B507,"*轻*")&lt;1),MAX(0,15+I506-(A507-A506)+COUNTIF(B506,"*平湖*")*0),IF(AND(E507=0,MAX(0,H506-(A507-A506))&lt;=加速!$H$11),0,MAX(0,H506-(A507-A506)))),"")</f>
        <v/>
      </c>
      <c r="I507" t="str">
        <f ca="1" t="shared" si="102"/>
        <v/>
      </c>
      <c r="J507" t="str">
        <f ca="1" t="shared" si="103"/>
        <v/>
      </c>
      <c r="K507" t="str">
        <f ca="1">IF(A507&lt;&gt;"",IF(AND(配装计算器!$K$30&lt;&gt;"∞",0),2,INDEX(AU507:CB507,1,$AT$2)),"")</f>
        <v/>
      </c>
      <c r="L507">
        <f ca="1">IFERROR(IF(AND(COUNTIF(B507,"*-峰插*"),技能数据库!$M$72&gt;0),0,IF(COUNTIF(B507,"*鹤归*")&gt;0,16-加速!$L$11,MAX(0,L506-(A507-A506)))),0)</f>
        <v>0</v>
      </c>
      <c r="M507">
        <f ca="1">IF(COUNTIF(IF(AND(配装计算器!$K$30&lt;&gt;"∞",0),INDEX(AU506:CB506,1,$AT$1),INDEX(AU508:CB508,1,$AT$1)),"*鹤归*")=1,L507,0)</f>
        <v>0</v>
      </c>
      <c r="N507">
        <f ca="1">IFERROR(IF(AND(COUNTIF(B507,"*-峰插*"),技能数据库!$M$72&gt;0),0,IF(COUNTIF(B507,"*云飞*")&gt;0,4-COUNTIF(B507,"*玉山揽云*")*4--COUNTIF(B507,"*烟流暮景*")*4-COUNTIF(B507,"*云景*")*加速!$L$11-IF(J507&gt;0,2,0),MAX(0,N506-(A507-A506)-IF(J507&gt;0,2,0)))),0)</f>
        <v>0</v>
      </c>
      <c r="O507">
        <f ca="1">IF(AND(COUNTIF(IF(AND(配装计算器!$K$30&lt;&gt;"∞",0),INDEX(AU506:CB506,1,$AT$1),INDEX(AU508:CB508,1,$AT$1)),"*云飞*")=1,COUNTIF(IF(AND(配装计算器!$K$30&lt;&gt;"∞",0),INDEX(AU506:CB506,1,$AT$1),INDEX(AU508:CB508,1,$AT$1)),"*玉山*")=0),N507,0)</f>
        <v>0</v>
      </c>
      <c r="P507">
        <f ca="1">IFERROR(IF(COUNTIF(B507,"*云栖松*")&gt;0,50-加速!$L$11,MAX(0,P506-(A507-A506))),0)</f>
        <v>0</v>
      </c>
      <c r="Q507">
        <f ca="1">IF(COUNTIF(IF(AND(配装计算器!$K$30&lt;&gt;"∞",0),INDEX(AU506:CB506,1,$AT$1),INDEX(AU508:CB508,1,$AT$1)),"*云栖松*")=1,P507,0)</f>
        <v>0</v>
      </c>
      <c r="R507">
        <f ca="1">IFERROR(IF(COUNTIF(B507,"*莺鸣柳*")&gt;0,45-加速!$L$9,MAX(0,R506-(A507-A506))),0)</f>
        <v>0</v>
      </c>
      <c r="S507">
        <f ca="1">IF(COUNTIF(IF(AND(配装计算器!$K$30&lt;&gt;"∞",0),INDEX(AU506:CB506,1,$AT$1),INDEX(AU508:CB508,1,$AT$1)),"*莺鸣柳*")=1,R507,0)</f>
        <v>0</v>
      </c>
      <c r="T507">
        <f ca="1" t="shared" si="100"/>
        <v>0</v>
      </c>
      <c r="U507">
        <f ca="1">IF(金蛇,IF(COUNTIF(B507,"*金环戴*")+COUNTIF(B507,"*吹风醒*")&gt;0,IF(A507&lt;=3,7.125-2.625-A507-加速!$L$11,7.125+加速!$K$9-(A507+加速!$L$11-T507)),0),0)+IF(金蛇,IF(COUNTIF(B507,"*千切子裂光*")&gt;0,2+加速!$K$9-(A507+加速!$L$11-T507),0),0)</f>
        <v>0</v>
      </c>
      <c r="V507">
        <f ca="1" t="shared" si="101"/>
        <v>0</v>
      </c>
      <c r="W507">
        <f ca="1" t="shared" si="93"/>
        <v>0</v>
      </c>
      <c r="X507">
        <f ca="1">INDEX(加速!$I$13:$I$21,技能数计算!W507+1)</f>
        <v>0</v>
      </c>
      <c r="Y507">
        <f ca="1" t="shared" si="97"/>
        <v>0.5</v>
      </c>
      <c r="Z507">
        <f ca="1" t="shared" si="98"/>
        <v>0</v>
      </c>
      <c r="AA507">
        <f ca="1">MAX(0,IFERROR(IF(COUNTIF(B507,"*叠*")&gt;0,IF(AC506&lt;3,8-A508+A507,AA506+6.875-A508+A507),AA506-A508+A507),AA506-加速!$L$11))</f>
        <v>0</v>
      </c>
      <c r="AB507" t="e">
        <f ca="1">MAX(0,IF(COUNTIF(IF(AND(配装计算器!$K$30&lt;&gt;"∞",0),INDEX(AU507:CB507,1,$AT$1),INDEX(AU507:CB507,1,$AT$1)),"*叠1*")=1,4*25-加速!$L$11,AB506-A507+A506)-IF(OR(COUNTIF(OFFSET(AT507,0,$AT$1,1,1),"*听雷*")&gt;0,AND(碧归&gt;0,COUNTIF(OFFSET(AT507,0,$AT$1,1,1),"*风来*")&gt;0)),0,1)*1.5)</f>
        <v>#VALUE!</v>
      </c>
      <c r="AC507">
        <f ca="1" t="shared" si="94"/>
        <v>3</v>
      </c>
      <c r="AD507">
        <f ca="1">IF(COUNTIF(IF(AND(配装计算器!$K$30&lt;&gt;"∞",0),INDEX(AU507:CB507,1,$AT$1),INDEX(AU508:CB508,1,$AT$1)),"*叠1*")=1,AB507*0+AE506,0)</f>
        <v>0</v>
      </c>
      <c r="AE507" t="e">
        <f ca="1">IF($AN$11&gt;0,IF(COUNTIF(B508,"*叠1*")&gt;0,50-加速!$H$11,MAX(0,AE506-(A508-A507))),0)</f>
        <v>#VALUE!</v>
      </c>
      <c r="AU507" s="176" t="s">
        <v>2776</v>
      </c>
      <c r="AV507">
        <v>2</v>
      </c>
      <c r="AW507" t="s">
        <v>2768</v>
      </c>
      <c r="AX507">
        <v>2</v>
      </c>
      <c r="AY507" t="s">
        <v>2776</v>
      </c>
      <c r="AZ507">
        <v>1</v>
      </c>
      <c r="BA507" t="s">
        <v>3010</v>
      </c>
      <c r="BB507">
        <v>2</v>
      </c>
      <c r="BC507" s="176" t="s">
        <v>3026</v>
      </c>
      <c r="BD507">
        <v>2</v>
      </c>
      <c r="BE507" t="s">
        <v>3042</v>
      </c>
      <c r="BF507">
        <v>2</v>
      </c>
      <c r="BG507" t="s">
        <v>3011</v>
      </c>
      <c r="BH507">
        <v>2</v>
      </c>
      <c r="BI507" t="s">
        <v>2794</v>
      </c>
      <c r="BJ507">
        <v>2</v>
      </c>
      <c r="BK507" t="s">
        <v>3026</v>
      </c>
      <c r="BL507">
        <v>2</v>
      </c>
      <c r="BM507" t="s">
        <v>2853</v>
      </c>
      <c r="BN507">
        <v>2</v>
      </c>
      <c r="BO507" s="176" t="s">
        <v>2808</v>
      </c>
      <c r="BP507">
        <v>2</v>
      </c>
      <c r="BQ507" t="s">
        <v>2768</v>
      </c>
      <c r="BR507">
        <v>1</v>
      </c>
      <c r="BS507" s="179" t="s">
        <v>3019</v>
      </c>
      <c r="BT507">
        <v>2</v>
      </c>
      <c r="BU507" t="s">
        <v>2768</v>
      </c>
      <c r="BV507">
        <v>1</v>
      </c>
      <c r="BW507" s="182" t="s">
        <v>2776</v>
      </c>
      <c r="BX507" s="179">
        <v>2</v>
      </c>
      <c r="BY507" t="s">
        <v>2853</v>
      </c>
      <c r="BZ507">
        <v>2</v>
      </c>
      <c r="CA507" s="176" t="str">
        <f>IF(秋,"云飞玉皇","云飞玉皇·云景")</f>
        <v>云飞玉皇·云景</v>
      </c>
      <c r="CB507">
        <v>2</v>
      </c>
    </row>
    <row r="508" spans="1:80">
      <c r="A508" s="178" t="str">
        <f ca="1">IFERROR(IF(A507+加速!$L$11&lt;$AS$1,IF(COUNTIF(B507,"*轻*")&gt;0,A507+加速!$L$9,A507+加速!$L$11)+V507,IF(COUNTIF(INDEX(AU508:CB508,1,$AT$1),"*云景*")+COUNTIF(INDEX(AU508:CB508,1,$AT$1),"*鹤归*")+COUNTIF(INDEX(AU508:CB508,1,$AT$1),"*听雷*")&gt;0,A507+加速!$L$11,"")),"")</f>
        <v/>
      </c>
      <c r="B508" s="167" t="str">
        <f ca="1">IF(A508&lt;&gt;"",IF(AND(A508+加速!$L$11&gt;$AS$1,IF(AND(配装计算器!$K$30&lt;&gt;"∞",0),"梦泉虎跑-轻",INDEX(AU508:CB508,1,$AT$1))="云栖松"),"夕照雷峰",IF(AND(配装计算器!$K$30&lt;&gt;"∞",0),"梦泉虎跑-轻",INDEX(AU508:CB508,1,$AT$1))),"")</f>
        <v/>
      </c>
      <c r="C508" t="str">
        <f ca="1" t="shared" si="99"/>
        <v/>
      </c>
      <c r="D508" t="str">
        <f ca="1">IF(B508&lt;&gt;"",IF(C507&lt;=加速!$L$11*(1-E508),0,1),"")</f>
        <v/>
      </c>
      <c r="E508">
        <f ca="1" t="shared" si="95"/>
        <v>1</v>
      </c>
      <c r="G508" t="str">
        <f ca="1" t="shared" si="96"/>
        <v/>
      </c>
      <c r="H508" t="str">
        <f ca="1">IF(B508&lt;&gt;"",IF(AND(COUNTIF(B507,"*轻*莺鸣柳*")&gt;0,COUNTIF(B508,"*轻*")&lt;1),MAX(0,15+I507-(A508-A507)+COUNTIF(B507,"*平湖*")*0),IF(AND(E508=0,MAX(0,H507-(A508-A507))&lt;=加速!$H$11),0,MAX(0,H507-(A508-A507)))),"")</f>
        <v/>
      </c>
      <c r="I508" t="str">
        <f ca="1" t="shared" si="102"/>
        <v/>
      </c>
      <c r="J508" t="str">
        <f ca="1" t="shared" si="103"/>
        <v/>
      </c>
      <c r="K508" t="str">
        <f ca="1">IF(A508&lt;&gt;"",IF(AND(配装计算器!$K$30&lt;&gt;"∞",0),2,INDEX(AU508:CB508,1,$AT$2)),"")</f>
        <v/>
      </c>
      <c r="L508">
        <f ca="1">IFERROR(IF(AND(COUNTIF(B508,"*-峰插*"),技能数据库!$M$72&gt;0),0,IF(COUNTIF(B508,"*鹤归*")&gt;0,16-加速!$L$11,MAX(0,L507-(A508-A507)))),0)</f>
        <v>0</v>
      </c>
      <c r="M508">
        <f ca="1">IF(COUNTIF(IF(AND(配装计算器!$K$30&lt;&gt;"∞",0),INDEX(AU507:CB507,1,$AT$1),INDEX(AU509:CB509,1,$AT$1)),"*鹤归*")=1,L508,0)</f>
        <v>0</v>
      </c>
      <c r="N508">
        <f ca="1">IFERROR(IF(AND(COUNTIF(B508,"*-峰插*"),技能数据库!$M$72&gt;0),0,IF(COUNTIF(B508,"*云飞*")&gt;0,4-COUNTIF(B508,"*玉山揽云*")*4--COUNTIF(B508,"*烟流暮景*")*4-COUNTIF(B508,"*云景*")*加速!$L$11-IF(J508&gt;0,2,0),MAX(0,N507-(A508-A507)-IF(J508&gt;0,2,0)))),0)</f>
        <v>0</v>
      </c>
      <c r="O508">
        <f ca="1">IF(AND(COUNTIF(IF(AND(配装计算器!$K$30&lt;&gt;"∞",0),INDEX(AU507:CB507,1,$AT$1),INDEX(AU509:CB509,1,$AT$1)),"*云飞*")=1,COUNTIF(IF(AND(配装计算器!$K$30&lt;&gt;"∞",0),INDEX(AU507:CB507,1,$AT$1),INDEX(AU509:CB509,1,$AT$1)),"*玉山*")=0),N508,0)</f>
        <v>0</v>
      </c>
      <c r="P508">
        <f ca="1">IFERROR(IF(COUNTIF(B508,"*云栖松*")&gt;0,50-加速!$L$11,MAX(0,P507-(A508-A507))),0)</f>
        <v>0</v>
      </c>
      <c r="Q508">
        <f ca="1">IF(COUNTIF(IF(AND(配装计算器!$K$30&lt;&gt;"∞",0),INDEX(AU507:CB507,1,$AT$1),INDEX(AU509:CB509,1,$AT$1)),"*云栖松*")=1,P508,0)</f>
        <v>0</v>
      </c>
      <c r="R508">
        <f ca="1">IFERROR(IF(COUNTIF(B508,"*莺鸣柳*")&gt;0,45-加速!$L$9,MAX(0,R507-(A508-A507))),0)</f>
        <v>0</v>
      </c>
      <c r="S508">
        <f ca="1">IF(COUNTIF(IF(AND(配装计算器!$K$30&lt;&gt;"∞",0),INDEX(AU507:CB507,1,$AT$1),INDEX(AU509:CB509,1,$AT$1)),"*莺鸣柳*")=1,R508,0)</f>
        <v>0</v>
      </c>
      <c r="T508">
        <f ca="1" t="shared" si="100"/>
        <v>0</v>
      </c>
      <c r="U508">
        <f ca="1">IF(金蛇,IF(COUNTIF(B508,"*金环戴*")+COUNTIF(B508,"*吹风醒*")&gt;0,IF(A508&lt;=3,7.125-2.625-A508-加速!$L$11,7.125+加速!$K$9-(A508+加速!$L$11-T508)),0),0)+IF(金蛇,IF(COUNTIF(B508,"*千切子裂光*")&gt;0,2+加速!$K$9-(A508+加速!$L$11-T508),0),0)</f>
        <v>0</v>
      </c>
      <c r="V508">
        <f ca="1" t="shared" si="101"/>
        <v>0</v>
      </c>
      <c r="W508">
        <f ca="1" t="shared" si="93"/>
        <v>0</v>
      </c>
      <c r="X508">
        <f ca="1">INDEX(加速!$I$13:$I$21,技能数计算!W508+1)</f>
        <v>0</v>
      </c>
      <c r="Y508">
        <f ca="1" t="shared" si="97"/>
        <v>0.5</v>
      </c>
      <c r="Z508">
        <f ca="1" t="shared" si="98"/>
        <v>0</v>
      </c>
      <c r="AA508">
        <f ca="1">MAX(0,IFERROR(IF(COUNTIF(B508,"*叠*")&gt;0,IF(AC507&lt;3,8-A509+A508,AA507+6.875-A509+A508),AA507-A509+A508),AA507-加速!$L$11))</f>
        <v>0</v>
      </c>
      <c r="AB508" t="e">
        <f ca="1">MAX(0,IF(COUNTIF(IF(AND(配装计算器!$K$30&lt;&gt;"∞",0),INDEX(AU508:CB508,1,$AT$1),INDEX(AU508:CB508,1,$AT$1)),"*叠1*")=1,4*25-加速!$L$11,AB507-A508+A507)-IF(OR(COUNTIF(OFFSET(AT508,0,$AT$1,1,1),"*听雷*")&gt;0,AND(碧归&gt;0,COUNTIF(OFFSET(AT508,0,$AT$1,1,1),"*风来*")&gt;0)),0,1)*1.5)</f>
        <v>#VALUE!</v>
      </c>
      <c r="AC508">
        <f ca="1" t="shared" si="94"/>
        <v>3</v>
      </c>
      <c r="AD508">
        <f ca="1">IF(COUNTIF(IF(AND(配装计算器!$K$30&lt;&gt;"∞",0),INDEX(AU508:CB508,1,$AT$1),INDEX(AU509:CB509,1,$AT$1)),"*叠1*")=1,AB508*0+AE507,0)</f>
        <v>0</v>
      </c>
      <c r="AE508" t="e">
        <f ca="1">IF($AN$11&gt;0,IF(COUNTIF(B509,"*叠1*")&gt;0,50-加速!$H$11,MAX(0,AE507-(A509-A508))),0)</f>
        <v>#VALUE!</v>
      </c>
      <c r="AU508" t="s">
        <v>2768</v>
      </c>
      <c r="AV508">
        <v>2</v>
      </c>
      <c r="AW508" t="s">
        <v>2768</v>
      </c>
      <c r="AX508">
        <v>2</v>
      </c>
      <c r="AY508" t="s">
        <v>2768</v>
      </c>
      <c r="AZ508">
        <v>1</v>
      </c>
      <c r="BA508" t="s">
        <v>3013</v>
      </c>
      <c r="BB508">
        <v>2</v>
      </c>
      <c r="BC508" s="176" t="s">
        <v>3026</v>
      </c>
      <c r="BD508">
        <v>2</v>
      </c>
      <c r="BE508" t="s">
        <v>3084</v>
      </c>
      <c r="BF508">
        <v>2</v>
      </c>
      <c r="BG508" t="s">
        <v>2768</v>
      </c>
      <c r="BH508">
        <v>2</v>
      </c>
      <c r="BI508" t="s">
        <v>2776</v>
      </c>
      <c r="BJ508">
        <v>2</v>
      </c>
      <c r="BK508" s="176" t="s">
        <v>3026</v>
      </c>
      <c r="BL508">
        <v>2</v>
      </c>
      <c r="BM508" s="176" t="s">
        <v>2850</v>
      </c>
      <c r="BN508">
        <f>IF(0,2,0)</f>
        <v>0</v>
      </c>
      <c r="BO508" t="str">
        <f>IF(0,"云飞玉皇-玉山揽云","夕照雷峰")</f>
        <v>夕照雷峰</v>
      </c>
      <c r="BP508">
        <v>2</v>
      </c>
      <c r="BQ508" t="s">
        <v>2776</v>
      </c>
      <c r="BR508">
        <v>1</v>
      </c>
      <c r="BS508" s="179" t="s">
        <v>2768</v>
      </c>
      <c r="BT508">
        <v>2</v>
      </c>
      <c r="BU508" t="s">
        <v>2776</v>
      </c>
      <c r="BV508">
        <v>1</v>
      </c>
      <c r="BW508" s="182" t="s">
        <v>2768</v>
      </c>
      <c r="BX508" s="179">
        <v>2</v>
      </c>
      <c r="BY508" s="176" t="s">
        <v>2850</v>
      </c>
      <c r="BZ508">
        <f>IF(0,2,0)</f>
        <v>0</v>
      </c>
      <c r="CA508" t="str">
        <f>IF(0,"云飞玉皇","夕照雷峰")</f>
        <v>夕照雷峰</v>
      </c>
      <c r="CB508">
        <f>IF(0,2,2)</f>
        <v>2</v>
      </c>
    </row>
    <row r="509" spans="1:80">
      <c r="A509" s="178" t="str">
        <f ca="1">IFERROR(IF(A508+加速!$L$11&lt;$AS$1,IF(COUNTIF(B508,"*轻*")&gt;0,A508+加速!$L$9,A508+加速!$L$11)+V508,IF(COUNTIF(INDEX(AU509:CB509,1,$AT$1),"*云景*")+COUNTIF(INDEX(AU509:CB509,1,$AT$1),"*鹤归*")+COUNTIF(INDEX(AU509:CB509,1,$AT$1),"*听雷*")&gt;0,A508+加速!$L$11,"")),"")</f>
        <v/>
      </c>
      <c r="B509" s="167" t="str">
        <f ca="1">IF(A509&lt;&gt;"",IF(AND(A509+加速!$L$11&gt;$AS$1,IF(AND(配装计算器!$K$30&lt;&gt;"∞",0),"梦泉虎跑-轻",INDEX(AU509:CB509,1,$AT$1))="云栖松"),"夕照雷峰",IF(AND(配装计算器!$K$30&lt;&gt;"∞",0),"梦泉虎跑-轻",INDEX(AU509:CB509,1,$AT$1))),"")</f>
        <v/>
      </c>
      <c r="C509" t="str">
        <f ca="1" t="shared" si="99"/>
        <v/>
      </c>
      <c r="D509" t="str">
        <f ca="1">IF(B509&lt;&gt;"",IF(C508&lt;=加速!$L$11*(1-E509),0,1),"")</f>
        <v/>
      </c>
      <c r="E509">
        <f ca="1" t="shared" si="95"/>
        <v>1</v>
      </c>
      <c r="G509" t="str">
        <f ca="1" t="shared" si="96"/>
        <v/>
      </c>
      <c r="H509" t="str">
        <f ca="1">IF(B509&lt;&gt;"",IF(AND(COUNTIF(B508,"*轻*莺鸣柳*")&gt;0,COUNTIF(B509,"*轻*")&lt;1),MAX(0,15+I508-(A509-A508)+COUNTIF(B508,"*平湖*")*0),IF(AND(E509=0,MAX(0,H508-(A509-A508))&lt;=加速!$H$11),0,MAX(0,H508-(A509-A508)))),"")</f>
        <v/>
      </c>
      <c r="I509" t="str">
        <f ca="1" t="shared" si="102"/>
        <v/>
      </c>
      <c r="J509" t="str">
        <f ca="1" t="shared" si="103"/>
        <v/>
      </c>
      <c r="K509" t="str">
        <f ca="1">IF(A509&lt;&gt;"",IF(AND(配装计算器!$K$30&lt;&gt;"∞",0),2,INDEX(AU509:CB509,1,$AT$2)),"")</f>
        <v/>
      </c>
      <c r="L509">
        <f ca="1">IFERROR(IF(AND(COUNTIF(B509,"*-峰插*"),技能数据库!$M$72&gt;0),0,IF(COUNTIF(B509,"*鹤归*")&gt;0,16-加速!$L$11,MAX(0,L508-(A509-A508)))),0)</f>
        <v>0</v>
      </c>
      <c r="M509">
        <f ca="1">IF(COUNTIF(IF(AND(配装计算器!$K$30&lt;&gt;"∞",0),INDEX(AU508:CB508,1,$AT$1),INDEX(AU510:CB510,1,$AT$1)),"*鹤归*")=1,L509,0)</f>
        <v>0</v>
      </c>
      <c r="N509">
        <f ca="1">IFERROR(IF(AND(COUNTIF(B509,"*-峰插*"),技能数据库!$M$72&gt;0),0,IF(COUNTIF(B509,"*云飞*")&gt;0,4-COUNTIF(B509,"*玉山揽云*")*4--COUNTIF(B509,"*烟流暮景*")*4-COUNTIF(B509,"*云景*")*加速!$L$11-IF(J509&gt;0,2,0),MAX(0,N508-(A509-A508)-IF(J509&gt;0,2,0)))),0)</f>
        <v>0</v>
      </c>
      <c r="O509">
        <f ca="1">IF(AND(COUNTIF(IF(AND(配装计算器!$K$30&lt;&gt;"∞",0),INDEX(AU508:CB508,1,$AT$1),INDEX(AU510:CB510,1,$AT$1)),"*云飞*")=1,COUNTIF(IF(AND(配装计算器!$K$30&lt;&gt;"∞",0),INDEX(AU508:CB508,1,$AT$1),INDEX(AU510:CB510,1,$AT$1)),"*玉山*")=0),N509,0)</f>
        <v>0</v>
      </c>
      <c r="P509">
        <f ca="1">IFERROR(IF(COUNTIF(B509,"*云栖松*")&gt;0,50-加速!$L$11,MAX(0,P508-(A509-A508))),0)</f>
        <v>0</v>
      </c>
      <c r="Q509">
        <f ca="1">IF(COUNTIF(IF(AND(配装计算器!$K$30&lt;&gt;"∞",0),INDEX(AU508:CB508,1,$AT$1),INDEX(AU510:CB510,1,$AT$1)),"*云栖松*")=1,P509,0)</f>
        <v>0</v>
      </c>
      <c r="R509">
        <f ca="1">IFERROR(IF(COUNTIF(B509,"*莺鸣柳*")&gt;0,45-加速!$L$9,MAX(0,R508-(A509-A508))),0)</f>
        <v>0</v>
      </c>
      <c r="S509">
        <f ca="1">IF(COUNTIF(IF(AND(配装计算器!$K$30&lt;&gt;"∞",0),INDEX(AU508:CB508,1,$AT$1),INDEX(AU510:CB510,1,$AT$1)),"*莺鸣柳*")=1,R509,0)</f>
        <v>0</v>
      </c>
      <c r="T509">
        <f ca="1" t="shared" si="100"/>
        <v>0</v>
      </c>
      <c r="U509">
        <f ca="1">IF(金蛇,IF(COUNTIF(B509,"*金环戴*")+COUNTIF(B509,"*吹风醒*")&gt;0,IF(A509&lt;=3,7.125-2.625-A509-加速!$L$11,7.125+加速!$K$9-(A509+加速!$L$11-T509)),0),0)+IF(金蛇,IF(COUNTIF(B509,"*千切子裂光*")&gt;0,2+加速!$K$9-(A509+加速!$L$11-T509),0),0)</f>
        <v>0</v>
      </c>
      <c r="V509">
        <f ca="1" t="shared" si="101"/>
        <v>0</v>
      </c>
      <c r="W509">
        <f ca="1" t="shared" si="93"/>
        <v>0</v>
      </c>
      <c r="X509">
        <f ca="1">INDEX(加速!$I$13:$I$21,技能数计算!W509+1)</f>
        <v>0</v>
      </c>
      <c r="Y509">
        <f ca="1" t="shared" si="97"/>
        <v>0.5</v>
      </c>
      <c r="Z509">
        <f ca="1" t="shared" si="98"/>
        <v>0</v>
      </c>
      <c r="AA509">
        <f ca="1">MAX(0,IFERROR(IF(COUNTIF(B509,"*叠*")&gt;0,IF(AC508&lt;3,8-A510+A509,AA508+6.875-A510+A509),AA508-A510+A509),AA508-加速!$L$11))</f>
        <v>0</v>
      </c>
      <c r="AB509" t="e">
        <f ca="1">MAX(0,IF(COUNTIF(IF(AND(配装计算器!$K$30&lt;&gt;"∞",0),INDEX(AU509:CB509,1,$AT$1),INDEX(AU509:CB509,1,$AT$1)),"*叠1*")=1,4*25-加速!$L$11,AB508-A509+A508)-IF(OR(COUNTIF(OFFSET(AT509,0,$AT$1,1,1),"*听雷*")&gt;0,AND(碧归&gt;0,COUNTIF(OFFSET(AT509,0,$AT$1,1,1),"*风来*")&gt;0)),0,1)*1.5)</f>
        <v>#VALUE!</v>
      </c>
      <c r="AC509">
        <f ca="1" t="shared" si="94"/>
        <v>3</v>
      </c>
      <c r="AD509">
        <f ca="1">IF(COUNTIF(IF(AND(配装计算器!$K$30&lt;&gt;"∞",0),INDEX(AU509:CB509,1,$AT$1),INDEX(AU510:CB510,1,$AT$1)),"*叠1*")=1,AB509*0+AE508,0)</f>
        <v>0</v>
      </c>
      <c r="AE509" t="e">
        <f ca="1">IF($AN$11&gt;0,IF(COUNTIF(B510,"*叠1*")&gt;0,50-加速!$H$11,MAX(0,AE508-(A510-A509))),0)</f>
        <v>#VALUE!</v>
      </c>
      <c r="AU509" t="str">
        <f>IF($AN$11=1,"云飞玉皇-玉山揽云","夕照雷峰")</f>
        <v>云飞玉皇-玉山揽云</v>
      </c>
      <c r="AV509">
        <v>2</v>
      </c>
      <c r="AW509" t="s">
        <v>2768</v>
      </c>
      <c r="AX509">
        <v>2</v>
      </c>
      <c r="AY509" t="s">
        <v>2768</v>
      </c>
      <c r="AZ509">
        <v>0</v>
      </c>
      <c r="BA509" t="s">
        <v>3017</v>
      </c>
      <c r="BB509">
        <v>2</v>
      </c>
      <c r="BC509" s="176" t="s">
        <v>3026</v>
      </c>
      <c r="BD509">
        <v>2</v>
      </c>
      <c r="BE509" t="s">
        <v>2768</v>
      </c>
      <c r="BF509">
        <v>2</v>
      </c>
      <c r="BG509" t="s">
        <v>3018</v>
      </c>
      <c r="BH509">
        <v>2</v>
      </c>
      <c r="BI509" t="s">
        <v>2768</v>
      </c>
      <c r="BJ509">
        <v>2</v>
      </c>
      <c r="BK509" s="176" t="s">
        <v>2776</v>
      </c>
      <c r="BL509">
        <v>2</v>
      </c>
      <c r="BM509" s="176" t="str">
        <f>IF(秋,"金环戴","吹风醒")</f>
        <v>吹风醒</v>
      </c>
      <c r="BN509">
        <v>2</v>
      </c>
      <c r="BO509" t="str">
        <f>IF(0,"云飞玉皇-玉山揽云","云飞玉皇")</f>
        <v>云飞玉皇</v>
      </c>
      <c r="BP509">
        <v>2</v>
      </c>
      <c r="BQ509" t="s">
        <v>2768</v>
      </c>
      <c r="BR509">
        <v>0</v>
      </c>
      <c r="BS509" s="182" t="s">
        <v>3023</v>
      </c>
      <c r="BT509">
        <v>2</v>
      </c>
      <c r="BU509" t="s">
        <v>2768</v>
      </c>
      <c r="BV509">
        <v>0</v>
      </c>
      <c r="BW509" s="182" t="s">
        <v>2776</v>
      </c>
      <c r="BX509" s="179">
        <v>2</v>
      </c>
      <c r="BY509" s="176" t="str">
        <f>IF(秋,"金环戴","吹风醒")</f>
        <v>吹风醒</v>
      </c>
      <c r="BZ509">
        <v>2</v>
      </c>
      <c r="CA509" t="str">
        <f>IF(0,"云飞玉皇","夕照雷峰")</f>
        <v>夕照雷峰</v>
      </c>
      <c r="CB509">
        <v>2</v>
      </c>
    </row>
    <row r="510" spans="1:80">
      <c r="A510" s="178" t="str">
        <f ca="1">IFERROR(IF(A509+加速!$L$11&lt;$AS$1,IF(COUNTIF(B509,"*轻*")&gt;0,A509+加速!$L$9,A509+加速!$L$11)+V509,IF(COUNTIF(INDEX(AU510:CB510,1,$AT$1),"*云景*")+COUNTIF(INDEX(AU510:CB510,1,$AT$1),"*鹤归*")+COUNTIF(INDEX(AU510:CB510,1,$AT$1),"*听雷*")&gt;0,A509+加速!$L$11,"")),"")</f>
        <v/>
      </c>
      <c r="B510" s="167" t="str">
        <f ca="1">IF(A510&lt;&gt;"",IF(AND(A510+加速!$L$11&gt;$AS$1,IF(AND(配装计算器!$K$30&lt;&gt;"∞",0),"梦泉虎跑-轻",INDEX(AU510:CB510,1,$AT$1))="云栖松"),"夕照雷峰",IF(AND(配装计算器!$K$30&lt;&gt;"∞",0),"梦泉虎跑-轻",INDEX(AU510:CB510,1,$AT$1))),"")</f>
        <v/>
      </c>
      <c r="C510" t="str">
        <f ca="1" t="shared" si="99"/>
        <v/>
      </c>
      <c r="D510" t="str">
        <f ca="1">IF(B510&lt;&gt;"",IF(C509&lt;=加速!$L$11*(1-E510),0,1),"")</f>
        <v/>
      </c>
      <c r="E510">
        <f ca="1" t="shared" si="95"/>
        <v>1</v>
      </c>
      <c r="G510" t="str">
        <f ca="1" t="shared" si="96"/>
        <v/>
      </c>
      <c r="H510" t="str">
        <f ca="1">IF(B510&lt;&gt;"",IF(AND(COUNTIF(B509,"*轻*莺鸣柳*")&gt;0,COUNTIF(B510,"*轻*")&lt;1),MAX(0,15+I509-(A510-A509)+COUNTIF(B509,"*平湖*")*0),IF(AND(E510=0,MAX(0,H509-(A510-A509))&lt;=加速!$H$11),0,MAX(0,H509-(A510-A509)))),"")</f>
        <v/>
      </c>
      <c r="I510" t="str">
        <f ca="1" t="shared" si="102"/>
        <v/>
      </c>
      <c r="J510" t="str">
        <f ca="1" t="shared" si="103"/>
        <v/>
      </c>
      <c r="K510" t="str">
        <f ca="1">IF(A510&lt;&gt;"",IF(AND(配装计算器!$K$30&lt;&gt;"∞",0),2,INDEX(AU510:CB510,1,$AT$2)),"")</f>
        <v/>
      </c>
      <c r="L510">
        <f ca="1">IFERROR(IF(AND(COUNTIF(B510,"*-峰插*"),技能数据库!$M$72&gt;0),0,IF(COUNTIF(B510,"*鹤归*")&gt;0,16-加速!$L$11,MAX(0,L509-(A510-A509)))),0)</f>
        <v>0</v>
      </c>
      <c r="M510">
        <f ca="1">IF(COUNTIF(IF(AND(配装计算器!$K$30&lt;&gt;"∞",0),INDEX(AU509:CB509,1,$AT$1),INDEX(AU511:CB511,1,$AT$1)),"*鹤归*")=1,L510,0)</f>
        <v>0</v>
      </c>
      <c r="N510">
        <f ca="1">IFERROR(IF(AND(COUNTIF(B510,"*-峰插*"),技能数据库!$M$72&gt;0),0,IF(COUNTIF(B510,"*云飞*")&gt;0,4-COUNTIF(B510,"*玉山揽云*")*4--COUNTIF(B510,"*烟流暮景*")*4-COUNTIF(B510,"*云景*")*加速!$L$11-IF(J510&gt;0,2,0),MAX(0,N509-(A510-A509)-IF(J510&gt;0,2,0)))),0)</f>
        <v>0</v>
      </c>
      <c r="O510">
        <f ca="1">IF(AND(COUNTIF(IF(AND(配装计算器!$K$30&lt;&gt;"∞",0),INDEX(AU509:CB509,1,$AT$1),INDEX(AU511:CB511,1,$AT$1)),"*云飞*")=1,COUNTIF(IF(AND(配装计算器!$K$30&lt;&gt;"∞",0),INDEX(AU509:CB509,1,$AT$1),INDEX(AU511:CB511,1,$AT$1)),"*玉山*")=0),N510,0)</f>
        <v>0</v>
      </c>
      <c r="P510">
        <f ca="1">IFERROR(IF(COUNTIF(B510,"*云栖松*")&gt;0,50-加速!$L$11,MAX(0,P509-(A510-A509))),0)</f>
        <v>0</v>
      </c>
      <c r="Q510">
        <f ca="1">IF(COUNTIF(IF(AND(配装计算器!$K$30&lt;&gt;"∞",0),INDEX(AU509:CB509,1,$AT$1),INDEX(AU511:CB511,1,$AT$1)),"*云栖松*")=1,P510,0)</f>
        <v>0</v>
      </c>
      <c r="R510">
        <f ca="1">IFERROR(IF(COUNTIF(B510,"*莺鸣柳*")&gt;0,45-加速!$L$9,MAX(0,R509-(A510-A509))),0)</f>
        <v>0</v>
      </c>
      <c r="S510">
        <f ca="1">IF(COUNTIF(IF(AND(配装计算器!$K$30&lt;&gt;"∞",0),INDEX(AU509:CB509,1,$AT$1),INDEX(AU511:CB511,1,$AT$1)),"*莺鸣柳*")=1,R510,0)</f>
        <v>0</v>
      </c>
      <c r="T510">
        <f ca="1" t="shared" si="100"/>
        <v>0</v>
      </c>
      <c r="U510">
        <f ca="1">IF(金蛇,IF(COUNTIF(B510,"*金环戴*")+COUNTIF(B510,"*吹风醒*")&gt;0,IF(A510&lt;=3,7.125-2.625-A510-加速!$L$11,7.125+加速!$K$9-(A510+加速!$L$11-T510)),0),0)+IF(金蛇,IF(COUNTIF(B510,"*千切子裂光*")&gt;0,2+加速!$K$9-(A510+加速!$L$11-T510),0),0)</f>
        <v>0</v>
      </c>
      <c r="V510">
        <f ca="1" t="shared" si="101"/>
        <v>0</v>
      </c>
      <c r="W510">
        <f ca="1" t="shared" si="93"/>
        <v>0</v>
      </c>
      <c r="X510">
        <f ca="1">INDEX(加速!$I$13:$I$21,技能数计算!W510+1)</f>
        <v>0</v>
      </c>
      <c r="Y510">
        <f ca="1" t="shared" si="97"/>
        <v>0.5</v>
      </c>
      <c r="Z510">
        <f ca="1" t="shared" si="98"/>
        <v>0</v>
      </c>
      <c r="AA510">
        <f ca="1">MAX(0,IFERROR(IF(COUNTIF(B510,"*叠*")&gt;0,IF(AC509&lt;3,8-A511+A510,AA509+6.875-A511+A510),AA509-A511+A510),AA509-加速!$L$11))</f>
        <v>0</v>
      </c>
      <c r="AB510" t="e">
        <f ca="1">MAX(0,IF(COUNTIF(IF(AND(配装计算器!$K$30&lt;&gt;"∞",0),INDEX(AU510:CB510,1,$AT$1),INDEX(AU510:CB510,1,$AT$1)),"*叠1*")=1,4*25-加速!$L$11,AB509-A510+A509)-IF(OR(COUNTIF(OFFSET(AT510,0,$AT$1,1,1),"*听雷*")&gt;0,AND(碧归&gt;0,COUNTIF(OFFSET(AT510,0,$AT$1,1,1),"*风来*")&gt;0)),0,1)*1.5)</f>
        <v>#VALUE!</v>
      </c>
      <c r="AC510">
        <f ca="1" t="shared" si="94"/>
        <v>3</v>
      </c>
      <c r="AD510">
        <f ca="1">IF(COUNTIF(IF(AND(配装计算器!$K$30&lt;&gt;"∞",0),INDEX(AU510:CB510,1,$AT$1),INDEX(AU511:CB511,1,$AT$1)),"*叠1*")=1,AB510*0+AE509,0)</f>
        <v>0</v>
      </c>
      <c r="AE510" t="e">
        <f ca="1">IF($AN$11&gt;0,IF(COUNTIF(B511,"*叠1*")&gt;0,50-加速!$H$11,MAX(0,AE509-(A511-A510))),0)</f>
        <v>#VALUE!</v>
      </c>
      <c r="AU510" t="str">
        <f>IF($AN$11=1,"云飞玉皇-玉山揽云","云飞玉皇")</f>
        <v>云飞玉皇-玉山揽云</v>
      </c>
      <c r="AV510">
        <v>2</v>
      </c>
      <c r="AW510" t="s">
        <v>2776</v>
      </c>
      <c r="AX510">
        <v>2</v>
      </c>
      <c r="AY510" t="s">
        <v>3010</v>
      </c>
      <c r="AZ510">
        <v>2</v>
      </c>
      <c r="BA510" t="s">
        <v>2808</v>
      </c>
      <c r="BB510">
        <v>2</v>
      </c>
      <c r="BC510" s="176" t="s">
        <v>3026</v>
      </c>
      <c r="BD510">
        <v>2</v>
      </c>
      <c r="BE510" t="s">
        <v>2794</v>
      </c>
      <c r="BF510">
        <v>2</v>
      </c>
      <c r="BG510" t="s">
        <v>2768</v>
      </c>
      <c r="BH510">
        <v>2</v>
      </c>
      <c r="BI510" t="s">
        <v>2776</v>
      </c>
      <c r="BJ510">
        <v>2</v>
      </c>
      <c r="BK510" s="176" t="s">
        <v>2794</v>
      </c>
      <c r="BL510">
        <v>2</v>
      </c>
      <c r="BM510" t="str">
        <f>IF(秋,"夕照雷峰","云飞玉皇")</f>
        <v>云飞玉皇</v>
      </c>
      <c r="BN510">
        <v>2</v>
      </c>
      <c r="BO510" s="176" t="str">
        <f>IF(秋,"夕照雷峰","千切子寒光-千切子裂光")</f>
        <v>千切子寒光-千切子裂光</v>
      </c>
      <c r="BP510">
        <v>2</v>
      </c>
      <c r="BQ510" t="s">
        <v>2768</v>
      </c>
      <c r="BR510">
        <v>0</v>
      </c>
      <c r="BS510" s="182" t="s">
        <v>2768</v>
      </c>
      <c r="BT510">
        <v>2</v>
      </c>
      <c r="BU510" t="s">
        <v>2768</v>
      </c>
      <c r="BV510">
        <v>0</v>
      </c>
      <c r="BW510" s="182" t="s">
        <v>2768</v>
      </c>
      <c r="BX510" s="179">
        <v>2</v>
      </c>
      <c r="BY510" t="str">
        <f>IF(秋,"夕照雷峰","云飞玉皇")</f>
        <v>云飞玉皇</v>
      </c>
      <c r="BZ510">
        <v>2</v>
      </c>
      <c r="CA510" s="176" t="str">
        <f>IF(秋,"夕照雷峰","云飞玉皇")</f>
        <v>云飞玉皇</v>
      </c>
      <c r="CB510">
        <v>2</v>
      </c>
    </row>
    <row r="511" spans="1:80">
      <c r="A511" s="178" t="str">
        <f ca="1">IFERROR(IF(A510+加速!$L$11&lt;$AS$1,IF(COUNTIF(B510,"*轻*")&gt;0,A510+加速!$L$9,A510+加速!$L$11)+V510,IF(COUNTIF(INDEX(AU511:CB511,1,$AT$1),"*云景*")+COUNTIF(INDEX(AU511:CB511,1,$AT$1),"*鹤归*")+COUNTIF(INDEX(AU511:CB511,1,$AT$1),"*听雷*")&gt;0,A510+加速!$L$11,"")),"")</f>
        <v/>
      </c>
      <c r="B511" s="167" t="str">
        <f ca="1">IF(A511&lt;&gt;"",IF(AND(A511+加速!$L$11&gt;$AS$1,IF(AND(配装计算器!$K$30&lt;&gt;"∞",0),"梦泉虎跑-轻",INDEX(AU511:CB511,1,$AT$1))="云栖松"),"夕照雷峰",IF(AND(配装计算器!$K$30&lt;&gt;"∞",0),"梦泉虎跑-轻",INDEX(AU511:CB511,1,$AT$1))),"")</f>
        <v/>
      </c>
      <c r="C511" t="str">
        <f ca="1" t="shared" si="99"/>
        <v/>
      </c>
      <c r="D511" t="str">
        <f ca="1">IF(B511&lt;&gt;"",IF(C510&lt;=加速!$L$11*(1-E511),0,1),"")</f>
        <v/>
      </c>
      <c r="E511">
        <f ca="1" t="shared" si="95"/>
        <v>1</v>
      </c>
      <c r="G511" t="str">
        <f ca="1" t="shared" si="96"/>
        <v/>
      </c>
      <c r="H511" t="str">
        <f ca="1">IF(B511&lt;&gt;"",IF(AND(COUNTIF(B510,"*轻*莺鸣柳*")&gt;0,COUNTIF(B511,"*轻*")&lt;1),MAX(0,15+I510-(A511-A510)+COUNTIF(B510,"*平湖*")*0),IF(AND(E511=0,MAX(0,H510-(A511-A510))&lt;=加速!$H$11),0,MAX(0,H510-(A511-A510)))),"")</f>
        <v/>
      </c>
      <c r="I511" t="str">
        <f ca="1" t="shared" si="102"/>
        <v/>
      </c>
      <c r="J511" t="str">
        <f ca="1" t="shared" si="103"/>
        <v/>
      </c>
      <c r="K511" t="str">
        <f ca="1">IF(A511&lt;&gt;"",IF(AND(配装计算器!$K$30&lt;&gt;"∞",0),2,INDEX(AU511:CB511,1,$AT$2)),"")</f>
        <v/>
      </c>
      <c r="L511">
        <f ca="1">IFERROR(IF(AND(COUNTIF(B511,"*-峰插*"),技能数据库!$M$72&gt;0),0,IF(COUNTIF(B511,"*鹤归*")&gt;0,16-加速!$L$11,MAX(0,L510-(A511-A510)))),0)</f>
        <v>0</v>
      </c>
      <c r="M511">
        <f ca="1">IF(COUNTIF(IF(AND(配装计算器!$K$30&lt;&gt;"∞",0),INDEX(AU510:CB510,1,$AT$1),INDEX(AU512:CB512,1,$AT$1)),"*鹤归*")=1,L511,0)</f>
        <v>0</v>
      </c>
      <c r="N511">
        <f ca="1">IFERROR(IF(AND(COUNTIF(B511,"*-峰插*"),技能数据库!$M$72&gt;0),0,IF(COUNTIF(B511,"*云飞*")&gt;0,4-COUNTIF(B511,"*玉山揽云*")*4--COUNTIF(B511,"*烟流暮景*")*4-COUNTIF(B511,"*云景*")*加速!$L$11-IF(J511&gt;0,2,0),MAX(0,N510-(A511-A510)-IF(J511&gt;0,2,0)))),0)</f>
        <v>0</v>
      </c>
      <c r="O511">
        <f ca="1">IF(AND(COUNTIF(IF(AND(配装计算器!$K$30&lt;&gt;"∞",0),INDEX(AU510:CB510,1,$AT$1),INDEX(AU512:CB512,1,$AT$1)),"*云飞*")=1,COUNTIF(IF(AND(配装计算器!$K$30&lt;&gt;"∞",0),INDEX(AU510:CB510,1,$AT$1),INDEX(AU512:CB512,1,$AT$1)),"*玉山*")=0),N511,0)</f>
        <v>0</v>
      </c>
      <c r="P511">
        <f ca="1">IFERROR(IF(COUNTIF(B511,"*云栖松*")&gt;0,50-加速!$L$11,MAX(0,P510-(A511-A510))),0)</f>
        <v>0</v>
      </c>
      <c r="Q511">
        <f ca="1">IF(COUNTIF(IF(AND(配装计算器!$K$30&lt;&gt;"∞",0),INDEX(AU510:CB510,1,$AT$1),INDEX(AU512:CB512,1,$AT$1)),"*云栖松*")=1,P511,0)</f>
        <v>0</v>
      </c>
      <c r="R511">
        <f ca="1">IFERROR(IF(COUNTIF(B511,"*莺鸣柳*")&gt;0,45-加速!$L$9,MAX(0,R510-(A511-A510))),0)</f>
        <v>0</v>
      </c>
      <c r="S511">
        <f ca="1">IF(COUNTIF(IF(AND(配装计算器!$K$30&lt;&gt;"∞",0),INDEX(AU510:CB510,1,$AT$1),INDEX(AU512:CB512,1,$AT$1)),"*莺鸣柳*")=1,R511,0)</f>
        <v>0</v>
      </c>
      <c r="T511">
        <f ca="1" t="shared" si="100"/>
        <v>0</v>
      </c>
      <c r="U511">
        <f ca="1">IF(金蛇,IF(COUNTIF(B511,"*金环戴*")+COUNTIF(B511,"*吹风醒*")&gt;0,IF(A511&lt;=3,7.125-2.625-A511-加速!$L$11,7.125+加速!$K$9-(A511+加速!$L$11-T511)),0),0)+IF(金蛇,IF(COUNTIF(B511,"*千切子裂光*")&gt;0,2+加速!$K$9-(A511+加速!$L$11-T511),0),0)</f>
        <v>0</v>
      </c>
      <c r="V511">
        <f ca="1" t="shared" si="101"/>
        <v>0</v>
      </c>
      <c r="W511">
        <f ca="1" t="shared" si="93"/>
        <v>0</v>
      </c>
      <c r="X511">
        <f ca="1">INDEX(加速!$I$13:$I$21,技能数计算!W511+1)</f>
        <v>0</v>
      </c>
      <c r="Y511">
        <f ca="1" t="shared" si="97"/>
        <v>0.5</v>
      </c>
      <c r="Z511">
        <f ca="1" t="shared" si="98"/>
        <v>0</v>
      </c>
      <c r="AA511">
        <f ca="1">MAX(0,IFERROR(IF(COUNTIF(B511,"*叠*")&gt;0,IF(AC510&lt;3,8-A512+A511,AA510+6.875-A512+A511),AA510-A512+A511),AA510-加速!$L$11))</f>
        <v>0</v>
      </c>
      <c r="AB511" t="e">
        <f ca="1">MAX(0,IF(COUNTIF(IF(AND(配装计算器!$K$30&lt;&gt;"∞",0),INDEX(AU511:CB511,1,$AT$1),INDEX(AU511:CB511,1,$AT$1)),"*叠1*")=1,4*25-加速!$L$11,AB510-A511+A510)-IF(OR(COUNTIF(OFFSET(AT511,0,$AT$1,1,1),"*听雷*")&gt;0,AND(碧归&gt;0,COUNTIF(OFFSET(AT511,0,$AT$1,1,1),"*风来*")&gt;0)),0,1)*1.5)</f>
        <v>#VALUE!</v>
      </c>
      <c r="AC511">
        <f ca="1" t="shared" si="94"/>
        <v>3</v>
      </c>
      <c r="AD511">
        <f ca="1">IF(COUNTIF(IF(AND(配装计算器!$K$30&lt;&gt;"∞",0),INDEX(AU511:CB511,1,$AT$1),INDEX(AU512:CB512,1,$AT$1)),"*叠1*")=1,AB511*0+AE510,0)</f>
        <v>0</v>
      </c>
      <c r="AE511" t="e">
        <f ca="1">IF($AN$11&gt;0,IF(COUNTIF(B512,"*叠1*")&gt;0,50-加速!$H$11,MAX(0,AE510-(A512-A511))),0)</f>
        <v>#VALUE!</v>
      </c>
      <c r="AU511" t="str">
        <f>IF($AN$11=1,"云飞玉皇-玉山揽云","夕照雷峰")</f>
        <v>云飞玉皇-玉山揽云</v>
      </c>
      <c r="AV511">
        <v>2</v>
      </c>
      <c r="AW511" t="s">
        <v>2768</v>
      </c>
      <c r="AX511">
        <v>2</v>
      </c>
      <c r="AY511" t="s">
        <v>3013</v>
      </c>
      <c r="AZ511">
        <v>2</v>
      </c>
      <c r="BA511" t="s">
        <v>3022</v>
      </c>
      <c r="BB511">
        <v>2</v>
      </c>
      <c r="BC511" t="s">
        <v>3013</v>
      </c>
      <c r="BD511">
        <v>2</v>
      </c>
      <c r="BE511" t="s">
        <v>2768</v>
      </c>
      <c r="BF511">
        <v>2</v>
      </c>
      <c r="BG511" s="182" t="s">
        <v>3023</v>
      </c>
      <c r="BH511">
        <v>2</v>
      </c>
      <c r="BI511" t="s">
        <v>2768</v>
      </c>
      <c r="BJ511">
        <v>2</v>
      </c>
      <c r="BK511" s="176" t="s">
        <v>2768</v>
      </c>
      <c r="BL511">
        <v>2</v>
      </c>
      <c r="BM511" s="176" t="str">
        <f>IF(秋,"梦泉虎跑-轻","夕照雷峰")</f>
        <v>夕照雷峰</v>
      </c>
      <c r="BN511">
        <v>2</v>
      </c>
      <c r="BO511" s="176" t="str">
        <f>IF(秋,"夕照雷峰","夕照雷峰")</f>
        <v>夕照雷峰</v>
      </c>
      <c r="BP511">
        <v>2</v>
      </c>
      <c r="BQ511" t="s">
        <v>3067</v>
      </c>
      <c r="BR511">
        <v>0</v>
      </c>
      <c r="BS511" s="182" t="s">
        <v>2776</v>
      </c>
      <c r="BT511">
        <v>2</v>
      </c>
      <c r="BU511" t="s">
        <v>2776</v>
      </c>
      <c r="BV511">
        <v>0</v>
      </c>
      <c r="BW511" s="182" t="s">
        <v>2808</v>
      </c>
      <c r="BX511" s="179">
        <v>2</v>
      </c>
      <c r="BY511" s="176" t="str">
        <f>IF(秋,"梦泉虎跑-轻","夕照雷峰")</f>
        <v>夕照雷峰</v>
      </c>
      <c r="BZ511">
        <v>2</v>
      </c>
      <c r="CA511" s="176" t="str">
        <f>IF(秋,"梦泉虎跑-轻","夕照雷峰")</f>
        <v>夕照雷峰</v>
      </c>
      <c r="CB511">
        <v>1</v>
      </c>
    </row>
    <row r="512" spans="1:80">
      <c r="A512" s="178" t="str">
        <f ca="1">IFERROR(IF(A511+加速!$L$11&lt;$AS$1,IF(COUNTIF(B511,"*轻*")&gt;0,A511+加速!$L$9,A511+加速!$L$11)+V511,IF(COUNTIF(INDEX(AU512:CB512,1,$AT$1),"*云景*")+COUNTIF(INDEX(AU512:CB512,1,$AT$1),"*鹤归*")+COUNTIF(INDEX(AU512:CB512,1,$AT$1),"*听雷*")&gt;0,A511+加速!$L$11,"")),"")</f>
        <v/>
      </c>
      <c r="B512" s="167" t="str">
        <f ca="1">IF(A512&lt;&gt;"",IF(AND(A512+加速!$L$11&gt;$AS$1,IF(AND(配装计算器!$K$30&lt;&gt;"∞",0),"梦泉虎跑-轻",INDEX(AU512:CB512,1,$AT$1))="云栖松"),"夕照雷峰",IF(AND(配装计算器!$K$30&lt;&gt;"∞",0),"梦泉虎跑-轻",INDEX(AU512:CB512,1,$AT$1))),"")</f>
        <v/>
      </c>
      <c r="C512" t="str">
        <f ca="1" t="shared" si="99"/>
        <v/>
      </c>
      <c r="D512" t="str">
        <f ca="1">IF(B512&lt;&gt;"",IF(C511&lt;=加速!$L$11*(1-E512),0,1),"")</f>
        <v/>
      </c>
      <c r="E512">
        <f ca="1" t="shared" si="95"/>
        <v>1</v>
      </c>
      <c r="G512" t="str">
        <f ca="1" t="shared" si="96"/>
        <v/>
      </c>
      <c r="H512" t="str">
        <f ca="1">IF(B512&lt;&gt;"",IF(AND(COUNTIF(B511,"*轻*莺鸣柳*")&gt;0,COUNTIF(B512,"*轻*")&lt;1),MAX(0,15+I511-(A512-A511)+COUNTIF(B511,"*平湖*")*0),IF(AND(E512=0,MAX(0,H511-(A512-A511))&lt;=加速!$H$11),0,MAX(0,H511-(A512-A511)))),"")</f>
        <v/>
      </c>
      <c r="I512" t="str">
        <f ca="1" t="shared" si="102"/>
        <v/>
      </c>
      <c r="J512" t="str">
        <f ca="1" t="shared" si="103"/>
        <v/>
      </c>
      <c r="K512" t="str">
        <f ca="1">IF(A512&lt;&gt;"",IF(AND(配装计算器!$K$30&lt;&gt;"∞",0),2,INDEX(AU512:CB512,1,$AT$2)),"")</f>
        <v/>
      </c>
      <c r="L512">
        <f ca="1">IFERROR(IF(AND(COUNTIF(B512,"*-峰插*"),技能数据库!$M$72&gt;0),0,IF(COUNTIF(B512,"*鹤归*")&gt;0,16-加速!$L$11,MAX(0,L511-(A512-A511)))),0)</f>
        <v>0</v>
      </c>
      <c r="M512">
        <f ca="1">IF(COUNTIF(IF(AND(配装计算器!$K$30&lt;&gt;"∞",0),INDEX(AU511:CB511,1,$AT$1),INDEX(AU513:CB513,1,$AT$1)),"*鹤归*")=1,L512,0)</f>
        <v>0</v>
      </c>
      <c r="N512">
        <f ca="1">IFERROR(IF(AND(COUNTIF(B512,"*-峰插*"),技能数据库!$M$72&gt;0),0,IF(COUNTIF(B512,"*云飞*")&gt;0,4-COUNTIF(B512,"*玉山揽云*")*4--COUNTIF(B512,"*烟流暮景*")*4-COUNTIF(B512,"*云景*")*加速!$L$11-IF(J512&gt;0,2,0),MAX(0,N511-(A512-A511)-IF(J512&gt;0,2,0)))),0)</f>
        <v>0</v>
      </c>
      <c r="O512">
        <f ca="1">IF(AND(COUNTIF(IF(AND(配装计算器!$K$30&lt;&gt;"∞",0),INDEX(AU511:CB511,1,$AT$1),INDEX(AU513:CB513,1,$AT$1)),"*云飞*")=1,COUNTIF(IF(AND(配装计算器!$K$30&lt;&gt;"∞",0),INDEX(AU511:CB511,1,$AT$1),INDEX(AU513:CB513,1,$AT$1)),"*玉山*")=0),N512,0)</f>
        <v>0</v>
      </c>
      <c r="P512">
        <f ca="1">IFERROR(IF(COUNTIF(B512,"*云栖松*")&gt;0,50-加速!$L$11,MAX(0,P511-(A512-A511))),0)</f>
        <v>0</v>
      </c>
      <c r="Q512">
        <f ca="1">IF(COUNTIF(IF(AND(配装计算器!$K$30&lt;&gt;"∞",0),INDEX(AU511:CB511,1,$AT$1),INDEX(AU513:CB513,1,$AT$1)),"*云栖松*")=1,P512,0)</f>
        <v>0</v>
      </c>
      <c r="R512">
        <f ca="1">IFERROR(IF(COUNTIF(B512,"*莺鸣柳*")&gt;0,45-加速!$L$9,MAX(0,R511-(A512-A511))),0)</f>
        <v>0</v>
      </c>
      <c r="S512">
        <f ca="1">IF(COUNTIF(IF(AND(配装计算器!$K$30&lt;&gt;"∞",0),INDEX(AU511:CB511,1,$AT$1),INDEX(AU513:CB513,1,$AT$1)),"*莺鸣柳*")=1,R512,0)</f>
        <v>0</v>
      </c>
      <c r="T512">
        <f ca="1" t="shared" si="100"/>
        <v>0</v>
      </c>
      <c r="U512">
        <f ca="1">IF(金蛇,IF(COUNTIF(B512,"*金环戴*")+COUNTIF(B512,"*吹风醒*")&gt;0,IF(A512&lt;=3,7.125-2.625-A512-加速!$L$11,7.125+加速!$K$9-(A512+加速!$L$11-T512)),0),0)+IF(金蛇,IF(COUNTIF(B512,"*千切子裂光*")&gt;0,2+加速!$K$9-(A512+加速!$L$11-T512),0),0)</f>
        <v>0</v>
      </c>
      <c r="V512">
        <f ca="1" t="shared" si="101"/>
        <v>0</v>
      </c>
      <c r="W512">
        <f ca="1" t="shared" si="93"/>
        <v>0</v>
      </c>
      <c r="X512">
        <f ca="1">INDEX(加速!$I$13:$I$21,技能数计算!W512+1)</f>
        <v>0</v>
      </c>
      <c r="Y512">
        <f ca="1" t="shared" si="97"/>
        <v>0.5</v>
      </c>
      <c r="Z512">
        <f ca="1" t="shared" si="98"/>
        <v>0</v>
      </c>
      <c r="AA512">
        <f ca="1">MAX(0,IFERROR(IF(COUNTIF(B512,"*叠*")&gt;0,IF(AC511&lt;3,8-A513+A512,AA511+6.875-A513+A512),AA511-A513+A512),AA511-加速!$L$11))</f>
        <v>0</v>
      </c>
      <c r="AB512" t="e">
        <f ca="1">MAX(0,IF(COUNTIF(IF(AND(配装计算器!$K$30&lt;&gt;"∞",0),INDEX(AU512:CB512,1,$AT$1),INDEX(AU512:CB512,1,$AT$1)),"*叠1*")=1,4*25-加速!$L$11,AB511-A512+A511)-IF(OR(COUNTIF(OFFSET(AT512,0,$AT$1,1,1),"*听雷*")&gt;0,AND(碧归&gt;0,COUNTIF(OFFSET(AT512,0,$AT$1,1,1),"*风来*")&gt;0)),0,1)*1.5)</f>
        <v>#VALUE!</v>
      </c>
      <c r="AC512">
        <f ca="1" t="shared" si="94"/>
        <v>3</v>
      </c>
      <c r="AD512">
        <f ca="1">IF(COUNTIF(IF(AND(配装计算器!$K$30&lt;&gt;"∞",0),INDEX(AU512:CB512,1,$AT$1),INDEX(AU513:CB513,1,$AT$1)),"*叠1*")=1,AB512*0+AE511,0)</f>
        <v>0</v>
      </c>
      <c r="AE512" t="e">
        <f ca="1">IF($AN$11&gt;0,IF(COUNTIF(B513,"*叠1*")&gt;0,50-加速!$H$11,MAX(0,AE511-(A513-A512))),0)</f>
        <v>#VALUE!</v>
      </c>
      <c r="AU512" t="str">
        <f>IF($AN$11=1,橙武补雾锁,"夕照雷峰")</f>
        <v>云飞玉皇-玉山揽云</v>
      </c>
      <c r="AV512">
        <v>2</v>
      </c>
      <c r="AW512" t="s">
        <v>2722</v>
      </c>
      <c r="AX512">
        <v>0</v>
      </c>
      <c r="AY512" t="s">
        <v>3017</v>
      </c>
      <c r="AZ512">
        <v>2</v>
      </c>
      <c r="BA512" t="s">
        <v>2776</v>
      </c>
      <c r="BB512">
        <v>2</v>
      </c>
      <c r="BC512" t="s">
        <v>2808</v>
      </c>
      <c r="BD512">
        <v>2</v>
      </c>
      <c r="BE512" t="s">
        <v>2776</v>
      </c>
      <c r="BF512">
        <v>2</v>
      </c>
      <c r="BG512" s="176" t="s">
        <v>2768</v>
      </c>
      <c r="BH512">
        <v>2</v>
      </c>
      <c r="BI512" t="s">
        <v>2808</v>
      </c>
      <c r="BJ512">
        <v>2</v>
      </c>
      <c r="BK512" s="176" t="s">
        <v>2776</v>
      </c>
      <c r="BL512">
        <v>2</v>
      </c>
      <c r="BM512" s="176" t="str">
        <f>IF(秋,"九溪弥烟-轻-血毒金蛇锥","梦泉虎跑-轻")</f>
        <v>梦泉虎跑-轻</v>
      </c>
      <c r="BN512">
        <v>0</v>
      </c>
      <c r="BO512" t="str">
        <f>IF(0,"云飞玉皇-玉山揽云","夕照雷峰")</f>
        <v>夕照雷峰</v>
      </c>
      <c r="BP512">
        <v>2</v>
      </c>
      <c r="BQ512" t="s">
        <v>2776</v>
      </c>
      <c r="BR512">
        <v>2</v>
      </c>
      <c r="BS512" s="182" t="s">
        <v>2768</v>
      </c>
      <c r="BT512">
        <v>2</v>
      </c>
      <c r="BU512" t="s">
        <v>3067</v>
      </c>
      <c r="BV512">
        <v>0</v>
      </c>
      <c r="BW512" s="179" t="s">
        <v>2768</v>
      </c>
      <c r="BX512" s="179">
        <v>2</v>
      </c>
      <c r="BY512" s="176" t="str">
        <f>IF(秋,"九溪弥烟-轻-血毒金蛇锥","梦泉虎跑-轻")</f>
        <v>梦泉虎跑-轻</v>
      </c>
      <c r="BZ512">
        <v>0</v>
      </c>
      <c r="CA512" s="176" t="str">
        <f>IF(秋,"九溪弥烟-轻-血毒金蛇锥","梦泉虎跑-轻")</f>
        <v>梦泉虎跑-轻</v>
      </c>
      <c r="CB512">
        <v>0</v>
      </c>
    </row>
    <row r="513" spans="1:80">
      <c r="A513" s="178" t="str">
        <f ca="1">IFERROR(IF(A512+加速!$L$11&lt;$AS$1,IF(COUNTIF(B512,"*轻*")&gt;0,A512+加速!$L$9,A512+加速!$L$11)+V512,IF(COUNTIF(INDEX(AU513:CB513,1,$AT$1),"*云景*")+COUNTIF(INDEX(AU513:CB513,1,$AT$1),"*鹤归*")+COUNTIF(INDEX(AU513:CB513,1,$AT$1),"*听雷*")&gt;0,A512+加速!$L$11,"")),"")</f>
        <v/>
      </c>
      <c r="B513" s="167" t="str">
        <f ca="1">IF(A513&lt;&gt;"",IF(AND(A513+加速!$L$11&gt;$AS$1,IF(AND(配装计算器!$K$30&lt;&gt;"∞",0),"梦泉虎跑-轻",INDEX(AU513:CB513,1,$AT$1))="云栖松"),"夕照雷峰",IF(AND(配装计算器!$K$30&lt;&gt;"∞",0),"梦泉虎跑-轻",INDEX(AU513:CB513,1,$AT$1))),"")</f>
        <v/>
      </c>
      <c r="C513" t="str">
        <f ca="1" t="shared" si="99"/>
        <v/>
      </c>
      <c r="D513" t="str">
        <f ca="1">IF(B513&lt;&gt;"",IF(C512&lt;=加速!$L$11*(1-E513),0,1),"")</f>
        <v/>
      </c>
      <c r="E513">
        <f ca="1" t="shared" si="95"/>
        <v>1</v>
      </c>
      <c r="G513" t="str">
        <f ca="1" t="shared" si="96"/>
        <v/>
      </c>
      <c r="H513" t="str">
        <f ca="1">IF(B513&lt;&gt;"",IF(AND(COUNTIF(B512,"*轻*莺鸣柳*")&gt;0,COUNTIF(B513,"*轻*")&lt;1),MAX(0,15+I512-(A513-A512)+COUNTIF(B512,"*平湖*")*0),IF(AND(E513=0,MAX(0,H512-(A513-A512))&lt;=加速!$H$11),0,MAX(0,H512-(A513-A512)))),"")</f>
        <v/>
      </c>
      <c r="I513" t="str">
        <f ca="1" t="shared" si="102"/>
        <v/>
      </c>
      <c r="J513" t="str">
        <f ca="1" t="shared" si="103"/>
        <v/>
      </c>
      <c r="K513" t="str">
        <f ca="1">IF(A513&lt;&gt;"",IF(AND(配装计算器!$K$30&lt;&gt;"∞",0),2,INDEX(AU513:CB513,1,$AT$2)),"")</f>
        <v/>
      </c>
      <c r="L513">
        <f ca="1">IFERROR(IF(AND(COUNTIF(B513,"*-峰插*"),技能数据库!$M$72&gt;0),0,IF(COUNTIF(B513,"*鹤归*")&gt;0,16-加速!$L$11,MAX(0,L512-(A513-A512)))),0)</f>
        <v>0</v>
      </c>
      <c r="M513">
        <f ca="1">IF(COUNTIF(IF(AND(配装计算器!$K$30&lt;&gt;"∞",0),INDEX(AU512:CB512,1,$AT$1),INDEX(AU514:CB514,1,$AT$1)),"*鹤归*")=1,L513,0)</f>
        <v>0</v>
      </c>
      <c r="N513">
        <f ca="1">IFERROR(IF(AND(COUNTIF(B513,"*-峰插*"),技能数据库!$M$72&gt;0),0,IF(COUNTIF(B513,"*云飞*")&gt;0,4-COUNTIF(B513,"*玉山揽云*")*4--COUNTIF(B513,"*烟流暮景*")*4-COUNTIF(B513,"*云景*")*加速!$L$11-IF(J513&gt;0,2,0),MAX(0,N512-(A513-A512)-IF(J513&gt;0,2,0)))),0)</f>
        <v>0</v>
      </c>
      <c r="O513">
        <f ca="1">IF(AND(COUNTIF(IF(AND(配装计算器!$K$30&lt;&gt;"∞",0),INDEX(AU512:CB512,1,$AT$1),INDEX(AU514:CB514,1,$AT$1)),"*云飞*")=1,COUNTIF(IF(AND(配装计算器!$K$30&lt;&gt;"∞",0),INDEX(AU512:CB512,1,$AT$1),INDEX(AU514:CB514,1,$AT$1)),"*玉山*")=0),N513,0)</f>
        <v>0</v>
      </c>
      <c r="P513">
        <f ca="1">IFERROR(IF(COUNTIF(B513,"*云栖松*")&gt;0,50-加速!$L$11,MAX(0,P512-(A513-A512))),0)</f>
        <v>0</v>
      </c>
      <c r="Q513">
        <f ca="1">IF(COUNTIF(IF(AND(配装计算器!$K$30&lt;&gt;"∞",0),INDEX(AU512:CB512,1,$AT$1),INDEX(AU514:CB514,1,$AT$1)),"*云栖松*")=1,P513,0)</f>
        <v>0</v>
      </c>
      <c r="R513">
        <f ca="1">IFERROR(IF(COUNTIF(B513,"*莺鸣柳*")&gt;0,45-加速!$L$9,MAX(0,R512-(A513-A512))),0)</f>
        <v>0</v>
      </c>
      <c r="S513">
        <f ca="1">IF(COUNTIF(IF(AND(配装计算器!$K$30&lt;&gt;"∞",0),INDEX(AU512:CB512,1,$AT$1),INDEX(AU514:CB514,1,$AT$1)),"*莺鸣柳*")=1,R513,0)</f>
        <v>0</v>
      </c>
      <c r="T513">
        <f ca="1" t="shared" si="100"/>
        <v>0</v>
      </c>
      <c r="U513">
        <f ca="1">IF(金蛇,IF(COUNTIF(B513,"*金环戴*")+COUNTIF(B513,"*吹风醒*")&gt;0,IF(A513&lt;=3,7.125-2.625-A513-加速!$L$11,7.125+加速!$K$9-(A513+加速!$L$11-T513)),0),0)+IF(金蛇,IF(COUNTIF(B513,"*千切子裂光*")&gt;0,2+加速!$K$9-(A513+加速!$L$11-T513),0),0)</f>
        <v>0</v>
      </c>
      <c r="V513">
        <f ca="1" t="shared" si="101"/>
        <v>0</v>
      </c>
      <c r="W513">
        <f ca="1" t="shared" si="93"/>
        <v>0</v>
      </c>
      <c r="X513">
        <f ca="1">INDEX(加速!$I$13:$I$21,技能数计算!W513+1)</f>
        <v>0</v>
      </c>
      <c r="Y513">
        <f ca="1" t="shared" si="97"/>
        <v>0.5</v>
      </c>
      <c r="Z513">
        <f ca="1" t="shared" si="98"/>
        <v>0</v>
      </c>
      <c r="AA513">
        <f ca="1">MAX(0,IFERROR(IF(COUNTIF(B513,"*叠*")&gt;0,IF(AC512&lt;3,8-A514+A513,AA512+6.875-A514+A513),AA512-A514+A513),AA512-加速!$L$11))</f>
        <v>0</v>
      </c>
      <c r="AB513" t="e">
        <f ca="1">MAX(0,IF(COUNTIF(IF(AND(配装计算器!$K$30&lt;&gt;"∞",0),INDEX(AU513:CB513,1,$AT$1),INDEX(AU513:CB513,1,$AT$1)),"*叠1*")=1,4*25-加速!$L$11,AB512-A513+A512)-IF(OR(COUNTIF(OFFSET(AT513,0,$AT$1,1,1),"*听雷*")&gt;0,AND(碧归&gt;0,COUNTIF(OFFSET(AT513,0,$AT$1,1,1),"*风来*")&gt;0)),0,1)*1.5)</f>
        <v>#VALUE!</v>
      </c>
      <c r="AC513">
        <f ca="1" t="shared" si="94"/>
        <v>3</v>
      </c>
      <c r="AD513">
        <f ca="1">IF(COUNTIF(IF(AND(配装计算器!$K$30&lt;&gt;"∞",0),INDEX(AU513:CB513,1,$AT$1),INDEX(AU514:CB514,1,$AT$1)),"*叠1*")=1,AB513*0+AE512,0)</f>
        <v>0</v>
      </c>
      <c r="AE513" t="e">
        <f ca="1">IF($AN$11&gt;0,IF(COUNTIF(B514,"*叠1*")&gt;0,50-加速!$H$11,MAX(0,AE512-(A514-A513))),0)</f>
        <v>#VALUE!</v>
      </c>
      <c r="AU513" t="str">
        <f>IF($AN$11=1,"云飞玉皇-玉山揽云","夕照雷峰")</f>
        <v>云飞玉皇-玉山揽云</v>
      </c>
      <c r="AV513">
        <v>2</v>
      </c>
      <c r="AW513" t="s">
        <v>3009</v>
      </c>
      <c r="AX513">
        <v>2</v>
      </c>
      <c r="AY513" t="s">
        <v>2808</v>
      </c>
      <c r="AZ513">
        <v>2</v>
      </c>
      <c r="BA513" t="s">
        <v>2768</v>
      </c>
      <c r="BB513">
        <v>2</v>
      </c>
      <c r="BC513" t="s">
        <v>2768</v>
      </c>
      <c r="BD513">
        <v>2</v>
      </c>
      <c r="BE513" t="s">
        <v>2768</v>
      </c>
      <c r="BF513">
        <v>2</v>
      </c>
      <c r="BG513" s="176" t="s">
        <v>2768</v>
      </c>
      <c r="BH513">
        <v>2</v>
      </c>
      <c r="BI513" t="s">
        <v>2768</v>
      </c>
      <c r="BJ513">
        <v>2</v>
      </c>
      <c r="BK513" t="s">
        <v>2768</v>
      </c>
      <c r="BL513">
        <v>1</v>
      </c>
      <c r="BM513" t="s">
        <v>3009</v>
      </c>
      <c r="BN513">
        <v>2</v>
      </c>
      <c r="BO513" t="s">
        <v>2776</v>
      </c>
      <c r="BP513">
        <v>2</v>
      </c>
      <c r="BQ513" t="s">
        <v>2768</v>
      </c>
      <c r="BR513">
        <v>2</v>
      </c>
      <c r="BS513" s="182" t="s">
        <v>3085</v>
      </c>
      <c r="BT513">
        <v>2</v>
      </c>
      <c r="BU513" t="s">
        <v>2768</v>
      </c>
      <c r="BV513">
        <v>2</v>
      </c>
      <c r="BW513" s="179" t="s">
        <v>2776</v>
      </c>
      <c r="BX513" s="179">
        <v>2</v>
      </c>
      <c r="BY513" t="s">
        <v>3009</v>
      </c>
      <c r="BZ513">
        <v>2</v>
      </c>
      <c r="CA513" t="s">
        <v>3009</v>
      </c>
      <c r="CB513">
        <v>2</v>
      </c>
    </row>
    <row r="514" spans="1:80">
      <c r="A514" s="178" t="str">
        <f ca="1">IFERROR(IF(A513+加速!$L$11&lt;$AS$1,IF(COUNTIF(B513,"*轻*")&gt;0,A513+加速!$L$9,A513+加速!$L$11)+V513,IF(COUNTIF(INDEX(AU514:CB514,1,$AT$1),"*云景*")+COUNTIF(INDEX(AU514:CB514,1,$AT$1),"*鹤归*")+COUNTIF(INDEX(AU514:CB514,1,$AT$1),"*听雷*")&gt;0,A513+加速!$L$11,"")),"")</f>
        <v/>
      </c>
      <c r="B514" s="167" t="str">
        <f ca="1">IF(A514&lt;&gt;"",IF(AND(A514+加速!$L$11&gt;$AS$1,IF(AND(配装计算器!$K$30&lt;&gt;"∞",0),"梦泉虎跑-轻",INDEX(AU514:CB514,1,$AT$1))="云栖松"),"夕照雷峰",IF(AND(配装计算器!$K$30&lt;&gt;"∞",0),"梦泉虎跑-轻",INDEX(AU514:CB514,1,$AT$1))),"")</f>
        <v/>
      </c>
      <c r="C514" t="str">
        <f ca="1" t="shared" si="99"/>
        <v/>
      </c>
      <c r="D514" t="str">
        <f ca="1">IF(B514&lt;&gt;"",IF(C513&lt;=加速!$L$11*(1-E514),0,1),"")</f>
        <v/>
      </c>
      <c r="E514">
        <f ca="1" t="shared" si="95"/>
        <v>1</v>
      </c>
      <c r="G514" t="str">
        <f ca="1" t="shared" si="96"/>
        <v/>
      </c>
      <c r="H514" t="str">
        <f ca="1">IF(B514&lt;&gt;"",IF(AND(COUNTIF(B513,"*轻*莺鸣柳*")&gt;0,COUNTIF(B514,"*轻*")&lt;1),MAX(0,15+I513-(A514-A513)+COUNTIF(B513,"*平湖*")*0),IF(AND(E514=0,MAX(0,H513-(A514-A513))&lt;=加速!$H$11),0,MAX(0,H513-(A514-A513)))),"")</f>
        <v/>
      </c>
      <c r="I514" t="str">
        <f ca="1" t="shared" si="102"/>
        <v/>
      </c>
      <c r="J514" t="str">
        <f ca="1" t="shared" si="103"/>
        <v/>
      </c>
      <c r="K514" t="str">
        <f ca="1">IF(A514&lt;&gt;"",IF(AND(配装计算器!$K$30&lt;&gt;"∞",0),2,INDEX(AU514:CB514,1,$AT$2)),"")</f>
        <v/>
      </c>
      <c r="L514">
        <f ca="1">IFERROR(IF(AND(COUNTIF(B514,"*-峰插*"),技能数据库!$M$72&gt;0),0,IF(COUNTIF(B514,"*鹤归*")&gt;0,16-加速!$L$11,MAX(0,L513-(A514-A513)))),0)</f>
        <v>0</v>
      </c>
      <c r="M514">
        <f ca="1">IF(COUNTIF(IF(AND(配装计算器!$K$30&lt;&gt;"∞",0),INDEX(AU513:CB513,1,$AT$1),INDEX(AU515:CB515,1,$AT$1)),"*鹤归*")=1,L514,0)</f>
        <v>0</v>
      </c>
      <c r="N514">
        <f ca="1">IFERROR(IF(AND(COUNTIF(B514,"*-峰插*"),技能数据库!$M$72&gt;0),0,IF(COUNTIF(B514,"*云飞*")&gt;0,4-COUNTIF(B514,"*玉山揽云*")*4--COUNTIF(B514,"*烟流暮景*")*4-COUNTIF(B514,"*云景*")*加速!$L$11-IF(J514&gt;0,2,0),MAX(0,N513-(A514-A513)-IF(J514&gt;0,2,0)))),0)</f>
        <v>0</v>
      </c>
      <c r="O514">
        <f ca="1">IF(AND(COUNTIF(IF(AND(配装计算器!$K$30&lt;&gt;"∞",0),INDEX(AU513:CB513,1,$AT$1),INDEX(AU515:CB515,1,$AT$1)),"*云飞*")=1,COUNTIF(IF(AND(配装计算器!$K$30&lt;&gt;"∞",0),INDEX(AU513:CB513,1,$AT$1),INDEX(AU515:CB515,1,$AT$1)),"*玉山*")=0),N514,0)</f>
        <v>0</v>
      </c>
      <c r="P514">
        <f ca="1">IFERROR(IF(COUNTIF(B514,"*云栖松*")&gt;0,50-加速!$L$11,MAX(0,P513-(A514-A513))),0)</f>
        <v>0</v>
      </c>
      <c r="Q514">
        <f ca="1">IF(COUNTIF(IF(AND(配装计算器!$K$30&lt;&gt;"∞",0),INDEX(AU513:CB513,1,$AT$1),INDEX(AU515:CB515,1,$AT$1)),"*云栖松*")=1,P514,0)</f>
        <v>0</v>
      </c>
      <c r="R514">
        <f ca="1">IFERROR(IF(COUNTIF(B514,"*莺鸣柳*")&gt;0,45-加速!$L$9,MAX(0,R513-(A514-A513))),0)</f>
        <v>0</v>
      </c>
      <c r="S514">
        <f ca="1">IF(COUNTIF(IF(AND(配装计算器!$K$30&lt;&gt;"∞",0),INDEX(AU513:CB513,1,$AT$1),INDEX(AU515:CB515,1,$AT$1)),"*莺鸣柳*")=1,R514,0)</f>
        <v>0</v>
      </c>
      <c r="T514">
        <f ca="1" t="shared" si="100"/>
        <v>0</v>
      </c>
      <c r="U514">
        <f ca="1">IF(金蛇,IF(COUNTIF(B514,"*金环戴*")+COUNTIF(B514,"*吹风醒*")&gt;0,IF(A514&lt;=3,7.125-2.625-A514-加速!$L$11,7.125+加速!$K$9-(A514+加速!$L$11-T514)),0),0)+IF(金蛇,IF(COUNTIF(B514,"*千切子裂光*")&gt;0,2+加速!$K$9-(A514+加速!$L$11-T514),0),0)</f>
        <v>0</v>
      </c>
      <c r="V514">
        <f ca="1" t="shared" si="101"/>
        <v>0</v>
      </c>
      <c r="W514">
        <f ca="1" t="shared" si="93"/>
        <v>0</v>
      </c>
      <c r="X514">
        <f ca="1">INDEX(加速!$I$13:$I$21,技能数计算!W514+1)</f>
        <v>0</v>
      </c>
      <c r="Y514">
        <f ca="1" t="shared" si="97"/>
        <v>0.5</v>
      </c>
      <c r="Z514">
        <f ca="1" t="shared" si="98"/>
        <v>0</v>
      </c>
      <c r="AA514">
        <f ca="1">MAX(0,IFERROR(IF(COUNTIF(B514,"*叠*")&gt;0,IF(AC513&lt;3,8-A515+A514,AA513+6.875-A515+A514),AA513-A515+A514),AA513-加速!$L$11))</f>
        <v>0</v>
      </c>
      <c r="AB514" t="e">
        <f ca="1">MAX(0,IF(COUNTIF(IF(AND(配装计算器!$K$30&lt;&gt;"∞",0),INDEX(AU514:CB514,1,$AT$1),INDEX(AU514:CB514,1,$AT$1)),"*叠1*")=1,4*25-加速!$L$11,AB513-A514+A513)-IF(OR(COUNTIF(OFFSET(AT514,0,$AT$1,1,1),"*听雷*")&gt;0,AND(碧归&gt;0,COUNTIF(OFFSET(AT514,0,$AT$1,1,1),"*风来*")&gt;0)),0,1)*1.5)</f>
        <v>#VALUE!</v>
      </c>
      <c r="AC514">
        <f ca="1" t="shared" si="94"/>
        <v>3</v>
      </c>
      <c r="AD514">
        <f ca="1">IF(COUNTIF(IF(AND(配装计算器!$K$30&lt;&gt;"∞",0),INDEX(AU514:CB514,1,$AT$1),INDEX(AU515:CB515,1,$AT$1)),"*叠1*")=1,AB514*0+AE513,0)</f>
        <v>0</v>
      </c>
      <c r="AE514" t="e">
        <f ca="1">IF($AN$11&gt;0,IF(COUNTIF(B515,"*叠1*")&gt;0,50-加速!$H$11,MAX(0,AE513-(A515-A514))),0)</f>
        <v>#VALUE!</v>
      </c>
      <c r="AU514" t="s">
        <v>2776</v>
      </c>
      <c r="AV514">
        <v>2</v>
      </c>
      <c r="AW514" t="s">
        <v>2776</v>
      </c>
      <c r="AX514">
        <v>2</v>
      </c>
      <c r="AY514" t="s">
        <v>3022</v>
      </c>
      <c r="AZ514">
        <v>2</v>
      </c>
      <c r="BA514" t="s">
        <v>2789</v>
      </c>
      <c r="BB514">
        <v>2</v>
      </c>
      <c r="BC514" t="s">
        <v>2768</v>
      </c>
      <c r="BD514">
        <v>2</v>
      </c>
      <c r="BE514" t="s">
        <v>2776</v>
      </c>
      <c r="BF514">
        <v>2</v>
      </c>
      <c r="BG514" s="176" t="s">
        <v>2789</v>
      </c>
      <c r="BH514">
        <v>2</v>
      </c>
      <c r="BI514" s="176" t="s">
        <v>2776</v>
      </c>
      <c r="BJ514">
        <v>2</v>
      </c>
      <c r="BK514" t="s">
        <v>2776</v>
      </c>
      <c r="BL514">
        <v>1</v>
      </c>
      <c r="BM514" s="176" t="str">
        <f>IF(秋,"云飞玉皇-蛇牙锥心","云飞玉皇-血毒金蛇锥")</f>
        <v>云飞玉皇-血毒金蛇锥</v>
      </c>
      <c r="BN514">
        <v>2</v>
      </c>
      <c r="BO514" s="176" t="s">
        <v>2794</v>
      </c>
      <c r="BP514">
        <v>2</v>
      </c>
      <c r="BQ514" t="s">
        <v>2768</v>
      </c>
      <c r="BR514">
        <v>2</v>
      </c>
      <c r="BS514" s="182" t="s">
        <v>3084</v>
      </c>
      <c r="BT514">
        <v>2</v>
      </c>
      <c r="BU514" t="s">
        <v>2768</v>
      </c>
      <c r="BV514">
        <v>2</v>
      </c>
      <c r="BW514" s="179" t="s">
        <v>2768</v>
      </c>
      <c r="BX514" s="179">
        <v>2</v>
      </c>
      <c r="BY514" t="str">
        <f>IF(秋,"夕照雷峰-蛇牙锥心","夕照雷峰")</f>
        <v>夕照雷峰</v>
      </c>
      <c r="BZ514">
        <v>2</v>
      </c>
      <c r="CA514" s="176" t="str">
        <f>IF(秋,"鹤归孤山-蛇牙锥心","鹤归孤山")</f>
        <v>鹤归孤山</v>
      </c>
      <c r="CB514">
        <v>2</v>
      </c>
    </row>
    <row r="515" spans="1:80">
      <c r="A515" s="178" t="str">
        <f ca="1">IFERROR(IF(A514+加速!$L$11&lt;$AS$1,IF(COUNTIF(B514,"*轻*")&gt;0,A514+加速!$L$9,A514+加速!$L$11)+V514,IF(COUNTIF(INDEX(AU515:CB515,1,$AT$1),"*云景*")+COUNTIF(INDEX(AU515:CB515,1,$AT$1),"*鹤归*")+COUNTIF(INDEX(AU515:CB515,1,$AT$1),"*听雷*")&gt;0,A514+加速!$L$11,"")),"")</f>
        <v/>
      </c>
      <c r="B515" s="167" t="str">
        <f ca="1">IF(A515&lt;&gt;"",IF(AND(A515+加速!$L$11&gt;$AS$1,IF(AND(配装计算器!$K$30&lt;&gt;"∞",0),"梦泉虎跑-轻",INDEX(AU515:CB515,1,$AT$1))="云栖松"),"夕照雷峰",IF(AND(配装计算器!$K$30&lt;&gt;"∞",0),"梦泉虎跑-轻",INDEX(AU515:CB515,1,$AT$1))),"")</f>
        <v/>
      </c>
      <c r="C515" t="str">
        <f ca="1" t="shared" si="99"/>
        <v/>
      </c>
      <c r="D515" t="str">
        <f ca="1">IF(B515&lt;&gt;"",IF(C514&lt;=加速!$L$11*(1-E515),0,1),"")</f>
        <v/>
      </c>
      <c r="E515">
        <f ca="1" t="shared" si="95"/>
        <v>1</v>
      </c>
      <c r="G515" t="str">
        <f ca="1" t="shared" si="96"/>
        <v/>
      </c>
      <c r="H515" t="str">
        <f ca="1">IF(B515&lt;&gt;"",IF(AND(COUNTIF(B514,"*轻*莺鸣柳*")&gt;0,COUNTIF(B515,"*轻*")&lt;1),MAX(0,15+I514-(A515-A514)+COUNTIF(B514,"*平湖*")*0),IF(AND(E515=0,MAX(0,H514-(A515-A514))&lt;=加速!$H$11),0,MAX(0,H514-(A515-A514)))),"")</f>
        <v/>
      </c>
      <c r="I515" t="str">
        <f ca="1" t="shared" si="102"/>
        <v/>
      </c>
      <c r="J515" t="str">
        <f ca="1" t="shared" si="103"/>
        <v/>
      </c>
      <c r="K515" t="str">
        <f ca="1">IF(A515&lt;&gt;"",IF(AND(配装计算器!$K$30&lt;&gt;"∞",0),2,INDEX(AU515:CB515,1,$AT$2)),"")</f>
        <v/>
      </c>
      <c r="L515">
        <f ca="1">IFERROR(IF(AND(COUNTIF(B515,"*-峰插*"),技能数据库!$M$72&gt;0),0,IF(COUNTIF(B515,"*鹤归*")&gt;0,16-加速!$L$11,MAX(0,L514-(A515-A514)))),0)</f>
        <v>0</v>
      </c>
      <c r="M515">
        <f ca="1">IF(COUNTIF(IF(AND(配装计算器!$K$30&lt;&gt;"∞",0),INDEX(AU514:CB514,1,$AT$1),INDEX(AU516:CB516,1,$AT$1)),"*鹤归*")=1,L515,0)</f>
        <v>0</v>
      </c>
      <c r="N515">
        <f ca="1">IFERROR(IF(AND(COUNTIF(B515,"*-峰插*"),技能数据库!$M$72&gt;0),0,IF(COUNTIF(B515,"*云飞*")&gt;0,4-COUNTIF(B515,"*玉山揽云*")*4--COUNTIF(B515,"*烟流暮景*")*4-COUNTIF(B515,"*云景*")*加速!$L$11-IF(J515&gt;0,2,0),MAX(0,N514-(A515-A514)-IF(J515&gt;0,2,0)))),0)</f>
        <v>0</v>
      </c>
      <c r="O515">
        <f ca="1">IF(AND(COUNTIF(IF(AND(配装计算器!$K$30&lt;&gt;"∞",0),INDEX(AU514:CB514,1,$AT$1),INDEX(AU516:CB516,1,$AT$1)),"*云飞*")=1,COUNTIF(IF(AND(配装计算器!$K$30&lt;&gt;"∞",0),INDEX(AU514:CB514,1,$AT$1),INDEX(AU516:CB516,1,$AT$1)),"*玉山*")=0),N515,0)</f>
        <v>0</v>
      </c>
      <c r="P515">
        <f ca="1">IFERROR(IF(COUNTIF(B515,"*云栖松*")&gt;0,50-加速!$L$11,MAX(0,P514-(A515-A514))),0)</f>
        <v>0</v>
      </c>
      <c r="Q515">
        <f ca="1">IF(COUNTIF(IF(AND(配装计算器!$K$30&lt;&gt;"∞",0),INDEX(AU514:CB514,1,$AT$1),INDEX(AU516:CB516,1,$AT$1)),"*云栖松*")=1,P515,0)</f>
        <v>0</v>
      </c>
      <c r="R515">
        <f ca="1">IFERROR(IF(COUNTIF(B515,"*莺鸣柳*")&gt;0,45-加速!$L$9,MAX(0,R514-(A515-A514))),0)</f>
        <v>0</v>
      </c>
      <c r="S515">
        <f ca="1">IF(COUNTIF(IF(AND(配装计算器!$K$30&lt;&gt;"∞",0),INDEX(AU514:CB514,1,$AT$1),INDEX(AU516:CB516,1,$AT$1)),"*莺鸣柳*")=1,R515,0)</f>
        <v>0</v>
      </c>
      <c r="T515">
        <f ca="1" t="shared" si="100"/>
        <v>0</v>
      </c>
      <c r="U515">
        <f ca="1">IF(金蛇,IF(COUNTIF(B515,"*金环戴*")+COUNTIF(B515,"*吹风醒*")&gt;0,IF(A515&lt;=3,7.125-2.625-A515-加速!$L$11,7.125+加速!$K$9-(A515+加速!$L$11-T515)),0),0)+IF(金蛇,IF(COUNTIF(B515,"*千切子裂光*")&gt;0,2+加速!$K$9-(A515+加速!$L$11-T515),0),0)</f>
        <v>0</v>
      </c>
      <c r="V515">
        <f ca="1" t="shared" si="101"/>
        <v>0</v>
      </c>
      <c r="W515">
        <f ca="1" t="shared" si="93"/>
        <v>0</v>
      </c>
      <c r="X515">
        <f ca="1">INDEX(加速!$I$13:$I$21,技能数计算!W515+1)</f>
        <v>0</v>
      </c>
      <c r="Y515">
        <f ca="1" t="shared" si="97"/>
        <v>0.5</v>
      </c>
      <c r="Z515">
        <f ca="1" t="shared" si="98"/>
        <v>0</v>
      </c>
      <c r="AA515">
        <f ca="1">MAX(0,IFERROR(IF(COUNTIF(B515,"*叠*")&gt;0,IF(AC514&lt;3,8-A516+A515,AA514+6.875-A516+A515),AA514-A516+A515),AA514-加速!$L$11))</f>
        <v>0</v>
      </c>
      <c r="AB515" t="e">
        <f ca="1">MAX(0,IF(COUNTIF(IF(AND(配装计算器!$K$30&lt;&gt;"∞",0),INDEX(AU515:CB515,1,$AT$1),INDEX(AU515:CB515,1,$AT$1)),"*叠1*")=1,4*25-加速!$L$11,AB514-A515+A514)-IF(OR(COUNTIF(OFFSET(AT515,0,$AT$1,1,1),"*听雷*")&gt;0,AND(碧归&gt;0,COUNTIF(OFFSET(AT515,0,$AT$1,1,1),"*风来*")&gt;0)),0,1)*1.5)</f>
        <v>#VALUE!</v>
      </c>
      <c r="AC515">
        <f ca="1" t="shared" si="94"/>
        <v>3</v>
      </c>
      <c r="AD515">
        <f ca="1">IF(COUNTIF(IF(AND(配装计算器!$K$30&lt;&gt;"∞",0),INDEX(AU515:CB515,1,$AT$1),INDEX(AU516:CB516,1,$AT$1)),"*叠1*")=1,AB515*0+AE514,0)</f>
        <v>0</v>
      </c>
      <c r="AE515" t="e">
        <f ca="1">IF($AN$11&gt;0,IF(COUNTIF(B516,"*叠1*")&gt;0,50-加速!$H$11,MAX(0,AE514-(A516-A515))),0)</f>
        <v>#VALUE!</v>
      </c>
      <c r="AU515" s="176" t="s">
        <v>2794</v>
      </c>
      <c r="AV515">
        <v>2</v>
      </c>
      <c r="AW515" t="s">
        <v>2768</v>
      </c>
      <c r="AX515">
        <v>2</v>
      </c>
      <c r="AY515" t="s">
        <v>2776</v>
      </c>
      <c r="AZ515">
        <v>2</v>
      </c>
      <c r="BA515" t="s">
        <v>2776</v>
      </c>
      <c r="BB515">
        <v>2</v>
      </c>
      <c r="BC515" t="s">
        <v>2776</v>
      </c>
      <c r="BD515">
        <v>1</v>
      </c>
      <c r="BE515" t="s">
        <v>2768</v>
      </c>
      <c r="BF515">
        <v>2</v>
      </c>
      <c r="BG515" s="176" t="s">
        <v>2776</v>
      </c>
      <c r="BH515">
        <v>2</v>
      </c>
      <c r="BI515" t="s">
        <v>2768</v>
      </c>
      <c r="BJ515">
        <v>2</v>
      </c>
      <c r="BK515" t="s">
        <v>2768</v>
      </c>
      <c r="BL515">
        <v>0</v>
      </c>
      <c r="BM515" t="s">
        <v>2768</v>
      </c>
      <c r="BN515">
        <v>2</v>
      </c>
      <c r="BO515" s="176" t="s">
        <v>2768</v>
      </c>
      <c r="BP515">
        <v>2</v>
      </c>
      <c r="BQ515" t="s">
        <v>2768</v>
      </c>
      <c r="BR515">
        <v>1</v>
      </c>
      <c r="BS515" s="176" t="s">
        <v>2768</v>
      </c>
      <c r="BT515">
        <v>2</v>
      </c>
      <c r="BU515" s="176" t="s">
        <v>2794</v>
      </c>
      <c r="BV515">
        <v>1</v>
      </c>
      <c r="BW515" s="179" t="s">
        <v>2768</v>
      </c>
      <c r="BX515" s="179">
        <v>2</v>
      </c>
      <c r="BY515" s="176" t="str">
        <f>IF(秋,"云飞玉皇","云飞玉皇-血毒金蛇锥")</f>
        <v>云飞玉皇-血毒金蛇锥</v>
      </c>
      <c r="BZ515">
        <v>2</v>
      </c>
      <c r="CA515" s="176" t="str">
        <f>IF(秋,"云飞玉皇","云飞玉皇-血毒金蛇锥")</f>
        <v>云飞玉皇-血毒金蛇锥</v>
      </c>
      <c r="CB515">
        <v>2</v>
      </c>
    </row>
    <row r="516" spans="1:80">
      <c r="AU516" s="176" t="s">
        <v>2768</v>
      </c>
      <c r="AV516">
        <v>2</v>
      </c>
      <c r="AW516" t="str">
        <f>IF(山重水复,"风来吴山","夕照雷峰")</f>
        <v>夕照雷峰</v>
      </c>
      <c r="AX516">
        <v>2</v>
      </c>
      <c r="AY516" t="s">
        <v>2768</v>
      </c>
      <c r="AZ516">
        <v>2</v>
      </c>
      <c r="BA516" t="s">
        <v>3035</v>
      </c>
      <c r="BB516">
        <v>2</v>
      </c>
      <c r="BC516" t="s">
        <v>2768</v>
      </c>
      <c r="BD516">
        <v>1</v>
      </c>
      <c r="BE516" t="s">
        <v>2776</v>
      </c>
      <c r="BF516">
        <v>2</v>
      </c>
      <c r="BG516" s="176" t="s">
        <v>3035</v>
      </c>
      <c r="BH516">
        <v>2</v>
      </c>
      <c r="BI516" t="s">
        <v>2768</v>
      </c>
      <c r="BJ516">
        <v>1</v>
      </c>
      <c r="BK516" t="s">
        <v>3056</v>
      </c>
      <c r="BL516">
        <v>0</v>
      </c>
      <c r="BM516" t="str">
        <f>IF(山重水复,"风来吴山","夕照雷峰")</f>
        <v>夕照雷峰</v>
      </c>
      <c r="BN516">
        <v>2</v>
      </c>
      <c r="BO516" s="176" t="s">
        <v>2776</v>
      </c>
      <c r="BP516">
        <v>2</v>
      </c>
      <c r="BQ516" t="s">
        <v>2776</v>
      </c>
      <c r="BR516">
        <v>1</v>
      </c>
      <c r="BS516" s="176" t="s">
        <v>2768</v>
      </c>
      <c r="BT516">
        <v>2</v>
      </c>
      <c r="BU516" t="s">
        <v>2776</v>
      </c>
      <c r="BV516">
        <v>1</v>
      </c>
      <c r="BW516" s="179" t="s">
        <v>3021</v>
      </c>
      <c r="BX516" s="179">
        <v>2</v>
      </c>
      <c r="BY516" t="s">
        <v>2768</v>
      </c>
      <c r="BZ516">
        <v>2</v>
      </c>
      <c r="CA516" s="176" t="s">
        <v>2768</v>
      </c>
      <c r="CB516">
        <v>2</v>
      </c>
    </row>
    <row r="517" spans="1:80">
      <c r="AU517" s="176" t="s">
        <v>2776</v>
      </c>
      <c r="AV517">
        <v>2</v>
      </c>
      <c r="AW517" s="176" t="s">
        <v>2794</v>
      </c>
      <c r="AX517">
        <v>2</v>
      </c>
      <c r="AY517" t="s">
        <v>2789</v>
      </c>
      <c r="AZ517">
        <v>2</v>
      </c>
      <c r="BA517" t="s">
        <v>2768</v>
      </c>
      <c r="BB517">
        <v>2</v>
      </c>
      <c r="BC517" t="s">
        <v>2794</v>
      </c>
      <c r="BD517">
        <v>2</v>
      </c>
      <c r="BE517" t="s">
        <v>2768</v>
      </c>
      <c r="BF517">
        <v>1</v>
      </c>
      <c r="BG517" t="s">
        <v>2768</v>
      </c>
      <c r="BH517">
        <v>2</v>
      </c>
      <c r="BI517" s="176" t="s">
        <v>2768</v>
      </c>
      <c r="BJ517">
        <v>1</v>
      </c>
      <c r="BK517" t="s">
        <v>2768</v>
      </c>
      <c r="BL517">
        <v>2</v>
      </c>
      <c r="BM517" s="176" t="s">
        <v>2794</v>
      </c>
      <c r="BN517">
        <v>2</v>
      </c>
      <c r="BO517" s="176" t="s">
        <v>2768</v>
      </c>
      <c r="BP517">
        <v>2</v>
      </c>
      <c r="BQ517" t="s">
        <v>2768</v>
      </c>
      <c r="BR517">
        <v>1</v>
      </c>
      <c r="BS517" s="176" t="s">
        <v>2768</v>
      </c>
      <c r="BT517">
        <v>2</v>
      </c>
      <c r="BU517" t="s">
        <v>2768</v>
      </c>
      <c r="BV517">
        <v>1</v>
      </c>
      <c r="BW517" s="179" t="s">
        <v>2722</v>
      </c>
      <c r="BX517" s="179">
        <v>2</v>
      </c>
      <c r="BY517" t="str">
        <f>IF(山重水复,"风来吴山","夕照雷峰")</f>
        <v>夕照雷峰</v>
      </c>
      <c r="BZ517">
        <v>2</v>
      </c>
      <c r="CA517" s="176" t="s">
        <v>2776</v>
      </c>
      <c r="CB517">
        <v>2</v>
      </c>
    </row>
    <row r="518" spans="1:80">
      <c r="AU518" s="176" t="s">
        <v>2768</v>
      </c>
      <c r="AV518">
        <v>2</v>
      </c>
      <c r="AW518" s="176" t="s">
        <v>2776</v>
      </c>
      <c r="AX518">
        <v>2</v>
      </c>
      <c r="AY518" t="s">
        <v>2776</v>
      </c>
      <c r="AZ518">
        <v>2</v>
      </c>
      <c r="BA518" t="s">
        <v>2776</v>
      </c>
      <c r="BB518">
        <v>2</v>
      </c>
      <c r="BC518" t="s">
        <v>2768</v>
      </c>
      <c r="BD518">
        <v>2</v>
      </c>
      <c r="BE518" t="s">
        <v>2768</v>
      </c>
      <c r="BF518">
        <v>1</v>
      </c>
      <c r="BG518" t="s">
        <v>2776</v>
      </c>
      <c r="BH518">
        <v>2</v>
      </c>
      <c r="BI518" s="176" t="s">
        <v>2776</v>
      </c>
      <c r="BJ518">
        <v>0</v>
      </c>
      <c r="BK518" t="s">
        <v>2768</v>
      </c>
      <c r="BL518">
        <v>2</v>
      </c>
      <c r="BM518" s="176" t="s">
        <v>2776</v>
      </c>
      <c r="BN518">
        <v>2</v>
      </c>
      <c r="BO518" s="176" t="s">
        <v>2776</v>
      </c>
      <c r="BP518">
        <v>2</v>
      </c>
      <c r="BQ518" t="s">
        <v>2768</v>
      </c>
      <c r="BR518">
        <v>0</v>
      </c>
      <c r="BS518" s="176" t="s">
        <v>2776</v>
      </c>
      <c r="BT518">
        <v>2</v>
      </c>
      <c r="BU518" t="s">
        <v>3011</v>
      </c>
      <c r="BV518">
        <v>2</v>
      </c>
      <c r="BW518" s="179" t="s">
        <v>3028</v>
      </c>
      <c r="BX518" s="179">
        <v>2</v>
      </c>
      <c r="BY518" s="176" t="s">
        <v>2794</v>
      </c>
      <c r="BZ518">
        <v>2</v>
      </c>
      <c r="CA518" s="176" t="s">
        <v>2768</v>
      </c>
      <c r="CB518">
        <v>2</v>
      </c>
    </row>
    <row r="519" spans="1:80">
      <c r="AU519" s="176" t="s">
        <v>2776</v>
      </c>
      <c r="AV519">
        <v>2</v>
      </c>
      <c r="AW519" s="176" t="s">
        <v>2768</v>
      </c>
      <c r="AX519">
        <v>2</v>
      </c>
      <c r="AY519" t="s">
        <v>3035</v>
      </c>
      <c r="AZ519">
        <v>2</v>
      </c>
      <c r="BA519" t="s">
        <v>2768</v>
      </c>
      <c r="BB519">
        <v>2</v>
      </c>
      <c r="BC519" t="s">
        <v>2776</v>
      </c>
      <c r="BD519">
        <v>2</v>
      </c>
      <c r="BE519" t="s">
        <v>3042</v>
      </c>
      <c r="BF519">
        <v>0</v>
      </c>
      <c r="BG519" t="s">
        <v>2768</v>
      </c>
      <c r="BH519">
        <v>2</v>
      </c>
      <c r="BI519" t="s">
        <v>2794</v>
      </c>
      <c r="BJ519">
        <v>0</v>
      </c>
      <c r="BK519" t="s">
        <v>2776</v>
      </c>
      <c r="BL519">
        <v>2</v>
      </c>
      <c r="BM519" s="176" t="s">
        <v>2768</v>
      </c>
      <c r="BN519">
        <v>2</v>
      </c>
      <c r="BO519" s="176" t="s">
        <v>2768</v>
      </c>
      <c r="BP519">
        <v>2</v>
      </c>
      <c r="BQ519" t="s">
        <v>3010</v>
      </c>
      <c r="BR519">
        <v>2</v>
      </c>
      <c r="BS519" s="176" t="s">
        <v>2768</v>
      </c>
      <c r="BT519">
        <v>2</v>
      </c>
      <c r="BU519" t="s">
        <v>2768</v>
      </c>
      <c r="BV519">
        <v>2</v>
      </c>
      <c r="BW519" s="179" t="s">
        <v>2768</v>
      </c>
      <c r="BX519" s="179">
        <v>2</v>
      </c>
      <c r="BY519" s="176" t="s">
        <v>2776</v>
      </c>
      <c r="BZ519">
        <v>2</v>
      </c>
      <c r="CA519" s="176" t="s">
        <v>2808</v>
      </c>
      <c r="CB519">
        <v>2</v>
      </c>
    </row>
    <row r="520" spans="1:80">
      <c r="AU520" s="176" t="s">
        <v>2768</v>
      </c>
      <c r="AV520">
        <v>1</v>
      </c>
      <c r="AW520" s="176" t="s">
        <v>2776</v>
      </c>
      <c r="AX520">
        <v>2</v>
      </c>
      <c r="AY520" t="s">
        <v>2768</v>
      </c>
      <c r="AZ520">
        <v>2</v>
      </c>
      <c r="BA520" t="s">
        <v>2776</v>
      </c>
      <c r="BB520">
        <v>2</v>
      </c>
      <c r="BC520" t="s">
        <v>2768</v>
      </c>
      <c r="BD520">
        <v>2</v>
      </c>
      <c r="BE520" t="s">
        <v>2776</v>
      </c>
      <c r="BF520">
        <v>0</v>
      </c>
      <c r="BG520" t="s">
        <v>2776</v>
      </c>
      <c r="BH520">
        <v>2</v>
      </c>
      <c r="BI520" t="s">
        <v>2768</v>
      </c>
      <c r="BJ520">
        <v>2</v>
      </c>
      <c r="BK520" t="s">
        <v>2768</v>
      </c>
      <c r="BL520">
        <v>1</v>
      </c>
      <c r="BM520" s="176" t="s">
        <v>2776</v>
      </c>
      <c r="BN520">
        <v>2</v>
      </c>
      <c r="BO520" t="s">
        <v>3056</v>
      </c>
      <c r="BP520">
        <v>1</v>
      </c>
      <c r="BQ520" t="s">
        <v>3013</v>
      </c>
      <c r="BR520">
        <v>2</v>
      </c>
      <c r="BS520" s="176" t="s">
        <v>2794</v>
      </c>
      <c r="BT520">
        <v>2</v>
      </c>
      <c r="BU520" t="s">
        <v>3018</v>
      </c>
      <c r="BV520">
        <v>2</v>
      </c>
      <c r="BW520" s="179" t="str">
        <f>IF(山重水复,"风来吴山","夕照雷峰")</f>
        <v>夕照雷峰</v>
      </c>
      <c r="BX520" s="179">
        <v>2</v>
      </c>
      <c r="BY520" s="176" t="s">
        <v>2768</v>
      </c>
      <c r="BZ520">
        <v>2</v>
      </c>
      <c r="CA520" t="str">
        <f>IF(山重水复,"风来吴山","夕照雷峰")</f>
        <v>夕照雷峰</v>
      </c>
      <c r="CB520">
        <v>2</v>
      </c>
    </row>
    <row r="521" spans="1:80">
      <c r="AU521" t="s">
        <v>2776</v>
      </c>
      <c r="AV521">
        <v>1</v>
      </c>
      <c r="AW521" s="176" t="s">
        <v>2768</v>
      </c>
      <c r="AX521">
        <v>2</v>
      </c>
      <c r="AY521" t="s">
        <v>2776</v>
      </c>
      <c r="AZ521">
        <v>2</v>
      </c>
      <c r="BA521" t="s">
        <v>3042</v>
      </c>
      <c r="BB521">
        <v>2</v>
      </c>
      <c r="BC521" t="s">
        <v>2776</v>
      </c>
      <c r="BD521">
        <v>2</v>
      </c>
      <c r="BE521" t="s">
        <v>2768</v>
      </c>
      <c r="BF521">
        <v>1</v>
      </c>
      <c r="BG521" t="s">
        <v>2768</v>
      </c>
      <c r="BH521">
        <v>2</v>
      </c>
      <c r="BI521" t="s">
        <v>2776</v>
      </c>
      <c r="BJ521">
        <v>2</v>
      </c>
      <c r="BK521" t="s">
        <v>2768</v>
      </c>
      <c r="BL521">
        <v>1</v>
      </c>
      <c r="BM521" s="176" t="s">
        <v>2768</v>
      </c>
      <c r="BN521">
        <v>2</v>
      </c>
      <c r="BO521" t="s">
        <v>2768</v>
      </c>
      <c r="BP521">
        <v>2</v>
      </c>
      <c r="BQ521" t="s">
        <v>3018</v>
      </c>
      <c r="BR521">
        <v>2</v>
      </c>
      <c r="BS521" t="s">
        <v>2768</v>
      </c>
      <c r="BT521">
        <v>2</v>
      </c>
      <c r="BU521" t="s">
        <v>2768</v>
      </c>
      <c r="BV521">
        <v>2</v>
      </c>
      <c r="BW521" s="182" t="s">
        <v>2794</v>
      </c>
      <c r="BX521" s="179">
        <v>2</v>
      </c>
      <c r="BY521" s="176" t="s">
        <v>2776</v>
      </c>
      <c r="BZ521">
        <v>2</v>
      </c>
      <c r="CA521" t="str">
        <f>IF(0,"云飞玉皇-玉山揽云","云飞玉皇")</f>
        <v>云飞玉皇</v>
      </c>
      <c r="CB521">
        <v>2</v>
      </c>
    </row>
    <row r="522" spans="1:80">
      <c r="AU522" t="s">
        <v>2768</v>
      </c>
      <c r="AV522">
        <v>1</v>
      </c>
      <c r="AW522" s="176" t="s">
        <v>2808</v>
      </c>
      <c r="AX522">
        <v>2</v>
      </c>
      <c r="AY522" t="s">
        <v>2768</v>
      </c>
      <c r="AZ522">
        <v>2</v>
      </c>
      <c r="BA522" t="s">
        <v>2808</v>
      </c>
      <c r="BB522">
        <v>2</v>
      </c>
      <c r="BC522" t="s">
        <v>2768</v>
      </c>
      <c r="BD522">
        <v>2</v>
      </c>
      <c r="BE522" t="s">
        <v>2768</v>
      </c>
      <c r="BF522">
        <v>1</v>
      </c>
      <c r="BG522" t="s">
        <v>2808</v>
      </c>
      <c r="BH522">
        <v>2</v>
      </c>
      <c r="BI522" t="s">
        <v>2768</v>
      </c>
      <c r="BJ522">
        <v>2</v>
      </c>
      <c r="BK522" t="s">
        <v>2794</v>
      </c>
      <c r="BL522">
        <v>0</v>
      </c>
      <c r="BM522" s="176" t="s">
        <v>2808</v>
      </c>
      <c r="BN522">
        <v>2</v>
      </c>
      <c r="BO522" t="s">
        <v>2768</v>
      </c>
      <c r="BP522">
        <v>2</v>
      </c>
      <c r="BQ522" t="s">
        <v>2768</v>
      </c>
      <c r="BR522">
        <v>2</v>
      </c>
      <c r="BS522" t="s">
        <v>2776</v>
      </c>
      <c r="BT522">
        <v>2</v>
      </c>
      <c r="BU522" s="182" t="s">
        <v>3023</v>
      </c>
      <c r="BV522">
        <v>2</v>
      </c>
      <c r="BW522" s="182" t="s">
        <v>2776</v>
      </c>
      <c r="BX522" s="179">
        <v>2</v>
      </c>
      <c r="BY522" s="176" t="s">
        <v>2768</v>
      </c>
      <c r="BZ522">
        <v>2</v>
      </c>
      <c r="CA522" s="180" t="str">
        <f>IF(0,"云飞玉皇-玉山揽云","夕照雷峰")</f>
        <v>夕照雷峰</v>
      </c>
      <c r="CB522">
        <v>2</v>
      </c>
    </row>
    <row r="523" spans="1:80">
      <c r="AU523" t="s">
        <v>2768</v>
      </c>
      <c r="AV523">
        <v>1</v>
      </c>
      <c r="AW523" t="s">
        <v>2768</v>
      </c>
      <c r="AX523">
        <v>2</v>
      </c>
      <c r="AY523" t="s">
        <v>2776</v>
      </c>
      <c r="AZ523">
        <v>2</v>
      </c>
      <c r="BA523" t="s">
        <v>2768</v>
      </c>
      <c r="BB523">
        <v>2</v>
      </c>
      <c r="BC523" t="s">
        <v>2776</v>
      </c>
      <c r="BD523">
        <v>2</v>
      </c>
      <c r="BE523" t="s">
        <v>2768</v>
      </c>
      <c r="BF523">
        <v>1</v>
      </c>
      <c r="BG523" t="s">
        <v>2768</v>
      </c>
      <c r="BH523">
        <v>2</v>
      </c>
      <c r="BI523" t="s">
        <v>2776</v>
      </c>
      <c r="BJ523">
        <v>1</v>
      </c>
      <c r="BK523" t="s">
        <v>2776</v>
      </c>
      <c r="BL523">
        <v>0</v>
      </c>
      <c r="BM523" t="str">
        <f>IF(0,"云飞玉皇-玉山揽云","夕照雷峰")</f>
        <v>夕照雷峰</v>
      </c>
      <c r="BN523">
        <v>2</v>
      </c>
      <c r="BO523" t="s">
        <v>2768</v>
      </c>
      <c r="BP523">
        <v>2</v>
      </c>
      <c r="BQ523" t="s">
        <v>3023</v>
      </c>
      <c r="BR523">
        <v>2</v>
      </c>
      <c r="BS523" t="s">
        <v>2768</v>
      </c>
      <c r="BT523">
        <v>2</v>
      </c>
      <c r="BU523" s="176" t="s">
        <v>2768</v>
      </c>
      <c r="BV523">
        <v>2</v>
      </c>
      <c r="BW523" s="182" t="s">
        <v>2768</v>
      </c>
      <c r="BX523" s="179">
        <v>1</v>
      </c>
      <c r="BY523" s="176" t="s">
        <v>2808</v>
      </c>
      <c r="BZ523">
        <v>2</v>
      </c>
      <c r="CA523" s="176" t="str">
        <f>IF(秋,"夕照雷峰","千切子寒光")</f>
        <v>千切子寒光</v>
      </c>
      <c r="CB523">
        <v>2</v>
      </c>
    </row>
    <row r="524" spans="1:80">
      <c r="AU524" t="s">
        <v>3063</v>
      </c>
      <c r="AV524">
        <v>2</v>
      </c>
      <c r="AW524" t="s">
        <v>2776</v>
      </c>
      <c r="AX524">
        <v>2</v>
      </c>
      <c r="AY524" t="s">
        <v>3042</v>
      </c>
      <c r="AZ524">
        <v>2</v>
      </c>
      <c r="BA524" t="s">
        <v>2768</v>
      </c>
      <c r="BB524">
        <v>2</v>
      </c>
      <c r="BC524" t="s">
        <v>2768</v>
      </c>
      <c r="BD524">
        <v>1</v>
      </c>
      <c r="BE524" t="s">
        <v>2768</v>
      </c>
      <c r="BF524">
        <v>0</v>
      </c>
      <c r="BG524" s="176" t="s">
        <v>2768</v>
      </c>
      <c r="BH524">
        <v>2</v>
      </c>
      <c r="BI524" t="s">
        <v>2768</v>
      </c>
      <c r="BJ524">
        <v>1</v>
      </c>
      <c r="BK524" t="s">
        <v>2768</v>
      </c>
      <c r="BL524">
        <v>0</v>
      </c>
      <c r="BM524" t="str">
        <f>IF(0,"云飞玉皇-玉山揽云","云飞玉皇")</f>
        <v>云飞玉皇</v>
      </c>
      <c r="BN524">
        <v>2</v>
      </c>
      <c r="BO524" t="s">
        <v>2776</v>
      </c>
      <c r="BP524">
        <v>2</v>
      </c>
      <c r="BQ524" t="s">
        <v>2768</v>
      </c>
      <c r="BR524">
        <v>2</v>
      </c>
      <c r="BS524" t="s">
        <v>2776</v>
      </c>
      <c r="BT524">
        <v>1</v>
      </c>
      <c r="BU524" s="176" t="s">
        <v>2768</v>
      </c>
      <c r="BV524">
        <v>2</v>
      </c>
      <c r="BW524" s="182" t="s">
        <v>2776</v>
      </c>
      <c r="BX524" s="179">
        <v>1</v>
      </c>
      <c r="BY524" t="str">
        <f>IF(0,"云飞玉皇-玉山揽云","夕照雷峰")</f>
        <v>夕照雷峰</v>
      </c>
      <c r="BZ524">
        <v>2</v>
      </c>
      <c r="CA524" s="176" t="str">
        <f>IF(秋,"夕照雷峰","千切子裂光")</f>
        <v>千切子裂光</v>
      </c>
      <c r="CB524">
        <v>2</v>
      </c>
    </row>
    <row r="525" spans="1:80">
      <c r="AU525" t="s">
        <v>2776</v>
      </c>
      <c r="AV525">
        <v>1</v>
      </c>
      <c r="AW525" t="s">
        <v>2768</v>
      </c>
      <c r="AX525">
        <v>2</v>
      </c>
      <c r="AY525" t="s">
        <v>2808</v>
      </c>
      <c r="AZ525">
        <v>2</v>
      </c>
      <c r="BA525" t="s">
        <v>2776</v>
      </c>
      <c r="BB525">
        <v>2</v>
      </c>
      <c r="BC525" t="s">
        <v>2768</v>
      </c>
      <c r="BD525">
        <v>1</v>
      </c>
      <c r="BE525" t="s">
        <v>2776</v>
      </c>
      <c r="BF525">
        <v>0</v>
      </c>
      <c r="BG525" s="176" t="s">
        <v>2776</v>
      </c>
      <c r="BH525">
        <v>2</v>
      </c>
      <c r="BI525" t="s">
        <v>2776</v>
      </c>
      <c r="BJ525">
        <v>0</v>
      </c>
      <c r="BK525" t="s">
        <v>3068</v>
      </c>
      <c r="BL525">
        <v>2</v>
      </c>
      <c r="BM525" s="176" t="str">
        <f>IF(秋,"夕照雷峰","千切子寒光")</f>
        <v>千切子寒光</v>
      </c>
      <c r="BN525">
        <v>2</v>
      </c>
      <c r="BO525" t="s">
        <v>2768</v>
      </c>
      <c r="BP525">
        <v>2</v>
      </c>
      <c r="BQ525" t="s">
        <v>2776</v>
      </c>
      <c r="BR525">
        <v>2</v>
      </c>
      <c r="BS525" t="s">
        <v>2768</v>
      </c>
      <c r="BT525">
        <v>1</v>
      </c>
      <c r="BU525" s="176" t="s">
        <v>2789</v>
      </c>
      <c r="BV525">
        <v>2</v>
      </c>
      <c r="BW525" s="182" t="s">
        <v>2768</v>
      </c>
      <c r="BX525" s="179">
        <v>1</v>
      </c>
      <c r="BY525" t="str">
        <f>IF(0,"云飞玉皇-玉山揽云","云飞玉皇")</f>
        <v>云飞玉皇</v>
      </c>
      <c r="BZ525">
        <v>2</v>
      </c>
      <c r="CA525" t="s">
        <v>2776</v>
      </c>
      <c r="CB525">
        <v>2</v>
      </c>
    </row>
    <row r="526" spans="1:80">
      <c r="AU526" t="s">
        <v>2768</v>
      </c>
      <c r="AV526">
        <v>2</v>
      </c>
      <c r="AW526" t="s">
        <v>2768</v>
      </c>
      <c r="AX526">
        <v>2</v>
      </c>
      <c r="AY526" t="s">
        <v>2768</v>
      </c>
      <c r="AZ526">
        <v>2</v>
      </c>
      <c r="BA526" t="s">
        <v>2794</v>
      </c>
      <c r="BB526">
        <v>2</v>
      </c>
      <c r="BC526" t="s">
        <v>2813</v>
      </c>
      <c r="BD526">
        <v>0</v>
      </c>
      <c r="BE526" t="s">
        <v>2768</v>
      </c>
      <c r="BF526">
        <v>0</v>
      </c>
      <c r="BG526" t="s">
        <v>2768</v>
      </c>
      <c r="BH526">
        <v>1</v>
      </c>
      <c r="BI526" t="s">
        <v>2768</v>
      </c>
      <c r="BJ526">
        <v>0</v>
      </c>
      <c r="BK526" t="s">
        <v>2768</v>
      </c>
      <c r="BL526">
        <v>2</v>
      </c>
      <c r="BM526" s="176" t="str">
        <f>IF(秋,"夕照雷峰","千切子裂光")</f>
        <v>千切子裂光</v>
      </c>
      <c r="BN526">
        <v>2</v>
      </c>
      <c r="BO526" t="s">
        <v>2768</v>
      </c>
      <c r="BP526">
        <v>2</v>
      </c>
      <c r="BQ526" t="s">
        <v>2789</v>
      </c>
      <c r="BR526">
        <v>2</v>
      </c>
      <c r="BS526" t="s">
        <v>3056</v>
      </c>
      <c r="BT526">
        <v>0</v>
      </c>
      <c r="BU526" s="176" t="s">
        <v>2776</v>
      </c>
      <c r="BV526">
        <v>2</v>
      </c>
      <c r="BW526" s="182" t="s">
        <v>2776</v>
      </c>
      <c r="BX526" s="179">
        <v>1</v>
      </c>
      <c r="BY526" s="176" t="str">
        <f>IF(秋,"夕照雷峰","千切子寒光")</f>
        <v>千切子寒光</v>
      </c>
      <c r="BZ526">
        <v>2</v>
      </c>
      <c r="CA526" s="176" t="s">
        <v>2794</v>
      </c>
      <c r="CB526">
        <v>2</v>
      </c>
    </row>
    <row r="527" spans="1:80">
      <c r="AU527" t="s">
        <v>2768</v>
      </c>
      <c r="AV527">
        <v>2</v>
      </c>
      <c r="AW527" t="s">
        <v>2768</v>
      </c>
      <c r="AX527">
        <v>2</v>
      </c>
      <c r="AY527" t="s">
        <v>2768</v>
      </c>
      <c r="AZ527">
        <v>2</v>
      </c>
      <c r="BA527" t="s">
        <v>2768</v>
      </c>
      <c r="BB527">
        <v>2</v>
      </c>
      <c r="BC527" t="s">
        <v>2776</v>
      </c>
      <c r="BD527">
        <v>2</v>
      </c>
      <c r="BE527" t="s">
        <v>3067</v>
      </c>
      <c r="BF527">
        <v>2</v>
      </c>
      <c r="BG527" s="176" t="s">
        <v>2768</v>
      </c>
      <c r="BH527">
        <v>1</v>
      </c>
      <c r="BI527" t="s">
        <v>2768</v>
      </c>
      <c r="BJ527">
        <v>0</v>
      </c>
      <c r="BK527" t="s">
        <v>2776</v>
      </c>
      <c r="BL527">
        <v>2</v>
      </c>
      <c r="BM527" t="str">
        <f>IF(0,"云飞玉皇-玉山揽云","夕照雷峰")</f>
        <v>夕照雷峰</v>
      </c>
      <c r="BN527">
        <v>2</v>
      </c>
      <c r="BO527" t="s">
        <v>2768</v>
      </c>
      <c r="BP527">
        <v>2</v>
      </c>
      <c r="BQ527" t="s">
        <v>2768</v>
      </c>
      <c r="BR527">
        <v>2</v>
      </c>
      <c r="BS527" t="s">
        <v>2768</v>
      </c>
      <c r="BT527">
        <v>2</v>
      </c>
      <c r="BU527" s="176" t="s">
        <v>3035</v>
      </c>
      <c r="BV527">
        <v>2</v>
      </c>
      <c r="BW527" s="179" t="s">
        <v>2718</v>
      </c>
      <c r="BX527" s="179">
        <v>1</v>
      </c>
      <c r="BY527" s="176" t="str">
        <f>IF(秋,"夕照雷峰","千切子裂光")</f>
        <v>千切子裂光</v>
      </c>
      <c r="BZ527">
        <v>2</v>
      </c>
      <c r="CA527" s="176" t="s">
        <v>2768</v>
      </c>
      <c r="CB527">
        <v>2</v>
      </c>
    </row>
    <row r="528" spans="1:80">
      <c r="AU528" s="176" t="s">
        <v>2794</v>
      </c>
      <c r="AV528">
        <v>2</v>
      </c>
      <c r="AW528" t="s">
        <v>2776</v>
      </c>
      <c r="AX528">
        <v>2</v>
      </c>
      <c r="AY528" t="s">
        <v>2776</v>
      </c>
      <c r="AZ528">
        <v>2</v>
      </c>
      <c r="BA528" t="s">
        <v>2776</v>
      </c>
      <c r="BB528">
        <v>2</v>
      </c>
      <c r="BC528" t="s">
        <v>2768</v>
      </c>
      <c r="BD528">
        <v>2</v>
      </c>
      <c r="BE528" t="s">
        <v>2768</v>
      </c>
      <c r="BF528">
        <v>2</v>
      </c>
      <c r="BG528" t="s">
        <v>3055</v>
      </c>
      <c r="BH528">
        <v>0</v>
      </c>
      <c r="BI528" t="s">
        <v>2722</v>
      </c>
      <c r="BJ528">
        <v>0</v>
      </c>
      <c r="BK528" t="s">
        <v>2768</v>
      </c>
      <c r="BL528">
        <v>2</v>
      </c>
      <c r="BM528" s="176" t="str">
        <f>IF(秋,"云飞玉皇","夕照雷峰")</f>
        <v>夕照雷峰</v>
      </c>
      <c r="BN528">
        <v>2</v>
      </c>
      <c r="BO528" t="s">
        <v>2776</v>
      </c>
      <c r="BP528">
        <v>2</v>
      </c>
      <c r="BQ528" t="s">
        <v>3035</v>
      </c>
      <c r="BR528">
        <v>2</v>
      </c>
      <c r="BS528" t="s">
        <v>2768</v>
      </c>
      <c r="BT528">
        <v>2</v>
      </c>
      <c r="BU528" t="s">
        <v>2768</v>
      </c>
      <c r="BV528">
        <v>2</v>
      </c>
      <c r="BW528" s="179" t="s">
        <v>2718</v>
      </c>
      <c r="BX528" s="179">
        <v>1</v>
      </c>
      <c r="BY528" t="str">
        <f>IF(0,"云飞玉皇-玉山揽云","夕照雷峰")</f>
        <v>夕照雷峰</v>
      </c>
      <c r="BZ528">
        <v>2</v>
      </c>
      <c r="CA528" s="176" t="s">
        <v>2776</v>
      </c>
      <c r="CB528">
        <v>2</v>
      </c>
    </row>
    <row r="529" spans="47:80">
      <c r="AU529" s="176" t="s">
        <v>2776</v>
      </c>
      <c r="AV529">
        <v>2</v>
      </c>
      <c r="AW529" t="s">
        <v>2768</v>
      </c>
      <c r="AX529">
        <v>2</v>
      </c>
      <c r="AY529" t="s">
        <v>2794</v>
      </c>
      <c r="AZ529">
        <v>2</v>
      </c>
      <c r="BA529" t="s">
        <v>2768</v>
      </c>
      <c r="BB529">
        <v>2</v>
      </c>
      <c r="BC529" t="s">
        <v>2768</v>
      </c>
      <c r="BD529">
        <v>2</v>
      </c>
      <c r="BE529" t="s">
        <v>2776</v>
      </c>
      <c r="BF529">
        <v>2</v>
      </c>
      <c r="BG529" t="s">
        <v>2776</v>
      </c>
      <c r="BH529">
        <v>2</v>
      </c>
      <c r="BI529" t="s">
        <v>2776</v>
      </c>
      <c r="BJ529">
        <v>2</v>
      </c>
      <c r="BK529" t="s">
        <v>2768</v>
      </c>
      <c r="BL529">
        <v>2</v>
      </c>
      <c r="BM529" s="176" t="str">
        <f>IF(秋,"夕照雷峰","云飞玉皇")</f>
        <v>云飞玉皇</v>
      </c>
      <c r="BN529">
        <v>2</v>
      </c>
      <c r="BO529" t="s">
        <v>2768</v>
      </c>
      <c r="BP529">
        <v>1</v>
      </c>
      <c r="BQ529" t="s">
        <v>2776</v>
      </c>
      <c r="BR529">
        <v>2</v>
      </c>
      <c r="BS529" t="s">
        <v>2776</v>
      </c>
      <c r="BT529">
        <v>2</v>
      </c>
      <c r="BU529" t="s">
        <v>2776</v>
      </c>
      <c r="BV529">
        <v>2</v>
      </c>
      <c r="BW529" s="179" t="s">
        <v>2776</v>
      </c>
      <c r="BX529" s="179">
        <v>2</v>
      </c>
      <c r="BY529" t="s">
        <v>2776</v>
      </c>
      <c r="BZ529">
        <v>2</v>
      </c>
      <c r="CA529" s="176" t="s">
        <v>2768</v>
      </c>
      <c r="CB529">
        <v>2</v>
      </c>
    </row>
    <row r="530" spans="47:80">
      <c r="AU530" s="176" t="s">
        <v>2768</v>
      </c>
      <c r="AV530">
        <v>1</v>
      </c>
      <c r="AW530" s="176" t="s">
        <v>2794</v>
      </c>
      <c r="AX530">
        <v>2</v>
      </c>
      <c r="AY530" t="s">
        <v>2768</v>
      </c>
      <c r="AZ530">
        <v>2</v>
      </c>
      <c r="BA530" t="s">
        <v>2776</v>
      </c>
      <c r="BB530">
        <v>2</v>
      </c>
      <c r="BC530" t="s">
        <v>2768</v>
      </c>
      <c r="BD530">
        <v>1</v>
      </c>
      <c r="BE530" t="s">
        <v>2768</v>
      </c>
      <c r="BF530">
        <v>2</v>
      </c>
      <c r="BG530" t="s">
        <v>2768</v>
      </c>
      <c r="BH530">
        <v>2</v>
      </c>
      <c r="BI530" t="s">
        <v>2768</v>
      </c>
      <c r="BJ530">
        <v>2</v>
      </c>
      <c r="BK530" s="176" t="s">
        <v>3056</v>
      </c>
      <c r="BL530">
        <v>2</v>
      </c>
      <c r="BM530" s="176" t="s">
        <v>2794</v>
      </c>
      <c r="BN530">
        <v>2</v>
      </c>
      <c r="BO530" t="s">
        <v>2722</v>
      </c>
      <c r="BP530">
        <v>0</v>
      </c>
      <c r="BQ530" t="s">
        <v>2768</v>
      </c>
      <c r="BR530">
        <v>2</v>
      </c>
      <c r="BS530" t="s">
        <v>2768</v>
      </c>
      <c r="BT530">
        <v>1</v>
      </c>
      <c r="BU530" t="s">
        <v>2768</v>
      </c>
      <c r="BV530">
        <v>2</v>
      </c>
      <c r="BW530" s="179" t="s">
        <v>2768</v>
      </c>
      <c r="BX530" s="179">
        <v>2</v>
      </c>
      <c r="BY530" s="176" t="s">
        <v>2794</v>
      </c>
      <c r="BZ530">
        <v>2</v>
      </c>
      <c r="CA530" s="176" t="s">
        <v>2808</v>
      </c>
      <c r="CB530">
        <v>2</v>
      </c>
    </row>
    <row r="531" spans="47:80">
      <c r="AU531" s="176" t="s">
        <v>2776</v>
      </c>
      <c r="AV531">
        <v>2</v>
      </c>
      <c r="AW531" s="176" t="s">
        <v>2768</v>
      </c>
      <c r="AX531">
        <v>2</v>
      </c>
      <c r="AY531" t="s">
        <v>2776</v>
      </c>
      <c r="AZ531">
        <v>2</v>
      </c>
      <c r="BA531" t="s">
        <v>2768</v>
      </c>
      <c r="BB531">
        <v>2</v>
      </c>
      <c r="BC531" t="s">
        <v>2776</v>
      </c>
      <c r="BD531">
        <v>1</v>
      </c>
      <c r="BE531" t="s">
        <v>2768</v>
      </c>
      <c r="BF531">
        <v>1</v>
      </c>
      <c r="BG531" t="s">
        <v>2776</v>
      </c>
      <c r="BH531">
        <v>2</v>
      </c>
      <c r="BI531" t="s">
        <v>2768</v>
      </c>
      <c r="BJ531">
        <v>2</v>
      </c>
      <c r="BK531" s="176" t="s">
        <v>2768</v>
      </c>
      <c r="BL531">
        <v>2</v>
      </c>
      <c r="BM531" s="176" t="s">
        <v>2768</v>
      </c>
      <c r="BN531">
        <v>2</v>
      </c>
      <c r="BO531" t="s">
        <v>3009</v>
      </c>
      <c r="BP531">
        <v>2</v>
      </c>
      <c r="BQ531" t="s">
        <v>2776</v>
      </c>
      <c r="BR531">
        <v>2</v>
      </c>
      <c r="BS531" t="s">
        <v>2768</v>
      </c>
      <c r="BT531">
        <v>1</v>
      </c>
      <c r="BU531" t="s">
        <v>2776</v>
      </c>
      <c r="BV531">
        <v>2</v>
      </c>
      <c r="BW531" s="179" t="s">
        <v>2768</v>
      </c>
      <c r="BX531" s="179">
        <v>1</v>
      </c>
      <c r="BY531" s="176" t="s">
        <v>2768</v>
      </c>
      <c r="BZ531">
        <v>2</v>
      </c>
      <c r="CA531" t="s">
        <v>2768</v>
      </c>
      <c r="CB531">
        <v>2</v>
      </c>
    </row>
    <row r="532" spans="47:80">
      <c r="AU532" s="176" t="s">
        <v>2768</v>
      </c>
      <c r="AV532">
        <v>1</v>
      </c>
      <c r="AW532" s="176" t="s">
        <v>2776</v>
      </c>
      <c r="AX532">
        <v>2</v>
      </c>
      <c r="AY532" t="s">
        <v>2768</v>
      </c>
      <c r="AZ532">
        <v>2</v>
      </c>
      <c r="BA532" t="s">
        <v>2776</v>
      </c>
      <c r="BB532">
        <v>1</v>
      </c>
      <c r="BC532" t="s">
        <v>2768</v>
      </c>
      <c r="BD532">
        <v>1</v>
      </c>
      <c r="BE532" t="s">
        <v>2768</v>
      </c>
      <c r="BF532">
        <v>1</v>
      </c>
      <c r="BG532" t="s">
        <v>2768</v>
      </c>
      <c r="BH532">
        <v>1</v>
      </c>
      <c r="BI532" s="176" t="s">
        <v>2794</v>
      </c>
      <c r="BJ532">
        <v>1</v>
      </c>
      <c r="BK532" s="176" t="s">
        <v>2768</v>
      </c>
      <c r="BL532">
        <v>2</v>
      </c>
      <c r="BM532" s="176" t="s">
        <v>2776</v>
      </c>
      <c r="BN532">
        <v>2</v>
      </c>
      <c r="BO532" t="s">
        <v>2776</v>
      </c>
      <c r="BP532">
        <v>2</v>
      </c>
      <c r="BQ532" t="s">
        <v>2768</v>
      </c>
      <c r="BR532">
        <v>2</v>
      </c>
      <c r="BS532" t="s">
        <v>2768</v>
      </c>
      <c r="BT532">
        <v>0</v>
      </c>
      <c r="BU532" t="s">
        <v>2768</v>
      </c>
      <c r="BV532">
        <v>2</v>
      </c>
      <c r="BW532" s="179" t="s">
        <v>2768</v>
      </c>
      <c r="BX532" s="179">
        <v>1</v>
      </c>
      <c r="BY532" s="176" t="s">
        <v>2776</v>
      </c>
      <c r="BZ532">
        <v>2</v>
      </c>
      <c r="CA532" t="s">
        <v>2776</v>
      </c>
      <c r="CB532">
        <v>2</v>
      </c>
    </row>
    <row r="533" spans="47:80">
      <c r="AU533" s="176" t="s">
        <v>2776</v>
      </c>
      <c r="AV533">
        <v>1</v>
      </c>
      <c r="AW533" s="176" t="s">
        <v>2768</v>
      </c>
      <c r="AX533">
        <v>2</v>
      </c>
      <c r="AY533" t="s">
        <v>2776</v>
      </c>
      <c r="AZ533">
        <v>2</v>
      </c>
      <c r="BA533" t="s">
        <v>2768</v>
      </c>
      <c r="BB533">
        <v>1</v>
      </c>
      <c r="BC533" t="s">
        <v>2768</v>
      </c>
      <c r="BD533">
        <v>0</v>
      </c>
      <c r="BE533" t="s">
        <v>2776</v>
      </c>
      <c r="BF533">
        <v>0</v>
      </c>
      <c r="BG533" t="s">
        <v>2776</v>
      </c>
      <c r="BH533">
        <v>1</v>
      </c>
      <c r="BI533" t="s">
        <v>2776</v>
      </c>
      <c r="BJ533">
        <v>1</v>
      </c>
      <c r="BK533" s="176" t="s">
        <v>2776</v>
      </c>
      <c r="BL533">
        <v>2</v>
      </c>
      <c r="BM533" s="176" t="s">
        <v>2768</v>
      </c>
      <c r="BN533">
        <v>2</v>
      </c>
      <c r="BO533" t="s">
        <v>2768</v>
      </c>
      <c r="BP533">
        <v>2</v>
      </c>
      <c r="BQ533" t="s">
        <v>3013</v>
      </c>
      <c r="BR533">
        <v>2</v>
      </c>
      <c r="BS533" t="s">
        <v>2776</v>
      </c>
      <c r="BT533">
        <v>0</v>
      </c>
      <c r="BU533" t="s">
        <v>2808</v>
      </c>
      <c r="BV533">
        <v>2</v>
      </c>
      <c r="BW533" s="179" t="s">
        <v>2776</v>
      </c>
      <c r="BX533" s="179">
        <v>1</v>
      </c>
      <c r="BY533" s="176" t="s">
        <v>2768</v>
      </c>
      <c r="BZ533">
        <v>2</v>
      </c>
      <c r="CA533" t="s">
        <v>2768</v>
      </c>
      <c r="CB533">
        <v>2</v>
      </c>
    </row>
    <row r="534" spans="47:80">
      <c r="AU534" t="s">
        <v>2722</v>
      </c>
      <c r="AV534">
        <v>0</v>
      </c>
      <c r="AW534" s="176" t="s">
        <v>2776</v>
      </c>
      <c r="AX534">
        <v>2</v>
      </c>
      <c r="AY534" t="s">
        <v>2768</v>
      </c>
      <c r="AZ534">
        <v>2</v>
      </c>
      <c r="BA534" t="s">
        <v>2768</v>
      </c>
      <c r="BB534">
        <v>0</v>
      </c>
      <c r="BC534" t="s">
        <v>2768</v>
      </c>
      <c r="BD534">
        <v>0</v>
      </c>
      <c r="BE534" t="s">
        <v>2768</v>
      </c>
      <c r="BF534">
        <v>0</v>
      </c>
      <c r="BG534" t="s">
        <v>2768</v>
      </c>
      <c r="BH534">
        <v>0</v>
      </c>
      <c r="BI534" t="s">
        <v>2768</v>
      </c>
      <c r="BJ534">
        <v>0</v>
      </c>
      <c r="BK534" t="s">
        <v>2768</v>
      </c>
      <c r="BL534">
        <v>1</v>
      </c>
      <c r="BM534" s="176" t="s">
        <v>2776</v>
      </c>
      <c r="BN534">
        <v>2</v>
      </c>
      <c r="BO534" s="180" t="s">
        <v>2789</v>
      </c>
      <c r="BP534">
        <v>2</v>
      </c>
      <c r="BQ534" t="s">
        <v>2808</v>
      </c>
      <c r="BR534">
        <v>2</v>
      </c>
      <c r="BS534" t="s">
        <v>2768</v>
      </c>
      <c r="BT534">
        <v>0</v>
      </c>
      <c r="BU534" t="s">
        <v>2768</v>
      </c>
      <c r="BV534">
        <v>2</v>
      </c>
      <c r="BW534" s="179" t="s">
        <v>2768</v>
      </c>
      <c r="BX534" s="179">
        <v>1</v>
      </c>
      <c r="BY534" s="176" t="s">
        <v>2776</v>
      </c>
      <c r="BZ534">
        <v>2</v>
      </c>
      <c r="CA534" t="s">
        <v>2768</v>
      </c>
      <c r="CB534">
        <v>2</v>
      </c>
    </row>
    <row r="535" spans="47:80">
      <c r="AW535" s="176" t="s">
        <v>2768</v>
      </c>
      <c r="AX535">
        <v>2</v>
      </c>
      <c r="AY535" t="s">
        <v>2776</v>
      </c>
      <c r="AZ535">
        <v>1</v>
      </c>
      <c r="BA535" t="s">
        <v>2722</v>
      </c>
      <c r="BB535">
        <v>0</v>
      </c>
      <c r="BC535" t="s">
        <v>3010</v>
      </c>
      <c r="BD535">
        <v>2</v>
      </c>
      <c r="BG535" t="s">
        <v>2768</v>
      </c>
      <c r="BH535">
        <v>0</v>
      </c>
      <c r="BI535" t="s">
        <v>3011</v>
      </c>
      <c r="BJ535">
        <v>2</v>
      </c>
      <c r="BK535" s="176" t="s">
        <v>2768</v>
      </c>
      <c r="BL535">
        <v>1</v>
      </c>
      <c r="BM535" s="176" t="s">
        <v>2768</v>
      </c>
      <c r="BN535">
        <v>2</v>
      </c>
      <c r="BO535" s="176" t="s">
        <v>2794</v>
      </c>
      <c r="BP535">
        <v>2</v>
      </c>
      <c r="BQ535" t="s">
        <v>2768</v>
      </c>
      <c r="BR535">
        <v>2</v>
      </c>
      <c r="BS535" t="s">
        <v>3074</v>
      </c>
      <c r="BT535">
        <v>2</v>
      </c>
      <c r="BU535" s="176" t="s">
        <v>2768</v>
      </c>
      <c r="BV535">
        <v>2</v>
      </c>
      <c r="BW535" s="179" t="s">
        <v>2722</v>
      </c>
      <c r="BX535" s="179">
        <v>2</v>
      </c>
      <c r="BY535" t="s">
        <v>2768</v>
      </c>
      <c r="BZ535">
        <v>2</v>
      </c>
      <c r="CA535" t="s">
        <v>2768</v>
      </c>
      <c r="CB535">
        <v>2</v>
      </c>
    </row>
    <row r="536" spans="47:80">
      <c r="AW536" t="s">
        <v>3056</v>
      </c>
      <c r="AX536">
        <v>1</v>
      </c>
      <c r="AY536" t="s">
        <v>2768</v>
      </c>
      <c r="AZ536">
        <v>1</v>
      </c>
      <c r="BA536" t="s">
        <v>2776</v>
      </c>
      <c r="BB536">
        <v>2</v>
      </c>
      <c r="BC536" t="s">
        <v>3013</v>
      </c>
      <c r="BD536">
        <v>2</v>
      </c>
      <c r="BG536" t="s">
        <v>2776</v>
      </c>
      <c r="BH536">
        <v>0</v>
      </c>
      <c r="BI536" t="s">
        <v>2768</v>
      </c>
      <c r="BJ536">
        <v>2</v>
      </c>
      <c r="BK536" s="176" t="s">
        <v>2768</v>
      </c>
      <c r="BL536">
        <v>0</v>
      </c>
      <c r="BM536" t="s">
        <v>3056</v>
      </c>
      <c r="BN536">
        <v>1</v>
      </c>
      <c r="BO536" s="176" t="s">
        <v>2776</v>
      </c>
      <c r="BP536">
        <v>2</v>
      </c>
      <c r="BQ536" t="s">
        <v>2768</v>
      </c>
      <c r="BR536">
        <v>2</v>
      </c>
      <c r="BS536" t="s">
        <v>2768</v>
      </c>
      <c r="BT536">
        <v>2</v>
      </c>
      <c r="BU536" s="176" t="s">
        <v>2776</v>
      </c>
      <c r="BV536">
        <v>2</v>
      </c>
      <c r="BW536" s="179" t="s">
        <v>3009</v>
      </c>
      <c r="BX536" s="179">
        <v>2</v>
      </c>
      <c r="BY536" t="s">
        <v>2776</v>
      </c>
      <c r="BZ536">
        <v>2</v>
      </c>
      <c r="CA536" t="s">
        <v>2776</v>
      </c>
      <c r="CB536">
        <v>2</v>
      </c>
    </row>
    <row r="537" spans="47:80">
      <c r="AW537" t="s">
        <v>2768</v>
      </c>
      <c r="AX537">
        <v>2</v>
      </c>
      <c r="AY537" t="s">
        <v>2768</v>
      </c>
      <c r="AZ537">
        <v>0</v>
      </c>
      <c r="BA537" t="s">
        <v>2768</v>
      </c>
      <c r="BB537">
        <v>2</v>
      </c>
      <c r="BC537" t="s">
        <v>3018</v>
      </c>
      <c r="BD537">
        <v>2</v>
      </c>
      <c r="BG537" t="s">
        <v>3067</v>
      </c>
      <c r="BH537">
        <v>0</v>
      </c>
      <c r="BI537" t="s">
        <v>3018</v>
      </c>
      <c r="BJ537">
        <v>2</v>
      </c>
      <c r="BK537" s="176" t="s">
        <v>2776</v>
      </c>
      <c r="BL537">
        <v>0</v>
      </c>
      <c r="BM537" t="s">
        <v>2768</v>
      </c>
      <c r="BN537">
        <v>2</v>
      </c>
      <c r="BO537" s="176" t="s">
        <v>2768</v>
      </c>
      <c r="BP537">
        <v>2</v>
      </c>
      <c r="BQ537" t="s">
        <v>2776</v>
      </c>
      <c r="BR537">
        <v>1</v>
      </c>
      <c r="BS537" t="s">
        <v>2776</v>
      </c>
      <c r="BT537">
        <v>2</v>
      </c>
      <c r="BU537" t="s">
        <v>2768</v>
      </c>
      <c r="BV537">
        <v>1</v>
      </c>
      <c r="BW537" s="179" t="s">
        <v>3078</v>
      </c>
      <c r="BX537" s="179">
        <v>2</v>
      </c>
      <c r="BY537" t="s">
        <v>2718</v>
      </c>
      <c r="BZ537">
        <v>0</v>
      </c>
      <c r="CA537" t="s">
        <v>2718</v>
      </c>
      <c r="CB537">
        <v>0</v>
      </c>
    </row>
    <row r="538" spans="47:80">
      <c r="AW538" t="s">
        <v>2768</v>
      </c>
      <c r="AX538">
        <v>2</v>
      </c>
      <c r="AY538" t="s">
        <v>2722</v>
      </c>
      <c r="AZ538">
        <v>0</v>
      </c>
      <c r="BA538" t="s">
        <v>2768</v>
      </c>
      <c r="BB538">
        <v>2</v>
      </c>
      <c r="BC538" t="s">
        <v>2768</v>
      </c>
      <c r="BD538">
        <v>2</v>
      </c>
      <c r="BG538" t="s">
        <v>2768</v>
      </c>
      <c r="BH538">
        <v>2</v>
      </c>
      <c r="BI538" t="s">
        <v>2789</v>
      </c>
      <c r="BJ538">
        <v>2</v>
      </c>
      <c r="BK538" s="176" t="s">
        <v>2768</v>
      </c>
      <c r="BL538">
        <v>0</v>
      </c>
      <c r="BM538" t="s">
        <v>2768</v>
      </c>
      <c r="BN538">
        <v>2</v>
      </c>
      <c r="BO538" s="176" t="s">
        <v>2776</v>
      </c>
      <c r="BP538">
        <v>2</v>
      </c>
      <c r="BQ538" t="s">
        <v>3055</v>
      </c>
      <c r="BR538">
        <v>2</v>
      </c>
      <c r="BS538" t="s">
        <v>2768</v>
      </c>
      <c r="BT538">
        <v>2</v>
      </c>
      <c r="BU538" s="176" t="s">
        <v>2768</v>
      </c>
      <c r="BV538">
        <v>1</v>
      </c>
      <c r="BW538" s="179" t="s">
        <v>2768</v>
      </c>
      <c r="BX538" s="179">
        <v>2</v>
      </c>
      <c r="BY538" t="s">
        <v>2768</v>
      </c>
      <c r="BZ538">
        <v>2</v>
      </c>
      <c r="CA538" t="s">
        <v>2768</v>
      </c>
      <c r="CB538">
        <v>2</v>
      </c>
    </row>
    <row r="539" spans="47:80">
      <c r="AW539" t="s">
        <v>2768</v>
      </c>
      <c r="AX539">
        <v>2</v>
      </c>
      <c r="AY539" t="s">
        <v>2776</v>
      </c>
      <c r="AZ539">
        <v>2</v>
      </c>
      <c r="BA539" t="s">
        <v>2768</v>
      </c>
      <c r="BB539">
        <v>1</v>
      </c>
      <c r="BC539" t="s">
        <v>3023</v>
      </c>
      <c r="BD539">
        <v>2</v>
      </c>
      <c r="BG539" t="s">
        <v>2768</v>
      </c>
      <c r="BH539">
        <v>2</v>
      </c>
      <c r="BI539" s="182" t="s">
        <v>3023</v>
      </c>
      <c r="BJ539">
        <v>2</v>
      </c>
      <c r="BK539" s="176" t="s">
        <v>3012</v>
      </c>
      <c r="BL539">
        <v>2</v>
      </c>
      <c r="BM539" t="s">
        <v>2768</v>
      </c>
      <c r="BN539">
        <v>2</v>
      </c>
      <c r="BO539" s="176" t="s">
        <v>2768</v>
      </c>
      <c r="BP539">
        <v>2</v>
      </c>
      <c r="BQ539" t="s">
        <v>2768</v>
      </c>
      <c r="BR539">
        <v>2</v>
      </c>
      <c r="BS539" t="s">
        <v>2768</v>
      </c>
      <c r="BT539">
        <v>1</v>
      </c>
      <c r="BU539" t="s">
        <v>3055</v>
      </c>
      <c r="BV539">
        <v>0</v>
      </c>
      <c r="BW539" s="188" t="s">
        <v>2789</v>
      </c>
      <c r="BX539" s="179">
        <v>2</v>
      </c>
      <c r="BY539" t="s">
        <v>2768</v>
      </c>
      <c r="BZ539">
        <v>2</v>
      </c>
      <c r="CA539" t="s">
        <v>2768</v>
      </c>
      <c r="CB539">
        <v>2</v>
      </c>
    </row>
    <row r="540" spans="47:80">
      <c r="AW540" t="s">
        <v>2776</v>
      </c>
      <c r="AX540">
        <v>2</v>
      </c>
      <c r="AY540" t="s">
        <v>2768</v>
      </c>
      <c r="AZ540">
        <v>2</v>
      </c>
      <c r="BA540" t="s">
        <v>2776</v>
      </c>
      <c r="BB540">
        <v>1</v>
      </c>
      <c r="BC540" t="s">
        <v>2768</v>
      </c>
      <c r="BD540">
        <v>2</v>
      </c>
      <c r="BG540" s="176" t="s">
        <v>2794</v>
      </c>
      <c r="BH540">
        <v>1</v>
      </c>
      <c r="BI540" s="176" t="s">
        <v>3026</v>
      </c>
      <c r="BJ540">
        <v>2</v>
      </c>
      <c r="BK540" s="176" t="s">
        <v>2794</v>
      </c>
      <c r="BL540">
        <v>2</v>
      </c>
      <c r="BM540" t="s">
        <v>2776</v>
      </c>
      <c r="BN540">
        <v>2</v>
      </c>
      <c r="BO540" s="176" t="s">
        <v>2808</v>
      </c>
      <c r="BP540">
        <v>2</v>
      </c>
      <c r="BQ540" t="s">
        <v>2776</v>
      </c>
      <c r="BR540">
        <v>2</v>
      </c>
      <c r="BS540" t="s">
        <v>2768</v>
      </c>
      <c r="BT540">
        <v>1</v>
      </c>
      <c r="BU540" t="s">
        <v>2776</v>
      </c>
      <c r="BV540">
        <v>2</v>
      </c>
      <c r="BW540" s="182" t="s">
        <v>2794</v>
      </c>
      <c r="BX540" s="179">
        <v>2</v>
      </c>
      <c r="BY540" t="s">
        <v>2776</v>
      </c>
      <c r="BZ540">
        <v>2</v>
      </c>
      <c r="CA540" t="s">
        <v>2776</v>
      </c>
      <c r="CB540">
        <v>2</v>
      </c>
    </row>
    <row r="541" spans="47:80">
      <c r="AW541" t="s">
        <v>2768</v>
      </c>
      <c r="AX541">
        <v>2</v>
      </c>
      <c r="AY541" t="s">
        <v>2768</v>
      </c>
      <c r="AZ541">
        <v>2</v>
      </c>
      <c r="BA541" t="s">
        <v>2768</v>
      </c>
      <c r="BB541">
        <v>1</v>
      </c>
      <c r="BC541" t="s">
        <v>2776</v>
      </c>
      <c r="BD541">
        <v>2</v>
      </c>
      <c r="BG541" t="s">
        <v>2776</v>
      </c>
      <c r="BH541">
        <v>1</v>
      </c>
      <c r="BI541" s="176" t="s">
        <v>3026</v>
      </c>
      <c r="BJ541">
        <v>2</v>
      </c>
      <c r="BK541" s="176" t="s">
        <v>3019</v>
      </c>
      <c r="BL541">
        <v>2</v>
      </c>
      <c r="BM541" t="s">
        <v>2768</v>
      </c>
      <c r="BN541">
        <v>2</v>
      </c>
      <c r="BO541" t="str">
        <f>IF(0,"云飞玉皇-玉山揽云","夕照雷峰")</f>
        <v>夕照雷峰</v>
      </c>
      <c r="BP541">
        <v>2</v>
      </c>
      <c r="BQ541" t="s">
        <v>2768</v>
      </c>
      <c r="BR541">
        <v>2</v>
      </c>
      <c r="BS541" t="s">
        <v>2776</v>
      </c>
      <c r="BT541">
        <v>0</v>
      </c>
      <c r="BU541" t="s">
        <v>2768</v>
      </c>
      <c r="BV541">
        <v>2</v>
      </c>
      <c r="BW541" s="182" t="s">
        <v>2776</v>
      </c>
      <c r="BX541" s="179">
        <v>2</v>
      </c>
      <c r="BY541" t="s">
        <v>2718</v>
      </c>
      <c r="BZ541">
        <v>0</v>
      </c>
      <c r="CA541" t="s">
        <v>2718</v>
      </c>
      <c r="CB541">
        <v>0</v>
      </c>
    </row>
    <row r="542" spans="47:80">
      <c r="AW542" t="s">
        <v>2768</v>
      </c>
      <c r="AX542">
        <v>2</v>
      </c>
      <c r="AY542" t="s">
        <v>2768</v>
      </c>
      <c r="AZ542">
        <v>1</v>
      </c>
      <c r="BA542" t="s">
        <v>2768</v>
      </c>
      <c r="BB542">
        <v>0</v>
      </c>
      <c r="BC542" t="s">
        <v>2789</v>
      </c>
      <c r="BD542">
        <v>2</v>
      </c>
      <c r="BG542" t="s">
        <v>2768</v>
      </c>
      <c r="BH542">
        <v>1</v>
      </c>
      <c r="BI542" s="176" t="s">
        <v>3026</v>
      </c>
      <c r="BJ542">
        <v>2</v>
      </c>
      <c r="BK542" t="s">
        <v>2768</v>
      </c>
      <c r="BL542">
        <v>2</v>
      </c>
      <c r="BM542" t="s">
        <v>2768</v>
      </c>
      <c r="BN542">
        <v>2</v>
      </c>
      <c r="BO542" t="str">
        <f>IF(0,"云飞玉皇-玉山揽云","云飞玉皇")</f>
        <v>云飞玉皇</v>
      </c>
      <c r="BP542">
        <v>2</v>
      </c>
      <c r="BQ542" t="s">
        <v>2776</v>
      </c>
      <c r="BR542">
        <v>1</v>
      </c>
      <c r="BS542" t="s">
        <v>2768</v>
      </c>
      <c r="BT542">
        <v>0</v>
      </c>
      <c r="BU542" t="s">
        <v>2776</v>
      </c>
      <c r="BV542">
        <v>2</v>
      </c>
      <c r="BW542" s="182" t="s">
        <v>2768</v>
      </c>
      <c r="BX542" s="179">
        <v>2</v>
      </c>
      <c r="BY542" t="s">
        <v>2768</v>
      </c>
      <c r="BZ542">
        <v>2</v>
      </c>
      <c r="CA542" t="s">
        <v>2768</v>
      </c>
      <c r="CB542">
        <v>2</v>
      </c>
    </row>
    <row r="543" spans="47:80">
      <c r="AW543" t="s">
        <v>2768</v>
      </c>
      <c r="AX543">
        <v>2</v>
      </c>
      <c r="AY543" t="s">
        <v>2776</v>
      </c>
      <c r="AZ543">
        <v>1</v>
      </c>
      <c r="BA543" t="s">
        <v>3010</v>
      </c>
      <c r="BB543">
        <v>2</v>
      </c>
      <c r="BC543" t="s">
        <v>2794</v>
      </c>
      <c r="BD543">
        <v>2</v>
      </c>
      <c r="BG543" t="s">
        <v>3011</v>
      </c>
      <c r="BH543">
        <v>2</v>
      </c>
      <c r="BI543" s="176" t="s">
        <v>3026</v>
      </c>
      <c r="BJ543">
        <v>2</v>
      </c>
      <c r="BK543" t="s">
        <v>3023</v>
      </c>
      <c r="BL543">
        <v>2</v>
      </c>
      <c r="BM543" t="s">
        <v>2768</v>
      </c>
      <c r="BN543">
        <v>2</v>
      </c>
      <c r="BO543" t="str">
        <f>IF(0,"云飞玉皇-玉山揽云","夕照雷峰")</f>
        <v>夕照雷峰</v>
      </c>
      <c r="BP543">
        <v>2</v>
      </c>
      <c r="BQ543" t="s">
        <v>2768</v>
      </c>
      <c r="BR543">
        <v>1</v>
      </c>
      <c r="BS543" t="s">
        <v>3024</v>
      </c>
      <c r="BT543">
        <v>2</v>
      </c>
      <c r="BU543" t="s">
        <v>2768</v>
      </c>
      <c r="BV543">
        <v>1</v>
      </c>
      <c r="BW543" s="182" t="s">
        <v>2776</v>
      </c>
      <c r="BX543" s="179">
        <v>2</v>
      </c>
      <c r="BY543" t="s">
        <v>2768</v>
      </c>
      <c r="BZ543">
        <v>1</v>
      </c>
      <c r="CA543" t="s">
        <v>2768</v>
      </c>
      <c r="CB543">
        <v>1</v>
      </c>
    </row>
    <row r="544" spans="47:80">
      <c r="AW544" t="s">
        <v>2776</v>
      </c>
      <c r="AX544">
        <v>2</v>
      </c>
      <c r="AY544" t="s">
        <v>2768</v>
      </c>
      <c r="AZ544">
        <v>1</v>
      </c>
      <c r="BA544" t="s">
        <v>3013</v>
      </c>
      <c r="BB544">
        <v>2</v>
      </c>
      <c r="BC544" s="182" t="s">
        <v>3036</v>
      </c>
      <c r="BD544">
        <v>2</v>
      </c>
      <c r="BG544" t="s">
        <v>2768</v>
      </c>
      <c r="BH544">
        <v>2</v>
      </c>
      <c r="BI544" s="176" t="s">
        <v>3036</v>
      </c>
      <c r="BJ544">
        <v>2</v>
      </c>
      <c r="BK544" t="s">
        <v>2768</v>
      </c>
      <c r="BL544">
        <v>2</v>
      </c>
      <c r="BM544" t="s">
        <v>2776</v>
      </c>
      <c r="BN544">
        <v>2</v>
      </c>
      <c r="BO544" t="str">
        <f>IF(0,橙武补雾锁,"夕照雷峰")</f>
        <v>夕照雷峰</v>
      </c>
      <c r="BP544">
        <v>2</v>
      </c>
      <c r="BQ544" t="s">
        <v>2776</v>
      </c>
      <c r="BR544">
        <v>1</v>
      </c>
      <c r="BS544" s="179" t="s">
        <v>2794</v>
      </c>
      <c r="BT544">
        <v>2</v>
      </c>
      <c r="BU544" t="s">
        <v>2776</v>
      </c>
      <c r="BV544">
        <v>1</v>
      </c>
      <c r="BW544" s="182" t="s">
        <v>2768</v>
      </c>
      <c r="BX544" s="179">
        <v>2</v>
      </c>
      <c r="BY544" t="s">
        <v>2776</v>
      </c>
      <c r="BZ544">
        <v>1</v>
      </c>
      <c r="CA544" t="s">
        <v>2776</v>
      </c>
      <c r="CB544">
        <v>1</v>
      </c>
    </row>
    <row r="545" spans="49:80">
      <c r="AW545" t="s">
        <v>2768</v>
      </c>
      <c r="AX545">
        <v>2</v>
      </c>
      <c r="AY545" t="s">
        <v>2768</v>
      </c>
      <c r="AZ545">
        <v>0</v>
      </c>
      <c r="BA545" t="s">
        <v>3017</v>
      </c>
      <c r="BB545">
        <v>2</v>
      </c>
      <c r="BC545" s="176" t="s">
        <v>3026</v>
      </c>
      <c r="BD545">
        <v>2</v>
      </c>
      <c r="BG545" t="s">
        <v>3018</v>
      </c>
      <c r="BH545">
        <v>2</v>
      </c>
      <c r="BI545" t="s">
        <v>2794</v>
      </c>
      <c r="BJ545">
        <v>2</v>
      </c>
      <c r="BK545" t="s">
        <v>2808</v>
      </c>
      <c r="BL545">
        <v>2</v>
      </c>
      <c r="BM545" t="s">
        <v>2768</v>
      </c>
      <c r="BN545">
        <v>1</v>
      </c>
      <c r="BO545" t="str">
        <f>IF(0,"云飞玉皇-玉山揽云","夕照雷峰")</f>
        <v>夕照雷峰</v>
      </c>
      <c r="BP545">
        <v>2</v>
      </c>
      <c r="BQ545" t="s">
        <v>2768</v>
      </c>
      <c r="BR545">
        <v>0</v>
      </c>
      <c r="BS545" s="179" t="s">
        <v>3019</v>
      </c>
      <c r="BT545">
        <v>2</v>
      </c>
      <c r="BU545" t="str">
        <f>IF(秋,"云栖松","泉凝月")</f>
        <v>泉凝月</v>
      </c>
      <c r="BV545">
        <v>0</v>
      </c>
      <c r="BW545" s="182" t="s">
        <v>2808</v>
      </c>
      <c r="BX545" s="179">
        <v>2</v>
      </c>
      <c r="BY545" t="s">
        <v>2768</v>
      </c>
      <c r="BZ545">
        <v>1</v>
      </c>
      <c r="CA545" t="s">
        <v>2768</v>
      </c>
      <c r="CB545">
        <v>1</v>
      </c>
    </row>
    <row r="546" spans="49:80">
      <c r="AW546" t="s">
        <v>2722</v>
      </c>
      <c r="AX546">
        <v>0</v>
      </c>
      <c r="AY546" t="s">
        <v>3010</v>
      </c>
      <c r="AZ546">
        <v>2</v>
      </c>
      <c r="BA546" t="s">
        <v>2808</v>
      </c>
      <c r="BB546">
        <v>2</v>
      </c>
      <c r="BC546" s="176" t="s">
        <v>3026</v>
      </c>
      <c r="BD546">
        <v>2</v>
      </c>
      <c r="BG546" t="s">
        <v>2768</v>
      </c>
      <c r="BH546">
        <v>2</v>
      </c>
      <c r="BI546" t="s">
        <v>2776</v>
      </c>
      <c r="BJ546">
        <v>2</v>
      </c>
      <c r="BK546" t="s">
        <v>2768</v>
      </c>
      <c r="BL546">
        <v>2</v>
      </c>
      <c r="BM546" t="s">
        <v>2722</v>
      </c>
      <c r="BN546">
        <v>0</v>
      </c>
      <c r="BO546" t="s">
        <v>2776</v>
      </c>
      <c r="BP546">
        <v>2</v>
      </c>
      <c r="BQ546" t="str">
        <f>IF(秋,"云栖松","泉凝月")</f>
        <v>泉凝月</v>
      </c>
      <c r="BR546">
        <v>0</v>
      </c>
      <c r="BS546" s="179" t="s">
        <v>2768</v>
      </c>
      <c r="BT546">
        <v>2</v>
      </c>
      <c r="BU546" t="s">
        <v>2768</v>
      </c>
      <c r="BV546">
        <v>0</v>
      </c>
      <c r="BW546" s="179" t="s">
        <v>2768</v>
      </c>
      <c r="BX546" s="179">
        <v>2</v>
      </c>
      <c r="BY546" t="s">
        <v>2722</v>
      </c>
      <c r="BZ546">
        <v>0</v>
      </c>
      <c r="CA546" t="s">
        <v>2722</v>
      </c>
      <c r="CB546">
        <v>0</v>
      </c>
    </row>
    <row r="547" spans="49:80">
      <c r="AY547" t="s">
        <v>3013</v>
      </c>
      <c r="AZ547">
        <v>2</v>
      </c>
      <c r="BA547" t="s">
        <v>3022</v>
      </c>
      <c r="BB547">
        <v>2</v>
      </c>
      <c r="BC547" s="176" t="s">
        <v>3026</v>
      </c>
      <c r="BD547">
        <v>2</v>
      </c>
      <c r="BG547" s="182" t="s">
        <v>3023</v>
      </c>
      <c r="BH547">
        <v>2</v>
      </c>
      <c r="BI547" t="s">
        <v>2768</v>
      </c>
      <c r="BJ547">
        <v>2</v>
      </c>
      <c r="BK547" t="s">
        <v>2776</v>
      </c>
      <c r="BL547">
        <v>2</v>
      </c>
      <c r="BM547" t="s">
        <v>3009</v>
      </c>
      <c r="BN547">
        <v>2</v>
      </c>
      <c r="BO547" s="176" t="s">
        <v>2794</v>
      </c>
      <c r="BP547">
        <v>2</v>
      </c>
      <c r="BQ547" t="s">
        <v>2768</v>
      </c>
      <c r="BR547">
        <v>0</v>
      </c>
      <c r="BS547" s="182" t="s">
        <v>3023</v>
      </c>
      <c r="BT547">
        <v>2</v>
      </c>
      <c r="BU547" t="s">
        <v>2776</v>
      </c>
      <c r="BV547">
        <v>0</v>
      </c>
      <c r="BW547" s="179" t="s">
        <v>2776</v>
      </c>
      <c r="BX547" s="179">
        <v>2</v>
      </c>
      <c r="BY547" t="s">
        <v>3009</v>
      </c>
      <c r="BZ547">
        <v>2</v>
      </c>
      <c r="CA547" t="s">
        <v>3009</v>
      </c>
      <c r="CB547">
        <v>2</v>
      </c>
    </row>
    <row r="548" spans="49:80">
      <c r="AY548" t="s">
        <v>3017</v>
      </c>
      <c r="AZ548">
        <v>2</v>
      </c>
      <c r="BA548" t="s">
        <v>2776</v>
      </c>
      <c r="BB548">
        <v>2</v>
      </c>
      <c r="BC548" s="176" t="s">
        <v>3026</v>
      </c>
      <c r="BD548">
        <v>2</v>
      </c>
      <c r="BG548" s="176" t="s">
        <v>2768</v>
      </c>
      <c r="BH548">
        <v>2</v>
      </c>
      <c r="BI548" t="s">
        <v>2776</v>
      </c>
      <c r="BJ548">
        <v>2</v>
      </c>
      <c r="BK548" t="s">
        <v>3036</v>
      </c>
      <c r="BL548">
        <v>2</v>
      </c>
      <c r="BM548" t="s">
        <v>2776</v>
      </c>
      <c r="BN548">
        <v>2</v>
      </c>
      <c r="BO548" s="176" t="s">
        <v>2768</v>
      </c>
      <c r="BP548">
        <v>2</v>
      </c>
      <c r="BQ548" t="s">
        <v>2776</v>
      </c>
      <c r="BR548">
        <v>2</v>
      </c>
      <c r="BS548" s="182" t="s">
        <v>2768</v>
      </c>
      <c r="BT548">
        <v>2</v>
      </c>
      <c r="BU548" t="s">
        <v>1886</v>
      </c>
      <c r="BV548">
        <v>0</v>
      </c>
      <c r="BW548" s="179" t="s">
        <v>2768</v>
      </c>
      <c r="BX548" s="179">
        <v>2</v>
      </c>
      <c r="BY548" s="176" t="s">
        <v>2794</v>
      </c>
      <c r="BZ548">
        <v>2</v>
      </c>
      <c r="CA548" s="176" t="s">
        <v>2794</v>
      </c>
      <c r="CB548">
        <v>2</v>
      </c>
    </row>
    <row r="549" spans="49:80">
      <c r="AY549" t="s">
        <v>2808</v>
      </c>
      <c r="AZ549">
        <v>2</v>
      </c>
      <c r="BA549" t="s">
        <v>2768</v>
      </c>
      <c r="BB549">
        <v>2</v>
      </c>
      <c r="BC549" t="s">
        <v>3013</v>
      </c>
      <c r="BD549">
        <v>2</v>
      </c>
      <c r="BG549" s="176" t="s">
        <v>2768</v>
      </c>
      <c r="BH549">
        <v>2</v>
      </c>
      <c r="BI549" t="s">
        <v>2768</v>
      </c>
      <c r="BJ549">
        <v>2</v>
      </c>
      <c r="BK549" t="s">
        <v>3026</v>
      </c>
      <c r="BL549">
        <v>2</v>
      </c>
      <c r="BM549" t="s">
        <v>2768</v>
      </c>
      <c r="BN549">
        <v>2</v>
      </c>
      <c r="BO549" s="176" t="s">
        <v>2776</v>
      </c>
      <c r="BP549">
        <v>2</v>
      </c>
      <c r="BQ549" t="s">
        <v>1886</v>
      </c>
      <c r="BR549">
        <v>2</v>
      </c>
      <c r="BS549" s="182" t="s">
        <v>2776</v>
      </c>
      <c r="BT549">
        <v>2</v>
      </c>
      <c r="BU549" t="s">
        <v>2853</v>
      </c>
      <c r="BV549">
        <v>2</v>
      </c>
      <c r="BW549" s="179" t="s">
        <v>2768</v>
      </c>
      <c r="BX549" s="179">
        <v>2</v>
      </c>
      <c r="BY549" s="176" t="s">
        <v>2776</v>
      </c>
      <c r="BZ549">
        <v>2</v>
      </c>
      <c r="CA549" s="176" t="s">
        <v>2776</v>
      </c>
      <c r="CB549">
        <v>2</v>
      </c>
    </row>
    <row r="550" spans="49:80">
      <c r="AY550" t="s">
        <v>3022</v>
      </c>
      <c r="AZ550">
        <v>2</v>
      </c>
      <c r="BA550" t="s">
        <v>2768</v>
      </c>
      <c r="BB550">
        <v>2</v>
      </c>
      <c r="BC550" t="s">
        <v>2808</v>
      </c>
      <c r="BD550">
        <v>2</v>
      </c>
      <c r="BG550" s="176" t="s">
        <v>2768</v>
      </c>
      <c r="BH550">
        <v>2</v>
      </c>
      <c r="BI550" t="s">
        <v>2808</v>
      </c>
      <c r="BJ550">
        <v>2</v>
      </c>
      <c r="BK550" t="s">
        <v>3026</v>
      </c>
      <c r="BL550">
        <v>2</v>
      </c>
      <c r="BM550" s="180" t="s">
        <v>2789</v>
      </c>
      <c r="BN550">
        <v>2</v>
      </c>
      <c r="BO550" s="176" t="s">
        <v>2768</v>
      </c>
      <c r="BP550">
        <v>2</v>
      </c>
      <c r="BQ550" t="s">
        <v>2853</v>
      </c>
      <c r="BR550">
        <v>2</v>
      </c>
      <c r="BS550" s="182" t="s">
        <v>2768</v>
      </c>
      <c r="BT550">
        <v>2</v>
      </c>
      <c r="BU550" s="176" t="str">
        <f>IF(秋,"金蛇锥-金环戴","金蛇锥-吹风醒")</f>
        <v>金蛇锥-吹风醒</v>
      </c>
      <c r="BV550">
        <v>2</v>
      </c>
      <c r="BW550" s="179" t="s">
        <v>2768</v>
      </c>
      <c r="BX550" s="179">
        <v>2</v>
      </c>
      <c r="BY550" s="176" t="s">
        <v>2768</v>
      </c>
      <c r="BZ550">
        <v>2</v>
      </c>
      <c r="CA550" s="176" t="s">
        <v>2768</v>
      </c>
      <c r="CB550">
        <v>2</v>
      </c>
    </row>
    <row r="551" spans="49:80">
      <c r="AY551" t="s">
        <v>2776</v>
      </c>
      <c r="AZ551">
        <v>2</v>
      </c>
      <c r="BA551" t="s">
        <v>2776</v>
      </c>
      <c r="BB551">
        <v>2</v>
      </c>
      <c r="BC551" t="s">
        <v>2768</v>
      </c>
      <c r="BD551">
        <v>2</v>
      </c>
      <c r="BG551" s="176" t="s">
        <v>2776</v>
      </c>
      <c r="BH551">
        <v>2</v>
      </c>
      <c r="BI551" s="176" t="s">
        <v>2768</v>
      </c>
      <c r="BJ551">
        <v>2</v>
      </c>
      <c r="BK551" t="s">
        <v>3026</v>
      </c>
      <c r="BL551">
        <v>2</v>
      </c>
      <c r="BM551" s="176" t="s">
        <v>2794</v>
      </c>
      <c r="BN551">
        <v>2</v>
      </c>
      <c r="BO551" s="176" t="s">
        <v>2776</v>
      </c>
      <c r="BP551">
        <v>2</v>
      </c>
      <c r="BQ551" s="176" t="s">
        <v>2850</v>
      </c>
      <c r="BR551">
        <v>2</v>
      </c>
      <c r="BS551" s="182" t="s">
        <v>3085</v>
      </c>
      <c r="BT551">
        <v>2</v>
      </c>
      <c r="BU551" t="s">
        <v>2773</v>
      </c>
      <c r="BV551">
        <v>2</v>
      </c>
      <c r="BW551" s="179" t="s">
        <v>2776</v>
      </c>
      <c r="BX551" s="179">
        <v>2</v>
      </c>
      <c r="BY551" s="176" t="s">
        <v>2776</v>
      </c>
      <c r="BZ551">
        <v>2</v>
      </c>
      <c r="CA551" s="176" t="s">
        <v>2776</v>
      </c>
      <c r="CB551">
        <v>2</v>
      </c>
    </row>
    <row r="552" spans="49:80">
      <c r="AY552" t="s">
        <v>2768</v>
      </c>
      <c r="AZ552">
        <v>2</v>
      </c>
      <c r="BA552" t="s">
        <v>3035</v>
      </c>
      <c r="BB552">
        <v>2</v>
      </c>
      <c r="BC552" t="s">
        <v>2768</v>
      </c>
      <c r="BD552">
        <v>2</v>
      </c>
      <c r="BG552" s="176" t="s">
        <v>3035</v>
      </c>
      <c r="BH552">
        <v>2</v>
      </c>
      <c r="BI552" s="176" t="s">
        <v>2776</v>
      </c>
      <c r="BJ552">
        <v>2</v>
      </c>
      <c r="BK552" t="s">
        <v>3026</v>
      </c>
      <c r="BL552">
        <v>2</v>
      </c>
      <c r="BM552" s="176" t="s">
        <v>2776</v>
      </c>
      <c r="BN552">
        <v>2</v>
      </c>
      <c r="BO552" s="176" t="s">
        <v>2768</v>
      </c>
      <c r="BP552">
        <v>2</v>
      </c>
      <c r="BQ552" s="176" t="str">
        <f>IF(秋,"金环戴","吹风醒")</f>
        <v>吹风醒</v>
      </c>
      <c r="BR552">
        <v>1</v>
      </c>
      <c r="BS552" s="182" t="s">
        <v>3084</v>
      </c>
      <c r="BT552">
        <v>2</v>
      </c>
      <c r="BU552" s="176" t="s">
        <v>2794</v>
      </c>
      <c r="BV552">
        <v>1</v>
      </c>
      <c r="BW552" s="182" t="s">
        <v>2794</v>
      </c>
      <c r="BX552" s="179">
        <v>2</v>
      </c>
      <c r="BY552" s="176" t="s">
        <v>2768</v>
      </c>
      <c r="BZ552">
        <v>2</v>
      </c>
      <c r="CA552" s="176" t="s">
        <v>2768</v>
      </c>
      <c r="CB552">
        <v>2</v>
      </c>
    </row>
    <row r="553" spans="49:80">
      <c r="AY553" t="s">
        <v>2768</v>
      </c>
      <c r="AZ553">
        <v>2</v>
      </c>
      <c r="BA553" t="s">
        <v>2768</v>
      </c>
      <c r="BB553">
        <v>2</v>
      </c>
      <c r="BC553" t="s">
        <v>2776</v>
      </c>
      <c r="BD553">
        <v>1</v>
      </c>
      <c r="BG553" t="s">
        <v>2768</v>
      </c>
      <c r="BH553">
        <v>2</v>
      </c>
      <c r="BI553" t="s">
        <v>2768</v>
      </c>
      <c r="BJ553">
        <v>2</v>
      </c>
      <c r="BK553" t="s">
        <v>2776</v>
      </c>
      <c r="BL553">
        <v>2</v>
      </c>
      <c r="BM553" s="176" t="s">
        <v>2768</v>
      </c>
      <c r="BN553">
        <v>2</v>
      </c>
      <c r="BO553" t="s">
        <v>3056</v>
      </c>
      <c r="BP553">
        <v>1</v>
      </c>
      <c r="BQ553" s="176" t="str">
        <f>IF(秋,"梦泉虎跑-轻","夕照雷峰")</f>
        <v>夕照雷峰</v>
      </c>
      <c r="BR553">
        <v>1</v>
      </c>
      <c r="BS553" s="176" t="s">
        <v>2768</v>
      </c>
      <c r="BT553">
        <v>2</v>
      </c>
      <c r="BU553" t="s">
        <v>3028</v>
      </c>
      <c r="BV553">
        <v>1</v>
      </c>
      <c r="BW553" s="182" t="s">
        <v>2768</v>
      </c>
      <c r="BX553" s="179">
        <v>2</v>
      </c>
      <c r="BY553" s="176" t="s">
        <v>2808</v>
      </c>
      <c r="BZ553">
        <v>2</v>
      </c>
      <c r="CA553" s="176" t="s">
        <v>2808</v>
      </c>
      <c r="CB553">
        <v>2</v>
      </c>
    </row>
    <row r="554" spans="49:80">
      <c r="AW554" s="176"/>
      <c r="AY554" t="s">
        <v>2776</v>
      </c>
      <c r="AZ554">
        <v>2</v>
      </c>
      <c r="BA554" t="s">
        <v>2776</v>
      </c>
      <c r="BB554">
        <v>2</v>
      </c>
      <c r="BC554" t="s">
        <v>2768</v>
      </c>
      <c r="BD554">
        <v>1</v>
      </c>
      <c r="BG554" t="s">
        <v>2776</v>
      </c>
      <c r="BH554">
        <v>2</v>
      </c>
      <c r="BI554" s="176" t="s">
        <v>2768</v>
      </c>
      <c r="BJ554">
        <v>1</v>
      </c>
      <c r="BK554" t="s">
        <v>2794</v>
      </c>
      <c r="BL554">
        <v>2</v>
      </c>
      <c r="BM554" s="176" t="s">
        <v>2776</v>
      </c>
      <c r="BN554">
        <v>2</v>
      </c>
      <c r="BO554" t="s">
        <v>2768</v>
      </c>
      <c r="BP554">
        <v>2</v>
      </c>
      <c r="BQ554" t="s">
        <v>3028</v>
      </c>
      <c r="BR554">
        <v>2</v>
      </c>
      <c r="BS554" s="176" t="s">
        <v>2768</v>
      </c>
      <c r="BT554">
        <v>2</v>
      </c>
      <c r="BU554" t="s">
        <v>2768</v>
      </c>
      <c r="BV554">
        <v>1</v>
      </c>
      <c r="BW554" s="182" t="s">
        <v>2776</v>
      </c>
      <c r="BX554" s="179">
        <v>2</v>
      </c>
      <c r="BY554" t="s">
        <v>2768</v>
      </c>
      <c r="BZ554">
        <v>2</v>
      </c>
      <c r="CA554" t="str">
        <f>IF(0,"风来吴山","夕照雷峰")</f>
        <v>夕照雷峰</v>
      </c>
      <c r="CB554">
        <v>2</v>
      </c>
    </row>
    <row r="555" spans="49:80">
      <c r="AW555" s="176"/>
      <c r="AY555" t="s">
        <v>3035</v>
      </c>
      <c r="AZ555">
        <v>2</v>
      </c>
      <c r="BA555" t="s">
        <v>2768</v>
      </c>
      <c r="BB555">
        <v>2</v>
      </c>
      <c r="BC555" t="s">
        <v>2794</v>
      </c>
      <c r="BD555">
        <v>2</v>
      </c>
      <c r="BG555" t="s">
        <v>2768</v>
      </c>
      <c r="BH555">
        <v>2</v>
      </c>
      <c r="BI555" s="176" t="s">
        <v>2768</v>
      </c>
      <c r="BJ555">
        <v>1</v>
      </c>
      <c r="BK555" t="s">
        <v>2768</v>
      </c>
      <c r="BL555">
        <v>2</v>
      </c>
      <c r="BM555" s="176" t="s">
        <v>2768</v>
      </c>
      <c r="BN555">
        <v>2</v>
      </c>
      <c r="BO555" t="s">
        <v>2768</v>
      </c>
      <c r="BP555">
        <v>2</v>
      </c>
      <c r="BQ555" t="s">
        <v>2768</v>
      </c>
      <c r="BR555">
        <v>2</v>
      </c>
      <c r="BS555" s="176" t="s">
        <v>2768</v>
      </c>
      <c r="BT555">
        <v>2</v>
      </c>
      <c r="BU555" t="s">
        <v>3011</v>
      </c>
      <c r="BV555">
        <v>2</v>
      </c>
      <c r="BW555" s="182" t="s">
        <v>2768</v>
      </c>
      <c r="BX555" s="179">
        <v>2</v>
      </c>
      <c r="BY555" t="s">
        <v>2776</v>
      </c>
      <c r="BZ555">
        <v>2</v>
      </c>
      <c r="CA555" t="str">
        <f>IF(0,"云飞玉皇-玉山揽云","云飞玉皇")</f>
        <v>云飞玉皇</v>
      </c>
      <c r="CB555">
        <v>2</v>
      </c>
    </row>
    <row r="556" spans="49:80">
      <c r="AW556" s="176"/>
      <c r="AY556" t="s">
        <v>2768</v>
      </c>
      <c r="AZ556">
        <v>2</v>
      </c>
      <c r="BA556" t="s">
        <v>2776</v>
      </c>
      <c r="BB556">
        <v>2</v>
      </c>
      <c r="BC556" t="s">
        <v>2768</v>
      </c>
      <c r="BD556">
        <v>2</v>
      </c>
      <c r="BG556" t="s">
        <v>2776</v>
      </c>
      <c r="BH556">
        <v>2</v>
      </c>
      <c r="BI556" s="176" t="s">
        <v>2776</v>
      </c>
      <c r="BJ556">
        <v>0</v>
      </c>
      <c r="BK556" t="s">
        <v>2776</v>
      </c>
      <c r="BL556">
        <v>2</v>
      </c>
      <c r="BM556" s="176" t="s">
        <v>2808</v>
      </c>
      <c r="BN556">
        <v>2</v>
      </c>
      <c r="BO556" t="s">
        <v>2768</v>
      </c>
      <c r="BP556">
        <v>2</v>
      </c>
      <c r="BQ556" t="s">
        <v>2768</v>
      </c>
      <c r="BR556">
        <v>2</v>
      </c>
      <c r="BS556" s="176" t="s">
        <v>2776</v>
      </c>
      <c r="BT556">
        <v>2</v>
      </c>
      <c r="BU556" t="s">
        <v>2768</v>
      </c>
      <c r="BV556">
        <v>2</v>
      </c>
      <c r="BW556" s="182" t="s">
        <v>2776</v>
      </c>
      <c r="BX556" s="179">
        <v>2</v>
      </c>
      <c r="BY556" s="175" t="s">
        <v>2789</v>
      </c>
      <c r="BZ556">
        <v>2</v>
      </c>
      <c r="CA556" s="180" t="str">
        <f>IF(0,"云飞玉皇-玉山揽云","风来吴山")</f>
        <v>风来吴山</v>
      </c>
      <c r="CB556">
        <v>2</v>
      </c>
    </row>
    <row r="557" spans="49:80">
      <c r="AW557" s="176"/>
      <c r="AY557" t="s">
        <v>2776</v>
      </c>
      <c r="AZ557">
        <v>2</v>
      </c>
      <c r="BA557" t="s">
        <v>3042</v>
      </c>
      <c r="BB557">
        <v>2</v>
      </c>
      <c r="BC557" t="s">
        <v>2776</v>
      </c>
      <c r="BD557">
        <v>2</v>
      </c>
      <c r="BG557" t="s">
        <v>2768</v>
      </c>
      <c r="BH557">
        <v>2</v>
      </c>
      <c r="BI557" t="s">
        <v>2794</v>
      </c>
      <c r="BJ557">
        <v>0</v>
      </c>
      <c r="BK557" t="s">
        <v>2768</v>
      </c>
      <c r="BL557">
        <v>1</v>
      </c>
      <c r="BM557" t="str">
        <f>IF(0,"云飞玉皇-玉山揽云","夕照雷峰")</f>
        <v>夕照雷峰</v>
      </c>
      <c r="BN557">
        <v>2</v>
      </c>
      <c r="BO557" t="s">
        <v>2776</v>
      </c>
      <c r="BP557">
        <v>2</v>
      </c>
      <c r="BQ557" t="s">
        <v>3010</v>
      </c>
      <c r="BR557">
        <v>2</v>
      </c>
      <c r="BS557" s="176" t="s">
        <v>2768</v>
      </c>
      <c r="BT557">
        <v>2</v>
      </c>
      <c r="BU557" t="s">
        <v>3018</v>
      </c>
      <c r="BV557">
        <v>2</v>
      </c>
      <c r="BW557" s="182" t="str">
        <f t="shared" ref="BW557:BW561" si="106">IF($AN$11=1,"云飞玉皇-玉山揽云","夕照雷峰")</f>
        <v>云飞玉皇-玉山揽云</v>
      </c>
      <c r="BX557" s="179">
        <v>2</v>
      </c>
      <c r="BY557" t="s">
        <v>2768</v>
      </c>
      <c r="BZ557">
        <v>2</v>
      </c>
      <c r="CA557" t="str">
        <f>IF(0,橙武补雾锁,"夕照雷峰")</f>
        <v>夕照雷峰</v>
      </c>
      <c r="CB557">
        <v>2</v>
      </c>
    </row>
    <row r="558" spans="49:80">
      <c r="AW558" s="176"/>
      <c r="AY558" t="s">
        <v>2768</v>
      </c>
      <c r="AZ558">
        <v>2</v>
      </c>
      <c r="BA558" t="s">
        <v>2808</v>
      </c>
      <c r="BB558">
        <v>2</v>
      </c>
      <c r="BC558" t="s">
        <v>2768</v>
      </c>
      <c r="BD558">
        <v>2</v>
      </c>
      <c r="BG558" t="s">
        <v>2808</v>
      </c>
      <c r="BH558">
        <v>2</v>
      </c>
      <c r="BI558" t="s">
        <v>2768</v>
      </c>
      <c r="BJ558">
        <v>2</v>
      </c>
      <c r="BK558" t="s">
        <v>2776</v>
      </c>
      <c r="BL558">
        <v>1</v>
      </c>
      <c r="BM558" t="str">
        <f>IF(0,"云飞玉皇-玉山揽云","云飞玉皇")</f>
        <v>云飞玉皇</v>
      </c>
      <c r="BN558">
        <v>2</v>
      </c>
      <c r="BO558" t="s">
        <v>2768</v>
      </c>
      <c r="BP558">
        <v>2</v>
      </c>
      <c r="BQ558" t="s">
        <v>3013</v>
      </c>
      <c r="BR558">
        <v>2</v>
      </c>
      <c r="BS558" s="176" t="s">
        <v>2794</v>
      </c>
      <c r="BT558">
        <v>2</v>
      </c>
      <c r="BU558" t="s">
        <v>2768</v>
      </c>
      <c r="BV558">
        <v>2</v>
      </c>
      <c r="BW558" s="179" t="str">
        <f>IF($AN$11=1,"云飞玉皇-玉山揽云","云飞玉皇")</f>
        <v>云飞玉皇-玉山揽云</v>
      </c>
      <c r="BX558" s="179">
        <v>2</v>
      </c>
      <c r="BY558" t="s">
        <v>2768</v>
      </c>
      <c r="BZ558">
        <v>2</v>
      </c>
      <c r="CA558" t="str">
        <f>IF(0,"云飞玉皇-玉山揽云","夕照雷峰")</f>
        <v>夕照雷峰</v>
      </c>
      <c r="CB558">
        <v>2</v>
      </c>
    </row>
    <row r="559" spans="49:80">
      <c r="AW559" s="176"/>
      <c r="AY559" t="s">
        <v>2776</v>
      </c>
      <c r="AZ559">
        <v>2</v>
      </c>
      <c r="BA559" t="s">
        <v>2768</v>
      </c>
      <c r="BB559">
        <v>2</v>
      </c>
      <c r="BC559" t="s">
        <v>2776</v>
      </c>
      <c r="BD559">
        <v>2</v>
      </c>
      <c r="BG559" t="s">
        <v>2768</v>
      </c>
      <c r="BH559">
        <v>2</v>
      </c>
      <c r="BI559" t="s">
        <v>2776</v>
      </c>
      <c r="BJ559">
        <v>2</v>
      </c>
      <c r="BK559" t="s">
        <v>2768</v>
      </c>
      <c r="BL559">
        <v>0</v>
      </c>
      <c r="BM559" t="str">
        <f>IF(0,"云飞玉皇-玉山揽云","夕照雷峰")</f>
        <v>夕照雷峰</v>
      </c>
      <c r="BN559">
        <v>2</v>
      </c>
      <c r="BO559" t="s">
        <v>2768</v>
      </c>
      <c r="BP559">
        <v>2</v>
      </c>
      <c r="BQ559" t="s">
        <v>3018</v>
      </c>
      <c r="BR559">
        <v>2</v>
      </c>
      <c r="BS559" t="s">
        <v>2768</v>
      </c>
      <c r="BT559">
        <v>2</v>
      </c>
      <c r="BU559" s="182" t="s">
        <v>3023</v>
      </c>
      <c r="BV559">
        <v>2</v>
      </c>
      <c r="BW559" s="179" t="str">
        <f>IF($AN$11=1,橙武补雾锁,"听雷-重")</f>
        <v>云飞玉皇-玉山揽云</v>
      </c>
      <c r="BX559" s="179">
        <v>0</v>
      </c>
      <c r="BY559" t="s">
        <v>2776</v>
      </c>
      <c r="BZ559">
        <v>2</v>
      </c>
      <c r="CA559" t="str">
        <f>IF(0,"云飞玉皇-玉山揽云","云飞玉皇")</f>
        <v>云飞玉皇</v>
      </c>
      <c r="CB559">
        <v>2</v>
      </c>
    </row>
    <row r="560" spans="49:80">
      <c r="AY560" t="s">
        <v>3042</v>
      </c>
      <c r="AZ560">
        <v>2</v>
      </c>
      <c r="BA560" t="s">
        <v>2768</v>
      </c>
      <c r="BB560">
        <v>2</v>
      </c>
      <c r="BC560" t="s">
        <v>2768</v>
      </c>
      <c r="BD560">
        <v>2</v>
      </c>
      <c r="BG560" s="176" t="s">
        <v>2768</v>
      </c>
      <c r="BH560">
        <v>2</v>
      </c>
      <c r="BI560" t="s">
        <v>2768</v>
      </c>
      <c r="BJ560">
        <v>2</v>
      </c>
      <c r="BK560" t="s">
        <v>3056</v>
      </c>
      <c r="BL560">
        <v>0</v>
      </c>
      <c r="BM560" t="str">
        <f>IF(0,橙武补雾锁,"夕照雷峰")</f>
        <v>夕照雷峰</v>
      </c>
      <c r="BN560">
        <v>2</v>
      </c>
      <c r="BO560" t="s">
        <v>2768</v>
      </c>
      <c r="BP560">
        <v>2</v>
      </c>
      <c r="BQ560" t="s">
        <v>2768</v>
      </c>
      <c r="BR560">
        <v>2</v>
      </c>
      <c r="BS560" t="s">
        <v>2776</v>
      </c>
      <c r="BT560">
        <v>2</v>
      </c>
      <c r="BU560" s="186" t="str">
        <f>IF(秋,"夕照雷峰","千切子寒光")</f>
        <v>千切子寒光</v>
      </c>
      <c r="BV560">
        <v>2</v>
      </c>
      <c r="BW560" s="179" t="str">
        <f t="shared" si="106"/>
        <v>云飞玉皇-玉山揽云</v>
      </c>
      <c r="BX560" s="179">
        <v>2</v>
      </c>
      <c r="BY560" s="176" t="s">
        <v>2794</v>
      </c>
      <c r="BZ560">
        <v>2</v>
      </c>
      <c r="CA560" s="176" t="s">
        <v>2794</v>
      </c>
      <c r="CB560">
        <v>2</v>
      </c>
    </row>
    <row r="561" spans="49:80">
      <c r="AY561" t="s">
        <v>2808</v>
      </c>
      <c r="AZ561">
        <v>2</v>
      </c>
      <c r="BA561" t="s">
        <v>2776</v>
      </c>
      <c r="BB561">
        <v>2</v>
      </c>
      <c r="BC561" t="s">
        <v>2776</v>
      </c>
      <c r="BD561">
        <v>2</v>
      </c>
      <c r="BG561" s="176" t="s">
        <v>2776</v>
      </c>
      <c r="BH561">
        <v>2</v>
      </c>
      <c r="BI561" t="s">
        <v>2776</v>
      </c>
      <c r="BJ561">
        <v>1</v>
      </c>
      <c r="BK561" t="s">
        <v>2768</v>
      </c>
      <c r="BL561">
        <v>2</v>
      </c>
      <c r="BM561" t="str">
        <f>IF(0,"云飞玉皇-玉山揽云","夕照雷峰")</f>
        <v>夕照雷峰</v>
      </c>
      <c r="BN561">
        <v>2</v>
      </c>
      <c r="BO561" t="s">
        <v>2776</v>
      </c>
      <c r="BP561">
        <v>2</v>
      </c>
      <c r="BQ561" t="s">
        <v>3023</v>
      </c>
      <c r="BR561">
        <v>2</v>
      </c>
      <c r="BS561" t="s">
        <v>2768</v>
      </c>
      <c r="BT561">
        <v>2</v>
      </c>
      <c r="BU561" s="186" t="str">
        <f>IF(秋,"夕照雷峰","千切子裂光")</f>
        <v>千切子裂光</v>
      </c>
      <c r="BV561">
        <v>2</v>
      </c>
      <c r="BW561" s="179" t="str">
        <f t="shared" si="106"/>
        <v>云飞玉皇-玉山揽云</v>
      </c>
      <c r="BX561" s="179">
        <v>2</v>
      </c>
      <c r="BY561" s="176" t="str">
        <f>IF(0,"云飞玉皇-玉山揽云","夕照雷峰")</f>
        <v>夕照雷峰</v>
      </c>
      <c r="BZ561">
        <v>2</v>
      </c>
      <c r="CA561" s="176" t="s">
        <v>2768</v>
      </c>
      <c r="CB561">
        <v>2</v>
      </c>
    </row>
    <row r="562" spans="49:80">
      <c r="AY562" t="s">
        <v>2768</v>
      </c>
      <c r="AZ562">
        <v>2</v>
      </c>
      <c r="BA562" t="s">
        <v>2794</v>
      </c>
      <c r="BB562">
        <v>2</v>
      </c>
      <c r="BC562" t="s">
        <v>2768</v>
      </c>
      <c r="BD562">
        <v>1</v>
      </c>
      <c r="BG562" t="s">
        <v>2768</v>
      </c>
      <c r="BH562">
        <v>1</v>
      </c>
      <c r="BI562" t="s">
        <v>2768</v>
      </c>
      <c r="BJ562">
        <v>1</v>
      </c>
      <c r="BK562" t="s">
        <v>2768</v>
      </c>
      <c r="BL562">
        <v>2</v>
      </c>
      <c r="BM562" t="s">
        <v>2776</v>
      </c>
      <c r="BN562">
        <v>2</v>
      </c>
      <c r="BO562" t="s">
        <v>2768</v>
      </c>
      <c r="BP562">
        <v>1</v>
      </c>
      <c r="BQ562" t="s">
        <v>2768</v>
      </c>
      <c r="BR562">
        <v>2</v>
      </c>
      <c r="BS562" t="s">
        <v>2776</v>
      </c>
      <c r="BT562">
        <v>1</v>
      </c>
      <c r="BU562" s="176" t="s">
        <v>2768</v>
      </c>
      <c r="BV562">
        <v>2</v>
      </c>
      <c r="BW562" s="179" t="s">
        <v>2776</v>
      </c>
      <c r="BX562" s="179">
        <v>2</v>
      </c>
      <c r="BY562" s="176" t="str">
        <f>IF(0,"云飞玉皇-玉山揽云","云飞玉皇")</f>
        <v>云飞玉皇</v>
      </c>
      <c r="BZ562">
        <v>2</v>
      </c>
      <c r="CA562" s="176" t="s">
        <v>2776</v>
      </c>
      <c r="CB562">
        <v>2</v>
      </c>
    </row>
    <row r="563" spans="49:80">
      <c r="AW563" s="176"/>
      <c r="AY563" t="s">
        <v>2768</v>
      </c>
      <c r="AZ563">
        <v>2</v>
      </c>
      <c r="BA563" t="s">
        <v>2768</v>
      </c>
      <c r="BB563">
        <v>2</v>
      </c>
      <c r="BC563" t="s">
        <v>2768</v>
      </c>
      <c r="BD563">
        <v>1</v>
      </c>
      <c r="BG563" s="176" t="s">
        <v>2768</v>
      </c>
      <c r="BH563">
        <v>1</v>
      </c>
      <c r="BI563" t="s">
        <v>2776</v>
      </c>
      <c r="BJ563">
        <v>0</v>
      </c>
      <c r="BK563" t="s">
        <v>2776</v>
      </c>
      <c r="BL563">
        <v>2</v>
      </c>
      <c r="BM563" t="str">
        <f>IF(0,"云飞玉皇-玉山揽云","夕照雷峰")</f>
        <v>夕照雷峰</v>
      </c>
      <c r="BN563">
        <v>2</v>
      </c>
      <c r="BO563" t="s">
        <v>2722</v>
      </c>
      <c r="BP563">
        <v>0</v>
      </c>
      <c r="BQ563" t="s">
        <v>2776</v>
      </c>
      <c r="BR563">
        <v>2</v>
      </c>
      <c r="BS563" t="s">
        <v>2768</v>
      </c>
      <c r="BT563">
        <v>1</v>
      </c>
      <c r="BU563" s="176" t="s">
        <v>2776</v>
      </c>
      <c r="BV563">
        <v>2</v>
      </c>
      <c r="BW563" s="179" t="s">
        <v>2768</v>
      </c>
      <c r="BX563" s="179">
        <v>2</v>
      </c>
      <c r="BY563" s="176" t="str">
        <f>IF(0,橙武补雾锁,"夕照雷峰")</f>
        <v>夕照雷峰</v>
      </c>
      <c r="BZ563">
        <v>2</v>
      </c>
      <c r="CA563" s="176" t="s">
        <v>2768</v>
      </c>
      <c r="CB563">
        <v>2</v>
      </c>
    </row>
    <row r="564" spans="49:80">
      <c r="AW564" s="176"/>
      <c r="AY564" t="s">
        <v>2776</v>
      </c>
      <c r="AZ564">
        <v>2</v>
      </c>
      <c r="BA564" t="s">
        <v>2776</v>
      </c>
      <c r="BB564">
        <v>2</v>
      </c>
      <c r="BC564" t="s">
        <v>2813</v>
      </c>
      <c r="BD564">
        <v>0</v>
      </c>
      <c r="BG564" t="s">
        <v>3055</v>
      </c>
      <c r="BH564">
        <v>0</v>
      </c>
      <c r="BI564" t="s">
        <v>2768</v>
      </c>
      <c r="BJ564">
        <v>0</v>
      </c>
      <c r="BK564" t="s">
        <v>2768</v>
      </c>
      <c r="BL564">
        <v>1</v>
      </c>
      <c r="BM564" s="176" t="s">
        <v>2794</v>
      </c>
      <c r="BN564">
        <v>2</v>
      </c>
      <c r="BO564" t="s">
        <v>3009</v>
      </c>
      <c r="BP564">
        <v>2</v>
      </c>
      <c r="BQ564" t="str">
        <f>IF(秋,"夕照雷峰","千切子寒光")</f>
        <v>千切子寒光</v>
      </c>
      <c r="BR564">
        <v>2</v>
      </c>
      <c r="BS564" t="s">
        <v>3056</v>
      </c>
      <c r="BT564">
        <v>0</v>
      </c>
      <c r="BU564" t="str">
        <f>IF(秋,"鹤归孤山-叠-蛇牙锥心","鹤归孤山-叠")</f>
        <v>鹤归孤山-叠</v>
      </c>
      <c r="BV564">
        <v>2</v>
      </c>
      <c r="BW564" s="179" t="s">
        <v>2768</v>
      </c>
      <c r="BX564" s="179">
        <v>1</v>
      </c>
      <c r="BY564" s="176" t="str">
        <f>IF(0,"云飞玉皇-玉山揽云","云景·云飞玉皇")</f>
        <v>云景·云飞玉皇</v>
      </c>
      <c r="BZ564">
        <v>2</v>
      </c>
      <c r="CA564" s="176" t="s">
        <v>2808</v>
      </c>
      <c r="CB564">
        <v>2</v>
      </c>
    </row>
    <row r="565" spans="49:80">
      <c r="AW565" s="176"/>
      <c r="AY565" t="s">
        <v>2768</v>
      </c>
      <c r="AZ565">
        <v>2</v>
      </c>
      <c r="BA565" t="s">
        <v>2768</v>
      </c>
      <c r="BB565">
        <v>2</v>
      </c>
      <c r="BC565" t="s">
        <v>2776</v>
      </c>
      <c r="BD565">
        <v>2</v>
      </c>
      <c r="BG565" t="s">
        <v>2776</v>
      </c>
      <c r="BH565">
        <v>2</v>
      </c>
      <c r="BI565" t="s">
        <v>2768</v>
      </c>
      <c r="BJ565">
        <v>0</v>
      </c>
      <c r="BK565" t="s">
        <v>2768</v>
      </c>
      <c r="BL565">
        <v>1</v>
      </c>
      <c r="BM565" s="176" t="s">
        <v>2768</v>
      </c>
      <c r="BN565">
        <v>2</v>
      </c>
      <c r="BO565" t="s">
        <v>2776</v>
      </c>
      <c r="BP565">
        <v>2</v>
      </c>
      <c r="BQ565" t="str">
        <f>IF(秋,"夕照雷峰","千切子裂光")</f>
        <v>千切子裂光</v>
      </c>
      <c r="BR565">
        <v>2</v>
      </c>
      <c r="BS565" t="s">
        <v>2768</v>
      </c>
      <c r="BT565">
        <v>2</v>
      </c>
      <c r="BU565" t="s">
        <v>2768</v>
      </c>
      <c r="BV565">
        <v>2</v>
      </c>
      <c r="BW565" s="179" t="s">
        <v>2768</v>
      </c>
      <c r="BX565" s="179">
        <v>1</v>
      </c>
      <c r="BY565" s="176" t="str">
        <f>IF(0,"云飞玉皇-玉山揽云","夕照雷峰")</f>
        <v>夕照雷峰</v>
      </c>
      <c r="BZ565">
        <v>2</v>
      </c>
      <c r="CA565" t="s">
        <v>2768</v>
      </c>
      <c r="CB565">
        <v>2</v>
      </c>
    </row>
    <row r="566" spans="49:80">
      <c r="AY566" t="s">
        <v>2794</v>
      </c>
      <c r="AZ566">
        <v>2</v>
      </c>
      <c r="BA566" t="s">
        <v>2776</v>
      </c>
      <c r="BB566">
        <v>2</v>
      </c>
      <c r="BC566" t="s">
        <v>2768</v>
      </c>
      <c r="BD566">
        <v>2</v>
      </c>
      <c r="BG566" t="s">
        <v>2768</v>
      </c>
      <c r="BH566">
        <v>2</v>
      </c>
      <c r="BI566" t="s">
        <v>2722</v>
      </c>
      <c r="BJ566">
        <v>0</v>
      </c>
      <c r="BK566" t="s">
        <v>2768</v>
      </c>
      <c r="BL566">
        <v>0</v>
      </c>
      <c r="BM566" s="176" t="s">
        <v>2776</v>
      </c>
      <c r="BN566">
        <v>2</v>
      </c>
      <c r="BO566" t="s">
        <v>2768</v>
      </c>
      <c r="BP566">
        <v>2</v>
      </c>
      <c r="BQ566" t="str">
        <f>IF(秋,"鹤归孤山-叠-蛇牙锥心","鹤归孤山-叠")</f>
        <v>鹤归孤山-叠</v>
      </c>
      <c r="BR566">
        <v>2</v>
      </c>
      <c r="BS566" t="s">
        <v>2768</v>
      </c>
      <c r="BT566">
        <v>2</v>
      </c>
      <c r="BU566" t="s">
        <v>2776</v>
      </c>
      <c r="BV566">
        <v>2</v>
      </c>
      <c r="BW566" s="179" t="s">
        <v>2776</v>
      </c>
      <c r="BX566" s="179">
        <v>1</v>
      </c>
      <c r="BY566" t="s">
        <v>2776</v>
      </c>
      <c r="BZ566">
        <v>2</v>
      </c>
      <c r="CA566" t="s">
        <v>2776</v>
      </c>
      <c r="CB566">
        <v>2</v>
      </c>
    </row>
    <row r="567" spans="49:80">
      <c r="AY567" t="s">
        <v>2768</v>
      </c>
      <c r="AZ567">
        <v>2</v>
      </c>
      <c r="BA567" t="s">
        <v>2768</v>
      </c>
      <c r="BB567">
        <v>2</v>
      </c>
      <c r="BC567" t="s">
        <v>2768</v>
      </c>
      <c r="BD567">
        <v>2</v>
      </c>
      <c r="BG567" t="s">
        <v>2776</v>
      </c>
      <c r="BH567">
        <v>2</v>
      </c>
      <c r="BI567" t="s">
        <v>2776</v>
      </c>
      <c r="BJ567">
        <v>2</v>
      </c>
      <c r="BK567" t="s">
        <v>2776</v>
      </c>
      <c r="BL567">
        <v>0</v>
      </c>
      <c r="BM567" s="176" t="s">
        <v>2768</v>
      </c>
      <c r="BN567">
        <v>2</v>
      </c>
      <c r="BO567" t="str">
        <f>IF(山重水复,"风来吴山","夕照雷峰")</f>
        <v>夕照雷峰</v>
      </c>
      <c r="BP567">
        <v>2</v>
      </c>
      <c r="BQ567" t="s">
        <v>2776</v>
      </c>
      <c r="BR567">
        <v>2</v>
      </c>
      <c r="BS567" t="s">
        <v>2776</v>
      </c>
      <c r="BT567">
        <v>2</v>
      </c>
      <c r="BU567" t="s">
        <v>2768</v>
      </c>
      <c r="BV567">
        <v>2</v>
      </c>
      <c r="BW567" s="179" t="s">
        <v>2768</v>
      </c>
      <c r="BX567" s="179">
        <v>1</v>
      </c>
      <c r="BY567" t="s">
        <v>2768</v>
      </c>
      <c r="BZ567">
        <v>2</v>
      </c>
      <c r="CA567" t="s">
        <v>2768</v>
      </c>
      <c r="CB567">
        <v>2</v>
      </c>
    </row>
    <row r="568" spans="49:80">
      <c r="AY568" t="s">
        <v>2776</v>
      </c>
      <c r="AZ568">
        <v>2</v>
      </c>
      <c r="BA568" t="s">
        <v>2776</v>
      </c>
      <c r="BB568">
        <v>1</v>
      </c>
      <c r="BC568" t="s">
        <v>2768</v>
      </c>
      <c r="BD568">
        <v>1</v>
      </c>
      <c r="BG568" t="s">
        <v>2768</v>
      </c>
      <c r="BH568">
        <v>1</v>
      </c>
      <c r="BI568" t="s">
        <v>2768</v>
      </c>
      <c r="BJ568">
        <v>2</v>
      </c>
      <c r="BK568" t="s">
        <v>2768</v>
      </c>
      <c r="BL568">
        <v>0</v>
      </c>
      <c r="BM568" s="176" t="s">
        <v>2776</v>
      </c>
      <c r="BN568">
        <v>2</v>
      </c>
      <c r="BO568" s="176" t="s">
        <v>2794</v>
      </c>
      <c r="BP568">
        <v>2</v>
      </c>
      <c r="BQ568" t="s">
        <v>2768</v>
      </c>
      <c r="BR568">
        <v>2</v>
      </c>
      <c r="BS568" t="s">
        <v>2768</v>
      </c>
      <c r="BT568">
        <v>1</v>
      </c>
      <c r="BU568" t="s">
        <v>2776</v>
      </c>
      <c r="BV568">
        <v>2</v>
      </c>
      <c r="BW568" s="182" t="s">
        <v>2722</v>
      </c>
      <c r="BX568" s="179">
        <v>0</v>
      </c>
      <c r="BY568" t="s">
        <v>2718</v>
      </c>
      <c r="BZ568">
        <v>0</v>
      </c>
      <c r="CA568" t="s">
        <v>2768</v>
      </c>
      <c r="CB568">
        <v>2</v>
      </c>
    </row>
    <row r="569" spans="49:80">
      <c r="AY569" t="s">
        <v>2768</v>
      </c>
      <c r="AZ569">
        <v>2</v>
      </c>
      <c r="BA569" t="s">
        <v>2768</v>
      </c>
      <c r="BB569">
        <v>1</v>
      </c>
      <c r="BC569" t="s">
        <v>2776</v>
      </c>
      <c r="BD569">
        <v>1</v>
      </c>
      <c r="BG569" t="s">
        <v>2776</v>
      </c>
      <c r="BH569">
        <v>1</v>
      </c>
      <c r="BI569" t="s">
        <v>2768</v>
      </c>
      <c r="BJ569">
        <v>2</v>
      </c>
      <c r="BK569" t="s">
        <v>3067</v>
      </c>
      <c r="BL569">
        <v>2</v>
      </c>
      <c r="BM569" s="176" t="s">
        <v>2768</v>
      </c>
      <c r="BN569">
        <v>2</v>
      </c>
      <c r="BO569" s="176" t="s">
        <v>2776</v>
      </c>
      <c r="BP569">
        <v>2</v>
      </c>
      <c r="BQ569" t="s">
        <v>2776</v>
      </c>
      <c r="BR569">
        <v>2</v>
      </c>
      <c r="BS569" t="str">
        <f>IF(秋,"云栖松","泉凝月")</f>
        <v>泉凝月</v>
      </c>
      <c r="BT569">
        <v>1</v>
      </c>
      <c r="BU569" t="s">
        <v>2768</v>
      </c>
      <c r="BV569">
        <v>2</v>
      </c>
      <c r="BW569" s="179" t="s">
        <v>3009</v>
      </c>
      <c r="BX569" s="179">
        <v>2</v>
      </c>
      <c r="BY569" t="s">
        <v>2768</v>
      </c>
      <c r="BZ569">
        <v>2</v>
      </c>
      <c r="CA569" t="s">
        <v>2768</v>
      </c>
      <c r="CB569">
        <v>2</v>
      </c>
    </row>
    <row r="570" spans="49:80">
      <c r="AY570" t="s">
        <v>2776</v>
      </c>
      <c r="AZ570">
        <v>2</v>
      </c>
      <c r="BA570" t="s">
        <v>2768</v>
      </c>
      <c r="BB570">
        <v>0</v>
      </c>
      <c r="BC570" t="s">
        <v>2768</v>
      </c>
      <c r="BD570">
        <v>1</v>
      </c>
      <c r="BG570" t="s">
        <v>2768</v>
      </c>
      <c r="BH570">
        <v>0</v>
      </c>
      <c r="BI570" s="176" t="s">
        <v>2794</v>
      </c>
      <c r="BJ570">
        <v>1</v>
      </c>
      <c r="BK570" s="176" t="s">
        <v>2768</v>
      </c>
      <c r="BL570">
        <v>2</v>
      </c>
      <c r="BM570" t="s">
        <v>3056</v>
      </c>
      <c r="BN570">
        <v>1</v>
      </c>
      <c r="BO570" s="176" t="s">
        <v>2768</v>
      </c>
      <c r="BP570">
        <v>2</v>
      </c>
      <c r="BQ570" t="s">
        <v>2768</v>
      </c>
      <c r="BR570">
        <v>2</v>
      </c>
      <c r="BS570" t="s">
        <v>2768</v>
      </c>
      <c r="BT570">
        <v>0</v>
      </c>
      <c r="BU570" t="s">
        <v>2808</v>
      </c>
      <c r="BV570">
        <v>2</v>
      </c>
      <c r="BW570" s="179" t="s">
        <v>2776</v>
      </c>
      <c r="BX570" s="179">
        <v>2</v>
      </c>
      <c r="BY570" t="s">
        <v>2776</v>
      </c>
      <c r="BZ570">
        <v>2</v>
      </c>
      <c r="CA570" t="s">
        <v>2776</v>
      </c>
      <c r="CB570">
        <v>2</v>
      </c>
    </row>
    <row r="571" spans="49:80">
      <c r="AY571" t="s">
        <v>2768</v>
      </c>
      <c r="AZ571">
        <v>2</v>
      </c>
      <c r="BA571" t="s">
        <v>2722</v>
      </c>
      <c r="BB571">
        <v>0</v>
      </c>
      <c r="BC571" t="s">
        <v>2768</v>
      </c>
      <c r="BD571">
        <v>0</v>
      </c>
      <c r="BG571" t="s">
        <v>2768</v>
      </c>
      <c r="BH571">
        <v>0</v>
      </c>
      <c r="BI571" t="s">
        <v>2776</v>
      </c>
      <c r="BJ571">
        <v>1</v>
      </c>
      <c r="BK571" s="176" t="s">
        <v>2776</v>
      </c>
      <c r="BL571">
        <v>2</v>
      </c>
      <c r="BM571" t="s">
        <v>2768</v>
      </c>
      <c r="BN571">
        <v>2</v>
      </c>
      <c r="BO571" s="176" t="s">
        <v>2776</v>
      </c>
      <c r="BP571">
        <v>2</v>
      </c>
      <c r="BQ571" t="s">
        <v>3013</v>
      </c>
      <c r="BR571">
        <v>2</v>
      </c>
      <c r="BS571" t="s">
        <v>2776</v>
      </c>
      <c r="BT571">
        <v>0</v>
      </c>
      <c r="BU571" t="s">
        <v>2768</v>
      </c>
      <c r="BV571">
        <v>2</v>
      </c>
      <c r="BW571" s="179" t="s">
        <v>2768</v>
      </c>
      <c r="BX571" s="179">
        <v>2</v>
      </c>
      <c r="BY571" t="s">
        <v>2718</v>
      </c>
      <c r="BZ571">
        <v>0</v>
      </c>
      <c r="CA571" t="s">
        <v>2718</v>
      </c>
      <c r="CB571">
        <v>0</v>
      </c>
    </row>
    <row r="572" spans="49:80">
      <c r="AY572" t="s">
        <v>2776</v>
      </c>
      <c r="AZ572">
        <v>1</v>
      </c>
      <c r="BA572" t="s">
        <v>2776</v>
      </c>
      <c r="BB572">
        <v>2</v>
      </c>
      <c r="BC572" t="s">
        <v>2768</v>
      </c>
      <c r="BD572">
        <v>0</v>
      </c>
      <c r="BG572" t="s">
        <v>2776</v>
      </c>
      <c r="BH572">
        <v>0</v>
      </c>
      <c r="BI572" t="s">
        <v>2768</v>
      </c>
      <c r="BJ572">
        <v>0</v>
      </c>
      <c r="BK572" s="176" t="s">
        <v>2768</v>
      </c>
      <c r="BL572">
        <v>2</v>
      </c>
      <c r="BM572" t="s">
        <v>2768</v>
      </c>
      <c r="BN572">
        <v>2</v>
      </c>
      <c r="BO572" s="176" t="s">
        <v>2768</v>
      </c>
      <c r="BP572">
        <v>2</v>
      </c>
      <c r="BQ572" t="s">
        <v>2808</v>
      </c>
      <c r="BR572">
        <v>2</v>
      </c>
      <c r="BS572" t="s">
        <v>1886</v>
      </c>
      <c r="BT572">
        <v>0</v>
      </c>
      <c r="BU572" s="176" t="s">
        <v>2768</v>
      </c>
      <c r="BV572">
        <v>2</v>
      </c>
      <c r="BW572" s="179" t="str">
        <f>IF(山重水复,"风来吴山","夕照雷峰")</f>
        <v>夕照雷峰</v>
      </c>
      <c r="BX572" s="179">
        <v>2</v>
      </c>
      <c r="BY572" s="176" t="s">
        <v>2794</v>
      </c>
      <c r="BZ572">
        <v>0</v>
      </c>
      <c r="CA572" t="s">
        <v>2768</v>
      </c>
      <c r="CB572">
        <v>2</v>
      </c>
    </row>
    <row r="573" spans="49:80">
      <c r="AW573" s="176"/>
      <c r="AY573" t="s">
        <v>2768</v>
      </c>
      <c r="AZ573">
        <v>1</v>
      </c>
      <c r="BA573" t="s">
        <v>2768</v>
      </c>
      <c r="BB573">
        <v>2</v>
      </c>
      <c r="BC573" t="s">
        <v>3010</v>
      </c>
      <c r="BD573">
        <v>2</v>
      </c>
      <c r="BG573" t="s">
        <v>3067</v>
      </c>
      <c r="BH573">
        <v>0</v>
      </c>
      <c r="BI573" t="s">
        <v>3011</v>
      </c>
      <c r="BJ573">
        <v>2</v>
      </c>
      <c r="BK573" s="176" t="s">
        <v>2768</v>
      </c>
      <c r="BL573">
        <v>1</v>
      </c>
      <c r="BM573" t="s">
        <v>2768</v>
      </c>
      <c r="BN573">
        <v>2</v>
      </c>
      <c r="BO573" s="176" t="s">
        <v>2808</v>
      </c>
      <c r="BP573">
        <v>2</v>
      </c>
      <c r="BQ573" t="s">
        <v>2768</v>
      </c>
      <c r="BR573">
        <v>2</v>
      </c>
      <c r="BS573" t="s">
        <v>2853</v>
      </c>
      <c r="BT573">
        <v>1</v>
      </c>
      <c r="BU573" s="176" t="s">
        <v>2776</v>
      </c>
      <c r="BV573">
        <v>2</v>
      </c>
      <c r="BW573" s="182" t="s">
        <v>2794</v>
      </c>
      <c r="BX573" s="179">
        <v>2</v>
      </c>
      <c r="BY573" s="176" t="s">
        <v>2768</v>
      </c>
      <c r="BZ573">
        <v>2</v>
      </c>
      <c r="CA573" t="s">
        <v>2768</v>
      </c>
      <c r="CB573">
        <v>2</v>
      </c>
    </row>
    <row r="574" spans="49:80">
      <c r="AW574" s="176"/>
      <c r="AY574" t="s">
        <v>2768</v>
      </c>
      <c r="AZ574">
        <v>0</v>
      </c>
      <c r="BA574" t="s">
        <v>2768</v>
      </c>
      <c r="BB574">
        <v>2</v>
      </c>
      <c r="BC574" t="s">
        <v>3013</v>
      </c>
      <c r="BD574">
        <v>2</v>
      </c>
      <c r="BG574" t="s">
        <v>2768</v>
      </c>
      <c r="BH574">
        <v>2</v>
      </c>
      <c r="BI574" t="s">
        <v>2768</v>
      </c>
      <c r="BJ574">
        <v>2</v>
      </c>
      <c r="BK574" s="176" t="s">
        <v>2768</v>
      </c>
      <c r="BL574">
        <v>1</v>
      </c>
      <c r="BM574" t="s">
        <v>2776</v>
      </c>
      <c r="BN574">
        <v>2</v>
      </c>
      <c r="BO574" t="s">
        <v>2768</v>
      </c>
      <c r="BP574">
        <v>2</v>
      </c>
      <c r="BQ574" t="s">
        <v>2768</v>
      </c>
      <c r="BR574">
        <v>2</v>
      </c>
      <c r="BS574" s="176" t="str">
        <f>IF(秋,"金蛇锥-金环戴","金蛇锥-吹风醒")</f>
        <v>金蛇锥-吹风醒</v>
      </c>
      <c r="BT574">
        <v>0</v>
      </c>
      <c r="BU574" t="s">
        <v>2768</v>
      </c>
      <c r="BV574">
        <v>1</v>
      </c>
      <c r="BW574" s="182" t="s">
        <v>2776</v>
      </c>
      <c r="BX574" s="179">
        <v>2</v>
      </c>
      <c r="BY574" s="176" t="s">
        <v>2776</v>
      </c>
      <c r="BZ574">
        <v>2</v>
      </c>
      <c r="CA574" t="s">
        <v>2776</v>
      </c>
      <c r="CB574">
        <v>2</v>
      </c>
    </row>
    <row r="575" spans="49:80">
      <c r="AW575" s="176"/>
      <c r="AY575" t="s">
        <v>2722</v>
      </c>
      <c r="AZ575">
        <v>0</v>
      </c>
      <c r="BA575" t="s">
        <v>2768</v>
      </c>
      <c r="BB575">
        <v>1</v>
      </c>
      <c r="BC575" t="s">
        <v>3018</v>
      </c>
      <c r="BD575">
        <v>2</v>
      </c>
      <c r="BG575" t="s">
        <v>2768</v>
      </c>
      <c r="BH575">
        <v>2</v>
      </c>
      <c r="BI575" t="s">
        <v>3018</v>
      </c>
      <c r="BJ575">
        <v>2</v>
      </c>
      <c r="BK575" s="176" t="s">
        <v>2776</v>
      </c>
      <c r="BL575">
        <v>0</v>
      </c>
      <c r="BM575" t="s">
        <v>2768</v>
      </c>
      <c r="BN575">
        <v>2</v>
      </c>
      <c r="BO575" t="s">
        <v>2776</v>
      </c>
      <c r="BP575">
        <v>2</v>
      </c>
      <c r="BQ575" t="s">
        <v>2776</v>
      </c>
      <c r="BR575">
        <v>1</v>
      </c>
      <c r="BS575" t="s">
        <v>2773</v>
      </c>
      <c r="BT575">
        <v>2</v>
      </c>
      <c r="BU575" s="176" t="s">
        <v>2768</v>
      </c>
      <c r="BV575">
        <v>1</v>
      </c>
      <c r="BW575" s="182" t="s">
        <v>2768</v>
      </c>
      <c r="BX575" s="179">
        <v>2</v>
      </c>
      <c r="BY575" s="176" t="s">
        <v>2768</v>
      </c>
      <c r="BZ575">
        <v>1</v>
      </c>
      <c r="CA575" t="s">
        <v>2718</v>
      </c>
      <c r="CB575">
        <v>0</v>
      </c>
    </row>
    <row r="576" spans="49:80">
      <c r="AW576" s="176"/>
      <c r="AY576" t="s">
        <v>2776</v>
      </c>
      <c r="AZ576">
        <v>2</v>
      </c>
      <c r="BA576" t="s">
        <v>2776</v>
      </c>
      <c r="BB576">
        <v>1</v>
      </c>
      <c r="BC576" t="s">
        <v>2768</v>
      </c>
      <c r="BD576">
        <v>2</v>
      </c>
      <c r="BG576" s="176" t="s">
        <v>2794</v>
      </c>
      <c r="BH576">
        <v>1</v>
      </c>
      <c r="BI576" t="s">
        <v>2768</v>
      </c>
      <c r="BJ576">
        <v>2</v>
      </c>
      <c r="BK576" t="s">
        <v>2768</v>
      </c>
      <c r="BL576">
        <v>0</v>
      </c>
      <c r="BM576" t="s">
        <v>2768</v>
      </c>
      <c r="BN576">
        <v>2</v>
      </c>
      <c r="BO576" t="s">
        <v>2768</v>
      </c>
      <c r="BP576">
        <v>2</v>
      </c>
      <c r="BQ576" t="s">
        <v>3055</v>
      </c>
      <c r="BR576">
        <v>2</v>
      </c>
      <c r="BS576" t="s">
        <v>2776</v>
      </c>
      <c r="BT576">
        <v>2</v>
      </c>
      <c r="BU576" t="s">
        <v>3055</v>
      </c>
      <c r="BV576">
        <v>0</v>
      </c>
      <c r="BW576" s="182" t="s">
        <v>2776</v>
      </c>
      <c r="BX576" s="179">
        <v>2</v>
      </c>
      <c r="BY576" s="176" t="s">
        <v>2776</v>
      </c>
      <c r="BZ576">
        <v>1</v>
      </c>
      <c r="CA576" t="s">
        <v>2768</v>
      </c>
      <c r="CB576">
        <v>2</v>
      </c>
    </row>
    <row r="577" spans="49:80">
      <c r="AW577" s="176"/>
      <c r="AY577" t="s">
        <v>2768</v>
      </c>
      <c r="AZ577">
        <v>2</v>
      </c>
      <c r="BA577" t="s">
        <v>2768</v>
      </c>
      <c r="BB577">
        <v>1</v>
      </c>
      <c r="BC577" t="s">
        <v>3023</v>
      </c>
      <c r="BD577">
        <v>2</v>
      </c>
      <c r="BG577" t="s">
        <v>2776</v>
      </c>
      <c r="BH577">
        <v>1</v>
      </c>
      <c r="BI577" s="182" t="s">
        <v>3023</v>
      </c>
      <c r="BJ577">
        <v>2</v>
      </c>
      <c r="BM577" t="s">
        <v>2768</v>
      </c>
      <c r="BN577">
        <v>2</v>
      </c>
      <c r="BO577" t="s">
        <v>2768</v>
      </c>
      <c r="BP577">
        <v>2</v>
      </c>
      <c r="BQ577" t="s">
        <v>2768</v>
      </c>
      <c r="BR577">
        <v>2</v>
      </c>
      <c r="BS577" t="s">
        <v>2768</v>
      </c>
      <c r="BT577">
        <v>2</v>
      </c>
      <c r="BU577" t="s">
        <v>2776</v>
      </c>
      <c r="BV577">
        <v>2</v>
      </c>
      <c r="BW577" s="182" t="s">
        <v>2768</v>
      </c>
      <c r="BX577" s="179">
        <v>2</v>
      </c>
      <c r="BY577" s="176" t="s">
        <v>2768</v>
      </c>
      <c r="BZ577">
        <v>1</v>
      </c>
      <c r="CA577" t="s">
        <v>2768</v>
      </c>
      <c r="CB577">
        <v>1</v>
      </c>
    </row>
    <row r="578" spans="49:80">
      <c r="AW578" s="176"/>
      <c r="AY578" t="s">
        <v>2768</v>
      </c>
      <c r="AZ578">
        <v>2</v>
      </c>
      <c r="BA578" t="s">
        <v>2768</v>
      </c>
      <c r="BB578">
        <v>0</v>
      </c>
      <c r="BC578" t="s">
        <v>2768</v>
      </c>
      <c r="BD578">
        <v>2</v>
      </c>
      <c r="BG578" t="s">
        <v>2768</v>
      </c>
      <c r="BH578">
        <v>1</v>
      </c>
      <c r="BI578" s="176" t="s">
        <v>3026</v>
      </c>
      <c r="BJ578">
        <v>2</v>
      </c>
      <c r="BK578" s="176"/>
      <c r="BM578" t="s">
        <v>2776</v>
      </c>
      <c r="BN578">
        <v>2</v>
      </c>
      <c r="BO578" t="s">
        <v>2768</v>
      </c>
      <c r="BP578">
        <v>2</v>
      </c>
      <c r="BQ578" t="s">
        <v>2776</v>
      </c>
      <c r="BR578">
        <v>2</v>
      </c>
      <c r="BS578" t="s">
        <v>2768</v>
      </c>
      <c r="BT578">
        <v>2</v>
      </c>
      <c r="BU578" t="s">
        <v>2768</v>
      </c>
      <c r="BV578">
        <v>2</v>
      </c>
      <c r="BW578" s="182" t="s">
        <v>2808</v>
      </c>
      <c r="BX578" s="179">
        <v>2</v>
      </c>
      <c r="BY578" t="s">
        <v>2776</v>
      </c>
      <c r="BZ578">
        <v>1</v>
      </c>
      <c r="CA578" t="s">
        <v>2776</v>
      </c>
      <c r="CB578">
        <v>1</v>
      </c>
    </row>
    <row r="579" spans="49:80">
      <c r="AW579" s="176"/>
      <c r="AY579" t="s">
        <v>2768</v>
      </c>
      <c r="AZ579">
        <v>1</v>
      </c>
      <c r="BC579" t="s">
        <v>2776</v>
      </c>
      <c r="BD579">
        <v>2</v>
      </c>
      <c r="BI579" s="176" t="s">
        <v>3026</v>
      </c>
      <c r="BJ579">
        <v>2</v>
      </c>
      <c r="BK579" s="176"/>
      <c r="BM579" t="s">
        <v>2768</v>
      </c>
      <c r="BN579">
        <v>1</v>
      </c>
      <c r="BO579" t="s">
        <v>2776</v>
      </c>
      <c r="BP579">
        <v>2</v>
      </c>
      <c r="BQ579" t="s">
        <v>2768</v>
      </c>
      <c r="BR579">
        <v>2</v>
      </c>
      <c r="BS579" t="s">
        <v>2768</v>
      </c>
      <c r="BT579">
        <v>1</v>
      </c>
      <c r="BU579" t="s">
        <v>2776</v>
      </c>
      <c r="BV579">
        <v>2</v>
      </c>
      <c r="BW579" s="179" t="s">
        <v>2768</v>
      </c>
      <c r="BX579" s="179">
        <v>2</v>
      </c>
      <c r="BY579" t="s">
        <v>2768</v>
      </c>
      <c r="BZ579">
        <v>1</v>
      </c>
      <c r="CA579" t="s">
        <v>2768</v>
      </c>
      <c r="CB579">
        <v>1</v>
      </c>
    </row>
    <row r="580" spans="49:80">
      <c r="AY580" t="s">
        <v>2776</v>
      </c>
      <c r="AZ580">
        <v>1</v>
      </c>
      <c r="BC580" t="s">
        <v>2768</v>
      </c>
      <c r="BD580">
        <v>2</v>
      </c>
      <c r="BI580" s="176" t="s">
        <v>3026</v>
      </c>
      <c r="BJ580">
        <v>2</v>
      </c>
      <c r="BK580" s="176"/>
      <c r="BM580" t="s">
        <v>2722</v>
      </c>
      <c r="BN580">
        <v>0</v>
      </c>
      <c r="BO580" s="176" t="s">
        <v>2794</v>
      </c>
      <c r="BP580">
        <v>2</v>
      </c>
      <c r="BQ580" t="s">
        <v>2776</v>
      </c>
      <c r="BR580">
        <v>1</v>
      </c>
      <c r="BS580" t="s">
        <v>2776</v>
      </c>
      <c r="BT580">
        <v>1</v>
      </c>
      <c r="BU580" t="s">
        <v>2768</v>
      </c>
      <c r="BV580">
        <v>1</v>
      </c>
      <c r="BW580" s="179" t="s">
        <v>2776</v>
      </c>
      <c r="BX580" s="179">
        <v>2</v>
      </c>
      <c r="BY580" t="s">
        <v>2722</v>
      </c>
      <c r="BZ580">
        <v>0</v>
      </c>
      <c r="CA580" t="s">
        <v>2722</v>
      </c>
      <c r="CB580">
        <v>0</v>
      </c>
    </row>
    <row r="581" spans="49:80">
      <c r="AY581" t="s">
        <v>2768</v>
      </c>
      <c r="AZ581">
        <v>1</v>
      </c>
      <c r="BC581" t="s">
        <v>2794</v>
      </c>
      <c r="BD581">
        <v>2</v>
      </c>
      <c r="BI581" s="176" t="s">
        <v>3026</v>
      </c>
      <c r="BJ581">
        <v>2</v>
      </c>
      <c r="BK581" s="176"/>
      <c r="BM581" t="s">
        <v>3009</v>
      </c>
      <c r="BN581">
        <v>2</v>
      </c>
      <c r="BO581" s="176" t="s">
        <v>2768</v>
      </c>
      <c r="BP581">
        <v>2</v>
      </c>
      <c r="BQ581" t="s">
        <v>2768</v>
      </c>
      <c r="BR581">
        <v>1</v>
      </c>
      <c r="BS581" t="s">
        <v>2768</v>
      </c>
      <c r="BT581">
        <v>0</v>
      </c>
      <c r="BU581" t="s">
        <v>2776</v>
      </c>
      <c r="BV581">
        <v>1</v>
      </c>
      <c r="BW581" s="179" t="s">
        <v>2768</v>
      </c>
      <c r="BX581" s="179">
        <v>2</v>
      </c>
      <c r="BY581" t="s">
        <v>3009</v>
      </c>
      <c r="BZ581">
        <v>2</v>
      </c>
      <c r="CA581" t="s">
        <v>3009</v>
      </c>
      <c r="CB581">
        <v>2</v>
      </c>
    </row>
    <row r="582" spans="49:80">
      <c r="AY582" t="s">
        <v>2768</v>
      </c>
      <c r="AZ582">
        <v>0</v>
      </c>
      <c r="BC582" s="182" t="s">
        <v>3036</v>
      </c>
      <c r="BD582">
        <v>2</v>
      </c>
      <c r="BI582" s="176" t="s">
        <v>3036</v>
      </c>
      <c r="BJ582">
        <v>2</v>
      </c>
      <c r="BK582" s="176"/>
      <c r="BM582" t="s">
        <v>2776</v>
      </c>
      <c r="BN582">
        <v>2</v>
      </c>
      <c r="BO582" s="176" t="s">
        <v>2776</v>
      </c>
      <c r="BP582">
        <v>2</v>
      </c>
      <c r="BQ582" t="s">
        <v>2776</v>
      </c>
      <c r="BR582">
        <v>1</v>
      </c>
      <c r="BS582" t="s">
        <v>3012</v>
      </c>
      <c r="BT582">
        <v>2</v>
      </c>
      <c r="BU582" t="s">
        <v>2768</v>
      </c>
      <c r="BV582">
        <v>0</v>
      </c>
      <c r="BW582" s="179" t="s">
        <v>2768</v>
      </c>
      <c r="BX582" s="179">
        <v>2</v>
      </c>
      <c r="BY582" t="s">
        <v>2768</v>
      </c>
      <c r="BZ582">
        <v>2</v>
      </c>
      <c r="CA582" s="176" t="s">
        <v>2794</v>
      </c>
      <c r="CB582">
        <v>2</v>
      </c>
    </row>
    <row r="583" spans="49:80">
      <c r="BC583" s="176" t="s">
        <v>3026</v>
      </c>
      <c r="BD583">
        <v>2</v>
      </c>
      <c r="BI583" t="s">
        <v>2794</v>
      </c>
      <c r="BJ583">
        <v>2</v>
      </c>
      <c r="BK583" s="176"/>
      <c r="BM583" t="s">
        <v>2768</v>
      </c>
      <c r="BN583">
        <v>2</v>
      </c>
      <c r="BO583" s="176" t="s">
        <v>2768</v>
      </c>
      <c r="BP583">
        <v>2</v>
      </c>
      <c r="BQ583" t="s">
        <v>2768</v>
      </c>
      <c r="BR583">
        <v>0</v>
      </c>
      <c r="BS583" s="179" t="s">
        <v>2794</v>
      </c>
      <c r="BT583">
        <v>2</v>
      </c>
      <c r="BU583" t="s">
        <v>2768</v>
      </c>
      <c r="BV583">
        <v>0</v>
      </c>
      <c r="BW583" s="179" t="s">
        <v>2768</v>
      </c>
      <c r="BX583" s="179">
        <v>2</v>
      </c>
      <c r="BY583" t="s">
        <v>2776</v>
      </c>
      <c r="BZ583">
        <v>2</v>
      </c>
      <c r="CA583" s="176" t="s">
        <v>2776</v>
      </c>
      <c r="CB583">
        <v>2</v>
      </c>
    </row>
    <row r="584" spans="49:80">
      <c r="BC584" s="176" t="s">
        <v>3026</v>
      </c>
      <c r="BD584">
        <v>2</v>
      </c>
      <c r="BI584" t="s">
        <v>2776</v>
      </c>
      <c r="BJ584">
        <v>2</v>
      </c>
      <c r="BM584" t="str">
        <f>IF(山重水复,"风来吴山","夕照雷峰")</f>
        <v>夕照雷峰</v>
      </c>
      <c r="BN584">
        <v>2</v>
      </c>
      <c r="BO584" s="176" t="s">
        <v>2776</v>
      </c>
      <c r="BP584">
        <v>2</v>
      </c>
      <c r="BQ584" t="s">
        <v>2768</v>
      </c>
      <c r="BR584">
        <v>0</v>
      </c>
      <c r="BS584" s="179" t="s">
        <v>3030</v>
      </c>
      <c r="BT584">
        <v>2</v>
      </c>
      <c r="BU584" t="s">
        <v>2776</v>
      </c>
      <c r="BV584">
        <v>0</v>
      </c>
      <c r="BW584" s="179" t="s">
        <v>2776</v>
      </c>
      <c r="BX584" s="179">
        <v>2</v>
      </c>
      <c r="BY584" t="s">
        <v>2768</v>
      </c>
      <c r="BZ584">
        <v>2</v>
      </c>
      <c r="CA584" s="176" t="s">
        <v>2768</v>
      </c>
      <c r="CB584">
        <v>2</v>
      </c>
    </row>
    <row r="585" spans="49:80">
      <c r="BC585" s="176" t="s">
        <v>3026</v>
      </c>
      <c r="BD585">
        <v>2</v>
      </c>
      <c r="BI585" t="s">
        <v>2768</v>
      </c>
      <c r="BJ585">
        <v>2</v>
      </c>
      <c r="BM585" s="176" t="s">
        <v>2794</v>
      </c>
      <c r="BN585">
        <v>2</v>
      </c>
      <c r="BO585" s="176" t="str">
        <f>IF(0,"云飞玉皇-玉山揽云","夕照雷峰")</f>
        <v>夕照雷峰</v>
      </c>
      <c r="BP585">
        <v>2</v>
      </c>
      <c r="BQ585" t="s">
        <v>3067</v>
      </c>
      <c r="BR585">
        <v>0</v>
      </c>
      <c r="BS585" s="179" t="s">
        <v>2768</v>
      </c>
      <c r="BT585">
        <v>2</v>
      </c>
      <c r="BU585" t="s">
        <v>3067</v>
      </c>
      <c r="BV585">
        <v>0</v>
      </c>
      <c r="BW585" s="182" t="s">
        <v>2794</v>
      </c>
      <c r="BX585" s="179">
        <v>2</v>
      </c>
      <c r="BY585" t="str">
        <f>IF(山重水复,"风来吴山","夕照雷峰")</f>
        <v>夕照雷峰</v>
      </c>
      <c r="BZ585">
        <v>2</v>
      </c>
      <c r="CA585" s="176" t="s">
        <v>2776</v>
      </c>
      <c r="CB585">
        <v>2</v>
      </c>
    </row>
    <row r="586" spans="49:80">
      <c r="BC586" s="176" t="s">
        <v>3026</v>
      </c>
      <c r="BD586">
        <v>2</v>
      </c>
      <c r="BI586" t="s">
        <v>2776</v>
      </c>
      <c r="BJ586">
        <v>2</v>
      </c>
      <c r="BM586" s="176" t="s">
        <v>2776</v>
      </c>
      <c r="BN586">
        <v>2</v>
      </c>
      <c r="BO586" t="str">
        <f>IF(0,"云飞玉皇-玉山揽云","云飞玉皇")</f>
        <v>云飞玉皇</v>
      </c>
      <c r="BP586">
        <v>2</v>
      </c>
      <c r="BQ586" t="s">
        <v>2776</v>
      </c>
      <c r="BR586">
        <v>2</v>
      </c>
      <c r="BS586" s="182" t="s">
        <v>3023</v>
      </c>
      <c r="BT586">
        <v>2</v>
      </c>
      <c r="BU586" t="s">
        <v>2768</v>
      </c>
      <c r="BV586">
        <v>2</v>
      </c>
      <c r="BW586" s="182" t="s">
        <v>2768</v>
      </c>
      <c r="BX586" s="179">
        <v>2</v>
      </c>
      <c r="BY586" s="176" t="s">
        <v>2794</v>
      </c>
      <c r="BZ586">
        <v>2</v>
      </c>
      <c r="CA586" s="176" t="s">
        <v>2768</v>
      </c>
      <c r="CB586">
        <v>2</v>
      </c>
    </row>
    <row r="587" spans="49:80">
      <c r="AW587" s="176"/>
      <c r="BC587" t="s">
        <v>3013</v>
      </c>
      <c r="BD587">
        <v>2</v>
      </c>
      <c r="BI587" t="s">
        <v>2768</v>
      </c>
      <c r="BJ587">
        <v>2</v>
      </c>
      <c r="BM587" s="176" t="s">
        <v>2768</v>
      </c>
      <c r="BN587">
        <v>2</v>
      </c>
      <c r="BO587" t="str">
        <f>IF(秋,"云栖松","泉凝月")</f>
        <v>泉凝月</v>
      </c>
      <c r="BP587">
        <v>2</v>
      </c>
      <c r="BQ587" t="s">
        <v>2768</v>
      </c>
      <c r="BR587">
        <v>2</v>
      </c>
      <c r="BS587" s="182" t="s">
        <v>2768</v>
      </c>
      <c r="BT587">
        <v>2</v>
      </c>
      <c r="BU587" t="s">
        <v>2768</v>
      </c>
      <c r="BV587">
        <v>2</v>
      </c>
      <c r="BW587" s="182" t="s">
        <v>2776</v>
      </c>
      <c r="BX587" s="179">
        <v>2</v>
      </c>
      <c r="BY587" s="176" t="s">
        <v>2776</v>
      </c>
      <c r="BZ587">
        <v>2</v>
      </c>
      <c r="CA587" s="176" t="s">
        <v>2808</v>
      </c>
      <c r="CB587">
        <v>2</v>
      </c>
    </row>
    <row r="588" spans="49:80">
      <c r="AW588" s="176"/>
      <c r="BC588" t="s">
        <v>2808</v>
      </c>
      <c r="BD588">
        <v>2</v>
      </c>
      <c r="BI588" t="s">
        <v>2808</v>
      </c>
      <c r="BJ588">
        <v>2</v>
      </c>
      <c r="BM588" s="176" t="s">
        <v>2776</v>
      </c>
      <c r="BN588">
        <v>2</v>
      </c>
      <c r="BO588" t="s">
        <v>2768</v>
      </c>
      <c r="BP588">
        <v>2</v>
      </c>
      <c r="BQ588" t="s">
        <v>2768</v>
      </c>
      <c r="BR588">
        <v>2</v>
      </c>
      <c r="BS588" s="182" t="s">
        <v>2776</v>
      </c>
      <c r="BT588">
        <v>2</v>
      </c>
      <c r="BU588" s="176" t="s">
        <v>2794</v>
      </c>
      <c r="BV588">
        <v>1</v>
      </c>
      <c r="BW588" s="182" t="s">
        <v>2768</v>
      </c>
      <c r="BX588" s="179">
        <v>2</v>
      </c>
      <c r="BY588" s="176" t="s">
        <v>2768</v>
      </c>
      <c r="BZ588">
        <v>2</v>
      </c>
      <c r="CA588" t="s">
        <v>2768</v>
      </c>
      <c r="CB588">
        <v>2</v>
      </c>
    </row>
    <row r="589" spans="49:80">
      <c r="AW589" s="176"/>
      <c r="BC589" t="s">
        <v>2768</v>
      </c>
      <c r="BD589">
        <v>2</v>
      </c>
      <c r="BI589" t="s">
        <v>2768</v>
      </c>
      <c r="BJ589">
        <v>2</v>
      </c>
      <c r="BM589" s="176" t="s">
        <v>2768</v>
      </c>
      <c r="BN589">
        <v>2</v>
      </c>
      <c r="BO589" t="s">
        <v>1886</v>
      </c>
      <c r="BP589">
        <v>2</v>
      </c>
      <c r="BQ589" t="s">
        <v>2768</v>
      </c>
      <c r="BR589">
        <v>1</v>
      </c>
      <c r="BS589" s="182" t="s">
        <v>2768</v>
      </c>
      <c r="BT589">
        <v>2</v>
      </c>
      <c r="BU589" t="s">
        <v>2776</v>
      </c>
      <c r="BV589">
        <v>1</v>
      </c>
      <c r="BW589" s="182" t="s">
        <v>2776</v>
      </c>
      <c r="BX589" s="179">
        <v>2</v>
      </c>
      <c r="BY589" s="176" t="s">
        <v>2776</v>
      </c>
      <c r="BZ589">
        <v>2</v>
      </c>
      <c r="CA589" t="s">
        <v>2776</v>
      </c>
      <c r="CB589">
        <v>2</v>
      </c>
    </row>
    <row r="590" spans="49:80">
      <c r="AW590" s="176"/>
      <c r="BC590" t="s">
        <v>2768</v>
      </c>
      <c r="BD590">
        <v>2</v>
      </c>
      <c r="BI590" s="176" t="s">
        <v>2776</v>
      </c>
      <c r="BJ590">
        <v>2</v>
      </c>
      <c r="BM590" s="176" t="s">
        <v>2808</v>
      </c>
      <c r="BN590">
        <v>2</v>
      </c>
      <c r="BO590" t="s">
        <v>2853</v>
      </c>
      <c r="BP590">
        <v>2</v>
      </c>
      <c r="BQ590" t="s">
        <v>2776</v>
      </c>
      <c r="BR590">
        <v>1</v>
      </c>
      <c r="BS590" s="182" t="s">
        <v>2768</v>
      </c>
      <c r="BT590">
        <v>2</v>
      </c>
      <c r="BU590" t="s">
        <v>2768</v>
      </c>
      <c r="BV590">
        <v>1</v>
      </c>
      <c r="BW590" s="182" t="s">
        <v>2768</v>
      </c>
      <c r="BX590" s="179">
        <v>2</v>
      </c>
      <c r="BY590" s="176" t="s">
        <v>2768</v>
      </c>
      <c r="BZ590">
        <v>2</v>
      </c>
      <c r="CA590" t="str">
        <f>IF(山重水复,"风来吴山","夕照雷峰")</f>
        <v>夕照雷峰</v>
      </c>
      <c r="CB590">
        <v>2</v>
      </c>
    </row>
    <row r="591" spans="49:80">
      <c r="AW591" s="176"/>
      <c r="BC591" t="s">
        <v>2776</v>
      </c>
      <c r="BD591">
        <v>1</v>
      </c>
      <c r="BI591" t="s">
        <v>2768</v>
      </c>
      <c r="BJ591">
        <v>2</v>
      </c>
      <c r="BM591" t="s">
        <v>2768</v>
      </c>
      <c r="BN591">
        <v>2</v>
      </c>
      <c r="BO591" s="176" t="s">
        <v>2850</v>
      </c>
      <c r="BP591">
        <f>IF(0,2,0)</f>
        <v>0</v>
      </c>
      <c r="BQ591" t="s">
        <v>2768</v>
      </c>
      <c r="BR591">
        <v>1</v>
      </c>
      <c r="BS591" s="187" t="str">
        <f>IF(秋,"云景·云飞玉皇-叠-蛇牙锥心","云景·云飞玉皇-叠")</f>
        <v>云景·云飞玉皇-叠</v>
      </c>
      <c r="BT591">
        <v>2</v>
      </c>
      <c r="BU591" t="s">
        <v>3011</v>
      </c>
      <c r="BV591">
        <v>2</v>
      </c>
      <c r="BW591" s="179" t="s">
        <v>2776</v>
      </c>
      <c r="BX591" s="179">
        <v>2</v>
      </c>
      <c r="BY591" s="176" t="s">
        <v>2808</v>
      </c>
      <c r="BZ591">
        <v>2</v>
      </c>
      <c r="CA591" t="s">
        <v>2768</v>
      </c>
      <c r="CB591">
        <v>2</v>
      </c>
    </row>
    <row r="592" spans="49:80">
      <c r="AW592" s="176"/>
      <c r="BC592" t="s">
        <v>2768</v>
      </c>
      <c r="BD592">
        <v>1</v>
      </c>
      <c r="BI592" t="s">
        <v>2768</v>
      </c>
      <c r="BJ592">
        <v>1</v>
      </c>
      <c r="BK592" s="176"/>
      <c r="BM592" t="s">
        <v>2776</v>
      </c>
      <c r="BN592">
        <v>2</v>
      </c>
      <c r="BO592" s="176" t="str">
        <f>IF(秋,"金环戴","吹风醒")</f>
        <v>吹风醒</v>
      </c>
      <c r="BP592">
        <v>2</v>
      </c>
      <c r="BQ592" t="s">
        <v>2768</v>
      </c>
      <c r="BR592">
        <v>0</v>
      </c>
      <c r="BS592" s="186" t="str">
        <f>IF(秋,"夕照雷峰","千切子寒光")</f>
        <v>千切子寒光</v>
      </c>
      <c r="BT592">
        <v>2</v>
      </c>
      <c r="BU592" t="s">
        <v>2768</v>
      </c>
      <c r="BV592">
        <v>2</v>
      </c>
      <c r="BW592" s="182" t="s">
        <v>3063</v>
      </c>
      <c r="BX592" s="179">
        <v>0</v>
      </c>
      <c r="BY592" t="s">
        <v>2768</v>
      </c>
      <c r="BZ592">
        <v>2</v>
      </c>
      <c r="CA592" t="s">
        <v>2768</v>
      </c>
      <c r="CB592">
        <v>2</v>
      </c>
    </row>
    <row r="593" spans="49:80">
      <c r="AW593" s="176"/>
      <c r="BC593" t="s">
        <v>2794</v>
      </c>
      <c r="BD593">
        <v>2</v>
      </c>
      <c r="BI593" s="176" t="s">
        <v>2768</v>
      </c>
      <c r="BJ593">
        <v>1</v>
      </c>
      <c r="BK593" s="176"/>
      <c r="BM593" t="s">
        <v>2768</v>
      </c>
      <c r="BN593">
        <v>2</v>
      </c>
      <c r="BO593" t="str">
        <f>IF(秋,"夕照雷峰","云飞玉皇")</f>
        <v>云飞玉皇</v>
      </c>
      <c r="BP593">
        <v>2</v>
      </c>
      <c r="BQ593" t="s">
        <v>3010</v>
      </c>
      <c r="BR593">
        <v>2</v>
      </c>
      <c r="BS593" s="186" t="str">
        <f>IF(秋,"夕照雷峰","千切子裂光")</f>
        <v>千切子裂光</v>
      </c>
      <c r="BT593">
        <v>2</v>
      </c>
      <c r="BU593" t="s">
        <v>3018</v>
      </c>
      <c r="BV593">
        <v>2</v>
      </c>
      <c r="BW593" s="179" t="s">
        <v>2768</v>
      </c>
      <c r="BX593" s="179">
        <v>2</v>
      </c>
      <c r="BY593" t="s">
        <v>2776</v>
      </c>
      <c r="BZ593">
        <v>2</v>
      </c>
      <c r="CA593" t="s">
        <v>2776</v>
      </c>
      <c r="CB593">
        <v>2</v>
      </c>
    </row>
    <row r="594" spans="49:80">
      <c r="BC594" t="s">
        <v>2768</v>
      </c>
      <c r="BD594">
        <v>2</v>
      </c>
      <c r="BI594" s="176" t="s">
        <v>2776</v>
      </c>
      <c r="BJ594">
        <v>0</v>
      </c>
      <c r="BK594" s="176"/>
      <c r="BM594" t="s">
        <v>2768</v>
      </c>
      <c r="BN594">
        <v>2</v>
      </c>
      <c r="BO594" s="176" t="str">
        <f>IF(秋,"梦泉虎跑-轻","夕照雷峰")</f>
        <v>夕照雷峰</v>
      </c>
      <c r="BP594">
        <v>2</v>
      </c>
      <c r="BQ594" t="s">
        <v>3013</v>
      </c>
      <c r="BR594">
        <v>2</v>
      </c>
      <c r="BS594" s="176" t="s">
        <v>2768</v>
      </c>
      <c r="BT594">
        <v>2</v>
      </c>
      <c r="BU594" t="s">
        <v>2768</v>
      </c>
      <c r="BV594">
        <v>2</v>
      </c>
      <c r="BW594" s="179" t="s">
        <v>1886</v>
      </c>
      <c r="BX594" s="179">
        <v>2</v>
      </c>
      <c r="BY594" t="s">
        <v>2768</v>
      </c>
      <c r="BZ594">
        <v>2</v>
      </c>
      <c r="CA594" s="176" t="s">
        <v>2794</v>
      </c>
      <c r="CB594">
        <v>2</v>
      </c>
    </row>
    <row r="595" spans="49:80">
      <c r="BC595" t="s">
        <v>2776</v>
      </c>
      <c r="BD595">
        <v>2</v>
      </c>
      <c r="BI595" t="s">
        <v>2794</v>
      </c>
      <c r="BJ595">
        <v>0</v>
      </c>
      <c r="BK595" s="176"/>
      <c r="BM595" t="s">
        <v>2768</v>
      </c>
      <c r="BN595">
        <v>2</v>
      </c>
      <c r="BO595" s="176" t="str">
        <f>IF(秋,"九溪弥烟-轻-血毒金蛇锥","梦泉虎跑-轻")</f>
        <v>梦泉虎跑-轻</v>
      </c>
      <c r="BP595">
        <v>0</v>
      </c>
      <c r="BQ595" t="s">
        <v>3018</v>
      </c>
      <c r="BR595">
        <v>2</v>
      </c>
      <c r="BS595" s="176" t="s">
        <v>2776</v>
      </c>
      <c r="BT595">
        <v>2</v>
      </c>
      <c r="BU595" s="182" t="s">
        <v>3023</v>
      </c>
      <c r="BV595">
        <v>2</v>
      </c>
      <c r="BW595" s="179" t="s">
        <v>2853</v>
      </c>
      <c r="BX595" s="179">
        <v>2</v>
      </c>
      <c r="BY595" t="s">
        <v>2768</v>
      </c>
      <c r="BZ595">
        <v>2</v>
      </c>
      <c r="CA595" t="str">
        <f>IF(0,"云飞玉皇-玉山揽云","夕照雷峰")</f>
        <v>夕照雷峰</v>
      </c>
      <c r="CB595">
        <v>2</v>
      </c>
    </row>
    <row r="596" spans="49:80">
      <c r="BC596" t="s">
        <v>2768</v>
      </c>
      <c r="BD596">
        <v>2</v>
      </c>
      <c r="BI596" t="s">
        <v>2768</v>
      </c>
      <c r="BJ596">
        <v>2</v>
      </c>
      <c r="BK596" s="176"/>
      <c r="BM596" t="s">
        <v>2776</v>
      </c>
      <c r="BN596">
        <v>2</v>
      </c>
      <c r="BQ596" t="s">
        <v>2768</v>
      </c>
      <c r="BR596">
        <v>2</v>
      </c>
      <c r="BS596" s="176" t="s">
        <v>2768</v>
      </c>
      <c r="BT596">
        <v>2</v>
      </c>
      <c r="BU596" s="176" t="s">
        <v>2768</v>
      </c>
      <c r="BV596">
        <v>2</v>
      </c>
      <c r="BW596" s="182" t="s">
        <v>3117</v>
      </c>
      <c r="BX596" s="179">
        <v>2</v>
      </c>
      <c r="BY596" t="s">
        <v>2768</v>
      </c>
      <c r="BZ596">
        <v>2</v>
      </c>
      <c r="CA596" t="str">
        <f>IF(0,"云飞玉皇-玉山揽云","云飞玉皇")</f>
        <v>云飞玉皇</v>
      </c>
      <c r="CB596">
        <v>2</v>
      </c>
    </row>
    <row r="597" spans="49:80">
      <c r="BC597" t="s">
        <v>2776</v>
      </c>
      <c r="BD597">
        <v>2</v>
      </c>
      <c r="BI597" t="s">
        <v>2776</v>
      </c>
      <c r="BJ597">
        <v>2</v>
      </c>
      <c r="BK597" s="176"/>
      <c r="BM597" t="s">
        <v>2768</v>
      </c>
      <c r="BN597">
        <v>2</v>
      </c>
      <c r="BQ597" t="s">
        <v>3023</v>
      </c>
      <c r="BR597">
        <v>2</v>
      </c>
      <c r="BS597" s="176" t="s">
        <v>2794</v>
      </c>
      <c r="BT597">
        <v>2</v>
      </c>
      <c r="BU597" s="176" t="s">
        <v>2768</v>
      </c>
      <c r="BV597">
        <v>2</v>
      </c>
      <c r="BW597" s="182" t="s">
        <v>2768</v>
      </c>
      <c r="BX597" s="179">
        <v>2</v>
      </c>
      <c r="BY597" t="s">
        <v>2776</v>
      </c>
      <c r="BZ597">
        <v>2</v>
      </c>
      <c r="CA597" t="str">
        <f>IF(0,橙武补雾锁,"夕照雷峰")</f>
        <v>夕照雷峰</v>
      </c>
      <c r="CB597">
        <v>2</v>
      </c>
    </row>
    <row r="598" spans="49:80">
      <c r="BC598" t="s">
        <v>2768</v>
      </c>
      <c r="BD598">
        <v>2</v>
      </c>
      <c r="BI598" t="s">
        <v>2768</v>
      </c>
      <c r="BJ598">
        <v>2</v>
      </c>
      <c r="BM598" s="176" t="s">
        <v>2794</v>
      </c>
      <c r="BN598">
        <v>2</v>
      </c>
      <c r="BQ598" t="s">
        <v>2768</v>
      </c>
      <c r="BR598">
        <v>2</v>
      </c>
      <c r="BS598" t="s">
        <v>2768</v>
      </c>
      <c r="BT598">
        <v>2</v>
      </c>
      <c r="BU598" s="176" t="s">
        <v>2789</v>
      </c>
      <c r="BV598">
        <v>2</v>
      </c>
      <c r="BW598" s="182" t="str">
        <f>IF(秋,"云飞玉皇","云飞玉皇·云景")</f>
        <v>云飞玉皇·云景</v>
      </c>
      <c r="BX598" s="179">
        <v>2</v>
      </c>
      <c r="BY598" s="176" t="s">
        <v>2794</v>
      </c>
      <c r="BZ598">
        <v>2</v>
      </c>
      <c r="CA598" t="str">
        <f>IF(0,"云飞玉皇-玉山揽云","云景·云飞玉皇")</f>
        <v>云景·云飞玉皇</v>
      </c>
      <c r="CB598">
        <v>2</v>
      </c>
    </row>
    <row r="599" spans="49:80">
      <c r="BC599" t="s">
        <v>2776</v>
      </c>
      <c r="BD599">
        <v>2</v>
      </c>
      <c r="BI599" t="s">
        <v>2776</v>
      </c>
      <c r="BJ599">
        <v>1</v>
      </c>
      <c r="BM599" s="176" t="s">
        <v>2768</v>
      </c>
      <c r="BN599">
        <v>2</v>
      </c>
      <c r="BQ599" t="s">
        <v>2776</v>
      </c>
      <c r="BR599">
        <v>2</v>
      </c>
      <c r="BS599" t="s">
        <v>2776</v>
      </c>
      <c r="BT599">
        <v>2</v>
      </c>
      <c r="BU599" s="176" t="s">
        <v>2776</v>
      </c>
      <c r="BV599">
        <v>2</v>
      </c>
      <c r="BW599" s="179" t="s">
        <v>2722</v>
      </c>
      <c r="BX599" s="179">
        <v>2</v>
      </c>
      <c r="BY599" s="176" t="s">
        <v>2768</v>
      </c>
      <c r="BZ599">
        <v>2</v>
      </c>
      <c r="CA599" t="str">
        <f>IF(0,"云飞玉皇-玉山揽云","夕照雷峰")</f>
        <v>夕照雷峰</v>
      </c>
      <c r="CB599">
        <v>2</v>
      </c>
    </row>
    <row r="600" spans="49:80">
      <c r="BC600" t="s">
        <v>2768</v>
      </c>
      <c r="BD600">
        <v>1</v>
      </c>
      <c r="BI600" t="s">
        <v>2768</v>
      </c>
      <c r="BJ600">
        <v>1</v>
      </c>
      <c r="BM600" s="176" t="s">
        <v>2776</v>
      </c>
      <c r="BN600">
        <v>2</v>
      </c>
      <c r="BQ600" t="s">
        <v>2789</v>
      </c>
      <c r="BR600">
        <v>2</v>
      </c>
      <c r="BS600" t="s">
        <v>2768</v>
      </c>
      <c r="BT600">
        <v>2</v>
      </c>
      <c r="BU600" s="176" t="s">
        <v>3035</v>
      </c>
      <c r="BV600">
        <v>2</v>
      </c>
      <c r="BW600" s="179" t="s">
        <v>3009</v>
      </c>
      <c r="BX600" s="179">
        <v>2</v>
      </c>
      <c r="BY600" s="176" t="s">
        <v>2776</v>
      </c>
      <c r="BZ600">
        <v>2</v>
      </c>
      <c r="CA600" t="s">
        <v>2776</v>
      </c>
      <c r="CB600">
        <v>2</v>
      </c>
    </row>
    <row r="601" spans="49:80">
      <c r="BC601" t="s">
        <v>2768</v>
      </c>
      <c r="BD601">
        <v>1</v>
      </c>
      <c r="BI601" t="s">
        <v>2776</v>
      </c>
      <c r="BJ601">
        <v>0</v>
      </c>
      <c r="BM601" s="176" t="s">
        <v>2768</v>
      </c>
      <c r="BN601">
        <v>2</v>
      </c>
      <c r="BQ601" t="s">
        <v>2768</v>
      </c>
      <c r="BR601">
        <v>2</v>
      </c>
      <c r="BS601" t="s">
        <v>2776</v>
      </c>
      <c r="BT601">
        <v>1</v>
      </c>
      <c r="BU601" t="s">
        <v>2768</v>
      </c>
      <c r="BV601">
        <v>2</v>
      </c>
      <c r="BW601" s="179" t="s">
        <v>2768</v>
      </c>
      <c r="BX601" s="179">
        <v>2</v>
      </c>
      <c r="BY601" s="176" t="s">
        <v>2768</v>
      </c>
      <c r="BZ601">
        <v>2</v>
      </c>
      <c r="CA601" t="str">
        <f>IF(秋,"云栖松","泉凝月")</f>
        <v>泉凝月</v>
      </c>
      <c r="CB601">
        <v>2</v>
      </c>
    </row>
    <row r="602" spans="49:80">
      <c r="BC602" t="s">
        <v>2813</v>
      </c>
      <c r="BD602">
        <v>0</v>
      </c>
      <c r="BI602" t="s">
        <v>2768</v>
      </c>
      <c r="BJ602">
        <v>0</v>
      </c>
      <c r="BM602" s="176" t="s">
        <v>2776</v>
      </c>
      <c r="BN602">
        <v>2</v>
      </c>
      <c r="BQ602" t="s">
        <v>3035</v>
      </c>
      <c r="BR602">
        <v>2</v>
      </c>
      <c r="BS602" t="s">
        <v>2768</v>
      </c>
      <c r="BT602">
        <v>1</v>
      </c>
      <c r="BU602" t="s">
        <v>2776</v>
      </c>
      <c r="BV602">
        <v>2</v>
      </c>
      <c r="BW602" s="179" t="s">
        <v>2776</v>
      </c>
      <c r="BX602" s="179">
        <v>2</v>
      </c>
      <c r="BY602" s="176" t="s">
        <v>2776</v>
      </c>
      <c r="BZ602">
        <v>2</v>
      </c>
      <c r="CA602" t="s">
        <v>2768</v>
      </c>
      <c r="CB602">
        <v>2</v>
      </c>
    </row>
    <row r="603" spans="49:80">
      <c r="BC603" t="s">
        <v>2776</v>
      </c>
      <c r="BD603">
        <v>2</v>
      </c>
      <c r="BI603" t="s">
        <v>2768</v>
      </c>
      <c r="BJ603">
        <v>0</v>
      </c>
      <c r="BM603" s="176" t="str">
        <f>IF(0,"云飞玉皇-玉山揽云","夕照雷峰")</f>
        <v>夕照雷峰</v>
      </c>
      <c r="BN603">
        <v>2</v>
      </c>
      <c r="BQ603" t="s">
        <v>2776</v>
      </c>
      <c r="BR603">
        <v>2</v>
      </c>
      <c r="BS603" t="s">
        <v>3056</v>
      </c>
      <c r="BT603">
        <v>0</v>
      </c>
      <c r="BU603" t="s">
        <v>2768</v>
      </c>
      <c r="BV603">
        <v>2</v>
      </c>
      <c r="BW603" s="176"/>
      <c r="BY603" s="176" t="str">
        <f>IF(0,"云飞玉皇-玉山揽云","夕照雷峰")</f>
        <v>夕照雷峰</v>
      </c>
      <c r="BZ603">
        <v>2</v>
      </c>
      <c r="CA603" t="s">
        <v>1886</v>
      </c>
      <c r="CB603">
        <v>2</v>
      </c>
    </row>
    <row r="604" spans="49:80">
      <c r="BC604" t="s">
        <v>2768</v>
      </c>
      <c r="BD604">
        <v>2</v>
      </c>
      <c r="BI604" t="s">
        <v>2722</v>
      </c>
      <c r="BJ604">
        <v>0</v>
      </c>
      <c r="BK604" s="176"/>
      <c r="BM604" t="str">
        <f>IF(0,"云飞玉皇-玉山揽云","云飞玉皇")</f>
        <v>云飞玉皇</v>
      </c>
      <c r="BN604">
        <v>2</v>
      </c>
      <c r="BQ604" t="s">
        <v>2768</v>
      </c>
      <c r="BR604">
        <v>2</v>
      </c>
      <c r="BS604" t="s">
        <v>2768</v>
      </c>
      <c r="BT604">
        <v>2</v>
      </c>
      <c r="BU604" t="s">
        <v>2776</v>
      </c>
      <c r="BV604">
        <v>2</v>
      </c>
      <c r="BW604" s="176"/>
      <c r="BY604" t="str">
        <f>IF(0,"云飞玉皇-玉山揽云","云飞玉皇")</f>
        <v>云飞玉皇</v>
      </c>
      <c r="BZ604">
        <v>2</v>
      </c>
      <c r="CA604" t="s">
        <v>2853</v>
      </c>
      <c r="CB604">
        <v>2</v>
      </c>
    </row>
    <row r="605" spans="49:80">
      <c r="BC605" t="s">
        <v>2768</v>
      </c>
      <c r="BD605">
        <v>2</v>
      </c>
      <c r="BI605" t="s">
        <v>2776</v>
      </c>
      <c r="BJ605">
        <v>2</v>
      </c>
      <c r="BK605" s="176"/>
      <c r="BM605" t="str">
        <f>IF(秋,"云栖松","泉凝月")</f>
        <v>泉凝月</v>
      </c>
      <c r="BN605">
        <v>2</v>
      </c>
      <c r="BQ605" t="s">
        <v>2776</v>
      </c>
      <c r="BR605">
        <v>2</v>
      </c>
      <c r="BS605" t="s">
        <v>2768</v>
      </c>
      <c r="BT605">
        <v>2</v>
      </c>
      <c r="BU605" t="s">
        <v>2768</v>
      </c>
      <c r="BV605">
        <v>2</v>
      </c>
      <c r="BW605" s="176"/>
      <c r="BY605" t="str">
        <f>IF(秋,"云栖松","泉凝月")</f>
        <v>泉凝月</v>
      </c>
      <c r="BZ605">
        <v>2</v>
      </c>
      <c r="CA605" s="176" t="s">
        <v>2850</v>
      </c>
      <c r="CB605">
        <f>IF(0,2,0)</f>
        <v>0</v>
      </c>
    </row>
    <row r="606" spans="49:80">
      <c r="BC606" t="s">
        <v>2768</v>
      </c>
      <c r="BD606">
        <v>1</v>
      </c>
      <c r="BI606" t="s">
        <v>2768</v>
      </c>
      <c r="BJ606">
        <v>2</v>
      </c>
      <c r="BK606" s="176"/>
      <c r="BM606" t="s">
        <v>2768</v>
      </c>
      <c r="BN606">
        <v>2</v>
      </c>
      <c r="BQ606" t="s">
        <v>2768</v>
      </c>
      <c r="BR606">
        <v>2</v>
      </c>
      <c r="BS606" t="s">
        <v>2776</v>
      </c>
      <c r="BT606">
        <v>2</v>
      </c>
      <c r="BU606" t="s">
        <v>2808</v>
      </c>
      <c r="BV606">
        <v>2</v>
      </c>
      <c r="BW606" s="176"/>
      <c r="BY606" t="s">
        <v>2768</v>
      </c>
      <c r="BZ606">
        <v>2</v>
      </c>
      <c r="CA606" s="176" t="str">
        <f>IF(秋,"金环戴","吹风醒")</f>
        <v>吹风醒</v>
      </c>
      <c r="CB606">
        <v>2</v>
      </c>
    </row>
    <row r="607" spans="49:80">
      <c r="BC607" t="s">
        <v>2776</v>
      </c>
      <c r="BD607">
        <v>1</v>
      </c>
      <c r="BI607" t="s">
        <v>2768</v>
      </c>
      <c r="BJ607">
        <v>2</v>
      </c>
      <c r="BK607" s="176"/>
      <c r="BM607" t="s">
        <v>1886</v>
      </c>
      <c r="BN607">
        <v>2</v>
      </c>
      <c r="BQ607" t="s">
        <v>3013</v>
      </c>
      <c r="BR607">
        <v>2</v>
      </c>
      <c r="BS607" t="s">
        <v>2768</v>
      </c>
      <c r="BT607">
        <v>1</v>
      </c>
      <c r="BU607" t="s">
        <v>2768</v>
      </c>
      <c r="BV607">
        <v>2</v>
      </c>
      <c r="BW607" s="176"/>
      <c r="BY607" t="s">
        <v>1886</v>
      </c>
      <c r="BZ607">
        <v>2</v>
      </c>
      <c r="CA607" s="176" t="s">
        <v>2768</v>
      </c>
      <c r="CB607">
        <v>2</v>
      </c>
    </row>
    <row r="608" spans="49:80">
      <c r="BC608" t="s">
        <v>2768</v>
      </c>
      <c r="BD608">
        <v>1</v>
      </c>
      <c r="BI608" s="176" t="s">
        <v>2794</v>
      </c>
      <c r="BJ608">
        <v>1</v>
      </c>
      <c r="BK608" s="176"/>
      <c r="BM608" t="s">
        <v>2853</v>
      </c>
      <c r="BN608">
        <v>2</v>
      </c>
      <c r="BQ608" t="s">
        <v>2808</v>
      </c>
      <c r="BR608">
        <v>2</v>
      </c>
      <c r="BS608" t="s">
        <v>2768</v>
      </c>
      <c r="BT608">
        <v>1</v>
      </c>
      <c r="BU608" s="176" t="s">
        <v>2768</v>
      </c>
      <c r="BV608">
        <v>2</v>
      </c>
      <c r="BY608" t="s">
        <v>2853</v>
      </c>
      <c r="BZ608">
        <v>2</v>
      </c>
      <c r="CA608" s="176" t="str">
        <f>IF(秋,"云飞玉皇","云飞玉皇·云景")</f>
        <v>云飞玉皇·云景</v>
      </c>
      <c r="CB608">
        <v>2</v>
      </c>
    </row>
    <row r="609" spans="55:80">
      <c r="BC609" t="s">
        <v>2768</v>
      </c>
      <c r="BD609">
        <v>0</v>
      </c>
      <c r="BI609" t="s">
        <v>2776</v>
      </c>
      <c r="BJ609">
        <v>1</v>
      </c>
      <c r="BM609" s="176" t="s">
        <v>2850</v>
      </c>
      <c r="BN609">
        <f>IF(0,2,0)</f>
        <v>0</v>
      </c>
      <c r="BQ609" t="s">
        <v>2768</v>
      </c>
      <c r="BR609">
        <v>2</v>
      </c>
      <c r="BS609" t="s">
        <v>2768</v>
      </c>
      <c r="BT609">
        <v>0</v>
      </c>
      <c r="BU609" s="176" t="s">
        <v>2776</v>
      </c>
      <c r="BV609">
        <v>2</v>
      </c>
      <c r="BY609" s="176" t="s">
        <v>2850</v>
      </c>
      <c r="BZ609">
        <f>IF(0,2,0)</f>
        <v>0</v>
      </c>
      <c r="CA609" t="str">
        <f>IF(0,"云飞玉皇","夕照雷峰")</f>
        <v>夕照雷峰</v>
      </c>
      <c r="CB609">
        <f>IF(0,2,2)</f>
        <v>2</v>
      </c>
    </row>
    <row r="610" spans="55:80">
      <c r="BC610" t="s">
        <v>2768</v>
      </c>
      <c r="BD610">
        <v>0</v>
      </c>
      <c r="BI610" t="s">
        <v>2768</v>
      </c>
      <c r="BJ610">
        <v>0</v>
      </c>
      <c r="BM610" s="176" t="str">
        <f>IF(秋,"金环戴","吹风醒")</f>
        <v>吹风醒</v>
      </c>
      <c r="BN610">
        <v>2</v>
      </c>
      <c r="BQ610" t="s">
        <v>2768</v>
      </c>
      <c r="BR610">
        <v>2</v>
      </c>
      <c r="BS610" t="s">
        <v>2776</v>
      </c>
      <c r="BT610">
        <v>0</v>
      </c>
      <c r="BU610" t="s">
        <v>2768</v>
      </c>
      <c r="BV610">
        <v>1</v>
      </c>
      <c r="BY610" s="176" t="str">
        <f>IF(秋,"金环戴","吹风醒")</f>
        <v>吹风醒</v>
      </c>
      <c r="BZ610">
        <v>2</v>
      </c>
      <c r="CA610" t="str">
        <f>IF(0,"云飞玉皇","夕照雷峰")</f>
        <v>夕照雷峰</v>
      </c>
      <c r="CB610">
        <v>2</v>
      </c>
    </row>
    <row r="611" spans="55:80">
      <c r="BI611" t="s">
        <v>3011</v>
      </c>
      <c r="BJ611">
        <v>2</v>
      </c>
      <c r="BM611" t="str">
        <f>IF(秋,"夕照雷峰","云飞玉皇")</f>
        <v>云飞玉皇</v>
      </c>
      <c r="BN611">
        <v>2</v>
      </c>
      <c r="BQ611" t="s">
        <v>2776</v>
      </c>
      <c r="BR611">
        <v>1</v>
      </c>
      <c r="BS611" t="s">
        <v>2768</v>
      </c>
      <c r="BT611">
        <v>0</v>
      </c>
      <c r="BU611" s="176" t="s">
        <v>2768</v>
      </c>
      <c r="BV611">
        <v>1</v>
      </c>
      <c r="BY611" t="str">
        <f>IF(秋,"夕照雷峰","云飞玉皇")</f>
        <v>云飞玉皇</v>
      </c>
      <c r="BZ611">
        <v>2</v>
      </c>
      <c r="CA611" s="176" t="str">
        <f>IF(秋,"夕照雷峰","云飞玉皇")</f>
        <v>云飞玉皇</v>
      </c>
      <c r="CB611">
        <v>2</v>
      </c>
    </row>
    <row r="612" spans="55:80">
      <c r="BI612" t="s">
        <v>2768</v>
      </c>
      <c r="BJ612">
        <v>2</v>
      </c>
      <c r="BM612" s="176" t="str">
        <f>IF(秋,"梦泉虎跑-轻","夕照雷峰")</f>
        <v>夕照雷峰</v>
      </c>
      <c r="BN612">
        <v>2</v>
      </c>
      <c r="BQ612" t="s">
        <v>3055</v>
      </c>
      <c r="BR612">
        <v>2</v>
      </c>
      <c r="BS612" t="s">
        <v>3074</v>
      </c>
      <c r="BT612">
        <v>2</v>
      </c>
      <c r="BU612" t="s">
        <v>3055</v>
      </c>
      <c r="BV612">
        <v>0</v>
      </c>
      <c r="BY612" s="176" t="str">
        <f>IF(秋,"梦泉虎跑-轻","夕照雷峰")</f>
        <v>夕照雷峰</v>
      </c>
      <c r="BZ612">
        <v>2</v>
      </c>
      <c r="CA612" s="176" t="str">
        <f>IF(秋,"梦泉虎跑-轻","夕照雷峰")</f>
        <v>夕照雷峰</v>
      </c>
      <c r="CB612">
        <v>1</v>
      </c>
    </row>
    <row r="613" spans="55:80">
      <c r="BI613" t="s">
        <v>3018</v>
      </c>
      <c r="BJ613">
        <v>2</v>
      </c>
      <c r="BM613" s="176" t="str">
        <f>IF(秋,"九溪弥烟-轻-血毒金蛇锥","梦泉虎跑-轻")</f>
        <v>梦泉虎跑-轻</v>
      </c>
      <c r="BN613">
        <v>0</v>
      </c>
      <c r="BQ613" t="s">
        <v>2768</v>
      </c>
      <c r="BR613">
        <v>2</v>
      </c>
      <c r="BS613" t="s">
        <v>2768</v>
      </c>
      <c r="BT613">
        <v>2</v>
      </c>
      <c r="BU613" t="s">
        <v>2776</v>
      </c>
      <c r="BV613">
        <v>2</v>
      </c>
      <c r="BY613" s="176" t="str">
        <f>IF(秋,"九溪弥烟-轻-血毒金蛇锥","梦泉虎跑-轻")</f>
        <v>梦泉虎跑-轻</v>
      </c>
      <c r="BZ613">
        <v>0</v>
      </c>
      <c r="CA613" s="176" t="str">
        <f>IF(秋,"九溪弥烟-轻-血毒金蛇锥","梦泉虎跑-轻")</f>
        <v>梦泉虎跑-轻</v>
      </c>
      <c r="CB613">
        <v>0</v>
      </c>
    </row>
    <row r="614" spans="55:80">
      <c r="BI614" t="s">
        <v>2789</v>
      </c>
      <c r="BJ614">
        <v>2</v>
      </c>
      <c r="BQ614" t="s">
        <v>2776</v>
      </c>
      <c r="BR614">
        <v>2</v>
      </c>
      <c r="BS614" t="s">
        <v>2776</v>
      </c>
      <c r="BT614">
        <v>2</v>
      </c>
      <c r="BU614" t="s">
        <v>2768</v>
      </c>
      <c r="BV614">
        <v>2</v>
      </c>
      <c r="BW614" s="176"/>
      <c r="BY614" t="s">
        <v>3009</v>
      </c>
      <c r="BZ614">
        <v>2</v>
      </c>
      <c r="CA614" t="s">
        <v>3009</v>
      </c>
      <c r="CB614">
        <v>2</v>
      </c>
    </row>
    <row r="615" spans="55:80">
      <c r="BQ615" t="s">
        <v>2768</v>
      </c>
      <c r="BR615">
        <v>2</v>
      </c>
      <c r="BS615" t="s">
        <v>2768</v>
      </c>
      <c r="BT615">
        <v>2</v>
      </c>
      <c r="BU615" t="s">
        <v>2776</v>
      </c>
      <c r="BV615">
        <v>2</v>
      </c>
      <c r="BW615" s="176"/>
      <c r="CA615" s="176" t="str">
        <f>IF(秋,"鹤归孤山-蛇牙锥心","鹤归孤山")</f>
        <v>鹤归孤山</v>
      </c>
      <c r="CB615">
        <v>2</v>
      </c>
    </row>
    <row r="616" spans="55:80">
      <c r="BQ616" t="s">
        <v>2776</v>
      </c>
      <c r="BR616">
        <v>1</v>
      </c>
      <c r="BS616" t="s">
        <v>2768</v>
      </c>
      <c r="BT616">
        <v>1</v>
      </c>
      <c r="BU616" t="s">
        <v>2768</v>
      </c>
      <c r="BV616">
        <v>1</v>
      </c>
      <c r="BW616" s="176"/>
      <c r="CA616" s="176" t="str">
        <f>IF(秋,"云飞玉皇","云飞玉皇-血毒金蛇锥")</f>
        <v>云飞玉皇-血毒金蛇锥</v>
      </c>
      <c r="CB616">
        <v>2</v>
      </c>
    </row>
    <row r="617" spans="55:80">
      <c r="BK617" s="176"/>
      <c r="BQ617" t="s">
        <v>2768</v>
      </c>
      <c r="BR617">
        <v>1</v>
      </c>
      <c r="BS617" t="s">
        <v>2768</v>
      </c>
      <c r="BT617">
        <v>1</v>
      </c>
      <c r="BU617" t="s">
        <v>2776</v>
      </c>
      <c r="BV617">
        <v>1</v>
      </c>
      <c r="BW617" s="176"/>
      <c r="BY617" s="176"/>
      <c r="CA617" s="176" t="s">
        <v>2768</v>
      </c>
      <c r="CB617">
        <v>2</v>
      </c>
    </row>
    <row r="618" spans="55:80">
      <c r="BK618" s="176"/>
      <c r="BQ618" t="s">
        <v>2776</v>
      </c>
      <c r="BR618">
        <v>1</v>
      </c>
      <c r="BS618" t="s">
        <v>2776</v>
      </c>
      <c r="BT618">
        <v>0</v>
      </c>
      <c r="BU618" t="s">
        <v>2768</v>
      </c>
      <c r="BV618">
        <v>0</v>
      </c>
      <c r="BW618" s="176"/>
      <c r="BY618" s="176"/>
      <c r="CA618" s="176" t="s">
        <v>2776</v>
      </c>
      <c r="CB618">
        <v>2</v>
      </c>
    </row>
    <row r="619" spans="55:80">
      <c r="BK619" s="176"/>
      <c r="BQ619" t="s">
        <v>2768</v>
      </c>
      <c r="BR619">
        <v>0</v>
      </c>
      <c r="BS619" t="s">
        <v>2768</v>
      </c>
      <c r="BT619">
        <v>0</v>
      </c>
      <c r="BU619" t="s">
        <v>2768</v>
      </c>
      <c r="BV619">
        <v>0</v>
      </c>
      <c r="BW619" s="176"/>
      <c r="BY619" s="176"/>
      <c r="CA619" s="176" t="s">
        <v>2768</v>
      </c>
      <c r="CB619">
        <v>2</v>
      </c>
    </row>
    <row r="620" spans="55:80">
      <c r="BK620" s="176"/>
      <c r="BQ620" t="s">
        <v>2768</v>
      </c>
      <c r="BR620">
        <v>0</v>
      </c>
      <c r="BS620" t="s">
        <v>3024</v>
      </c>
      <c r="BT620">
        <v>2</v>
      </c>
      <c r="BU620" t="s">
        <v>2776</v>
      </c>
      <c r="BV620">
        <v>0</v>
      </c>
      <c r="BY620" s="176"/>
      <c r="CA620" s="176" t="s">
        <v>2808</v>
      </c>
      <c r="CB620">
        <v>2</v>
      </c>
    </row>
    <row r="621" spans="55:80">
      <c r="BK621" s="176"/>
      <c r="BQ621" t="s">
        <v>3067</v>
      </c>
      <c r="BR621">
        <v>0</v>
      </c>
      <c r="BS621" s="179" t="s">
        <v>2794</v>
      </c>
      <c r="BT621">
        <v>2</v>
      </c>
      <c r="BU621" t="s">
        <v>3067</v>
      </c>
      <c r="BV621">
        <v>0</v>
      </c>
      <c r="BY621" s="176"/>
      <c r="CA621" t="str">
        <f>IF(0,"风来吴山","风来吴山")</f>
        <v>风来吴山</v>
      </c>
      <c r="CB621">
        <v>2</v>
      </c>
    </row>
    <row r="622" spans="55:80">
      <c r="BK622" s="176"/>
      <c r="BQ622" t="s">
        <v>2776</v>
      </c>
      <c r="BR622">
        <v>2</v>
      </c>
      <c r="BS622" s="179" t="s">
        <v>3019</v>
      </c>
      <c r="BT622">
        <v>2</v>
      </c>
      <c r="BU622" t="s">
        <v>2768</v>
      </c>
      <c r="BV622">
        <v>2</v>
      </c>
      <c r="BY622" s="176"/>
      <c r="CA622" t="str">
        <f>IF(0,"云飞玉皇-玉山揽云","云飞玉皇")</f>
        <v>云飞玉皇</v>
      </c>
      <c r="CB622">
        <v>2</v>
      </c>
    </row>
    <row r="623" spans="55:80">
      <c r="BQ623" t="s">
        <v>2768</v>
      </c>
      <c r="BR623">
        <v>2</v>
      </c>
      <c r="BS623" s="179" t="s">
        <v>2768</v>
      </c>
      <c r="BT623">
        <v>2</v>
      </c>
      <c r="BU623" t="s">
        <v>2768</v>
      </c>
      <c r="BV623">
        <v>2</v>
      </c>
      <c r="CA623" s="180" t="str">
        <f>IF(0,"云飞玉皇-玉山揽云","夕照雷峰")</f>
        <v>夕照雷峰</v>
      </c>
      <c r="CB623">
        <v>2</v>
      </c>
    </row>
    <row r="624" spans="55:80">
      <c r="BQ624" t="s">
        <v>2768</v>
      </c>
      <c r="BR624">
        <v>2</v>
      </c>
      <c r="BS624" s="182" t="s">
        <v>3023</v>
      </c>
      <c r="BT624">
        <v>2</v>
      </c>
      <c r="BU624" s="176" t="s">
        <v>2794</v>
      </c>
      <c r="BV624">
        <v>1</v>
      </c>
      <c r="CA624" s="176" t="str">
        <f>IF(秋,"夕照雷峰","千切子寒光")</f>
        <v>千切子寒光</v>
      </c>
      <c r="CB624">
        <v>2</v>
      </c>
    </row>
    <row r="625" spans="69:80">
      <c r="BQ625" t="s">
        <v>2768</v>
      </c>
      <c r="BR625">
        <v>1</v>
      </c>
      <c r="BS625" s="182" t="s">
        <v>2768</v>
      </c>
      <c r="BT625">
        <v>2</v>
      </c>
      <c r="BU625" t="s">
        <v>2776</v>
      </c>
      <c r="BV625">
        <v>1</v>
      </c>
      <c r="CA625" s="176" t="str">
        <f>IF(秋,"夕照雷峰","千切子裂光")</f>
        <v>千切子裂光</v>
      </c>
      <c r="CB625">
        <v>2</v>
      </c>
    </row>
    <row r="626" spans="69:80">
      <c r="BQ626" t="s">
        <v>2776</v>
      </c>
      <c r="BR626">
        <v>1</v>
      </c>
      <c r="BS626" s="182" t="s">
        <v>2776</v>
      </c>
      <c r="BT626">
        <v>2</v>
      </c>
      <c r="BU626" t="s">
        <v>2768</v>
      </c>
      <c r="BV626">
        <v>1</v>
      </c>
      <c r="BW626" s="176"/>
    </row>
    <row r="627" spans="69:80">
      <c r="BQ627" t="s">
        <v>2768</v>
      </c>
      <c r="BR627">
        <v>1</v>
      </c>
      <c r="BS627" s="182" t="s">
        <v>2768</v>
      </c>
      <c r="BT627">
        <v>2</v>
      </c>
      <c r="BU627" t="s">
        <v>3011</v>
      </c>
      <c r="BV627">
        <v>2</v>
      </c>
      <c r="BW627" s="176"/>
    </row>
    <row r="628" spans="69:80">
      <c r="BQ628" t="s">
        <v>2768</v>
      </c>
      <c r="BR628">
        <v>0</v>
      </c>
      <c r="BS628" s="182" t="s">
        <v>3085</v>
      </c>
      <c r="BT628">
        <v>2</v>
      </c>
      <c r="BU628" t="s">
        <v>2768</v>
      </c>
      <c r="BV628">
        <v>2</v>
      </c>
      <c r="BW628" s="176"/>
    </row>
    <row r="629" spans="69:80">
      <c r="BQ629" t="s">
        <v>3010</v>
      </c>
      <c r="BR629">
        <v>2</v>
      </c>
      <c r="BS629" s="182" t="s">
        <v>3084</v>
      </c>
      <c r="BT629">
        <v>2</v>
      </c>
      <c r="BU629" t="s">
        <v>3018</v>
      </c>
      <c r="BV629">
        <v>2</v>
      </c>
      <c r="BW629" s="176"/>
    </row>
    <row r="630" spans="69:80">
      <c r="BQ630" t="s">
        <v>3013</v>
      </c>
      <c r="BR630">
        <v>2</v>
      </c>
      <c r="BS630" s="176" t="s">
        <v>2768</v>
      </c>
      <c r="BT630">
        <v>2</v>
      </c>
      <c r="BU630" t="s">
        <v>2768</v>
      </c>
      <c r="BV630">
        <v>2</v>
      </c>
      <c r="BW630" s="176"/>
    </row>
    <row r="631" spans="69:80">
      <c r="BQ631" t="s">
        <v>3018</v>
      </c>
      <c r="BR631">
        <v>2</v>
      </c>
      <c r="BS631" s="176" t="s">
        <v>2768</v>
      </c>
      <c r="BT631">
        <v>2</v>
      </c>
      <c r="BU631" s="182" t="s">
        <v>3023</v>
      </c>
      <c r="BV631">
        <v>2</v>
      </c>
    </row>
    <row r="632" spans="69:80">
      <c r="BQ632" t="s">
        <v>2768</v>
      </c>
      <c r="BR632">
        <v>2</v>
      </c>
      <c r="BS632" s="176" t="s">
        <v>2768</v>
      </c>
      <c r="BT632">
        <v>2</v>
      </c>
      <c r="BU632" s="176" t="s">
        <v>2768</v>
      </c>
      <c r="BV632">
        <v>2</v>
      </c>
    </row>
    <row r="633" spans="69:80">
      <c r="BQ633" t="s">
        <v>3023</v>
      </c>
      <c r="BR633">
        <v>2</v>
      </c>
      <c r="BS633" s="176" t="s">
        <v>2776</v>
      </c>
      <c r="BT633">
        <v>2</v>
      </c>
      <c r="BU633" s="176" t="s">
        <v>2768</v>
      </c>
      <c r="BV633">
        <v>2</v>
      </c>
    </row>
    <row r="634" spans="69:80">
      <c r="BQ634" t="s">
        <v>2768</v>
      </c>
      <c r="BR634">
        <v>2</v>
      </c>
      <c r="BS634" s="176" t="s">
        <v>2768</v>
      </c>
      <c r="BT634">
        <v>2</v>
      </c>
      <c r="BU634" s="176" t="s">
        <v>2768</v>
      </c>
      <c r="BV634">
        <v>2</v>
      </c>
    </row>
    <row r="635" spans="69:80">
      <c r="BQ635" t="s">
        <v>2776</v>
      </c>
      <c r="BR635">
        <v>2</v>
      </c>
      <c r="BS635" s="176" t="s">
        <v>2794</v>
      </c>
      <c r="BT635">
        <v>2</v>
      </c>
      <c r="BU635" s="176" t="s">
        <v>2776</v>
      </c>
      <c r="BV635">
        <v>2</v>
      </c>
    </row>
    <row r="636" spans="69:80">
      <c r="BQ636" t="s">
        <v>2768</v>
      </c>
      <c r="BR636">
        <v>2</v>
      </c>
      <c r="BS636" t="s">
        <v>2768</v>
      </c>
      <c r="BT636">
        <v>2</v>
      </c>
      <c r="BU636" s="176" t="s">
        <v>3035</v>
      </c>
      <c r="BV636">
        <v>2</v>
      </c>
    </row>
    <row r="637" spans="69:80">
      <c r="BQ637" t="s">
        <v>2768</v>
      </c>
      <c r="BR637">
        <v>2</v>
      </c>
      <c r="BS637" t="s">
        <v>2776</v>
      </c>
      <c r="BT637">
        <v>2</v>
      </c>
      <c r="BU637" t="s">
        <v>2768</v>
      </c>
      <c r="BV637">
        <v>2</v>
      </c>
    </row>
    <row r="638" spans="69:80">
      <c r="BQ638" t="s">
        <v>3035</v>
      </c>
      <c r="BR638">
        <v>2</v>
      </c>
      <c r="BS638" t="s">
        <v>2768</v>
      </c>
      <c r="BT638">
        <v>2</v>
      </c>
      <c r="BU638" t="s">
        <v>2776</v>
      </c>
      <c r="BV638">
        <v>2</v>
      </c>
    </row>
    <row r="639" spans="69:80">
      <c r="BQ639" t="s">
        <v>2776</v>
      </c>
      <c r="BR639">
        <v>2</v>
      </c>
      <c r="BS639" t="s">
        <v>2776</v>
      </c>
      <c r="BT639">
        <v>1</v>
      </c>
      <c r="BU639" t="s">
        <v>2768</v>
      </c>
      <c r="BV639">
        <v>2</v>
      </c>
      <c r="BW639" s="176"/>
    </row>
    <row r="640" spans="69:80">
      <c r="BQ640" t="s">
        <v>2768</v>
      </c>
      <c r="BR640">
        <v>2</v>
      </c>
      <c r="BS640" t="s">
        <v>2768</v>
      </c>
      <c r="BT640">
        <v>1</v>
      </c>
      <c r="BU640" t="s">
        <v>2776</v>
      </c>
      <c r="BV640">
        <v>2</v>
      </c>
      <c r="BW640" s="176"/>
    </row>
    <row r="641" spans="69:75">
      <c r="BQ641" t="s">
        <v>2776</v>
      </c>
      <c r="BR641">
        <v>2</v>
      </c>
      <c r="BS641" t="s">
        <v>3056</v>
      </c>
      <c r="BT641">
        <v>0</v>
      </c>
      <c r="BU641" t="s">
        <v>2768</v>
      </c>
      <c r="BV641">
        <v>2</v>
      </c>
      <c r="BW641" s="176"/>
    </row>
    <row r="642" spans="69:75">
      <c r="BQ642" t="s">
        <v>2768</v>
      </c>
      <c r="BR642">
        <v>2</v>
      </c>
      <c r="BS642" t="s">
        <v>2768</v>
      </c>
      <c r="BT642">
        <v>2</v>
      </c>
      <c r="BU642" t="s">
        <v>2808</v>
      </c>
      <c r="BV642">
        <v>2</v>
      </c>
      <c r="BW642" s="176"/>
    </row>
    <row r="643" spans="69:75">
      <c r="BQ643" t="s">
        <v>3013</v>
      </c>
      <c r="BR643">
        <v>2</v>
      </c>
      <c r="BS643" t="s">
        <v>2768</v>
      </c>
      <c r="BT643">
        <v>2</v>
      </c>
      <c r="BU643" t="s">
        <v>2768</v>
      </c>
      <c r="BV643">
        <v>2</v>
      </c>
    </row>
    <row r="644" spans="69:75">
      <c r="BQ644" t="s">
        <v>2808</v>
      </c>
      <c r="BR644">
        <v>2</v>
      </c>
      <c r="BS644" t="s">
        <v>2776</v>
      </c>
      <c r="BT644">
        <v>2</v>
      </c>
      <c r="BU644" s="176" t="s">
        <v>2768</v>
      </c>
      <c r="BV644">
        <v>2</v>
      </c>
    </row>
    <row r="645" spans="69:75">
      <c r="BQ645" t="s">
        <v>2768</v>
      </c>
      <c r="BR645">
        <v>2</v>
      </c>
      <c r="BS645" t="s">
        <v>2768</v>
      </c>
      <c r="BT645">
        <v>1</v>
      </c>
      <c r="BU645" s="176" t="s">
        <v>2776</v>
      </c>
      <c r="BV645">
        <v>2</v>
      </c>
    </row>
    <row r="646" spans="69:75">
      <c r="BQ646" t="s">
        <v>2768</v>
      </c>
      <c r="BR646">
        <v>2</v>
      </c>
      <c r="BS646" t="s">
        <v>2768</v>
      </c>
      <c r="BT646">
        <v>1</v>
      </c>
      <c r="BU646" t="s">
        <v>2768</v>
      </c>
      <c r="BV646">
        <v>1</v>
      </c>
    </row>
    <row r="647" spans="69:75">
      <c r="BQ647" t="s">
        <v>2776</v>
      </c>
      <c r="BR647">
        <v>1</v>
      </c>
      <c r="BS647" t="s">
        <v>2768</v>
      </c>
      <c r="BT647">
        <v>0</v>
      </c>
      <c r="BU647" s="176" t="s">
        <v>2768</v>
      </c>
      <c r="BV647">
        <v>1</v>
      </c>
    </row>
    <row r="648" spans="69:75">
      <c r="BQ648" t="s">
        <v>3055</v>
      </c>
      <c r="BR648">
        <v>2</v>
      </c>
      <c r="BS648" t="s">
        <v>2776</v>
      </c>
      <c r="BT648">
        <v>0</v>
      </c>
      <c r="BU648" t="s">
        <v>3055</v>
      </c>
      <c r="BV648">
        <v>0</v>
      </c>
    </row>
    <row r="649" spans="69:75">
      <c r="BQ649" t="s">
        <v>2768</v>
      </c>
      <c r="BR649">
        <v>2</v>
      </c>
      <c r="BS649" t="s">
        <v>2768</v>
      </c>
      <c r="BT649">
        <v>0</v>
      </c>
      <c r="BU649" t="s">
        <v>2776</v>
      </c>
      <c r="BV649">
        <v>2</v>
      </c>
    </row>
    <row r="650" spans="69:75">
      <c r="BQ650" t="s">
        <v>2776</v>
      </c>
      <c r="BR650">
        <v>2</v>
      </c>
      <c r="BS650" t="s">
        <v>3074</v>
      </c>
      <c r="BT650">
        <v>2</v>
      </c>
      <c r="BU650" t="s">
        <v>2768</v>
      </c>
      <c r="BV650">
        <v>2</v>
      </c>
    </row>
    <row r="651" spans="69:75">
      <c r="BQ651" t="s">
        <v>2768</v>
      </c>
      <c r="BR651">
        <v>2</v>
      </c>
      <c r="BS651" t="s">
        <v>2768</v>
      </c>
      <c r="BT651">
        <v>2</v>
      </c>
      <c r="BU651" t="s">
        <v>2776</v>
      </c>
      <c r="BV651">
        <v>2</v>
      </c>
    </row>
    <row r="652" spans="69:75">
      <c r="BQ652" t="s">
        <v>2776</v>
      </c>
      <c r="BR652">
        <v>1</v>
      </c>
      <c r="BS652" t="s">
        <v>2776</v>
      </c>
      <c r="BT652">
        <v>2</v>
      </c>
      <c r="BU652" t="s">
        <v>2768</v>
      </c>
      <c r="BV652">
        <v>1</v>
      </c>
    </row>
    <row r="653" spans="69:75">
      <c r="BQ653" t="s">
        <v>2768</v>
      </c>
      <c r="BR653">
        <v>1</v>
      </c>
      <c r="BS653" t="s">
        <v>2768</v>
      </c>
      <c r="BT653">
        <v>2</v>
      </c>
      <c r="BU653" t="s">
        <v>2776</v>
      </c>
      <c r="BV653">
        <v>1</v>
      </c>
    </row>
    <row r="654" spans="69:75">
      <c r="BQ654" t="s">
        <v>2776</v>
      </c>
      <c r="BR654">
        <v>1</v>
      </c>
      <c r="BS654" t="s">
        <v>2768</v>
      </c>
      <c r="BT654">
        <v>1</v>
      </c>
      <c r="BU654" t="str">
        <f>IF(秋,"云栖松","泉凝月")</f>
        <v>泉凝月</v>
      </c>
      <c r="BV654">
        <v>0</v>
      </c>
    </row>
    <row r="655" spans="69:75">
      <c r="BQ655" t="s">
        <v>2768</v>
      </c>
      <c r="BR655">
        <v>0</v>
      </c>
      <c r="BS655" t="s">
        <v>2768</v>
      </c>
      <c r="BT655">
        <v>1</v>
      </c>
      <c r="BU655" t="s">
        <v>2768</v>
      </c>
      <c r="BV655">
        <v>0</v>
      </c>
    </row>
    <row r="656" spans="69:75">
      <c r="BQ656" t="str">
        <f>IF(秋,"云栖松","泉凝月")</f>
        <v>泉凝月</v>
      </c>
      <c r="BR656">
        <v>0</v>
      </c>
      <c r="BS656" t="s">
        <v>2776</v>
      </c>
      <c r="BT656">
        <v>0</v>
      </c>
      <c r="BU656" t="s">
        <v>2776</v>
      </c>
      <c r="BV656">
        <v>0</v>
      </c>
    </row>
    <row r="657" spans="69:74">
      <c r="BQ657" t="s">
        <v>2768</v>
      </c>
      <c r="BR657">
        <v>0</v>
      </c>
      <c r="BS657" t="s">
        <v>2768</v>
      </c>
      <c r="BT657">
        <v>0</v>
      </c>
      <c r="BU657" t="s">
        <v>1886</v>
      </c>
      <c r="BV657">
        <v>0</v>
      </c>
    </row>
    <row r="658" spans="69:74">
      <c r="BQ658" t="s">
        <v>2776</v>
      </c>
      <c r="BR658">
        <v>0</v>
      </c>
      <c r="BS658" t="s">
        <v>3012</v>
      </c>
      <c r="BT658">
        <v>2</v>
      </c>
      <c r="BU658" t="s">
        <v>2853</v>
      </c>
      <c r="BV658">
        <v>2</v>
      </c>
    </row>
    <row r="659" spans="69:74">
      <c r="BQ659" t="s">
        <v>1886</v>
      </c>
      <c r="BR659">
        <v>2</v>
      </c>
      <c r="BS659" s="179" t="s">
        <v>2794</v>
      </c>
      <c r="BT659">
        <v>2</v>
      </c>
      <c r="BU659" s="176" t="str">
        <f>IF(秋,"金蛇锥-金环戴","金蛇锥-吹风醒")</f>
        <v>金蛇锥-吹风醒</v>
      </c>
      <c r="BV659">
        <v>2</v>
      </c>
    </row>
    <row r="660" spans="69:74">
      <c r="BQ660" t="s">
        <v>2853</v>
      </c>
      <c r="BR660">
        <v>2</v>
      </c>
      <c r="BS660" s="179" t="s">
        <v>3019</v>
      </c>
      <c r="BT660">
        <v>2</v>
      </c>
      <c r="BU660" t="s">
        <v>2773</v>
      </c>
      <c r="BV660">
        <v>2</v>
      </c>
    </row>
    <row r="661" spans="69:74">
      <c r="BQ661" s="176" t="s">
        <v>2850</v>
      </c>
      <c r="BR661">
        <f>IF(0,2,0)</f>
        <v>0</v>
      </c>
      <c r="BS661" s="179" t="s">
        <v>2768</v>
      </c>
      <c r="BT661">
        <v>2</v>
      </c>
    </row>
    <row r="662" spans="69:74">
      <c r="BQ662" s="176" t="str">
        <f>IF(秋,"金环戴","吹风醒")</f>
        <v>吹风醒</v>
      </c>
      <c r="BR662">
        <v>2</v>
      </c>
      <c r="BS662" s="182" t="s">
        <v>3023</v>
      </c>
      <c r="BT662">
        <v>2</v>
      </c>
    </row>
    <row r="663" spans="69:74">
      <c r="BQ663" s="176" t="str">
        <f>IF(秋,"梦泉虎跑-轻","夕照雷峰")</f>
        <v>夕照雷峰</v>
      </c>
      <c r="BR663">
        <v>1</v>
      </c>
      <c r="BS663" s="182" t="s">
        <v>2768</v>
      </c>
      <c r="BT663">
        <v>2</v>
      </c>
      <c r="BU663" s="176"/>
    </row>
    <row r="664" spans="69:74">
      <c r="BQ664" t="s">
        <v>3028</v>
      </c>
      <c r="BR664">
        <v>2</v>
      </c>
      <c r="BS664" s="182" t="s">
        <v>2776</v>
      </c>
      <c r="BT664">
        <v>2</v>
      </c>
      <c r="BU664" s="176"/>
    </row>
    <row r="665" spans="69:74">
      <c r="BQ665" t="s">
        <v>2768</v>
      </c>
      <c r="BR665">
        <v>2</v>
      </c>
      <c r="BS665" s="182" t="s">
        <v>2768</v>
      </c>
      <c r="BT665">
        <v>2</v>
      </c>
    </row>
    <row r="666" spans="69:74">
      <c r="BQ666" t="s">
        <v>2768</v>
      </c>
      <c r="BR666">
        <v>2</v>
      </c>
      <c r="BS666" s="182" t="s">
        <v>3085</v>
      </c>
      <c r="BT666">
        <v>2</v>
      </c>
    </row>
    <row r="667" spans="69:74">
      <c r="BQ667" t="s">
        <v>3010</v>
      </c>
      <c r="BR667">
        <v>2</v>
      </c>
      <c r="BS667" s="182" t="s">
        <v>3084</v>
      </c>
      <c r="BT667">
        <v>2</v>
      </c>
      <c r="BU667" s="176"/>
    </row>
    <row r="668" spans="69:74">
      <c r="BQ668" t="s">
        <v>3013</v>
      </c>
      <c r="BR668">
        <v>2</v>
      </c>
      <c r="BS668" s="176" t="s">
        <v>2768</v>
      </c>
      <c r="BT668">
        <v>2</v>
      </c>
    </row>
    <row r="669" spans="69:74">
      <c r="BQ669" t="s">
        <v>3018</v>
      </c>
      <c r="BR669">
        <v>2</v>
      </c>
      <c r="BS669" s="176" t="s">
        <v>2768</v>
      </c>
      <c r="BT669">
        <v>2</v>
      </c>
      <c r="BU669" s="175"/>
      <c r="BV669" s="175"/>
    </row>
    <row r="670" spans="69:74">
      <c r="BS670" s="176" t="s">
        <v>2768</v>
      </c>
      <c r="BT670">
        <v>2</v>
      </c>
      <c r="BU670" s="176"/>
    </row>
    <row r="671" spans="69:74">
      <c r="BS671" s="176" t="s">
        <v>2776</v>
      </c>
      <c r="BT671">
        <v>2</v>
      </c>
      <c r="BU671" s="176"/>
    </row>
    <row r="672" spans="69:74">
      <c r="BS672" s="176" t="s">
        <v>2768</v>
      </c>
      <c r="BT672">
        <v>2</v>
      </c>
      <c r="BU672" s="176"/>
    </row>
    <row r="673" spans="71:73">
      <c r="BS673" s="176" t="s">
        <v>2794</v>
      </c>
      <c r="BT673">
        <v>2</v>
      </c>
      <c r="BU673" s="176"/>
    </row>
    <row r="674" spans="71:73">
      <c r="BS674" t="s">
        <v>2768</v>
      </c>
      <c r="BT674">
        <v>2</v>
      </c>
      <c r="BU674" s="176"/>
    </row>
    <row r="675" spans="71:73">
      <c r="BS675" t="s">
        <v>2776</v>
      </c>
      <c r="BT675">
        <v>2</v>
      </c>
      <c r="BU675" s="176"/>
    </row>
    <row r="676" spans="71:73">
      <c r="BS676" t="s">
        <v>2768</v>
      </c>
      <c r="BT676">
        <v>2</v>
      </c>
    </row>
    <row r="677" spans="71:73">
      <c r="BS677" t="s">
        <v>2776</v>
      </c>
      <c r="BT677">
        <v>1</v>
      </c>
    </row>
    <row r="678" spans="71:73">
      <c r="BS678" t="s">
        <v>2768</v>
      </c>
      <c r="BT678">
        <v>1</v>
      </c>
      <c r="BU678" s="176"/>
    </row>
    <row r="679" spans="71:73">
      <c r="BS679" t="s">
        <v>3056</v>
      </c>
      <c r="BT679">
        <v>0</v>
      </c>
      <c r="BU679" s="176"/>
    </row>
    <row r="680" spans="71:73">
      <c r="BS680" t="s">
        <v>2768</v>
      </c>
      <c r="BT680">
        <v>2</v>
      </c>
    </row>
    <row r="681" spans="71:73">
      <c r="BS681" t="s">
        <v>2768</v>
      </c>
      <c r="BT681">
        <v>2</v>
      </c>
    </row>
    <row r="682" spans="71:73">
      <c r="BS682" t="s">
        <v>2776</v>
      </c>
      <c r="BT682">
        <v>2</v>
      </c>
      <c r="BU682" s="176"/>
    </row>
    <row r="683" spans="71:73">
      <c r="BS683" t="s">
        <v>2768</v>
      </c>
      <c r="BT683">
        <v>1</v>
      </c>
      <c r="BU683" s="176"/>
    </row>
    <row r="684" spans="71:73">
      <c r="BS684" t="str">
        <f>IF(秋,"云栖松","泉凝月")</f>
        <v>泉凝月</v>
      </c>
      <c r="BT684">
        <v>1</v>
      </c>
      <c r="BU684" s="176"/>
    </row>
    <row r="685" spans="71:73">
      <c r="BS685" t="s">
        <v>2768</v>
      </c>
      <c r="BT685">
        <v>0</v>
      </c>
      <c r="BU685" s="176"/>
    </row>
    <row r="686" spans="71:73">
      <c r="BS686" t="s">
        <v>2776</v>
      </c>
      <c r="BT686">
        <v>0</v>
      </c>
      <c r="BU686" s="176"/>
    </row>
    <row r="687" spans="71:73">
      <c r="BS687" t="s">
        <v>1886</v>
      </c>
      <c r="BT687">
        <v>0</v>
      </c>
    </row>
    <row r="688" spans="71:73">
      <c r="BS688" t="s">
        <v>2853</v>
      </c>
      <c r="BT688">
        <v>1</v>
      </c>
    </row>
    <row r="689" spans="71:73">
      <c r="BS689" s="176" t="str">
        <f>IF(秋,"金蛇锥-金环戴","金蛇锥-吹风醒")</f>
        <v>金蛇锥-吹风醒</v>
      </c>
      <c r="BT689">
        <v>0</v>
      </c>
    </row>
    <row r="690" spans="71:73">
      <c r="BS690" t="s">
        <v>2773</v>
      </c>
      <c r="BT690">
        <v>2</v>
      </c>
    </row>
    <row r="691" spans="71:73">
      <c r="BS691" t="s">
        <v>2776</v>
      </c>
      <c r="BT691">
        <v>2</v>
      </c>
    </row>
    <row r="692" spans="71:73">
      <c r="BS692" t="s">
        <v>2768</v>
      </c>
      <c r="BT692">
        <v>2</v>
      </c>
    </row>
    <row r="693" spans="71:73">
      <c r="BS693" t="s">
        <v>2768</v>
      </c>
      <c r="BT693">
        <v>2</v>
      </c>
    </row>
    <row r="694" spans="71:73">
      <c r="BS694" t="s">
        <v>2768</v>
      </c>
      <c r="BT694">
        <v>1</v>
      </c>
    </row>
    <row r="695" spans="71:73">
      <c r="BS695" t="s">
        <v>2776</v>
      </c>
      <c r="BT695">
        <v>1</v>
      </c>
      <c r="BU695" s="176"/>
    </row>
    <row r="696" spans="71:73">
      <c r="BS696" t="s">
        <v>2768</v>
      </c>
      <c r="BT696">
        <v>0</v>
      </c>
      <c r="BU696" s="176"/>
    </row>
    <row r="697" spans="71:73">
      <c r="BU697" s="176"/>
    </row>
    <row r="698" spans="71:73">
      <c r="BU698" s="176"/>
    </row>
    <row r="699" spans="71:73">
      <c r="BU699" s="176"/>
    </row>
    <row r="700" spans="71:73">
      <c r="BU700" s="176"/>
    </row>
    <row r="703" spans="71:73">
      <c r="BS703" s="176"/>
    </row>
    <row r="704" spans="71:73">
      <c r="BS704" s="176"/>
    </row>
    <row r="705" spans="71:74">
      <c r="BS705" s="176"/>
    </row>
    <row r="706" spans="71:74">
      <c r="BS706" s="176"/>
      <c r="BU706" s="175"/>
      <c r="BV706" s="175"/>
    </row>
    <row r="707" spans="71:74">
      <c r="BS707" s="176"/>
      <c r="BU707" s="176"/>
    </row>
    <row r="708" spans="71:74">
      <c r="BS708" s="176"/>
      <c r="BU708" s="176"/>
    </row>
    <row r="709" spans="71:74">
      <c r="BU709" s="176"/>
    </row>
    <row r="710" spans="71:74">
      <c r="BU710" s="176"/>
    </row>
    <row r="711" spans="71:74">
      <c r="BU711" s="176"/>
    </row>
    <row r="712" spans="71:74">
      <c r="BU712" s="176"/>
    </row>
    <row r="715" spans="71:74">
      <c r="BS715" s="176"/>
    </row>
    <row r="716" spans="71:74">
      <c r="BS716" s="176"/>
    </row>
    <row r="717" spans="71:74">
      <c r="BS717" s="176"/>
    </row>
    <row r="718" spans="71:74">
      <c r="BS718" s="176"/>
    </row>
    <row r="719" spans="71:74">
      <c r="BS719" s="176"/>
      <c r="BU719" s="176"/>
    </row>
    <row r="720" spans="71:74">
      <c r="BU720" s="176"/>
    </row>
    <row r="721" spans="71:73">
      <c r="BU721" s="176"/>
    </row>
    <row r="722" spans="71:73">
      <c r="BU722" s="176"/>
    </row>
    <row r="723" spans="71:73">
      <c r="BU723" s="176"/>
    </row>
    <row r="728" spans="71:73">
      <c r="BS728" s="176"/>
    </row>
    <row r="729" spans="71:73">
      <c r="BS729" s="176"/>
    </row>
    <row r="730" spans="71:73">
      <c r="BS730" s="176"/>
    </row>
    <row r="731" spans="71:73">
      <c r="BS731" s="176"/>
    </row>
    <row r="732" spans="71:73">
      <c r="BS732" s="176"/>
      <c r="BU732" s="176"/>
    </row>
    <row r="733" spans="71:73">
      <c r="BS733" s="176"/>
      <c r="BU733" s="176"/>
    </row>
    <row r="734" spans="71:73">
      <c r="BU734" s="176"/>
    </row>
    <row r="735" spans="71:73">
      <c r="BU735" s="176"/>
    </row>
    <row r="736" spans="71:73">
      <c r="BU736" s="176"/>
    </row>
    <row r="737" spans="73:73">
      <c r="BU737" s="176"/>
    </row>
  </sheetData>
  <autoFilter xmlns:etc="http://www.wps.cn/officeDocument/2017/etCustomData" ref="A1:CB696" etc:filterBottomFollowUsedRange="0">
    <extLst/>
  </autoFilter>
  <customSheetViews>
    <customSheetView guid="{8E53DF33-FD66-42DA-A21D-B11FBF5F6988}" topLeftCell="C1">
      <selection activeCell="AD90" sqref="AD90"/>
      <pageMargins left="0.7" right="0.7" top="0.75" bottom="0.75" header="0.3" footer="0.3"/>
      <headerFooter/>
    </customSheetView>
  </customSheetViews>
  <dataValidations count="1">
    <dataValidation type="list" allowBlank="1" showInputMessage="1" showErrorMessage="1" sqref="AN66">
      <formula1>"夕照雷峰-烟流暮景,云飞玉皇-玉山揽云"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K219"/>
  <sheetViews>
    <sheetView topLeftCell="D1" workbookViewId="0">
      <pane xSplit="4" ySplit="9" topLeftCell="AA139" activePane="bottomRight" state="frozen"/>
      <selection/>
      <selection pane="topRight"/>
      <selection pane="bottomLeft"/>
      <selection pane="bottomRight" activeCell="D143" sqref="$A143:$XFD143"/>
    </sheetView>
  </sheetViews>
  <sheetFormatPr defaultColWidth="9" defaultRowHeight="16.8"/>
  <cols>
    <col min="1" max="1" width="9.25" customWidth="1"/>
    <col min="2" max="2" width="15.375" customWidth="1"/>
    <col min="3" max="4" width="5.25" customWidth="1"/>
    <col min="5" max="5" width="13.5" customWidth="1"/>
    <col min="6" max="6" width="11" customWidth="1"/>
    <col min="7" max="7" width="16.25" customWidth="1"/>
    <col min="8" max="8" width="17.25" customWidth="1"/>
    <col min="9" max="9" width="15.125" customWidth="1"/>
    <col min="10" max="10" width="11" customWidth="1"/>
    <col min="11" max="11" width="17.25" customWidth="1"/>
    <col min="12" max="12" width="11" customWidth="1"/>
    <col min="13" max="13" width="9" customWidth="1"/>
    <col min="14" max="14" width="11" customWidth="1"/>
    <col min="15" max="16" width="9" customWidth="1"/>
    <col min="17" max="17" width="13" customWidth="1"/>
    <col min="18" max="18" width="9" customWidth="1"/>
    <col min="19" max="20" width="15.125" customWidth="1"/>
    <col min="21" max="22" width="13" customWidth="1"/>
    <col min="23" max="23" width="7.125" customWidth="1"/>
    <col min="24" max="25" width="9" customWidth="1"/>
    <col min="26" max="26" width="12.75" customWidth="1"/>
    <col min="27" max="28" width="9" customWidth="1"/>
    <col min="29" max="29" width="8.875" customWidth="1"/>
    <col min="30" max="30" width="12.125" customWidth="1"/>
    <col min="31" max="31" width="13" customWidth="1"/>
    <col min="32" max="33" width="9" customWidth="1"/>
    <col min="34" max="36" width="15.125" customWidth="1"/>
    <col min="37" max="37" width="11" customWidth="1"/>
    <col min="38" max="38" width="13" customWidth="1"/>
    <col min="39" max="40" width="11" customWidth="1"/>
    <col min="41" max="42" width="9" customWidth="1"/>
    <col min="43" max="43" width="13" customWidth="1"/>
    <col min="44" max="45" width="11" customWidth="1"/>
    <col min="46" max="46" width="9" customWidth="1"/>
    <col min="47" max="48" width="11" customWidth="1"/>
    <col min="49" max="51" width="15.125" customWidth="1"/>
    <col min="52" max="52" width="18.875" customWidth="1"/>
    <col min="53" max="53" width="14.25" customWidth="1"/>
    <col min="54" max="54" width="13" customWidth="1"/>
    <col min="55" max="55" width="9" customWidth="1"/>
    <col min="56" max="56" width="15.125" customWidth="1"/>
    <col min="57" max="58" width="11" customWidth="1"/>
    <col min="59" max="59" width="9" customWidth="1"/>
    <col min="60" max="60" width="7.125" customWidth="1"/>
  </cols>
  <sheetData>
    <row r="1" s="160" customFormat="1" spans="2:63">
      <c r="B1" s="160" t="s">
        <v>1988</v>
      </c>
      <c r="C1" s="160" t="s">
        <v>1989</v>
      </c>
      <c r="D1" s="160" t="s">
        <v>1990</v>
      </c>
      <c r="E1" s="160" t="s">
        <v>1991</v>
      </c>
      <c r="F1" s="160" t="s">
        <v>1992</v>
      </c>
      <c r="G1" s="160" t="s">
        <v>1993</v>
      </c>
      <c r="H1" s="160" t="s">
        <v>1994</v>
      </c>
      <c r="I1" s="160" t="s">
        <v>1995</v>
      </c>
      <c r="J1" s="160" t="s">
        <v>1996</v>
      </c>
      <c r="K1" s="160" t="s">
        <v>1997</v>
      </c>
      <c r="L1" s="160" t="s">
        <v>229</v>
      </c>
      <c r="M1" s="160" t="s">
        <v>1998</v>
      </c>
      <c r="N1" s="160" t="s">
        <v>1999</v>
      </c>
      <c r="O1" s="160" t="s">
        <v>2000</v>
      </c>
      <c r="P1" s="160" t="s">
        <v>2001</v>
      </c>
      <c r="Q1" s="160" t="s">
        <v>2002</v>
      </c>
      <c r="R1" s="160" t="s">
        <v>2003</v>
      </c>
      <c r="S1" s="160" t="s">
        <v>2004</v>
      </c>
      <c r="T1" s="160" t="s">
        <v>2005</v>
      </c>
      <c r="U1" s="160" t="s">
        <v>2006</v>
      </c>
      <c r="V1" s="160" t="s">
        <v>2007</v>
      </c>
      <c r="W1" s="160" t="s">
        <v>2008</v>
      </c>
      <c r="X1" s="160" t="s">
        <v>2009</v>
      </c>
      <c r="Y1" s="160" t="s">
        <v>2010</v>
      </c>
      <c r="Z1" s="160" t="s">
        <v>2011</v>
      </c>
      <c r="AA1" s="160" t="s">
        <v>2012</v>
      </c>
      <c r="AB1" s="160" t="s">
        <v>2013</v>
      </c>
      <c r="AC1" s="160" t="s">
        <v>2014</v>
      </c>
      <c r="AD1" s="160" t="s">
        <v>2015</v>
      </c>
      <c r="AE1" s="160" t="s">
        <v>2016</v>
      </c>
      <c r="AF1" s="160" t="s">
        <v>2017</v>
      </c>
      <c r="AG1" s="160" t="s">
        <v>2018</v>
      </c>
      <c r="AH1" s="160" t="s">
        <v>2019</v>
      </c>
      <c r="AI1" s="160" t="s">
        <v>2020</v>
      </c>
      <c r="AJ1" s="160" t="s">
        <v>2021</v>
      </c>
      <c r="AK1" s="160" t="s">
        <v>2022</v>
      </c>
      <c r="AL1" s="160" t="s">
        <v>2023</v>
      </c>
      <c r="AM1" s="160" t="s">
        <v>2024</v>
      </c>
      <c r="AN1" s="160" t="s">
        <v>2025</v>
      </c>
      <c r="AO1" s="160" t="s">
        <v>2026</v>
      </c>
      <c r="AP1" s="160" t="s">
        <v>2027</v>
      </c>
      <c r="AQ1" s="160" t="s">
        <v>2028</v>
      </c>
      <c r="AR1" s="160" t="s">
        <v>2029</v>
      </c>
      <c r="AS1" s="160" t="s">
        <v>2030</v>
      </c>
      <c r="AT1" s="160" t="s">
        <v>2031</v>
      </c>
      <c r="AU1" s="160" t="s">
        <v>2032</v>
      </c>
      <c r="AV1" s="160" t="s">
        <v>2033</v>
      </c>
      <c r="AW1" s="160" t="s">
        <v>2034</v>
      </c>
      <c r="AX1" s="160" t="s">
        <v>2035</v>
      </c>
      <c r="AY1" s="160" t="s">
        <v>2036</v>
      </c>
      <c r="AZ1" s="160" t="s">
        <v>2037</v>
      </c>
      <c r="BA1" s="160" t="s">
        <v>2038</v>
      </c>
      <c r="BB1" s="160" t="s">
        <v>2039</v>
      </c>
      <c r="BC1" s="160" t="s">
        <v>2040</v>
      </c>
      <c r="BD1" s="160" t="s">
        <v>2041</v>
      </c>
      <c r="BE1" s="160" t="s">
        <v>2042</v>
      </c>
      <c r="BF1" s="160" t="s">
        <v>2043</v>
      </c>
      <c r="BG1" s="160" t="s">
        <v>2044</v>
      </c>
      <c r="BH1" s="160" t="s">
        <v>2045</v>
      </c>
    </row>
    <row r="2" s="161" customFormat="1" spans="2:63">
      <c r="B2" s="159" t="s">
        <v>2508</v>
      </c>
      <c r="C2" s="161">
        <f>额外属性!C7</f>
        <v>0</v>
      </c>
      <c r="D2" s="161">
        <f>额外属性!D7</f>
        <v>0</v>
      </c>
      <c r="E2" s="161">
        <f ca="1">额外属性!E7</f>
        <v>218067</v>
      </c>
      <c r="F2" s="161">
        <f ca="1">额外属性!F7</f>
        <v>0</v>
      </c>
      <c r="G2" s="161">
        <f ca="1">额外属性!G7</f>
        <v>112978</v>
      </c>
      <c r="H2" s="161">
        <f ca="1">额外属性!H7</f>
        <v>358</v>
      </c>
      <c r="I2" s="161">
        <f ca="1">额外属性!I7</f>
        <v>2293648</v>
      </c>
      <c r="J2" s="161">
        <f ca="1">额外属性!J7</f>
        <v>0</v>
      </c>
      <c r="K2" s="161">
        <f ca="1">额外属性!K7</f>
        <v>0</v>
      </c>
      <c r="L2" s="161">
        <f ca="1">额外属性!L7</f>
        <v>3095528</v>
      </c>
      <c r="M2" s="161">
        <f ca="1">额外属性!M7</f>
        <v>10684</v>
      </c>
      <c r="N2" s="161">
        <f ca="1">额外属性!N7</f>
        <v>0</v>
      </c>
      <c r="O2" s="161">
        <f ca="1">额外属性!O7</f>
        <v>10684</v>
      </c>
      <c r="P2" s="161">
        <f ca="1">额外属性!P7</f>
        <v>361</v>
      </c>
      <c r="Q2" s="161">
        <f ca="1">额外属性!Q7</f>
        <v>0</v>
      </c>
      <c r="R2" s="161">
        <f ca="1">额外属性!R7</f>
        <v>361</v>
      </c>
      <c r="S2" s="161">
        <f ca="1">额外属性!S7</f>
        <v>69237</v>
      </c>
      <c r="T2" s="161">
        <f ca="1">额外属性!T7</f>
        <v>51</v>
      </c>
      <c r="U2" s="161">
        <f ca="1">额外属性!U7</f>
        <v>69295</v>
      </c>
      <c r="V2" s="161">
        <f ca="1">额外属性!V7</f>
        <v>91975</v>
      </c>
      <c r="W2" s="161">
        <f ca="1">额外属性!W7</f>
        <v>129620</v>
      </c>
      <c r="X2" s="161">
        <f ca="1">额外属性!X7</f>
        <v>0.03</v>
      </c>
      <c r="Y2" s="161">
        <f ca="1">额外属性!Y7</f>
        <v>0.7343</v>
      </c>
      <c r="Z2" s="161">
        <f ca="1">额外属性!Z7</f>
        <v>13632</v>
      </c>
      <c r="AA2" s="161">
        <f ca="1">额外属性!AA7</f>
        <v>387.592380952381</v>
      </c>
      <c r="AB2" s="161">
        <f ca="1">额外属性!AB7</f>
        <v>2.3156473116</v>
      </c>
      <c r="AC2" s="161">
        <f ca="1">额外属性!AC7</f>
        <v>98191.2857142857</v>
      </c>
      <c r="AD2" s="161">
        <f ca="1">额外属性!AD7</f>
        <v>0</v>
      </c>
      <c r="AE2" s="161">
        <f ca="1">额外属性!AE7</f>
        <v>98299.2857142857</v>
      </c>
      <c r="AF2" s="161">
        <f ca="1">额外属性!AF7</f>
        <v>101293.285714286</v>
      </c>
      <c r="AG2" s="161">
        <f ca="1">额外属性!AG7</f>
        <v>0</v>
      </c>
      <c r="AH2" s="161">
        <f ca="1">额外属性!AH7</f>
        <v>92028</v>
      </c>
      <c r="AI2" s="161">
        <f ca="1">额外属性!AI7</f>
        <v>0</v>
      </c>
      <c r="AJ2" s="161">
        <f ca="1">额外属性!AJ7</f>
        <v>92028</v>
      </c>
      <c r="AK2" s="161">
        <f ca="1">额外属性!AK7</f>
        <v>231568.824643414</v>
      </c>
      <c r="AL2" s="161">
        <f ca="1">额外属性!AL7</f>
        <v>25.5</v>
      </c>
      <c r="AM2" s="161">
        <f ca="1">额外属性!AM7</f>
        <v>237334.824643414</v>
      </c>
      <c r="AN2" s="161">
        <f ca="1">额外属性!AN7</f>
        <v>20</v>
      </c>
      <c r="AO2" s="161">
        <f ca="1">额外属性!AO7</f>
        <v>1.7995442148</v>
      </c>
      <c r="AP2" s="161">
        <f ca="1">额外属性!AP7</f>
        <v>14505</v>
      </c>
      <c r="AQ2" s="161">
        <f ca="1">额外属性!AQ7</f>
        <v>0</v>
      </c>
      <c r="AR2" s="161">
        <f ca="1">额外属性!AR7</f>
        <v>14505</v>
      </c>
      <c r="AS2" s="161">
        <f ca="1">额外属性!AS7</f>
        <v>82</v>
      </c>
      <c r="AT2" s="161">
        <f ca="1">额外属性!AT7</f>
        <v>0.1491</v>
      </c>
      <c r="AU2" s="161">
        <f ca="1">额外属性!AU7</f>
        <v>9521</v>
      </c>
      <c r="AV2" s="161">
        <f ca="1">额外属性!AV7</f>
        <v>15868</v>
      </c>
      <c r="AW2" s="161">
        <f ca="1">额外属性!AW7</f>
        <v>0</v>
      </c>
      <c r="AX2" s="161">
        <f ca="1">额外属性!AX7</f>
        <v>9521</v>
      </c>
      <c r="AY2" s="161">
        <f ca="1">额外属性!AY7</f>
        <v>15868</v>
      </c>
      <c r="AZ2" s="161">
        <f ca="1">ROUND(额外属性!AZ7,10)</f>
        <v>79.1129824561</v>
      </c>
      <c r="BA2" s="161">
        <f ca="1">额外属性!BA7</f>
        <v>21</v>
      </c>
      <c r="BB2" s="161">
        <f ca="1">额外属性!BB7</f>
        <v>4655</v>
      </c>
      <c r="BC2" s="161">
        <f ca="1">额外属性!BC7</f>
        <v>0</v>
      </c>
      <c r="BD2" s="161">
        <f ca="1">额外属性!BD7</f>
        <v>34</v>
      </c>
      <c r="BE2" s="161">
        <f>额外属性!BE7</f>
        <v>0</v>
      </c>
    </row>
    <row r="3" s="161" customFormat="1" spans="2:63">
      <c r="B3" s="159" t="s">
        <v>2509</v>
      </c>
      <c r="C3" s="161">
        <f>额外属性!C8</f>
        <v>0</v>
      </c>
      <c r="D3" s="161">
        <f>额外属性!D8</f>
        <v>0</v>
      </c>
      <c r="E3" s="161">
        <f ca="1">额外属性!E8</f>
        <v>218067</v>
      </c>
      <c r="F3" s="161">
        <f ca="1">额外属性!F8</f>
        <v>0</v>
      </c>
      <c r="G3" s="161">
        <f ca="1">额外属性!G8</f>
        <v>112978</v>
      </c>
      <c r="H3" s="161">
        <f ca="1">额外属性!H8</f>
        <v>358</v>
      </c>
      <c r="I3" s="161">
        <f ca="1">额外属性!I8</f>
        <v>2293648</v>
      </c>
      <c r="J3" s="161">
        <f ca="1">额外属性!J8</f>
        <v>0</v>
      </c>
      <c r="K3" s="161">
        <f ca="1">额外属性!K8</f>
        <v>0</v>
      </c>
      <c r="L3" s="161">
        <f ca="1">额外属性!L8</f>
        <v>3095528</v>
      </c>
      <c r="M3" s="161">
        <f ca="1">额外属性!M8</f>
        <v>10684</v>
      </c>
      <c r="N3" s="161">
        <f ca="1">额外属性!N8</f>
        <v>0</v>
      </c>
      <c r="O3" s="161">
        <f ca="1">额外属性!O8</f>
        <v>10684</v>
      </c>
      <c r="P3" s="161">
        <f ca="1">额外属性!P8</f>
        <v>361</v>
      </c>
      <c r="Q3" s="161">
        <f ca="1">额外属性!Q8</f>
        <v>0</v>
      </c>
      <c r="R3" s="161">
        <f ca="1">额外属性!R8</f>
        <v>361</v>
      </c>
      <c r="S3" s="161">
        <f ca="1">额外属性!S8</f>
        <v>69237</v>
      </c>
      <c r="T3" s="161">
        <f ca="1">额外属性!T8</f>
        <v>51</v>
      </c>
      <c r="U3" s="161">
        <f ca="1">额外属性!U8</f>
        <v>69295</v>
      </c>
      <c r="V3" s="161">
        <f ca="1">额外属性!V8</f>
        <v>91975</v>
      </c>
      <c r="W3" s="161">
        <f ca="1">额外属性!W8</f>
        <v>129620</v>
      </c>
      <c r="X3" s="161">
        <f ca="1">额外属性!X8</f>
        <v>0.03</v>
      </c>
      <c r="Y3" s="161">
        <f ca="1">额外属性!Y8</f>
        <v>0.7343</v>
      </c>
      <c r="Z3" s="161">
        <f ca="1">额外属性!Z8</f>
        <v>13632</v>
      </c>
      <c r="AA3" s="161">
        <f ca="1">额外属性!AA8</f>
        <v>387.592380952381</v>
      </c>
      <c r="AB3" s="161">
        <f ca="1">额外属性!AB8</f>
        <v>2.3156473116</v>
      </c>
      <c r="AC3" s="161">
        <f ca="1">额外属性!AC8</f>
        <v>98191.2857142857</v>
      </c>
      <c r="AD3" s="161">
        <f ca="1">额外属性!AD8</f>
        <v>0</v>
      </c>
      <c r="AE3" s="161">
        <f ca="1">额外属性!AE8</f>
        <v>98299.2857142857</v>
      </c>
      <c r="AF3" s="161">
        <f ca="1">额外属性!AF8</f>
        <v>101293.285714286</v>
      </c>
      <c r="AG3" s="161">
        <f ca="1">额外属性!AG8</f>
        <v>0</v>
      </c>
      <c r="AH3" s="161">
        <f ca="1">额外属性!AH8</f>
        <v>92028</v>
      </c>
      <c r="AI3" s="161">
        <f ca="1">额外属性!AI8</f>
        <v>0</v>
      </c>
      <c r="AJ3" s="161">
        <f ca="1">额外属性!AJ8</f>
        <v>92028</v>
      </c>
      <c r="AK3" s="161">
        <f ca="1">额外属性!AK8</f>
        <v>231568.824643414</v>
      </c>
      <c r="AL3" s="161">
        <f ca="1">额外属性!AL8</f>
        <v>25.5</v>
      </c>
      <c r="AM3" s="161">
        <f ca="1">额外属性!AM8</f>
        <v>237334.824643414</v>
      </c>
      <c r="AN3" s="161">
        <f ca="1">额外属性!AN8</f>
        <v>20</v>
      </c>
      <c r="AO3" s="161">
        <f ca="1">额外属性!AO8</f>
        <v>1.7995442148</v>
      </c>
      <c r="AP3" s="161">
        <f ca="1">额外属性!AP8</f>
        <v>14505</v>
      </c>
      <c r="AQ3" s="161">
        <f ca="1">额外属性!AQ8</f>
        <v>0</v>
      </c>
      <c r="AR3" s="161">
        <f ca="1">额外属性!AR8</f>
        <v>14505</v>
      </c>
      <c r="AS3" s="161">
        <f ca="1">额外属性!AS8</f>
        <v>82</v>
      </c>
      <c r="AT3" s="161">
        <f ca="1">额外属性!AT8</f>
        <v>0.1491</v>
      </c>
      <c r="AU3" s="161">
        <f ca="1">额外属性!AU8</f>
        <v>14648</v>
      </c>
      <c r="AV3" s="161">
        <f ca="1">额外属性!AV8</f>
        <v>24413</v>
      </c>
      <c r="AW3" s="161">
        <f ca="1">额外属性!AW8</f>
        <v>0</v>
      </c>
      <c r="AX3" s="161">
        <f ca="1">额外属性!AX8</f>
        <v>14648</v>
      </c>
      <c r="AY3" s="161">
        <f ca="1">额外属性!AY8</f>
        <v>24413</v>
      </c>
      <c r="AZ3" s="161">
        <f ca="1">ROUND(额外属性!AZ8,10)</f>
        <v>181.1129824561</v>
      </c>
      <c r="BA3" s="161">
        <f ca="1">额外属性!BA8</f>
        <v>21</v>
      </c>
      <c r="BB3" s="161">
        <f ca="1">额外属性!BB8</f>
        <v>4655</v>
      </c>
      <c r="BC3" s="161">
        <f ca="1">额外属性!BC8</f>
        <v>0</v>
      </c>
      <c r="BD3" s="161">
        <f ca="1">额外属性!BD8</f>
        <v>34</v>
      </c>
      <c r="BE3" s="161">
        <f>额外属性!BE8</f>
        <v>0</v>
      </c>
    </row>
    <row r="5" spans="2:63">
      <c r="E5" t="s">
        <v>3118</v>
      </c>
      <c r="F5">
        <f>INDEX(技能数据库!$Z$16:$AB$23,MATCH(配装计算器!$K$31,技能数据库!$Z$16:$Z$23,0),2)</f>
        <v>83679</v>
      </c>
      <c r="AG5">
        <f ca="1">AB11+AB13+Y2*AB76+(Y2+0.2)*AB71</f>
        <v>12114068.8857153</v>
      </c>
    </row>
    <row r="6" spans="2:63">
      <c r="E6" t="s">
        <v>3119</v>
      </c>
      <c r="F6">
        <f>INDEX(技能数据库!$Z$16:$AB$23,MATCH(配装计算器!$K$31,技能数据库!$Z$16:$Z$23,0),3)</f>
        <v>134</v>
      </c>
      <c r="AG6">
        <f ca="1">AB19+AB31+AB37+(Y3+0.2)*AB55</f>
        <v>13344389.1078512</v>
      </c>
    </row>
    <row r="7" spans="2:63">
      <c r="E7" t="s">
        <v>3120</v>
      </c>
      <c r="F7">
        <f>外防全局系数*(1155*F6-130350)</f>
        <v>155408.88</v>
      </c>
      <c r="AC7" t="s">
        <v>3121</v>
      </c>
      <c r="AD7">
        <f ca="1">SUMPRODUCT(AB10:AB1048576,AC10:AC1048576)</f>
        <v>3115143788.23839</v>
      </c>
      <c r="AZ7" s="166">
        <f ca="1">SUM(AZ10:AZ1048576)</f>
        <v>1</v>
      </c>
    </row>
    <row r="8" spans="2:63">
      <c r="AC8" t="s">
        <v>3122</v>
      </c>
      <c r="AD8">
        <f ca="1">AD7/(MAX(技能数计算!A2:A515))</f>
        <v>14891456.5143572</v>
      </c>
      <c r="AE8">
        <f ca="1">SUMPRODUCT($AD$10:$AD$1048576,$AE$10:$AE$1048576,$AR$10:$AR$1048576)</f>
        <v>0.00308535572982006</v>
      </c>
      <c r="AF8">
        <f ca="1">SUMPRODUCT($AD$10:$AD$1048576,AF10:AF1048576,$AR$10:$AR$1048576)</f>
        <v>0.00183902368432838</v>
      </c>
      <c r="AG8">
        <f ca="1">SUMPRODUCT($AD$10:$AD$1048576,AG10:AG1048576,$AR$10:$AR$1048576)</f>
        <v>0.00251559120622175</v>
      </c>
      <c r="AL8">
        <f ca="1">SUMPRODUCT($AD$10:$AD$1048576,AL10:AL1048576,$AR$10:$AR$1048576)</f>
        <v>0.00218981028372108</v>
      </c>
      <c r="AN8">
        <f ca="1">SUMPRODUCT($AD$10:$AD$1048576,AN10:AN1048576,$AR$10:$AR$1048576)</f>
        <v>0.00675038509460929</v>
      </c>
      <c r="AO8">
        <f ca="1">SUMPRODUCT($AD$10:$AD$1048576,AO10:AO1048576,$AR$10:$AR$1048576)</f>
        <v>0.00434867011673728</v>
      </c>
      <c r="AP8">
        <f ca="1">SUMPRODUCT($AD$10:$AD$1048576,AP10:AP1048576,$AR$10:$AR$1048576)</f>
        <v>0.00403739031299974</v>
      </c>
      <c r="AQ8">
        <f ca="1">SUMPRODUCT($AD$10:$AD$1048576,AQ10:AQ1048576,$AR$10:$AR$1048576)</f>
        <v>0.00390633035250588</v>
      </c>
      <c r="AR8" t="str">
        <f>配装计算器!M2</f>
        <v>综合属性收益</v>
      </c>
    </row>
    <row r="9" spans="2:63">
      <c r="D9" t="s">
        <v>2135</v>
      </c>
      <c r="E9" t="s">
        <v>2969</v>
      </c>
      <c r="F9" t="s">
        <v>1990</v>
      </c>
      <c r="G9" t="s">
        <v>2971</v>
      </c>
      <c r="H9" t="s">
        <v>2705</v>
      </c>
      <c r="I9" t="s">
        <v>2709</v>
      </c>
      <c r="J9" t="s">
        <v>2710</v>
      </c>
      <c r="K9" t="s">
        <v>2711</v>
      </c>
      <c r="L9" t="s">
        <v>66</v>
      </c>
      <c r="M9" t="s">
        <v>69</v>
      </c>
      <c r="N9" t="s">
        <v>34</v>
      </c>
      <c r="O9" t="s">
        <v>3123</v>
      </c>
      <c r="P9" t="s">
        <v>3124</v>
      </c>
      <c r="Q9" t="s">
        <v>28</v>
      </c>
      <c r="R9" t="s">
        <v>3125</v>
      </c>
      <c r="S9" t="s">
        <v>3126</v>
      </c>
      <c r="T9" t="s">
        <v>3127</v>
      </c>
      <c r="U9" t="s">
        <v>21</v>
      </c>
      <c r="V9" t="s">
        <v>3128</v>
      </c>
      <c r="W9" t="s">
        <v>7</v>
      </c>
      <c r="X9" t="s">
        <v>9</v>
      </c>
      <c r="Y9" t="s">
        <v>3129</v>
      </c>
      <c r="Z9" t="s">
        <v>3130</v>
      </c>
      <c r="AA9" t="s">
        <v>2038</v>
      </c>
      <c r="AB9" t="s">
        <v>3131</v>
      </c>
      <c r="AC9" t="s">
        <v>3034</v>
      </c>
      <c r="AD9" t="s">
        <v>3132</v>
      </c>
      <c r="AE9" t="s">
        <v>3133</v>
      </c>
      <c r="AF9" t="s">
        <v>3134</v>
      </c>
      <c r="AG9" t="s">
        <v>3135</v>
      </c>
      <c r="AH9" t="s">
        <v>3136</v>
      </c>
      <c r="AI9" t="s">
        <v>3137</v>
      </c>
      <c r="AJ9" t="s">
        <v>3138</v>
      </c>
      <c r="AK9" t="s">
        <v>3139</v>
      </c>
      <c r="AL9" t="s">
        <v>3140</v>
      </c>
      <c r="AM9" t="s">
        <v>3141</v>
      </c>
      <c r="AN9" t="s">
        <v>3142</v>
      </c>
      <c r="AO9" t="s">
        <v>3143</v>
      </c>
      <c r="AP9" t="s">
        <v>3144</v>
      </c>
      <c r="AQ9" t="s">
        <v>3145</v>
      </c>
      <c r="AR9" t="s">
        <v>3146</v>
      </c>
      <c r="AX9" s="167" t="s">
        <v>3132</v>
      </c>
      <c r="AY9" s="167" t="s">
        <v>3147</v>
      </c>
      <c r="AZ9" t="s">
        <v>3148</v>
      </c>
      <c r="BB9" t="s">
        <v>3149</v>
      </c>
      <c r="BC9" t="s">
        <v>3148</v>
      </c>
      <c r="BD9" t="s">
        <v>3150</v>
      </c>
      <c r="BE9" t="s">
        <v>2970</v>
      </c>
      <c r="BF9" t="s">
        <v>3151</v>
      </c>
      <c r="BH9" t="s">
        <v>2407</v>
      </c>
      <c r="BI9" t="s">
        <v>3152</v>
      </c>
      <c r="BJ9">
        <v>0</v>
      </c>
      <c r="BK9">
        <v>1</v>
      </c>
    </row>
    <row r="10" spans="2:63">
      <c r="D10" t="s">
        <v>1028</v>
      </c>
      <c r="E10" t="s">
        <v>2722</v>
      </c>
      <c r="H10">
        <f ca="1">INDEX(技能数据库!$B$2:$I$100,MATCH(伤害与收益计算!$E10,技能数据库!$B$2:$B$100,0),MATCH(H$9,技能数据库!$B$2:$I$2,0))</f>
        <v>145.5</v>
      </c>
      <c r="I10">
        <f ca="1">INDEX(技能数据库!$B$2:$I$100,MATCH(伤害与收益计算!$E10,技能数据库!$B$2:$B$100,0),MATCH(I$9,技能数据库!$B$2:$I$2,0))</f>
        <v>5.1625</v>
      </c>
      <c r="J10">
        <f ca="1">INDEX(技能数据库!$B$2:$I$100,MATCH(伤害与收益计算!$E10,技能数据库!$B$2:$B$100,0),MATCH(J$9,技能数据库!$B$2:$I$2,0))</f>
        <v>1</v>
      </c>
      <c r="K10">
        <f ca="1">INDEX(技能数据库!$B$2:$I$100,MATCH(伤害与收益计算!$E10,技能数据库!$B$2:$B$100,0),MATCH(K$9,技能数据库!$B$2:$I$2,0))</f>
        <v>0</v>
      </c>
      <c r="L10">
        <f ca="1" t="shared" ref="L10:L73" si="0">IF(D10="轻剑",$V$2,$V$3)+INT(残雪*(COUNTIF(G10,"*莺鸣*")+COUNTIF(G10,"*叠1*")+COUNTIF(G10,"*叠2*")*2+COUNTIF(G10,"*叠3*")*3)*IF(D10="轻剑",$U$2,$U$3)*154/1024+COUNTIF(G10,"*雾锁*")*205/1024*IF(D10="轻剑",$U$2,$U$3))</f>
        <v>91975</v>
      </c>
      <c r="M10">
        <f ca="1">IF(D10="轻剑",$AU$2+$AV$2,$AU$3+$AV$3)/2</f>
        <v>12694.5</v>
      </c>
      <c r="N10">
        <f ca="1">IF(D10="轻剑",$AJ$2,$AJ$3)</f>
        <v>92028</v>
      </c>
      <c r="O10">
        <f ca="1" t="shared" ref="O10:O41" si="1">H10+I10*L10+J10*M10+IF(K10&gt;0,MAX(1,K10*N10*破招全局系数),0)</f>
        <v>487660.9375</v>
      </c>
      <c r="P10">
        <f ca="1">IF(G10="恒定伤害",0,(IF(D10="轻剑",$AZ$2,$AZ$3)+IFERROR(INDEX(技能数据库!$T$2:$W$27,MATCH(E10,技能数据库!$T$2:$T$27,0),4),0)+COUNTIF(G10,"*造化2*")*154+COUNTIF(G10,"*造化1*")*102+COUNTIF(G10,"*碧归*")*307)/1024)</f>
        <v>0.247180646929785</v>
      </c>
      <c r="Q10">
        <f ca="1" t="shared" ref="Q10:Q41" si="2">IF(G10="恒定伤害",0,(IF(COUNTIF(F10,"*内破*")&gt;0,内破,IF(D10="轻剑",$AF$2,$AF$3)/破防系数))+IF((IF(D10="轻剑",$AO$2,$AO$3)+INT(COUNTIF(G10,"*大莺鸣*")*IF(D10="轻剑",$AM$2,$AM$3)*听晓无双率)/无双系数)&gt;0.9,(特效裤子破防+特效裤子破防*IF(D10="轻剑",$AD$2,$AD$3)/1024)/破防系数,0))</f>
        <v>0.448284482196154</v>
      </c>
      <c r="R10">
        <f ca="1" t="shared" ref="R10:R41" si="3">IF(G10="恒定伤害",0,(($F$5-IF(D10="轻剑",$BB$2,$BB$3))*(1024-IF(D10="轻剑",$BD$2,$BD$3))/1024*(1024-IF(D10="轻剑",$BC$2,$BC$3)-COUNTIF(G10,"*雾锁*")*461*雾锁)/1024/(($F$5-IF(D10="轻剑",$BB$2,$BB$3))*(1024-IF(D10="轻剑",$BD$2,$BD$3))/1024*(1024-IF(D10="轻剑",$BC$2,$BC$3)-COUNTIF(G10,"*雾锁*")*461*雾锁)/1024+$F$7)))</f>
        <v>0.32958230397716</v>
      </c>
      <c r="S10">
        <f ca="1">O10*(1+P10)*(1+Q10)*(1-R10)</f>
        <v>590536.409153493</v>
      </c>
      <c r="T10">
        <f>1-($F$6-130)*0.05</f>
        <v>0.8</v>
      </c>
      <c r="U10">
        <f ca="1" t="shared" ref="U10:U41" si="4">IF(G10="恒定伤害",0,(IF(D10="轻剑",$AO$2,$AO$3)+INT(COUNTIF(G10,"*大莺鸣*")*IF(D10="轻剑",$AM$2,$AM$3)*听晓无双率)/无双系数)+IF((IF(D10="轻剑",$AO$2,$AO$3)+INT(COUNTIF(G10,"*大莺鸣*")*IF(D10="轻剑",$AM$2,$AM$3)*听晓无双率)/无双系数)&lt;=0.9,特效裤子无双,0))</f>
        <v>1.7995442148</v>
      </c>
      <c r="V10">
        <f ca="1">S10*T10*(1+U10)</f>
        <v>1322586.23029954</v>
      </c>
      <c r="W10">
        <f ca="1">IF(G10="恒定伤害",0,MIN(1,IF(COUNTIF(F10,"*内会*")&gt;0,内会,IF(D10="轻剑",$Y$2,$Y$3)+COUNTIF(G10,"*莺鸣*")*0.2+COUNTIF(G10,"*叠1*")*0.1+COUNTIF(G10,"*叠2*")*0.2+COUNTIF(G10,"*叠3*")*0.3)+IFERROR(INDEX(技能数据库!$T$2:$W$27,MATCH(E10,技能数据库!$T$2:$T$27,0),2),0)+IF((IF(D10="轻剑",$AO$2,$AO$3)+INT(COUNTIF(G10,"*大莺鸣*")*IF(D10="轻剑",$AM$2,$AM$3)*听晓无双率)/无双系数)&gt;0.9,特效裤子会心/会心系数,0)))</f>
        <v>0.7343</v>
      </c>
      <c r="X10">
        <f ca="1">IF(G10="恒定伤害",0,IF(COUNTIF(F10,"*内会*")&gt;0,内会效,IF(D10="轻剑",$AB$2,$AB$3))+IFERROR(INDEX(技能数据库!$T$2:$W$27,MATCH(E10,技能数据库!$T$2:$T$27,0),3)/1024,0))+COUNTIF(G10,"*叠1*")*0.25+COUNTIF(G10,"*叠2*")*0.5+COUNTIF(G10,"*叠3*")*0.75</f>
        <v>2.3156473116</v>
      </c>
      <c r="Y10">
        <f ca="1">1+W10*(X10-1)</f>
        <v>1.96607982090788</v>
      </c>
      <c r="Z10">
        <f t="shared" ref="Z10:Z41" si="5">IF(G10="恒定伤害",0,非侠士伤害/1024)</f>
        <v>0.150390625</v>
      </c>
      <c r="AA10">
        <f ca="1">IF(D10="轻剑",$BA$2,$BA$3)/1024</f>
        <v>0.0205078125</v>
      </c>
      <c r="AB10">
        <f ca="1">V10*Y10*(1+Z10)*(1+AA10)</f>
        <v>3052718.86322682</v>
      </c>
      <c r="AC10">
        <f ca="1">技能数计算!AJ2</f>
        <v>0</v>
      </c>
      <c r="AD10" s="164">
        <f ca="1">IFERROR(AB10*AC10/$AD$7,0)</f>
        <v>0</v>
      </c>
      <c r="AE10" s="168">
        <f ca="1" t="shared" ref="AE10:AE73" si="6">IFERROR((delta攻击+INT((IF(D10="轻剑",$T$2,$T$3)+残雪*(COUNTIF(G10,"*莺鸣*")+COUNTIF(G10,"*叠1*")+COUNTIF(G10,"*叠2*")*2+COUNTIF(G10,"*叠3*")*3)*153+COUNTIF(G10,"*雾锁*")*205)/1024*delta攻击))*I10/O10,0)</f>
        <v>0.00440387948850219</v>
      </c>
      <c r="AF10" s="168">
        <f ca="1" t="shared" ref="AF10:AF41" si="7">IFERROR((delta武伤+INT((IF(D10="轻剑",$AW$2,$AW$3))/1024*delta武伤))*J10/O10,0)</f>
        <v>0.00122267328414017</v>
      </c>
      <c r="AG10">
        <f ca="1" t="shared" ref="AG10:AG73" si="8">IF(G10="恒定伤害",0,MAX(0,AH10*AI10*IF(AJ10=0,1,AJ10)-1))</f>
        <v>0.00374358688043253</v>
      </c>
      <c r="AH10">
        <f ca="1" t="shared" ref="AH10:AH41" si="9">IFERROR((delta身法+INT((IF(D10="轻剑",$N$2,$N$3))/1024*delta身法))*身法转额外攻击*I10/O10+1,0)</f>
        <v>1.00358199787009</v>
      </c>
      <c r="AI10">
        <f ca="1" t="shared" ref="AI10:AI41" si="10">IFERROR(((delta身法+INT((IF(D10="轻剑",$N$2,$N$3))/1024*delta身法))*身法转额外破防/破防系数+Q10+1)/(1+Q10),0)</f>
        <v>1.00016101226475</v>
      </c>
      <c r="AJ10">
        <f ca="1" t="shared" ref="AJ10:AJ41" si="11">IFERROR(((1+MIN(1,((delta身法+INT((IF(D10="轻剑",$N$2,$N$3))/1024*delta身法))*身法转基础会心/会心系数)+W10)*(X10-1))*AK10)/(Y10*AC10),0)</f>
        <v>0</v>
      </c>
      <c r="AK10">
        <f ca="1">AC10</f>
        <v>0</v>
      </c>
      <c r="AL10">
        <f ca="1" t="shared" ref="AL10:AL41" si="12">IF(G10="恒定伤害",0,IFERROR(((1+MIN(1,W10+delta会心/会心系数)*(X10-1))*AM10)/(Y10*AC10)-1,0))</f>
        <v>0</v>
      </c>
      <c r="AM10">
        <f ca="1">AC10</f>
        <v>0</v>
      </c>
      <c r="AN10" s="168">
        <f ca="1">IF(OR(COUNTIF(F10,"*内会*")&gt;0,G10="恒定伤害"),0,(1+W10*(MIN(3+COUNTIF(G10,"*叠*")*0.75,X10+delta会效/会效系数)-1))/Y10-1)</f>
        <v>0.00750104430192855</v>
      </c>
      <c r="AO10" s="168">
        <f ca="1" t="shared" ref="AO10:AO41" si="13">IF(OR(COUNTIF(F10,"*内破*")&gt;0,G10="恒定伤害"),0,IFERROR(((delta破防+INT((IF(D10="轻剑",$AD$2,$AD$3))/1024*delta破防))/破防系数+Q10+1)/(Q10+1)-1,0))</f>
        <v>0.00447057613551372</v>
      </c>
      <c r="AP10" s="172">
        <f ca="1" t="shared" ref="AP10:AP41" si="14">IFERROR((delta破招+INT((IF(D10="轻剑",$AI$2,$AI$3))/1024*delta破招))*K10*破招全局系数/MAX(1,O10),0)</f>
        <v>0</v>
      </c>
      <c r="AQ10" s="168">
        <f ca="1" t="shared" ref="AQ10:AQ41" si="15">IF(G10="恒定伤害",0,IFERROR(((delta无双+INT((IF(D10="轻剑",$AL$2,$AL$3)+COUNTIF(G10,"*大莺鸣*")*307)/1024*delta无双))/无双系数+U10+1)/(U10+1)-1,0))</f>
        <v>0.00401583628616287</v>
      </c>
      <c r="AR10">
        <f>IF($AR$8="综合属性收益",1,COUNTIF(D10,LEFT($AR$8,2)))</f>
        <v>1</v>
      </c>
      <c r="AX10" s="167" t="s">
        <v>2722</v>
      </c>
      <c r="AY10" s="167" t="s">
        <v>2813</v>
      </c>
      <c r="AZ10" s="164">
        <f ca="1" t="shared" ref="AZ10:AZ51" si="16">SUMIF($E$10:$E$1048576,AX10,$AD$10:$AD$1048576)</f>
        <v>0.00527871924719659</v>
      </c>
      <c r="BA10" s="173">
        <f ca="1" t="shared" ref="BA10:BA51" si="17">SUMIF($E$10:$E$1048576,AX10,$AC$10:$AC$1048576)</f>
        <v>4</v>
      </c>
      <c r="BB10" s="167" t="s">
        <v>2813</v>
      </c>
      <c r="BC10" s="164">
        <f ca="1">SUMIF($AY$10:$AY$100,BB10,$AZ$10:$AZ$100)</f>
        <v>0.00527871924719659</v>
      </c>
      <c r="BD10">
        <f ca="1">RANK(BC10,$BC$10:$BC$100)</f>
        <v>14</v>
      </c>
      <c r="BE10">
        <f ca="1">SUMIF($AY$10:$AY$100,BB10,$BA$10:$BA$100)</f>
        <v>4</v>
      </c>
      <c r="BF10">
        <f ca="1">COUNTIF(技能数计算!$B$3:$B$515,"*听雷*")*循环比+技能数计算!AN54</f>
        <v>4</v>
      </c>
      <c r="BH10">
        <v>1</v>
      </c>
      <c r="BI10" t="str">
        <f ca="1">INDEX($BB$10:$BC$100,MATCH(BH10,$BD$10:$BD$100,0),1)</f>
        <v>云飞玉皇</v>
      </c>
      <c r="BJ10" t="str">
        <f ca="1">CHOOSE($BJ$9+1,TEXT(ROUND(INDEX($BB$10:$BE$100,MATCH(BH10,$BD$10:$BD$100,0),2)*100,2),"0.0")&amp;"%",ROUND(INDEX($BB$10:$BE$100,MATCH(BH10,$BD$10:$BD$100,0),4),2)&amp;"")</f>
        <v>29.6%</v>
      </c>
      <c r="BK10" t="str">
        <f ca="1">CHOOSE($BK$9+1,TEXT(ROUND(INDEX($BB$10:$BE$100,MATCH(BH10,$BD$10:$BD$100,0),2)*100,2),"0.00")&amp;"%",ROUND(INDEX($BB$10:$BE$100,MATCH(BH10,$BD$10:$BD$100,0),4),1)&amp;"")</f>
        <v>154</v>
      </c>
    </row>
    <row r="11" spans="2:63">
      <c r="D11" t="s">
        <v>1028</v>
      </c>
      <c r="E11" t="s">
        <v>2722</v>
      </c>
      <c r="G11" t="s">
        <v>2750</v>
      </c>
      <c r="H11">
        <f ca="1">INDEX(技能数据库!$B$2:$I$100,MATCH(伤害与收益计算!$E11,技能数据库!$B$2:$B$100,0),MATCH(H$9,技能数据库!$B$2:$I$2,0))</f>
        <v>145.5</v>
      </c>
      <c r="I11">
        <f ca="1">INDEX(技能数据库!$B$2:$I$100,MATCH(伤害与收益计算!$E11,技能数据库!$B$2:$B$100,0),MATCH(I$9,技能数据库!$B$2:$I$2,0))</f>
        <v>5.1625</v>
      </c>
      <c r="J11">
        <f ca="1">INDEX(技能数据库!$B$2:$I$100,MATCH(伤害与收益计算!$E11,技能数据库!$B$2:$B$100,0),MATCH(J$9,技能数据库!$B$2:$I$2,0))</f>
        <v>1</v>
      </c>
      <c r="K11">
        <f ca="1">INDEX(技能数据库!$B$2:$I$100,MATCH(伤害与收益计算!$E11,技能数据库!$B$2:$B$100,0),MATCH(K$9,技能数据库!$B$2:$I$2,0))</f>
        <v>0</v>
      </c>
      <c r="L11">
        <f ca="1" t="shared" si="0"/>
        <v>105847</v>
      </c>
      <c r="M11">
        <f ca="1">IF(D11="轻剑",$AU$2+$AV$2,$AU$3+$AV$3)/2</f>
        <v>12694.5</v>
      </c>
      <c r="N11">
        <f ca="1">IF(D11="轻剑",$AJ$2,$AJ$3)</f>
        <v>92028</v>
      </c>
      <c r="O11">
        <f ca="1" t="shared" si="1"/>
        <v>559275.1375</v>
      </c>
      <c r="P11">
        <f ca="1">IF(G11="恒定伤害",0,(IF(D11="轻剑",$AZ$2,$AZ$3)+IFERROR(INDEX(技能数据库!$T$2:$W$27,MATCH(E11,技能数据库!$T$2:$T$27,0),4),0)+COUNTIF(G11,"*造化2*")*154+COUNTIF(G11,"*造化1*")*102+COUNTIF(G11,"*碧归*")*307)/1024)</f>
        <v>0.247180646929785</v>
      </c>
      <c r="Q11">
        <f ca="1" t="shared" si="2"/>
        <v>0.448284482196154</v>
      </c>
      <c r="R11">
        <f ca="1" t="shared" si="3"/>
        <v>0.21277697966198</v>
      </c>
      <c r="S11">
        <f ca="1">O11*(1+P11)*(1+Q11)*(1-R11)</f>
        <v>795255.239652834</v>
      </c>
      <c r="T11">
        <f>1-($F$6-130)*0.05</f>
        <v>0.8</v>
      </c>
      <c r="U11">
        <f ca="1" t="shared" si="4"/>
        <v>1.7995442148</v>
      </c>
      <c r="V11">
        <f ca="1">S11*T11*(1+U11)</f>
        <v>1781081.76436758</v>
      </c>
      <c r="W11">
        <f ca="1">IF(G11="恒定伤害",0,MIN(1,IF(COUNTIF(F11,"*内会*")&gt;0,内会,IF(D11="轻剑",$Y$2,$Y$3)+COUNTIF(G11,"*莺鸣*")*0.2+COUNTIF(G11,"*叠1*")*0.1+COUNTIF(G11,"*叠2*")*0.2+COUNTIF(G11,"*叠3*")*0.3)+IFERROR(INDEX(技能数据库!$T$2:$W$27,MATCH(E11,技能数据库!$T$2:$T$27,0),2),0)+IF((IF(D11="轻剑",$AO$2,$AO$3)+INT(COUNTIF(G11,"*大莺鸣*")*IF(D11="轻剑",$AM$2,$AM$3)*听晓无双率)/无双系数)&gt;0.9,特效裤子会心/会心系数,0)))</f>
        <v>0.7343</v>
      </c>
      <c r="X11">
        <f ca="1">IF(G11="恒定伤害",0,IF(COUNTIF(F11,"*内会*")&gt;0,内会效,IF(D11="轻剑",$AB$2,$AB$3))+IFERROR(INDEX(技能数据库!$T$2:$W$27,MATCH(E11,技能数据库!$T$2:$T$27,0),3)/1024,0))+COUNTIF(G11,"*叠1*")*0.25+COUNTIF(G11,"*叠2*")*0.5+COUNTIF(G11,"*叠3*")*0.75</f>
        <v>2.3156473116</v>
      </c>
      <c r="Y11">
        <f ca="1">1+W11*(X11-1)</f>
        <v>1.96607982090788</v>
      </c>
      <c r="Z11">
        <f t="shared" si="5"/>
        <v>0.150390625</v>
      </c>
      <c r="AA11">
        <f ca="1">IF(D11="轻剑",$BA$2,$BA$3)/1024</f>
        <v>0.0205078125</v>
      </c>
      <c r="AB11">
        <f ca="1">V11*Y11*(1+Z11)*(1+AA11)</f>
        <v>4110992.36818972</v>
      </c>
      <c r="AC11">
        <f ca="1">技能数计算!AJ3</f>
        <v>4</v>
      </c>
      <c r="AD11" s="164">
        <f ca="1">IFERROR(AB11*AC11/$AD$7,0)</f>
        <v>0.00527871924719659</v>
      </c>
      <c r="AE11" s="168">
        <f ca="1" t="shared" si="6"/>
        <v>0.00457842630274263</v>
      </c>
      <c r="AF11" s="168">
        <f ca="1" t="shared" si="7"/>
        <v>0.00106611211552382</v>
      </c>
      <c r="AG11">
        <f ca="1" t="shared" si="8"/>
        <v>0.00385942340629231</v>
      </c>
      <c r="AH11">
        <f ca="1" t="shared" si="9"/>
        <v>1.00312332932814</v>
      </c>
      <c r="AI11">
        <f ca="1" t="shared" si="10"/>
        <v>1.00016101226475</v>
      </c>
      <c r="AJ11">
        <f ca="1" t="shared" si="11"/>
        <v>1.0005726976962</v>
      </c>
      <c r="AK11">
        <f ca="1" t="shared" ref="AK11:AK74" si="18">AC11</f>
        <v>4</v>
      </c>
      <c r="AL11">
        <f ca="1" t="shared" si="12"/>
        <v>0.00495187192404045</v>
      </c>
      <c r="AM11">
        <f ca="1" t="shared" ref="AM11:AM74" si="19">AC11</f>
        <v>4</v>
      </c>
      <c r="AN11" s="168">
        <f ca="1" t="shared" ref="AN11:AN41" si="20">IF(OR(COUNTIF(F11,"*内会*")&gt;0,G11="恒定伤害"),0,(1+W11*(MIN(3+COUNTIF(G11,"*叠*")*0.75,X11+delta会效/会效系数)-1))/Y11-1)</f>
        <v>0.00750104430192855</v>
      </c>
      <c r="AO11" s="168">
        <f ca="1" t="shared" si="13"/>
        <v>0.00447057613551372</v>
      </c>
      <c r="AP11" s="172">
        <f ca="1" t="shared" si="14"/>
        <v>0</v>
      </c>
      <c r="AQ11" s="168">
        <f ca="1" t="shared" si="15"/>
        <v>0.00401583628616287</v>
      </c>
      <c r="AR11">
        <f t="shared" ref="AR11:AR74" si="21">IF($AR$8="综合属性收益",1,COUNTIF(D11,LEFT($AR$8,2)))</f>
        <v>1</v>
      </c>
      <c r="AX11" s="167" t="s">
        <v>2726</v>
      </c>
      <c r="AY11" s="167" t="s">
        <v>2726</v>
      </c>
      <c r="AZ11" s="164">
        <f ca="1" t="shared" si="16"/>
        <v>0</v>
      </c>
      <c r="BA11">
        <f ca="1" t="shared" si="17"/>
        <v>0</v>
      </c>
      <c r="BB11" s="167" t="s">
        <v>2726</v>
      </c>
      <c r="BC11" s="164">
        <f ca="1" t="shared" ref="BC11:BC23" si="22">SUMIF($AY$10:$AY$100,BB11,$AZ$10:$AZ$100)</f>
        <v>0</v>
      </c>
      <c r="BD11">
        <f ca="1" t="shared" ref="BD11:BD23" si="23">RANK(BC11,$BC$10:$BC$100)</f>
        <v>19</v>
      </c>
      <c r="BE11">
        <f ca="1" t="shared" ref="BE11:BE34" si="24">SUMIF($AY$10:$AY$100,BB11,$BA$10:$BA$100)</f>
        <v>0</v>
      </c>
      <c r="BF11">
        <f ca="1">COUNTIF(技能数计算!$B$3:$B$515,"*黄龙*")*循环比+COUNTIF(技能数计算!$B$3:$B$515,"*莺鸣*")*循环比</f>
        <v>0</v>
      </c>
      <c r="BH11">
        <v>2</v>
      </c>
      <c r="BI11" t="str">
        <f ca="1" t="shared" ref="BI11:BI22" si="25">INDEX($BB$10:$BC$100,MATCH(BH11,$BD$10:$BD$100,0),1)</f>
        <v>破</v>
      </c>
      <c r="BJ11" t="str">
        <f ca="1" t="shared" ref="BJ11:BJ22" si="26">CHOOSE($BJ$9+1,TEXT(ROUND(INDEX($BB$10:$BE$100,MATCH(BH11,$BD$10:$BD$100,0),2)*100,2),"0.0")&amp;"%",ROUND(INDEX($BB$10:$BE$100,MATCH(BH11,$BD$10:$BD$100,0),4),2)&amp;"")</f>
        <v>25.4%</v>
      </c>
      <c r="BK11" t="str">
        <f ca="1" t="shared" ref="BK11:BK22" si="27">CHOOSE($BK$9+1,TEXT(ROUND(INDEX($BB$10:$BE$100,MATCH(BH11,$BD$10:$BD$100,0),2)*100,2),"0.00")&amp;"%",ROUND(INDEX($BB$10:$BE$100,MATCH(BH11,$BD$10:$BD$100,0),4),1)&amp;"")</f>
        <v>142</v>
      </c>
    </row>
    <row r="12" spans="2:63">
      <c r="D12" t="s">
        <v>1028</v>
      </c>
      <c r="E12" t="s">
        <v>2722</v>
      </c>
      <c r="G12" t="s">
        <v>2949</v>
      </c>
      <c r="H12">
        <f ca="1">INDEX(技能数据库!$B$2:$I$100,MATCH(伤害与收益计算!$E12,技能数据库!$B$2:$B$100,0),MATCH(H$9,技能数据库!$B$2:$I$2,0))</f>
        <v>145.5</v>
      </c>
      <c r="I12">
        <f ca="1">INDEX(技能数据库!$B$2:$I$100,MATCH(伤害与收益计算!$E12,技能数据库!$B$2:$B$100,0),MATCH(I$9,技能数据库!$B$2:$I$2,0))</f>
        <v>5.1625</v>
      </c>
      <c r="J12">
        <f ca="1">INDEX(技能数据库!$B$2:$I$100,MATCH(伤害与收益计算!$E12,技能数据库!$B$2:$B$100,0),MATCH(J$9,技能数据库!$B$2:$I$2,0))</f>
        <v>1</v>
      </c>
      <c r="K12">
        <f ca="1">INDEX(技能数据库!$B$2:$I$100,MATCH(伤害与收益计算!$E12,技能数据库!$B$2:$B$100,0),MATCH(K$9,技能数据库!$B$2:$I$2,0))</f>
        <v>0</v>
      </c>
      <c r="L12">
        <f ca="1" t="shared" si="0"/>
        <v>91975</v>
      </c>
      <c r="M12">
        <f ca="1" t="shared" ref="M12:M69" si="28">IF(D12="轻剑",$AU$2+$AV$2,$AU$3+$AV$3)/2</f>
        <v>12694.5</v>
      </c>
      <c r="N12">
        <f ca="1" t="shared" ref="N12:N69" si="29">IF(D12="轻剑",$AJ$2,$AJ$3)</f>
        <v>92028</v>
      </c>
      <c r="O12">
        <f ca="1" t="shared" si="1"/>
        <v>487660.9375</v>
      </c>
      <c r="P12">
        <f ca="1">IF(G12="恒定伤害",0,(IF(D12="轻剑",$AZ$2,$AZ$3)+IFERROR(INDEX(技能数据库!$T$2:$W$27,MATCH(E12,技能数据库!$T$2:$T$27,0),4),0)+COUNTIF(G12,"*造化2*")*154+COUNTIF(G12,"*造化1*")*102+COUNTIF(G12,"*碧归*")*307)/1024)</f>
        <v>0.247180646929785</v>
      </c>
      <c r="Q12">
        <f ca="1" t="shared" si="2"/>
        <v>0.448284482196154</v>
      </c>
      <c r="R12">
        <f ca="1" t="shared" si="3"/>
        <v>0.32958230397716</v>
      </c>
      <c r="S12">
        <f ca="1" t="shared" ref="S12:S69" si="30">O12*(1+P12)*(1+Q12)*(1-R12)</f>
        <v>590536.409153493</v>
      </c>
      <c r="T12">
        <f t="shared" ref="T12:T79" si="31">1-($F$6-130)*0.05</f>
        <v>0.8</v>
      </c>
      <c r="U12">
        <f ca="1" t="shared" si="4"/>
        <v>1.7995442148</v>
      </c>
      <c r="V12">
        <f ca="1" t="shared" ref="V12:V69" si="32">S12*T12*(1+U12)</f>
        <v>1322586.23029954</v>
      </c>
      <c r="W12">
        <f ca="1">IF(G12="恒定伤害",0,MIN(1,IF(COUNTIF(F12,"*内会*")&gt;0,内会,IF(D12="轻剑",$Y$2,$Y$3)+COUNTIF(G12,"*莺鸣*")*0.2+COUNTIF(G12,"*叠1*")*0.1+COUNTIF(G12,"*叠2*")*0.2+COUNTIF(G12,"*叠3*")*0.3)+IFERROR(INDEX(技能数据库!$T$2:$W$27,MATCH(E12,技能数据库!$T$2:$T$27,0),2),0)+IF((IF(D12="轻剑",$AO$2,$AO$3)+INT(COUNTIF(G12,"*大莺鸣*")*IF(D12="轻剑",$AM$2,$AM$3)*听晓无双率)/无双系数)&gt;0.9,特效裤子会心/会心系数,0)))</f>
        <v>0.9343</v>
      </c>
      <c r="X12">
        <f ca="1">IF(G12="恒定伤害",0,IF(COUNTIF(F12,"*内会*")&gt;0,内会效,IF(D12="轻剑",$AB$2,$AB$3))+IFERROR(INDEX(技能数据库!$T$2:$W$27,MATCH(E12,技能数据库!$T$2:$T$27,0),3)/1024,0))+COUNTIF(G12,"*叠1*")*0.25+COUNTIF(G12,"*叠2*")*0.5+COUNTIF(G12,"*叠3*")*0.75</f>
        <v>2.3156473116</v>
      </c>
      <c r="Y12">
        <f ca="1" t="shared" ref="Y12:Y69" si="33">1+W12*(X12-1)</f>
        <v>2.22920928322788</v>
      </c>
      <c r="Z12">
        <f t="shared" si="5"/>
        <v>0.150390625</v>
      </c>
      <c r="AA12">
        <f ca="1" t="shared" ref="AA12:AA69" si="34">IF(D12="轻剑",$BA$2,$BA$3)/1024</f>
        <v>0.0205078125</v>
      </c>
      <c r="AB12">
        <f ca="1" t="shared" ref="AB12:AB69" si="35">V12*Y12*(1+Z12)*(1+AA12)</f>
        <v>3461278.20275764</v>
      </c>
      <c r="AC12">
        <f ca="1">技能数计算!AJ4</f>
        <v>0</v>
      </c>
      <c r="AD12" s="164">
        <f ca="1" t="shared" ref="AD12:AD71" si="36">IFERROR(AB12*AC12/$AD$7,0)</f>
        <v>0</v>
      </c>
      <c r="AE12" s="168">
        <f ca="1" t="shared" si="6"/>
        <v>0.00440387948850219</v>
      </c>
      <c r="AF12" s="168">
        <f ca="1" t="shared" si="7"/>
        <v>0.00122267328414017</v>
      </c>
      <c r="AG12">
        <f ca="1" t="shared" si="8"/>
        <v>0.00374358688043253</v>
      </c>
      <c r="AH12">
        <f ca="1" t="shared" si="9"/>
        <v>1.00358199787009</v>
      </c>
      <c r="AI12">
        <f ca="1" t="shared" si="10"/>
        <v>1.00016101226475</v>
      </c>
      <c r="AJ12">
        <f ca="1" t="shared" si="11"/>
        <v>0</v>
      </c>
      <c r="AK12">
        <f ca="1" t="shared" si="18"/>
        <v>0</v>
      </c>
      <c r="AL12">
        <f ca="1" t="shared" si="12"/>
        <v>0</v>
      </c>
      <c r="AM12">
        <f ca="1" t="shared" si="19"/>
        <v>0</v>
      </c>
      <c r="AN12" s="168">
        <f ca="1" t="shared" si="20"/>
        <v>0.00841753350912167</v>
      </c>
      <c r="AO12" s="168">
        <f ca="1" t="shared" si="13"/>
        <v>0.00447057613551372</v>
      </c>
      <c r="AP12" s="172">
        <f ca="1" t="shared" si="14"/>
        <v>0</v>
      </c>
      <c r="AQ12" s="168">
        <f ca="1" t="shared" si="15"/>
        <v>0.00401583628616287</v>
      </c>
      <c r="AR12">
        <f t="shared" si="21"/>
        <v>1</v>
      </c>
      <c r="AX12" s="167" t="s">
        <v>2741</v>
      </c>
      <c r="AY12" s="167" t="s">
        <v>2741</v>
      </c>
      <c r="AZ12" s="164">
        <f ca="1" t="shared" si="16"/>
        <v>0</v>
      </c>
      <c r="BA12">
        <f ca="1" t="shared" si="17"/>
        <v>0</v>
      </c>
      <c r="BB12" s="167" t="s">
        <v>2741</v>
      </c>
      <c r="BC12" s="164">
        <f ca="1" t="shared" si="22"/>
        <v>0</v>
      </c>
      <c r="BD12">
        <f ca="1" t="shared" si="23"/>
        <v>19</v>
      </c>
      <c r="BE12">
        <f ca="1" t="shared" si="24"/>
        <v>0</v>
      </c>
      <c r="BF12">
        <f ca="1">COUNTIF(技能数计算!$B$3:$B$515,"*平湖*")*循环比</f>
        <v>0</v>
      </c>
      <c r="BH12">
        <v>3</v>
      </c>
      <c r="BI12" t="str">
        <f ca="1" t="shared" si="25"/>
        <v>夕照雷峰</v>
      </c>
      <c r="BJ12" t="str">
        <f ca="1" t="shared" si="26"/>
        <v>12.5%</v>
      </c>
      <c r="BK12" t="str">
        <f ca="1" t="shared" si="27"/>
        <v>65</v>
      </c>
    </row>
    <row r="13" spans="2:63">
      <c r="D13" t="s">
        <v>1028</v>
      </c>
      <c r="E13" t="s">
        <v>2722</v>
      </c>
      <c r="G13" t="s">
        <v>3014</v>
      </c>
      <c r="H13">
        <f ca="1">INDEX(技能数据库!$B$2:$I$100,MATCH(伤害与收益计算!$E13,技能数据库!$B$2:$B$100,0),MATCH(H$9,技能数据库!$B$2:$I$2,0))</f>
        <v>145.5</v>
      </c>
      <c r="I13">
        <f ca="1">INDEX(技能数据库!$B$2:$I$100,MATCH(伤害与收益计算!$E13,技能数据库!$B$2:$B$100,0),MATCH(I$9,技能数据库!$B$2:$I$2,0))</f>
        <v>5.1625</v>
      </c>
      <c r="J13">
        <f ca="1">INDEX(技能数据库!$B$2:$I$100,MATCH(伤害与收益计算!$E13,技能数据库!$B$2:$B$100,0),MATCH(J$9,技能数据库!$B$2:$I$2,0))</f>
        <v>1</v>
      </c>
      <c r="K13">
        <f ca="1">INDEX(技能数据库!$B$2:$I$100,MATCH(伤害与收益计算!$E13,技能数据库!$B$2:$B$100,0),MATCH(K$9,技能数据库!$B$2:$I$2,0))</f>
        <v>0</v>
      </c>
      <c r="L13">
        <f ca="1" t="shared" si="0"/>
        <v>105847</v>
      </c>
      <c r="M13">
        <f ca="1" t="shared" si="28"/>
        <v>12694.5</v>
      </c>
      <c r="N13">
        <f ca="1" t="shared" si="29"/>
        <v>92028</v>
      </c>
      <c r="O13">
        <f ca="1" t="shared" si="1"/>
        <v>559275.1375</v>
      </c>
      <c r="P13">
        <f ca="1">IF(G13="恒定伤害",0,(IF(D13="轻剑",$AZ$2,$AZ$3)+IFERROR(INDEX(技能数据库!$T$2:$W$27,MATCH(E13,技能数据库!$T$2:$T$27,0),4),0)+COUNTIF(G13,"*造化2*")*154+COUNTIF(G13,"*造化1*")*102+COUNTIF(G13,"*碧归*")*307)/1024)</f>
        <v>0.247180646929785</v>
      </c>
      <c r="Q13">
        <f ca="1" t="shared" si="2"/>
        <v>0.448284482196154</v>
      </c>
      <c r="R13">
        <f ca="1" t="shared" si="3"/>
        <v>0.21277697966198</v>
      </c>
      <c r="S13">
        <f ca="1" t="shared" si="30"/>
        <v>795255.239652834</v>
      </c>
      <c r="T13">
        <f t="shared" si="31"/>
        <v>0.8</v>
      </c>
      <c r="U13">
        <f ca="1" t="shared" si="4"/>
        <v>1.7995442148</v>
      </c>
      <c r="V13">
        <f ca="1" t="shared" si="32"/>
        <v>1781081.76436758</v>
      </c>
      <c r="W13">
        <f ca="1">IF(G13="恒定伤害",0,MIN(1,IF(COUNTIF(F13,"*内会*")&gt;0,内会,IF(D13="轻剑",$Y$2,$Y$3)+COUNTIF(G13,"*莺鸣*")*0.2+COUNTIF(G13,"*叠1*")*0.1+COUNTIF(G13,"*叠2*")*0.2+COUNTIF(G13,"*叠3*")*0.3)+IFERROR(INDEX(技能数据库!$T$2:$W$27,MATCH(E13,技能数据库!$T$2:$T$27,0),2),0)+IF((IF(D13="轻剑",$AO$2,$AO$3)+INT(COUNTIF(G13,"*大莺鸣*")*IF(D13="轻剑",$AM$2,$AM$3)*听晓无双率)/无双系数)&gt;0.9,特效裤子会心/会心系数,0)))</f>
        <v>0.9343</v>
      </c>
      <c r="X13">
        <f ca="1">IF(G13="恒定伤害",0,IF(COUNTIF(F13,"*内会*")&gt;0,内会效,IF(D13="轻剑",$AB$2,$AB$3))+IFERROR(INDEX(技能数据库!$T$2:$W$27,MATCH(E13,技能数据库!$T$2:$T$27,0),3)/1024,0))+COUNTIF(G13,"*叠1*")*0.25+COUNTIF(G13,"*叠2*")*0.5+COUNTIF(G13,"*叠3*")*0.75</f>
        <v>2.3156473116</v>
      </c>
      <c r="Y13">
        <f ca="1" t="shared" si="33"/>
        <v>2.22920928322788</v>
      </c>
      <c r="Z13">
        <f t="shared" si="5"/>
        <v>0.150390625</v>
      </c>
      <c r="AA13">
        <f ca="1" t="shared" si="34"/>
        <v>0.0205078125</v>
      </c>
      <c r="AB13">
        <f ca="1" t="shared" si="35"/>
        <v>4661185.29522148</v>
      </c>
      <c r="AC13">
        <f ca="1">技能数计算!AJ5</f>
        <v>0</v>
      </c>
      <c r="AD13" s="164">
        <f ca="1" t="shared" si="36"/>
        <v>0</v>
      </c>
      <c r="AE13" s="168">
        <f ca="1" t="shared" si="6"/>
        <v>0.00457842630274263</v>
      </c>
      <c r="AF13" s="168">
        <f ca="1" t="shared" si="7"/>
        <v>0.00106611211552382</v>
      </c>
      <c r="AG13">
        <f ca="1" t="shared" si="8"/>
        <v>0.00328484448721733</v>
      </c>
      <c r="AH13">
        <f ca="1" t="shared" si="9"/>
        <v>1.00312332932814</v>
      </c>
      <c r="AI13">
        <f ca="1" t="shared" si="10"/>
        <v>1.00016101226475</v>
      </c>
      <c r="AJ13">
        <f ca="1" t="shared" si="11"/>
        <v>0</v>
      </c>
      <c r="AK13">
        <f ca="1" t="shared" si="18"/>
        <v>0</v>
      </c>
      <c r="AL13">
        <f ca="1" t="shared" si="12"/>
        <v>0</v>
      </c>
      <c r="AM13">
        <f ca="1" t="shared" si="19"/>
        <v>0</v>
      </c>
      <c r="AN13" s="168">
        <f ca="1" t="shared" si="20"/>
        <v>0.00841753350912167</v>
      </c>
      <c r="AO13" s="168">
        <f ca="1" t="shared" si="13"/>
        <v>0.00447057613551372</v>
      </c>
      <c r="AP13" s="172">
        <f ca="1" t="shared" si="14"/>
        <v>0</v>
      </c>
      <c r="AQ13" s="168">
        <f ca="1" t="shared" si="15"/>
        <v>0.00401583628616287</v>
      </c>
      <c r="AR13">
        <f t="shared" si="21"/>
        <v>1</v>
      </c>
      <c r="AX13" s="167" t="s">
        <v>2754</v>
      </c>
      <c r="AY13" s="167" t="s">
        <v>2754</v>
      </c>
      <c r="AZ13" s="164">
        <f ca="1" t="shared" si="16"/>
        <v>0.000462545535360579</v>
      </c>
      <c r="BA13">
        <f ca="1" t="shared" si="17"/>
        <v>8</v>
      </c>
      <c r="BB13" s="167" t="s">
        <v>2754</v>
      </c>
      <c r="BC13" s="164">
        <f ca="1" t="shared" si="22"/>
        <v>0.000462545535360579</v>
      </c>
      <c r="BD13">
        <f ca="1" t="shared" si="23"/>
        <v>17</v>
      </c>
      <c r="BE13">
        <f ca="1" t="shared" si="24"/>
        <v>8</v>
      </c>
      <c r="BF13">
        <f ca="1">(COUNTIFS(技能数计算!$B$3:$B$515,"*听雷-轻*",技能数计算!$I$3:$I$515,"=0")*2+COUNTIFS(技能数计算!$B$3:$B$515,"*听雷-轻*",技能数计算!$I$3:$I$515,"&gt;0")*1+BF12*2)*循环比</f>
        <v>8</v>
      </c>
      <c r="BH13">
        <v>4</v>
      </c>
      <c r="BI13" t="str">
        <f ca="1" t="shared" si="25"/>
        <v>断潮</v>
      </c>
      <c r="BJ13" t="str">
        <f ca="1" t="shared" si="26"/>
        <v>12.1%</v>
      </c>
      <c r="BK13" t="str">
        <f ca="1" t="shared" si="27"/>
        <v>146</v>
      </c>
    </row>
    <row r="14" spans="2:63">
      <c r="D14" t="s">
        <v>1028</v>
      </c>
      <c r="E14" t="s">
        <v>2726</v>
      </c>
      <c r="G14" t="s">
        <v>2750</v>
      </c>
      <c r="H14">
        <f ca="1">INDEX(技能数据库!$B$2:$I$100,MATCH(伤害与收益计算!$E14,技能数据库!$B$2:$B$100,0),MATCH(H$9,技能数据库!$B$2:$I$2,0))</f>
        <v>122</v>
      </c>
      <c r="I14">
        <f ca="1">INDEX(技能数据库!$B$2:$I$100,MATCH(伤害与收益计算!$E14,技能数据库!$B$2:$B$100,0),MATCH(I$9,技能数据库!$B$2:$I$2,0))</f>
        <v>0.7</v>
      </c>
      <c r="J14">
        <f ca="1">INDEX(技能数据库!$B$2:$I$100,MATCH(伤害与收益计算!$E14,技能数据库!$B$2:$B$100,0),MATCH(J$9,技能数据库!$B$2:$I$2,0))</f>
        <v>1</v>
      </c>
      <c r="K14">
        <f ca="1">INDEX(技能数据库!$B$2:$I$100,MATCH(伤害与收益计算!$E14,技能数据库!$B$2:$B$100,0),MATCH(K$9,技能数据库!$B$2:$I$2,0))</f>
        <v>0</v>
      </c>
      <c r="L14">
        <f ca="1" t="shared" si="0"/>
        <v>105847</v>
      </c>
      <c r="M14">
        <f ca="1" t="shared" si="28"/>
        <v>12694.5</v>
      </c>
      <c r="N14">
        <f ca="1" t="shared" si="29"/>
        <v>92028</v>
      </c>
      <c r="O14">
        <f ca="1" t="shared" si="1"/>
        <v>86909.4</v>
      </c>
      <c r="P14">
        <f ca="1">IF(G14="恒定伤害",0,(IF(D14="轻剑",$AZ$2,$AZ$3)+IFERROR(INDEX(技能数据库!$T$2:$W$27,MATCH(E14,技能数据库!$T$2:$T$27,0),4),0)+COUNTIF(G14,"*造化2*")*154+COUNTIF(G14,"*造化1*")*102+COUNTIF(G14,"*碧归*")*307)/1024)</f>
        <v>0.197375959429785</v>
      </c>
      <c r="Q14">
        <f ca="1" t="shared" si="2"/>
        <v>0.448284482196154</v>
      </c>
      <c r="R14">
        <f ca="1" t="shared" si="3"/>
        <v>0.21277697966198</v>
      </c>
      <c r="S14">
        <f ca="1" t="shared" si="30"/>
        <v>118644.865623013</v>
      </c>
      <c r="T14">
        <f t="shared" si="31"/>
        <v>0.8</v>
      </c>
      <c r="U14">
        <f ca="1" t="shared" si="4"/>
        <v>1.7995442148</v>
      </c>
      <c r="V14">
        <f ca="1" t="shared" si="32"/>
        <v>265721.237736503</v>
      </c>
      <c r="W14">
        <f ca="1">IF(G14="恒定伤害",0,MIN(1,IF(COUNTIF(F14,"*内会*")&gt;0,内会,IF(D14="轻剑",$Y$2,$Y$3)+COUNTIF(G14,"*莺鸣*")*0.2+COUNTIF(G14,"*叠1*")*0.1+COUNTIF(G14,"*叠2*")*0.2+COUNTIF(G14,"*叠3*")*0.3)+IFERROR(INDEX(技能数据库!$T$2:$W$27,MATCH(E14,技能数据库!$T$2:$T$27,0),2),0)+IF((IF(D14="轻剑",$AO$2,$AO$3)+INT(COUNTIF(G14,"*大莺鸣*")*IF(D14="轻剑",$AM$2,$AM$3)*听晓无双率)/无双系数)&gt;0.9,特效裤子会心/会心系数,0)))</f>
        <v>0.7743</v>
      </c>
      <c r="X14">
        <f ca="1">IF(G14="恒定伤害",0,IF(COUNTIF(F14,"*内会*")&gt;0,内会效,IF(D14="轻剑",$AB$2,$AB$3))+IFERROR(INDEX(技能数据库!$T$2:$W$27,MATCH(E14,技能数据库!$T$2:$T$27,0),3)/1024,0))+COUNTIF(G14,"*叠1*")*0.25+COUNTIF(G14,"*叠2*")*0.5+COUNTIF(G14,"*叠3*")*0.75</f>
        <v>2.3156473116</v>
      </c>
      <c r="Y14">
        <f ca="1" t="shared" si="33"/>
        <v>2.01870571337188</v>
      </c>
      <c r="Z14">
        <f t="shared" si="5"/>
        <v>0.150390625</v>
      </c>
      <c r="AA14">
        <f ca="1" t="shared" si="34"/>
        <v>0.0205078125</v>
      </c>
      <c r="AB14">
        <f ca="1" t="shared" si="35"/>
        <v>629739.51670989</v>
      </c>
      <c r="AC14">
        <f ca="1">技能数计算!AJ6</f>
        <v>0</v>
      </c>
      <c r="AD14" s="164">
        <f ca="1" t="shared" si="36"/>
        <v>0</v>
      </c>
      <c r="AE14" s="168">
        <f ca="1" t="shared" si="6"/>
        <v>0.00399496487146385</v>
      </c>
      <c r="AF14" s="168">
        <f ca="1" t="shared" si="7"/>
        <v>0.00686059275521405</v>
      </c>
      <c r="AG14">
        <f ca="1" t="shared" si="8"/>
        <v>0.00288675232648883</v>
      </c>
      <c r="AH14">
        <f ca="1" t="shared" si="9"/>
        <v>1.00272530125481</v>
      </c>
      <c r="AI14">
        <f ca="1" t="shared" si="10"/>
        <v>1.00016101226475</v>
      </c>
      <c r="AJ14">
        <f ca="1" t="shared" si="11"/>
        <v>0</v>
      </c>
      <c r="AK14">
        <f ca="1" t="shared" si="18"/>
        <v>0</v>
      </c>
      <c r="AL14">
        <f ca="1" t="shared" si="12"/>
        <v>0</v>
      </c>
      <c r="AM14">
        <f ca="1" t="shared" si="19"/>
        <v>0</v>
      </c>
      <c r="AN14" s="168">
        <f ca="1" t="shared" si="20"/>
        <v>0.00770345580105114</v>
      </c>
      <c r="AO14" s="168">
        <f ca="1" t="shared" si="13"/>
        <v>0.00447057613551372</v>
      </c>
      <c r="AP14" s="172">
        <f ca="1" t="shared" si="14"/>
        <v>0</v>
      </c>
      <c r="AQ14" s="168">
        <f ca="1" t="shared" si="15"/>
        <v>0.00401583628616287</v>
      </c>
      <c r="AR14">
        <f t="shared" si="21"/>
        <v>1</v>
      </c>
      <c r="AX14" s="167" t="s">
        <v>2768</v>
      </c>
      <c r="AY14" s="167" t="s">
        <v>2768</v>
      </c>
      <c r="AZ14" s="164">
        <f ca="1" t="shared" si="16"/>
        <v>0.124879418466552</v>
      </c>
      <c r="BA14">
        <f ca="1" t="shared" si="17"/>
        <v>65</v>
      </c>
      <c r="BB14" s="167" t="s">
        <v>2768</v>
      </c>
      <c r="BC14" s="164">
        <f ca="1" t="shared" si="22"/>
        <v>0.124879418466552</v>
      </c>
      <c r="BD14">
        <f ca="1" t="shared" si="23"/>
        <v>3</v>
      </c>
      <c r="BE14" s="174">
        <f ca="1" t="shared" si="24"/>
        <v>65</v>
      </c>
      <c r="BF14" s="174">
        <f ca="1">COUNTIF(技能数计算!$B$3:$B$515,"*夕照*")*循环比+技能数计算!AN28</f>
        <v>65</v>
      </c>
      <c r="BH14">
        <v>5</v>
      </c>
      <c r="BI14" t="str">
        <f ca="1" t="shared" si="25"/>
        <v>风来吴山</v>
      </c>
      <c r="BJ14" t="str">
        <f ca="1" t="shared" si="26"/>
        <v>7.6%</v>
      </c>
      <c r="BK14" t="str">
        <f ca="1" t="shared" si="27"/>
        <v>43</v>
      </c>
    </row>
    <row r="15" spans="2:63">
      <c r="D15" t="s">
        <v>1028</v>
      </c>
      <c r="E15" t="s">
        <v>2726</v>
      </c>
      <c r="G15" t="s">
        <v>2949</v>
      </c>
      <c r="H15">
        <f ca="1">INDEX(技能数据库!$B$2:$I$100,MATCH(伤害与收益计算!$E15,技能数据库!$B$2:$B$100,0),MATCH(H$9,技能数据库!$B$2:$I$2,0))</f>
        <v>122</v>
      </c>
      <c r="I15">
        <f ca="1">INDEX(技能数据库!$B$2:$I$100,MATCH(伤害与收益计算!$E15,技能数据库!$B$2:$B$100,0),MATCH(I$9,技能数据库!$B$2:$I$2,0))</f>
        <v>0.7</v>
      </c>
      <c r="J15">
        <f ca="1">INDEX(技能数据库!$B$2:$I$100,MATCH(伤害与收益计算!$E15,技能数据库!$B$2:$B$100,0),MATCH(J$9,技能数据库!$B$2:$I$2,0))</f>
        <v>1</v>
      </c>
      <c r="K15">
        <f ca="1">INDEX(技能数据库!$B$2:$I$100,MATCH(伤害与收益计算!$E15,技能数据库!$B$2:$B$100,0),MATCH(K$9,技能数据库!$B$2:$I$2,0))</f>
        <v>0</v>
      </c>
      <c r="L15">
        <f ca="1" t="shared" si="0"/>
        <v>91975</v>
      </c>
      <c r="M15">
        <f ca="1" t="shared" si="28"/>
        <v>12694.5</v>
      </c>
      <c r="N15">
        <f ca="1" t="shared" si="29"/>
        <v>92028</v>
      </c>
      <c r="O15">
        <f ca="1" t="shared" si="1"/>
        <v>77199</v>
      </c>
      <c r="P15">
        <f ca="1">IF(G15="恒定伤害",0,(IF(D15="轻剑",$AZ$2,$AZ$3)+IFERROR(INDEX(技能数据库!$T$2:$W$27,MATCH(E15,技能数据库!$T$2:$T$27,0),4),0)+COUNTIF(G15,"*造化2*")*154+COUNTIF(G15,"*造化1*")*102+COUNTIF(G15,"*碧归*")*307)/1024)</f>
        <v>0.197375959429785</v>
      </c>
      <c r="Q15">
        <f ca="1" t="shared" si="2"/>
        <v>0.448284482196154</v>
      </c>
      <c r="R15">
        <f ca="1" t="shared" si="3"/>
        <v>0.32958230397716</v>
      </c>
      <c r="S15">
        <f ca="1" t="shared" si="30"/>
        <v>89751.4669338576</v>
      </c>
      <c r="T15">
        <f t="shared" si="31"/>
        <v>0.8</v>
      </c>
      <c r="U15">
        <f ca="1" t="shared" si="4"/>
        <v>1.7995442148</v>
      </c>
      <c r="V15">
        <f ca="1" t="shared" si="32"/>
        <v>201010.560019596</v>
      </c>
      <c r="W15">
        <f ca="1">IF(G15="恒定伤害",0,MIN(1,IF(COUNTIF(F15,"*内会*")&gt;0,内会,IF(D15="轻剑",$Y$2,$Y$3)+COUNTIF(G15,"*莺鸣*")*0.2+COUNTIF(G15,"*叠1*")*0.1+COUNTIF(G15,"*叠2*")*0.2+COUNTIF(G15,"*叠3*")*0.3)+IFERROR(INDEX(技能数据库!$T$2:$W$27,MATCH(E15,技能数据库!$T$2:$T$27,0),2),0)+IF((IF(D15="轻剑",$AO$2,$AO$3)+INT(COUNTIF(G15,"*大莺鸣*")*IF(D15="轻剑",$AM$2,$AM$3)*听晓无双率)/无双系数)&gt;0.9,特效裤子会心/会心系数,0)))</f>
        <v>0.9743</v>
      </c>
      <c r="X15">
        <f ca="1">IF(G15="恒定伤害",0,IF(COUNTIF(F15,"*内会*")&gt;0,内会效,IF(D15="轻剑",$AB$2,$AB$3))+IFERROR(INDEX(技能数据库!$T$2:$W$27,MATCH(E15,技能数据库!$T$2:$T$27,0),3)/1024,0))+COUNTIF(G15,"*叠1*")*0.25+COUNTIF(G15,"*叠2*")*0.5+COUNTIF(G15,"*叠3*")*0.75</f>
        <v>2.3156473116</v>
      </c>
      <c r="Y15">
        <f ca="1" t="shared" si="33"/>
        <v>2.28183517569188</v>
      </c>
      <c r="Z15">
        <f t="shared" si="5"/>
        <v>0.150390625</v>
      </c>
      <c r="AA15">
        <f ca="1" t="shared" si="34"/>
        <v>0.0205078125</v>
      </c>
      <c r="AB15">
        <f ca="1" t="shared" si="35"/>
        <v>538474.091089473</v>
      </c>
      <c r="AC15">
        <f ca="1">技能数计算!AJ7</f>
        <v>0</v>
      </c>
      <c r="AD15" s="164">
        <f ca="1" t="shared" si="36"/>
        <v>0</v>
      </c>
      <c r="AE15" s="168">
        <f ca="1" t="shared" si="6"/>
        <v>0.00377206958639361</v>
      </c>
      <c r="AF15" s="168">
        <f ca="1" t="shared" si="7"/>
        <v>0.00772354564178292</v>
      </c>
      <c r="AG15">
        <f ca="1" t="shared" si="8"/>
        <v>0.00322960684915752</v>
      </c>
      <c r="AH15">
        <f ca="1" t="shared" si="9"/>
        <v>1.00306810058259</v>
      </c>
      <c r="AI15">
        <f ca="1" t="shared" si="10"/>
        <v>1.00016101226475</v>
      </c>
      <c r="AJ15">
        <f ca="1" t="shared" si="11"/>
        <v>0</v>
      </c>
      <c r="AK15">
        <f ca="1" t="shared" si="18"/>
        <v>0</v>
      </c>
      <c r="AL15">
        <f ca="1" t="shared" si="12"/>
        <v>0</v>
      </c>
      <c r="AM15">
        <f ca="1" t="shared" si="19"/>
        <v>0</v>
      </c>
      <c r="AN15" s="168">
        <f ca="1" t="shared" si="20"/>
        <v>0.00857546699665268</v>
      </c>
      <c r="AO15" s="168">
        <f ca="1" t="shared" si="13"/>
        <v>0.00447057613551372</v>
      </c>
      <c r="AP15" s="172">
        <f ca="1" t="shared" si="14"/>
        <v>0</v>
      </c>
      <c r="AQ15" s="168">
        <f ca="1" t="shared" si="15"/>
        <v>0.00401583628616287</v>
      </c>
      <c r="AR15">
        <f t="shared" si="21"/>
        <v>1</v>
      </c>
      <c r="AX15" s="167" t="s">
        <v>2772</v>
      </c>
      <c r="AY15" s="167" t="s">
        <v>2247</v>
      </c>
      <c r="AZ15" s="164">
        <f ca="1" t="shared" si="16"/>
        <v>0.0260525086556777</v>
      </c>
      <c r="BA15">
        <f ca="1" t="shared" si="17"/>
        <v>65</v>
      </c>
      <c r="BB15" s="167" t="s">
        <v>2247</v>
      </c>
      <c r="BC15" s="164">
        <f ca="1" t="shared" si="22"/>
        <v>0.253966476913698</v>
      </c>
      <c r="BD15">
        <f ca="1" t="shared" si="23"/>
        <v>2</v>
      </c>
      <c r="BE15">
        <f ca="1" t="shared" si="24"/>
        <v>142</v>
      </c>
      <c r="BF15">
        <f ca="1">BF17+BF14</f>
        <v>142</v>
      </c>
      <c r="BH15">
        <v>6</v>
      </c>
      <c r="BI15" t="str">
        <f ca="1" t="shared" si="25"/>
        <v>九皋鹤野·落剑</v>
      </c>
      <c r="BJ15" t="str">
        <f ca="1" t="shared" si="26"/>
        <v>3.9%</v>
      </c>
      <c r="BK15" t="str">
        <f ca="1" t="shared" si="27"/>
        <v>60</v>
      </c>
    </row>
    <row r="16" spans="2:63">
      <c r="D16" t="s">
        <v>1028</v>
      </c>
      <c r="E16" t="s">
        <v>2726</v>
      </c>
      <c r="G16" t="s">
        <v>3014</v>
      </c>
      <c r="H16">
        <f ca="1">INDEX(技能数据库!$B$2:$I$100,MATCH(伤害与收益计算!$E16,技能数据库!$B$2:$B$100,0),MATCH(H$9,技能数据库!$B$2:$I$2,0))</f>
        <v>122</v>
      </c>
      <c r="I16">
        <f ca="1">INDEX(技能数据库!$B$2:$I$100,MATCH(伤害与收益计算!$E16,技能数据库!$B$2:$B$100,0),MATCH(I$9,技能数据库!$B$2:$I$2,0))</f>
        <v>0.7</v>
      </c>
      <c r="J16">
        <f ca="1">INDEX(技能数据库!$B$2:$I$100,MATCH(伤害与收益计算!$E16,技能数据库!$B$2:$B$100,0),MATCH(J$9,技能数据库!$B$2:$I$2,0))</f>
        <v>1</v>
      </c>
      <c r="K16">
        <f ca="1">INDEX(技能数据库!$B$2:$I$100,MATCH(伤害与收益计算!$E16,技能数据库!$B$2:$B$100,0),MATCH(K$9,技能数据库!$B$2:$I$2,0))</f>
        <v>0</v>
      </c>
      <c r="L16">
        <f ca="1" t="shared" si="0"/>
        <v>105847</v>
      </c>
      <c r="M16">
        <f ca="1" t="shared" si="28"/>
        <v>12694.5</v>
      </c>
      <c r="N16">
        <f ca="1" t="shared" si="29"/>
        <v>92028</v>
      </c>
      <c r="O16">
        <f ca="1" t="shared" si="1"/>
        <v>86909.4</v>
      </c>
      <c r="P16">
        <f ca="1">IF(G16="恒定伤害",0,(IF(D16="轻剑",$AZ$2,$AZ$3)+IFERROR(INDEX(技能数据库!$T$2:$W$27,MATCH(E16,技能数据库!$T$2:$T$27,0),4),0)+COUNTIF(G16,"*造化2*")*154+COUNTIF(G16,"*造化1*")*102+COUNTIF(G16,"*碧归*")*307)/1024)</f>
        <v>0.197375959429785</v>
      </c>
      <c r="Q16">
        <f ca="1" t="shared" si="2"/>
        <v>0.448284482196154</v>
      </c>
      <c r="R16">
        <f ca="1" t="shared" si="3"/>
        <v>0.21277697966198</v>
      </c>
      <c r="S16">
        <f ca="1" t="shared" si="30"/>
        <v>118644.865623013</v>
      </c>
      <c r="T16">
        <f t="shared" si="31"/>
        <v>0.8</v>
      </c>
      <c r="U16">
        <f ca="1" t="shared" si="4"/>
        <v>1.7995442148</v>
      </c>
      <c r="V16">
        <f ca="1" t="shared" si="32"/>
        <v>265721.237736503</v>
      </c>
      <c r="W16">
        <f ca="1">IF(G16="恒定伤害",0,MIN(1,IF(COUNTIF(F16,"*内会*")&gt;0,内会,IF(D16="轻剑",$Y$2,$Y$3)+COUNTIF(G16,"*莺鸣*")*0.2+COUNTIF(G16,"*叠1*")*0.1+COUNTIF(G16,"*叠2*")*0.2+COUNTIF(G16,"*叠3*")*0.3)+IFERROR(INDEX(技能数据库!$T$2:$W$27,MATCH(E16,技能数据库!$T$2:$T$27,0),2),0)+IF((IF(D16="轻剑",$AO$2,$AO$3)+INT(COUNTIF(G16,"*大莺鸣*")*IF(D16="轻剑",$AM$2,$AM$3)*听晓无双率)/无双系数)&gt;0.9,特效裤子会心/会心系数,0)))</f>
        <v>0.9743</v>
      </c>
      <c r="X16">
        <f ca="1">IF(G16="恒定伤害",0,IF(COUNTIF(F16,"*内会*")&gt;0,内会效,IF(D16="轻剑",$AB$2,$AB$3))+IFERROR(INDEX(技能数据库!$T$2:$W$27,MATCH(E16,技能数据库!$T$2:$T$27,0),3)/1024,0))+COUNTIF(G16,"*叠1*")*0.25+COUNTIF(G16,"*叠2*")*0.5+COUNTIF(G16,"*叠3*")*0.75</f>
        <v>2.3156473116</v>
      </c>
      <c r="Y16">
        <f ca="1" t="shared" si="33"/>
        <v>2.28183517569188</v>
      </c>
      <c r="Z16">
        <f t="shared" si="5"/>
        <v>0.150390625</v>
      </c>
      <c r="AA16">
        <f ca="1" t="shared" si="34"/>
        <v>0.0205078125</v>
      </c>
      <c r="AB16">
        <f ca="1" t="shared" si="35"/>
        <v>711823.308981302</v>
      </c>
      <c r="AC16">
        <f ca="1">技能数计算!AJ8</f>
        <v>0</v>
      </c>
      <c r="AD16" s="164">
        <f ca="1" t="shared" si="36"/>
        <v>0</v>
      </c>
      <c r="AE16" s="168">
        <f ca="1" t="shared" si="6"/>
        <v>0.00399496487146385</v>
      </c>
      <c r="AF16" s="168">
        <f ca="1" t="shared" si="7"/>
        <v>0.00686059275521405</v>
      </c>
      <c r="AG16">
        <f ca="1" t="shared" si="8"/>
        <v>0.00288675232648883</v>
      </c>
      <c r="AH16">
        <f ca="1" t="shared" si="9"/>
        <v>1.00272530125481</v>
      </c>
      <c r="AI16">
        <f ca="1" t="shared" si="10"/>
        <v>1.00016101226475</v>
      </c>
      <c r="AJ16">
        <f ca="1" t="shared" si="11"/>
        <v>0</v>
      </c>
      <c r="AK16">
        <f ca="1" t="shared" si="18"/>
        <v>0</v>
      </c>
      <c r="AL16">
        <f ca="1" t="shared" si="12"/>
        <v>0</v>
      </c>
      <c r="AM16">
        <f ca="1" t="shared" si="19"/>
        <v>0</v>
      </c>
      <c r="AN16" s="168">
        <f ca="1" t="shared" si="20"/>
        <v>0.00857546699665268</v>
      </c>
      <c r="AO16" s="168">
        <f ca="1" t="shared" si="13"/>
        <v>0.00447057613551372</v>
      </c>
      <c r="AP16" s="172">
        <f ca="1" t="shared" si="14"/>
        <v>0</v>
      </c>
      <c r="AQ16" s="168">
        <f ca="1" t="shared" si="15"/>
        <v>0.00401583628616287</v>
      </c>
      <c r="AR16">
        <f t="shared" si="21"/>
        <v>1</v>
      </c>
      <c r="AX16" s="167" t="s">
        <v>2776</v>
      </c>
      <c r="AY16" s="167" t="s">
        <v>2776</v>
      </c>
      <c r="AZ16" s="164">
        <f ca="1" t="shared" si="16"/>
        <v>0.197553500668966</v>
      </c>
      <c r="BA16">
        <f ca="1" t="shared" si="17"/>
        <v>69</v>
      </c>
      <c r="BB16" s="167" t="s">
        <v>2776</v>
      </c>
      <c r="BC16" s="164">
        <f ca="1" t="shared" si="22"/>
        <v>0.296260366429144</v>
      </c>
      <c r="BD16">
        <f ca="1" t="shared" si="23"/>
        <v>1</v>
      </c>
      <c r="BE16">
        <f ca="1" t="shared" si="24"/>
        <v>154</v>
      </c>
      <c r="BF16">
        <f ca="1">COUNTIF(技能数计算!$B$3:$B$515,"*云飞*")*2*循环比+技能数计算!AN27*2</f>
        <v>154</v>
      </c>
      <c r="BH16">
        <v>7</v>
      </c>
      <c r="BI16" t="str">
        <f ca="1" t="shared" si="25"/>
        <v>玉山揽云</v>
      </c>
      <c r="BJ16" t="str">
        <f ca="1" t="shared" si="26"/>
        <v>2.1%</v>
      </c>
      <c r="BK16" t="str">
        <f ca="1" t="shared" si="27"/>
        <v>23</v>
      </c>
    </row>
    <row r="17" spans="4:63">
      <c r="D17" t="s">
        <v>1028</v>
      </c>
      <c r="E17" t="s">
        <v>2741</v>
      </c>
      <c r="H17">
        <f ca="1">INDEX(技能数据库!$B$2:$I$100,MATCH(伤害与收益计算!$E17,技能数据库!$B$2:$B$100,0),MATCH(H$9,技能数据库!$B$2:$I$2,0))</f>
        <v>68.5</v>
      </c>
      <c r="I17">
        <f ca="1">INDEX(技能数据库!$B$2:$I$100,MATCH(伤害与收益计算!$E17,技能数据库!$B$2:$B$100,0),MATCH(I$9,技能数据库!$B$2:$I$2,0))</f>
        <v>0.325</v>
      </c>
      <c r="J17">
        <f ca="1">INDEX(技能数据库!$B$2:$I$100,MATCH(伤害与收益计算!$E17,技能数据库!$B$2:$B$100,0),MATCH(J$9,技能数据库!$B$2:$I$2,0))</f>
        <v>1</v>
      </c>
      <c r="K17">
        <f ca="1">INDEX(技能数据库!$B$2:$I$100,MATCH(伤害与收益计算!$E17,技能数据库!$B$2:$B$100,0),MATCH(K$9,技能数据库!$B$2:$I$2,0))</f>
        <v>0</v>
      </c>
      <c r="L17">
        <f ca="1" t="shared" si="0"/>
        <v>91975</v>
      </c>
      <c r="M17">
        <f ca="1" t="shared" si="28"/>
        <v>12694.5</v>
      </c>
      <c r="N17">
        <f ca="1" t="shared" si="29"/>
        <v>92028</v>
      </c>
      <c r="O17">
        <f ca="1" t="shared" si="1"/>
        <v>42654.875</v>
      </c>
      <c r="P17">
        <f ca="1">IF(G17="恒定伤害",0,(IF(D17="轻剑",$AZ$2,$AZ$3)+IFERROR(INDEX(技能数据库!$T$2:$W$27,MATCH(E17,技能数据库!$T$2:$T$27,0),4),0)+COUNTIF(G17,"*造化2*")*154+COUNTIF(G17,"*造化1*")*102+COUNTIF(G17,"*碧归*")*307)/1024)</f>
        <v>0.167102521929785</v>
      </c>
      <c r="Q17">
        <f ca="1" t="shared" si="2"/>
        <v>0.448284482196154</v>
      </c>
      <c r="R17">
        <f ca="1" t="shared" si="3"/>
        <v>0.32958230397716</v>
      </c>
      <c r="S17">
        <f ca="1" t="shared" si="30"/>
        <v>48336.7033825253</v>
      </c>
      <c r="T17">
        <f t="shared" si="31"/>
        <v>0.8</v>
      </c>
      <c r="U17">
        <f ca="1" t="shared" si="4"/>
        <v>1.7995442148</v>
      </c>
      <c r="V17">
        <f ca="1" t="shared" si="32"/>
        <v>108256.590653642</v>
      </c>
      <c r="W17">
        <f ca="1">IF(G17="恒定伤害",0,MIN(1,IF(COUNTIF(F17,"*内会*")&gt;0,内会,IF(D17="轻剑",$Y$2,$Y$3)+COUNTIF(G17,"*莺鸣*")*0.2+COUNTIF(G17,"*叠1*")*0.1+COUNTIF(G17,"*叠2*")*0.2+COUNTIF(G17,"*叠3*")*0.3)+IFERROR(INDEX(技能数据库!$T$2:$W$27,MATCH(E17,技能数据库!$T$2:$T$27,0),2),0)+IF((IF(D17="轻剑",$AO$2,$AO$3)+INT(COUNTIF(G17,"*大莺鸣*")*IF(D17="轻剑",$AM$2,$AM$3)*听晓无双率)/无双系数)&gt;0.9,特效裤子会心/会心系数,0)))</f>
        <v>0.7343</v>
      </c>
      <c r="X17">
        <f ca="1">IF(G17="恒定伤害",0,IF(COUNTIF(F17,"*内会*")&gt;0,内会效,IF(D17="轻剑",$AB$2,$AB$3))+IFERROR(INDEX(技能数据库!$T$2:$W$27,MATCH(E17,技能数据库!$T$2:$T$27,0),3)/1024,0))+COUNTIF(G17,"*叠1*")*0.25+COUNTIF(G17,"*叠2*")*0.5+COUNTIF(G17,"*叠3*")*0.75</f>
        <v>2.3156473116</v>
      </c>
      <c r="Y17">
        <f ca="1" t="shared" si="33"/>
        <v>1.96607982090788</v>
      </c>
      <c r="Z17">
        <f t="shared" si="5"/>
        <v>0.150390625</v>
      </c>
      <c r="AA17">
        <f ca="1" t="shared" si="34"/>
        <v>0.0205078125</v>
      </c>
      <c r="AB17">
        <f ca="1" t="shared" si="35"/>
        <v>249871.750352451</v>
      </c>
      <c r="AC17">
        <f ca="1">技能数计算!AJ9</f>
        <v>0</v>
      </c>
      <c r="AD17" s="164">
        <f ca="1" t="shared" si="36"/>
        <v>0</v>
      </c>
      <c r="AE17" s="168">
        <f ca="1" t="shared" si="6"/>
        <v>0.00316962598061769</v>
      </c>
      <c r="AF17" s="168">
        <f ca="1" t="shared" si="7"/>
        <v>0.0139784725661487</v>
      </c>
      <c r="AG17">
        <f ca="1" t="shared" si="8"/>
        <v>0.00273951642432468</v>
      </c>
      <c r="AH17">
        <f ca="1" t="shared" si="9"/>
        <v>1.00257808905562</v>
      </c>
      <c r="AI17">
        <f ca="1" t="shared" si="10"/>
        <v>1.00016101226475</v>
      </c>
      <c r="AJ17">
        <f ca="1" t="shared" si="11"/>
        <v>0</v>
      </c>
      <c r="AK17">
        <f ca="1" t="shared" si="18"/>
        <v>0</v>
      </c>
      <c r="AL17">
        <f ca="1" t="shared" si="12"/>
        <v>0</v>
      </c>
      <c r="AM17">
        <f ca="1" t="shared" si="19"/>
        <v>0</v>
      </c>
      <c r="AN17" s="168">
        <f ca="1" t="shared" si="20"/>
        <v>0.00750104430192855</v>
      </c>
      <c r="AO17" s="168">
        <f ca="1" t="shared" si="13"/>
        <v>0.00447057613551372</v>
      </c>
      <c r="AP17" s="172">
        <f ca="1" t="shared" si="14"/>
        <v>0</v>
      </c>
      <c r="AQ17" s="168">
        <f ca="1" t="shared" si="15"/>
        <v>0.00401583628616287</v>
      </c>
      <c r="AR17">
        <f t="shared" si="21"/>
        <v>1</v>
      </c>
      <c r="AX17" s="167" t="s">
        <v>2780</v>
      </c>
      <c r="AY17" s="167" t="s">
        <v>2776</v>
      </c>
      <c r="AZ17" s="164">
        <f ca="1" t="shared" si="16"/>
        <v>0.0742873343062444</v>
      </c>
      <c r="BA17">
        <f ca="1" t="shared" si="17"/>
        <v>77</v>
      </c>
      <c r="BB17" s="167" t="s">
        <v>2786</v>
      </c>
      <c r="BC17" s="164">
        <f ca="1" t="shared" si="22"/>
        <v>0</v>
      </c>
      <c r="BD17">
        <f ca="1" t="shared" si="23"/>
        <v>19</v>
      </c>
      <c r="BE17">
        <f ca="1" t="shared" si="24"/>
        <v>77</v>
      </c>
      <c r="BF17">
        <f ca="1">COUNTIF(技能数计算!$B$3:$B$515,"*云飞*")*循环比+技能数计算!AN27</f>
        <v>77</v>
      </c>
      <c r="BH17">
        <v>8</v>
      </c>
      <c r="BI17" t="str">
        <f ca="1" t="shared" si="25"/>
        <v>鹤归孤山</v>
      </c>
      <c r="BJ17" t="str">
        <f ca="1" t="shared" si="26"/>
        <v>1.2%</v>
      </c>
      <c r="BK17" t="str">
        <f ca="1" t="shared" si="27"/>
        <v>12</v>
      </c>
    </row>
    <row r="18" spans="4:63">
      <c r="D18" t="s">
        <v>1028</v>
      </c>
      <c r="E18" t="s">
        <v>2741</v>
      </c>
      <c r="G18" t="s">
        <v>2949</v>
      </c>
      <c r="H18">
        <f ca="1">INDEX(技能数据库!$B$2:$I$100,MATCH(伤害与收益计算!$E18,技能数据库!$B$2:$B$100,0),MATCH(H$9,技能数据库!$B$2:$I$2,0))</f>
        <v>68.5</v>
      </c>
      <c r="I18">
        <f ca="1">INDEX(技能数据库!$B$2:$I$100,MATCH(伤害与收益计算!$E18,技能数据库!$B$2:$B$100,0),MATCH(I$9,技能数据库!$B$2:$I$2,0))</f>
        <v>0.325</v>
      </c>
      <c r="J18">
        <f ca="1">INDEX(技能数据库!$B$2:$I$100,MATCH(伤害与收益计算!$E18,技能数据库!$B$2:$B$100,0),MATCH(J$9,技能数据库!$B$2:$I$2,0))</f>
        <v>1</v>
      </c>
      <c r="K18">
        <f ca="1">INDEX(技能数据库!$B$2:$I$100,MATCH(伤害与收益计算!$E18,技能数据库!$B$2:$B$100,0),MATCH(K$9,技能数据库!$B$2:$I$2,0))</f>
        <v>0</v>
      </c>
      <c r="L18">
        <f ca="1" t="shared" si="0"/>
        <v>91975</v>
      </c>
      <c r="M18">
        <f ca="1" t="shared" si="28"/>
        <v>12694.5</v>
      </c>
      <c r="N18">
        <f ca="1" t="shared" si="29"/>
        <v>92028</v>
      </c>
      <c r="O18">
        <f ca="1" t="shared" si="1"/>
        <v>42654.875</v>
      </c>
      <c r="P18">
        <f ca="1">IF(G18="恒定伤害",0,(IF(D18="轻剑",$AZ$2,$AZ$3)+IFERROR(INDEX(技能数据库!$T$2:$W$27,MATCH(E18,技能数据库!$T$2:$T$27,0),4),0)+COUNTIF(G18,"*造化2*")*154+COUNTIF(G18,"*造化1*")*102+COUNTIF(G18,"*碧归*")*307)/1024)</f>
        <v>0.167102521929785</v>
      </c>
      <c r="Q18">
        <f ca="1" t="shared" si="2"/>
        <v>0.448284482196154</v>
      </c>
      <c r="R18">
        <f ca="1" t="shared" si="3"/>
        <v>0.32958230397716</v>
      </c>
      <c r="S18">
        <f ca="1" t="shared" si="30"/>
        <v>48336.7033825253</v>
      </c>
      <c r="T18">
        <f t="shared" si="31"/>
        <v>0.8</v>
      </c>
      <c r="U18">
        <f ca="1" t="shared" si="4"/>
        <v>1.7995442148</v>
      </c>
      <c r="V18">
        <f ca="1" t="shared" si="32"/>
        <v>108256.590653642</v>
      </c>
      <c r="W18">
        <f ca="1">IF(G18="恒定伤害",0,MIN(1,IF(COUNTIF(F18,"*内会*")&gt;0,内会,IF(D18="轻剑",$Y$2,$Y$3)+COUNTIF(G18,"*莺鸣*")*0.2+COUNTIF(G18,"*叠1*")*0.1+COUNTIF(G18,"*叠2*")*0.2+COUNTIF(G18,"*叠3*")*0.3)+IFERROR(INDEX(技能数据库!$T$2:$W$27,MATCH(E18,技能数据库!$T$2:$T$27,0),2),0)+IF((IF(D18="轻剑",$AO$2,$AO$3)+INT(COUNTIF(G18,"*大莺鸣*")*IF(D18="轻剑",$AM$2,$AM$3)*听晓无双率)/无双系数)&gt;0.9,特效裤子会心/会心系数,0)))</f>
        <v>0.9343</v>
      </c>
      <c r="X18">
        <f ca="1">IF(G18="恒定伤害",0,IF(COUNTIF(F18,"*内会*")&gt;0,内会效,IF(D18="轻剑",$AB$2,$AB$3))+IFERROR(INDEX(技能数据库!$T$2:$W$27,MATCH(E18,技能数据库!$T$2:$T$27,0),3)/1024,0))+COUNTIF(G18,"*叠1*")*0.25+COUNTIF(G18,"*叠2*")*0.5+COUNTIF(G18,"*叠3*")*0.75</f>
        <v>2.3156473116</v>
      </c>
      <c r="Y18">
        <f ca="1" t="shared" si="33"/>
        <v>2.22920928322788</v>
      </c>
      <c r="Z18">
        <f t="shared" si="5"/>
        <v>0.150390625</v>
      </c>
      <c r="AA18">
        <f ca="1" t="shared" si="34"/>
        <v>0.0205078125</v>
      </c>
      <c r="AB18">
        <f ca="1" t="shared" si="35"/>
        <v>283313.230510076</v>
      </c>
      <c r="AC18">
        <f ca="1">技能数计算!AJ10</f>
        <v>0</v>
      </c>
      <c r="AD18" s="164">
        <f ca="1" t="shared" si="36"/>
        <v>0</v>
      </c>
      <c r="AE18" s="168">
        <f ca="1" t="shared" si="6"/>
        <v>0.00316962598061769</v>
      </c>
      <c r="AF18" s="168">
        <f ca="1" t="shared" si="7"/>
        <v>0.0139784725661487</v>
      </c>
      <c r="AG18">
        <f ca="1" t="shared" si="8"/>
        <v>0.00273951642432468</v>
      </c>
      <c r="AH18">
        <f ca="1" t="shared" si="9"/>
        <v>1.00257808905562</v>
      </c>
      <c r="AI18">
        <f ca="1" t="shared" si="10"/>
        <v>1.00016101226475</v>
      </c>
      <c r="AJ18">
        <f ca="1" t="shared" si="11"/>
        <v>0</v>
      </c>
      <c r="AK18">
        <f ca="1" t="shared" si="18"/>
        <v>0</v>
      </c>
      <c r="AL18">
        <f ca="1" t="shared" si="12"/>
        <v>0</v>
      </c>
      <c r="AM18">
        <f ca="1" t="shared" si="19"/>
        <v>0</v>
      </c>
      <c r="AN18" s="168">
        <f ca="1" t="shared" si="20"/>
        <v>0.00841753350912167</v>
      </c>
      <c r="AO18" s="168">
        <f ca="1" t="shared" si="13"/>
        <v>0.00447057613551372</v>
      </c>
      <c r="AP18" s="172">
        <f ca="1" t="shared" si="14"/>
        <v>0</v>
      </c>
      <c r="AQ18" s="168">
        <f ca="1" t="shared" si="15"/>
        <v>0.00401583628616287</v>
      </c>
      <c r="AR18">
        <f t="shared" si="21"/>
        <v>1</v>
      </c>
      <c r="AX18" s="167" t="s">
        <v>2783</v>
      </c>
      <c r="AY18" s="167" t="s">
        <v>2247</v>
      </c>
      <c r="AZ18" s="164">
        <f ca="1" t="shared" si="16"/>
        <v>0.22791396825802</v>
      </c>
      <c r="BA18">
        <f ca="1" t="shared" si="17"/>
        <v>77</v>
      </c>
      <c r="BB18" s="167" t="s">
        <v>2723</v>
      </c>
      <c r="BC18" s="164">
        <f ca="1" t="shared" si="22"/>
        <v>0.120936965913196</v>
      </c>
      <c r="BD18">
        <f ca="1" t="shared" si="23"/>
        <v>4</v>
      </c>
      <c r="BE18">
        <f ca="1" t="shared" si="24"/>
        <v>146</v>
      </c>
      <c r="BH18">
        <v>9</v>
      </c>
      <c r="BI18" t="str">
        <f ca="1" t="shared" si="25"/>
        <v>四季剑法</v>
      </c>
      <c r="BJ18" t="str">
        <f ca="1" t="shared" si="26"/>
        <v>1.0%</v>
      </c>
      <c r="BK18" t="str">
        <f ca="1" t="shared" si="27"/>
        <v>85.7</v>
      </c>
    </row>
    <row r="19" spans="4:63">
      <c r="D19" t="s">
        <v>1028</v>
      </c>
      <c r="E19" t="s">
        <v>2741</v>
      </c>
      <c r="G19" t="s">
        <v>3014</v>
      </c>
      <c r="H19">
        <f ca="1">INDEX(技能数据库!$B$2:$I$100,MATCH(伤害与收益计算!$E19,技能数据库!$B$2:$B$100,0),MATCH(H$9,技能数据库!$B$2:$I$2,0))</f>
        <v>68.5</v>
      </c>
      <c r="I19">
        <f ca="1">INDEX(技能数据库!$B$2:$I$100,MATCH(伤害与收益计算!$E19,技能数据库!$B$2:$B$100,0),MATCH(I$9,技能数据库!$B$2:$I$2,0))</f>
        <v>0.325</v>
      </c>
      <c r="J19">
        <f ca="1">INDEX(技能数据库!$B$2:$I$100,MATCH(伤害与收益计算!$E19,技能数据库!$B$2:$B$100,0),MATCH(J$9,技能数据库!$B$2:$I$2,0))</f>
        <v>1</v>
      </c>
      <c r="K19">
        <f ca="1">INDEX(技能数据库!$B$2:$I$100,MATCH(伤害与收益计算!$E19,技能数据库!$B$2:$B$100,0),MATCH(K$9,技能数据库!$B$2:$I$2,0))</f>
        <v>0</v>
      </c>
      <c r="L19">
        <f ca="1" t="shared" si="0"/>
        <v>105847</v>
      </c>
      <c r="M19">
        <f ca="1" t="shared" si="28"/>
        <v>12694.5</v>
      </c>
      <c r="N19">
        <f ca="1" t="shared" si="29"/>
        <v>92028</v>
      </c>
      <c r="O19">
        <f ca="1" t="shared" si="1"/>
        <v>47163.275</v>
      </c>
      <c r="P19">
        <f ca="1">IF(G19="恒定伤害",0,(IF(D19="轻剑",$AZ$2,$AZ$3)+IFERROR(INDEX(技能数据库!$T$2:$W$27,MATCH(E19,技能数据库!$T$2:$T$27,0),4),0)+COUNTIF(G19,"*造化2*")*154+COUNTIF(G19,"*造化1*")*102+COUNTIF(G19,"*碧归*")*307)/1024)</f>
        <v>0.167102521929785</v>
      </c>
      <c r="Q19">
        <f ca="1" t="shared" si="2"/>
        <v>0.448284482196154</v>
      </c>
      <c r="R19">
        <f ca="1" t="shared" si="3"/>
        <v>0.21277697966198</v>
      </c>
      <c r="S19">
        <f ca="1" t="shared" si="30"/>
        <v>62757.3540966005</v>
      </c>
      <c r="T19">
        <f t="shared" si="31"/>
        <v>0.8</v>
      </c>
      <c r="U19">
        <f ca="1" t="shared" si="4"/>
        <v>1.7995442148</v>
      </c>
      <c r="V19">
        <f ca="1" t="shared" si="32"/>
        <v>140553.590077834</v>
      </c>
      <c r="W19">
        <f ca="1">IF(G19="恒定伤害",0,MIN(1,IF(COUNTIF(F19,"*内会*")&gt;0,内会,IF(D19="轻剑",$Y$2,$Y$3)+COUNTIF(G19,"*莺鸣*")*0.2+COUNTIF(G19,"*叠1*")*0.1+COUNTIF(G19,"*叠2*")*0.2+COUNTIF(G19,"*叠3*")*0.3)+IFERROR(INDEX(技能数据库!$T$2:$W$27,MATCH(E19,技能数据库!$T$2:$T$27,0),2),0)+IF((IF(D19="轻剑",$AO$2,$AO$3)+INT(COUNTIF(G19,"*大莺鸣*")*IF(D19="轻剑",$AM$2,$AM$3)*听晓无双率)/无双系数)&gt;0.9,特效裤子会心/会心系数,0)))</f>
        <v>0.9343</v>
      </c>
      <c r="X19">
        <f ca="1">IF(G19="恒定伤害",0,IF(COUNTIF(F19,"*内会*")&gt;0,内会效,IF(D19="轻剑",$AB$2,$AB$3))+IFERROR(INDEX(技能数据库!$T$2:$W$27,MATCH(E19,技能数据库!$T$2:$T$27,0),3)/1024,0))+COUNTIF(G19,"*叠1*")*0.25+COUNTIF(G19,"*叠2*")*0.5+COUNTIF(G19,"*叠3*")*0.75</f>
        <v>2.3156473116</v>
      </c>
      <c r="Y19">
        <f ca="1" t="shared" si="33"/>
        <v>2.22920928322788</v>
      </c>
      <c r="Z19">
        <f t="shared" si="5"/>
        <v>0.150390625</v>
      </c>
      <c r="AA19">
        <f ca="1" t="shared" si="34"/>
        <v>0.0205078125</v>
      </c>
      <c r="AB19">
        <f ca="1" t="shared" si="35"/>
        <v>367836.188303245</v>
      </c>
      <c r="AC19">
        <f ca="1">技能数计算!AJ11</f>
        <v>0</v>
      </c>
      <c r="AD19" s="164">
        <f ca="1" t="shared" si="36"/>
        <v>0</v>
      </c>
      <c r="AE19" s="168">
        <f ca="1" t="shared" si="6"/>
        <v>0.00341791362029036</v>
      </c>
      <c r="AF19" s="168">
        <f ca="1" t="shared" si="7"/>
        <v>0.012642251836837</v>
      </c>
      <c r="AG19">
        <f ca="1" t="shared" si="8"/>
        <v>0.00249303379238186</v>
      </c>
      <c r="AH19">
        <f ca="1" t="shared" si="9"/>
        <v>1.00233164610401</v>
      </c>
      <c r="AI19">
        <f ca="1" t="shared" si="10"/>
        <v>1.00016101226475</v>
      </c>
      <c r="AJ19">
        <f ca="1" t="shared" si="11"/>
        <v>0</v>
      </c>
      <c r="AK19">
        <f ca="1" t="shared" si="18"/>
        <v>0</v>
      </c>
      <c r="AL19">
        <f ca="1" t="shared" si="12"/>
        <v>0</v>
      </c>
      <c r="AM19">
        <f ca="1" t="shared" si="19"/>
        <v>0</v>
      </c>
      <c r="AN19" s="168">
        <f ca="1" t="shared" si="20"/>
        <v>0.00841753350912167</v>
      </c>
      <c r="AO19" s="168">
        <f ca="1" t="shared" si="13"/>
        <v>0.00447057613551372</v>
      </c>
      <c r="AP19" s="172">
        <f ca="1" t="shared" si="14"/>
        <v>0</v>
      </c>
      <c r="AQ19" s="168">
        <f ca="1" t="shared" si="15"/>
        <v>0.00401583628616287</v>
      </c>
      <c r="AR19">
        <f t="shared" si="21"/>
        <v>1</v>
      </c>
      <c r="AX19" s="167" t="s">
        <v>2786</v>
      </c>
      <c r="AY19" s="167" t="s">
        <v>2786</v>
      </c>
      <c r="AZ19" s="164">
        <f ca="1" t="shared" si="16"/>
        <v>0</v>
      </c>
      <c r="BA19">
        <f ca="1" t="shared" si="17"/>
        <v>77</v>
      </c>
      <c r="BB19" s="167" t="s">
        <v>2789</v>
      </c>
      <c r="BC19" s="164">
        <f ca="1" t="shared" si="22"/>
        <v>0.0764093836338424</v>
      </c>
      <c r="BD19">
        <f ca="1" t="shared" si="23"/>
        <v>5</v>
      </c>
      <c r="BE19">
        <f ca="1" t="shared" si="24"/>
        <v>43</v>
      </c>
      <c r="BF19">
        <f ca="1">SUM(技能数计算!X3:X515)</f>
        <v>48</v>
      </c>
      <c r="BH19">
        <v>10</v>
      </c>
      <c r="BI19" t="str">
        <f ca="1" t="shared" si="25"/>
        <v>鹤归孤山·山倾</v>
      </c>
      <c r="BJ19" t="str">
        <f ca="1" t="shared" si="26"/>
        <v>1.0%</v>
      </c>
      <c r="BK19" t="str">
        <f ca="1" t="shared" si="27"/>
        <v>12</v>
      </c>
    </row>
    <row r="20" spans="4:63">
      <c r="D20" t="s">
        <v>1028</v>
      </c>
      <c r="E20" t="s">
        <v>2754</v>
      </c>
      <c r="H20">
        <f ca="1">INDEX(技能数据库!$B$2:$I$100,MATCH(伤害与收益计算!$E20,技能数据库!$B$2:$B$100,0),MATCH(H$9,技能数据库!$B$2:$I$2,0))</f>
        <v>0</v>
      </c>
      <c r="I20">
        <f ca="1">INDEX(技能数据库!$B$2:$I$100,MATCH(伤害与收益计算!$E20,技能数据库!$B$2:$B$100,0),MATCH(I$9,技能数据库!$B$2:$I$2,0))</f>
        <v>0.10625</v>
      </c>
      <c r="J20">
        <f ca="1">INDEX(技能数据库!$B$2:$I$100,MATCH(伤害与收益计算!$E20,技能数据库!$B$2:$B$100,0),MATCH(J$9,技能数据库!$B$2:$I$2,0))</f>
        <v>1</v>
      </c>
      <c r="K20">
        <f ca="1">INDEX(技能数据库!$B$2:$I$100,MATCH(伤害与收益计算!$E20,技能数据库!$B$2:$B$100,0),MATCH(K$9,技能数据库!$B$2:$I$2,0))</f>
        <v>0</v>
      </c>
      <c r="L20">
        <f ca="1" t="shared" si="0"/>
        <v>91975</v>
      </c>
      <c r="M20">
        <f ca="1" t="shared" si="28"/>
        <v>12694.5</v>
      </c>
      <c r="N20">
        <f ca="1" t="shared" si="29"/>
        <v>92028</v>
      </c>
      <c r="O20">
        <f ca="1" t="shared" si="1"/>
        <v>22466.84375</v>
      </c>
      <c r="P20">
        <f ca="1">IF(G20="恒定伤害",0,(IF(D20="轻剑",$AZ$2,$AZ$3)+IFERROR(INDEX(技能数据库!$T$2:$W$27,MATCH(E20,技能数据库!$T$2:$T$27,0),4),0)+COUNTIF(G20,"*造化2*")*154+COUNTIF(G20,"*造化1*")*102+COUNTIF(G20,"*碧归*")*307)/1024)</f>
        <v>0.276477521929785</v>
      </c>
      <c r="Q20">
        <f ca="1" t="shared" si="2"/>
        <v>0.448284482196154</v>
      </c>
      <c r="R20">
        <f ca="1" t="shared" si="3"/>
        <v>0.32958230397716</v>
      </c>
      <c r="S20">
        <f ca="1" t="shared" si="30"/>
        <v>27845.4719475545</v>
      </c>
      <c r="T20">
        <f t="shared" si="31"/>
        <v>0.8</v>
      </c>
      <c r="U20">
        <f ca="1" t="shared" si="4"/>
        <v>1.7995442148</v>
      </c>
      <c r="V20">
        <f ca="1" t="shared" si="32"/>
        <v>62363.7039193216</v>
      </c>
      <c r="W20">
        <f ca="1">IF(G20="恒定伤害",0,MIN(1,IF(COUNTIF(F20,"*内会*")&gt;0,内会,IF(D20="轻剑",$Y$2,$Y$3)+COUNTIF(G20,"*莺鸣*")*0.2+COUNTIF(G20,"*叠1*")*0.1+COUNTIF(G20,"*叠2*")*0.2+COUNTIF(G20,"*叠3*")*0.3)+IFERROR(INDEX(技能数据库!$T$2:$W$27,MATCH(E20,技能数据库!$T$2:$T$27,0),2),0)+IF((IF(D20="轻剑",$AO$2,$AO$3)+INT(COUNTIF(G20,"*大莺鸣*")*IF(D20="轻剑",$AM$2,$AM$3)*听晓无双率)/无双系数)&gt;0.9,特效裤子会心/会心系数,0)))</f>
        <v>0.7343</v>
      </c>
      <c r="X20">
        <f ca="1">IF(G20="恒定伤害",0,IF(COUNTIF(F20,"*内会*")&gt;0,内会效,IF(D20="轻剑",$AB$2,$AB$3))+IFERROR(INDEX(技能数据库!$T$2:$W$27,MATCH(E20,技能数据库!$T$2:$T$27,0),3)/1024,0))+COUNTIF(G20,"*叠1*")*0.25+COUNTIF(G20,"*叠2*")*0.5+COUNTIF(G20,"*叠3*")*0.75</f>
        <v>2.3156473116</v>
      </c>
      <c r="Y20">
        <f ca="1" t="shared" si="33"/>
        <v>1.96607982090788</v>
      </c>
      <c r="Z20">
        <f t="shared" si="5"/>
        <v>0.150390625</v>
      </c>
      <c r="AA20">
        <f ca="1" t="shared" si="34"/>
        <v>0.0205078125</v>
      </c>
      <c r="AB20">
        <f ca="1" t="shared" si="35"/>
        <v>143944.380316199</v>
      </c>
      <c r="AC20">
        <f ca="1">技能数计算!AJ12</f>
        <v>0</v>
      </c>
      <c r="AD20" s="164">
        <f ca="1" t="shared" si="36"/>
        <v>0</v>
      </c>
      <c r="AE20" s="168">
        <f ca="1" t="shared" si="6"/>
        <v>0.00196734354374989</v>
      </c>
      <c r="AF20" s="168">
        <f ca="1" t="shared" si="7"/>
        <v>0.0265391083249066</v>
      </c>
      <c r="AG20">
        <f ca="1" t="shared" si="8"/>
        <v>0.00176145456989585</v>
      </c>
      <c r="AH20">
        <f ca="1" t="shared" si="9"/>
        <v>1.00160018465579</v>
      </c>
      <c r="AI20">
        <f ca="1" t="shared" si="10"/>
        <v>1.00016101226475</v>
      </c>
      <c r="AJ20">
        <f ca="1" t="shared" si="11"/>
        <v>0</v>
      </c>
      <c r="AK20">
        <f ca="1" t="shared" si="18"/>
        <v>0</v>
      </c>
      <c r="AL20">
        <f ca="1" t="shared" si="12"/>
        <v>0</v>
      </c>
      <c r="AM20">
        <f ca="1" t="shared" si="19"/>
        <v>0</v>
      </c>
      <c r="AN20" s="168">
        <f ca="1" t="shared" si="20"/>
        <v>0.00750104430192855</v>
      </c>
      <c r="AO20" s="168">
        <f ca="1" t="shared" si="13"/>
        <v>0.00447057613551372</v>
      </c>
      <c r="AP20" s="172">
        <f ca="1" t="shared" si="14"/>
        <v>0</v>
      </c>
      <c r="AQ20" s="168">
        <f ca="1" t="shared" si="15"/>
        <v>0.00401583628616287</v>
      </c>
      <c r="AR20">
        <f t="shared" si="21"/>
        <v>1</v>
      </c>
      <c r="AX20" s="167" t="s">
        <v>2723</v>
      </c>
      <c r="AY20" s="167" t="s">
        <v>2723</v>
      </c>
      <c r="AZ20" s="164">
        <f ca="1" t="shared" si="16"/>
        <v>0.120936965913196</v>
      </c>
      <c r="BA20">
        <f ca="1" t="shared" si="17"/>
        <v>146</v>
      </c>
      <c r="BB20" s="167" t="s">
        <v>2794</v>
      </c>
      <c r="BC20" s="164">
        <f ca="1" t="shared" si="22"/>
        <v>0.0120047573127342</v>
      </c>
      <c r="BD20">
        <f ca="1" t="shared" si="23"/>
        <v>8</v>
      </c>
      <c r="BE20">
        <f ca="1" t="shared" si="24"/>
        <v>12</v>
      </c>
      <c r="BF20">
        <f ca="1">COUNTIF(技能数计算!$B$3:$B$515,"*鹤归*")*循环比</f>
        <v>12</v>
      </c>
      <c r="BH20">
        <v>11</v>
      </c>
      <c r="BI20" t="str">
        <f ca="1" t="shared" si="25"/>
        <v>昆吾·弦刃</v>
      </c>
      <c r="BJ20" t="str">
        <f ca="1" t="shared" si="26"/>
        <v>0.8%</v>
      </c>
      <c r="BK20" t="str">
        <f ca="1" t="shared" si="27"/>
        <v>13.2</v>
      </c>
    </row>
    <row r="21" spans="4:63">
      <c r="D21" t="s">
        <v>1028</v>
      </c>
      <c r="E21" t="s">
        <v>2754</v>
      </c>
      <c r="G21" t="s">
        <v>2750</v>
      </c>
      <c r="H21">
        <f ca="1">INDEX(技能数据库!$B$2:$I$100,MATCH(伤害与收益计算!$E21,技能数据库!$B$2:$B$100,0),MATCH(H$9,技能数据库!$B$2:$I$2,0))</f>
        <v>0</v>
      </c>
      <c r="I21">
        <f ca="1">INDEX(技能数据库!$B$2:$I$100,MATCH(伤害与收益计算!$E21,技能数据库!$B$2:$B$100,0),MATCH(I$9,技能数据库!$B$2:$I$2,0))</f>
        <v>0.10625</v>
      </c>
      <c r="J21">
        <f ca="1">INDEX(技能数据库!$B$2:$I$100,MATCH(伤害与收益计算!$E21,技能数据库!$B$2:$B$100,0),MATCH(J$9,技能数据库!$B$2:$I$2,0))</f>
        <v>1</v>
      </c>
      <c r="K21">
        <f ca="1">INDEX(技能数据库!$B$2:$I$100,MATCH(伤害与收益计算!$E21,技能数据库!$B$2:$B$100,0),MATCH(K$9,技能数据库!$B$2:$I$2,0))</f>
        <v>0</v>
      </c>
      <c r="L21">
        <f ca="1" t="shared" si="0"/>
        <v>105847</v>
      </c>
      <c r="M21">
        <f ca="1" t="shared" si="28"/>
        <v>12694.5</v>
      </c>
      <c r="N21">
        <f ca="1" t="shared" si="29"/>
        <v>92028</v>
      </c>
      <c r="O21">
        <f ca="1" t="shared" si="1"/>
        <v>23940.74375</v>
      </c>
      <c r="P21">
        <f ca="1">IF(G21="恒定伤害",0,(IF(D21="轻剑",$AZ$2,$AZ$3)+IFERROR(INDEX(技能数据库!$T$2:$W$27,MATCH(E21,技能数据库!$T$2:$T$27,0),4),0)+COUNTIF(G21,"*造化2*")*154+COUNTIF(G21,"*造化1*")*102+COUNTIF(G21,"*碧归*")*307)/1024)</f>
        <v>0.276477521929785</v>
      </c>
      <c r="Q21">
        <f ca="1" t="shared" si="2"/>
        <v>0.448284482196154</v>
      </c>
      <c r="R21">
        <f ca="1" t="shared" si="3"/>
        <v>0.21277697966198</v>
      </c>
      <c r="S21">
        <f ca="1" t="shared" si="30"/>
        <v>34841.9515556617</v>
      </c>
      <c r="T21">
        <f t="shared" si="31"/>
        <v>0.8</v>
      </c>
      <c r="U21">
        <f ca="1" t="shared" si="4"/>
        <v>1.7995442148</v>
      </c>
      <c r="V21">
        <f ca="1" t="shared" si="32"/>
        <v>78033.2671279956</v>
      </c>
      <c r="W21">
        <f ca="1">IF(G21="恒定伤害",0,MIN(1,IF(COUNTIF(F21,"*内会*")&gt;0,内会,IF(D21="轻剑",$Y$2,$Y$3)+COUNTIF(G21,"*莺鸣*")*0.2+COUNTIF(G21,"*叠1*")*0.1+COUNTIF(G21,"*叠2*")*0.2+COUNTIF(G21,"*叠3*")*0.3)+IFERROR(INDEX(技能数据库!$T$2:$W$27,MATCH(E21,技能数据库!$T$2:$T$27,0),2),0)+IF((IF(D21="轻剑",$AO$2,$AO$3)+INT(COUNTIF(G21,"*大莺鸣*")*IF(D21="轻剑",$AM$2,$AM$3)*听晓无双率)/无双系数)&gt;0.9,特效裤子会心/会心系数,0)))</f>
        <v>0.7343</v>
      </c>
      <c r="X21">
        <f ca="1">IF(G21="恒定伤害",0,IF(COUNTIF(F21,"*内会*")&gt;0,内会效,IF(D21="轻剑",$AB$2,$AB$3))+IFERROR(INDEX(技能数据库!$T$2:$W$27,MATCH(E21,技能数据库!$T$2:$T$27,0),3)/1024,0))+COUNTIF(G21,"*叠1*")*0.25+COUNTIF(G21,"*叠2*")*0.5+COUNTIF(G21,"*叠3*")*0.75</f>
        <v>2.3156473116</v>
      </c>
      <c r="Y21">
        <f ca="1" t="shared" si="33"/>
        <v>1.96607982090788</v>
      </c>
      <c r="Z21">
        <f t="shared" si="5"/>
        <v>0.150390625</v>
      </c>
      <c r="AA21">
        <f ca="1" t="shared" si="34"/>
        <v>0.0205078125</v>
      </c>
      <c r="AB21">
        <f ca="1" t="shared" si="35"/>
        <v>180111.981406988</v>
      </c>
      <c r="AC21">
        <f ca="1">技能数计算!AJ13</f>
        <v>8</v>
      </c>
      <c r="AD21" s="164">
        <f ca="1" t="shared" si="36"/>
        <v>0.000462545535360579</v>
      </c>
      <c r="AE21" s="168">
        <f ca="1" t="shared" si="6"/>
        <v>0.00220126828766546</v>
      </c>
      <c r="AF21" s="168">
        <f ca="1" t="shared" si="7"/>
        <v>0.0249052413001998</v>
      </c>
      <c r="AG21">
        <f ca="1" t="shared" si="8"/>
        <v>0.00223657418318424</v>
      </c>
      <c r="AH21">
        <f ca="1" t="shared" si="9"/>
        <v>1.00150167008211</v>
      </c>
      <c r="AI21">
        <f ca="1" t="shared" si="10"/>
        <v>1.00016101226475</v>
      </c>
      <c r="AJ21">
        <f ca="1" t="shared" si="11"/>
        <v>1.0005726976962</v>
      </c>
      <c r="AK21">
        <f ca="1" t="shared" si="18"/>
        <v>8</v>
      </c>
      <c r="AL21">
        <f ca="1" t="shared" si="12"/>
        <v>0.00495187192404045</v>
      </c>
      <c r="AM21">
        <f ca="1" t="shared" si="19"/>
        <v>8</v>
      </c>
      <c r="AN21" s="168">
        <f ca="1" t="shared" si="20"/>
        <v>0.00750104430192855</v>
      </c>
      <c r="AO21" s="168">
        <f ca="1" t="shared" si="13"/>
        <v>0.00447057613551372</v>
      </c>
      <c r="AP21" s="172">
        <f ca="1" t="shared" si="14"/>
        <v>0</v>
      </c>
      <c r="AQ21" s="168">
        <f ca="1" t="shared" si="15"/>
        <v>0.00401583628616287</v>
      </c>
      <c r="AR21">
        <f t="shared" si="21"/>
        <v>1</v>
      </c>
      <c r="AX21" s="167" t="s">
        <v>2789</v>
      </c>
      <c r="AY21" s="167" t="s">
        <v>2789</v>
      </c>
      <c r="AZ21" s="164">
        <f ca="1" t="shared" si="16"/>
        <v>0.0764093836338424</v>
      </c>
      <c r="BA21">
        <f ca="1" t="shared" si="17"/>
        <v>43</v>
      </c>
      <c r="BB21" s="167" t="s">
        <v>2798</v>
      </c>
      <c r="BC21" s="164">
        <f ca="1" t="shared" si="22"/>
        <v>0.0101689230714641</v>
      </c>
      <c r="BD21">
        <f ca="1" t="shared" si="23"/>
        <v>10</v>
      </c>
      <c r="BE21">
        <f ca="1" t="shared" si="24"/>
        <v>12</v>
      </c>
      <c r="BF21">
        <f ca="1">COUNTIF(技能数计算!$B$3:$B$515,"*鹤归*")*循环比</f>
        <v>12</v>
      </c>
      <c r="BH21">
        <v>12</v>
      </c>
      <c r="BI21" t="str">
        <f ca="1" t="shared" si="25"/>
        <v>刃凌</v>
      </c>
      <c r="BJ21" t="str">
        <f ca="1" t="shared" si="26"/>
        <v>0.8%</v>
      </c>
      <c r="BK21" t="str">
        <f ca="1" t="shared" si="27"/>
        <v>19.8</v>
      </c>
    </row>
    <row r="22" spans="4:63">
      <c r="D22" t="s">
        <v>1028</v>
      </c>
      <c r="E22" t="s">
        <v>2754</v>
      </c>
      <c r="G22" t="s">
        <v>2949</v>
      </c>
      <c r="H22">
        <f ca="1">INDEX(技能数据库!$B$2:$I$100,MATCH(伤害与收益计算!$E22,技能数据库!$B$2:$B$100,0),MATCH(H$9,技能数据库!$B$2:$I$2,0))</f>
        <v>0</v>
      </c>
      <c r="I22">
        <f ca="1">INDEX(技能数据库!$B$2:$I$100,MATCH(伤害与收益计算!$E22,技能数据库!$B$2:$B$100,0),MATCH(I$9,技能数据库!$B$2:$I$2,0))</f>
        <v>0.10625</v>
      </c>
      <c r="J22">
        <f ca="1">INDEX(技能数据库!$B$2:$I$100,MATCH(伤害与收益计算!$E22,技能数据库!$B$2:$B$100,0),MATCH(J$9,技能数据库!$B$2:$I$2,0))</f>
        <v>1</v>
      </c>
      <c r="K22">
        <f ca="1">INDEX(技能数据库!$B$2:$I$100,MATCH(伤害与收益计算!$E22,技能数据库!$B$2:$B$100,0),MATCH(K$9,技能数据库!$B$2:$I$2,0))</f>
        <v>0</v>
      </c>
      <c r="L22">
        <f ca="1" t="shared" si="0"/>
        <v>91975</v>
      </c>
      <c r="M22">
        <f ca="1" t="shared" si="28"/>
        <v>12694.5</v>
      </c>
      <c r="N22">
        <f ca="1" t="shared" si="29"/>
        <v>92028</v>
      </c>
      <c r="O22">
        <f ca="1" t="shared" si="1"/>
        <v>22466.84375</v>
      </c>
      <c r="P22">
        <f ca="1">IF(G22="恒定伤害",0,(IF(D22="轻剑",$AZ$2,$AZ$3)+IFERROR(INDEX(技能数据库!$T$2:$W$27,MATCH(E22,技能数据库!$T$2:$T$27,0),4),0)+COUNTIF(G22,"*造化2*")*154+COUNTIF(G22,"*造化1*")*102+COUNTIF(G22,"*碧归*")*307)/1024)</f>
        <v>0.276477521929785</v>
      </c>
      <c r="Q22">
        <f ca="1" t="shared" si="2"/>
        <v>0.448284482196154</v>
      </c>
      <c r="R22">
        <f ca="1" t="shared" si="3"/>
        <v>0.32958230397716</v>
      </c>
      <c r="S22">
        <f ca="1" t="shared" si="30"/>
        <v>27845.4719475545</v>
      </c>
      <c r="T22">
        <f t="shared" si="31"/>
        <v>0.8</v>
      </c>
      <c r="U22">
        <f ca="1" t="shared" si="4"/>
        <v>1.7995442148</v>
      </c>
      <c r="V22">
        <f ca="1" t="shared" si="32"/>
        <v>62363.7039193216</v>
      </c>
      <c r="W22">
        <f ca="1">IF(G22="恒定伤害",0,MIN(1,IF(COUNTIF(F22,"*内会*")&gt;0,内会,IF(D22="轻剑",$Y$2,$Y$3)+COUNTIF(G22,"*莺鸣*")*0.2+COUNTIF(G22,"*叠1*")*0.1+COUNTIF(G22,"*叠2*")*0.2+COUNTIF(G22,"*叠3*")*0.3)+IFERROR(INDEX(技能数据库!$T$2:$W$27,MATCH(E22,技能数据库!$T$2:$T$27,0),2),0)+IF((IF(D22="轻剑",$AO$2,$AO$3)+INT(COUNTIF(G22,"*大莺鸣*")*IF(D22="轻剑",$AM$2,$AM$3)*听晓无双率)/无双系数)&gt;0.9,特效裤子会心/会心系数,0)))</f>
        <v>0.9343</v>
      </c>
      <c r="X22">
        <f ca="1">IF(G22="恒定伤害",0,IF(COUNTIF(F22,"*内会*")&gt;0,内会效,IF(D22="轻剑",$AB$2,$AB$3))+IFERROR(INDEX(技能数据库!$T$2:$W$27,MATCH(E22,技能数据库!$T$2:$T$27,0),3)/1024,0))+COUNTIF(G22,"*叠1*")*0.25+COUNTIF(G22,"*叠2*")*0.5+COUNTIF(G22,"*叠3*")*0.75</f>
        <v>2.3156473116</v>
      </c>
      <c r="Y22">
        <f ca="1" t="shared" si="33"/>
        <v>2.22920928322788</v>
      </c>
      <c r="Z22">
        <f t="shared" si="5"/>
        <v>0.150390625</v>
      </c>
      <c r="AA22">
        <f ca="1" t="shared" si="34"/>
        <v>0.0205078125</v>
      </c>
      <c r="AB22">
        <f ca="1" t="shared" si="35"/>
        <v>163209.11565085</v>
      </c>
      <c r="AC22">
        <f ca="1">技能数计算!AJ14</f>
        <v>0</v>
      </c>
      <c r="AD22" s="164">
        <f ca="1" t="shared" si="36"/>
        <v>0</v>
      </c>
      <c r="AE22" s="168">
        <f ca="1" t="shared" si="6"/>
        <v>0.00196734354374989</v>
      </c>
      <c r="AF22" s="168">
        <f ca="1" t="shared" si="7"/>
        <v>0.0265391083249066</v>
      </c>
      <c r="AG22">
        <f ca="1" t="shared" si="8"/>
        <v>0.00176145456989585</v>
      </c>
      <c r="AH22">
        <f ca="1" t="shared" si="9"/>
        <v>1.00160018465579</v>
      </c>
      <c r="AI22">
        <f ca="1" t="shared" si="10"/>
        <v>1.00016101226475</v>
      </c>
      <c r="AJ22">
        <f ca="1" t="shared" si="11"/>
        <v>0</v>
      </c>
      <c r="AK22">
        <f ca="1" t="shared" si="18"/>
        <v>0</v>
      </c>
      <c r="AL22">
        <f ca="1" t="shared" si="12"/>
        <v>0</v>
      </c>
      <c r="AM22">
        <f ca="1" t="shared" si="19"/>
        <v>0</v>
      </c>
      <c r="AN22" s="168">
        <f ca="1" t="shared" si="20"/>
        <v>0.00841753350912167</v>
      </c>
      <c r="AO22" s="168">
        <f ca="1" t="shared" si="13"/>
        <v>0.00447057613551372</v>
      </c>
      <c r="AP22" s="172">
        <f ca="1" t="shared" si="14"/>
        <v>0</v>
      </c>
      <c r="AQ22" s="168">
        <f ca="1" t="shared" si="15"/>
        <v>0.00401583628616287</v>
      </c>
      <c r="AR22">
        <f t="shared" si="21"/>
        <v>1</v>
      </c>
      <c r="AX22" s="167" t="s">
        <v>2794</v>
      </c>
      <c r="AY22" s="167" t="s">
        <v>2794</v>
      </c>
      <c r="AZ22" s="164">
        <f ca="1" t="shared" si="16"/>
        <v>0.0120047573127342</v>
      </c>
      <c r="BA22">
        <f ca="1" t="shared" si="17"/>
        <v>12</v>
      </c>
      <c r="BB22" s="167" t="s">
        <v>2801</v>
      </c>
      <c r="BC22" s="164">
        <f ca="1" t="shared" si="22"/>
        <v>0.03943173306439</v>
      </c>
      <c r="BD22">
        <f ca="1" t="shared" si="23"/>
        <v>6</v>
      </c>
      <c r="BE22">
        <f ca="1" t="shared" si="24"/>
        <v>60</v>
      </c>
      <c r="BF22">
        <f ca="1">COUNTIF(技能数计算!$J$3:$J$515,"&gt;0")*循环比</f>
        <v>60</v>
      </c>
      <c r="BH22">
        <v>13</v>
      </c>
      <c r="BI22" t="str">
        <f ca="1" t="shared" si="25"/>
        <v>逐云含蕊</v>
      </c>
      <c r="BJ22" t="str">
        <f ca="1" t="shared" si="26"/>
        <v>0.6%</v>
      </c>
      <c r="BK22" t="str">
        <f ca="1" t="shared" si="27"/>
        <v>48</v>
      </c>
    </row>
    <row r="23" spans="4:63">
      <c r="D23" t="s">
        <v>1028</v>
      </c>
      <c r="E23" t="s">
        <v>2754</v>
      </c>
      <c r="G23" t="s">
        <v>3014</v>
      </c>
      <c r="H23">
        <f ca="1">INDEX(技能数据库!$B$2:$I$100,MATCH(伤害与收益计算!$E23,技能数据库!$B$2:$B$100,0),MATCH(H$9,技能数据库!$B$2:$I$2,0))</f>
        <v>0</v>
      </c>
      <c r="I23">
        <f ca="1">INDEX(技能数据库!$B$2:$I$100,MATCH(伤害与收益计算!$E23,技能数据库!$B$2:$B$100,0),MATCH(I$9,技能数据库!$B$2:$I$2,0))</f>
        <v>0.10625</v>
      </c>
      <c r="J23">
        <f ca="1">INDEX(技能数据库!$B$2:$I$100,MATCH(伤害与收益计算!$E23,技能数据库!$B$2:$B$100,0),MATCH(J$9,技能数据库!$B$2:$I$2,0))</f>
        <v>1</v>
      </c>
      <c r="K23">
        <f ca="1">INDEX(技能数据库!$B$2:$I$100,MATCH(伤害与收益计算!$E23,技能数据库!$B$2:$B$100,0),MATCH(K$9,技能数据库!$B$2:$I$2,0))</f>
        <v>0</v>
      </c>
      <c r="L23">
        <f ca="1" t="shared" si="0"/>
        <v>105847</v>
      </c>
      <c r="M23">
        <f ca="1" t="shared" si="28"/>
        <v>12694.5</v>
      </c>
      <c r="N23">
        <f ca="1" t="shared" si="29"/>
        <v>92028</v>
      </c>
      <c r="O23">
        <f ca="1" t="shared" si="1"/>
        <v>23940.74375</v>
      </c>
      <c r="P23">
        <f ca="1">IF(G23="恒定伤害",0,(IF(D23="轻剑",$AZ$2,$AZ$3)+IFERROR(INDEX(技能数据库!$T$2:$W$27,MATCH(E23,技能数据库!$T$2:$T$27,0),4),0)+COUNTIF(G23,"*造化2*")*154+COUNTIF(G23,"*造化1*")*102+COUNTIF(G23,"*碧归*")*307)/1024)</f>
        <v>0.276477521929785</v>
      </c>
      <c r="Q23">
        <f ca="1" t="shared" si="2"/>
        <v>0.448284482196154</v>
      </c>
      <c r="R23">
        <f ca="1" t="shared" si="3"/>
        <v>0.21277697966198</v>
      </c>
      <c r="S23">
        <f ca="1" t="shared" si="30"/>
        <v>34841.9515556617</v>
      </c>
      <c r="T23">
        <f t="shared" si="31"/>
        <v>0.8</v>
      </c>
      <c r="U23">
        <f ca="1" t="shared" si="4"/>
        <v>1.7995442148</v>
      </c>
      <c r="V23">
        <f ca="1" t="shared" si="32"/>
        <v>78033.2671279956</v>
      </c>
      <c r="W23">
        <f ca="1">IF(G23="恒定伤害",0,MIN(1,IF(COUNTIF(F23,"*内会*")&gt;0,内会,IF(D23="轻剑",$Y$2,$Y$3)+COUNTIF(G23,"*莺鸣*")*0.2+COUNTIF(G23,"*叠1*")*0.1+COUNTIF(G23,"*叠2*")*0.2+COUNTIF(G23,"*叠3*")*0.3)+IFERROR(INDEX(技能数据库!$T$2:$W$27,MATCH(E23,技能数据库!$T$2:$T$27,0),2),0)+IF((IF(D23="轻剑",$AO$2,$AO$3)+INT(COUNTIF(G23,"*大莺鸣*")*IF(D23="轻剑",$AM$2,$AM$3)*听晓无双率)/无双系数)&gt;0.9,特效裤子会心/会心系数,0)))</f>
        <v>0.9343</v>
      </c>
      <c r="X23">
        <f ca="1">IF(G23="恒定伤害",0,IF(COUNTIF(F23,"*内会*")&gt;0,内会效,IF(D23="轻剑",$AB$2,$AB$3))+IFERROR(INDEX(技能数据库!$T$2:$W$27,MATCH(E23,技能数据库!$T$2:$T$27,0),3)/1024,0))+COUNTIF(G23,"*叠1*")*0.25+COUNTIF(G23,"*叠2*")*0.5+COUNTIF(G23,"*叠3*")*0.75</f>
        <v>2.3156473116</v>
      </c>
      <c r="Y23">
        <f ca="1" t="shared" si="33"/>
        <v>2.22920928322788</v>
      </c>
      <c r="Z23">
        <f t="shared" si="5"/>
        <v>0.150390625</v>
      </c>
      <c r="AA23">
        <f ca="1" t="shared" si="34"/>
        <v>0.0205078125</v>
      </c>
      <c r="AB23">
        <f ca="1" t="shared" si="35"/>
        <v>204217.192355711</v>
      </c>
      <c r="AC23">
        <f ca="1">技能数计算!AJ15</f>
        <v>0</v>
      </c>
      <c r="AD23" s="164">
        <f ca="1" t="shared" si="36"/>
        <v>0</v>
      </c>
      <c r="AE23" s="168">
        <f ca="1" t="shared" si="6"/>
        <v>0.00220126828766546</v>
      </c>
      <c r="AF23" s="168">
        <f ca="1" t="shared" si="7"/>
        <v>0.0249052413001998</v>
      </c>
      <c r="AG23">
        <f ca="1" t="shared" si="8"/>
        <v>0.00166292413415881</v>
      </c>
      <c r="AH23">
        <f ca="1" t="shared" si="9"/>
        <v>1.00150167008211</v>
      </c>
      <c r="AI23">
        <f ca="1" t="shared" si="10"/>
        <v>1.00016101226475</v>
      </c>
      <c r="AJ23">
        <f ca="1" t="shared" si="11"/>
        <v>0</v>
      </c>
      <c r="AK23">
        <f ca="1" t="shared" si="18"/>
        <v>0</v>
      </c>
      <c r="AL23">
        <f ca="1" t="shared" si="12"/>
        <v>0</v>
      </c>
      <c r="AM23">
        <f ca="1" t="shared" si="19"/>
        <v>0</v>
      </c>
      <c r="AN23" s="168">
        <f ca="1" t="shared" si="20"/>
        <v>0.00841753350912167</v>
      </c>
      <c r="AO23" s="168">
        <f ca="1" t="shared" si="13"/>
        <v>0.00447057613551372</v>
      </c>
      <c r="AP23" s="172">
        <f ca="1" t="shared" si="14"/>
        <v>0</v>
      </c>
      <c r="AQ23" s="168">
        <f ca="1" t="shared" si="15"/>
        <v>0.00401583628616287</v>
      </c>
      <c r="AR23">
        <f t="shared" si="21"/>
        <v>1</v>
      </c>
      <c r="AX23" s="167" t="s">
        <v>2798</v>
      </c>
      <c r="AY23" s="167" t="s">
        <v>2798</v>
      </c>
      <c r="AZ23" s="164">
        <f ca="1" t="shared" si="16"/>
        <v>0.0101689230714641</v>
      </c>
      <c r="BA23">
        <f ca="1" t="shared" si="17"/>
        <v>12</v>
      </c>
      <c r="BB23" s="167" t="s">
        <v>2792</v>
      </c>
      <c r="BC23" s="164">
        <f ca="1" t="shared" si="22"/>
        <v>0.0102355772760175</v>
      </c>
      <c r="BD23">
        <f ca="1" t="shared" si="23"/>
        <v>9</v>
      </c>
      <c r="BE23">
        <f ca="1" t="shared" si="24"/>
        <v>85.6875</v>
      </c>
      <c r="BF23">
        <f ca="1">(BF14+BF17)/2+BF20+SUMIF(技能数计算!$X$4:$X$515,"&gt;0")/16</f>
        <v>86</v>
      </c>
      <c r="BH23">
        <v>14</v>
      </c>
      <c r="BI23" t="str">
        <f ca="1" t="shared" ref="BI23:BI30" si="37">INDEX($BB$10:$BC$100,MATCH(BH23,$BD$10:$BD$100,0),1)</f>
        <v>听雷</v>
      </c>
      <c r="BJ23" t="str">
        <f ca="1" t="shared" ref="BJ23:BJ30" si="38">CHOOSE($BJ$9+1,TEXT(ROUND(INDEX($BB$10:$BE$100,MATCH(BH23,$BD$10:$BD$100,0),2)*100,2),"0.0")&amp;"%",ROUND(INDEX($BB$10:$BE$100,MATCH(BH23,$BD$10:$BD$100,0),4),2)&amp;"")</f>
        <v>0.5%</v>
      </c>
      <c r="BK23" t="str">
        <f ca="1" t="shared" ref="BK23:BK30" si="39">CHOOSE($BK$9+1,TEXT(ROUND(INDEX($BB$10:$BE$100,MATCH(BH23,$BD$10:$BD$100,0),2)*100,2),"0.00")&amp;"%",ROUND(INDEX($BB$10:$BE$100,MATCH(BH23,$BD$10:$BD$100,0),4),1)&amp;"")</f>
        <v>4</v>
      </c>
    </row>
    <row r="24" spans="4:63">
      <c r="D24" t="s">
        <v>1825</v>
      </c>
      <c r="E24" t="s">
        <v>2768</v>
      </c>
      <c r="H24">
        <f ca="1">INDEX(技能数据库!$B$2:$I$100,MATCH(伤害与收益计算!$E24,技能数据库!$B$2:$B$100,0),MATCH(H$9,技能数据库!$B$2:$I$2,0))</f>
        <v>210</v>
      </c>
      <c r="I24">
        <f ca="1">INDEX(技能数据库!$B$2:$I$100,MATCH(伤害与收益计算!$E24,技能数据库!$B$2:$B$100,0),MATCH(I$9,技能数据库!$B$2:$I$2,0))</f>
        <v>5.7875</v>
      </c>
      <c r="J24">
        <f ca="1">INDEX(技能数据库!$B$2:$I$100,MATCH(伤害与收益计算!$E24,技能数据库!$B$2:$B$100,0),MATCH(J$9,技能数据库!$B$2:$I$2,0))</f>
        <v>2</v>
      </c>
      <c r="K24">
        <f ca="1">INDEX(技能数据库!$B$2:$I$100,MATCH(伤害与收益计算!$E24,技能数据库!$B$2:$B$100,0),MATCH(K$9,技能数据库!$B$2:$I$2,0))</f>
        <v>0</v>
      </c>
      <c r="L24">
        <f ca="1" t="shared" si="0"/>
        <v>91975</v>
      </c>
      <c r="M24">
        <f ca="1" t="shared" si="28"/>
        <v>19530.5</v>
      </c>
      <c r="N24">
        <f ca="1" t="shared" si="29"/>
        <v>92028</v>
      </c>
      <c r="O24">
        <f ca="1" t="shared" si="1"/>
        <v>571576.3125</v>
      </c>
      <c r="P24">
        <f ca="1">IF(G24="恒定伤害",0,(IF(D24="轻剑",$AZ$2,$AZ$3)+IFERROR(INDEX(技能数据库!$T$2:$W$27,MATCH(E24,技能数据库!$T$2:$T$27,0),4),0)+COUNTIF(G24,"*造化2*")*154+COUNTIF(G24,"*造化1*")*102+COUNTIF(G24,"*碧归*")*307)/1024)</f>
        <v>0.296985334429785</v>
      </c>
      <c r="Q24">
        <f ca="1" t="shared" si="2"/>
        <v>0.448284482196154</v>
      </c>
      <c r="R24">
        <f ca="1" t="shared" si="3"/>
        <v>0.32958230397716</v>
      </c>
      <c r="S24">
        <f ca="1" t="shared" si="30"/>
        <v>719794.6829669</v>
      </c>
      <c r="T24">
        <f t="shared" si="31"/>
        <v>0.8</v>
      </c>
      <c r="U24">
        <f ca="1" t="shared" si="4"/>
        <v>1.7995442148</v>
      </c>
      <c r="V24">
        <f ca="1" t="shared" si="32"/>
        <v>1612077.63243503</v>
      </c>
      <c r="W24">
        <f ca="1">IF(G24="恒定伤害",0,MIN(1,IF(COUNTIF(F24,"*内会*")&gt;0,内会,IF(D24="轻剑",$Y$2,$Y$3)+COUNTIF(G24,"*莺鸣*")*0.2+COUNTIF(G24,"*叠1*")*0.1+COUNTIF(G24,"*叠2*")*0.2+COUNTIF(G24,"*叠3*")*0.3)+IFERROR(INDEX(技能数据库!$T$2:$W$27,MATCH(E24,技能数据库!$T$2:$T$27,0),2),0)+IF((IF(D24="轻剑",$AO$2,$AO$3)+INT(COUNTIF(G24,"*大莺鸣*")*IF(D24="轻剑",$AM$2,$AM$3)*听晓无双率)/无双系数)&gt;0.9,特效裤子会心/会心系数,0)))</f>
        <v>0.7343</v>
      </c>
      <c r="X24">
        <f ca="1">IF(G24="恒定伤害",0,IF(COUNTIF(F24,"*内会*")&gt;0,内会效,IF(D24="轻剑",$AB$2,$AB$3))+IFERROR(INDEX(技能数据库!$T$2:$W$27,MATCH(E24,技能数据库!$T$2:$T$27,0),3)/1024,0))+COUNTIF(G24,"*叠1*")*0.25+COUNTIF(G24,"*叠2*")*0.5+COUNTIF(G24,"*叠3*")*0.75</f>
        <v>2.3156473116</v>
      </c>
      <c r="Y24">
        <f ca="1" t="shared" si="33"/>
        <v>1.96607982090788</v>
      </c>
      <c r="Z24">
        <f t="shared" si="5"/>
        <v>0.150390625</v>
      </c>
      <c r="AA24">
        <f ca="1" t="shared" si="34"/>
        <v>0.0205078125</v>
      </c>
      <c r="AB24">
        <f ca="1" t="shared" si="35"/>
        <v>3720906.57287871</v>
      </c>
      <c r="AC24">
        <f ca="1">技能数计算!AJ16</f>
        <v>0</v>
      </c>
      <c r="AD24" s="164">
        <f ca="1" t="shared" si="36"/>
        <v>0</v>
      </c>
      <c r="AE24" s="168">
        <f ca="1" t="shared" si="6"/>
        <v>0.00421221094602306</v>
      </c>
      <c r="AF24" s="168">
        <f ca="1" t="shared" si="7"/>
        <v>0.00208633558445444</v>
      </c>
      <c r="AG24">
        <f ca="1" t="shared" si="8"/>
        <v>0.0035876637093506</v>
      </c>
      <c r="AH24">
        <f ca="1" t="shared" si="9"/>
        <v>1.00342609980051</v>
      </c>
      <c r="AI24">
        <f ca="1" t="shared" si="10"/>
        <v>1.00016101226475</v>
      </c>
      <c r="AJ24">
        <f ca="1" t="shared" si="11"/>
        <v>0</v>
      </c>
      <c r="AK24">
        <f ca="1" t="shared" si="18"/>
        <v>0</v>
      </c>
      <c r="AL24">
        <f ca="1" t="shared" si="12"/>
        <v>0</v>
      </c>
      <c r="AM24">
        <f ca="1" t="shared" si="19"/>
        <v>0</v>
      </c>
      <c r="AN24" s="168">
        <f ca="1" t="shared" si="20"/>
        <v>0.00750104430192855</v>
      </c>
      <c r="AO24" s="168">
        <f ca="1" t="shared" si="13"/>
        <v>0.00447057613551372</v>
      </c>
      <c r="AP24" s="172">
        <f ca="1" t="shared" si="14"/>
        <v>0</v>
      </c>
      <c r="AQ24" s="168">
        <f ca="1" t="shared" si="15"/>
        <v>0.00401583628616287</v>
      </c>
      <c r="AR24">
        <f t="shared" si="21"/>
        <v>1</v>
      </c>
      <c r="AX24" s="167" t="s">
        <v>2801</v>
      </c>
      <c r="AY24" s="167" t="s">
        <v>2801</v>
      </c>
      <c r="AZ24" s="164">
        <f ca="1" t="shared" si="16"/>
        <v>0.03943173306439</v>
      </c>
      <c r="BA24">
        <f ca="1" t="shared" si="17"/>
        <v>60</v>
      </c>
      <c r="BB24" s="167" t="s">
        <v>2810</v>
      </c>
      <c r="BC24" s="164">
        <f ca="1" t="shared" ref="BC24:BC34" si="40">SUMIF($AY$10:$AY$100,BB24,$AZ$10:$AZ$100)</f>
        <v>0.00836093373904312</v>
      </c>
      <c r="BD24">
        <f ca="1" t="shared" ref="BD24:BD34" si="41">RANK(BC24,$BC$10:$BC$100)</f>
        <v>11</v>
      </c>
      <c r="BE24">
        <f ca="1" t="shared" si="24"/>
        <v>13.210200927357</v>
      </c>
      <c r="BF24">
        <f>技能数计算!AJ72</f>
        <v>13.210200927357</v>
      </c>
      <c r="BH24">
        <v>15</v>
      </c>
      <c r="BI24" t="str">
        <f ca="1" t="shared" si="37"/>
        <v>无修·荒</v>
      </c>
      <c r="BJ24" t="str">
        <f ca="1" t="shared" si="38"/>
        <v>0.5%</v>
      </c>
      <c r="BK24" t="str">
        <f ca="1" t="shared" si="39"/>
        <v>19.8</v>
      </c>
    </row>
    <row r="25" spans="4:63">
      <c r="D25" t="s">
        <v>1825</v>
      </c>
      <c r="E25" t="s">
        <v>2768</v>
      </c>
      <c r="G25" t="s">
        <v>2750</v>
      </c>
      <c r="H25">
        <f ca="1">INDEX(技能数据库!$B$2:$I$100,MATCH(伤害与收益计算!$E25,技能数据库!$B$2:$B$100,0),MATCH(H$9,技能数据库!$B$2:$I$2,0))</f>
        <v>210</v>
      </c>
      <c r="I25">
        <f ca="1">INDEX(技能数据库!$B$2:$I$100,MATCH(伤害与收益计算!$E25,技能数据库!$B$2:$B$100,0),MATCH(I$9,技能数据库!$B$2:$I$2,0))</f>
        <v>5.7875</v>
      </c>
      <c r="J25">
        <f ca="1">INDEX(技能数据库!$B$2:$I$100,MATCH(伤害与收益计算!$E25,技能数据库!$B$2:$B$100,0),MATCH(J$9,技能数据库!$B$2:$I$2,0))</f>
        <v>2</v>
      </c>
      <c r="K25">
        <f ca="1">INDEX(技能数据库!$B$2:$I$100,MATCH(伤害与收益计算!$E25,技能数据库!$B$2:$B$100,0),MATCH(K$9,技能数据库!$B$2:$I$2,0))</f>
        <v>0</v>
      </c>
      <c r="L25">
        <f ca="1" t="shared" si="0"/>
        <v>105847</v>
      </c>
      <c r="M25">
        <f ca="1" t="shared" si="28"/>
        <v>19530.5</v>
      </c>
      <c r="N25">
        <f ca="1" t="shared" si="29"/>
        <v>92028</v>
      </c>
      <c r="O25">
        <f ca="1" t="shared" si="1"/>
        <v>651860.5125</v>
      </c>
      <c r="P25">
        <f ca="1">IF(G25="恒定伤害",0,(IF(D25="轻剑",$AZ$2,$AZ$3)+IFERROR(INDEX(技能数据库!$T$2:$W$27,MATCH(E25,技能数据库!$T$2:$T$27,0),4),0)+COUNTIF(G25,"*造化2*")*154+COUNTIF(G25,"*造化1*")*102+COUNTIF(G25,"*碧归*")*307)/1024)</f>
        <v>0.296985334429785</v>
      </c>
      <c r="Q25">
        <f ca="1" t="shared" si="2"/>
        <v>0.448284482196154</v>
      </c>
      <c r="R25">
        <f ca="1" t="shared" si="3"/>
        <v>0.21277697966198</v>
      </c>
      <c r="S25">
        <f ca="1" t="shared" si="30"/>
        <v>963920.911314148</v>
      </c>
      <c r="T25">
        <f t="shared" si="31"/>
        <v>0.8</v>
      </c>
      <c r="U25">
        <f ca="1" t="shared" si="4"/>
        <v>1.7995442148</v>
      </c>
      <c r="V25">
        <f ca="1" t="shared" si="32"/>
        <v>2158831.36863541</v>
      </c>
      <c r="W25">
        <f ca="1">IF(G25="恒定伤害",0,MIN(1,IF(COUNTIF(F25,"*内会*")&gt;0,内会,IF(D25="轻剑",$Y$2,$Y$3)+COUNTIF(G25,"*莺鸣*")*0.2+COUNTIF(G25,"*叠1*")*0.1+COUNTIF(G25,"*叠2*")*0.2+COUNTIF(G25,"*叠3*")*0.3)+IFERROR(INDEX(技能数据库!$T$2:$W$27,MATCH(E25,技能数据库!$T$2:$T$27,0),2),0)+IF((IF(D25="轻剑",$AO$2,$AO$3)+INT(COUNTIF(G25,"*大莺鸣*")*IF(D25="轻剑",$AM$2,$AM$3)*听晓无双率)/无双系数)&gt;0.9,特效裤子会心/会心系数,0)))</f>
        <v>0.7343</v>
      </c>
      <c r="X25">
        <f ca="1">IF(G25="恒定伤害",0,IF(COUNTIF(F25,"*内会*")&gt;0,内会效,IF(D25="轻剑",$AB$2,$AB$3))+IFERROR(INDEX(技能数据库!$T$2:$W$27,MATCH(E25,技能数据库!$T$2:$T$27,0),3)/1024,0))+COUNTIF(G25,"*叠1*")*0.25+COUNTIF(G25,"*叠2*")*0.5+COUNTIF(G25,"*叠3*")*0.75</f>
        <v>2.3156473116</v>
      </c>
      <c r="Y25">
        <f ca="1" t="shared" si="33"/>
        <v>1.96607982090788</v>
      </c>
      <c r="Z25">
        <f t="shared" si="5"/>
        <v>0.150390625</v>
      </c>
      <c r="AA25">
        <f ca="1" t="shared" si="34"/>
        <v>0.0205078125</v>
      </c>
      <c r="AB25">
        <f ca="1" t="shared" si="35"/>
        <v>4982892.67692324</v>
      </c>
      <c r="AC25">
        <f ca="1">技能数计算!AJ17</f>
        <v>12</v>
      </c>
      <c r="AD25" s="164">
        <f ca="1" t="shared" si="36"/>
        <v>0.0191948481957209</v>
      </c>
      <c r="AE25" s="168">
        <f ca="1" t="shared" si="6"/>
        <v>0.00440370285506441</v>
      </c>
      <c r="AF25" s="168">
        <f ca="1" t="shared" si="7"/>
        <v>0.00182937910355477</v>
      </c>
      <c r="AG25">
        <f ca="1" t="shared" si="8"/>
        <v>0.00374014239530163</v>
      </c>
      <c r="AH25">
        <f ca="1" t="shared" si="9"/>
        <v>1.00300413578163</v>
      </c>
      <c r="AI25">
        <f ca="1" t="shared" si="10"/>
        <v>1.00016101226475</v>
      </c>
      <c r="AJ25">
        <f ca="1" t="shared" si="11"/>
        <v>1.0005726976962</v>
      </c>
      <c r="AK25">
        <f ca="1" t="shared" si="18"/>
        <v>12</v>
      </c>
      <c r="AL25">
        <f ca="1" t="shared" si="12"/>
        <v>0.00495187192404023</v>
      </c>
      <c r="AM25">
        <f ca="1" t="shared" si="19"/>
        <v>12</v>
      </c>
      <c r="AN25" s="168">
        <f ca="1" t="shared" si="20"/>
        <v>0.00750104430192855</v>
      </c>
      <c r="AO25" s="168">
        <f ca="1" t="shared" si="13"/>
        <v>0.00447057613551372</v>
      </c>
      <c r="AP25" s="172">
        <f ca="1" t="shared" si="14"/>
        <v>0</v>
      </c>
      <c r="AQ25" s="168">
        <f ca="1" t="shared" si="15"/>
        <v>0.00401583628616287</v>
      </c>
      <c r="AR25">
        <f t="shared" si="21"/>
        <v>1</v>
      </c>
      <c r="AX25" s="167" t="s">
        <v>2792</v>
      </c>
      <c r="AY25" s="167" t="s">
        <v>2792</v>
      </c>
      <c r="AZ25" s="164">
        <f ca="1" t="shared" si="16"/>
        <v>0.0102355772760175</v>
      </c>
      <c r="BA25">
        <f ca="1" t="shared" si="17"/>
        <v>85.6875</v>
      </c>
      <c r="BB25" s="167" t="s">
        <v>2815</v>
      </c>
      <c r="BC25" s="164">
        <f ca="1" t="shared" si="40"/>
        <v>0.00834524626674622</v>
      </c>
      <c r="BD25">
        <f ca="1" t="shared" si="41"/>
        <v>12</v>
      </c>
      <c r="BE25">
        <f ca="1" t="shared" si="24"/>
        <v>19.7781222910296</v>
      </c>
      <c r="BF25">
        <f ca="1">技能数计算!AJ73</f>
        <v>19.7781222910296</v>
      </c>
      <c r="BH25">
        <v>16</v>
      </c>
      <c r="BI25" t="str">
        <f ca="1" t="shared" si="37"/>
        <v>神兵·云飞玉皇</v>
      </c>
      <c r="BJ25" t="str">
        <f ca="1" t="shared" si="38"/>
        <v>0.2%</v>
      </c>
      <c r="BK25" t="str">
        <f ca="1" t="shared" si="39"/>
        <v>23.1</v>
      </c>
    </row>
    <row r="26" spans="4:63">
      <c r="D26" t="s">
        <v>1825</v>
      </c>
      <c r="E26" t="s">
        <v>2768</v>
      </c>
      <c r="G26" t="s">
        <v>2948</v>
      </c>
      <c r="H26">
        <f ca="1">INDEX(技能数据库!$B$2:$I$100,MATCH(伤害与收益计算!$E26,技能数据库!$B$2:$B$100,0),MATCH(H$9,技能数据库!$B$2:$I$2,0))</f>
        <v>210</v>
      </c>
      <c r="I26">
        <f ca="1">INDEX(技能数据库!$B$2:$I$100,MATCH(伤害与收益计算!$E26,技能数据库!$B$2:$B$100,0),MATCH(I$9,技能数据库!$B$2:$I$2,0))</f>
        <v>5.7875</v>
      </c>
      <c r="J26">
        <f ca="1">INDEX(技能数据库!$B$2:$I$100,MATCH(伤害与收益计算!$E26,技能数据库!$B$2:$B$100,0),MATCH(J$9,技能数据库!$B$2:$I$2,0))</f>
        <v>2</v>
      </c>
      <c r="K26">
        <f ca="1">INDEX(技能数据库!$B$2:$I$100,MATCH(伤害与收益计算!$E26,技能数据库!$B$2:$B$100,0),MATCH(K$9,技能数据库!$B$2:$I$2,0))</f>
        <v>0</v>
      </c>
      <c r="L26">
        <f ca="1" t="shared" si="0"/>
        <v>91975</v>
      </c>
      <c r="M26">
        <f ca="1" t="shared" si="28"/>
        <v>19530.5</v>
      </c>
      <c r="N26">
        <f ca="1" t="shared" si="29"/>
        <v>92028</v>
      </c>
      <c r="O26">
        <f ca="1" t="shared" si="1"/>
        <v>571576.3125</v>
      </c>
      <c r="P26">
        <f ca="1">IF(G26="恒定伤害",0,(IF(D26="轻剑",$AZ$2,$AZ$3)+IFERROR(INDEX(技能数据库!$T$2:$W$27,MATCH(E26,技能数据库!$T$2:$T$27,0),4),0)+COUNTIF(G26,"*造化2*")*154+COUNTIF(G26,"*造化1*")*102+COUNTIF(G26,"*碧归*")*307)/1024)</f>
        <v>0.296985334429785</v>
      </c>
      <c r="Q26">
        <f ca="1" t="shared" si="2"/>
        <v>0.448284482196154</v>
      </c>
      <c r="R26">
        <f ca="1" t="shared" si="3"/>
        <v>0.32958230397716</v>
      </c>
      <c r="S26">
        <f ca="1" t="shared" si="30"/>
        <v>719794.6829669</v>
      </c>
      <c r="T26">
        <f t="shared" si="31"/>
        <v>0.8</v>
      </c>
      <c r="U26">
        <f ca="1" t="shared" si="4"/>
        <v>2.68954760480339</v>
      </c>
      <c r="V26">
        <f ca="1" t="shared" si="32"/>
        <v>2124573.39879259</v>
      </c>
      <c r="W26">
        <f ca="1">IF(G26="恒定伤害",0,MIN(1,IF(COUNTIF(F26,"*内会*")&gt;0,内会,IF(D26="轻剑",$Y$2,$Y$3)+COUNTIF(G26,"*莺鸣*")*0.2+COUNTIF(G26,"*叠1*")*0.1+COUNTIF(G26,"*叠2*")*0.2+COUNTIF(G26,"*叠3*")*0.3)+IFERROR(INDEX(技能数据库!$T$2:$W$27,MATCH(E26,技能数据库!$T$2:$T$27,0),2),0)+IF((IF(D26="轻剑",$AO$2,$AO$3)+INT(COUNTIF(G26,"*大莺鸣*")*IF(D26="轻剑",$AM$2,$AM$3)*听晓无双率)/无双系数)&gt;0.9,特效裤子会心/会心系数,0)))</f>
        <v>0.9343</v>
      </c>
      <c r="X26">
        <f ca="1">IF(G26="恒定伤害",0,IF(COUNTIF(F26,"*内会*")&gt;0,内会效,IF(D26="轻剑",$AB$2,$AB$3))+IFERROR(INDEX(技能数据库!$T$2:$W$27,MATCH(E26,技能数据库!$T$2:$T$27,0),3)/1024,0))+COUNTIF(G26,"*叠1*")*0.25+COUNTIF(G26,"*叠2*")*0.5+COUNTIF(G26,"*叠3*")*0.75</f>
        <v>2.3156473116</v>
      </c>
      <c r="Y26">
        <f ca="1" t="shared" si="33"/>
        <v>2.22920928322788</v>
      </c>
      <c r="Z26">
        <f t="shared" si="5"/>
        <v>0.150390625</v>
      </c>
      <c r="AA26">
        <f ca="1" t="shared" si="34"/>
        <v>0.0205078125</v>
      </c>
      <c r="AB26">
        <f ca="1" t="shared" si="35"/>
        <v>5560121.09224366</v>
      </c>
      <c r="AC26">
        <f ca="1">技能数计算!AJ18</f>
        <v>0</v>
      </c>
      <c r="AD26" s="164">
        <f ca="1" t="shared" si="36"/>
        <v>0</v>
      </c>
      <c r="AE26" s="168">
        <f ca="1" t="shared" si="6"/>
        <v>0.00421221094602306</v>
      </c>
      <c r="AF26" s="168">
        <f ca="1" t="shared" si="7"/>
        <v>0.00208633558445444</v>
      </c>
      <c r="AG26">
        <f ca="1" t="shared" si="8"/>
        <v>0.0035876637093506</v>
      </c>
      <c r="AH26">
        <f ca="1" t="shared" si="9"/>
        <v>1.00342609980051</v>
      </c>
      <c r="AI26">
        <f ca="1" t="shared" si="10"/>
        <v>1.00016101226475</v>
      </c>
      <c r="AJ26">
        <f ca="1" t="shared" si="11"/>
        <v>0</v>
      </c>
      <c r="AK26">
        <f ca="1" t="shared" si="18"/>
        <v>0</v>
      </c>
      <c r="AL26">
        <f ca="1" t="shared" si="12"/>
        <v>0</v>
      </c>
      <c r="AM26">
        <f ca="1" t="shared" si="19"/>
        <v>0</v>
      </c>
      <c r="AN26" s="168">
        <f ca="1" t="shared" si="20"/>
        <v>0.00841753350912167</v>
      </c>
      <c r="AO26" s="168">
        <f ca="1" t="shared" si="13"/>
        <v>0.00447057613551372</v>
      </c>
      <c r="AP26" s="172">
        <f ca="1" t="shared" si="14"/>
        <v>0</v>
      </c>
      <c r="AQ26" s="168">
        <f ca="1" t="shared" si="15"/>
        <v>0.00393951131463699</v>
      </c>
      <c r="AR26">
        <f t="shared" si="21"/>
        <v>1</v>
      </c>
      <c r="AX26" s="167" t="s">
        <v>2808</v>
      </c>
      <c r="AY26" s="167" t="s">
        <v>2776</v>
      </c>
      <c r="AZ26" s="164">
        <f ca="1" t="shared" si="16"/>
        <v>0.0244195314539338</v>
      </c>
      <c r="BA26">
        <f ca="1" t="shared" si="17"/>
        <v>8</v>
      </c>
      <c r="BB26" s="167" t="s">
        <v>2832</v>
      </c>
      <c r="BC26" s="164">
        <f ca="1" t="shared" si="40"/>
        <v>0.00589352323767681</v>
      </c>
      <c r="BD26">
        <f ca="1" t="shared" si="41"/>
        <v>13</v>
      </c>
      <c r="BE26">
        <f ca="1" t="shared" si="24"/>
        <v>48</v>
      </c>
      <c r="BF26">
        <f>技能数计算!AJ74</f>
        <v>48</v>
      </c>
      <c r="BH26">
        <v>17</v>
      </c>
      <c r="BI26" t="str">
        <f ca="1" t="shared" si="37"/>
        <v>三柴剑法</v>
      </c>
      <c r="BJ26" t="str">
        <f ca="1" t="shared" si="38"/>
        <v>0.1%</v>
      </c>
      <c r="BK26" t="str">
        <f ca="1" t="shared" si="39"/>
        <v>8</v>
      </c>
    </row>
    <row r="27" spans="4:63">
      <c r="D27" t="s">
        <v>1825</v>
      </c>
      <c r="E27" t="s">
        <v>2768</v>
      </c>
      <c r="G27" t="s">
        <v>3044</v>
      </c>
      <c r="H27">
        <f ca="1">INDEX(技能数据库!$B$2:$I$100,MATCH(伤害与收益计算!$E27,技能数据库!$B$2:$B$100,0),MATCH(H$9,技能数据库!$B$2:$I$2,0))</f>
        <v>210</v>
      </c>
      <c r="I27">
        <f ca="1">INDEX(技能数据库!$B$2:$I$100,MATCH(伤害与收益计算!$E27,技能数据库!$B$2:$B$100,0),MATCH(I$9,技能数据库!$B$2:$I$2,0))</f>
        <v>5.7875</v>
      </c>
      <c r="J27">
        <f ca="1">INDEX(技能数据库!$B$2:$I$100,MATCH(伤害与收益计算!$E27,技能数据库!$B$2:$B$100,0),MATCH(J$9,技能数据库!$B$2:$I$2,0))</f>
        <v>2</v>
      </c>
      <c r="K27">
        <f ca="1">INDEX(技能数据库!$B$2:$I$100,MATCH(伤害与收益计算!$E27,技能数据库!$B$2:$B$100,0),MATCH(K$9,技能数据库!$B$2:$I$2,0))</f>
        <v>0</v>
      </c>
      <c r="L27">
        <f ca="1" t="shared" si="0"/>
        <v>105847</v>
      </c>
      <c r="M27">
        <f ca="1" t="shared" si="28"/>
        <v>19530.5</v>
      </c>
      <c r="N27">
        <f ca="1" t="shared" si="29"/>
        <v>92028</v>
      </c>
      <c r="O27">
        <f ca="1" t="shared" si="1"/>
        <v>651860.5125</v>
      </c>
      <c r="P27">
        <f ca="1">IF(G27="恒定伤害",0,(IF(D27="轻剑",$AZ$2,$AZ$3)+IFERROR(INDEX(技能数据库!$T$2:$W$27,MATCH(E27,技能数据库!$T$2:$T$27,0),4),0)+COUNTIF(G27,"*造化2*")*154+COUNTIF(G27,"*造化1*")*102+COUNTIF(G27,"*碧归*")*307)/1024)</f>
        <v>0.296985334429785</v>
      </c>
      <c r="Q27">
        <f ca="1" t="shared" si="2"/>
        <v>0.448284482196154</v>
      </c>
      <c r="R27">
        <f ca="1" t="shared" si="3"/>
        <v>0.21277697966198</v>
      </c>
      <c r="S27">
        <f ca="1" t="shared" si="30"/>
        <v>963920.911314148</v>
      </c>
      <c r="T27">
        <f t="shared" si="31"/>
        <v>0.8</v>
      </c>
      <c r="U27">
        <f ca="1" t="shared" si="4"/>
        <v>2.68954760480339</v>
      </c>
      <c r="V27">
        <f ca="1" t="shared" si="32"/>
        <v>2845145.67164721</v>
      </c>
      <c r="W27">
        <f ca="1">IF(G27="恒定伤害",0,MIN(1,IF(COUNTIF(F27,"*内会*")&gt;0,内会,IF(D27="轻剑",$Y$2,$Y$3)+COUNTIF(G27,"*莺鸣*")*0.2+COUNTIF(G27,"*叠1*")*0.1+COUNTIF(G27,"*叠2*")*0.2+COUNTIF(G27,"*叠3*")*0.3)+IFERROR(INDEX(技能数据库!$T$2:$W$27,MATCH(E27,技能数据库!$T$2:$T$27,0),2),0)+IF((IF(D27="轻剑",$AO$2,$AO$3)+INT(COUNTIF(G27,"*大莺鸣*")*IF(D27="轻剑",$AM$2,$AM$3)*听晓无双率)/无双系数)&gt;0.9,特效裤子会心/会心系数,0)))</f>
        <v>0.9343</v>
      </c>
      <c r="X27">
        <f ca="1">IF(G27="恒定伤害",0,IF(COUNTIF(F27,"*内会*")&gt;0,内会效,IF(D27="轻剑",$AB$2,$AB$3))+IFERROR(INDEX(技能数据库!$T$2:$W$27,MATCH(E27,技能数据库!$T$2:$T$27,0),3)/1024,0))+COUNTIF(G27,"*叠1*")*0.25+COUNTIF(G27,"*叠2*")*0.5+COUNTIF(G27,"*叠3*")*0.75</f>
        <v>2.3156473116</v>
      </c>
      <c r="Y27">
        <f ca="1" t="shared" si="33"/>
        <v>2.22920928322788</v>
      </c>
      <c r="Z27">
        <f t="shared" si="5"/>
        <v>0.150390625</v>
      </c>
      <c r="AA27">
        <f ca="1" t="shared" si="34"/>
        <v>0.0205078125</v>
      </c>
      <c r="AB27">
        <f ca="1" t="shared" si="35"/>
        <v>7445896.88848672</v>
      </c>
      <c r="AC27">
        <f ca="1">技能数计算!AJ19</f>
        <v>0</v>
      </c>
      <c r="AD27" s="164">
        <f ca="1" t="shared" si="36"/>
        <v>0</v>
      </c>
      <c r="AE27" s="168">
        <f ca="1" t="shared" si="6"/>
        <v>0.00440370285506441</v>
      </c>
      <c r="AF27" s="168">
        <f ca="1" t="shared" si="7"/>
        <v>0.00182937910355477</v>
      </c>
      <c r="AG27">
        <f ca="1" t="shared" si="8"/>
        <v>0.00316563174908713</v>
      </c>
      <c r="AH27">
        <f ca="1" t="shared" si="9"/>
        <v>1.00300413578163</v>
      </c>
      <c r="AI27">
        <f ca="1" t="shared" si="10"/>
        <v>1.00016101226475</v>
      </c>
      <c r="AJ27">
        <f ca="1" t="shared" si="11"/>
        <v>0</v>
      </c>
      <c r="AK27">
        <f ca="1" t="shared" si="18"/>
        <v>0</v>
      </c>
      <c r="AL27">
        <f ca="1" t="shared" si="12"/>
        <v>0</v>
      </c>
      <c r="AM27">
        <f ca="1" t="shared" si="19"/>
        <v>0</v>
      </c>
      <c r="AN27" s="168">
        <f ca="1" t="shared" si="20"/>
        <v>0.00841753350912167</v>
      </c>
      <c r="AO27" s="168">
        <f ca="1" t="shared" si="13"/>
        <v>0.00447057613551372</v>
      </c>
      <c r="AP27" s="172">
        <f ca="1" t="shared" si="14"/>
        <v>0</v>
      </c>
      <c r="AQ27" s="168">
        <f ca="1" t="shared" si="15"/>
        <v>0.00393951131463699</v>
      </c>
      <c r="AR27">
        <f t="shared" si="21"/>
        <v>1</v>
      </c>
      <c r="AX27" s="167" t="s">
        <v>2810</v>
      </c>
      <c r="AY27" s="167" t="s">
        <v>2810</v>
      </c>
      <c r="AZ27" s="164">
        <f ca="1" t="shared" si="16"/>
        <v>0.00836093373904312</v>
      </c>
      <c r="BA27">
        <f ca="1" t="shared" si="17"/>
        <v>13.210200927357</v>
      </c>
      <c r="BB27" s="167" t="s">
        <v>2902</v>
      </c>
      <c r="BC27" s="164">
        <f ca="1" t="shared" si="40"/>
        <v>0.0206023330468314</v>
      </c>
      <c r="BD27">
        <f ca="1" t="shared" si="41"/>
        <v>7</v>
      </c>
      <c r="BE27">
        <f ca="1" t="shared" si="24"/>
        <v>23</v>
      </c>
      <c r="BF27">
        <f ca="1">COUNTIF(技能数计算!B:B,"*玉山揽云*")</f>
        <v>23</v>
      </c>
      <c r="BH27">
        <v>18</v>
      </c>
      <c r="BI27" t="str">
        <f ca="1" t="shared" si="37"/>
        <v>神兵·听雷</v>
      </c>
      <c r="BJ27" t="str">
        <f ca="1" t="shared" si="38"/>
        <v>0.0%</v>
      </c>
      <c r="BK27" t="str">
        <f ca="1" t="shared" si="39"/>
        <v>0.8</v>
      </c>
    </row>
    <row r="28" spans="4:63">
      <c r="D28" t="s">
        <v>1825</v>
      </c>
      <c r="E28" t="s">
        <v>2768</v>
      </c>
      <c r="G28" t="s">
        <v>3046</v>
      </c>
      <c r="H28">
        <f ca="1">INDEX(技能数据库!$B$2:$I$100,MATCH(伤害与收益计算!$E28,技能数据库!$B$2:$B$100,0),MATCH(H$9,技能数据库!$B$2:$I$2,0))</f>
        <v>210</v>
      </c>
      <c r="I28">
        <f ca="1">INDEX(技能数据库!$B$2:$I$100,MATCH(伤害与收益计算!$E28,技能数据库!$B$2:$B$100,0),MATCH(I$9,技能数据库!$B$2:$I$2,0))</f>
        <v>5.7875</v>
      </c>
      <c r="J28">
        <f ca="1">INDEX(技能数据库!$B$2:$I$100,MATCH(伤害与收益计算!$E28,技能数据库!$B$2:$B$100,0),MATCH(J$9,技能数据库!$B$2:$I$2,0))</f>
        <v>2</v>
      </c>
      <c r="K28">
        <f ca="1">INDEX(技能数据库!$B$2:$I$100,MATCH(伤害与收益计算!$E28,技能数据库!$B$2:$B$100,0),MATCH(K$9,技能数据库!$B$2:$I$2,0))</f>
        <v>0</v>
      </c>
      <c r="L28">
        <f ca="1" t="shared" si="0"/>
        <v>91975</v>
      </c>
      <c r="M28">
        <f ca="1" t="shared" si="28"/>
        <v>19530.5</v>
      </c>
      <c r="N28">
        <f ca="1" t="shared" si="29"/>
        <v>92028</v>
      </c>
      <c r="O28">
        <f ca="1" t="shared" si="1"/>
        <v>571576.3125</v>
      </c>
      <c r="P28">
        <f ca="1">IF(G28="恒定伤害",0,(IF(D28="轻剑",$AZ$2,$AZ$3)+IFERROR(INDEX(技能数据库!$T$2:$W$27,MATCH(E28,技能数据库!$T$2:$T$27,0),4),0)+COUNTIF(G28,"*造化2*")*154+COUNTIF(G28,"*造化1*")*102+COUNTIF(G28,"*碧归*")*307)/1024)</f>
        <v>0.447375959429785</v>
      </c>
      <c r="Q28">
        <f ca="1" t="shared" si="2"/>
        <v>0.448284482196154</v>
      </c>
      <c r="R28">
        <f ca="1" t="shared" si="3"/>
        <v>0.32958230397716</v>
      </c>
      <c r="S28">
        <f ca="1" t="shared" si="30"/>
        <v>803257.748715952</v>
      </c>
      <c r="T28">
        <f t="shared" si="31"/>
        <v>0.8</v>
      </c>
      <c r="U28">
        <f ca="1" t="shared" si="4"/>
        <v>1.7995442148</v>
      </c>
      <c r="V28">
        <f ca="1" t="shared" si="32"/>
        <v>1799004.46672881</v>
      </c>
      <c r="W28">
        <f ca="1">IF(G28="恒定伤害",0,MIN(1,IF(COUNTIF(F28,"*内会*")&gt;0,内会,IF(D28="轻剑",$Y$2,$Y$3)+COUNTIF(G28,"*莺鸣*")*0.2+COUNTIF(G28,"*叠1*")*0.1+COUNTIF(G28,"*叠2*")*0.2+COUNTIF(G28,"*叠3*")*0.3)+IFERROR(INDEX(技能数据库!$T$2:$W$27,MATCH(E28,技能数据库!$T$2:$T$27,0),2),0)+IF((IF(D28="轻剑",$AO$2,$AO$3)+INT(COUNTIF(G28,"*大莺鸣*")*IF(D28="轻剑",$AM$2,$AM$3)*听晓无双率)/无双系数)&gt;0.9,特效裤子会心/会心系数,0)))</f>
        <v>0.7343</v>
      </c>
      <c r="X28">
        <f ca="1">IF(G28="恒定伤害",0,IF(COUNTIF(F28,"*内会*")&gt;0,内会效,IF(D28="轻剑",$AB$2,$AB$3))+IFERROR(INDEX(技能数据库!$T$2:$W$27,MATCH(E28,技能数据库!$T$2:$T$27,0),3)/1024,0))+COUNTIF(G28,"*叠1*")*0.25+COUNTIF(G28,"*叠2*")*0.5+COUNTIF(G28,"*叠3*")*0.75</f>
        <v>2.3156473116</v>
      </c>
      <c r="Y28">
        <f ca="1" t="shared" si="33"/>
        <v>1.96607982090788</v>
      </c>
      <c r="Z28">
        <f t="shared" si="5"/>
        <v>0.150390625</v>
      </c>
      <c r="AA28">
        <f ca="1" t="shared" si="34"/>
        <v>0.0205078125</v>
      </c>
      <c r="AB28">
        <f ca="1" t="shared" si="35"/>
        <v>4152360.53785964</v>
      </c>
      <c r="AC28">
        <f ca="1">技能数计算!AJ20</f>
        <v>0</v>
      </c>
      <c r="AD28" s="164">
        <f ca="1" t="shared" si="36"/>
        <v>0</v>
      </c>
      <c r="AE28" s="168">
        <f ca="1" t="shared" si="6"/>
        <v>0.00421221094602306</v>
      </c>
      <c r="AF28" s="168">
        <f ca="1" t="shared" si="7"/>
        <v>0.00208633558445444</v>
      </c>
      <c r="AG28">
        <f ca="1" t="shared" si="8"/>
        <v>0.0035876637093506</v>
      </c>
      <c r="AH28">
        <f ca="1" t="shared" si="9"/>
        <v>1.00342609980051</v>
      </c>
      <c r="AI28">
        <f ca="1" t="shared" si="10"/>
        <v>1.00016101226475</v>
      </c>
      <c r="AJ28">
        <f ca="1" t="shared" si="11"/>
        <v>0</v>
      </c>
      <c r="AK28">
        <f ca="1" t="shared" si="18"/>
        <v>0</v>
      </c>
      <c r="AL28">
        <f ca="1" t="shared" si="12"/>
        <v>0</v>
      </c>
      <c r="AM28">
        <f ca="1" t="shared" si="19"/>
        <v>0</v>
      </c>
      <c r="AN28" s="168">
        <f ca="1" t="shared" si="20"/>
        <v>0.00750104430192855</v>
      </c>
      <c r="AO28" s="168">
        <f ca="1" t="shared" si="13"/>
        <v>0.00447057613551372</v>
      </c>
      <c r="AP28" s="172">
        <f ca="1" t="shared" si="14"/>
        <v>0</v>
      </c>
      <c r="AQ28" s="168">
        <f ca="1" t="shared" si="15"/>
        <v>0.00401583628616287</v>
      </c>
      <c r="AR28">
        <f t="shared" si="21"/>
        <v>1</v>
      </c>
      <c r="AX28" s="167" t="s">
        <v>2815</v>
      </c>
      <c r="AY28" s="167" t="s">
        <v>2815</v>
      </c>
      <c r="AZ28" s="164">
        <f ca="1" t="shared" si="16"/>
        <v>0.00834524626674622</v>
      </c>
      <c r="BA28">
        <f ca="1" t="shared" si="17"/>
        <v>19.7781222910296</v>
      </c>
      <c r="BB28" s="167" t="s">
        <v>2906</v>
      </c>
      <c r="BC28" s="164">
        <f ca="1" t="shared" si="40"/>
        <v>0</v>
      </c>
      <c r="BD28">
        <f ca="1" t="shared" si="41"/>
        <v>19</v>
      </c>
      <c r="BE28">
        <f ca="1" t="shared" si="24"/>
        <v>0</v>
      </c>
      <c r="BF28">
        <f ca="1">技能数计算!AJ77+技能数计算!AJ78</f>
        <v>0</v>
      </c>
      <c r="BH28">
        <v>19</v>
      </c>
      <c r="BI28" t="str">
        <f ca="1" t="shared" si="37"/>
        <v>黄龙吐翠</v>
      </c>
      <c r="BJ28" t="str">
        <f ca="1" t="shared" si="38"/>
        <v>0.0%</v>
      </c>
      <c r="BK28" t="str">
        <f ca="1" t="shared" si="39"/>
        <v>0</v>
      </c>
    </row>
    <row r="29" spans="4:63">
      <c r="D29" t="s">
        <v>1825</v>
      </c>
      <c r="E29" t="s">
        <v>2768</v>
      </c>
      <c r="G29" t="s">
        <v>3048</v>
      </c>
      <c r="H29">
        <f ca="1">INDEX(技能数据库!$B$2:$I$100,MATCH(伤害与收益计算!$E29,技能数据库!$B$2:$B$100,0),MATCH(H$9,技能数据库!$B$2:$I$2,0))</f>
        <v>210</v>
      </c>
      <c r="I29">
        <f ca="1">INDEX(技能数据库!$B$2:$I$100,MATCH(伤害与收益计算!$E29,技能数据库!$B$2:$B$100,0),MATCH(I$9,技能数据库!$B$2:$I$2,0))</f>
        <v>5.7875</v>
      </c>
      <c r="J29">
        <f ca="1">INDEX(技能数据库!$B$2:$I$100,MATCH(伤害与收益计算!$E29,技能数据库!$B$2:$B$100,0),MATCH(J$9,技能数据库!$B$2:$I$2,0))</f>
        <v>2</v>
      </c>
      <c r="K29">
        <f ca="1">INDEX(技能数据库!$B$2:$I$100,MATCH(伤害与收益计算!$E29,技能数据库!$B$2:$B$100,0),MATCH(K$9,技能数据库!$B$2:$I$2,0))</f>
        <v>0</v>
      </c>
      <c r="L29">
        <f ca="1" t="shared" si="0"/>
        <v>105847</v>
      </c>
      <c r="M29">
        <f ca="1" t="shared" si="28"/>
        <v>19530.5</v>
      </c>
      <c r="N29">
        <f ca="1" t="shared" si="29"/>
        <v>92028</v>
      </c>
      <c r="O29">
        <f ca="1" t="shared" si="1"/>
        <v>651860.5125</v>
      </c>
      <c r="P29">
        <f ca="1">IF(G29="恒定伤害",0,(IF(D29="轻剑",$AZ$2,$AZ$3)+IFERROR(INDEX(技能数据库!$T$2:$W$27,MATCH(E29,技能数据库!$T$2:$T$27,0),4),0)+COUNTIF(G29,"*造化2*")*154+COUNTIF(G29,"*造化1*")*102+COUNTIF(G29,"*碧归*")*307)/1024)</f>
        <v>0.447375959429785</v>
      </c>
      <c r="Q29">
        <f ca="1" t="shared" si="2"/>
        <v>0.448284482196154</v>
      </c>
      <c r="R29">
        <f ca="1" t="shared" si="3"/>
        <v>0.21277697966198</v>
      </c>
      <c r="S29">
        <f ca="1" t="shared" si="30"/>
        <v>1075691.38739809</v>
      </c>
      <c r="T29">
        <f t="shared" si="31"/>
        <v>0.8</v>
      </c>
      <c r="U29">
        <f ca="1" t="shared" si="4"/>
        <v>1.7995442148</v>
      </c>
      <c r="V29">
        <f ca="1" t="shared" si="32"/>
        <v>2409156.4804004</v>
      </c>
      <c r="W29">
        <f ca="1">IF(G29="恒定伤害",0,MIN(1,IF(COUNTIF(F29,"*内会*")&gt;0,内会,IF(D29="轻剑",$Y$2,$Y$3)+COUNTIF(G29,"*莺鸣*")*0.2+COUNTIF(G29,"*叠1*")*0.1+COUNTIF(G29,"*叠2*")*0.2+COUNTIF(G29,"*叠3*")*0.3)+IFERROR(INDEX(技能数据库!$T$2:$W$27,MATCH(E29,技能数据库!$T$2:$T$27,0),2),0)+IF((IF(D29="轻剑",$AO$2,$AO$3)+INT(COUNTIF(G29,"*大莺鸣*")*IF(D29="轻剑",$AM$2,$AM$3)*听晓无双率)/无双系数)&gt;0.9,特效裤子会心/会心系数,0)))</f>
        <v>0.7343</v>
      </c>
      <c r="X29">
        <f ca="1">IF(G29="恒定伤害",0,IF(COUNTIF(F29,"*内会*")&gt;0,内会效,IF(D29="轻剑",$AB$2,$AB$3))+IFERROR(INDEX(技能数据库!$T$2:$W$27,MATCH(E29,技能数据库!$T$2:$T$27,0),3)/1024,0))+COUNTIF(G29,"*叠1*")*0.25+COUNTIF(G29,"*叠2*")*0.5+COUNTIF(G29,"*叠3*")*0.75</f>
        <v>2.3156473116</v>
      </c>
      <c r="Y29">
        <f ca="1" t="shared" si="33"/>
        <v>1.96607982090788</v>
      </c>
      <c r="Z29">
        <f t="shared" si="5"/>
        <v>0.150390625</v>
      </c>
      <c r="AA29">
        <f ca="1" t="shared" si="34"/>
        <v>0.0205078125</v>
      </c>
      <c r="AB29">
        <f ca="1" t="shared" si="35"/>
        <v>5560678.96648053</v>
      </c>
      <c r="AC29">
        <f ca="1">技能数计算!AJ21</f>
        <v>24</v>
      </c>
      <c r="AD29" s="164">
        <f ca="1" t="shared" si="36"/>
        <v>0.0428411348777587</v>
      </c>
      <c r="AE29" s="168">
        <f ca="1" t="shared" si="6"/>
        <v>0.00440370285506441</v>
      </c>
      <c r="AF29" s="168">
        <f ca="1" t="shared" si="7"/>
        <v>0.00182937910355477</v>
      </c>
      <c r="AG29">
        <f ca="1" t="shared" si="8"/>
        <v>0.00374014239530163</v>
      </c>
      <c r="AH29">
        <f ca="1" t="shared" si="9"/>
        <v>1.00300413578163</v>
      </c>
      <c r="AI29">
        <f ca="1" t="shared" si="10"/>
        <v>1.00016101226475</v>
      </c>
      <c r="AJ29">
        <f ca="1" t="shared" si="11"/>
        <v>1.0005726976962</v>
      </c>
      <c r="AK29">
        <f ca="1" t="shared" si="18"/>
        <v>24</v>
      </c>
      <c r="AL29">
        <f ca="1" t="shared" si="12"/>
        <v>0.00495187192404023</v>
      </c>
      <c r="AM29">
        <f ca="1" t="shared" si="19"/>
        <v>24</v>
      </c>
      <c r="AN29" s="168">
        <f ca="1" t="shared" si="20"/>
        <v>0.00750104430192855</v>
      </c>
      <c r="AO29" s="168">
        <f ca="1" t="shared" si="13"/>
        <v>0.00447057613551372</v>
      </c>
      <c r="AP29" s="172">
        <f ca="1" t="shared" si="14"/>
        <v>0</v>
      </c>
      <c r="AQ29" s="168">
        <f ca="1" t="shared" si="15"/>
        <v>0.00401583628616287</v>
      </c>
      <c r="AR29">
        <f t="shared" si="21"/>
        <v>1</v>
      </c>
      <c r="AX29" s="167" t="s">
        <v>2832</v>
      </c>
      <c r="AY29" s="167" t="s">
        <v>2832</v>
      </c>
      <c r="AZ29" s="164">
        <f ca="1" t="shared" si="16"/>
        <v>0.00589352323767681</v>
      </c>
      <c r="BA29">
        <f ca="1" t="shared" si="17"/>
        <v>48</v>
      </c>
      <c r="BB29" s="167" t="s">
        <v>2827</v>
      </c>
      <c r="BC29" s="164">
        <f ca="1" t="shared" si="40"/>
        <v>0.0020402877005152</v>
      </c>
      <c r="BD29">
        <f ca="1" t="shared" si="41"/>
        <v>16</v>
      </c>
      <c r="BE29">
        <f ca="1" t="shared" si="24"/>
        <v>23.0849609375</v>
      </c>
      <c r="BF29">
        <f ca="1">技能数计算!AN45+技能数计算!AN46</f>
        <v>23.0849609375</v>
      </c>
      <c r="BH29">
        <v>20</v>
      </c>
      <c r="BI29" t="e">
        <f ca="1" t="shared" si="37"/>
        <v>#N/A</v>
      </c>
      <c r="BJ29" t="e">
        <f ca="1" t="shared" si="38"/>
        <v>#N/A</v>
      </c>
      <c r="BK29" t="e">
        <f ca="1" t="shared" si="39"/>
        <v>#N/A</v>
      </c>
    </row>
    <row r="30" spans="4:63">
      <c r="D30" t="s">
        <v>1825</v>
      </c>
      <c r="E30" t="s">
        <v>2768</v>
      </c>
      <c r="G30" t="s">
        <v>3050</v>
      </c>
      <c r="H30">
        <f ca="1">INDEX(技能数据库!$B$2:$I$100,MATCH(伤害与收益计算!$E30,技能数据库!$B$2:$B$100,0),MATCH(H$9,技能数据库!$B$2:$I$2,0))</f>
        <v>210</v>
      </c>
      <c r="I30">
        <f ca="1">INDEX(技能数据库!$B$2:$I$100,MATCH(伤害与收益计算!$E30,技能数据库!$B$2:$B$100,0),MATCH(I$9,技能数据库!$B$2:$I$2,0))</f>
        <v>5.7875</v>
      </c>
      <c r="J30">
        <f ca="1">INDEX(技能数据库!$B$2:$I$100,MATCH(伤害与收益计算!$E30,技能数据库!$B$2:$B$100,0),MATCH(J$9,技能数据库!$B$2:$I$2,0))</f>
        <v>2</v>
      </c>
      <c r="K30">
        <f ca="1">INDEX(技能数据库!$B$2:$I$100,MATCH(伤害与收益计算!$E30,技能数据库!$B$2:$B$100,0),MATCH(K$9,技能数据库!$B$2:$I$2,0))</f>
        <v>0</v>
      </c>
      <c r="L30">
        <f ca="1" t="shared" si="0"/>
        <v>91975</v>
      </c>
      <c r="M30">
        <f ca="1" t="shared" si="28"/>
        <v>19530.5</v>
      </c>
      <c r="N30">
        <f ca="1" t="shared" si="29"/>
        <v>92028</v>
      </c>
      <c r="O30">
        <f ca="1" t="shared" si="1"/>
        <v>571576.3125</v>
      </c>
      <c r="P30">
        <f ca="1">IF(G30="恒定伤害",0,(IF(D30="轻剑",$AZ$2,$AZ$3)+IFERROR(INDEX(技能数据库!$T$2:$W$27,MATCH(E30,技能数据库!$T$2:$T$27,0),4),0)+COUNTIF(G30,"*造化2*")*154+COUNTIF(G30,"*造化1*")*102+COUNTIF(G30,"*碧归*")*307)/1024)</f>
        <v>0.447375959429785</v>
      </c>
      <c r="Q30">
        <f ca="1" t="shared" si="2"/>
        <v>0.448284482196154</v>
      </c>
      <c r="R30">
        <f ca="1" t="shared" si="3"/>
        <v>0.32958230397716</v>
      </c>
      <c r="S30">
        <f ca="1" t="shared" si="30"/>
        <v>803257.748715952</v>
      </c>
      <c r="T30">
        <f t="shared" si="31"/>
        <v>0.8</v>
      </c>
      <c r="U30">
        <f ca="1" t="shared" si="4"/>
        <v>2.68954760480339</v>
      </c>
      <c r="V30">
        <f ca="1" t="shared" si="32"/>
        <v>2370926.16225176</v>
      </c>
      <c r="W30">
        <f ca="1">IF(G30="恒定伤害",0,MIN(1,IF(COUNTIF(F30,"*内会*")&gt;0,内会,IF(D30="轻剑",$Y$2,$Y$3)+COUNTIF(G30,"*莺鸣*")*0.2+COUNTIF(G30,"*叠1*")*0.1+COUNTIF(G30,"*叠2*")*0.2+COUNTIF(G30,"*叠3*")*0.3)+IFERROR(INDEX(技能数据库!$T$2:$W$27,MATCH(E30,技能数据库!$T$2:$T$27,0),2),0)+IF((IF(D30="轻剑",$AO$2,$AO$3)+INT(COUNTIF(G30,"*大莺鸣*")*IF(D30="轻剑",$AM$2,$AM$3)*听晓无双率)/无双系数)&gt;0.9,特效裤子会心/会心系数,0)))</f>
        <v>0.9343</v>
      </c>
      <c r="X30">
        <f ca="1">IF(G30="恒定伤害",0,IF(COUNTIF(F30,"*内会*")&gt;0,内会效,IF(D30="轻剑",$AB$2,$AB$3))+IFERROR(INDEX(技能数据库!$T$2:$W$27,MATCH(E30,技能数据库!$T$2:$T$27,0),3)/1024,0))+COUNTIF(G30,"*叠1*")*0.25+COUNTIF(G30,"*叠2*")*0.5+COUNTIF(G30,"*叠3*")*0.75</f>
        <v>2.3156473116</v>
      </c>
      <c r="Y30">
        <f ca="1" t="shared" si="33"/>
        <v>2.22920928322788</v>
      </c>
      <c r="Z30">
        <f t="shared" si="5"/>
        <v>0.150390625</v>
      </c>
      <c r="AA30">
        <f ca="1" t="shared" si="34"/>
        <v>0.0205078125</v>
      </c>
      <c r="AB30">
        <f ca="1" t="shared" si="35"/>
        <v>6204839.31992188</v>
      </c>
      <c r="AC30">
        <f ca="1">技能数计算!AJ22</f>
        <v>0</v>
      </c>
      <c r="AD30" s="164">
        <f ca="1" t="shared" si="36"/>
        <v>0</v>
      </c>
      <c r="AE30" s="168">
        <f ca="1" t="shared" si="6"/>
        <v>0.00421221094602306</v>
      </c>
      <c r="AF30" s="168">
        <f ca="1" t="shared" si="7"/>
        <v>0.00208633558445444</v>
      </c>
      <c r="AG30">
        <f ca="1" t="shared" si="8"/>
        <v>0.0035876637093506</v>
      </c>
      <c r="AH30">
        <f ca="1" t="shared" si="9"/>
        <v>1.00342609980051</v>
      </c>
      <c r="AI30">
        <f ca="1" t="shared" si="10"/>
        <v>1.00016101226475</v>
      </c>
      <c r="AJ30">
        <f ca="1" t="shared" si="11"/>
        <v>0</v>
      </c>
      <c r="AK30">
        <f ca="1" t="shared" si="18"/>
        <v>0</v>
      </c>
      <c r="AL30">
        <f ca="1" t="shared" si="12"/>
        <v>0</v>
      </c>
      <c r="AM30">
        <f ca="1" t="shared" si="19"/>
        <v>0</v>
      </c>
      <c r="AN30" s="168">
        <f ca="1" t="shared" si="20"/>
        <v>0.00841753350912167</v>
      </c>
      <c r="AO30" s="168">
        <f ca="1" t="shared" si="13"/>
        <v>0.00447057613551372</v>
      </c>
      <c r="AP30" s="172">
        <f ca="1" t="shared" si="14"/>
        <v>0</v>
      </c>
      <c r="AQ30" s="168">
        <f ca="1" t="shared" si="15"/>
        <v>0.00393951131463699</v>
      </c>
      <c r="AR30">
        <f t="shared" si="21"/>
        <v>1</v>
      </c>
      <c r="AX30" s="167" t="s">
        <v>2902</v>
      </c>
      <c r="AY30" s="167" t="s">
        <v>2902</v>
      </c>
      <c r="AZ30" s="164">
        <f ca="1" t="shared" si="16"/>
        <v>0.0206023330468314</v>
      </c>
      <c r="BA30">
        <f ca="1" t="shared" si="17"/>
        <v>23</v>
      </c>
      <c r="BB30" s="167" t="s">
        <v>2917</v>
      </c>
      <c r="BC30" s="164">
        <f ca="1" t="shared" si="40"/>
        <v>0.00466882212802517</v>
      </c>
      <c r="BD30">
        <f ca="1" t="shared" si="41"/>
        <v>15</v>
      </c>
      <c r="BE30">
        <f ca="1" t="shared" si="24"/>
        <v>19.830626450116</v>
      </c>
      <c r="BF30">
        <f>技能数计算!AJ82</f>
        <v>19.830626450116</v>
      </c>
      <c r="BH30">
        <v>21</v>
      </c>
      <c r="BI30" t="e">
        <f ca="1" t="shared" si="37"/>
        <v>#N/A</v>
      </c>
      <c r="BJ30" t="e">
        <f ca="1" t="shared" si="38"/>
        <v>#N/A</v>
      </c>
      <c r="BK30" t="e">
        <f ca="1" t="shared" si="39"/>
        <v>#N/A</v>
      </c>
    </row>
    <row r="31" spans="4:63">
      <c r="D31" t="s">
        <v>1825</v>
      </c>
      <c r="E31" t="s">
        <v>2768</v>
      </c>
      <c r="G31" t="s">
        <v>3052</v>
      </c>
      <c r="H31">
        <f ca="1">INDEX(技能数据库!$B$2:$I$100,MATCH(伤害与收益计算!$E31,技能数据库!$B$2:$B$100,0),MATCH(H$9,技能数据库!$B$2:$I$2,0))</f>
        <v>210</v>
      </c>
      <c r="I31">
        <f ca="1">INDEX(技能数据库!$B$2:$I$100,MATCH(伤害与收益计算!$E31,技能数据库!$B$2:$B$100,0),MATCH(I$9,技能数据库!$B$2:$I$2,0))</f>
        <v>5.7875</v>
      </c>
      <c r="J31">
        <f ca="1">INDEX(技能数据库!$B$2:$I$100,MATCH(伤害与收益计算!$E31,技能数据库!$B$2:$B$100,0),MATCH(J$9,技能数据库!$B$2:$I$2,0))</f>
        <v>2</v>
      </c>
      <c r="K31">
        <f ca="1">INDEX(技能数据库!$B$2:$I$100,MATCH(伤害与收益计算!$E31,技能数据库!$B$2:$B$100,0),MATCH(K$9,技能数据库!$B$2:$I$2,0))</f>
        <v>0</v>
      </c>
      <c r="L31">
        <f ca="1" t="shared" si="0"/>
        <v>105847</v>
      </c>
      <c r="M31">
        <f ca="1" t="shared" si="28"/>
        <v>19530.5</v>
      </c>
      <c r="N31">
        <f ca="1" t="shared" si="29"/>
        <v>92028</v>
      </c>
      <c r="O31">
        <f ca="1" t="shared" si="1"/>
        <v>651860.5125</v>
      </c>
      <c r="P31">
        <f ca="1">IF(G31="恒定伤害",0,(IF(D31="轻剑",$AZ$2,$AZ$3)+IFERROR(INDEX(技能数据库!$T$2:$W$27,MATCH(E31,技能数据库!$T$2:$T$27,0),4),0)+COUNTIF(G31,"*造化2*")*154+COUNTIF(G31,"*造化1*")*102+COUNTIF(G31,"*碧归*")*307)/1024)</f>
        <v>0.447375959429785</v>
      </c>
      <c r="Q31">
        <f ca="1" t="shared" si="2"/>
        <v>0.448284482196154</v>
      </c>
      <c r="R31">
        <f ca="1" t="shared" si="3"/>
        <v>0.21277697966198</v>
      </c>
      <c r="S31">
        <f ca="1" t="shared" si="30"/>
        <v>1075691.38739809</v>
      </c>
      <c r="T31">
        <f t="shared" si="31"/>
        <v>0.8</v>
      </c>
      <c r="U31">
        <f ca="1" t="shared" si="4"/>
        <v>2.68954760480339</v>
      </c>
      <c r="V31">
        <f ca="1" t="shared" si="32"/>
        <v>3175051.6655058</v>
      </c>
      <c r="W31">
        <f ca="1">IF(G31="恒定伤害",0,MIN(1,IF(COUNTIF(F31,"*内会*")&gt;0,内会,IF(D31="轻剑",$Y$2,$Y$3)+COUNTIF(G31,"*莺鸣*")*0.2+COUNTIF(G31,"*叠1*")*0.1+COUNTIF(G31,"*叠2*")*0.2+COUNTIF(G31,"*叠3*")*0.3)+IFERROR(INDEX(技能数据库!$T$2:$W$27,MATCH(E31,技能数据库!$T$2:$T$27,0),2),0)+IF((IF(D31="轻剑",$AO$2,$AO$3)+INT(COUNTIF(G31,"*大莺鸣*")*IF(D31="轻剑",$AM$2,$AM$3)*听晓无双率)/无双系数)&gt;0.9,特效裤子会心/会心系数,0)))</f>
        <v>0.9343</v>
      </c>
      <c r="X31">
        <f ca="1">IF(G31="恒定伤害",0,IF(COUNTIF(F31,"*内会*")&gt;0,内会效,IF(D31="轻剑",$AB$2,$AB$3))+IFERROR(INDEX(技能数据库!$T$2:$W$27,MATCH(E31,技能数据库!$T$2:$T$27,0),3)/1024,0))+COUNTIF(G31,"*叠1*")*0.25+COUNTIF(G31,"*叠2*")*0.5+COUNTIF(G31,"*叠3*")*0.75</f>
        <v>2.3156473116</v>
      </c>
      <c r="Y31">
        <f ca="1" t="shared" si="33"/>
        <v>2.22920928322788</v>
      </c>
      <c r="Z31">
        <f t="shared" si="5"/>
        <v>0.150390625</v>
      </c>
      <c r="AA31">
        <f ca="1" t="shared" si="34"/>
        <v>0.0205078125</v>
      </c>
      <c r="AB31">
        <f ca="1" t="shared" si="35"/>
        <v>8309278.34471374</v>
      </c>
      <c r="AC31">
        <f ca="1">技能数计算!AJ23</f>
        <v>0</v>
      </c>
      <c r="AD31" s="164">
        <f ca="1" t="shared" si="36"/>
        <v>0</v>
      </c>
      <c r="AE31" s="168">
        <f ca="1" t="shared" si="6"/>
        <v>0.00440370285506441</v>
      </c>
      <c r="AF31" s="168">
        <f ca="1" t="shared" si="7"/>
        <v>0.00182937910355477</v>
      </c>
      <c r="AG31">
        <f ca="1" t="shared" si="8"/>
        <v>0.00316563174908713</v>
      </c>
      <c r="AH31">
        <f ca="1" t="shared" si="9"/>
        <v>1.00300413578163</v>
      </c>
      <c r="AI31">
        <f ca="1" t="shared" si="10"/>
        <v>1.00016101226475</v>
      </c>
      <c r="AJ31">
        <f ca="1" t="shared" si="11"/>
        <v>0</v>
      </c>
      <c r="AK31">
        <f ca="1" t="shared" si="18"/>
        <v>0</v>
      </c>
      <c r="AL31">
        <f ca="1" t="shared" si="12"/>
        <v>0</v>
      </c>
      <c r="AM31">
        <f ca="1" t="shared" si="19"/>
        <v>0</v>
      </c>
      <c r="AN31" s="168">
        <f ca="1" t="shared" si="20"/>
        <v>0.00841753350912167</v>
      </c>
      <c r="AO31" s="168">
        <f ca="1" t="shared" si="13"/>
        <v>0.00447057613551372</v>
      </c>
      <c r="AP31" s="172">
        <f ca="1" t="shared" si="14"/>
        <v>0</v>
      </c>
      <c r="AQ31" s="168">
        <f ca="1" t="shared" si="15"/>
        <v>0.00393951131463699</v>
      </c>
      <c r="AR31">
        <f t="shared" si="21"/>
        <v>1</v>
      </c>
      <c r="AX31" s="167" t="s">
        <v>2906</v>
      </c>
      <c r="AY31" s="167" t="s">
        <v>2906</v>
      </c>
      <c r="AZ31" s="164">
        <f ca="1" t="shared" si="16"/>
        <v>0</v>
      </c>
      <c r="BA31">
        <f ca="1" t="shared" si="17"/>
        <v>0</v>
      </c>
      <c r="BB31" s="167" t="s">
        <v>2773</v>
      </c>
      <c r="BC31" s="164">
        <f ca="1" t="shared" si="40"/>
        <v>0</v>
      </c>
      <c r="BD31">
        <f ca="1" t="shared" si="41"/>
        <v>19</v>
      </c>
      <c r="BE31">
        <f ca="1" t="shared" si="24"/>
        <v>0</v>
      </c>
      <c r="BF31">
        <f ca="1">(COUNTIF(技能数计算!$B$3:$B$515,"*虎跑*")*5)</f>
        <v>0</v>
      </c>
    </row>
    <row r="32" spans="4:63">
      <c r="D32" t="s">
        <v>1825</v>
      </c>
      <c r="E32" t="s">
        <v>2768</v>
      </c>
      <c r="G32" t="s">
        <v>3053</v>
      </c>
      <c r="H32">
        <f ca="1">INDEX(技能数据库!$B$2:$I$100,MATCH(伤害与收益计算!$E32,技能数据库!$B$2:$B$100,0),MATCH(H$9,技能数据库!$B$2:$I$2,0))</f>
        <v>210</v>
      </c>
      <c r="I32">
        <f ca="1">INDEX(技能数据库!$B$2:$I$100,MATCH(伤害与收益计算!$E32,技能数据库!$B$2:$B$100,0),MATCH(I$9,技能数据库!$B$2:$I$2,0))</f>
        <v>5.7875</v>
      </c>
      <c r="J32">
        <f ca="1">INDEX(技能数据库!$B$2:$I$100,MATCH(伤害与收益计算!$E32,技能数据库!$B$2:$B$100,0),MATCH(J$9,技能数据库!$B$2:$I$2,0))</f>
        <v>2</v>
      </c>
      <c r="K32">
        <f ca="1">INDEX(技能数据库!$B$2:$I$100,MATCH(伤害与收益计算!$E32,技能数据库!$B$2:$B$100,0),MATCH(K$9,技能数据库!$B$2:$I$2,0))</f>
        <v>0</v>
      </c>
      <c r="L32">
        <f ca="1" t="shared" si="0"/>
        <v>91975</v>
      </c>
      <c r="M32">
        <f ca="1" t="shared" si="28"/>
        <v>19530.5</v>
      </c>
      <c r="N32">
        <f ca="1" t="shared" si="29"/>
        <v>92028</v>
      </c>
      <c r="O32">
        <f ca="1" t="shared" si="1"/>
        <v>571576.3125</v>
      </c>
      <c r="P32">
        <f ca="1">IF(G32="恒定伤害",0,(IF(D32="轻剑",$AZ$2,$AZ$3)+IFERROR(INDEX(技能数据库!$T$2:$W$27,MATCH(E32,技能数据库!$T$2:$T$27,0),4),0)+COUNTIF(G32,"*造化2*")*154+COUNTIF(G32,"*造化1*")*102+COUNTIF(G32,"*碧归*")*307)/1024)</f>
        <v>0.396594709429785</v>
      </c>
      <c r="Q32">
        <f ca="1" t="shared" si="2"/>
        <v>0.448284482196154</v>
      </c>
      <c r="R32">
        <f ca="1" t="shared" si="3"/>
        <v>0.32958230397716</v>
      </c>
      <c r="S32">
        <f ca="1" t="shared" si="30"/>
        <v>775075.414826661</v>
      </c>
      <c r="T32">
        <f t="shared" si="31"/>
        <v>0.8</v>
      </c>
      <c r="U32">
        <f ca="1" t="shared" si="4"/>
        <v>1.7995442148</v>
      </c>
      <c r="V32">
        <f ca="1" t="shared" si="32"/>
        <v>1735886.31488935</v>
      </c>
      <c r="W32">
        <f ca="1">IF(G32="恒定伤害",0,MIN(1,IF(COUNTIF(F32,"*内会*")&gt;0,内会,IF(D32="轻剑",$Y$2,$Y$3)+COUNTIF(G32,"*莺鸣*")*0.2+COUNTIF(G32,"*叠1*")*0.1+COUNTIF(G32,"*叠2*")*0.2+COUNTIF(G32,"*叠3*")*0.3)+IFERROR(INDEX(技能数据库!$T$2:$W$27,MATCH(E32,技能数据库!$T$2:$T$27,0),2),0)+IF((IF(D32="轻剑",$AO$2,$AO$3)+INT(COUNTIF(G32,"*大莺鸣*")*IF(D32="轻剑",$AM$2,$AM$3)*听晓无双率)/无双系数)&gt;0.9,特效裤子会心/会心系数,0)))</f>
        <v>0.7343</v>
      </c>
      <c r="X32">
        <f ca="1">IF(G32="恒定伤害",0,IF(COUNTIF(F32,"*内会*")&gt;0,内会效,IF(D32="轻剑",$AB$2,$AB$3))+IFERROR(INDEX(技能数据库!$T$2:$W$27,MATCH(E32,技能数据库!$T$2:$T$27,0),3)/1024,0))+COUNTIF(G32,"*叠1*")*0.25+COUNTIF(G32,"*叠2*")*0.5+COUNTIF(G32,"*叠3*")*0.75</f>
        <v>2.3156473116</v>
      </c>
      <c r="Y32">
        <f ca="1" t="shared" si="33"/>
        <v>1.96607982090788</v>
      </c>
      <c r="Z32">
        <f t="shared" si="5"/>
        <v>0.150390625</v>
      </c>
      <c r="AA32">
        <f ca="1" t="shared" si="34"/>
        <v>0.0205078125</v>
      </c>
      <c r="AB32">
        <f ca="1" t="shared" si="35"/>
        <v>4006674.78345049</v>
      </c>
      <c r="AC32">
        <f ca="1">技能数计算!AJ24</f>
        <v>0</v>
      </c>
      <c r="AD32" s="164">
        <f ca="1" t="shared" si="36"/>
        <v>0</v>
      </c>
      <c r="AE32" s="168">
        <f ca="1" t="shared" si="6"/>
        <v>0.00421221094602306</v>
      </c>
      <c r="AF32" s="168">
        <f ca="1" t="shared" si="7"/>
        <v>0.00208633558445444</v>
      </c>
      <c r="AG32">
        <f ca="1" t="shared" si="8"/>
        <v>0.0035876637093506</v>
      </c>
      <c r="AH32">
        <f ca="1" t="shared" si="9"/>
        <v>1.00342609980051</v>
      </c>
      <c r="AI32">
        <f ca="1" t="shared" si="10"/>
        <v>1.00016101226475</v>
      </c>
      <c r="AJ32">
        <f ca="1" t="shared" si="11"/>
        <v>0</v>
      </c>
      <c r="AK32">
        <f ca="1" t="shared" si="18"/>
        <v>0</v>
      </c>
      <c r="AL32">
        <f ca="1" t="shared" si="12"/>
        <v>0</v>
      </c>
      <c r="AM32">
        <f ca="1" t="shared" si="19"/>
        <v>0</v>
      </c>
      <c r="AN32" s="168">
        <f ca="1" t="shared" si="20"/>
        <v>0.00750104430192855</v>
      </c>
      <c r="AO32" s="168">
        <f ca="1" t="shared" si="13"/>
        <v>0.00447057613551372</v>
      </c>
      <c r="AP32" s="172">
        <f ca="1" t="shared" si="14"/>
        <v>0</v>
      </c>
      <c r="AQ32" s="168">
        <f ca="1" t="shared" si="15"/>
        <v>0.00401583628616287</v>
      </c>
      <c r="AR32">
        <f t="shared" si="21"/>
        <v>1</v>
      </c>
      <c r="AX32" s="167" t="s">
        <v>2827</v>
      </c>
      <c r="AY32" s="167" t="s">
        <v>2827</v>
      </c>
      <c r="AZ32" s="164">
        <f ca="1" t="shared" si="16"/>
        <v>0.0020402877005152</v>
      </c>
      <c r="BA32">
        <f ca="1" t="shared" si="17"/>
        <v>23.0849609375</v>
      </c>
      <c r="BB32" s="167" t="s">
        <v>2920</v>
      </c>
      <c r="BC32" s="164">
        <f ca="1" t="shared" si="40"/>
        <v>5.39870175667778e-5</v>
      </c>
      <c r="BD32">
        <f ca="1" t="shared" si="41"/>
        <v>18</v>
      </c>
      <c r="BE32">
        <f ca="1" t="shared" si="24"/>
        <v>0.80078125</v>
      </c>
      <c r="BF32">
        <f ca="1">技能数计算!AN56</f>
        <v>0.80078125</v>
      </c>
    </row>
    <row r="33" spans="4:58">
      <c r="D33" t="s">
        <v>1825</v>
      </c>
      <c r="E33" t="s">
        <v>2768</v>
      </c>
      <c r="G33" t="s">
        <v>3057</v>
      </c>
      <c r="H33">
        <f ca="1">INDEX(技能数据库!$B$2:$I$100,MATCH(伤害与收益计算!$E33,技能数据库!$B$2:$B$100,0),MATCH(H$9,技能数据库!$B$2:$I$2,0))</f>
        <v>210</v>
      </c>
      <c r="I33">
        <f ca="1">INDEX(技能数据库!$B$2:$I$100,MATCH(伤害与收益计算!$E33,技能数据库!$B$2:$B$100,0),MATCH(I$9,技能数据库!$B$2:$I$2,0))</f>
        <v>5.7875</v>
      </c>
      <c r="J33">
        <f ca="1">INDEX(技能数据库!$B$2:$I$100,MATCH(伤害与收益计算!$E33,技能数据库!$B$2:$B$100,0),MATCH(J$9,技能数据库!$B$2:$I$2,0))</f>
        <v>2</v>
      </c>
      <c r="K33">
        <f ca="1">INDEX(技能数据库!$B$2:$I$100,MATCH(伤害与收益计算!$E33,技能数据库!$B$2:$B$100,0),MATCH(K$9,技能数据库!$B$2:$I$2,0))</f>
        <v>0</v>
      </c>
      <c r="L33">
        <f ca="1" t="shared" si="0"/>
        <v>105847</v>
      </c>
      <c r="M33">
        <f ca="1" t="shared" si="28"/>
        <v>19530.5</v>
      </c>
      <c r="N33">
        <f ca="1" t="shared" si="29"/>
        <v>92028</v>
      </c>
      <c r="O33">
        <f ca="1" t="shared" si="1"/>
        <v>651860.5125</v>
      </c>
      <c r="P33">
        <f ca="1">IF(G33="恒定伤害",0,(IF(D33="轻剑",$AZ$2,$AZ$3)+IFERROR(INDEX(技能数据库!$T$2:$W$27,MATCH(E33,技能数据库!$T$2:$T$27,0),4),0)+COUNTIF(G33,"*造化2*")*154+COUNTIF(G33,"*造化1*")*102+COUNTIF(G33,"*碧归*")*307)/1024)</f>
        <v>0.396594709429785</v>
      </c>
      <c r="Q33">
        <f ca="1" t="shared" si="2"/>
        <v>0.448284482196154</v>
      </c>
      <c r="R33">
        <f ca="1" t="shared" si="3"/>
        <v>0.21277697966198</v>
      </c>
      <c r="S33">
        <f ca="1" t="shared" si="30"/>
        <v>1037950.70716195</v>
      </c>
      <c r="T33">
        <f t="shared" si="31"/>
        <v>0.8</v>
      </c>
      <c r="U33">
        <f ca="1" t="shared" si="4"/>
        <v>1.7995442148</v>
      </c>
      <c r="V33">
        <f ca="1" t="shared" si="32"/>
        <v>2324631.11798625</v>
      </c>
      <c r="W33">
        <f ca="1">IF(G33="恒定伤害",0,MIN(1,IF(COUNTIF(F33,"*内会*")&gt;0,内会,IF(D33="轻剑",$Y$2,$Y$3)+COUNTIF(G33,"*莺鸣*")*0.2+COUNTIF(G33,"*叠1*")*0.1+COUNTIF(G33,"*叠2*")*0.2+COUNTIF(G33,"*叠3*")*0.3)+IFERROR(INDEX(技能数据库!$T$2:$W$27,MATCH(E33,技能数据库!$T$2:$T$27,0),2),0)+IF((IF(D33="轻剑",$AO$2,$AO$3)+INT(COUNTIF(G33,"*大莺鸣*")*IF(D33="轻剑",$AM$2,$AM$3)*听晓无双率)/无双系数)&gt;0.9,特效裤子会心/会心系数,0)))</f>
        <v>0.7343</v>
      </c>
      <c r="X33">
        <f ca="1">IF(G33="恒定伤害",0,IF(COUNTIF(F33,"*内会*")&gt;0,内会效,IF(D33="轻剑",$AB$2,$AB$3))+IFERROR(INDEX(技能数据库!$T$2:$W$27,MATCH(E33,技能数据库!$T$2:$T$27,0),3)/1024,0))+COUNTIF(G33,"*叠1*")*0.25+COUNTIF(G33,"*叠2*")*0.5+COUNTIF(G33,"*叠3*")*0.75</f>
        <v>2.3156473116</v>
      </c>
      <c r="Y33">
        <f ca="1" t="shared" si="33"/>
        <v>1.96607982090788</v>
      </c>
      <c r="Z33">
        <f t="shared" si="5"/>
        <v>0.150390625</v>
      </c>
      <c r="AA33">
        <f ca="1" t="shared" si="34"/>
        <v>0.0205078125</v>
      </c>
      <c r="AB33">
        <f ca="1" t="shared" si="35"/>
        <v>5365582.29727937</v>
      </c>
      <c r="AC33">
        <f ca="1">技能数计算!AJ25</f>
        <v>12</v>
      </c>
      <c r="AD33" s="164">
        <f ca="1" t="shared" si="36"/>
        <v>0.0206690258762544</v>
      </c>
      <c r="AE33" s="168">
        <f ca="1" t="shared" si="6"/>
        <v>0.00440370285506441</v>
      </c>
      <c r="AF33" s="168">
        <f ca="1" t="shared" si="7"/>
        <v>0.00182937910355477</v>
      </c>
      <c r="AG33">
        <f ca="1" t="shared" si="8"/>
        <v>0.00374014239530163</v>
      </c>
      <c r="AH33">
        <f ca="1" t="shared" si="9"/>
        <v>1.00300413578163</v>
      </c>
      <c r="AI33">
        <f ca="1" t="shared" si="10"/>
        <v>1.00016101226475</v>
      </c>
      <c r="AJ33">
        <f ca="1" t="shared" si="11"/>
        <v>1.0005726976962</v>
      </c>
      <c r="AK33">
        <f ca="1" t="shared" si="18"/>
        <v>12</v>
      </c>
      <c r="AL33">
        <f ca="1" t="shared" si="12"/>
        <v>0.00495187192404023</v>
      </c>
      <c r="AM33">
        <f ca="1" t="shared" si="19"/>
        <v>12</v>
      </c>
      <c r="AN33" s="168">
        <f ca="1" t="shared" si="20"/>
        <v>0.00750104430192855</v>
      </c>
      <c r="AO33" s="168">
        <f ca="1" t="shared" si="13"/>
        <v>0.00447057613551372</v>
      </c>
      <c r="AP33" s="172">
        <f ca="1" t="shared" si="14"/>
        <v>0</v>
      </c>
      <c r="AQ33" s="168">
        <f ca="1" t="shared" si="15"/>
        <v>0.00401583628616287</v>
      </c>
      <c r="AR33">
        <f t="shared" si="21"/>
        <v>1</v>
      </c>
      <c r="AX33" s="167" t="s">
        <v>2915</v>
      </c>
      <c r="AY33" s="167" t="s">
        <v>2813</v>
      </c>
      <c r="AZ33" s="164">
        <f ca="1" t="shared" si="16"/>
        <v>0</v>
      </c>
      <c r="BA33">
        <f ca="1" t="shared" si="17"/>
        <v>0</v>
      </c>
      <c r="BB33" s="167" t="s">
        <v>2820</v>
      </c>
      <c r="BC33" s="164">
        <f ca="1" t="shared" si="40"/>
        <v>0</v>
      </c>
      <c r="BD33">
        <f ca="1" t="shared" si="41"/>
        <v>19</v>
      </c>
      <c r="BE33">
        <f ca="1" t="shared" si="24"/>
        <v>0</v>
      </c>
      <c r="BF33">
        <f ca="1">技能数计算!AN61</f>
        <v>0</v>
      </c>
    </row>
    <row r="34" spans="4:58">
      <c r="D34" t="s">
        <v>1825</v>
      </c>
      <c r="E34" s="161" t="s">
        <v>2772</v>
      </c>
      <c r="H34">
        <f ca="1">INDEX(技能数据库!$B$2:$I$100,MATCH(伤害与收益计算!$E34,技能数据库!$B$2:$B$100,0),MATCH(H$9,技能数据库!$B$2:$I$2,0))</f>
        <v>0</v>
      </c>
      <c r="I34">
        <f ca="1">INDEX(技能数据库!$B$2:$I$100,MATCH(伤害与收益计算!$E34,技能数据库!$B$2:$B$100,0),MATCH(I$9,技能数据库!$B$2:$I$2,0))</f>
        <v>0</v>
      </c>
      <c r="J34">
        <f ca="1">INDEX(技能数据库!$B$2:$I$100,MATCH(伤害与收益计算!$E34,技能数据库!$B$2:$B$100,0),MATCH(J$9,技能数据库!$B$2:$I$2,0))</f>
        <v>0</v>
      </c>
      <c r="K34">
        <f ca="1">INDEX(技能数据库!$B$2:$I$100,MATCH(伤害与收益计算!$E34,技能数据库!$B$2:$B$100,0),MATCH(K$9,技能数据库!$B$2:$I$2,0))</f>
        <v>0.207999229431152</v>
      </c>
      <c r="L34">
        <f ca="1" t="shared" si="0"/>
        <v>91975</v>
      </c>
      <c r="M34">
        <f ca="1" t="shared" si="28"/>
        <v>19530.5</v>
      </c>
      <c r="N34">
        <f ca="1" t="shared" si="29"/>
        <v>92028</v>
      </c>
      <c r="O34">
        <f ca="1" t="shared" si="1"/>
        <v>163355.720836693</v>
      </c>
      <c r="P34">
        <f ca="1">IF(G34="恒定伤害",0,(IF(D34="轻剑",$AZ$2,$AZ$3)+IFERROR(INDEX(技能数据库!$T$2:$W$27,MATCH(E34,技能数据库!$T$2:$T$27,0),4),0)+COUNTIF(G34,"*造化2*")*154+COUNTIF(G34,"*造化1*")*102+COUNTIF(G34,"*碧归*")*307)/1024)</f>
        <v>0.176868146929785</v>
      </c>
      <c r="Q34">
        <f ca="1" t="shared" si="2"/>
        <v>0.448284482196154</v>
      </c>
      <c r="R34">
        <f ca="1" t="shared" si="3"/>
        <v>0.32958230397716</v>
      </c>
      <c r="S34">
        <f ca="1" t="shared" si="30"/>
        <v>186664.402032706</v>
      </c>
      <c r="T34">
        <f t="shared" si="31"/>
        <v>0.8</v>
      </c>
      <c r="U34">
        <f ca="1" t="shared" si="4"/>
        <v>1.7995442148</v>
      </c>
      <c r="V34">
        <f ca="1" t="shared" si="32"/>
        <v>418060.19745581</v>
      </c>
      <c r="W34">
        <f ca="1">IF(G34="恒定伤害",0,MIN(1,IF(COUNTIF(F34,"*内会*")&gt;0,内会,IF(D34="轻剑",$Y$2,$Y$3)+COUNTIF(G34,"*莺鸣*")*0.2+COUNTIF(G34,"*叠1*")*0.1+COUNTIF(G34,"*叠2*")*0.2+COUNTIF(G34,"*叠3*")*0.3)+IFERROR(INDEX(技能数据库!$T$2:$W$27,MATCH(E34,技能数据库!$T$2:$T$27,0),2),0)+IF((IF(D34="轻剑",$AO$2,$AO$3)+INT(COUNTIF(G34,"*大莺鸣*")*IF(D34="轻剑",$AM$2,$AM$3)*听晓无双率)/无双系数)&gt;0.9,特效裤子会心/会心系数,0)))</f>
        <v>0.7343</v>
      </c>
      <c r="X34">
        <f ca="1">IF(G34="恒定伤害",0,IF(COUNTIF(F34,"*内会*")&gt;0,内会效,IF(D34="轻剑",$AB$2,$AB$3))+IFERROR(INDEX(技能数据库!$T$2:$W$27,MATCH(E34,技能数据库!$T$2:$T$27,0),3)/1024,0))+COUNTIF(G34,"*叠1*")*0.25+COUNTIF(G34,"*叠2*")*0.5+COUNTIF(G34,"*叠3*")*0.75</f>
        <v>2.3156473116</v>
      </c>
      <c r="Y34">
        <f ca="1" t="shared" si="33"/>
        <v>1.96607982090788</v>
      </c>
      <c r="Z34">
        <f t="shared" si="5"/>
        <v>0.150390625</v>
      </c>
      <c r="AA34">
        <f ca="1" t="shared" si="34"/>
        <v>0.0205078125</v>
      </c>
      <c r="AB34">
        <f ca="1" t="shared" si="35"/>
        <v>964942.943983804</v>
      </c>
      <c r="AC34">
        <f ca="1">技能数计算!AJ26</f>
        <v>0</v>
      </c>
      <c r="AD34" s="164">
        <f ca="1" t="shared" si="36"/>
        <v>0</v>
      </c>
      <c r="AE34" s="168">
        <f ca="1" t="shared" si="6"/>
        <v>0</v>
      </c>
      <c r="AF34" s="168">
        <f ca="1" t="shared" si="7"/>
        <v>0</v>
      </c>
      <c r="AG34">
        <f ca="1" t="shared" si="8"/>
        <v>0.000161012264749072</v>
      </c>
      <c r="AH34">
        <f ca="1" t="shared" si="9"/>
        <v>1</v>
      </c>
      <c r="AI34">
        <f ca="1" t="shared" si="10"/>
        <v>1.00016101226475</v>
      </c>
      <c r="AJ34">
        <f ca="1" t="shared" si="11"/>
        <v>0</v>
      </c>
      <c r="AK34">
        <f ca="1" t="shared" si="18"/>
        <v>0</v>
      </c>
      <c r="AL34">
        <f ca="1" t="shared" si="12"/>
        <v>0</v>
      </c>
      <c r="AM34">
        <f ca="1" t="shared" si="19"/>
        <v>0</v>
      </c>
      <c r="AN34" s="168">
        <f ca="1" t="shared" si="20"/>
        <v>0.00750104430192855</v>
      </c>
      <c r="AO34" s="168">
        <f ca="1" t="shared" si="13"/>
        <v>0.00447057613551372</v>
      </c>
      <c r="AP34" s="172">
        <f ca="1" t="shared" si="14"/>
        <v>0.015897335593515</v>
      </c>
      <c r="AQ34" s="168">
        <f ca="1" t="shared" si="15"/>
        <v>0.00401583628616287</v>
      </c>
      <c r="AR34">
        <f t="shared" si="21"/>
        <v>1</v>
      </c>
      <c r="AX34" s="167" t="s">
        <v>2917</v>
      </c>
      <c r="AY34" s="167" t="s">
        <v>2917</v>
      </c>
      <c r="AZ34" s="164">
        <f ca="1" t="shared" si="16"/>
        <v>0.00466882212802517</v>
      </c>
      <c r="BA34">
        <f ca="1" t="shared" si="17"/>
        <v>19.830626450116</v>
      </c>
      <c r="BB34" s="167" t="s">
        <v>3153</v>
      </c>
      <c r="BC34" s="164">
        <f ca="1" t="shared" si="40"/>
        <v>0</v>
      </c>
      <c r="BD34">
        <f ca="1" t="shared" si="41"/>
        <v>19</v>
      </c>
      <c r="BE34">
        <f ca="1" t="shared" si="24"/>
        <v>19.830626450116</v>
      </c>
      <c r="BF34">
        <f>技能数计算!AJ106</f>
        <v>19.830626450116</v>
      </c>
    </row>
    <row r="35" spans="4:58">
      <c r="D35" t="s">
        <v>1825</v>
      </c>
      <c r="E35" s="161" t="s">
        <v>2772</v>
      </c>
      <c r="G35" t="s">
        <v>2750</v>
      </c>
      <c r="H35">
        <f ca="1">INDEX(技能数据库!$B$2:$I$100,MATCH(伤害与收益计算!$E35,技能数据库!$B$2:$B$100,0),MATCH(H$9,技能数据库!$B$2:$I$2,0))</f>
        <v>0</v>
      </c>
      <c r="I35">
        <f ca="1">INDEX(技能数据库!$B$2:$I$100,MATCH(伤害与收益计算!$E35,技能数据库!$B$2:$B$100,0),MATCH(I$9,技能数据库!$B$2:$I$2,0))</f>
        <v>0</v>
      </c>
      <c r="J35">
        <f ca="1">INDEX(技能数据库!$B$2:$I$100,MATCH(伤害与收益计算!$E35,技能数据库!$B$2:$B$100,0),MATCH(J$9,技能数据库!$B$2:$I$2,0))</f>
        <v>0</v>
      </c>
      <c r="K35">
        <f ca="1">INDEX(技能数据库!$B$2:$I$100,MATCH(伤害与收益计算!$E35,技能数据库!$B$2:$B$100,0),MATCH(K$9,技能数据库!$B$2:$I$2,0))</f>
        <v>0.207999229431152</v>
      </c>
      <c r="L35">
        <f ca="1" t="shared" si="0"/>
        <v>105847</v>
      </c>
      <c r="M35">
        <f ca="1" t="shared" si="28"/>
        <v>19530.5</v>
      </c>
      <c r="N35">
        <f ca="1" t="shared" si="29"/>
        <v>92028</v>
      </c>
      <c r="O35">
        <f ca="1" t="shared" si="1"/>
        <v>163355.720836693</v>
      </c>
      <c r="P35">
        <f ca="1">IF(G35="恒定伤害",0,(IF(D35="轻剑",$AZ$2,$AZ$3)+IFERROR(INDEX(技能数据库!$T$2:$W$27,MATCH(E35,技能数据库!$T$2:$T$27,0),4),0)+COUNTIF(G35,"*造化2*")*154+COUNTIF(G35,"*造化1*")*102+COUNTIF(G35,"*碧归*")*307)/1024)</f>
        <v>0.176868146929785</v>
      </c>
      <c r="Q35">
        <f ca="1" t="shared" si="2"/>
        <v>0.448284482196154</v>
      </c>
      <c r="R35">
        <f ca="1" t="shared" si="3"/>
        <v>0.21277697966198</v>
      </c>
      <c r="S35">
        <f ca="1" t="shared" si="30"/>
        <v>219186.508992105</v>
      </c>
      <c r="T35">
        <f t="shared" si="31"/>
        <v>0.8</v>
      </c>
      <c r="U35">
        <f ca="1" t="shared" si="4"/>
        <v>1.7995442148</v>
      </c>
      <c r="V35">
        <f ca="1" t="shared" si="32"/>
        <v>490897.858568846</v>
      </c>
      <c r="W35">
        <f ca="1">IF(G35="恒定伤害",0,MIN(1,IF(COUNTIF(F35,"*内会*")&gt;0,内会,IF(D35="轻剑",$Y$2,$Y$3)+COUNTIF(G35,"*莺鸣*")*0.2+COUNTIF(G35,"*叠1*")*0.1+COUNTIF(G35,"*叠2*")*0.2+COUNTIF(G35,"*叠3*")*0.3)+IFERROR(INDEX(技能数据库!$T$2:$W$27,MATCH(E35,技能数据库!$T$2:$T$27,0),2),0)+IF((IF(D35="轻剑",$AO$2,$AO$3)+INT(COUNTIF(G35,"*大莺鸣*")*IF(D35="轻剑",$AM$2,$AM$3)*听晓无双率)/无双系数)&gt;0.9,特效裤子会心/会心系数,0)))</f>
        <v>0.7343</v>
      </c>
      <c r="X35">
        <f ca="1">IF(G35="恒定伤害",0,IF(COUNTIF(F35,"*内会*")&gt;0,内会效,IF(D35="轻剑",$AB$2,$AB$3))+IFERROR(INDEX(技能数据库!$T$2:$W$27,MATCH(E35,技能数据库!$T$2:$T$27,0),3)/1024,0))+COUNTIF(G35,"*叠1*")*0.25+COUNTIF(G35,"*叠2*")*0.5+COUNTIF(G35,"*叠3*")*0.75</f>
        <v>2.3156473116</v>
      </c>
      <c r="Y35">
        <f ca="1" t="shared" si="33"/>
        <v>1.96607982090788</v>
      </c>
      <c r="Z35">
        <f t="shared" si="5"/>
        <v>0.150390625</v>
      </c>
      <c r="AA35">
        <f ca="1" t="shared" si="34"/>
        <v>0.0205078125</v>
      </c>
      <c r="AB35">
        <f ca="1" t="shared" si="35"/>
        <v>1133062.72093228</v>
      </c>
      <c r="AC35">
        <f ca="1">技能数计算!AJ27</f>
        <v>48</v>
      </c>
      <c r="AD35" s="164">
        <f ca="1" t="shared" si="36"/>
        <v>0.0174589085775413</v>
      </c>
      <c r="AE35" s="168">
        <f ca="1" t="shared" si="6"/>
        <v>0</v>
      </c>
      <c r="AF35" s="168">
        <f ca="1" t="shared" si="7"/>
        <v>0</v>
      </c>
      <c r="AG35">
        <f ca="1" t="shared" si="8"/>
        <v>0.000733802172306897</v>
      </c>
      <c r="AH35">
        <f ca="1" t="shared" si="9"/>
        <v>1</v>
      </c>
      <c r="AI35">
        <f ca="1" t="shared" si="10"/>
        <v>1.00016101226475</v>
      </c>
      <c r="AJ35">
        <f ca="1" t="shared" si="11"/>
        <v>1.0005726976962</v>
      </c>
      <c r="AK35">
        <f ca="1" t="shared" si="18"/>
        <v>48</v>
      </c>
      <c r="AL35">
        <f ca="1" t="shared" si="12"/>
        <v>0.00495187192404023</v>
      </c>
      <c r="AM35">
        <f ca="1" t="shared" si="19"/>
        <v>48</v>
      </c>
      <c r="AN35" s="168">
        <f ca="1" t="shared" si="20"/>
        <v>0.00750104430192855</v>
      </c>
      <c r="AO35" s="168">
        <f ca="1" t="shared" si="13"/>
        <v>0.00447057613551372</v>
      </c>
      <c r="AP35" s="172">
        <f ca="1" t="shared" si="14"/>
        <v>0.015897335593515</v>
      </c>
      <c r="AQ35" s="168">
        <f ca="1" t="shared" si="15"/>
        <v>0.00401583628616287</v>
      </c>
      <c r="AR35">
        <f t="shared" si="21"/>
        <v>1</v>
      </c>
      <c r="AX35" s="167" t="s">
        <v>2773</v>
      </c>
      <c r="AY35" s="167" t="s">
        <v>2773</v>
      </c>
      <c r="AZ35" s="164">
        <f ca="1" t="shared" si="16"/>
        <v>0</v>
      </c>
      <c r="BA35">
        <f ca="1" t="shared" si="17"/>
        <v>0</v>
      </c>
      <c r="BB35" s="167" t="s">
        <v>3154</v>
      </c>
      <c r="BC35" s="164">
        <f ca="1" t="shared" ref="BC35:BC46" si="42">SUMIF($AY$10:$AY$100,BB35,$AZ$10:$AZ$100)</f>
        <v>0</v>
      </c>
      <c r="BD35">
        <f ca="1" t="shared" ref="BD35:BD46" si="43">RANK(BC35,$BC$10:$BC$100)</f>
        <v>19</v>
      </c>
      <c r="BE35">
        <f ca="1" t="shared" ref="BE35:BE46" si="44">SUMIF($AY$10:$AY$100,BB35,$BA$10:$BA$100)</f>
        <v>0</v>
      </c>
    </row>
    <row r="36" spans="4:58">
      <c r="D36" t="s">
        <v>1825</v>
      </c>
      <c r="E36" s="161" t="s">
        <v>2772</v>
      </c>
      <c r="G36" t="s">
        <v>2948</v>
      </c>
      <c r="H36">
        <f ca="1">INDEX(技能数据库!$B$2:$I$100,MATCH(伤害与收益计算!$E36,技能数据库!$B$2:$B$100,0),MATCH(H$9,技能数据库!$B$2:$I$2,0))</f>
        <v>0</v>
      </c>
      <c r="I36">
        <f ca="1">INDEX(技能数据库!$B$2:$I$100,MATCH(伤害与收益计算!$E36,技能数据库!$B$2:$B$100,0),MATCH(I$9,技能数据库!$B$2:$I$2,0))</f>
        <v>0</v>
      </c>
      <c r="J36">
        <f ca="1">INDEX(技能数据库!$B$2:$I$100,MATCH(伤害与收益计算!$E36,技能数据库!$B$2:$B$100,0),MATCH(J$9,技能数据库!$B$2:$I$2,0))</f>
        <v>0</v>
      </c>
      <c r="K36">
        <f ca="1">INDEX(技能数据库!$B$2:$I$100,MATCH(伤害与收益计算!$E36,技能数据库!$B$2:$B$100,0),MATCH(K$9,技能数据库!$B$2:$I$2,0))</f>
        <v>0.207999229431152</v>
      </c>
      <c r="L36">
        <f ca="1" t="shared" si="0"/>
        <v>91975</v>
      </c>
      <c r="M36">
        <f ca="1" t="shared" si="28"/>
        <v>19530.5</v>
      </c>
      <c r="N36">
        <f ca="1" t="shared" si="29"/>
        <v>92028</v>
      </c>
      <c r="O36">
        <f ca="1" t="shared" si="1"/>
        <v>163355.720836693</v>
      </c>
      <c r="P36">
        <f ca="1">IF(G36="恒定伤害",0,(IF(D36="轻剑",$AZ$2,$AZ$3)+IFERROR(INDEX(技能数据库!$T$2:$W$27,MATCH(E36,技能数据库!$T$2:$T$27,0),4),0)+COUNTIF(G36,"*造化2*")*154+COUNTIF(G36,"*造化1*")*102+COUNTIF(G36,"*碧归*")*307)/1024)</f>
        <v>0.176868146929785</v>
      </c>
      <c r="Q36">
        <f ca="1" t="shared" si="2"/>
        <v>0.448284482196154</v>
      </c>
      <c r="R36">
        <f ca="1" t="shared" si="3"/>
        <v>0.32958230397716</v>
      </c>
      <c r="S36">
        <f ca="1" t="shared" si="30"/>
        <v>186664.402032706</v>
      </c>
      <c r="T36">
        <f t="shared" si="31"/>
        <v>0.8</v>
      </c>
      <c r="U36">
        <f ca="1" t="shared" si="4"/>
        <v>2.68954760480339</v>
      </c>
      <c r="V36">
        <f ca="1" t="shared" si="32"/>
        <v>550965.757937461</v>
      </c>
      <c r="W36">
        <f ca="1">IF(G36="恒定伤害",0,MIN(1,IF(COUNTIF(F36,"*内会*")&gt;0,内会,IF(D36="轻剑",$Y$2,$Y$3)+COUNTIF(G36,"*莺鸣*")*0.2+COUNTIF(G36,"*叠1*")*0.1+COUNTIF(G36,"*叠2*")*0.2+COUNTIF(G36,"*叠3*")*0.3)+IFERROR(INDEX(技能数据库!$T$2:$W$27,MATCH(E36,技能数据库!$T$2:$T$27,0),2),0)+IF((IF(D36="轻剑",$AO$2,$AO$3)+INT(COUNTIF(G36,"*大莺鸣*")*IF(D36="轻剑",$AM$2,$AM$3)*听晓无双率)/无双系数)&gt;0.9,特效裤子会心/会心系数,0)))</f>
        <v>0.9343</v>
      </c>
      <c r="X36">
        <f ca="1">IF(G36="恒定伤害",0,IF(COUNTIF(F36,"*内会*")&gt;0,内会效,IF(D36="轻剑",$AB$2,$AB$3))+IFERROR(INDEX(技能数据库!$T$2:$W$27,MATCH(E36,技能数据库!$T$2:$T$27,0),3)/1024,0))+COUNTIF(G36,"*叠1*")*0.25+COUNTIF(G36,"*叠2*")*0.5+COUNTIF(G36,"*叠3*")*0.75</f>
        <v>2.3156473116</v>
      </c>
      <c r="Y36">
        <f ca="1" t="shared" si="33"/>
        <v>2.22920928322788</v>
      </c>
      <c r="Z36">
        <f t="shared" si="5"/>
        <v>0.150390625</v>
      </c>
      <c r="AA36">
        <f ca="1" t="shared" si="34"/>
        <v>0.0205078125</v>
      </c>
      <c r="AB36">
        <f ca="1" t="shared" si="35"/>
        <v>1441906.56512647</v>
      </c>
      <c r="AC36">
        <f ca="1">技能数计算!AJ28</f>
        <v>0</v>
      </c>
      <c r="AD36" s="164">
        <f ca="1" t="shared" si="36"/>
        <v>0</v>
      </c>
      <c r="AE36" s="168">
        <f ca="1" t="shared" si="6"/>
        <v>0</v>
      </c>
      <c r="AF36" s="168">
        <f ca="1" t="shared" si="7"/>
        <v>0</v>
      </c>
      <c r="AG36">
        <f ca="1" t="shared" si="8"/>
        <v>0.000161012264749072</v>
      </c>
      <c r="AH36">
        <f ca="1" t="shared" si="9"/>
        <v>1</v>
      </c>
      <c r="AI36">
        <f ca="1" t="shared" si="10"/>
        <v>1.00016101226475</v>
      </c>
      <c r="AJ36">
        <f ca="1" t="shared" si="11"/>
        <v>0</v>
      </c>
      <c r="AK36">
        <f ca="1" t="shared" si="18"/>
        <v>0</v>
      </c>
      <c r="AL36">
        <f ca="1" t="shared" si="12"/>
        <v>0</v>
      </c>
      <c r="AM36">
        <f ca="1" t="shared" si="19"/>
        <v>0</v>
      </c>
      <c r="AN36" s="168">
        <f ca="1" t="shared" si="20"/>
        <v>0.00841753350912167</v>
      </c>
      <c r="AO36" s="168">
        <f ca="1" t="shared" si="13"/>
        <v>0.00447057613551372</v>
      </c>
      <c r="AP36" s="172">
        <f ca="1" t="shared" si="14"/>
        <v>0.015897335593515</v>
      </c>
      <c r="AQ36" s="168">
        <f ca="1" t="shared" si="15"/>
        <v>0.00393951131463699</v>
      </c>
      <c r="AR36">
        <f t="shared" si="21"/>
        <v>1</v>
      </c>
      <c r="AX36" s="167" t="s">
        <v>2920</v>
      </c>
      <c r="AY36" s="167" t="s">
        <v>2920</v>
      </c>
      <c r="AZ36" s="164">
        <f ca="1" t="shared" si="16"/>
        <v>5.39870175667778e-5</v>
      </c>
      <c r="BA36">
        <f ca="1" t="shared" si="17"/>
        <v>0.80078125</v>
      </c>
      <c r="BB36" s="167" t="s">
        <v>3155</v>
      </c>
      <c r="BC36" s="164">
        <f ca="1" t="shared" si="42"/>
        <v>0</v>
      </c>
      <c r="BD36">
        <f ca="1" t="shared" si="43"/>
        <v>19</v>
      </c>
      <c r="BE36">
        <f ca="1" t="shared" si="44"/>
        <v>0</v>
      </c>
    </row>
    <row r="37" spans="4:58">
      <c r="D37" t="s">
        <v>1825</v>
      </c>
      <c r="E37" s="161" t="s">
        <v>2772</v>
      </c>
      <c r="G37" t="s">
        <v>3044</v>
      </c>
      <c r="H37">
        <f ca="1">INDEX(技能数据库!$B$2:$I$100,MATCH(伤害与收益计算!$E37,技能数据库!$B$2:$B$100,0),MATCH(H$9,技能数据库!$B$2:$I$2,0))</f>
        <v>0</v>
      </c>
      <c r="I37">
        <f ca="1">INDEX(技能数据库!$B$2:$I$100,MATCH(伤害与收益计算!$E37,技能数据库!$B$2:$B$100,0),MATCH(I$9,技能数据库!$B$2:$I$2,0))</f>
        <v>0</v>
      </c>
      <c r="J37">
        <f ca="1">INDEX(技能数据库!$B$2:$I$100,MATCH(伤害与收益计算!$E37,技能数据库!$B$2:$B$100,0),MATCH(J$9,技能数据库!$B$2:$I$2,0))</f>
        <v>0</v>
      </c>
      <c r="K37">
        <f ca="1">INDEX(技能数据库!$B$2:$I$100,MATCH(伤害与收益计算!$E37,技能数据库!$B$2:$B$100,0),MATCH(K$9,技能数据库!$B$2:$I$2,0))</f>
        <v>0.207999229431152</v>
      </c>
      <c r="L37">
        <f ca="1" t="shared" si="0"/>
        <v>105847</v>
      </c>
      <c r="M37">
        <f ca="1" t="shared" si="28"/>
        <v>19530.5</v>
      </c>
      <c r="N37">
        <f ca="1" t="shared" si="29"/>
        <v>92028</v>
      </c>
      <c r="O37">
        <f ca="1" t="shared" si="1"/>
        <v>163355.720836693</v>
      </c>
      <c r="P37">
        <f ca="1">IF(G37="恒定伤害",0,(IF(D37="轻剑",$AZ$2,$AZ$3)+IFERROR(INDEX(技能数据库!$T$2:$W$27,MATCH(E37,技能数据库!$T$2:$T$27,0),4),0)+COUNTIF(G37,"*造化2*")*154+COUNTIF(G37,"*造化1*")*102+COUNTIF(G37,"*碧归*")*307)/1024)</f>
        <v>0.176868146929785</v>
      </c>
      <c r="Q37">
        <f ca="1" t="shared" si="2"/>
        <v>0.448284482196154</v>
      </c>
      <c r="R37">
        <f ca="1" t="shared" si="3"/>
        <v>0.21277697966198</v>
      </c>
      <c r="S37">
        <f ca="1" t="shared" si="30"/>
        <v>219186.508992105</v>
      </c>
      <c r="T37">
        <f t="shared" si="31"/>
        <v>0.8</v>
      </c>
      <c r="U37">
        <f ca="1" t="shared" si="4"/>
        <v>2.68954760480339</v>
      </c>
      <c r="V37">
        <f ca="1" t="shared" si="32"/>
        <v>646959.247405632</v>
      </c>
      <c r="W37">
        <f ca="1">IF(G37="恒定伤害",0,MIN(1,IF(COUNTIF(F37,"*内会*")&gt;0,内会,IF(D37="轻剑",$Y$2,$Y$3)+COUNTIF(G37,"*莺鸣*")*0.2+COUNTIF(G37,"*叠1*")*0.1+COUNTIF(G37,"*叠2*")*0.2+COUNTIF(G37,"*叠3*")*0.3)+IFERROR(INDEX(技能数据库!$T$2:$W$27,MATCH(E37,技能数据库!$T$2:$T$27,0),2),0)+IF((IF(D37="轻剑",$AO$2,$AO$3)+INT(COUNTIF(G37,"*大莺鸣*")*IF(D37="轻剑",$AM$2,$AM$3)*听晓无双率)/无双系数)&gt;0.9,特效裤子会心/会心系数,0)))</f>
        <v>0.9343</v>
      </c>
      <c r="X37">
        <f ca="1">IF(G37="恒定伤害",0,IF(COUNTIF(F37,"*内会*")&gt;0,内会效,IF(D37="轻剑",$AB$2,$AB$3))+IFERROR(INDEX(技能数据库!$T$2:$W$27,MATCH(E37,技能数据库!$T$2:$T$27,0),3)/1024,0))+COUNTIF(G37,"*叠1*")*0.25+COUNTIF(G37,"*叠2*")*0.5+COUNTIF(G37,"*叠3*")*0.75</f>
        <v>2.3156473116</v>
      </c>
      <c r="Y37">
        <f ca="1" t="shared" si="33"/>
        <v>2.22920928322788</v>
      </c>
      <c r="Z37">
        <f t="shared" si="5"/>
        <v>0.150390625</v>
      </c>
      <c r="AA37">
        <f ca="1" t="shared" si="34"/>
        <v>0.0205078125</v>
      </c>
      <c r="AB37">
        <f ca="1" t="shared" si="35"/>
        <v>1693126.61043692</v>
      </c>
      <c r="AC37">
        <f ca="1">技能数计算!AJ29</f>
        <v>0</v>
      </c>
      <c r="AD37" s="164">
        <f ca="1" t="shared" si="36"/>
        <v>0</v>
      </c>
      <c r="AE37" s="168">
        <f ca="1" t="shared" si="6"/>
        <v>0</v>
      </c>
      <c r="AF37" s="168">
        <f ca="1" t="shared" si="7"/>
        <v>0</v>
      </c>
      <c r="AG37">
        <f ca="1" t="shared" si="8"/>
        <v>0.000161012264749072</v>
      </c>
      <c r="AH37">
        <f ca="1" t="shared" si="9"/>
        <v>1</v>
      </c>
      <c r="AI37">
        <f ca="1" t="shared" si="10"/>
        <v>1.00016101226475</v>
      </c>
      <c r="AJ37">
        <f ca="1" t="shared" si="11"/>
        <v>0</v>
      </c>
      <c r="AK37">
        <f ca="1" t="shared" si="18"/>
        <v>0</v>
      </c>
      <c r="AL37">
        <f ca="1" t="shared" si="12"/>
        <v>0</v>
      </c>
      <c r="AM37">
        <f ca="1" t="shared" si="19"/>
        <v>0</v>
      </c>
      <c r="AN37" s="168">
        <f ca="1" t="shared" si="20"/>
        <v>0.00841753350912167</v>
      </c>
      <c r="AO37" s="168">
        <f ca="1" t="shared" si="13"/>
        <v>0.00447057613551372</v>
      </c>
      <c r="AP37" s="172">
        <f ca="1" t="shared" si="14"/>
        <v>0.015897335593515</v>
      </c>
      <c r="AQ37" s="168">
        <f ca="1" t="shared" si="15"/>
        <v>0.00393951131463699</v>
      </c>
      <c r="AR37">
        <f t="shared" si="21"/>
        <v>1</v>
      </c>
      <c r="AX37" s="167" t="s">
        <v>2820</v>
      </c>
      <c r="AY37" s="167" t="s">
        <v>2820</v>
      </c>
      <c r="AZ37" s="164">
        <f ca="1" t="shared" si="16"/>
        <v>0</v>
      </c>
      <c r="BA37">
        <f ca="1" t="shared" si="17"/>
        <v>0</v>
      </c>
      <c r="BB37" s="161" t="s">
        <v>2850</v>
      </c>
      <c r="BC37" s="164">
        <f ca="1" t="shared" si="42"/>
        <v>0</v>
      </c>
      <c r="BD37">
        <f ca="1" t="shared" si="43"/>
        <v>19</v>
      </c>
      <c r="BE37">
        <f ca="1" t="shared" si="44"/>
        <v>0</v>
      </c>
    </row>
    <row r="38" spans="4:58">
      <c r="D38" t="s">
        <v>1825</v>
      </c>
      <c r="E38" t="s">
        <v>2776</v>
      </c>
      <c r="G38" t="s">
        <v>2750</v>
      </c>
      <c r="H38">
        <f ca="1">INDEX(技能数据库!$B$2:$I$100,MATCH(伤害与收益计算!$E38,技能数据库!$B$2:$B$100,0),MATCH(H$9,技能数据库!$B$2:$I$2,0))</f>
        <v>281.5</v>
      </c>
      <c r="I38">
        <f ca="1">INDEX(技能数据库!$B$2:$I$100,MATCH(伤害与收益计算!$E38,技能数据库!$B$2:$B$100,0),MATCH(I$9,技能数据库!$B$2:$I$2,0))</f>
        <v>7.06875</v>
      </c>
      <c r="J38">
        <f ca="1">INDEX(技能数据库!$B$2:$I$100,MATCH(伤害与收益计算!$E38,技能数据库!$B$2:$B$100,0),MATCH(J$9,技能数据库!$B$2:$I$2,0))</f>
        <v>2</v>
      </c>
      <c r="K38">
        <f ca="1">INDEX(技能数据库!$B$2:$I$100,MATCH(伤害与收益计算!$E38,技能数据库!$B$2:$B$100,0),MATCH(K$9,技能数据库!$B$2:$I$2,0))</f>
        <v>0</v>
      </c>
      <c r="L38">
        <f ca="1" t="shared" si="0"/>
        <v>105847</v>
      </c>
      <c r="M38">
        <f ca="1" t="shared" si="28"/>
        <v>19530.5</v>
      </c>
      <c r="N38">
        <f ca="1" t="shared" si="29"/>
        <v>92028</v>
      </c>
      <c r="O38">
        <f ca="1" t="shared" si="1"/>
        <v>787548.48125</v>
      </c>
      <c r="P38">
        <f ca="1">IF(G38="恒定伤害",0,(IF(D38="轻剑",$AZ$2,$AZ$3)+IFERROR(INDEX(技能数据库!$T$2:$W$27,MATCH(E38,技能数据库!$T$2:$T$27,0),4),0)+COUNTIF(G38,"*造化2*")*154+COUNTIF(G38,"*造化1*")*102+COUNTIF(G38,"*碧归*")*307)/1024)</f>
        <v>0.247180646929785</v>
      </c>
      <c r="Q38">
        <f ca="1" t="shared" si="2"/>
        <v>0.448284482196154</v>
      </c>
      <c r="R38">
        <f ca="1" t="shared" si="3"/>
        <v>0.21277697966198</v>
      </c>
      <c r="S38">
        <f ca="1" t="shared" si="30"/>
        <v>1119846.05465265</v>
      </c>
      <c r="T38">
        <f t="shared" si="31"/>
        <v>0.8</v>
      </c>
      <c r="U38">
        <f ca="1" t="shared" si="4"/>
        <v>1.7995442148</v>
      </c>
      <c r="V38">
        <f ca="1" t="shared" si="32"/>
        <v>2508046.83501555</v>
      </c>
      <c r="W38">
        <f ca="1">IF(G38="恒定伤害",0,MIN(1,IF(COUNTIF(F38,"*内会*")&gt;0,内会,IF(D38="轻剑",$Y$2,$Y$3)+COUNTIF(G38,"*莺鸣*")*0.2+COUNTIF(G38,"*叠1*")*0.1+COUNTIF(G38,"*叠2*")*0.2+COUNTIF(G38,"*叠3*")*0.3)+IFERROR(INDEX(技能数据库!$T$2:$W$27,MATCH(E38,技能数据库!$T$2:$T$27,0),2),0)+IF((IF(D38="轻剑",$AO$2,$AO$3)+INT(COUNTIF(G38,"*大莺鸣*")*IF(D38="轻剑",$AM$2,$AM$3)*听晓无双率)/无双系数)&gt;0.9,特效裤子会心/会心系数,0)))</f>
        <v>0.7343</v>
      </c>
      <c r="X38">
        <f ca="1">IF(G38="恒定伤害",0,IF(COUNTIF(F38,"*内会*")&gt;0,内会效,IF(D38="轻剑",$AB$2,$AB$3))+IFERROR(INDEX(技能数据库!$T$2:$W$27,MATCH(E38,技能数据库!$T$2:$T$27,0),3)/1024,0))+COUNTIF(G38,"*叠1*")*0.25+COUNTIF(G38,"*叠2*")*0.5+COUNTIF(G38,"*叠3*")*0.75</f>
        <v>2.3156473116</v>
      </c>
      <c r="Y38">
        <f ca="1" t="shared" si="33"/>
        <v>1.96607982090788</v>
      </c>
      <c r="Z38">
        <f t="shared" si="5"/>
        <v>0.150390625</v>
      </c>
      <c r="AA38">
        <f ca="1" t="shared" si="34"/>
        <v>0.0205078125</v>
      </c>
      <c r="AB38">
        <f ca="1" t="shared" si="35"/>
        <v>5788932.09962897</v>
      </c>
      <c r="AC38">
        <f ca="1">技能数计算!AJ30</f>
        <v>8</v>
      </c>
      <c r="AD38" s="164">
        <f ca="1" t="shared" si="36"/>
        <v>0.0148665551079493</v>
      </c>
      <c r="AE38" s="168">
        <f ca="1" t="shared" si="6"/>
        <v>0.00445191640067048</v>
      </c>
      <c r="AF38" s="168">
        <f ca="1" t="shared" si="7"/>
        <v>0.00151419249530805</v>
      </c>
      <c r="AG38">
        <f ca="1" t="shared" si="8"/>
        <v>0.00377305704150266</v>
      </c>
      <c r="AH38">
        <f ca="1" t="shared" si="9"/>
        <v>1.0030370262927</v>
      </c>
      <c r="AI38">
        <f ca="1" t="shared" si="10"/>
        <v>1.00016101226475</v>
      </c>
      <c r="AJ38">
        <f ca="1" t="shared" si="11"/>
        <v>1.0005726976962</v>
      </c>
      <c r="AK38">
        <f ca="1" t="shared" si="18"/>
        <v>8</v>
      </c>
      <c r="AL38">
        <f ca="1" t="shared" si="12"/>
        <v>0.00495187192404045</v>
      </c>
      <c r="AM38">
        <f ca="1" t="shared" si="19"/>
        <v>8</v>
      </c>
      <c r="AN38" s="168">
        <f ca="1" t="shared" si="20"/>
        <v>0.00750104430192855</v>
      </c>
      <c r="AO38" s="168">
        <f ca="1" t="shared" si="13"/>
        <v>0.00447057613551372</v>
      </c>
      <c r="AP38" s="172">
        <f ca="1" t="shared" si="14"/>
        <v>0</v>
      </c>
      <c r="AQ38" s="168">
        <f ca="1" t="shared" si="15"/>
        <v>0.00401583628616287</v>
      </c>
      <c r="AR38">
        <f t="shared" si="21"/>
        <v>1</v>
      </c>
      <c r="AX38" s="167" t="s">
        <v>2718</v>
      </c>
      <c r="AY38" s="167" t="s">
        <v>2813</v>
      </c>
      <c r="AZ38" s="164">
        <f ca="1" t="shared" si="16"/>
        <v>0</v>
      </c>
      <c r="BA38" s="173">
        <f ca="1" t="shared" si="17"/>
        <v>0</v>
      </c>
      <c r="BB38" s="161" t="s">
        <v>2853</v>
      </c>
      <c r="BC38" s="164">
        <f ca="1" t="shared" si="42"/>
        <v>0</v>
      </c>
      <c r="BD38">
        <f ca="1" t="shared" si="43"/>
        <v>19</v>
      </c>
      <c r="BE38">
        <f ca="1" t="shared" si="44"/>
        <v>0</v>
      </c>
    </row>
    <row r="39" spans="4:58">
      <c r="D39" t="s">
        <v>1825</v>
      </c>
      <c r="E39" t="s">
        <v>2776</v>
      </c>
      <c r="G39" t="s">
        <v>3044</v>
      </c>
      <c r="H39">
        <f ca="1">INDEX(技能数据库!$B$2:$I$100,MATCH(伤害与收益计算!$E39,技能数据库!$B$2:$B$100,0),MATCH(H$9,技能数据库!$B$2:$I$2,0))</f>
        <v>281.5</v>
      </c>
      <c r="I39">
        <f ca="1">INDEX(技能数据库!$B$2:$I$100,MATCH(伤害与收益计算!$E39,技能数据库!$B$2:$B$100,0),MATCH(I$9,技能数据库!$B$2:$I$2,0))</f>
        <v>7.06875</v>
      </c>
      <c r="J39">
        <f ca="1">INDEX(技能数据库!$B$2:$I$100,MATCH(伤害与收益计算!$E39,技能数据库!$B$2:$B$100,0),MATCH(J$9,技能数据库!$B$2:$I$2,0))</f>
        <v>2</v>
      </c>
      <c r="K39">
        <f ca="1">INDEX(技能数据库!$B$2:$I$100,MATCH(伤害与收益计算!$E39,技能数据库!$B$2:$B$100,0),MATCH(K$9,技能数据库!$B$2:$I$2,0))</f>
        <v>0</v>
      </c>
      <c r="L39">
        <f ca="1" t="shared" si="0"/>
        <v>105847</v>
      </c>
      <c r="M39">
        <f ca="1" t="shared" si="28"/>
        <v>19530.5</v>
      </c>
      <c r="N39">
        <f ca="1" t="shared" si="29"/>
        <v>92028</v>
      </c>
      <c r="O39">
        <f ca="1" t="shared" si="1"/>
        <v>787548.48125</v>
      </c>
      <c r="P39">
        <f ca="1">IF(G39="恒定伤害",0,(IF(D39="轻剑",$AZ$2,$AZ$3)+IFERROR(INDEX(技能数据库!$T$2:$W$27,MATCH(E39,技能数据库!$T$2:$T$27,0),4),0)+COUNTIF(G39,"*造化2*")*154+COUNTIF(G39,"*造化1*")*102+COUNTIF(G39,"*碧归*")*307)/1024)</f>
        <v>0.247180646929785</v>
      </c>
      <c r="Q39">
        <f ca="1" t="shared" si="2"/>
        <v>0.448284482196154</v>
      </c>
      <c r="R39">
        <f ca="1" t="shared" si="3"/>
        <v>0.21277697966198</v>
      </c>
      <c r="S39">
        <f ca="1" t="shared" si="30"/>
        <v>1119846.05465265</v>
      </c>
      <c r="T39">
        <f t="shared" si="31"/>
        <v>0.8</v>
      </c>
      <c r="U39">
        <f ca="1" t="shared" si="4"/>
        <v>2.68954760480339</v>
      </c>
      <c r="V39">
        <f ca="1" t="shared" si="32"/>
        <v>3305380.26295377</v>
      </c>
      <c r="W39">
        <f ca="1">IF(G39="恒定伤害",0,MIN(1,IF(COUNTIF(F39,"*内会*")&gt;0,内会,IF(D39="轻剑",$Y$2,$Y$3)+COUNTIF(G39,"*莺鸣*")*0.2+COUNTIF(G39,"*叠1*")*0.1+COUNTIF(G39,"*叠2*")*0.2+COUNTIF(G39,"*叠3*")*0.3)+IFERROR(INDEX(技能数据库!$T$2:$W$27,MATCH(E39,技能数据库!$T$2:$T$27,0),2),0)+IF((IF(D39="轻剑",$AO$2,$AO$3)+INT(COUNTIF(G39,"*大莺鸣*")*IF(D39="轻剑",$AM$2,$AM$3)*听晓无双率)/无双系数)&gt;0.9,特效裤子会心/会心系数,0)))</f>
        <v>0.9343</v>
      </c>
      <c r="X39">
        <f ca="1">IF(G39="恒定伤害",0,IF(COUNTIF(F39,"*内会*")&gt;0,内会效,IF(D39="轻剑",$AB$2,$AB$3))+IFERROR(INDEX(技能数据库!$T$2:$W$27,MATCH(E39,技能数据库!$T$2:$T$27,0),3)/1024,0))+COUNTIF(G39,"*叠1*")*0.25+COUNTIF(G39,"*叠2*")*0.5+COUNTIF(G39,"*叠3*")*0.75</f>
        <v>2.3156473116</v>
      </c>
      <c r="Y39">
        <f ca="1" t="shared" si="33"/>
        <v>2.22920928322788</v>
      </c>
      <c r="Z39">
        <f t="shared" si="5"/>
        <v>0.150390625</v>
      </c>
      <c r="AA39">
        <f ca="1" t="shared" si="34"/>
        <v>0.0205078125</v>
      </c>
      <c r="AB39">
        <f ca="1" t="shared" si="35"/>
        <v>8650355.18583622</v>
      </c>
      <c r="AC39">
        <f ca="1">技能数计算!AJ31</f>
        <v>0</v>
      </c>
      <c r="AD39" s="164">
        <f ca="1" t="shared" si="36"/>
        <v>0</v>
      </c>
      <c r="AE39" s="168">
        <f ca="1" t="shared" si="6"/>
        <v>0.00445191640067048</v>
      </c>
      <c r="AF39" s="168">
        <f ca="1" t="shared" si="7"/>
        <v>0.00151419249530805</v>
      </c>
      <c r="AG39">
        <f ca="1" t="shared" si="8"/>
        <v>0.00319852755593519</v>
      </c>
      <c r="AH39">
        <f ca="1" t="shared" si="9"/>
        <v>1.0030370262927</v>
      </c>
      <c r="AI39">
        <f ca="1" t="shared" si="10"/>
        <v>1.00016101226475</v>
      </c>
      <c r="AJ39">
        <f ca="1" t="shared" si="11"/>
        <v>0</v>
      </c>
      <c r="AK39">
        <f ca="1" t="shared" si="18"/>
        <v>0</v>
      </c>
      <c r="AL39">
        <f ca="1" t="shared" si="12"/>
        <v>0</v>
      </c>
      <c r="AM39">
        <f ca="1" t="shared" si="19"/>
        <v>0</v>
      </c>
      <c r="AN39" s="168">
        <f ca="1" t="shared" si="20"/>
        <v>0.00841753350912167</v>
      </c>
      <c r="AO39" s="168">
        <f ca="1" t="shared" si="13"/>
        <v>0.00447057613551372</v>
      </c>
      <c r="AP39" s="172">
        <f ca="1" t="shared" si="14"/>
        <v>0</v>
      </c>
      <c r="AQ39" s="168">
        <f ca="1" t="shared" si="15"/>
        <v>0.00393951131463699</v>
      </c>
      <c r="AR39">
        <f t="shared" si="21"/>
        <v>1</v>
      </c>
      <c r="AX39" s="167" t="s">
        <v>2922</v>
      </c>
      <c r="AY39" s="167" t="s">
        <v>3153</v>
      </c>
      <c r="AZ39" s="164">
        <f ca="1" t="shared" si="16"/>
        <v>0</v>
      </c>
      <c r="BA39">
        <f ca="1" t="shared" si="17"/>
        <v>19.830626450116</v>
      </c>
      <c r="BB39" s="161" t="s">
        <v>2855</v>
      </c>
      <c r="BC39" s="164">
        <f ca="1" t="shared" si="42"/>
        <v>0</v>
      </c>
      <c r="BD39">
        <f ca="1" t="shared" si="43"/>
        <v>19</v>
      </c>
      <c r="BE39">
        <f ca="1" t="shared" si="44"/>
        <v>0</v>
      </c>
    </row>
    <row r="40" spans="4:58">
      <c r="D40" t="s">
        <v>1825</v>
      </c>
      <c r="E40" t="s">
        <v>2780</v>
      </c>
      <c r="G40" t="s">
        <v>2750</v>
      </c>
      <c r="H40">
        <f ca="1">INDEX(技能数据库!$B$2:$I$100,MATCH(伤害与收益计算!$E40,技能数据库!$B$2:$B$100,0),MATCH(H$9,技能数据库!$B$2:$I$2,0))</f>
        <v>252.5</v>
      </c>
      <c r="I40">
        <f ca="1">INDEX(技能数据库!$B$2:$I$100,MATCH(伤害与收益计算!$E40,技能数据库!$B$2:$B$100,0),MATCH(I$9,技能数据库!$B$2:$I$2,0))</f>
        <v>2.11875</v>
      </c>
      <c r="J40">
        <f ca="1">INDEX(技能数据库!$B$2:$I$100,MATCH(伤害与收益计算!$E40,技能数据库!$B$2:$B$100,0),MATCH(J$9,技能数据库!$B$2:$I$2,0))</f>
        <v>2</v>
      </c>
      <c r="K40">
        <f ca="1">INDEX(技能数据库!$B$2:$I$100,MATCH(伤害与收益计算!$E40,技能数据库!$B$2:$B$100,0),MATCH(K$9,技能数据库!$B$2:$I$2,0))</f>
        <v>0</v>
      </c>
      <c r="L40">
        <f ca="1" t="shared" si="0"/>
        <v>105847</v>
      </c>
      <c r="M40">
        <f ca="1" t="shared" si="28"/>
        <v>19530.5</v>
      </c>
      <c r="N40">
        <f ca="1" t="shared" si="29"/>
        <v>92028</v>
      </c>
      <c r="O40">
        <f ca="1" t="shared" si="1"/>
        <v>263576.83125</v>
      </c>
      <c r="P40">
        <f ca="1">IF(G40="恒定伤害",0,(IF(D40="轻剑",$AZ$2,$AZ$3)+IFERROR(INDEX(技能数据库!$T$2:$W$27,MATCH(E40,技能数据库!$T$2:$T$27,0),4),0)+COUNTIF(G40,"*造化2*")*154+COUNTIF(G40,"*造化1*")*102+COUNTIF(G40,"*碧归*")*307)/1024)</f>
        <v>0.247180646929785</v>
      </c>
      <c r="Q40">
        <f ca="1" t="shared" si="2"/>
        <v>0.448284482196154</v>
      </c>
      <c r="R40">
        <f ca="1" t="shared" si="3"/>
        <v>0.21277697966198</v>
      </c>
      <c r="S40">
        <f ca="1" t="shared" si="30"/>
        <v>374790.227650077</v>
      </c>
      <c r="T40">
        <f t="shared" si="31"/>
        <v>0.8</v>
      </c>
      <c r="U40">
        <f ca="1" t="shared" si="4"/>
        <v>1.7995442148</v>
      </c>
      <c r="V40">
        <f ca="1" t="shared" si="32"/>
        <v>839393.450865079</v>
      </c>
      <c r="W40">
        <f ca="1">IF(G40="恒定伤害",0,MIN(1,IF(COUNTIF(F40,"*内会*")&gt;0,内会,IF(D40="轻剑",$Y$2,$Y$3)+COUNTIF(G40,"*莺鸣*")*0.2+COUNTIF(G40,"*叠1*")*0.1+COUNTIF(G40,"*叠2*")*0.2+COUNTIF(G40,"*叠3*")*0.3)+IFERROR(INDEX(技能数据库!$T$2:$W$27,MATCH(E40,技能数据库!$T$2:$T$27,0),2),0)+IF((IF(D40="轻剑",$AO$2,$AO$3)+INT(COUNTIF(G40,"*大莺鸣*")*IF(D40="轻剑",$AM$2,$AM$3)*听晓无双率)/无双系数)&gt;0.9,特效裤子会心/会心系数,0)))</f>
        <v>0.7343</v>
      </c>
      <c r="X40">
        <f ca="1">IF(G40="恒定伤害",0,IF(COUNTIF(F40,"*内会*")&gt;0,内会效,IF(D40="轻剑",$AB$2,$AB$3))+IFERROR(INDEX(技能数据库!$T$2:$W$27,MATCH(E40,技能数据库!$T$2:$T$27,0),3)/1024,0))+COUNTIF(G40,"*叠1*")*0.25+COUNTIF(G40,"*叠2*")*0.5+COUNTIF(G40,"*叠3*")*0.75</f>
        <v>2.3156473116</v>
      </c>
      <c r="Y40">
        <f ca="1" t="shared" si="33"/>
        <v>1.96607982090788</v>
      </c>
      <c r="Z40">
        <f t="shared" si="5"/>
        <v>0.150390625</v>
      </c>
      <c r="AA40">
        <f ca="1" t="shared" si="34"/>
        <v>0.0205078125</v>
      </c>
      <c r="AB40">
        <f ca="1" t="shared" si="35"/>
        <v>1937440.57092182</v>
      </c>
      <c r="AC40">
        <f ca="1">技能数计算!AJ32</f>
        <v>8</v>
      </c>
      <c r="AD40" s="164">
        <f ca="1" t="shared" si="36"/>
        <v>0.00497554065590647</v>
      </c>
      <c r="AE40" s="168">
        <f ca="1" t="shared" si="6"/>
        <v>0.00398707274465726</v>
      </c>
      <c r="AF40" s="168">
        <f ca="1" t="shared" si="7"/>
        <v>0.00452429750499931</v>
      </c>
      <c r="AG40">
        <f ca="1" t="shared" si="8"/>
        <v>0.0034557154254875</v>
      </c>
      <c r="AH40">
        <f ca="1" t="shared" si="9"/>
        <v>1.0027199173719</v>
      </c>
      <c r="AI40">
        <f ca="1" t="shared" si="10"/>
        <v>1.00016101226475</v>
      </c>
      <c r="AJ40">
        <f ca="1" t="shared" si="11"/>
        <v>1.0005726976962</v>
      </c>
      <c r="AK40">
        <f ca="1" t="shared" si="18"/>
        <v>8</v>
      </c>
      <c r="AL40">
        <f ca="1" t="shared" si="12"/>
        <v>0.00495187192404045</v>
      </c>
      <c r="AM40">
        <f ca="1" t="shared" si="19"/>
        <v>8</v>
      </c>
      <c r="AN40" s="168">
        <f ca="1" t="shared" si="20"/>
        <v>0.00750104430192855</v>
      </c>
      <c r="AO40" s="168">
        <f ca="1" t="shared" si="13"/>
        <v>0.00447057613551372</v>
      </c>
      <c r="AP40" s="172">
        <f ca="1" t="shared" si="14"/>
        <v>0</v>
      </c>
      <c r="AQ40" s="168">
        <f ca="1" t="shared" si="15"/>
        <v>0.00401583628616287</v>
      </c>
      <c r="AR40">
        <f t="shared" si="21"/>
        <v>1</v>
      </c>
      <c r="AX40" s="161" t="s">
        <v>2844</v>
      </c>
      <c r="AY40" s="167" t="s">
        <v>3154</v>
      </c>
      <c r="AZ40" s="164">
        <f ca="1" t="shared" si="16"/>
        <v>0</v>
      </c>
      <c r="BA40">
        <f ca="1" t="shared" si="17"/>
        <v>0</v>
      </c>
      <c r="BB40" s="161" t="s">
        <v>2857</v>
      </c>
      <c r="BC40" s="164">
        <f ca="1" t="shared" si="42"/>
        <v>0</v>
      </c>
      <c r="BD40">
        <f ca="1" t="shared" si="43"/>
        <v>19</v>
      </c>
      <c r="BE40">
        <f ca="1" t="shared" si="44"/>
        <v>0</v>
      </c>
    </row>
    <row r="41" spans="4:58">
      <c r="D41" t="s">
        <v>1825</v>
      </c>
      <c r="E41" t="s">
        <v>2780</v>
      </c>
      <c r="G41" t="s">
        <v>3044</v>
      </c>
      <c r="H41">
        <f ca="1">INDEX(技能数据库!$B$2:$I$100,MATCH(伤害与收益计算!$E41,技能数据库!$B$2:$B$100,0),MATCH(H$9,技能数据库!$B$2:$I$2,0))</f>
        <v>252.5</v>
      </c>
      <c r="I41">
        <f ca="1">INDEX(技能数据库!$B$2:$I$100,MATCH(伤害与收益计算!$E41,技能数据库!$B$2:$B$100,0),MATCH(I$9,技能数据库!$B$2:$I$2,0))</f>
        <v>2.11875</v>
      </c>
      <c r="J41">
        <f ca="1">INDEX(技能数据库!$B$2:$I$100,MATCH(伤害与收益计算!$E41,技能数据库!$B$2:$B$100,0),MATCH(J$9,技能数据库!$B$2:$I$2,0))</f>
        <v>2</v>
      </c>
      <c r="K41">
        <f ca="1">INDEX(技能数据库!$B$2:$I$100,MATCH(伤害与收益计算!$E41,技能数据库!$B$2:$B$100,0),MATCH(K$9,技能数据库!$B$2:$I$2,0))</f>
        <v>0</v>
      </c>
      <c r="L41">
        <f ca="1" t="shared" si="0"/>
        <v>105847</v>
      </c>
      <c r="M41">
        <f ca="1" t="shared" si="28"/>
        <v>19530.5</v>
      </c>
      <c r="N41">
        <f ca="1" t="shared" si="29"/>
        <v>92028</v>
      </c>
      <c r="O41">
        <f ca="1" t="shared" si="1"/>
        <v>263576.83125</v>
      </c>
      <c r="P41">
        <f ca="1">IF(G41="恒定伤害",0,(IF(D41="轻剑",$AZ$2,$AZ$3)+IFERROR(INDEX(技能数据库!$T$2:$W$27,MATCH(E41,技能数据库!$T$2:$T$27,0),4),0)+COUNTIF(G41,"*造化2*")*154+COUNTIF(G41,"*造化1*")*102+COUNTIF(G41,"*碧归*")*307)/1024)</f>
        <v>0.247180646929785</v>
      </c>
      <c r="Q41">
        <f ca="1" t="shared" si="2"/>
        <v>0.448284482196154</v>
      </c>
      <c r="R41">
        <f ca="1" t="shared" si="3"/>
        <v>0.21277697966198</v>
      </c>
      <c r="S41">
        <f ca="1" t="shared" si="30"/>
        <v>374790.227650077</v>
      </c>
      <c r="T41">
        <f t="shared" si="31"/>
        <v>0.8</v>
      </c>
      <c r="U41">
        <f ca="1" t="shared" si="4"/>
        <v>2.68954760480339</v>
      </c>
      <c r="V41">
        <f ca="1" t="shared" si="32"/>
        <v>1106245.10938405</v>
      </c>
      <c r="W41">
        <f ca="1">IF(G41="恒定伤害",0,MIN(1,IF(COUNTIF(F41,"*内会*")&gt;0,内会,IF(D41="轻剑",$Y$2,$Y$3)+COUNTIF(G41,"*莺鸣*")*0.2+COUNTIF(G41,"*叠1*")*0.1+COUNTIF(G41,"*叠2*")*0.2+COUNTIF(G41,"*叠3*")*0.3)+IFERROR(INDEX(技能数据库!$T$2:$W$27,MATCH(E41,技能数据库!$T$2:$T$27,0),2),0)+IF((IF(D41="轻剑",$AO$2,$AO$3)+INT(COUNTIF(G41,"*大莺鸣*")*IF(D41="轻剑",$AM$2,$AM$3)*听晓无双率)/无双系数)&gt;0.9,特效裤子会心/会心系数,0)))</f>
        <v>0.9343</v>
      </c>
      <c r="X41">
        <f ca="1">IF(G41="恒定伤害",0,IF(COUNTIF(F41,"*内会*")&gt;0,内会效,IF(D41="轻剑",$AB$2,$AB$3))+IFERROR(INDEX(技能数据库!$T$2:$W$27,MATCH(E41,技能数据库!$T$2:$T$27,0),3)/1024,0))+COUNTIF(G41,"*叠1*")*0.25+COUNTIF(G41,"*叠2*")*0.5+COUNTIF(G41,"*叠3*")*0.75</f>
        <v>2.3156473116</v>
      </c>
      <c r="Y41">
        <f ca="1" t="shared" si="33"/>
        <v>2.22920928322788</v>
      </c>
      <c r="Z41">
        <f t="shared" si="5"/>
        <v>0.150390625</v>
      </c>
      <c r="AA41">
        <f ca="1" t="shared" si="34"/>
        <v>0.0205078125</v>
      </c>
      <c r="AB41">
        <f ca="1" t="shared" si="35"/>
        <v>2895102.03289433</v>
      </c>
      <c r="AC41">
        <f ca="1">技能数计算!AJ33</f>
        <v>0</v>
      </c>
      <c r="AD41" s="164">
        <f ca="1" t="shared" si="36"/>
        <v>0</v>
      </c>
      <c r="AE41" s="168">
        <f ca="1" t="shared" si="6"/>
        <v>0.00398707274465726</v>
      </c>
      <c r="AF41" s="168">
        <f ca="1" t="shared" si="7"/>
        <v>0.00452429750499931</v>
      </c>
      <c r="AG41">
        <f ca="1" t="shared" si="8"/>
        <v>0.00288136757670965</v>
      </c>
      <c r="AH41">
        <f ca="1" t="shared" si="9"/>
        <v>1.0027199173719</v>
      </c>
      <c r="AI41">
        <f ca="1" t="shared" si="10"/>
        <v>1.00016101226475</v>
      </c>
      <c r="AJ41">
        <f ca="1" t="shared" si="11"/>
        <v>0</v>
      </c>
      <c r="AK41">
        <f ca="1" t="shared" si="18"/>
        <v>0</v>
      </c>
      <c r="AL41">
        <f ca="1" t="shared" si="12"/>
        <v>0</v>
      </c>
      <c r="AM41">
        <f ca="1" t="shared" si="19"/>
        <v>0</v>
      </c>
      <c r="AN41" s="168">
        <f ca="1" t="shared" si="20"/>
        <v>0.00841753350912167</v>
      </c>
      <c r="AO41" s="168">
        <f ca="1" t="shared" si="13"/>
        <v>0.00447057613551372</v>
      </c>
      <c r="AP41" s="172">
        <f ca="1" t="shared" si="14"/>
        <v>0</v>
      </c>
      <c r="AQ41" s="168">
        <f ca="1" t="shared" si="15"/>
        <v>0.00393951131463699</v>
      </c>
      <c r="AR41">
        <f t="shared" si="21"/>
        <v>1</v>
      </c>
      <c r="AX41" s="161" t="s">
        <v>2847</v>
      </c>
      <c r="AY41" s="167" t="s">
        <v>3155</v>
      </c>
      <c r="AZ41" s="164">
        <f ca="1" t="shared" si="16"/>
        <v>0</v>
      </c>
      <c r="BA41">
        <f ca="1" t="shared" si="17"/>
        <v>0</v>
      </c>
      <c r="BB41" s="161" t="s">
        <v>2859</v>
      </c>
      <c r="BC41" s="164">
        <f ca="1" t="shared" si="42"/>
        <v>0</v>
      </c>
      <c r="BD41">
        <f ca="1" t="shared" si="43"/>
        <v>19</v>
      </c>
      <c r="BE41">
        <f ca="1" t="shared" si="44"/>
        <v>0</v>
      </c>
    </row>
    <row r="42" spans="4:58">
      <c r="D42" t="s">
        <v>1825</v>
      </c>
      <c r="E42" t="s">
        <v>2776</v>
      </c>
      <c r="G42" t="s">
        <v>3069</v>
      </c>
      <c r="H42">
        <f ca="1">INDEX(技能数据库!$B$2:$I$100,MATCH(伤害与收益计算!$E42,技能数据库!$B$2:$B$100,0),MATCH(H$9,技能数据库!$B$2:$I$2,0))</f>
        <v>281.5</v>
      </c>
      <c r="I42">
        <f ca="1">INDEX(技能数据库!$B$2:$I$100,MATCH(伤害与收益计算!$E42,技能数据库!$B$2:$B$100,0),MATCH(I$9,技能数据库!$B$2:$I$2,0))</f>
        <v>7.06875</v>
      </c>
      <c r="J42">
        <f ca="1">INDEX(技能数据库!$B$2:$I$100,MATCH(伤害与收益计算!$E42,技能数据库!$B$2:$B$100,0),MATCH(J$9,技能数据库!$B$2:$I$2,0))</f>
        <v>2</v>
      </c>
      <c r="K42">
        <f ca="1">INDEX(技能数据库!$B$2:$I$100,MATCH(伤害与收益计算!$E42,技能数据库!$B$2:$B$100,0),MATCH(K$9,技能数据库!$B$2:$I$2,0))</f>
        <v>0</v>
      </c>
      <c r="L42">
        <f ca="1" t="shared" si="0"/>
        <v>105847</v>
      </c>
      <c r="M42">
        <f ca="1" t="shared" si="28"/>
        <v>19530.5</v>
      </c>
      <c r="N42">
        <f ca="1" t="shared" si="29"/>
        <v>92028</v>
      </c>
      <c r="O42">
        <f ca="1" t="shared" ref="O42:O73" si="45">H42+I42*L42+J42*M42+IF(K42&gt;0,MAX(1,K42*N42*破招全局系数),0)</f>
        <v>787548.48125</v>
      </c>
      <c r="P42">
        <f ca="1">IF(G42="恒定伤害",0,(IF(D42="轻剑",$AZ$2,$AZ$3)+IFERROR(INDEX(技能数据库!$T$2:$W$27,MATCH(E42,技能数据库!$T$2:$T$27,0),4),0)+COUNTIF(G42,"*造化2*")*154+COUNTIF(G42,"*造化1*")*102+COUNTIF(G42,"*碧归*")*307)/1024)</f>
        <v>0.397571271929785</v>
      </c>
      <c r="Q42">
        <f ca="1" t="shared" ref="Q42:Q73" si="46">IF(G42="恒定伤害",0,(IF(COUNTIF(F42,"*内破*")&gt;0,内破,IF(D42="轻剑",$AF$2,$AF$3)/破防系数))+IF((IF(D42="轻剑",$AO$2,$AO$3)+INT(COUNTIF(G42,"*大莺鸣*")*IF(D42="轻剑",$AM$2,$AM$3)*听晓无双率)/无双系数)&gt;0.9,(特效裤子破防+特效裤子破防*IF(D42="轻剑",$AD$2,$AD$3)/1024)/破防系数,0))</f>
        <v>0.448284482196154</v>
      </c>
      <c r="R42">
        <f ca="1" t="shared" ref="R42:R73" si="47">IF(G42="恒定伤害",0,(($F$5-IF(D42="轻剑",$BB$2,$BB$3))*(1024-IF(D42="轻剑",$BD$2,$BD$3))/1024*(1024-IF(D42="轻剑",$BC$2,$BC$3)-COUNTIF(G42,"*雾锁*")*461*雾锁)/1024/(($F$5-IF(D42="轻剑",$BB$2,$BB$3))*(1024-IF(D42="轻剑",$BD$2,$BD$3))/1024*(1024-IF(D42="轻剑",$BC$2,$BC$3)-COUNTIF(G42,"*雾锁*")*461*雾锁)/1024+$F$7)))</f>
        <v>0.21277697966198</v>
      </c>
      <c r="S42">
        <f ca="1" t="shared" si="30"/>
        <v>1254882.10454453</v>
      </c>
      <c r="T42">
        <f t="shared" si="31"/>
        <v>0.8</v>
      </c>
      <c r="U42">
        <f ca="1" t="shared" ref="U42:U73" si="48">IF(G42="恒定伤害",0,(IF(D42="轻剑",$AO$2,$AO$3)+INT(COUNTIF(G42,"*大莺鸣*")*IF(D42="轻剑",$AM$2,$AM$3)*听晓无双率)/无双系数)+IF((IF(D42="轻剑",$AO$2,$AO$3)+INT(COUNTIF(G42,"*大莺鸣*")*IF(D42="轻剑",$AM$2,$AM$3)*听晓无双率)/无双系数)&lt;=0.9,特效裤子无双,0))</f>
        <v>1.7995442148</v>
      </c>
      <c r="V42">
        <f ca="1" t="shared" si="32"/>
        <v>2810478.34882695</v>
      </c>
      <c r="W42">
        <f ca="1">IF(G42="恒定伤害",0,MIN(1,IF(COUNTIF(F42,"*内会*")&gt;0,内会,IF(D42="轻剑",$Y$2,$Y$3)+COUNTIF(G42,"*莺鸣*")*0.2+COUNTIF(G42,"*叠1*")*0.1+COUNTIF(G42,"*叠2*")*0.2+COUNTIF(G42,"*叠3*")*0.3)+IFERROR(INDEX(技能数据库!$T$2:$W$27,MATCH(E42,技能数据库!$T$2:$T$27,0),2),0)+IF((IF(D42="轻剑",$AO$2,$AO$3)+INT(COUNTIF(G42,"*大莺鸣*")*IF(D42="轻剑",$AM$2,$AM$3)*听晓无双率)/无双系数)&gt;0.9,特效裤子会心/会心系数,0)))</f>
        <v>0.7343</v>
      </c>
      <c r="X42">
        <f ca="1">IF(G42="恒定伤害",0,IF(COUNTIF(F42,"*内会*")&gt;0,内会效,IF(D42="轻剑",$AB$2,$AB$3))+IFERROR(INDEX(技能数据库!$T$2:$W$27,MATCH(E42,技能数据库!$T$2:$T$27,0),3)/1024,0))+COUNTIF(G42,"*叠1*")*0.25+COUNTIF(G42,"*叠2*")*0.5+COUNTIF(G42,"*叠3*")*0.75</f>
        <v>2.3156473116</v>
      </c>
      <c r="Y42">
        <f ca="1" t="shared" si="33"/>
        <v>1.96607982090788</v>
      </c>
      <c r="Z42">
        <f t="shared" ref="Z42:Z73" si="49">IF(G42="恒定伤害",0,非侠士伤害/1024)</f>
        <v>0.150390625</v>
      </c>
      <c r="AA42">
        <f ca="1" t="shared" si="34"/>
        <v>0.0205078125</v>
      </c>
      <c r="AB42">
        <f ca="1" t="shared" si="35"/>
        <v>6486987.44444926</v>
      </c>
      <c r="AC42">
        <f ca="1">技能数计算!AJ34</f>
        <v>12</v>
      </c>
      <c r="AD42" s="164">
        <f ca="1" t="shared" si="36"/>
        <v>0.0249888463021515</v>
      </c>
      <c r="AE42" s="168">
        <f ca="1" t="shared" si="6"/>
        <v>0.00445191640067048</v>
      </c>
      <c r="AF42" s="168">
        <f ca="1" t="shared" ref="AF42:AF76" si="50">IFERROR((delta武伤+INT((IF(D42="轻剑",$AW$2,$AW$3))/1024*delta武伤))*J42/O42,0)</f>
        <v>0.00151419249530805</v>
      </c>
      <c r="AG42">
        <f ca="1" t="shared" si="8"/>
        <v>0.00377305704150266</v>
      </c>
      <c r="AH42">
        <f ca="1" t="shared" ref="AH42:AH73" si="51">IFERROR((delta身法+INT((IF(D42="轻剑",$N$2,$N$3))/1024*delta身法))*身法转额外攻击*I42/O42+1,0)</f>
        <v>1.0030370262927</v>
      </c>
      <c r="AI42">
        <f ca="1" t="shared" ref="AI42:AI73" si="52">IFERROR(((delta身法+INT((IF(D42="轻剑",$N$2,$N$3))/1024*delta身法))*身法转额外破防/破防系数+Q42+1)/(1+Q42),0)</f>
        <v>1.00016101226475</v>
      </c>
      <c r="AJ42">
        <f ca="1" t="shared" ref="AJ42:AJ73" si="53">IFERROR(((1+MIN(1,((delta身法+INT((IF(D42="轻剑",$N$2,$N$3))/1024*delta身法))*身法转基础会心/会心系数)+W42)*(X42-1))*AK42)/(Y42*AC42),0)</f>
        <v>1.0005726976962</v>
      </c>
      <c r="AK42">
        <f ca="1" t="shared" si="18"/>
        <v>12</v>
      </c>
      <c r="AL42">
        <f ca="1" t="shared" ref="AL42:AL73" si="54">IF(G42="恒定伤害",0,IFERROR(((1+MIN(1,W42+delta会心/会心系数)*(X42-1))*AM42)/(Y42*AC42)-1,0))</f>
        <v>0.00495187192404023</v>
      </c>
      <c r="AM42">
        <f ca="1" t="shared" si="19"/>
        <v>12</v>
      </c>
      <c r="AN42" s="168">
        <f ca="1" t="shared" ref="AN42:AN73" si="55">IF(OR(COUNTIF(F42,"*内会*")&gt;0,G42="恒定伤害"),0,(1+W42*(MIN(3+COUNTIF(G42,"*叠*")*0.75,X42+delta会效/会效系数)-1))/Y42-1)</f>
        <v>0.00750104430192855</v>
      </c>
      <c r="AO42" s="168">
        <f ca="1" t="shared" ref="AO42:AO73" si="56">IF(OR(COUNTIF(F42,"*内破*")&gt;0,G42="恒定伤害"),0,IFERROR(((delta破防+INT((IF(D42="轻剑",$AD$2,$AD$3))/1024*delta破防))/破防系数+Q42+1)/(Q42+1)-1,0))</f>
        <v>0.00447057613551372</v>
      </c>
      <c r="AP42" s="172">
        <f ca="1" t="shared" ref="AP42:AP73" si="57">IFERROR((delta破招+INT((IF(D42="轻剑",$AI$2,$AI$3))/1024*delta破招))*K42*破招全局系数/MAX(1,O42),0)</f>
        <v>0</v>
      </c>
      <c r="AQ42" s="168">
        <f ca="1" t="shared" ref="AQ42:AQ73" si="58">IF(G42="恒定伤害",0,IFERROR(((delta无双+INT((IF(D42="轻剑",$AL$2,$AL$3)+COUNTIF(G42,"*大莺鸣*")*307)/1024*delta无双))/无双系数+U42+1)/(U42+1)-1,0))</f>
        <v>0.00401583628616287</v>
      </c>
      <c r="AR42">
        <f t="shared" si="21"/>
        <v>1</v>
      </c>
      <c r="AX42" s="161" t="s">
        <v>2850</v>
      </c>
      <c r="AY42" s="161" t="s">
        <v>2850</v>
      </c>
      <c r="AZ42" s="164">
        <f ca="1" t="shared" si="16"/>
        <v>0</v>
      </c>
      <c r="BA42">
        <f ca="1" t="shared" si="17"/>
        <v>0</v>
      </c>
      <c r="BB42" s="161" t="s">
        <v>2861</v>
      </c>
      <c r="BC42" s="164">
        <f ca="1" t="shared" si="42"/>
        <v>0</v>
      </c>
      <c r="BD42">
        <f ca="1" t="shared" si="43"/>
        <v>19</v>
      </c>
      <c r="BE42">
        <f ca="1" t="shared" si="44"/>
        <v>0</v>
      </c>
    </row>
    <row r="43" spans="4:58">
      <c r="D43" t="s">
        <v>1825</v>
      </c>
      <c r="E43" t="s">
        <v>2776</v>
      </c>
      <c r="G43" t="s">
        <v>3070</v>
      </c>
      <c r="H43">
        <f ca="1">INDEX(技能数据库!$B$2:$I$100,MATCH(伤害与收益计算!$E43,技能数据库!$B$2:$B$100,0),MATCH(H$9,技能数据库!$B$2:$I$2,0))</f>
        <v>281.5</v>
      </c>
      <c r="I43">
        <f ca="1">INDEX(技能数据库!$B$2:$I$100,MATCH(伤害与收益计算!$E43,技能数据库!$B$2:$B$100,0),MATCH(I$9,技能数据库!$B$2:$I$2,0))</f>
        <v>7.06875</v>
      </c>
      <c r="J43">
        <f ca="1">INDEX(技能数据库!$B$2:$I$100,MATCH(伤害与收益计算!$E43,技能数据库!$B$2:$B$100,0),MATCH(J$9,技能数据库!$B$2:$I$2,0))</f>
        <v>2</v>
      </c>
      <c r="K43">
        <f ca="1">INDEX(技能数据库!$B$2:$I$100,MATCH(伤害与收益计算!$E43,技能数据库!$B$2:$B$100,0),MATCH(K$9,技能数据库!$B$2:$I$2,0))</f>
        <v>0</v>
      </c>
      <c r="L43">
        <f ca="1" t="shared" si="0"/>
        <v>105847</v>
      </c>
      <c r="M43">
        <f ca="1" t="shared" si="28"/>
        <v>19530.5</v>
      </c>
      <c r="N43">
        <f ca="1" t="shared" si="29"/>
        <v>92028</v>
      </c>
      <c r="O43">
        <f ca="1" t="shared" si="45"/>
        <v>787548.48125</v>
      </c>
      <c r="P43">
        <f ca="1">IF(G43="恒定伤害",0,(IF(D43="轻剑",$AZ$2,$AZ$3)+IFERROR(INDEX(技能数据库!$T$2:$W$27,MATCH(E43,技能数据库!$T$2:$T$27,0),4),0)+COUNTIF(G43,"*造化2*")*154+COUNTIF(G43,"*造化1*")*102+COUNTIF(G43,"*碧归*")*307)/1024)</f>
        <v>0.397571271929785</v>
      </c>
      <c r="Q43">
        <f ca="1" t="shared" si="46"/>
        <v>0.448284482196154</v>
      </c>
      <c r="R43">
        <f ca="1" t="shared" si="47"/>
        <v>0.21277697966198</v>
      </c>
      <c r="S43">
        <f ca="1" t="shared" si="30"/>
        <v>1254882.10454453</v>
      </c>
      <c r="T43">
        <f t="shared" si="31"/>
        <v>0.8</v>
      </c>
      <c r="U43">
        <f ca="1" t="shared" si="48"/>
        <v>2.68954760480339</v>
      </c>
      <c r="V43">
        <f ca="1" t="shared" si="32"/>
        <v>3703957.81050633</v>
      </c>
      <c r="W43">
        <f ca="1">IF(G43="恒定伤害",0,MIN(1,IF(COUNTIF(F43,"*内会*")&gt;0,内会,IF(D43="轻剑",$Y$2,$Y$3)+COUNTIF(G43,"*莺鸣*")*0.2+COUNTIF(G43,"*叠1*")*0.1+COUNTIF(G43,"*叠2*")*0.2+COUNTIF(G43,"*叠3*")*0.3)+IFERROR(INDEX(技能数据库!$T$2:$W$27,MATCH(E43,技能数据库!$T$2:$T$27,0),2),0)+IF((IF(D43="轻剑",$AO$2,$AO$3)+INT(COUNTIF(G43,"*大莺鸣*")*IF(D43="轻剑",$AM$2,$AM$3)*听晓无双率)/无双系数)&gt;0.9,特效裤子会心/会心系数,0)))</f>
        <v>0.9343</v>
      </c>
      <c r="X43">
        <f ca="1">IF(G43="恒定伤害",0,IF(COUNTIF(F43,"*内会*")&gt;0,内会效,IF(D43="轻剑",$AB$2,$AB$3))+IFERROR(INDEX(技能数据库!$T$2:$W$27,MATCH(E43,技能数据库!$T$2:$T$27,0),3)/1024,0))+COUNTIF(G43,"*叠1*")*0.25+COUNTIF(G43,"*叠2*")*0.5+COUNTIF(G43,"*叠3*")*0.75</f>
        <v>2.3156473116</v>
      </c>
      <c r="Y43">
        <f ca="1" t="shared" si="33"/>
        <v>2.22920928322788</v>
      </c>
      <c r="Z43">
        <f t="shared" si="49"/>
        <v>0.150390625</v>
      </c>
      <c r="AA43">
        <f ca="1" t="shared" si="34"/>
        <v>0.0205078125</v>
      </c>
      <c r="AB43">
        <f ca="1" t="shared" si="35"/>
        <v>9693453.73460895</v>
      </c>
      <c r="AC43">
        <f ca="1">技能数计算!AJ35</f>
        <v>0</v>
      </c>
      <c r="AD43" s="164">
        <f ca="1" t="shared" si="36"/>
        <v>0</v>
      </c>
      <c r="AE43" s="168">
        <f ca="1" t="shared" si="6"/>
        <v>0.00445191640067048</v>
      </c>
      <c r="AF43" s="168">
        <f ca="1" t="shared" si="50"/>
        <v>0.00151419249530805</v>
      </c>
      <c r="AG43">
        <f ca="1" t="shared" si="8"/>
        <v>0.00319852755593519</v>
      </c>
      <c r="AH43">
        <f ca="1" t="shared" si="51"/>
        <v>1.0030370262927</v>
      </c>
      <c r="AI43">
        <f ca="1" t="shared" si="52"/>
        <v>1.00016101226475</v>
      </c>
      <c r="AJ43">
        <f ca="1" t="shared" si="53"/>
        <v>0</v>
      </c>
      <c r="AK43">
        <f ca="1" t="shared" si="18"/>
        <v>0</v>
      </c>
      <c r="AL43">
        <f ca="1" t="shared" si="54"/>
        <v>0</v>
      </c>
      <c r="AM43">
        <f ca="1" t="shared" si="19"/>
        <v>0</v>
      </c>
      <c r="AN43" s="168">
        <f ca="1" t="shared" si="55"/>
        <v>0.00841753350912167</v>
      </c>
      <c r="AO43" s="168">
        <f ca="1" t="shared" si="56"/>
        <v>0.00447057613551372</v>
      </c>
      <c r="AP43" s="172">
        <f ca="1" t="shared" si="57"/>
        <v>0</v>
      </c>
      <c r="AQ43" s="168">
        <f ca="1" t="shared" si="58"/>
        <v>0.00393951131463699</v>
      </c>
      <c r="AR43">
        <f t="shared" si="21"/>
        <v>1</v>
      </c>
      <c r="AX43" s="161" t="s">
        <v>2853</v>
      </c>
      <c r="AY43" s="161" t="s">
        <v>2853</v>
      </c>
      <c r="AZ43" s="164">
        <f ca="1" t="shared" si="16"/>
        <v>0</v>
      </c>
      <c r="BA43">
        <f ca="1" t="shared" si="17"/>
        <v>0</v>
      </c>
      <c r="BB43" s="161" t="s">
        <v>3156</v>
      </c>
      <c r="BC43" s="164">
        <f ca="1" t="shared" si="42"/>
        <v>0</v>
      </c>
      <c r="BD43">
        <f ca="1" t="shared" si="43"/>
        <v>19</v>
      </c>
      <c r="BE43">
        <f ca="1" t="shared" si="44"/>
        <v>0</v>
      </c>
    </row>
    <row r="44" spans="4:58">
      <c r="D44" t="s">
        <v>1825</v>
      </c>
      <c r="E44" t="s">
        <v>2780</v>
      </c>
      <c r="G44" t="s">
        <v>3157</v>
      </c>
      <c r="H44">
        <f ca="1">INDEX(技能数据库!$B$2:$I$100,MATCH(伤害与收益计算!$E44,技能数据库!$B$2:$B$100,0),MATCH(H$9,技能数据库!$B$2:$I$2,0))</f>
        <v>252.5</v>
      </c>
      <c r="I44">
        <f ca="1">INDEX(技能数据库!$B$2:$I$100,MATCH(伤害与收益计算!$E44,技能数据库!$B$2:$B$100,0),MATCH(I$9,技能数据库!$B$2:$I$2,0))</f>
        <v>2.11875</v>
      </c>
      <c r="J44">
        <f ca="1">INDEX(技能数据库!$B$2:$I$100,MATCH(伤害与收益计算!$E44,技能数据库!$B$2:$B$100,0),MATCH(J$9,技能数据库!$B$2:$I$2,0))</f>
        <v>2</v>
      </c>
      <c r="K44">
        <f ca="1">INDEX(技能数据库!$B$2:$I$100,MATCH(伤害与收益计算!$E44,技能数据库!$B$2:$B$100,0),MATCH(K$9,技能数据库!$B$2:$I$2,0))</f>
        <v>0</v>
      </c>
      <c r="L44">
        <f ca="1" t="shared" si="0"/>
        <v>105847</v>
      </c>
      <c r="M44">
        <f ca="1" t="shared" si="28"/>
        <v>19530.5</v>
      </c>
      <c r="N44">
        <f ca="1" t="shared" si="29"/>
        <v>92028</v>
      </c>
      <c r="O44">
        <f ca="1" t="shared" si="45"/>
        <v>263576.83125</v>
      </c>
      <c r="P44">
        <f ca="1">IF(G44="恒定伤害",0,(IF(D44="轻剑",$AZ$2,$AZ$3)+IFERROR(INDEX(技能数据库!$T$2:$W$27,MATCH(E44,技能数据库!$T$2:$T$27,0),4),0)+COUNTIF(G44,"*造化2*")*154+COUNTIF(G44,"*造化1*")*102+COUNTIF(G44,"*碧归*")*307)/1024)</f>
        <v>0.397571271929785</v>
      </c>
      <c r="Q44">
        <f ca="1" t="shared" si="46"/>
        <v>0.448284482196154</v>
      </c>
      <c r="R44">
        <f ca="1" t="shared" si="47"/>
        <v>0.21277697966198</v>
      </c>
      <c r="S44">
        <f ca="1" t="shared" si="30"/>
        <v>419984.11092508</v>
      </c>
      <c r="T44">
        <f t="shared" si="31"/>
        <v>0.8</v>
      </c>
      <c r="U44">
        <f ca="1" t="shared" si="48"/>
        <v>1.7995442148</v>
      </c>
      <c r="V44">
        <f ca="1" t="shared" si="32"/>
        <v>940611.270438584</v>
      </c>
      <c r="W44">
        <f ca="1">IF(G44="恒定伤害",0,MIN(1,IF(COUNTIF(F44,"*内会*")&gt;0,内会,IF(D44="轻剑",$Y$2,$Y$3)+COUNTIF(G44,"*莺鸣*")*0.2+COUNTIF(G44,"*叠1*")*0.1+COUNTIF(G44,"*叠2*")*0.2+COUNTIF(G44,"*叠3*")*0.3)+IFERROR(INDEX(技能数据库!$T$2:$W$27,MATCH(E44,技能数据库!$T$2:$T$27,0),2),0)+IF((IF(D44="轻剑",$AO$2,$AO$3)+INT(COUNTIF(G44,"*大莺鸣*")*IF(D44="轻剑",$AM$2,$AM$3)*听晓无双率)/无双系数)&gt;0.9,特效裤子会心/会心系数,0)))</f>
        <v>0.7343</v>
      </c>
      <c r="X44">
        <f ca="1">IF(G44="恒定伤害",0,IF(COUNTIF(F44,"*内会*")&gt;0,内会效,IF(D44="轻剑",$AB$2,$AB$3))+IFERROR(INDEX(技能数据库!$T$2:$W$27,MATCH(E44,技能数据库!$T$2:$T$27,0),3)/1024,0))+COUNTIF(G44,"*叠1*")*0.25+COUNTIF(G44,"*叠2*")*0.5+COUNTIF(G44,"*叠3*")*0.75</f>
        <v>2.3156473116</v>
      </c>
      <c r="Y44">
        <f ca="1" t="shared" si="33"/>
        <v>1.96607982090788</v>
      </c>
      <c r="Z44">
        <f t="shared" si="49"/>
        <v>0.150390625</v>
      </c>
      <c r="AA44">
        <f ca="1" t="shared" si="34"/>
        <v>0.0205078125</v>
      </c>
      <c r="AB44">
        <f ca="1" t="shared" si="35"/>
        <v>2171065.82727788</v>
      </c>
      <c r="AC44">
        <f ca="1">技能数计算!AJ36</f>
        <v>12</v>
      </c>
      <c r="AD44" s="164">
        <f ca="1" t="shared" si="36"/>
        <v>0.00836327042934588</v>
      </c>
      <c r="AE44" s="168">
        <f ca="1" t="shared" si="6"/>
        <v>0.00398707274465726</v>
      </c>
      <c r="AF44" s="168">
        <f ca="1" t="shared" si="50"/>
        <v>0.00452429750499931</v>
      </c>
      <c r="AG44">
        <f ca="1" t="shared" si="8"/>
        <v>0.0034557154254875</v>
      </c>
      <c r="AH44">
        <f ca="1" t="shared" si="51"/>
        <v>1.0027199173719</v>
      </c>
      <c r="AI44">
        <f ca="1" t="shared" si="52"/>
        <v>1.00016101226475</v>
      </c>
      <c r="AJ44">
        <f ca="1" t="shared" si="53"/>
        <v>1.0005726976962</v>
      </c>
      <c r="AK44">
        <f ca="1" t="shared" si="18"/>
        <v>12</v>
      </c>
      <c r="AL44">
        <f ca="1" t="shared" si="54"/>
        <v>0.00495187192404023</v>
      </c>
      <c r="AM44">
        <f ca="1" t="shared" si="19"/>
        <v>12</v>
      </c>
      <c r="AN44" s="168">
        <f ca="1" t="shared" si="55"/>
        <v>0.00750104430192855</v>
      </c>
      <c r="AO44" s="168">
        <f ca="1" t="shared" si="56"/>
        <v>0.00447057613551372</v>
      </c>
      <c r="AP44" s="172">
        <f ca="1" t="shared" si="57"/>
        <v>0</v>
      </c>
      <c r="AQ44" s="168">
        <f ca="1" t="shared" si="58"/>
        <v>0.00401583628616287</v>
      </c>
      <c r="AR44">
        <f t="shared" si="21"/>
        <v>1</v>
      </c>
      <c r="AX44" s="161" t="s">
        <v>2855</v>
      </c>
      <c r="AY44" s="161" t="s">
        <v>2855</v>
      </c>
      <c r="AZ44" s="164">
        <f ca="1" t="shared" si="16"/>
        <v>0</v>
      </c>
      <c r="BA44">
        <f ca="1" t="shared" si="17"/>
        <v>0</v>
      </c>
      <c r="BB44" s="161" t="s">
        <v>2870</v>
      </c>
      <c r="BC44" s="164">
        <f ca="1" t="shared" si="42"/>
        <v>0</v>
      </c>
      <c r="BD44">
        <f ca="1" t="shared" si="43"/>
        <v>19</v>
      </c>
      <c r="BE44">
        <f ca="1" t="shared" si="44"/>
        <v>0</v>
      </c>
    </row>
    <row r="45" spans="4:58">
      <c r="D45" t="s">
        <v>1825</v>
      </c>
      <c r="E45" t="s">
        <v>2780</v>
      </c>
      <c r="G45" t="s">
        <v>3070</v>
      </c>
      <c r="H45">
        <f ca="1">INDEX(技能数据库!$B$2:$I$100,MATCH(伤害与收益计算!$E45,技能数据库!$B$2:$B$100,0),MATCH(H$9,技能数据库!$B$2:$I$2,0))</f>
        <v>252.5</v>
      </c>
      <c r="I45">
        <f ca="1">INDEX(技能数据库!$B$2:$I$100,MATCH(伤害与收益计算!$E45,技能数据库!$B$2:$B$100,0),MATCH(I$9,技能数据库!$B$2:$I$2,0))</f>
        <v>2.11875</v>
      </c>
      <c r="J45">
        <f ca="1">INDEX(技能数据库!$B$2:$I$100,MATCH(伤害与收益计算!$E45,技能数据库!$B$2:$B$100,0),MATCH(J$9,技能数据库!$B$2:$I$2,0))</f>
        <v>2</v>
      </c>
      <c r="K45">
        <f ca="1">INDEX(技能数据库!$B$2:$I$100,MATCH(伤害与收益计算!$E45,技能数据库!$B$2:$B$100,0),MATCH(K$9,技能数据库!$B$2:$I$2,0))</f>
        <v>0</v>
      </c>
      <c r="L45">
        <f ca="1" t="shared" si="0"/>
        <v>105847</v>
      </c>
      <c r="M45">
        <f ca="1" t="shared" si="28"/>
        <v>19530.5</v>
      </c>
      <c r="N45">
        <f ca="1" t="shared" si="29"/>
        <v>92028</v>
      </c>
      <c r="O45">
        <f ca="1" t="shared" si="45"/>
        <v>263576.83125</v>
      </c>
      <c r="P45">
        <f ca="1">IF(G45="恒定伤害",0,(IF(D45="轻剑",$AZ$2,$AZ$3)+IFERROR(INDEX(技能数据库!$T$2:$W$27,MATCH(E45,技能数据库!$T$2:$T$27,0),4),0)+COUNTIF(G45,"*造化2*")*154+COUNTIF(G45,"*造化1*")*102+COUNTIF(G45,"*碧归*")*307)/1024)</f>
        <v>0.397571271929785</v>
      </c>
      <c r="Q45">
        <f ca="1" t="shared" si="46"/>
        <v>0.448284482196154</v>
      </c>
      <c r="R45">
        <f ca="1" t="shared" si="47"/>
        <v>0.21277697966198</v>
      </c>
      <c r="S45">
        <f ca="1" t="shared" si="30"/>
        <v>419984.11092508</v>
      </c>
      <c r="T45">
        <f t="shared" si="31"/>
        <v>0.8</v>
      </c>
      <c r="U45">
        <f ca="1" t="shared" si="48"/>
        <v>2.68954760480339</v>
      </c>
      <c r="V45">
        <f ca="1" t="shared" si="32"/>
        <v>1239641.09641529</v>
      </c>
      <c r="W45">
        <f ca="1">IF(G45="恒定伤害",0,MIN(1,IF(COUNTIF(F45,"*内会*")&gt;0,内会,IF(D45="轻剑",$Y$2,$Y$3)+COUNTIF(G45,"*莺鸣*")*0.2+COUNTIF(G45,"*叠1*")*0.1+COUNTIF(G45,"*叠2*")*0.2+COUNTIF(G45,"*叠3*")*0.3)+IFERROR(INDEX(技能数据库!$T$2:$W$27,MATCH(E45,技能数据库!$T$2:$T$27,0),2),0)+IF((IF(D45="轻剑",$AO$2,$AO$3)+INT(COUNTIF(G45,"*大莺鸣*")*IF(D45="轻剑",$AM$2,$AM$3)*听晓无双率)/无双系数)&gt;0.9,特效裤子会心/会心系数,0)))</f>
        <v>0.9343</v>
      </c>
      <c r="X45">
        <f ca="1">IF(G45="恒定伤害",0,IF(COUNTIF(F45,"*内会*")&gt;0,内会效,IF(D45="轻剑",$AB$2,$AB$3))+IFERROR(INDEX(技能数据库!$T$2:$W$27,MATCH(E45,技能数据库!$T$2:$T$27,0),3)/1024,0))+COUNTIF(G45,"*叠1*")*0.25+COUNTIF(G45,"*叠2*")*0.5+COUNTIF(G45,"*叠3*")*0.75</f>
        <v>2.3156473116</v>
      </c>
      <c r="Y45">
        <f ca="1" t="shared" si="33"/>
        <v>2.22920928322788</v>
      </c>
      <c r="Z45">
        <f t="shared" si="49"/>
        <v>0.150390625</v>
      </c>
      <c r="AA45">
        <f ca="1" t="shared" si="34"/>
        <v>0.0205078125</v>
      </c>
      <c r="AB45">
        <f ca="1" t="shared" si="35"/>
        <v>3244206.39499101</v>
      </c>
      <c r="AC45">
        <f ca="1">技能数计算!AJ37</f>
        <v>0</v>
      </c>
      <c r="AD45" s="164">
        <f ca="1" t="shared" si="36"/>
        <v>0</v>
      </c>
      <c r="AE45" s="168">
        <f ca="1" t="shared" si="6"/>
        <v>0.00398707274465726</v>
      </c>
      <c r="AF45" s="168">
        <f ca="1" t="shared" si="50"/>
        <v>0.00452429750499931</v>
      </c>
      <c r="AG45">
        <f ca="1" t="shared" si="8"/>
        <v>0.00288136757670965</v>
      </c>
      <c r="AH45">
        <f ca="1" t="shared" si="51"/>
        <v>1.0027199173719</v>
      </c>
      <c r="AI45">
        <f ca="1" t="shared" si="52"/>
        <v>1.00016101226475</v>
      </c>
      <c r="AJ45">
        <f ca="1" t="shared" si="53"/>
        <v>0</v>
      </c>
      <c r="AK45">
        <f ca="1" t="shared" si="18"/>
        <v>0</v>
      </c>
      <c r="AL45">
        <f ca="1" t="shared" si="54"/>
        <v>0</v>
      </c>
      <c r="AM45">
        <f ca="1" t="shared" si="19"/>
        <v>0</v>
      </c>
      <c r="AN45" s="168">
        <f ca="1" t="shared" si="55"/>
        <v>0.00841753350912167</v>
      </c>
      <c r="AO45" s="168">
        <f ca="1" t="shared" si="56"/>
        <v>0.00447057613551372</v>
      </c>
      <c r="AP45" s="172">
        <f ca="1" t="shared" si="57"/>
        <v>0</v>
      </c>
      <c r="AQ45" s="168">
        <f ca="1" t="shared" si="58"/>
        <v>0.00393951131463699</v>
      </c>
      <c r="AR45">
        <f t="shared" si="21"/>
        <v>1</v>
      </c>
      <c r="AX45" s="161" t="s">
        <v>2857</v>
      </c>
      <c r="AY45" s="161" t="s">
        <v>2857</v>
      </c>
      <c r="AZ45" s="164">
        <f ca="1" t="shared" si="16"/>
        <v>0</v>
      </c>
      <c r="BA45">
        <f ca="1" t="shared" si="17"/>
        <v>0</v>
      </c>
      <c r="BB45" s="161" t="s">
        <v>3158</v>
      </c>
      <c r="BC45" s="164">
        <f ca="1" t="shared" si="42"/>
        <v>0</v>
      </c>
      <c r="BD45">
        <f ca="1" t="shared" si="43"/>
        <v>19</v>
      </c>
      <c r="BE45">
        <f ca="1" t="shared" si="44"/>
        <v>0</v>
      </c>
    </row>
    <row r="46" spans="4:58">
      <c r="D46" t="s">
        <v>1825</v>
      </c>
      <c r="E46" t="s">
        <v>2776</v>
      </c>
      <c r="G46" t="s">
        <v>3057</v>
      </c>
      <c r="H46">
        <f ca="1">INDEX(技能数据库!$B$2:$I$100,MATCH(伤害与收益计算!$E46,技能数据库!$B$2:$B$100,0),MATCH(H$9,技能数据库!$B$2:$I$2,0))</f>
        <v>281.5</v>
      </c>
      <c r="I46">
        <f ca="1">INDEX(技能数据库!$B$2:$I$100,MATCH(伤害与收益计算!$E46,技能数据库!$B$2:$B$100,0),MATCH(I$9,技能数据库!$B$2:$I$2,0))</f>
        <v>7.06875</v>
      </c>
      <c r="J46">
        <f ca="1">INDEX(技能数据库!$B$2:$I$100,MATCH(伤害与收益计算!$E46,技能数据库!$B$2:$B$100,0),MATCH(J$9,技能数据库!$B$2:$I$2,0))</f>
        <v>2</v>
      </c>
      <c r="K46">
        <f ca="1">INDEX(技能数据库!$B$2:$I$100,MATCH(伤害与收益计算!$E46,技能数据库!$B$2:$B$100,0),MATCH(K$9,技能数据库!$B$2:$I$2,0))</f>
        <v>0</v>
      </c>
      <c r="L46">
        <f ca="1" t="shared" si="0"/>
        <v>105847</v>
      </c>
      <c r="M46">
        <f ca="1" t="shared" si="28"/>
        <v>19530.5</v>
      </c>
      <c r="N46">
        <f ca="1" t="shared" si="29"/>
        <v>92028</v>
      </c>
      <c r="O46">
        <f ca="1" t="shared" si="45"/>
        <v>787548.48125</v>
      </c>
      <c r="P46">
        <f ca="1">IF(G46="恒定伤害",0,(IF(D46="轻剑",$AZ$2,$AZ$3)+IFERROR(INDEX(技能数据库!$T$2:$W$27,MATCH(E46,技能数据库!$T$2:$T$27,0),4),0)+COUNTIF(G46,"*造化2*")*154+COUNTIF(G46,"*造化1*")*102+COUNTIF(G46,"*碧归*")*307)/1024)</f>
        <v>0.346790021929785</v>
      </c>
      <c r="Q46">
        <f ca="1" t="shared" si="46"/>
        <v>0.448284482196154</v>
      </c>
      <c r="R46">
        <f ca="1" t="shared" si="47"/>
        <v>0.21277697966198</v>
      </c>
      <c r="S46">
        <f ca="1" t="shared" si="30"/>
        <v>1209285.51626935</v>
      </c>
      <c r="T46">
        <f t="shared" si="31"/>
        <v>0.8</v>
      </c>
      <c r="U46">
        <f ca="1" t="shared" si="48"/>
        <v>1.7995442148</v>
      </c>
      <c r="V46">
        <f ca="1" t="shared" si="32"/>
        <v>2708358.61689063</v>
      </c>
      <c r="W46">
        <f ca="1">IF(G46="恒定伤害",0,MIN(1,IF(COUNTIF(F46,"*内会*")&gt;0,内会,IF(D46="轻剑",$Y$2,$Y$3)+COUNTIF(G46,"*莺鸣*")*0.2+COUNTIF(G46,"*叠1*")*0.1+COUNTIF(G46,"*叠2*")*0.2+COUNTIF(G46,"*叠3*")*0.3)+IFERROR(INDEX(技能数据库!$T$2:$W$27,MATCH(E46,技能数据库!$T$2:$T$27,0),2),0)+IF((IF(D46="轻剑",$AO$2,$AO$3)+INT(COUNTIF(G46,"*大莺鸣*")*IF(D46="轻剑",$AM$2,$AM$3)*听晓无双率)/无双系数)&gt;0.9,特效裤子会心/会心系数,0)))</f>
        <v>0.7343</v>
      </c>
      <c r="X46">
        <f ca="1">IF(G46="恒定伤害",0,IF(COUNTIF(F46,"*内会*")&gt;0,内会效,IF(D46="轻剑",$AB$2,$AB$3))+IFERROR(INDEX(技能数据库!$T$2:$W$27,MATCH(E46,技能数据库!$T$2:$T$27,0),3)/1024,0))+COUNTIF(G46,"*叠1*")*0.25+COUNTIF(G46,"*叠2*")*0.5+COUNTIF(G46,"*叠3*")*0.75</f>
        <v>2.3156473116</v>
      </c>
      <c r="Y46">
        <f ca="1" t="shared" si="33"/>
        <v>1.96607982090788</v>
      </c>
      <c r="Z46">
        <f t="shared" si="49"/>
        <v>0.150390625</v>
      </c>
      <c r="AA46">
        <f ca="1" t="shared" si="34"/>
        <v>0.0205078125</v>
      </c>
      <c r="AB46">
        <f ca="1" t="shared" si="35"/>
        <v>6251280.44489955</v>
      </c>
      <c r="AC46">
        <f ca="1">技能数计算!AJ38</f>
        <v>8</v>
      </c>
      <c r="AD46" s="164">
        <f ca="1" t="shared" si="36"/>
        <v>0.0160539117802576</v>
      </c>
      <c r="AE46" s="168">
        <f ca="1" t="shared" si="6"/>
        <v>0.00445191640067048</v>
      </c>
      <c r="AF46" s="168">
        <f ca="1" t="shared" si="50"/>
        <v>0.00151419249530805</v>
      </c>
      <c r="AG46">
        <f ca="1" t="shared" si="8"/>
        <v>0.00377305704150266</v>
      </c>
      <c r="AH46">
        <f ca="1" t="shared" si="51"/>
        <v>1.0030370262927</v>
      </c>
      <c r="AI46">
        <f ca="1" t="shared" si="52"/>
        <v>1.00016101226475</v>
      </c>
      <c r="AJ46">
        <f ca="1" t="shared" si="53"/>
        <v>1.0005726976962</v>
      </c>
      <c r="AK46">
        <f ca="1" t="shared" si="18"/>
        <v>8</v>
      </c>
      <c r="AL46">
        <f ca="1" t="shared" si="54"/>
        <v>0.00495187192404045</v>
      </c>
      <c r="AM46">
        <f ca="1" t="shared" si="19"/>
        <v>8</v>
      </c>
      <c r="AN46" s="168">
        <f ca="1" t="shared" si="55"/>
        <v>0.00750104430192855</v>
      </c>
      <c r="AO46" s="168">
        <f ca="1" t="shared" si="56"/>
        <v>0.00447057613551372</v>
      </c>
      <c r="AP46" s="172">
        <f ca="1" t="shared" si="57"/>
        <v>0</v>
      </c>
      <c r="AQ46" s="168">
        <f ca="1" t="shared" si="58"/>
        <v>0.00401583628616287</v>
      </c>
      <c r="AR46">
        <f t="shared" si="21"/>
        <v>1</v>
      </c>
      <c r="AX46" s="161" t="s">
        <v>2859</v>
      </c>
      <c r="AY46" s="161" t="s">
        <v>2859</v>
      </c>
      <c r="AZ46" s="164">
        <f ca="1" t="shared" si="16"/>
        <v>0</v>
      </c>
      <c r="BA46">
        <f ca="1" t="shared" si="17"/>
        <v>0</v>
      </c>
      <c r="BB46" s="161" t="s">
        <v>3159</v>
      </c>
      <c r="BC46" s="164">
        <f ca="1" t="shared" si="42"/>
        <v>0</v>
      </c>
      <c r="BD46">
        <f ca="1" t="shared" si="43"/>
        <v>19</v>
      </c>
      <c r="BE46">
        <f ca="1" t="shared" si="44"/>
        <v>0</v>
      </c>
    </row>
    <row r="47" spans="4:58">
      <c r="D47" t="s">
        <v>1825</v>
      </c>
      <c r="E47" t="s">
        <v>2780</v>
      </c>
      <c r="G47" t="s">
        <v>3057</v>
      </c>
      <c r="H47">
        <f ca="1">INDEX(技能数据库!$B$2:$I$100,MATCH(伤害与收益计算!$E47,技能数据库!$B$2:$B$100,0),MATCH(H$9,技能数据库!$B$2:$I$2,0))</f>
        <v>252.5</v>
      </c>
      <c r="I47">
        <f ca="1">INDEX(技能数据库!$B$2:$I$100,MATCH(伤害与收益计算!$E47,技能数据库!$B$2:$B$100,0),MATCH(I$9,技能数据库!$B$2:$I$2,0))</f>
        <v>2.11875</v>
      </c>
      <c r="J47">
        <f ca="1">INDEX(技能数据库!$B$2:$I$100,MATCH(伤害与收益计算!$E47,技能数据库!$B$2:$B$100,0),MATCH(J$9,技能数据库!$B$2:$I$2,0))</f>
        <v>2</v>
      </c>
      <c r="K47">
        <f ca="1">INDEX(技能数据库!$B$2:$I$100,MATCH(伤害与收益计算!$E47,技能数据库!$B$2:$B$100,0),MATCH(K$9,技能数据库!$B$2:$I$2,0))</f>
        <v>0</v>
      </c>
      <c r="L47">
        <f ca="1" t="shared" si="0"/>
        <v>105847</v>
      </c>
      <c r="M47">
        <f ca="1" t="shared" si="28"/>
        <v>19530.5</v>
      </c>
      <c r="N47">
        <f ca="1" t="shared" si="29"/>
        <v>92028</v>
      </c>
      <c r="O47">
        <f ca="1" t="shared" si="45"/>
        <v>263576.83125</v>
      </c>
      <c r="P47">
        <f ca="1">IF(G47="恒定伤害",0,(IF(D47="轻剑",$AZ$2,$AZ$3)+IFERROR(INDEX(技能数据库!$T$2:$W$27,MATCH(E47,技能数据库!$T$2:$T$27,0),4),0)+COUNTIF(G47,"*造化2*")*154+COUNTIF(G47,"*造化1*")*102+COUNTIF(G47,"*碧归*")*307)/1024)</f>
        <v>0.346790021929785</v>
      </c>
      <c r="Q47">
        <f ca="1" t="shared" si="46"/>
        <v>0.448284482196154</v>
      </c>
      <c r="R47">
        <f ca="1" t="shared" si="47"/>
        <v>0.21277697966198</v>
      </c>
      <c r="S47">
        <f ca="1" t="shared" si="30"/>
        <v>404723.838650404</v>
      </c>
      <c r="T47">
        <f t="shared" si="31"/>
        <v>0.8</v>
      </c>
      <c r="U47">
        <f ca="1" t="shared" si="48"/>
        <v>1.7995442148</v>
      </c>
      <c r="V47">
        <f ca="1" t="shared" si="32"/>
        <v>906433.82486831</v>
      </c>
      <c r="W47">
        <f ca="1">IF(G47="恒定伤害",0,MIN(1,IF(COUNTIF(F47,"*内会*")&gt;0,内会,IF(D47="轻剑",$Y$2,$Y$3)+COUNTIF(G47,"*莺鸣*")*0.2+COUNTIF(G47,"*叠1*")*0.1+COUNTIF(G47,"*叠2*")*0.2+COUNTIF(G47,"*叠3*")*0.3)+IFERROR(INDEX(技能数据库!$T$2:$W$27,MATCH(E47,技能数据库!$T$2:$T$27,0),2),0)+IF((IF(D47="轻剑",$AO$2,$AO$3)+INT(COUNTIF(G47,"*大莺鸣*")*IF(D47="轻剑",$AM$2,$AM$3)*听晓无双率)/无双系数)&gt;0.9,特效裤子会心/会心系数,0)))</f>
        <v>0.7343</v>
      </c>
      <c r="X47">
        <f ca="1">IF(G47="恒定伤害",0,IF(COUNTIF(F47,"*内会*")&gt;0,内会效,IF(D47="轻剑",$AB$2,$AB$3))+IFERROR(INDEX(技能数据库!$T$2:$W$27,MATCH(E47,技能数据库!$T$2:$T$27,0),3)/1024,0))+COUNTIF(G47,"*叠1*")*0.25+COUNTIF(G47,"*叠2*")*0.5+COUNTIF(G47,"*叠3*")*0.75</f>
        <v>2.3156473116</v>
      </c>
      <c r="Y47">
        <f ca="1" t="shared" si="33"/>
        <v>1.96607982090788</v>
      </c>
      <c r="Z47">
        <f t="shared" si="49"/>
        <v>0.150390625</v>
      </c>
      <c r="AA47">
        <f ca="1" t="shared" si="34"/>
        <v>0.0205078125</v>
      </c>
      <c r="AB47">
        <f ca="1" t="shared" si="35"/>
        <v>2092179.37707973</v>
      </c>
      <c r="AC47">
        <f ca="1">技能数计算!AJ39</f>
        <v>8</v>
      </c>
      <c r="AD47" s="164">
        <f ca="1" t="shared" si="36"/>
        <v>0.00537292534612114</v>
      </c>
      <c r="AE47" s="168">
        <f ca="1" t="shared" si="6"/>
        <v>0.00398707274465726</v>
      </c>
      <c r="AF47" s="168">
        <f ca="1" t="shared" si="50"/>
        <v>0.00452429750499931</v>
      </c>
      <c r="AG47">
        <f ca="1" t="shared" si="8"/>
        <v>0.0034557154254875</v>
      </c>
      <c r="AH47">
        <f ca="1" t="shared" si="51"/>
        <v>1.0027199173719</v>
      </c>
      <c r="AI47">
        <f ca="1" t="shared" si="52"/>
        <v>1.00016101226475</v>
      </c>
      <c r="AJ47">
        <f ca="1" t="shared" si="53"/>
        <v>1.0005726976962</v>
      </c>
      <c r="AK47">
        <f ca="1" t="shared" si="18"/>
        <v>8</v>
      </c>
      <c r="AL47">
        <f ca="1" t="shared" si="54"/>
        <v>0.00495187192404045</v>
      </c>
      <c r="AM47">
        <f ca="1" t="shared" si="19"/>
        <v>8</v>
      </c>
      <c r="AN47" s="168">
        <f ca="1" t="shared" si="55"/>
        <v>0.00750104430192855</v>
      </c>
      <c r="AO47" s="168">
        <f ca="1" t="shared" si="56"/>
        <v>0.00447057613551372</v>
      </c>
      <c r="AP47" s="172">
        <f ca="1" t="shared" si="57"/>
        <v>0</v>
      </c>
      <c r="AQ47" s="168">
        <f ca="1" t="shared" si="58"/>
        <v>0.00401583628616287</v>
      </c>
      <c r="AR47">
        <f t="shared" si="21"/>
        <v>1</v>
      </c>
      <c r="AX47" s="161" t="s">
        <v>2861</v>
      </c>
      <c r="AY47" s="161" t="s">
        <v>2861</v>
      </c>
      <c r="AZ47" s="164">
        <f ca="1" t="shared" si="16"/>
        <v>0</v>
      </c>
      <c r="BA47">
        <f ca="1" t="shared" si="17"/>
        <v>0</v>
      </c>
    </row>
    <row r="48" spans="4:58">
      <c r="D48" t="s">
        <v>1825</v>
      </c>
      <c r="E48" s="161" t="s">
        <v>2783</v>
      </c>
      <c r="G48" t="s">
        <v>2750</v>
      </c>
      <c r="H48">
        <f ca="1">INDEX(技能数据库!$B$2:$I$100,MATCH(伤害与收益计算!$E48,技能数据库!$B$2:$B$100,0),MATCH(H$9,技能数据库!$B$2:$I$2,0))</f>
        <v>0</v>
      </c>
      <c r="I48">
        <f ca="1">INDEX(技能数据库!$B$2:$I$100,MATCH(伤害与收益计算!$E48,技能数据库!$B$2:$B$100,0),MATCH(I$9,技能数据库!$B$2:$I$2,0))</f>
        <v>0</v>
      </c>
      <c r="J48">
        <f ca="1">INDEX(技能数据库!$B$2:$I$100,MATCH(伤害与收益计算!$E48,技能数据库!$B$2:$B$100,0),MATCH(J$9,技能数据库!$B$2:$I$2,0))</f>
        <v>0</v>
      </c>
      <c r="K48">
        <f ca="1">INDEX(技能数据库!$B$2:$I$100,MATCH(伤害与收益计算!$E48,技能数据库!$B$2:$B$100,0),MATCH(K$9,技能数据库!$B$2:$I$2,0))</f>
        <v>1.28127956390381</v>
      </c>
      <c r="L48">
        <f ca="1" t="shared" si="0"/>
        <v>105847</v>
      </c>
      <c r="M48">
        <f ca="1" t="shared" si="28"/>
        <v>19530.5</v>
      </c>
      <c r="N48">
        <f ca="1" t="shared" si="29"/>
        <v>92028</v>
      </c>
      <c r="O48">
        <f ca="1" t="shared" si="45"/>
        <v>1006274.62576302</v>
      </c>
      <c r="P48">
        <f ca="1">IF(G48="恒定伤害",0,(IF(D48="轻剑",$AZ$2,$AZ$3)+IFERROR(INDEX(技能数据库!$T$2:$W$27,MATCH(E48,技能数据库!$T$2:$T$27,0),4),0)+COUNTIF(G48,"*造化2*")*154+COUNTIF(G48,"*造化1*")*102+COUNTIF(G48,"*碧归*")*307)/1024)</f>
        <v>0.176868146929785</v>
      </c>
      <c r="Q48">
        <f ca="1" t="shared" si="46"/>
        <v>0.448284482196154</v>
      </c>
      <c r="R48">
        <f ca="1" t="shared" si="47"/>
        <v>0.21277697966198</v>
      </c>
      <c r="S48">
        <f ca="1" t="shared" si="30"/>
        <v>1350193.43784618</v>
      </c>
      <c r="T48">
        <f t="shared" si="31"/>
        <v>0.8</v>
      </c>
      <c r="U48">
        <f ca="1" t="shared" si="48"/>
        <v>1.7995442148</v>
      </c>
      <c r="V48">
        <f ca="1" t="shared" si="32"/>
        <v>3023940.98222655</v>
      </c>
      <c r="W48">
        <f ca="1">IF(G48="恒定伤害",0,MIN(1,IF(COUNTIF(F48,"*内会*")&gt;0,内会,IF(D48="轻剑",$Y$2,$Y$3)+COUNTIF(G48,"*莺鸣*")*0.2+COUNTIF(G48,"*叠1*")*0.1+COUNTIF(G48,"*叠2*")*0.2+COUNTIF(G48,"*叠3*")*0.3)+IFERROR(INDEX(技能数据库!$T$2:$W$27,MATCH(E48,技能数据库!$T$2:$T$27,0),2),0)+IF((IF(D48="轻剑",$AO$2,$AO$3)+INT(COUNTIF(G48,"*大莺鸣*")*IF(D48="轻剑",$AM$2,$AM$3)*听晓无双率)/无双系数)&gt;0.9,特效裤子会心/会心系数,0)))</f>
        <v>0.7343</v>
      </c>
      <c r="X48">
        <f ca="1">IF(G48="恒定伤害",0,IF(COUNTIF(F48,"*内会*")&gt;0,内会效,IF(D48="轻剑",$AB$2,$AB$3))+IFERROR(INDEX(技能数据库!$T$2:$W$27,MATCH(E48,技能数据库!$T$2:$T$27,0),3)/1024,0))+COUNTIF(G48,"*叠1*")*0.25+COUNTIF(G48,"*叠2*")*0.5+COUNTIF(G48,"*叠3*")*0.75</f>
        <v>2.3156473116</v>
      </c>
      <c r="Y48">
        <f ca="1" t="shared" si="33"/>
        <v>1.96607982090788</v>
      </c>
      <c r="Z48">
        <f t="shared" si="49"/>
        <v>0.150390625</v>
      </c>
      <c r="AA48">
        <f ca="1" t="shared" si="34"/>
        <v>0.0205078125</v>
      </c>
      <c r="AB48">
        <f ca="1" t="shared" si="35"/>
        <v>6979689.84270834</v>
      </c>
      <c r="AC48">
        <f ca="1">技能数计算!AJ40</f>
        <v>28</v>
      </c>
      <c r="AD48" s="164">
        <f ca="1" t="shared" si="36"/>
        <v>0.062735889217605</v>
      </c>
      <c r="AE48" s="168">
        <f ca="1" t="shared" si="6"/>
        <v>0</v>
      </c>
      <c r="AF48" s="168">
        <f ca="1" t="shared" si="50"/>
        <v>0</v>
      </c>
      <c r="AG48">
        <f ca="1" t="shared" si="8"/>
        <v>0.000733802172306675</v>
      </c>
      <c r="AH48">
        <f ca="1" t="shared" si="51"/>
        <v>1</v>
      </c>
      <c r="AI48">
        <f ca="1" t="shared" si="52"/>
        <v>1.00016101226475</v>
      </c>
      <c r="AJ48">
        <f ca="1" t="shared" si="53"/>
        <v>1.0005726976962</v>
      </c>
      <c r="AK48">
        <f ca="1" t="shared" si="18"/>
        <v>28</v>
      </c>
      <c r="AL48">
        <f ca="1" t="shared" si="54"/>
        <v>0.00495187192404023</v>
      </c>
      <c r="AM48">
        <f ca="1" t="shared" si="19"/>
        <v>28</v>
      </c>
      <c r="AN48" s="168">
        <f ca="1" t="shared" si="55"/>
        <v>0.00750104430192855</v>
      </c>
      <c r="AO48" s="168">
        <f ca="1" t="shared" si="56"/>
        <v>0.00447057613551372</v>
      </c>
      <c r="AP48" s="172">
        <f ca="1" t="shared" si="57"/>
        <v>0.015897335593515</v>
      </c>
      <c r="AQ48" s="168">
        <f ca="1" t="shared" si="58"/>
        <v>0.00401583628616287</v>
      </c>
      <c r="AR48">
        <f t="shared" si="21"/>
        <v>1</v>
      </c>
      <c r="AX48" s="161" t="s">
        <v>2869</v>
      </c>
      <c r="AY48" s="161" t="s">
        <v>3156</v>
      </c>
      <c r="AZ48" s="164">
        <f ca="1" t="shared" si="16"/>
        <v>0</v>
      </c>
      <c r="BA48">
        <f ca="1" t="shared" si="17"/>
        <v>0</v>
      </c>
    </row>
    <row r="49" spans="4:53">
      <c r="D49" t="s">
        <v>1825</v>
      </c>
      <c r="E49" s="161" t="s">
        <v>2783</v>
      </c>
      <c r="G49" t="s">
        <v>3044</v>
      </c>
      <c r="H49">
        <f ca="1">INDEX(技能数据库!$B$2:$I$100,MATCH(伤害与收益计算!$E49,技能数据库!$B$2:$B$100,0),MATCH(H$9,技能数据库!$B$2:$I$2,0))</f>
        <v>0</v>
      </c>
      <c r="I49">
        <f ca="1">INDEX(技能数据库!$B$2:$I$100,MATCH(伤害与收益计算!$E49,技能数据库!$B$2:$B$100,0),MATCH(I$9,技能数据库!$B$2:$I$2,0))</f>
        <v>0</v>
      </c>
      <c r="J49">
        <f ca="1">INDEX(技能数据库!$B$2:$I$100,MATCH(伤害与收益计算!$E49,技能数据库!$B$2:$B$100,0),MATCH(J$9,技能数据库!$B$2:$I$2,0))</f>
        <v>0</v>
      </c>
      <c r="K49">
        <f ca="1">INDEX(技能数据库!$B$2:$I$100,MATCH(伤害与收益计算!$E49,技能数据库!$B$2:$B$100,0),MATCH(K$9,技能数据库!$B$2:$I$2,0))</f>
        <v>1.28127956390381</v>
      </c>
      <c r="L49">
        <f ca="1" t="shared" si="0"/>
        <v>105847</v>
      </c>
      <c r="M49">
        <f ca="1" t="shared" si="28"/>
        <v>19530.5</v>
      </c>
      <c r="N49">
        <f ca="1" t="shared" si="29"/>
        <v>92028</v>
      </c>
      <c r="O49">
        <f ca="1" t="shared" si="45"/>
        <v>1006274.62576302</v>
      </c>
      <c r="P49">
        <f ca="1">IF(G49="恒定伤害",0,(IF(D49="轻剑",$AZ$2,$AZ$3)+IFERROR(INDEX(技能数据库!$T$2:$W$27,MATCH(E49,技能数据库!$T$2:$T$27,0),4),0)+COUNTIF(G49,"*造化2*")*154+COUNTIF(G49,"*造化1*")*102+COUNTIF(G49,"*碧归*")*307)/1024)</f>
        <v>0.176868146929785</v>
      </c>
      <c r="Q49">
        <f ca="1" t="shared" si="46"/>
        <v>0.448284482196154</v>
      </c>
      <c r="R49">
        <f ca="1" t="shared" si="47"/>
        <v>0.21277697966198</v>
      </c>
      <c r="S49">
        <f ca="1" t="shared" si="30"/>
        <v>1350193.43784618</v>
      </c>
      <c r="T49">
        <f t="shared" si="31"/>
        <v>0.8</v>
      </c>
      <c r="U49">
        <f ca="1" t="shared" si="48"/>
        <v>2.68954760480339</v>
      </c>
      <c r="V49">
        <f ca="1" t="shared" si="32"/>
        <v>3985282.37170129</v>
      </c>
      <c r="W49">
        <f ca="1">IF(G49="恒定伤害",0,MIN(1,IF(COUNTIF(F49,"*内会*")&gt;0,内会,IF(D49="轻剑",$Y$2,$Y$3)+COUNTIF(G49,"*莺鸣*")*0.2+COUNTIF(G49,"*叠1*")*0.1+COUNTIF(G49,"*叠2*")*0.2+COUNTIF(G49,"*叠3*")*0.3)+IFERROR(INDEX(技能数据库!$T$2:$W$27,MATCH(E49,技能数据库!$T$2:$T$27,0),2),0)+IF((IF(D49="轻剑",$AO$2,$AO$3)+INT(COUNTIF(G49,"*大莺鸣*")*IF(D49="轻剑",$AM$2,$AM$3)*听晓无双率)/无双系数)&gt;0.9,特效裤子会心/会心系数,0)))</f>
        <v>0.9343</v>
      </c>
      <c r="X49">
        <f ca="1">IF(G49="恒定伤害",0,IF(COUNTIF(F49,"*内会*")&gt;0,内会效,IF(D49="轻剑",$AB$2,$AB$3))+IFERROR(INDEX(技能数据库!$T$2:$W$27,MATCH(E49,技能数据库!$T$2:$T$27,0),3)/1024,0))+COUNTIF(G49,"*叠1*")*0.25+COUNTIF(G49,"*叠2*")*0.5+COUNTIF(G49,"*叠3*")*0.75</f>
        <v>2.3156473116</v>
      </c>
      <c r="Y49">
        <f ca="1" t="shared" si="33"/>
        <v>2.22920928322788</v>
      </c>
      <c r="Z49">
        <f t="shared" si="49"/>
        <v>0.150390625</v>
      </c>
      <c r="AA49">
        <f ca="1" t="shared" si="34"/>
        <v>0.0205078125</v>
      </c>
      <c r="AB49">
        <f ca="1" t="shared" si="35"/>
        <v>10429695.0089068</v>
      </c>
      <c r="AC49">
        <f ca="1">技能数计算!AJ41</f>
        <v>0</v>
      </c>
      <c r="AD49" s="164">
        <f ca="1" t="shared" si="36"/>
        <v>0</v>
      </c>
      <c r="AE49" s="168">
        <f ca="1" t="shared" si="6"/>
        <v>0</v>
      </c>
      <c r="AF49" s="168">
        <f ca="1" t="shared" si="50"/>
        <v>0</v>
      </c>
      <c r="AG49">
        <f ca="1" t="shared" si="8"/>
        <v>0.000161012264749072</v>
      </c>
      <c r="AH49">
        <f ca="1" t="shared" si="51"/>
        <v>1</v>
      </c>
      <c r="AI49">
        <f ca="1" t="shared" si="52"/>
        <v>1.00016101226475</v>
      </c>
      <c r="AJ49">
        <f ca="1" t="shared" si="53"/>
        <v>0</v>
      </c>
      <c r="AK49">
        <f ca="1" t="shared" si="18"/>
        <v>0</v>
      </c>
      <c r="AL49">
        <f ca="1" t="shared" si="54"/>
        <v>0</v>
      </c>
      <c r="AM49">
        <f ca="1" t="shared" si="19"/>
        <v>0</v>
      </c>
      <c r="AN49" s="168">
        <f ca="1" t="shared" si="55"/>
        <v>0.00841753350912167</v>
      </c>
      <c r="AO49" s="168">
        <f ca="1" t="shared" si="56"/>
        <v>0.00447057613551372</v>
      </c>
      <c r="AP49" s="172">
        <f ca="1" t="shared" si="57"/>
        <v>0.015897335593515</v>
      </c>
      <c r="AQ49" s="168">
        <f ca="1" t="shared" si="58"/>
        <v>0.00393951131463699</v>
      </c>
      <c r="AR49">
        <f t="shared" si="21"/>
        <v>1</v>
      </c>
      <c r="AX49" s="161" t="s">
        <v>2871</v>
      </c>
      <c r="AY49" s="161" t="s">
        <v>2870</v>
      </c>
      <c r="AZ49" s="164">
        <f ca="1" t="shared" si="16"/>
        <v>0</v>
      </c>
      <c r="BA49">
        <f ca="1" t="shared" si="17"/>
        <v>0</v>
      </c>
    </row>
    <row r="50" spans="4:53">
      <c r="D50" t="s">
        <v>1825</v>
      </c>
      <c r="E50" t="s">
        <v>2786</v>
      </c>
      <c r="G50" t="s">
        <v>2750</v>
      </c>
      <c r="H50">
        <f ca="1">INDEX(技能数据库!$B$2:$I$100,MATCH(伤害与收益计算!$E50,技能数据库!$B$2:$B$100,0),MATCH(H$9,技能数据库!$B$2:$I$2,0))</f>
        <v>0</v>
      </c>
      <c r="I50">
        <f ca="1">INDEX(技能数据库!$B$2:$I$100,MATCH(伤害与收益计算!$E50,技能数据库!$B$2:$B$100,0),MATCH(I$9,技能数据库!$B$2:$I$2,0))</f>
        <v>0</v>
      </c>
      <c r="J50">
        <f ca="1">INDEX(技能数据库!$B$2:$I$100,MATCH(伤害与收益计算!$E50,技能数据库!$B$2:$B$100,0),MATCH(J$9,技能数据库!$B$2:$I$2,0))</f>
        <v>0</v>
      </c>
      <c r="K50">
        <f ca="1">INDEX(技能数据库!$B$2:$I$100,MATCH(伤害与收益计算!$E50,技能数据库!$B$2:$B$100,0),MATCH(K$9,技能数据库!$B$2:$I$2,0))</f>
        <v>0</v>
      </c>
      <c r="L50">
        <f ca="1" t="shared" si="0"/>
        <v>105847</v>
      </c>
      <c r="M50">
        <f ca="1" t="shared" si="28"/>
        <v>19530.5</v>
      </c>
      <c r="N50">
        <f ca="1" t="shared" si="29"/>
        <v>92028</v>
      </c>
      <c r="O50">
        <f ca="1" t="shared" si="45"/>
        <v>0</v>
      </c>
      <c r="P50">
        <f ca="1">IF(G50="恒定伤害",0,(IF(D50="轻剑",$AZ$2,$AZ$3)+IFERROR(INDEX(技能数据库!$T$2:$W$27,MATCH(E50,技能数据库!$T$2:$T$27,0),4),0)+COUNTIF(G50,"*造化2*")*154+COUNTIF(G50,"*造化1*")*102+COUNTIF(G50,"*碧归*")*307)/1024)</f>
        <v>0.176868146929785</v>
      </c>
      <c r="Q50">
        <f ca="1" t="shared" si="46"/>
        <v>0.448284482196154</v>
      </c>
      <c r="R50">
        <f ca="1" t="shared" si="47"/>
        <v>0.21277697966198</v>
      </c>
      <c r="S50">
        <f ca="1" t="shared" si="30"/>
        <v>0</v>
      </c>
      <c r="T50">
        <f t="shared" si="31"/>
        <v>0.8</v>
      </c>
      <c r="U50">
        <f ca="1" t="shared" si="48"/>
        <v>1.7995442148</v>
      </c>
      <c r="V50">
        <f ca="1" t="shared" si="32"/>
        <v>0</v>
      </c>
      <c r="W50">
        <f ca="1">IF(G50="恒定伤害",0,MIN(1,IF(COUNTIF(F50,"*内会*")&gt;0,内会,IF(D50="轻剑",$Y$2,$Y$3)+COUNTIF(G50,"*莺鸣*")*0.2+COUNTIF(G50,"*叠1*")*0.1+COUNTIF(G50,"*叠2*")*0.2+COUNTIF(G50,"*叠3*")*0.3)+IFERROR(INDEX(技能数据库!$T$2:$W$27,MATCH(E50,技能数据库!$T$2:$T$27,0),2),0)+IF((IF(D50="轻剑",$AO$2,$AO$3)+INT(COUNTIF(G50,"*大莺鸣*")*IF(D50="轻剑",$AM$2,$AM$3)*听晓无双率)/无双系数)&gt;0.9,特效裤子会心/会心系数,0)))</f>
        <v>0.7343</v>
      </c>
      <c r="X50">
        <f ca="1">IF(G50="恒定伤害",0,IF(COUNTIF(F50,"*内会*")&gt;0,内会效,IF(D50="轻剑",$AB$2,$AB$3))+IFERROR(INDEX(技能数据库!$T$2:$W$27,MATCH(E50,技能数据库!$T$2:$T$27,0),3)/1024,0))+COUNTIF(G50,"*叠1*")*0.25+COUNTIF(G50,"*叠2*")*0.5+COUNTIF(G50,"*叠3*")*0.75</f>
        <v>2.3156473116</v>
      </c>
      <c r="Y50">
        <f ca="1" t="shared" si="33"/>
        <v>1.96607982090788</v>
      </c>
      <c r="Z50">
        <f t="shared" si="49"/>
        <v>0.150390625</v>
      </c>
      <c r="AA50">
        <f ca="1" t="shared" si="34"/>
        <v>0.0205078125</v>
      </c>
      <c r="AB50">
        <f ca="1" t="shared" si="35"/>
        <v>0</v>
      </c>
      <c r="AC50">
        <f ca="1">技能数计算!AJ42</f>
        <v>28</v>
      </c>
      <c r="AD50" s="164">
        <f ca="1" t="shared" si="36"/>
        <v>0</v>
      </c>
      <c r="AE50" s="168">
        <f ca="1" t="shared" si="6"/>
        <v>0</v>
      </c>
      <c r="AF50" s="168">
        <f ca="1" t="shared" si="50"/>
        <v>0</v>
      </c>
      <c r="AG50">
        <f ca="1" t="shared" si="8"/>
        <v>0</v>
      </c>
      <c r="AH50">
        <f ca="1" t="shared" si="51"/>
        <v>0</v>
      </c>
      <c r="AI50">
        <f ca="1" t="shared" si="52"/>
        <v>1.00016101226475</v>
      </c>
      <c r="AJ50">
        <f ca="1" t="shared" si="53"/>
        <v>1.0005726976962</v>
      </c>
      <c r="AK50">
        <f ca="1" t="shared" si="18"/>
        <v>28</v>
      </c>
      <c r="AL50">
        <f ca="1" t="shared" si="54"/>
        <v>0.00495187192404023</v>
      </c>
      <c r="AM50">
        <f ca="1" t="shared" si="19"/>
        <v>28</v>
      </c>
      <c r="AN50" s="168">
        <f ca="1" t="shared" si="55"/>
        <v>0.00750104430192855</v>
      </c>
      <c r="AO50" s="168">
        <f ca="1" t="shared" si="56"/>
        <v>0.00447057613551372</v>
      </c>
      <c r="AP50" s="172">
        <f ca="1" t="shared" si="57"/>
        <v>0</v>
      </c>
      <c r="AQ50" s="168">
        <f ca="1" t="shared" si="58"/>
        <v>0.00401583628616287</v>
      </c>
      <c r="AR50">
        <f t="shared" si="21"/>
        <v>1</v>
      </c>
      <c r="AX50" s="161" t="s">
        <v>2885</v>
      </c>
      <c r="AY50" s="161" t="s">
        <v>3158</v>
      </c>
      <c r="AZ50" s="164">
        <f ca="1" t="shared" si="16"/>
        <v>0</v>
      </c>
      <c r="BA50">
        <f ca="1" t="shared" si="17"/>
        <v>0</v>
      </c>
    </row>
    <row r="51" spans="4:53">
      <c r="D51" t="s">
        <v>1825</v>
      </c>
      <c r="E51" t="s">
        <v>2786</v>
      </c>
      <c r="G51" t="s">
        <v>3044</v>
      </c>
      <c r="H51">
        <f ca="1">INDEX(技能数据库!$B$2:$I$100,MATCH(伤害与收益计算!$E51,技能数据库!$B$2:$B$100,0),MATCH(H$9,技能数据库!$B$2:$I$2,0))</f>
        <v>0</v>
      </c>
      <c r="I51">
        <f ca="1">INDEX(技能数据库!$B$2:$I$100,MATCH(伤害与收益计算!$E51,技能数据库!$B$2:$B$100,0),MATCH(I$9,技能数据库!$B$2:$I$2,0))</f>
        <v>0</v>
      </c>
      <c r="J51">
        <f ca="1">INDEX(技能数据库!$B$2:$I$100,MATCH(伤害与收益计算!$E51,技能数据库!$B$2:$B$100,0),MATCH(J$9,技能数据库!$B$2:$I$2,0))</f>
        <v>0</v>
      </c>
      <c r="K51">
        <f ca="1">INDEX(技能数据库!$B$2:$I$100,MATCH(伤害与收益计算!$E51,技能数据库!$B$2:$B$100,0),MATCH(K$9,技能数据库!$B$2:$I$2,0))</f>
        <v>0</v>
      </c>
      <c r="L51">
        <f ca="1" t="shared" si="0"/>
        <v>105847</v>
      </c>
      <c r="M51">
        <f ca="1" t="shared" si="28"/>
        <v>19530.5</v>
      </c>
      <c r="N51">
        <f ca="1" t="shared" si="29"/>
        <v>92028</v>
      </c>
      <c r="O51">
        <f ca="1" t="shared" si="45"/>
        <v>0</v>
      </c>
      <c r="P51">
        <f ca="1">IF(G51="恒定伤害",0,(IF(D51="轻剑",$AZ$2,$AZ$3)+IFERROR(INDEX(技能数据库!$T$2:$W$27,MATCH(E51,技能数据库!$T$2:$T$27,0),4),0)+COUNTIF(G51,"*造化2*")*154+COUNTIF(G51,"*造化1*")*102+COUNTIF(G51,"*碧归*")*307)/1024)</f>
        <v>0.176868146929785</v>
      </c>
      <c r="Q51">
        <f ca="1" t="shared" si="46"/>
        <v>0.448284482196154</v>
      </c>
      <c r="R51">
        <f ca="1" t="shared" si="47"/>
        <v>0.21277697966198</v>
      </c>
      <c r="S51">
        <f ca="1" t="shared" si="30"/>
        <v>0</v>
      </c>
      <c r="T51">
        <f t="shared" si="31"/>
        <v>0.8</v>
      </c>
      <c r="U51">
        <f ca="1" t="shared" si="48"/>
        <v>2.68954760480339</v>
      </c>
      <c r="V51">
        <f ca="1" t="shared" si="32"/>
        <v>0</v>
      </c>
      <c r="W51">
        <f ca="1">IF(G51="恒定伤害",0,MIN(1,IF(COUNTIF(F51,"*内会*")&gt;0,内会,IF(D51="轻剑",$Y$2,$Y$3)+COUNTIF(G51,"*莺鸣*")*0.2+COUNTIF(G51,"*叠1*")*0.1+COUNTIF(G51,"*叠2*")*0.2+COUNTIF(G51,"*叠3*")*0.3)+IFERROR(INDEX(技能数据库!$T$2:$W$27,MATCH(E51,技能数据库!$T$2:$T$27,0),2),0)+IF((IF(D51="轻剑",$AO$2,$AO$3)+INT(COUNTIF(G51,"*大莺鸣*")*IF(D51="轻剑",$AM$2,$AM$3)*听晓无双率)/无双系数)&gt;0.9,特效裤子会心/会心系数,0)))</f>
        <v>0.9343</v>
      </c>
      <c r="X51">
        <f ca="1">IF(G51="恒定伤害",0,IF(COUNTIF(F51,"*内会*")&gt;0,内会效,IF(D51="轻剑",$AB$2,$AB$3))+IFERROR(INDEX(技能数据库!$T$2:$W$27,MATCH(E51,技能数据库!$T$2:$T$27,0),3)/1024,0))+COUNTIF(G51,"*叠1*")*0.25+COUNTIF(G51,"*叠2*")*0.5+COUNTIF(G51,"*叠3*")*0.75</f>
        <v>2.3156473116</v>
      </c>
      <c r="Y51">
        <f ca="1" t="shared" si="33"/>
        <v>2.22920928322788</v>
      </c>
      <c r="Z51">
        <f t="shared" si="49"/>
        <v>0.150390625</v>
      </c>
      <c r="AA51">
        <f ca="1" t="shared" si="34"/>
        <v>0.0205078125</v>
      </c>
      <c r="AB51">
        <f ca="1" t="shared" si="35"/>
        <v>0</v>
      </c>
      <c r="AC51">
        <f ca="1">技能数计算!AJ43</f>
        <v>0</v>
      </c>
      <c r="AD51" s="164">
        <f ca="1" t="shared" si="36"/>
        <v>0</v>
      </c>
      <c r="AE51" s="168">
        <f ca="1" t="shared" si="6"/>
        <v>0</v>
      </c>
      <c r="AF51" s="168">
        <f ca="1" t="shared" si="50"/>
        <v>0</v>
      </c>
      <c r="AG51">
        <f ca="1" t="shared" si="8"/>
        <v>0</v>
      </c>
      <c r="AH51">
        <f ca="1" t="shared" si="51"/>
        <v>0</v>
      </c>
      <c r="AI51">
        <f ca="1" t="shared" si="52"/>
        <v>1.00016101226475</v>
      </c>
      <c r="AJ51">
        <f ca="1" t="shared" si="53"/>
        <v>0</v>
      </c>
      <c r="AK51">
        <f ca="1" t="shared" si="18"/>
        <v>0</v>
      </c>
      <c r="AL51">
        <f ca="1" t="shared" si="54"/>
        <v>0</v>
      </c>
      <c r="AM51">
        <f ca="1" t="shared" si="19"/>
        <v>0</v>
      </c>
      <c r="AN51" s="168">
        <f ca="1" t="shared" si="55"/>
        <v>0.00841753350912167</v>
      </c>
      <c r="AO51" s="168">
        <f ca="1" t="shared" si="56"/>
        <v>0.00447057613551372</v>
      </c>
      <c r="AP51" s="172">
        <f ca="1" t="shared" si="57"/>
        <v>0</v>
      </c>
      <c r="AQ51" s="168">
        <f ca="1" t="shared" si="58"/>
        <v>0.00393951131463699</v>
      </c>
      <c r="AR51">
        <f t="shared" si="21"/>
        <v>1</v>
      </c>
      <c r="AX51" s="161" t="s">
        <v>2897</v>
      </c>
      <c r="AY51" s="161" t="s">
        <v>3159</v>
      </c>
      <c r="AZ51" s="164">
        <f ca="1" t="shared" si="16"/>
        <v>0</v>
      </c>
      <c r="BA51">
        <f ca="1" t="shared" si="17"/>
        <v>0</v>
      </c>
    </row>
    <row r="52" spans="4:53">
      <c r="D52" t="s">
        <v>1825</v>
      </c>
      <c r="E52" t="s">
        <v>2723</v>
      </c>
      <c r="H52">
        <f ca="1">INDEX(技能数据库!$B$2:$I$100,MATCH(伤害与收益计算!$E52,技能数据库!$B$2:$B$100,0),MATCH(H$9,技能数据库!$B$2:$I$2,0))</f>
        <v>143</v>
      </c>
      <c r="I52">
        <f ca="1">INDEX(技能数据库!$B$2:$I$100,MATCH(伤害与收益计算!$E52,技能数据库!$B$2:$B$100,0),MATCH(I$9,技能数据库!$B$2:$I$2,0))</f>
        <v>2.53125</v>
      </c>
      <c r="J52">
        <f ca="1">INDEX(技能数据库!$B$2:$I$100,MATCH(伤害与收益计算!$E52,技能数据库!$B$2:$B$100,0),MATCH(J$9,技能数据库!$B$2:$I$2,0))</f>
        <v>2</v>
      </c>
      <c r="K52">
        <f ca="1">INDEX(技能数据库!$B$2:$I$100,MATCH(伤害与收益计算!$E52,技能数据库!$B$2:$B$100,0),MATCH(K$9,技能数据库!$B$2:$I$2,0))</f>
        <v>0</v>
      </c>
      <c r="L52">
        <f ca="1" t="shared" si="0"/>
        <v>91975</v>
      </c>
      <c r="M52">
        <f ca="1" t="shared" si="28"/>
        <v>19530.5</v>
      </c>
      <c r="N52">
        <f ca="1" t="shared" si="29"/>
        <v>92028</v>
      </c>
      <c r="O52">
        <f ca="1" t="shared" si="45"/>
        <v>272015.71875</v>
      </c>
      <c r="P52">
        <f ca="1">IF(G52="恒定伤害",0,(IF(D52="轻剑",$AZ$2,$AZ$3)+IFERROR(INDEX(技能数据库!$T$2:$W$27,MATCH(E52,技能数据库!$T$2:$T$27,0),4),0)+COUNTIF(G52,"*造化2*")*154+COUNTIF(G52,"*造化1*")*102+COUNTIF(G52,"*碧归*")*307)/1024)</f>
        <v>0.176868146929785</v>
      </c>
      <c r="Q52">
        <f ca="1" t="shared" si="46"/>
        <v>0.448284482196154</v>
      </c>
      <c r="R52">
        <f ca="1" t="shared" si="47"/>
        <v>0.32958230397716</v>
      </c>
      <c r="S52">
        <f ca="1" t="shared" si="30"/>
        <v>310828.73145732</v>
      </c>
      <c r="T52">
        <f t="shared" si="31"/>
        <v>0.8</v>
      </c>
      <c r="U52">
        <f ca="1" t="shared" si="48"/>
        <v>1.7995442148</v>
      </c>
      <c r="V52">
        <f ca="1" t="shared" si="32"/>
        <v>696143.021555971</v>
      </c>
      <c r="W52">
        <f ca="1">IF(G52="恒定伤害",0,MIN(1,IF(COUNTIF(F52,"*内会*")&gt;0,内会,IF(D52="轻剑",$Y$2,$Y$3)+COUNTIF(G52,"*莺鸣*")*0.2+COUNTIF(G52,"*叠1*")*0.1+COUNTIF(G52,"*叠2*")*0.2+COUNTIF(G52,"*叠3*")*0.3)+IFERROR(INDEX(技能数据库!$T$2:$W$27,MATCH(E52,技能数据库!$T$2:$T$27,0),2),0)+IF((IF(D52="轻剑",$AO$2,$AO$3)+INT(COUNTIF(G52,"*大莺鸣*")*IF(D52="轻剑",$AM$2,$AM$3)*听晓无双率)/无双系数)&gt;0.9,特效裤子会心/会心系数,0)))</f>
        <v>0.7343</v>
      </c>
      <c r="X52">
        <f ca="1">IF(G52="恒定伤害",0,IF(COUNTIF(F52,"*内会*")&gt;0,内会效,IF(D52="轻剑",$AB$2,$AB$3))+IFERROR(INDEX(技能数据库!$T$2:$W$27,MATCH(E52,技能数据库!$T$2:$T$27,0),3)/1024,0))+COUNTIF(G52,"*叠1*")*0.25+COUNTIF(G52,"*叠2*")*0.5+COUNTIF(G52,"*叠3*")*0.75</f>
        <v>2.3156473116</v>
      </c>
      <c r="Y52">
        <f ca="1" t="shared" si="33"/>
        <v>1.96607982090788</v>
      </c>
      <c r="Z52">
        <f t="shared" si="49"/>
        <v>0.150390625</v>
      </c>
      <c r="AA52">
        <f ca="1" t="shared" si="34"/>
        <v>0.0205078125</v>
      </c>
      <c r="AB52">
        <f ca="1" t="shared" si="35"/>
        <v>1606798.01794574</v>
      </c>
      <c r="AC52">
        <f ca="1">($AC$24+$AC$28+$AC$32+$AC$137)*MIN(1,0.3+$Y$3)</f>
        <v>0</v>
      </c>
      <c r="AD52" s="164">
        <f ca="1" t="shared" si="36"/>
        <v>0</v>
      </c>
      <c r="AE52" s="168">
        <f ca="1" t="shared" si="6"/>
        <v>0.0038710998204033</v>
      </c>
      <c r="AF52" s="168">
        <f ca="1" t="shared" si="50"/>
        <v>0.00438393783079861</v>
      </c>
      <c r="AG52">
        <f ca="1" t="shared" si="8"/>
        <v>0.00331016836394804</v>
      </c>
      <c r="AH52">
        <f ca="1" t="shared" si="51"/>
        <v>1.00314864912807</v>
      </c>
      <c r="AI52">
        <f ca="1" t="shared" si="52"/>
        <v>1.00016101226475</v>
      </c>
      <c r="AJ52">
        <f ca="1" t="shared" si="53"/>
        <v>0</v>
      </c>
      <c r="AK52">
        <f ca="1">($AC$24+$AC$28+$AC$32+$AC$137)*MIN(1,0.3+$Y$3+((delta身法+INT((IF(D52="轻剑",$N$2,$N$3))/1024*delta身法))*身法转基础会心/会心系数))</f>
        <v>0</v>
      </c>
      <c r="AL52">
        <f ca="1" t="shared" si="54"/>
        <v>0</v>
      </c>
      <c r="AM52">
        <f ca="1">($AC$24+$AC$28+$AC$32+$AC$137)*MIN(1,0.3+$Y$3+delta会心/会心系数)</f>
        <v>0</v>
      </c>
      <c r="AN52" s="168">
        <f ca="1" t="shared" si="55"/>
        <v>0.00750104430192855</v>
      </c>
      <c r="AO52" s="168">
        <f ca="1" t="shared" si="56"/>
        <v>0.00447057613551372</v>
      </c>
      <c r="AP52" s="172">
        <f ca="1" t="shared" si="57"/>
        <v>0</v>
      </c>
      <c r="AQ52" s="168">
        <f ca="1" t="shared" si="58"/>
        <v>0.00401583628616287</v>
      </c>
      <c r="AR52">
        <f t="shared" si="21"/>
        <v>1</v>
      </c>
    </row>
    <row r="53" spans="4:53">
      <c r="D53" t="s">
        <v>1825</v>
      </c>
      <c r="E53" t="s">
        <v>2723</v>
      </c>
      <c r="G53" t="s">
        <v>2750</v>
      </c>
      <c r="H53">
        <f ca="1">INDEX(技能数据库!$B$2:$I$100,MATCH(伤害与收益计算!$E53,技能数据库!$B$2:$B$100,0),MATCH(H$9,技能数据库!$B$2:$I$2,0))</f>
        <v>143</v>
      </c>
      <c r="I53">
        <f ca="1">INDEX(技能数据库!$B$2:$I$100,MATCH(伤害与收益计算!$E53,技能数据库!$B$2:$B$100,0),MATCH(I$9,技能数据库!$B$2:$I$2,0))</f>
        <v>2.53125</v>
      </c>
      <c r="J53">
        <f ca="1">INDEX(技能数据库!$B$2:$I$100,MATCH(伤害与收益计算!$E53,技能数据库!$B$2:$B$100,0),MATCH(J$9,技能数据库!$B$2:$I$2,0))</f>
        <v>2</v>
      </c>
      <c r="K53">
        <f ca="1">INDEX(技能数据库!$B$2:$I$100,MATCH(伤害与收益计算!$E53,技能数据库!$B$2:$B$100,0),MATCH(K$9,技能数据库!$B$2:$I$2,0))</f>
        <v>0</v>
      </c>
      <c r="L53">
        <f ca="1" t="shared" si="0"/>
        <v>105847</v>
      </c>
      <c r="M53">
        <f ca="1" t="shared" si="28"/>
        <v>19530.5</v>
      </c>
      <c r="N53">
        <f ca="1" t="shared" si="29"/>
        <v>92028</v>
      </c>
      <c r="O53">
        <f ca="1" t="shared" si="45"/>
        <v>307129.21875</v>
      </c>
      <c r="P53">
        <f ca="1">IF(G53="恒定伤害",0,(IF(D53="轻剑",$AZ$2,$AZ$3)+IFERROR(INDEX(技能数据库!$T$2:$W$27,MATCH(E53,技能数据库!$T$2:$T$27,0),4),0)+COUNTIF(G53,"*造化2*")*154+COUNTIF(G53,"*造化1*")*102+COUNTIF(G53,"*碧归*")*307)/1024)</f>
        <v>0.176868146929785</v>
      </c>
      <c r="Q53">
        <f ca="1" t="shared" si="46"/>
        <v>0.448284482196154</v>
      </c>
      <c r="R53">
        <f ca="1" t="shared" si="47"/>
        <v>0.21277697966198</v>
      </c>
      <c r="S53">
        <f ca="1" t="shared" si="30"/>
        <v>412098.094407014</v>
      </c>
      <c r="T53">
        <f t="shared" si="31"/>
        <v>0.8</v>
      </c>
      <c r="U53">
        <f ca="1" t="shared" si="48"/>
        <v>1.7995442148</v>
      </c>
      <c r="V53">
        <f ca="1" t="shared" si="32"/>
        <v>922949.468901808</v>
      </c>
      <c r="W53">
        <f ca="1">IF(G53="恒定伤害",0,MIN(1,IF(COUNTIF(F53,"*内会*")&gt;0,内会,IF(D53="轻剑",$Y$2,$Y$3)+COUNTIF(G53,"*莺鸣*")*0.2+COUNTIF(G53,"*叠1*")*0.1+COUNTIF(G53,"*叠2*")*0.2+COUNTIF(G53,"*叠3*")*0.3)+IFERROR(INDEX(技能数据库!$T$2:$W$27,MATCH(E53,技能数据库!$T$2:$T$27,0),2),0)+IF((IF(D53="轻剑",$AO$2,$AO$3)+INT(COUNTIF(G53,"*大莺鸣*")*IF(D53="轻剑",$AM$2,$AM$3)*听晓无双率)/无双系数)&gt;0.9,特效裤子会心/会心系数,0)))</f>
        <v>0.7343</v>
      </c>
      <c r="X53">
        <f ca="1">IF(G53="恒定伤害",0,IF(COUNTIF(F53,"*内会*")&gt;0,内会效,IF(D53="轻剑",$AB$2,$AB$3))+IFERROR(INDEX(技能数据库!$T$2:$W$27,MATCH(E53,技能数据库!$T$2:$T$27,0),3)/1024,0))+COUNTIF(G53,"*叠1*")*0.25+COUNTIF(G53,"*叠2*")*0.5+COUNTIF(G53,"*叠3*")*0.75</f>
        <v>2.3156473116</v>
      </c>
      <c r="Y53">
        <f ca="1" t="shared" si="33"/>
        <v>1.96607982090788</v>
      </c>
      <c r="Z53">
        <f t="shared" si="49"/>
        <v>0.150390625</v>
      </c>
      <c r="AA53">
        <f ca="1" t="shared" si="34"/>
        <v>0.0205078125</v>
      </c>
      <c r="AB53">
        <f ca="1" t="shared" si="35"/>
        <v>2130299.85416044</v>
      </c>
      <c r="AC53">
        <f ca="1">($AC$25+$AC$29+$AC$33+$AC$38+$AC$42+$AC$46+$AC$78+$AC$92+$AC$95+$AC$98+$AC$99+$AC$107)*MIN(1,0.3+$Y$3)</f>
        <v>76</v>
      </c>
      <c r="AD53" s="164">
        <f ca="1" t="shared" si="36"/>
        <v>0.0519728140728136</v>
      </c>
      <c r="AE53" s="168">
        <f ca="1" t="shared" si="6"/>
        <v>0.00408785593604483</v>
      </c>
      <c r="AF53" s="168">
        <f ca="1" t="shared" si="50"/>
        <v>0.00388273054857305</v>
      </c>
      <c r="AG53">
        <f ca="1" t="shared" si="8"/>
        <v>0.00352451856049485</v>
      </c>
      <c r="AH53">
        <f ca="1" t="shared" si="51"/>
        <v>1.00278867005604</v>
      </c>
      <c r="AI53">
        <f ca="1" t="shared" si="52"/>
        <v>1.00016101226475</v>
      </c>
      <c r="AJ53">
        <f ca="1" t="shared" si="53"/>
        <v>1.0005726976962</v>
      </c>
      <c r="AK53">
        <f ca="1">($AC$25+$AC$29+$AC$33+$AC$38+$AC$42+$AC$46+$AC$78+$AC$92+$AC$95+$AC$98+$AC$99+$AC$107)*MIN(1,0.3+$Y$3+((delta身法+INT((IF(D52="轻剑",$N$2,$N$3))/1024*delta身法))*身法转基础会心/会心系数))</f>
        <v>76</v>
      </c>
      <c r="AL53">
        <f ca="1" t="shared" si="54"/>
        <v>0.00495187192404023</v>
      </c>
      <c r="AM53">
        <f ca="1">($AC$25+$AC$29+$AC$33+$AC$38+$AC$42+$AC$46+$AC$78+$AC$92+$AC$95+$AC$98+$AC$99+$AC$107)*MIN(1,0.3+$Y$3+delta会心/会心系数)</f>
        <v>76</v>
      </c>
      <c r="AN53" s="168">
        <f ca="1" t="shared" si="55"/>
        <v>0.00750104430192855</v>
      </c>
      <c r="AO53" s="168">
        <f ca="1" t="shared" si="56"/>
        <v>0.00447057613551372</v>
      </c>
      <c r="AP53" s="172">
        <f ca="1" t="shared" si="57"/>
        <v>0</v>
      </c>
      <c r="AQ53" s="168">
        <f ca="1" t="shared" si="58"/>
        <v>0.00401583628616287</v>
      </c>
      <c r="AR53">
        <f t="shared" si="21"/>
        <v>1</v>
      </c>
    </row>
    <row r="54" spans="4:53">
      <c r="D54" t="s">
        <v>1825</v>
      </c>
      <c r="E54" t="s">
        <v>2723</v>
      </c>
      <c r="G54" t="s">
        <v>2948</v>
      </c>
      <c r="H54">
        <f ca="1">INDEX(技能数据库!$B$2:$I$100,MATCH(伤害与收益计算!$E54,技能数据库!$B$2:$B$100,0),MATCH(H$9,技能数据库!$B$2:$I$2,0))</f>
        <v>143</v>
      </c>
      <c r="I54">
        <f ca="1">INDEX(技能数据库!$B$2:$I$100,MATCH(伤害与收益计算!$E54,技能数据库!$B$2:$B$100,0),MATCH(I$9,技能数据库!$B$2:$I$2,0))</f>
        <v>2.53125</v>
      </c>
      <c r="J54">
        <f ca="1">INDEX(技能数据库!$B$2:$I$100,MATCH(伤害与收益计算!$E54,技能数据库!$B$2:$B$100,0),MATCH(J$9,技能数据库!$B$2:$I$2,0))</f>
        <v>2</v>
      </c>
      <c r="K54">
        <f ca="1">INDEX(技能数据库!$B$2:$I$100,MATCH(伤害与收益计算!$E54,技能数据库!$B$2:$B$100,0),MATCH(K$9,技能数据库!$B$2:$I$2,0))</f>
        <v>0</v>
      </c>
      <c r="L54">
        <f ca="1" t="shared" si="0"/>
        <v>91975</v>
      </c>
      <c r="M54">
        <f ca="1" t="shared" si="28"/>
        <v>19530.5</v>
      </c>
      <c r="N54">
        <f ca="1" t="shared" si="29"/>
        <v>92028</v>
      </c>
      <c r="O54">
        <f ca="1" t="shared" si="45"/>
        <v>272015.71875</v>
      </c>
      <c r="P54">
        <f ca="1">IF(G54="恒定伤害",0,(IF(D54="轻剑",$AZ$2,$AZ$3)+IFERROR(INDEX(技能数据库!$T$2:$W$27,MATCH(E54,技能数据库!$T$2:$T$27,0),4),0)+COUNTIF(G54,"*造化2*")*154+COUNTIF(G54,"*造化1*")*102+COUNTIF(G54,"*碧归*")*307)/1024)</f>
        <v>0.176868146929785</v>
      </c>
      <c r="Q54">
        <f ca="1" t="shared" si="46"/>
        <v>0.448284482196154</v>
      </c>
      <c r="R54">
        <f ca="1" t="shared" si="47"/>
        <v>0.32958230397716</v>
      </c>
      <c r="S54">
        <f ca="1" t="shared" si="30"/>
        <v>310828.73145732</v>
      </c>
      <c r="T54">
        <f t="shared" si="31"/>
        <v>0.8</v>
      </c>
      <c r="U54">
        <f ca="1" t="shared" si="48"/>
        <v>2.68954760480339</v>
      </c>
      <c r="V54">
        <f ca="1" t="shared" si="32"/>
        <v>917453.921321946</v>
      </c>
      <c r="W54">
        <f ca="1">IF(G54="恒定伤害",0,MIN(1,IF(COUNTIF(F54,"*内会*")&gt;0,内会,IF(D54="轻剑",$Y$2,$Y$3)+COUNTIF(G54,"*莺鸣*")*0.2+COUNTIF(G54,"*叠1*")*0.1+COUNTIF(G54,"*叠2*")*0.2+COUNTIF(G54,"*叠3*")*0.3)+IFERROR(INDEX(技能数据库!$T$2:$W$27,MATCH(E54,技能数据库!$T$2:$T$27,0),2),0)+IF((IF(D54="轻剑",$AO$2,$AO$3)+INT(COUNTIF(G54,"*大莺鸣*")*IF(D54="轻剑",$AM$2,$AM$3)*听晓无双率)/无双系数)&gt;0.9,特效裤子会心/会心系数,0)))</f>
        <v>0.9343</v>
      </c>
      <c r="X54">
        <f ca="1">IF(G54="恒定伤害",0,IF(COUNTIF(F54,"*内会*")&gt;0,内会效,IF(D54="轻剑",$AB$2,$AB$3))+IFERROR(INDEX(技能数据库!$T$2:$W$27,MATCH(E54,技能数据库!$T$2:$T$27,0),3)/1024,0))+COUNTIF(G54,"*叠1*")*0.25+COUNTIF(G54,"*叠2*")*0.5+COUNTIF(G54,"*叠3*")*0.75</f>
        <v>2.3156473116</v>
      </c>
      <c r="Y54">
        <f ca="1" t="shared" si="33"/>
        <v>2.22920928322788</v>
      </c>
      <c r="Z54">
        <f t="shared" si="49"/>
        <v>0.150390625</v>
      </c>
      <c r="AA54">
        <f ca="1" t="shared" si="34"/>
        <v>0.0205078125</v>
      </c>
      <c r="AB54">
        <f ca="1" t="shared" si="35"/>
        <v>2401025.49622565</v>
      </c>
      <c r="AC54">
        <f ca="1">($AC$26+$AC$30+$AC$103+$AC$108+$AC$112)*MIN(1,0.3+$Y$3+0.2)</f>
        <v>0</v>
      </c>
      <c r="AD54" s="164">
        <f ca="1" t="shared" si="36"/>
        <v>0</v>
      </c>
      <c r="AE54" s="168">
        <f ca="1" t="shared" si="6"/>
        <v>0.0038710998204033</v>
      </c>
      <c r="AF54" s="168">
        <f ca="1" t="shared" si="50"/>
        <v>0.00438393783079861</v>
      </c>
      <c r="AG54">
        <f ca="1" t="shared" si="8"/>
        <v>0.00331016836394804</v>
      </c>
      <c r="AH54">
        <f ca="1" t="shared" si="51"/>
        <v>1.00314864912807</v>
      </c>
      <c r="AI54">
        <f ca="1" t="shared" si="52"/>
        <v>1.00016101226475</v>
      </c>
      <c r="AJ54">
        <f ca="1" t="shared" si="53"/>
        <v>0</v>
      </c>
      <c r="AK54">
        <f ca="1">($AC$26+$AC$30+$AC$103+$AC$108+$AC$112)*MIN(1,0.3+$Y$3+0.2+((delta身法+INT((IF(D52="轻剑",$N$2,$N$3))/1024*delta身法))*身法转基础会心/会心系数))</f>
        <v>0</v>
      </c>
      <c r="AL54">
        <f ca="1" t="shared" si="54"/>
        <v>0</v>
      </c>
      <c r="AM54">
        <f ca="1">($AC$26+$AC$30+$AC$103+$AC$108+$AC$112)*MIN(1,0.3+$Y$3+0.2+delta会心/会心系数)</f>
        <v>0</v>
      </c>
      <c r="AN54" s="168">
        <f ca="1" t="shared" si="55"/>
        <v>0.00841753350912167</v>
      </c>
      <c r="AO54" s="168">
        <f ca="1" t="shared" si="56"/>
        <v>0.00447057613551372</v>
      </c>
      <c r="AP54" s="172">
        <f ca="1" t="shared" si="57"/>
        <v>0</v>
      </c>
      <c r="AQ54" s="168">
        <f ca="1" t="shared" si="58"/>
        <v>0.00393951131463699</v>
      </c>
      <c r="AR54">
        <f t="shared" si="21"/>
        <v>1</v>
      </c>
    </row>
    <row r="55" spans="4:53">
      <c r="D55" t="s">
        <v>1825</v>
      </c>
      <c r="E55" t="s">
        <v>2723</v>
      </c>
      <c r="G55" t="s">
        <v>3044</v>
      </c>
      <c r="H55">
        <f ca="1">INDEX(技能数据库!$B$2:$I$100,MATCH(伤害与收益计算!$E55,技能数据库!$B$2:$B$100,0),MATCH(H$9,技能数据库!$B$2:$I$2,0))</f>
        <v>143</v>
      </c>
      <c r="I55">
        <f ca="1">INDEX(技能数据库!$B$2:$I$100,MATCH(伤害与收益计算!$E55,技能数据库!$B$2:$B$100,0),MATCH(I$9,技能数据库!$B$2:$I$2,0))</f>
        <v>2.53125</v>
      </c>
      <c r="J55">
        <f ca="1">INDEX(技能数据库!$B$2:$I$100,MATCH(伤害与收益计算!$E55,技能数据库!$B$2:$B$100,0),MATCH(J$9,技能数据库!$B$2:$I$2,0))</f>
        <v>2</v>
      </c>
      <c r="K55">
        <f ca="1">INDEX(技能数据库!$B$2:$I$100,MATCH(伤害与收益计算!$E55,技能数据库!$B$2:$B$100,0),MATCH(K$9,技能数据库!$B$2:$I$2,0))</f>
        <v>0</v>
      </c>
      <c r="L55">
        <f ca="1" t="shared" si="0"/>
        <v>105847</v>
      </c>
      <c r="M55">
        <f ca="1" t="shared" si="28"/>
        <v>19530.5</v>
      </c>
      <c r="N55">
        <f ca="1" t="shared" si="29"/>
        <v>92028</v>
      </c>
      <c r="O55">
        <f ca="1" t="shared" si="45"/>
        <v>307129.21875</v>
      </c>
      <c r="P55">
        <f ca="1">IF(G55="恒定伤害",0,(IF(D55="轻剑",$AZ$2,$AZ$3)+IFERROR(INDEX(技能数据库!$T$2:$W$27,MATCH(E55,技能数据库!$T$2:$T$27,0),4),0)+COUNTIF(G55,"*造化2*")*154+COUNTIF(G55,"*造化1*")*102+COUNTIF(G55,"*碧归*")*307)/1024)</f>
        <v>0.176868146929785</v>
      </c>
      <c r="Q55">
        <f ca="1" t="shared" si="46"/>
        <v>0.448284482196154</v>
      </c>
      <c r="R55">
        <f ca="1" t="shared" si="47"/>
        <v>0.21277697966198</v>
      </c>
      <c r="S55">
        <f ca="1" t="shared" si="30"/>
        <v>412098.094407014</v>
      </c>
      <c r="T55">
        <f t="shared" si="31"/>
        <v>0.8</v>
      </c>
      <c r="U55">
        <f ca="1" t="shared" si="48"/>
        <v>2.68954760480339</v>
      </c>
      <c r="V55">
        <f ca="1" t="shared" si="32"/>
        <v>1216364.42973075</v>
      </c>
      <c r="W55">
        <f ca="1">IF(G55="恒定伤害",0,MIN(1,IF(COUNTIF(F55,"*内会*")&gt;0,内会,IF(D55="轻剑",$Y$2,$Y$3)+COUNTIF(G55,"*莺鸣*")*0.2+COUNTIF(G55,"*叠1*")*0.1+COUNTIF(G55,"*叠2*")*0.2+COUNTIF(G55,"*叠3*")*0.3)+IFERROR(INDEX(技能数据库!$T$2:$W$27,MATCH(E55,技能数据库!$T$2:$T$27,0),2),0)+IF((IF(D55="轻剑",$AO$2,$AO$3)+INT(COUNTIF(G55,"*大莺鸣*")*IF(D55="轻剑",$AM$2,$AM$3)*听晓无双率)/无双系数)&gt;0.9,特效裤子会心/会心系数,0)))</f>
        <v>0.9343</v>
      </c>
      <c r="X55">
        <f ca="1">IF(G55="恒定伤害",0,IF(COUNTIF(F55,"*内会*")&gt;0,内会效,IF(D55="轻剑",$AB$2,$AB$3))+IFERROR(INDEX(技能数据库!$T$2:$W$27,MATCH(E55,技能数据库!$T$2:$T$27,0),3)/1024,0))+COUNTIF(G55,"*叠1*")*0.25+COUNTIF(G55,"*叠2*")*0.5+COUNTIF(G55,"*叠3*")*0.75</f>
        <v>2.3156473116</v>
      </c>
      <c r="Y55">
        <f ca="1" t="shared" si="33"/>
        <v>2.22920928322788</v>
      </c>
      <c r="Z55">
        <f t="shared" si="49"/>
        <v>0.150390625</v>
      </c>
      <c r="AA55">
        <f ca="1" t="shared" si="34"/>
        <v>0.0205078125</v>
      </c>
      <c r="AB55">
        <f ca="1" t="shared" si="35"/>
        <v>3183290.12565271</v>
      </c>
      <c r="AC55">
        <f ca="1">($AC$27+$AC$31+$AC$72+AC74+$AC$77+$AC$79+$AC$39+$AC$43)*MIN(1,0.3+$Y$3+0.2)</f>
        <v>0</v>
      </c>
      <c r="AD55" s="164">
        <f ca="1" t="shared" si="36"/>
        <v>0</v>
      </c>
      <c r="AE55" s="168">
        <f ca="1" t="shared" si="6"/>
        <v>0.00408785593604483</v>
      </c>
      <c r="AF55" s="168">
        <f ca="1" t="shared" si="50"/>
        <v>0.00388273054857305</v>
      </c>
      <c r="AG55">
        <f ca="1" t="shared" si="8"/>
        <v>0.00295013133087352</v>
      </c>
      <c r="AH55">
        <f ca="1" t="shared" si="51"/>
        <v>1.00278867005604</v>
      </c>
      <c r="AI55">
        <f ca="1" t="shared" si="52"/>
        <v>1.00016101226475</v>
      </c>
      <c r="AJ55">
        <f ca="1" t="shared" si="53"/>
        <v>0</v>
      </c>
      <c r="AK55">
        <f ca="1">($AC$27+$AC$31+$AC$72+AK74+$AC$77+$AC$79+$AC$39+$AC$43)*MIN(1,0.3+$Y$3+0.2+((delta身法+INT((IF(D52="轻剑",$N$2,$N$3))/1024*delta身法))*身法转基础会心/会心系数))</f>
        <v>0</v>
      </c>
      <c r="AL55">
        <f ca="1" t="shared" si="54"/>
        <v>0</v>
      </c>
      <c r="AM55">
        <f ca="1">($AC$27+$AC$31+$AC$72+AM74+$AC$77+$AC$79+$AC$39+$AC$43)*MIN(1,0.3+$Y$3+0.2+delta会心/会心系数)</f>
        <v>0</v>
      </c>
      <c r="AN55" s="168">
        <f ca="1" t="shared" si="55"/>
        <v>0.00841753350912167</v>
      </c>
      <c r="AO55" s="168">
        <f ca="1" t="shared" si="56"/>
        <v>0.00447057613551372</v>
      </c>
      <c r="AP55" s="172">
        <f ca="1" t="shared" si="57"/>
        <v>0</v>
      </c>
      <c r="AQ55" s="168">
        <f ca="1" t="shared" si="58"/>
        <v>0.00393951131463699</v>
      </c>
      <c r="AR55">
        <f t="shared" si="21"/>
        <v>1</v>
      </c>
    </row>
    <row r="56" spans="4:53">
      <c r="D56" t="s">
        <v>1825</v>
      </c>
      <c r="E56" t="s">
        <v>2789</v>
      </c>
      <c r="G56" t="s">
        <v>3044</v>
      </c>
      <c r="H56">
        <f ca="1">INDEX(技能数据库!$B$2:$I$100,MATCH(伤害与收益计算!$E56,技能数据库!$B$2:$B$100,0),MATCH(H$9,技能数据库!$B$2:$I$2,0))</f>
        <v>131</v>
      </c>
      <c r="I56">
        <f ca="1">INDEX(技能数据库!$B$2:$I$100,MATCH(伤害与收益计算!$E56,技能数据库!$B$2:$B$100,0),MATCH(I$9,技能数据库!$B$2:$I$2,0))</f>
        <v>3.425</v>
      </c>
      <c r="J56">
        <f ca="1">INDEX(技能数据库!$B$2:$I$100,MATCH(伤害与收益计算!$E56,技能数据库!$B$2:$B$100,0),MATCH(J$9,技能数据库!$B$2:$I$2,0))</f>
        <v>0</v>
      </c>
      <c r="K56">
        <f ca="1">INDEX(技能数据库!$B$2:$I$100,MATCH(伤害与收益计算!$E56,技能数据库!$B$2:$B$100,0),MATCH(K$9,技能数据库!$B$2:$I$2,0))</f>
        <v>0</v>
      </c>
      <c r="L56">
        <f ca="1" t="shared" si="0"/>
        <v>105847</v>
      </c>
      <c r="M56">
        <f ca="1" t="shared" si="28"/>
        <v>19530.5</v>
      </c>
      <c r="N56">
        <f ca="1" t="shared" si="29"/>
        <v>92028</v>
      </c>
      <c r="O56">
        <f ca="1" t="shared" si="45"/>
        <v>362656.975</v>
      </c>
      <c r="P56">
        <f ca="1">IF(G56="恒定伤害",0,(IF(D56="轻剑",$AZ$2,$AZ$3)+IFERROR(INDEX(技能数据库!$T$2:$W$27,MATCH(E56,技能数据库!$T$2:$T$27,0),4),0)+COUNTIF(G56,"*造化2*")*154+COUNTIF(G56,"*造化1*")*102+COUNTIF(G56,"*碧归*")*307)/1024)</f>
        <v>0.672900861773535</v>
      </c>
      <c r="Q56">
        <f ca="1" t="shared" si="46"/>
        <v>0.448284482196154</v>
      </c>
      <c r="R56">
        <f ca="1" t="shared" si="47"/>
        <v>0.21277697966198</v>
      </c>
      <c r="S56">
        <f ca="1" t="shared" si="30"/>
        <v>691700.201870402</v>
      </c>
      <c r="T56">
        <f t="shared" si="31"/>
        <v>0.8</v>
      </c>
      <c r="U56">
        <f ca="1" t="shared" si="48"/>
        <v>2.68954760480339</v>
      </c>
      <c r="V56">
        <f ca="1" t="shared" si="32"/>
        <v>2041648.65844237</v>
      </c>
      <c r="W56">
        <f ca="1">IF(G56="恒定伤害",0,MIN(1,IF(COUNTIF(F56,"*内会*")&gt;0,内会,IF(D56="轻剑",$Y$2,$Y$3)+COUNTIF(G56,"*莺鸣*")*0.2+COUNTIF(G56,"*叠1*")*0.1+COUNTIF(G56,"*叠2*")*0.2+COUNTIF(G56,"*叠3*")*0.3)+IFERROR(INDEX(技能数据库!$T$2:$W$27,MATCH(E56,技能数据库!$T$2:$T$27,0),2),0)+IF((IF(D56="轻剑",$AO$2,$AO$3)+INT(COUNTIF(G56,"*大莺鸣*")*IF(D56="轻剑",$AM$2,$AM$3)*听晓无双率)/无双系数)&gt;0.9,特效裤子会心/会心系数,0)))</f>
        <v>0.9643</v>
      </c>
      <c r="X56">
        <f ca="1">IF(G56="恒定伤害",0,IF(COUNTIF(F56,"*内会*")&gt;0,内会效,IF(D56="轻剑",$AB$2,$AB$3))+IFERROR(INDEX(技能数据库!$T$2:$W$27,MATCH(E56,技能数据库!$T$2:$T$27,0),3)/1024,0))+COUNTIF(G56,"*叠1*")*0.25+COUNTIF(G56,"*叠2*")*0.5+COUNTIF(G56,"*叠3*")*0.75</f>
        <v>2.3156473116</v>
      </c>
      <c r="Y56">
        <f ca="1" t="shared" si="33"/>
        <v>2.26867870257588</v>
      </c>
      <c r="Z56">
        <f t="shared" si="49"/>
        <v>0.150390625</v>
      </c>
      <c r="AA56">
        <f ca="1" t="shared" si="34"/>
        <v>0.0205078125</v>
      </c>
      <c r="AB56">
        <f ca="1" t="shared" si="35"/>
        <v>5437705.32953773</v>
      </c>
      <c r="AC56">
        <f ca="1">技能数计算!AJ48</f>
        <v>0</v>
      </c>
      <c r="AD56" s="164">
        <f ca="1" t="shared" si="36"/>
        <v>0</v>
      </c>
      <c r="AE56" s="168">
        <f ca="1" t="shared" si="6"/>
        <v>0.00468431635707544</v>
      </c>
      <c r="AF56" s="168">
        <f ca="1" t="shared" si="50"/>
        <v>0</v>
      </c>
      <c r="AG56">
        <f ca="1" t="shared" si="8"/>
        <v>0.00335709262268846</v>
      </c>
      <c r="AH56">
        <f ca="1" t="shared" si="51"/>
        <v>1.00319556583265</v>
      </c>
      <c r="AI56">
        <f ca="1" t="shared" si="52"/>
        <v>1.00016101226475</v>
      </c>
      <c r="AJ56">
        <f ca="1" t="shared" si="53"/>
        <v>0</v>
      </c>
      <c r="AK56">
        <f ca="1" t="shared" si="18"/>
        <v>0</v>
      </c>
      <c r="AL56">
        <f ca="1" t="shared" si="54"/>
        <v>0</v>
      </c>
      <c r="AM56">
        <f ca="1" t="shared" si="19"/>
        <v>0</v>
      </c>
      <c r="AN56" s="168">
        <f ca="1" t="shared" si="55"/>
        <v>0.00853667053815266</v>
      </c>
      <c r="AO56" s="168">
        <f ca="1" t="shared" si="56"/>
        <v>0.00447057613551372</v>
      </c>
      <c r="AP56" s="172">
        <f ca="1" t="shared" si="57"/>
        <v>0</v>
      </c>
      <c r="AQ56" s="168">
        <f ca="1" t="shared" si="58"/>
        <v>0.00393951131463699</v>
      </c>
      <c r="AR56">
        <f t="shared" si="21"/>
        <v>1</v>
      </c>
    </row>
    <row r="57" spans="4:53">
      <c r="D57" t="s">
        <v>1825</v>
      </c>
      <c r="E57" t="s">
        <v>2794</v>
      </c>
      <c r="G57" t="s">
        <v>2750</v>
      </c>
      <c r="H57">
        <f ca="1">INDEX(技能数据库!$B$2:$I$100,MATCH(伤害与收益计算!$E57,技能数据库!$B$2:$B$100,0),MATCH(H$9,技能数据库!$B$2:$I$2,0))</f>
        <v>231.5</v>
      </c>
      <c r="I57">
        <f ca="1">INDEX(技能数据库!$B$2:$I$100,MATCH(伤害与收益计算!$E57,技能数据库!$B$2:$B$100,0),MATCH(I$9,技能数据库!$B$2:$I$2,0))</f>
        <v>2.71875</v>
      </c>
      <c r="J57">
        <f ca="1">INDEX(技能数据库!$B$2:$I$100,MATCH(伤害与收益计算!$E57,技能数据库!$B$2:$B$100,0),MATCH(J$9,技能数据库!$B$2:$I$2,0))</f>
        <v>2</v>
      </c>
      <c r="K57">
        <f ca="1">INDEX(技能数据库!$B$2:$I$100,MATCH(伤害与收益计算!$E57,技能数据库!$B$2:$B$100,0),MATCH(K$9,技能数据库!$B$2:$I$2,0))</f>
        <v>0</v>
      </c>
      <c r="L57">
        <f ca="1" t="shared" si="0"/>
        <v>105847</v>
      </c>
      <c r="M57">
        <f ca="1" t="shared" si="28"/>
        <v>19530.5</v>
      </c>
      <c r="N57">
        <f ca="1" t="shared" si="29"/>
        <v>92028</v>
      </c>
      <c r="O57">
        <f ca="1" t="shared" si="45"/>
        <v>327064.03125</v>
      </c>
      <c r="P57">
        <f ca="1">IF(G57="恒定伤害",0,(IF(D57="轻剑",$AZ$2,$AZ$3)+IFERROR(INDEX(技能数据库!$T$2:$W$27,MATCH(E57,技能数据库!$T$2:$T$27,0),4),0)+COUNTIF(G57,"*造化2*")*154+COUNTIF(G57,"*造化1*")*102+COUNTIF(G57,"*碧归*")*307)/1024)</f>
        <v>0.296985334429785</v>
      </c>
      <c r="Q57">
        <f ca="1" t="shared" si="46"/>
        <v>0.448284482196154</v>
      </c>
      <c r="R57">
        <f ca="1" t="shared" si="47"/>
        <v>0.21277697966198</v>
      </c>
      <c r="S57">
        <f ca="1" t="shared" si="30"/>
        <v>483636.994441474</v>
      </c>
      <c r="T57">
        <f t="shared" si="31"/>
        <v>0.8</v>
      </c>
      <c r="U57">
        <f ca="1" t="shared" si="48"/>
        <v>1.7995442148</v>
      </c>
      <c r="V57">
        <f ca="1" t="shared" si="32"/>
        <v>1083170.51988151</v>
      </c>
      <c r="W57">
        <f ca="1">IF(G57="恒定伤害",0,MIN(1,IF(COUNTIF(F57,"*内会*")&gt;0,内会,IF(D57="轻剑",$Y$2,$Y$3)+COUNTIF(G57,"*莺鸣*")*0.2+COUNTIF(G57,"*叠1*")*0.1+COUNTIF(G57,"*叠2*")*0.2+COUNTIF(G57,"*叠3*")*0.3)+IFERROR(INDEX(技能数据库!$T$2:$W$27,MATCH(E57,技能数据库!$T$2:$T$27,0),2),0)+IF((IF(D57="轻剑",$AO$2,$AO$3)+INT(COUNTIF(G57,"*大莺鸣*")*IF(D57="轻剑",$AM$2,$AM$3)*听晓无双率)/无双系数)&gt;0.9,特效裤子会心/会心系数,0)))</f>
        <v>0.7343</v>
      </c>
      <c r="X57">
        <f ca="1">IF(G57="恒定伤害",0,IF(COUNTIF(F57,"*内会*")&gt;0,内会效,IF(D57="轻剑",$AB$2,$AB$3))+IFERROR(INDEX(技能数据库!$T$2:$W$27,MATCH(E57,技能数据库!$T$2:$T$27,0),3)/1024,0))+COUNTIF(G57,"*叠1*")*0.25+COUNTIF(G57,"*叠2*")*0.5+COUNTIF(G57,"*叠3*")*0.75</f>
        <v>2.3156473116</v>
      </c>
      <c r="Y57">
        <f ca="1" t="shared" si="33"/>
        <v>1.96607982090788</v>
      </c>
      <c r="Z57">
        <f t="shared" si="49"/>
        <v>0.150390625</v>
      </c>
      <c r="AA57">
        <f ca="1" t="shared" si="34"/>
        <v>0.0205078125</v>
      </c>
      <c r="AB57">
        <f ca="1" t="shared" si="35"/>
        <v>2500113.03791104</v>
      </c>
      <c r="AC57">
        <f ca="1">技能数计算!AJ49</f>
        <v>8</v>
      </c>
      <c r="AD57" s="164">
        <f ca="1" t="shared" si="36"/>
        <v>0.00642053968064145</v>
      </c>
      <c r="AE57" s="168">
        <f ca="1" t="shared" si="6"/>
        <v>0.00412304585999932</v>
      </c>
      <c r="AF57" s="168">
        <f ca="1" t="shared" si="50"/>
        <v>0.00364607503748549</v>
      </c>
      <c r="AG57">
        <f ca="1" t="shared" si="8"/>
        <v>0.00354854218046019</v>
      </c>
      <c r="AH57">
        <f ca="1" t="shared" si="51"/>
        <v>1.00281267606035</v>
      </c>
      <c r="AI57">
        <f ca="1" t="shared" si="52"/>
        <v>1.00016101226475</v>
      </c>
      <c r="AJ57">
        <f ca="1" t="shared" si="53"/>
        <v>1.0005726976962</v>
      </c>
      <c r="AK57">
        <f ca="1" t="shared" si="18"/>
        <v>8</v>
      </c>
      <c r="AL57">
        <f ca="1" t="shared" si="54"/>
        <v>0.00495187192404045</v>
      </c>
      <c r="AM57">
        <f ca="1" t="shared" si="19"/>
        <v>8</v>
      </c>
      <c r="AN57" s="168">
        <f ca="1" t="shared" si="55"/>
        <v>0.00750104430192855</v>
      </c>
      <c r="AO57" s="168">
        <f ca="1" t="shared" si="56"/>
        <v>0.00447057613551372</v>
      </c>
      <c r="AP57" s="172">
        <f ca="1" t="shared" si="57"/>
        <v>0</v>
      </c>
      <c r="AQ57" s="168">
        <f ca="1" t="shared" si="58"/>
        <v>0.00401583628616287</v>
      </c>
      <c r="AR57">
        <f t="shared" si="21"/>
        <v>1</v>
      </c>
    </row>
    <row r="58" spans="4:53">
      <c r="D58" t="s">
        <v>1825</v>
      </c>
      <c r="E58" t="s">
        <v>2794</v>
      </c>
      <c r="G58" t="s">
        <v>3044</v>
      </c>
      <c r="H58">
        <f ca="1">INDEX(技能数据库!$B$2:$I$100,MATCH(伤害与收益计算!$E58,技能数据库!$B$2:$B$100,0),MATCH(H$9,技能数据库!$B$2:$I$2,0))</f>
        <v>231.5</v>
      </c>
      <c r="I58">
        <f ca="1">INDEX(技能数据库!$B$2:$I$100,MATCH(伤害与收益计算!$E58,技能数据库!$B$2:$B$100,0),MATCH(I$9,技能数据库!$B$2:$I$2,0))</f>
        <v>2.71875</v>
      </c>
      <c r="J58">
        <f ca="1">INDEX(技能数据库!$B$2:$I$100,MATCH(伤害与收益计算!$E58,技能数据库!$B$2:$B$100,0),MATCH(J$9,技能数据库!$B$2:$I$2,0))</f>
        <v>2</v>
      </c>
      <c r="K58">
        <f ca="1">INDEX(技能数据库!$B$2:$I$100,MATCH(伤害与收益计算!$E58,技能数据库!$B$2:$B$100,0),MATCH(K$9,技能数据库!$B$2:$I$2,0))</f>
        <v>0</v>
      </c>
      <c r="L58">
        <f ca="1" t="shared" si="0"/>
        <v>105847</v>
      </c>
      <c r="M58">
        <f ca="1" t="shared" si="28"/>
        <v>19530.5</v>
      </c>
      <c r="N58">
        <f ca="1" t="shared" si="29"/>
        <v>92028</v>
      </c>
      <c r="O58">
        <f ca="1" t="shared" si="45"/>
        <v>327064.03125</v>
      </c>
      <c r="P58">
        <f ca="1">IF(G58="恒定伤害",0,(IF(D58="轻剑",$AZ$2,$AZ$3)+IFERROR(INDEX(技能数据库!$T$2:$W$27,MATCH(E58,技能数据库!$T$2:$T$27,0),4),0)+COUNTIF(G58,"*造化2*")*154+COUNTIF(G58,"*造化1*")*102+COUNTIF(G58,"*碧归*")*307)/1024)</f>
        <v>0.296985334429785</v>
      </c>
      <c r="Q58">
        <f ca="1" t="shared" si="46"/>
        <v>0.448284482196154</v>
      </c>
      <c r="R58">
        <f ca="1" t="shared" si="47"/>
        <v>0.21277697966198</v>
      </c>
      <c r="S58">
        <f ca="1" t="shared" si="30"/>
        <v>483636.994441474</v>
      </c>
      <c r="T58">
        <f t="shared" si="31"/>
        <v>0.8</v>
      </c>
      <c r="U58">
        <f ca="1" t="shared" si="48"/>
        <v>2.68954760480339</v>
      </c>
      <c r="V58">
        <f ca="1" t="shared" si="32"/>
        <v>1427521.37154868</v>
      </c>
      <c r="W58">
        <f ca="1">IF(G58="恒定伤害",0,MIN(1,IF(COUNTIF(F58,"*内会*")&gt;0,内会,IF(D58="轻剑",$Y$2,$Y$3)+COUNTIF(G58,"*莺鸣*")*0.2+COUNTIF(G58,"*叠1*")*0.1+COUNTIF(G58,"*叠2*")*0.2+COUNTIF(G58,"*叠3*")*0.3)+IFERROR(INDEX(技能数据库!$T$2:$W$27,MATCH(E58,技能数据库!$T$2:$T$27,0),2),0)+IF((IF(D58="轻剑",$AO$2,$AO$3)+INT(COUNTIF(G58,"*大莺鸣*")*IF(D58="轻剑",$AM$2,$AM$3)*听晓无双率)/无双系数)&gt;0.9,特效裤子会心/会心系数,0)))</f>
        <v>0.9343</v>
      </c>
      <c r="X58">
        <f ca="1">IF(G58="恒定伤害",0,IF(COUNTIF(F58,"*内会*")&gt;0,内会效,IF(D58="轻剑",$AB$2,$AB$3))+IFERROR(INDEX(技能数据库!$T$2:$W$27,MATCH(E58,技能数据库!$T$2:$T$27,0),3)/1024,0))+COUNTIF(G58,"*叠1*")*0.25+COUNTIF(G58,"*叠2*")*0.5+COUNTIF(G58,"*叠3*")*0.75</f>
        <v>2.3156473116</v>
      </c>
      <c r="Y58">
        <f ca="1" t="shared" si="33"/>
        <v>2.22920928322788</v>
      </c>
      <c r="Z58">
        <f t="shared" si="49"/>
        <v>0.150390625</v>
      </c>
      <c r="AA58">
        <f ca="1" t="shared" si="34"/>
        <v>0.0205078125</v>
      </c>
      <c r="AB58">
        <f ca="1" t="shared" si="35"/>
        <v>3735899.0242875</v>
      </c>
      <c r="AC58">
        <f ca="1">技能数计算!AJ50</f>
        <v>0</v>
      </c>
      <c r="AD58" s="164">
        <f ca="1" t="shared" si="36"/>
        <v>0</v>
      </c>
      <c r="AE58" s="168">
        <f ca="1" t="shared" si="6"/>
        <v>0.00412304585999932</v>
      </c>
      <c r="AF58" s="168">
        <f ca="1" t="shared" si="50"/>
        <v>0.00364607503748549</v>
      </c>
      <c r="AG58">
        <f ca="1" t="shared" si="8"/>
        <v>0.00297414120044159</v>
      </c>
      <c r="AH58">
        <f ca="1" t="shared" si="51"/>
        <v>1.00281267606035</v>
      </c>
      <c r="AI58">
        <f ca="1" t="shared" si="52"/>
        <v>1.00016101226475</v>
      </c>
      <c r="AJ58">
        <f ca="1" t="shared" si="53"/>
        <v>0</v>
      </c>
      <c r="AK58">
        <f ca="1" t="shared" si="18"/>
        <v>0</v>
      </c>
      <c r="AL58">
        <f ca="1" t="shared" si="54"/>
        <v>0</v>
      </c>
      <c r="AM58">
        <f ca="1" t="shared" si="19"/>
        <v>0</v>
      </c>
      <c r="AN58" s="168">
        <f ca="1" t="shared" si="55"/>
        <v>0.00841753350912167</v>
      </c>
      <c r="AO58" s="168">
        <f ca="1" t="shared" si="56"/>
        <v>0.00447057613551372</v>
      </c>
      <c r="AP58" s="172">
        <f ca="1" t="shared" si="57"/>
        <v>0</v>
      </c>
      <c r="AQ58" s="168">
        <f ca="1" t="shared" si="58"/>
        <v>0.00393951131463699</v>
      </c>
      <c r="AR58">
        <f t="shared" si="21"/>
        <v>1</v>
      </c>
    </row>
    <row r="59" spans="4:53">
      <c r="D59" t="s">
        <v>1825</v>
      </c>
      <c r="E59" t="s">
        <v>2798</v>
      </c>
      <c r="G59" t="s">
        <v>2750</v>
      </c>
      <c r="H59">
        <f ca="1">INDEX(技能数据库!$B$2:$I$100,MATCH(伤害与收益计算!$E59,技能数据库!$B$2:$B$100,0),MATCH(H$9,技能数据库!$B$2:$I$2,0))</f>
        <v>1504.5</v>
      </c>
      <c r="I59">
        <f ca="1">INDEX(技能数据库!$B$2:$I$100,MATCH(伤害与收益计算!$E59,技能数据库!$B$2:$B$100,0),MATCH(I$9,技能数据库!$B$2:$I$2,0))</f>
        <v>2.85625</v>
      </c>
      <c r="J59">
        <f ca="1">INDEX(技能数据库!$B$2:$I$100,MATCH(伤害与收益计算!$E59,技能数据库!$B$2:$B$100,0),MATCH(J$9,技能数据库!$B$2:$I$2,0))</f>
        <v>0</v>
      </c>
      <c r="K59">
        <f ca="1">INDEX(技能数据库!$B$2:$I$100,MATCH(伤害与收益计算!$E59,技能数据库!$B$2:$B$100,0),MATCH(K$9,技能数据库!$B$2:$I$2,0))</f>
        <v>0</v>
      </c>
      <c r="L59">
        <f ca="1" t="shared" si="0"/>
        <v>105847</v>
      </c>
      <c r="M59">
        <f ca="1" t="shared" si="28"/>
        <v>19530.5</v>
      </c>
      <c r="N59">
        <f ca="1" t="shared" si="29"/>
        <v>92028</v>
      </c>
      <c r="O59">
        <f ca="1" t="shared" si="45"/>
        <v>303829.99375</v>
      </c>
      <c r="P59">
        <f ca="1">IF(G59="恒定伤害",0,(IF(D59="轻剑",$AZ$2,$AZ$3)+IFERROR(INDEX(技能数据库!$T$2:$W$27,MATCH(E59,技能数据库!$T$2:$T$27,0),4),0)+COUNTIF(G59,"*造化2*")*154+COUNTIF(G59,"*造化1*")*102+COUNTIF(G59,"*碧归*")*307)/1024)</f>
        <v>0.176868146929785</v>
      </c>
      <c r="Q59">
        <f ca="1" t="shared" si="46"/>
        <v>0.448284482196154</v>
      </c>
      <c r="R59">
        <f ca="1" t="shared" si="47"/>
        <v>0.21277697966198</v>
      </c>
      <c r="S59">
        <f ca="1" t="shared" si="30"/>
        <v>407671.279071588</v>
      </c>
      <c r="T59">
        <f t="shared" si="31"/>
        <v>0.8</v>
      </c>
      <c r="U59">
        <f ca="1" t="shared" si="48"/>
        <v>1.7995442148</v>
      </c>
      <c r="V59">
        <f ca="1" t="shared" si="32"/>
        <v>913035.016691983</v>
      </c>
      <c r="W59">
        <f ca="1">IF(G59="恒定伤害",0,MIN(1,IF(COUNTIF(F59,"*内会*")&gt;0,内会,IF(D59="轻剑",$Y$2,$Y$3)+COUNTIF(G59,"*莺鸣*")*0.2+COUNTIF(G59,"*叠1*")*0.1+COUNTIF(G59,"*叠2*")*0.2+COUNTIF(G59,"*叠3*")*0.3)+IFERROR(INDEX(技能数据库!$T$2:$W$27,MATCH(E59,技能数据库!$T$2:$T$27,0),2),0)+IF((IF(D59="轻剑",$AO$2,$AO$3)+INT(COUNTIF(G59,"*大莺鸣*")*IF(D59="轻剑",$AM$2,$AM$3)*听晓无双率)/无双系数)&gt;0.9,特效裤子会心/会心系数,0)))</f>
        <v>0.7343</v>
      </c>
      <c r="X59">
        <f ca="1">IF(G59="恒定伤害",0,IF(COUNTIF(F59,"*内会*")&gt;0,内会效,IF(D59="轻剑",$AB$2,$AB$3))+IFERROR(INDEX(技能数据库!$T$2:$W$27,MATCH(E59,技能数据库!$T$2:$T$27,0),3)/1024,0))+COUNTIF(G59,"*叠1*")*0.25+COUNTIF(G59,"*叠2*")*0.5+COUNTIF(G59,"*叠3*")*0.75</f>
        <v>2.3156473116</v>
      </c>
      <c r="Y59">
        <f ca="1" t="shared" si="33"/>
        <v>1.96607982090788</v>
      </c>
      <c r="Z59">
        <f t="shared" si="49"/>
        <v>0.150390625</v>
      </c>
      <c r="AA59">
        <f ca="1" t="shared" si="34"/>
        <v>0.0205078125</v>
      </c>
      <c r="AB59">
        <f ca="1" t="shared" si="35"/>
        <v>2107415.87534219</v>
      </c>
      <c r="AC59">
        <f ca="1">技能数计算!AJ51</f>
        <v>8</v>
      </c>
      <c r="AD59" s="164">
        <f ca="1" t="shared" si="36"/>
        <v>0.00541205419357912</v>
      </c>
      <c r="AE59" s="168">
        <f ca="1" t="shared" si="6"/>
        <v>0.00466280495389702</v>
      </c>
      <c r="AF59" s="168">
        <f ca="1" t="shared" si="50"/>
        <v>0</v>
      </c>
      <c r="AG59">
        <f ca="1" t="shared" si="8"/>
        <v>0.00391702741393707</v>
      </c>
      <c r="AH59">
        <f ca="1" t="shared" si="51"/>
        <v>1.00318089109683</v>
      </c>
      <c r="AI59">
        <f ca="1" t="shared" si="52"/>
        <v>1.00016101226475</v>
      </c>
      <c r="AJ59">
        <f ca="1" t="shared" si="53"/>
        <v>1.0005726976962</v>
      </c>
      <c r="AK59">
        <f ca="1" t="shared" si="18"/>
        <v>8</v>
      </c>
      <c r="AL59">
        <f ca="1" t="shared" si="54"/>
        <v>0.00495187192404045</v>
      </c>
      <c r="AM59">
        <f ca="1" t="shared" si="19"/>
        <v>8</v>
      </c>
      <c r="AN59" s="168">
        <f ca="1" t="shared" si="55"/>
        <v>0.00750104430192855</v>
      </c>
      <c r="AO59" s="168">
        <f ca="1" t="shared" si="56"/>
        <v>0.00447057613551372</v>
      </c>
      <c r="AP59" s="172">
        <f ca="1" t="shared" si="57"/>
        <v>0</v>
      </c>
      <c r="AQ59" s="168">
        <f ca="1" t="shared" si="58"/>
        <v>0.00401583628616287</v>
      </c>
      <c r="AR59">
        <f t="shared" si="21"/>
        <v>1</v>
      </c>
    </row>
    <row r="60" spans="4:53">
      <c r="D60" t="s">
        <v>1825</v>
      </c>
      <c r="E60" t="s">
        <v>2798</v>
      </c>
      <c r="G60" t="s">
        <v>3044</v>
      </c>
      <c r="H60">
        <f ca="1">INDEX(技能数据库!$B$2:$I$100,MATCH(伤害与收益计算!$E60,技能数据库!$B$2:$B$100,0),MATCH(H$9,技能数据库!$B$2:$I$2,0))</f>
        <v>1504.5</v>
      </c>
      <c r="I60">
        <f ca="1">INDEX(技能数据库!$B$2:$I$100,MATCH(伤害与收益计算!$E60,技能数据库!$B$2:$B$100,0),MATCH(I$9,技能数据库!$B$2:$I$2,0))</f>
        <v>2.85625</v>
      </c>
      <c r="J60">
        <f ca="1">INDEX(技能数据库!$B$2:$I$100,MATCH(伤害与收益计算!$E60,技能数据库!$B$2:$B$100,0),MATCH(J$9,技能数据库!$B$2:$I$2,0))</f>
        <v>0</v>
      </c>
      <c r="K60">
        <f ca="1">INDEX(技能数据库!$B$2:$I$100,MATCH(伤害与收益计算!$E60,技能数据库!$B$2:$B$100,0),MATCH(K$9,技能数据库!$B$2:$I$2,0))</f>
        <v>0</v>
      </c>
      <c r="L60">
        <f ca="1" t="shared" si="0"/>
        <v>105847</v>
      </c>
      <c r="M60">
        <f ca="1" t="shared" si="28"/>
        <v>19530.5</v>
      </c>
      <c r="N60">
        <f ca="1" t="shared" si="29"/>
        <v>92028</v>
      </c>
      <c r="O60">
        <f ca="1" t="shared" si="45"/>
        <v>303829.99375</v>
      </c>
      <c r="P60">
        <f ca="1">IF(G60="恒定伤害",0,(IF(D60="轻剑",$AZ$2,$AZ$3)+IFERROR(INDEX(技能数据库!$T$2:$W$27,MATCH(E60,技能数据库!$T$2:$T$27,0),4),0)+COUNTIF(G60,"*造化2*")*154+COUNTIF(G60,"*造化1*")*102+COUNTIF(G60,"*碧归*")*307)/1024)</f>
        <v>0.176868146929785</v>
      </c>
      <c r="Q60">
        <f ca="1" t="shared" si="46"/>
        <v>0.448284482196154</v>
      </c>
      <c r="R60">
        <f ca="1" t="shared" si="47"/>
        <v>0.21277697966198</v>
      </c>
      <c r="S60">
        <f ca="1" t="shared" si="30"/>
        <v>407671.279071588</v>
      </c>
      <c r="T60">
        <f t="shared" si="31"/>
        <v>0.8</v>
      </c>
      <c r="U60">
        <f ca="1" t="shared" si="48"/>
        <v>2.68954760480339</v>
      </c>
      <c r="V60">
        <f ca="1" t="shared" si="32"/>
        <v>1203298.07299657</v>
      </c>
      <c r="W60">
        <f ca="1">IF(G60="恒定伤害",0,MIN(1,IF(COUNTIF(F60,"*内会*")&gt;0,内会,IF(D60="轻剑",$Y$2,$Y$3)+COUNTIF(G60,"*莺鸣*")*0.2+COUNTIF(G60,"*叠1*")*0.1+COUNTIF(G60,"*叠2*")*0.2+COUNTIF(G60,"*叠3*")*0.3)+IFERROR(INDEX(技能数据库!$T$2:$W$27,MATCH(E60,技能数据库!$T$2:$T$27,0),2),0)+IF((IF(D60="轻剑",$AO$2,$AO$3)+INT(COUNTIF(G60,"*大莺鸣*")*IF(D60="轻剑",$AM$2,$AM$3)*听晓无双率)/无双系数)&gt;0.9,特效裤子会心/会心系数,0)))</f>
        <v>0.9343</v>
      </c>
      <c r="X60">
        <f ca="1">IF(G60="恒定伤害",0,IF(COUNTIF(F60,"*内会*")&gt;0,内会效,IF(D60="轻剑",$AB$2,$AB$3))+IFERROR(INDEX(技能数据库!$T$2:$W$27,MATCH(E60,技能数据库!$T$2:$T$27,0),3)/1024,0))+COUNTIF(G60,"*叠1*")*0.25+COUNTIF(G60,"*叠2*")*0.5+COUNTIF(G60,"*叠3*")*0.75</f>
        <v>2.3156473116</v>
      </c>
      <c r="Y60">
        <f ca="1" t="shared" si="33"/>
        <v>2.22920928322788</v>
      </c>
      <c r="Z60">
        <f t="shared" si="49"/>
        <v>0.150390625</v>
      </c>
      <c r="AA60">
        <f ca="1" t="shared" si="34"/>
        <v>0.0205078125</v>
      </c>
      <c r="AB60">
        <f ca="1" t="shared" si="35"/>
        <v>3149094.7781454</v>
      </c>
      <c r="AC60">
        <f ca="1">技能数计算!AJ52</f>
        <v>0</v>
      </c>
      <c r="AD60" s="164">
        <f ca="1" t="shared" si="36"/>
        <v>0</v>
      </c>
      <c r="AE60" s="168">
        <f ca="1" t="shared" si="6"/>
        <v>0.00466280495389702</v>
      </c>
      <c r="AF60" s="168">
        <f ca="1" t="shared" si="50"/>
        <v>0</v>
      </c>
      <c r="AG60">
        <f ca="1" t="shared" si="8"/>
        <v>0.00334241552406178</v>
      </c>
      <c r="AH60">
        <f ca="1" t="shared" si="51"/>
        <v>1.00318089109683</v>
      </c>
      <c r="AI60">
        <f ca="1" t="shared" si="52"/>
        <v>1.00016101226475</v>
      </c>
      <c r="AJ60">
        <f ca="1" t="shared" si="53"/>
        <v>0</v>
      </c>
      <c r="AK60">
        <f ca="1" t="shared" si="18"/>
        <v>0</v>
      </c>
      <c r="AL60">
        <f ca="1" t="shared" si="54"/>
        <v>0</v>
      </c>
      <c r="AM60">
        <f ca="1" t="shared" si="19"/>
        <v>0</v>
      </c>
      <c r="AN60" s="168">
        <f ca="1" t="shared" si="55"/>
        <v>0.00841753350912167</v>
      </c>
      <c r="AO60" s="168">
        <f ca="1" t="shared" si="56"/>
        <v>0.00447057613551372</v>
      </c>
      <c r="AP60" s="172">
        <f ca="1" t="shared" si="57"/>
        <v>0</v>
      </c>
      <c r="AQ60" s="168">
        <f ca="1" t="shared" si="58"/>
        <v>0.00393951131463699</v>
      </c>
      <c r="AR60">
        <f t="shared" si="21"/>
        <v>1</v>
      </c>
    </row>
    <row r="61" spans="4:53">
      <c r="D61" t="s">
        <v>1825</v>
      </c>
      <c r="E61" t="s">
        <v>2801</v>
      </c>
      <c r="H61">
        <f ca="1">INDEX(技能数据库!$B$2:$I$100,MATCH(伤害与收益计算!$E61,技能数据库!$B$2:$B$100,0),MATCH(H$9,技能数据库!$B$2:$I$2,0))</f>
        <v>291</v>
      </c>
      <c r="I61">
        <f ca="1">INDEX(技能数据库!$B$2:$I$100,MATCH(伤害与收益计算!$E61,技能数据库!$B$2:$B$100,0),MATCH(I$9,技能数据库!$B$2:$I$2,0))</f>
        <v>1.8875</v>
      </c>
      <c r="J61">
        <f ca="1">INDEX(技能数据库!$B$2:$I$100,MATCH(伤害与收益计算!$E61,技能数据库!$B$2:$B$100,0),MATCH(J$9,技能数据库!$B$2:$I$2,0))</f>
        <v>2</v>
      </c>
      <c r="K61">
        <f ca="1">INDEX(技能数据库!$B$2:$I$100,MATCH(伤害与收益计算!$E61,技能数据库!$B$2:$B$100,0),MATCH(K$9,技能数据库!$B$2:$I$2,0))</f>
        <v>0</v>
      </c>
      <c r="L61">
        <f ca="1" t="shared" si="0"/>
        <v>91975</v>
      </c>
      <c r="M61">
        <f ca="1" t="shared" si="28"/>
        <v>19530.5</v>
      </c>
      <c r="N61">
        <f ca="1" t="shared" si="29"/>
        <v>92028</v>
      </c>
      <c r="O61">
        <f ca="1" t="shared" si="45"/>
        <v>212954.8125</v>
      </c>
      <c r="P61">
        <f ca="1">IF(G61="恒定伤害",0,(IF(D61="轻剑",$AZ$2,$AZ$3)+IFERROR(INDEX(技能数据库!$T$2:$W$27,MATCH(E61,技能数据库!$T$2:$T$27,0),4),0)+COUNTIF(G61,"*造化2*")*154+COUNTIF(G61,"*造化1*")*102+COUNTIF(G61,"*碧归*")*307)/1024)</f>
        <v>0.176868146929785</v>
      </c>
      <c r="Q61">
        <f ca="1" t="shared" si="46"/>
        <v>0.448284482196154</v>
      </c>
      <c r="R61">
        <f ca="1" t="shared" si="47"/>
        <v>0.32958230397716</v>
      </c>
      <c r="S61">
        <f ca="1" t="shared" si="30"/>
        <v>243340.62212023</v>
      </c>
      <c r="T61">
        <f t="shared" si="31"/>
        <v>0.8</v>
      </c>
      <c r="U61">
        <f ca="1" t="shared" si="48"/>
        <v>1.7995442148</v>
      </c>
      <c r="V61">
        <f ca="1" t="shared" si="32"/>
        <v>544994.264706018</v>
      </c>
      <c r="W61">
        <f ca="1">IF(G61="恒定伤害",0,MIN(1,IF(COUNTIF(F61,"*内会*")&gt;0,内会,IF(D61="轻剑",$Y$2,$Y$3)+COUNTIF(G61,"*莺鸣*")*0.2+COUNTIF(G61,"*叠1*")*0.1+COUNTIF(G61,"*叠2*")*0.2+COUNTIF(G61,"*叠3*")*0.3)+IFERROR(INDEX(技能数据库!$T$2:$W$27,MATCH(E61,技能数据库!$T$2:$T$27,0),2),0)+IF((IF(D61="轻剑",$AO$2,$AO$3)+INT(COUNTIF(G61,"*大莺鸣*")*IF(D61="轻剑",$AM$2,$AM$3)*听晓无双率)/无双系数)&gt;0.9,特效裤子会心/会心系数,0)))</f>
        <v>0.7343</v>
      </c>
      <c r="X61">
        <f ca="1">IF(G61="恒定伤害",0,IF(COUNTIF(F61,"*内会*")&gt;0,内会效,IF(D61="轻剑",$AB$2,$AB$3))+IFERROR(INDEX(技能数据库!$T$2:$W$27,MATCH(E61,技能数据库!$T$2:$T$27,0),3)/1024,0))+COUNTIF(G61,"*叠1*")*0.25+COUNTIF(G61,"*叠2*")*0.5+COUNTIF(G61,"*叠3*")*0.75</f>
        <v>2.3156473116</v>
      </c>
      <c r="Y61">
        <f ca="1" t="shared" si="33"/>
        <v>1.96607982090788</v>
      </c>
      <c r="Z61">
        <f t="shared" si="49"/>
        <v>0.150390625</v>
      </c>
      <c r="AA61">
        <f ca="1" t="shared" si="34"/>
        <v>0.0205078125</v>
      </c>
      <c r="AB61">
        <f ca="1" t="shared" si="35"/>
        <v>1257924.99128143</v>
      </c>
      <c r="AC61">
        <f ca="1">技能数计算!AJ53</f>
        <v>0</v>
      </c>
      <c r="AD61" s="164">
        <f ca="1" t="shared" si="36"/>
        <v>0</v>
      </c>
      <c r="AE61" s="168">
        <f ca="1" t="shared" si="6"/>
        <v>0.00368716720125778</v>
      </c>
      <c r="AF61" s="168">
        <f ca="1" t="shared" si="50"/>
        <v>0.00559977953069269</v>
      </c>
      <c r="AG61">
        <f ca="1" t="shared" si="8"/>
        <v>0.00316053839926189</v>
      </c>
      <c r="AH61">
        <f ca="1" t="shared" si="51"/>
        <v>1.00299904325177</v>
      </c>
      <c r="AI61">
        <f ca="1" t="shared" si="52"/>
        <v>1.00016101226475</v>
      </c>
      <c r="AJ61">
        <f ca="1" t="shared" si="53"/>
        <v>0</v>
      </c>
      <c r="AK61">
        <f ca="1" t="shared" si="18"/>
        <v>0</v>
      </c>
      <c r="AL61">
        <f ca="1" t="shared" si="54"/>
        <v>0</v>
      </c>
      <c r="AM61">
        <f ca="1" t="shared" si="19"/>
        <v>0</v>
      </c>
      <c r="AN61" s="168">
        <f ca="1" t="shared" si="55"/>
        <v>0.00750104430192855</v>
      </c>
      <c r="AO61" s="168">
        <f ca="1" t="shared" si="56"/>
        <v>0.00447057613551372</v>
      </c>
      <c r="AP61" s="172">
        <f ca="1" t="shared" si="57"/>
        <v>0</v>
      </c>
      <c r="AQ61" s="168">
        <f ca="1" t="shared" si="58"/>
        <v>0.00401583628616287</v>
      </c>
      <c r="AR61">
        <f t="shared" si="21"/>
        <v>1</v>
      </c>
    </row>
    <row r="62" spans="4:53">
      <c r="D62" t="s">
        <v>1825</v>
      </c>
      <c r="E62" t="s">
        <v>2801</v>
      </c>
      <c r="G62" t="s">
        <v>2750</v>
      </c>
      <c r="H62">
        <f ca="1">INDEX(技能数据库!$B$2:$I$100,MATCH(伤害与收益计算!$E62,技能数据库!$B$2:$B$100,0),MATCH(H$9,技能数据库!$B$2:$I$2,0))</f>
        <v>291</v>
      </c>
      <c r="I62">
        <f ca="1">INDEX(技能数据库!$B$2:$I$100,MATCH(伤害与收益计算!$E62,技能数据库!$B$2:$B$100,0),MATCH(I$9,技能数据库!$B$2:$I$2,0))</f>
        <v>1.8875</v>
      </c>
      <c r="J62">
        <f ca="1">INDEX(技能数据库!$B$2:$I$100,MATCH(伤害与收益计算!$E62,技能数据库!$B$2:$B$100,0),MATCH(J$9,技能数据库!$B$2:$I$2,0))</f>
        <v>2</v>
      </c>
      <c r="K62">
        <f ca="1">INDEX(技能数据库!$B$2:$I$100,MATCH(伤害与收益计算!$E62,技能数据库!$B$2:$B$100,0),MATCH(K$9,技能数据库!$B$2:$I$2,0))</f>
        <v>0</v>
      </c>
      <c r="L62">
        <f ca="1" t="shared" si="0"/>
        <v>105847</v>
      </c>
      <c r="M62">
        <f ca="1" t="shared" si="28"/>
        <v>19530.5</v>
      </c>
      <c r="N62">
        <f ca="1" t="shared" si="29"/>
        <v>92028</v>
      </c>
      <c r="O62">
        <f ca="1" t="shared" si="45"/>
        <v>239138.2125</v>
      </c>
      <c r="P62">
        <f ca="1">IF(G62="恒定伤害",0,(IF(D62="轻剑",$AZ$2,$AZ$3)+IFERROR(INDEX(技能数据库!$T$2:$W$27,MATCH(E62,技能数据库!$T$2:$T$27,0),4),0)+COUNTIF(G62,"*造化2*")*154+COUNTIF(G62,"*造化1*")*102+COUNTIF(G62,"*碧归*")*307)/1024)</f>
        <v>0.176868146929785</v>
      </c>
      <c r="Q62">
        <f ca="1" t="shared" si="46"/>
        <v>0.448284482196154</v>
      </c>
      <c r="R62">
        <f ca="1" t="shared" si="47"/>
        <v>0.21277697966198</v>
      </c>
      <c r="S62">
        <f ca="1" t="shared" si="30"/>
        <v>320869.509166977</v>
      </c>
      <c r="T62">
        <f t="shared" si="31"/>
        <v>0.8</v>
      </c>
      <c r="U62">
        <f ca="1" t="shared" si="48"/>
        <v>1.7995442148</v>
      </c>
      <c r="V62">
        <f ca="1" t="shared" si="32"/>
        <v>718630.7024753</v>
      </c>
      <c r="W62">
        <f ca="1">IF(G62="恒定伤害",0,MIN(1,IF(COUNTIF(F62,"*内会*")&gt;0,内会,IF(D62="轻剑",$Y$2,$Y$3)+COUNTIF(G62,"*莺鸣*")*0.2+COUNTIF(G62,"*叠1*")*0.1+COUNTIF(G62,"*叠2*")*0.2+COUNTIF(G62,"*叠3*")*0.3)+IFERROR(INDEX(技能数据库!$T$2:$W$27,MATCH(E62,技能数据库!$T$2:$T$27,0),2),0)+IF((IF(D62="轻剑",$AO$2,$AO$3)+INT(COUNTIF(G62,"*大莺鸣*")*IF(D62="轻剑",$AM$2,$AM$3)*听晓无双率)/无双系数)&gt;0.9,特效裤子会心/会心系数,0)))</f>
        <v>0.7343</v>
      </c>
      <c r="X62">
        <f ca="1">IF(G62="恒定伤害",0,IF(COUNTIF(F62,"*内会*")&gt;0,内会效,IF(D62="轻剑",$AB$2,$AB$3))+IFERROR(INDEX(技能数据库!$T$2:$W$27,MATCH(E62,技能数据库!$T$2:$T$27,0),3)/1024,0))+COUNTIF(G62,"*叠1*")*0.25+COUNTIF(G62,"*叠2*")*0.5+COUNTIF(G62,"*叠3*")*0.75</f>
        <v>2.3156473116</v>
      </c>
      <c r="Y62">
        <f ca="1" t="shared" si="33"/>
        <v>1.96607982090788</v>
      </c>
      <c r="Z62">
        <f t="shared" si="49"/>
        <v>0.150390625</v>
      </c>
      <c r="AA62">
        <f ca="1" t="shared" si="34"/>
        <v>0.0205078125</v>
      </c>
      <c r="AB62">
        <f ca="1" t="shared" si="35"/>
        <v>1658702.81338362</v>
      </c>
      <c r="AC62">
        <f ca="1">技能数计算!AJ54</f>
        <v>28</v>
      </c>
      <c r="AD62" s="164">
        <f ca="1" t="shared" si="36"/>
        <v>0.0149090000115229</v>
      </c>
      <c r="AE62" s="168">
        <f ca="1" t="shared" si="6"/>
        <v>0.00391489084999329</v>
      </c>
      <c r="AF62" s="168">
        <f ca="1" t="shared" si="50"/>
        <v>0.00498665599083208</v>
      </c>
      <c r="AG62">
        <f ca="1" t="shared" si="8"/>
        <v>0.00340643795594819</v>
      </c>
      <c r="AH62">
        <f ca="1" t="shared" si="51"/>
        <v>1.00267067603576</v>
      </c>
      <c r="AI62">
        <f ca="1" t="shared" si="52"/>
        <v>1.00016101226475</v>
      </c>
      <c r="AJ62">
        <f ca="1" t="shared" si="53"/>
        <v>1.0005726976962</v>
      </c>
      <c r="AK62">
        <f ca="1" t="shared" si="18"/>
        <v>28</v>
      </c>
      <c r="AL62">
        <f ca="1" t="shared" si="54"/>
        <v>0.00495187192404023</v>
      </c>
      <c r="AM62">
        <f ca="1" t="shared" si="19"/>
        <v>28</v>
      </c>
      <c r="AN62" s="168">
        <f ca="1" t="shared" si="55"/>
        <v>0.00750104430192855</v>
      </c>
      <c r="AO62" s="168">
        <f ca="1" t="shared" si="56"/>
        <v>0.00447057613551372</v>
      </c>
      <c r="AP62" s="172">
        <f ca="1" t="shared" si="57"/>
        <v>0</v>
      </c>
      <c r="AQ62" s="168">
        <f ca="1" t="shared" si="58"/>
        <v>0.00401583628616287</v>
      </c>
      <c r="AR62">
        <f t="shared" si="21"/>
        <v>1</v>
      </c>
    </row>
    <row r="63" spans="4:53">
      <c r="D63" t="s">
        <v>1825</v>
      </c>
      <c r="E63" t="s">
        <v>2801</v>
      </c>
      <c r="G63" t="s">
        <v>2948</v>
      </c>
      <c r="H63">
        <f ca="1">INDEX(技能数据库!$B$2:$I$100,MATCH(伤害与收益计算!$E63,技能数据库!$B$2:$B$100,0),MATCH(H$9,技能数据库!$B$2:$I$2,0))</f>
        <v>291</v>
      </c>
      <c r="I63">
        <f ca="1">INDEX(技能数据库!$B$2:$I$100,MATCH(伤害与收益计算!$E63,技能数据库!$B$2:$B$100,0),MATCH(I$9,技能数据库!$B$2:$I$2,0))</f>
        <v>1.8875</v>
      </c>
      <c r="J63">
        <f ca="1">INDEX(技能数据库!$B$2:$I$100,MATCH(伤害与收益计算!$E63,技能数据库!$B$2:$B$100,0),MATCH(J$9,技能数据库!$B$2:$I$2,0))</f>
        <v>2</v>
      </c>
      <c r="K63">
        <f ca="1">INDEX(技能数据库!$B$2:$I$100,MATCH(伤害与收益计算!$E63,技能数据库!$B$2:$B$100,0),MATCH(K$9,技能数据库!$B$2:$I$2,0))</f>
        <v>0</v>
      </c>
      <c r="L63">
        <f ca="1" t="shared" si="0"/>
        <v>91975</v>
      </c>
      <c r="M63">
        <f ca="1" t="shared" si="28"/>
        <v>19530.5</v>
      </c>
      <c r="N63">
        <f ca="1" t="shared" si="29"/>
        <v>92028</v>
      </c>
      <c r="O63">
        <f ca="1" t="shared" si="45"/>
        <v>212954.8125</v>
      </c>
      <c r="P63">
        <f ca="1">IF(G63="恒定伤害",0,(IF(D63="轻剑",$AZ$2,$AZ$3)+IFERROR(INDEX(技能数据库!$T$2:$W$27,MATCH(E63,技能数据库!$T$2:$T$27,0),4),0)+COUNTIF(G63,"*造化2*")*154+COUNTIF(G63,"*造化1*")*102+COUNTIF(G63,"*碧归*")*307)/1024)</f>
        <v>0.176868146929785</v>
      </c>
      <c r="Q63">
        <f ca="1" t="shared" si="46"/>
        <v>0.448284482196154</v>
      </c>
      <c r="R63">
        <f ca="1" t="shared" si="47"/>
        <v>0.32958230397716</v>
      </c>
      <c r="S63">
        <f ca="1" t="shared" si="30"/>
        <v>243340.62212023</v>
      </c>
      <c r="T63">
        <f t="shared" si="31"/>
        <v>0.8</v>
      </c>
      <c r="U63">
        <f ca="1" t="shared" si="48"/>
        <v>2.68954760480339</v>
      </c>
      <c r="V63">
        <f ca="1" t="shared" si="32"/>
        <v>718253.447596049</v>
      </c>
      <c r="W63">
        <f ca="1">IF(G63="恒定伤害",0,MIN(1,IF(COUNTIF(F63,"*内会*")&gt;0,内会,IF(D63="轻剑",$Y$2,$Y$3)+COUNTIF(G63,"*莺鸣*")*0.2+COUNTIF(G63,"*叠1*")*0.1+COUNTIF(G63,"*叠2*")*0.2+COUNTIF(G63,"*叠3*")*0.3)+IFERROR(INDEX(技能数据库!$T$2:$W$27,MATCH(E63,技能数据库!$T$2:$T$27,0),2),0)+IF((IF(D63="轻剑",$AO$2,$AO$3)+INT(COUNTIF(G63,"*大莺鸣*")*IF(D63="轻剑",$AM$2,$AM$3)*听晓无双率)/无双系数)&gt;0.9,特效裤子会心/会心系数,0)))</f>
        <v>0.9343</v>
      </c>
      <c r="X63">
        <f ca="1">IF(G63="恒定伤害",0,IF(COUNTIF(F63,"*内会*")&gt;0,内会效,IF(D63="轻剑",$AB$2,$AB$3))+IFERROR(INDEX(技能数据库!$T$2:$W$27,MATCH(E63,技能数据库!$T$2:$T$27,0),3)/1024,0))+COUNTIF(G63,"*叠1*")*0.25+COUNTIF(G63,"*叠2*")*0.5+COUNTIF(G63,"*叠3*")*0.75</f>
        <v>2.3156473116</v>
      </c>
      <c r="Y63">
        <f ca="1" t="shared" si="33"/>
        <v>2.22920928322788</v>
      </c>
      <c r="Z63">
        <f t="shared" si="49"/>
        <v>0.150390625</v>
      </c>
      <c r="AA63">
        <f ca="1" t="shared" si="34"/>
        <v>0.0205078125</v>
      </c>
      <c r="AB63">
        <f ca="1" t="shared" si="35"/>
        <v>1879707.3077471</v>
      </c>
      <c r="AC63">
        <f ca="1">技能数计算!AJ55</f>
        <v>0</v>
      </c>
      <c r="AD63" s="164">
        <f ca="1" t="shared" si="36"/>
        <v>0</v>
      </c>
      <c r="AE63" s="168">
        <f ca="1" t="shared" si="6"/>
        <v>0.00368716720125778</v>
      </c>
      <c r="AF63" s="168">
        <f ca="1" t="shared" si="50"/>
        <v>0.00559977953069269</v>
      </c>
      <c r="AG63">
        <f ca="1" t="shared" si="8"/>
        <v>0.00316053839926189</v>
      </c>
      <c r="AH63">
        <f ca="1" t="shared" si="51"/>
        <v>1.00299904325177</v>
      </c>
      <c r="AI63">
        <f ca="1" t="shared" si="52"/>
        <v>1.00016101226475</v>
      </c>
      <c r="AJ63">
        <f ca="1" t="shared" si="53"/>
        <v>0</v>
      </c>
      <c r="AK63">
        <f ca="1" t="shared" si="18"/>
        <v>0</v>
      </c>
      <c r="AL63">
        <f ca="1" t="shared" si="54"/>
        <v>0</v>
      </c>
      <c r="AM63">
        <f ca="1" t="shared" si="19"/>
        <v>0</v>
      </c>
      <c r="AN63" s="168">
        <f ca="1" t="shared" si="55"/>
        <v>0.00841753350912167</v>
      </c>
      <c r="AO63" s="168">
        <f ca="1" t="shared" si="56"/>
        <v>0.00447057613551372</v>
      </c>
      <c r="AP63" s="172">
        <f ca="1" t="shared" si="57"/>
        <v>0</v>
      </c>
      <c r="AQ63" s="168">
        <f ca="1" t="shared" si="58"/>
        <v>0.00393951131463699</v>
      </c>
      <c r="AR63">
        <f t="shared" si="21"/>
        <v>1</v>
      </c>
    </row>
    <row r="64" spans="4:53">
      <c r="D64" t="s">
        <v>1825</v>
      </c>
      <c r="E64" t="s">
        <v>2801</v>
      </c>
      <c r="G64" t="s">
        <v>3044</v>
      </c>
      <c r="H64">
        <f ca="1">INDEX(技能数据库!$B$2:$I$100,MATCH(伤害与收益计算!$E64,技能数据库!$B$2:$B$100,0),MATCH(H$9,技能数据库!$B$2:$I$2,0))</f>
        <v>291</v>
      </c>
      <c r="I64">
        <f ca="1">INDEX(技能数据库!$B$2:$I$100,MATCH(伤害与收益计算!$E64,技能数据库!$B$2:$B$100,0),MATCH(I$9,技能数据库!$B$2:$I$2,0))</f>
        <v>1.8875</v>
      </c>
      <c r="J64">
        <f ca="1">INDEX(技能数据库!$B$2:$I$100,MATCH(伤害与收益计算!$E64,技能数据库!$B$2:$B$100,0),MATCH(J$9,技能数据库!$B$2:$I$2,0))</f>
        <v>2</v>
      </c>
      <c r="K64">
        <f ca="1">INDEX(技能数据库!$B$2:$I$100,MATCH(伤害与收益计算!$E64,技能数据库!$B$2:$B$100,0),MATCH(K$9,技能数据库!$B$2:$I$2,0))</f>
        <v>0</v>
      </c>
      <c r="L64">
        <f ca="1" t="shared" si="0"/>
        <v>105847</v>
      </c>
      <c r="M64">
        <f ca="1" t="shared" si="28"/>
        <v>19530.5</v>
      </c>
      <c r="N64">
        <f ca="1" t="shared" si="29"/>
        <v>92028</v>
      </c>
      <c r="O64">
        <f ca="1" t="shared" si="45"/>
        <v>239138.2125</v>
      </c>
      <c r="P64">
        <f ca="1">IF(G64="恒定伤害",0,(IF(D64="轻剑",$AZ$2,$AZ$3)+IFERROR(INDEX(技能数据库!$T$2:$W$27,MATCH(E64,技能数据库!$T$2:$T$27,0),4),0)+COUNTIF(G64,"*造化2*")*154+COUNTIF(G64,"*造化1*")*102+COUNTIF(G64,"*碧归*")*307)/1024)</f>
        <v>0.176868146929785</v>
      </c>
      <c r="Q64">
        <f ca="1" t="shared" si="46"/>
        <v>0.448284482196154</v>
      </c>
      <c r="R64">
        <f ca="1" t="shared" si="47"/>
        <v>0.21277697966198</v>
      </c>
      <c r="S64">
        <f ca="1" t="shared" si="30"/>
        <v>320869.509166977</v>
      </c>
      <c r="T64">
        <f t="shared" si="31"/>
        <v>0.8</v>
      </c>
      <c r="U64">
        <f ca="1" t="shared" si="48"/>
        <v>2.68954760480339</v>
      </c>
      <c r="V64">
        <f ca="1" t="shared" si="32"/>
        <v>947090.663201166</v>
      </c>
      <c r="W64">
        <f ca="1">IF(G64="恒定伤害",0,MIN(1,IF(COUNTIF(F64,"*内会*")&gt;0,内会,IF(D64="轻剑",$Y$2,$Y$3)+COUNTIF(G64,"*莺鸣*")*0.2+COUNTIF(G64,"*叠1*")*0.1+COUNTIF(G64,"*叠2*")*0.2+COUNTIF(G64,"*叠3*")*0.3)+IFERROR(INDEX(技能数据库!$T$2:$W$27,MATCH(E64,技能数据库!$T$2:$T$27,0),2),0)+IF((IF(D64="轻剑",$AO$2,$AO$3)+INT(COUNTIF(G64,"*大莺鸣*")*IF(D64="轻剑",$AM$2,$AM$3)*听晓无双率)/无双系数)&gt;0.9,特效裤子会心/会心系数,0)))</f>
        <v>0.9343</v>
      </c>
      <c r="X64">
        <f ca="1">IF(G64="恒定伤害",0,IF(COUNTIF(F64,"*内会*")&gt;0,内会效,IF(D64="轻剑",$AB$2,$AB$3))+IFERROR(INDEX(技能数据库!$T$2:$W$27,MATCH(E64,技能数据库!$T$2:$T$27,0),3)/1024,0))+COUNTIF(G64,"*叠1*")*0.25+COUNTIF(G64,"*叠2*")*0.5+COUNTIF(G64,"*叠3*")*0.75</f>
        <v>2.3156473116</v>
      </c>
      <c r="Y64">
        <f ca="1" t="shared" si="33"/>
        <v>2.22920928322788</v>
      </c>
      <c r="Z64">
        <f t="shared" si="49"/>
        <v>0.150390625</v>
      </c>
      <c r="AA64">
        <f ca="1" t="shared" si="34"/>
        <v>0.0205078125</v>
      </c>
      <c r="AB64">
        <f ca="1" t="shared" si="35"/>
        <v>2478586.41914867</v>
      </c>
      <c r="AC64">
        <f ca="1">技能数计算!AJ56</f>
        <v>0</v>
      </c>
      <c r="AD64" s="164">
        <f ca="1" t="shared" si="36"/>
        <v>0</v>
      </c>
      <c r="AE64" s="168">
        <f ca="1" t="shared" si="6"/>
        <v>0.00391489084999329</v>
      </c>
      <c r="AF64" s="168">
        <f ca="1" t="shared" si="50"/>
        <v>0.00498665599083208</v>
      </c>
      <c r="AG64">
        <f ca="1" t="shared" si="8"/>
        <v>0.00283211831211094</v>
      </c>
      <c r="AH64">
        <f ca="1" t="shared" si="51"/>
        <v>1.00267067603576</v>
      </c>
      <c r="AI64">
        <f ca="1" t="shared" si="52"/>
        <v>1.00016101226475</v>
      </c>
      <c r="AJ64">
        <f ca="1" t="shared" si="53"/>
        <v>0</v>
      </c>
      <c r="AK64">
        <f ca="1" t="shared" si="18"/>
        <v>0</v>
      </c>
      <c r="AL64">
        <f ca="1" t="shared" si="54"/>
        <v>0</v>
      </c>
      <c r="AM64">
        <f ca="1" t="shared" si="19"/>
        <v>0</v>
      </c>
      <c r="AN64" s="168">
        <f ca="1" t="shared" si="55"/>
        <v>0.00841753350912167</v>
      </c>
      <c r="AO64" s="168">
        <f ca="1" t="shared" si="56"/>
        <v>0.00447057613551372</v>
      </c>
      <c r="AP64" s="172">
        <f ca="1" t="shared" si="57"/>
        <v>0</v>
      </c>
      <c r="AQ64" s="168">
        <f ca="1" t="shared" si="58"/>
        <v>0.00393951131463699</v>
      </c>
      <c r="AR64">
        <f t="shared" si="21"/>
        <v>1</v>
      </c>
    </row>
    <row r="65" spans="4:44">
      <c r="D65" t="s">
        <v>1825</v>
      </c>
      <c r="E65" t="s">
        <v>2792</v>
      </c>
      <c r="H65">
        <f ca="1">INDEX(技能数据库!$B$2:$I$100,MATCH(伤害与收益计算!$E65,技能数据库!$B$2:$B$100,0),MATCH(H$9,技能数据库!$B$2:$I$2,0))</f>
        <v>0</v>
      </c>
      <c r="I65">
        <f ca="1">INDEX(技能数据库!$B$2:$I$100,MATCH(伤害与收益计算!$E65,技能数据库!$B$2:$B$100,0),MATCH(I$9,技能数据库!$B$2:$I$2,0))</f>
        <v>0.16875</v>
      </c>
      <c r="J65">
        <f ca="1">INDEX(技能数据库!$B$2:$I$100,MATCH(伤害与收益计算!$E65,技能数据库!$B$2:$B$100,0),MATCH(J$9,技能数据库!$B$2:$I$2,0))</f>
        <v>1</v>
      </c>
      <c r="K65">
        <f ca="1">INDEX(技能数据库!$B$2:$I$100,MATCH(伤害与收益计算!$E65,技能数据库!$B$2:$B$100,0),MATCH(K$9,技能数据库!$B$2:$I$2,0))</f>
        <v>0</v>
      </c>
      <c r="L65">
        <f ca="1" t="shared" si="0"/>
        <v>91975</v>
      </c>
      <c r="M65">
        <f ca="1" t="shared" si="28"/>
        <v>19530.5</v>
      </c>
      <c r="N65">
        <f ca="1" t="shared" si="29"/>
        <v>92028</v>
      </c>
      <c r="O65">
        <f ca="1" t="shared" si="45"/>
        <v>35051.28125</v>
      </c>
      <c r="P65">
        <f ca="1">IF(G65="恒定伤害",0,(IF(D65="轻剑",$AZ$2,$AZ$3)+IFERROR(INDEX(技能数据库!$T$2:$W$27,MATCH(E65,技能数据库!$T$2:$T$27,0),4),0)+COUNTIF(G65,"*造化2*")*154+COUNTIF(G65,"*造化1*")*102+COUNTIF(G65,"*碧归*")*307)/1024)</f>
        <v>0.377063459429785</v>
      </c>
      <c r="Q65">
        <f ca="1" t="shared" si="46"/>
        <v>0.448284482196154</v>
      </c>
      <c r="R65">
        <f ca="1" t="shared" si="47"/>
        <v>0.32958230397716</v>
      </c>
      <c r="S65">
        <f ca="1" t="shared" si="30"/>
        <v>46865.9255846519</v>
      </c>
      <c r="T65">
        <f t="shared" si="31"/>
        <v>0.8</v>
      </c>
      <c r="U65">
        <f ca="1" t="shared" si="48"/>
        <v>1.7995442148</v>
      </c>
      <c r="V65">
        <f ca="1" t="shared" si="32"/>
        <v>104962.584673408</v>
      </c>
      <c r="W65">
        <f ca="1">IF(G65="恒定伤害",0,MIN(1,IF(COUNTIF(F65,"*内会*")&gt;0,内会,IF(D65="轻剑",$Y$2,$Y$3)+COUNTIF(G65,"*莺鸣*")*0.2+COUNTIF(G65,"*叠1*")*0.1+COUNTIF(G65,"*叠2*")*0.2+COUNTIF(G65,"*叠3*")*0.3)+IFERROR(INDEX(技能数据库!$T$2:$W$27,MATCH(E65,技能数据库!$T$2:$T$27,0),2),0)+IF((IF(D65="轻剑",$AO$2,$AO$3)+INT(COUNTIF(G65,"*大莺鸣*")*IF(D65="轻剑",$AM$2,$AM$3)*听晓无双率)/无双系数)&gt;0.9,特效裤子会心/会心系数,0)))</f>
        <v>0.7343</v>
      </c>
      <c r="X65">
        <f ca="1">IF(G65="恒定伤害",0,IF(COUNTIF(F65,"*内会*")&gt;0,内会效,IF(D65="轻剑",$AB$2,$AB$3))+IFERROR(INDEX(技能数据库!$T$2:$W$27,MATCH(E65,技能数据库!$T$2:$T$27,0),3)/1024,0))+COUNTIF(G65,"*叠1*")*0.25+COUNTIF(G65,"*叠2*")*0.5+COUNTIF(G65,"*叠3*")*0.75</f>
        <v>2.3156473116</v>
      </c>
      <c r="Y65">
        <f ca="1" t="shared" si="33"/>
        <v>1.96607982090788</v>
      </c>
      <c r="Z65">
        <f t="shared" si="49"/>
        <v>0.150390625</v>
      </c>
      <c r="AA65">
        <f ca="1" t="shared" si="34"/>
        <v>0.0205078125</v>
      </c>
      <c r="AB65">
        <f ca="1" t="shared" si="35"/>
        <v>242268.71172928</v>
      </c>
      <c r="AC65">
        <f ca="1">技能数计算!AJ57</f>
        <v>0</v>
      </c>
      <c r="AD65" s="164">
        <f ca="1" t="shared" si="36"/>
        <v>0</v>
      </c>
      <c r="AE65" s="168">
        <f ca="1" t="shared" si="6"/>
        <v>0.00200277985558659</v>
      </c>
      <c r="AF65" s="168">
        <f ca="1" t="shared" si="50"/>
        <v>0.0170107904400784</v>
      </c>
      <c r="AG65">
        <f ca="1" t="shared" si="8"/>
        <v>0.00179028215965871</v>
      </c>
      <c r="AH65">
        <f ca="1" t="shared" si="51"/>
        <v>1.00162900760471</v>
      </c>
      <c r="AI65">
        <f ca="1" t="shared" si="52"/>
        <v>1.00016101226475</v>
      </c>
      <c r="AJ65">
        <f ca="1" t="shared" si="53"/>
        <v>0</v>
      </c>
      <c r="AK65">
        <f ca="1" t="shared" si="18"/>
        <v>0</v>
      </c>
      <c r="AL65">
        <f ca="1" t="shared" si="54"/>
        <v>0</v>
      </c>
      <c r="AM65">
        <f ca="1" t="shared" si="19"/>
        <v>0</v>
      </c>
      <c r="AN65" s="168">
        <f ca="1" t="shared" si="55"/>
        <v>0.00750104430192855</v>
      </c>
      <c r="AO65" s="168">
        <f ca="1" t="shared" si="56"/>
        <v>0.00447057613551372</v>
      </c>
      <c r="AP65" s="172">
        <f ca="1" t="shared" si="57"/>
        <v>0</v>
      </c>
      <c r="AQ65" s="168">
        <f ca="1" t="shared" si="58"/>
        <v>0.00401583628616287</v>
      </c>
      <c r="AR65">
        <f t="shared" si="21"/>
        <v>1</v>
      </c>
    </row>
    <row r="66" spans="4:44">
      <c r="D66" t="s">
        <v>1825</v>
      </c>
      <c r="E66" t="s">
        <v>2792</v>
      </c>
      <c r="G66" t="s">
        <v>2750</v>
      </c>
      <c r="H66">
        <f ca="1">INDEX(技能数据库!$B$2:$I$100,MATCH(伤害与收益计算!$E66,技能数据库!$B$2:$B$100,0),MATCH(H$9,技能数据库!$B$2:$I$2,0))</f>
        <v>0</v>
      </c>
      <c r="I66">
        <f ca="1">INDEX(技能数据库!$B$2:$I$100,MATCH(伤害与收益计算!$E66,技能数据库!$B$2:$B$100,0),MATCH(I$9,技能数据库!$B$2:$I$2,0))</f>
        <v>0.16875</v>
      </c>
      <c r="J66">
        <f ca="1">INDEX(技能数据库!$B$2:$I$100,MATCH(伤害与收益计算!$E66,技能数据库!$B$2:$B$100,0),MATCH(J$9,技能数据库!$B$2:$I$2,0))</f>
        <v>1</v>
      </c>
      <c r="K66">
        <f ca="1">INDEX(技能数据库!$B$2:$I$100,MATCH(伤害与收益计算!$E66,技能数据库!$B$2:$B$100,0),MATCH(K$9,技能数据库!$B$2:$I$2,0))</f>
        <v>0</v>
      </c>
      <c r="L66">
        <f ca="1" t="shared" si="0"/>
        <v>105847</v>
      </c>
      <c r="M66">
        <f ca="1" t="shared" si="28"/>
        <v>19530.5</v>
      </c>
      <c r="N66">
        <f ca="1" t="shared" si="29"/>
        <v>92028</v>
      </c>
      <c r="O66">
        <f ca="1" t="shared" si="45"/>
        <v>37392.18125</v>
      </c>
      <c r="P66">
        <f ca="1">IF(G66="恒定伤害",0,(IF(D66="轻剑",$AZ$2,$AZ$3)+IFERROR(INDEX(技能数据库!$T$2:$W$27,MATCH(E66,技能数据库!$T$2:$T$27,0),4),0)+COUNTIF(G66,"*造化2*")*154+COUNTIF(G66,"*造化1*")*102+COUNTIF(G66,"*碧归*")*307)/1024)</f>
        <v>0.377063459429785</v>
      </c>
      <c r="Q66">
        <f ca="1" t="shared" si="46"/>
        <v>0.448284482196154</v>
      </c>
      <c r="R66">
        <f ca="1" t="shared" si="47"/>
        <v>0.21277697966198</v>
      </c>
      <c r="S66">
        <f ca="1" t="shared" si="30"/>
        <v>58706.5308629565</v>
      </c>
      <c r="T66">
        <f t="shared" si="31"/>
        <v>0.8</v>
      </c>
      <c r="U66">
        <f ca="1" t="shared" si="48"/>
        <v>1.7995442148</v>
      </c>
      <c r="V66">
        <f ca="1" t="shared" si="32"/>
        <v>131481.223078694</v>
      </c>
      <c r="W66">
        <f ca="1">IF(G66="恒定伤害",0,MIN(1,IF(COUNTIF(F66,"*内会*")&gt;0,内会,IF(D66="轻剑",$Y$2,$Y$3)+COUNTIF(G66,"*莺鸣*")*0.2+COUNTIF(G66,"*叠1*")*0.1+COUNTIF(G66,"*叠2*")*0.2+COUNTIF(G66,"*叠3*")*0.3)+IFERROR(INDEX(技能数据库!$T$2:$W$27,MATCH(E66,技能数据库!$T$2:$T$27,0),2),0)+IF((IF(D66="轻剑",$AO$2,$AO$3)+INT(COUNTIF(G66,"*大莺鸣*")*IF(D66="轻剑",$AM$2,$AM$3)*听晓无双率)/无双系数)&gt;0.9,特效裤子会心/会心系数,0)))</f>
        <v>0.7343</v>
      </c>
      <c r="X66">
        <f ca="1">IF(G66="恒定伤害",0,IF(COUNTIF(F66,"*内会*")&gt;0,内会效,IF(D66="轻剑",$AB$2,$AB$3))+IFERROR(INDEX(技能数据库!$T$2:$W$27,MATCH(E66,技能数据库!$T$2:$T$27,0),3)/1024,0))+COUNTIF(G66,"*叠1*")*0.25+COUNTIF(G66,"*叠2*")*0.5+COUNTIF(G66,"*叠3*")*0.75</f>
        <v>2.3156473116</v>
      </c>
      <c r="Y66">
        <f ca="1" t="shared" si="33"/>
        <v>1.96607982090788</v>
      </c>
      <c r="Z66">
        <f t="shared" si="49"/>
        <v>0.150390625</v>
      </c>
      <c r="AA66">
        <f ca="1" t="shared" si="34"/>
        <v>0.0205078125</v>
      </c>
      <c r="AB66">
        <f ca="1" t="shared" si="35"/>
        <v>303477.53564738</v>
      </c>
      <c r="AC66">
        <f ca="1">技能数计算!AJ58</f>
        <v>46</v>
      </c>
      <c r="AD66" s="164">
        <f ca="1" t="shared" si="36"/>
        <v>0.00448132336378406</v>
      </c>
      <c r="AE66" s="168">
        <f ca="1" t="shared" si="6"/>
        <v>0.00223843587621677</v>
      </c>
      <c r="AF66" s="168">
        <f ca="1" t="shared" si="50"/>
        <v>0.0159458469676732</v>
      </c>
      <c r="AG66">
        <f ca="1" t="shared" si="8"/>
        <v>0.00226194792435863</v>
      </c>
      <c r="AH66">
        <f ca="1" t="shared" si="51"/>
        <v>1.00152702521763</v>
      </c>
      <c r="AI66">
        <f ca="1" t="shared" si="52"/>
        <v>1.00016101226475</v>
      </c>
      <c r="AJ66">
        <f ca="1" t="shared" si="53"/>
        <v>1.0005726976962</v>
      </c>
      <c r="AK66">
        <f ca="1" t="shared" si="18"/>
        <v>46</v>
      </c>
      <c r="AL66">
        <f ca="1" t="shared" si="54"/>
        <v>0.00495187192404045</v>
      </c>
      <c r="AM66">
        <f ca="1" t="shared" si="19"/>
        <v>46</v>
      </c>
      <c r="AN66" s="168">
        <f ca="1" t="shared" si="55"/>
        <v>0.00750104430192855</v>
      </c>
      <c r="AO66" s="168">
        <f ca="1" t="shared" si="56"/>
        <v>0.00447057613551372</v>
      </c>
      <c r="AP66" s="172">
        <f ca="1" t="shared" si="57"/>
        <v>0</v>
      </c>
      <c r="AQ66" s="168">
        <f ca="1" t="shared" si="58"/>
        <v>0.00401583628616287</v>
      </c>
      <c r="AR66">
        <f t="shared" si="21"/>
        <v>1</v>
      </c>
    </row>
    <row r="67" spans="4:44">
      <c r="D67" t="s">
        <v>1825</v>
      </c>
      <c r="E67" t="s">
        <v>2792</v>
      </c>
      <c r="G67" t="s">
        <v>2948</v>
      </c>
      <c r="H67">
        <f ca="1">INDEX(技能数据库!$B$2:$I$100,MATCH(伤害与收益计算!$E67,技能数据库!$B$2:$B$100,0),MATCH(H$9,技能数据库!$B$2:$I$2,0))</f>
        <v>0</v>
      </c>
      <c r="I67">
        <f ca="1">INDEX(技能数据库!$B$2:$I$100,MATCH(伤害与收益计算!$E67,技能数据库!$B$2:$B$100,0),MATCH(I$9,技能数据库!$B$2:$I$2,0))</f>
        <v>0.16875</v>
      </c>
      <c r="J67">
        <f ca="1">INDEX(技能数据库!$B$2:$I$100,MATCH(伤害与收益计算!$E67,技能数据库!$B$2:$B$100,0),MATCH(J$9,技能数据库!$B$2:$I$2,0))</f>
        <v>1</v>
      </c>
      <c r="K67">
        <f ca="1">INDEX(技能数据库!$B$2:$I$100,MATCH(伤害与收益计算!$E67,技能数据库!$B$2:$B$100,0),MATCH(K$9,技能数据库!$B$2:$I$2,0))</f>
        <v>0</v>
      </c>
      <c r="L67">
        <f ca="1" t="shared" si="0"/>
        <v>91975</v>
      </c>
      <c r="M67">
        <f ca="1" t="shared" si="28"/>
        <v>19530.5</v>
      </c>
      <c r="N67">
        <f ca="1" t="shared" si="29"/>
        <v>92028</v>
      </c>
      <c r="O67">
        <f ca="1" t="shared" si="45"/>
        <v>35051.28125</v>
      </c>
      <c r="P67">
        <f ca="1">IF(G67="恒定伤害",0,(IF(D67="轻剑",$AZ$2,$AZ$3)+IFERROR(INDEX(技能数据库!$T$2:$W$27,MATCH(E67,技能数据库!$T$2:$T$27,0),4),0)+COUNTIF(G67,"*造化2*")*154+COUNTIF(G67,"*造化1*")*102+COUNTIF(G67,"*碧归*")*307)/1024)</f>
        <v>0.377063459429785</v>
      </c>
      <c r="Q67">
        <f ca="1" t="shared" si="46"/>
        <v>0.448284482196154</v>
      </c>
      <c r="R67">
        <f ca="1" t="shared" si="47"/>
        <v>0.32958230397716</v>
      </c>
      <c r="S67">
        <f ca="1" t="shared" si="30"/>
        <v>46865.9255846519</v>
      </c>
      <c r="T67">
        <f t="shared" si="31"/>
        <v>0.8</v>
      </c>
      <c r="U67">
        <f ca="1" t="shared" si="48"/>
        <v>2.68954760480339</v>
      </c>
      <c r="V67">
        <f ca="1" t="shared" si="32"/>
        <v>138331.250790197</v>
      </c>
      <c r="W67">
        <f ca="1">IF(G67="恒定伤害",0,MIN(1,IF(COUNTIF(F67,"*内会*")&gt;0,内会,IF(D67="轻剑",$Y$2,$Y$3)+COUNTIF(G67,"*莺鸣*")*0.2+COUNTIF(G67,"*叠1*")*0.1+COUNTIF(G67,"*叠2*")*0.2+COUNTIF(G67,"*叠3*")*0.3)+IFERROR(INDEX(技能数据库!$T$2:$W$27,MATCH(E67,技能数据库!$T$2:$T$27,0),2),0)+IF((IF(D67="轻剑",$AO$2,$AO$3)+INT(COUNTIF(G67,"*大莺鸣*")*IF(D67="轻剑",$AM$2,$AM$3)*听晓无双率)/无双系数)&gt;0.9,特效裤子会心/会心系数,0)))</f>
        <v>0.9343</v>
      </c>
      <c r="X67">
        <f ca="1">IF(G67="恒定伤害",0,IF(COUNTIF(F67,"*内会*")&gt;0,内会效,IF(D67="轻剑",$AB$2,$AB$3))+IFERROR(INDEX(技能数据库!$T$2:$W$27,MATCH(E67,技能数据库!$T$2:$T$27,0),3)/1024,0))+COUNTIF(G67,"*叠1*")*0.25+COUNTIF(G67,"*叠2*")*0.5+COUNTIF(G67,"*叠3*")*0.75</f>
        <v>2.3156473116</v>
      </c>
      <c r="Y67">
        <f ca="1" t="shared" si="33"/>
        <v>2.22920928322788</v>
      </c>
      <c r="Z67">
        <f t="shared" si="49"/>
        <v>0.150390625</v>
      </c>
      <c r="AA67">
        <f ca="1" t="shared" si="34"/>
        <v>0.0205078125</v>
      </c>
      <c r="AB67">
        <f ca="1" t="shared" si="35"/>
        <v>362020.208702664</v>
      </c>
      <c r="AC67">
        <f ca="1">技能数计算!AJ59</f>
        <v>0</v>
      </c>
      <c r="AD67" s="164">
        <f ca="1" t="shared" si="36"/>
        <v>0</v>
      </c>
      <c r="AE67" s="168">
        <f ca="1" t="shared" si="6"/>
        <v>0.00200277985558659</v>
      </c>
      <c r="AF67" s="168">
        <f ca="1" t="shared" si="50"/>
        <v>0.0170107904400784</v>
      </c>
      <c r="AG67">
        <f ca="1" t="shared" si="8"/>
        <v>0.00179028215965871</v>
      </c>
      <c r="AH67">
        <f ca="1" t="shared" si="51"/>
        <v>1.00162900760471</v>
      </c>
      <c r="AI67">
        <f ca="1" t="shared" si="52"/>
        <v>1.00016101226475</v>
      </c>
      <c r="AJ67">
        <f ca="1" t="shared" si="53"/>
        <v>0</v>
      </c>
      <c r="AK67">
        <f ca="1" t="shared" si="18"/>
        <v>0</v>
      </c>
      <c r="AL67">
        <f ca="1" t="shared" si="54"/>
        <v>0</v>
      </c>
      <c r="AM67">
        <f ca="1" t="shared" si="19"/>
        <v>0</v>
      </c>
      <c r="AN67" s="168">
        <f ca="1" t="shared" si="55"/>
        <v>0.00841753350912167</v>
      </c>
      <c r="AO67" s="168">
        <f ca="1" t="shared" si="56"/>
        <v>0.00447057613551372</v>
      </c>
      <c r="AP67" s="172">
        <f ca="1" t="shared" si="57"/>
        <v>0</v>
      </c>
      <c r="AQ67" s="168">
        <f ca="1" t="shared" si="58"/>
        <v>0.00393951131463699</v>
      </c>
      <c r="AR67">
        <f t="shared" si="21"/>
        <v>1</v>
      </c>
    </row>
    <row r="68" spans="4:44">
      <c r="D68" t="s">
        <v>1825</v>
      </c>
      <c r="E68" t="s">
        <v>2792</v>
      </c>
      <c r="G68" t="s">
        <v>3044</v>
      </c>
      <c r="H68">
        <f ca="1">INDEX(技能数据库!$B$2:$I$100,MATCH(伤害与收益计算!$E68,技能数据库!$B$2:$B$100,0),MATCH(H$9,技能数据库!$B$2:$I$2,0))</f>
        <v>0</v>
      </c>
      <c r="I68">
        <f ca="1">INDEX(技能数据库!$B$2:$I$100,MATCH(伤害与收益计算!$E68,技能数据库!$B$2:$B$100,0),MATCH(I$9,技能数据库!$B$2:$I$2,0))</f>
        <v>0.16875</v>
      </c>
      <c r="J68">
        <f ca="1">INDEX(技能数据库!$B$2:$I$100,MATCH(伤害与收益计算!$E68,技能数据库!$B$2:$B$100,0),MATCH(J$9,技能数据库!$B$2:$I$2,0))</f>
        <v>1</v>
      </c>
      <c r="K68">
        <f ca="1">INDEX(技能数据库!$B$2:$I$100,MATCH(伤害与收益计算!$E68,技能数据库!$B$2:$B$100,0),MATCH(K$9,技能数据库!$B$2:$I$2,0))</f>
        <v>0</v>
      </c>
      <c r="L68">
        <f ca="1" t="shared" si="0"/>
        <v>105847</v>
      </c>
      <c r="M68">
        <f ca="1" t="shared" si="28"/>
        <v>19530.5</v>
      </c>
      <c r="N68">
        <f ca="1" t="shared" si="29"/>
        <v>92028</v>
      </c>
      <c r="O68">
        <f ca="1" t="shared" si="45"/>
        <v>37392.18125</v>
      </c>
      <c r="P68">
        <f ca="1">IF(G68="恒定伤害",0,(IF(D68="轻剑",$AZ$2,$AZ$3)+IFERROR(INDEX(技能数据库!$T$2:$W$27,MATCH(E68,技能数据库!$T$2:$T$27,0),4),0)+COUNTIF(G68,"*造化2*")*154+COUNTIF(G68,"*造化1*")*102+COUNTIF(G68,"*碧归*")*307)/1024)</f>
        <v>0.377063459429785</v>
      </c>
      <c r="Q68">
        <f ca="1" t="shared" si="46"/>
        <v>0.448284482196154</v>
      </c>
      <c r="R68">
        <f ca="1" t="shared" si="47"/>
        <v>0.21277697966198</v>
      </c>
      <c r="S68">
        <f ca="1" t="shared" si="30"/>
        <v>58706.5308629565</v>
      </c>
      <c r="T68">
        <f t="shared" si="31"/>
        <v>0.8</v>
      </c>
      <c r="U68">
        <f ca="1" t="shared" si="48"/>
        <v>2.68954760480339</v>
      </c>
      <c r="V68">
        <f ca="1" t="shared" si="32"/>
        <v>173280.43226539</v>
      </c>
      <c r="W68">
        <f ca="1">IF(G68="恒定伤害",0,MIN(1,IF(COUNTIF(F68,"*内会*")&gt;0,内会,IF(D68="轻剑",$Y$2,$Y$3)+COUNTIF(G68,"*莺鸣*")*0.2+COUNTIF(G68,"*叠1*")*0.1+COUNTIF(G68,"*叠2*")*0.2+COUNTIF(G68,"*叠3*")*0.3)+IFERROR(INDEX(技能数据库!$T$2:$W$27,MATCH(E68,技能数据库!$T$2:$T$27,0),2),0)+IF((IF(D68="轻剑",$AO$2,$AO$3)+INT(COUNTIF(G68,"*大莺鸣*")*IF(D68="轻剑",$AM$2,$AM$3)*听晓无双率)/无双系数)&gt;0.9,特效裤子会心/会心系数,0)))</f>
        <v>0.9343</v>
      </c>
      <c r="X68">
        <f ca="1">IF(G68="恒定伤害",0,IF(COUNTIF(F68,"*内会*")&gt;0,内会效,IF(D68="轻剑",$AB$2,$AB$3))+IFERROR(INDEX(技能数据库!$T$2:$W$27,MATCH(E68,技能数据库!$T$2:$T$27,0),3)/1024,0))+COUNTIF(G68,"*叠1*")*0.25+COUNTIF(G68,"*叠2*")*0.5+COUNTIF(G68,"*叠3*")*0.75</f>
        <v>2.3156473116</v>
      </c>
      <c r="Y68">
        <f ca="1" t="shared" si="33"/>
        <v>2.22920928322788</v>
      </c>
      <c r="Z68">
        <f t="shared" si="49"/>
        <v>0.150390625</v>
      </c>
      <c r="AA68">
        <f ca="1" t="shared" si="34"/>
        <v>0.0205078125</v>
      </c>
      <c r="AB68">
        <f ca="1" t="shared" si="35"/>
        <v>453484.067370623</v>
      </c>
      <c r="AC68">
        <f ca="1">技能数计算!AJ60</f>
        <v>0</v>
      </c>
      <c r="AD68" s="164">
        <f ca="1" t="shared" si="36"/>
        <v>0</v>
      </c>
      <c r="AE68" s="168">
        <f ca="1" t="shared" si="6"/>
        <v>0.00223843587621677</v>
      </c>
      <c r="AF68" s="168">
        <f ca="1" t="shared" si="50"/>
        <v>0.0159458469676732</v>
      </c>
      <c r="AG68">
        <f ca="1" t="shared" si="8"/>
        <v>0.00168828335216742</v>
      </c>
      <c r="AH68">
        <f ca="1" t="shared" si="51"/>
        <v>1.00152702521763</v>
      </c>
      <c r="AI68">
        <f ca="1" t="shared" si="52"/>
        <v>1.00016101226475</v>
      </c>
      <c r="AJ68">
        <f ca="1" t="shared" si="53"/>
        <v>0</v>
      </c>
      <c r="AK68">
        <f ca="1" t="shared" si="18"/>
        <v>0</v>
      </c>
      <c r="AL68">
        <f ca="1" t="shared" si="54"/>
        <v>0</v>
      </c>
      <c r="AM68">
        <f ca="1" t="shared" si="19"/>
        <v>0</v>
      </c>
      <c r="AN68" s="168">
        <f ca="1" t="shared" si="55"/>
        <v>0.00841753350912167</v>
      </c>
      <c r="AO68" s="168">
        <f ca="1" t="shared" si="56"/>
        <v>0.00447057613551372</v>
      </c>
      <c r="AP68" s="172">
        <f ca="1" t="shared" si="57"/>
        <v>0</v>
      </c>
      <c r="AQ68" s="168">
        <f ca="1" t="shared" si="58"/>
        <v>0.00393951131463699</v>
      </c>
      <c r="AR68">
        <f t="shared" si="21"/>
        <v>1</v>
      </c>
    </row>
    <row r="69" spans="4:44">
      <c r="D69" t="s">
        <v>1028</v>
      </c>
      <c r="E69" t="s">
        <v>2723</v>
      </c>
      <c r="H69">
        <f ca="1">INDEX(技能数据库!$B$2:$I$100,MATCH(伤害与收益计算!$E69,技能数据库!$B$2:$B$100,0),MATCH(H$9,技能数据库!$B$2:$I$2,0))</f>
        <v>143</v>
      </c>
      <c r="I69">
        <f ca="1">INDEX(技能数据库!$B$2:$I$100,MATCH(伤害与收益计算!$E69,技能数据库!$B$2:$B$100,0),MATCH(I$9,技能数据库!$B$2:$I$2,0))</f>
        <v>2.53125</v>
      </c>
      <c r="J69">
        <f ca="1">INDEX(技能数据库!$B$2:$I$100,MATCH(伤害与收益计算!$E69,技能数据库!$B$2:$B$100,0),MATCH(J$9,技能数据库!$B$2:$I$2,0))</f>
        <v>2</v>
      </c>
      <c r="K69">
        <f ca="1">INDEX(技能数据库!$B$2:$I$100,MATCH(伤害与收益计算!$E69,技能数据库!$B$2:$B$100,0),MATCH(K$9,技能数据库!$B$2:$I$2,0))</f>
        <v>0</v>
      </c>
      <c r="L69">
        <f ca="1" t="shared" si="0"/>
        <v>91975</v>
      </c>
      <c r="M69">
        <f ca="1" t="shared" si="28"/>
        <v>12694.5</v>
      </c>
      <c r="N69">
        <f ca="1" t="shared" si="29"/>
        <v>92028</v>
      </c>
      <c r="O69">
        <f ca="1" t="shared" si="45"/>
        <v>258343.71875</v>
      </c>
      <c r="P69">
        <f ca="1">IF(G69="恒定伤害",0,(IF(D69="轻剑",$AZ$2,$AZ$3)+IFERROR(INDEX(技能数据库!$T$2:$W$27,MATCH(E69,技能数据库!$T$2:$T$27,0),4),0)+COUNTIF(G69,"*造化2*")*154+COUNTIF(G69,"*造化1*")*102+COUNTIF(G69,"*碧归*")*307)/1024)</f>
        <v>0.0772587719297852</v>
      </c>
      <c r="Q69">
        <f ca="1" t="shared" si="46"/>
        <v>0.448284482196154</v>
      </c>
      <c r="R69">
        <f ca="1" t="shared" si="47"/>
        <v>0.32958230397716</v>
      </c>
      <c r="S69">
        <f ca="1" t="shared" si="30"/>
        <v>270219.877362011</v>
      </c>
      <c r="T69">
        <f t="shared" si="31"/>
        <v>0.8</v>
      </c>
      <c r="U69">
        <f ca="1" t="shared" si="48"/>
        <v>1.7995442148</v>
      </c>
      <c r="V69">
        <f ca="1" t="shared" si="32"/>
        <v>605193.995514228</v>
      </c>
      <c r="W69">
        <f ca="1">IF(G69="恒定伤害",0,MIN(1,IF(COUNTIF(F69,"*内会*")&gt;0,内会,IF(D69="轻剑",$Y$2,$Y$3)+COUNTIF(G69,"*莺鸣*")*0.2+COUNTIF(G69,"*叠1*")*0.1+COUNTIF(G69,"*叠2*")*0.2+COUNTIF(G69,"*叠3*")*0.3)+IFERROR(INDEX(技能数据库!$T$2:$W$27,MATCH(E69,技能数据库!$T$2:$T$27,0),2),0)+IF((IF(D69="轻剑",$AO$2,$AO$3)+INT(COUNTIF(G69,"*大莺鸣*")*IF(D69="轻剑",$AM$2,$AM$3)*听晓无双率)/无双系数)&gt;0.9,特效裤子会心/会心系数,0)))</f>
        <v>0.7343</v>
      </c>
      <c r="X69">
        <f ca="1">IF(G69="恒定伤害",0,IF(COUNTIF(F69,"*内会*")&gt;0,内会效,IF(D69="轻剑",$AB$2,$AB$3))+IFERROR(INDEX(技能数据库!$T$2:$W$27,MATCH(E69,技能数据库!$T$2:$T$27,0),3)/1024,0))+COUNTIF(G69,"*叠1*")*0.25+COUNTIF(G69,"*叠2*")*0.5+COUNTIF(G69,"*叠3*")*0.75</f>
        <v>2.3156473116</v>
      </c>
      <c r="Y69">
        <f ca="1" t="shared" si="33"/>
        <v>1.96607982090788</v>
      </c>
      <c r="Z69">
        <f t="shared" si="49"/>
        <v>0.150390625</v>
      </c>
      <c r="AA69">
        <f ca="1" t="shared" si="34"/>
        <v>0.0205078125</v>
      </c>
      <c r="AB69">
        <f ca="1" t="shared" si="35"/>
        <v>1396874.61104103</v>
      </c>
      <c r="AC69" s="171">
        <f ca="1">$AC$10*MIN(1,0.3+$Y$2)</f>
        <v>0</v>
      </c>
      <c r="AD69" s="164">
        <f ca="1" t="shared" si="36"/>
        <v>0</v>
      </c>
      <c r="AE69" s="168">
        <f ca="1" t="shared" si="6"/>
        <v>0.00407596517188402</v>
      </c>
      <c r="AF69" s="168">
        <f ca="1" t="shared" si="50"/>
        <v>0.00461594346388575</v>
      </c>
      <c r="AG69">
        <f ca="1" t="shared" si="8"/>
        <v>0.00347682719504561</v>
      </c>
      <c r="AH69">
        <f ca="1" t="shared" si="51"/>
        <v>1.00331528112937</v>
      </c>
      <c r="AI69">
        <f ca="1" t="shared" si="52"/>
        <v>1.00016101226475</v>
      </c>
      <c r="AJ69">
        <f ca="1" t="shared" si="53"/>
        <v>0</v>
      </c>
      <c r="AK69" s="171">
        <f ca="1">$AC$10*MIN(1,0.3+$Y$2+((delta身法+INT((IF(D52="轻剑",$N$2,$N$3))/1024*delta身法))*身法转基础会心/会心系数))</f>
        <v>0</v>
      </c>
      <c r="AL69">
        <f ca="1" t="shared" si="54"/>
        <v>0</v>
      </c>
      <c r="AM69" s="171">
        <f ca="1">$AC$10*MIN(1,0.3+$Y$2+delta会心/会心系数)</f>
        <v>0</v>
      </c>
      <c r="AN69" s="168">
        <f ca="1" t="shared" si="55"/>
        <v>0.00750104430192855</v>
      </c>
      <c r="AO69" s="168">
        <f ca="1" t="shared" si="56"/>
        <v>0.00447057613551372</v>
      </c>
      <c r="AP69" s="172">
        <f ca="1" t="shared" si="57"/>
        <v>0</v>
      </c>
      <c r="AQ69" s="168">
        <f ca="1" t="shared" si="58"/>
        <v>0.00401583628616287</v>
      </c>
      <c r="AR69">
        <f t="shared" si="21"/>
        <v>1</v>
      </c>
    </row>
    <row r="70" spans="4:44">
      <c r="D70" t="s">
        <v>1028</v>
      </c>
      <c r="E70" t="s">
        <v>2723</v>
      </c>
      <c r="G70" t="s">
        <v>2949</v>
      </c>
      <c r="H70">
        <f ca="1">INDEX(技能数据库!$B$2:$I$100,MATCH(伤害与收益计算!$E70,技能数据库!$B$2:$B$100,0),MATCH(H$9,技能数据库!$B$2:$I$2,0))</f>
        <v>143</v>
      </c>
      <c r="I70">
        <f ca="1">INDEX(技能数据库!$B$2:$I$100,MATCH(伤害与收益计算!$E70,技能数据库!$B$2:$B$100,0),MATCH(I$9,技能数据库!$B$2:$I$2,0))</f>
        <v>2.53125</v>
      </c>
      <c r="J70">
        <f ca="1">INDEX(技能数据库!$B$2:$I$100,MATCH(伤害与收益计算!$E70,技能数据库!$B$2:$B$100,0),MATCH(J$9,技能数据库!$B$2:$I$2,0))</f>
        <v>2</v>
      </c>
      <c r="K70">
        <f ca="1">INDEX(技能数据库!$B$2:$I$100,MATCH(伤害与收益计算!$E70,技能数据库!$B$2:$B$100,0),MATCH(K$9,技能数据库!$B$2:$I$2,0))</f>
        <v>0</v>
      </c>
      <c r="L70">
        <f ca="1" t="shared" si="0"/>
        <v>91975</v>
      </c>
      <c r="M70">
        <f ca="1" t="shared" ref="M70:M75" si="59">IF(D70="轻剑",$AU$2+$AV$2,$AU$3+$AV$3)/2</f>
        <v>12694.5</v>
      </c>
      <c r="N70">
        <f ca="1" t="shared" ref="N70:N75" si="60">IF(D70="轻剑",$AJ$2,$AJ$3)</f>
        <v>92028</v>
      </c>
      <c r="O70">
        <f ca="1" t="shared" si="45"/>
        <v>258343.71875</v>
      </c>
      <c r="P70">
        <f ca="1">IF(G70="恒定伤害",0,(IF(D70="轻剑",$AZ$2,$AZ$3)+IFERROR(INDEX(技能数据库!$T$2:$W$27,MATCH(E70,技能数据库!$T$2:$T$27,0),4),0)+COUNTIF(G70,"*造化2*")*154+COUNTIF(G70,"*造化1*")*102+COUNTIF(G70,"*碧归*")*307)/1024)</f>
        <v>0.0772587719297852</v>
      </c>
      <c r="Q70">
        <f ca="1" t="shared" si="46"/>
        <v>0.448284482196154</v>
      </c>
      <c r="R70">
        <f ca="1" t="shared" si="47"/>
        <v>0.32958230397716</v>
      </c>
      <c r="S70">
        <f ca="1" t="shared" ref="S70:S75" si="61">O70*(1+P70)*(1+Q70)*(1-R70)</f>
        <v>270219.877362011</v>
      </c>
      <c r="T70">
        <f t="shared" si="31"/>
        <v>0.8</v>
      </c>
      <c r="U70">
        <f ca="1" t="shared" si="48"/>
        <v>1.7995442148</v>
      </c>
      <c r="V70">
        <f ca="1" t="shared" ref="V70:V75" si="62">S70*T70*(1+U70)</f>
        <v>605193.995514228</v>
      </c>
      <c r="W70">
        <f ca="1">IF(G70="恒定伤害",0,MIN(1,IF(COUNTIF(F70,"*内会*")&gt;0,内会,IF(D70="轻剑",$Y$2,$Y$3)+COUNTIF(G70,"*莺鸣*")*0.2+COUNTIF(G70,"*叠1*")*0.1+COUNTIF(G70,"*叠2*")*0.2+COUNTIF(G70,"*叠3*")*0.3)+IFERROR(INDEX(技能数据库!$T$2:$W$27,MATCH(E70,技能数据库!$T$2:$T$27,0),2),0)+IF((IF(D70="轻剑",$AO$2,$AO$3)+INT(COUNTIF(G70,"*大莺鸣*")*IF(D70="轻剑",$AM$2,$AM$3)*听晓无双率)/无双系数)&gt;0.9,特效裤子会心/会心系数,0)))</f>
        <v>0.9343</v>
      </c>
      <c r="X70">
        <f ca="1">IF(G70="恒定伤害",0,IF(COUNTIF(F70,"*内会*")&gt;0,内会效,IF(D70="轻剑",$AB$2,$AB$3))+IFERROR(INDEX(技能数据库!$T$2:$W$27,MATCH(E70,技能数据库!$T$2:$T$27,0),3)/1024,0))+COUNTIF(G70,"*叠1*")*0.25+COUNTIF(G70,"*叠2*")*0.5+COUNTIF(G70,"*叠3*")*0.75</f>
        <v>2.3156473116</v>
      </c>
      <c r="Y70">
        <f ca="1" t="shared" ref="Y70:Y75" si="63">1+W70*(X70-1)</f>
        <v>2.22920928322788</v>
      </c>
      <c r="Z70">
        <f t="shared" si="49"/>
        <v>0.150390625</v>
      </c>
      <c r="AA70">
        <f ca="1" t="shared" ref="AA70:AA75" si="64">IF(D70="轻剑",$BA$2,$BA$3)/1024</f>
        <v>0.0205078125</v>
      </c>
      <c r="AB70">
        <f ca="1" t="shared" ref="AB70:AB75" si="65">V70*Y70*(1+Z70)*(1+AA70)</f>
        <v>1583824.7345421</v>
      </c>
      <c r="AC70" s="171">
        <f ca="1">$AC$12*MIN(1,0.3+$Y$2+0.2)</f>
        <v>0</v>
      </c>
      <c r="AD70" s="164">
        <f ca="1" t="shared" si="36"/>
        <v>0</v>
      </c>
      <c r="AE70" s="168">
        <f ca="1" t="shared" si="6"/>
        <v>0.00407596517188402</v>
      </c>
      <c r="AF70" s="168">
        <f ca="1" t="shared" si="50"/>
        <v>0.00461594346388575</v>
      </c>
      <c r="AG70">
        <f ca="1" t="shared" si="8"/>
        <v>0.00347682719504561</v>
      </c>
      <c r="AH70">
        <f ca="1" t="shared" si="51"/>
        <v>1.00331528112937</v>
      </c>
      <c r="AI70">
        <f ca="1" t="shared" si="52"/>
        <v>1.00016101226475</v>
      </c>
      <c r="AJ70">
        <f ca="1" t="shared" si="53"/>
        <v>0</v>
      </c>
      <c r="AK70" s="171">
        <f ca="1">$AC$12*MIN(1,0.3+$Y$2+0.2+((delta身法+INT((IF(D52="轻剑",$N$2,$N$3))/1024*delta身法))*身法转基础会心/会心系数))</f>
        <v>0</v>
      </c>
      <c r="AL70">
        <f ca="1" t="shared" si="54"/>
        <v>0</v>
      </c>
      <c r="AM70" s="171">
        <f ca="1">$AC$12*MIN(1,0.3+$Y$2+0.2+delta会心/会心系数)</f>
        <v>0</v>
      </c>
      <c r="AN70" s="168">
        <f ca="1" t="shared" si="55"/>
        <v>0.00841753350912167</v>
      </c>
      <c r="AO70" s="168">
        <f ca="1" t="shared" si="56"/>
        <v>0.00447057613551372</v>
      </c>
      <c r="AP70" s="172">
        <f ca="1" t="shared" si="57"/>
        <v>0</v>
      </c>
      <c r="AQ70" s="168">
        <f ca="1" t="shared" si="58"/>
        <v>0.00401583628616287</v>
      </c>
      <c r="AR70">
        <f t="shared" si="21"/>
        <v>1</v>
      </c>
    </row>
    <row r="71" spans="4:44">
      <c r="D71" t="s">
        <v>1028</v>
      </c>
      <c r="E71" t="s">
        <v>2723</v>
      </c>
      <c r="G71" t="s">
        <v>3014</v>
      </c>
      <c r="H71">
        <f ca="1">INDEX(技能数据库!$B$2:$I$100,MATCH(伤害与收益计算!$E71,技能数据库!$B$2:$B$100,0),MATCH(H$9,技能数据库!$B$2:$I$2,0))</f>
        <v>143</v>
      </c>
      <c r="I71">
        <f ca="1">INDEX(技能数据库!$B$2:$I$100,MATCH(伤害与收益计算!$E71,技能数据库!$B$2:$B$100,0),MATCH(I$9,技能数据库!$B$2:$I$2,0))</f>
        <v>2.53125</v>
      </c>
      <c r="J71">
        <f ca="1">INDEX(技能数据库!$B$2:$I$100,MATCH(伤害与收益计算!$E71,技能数据库!$B$2:$B$100,0),MATCH(J$9,技能数据库!$B$2:$I$2,0))</f>
        <v>2</v>
      </c>
      <c r="K71">
        <f ca="1">INDEX(技能数据库!$B$2:$I$100,MATCH(伤害与收益计算!$E71,技能数据库!$B$2:$B$100,0),MATCH(K$9,技能数据库!$B$2:$I$2,0))</f>
        <v>0</v>
      </c>
      <c r="L71">
        <f ca="1" t="shared" si="0"/>
        <v>105847</v>
      </c>
      <c r="M71">
        <f ca="1" t="shared" si="59"/>
        <v>12694.5</v>
      </c>
      <c r="N71">
        <f ca="1" t="shared" si="60"/>
        <v>92028</v>
      </c>
      <c r="O71">
        <f ca="1" t="shared" si="45"/>
        <v>293457.21875</v>
      </c>
      <c r="P71">
        <f ca="1">IF(G71="恒定伤害",0,(IF(D71="轻剑",$AZ$2,$AZ$3)+IFERROR(INDEX(技能数据库!$T$2:$W$27,MATCH(E71,技能数据库!$T$2:$T$27,0),4),0)+COUNTIF(G71,"*造化2*")*154+COUNTIF(G71,"*造化1*")*102+COUNTIF(G71,"*碧归*")*307)/1024)</f>
        <v>0.0772587719297852</v>
      </c>
      <c r="Q71">
        <f ca="1" t="shared" si="46"/>
        <v>0.448284482196154</v>
      </c>
      <c r="R71">
        <f ca="1" t="shared" si="47"/>
        <v>0.21277697966198</v>
      </c>
      <c r="S71">
        <f ca="1" t="shared" si="61"/>
        <v>360426.321278169</v>
      </c>
      <c r="T71">
        <f t="shared" si="31"/>
        <v>0.8</v>
      </c>
      <c r="U71">
        <f ca="1" t="shared" si="48"/>
        <v>1.7995442148</v>
      </c>
      <c r="V71">
        <f ca="1" t="shared" si="62"/>
        <v>807223.538076754</v>
      </c>
      <c r="W71">
        <f ca="1">IF(G71="恒定伤害",0,MIN(1,IF(COUNTIF(F71,"*内会*")&gt;0,内会,IF(D71="轻剑",$Y$2,$Y$3)+COUNTIF(G71,"*莺鸣*")*0.2+COUNTIF(G71,"*叠1*")*0.1+COUNTIF(G71,"*叠2*")*0.2+COUNTIF(G71,"*叠3*")*0.3)+IFERROR(INDEX(技能数据库!$T$2:$W$27,MATCH(E71,技能数据库!$T$2:$T$27,0),2),0)+IF((IF(D71="轻剑",$AO$2,$AO$3)+INT(COUNTIF(G71,"*大莺鸣*")*IF(D71="轻剑",$AM$2,$AM$3)*听晓无双率)/无双系数)&gt;0.9,特效裤子会心/会心系数,0)))</f>
        <v>0.9343</v>
      </c>
      <c r="X71">
        <f ca="1">IF(G71="恒定伤害",0,IF(COUNTIF(F71,"*内会*")&gt;0,内会效,IF(D71="轻剑",$AB$2,$AB$3))+IFERROR(INDEX(技能数据库!$T$2:$W$27,MATCH(E71,技能数据库!$T$2:$T$27,0),3)/1024,0))+COUNTIF(G71,"*叠1*")*0.25+COUNTIF(G71,"*叠2*")*0.5+COUNTIF(G71,"*叠3*")*0.75</f>
        <v>2.3156473116</v>
      </c>
      <c r="Y71">
        <f ca="1" t="shared" si="63"/>
        <v>2.22920928322788</v>
      </c>
      <c r="Z71">
        <f t="shared" si="49"/>
        <v>0.150390625</v>
      </c>
      <c r="AA71">
        <f ca="1" t="shared" si="64"/>
        <v>0.0205078125</v>
      </c>
      <c r="AB71">
        <f ca="1" t="shared" si="65"/>
        <v>2112546.74598055</v>
      </c>
      <c r="AC71" s="171">
        <f ca="1">$AC$13*MIN(1,0.3+$Y$2+0.2)</f>
        <v>0</v>
      </c>
      <c r="AD71" s="164">
        <f ca="1" t="shared" si="36"/>
        <v>0</v>
      </c>
      <c r="AE71" s="168">
        <f ca="1" t="shared" si="6"/>
        <v>0.00427830675063263</v>
      </c>
      <c r="AF71" s="168">
        <f ca="1" t="shared" si="50"/>
        <v>0.0040636246914611</v>
      </c>
      <c r="AG71">
        <f ca="1" t="shared" si="8"/>
        <v>0.00308007475511274</v>
      </c>
      <c r="AH71">
        <f ca="1" t="shared" si="51"/>
        <v>1.00291859256117</v>
      </c>
      <c r="AI71">
        <f ca="1" t="shared" si="52"/>
        <v>1.00016101226475</v>
      </c>
      <c r="AJ71">
        <f ca="1" t="shared" si="53"/>
        <v>0</v>
      </c>
      <c r="AK71" s="171">
        <f ca="1">$AC$13*MIN(1,0.3+$Y$2+0.2+((delta身法+INT((IF(D52="轻剑",$N$2,$N$3))/1024*delta身法))*身法转基础会心/会心系数))</f>
        <v>0</v>
      </c>
      <c r="AL71">
        <f ca="1" t="shared" si="54"/>
        <v>0</v>
      </c>
      <c r="AM71" s="171">
        <f ca="1">$AC$13*MIN(1,0.3+$Y$2+0.2+delta会心/会心系数)</f>
        <v>0</v>
      </c>
      <c r="AN71" s="168">
        <f ca="1" t="shared" si="55"/>
        <v>0.00841753350912167</v>
      </c>
      <c r="AO71" s="168">
        <f ca="1" t="shared" si="56"/>
        <v>0.00447057613551372</v>
      </c>
      <c r="AP71" s="172">
        <f ca="1" t="shared" si="57"/>
        <v>0</v>
      </c>
      <c r="AQ71" s="168">
        <f ca="1" t="shared" si="58"/>
        <v>0.00401583628616287</v>
      </c>
      <c r="AR71">
        <f t="shared" si="21"/>
        <v>1</v>
      </c>
    </row>
    <row r="72" spans="4:44">
      <c r="D72" t="s">
        <v>1825</v>
      </c>
      <c r="E72" t="s">
        <v>2768</v>
      </c>
      <c r="G72" t="s">
        <v>3090</v>
      </c>
      <c r="H72">
        <f ca="1">INDEX(技能数据库!$B$2:$I$100,MATCH(伤害与收益计算!$E72,技能数据库!$B$2:$B$100,0),MATCH(H$9,技能数据库!$B$2:$I$2,0))</f>
        <v>210</v>
      </c>
      <c r="I72">
        <f ca="1">INDEX(技能数据库!$B$2:$I$100,MATCH(伤害与收益计算!$E72,技能数据库!$B$2:$B$100,0),MATCH(I$9,技能数据库!$B$2:$I$2,0))</f>
        <v>5.7875</v>
      </c>
      <c r="J72">
        <f ca="1">INDEX(技能数据库!$B$2:$I$100,MATCH(伤害与收益计算!$E72,技能数据库!$B$2:$B$100,0),MATCH(J$9,技能数据库!$B$2:$I$2,0))</f>
        <v>2</v>
      </c>
      <c r="K72">
        <f ca="1">INDEX(技能数据库!$B$2:$I$100,MATCH(伤害与收益计算!$E72,技能数据库!$B$2:$B$100,0),MATCH(K$9,技能数据库!$B$2:$I$2,0))</f>
        <v>0</v>
      </c>
      <c r="L72">
        <f ca="1" t="shared" si="0"/>
        <v>105847</v>
      </c>
      <c r="M72">
        <f ca="1" t="shared" si="59"/>
        <v>19530.5</v>
      </c>
      <c r="N72">
        <f ca="1" t="shared" si="60"/>
        <v>92028</v>
      </c>
      <c r="O72">
        <f ca="1" t="shared" si="45"/>
        <v>651860.5125</v>
      </c>
      <c r="P72">
        <f ca="1">IF(G72="恒定伤害",0,(IF(D72="轻剑",$AZ$2,$AZ$3)+IFERROR(INDEX(技能数据库!$T$2:$W$27,MATCH(E72,技能数据库!$T$2:$T$27,0),4),0)+COUNTIF(G72,"*造化2*")*154+COUNTIF(G72,"*造化1*")*102+COUNTIF(G72,"*碧归*")*307)/1024)</f>
        <v>0.747180646929785</v>
      </c>
      <c r="Q72">
        <f ca="1" t="shared" si="46"/>
        <v>0.448284482196154</v>
      </c>
      <c r="R72">
        <f ca="1" t="shared" si="47"/>
        <v>0.21277697966198</v>
      </c>
      <c r="S72">
        <f ca="1" t="shared" si="61"/>
        <v>1298506.55725373</v>
      </c>
      <c r="T72">
        <f t="shared" si="31"/>
        <v>0.8</v>
      </c>
      <c r="U72">
        <f ca="1" t="shared" si="48"/>
        <v>2.68954760480339</v>
      </c>
      <c r="V72">
        <f ca="1" t="shared" si="62"/>
        <v>3832721.4065096</v>
      </c>
      <c r="W72">
        <f ca="1">IF(G72="恒定伤害",0,MIN(1,IF(COUNTIF(F72,"*内会*")&gt;0,内会,IF(D72="轻剑",$Y$2,$Y$3)+COUNTIF(G72,"*莺鸣*")*0.2+COUNTIF(G72,"*叠1*")*0.1+COUNTIF(G72,"*叠2*")*0.2+COUNTIF(G72,"*叠3*")*0.3)+IFERROR(INDEX(技能数据库!$T$2:$W$27,MATCH(E72,技能数据库!$T$2:$T$27,0),2),0)+IF((IF(D72="轻剑",$AO$2,$AO$3)+INT(COUNTIF(G72,"*大莺鸣*")*IF(D72="轻剑",$AM$2,$AM$3)*听晓无双率)/无双系数)&gt;0.9,特效裤子会心/会心系数,0)))</f>
        <v>0.9343</v>
      </c>
      <c r="X72">
        <f ca="1">IF(G72="恒定伤害",0,IF(COUNTIF(F72,"*内会*")&gt;0,内会效,IF(D72="轻剑",$AB$2,$AB$3))+IFERROR(INDEX(技能数据库!$T$2:$W$27,MATCH(E72,技能数据库!$T$2:$T$27,0),3)/1024,0))+COUNTIF(G72,"*叠1*")*0.25+COUNTIF(G72,"*叠2*")*0.5+COUNTIF(G72,"*叠3*")*0.75</f>
        <v>2.3156473116</v>
      </c>
      <c r="Y72">
        <f ca="1" t="shared" si="63"/>
        <v>2.22920928322788</v>
      </c>
      <c r="Z72">
        <f t="shared" si="49"/>
        <v>0.150390625</v>
      </c>
      <c r="AA72">
        <f ca="1" t="shared" si="64"/>
        <v>0.0205078125</v>
      </c>
      <c r="AB72">
        <f ca="1" t="shared" si="65"/>
        <v>10030434.8840754</v>
      </c>
      <c r="AC72">
        <f ca="1">技能数计算!AJ64</f>
        <v>0</v>
      </c>
      <c r="AD72" s="164">
        <f ca="1" t="shared" ref="AD72:AD78" si="66">IFERROR(AB72*AC72/$AD$7,0)</f>
        <v>0</v>
      </c>
      <c r="AE72" s="168">
        <f ca="1" t="shared" si="6"/>
        <v>0.00440370285506441</v>
      </c>
      <c r="AF72" s="168">
        <f ca="1" t="shared" si="50"/>
        <v>0.00182937910355477</v>
      </c>
      <c r="AG72">
        <f ca="1" t="shared" si="8"/>
        <v>0.00316563174908713</v>
      </c>
      <c r="AH72">
        <f ca="1" t="shared" si="51"/>
        <v>1.00300413578163</v>
      </c>
      <c r="AI72">
        <f ca="1" t="shared" si="52"/>
        <v>1.00016101226475</v>
      </c>
      <c r="AJ72">
        <f ca="1" t="shared" si="53"/>
        <v>0</v>
      </c>
      <c r="AK72">
        <f ca="1" t="shared" si="18"/>
        <v>0</v>
      </c>
      <c r="AL72">
        <f ca="1" t="shared" si="54"/>
        <v>0</v>
      </c>
      <c r="AM72">
        <f ca="1" t="shared" si="19"/>
        <v>0</v>
      </c>
      <c r="AN72" s="168">
        <f ca="1" t="shared" si="55"/>
        <v>0.00841753350912167</v>
      </c>
      <c r="AO72" s="168">
        <f ca="1" t="shared" si="56"/>
        <v>0.00447057613551372</v>
      </c>
      <c r="AP72" s="172">
        <f ca="1" t="shared" si="57"/>
        <v>0</v>
      </c>
      <c r="AQ72" s="168">
        <f ca="1" t="shared" si="58"/>
        <v>0.00393951131463699</v>
      </c>
      <c r="AR72">
        <f t="shared" si="21"/>
        <v>1</v>
      </c>
    </row>
    <row r="73" spans="4:44">
      <c r="D73" t="s">
        <v>1825</v>
      </c>
      <c r="E73" t="s">
        <v>2794</v>
      </c>
      <c r="G73" t="s">
        <v>3092</v>
      </c>
      <c r="H73">
        <f ca="1">INDEX(技能数据库!$B$2:$I$100,MATCH(伤害与收益计算!$E73,技能数据库!$B$2:$B$100,0),MATCH(H$9,技能数据库!$B$2:$I$2,0))</f>
        <v>231.5</v>
      </c>
      <c r="I73">
        <f ca="1">INDEX(技能数据库!$B$2:$I$100,MATCH(伤害与收益计算!$E73,技能数据库!$B$2:$B$100,0),MATCH(I$9,技能数据库!$B$2:$I$2,0))</f>
        <v>2.71875</v>
      </c>
      <c r="J73">
        <f ca="1">INDEX(技能数据库!$B$2:$I$100,MATCH(伤害与收益计算!$E73,技能数据库!$B$2:$B$100,0),MATCH(J$9,技能数据库!$B$2:$I$2,0))</f>
        <v>2</v>
      </c>
      <c r="K73">
        <f ca="1">INDEX(技能数据库!$B$2:$I$100,MATCH(伤害与收益计算!$E73,技能数据库!$B$2:$B$100,0),MATCH(K$9,技能数据库!$B$2:$I$2,0))</f>
        <v>0</v>
      </c>
      <c r="L73">
        <f ca="1" t="shared" si="0"/>
        <v>105847</v>
      </c>
      <c r="M73">
        <f ca="1" t="shared" si="59"/>
        <v>19530.5</v>
      </c>
      <c r="N73">
        <f ca="1" t="shared" si="60"/>
        <v>92028</v>
      </c>
      <c r="O73">
        <f ca="1" t="shared" si="45"/>
        <v>327064.03125</v>
      </c>
      <c r="P73">
        <f ca="1">IF(G73="恒定伤害",0,(IF(D73="轻剑",$AZ$2,$AZ$3)+IFERROR(INDEX(技能数据库!$T$2:$W$27,MATCH(E73,技能数据库!$T$2:$T$27,0),4),0)+COUNTIF(G73,"*造化2*")*154+COUNTIF(G73,"*造化1*")*102+COUNTIF(G73,"*碧归*")*307)/1024)</f>
        <v>0.596790021929785</v>
      </c>
      <c r="Q73">
        <f ca="1" t="shared" si="46"/>
        <v>0.448284482196154</v>
      </c>
      <c r="R73">
        <f ca="1" t="shared" si="47"/>
        <v>0.21277697966198</v>
      </c>
      <c r="S73">
        <f ca="1" t="shared" si="61"/>
        <v>595432.119746968</v>
      </c>
      <c r="T73">
        <f t="shared" si="31"/>
        <v>0.8</v>
      </c>
      <c r="U73">
        <f ca="1" t="shared" si="48"/>
        <v>2.68954760480339</v>
      </c>
      <c r="V73">
        <f ca="1" t="shared" si="62"/>
        <v>1757500.12098834</v>
      </c>
      <c r="W73">
        <f ca="1">IF(G73="恒定伤害",0,MIN(1,IF(COUNTIF(F73,"*内会*")&gt;0,内会,IF(D73="轻剑",$Y$2,$Y$3)+COUNTIF(G73,"*莺鸣*")*0.2+COUNTIF(G73,"*叠1*")*0.1+COUNTIF(G73,"*叠2*")*0.2+COUNTIF(G73,"*叠3*")*0.3)+IFERROR(INDEX(技能数据库!$T$2:$W$27,MATCH(E73,技能数据库!$T$2:$T$27,0),2),0)+IF((IF(D73="轻剑",$AO$2,$AO$3)+INT(COUNTIF(G73,"*大莺鸣*")*IF(D73="轻剑",$AM$2,$AM$3)*听晓无双率)/无双系数)&gt;0.9,特效裤子会心/会心系数,0)))</f>
        <v>0.9343</v>
      </c>
      <c r="X73">
        <f ca="1">IF(G73="恒定伤害",0,IF(COUNTIF(F73,"*内会*")&gt;0,内会效,IF(D73="轻剑",$AB$2,$AB$3))+IFERROR(INDEX(技能数据库!$T$2:$W$27,MATCH(E73,技能数据库!$T$2:$T$27,0),3)/1024,0))+COUNTIF(G73,"*叠1*")*0.25+COUNTIF(G73,"*叠2*")*0.5+COUNTIF(G73,"*叠3*")*0.75</f>
        <v>2.3156473116</v>
      </c>
      <c r="Y73">
        <f ca="1" t="shared" si="63"/>
        <v>2.22920928322788</v>
      </c>
      <c r="Z73">
        <f t="shared" si="49"/>
        <v>0.150390625</v>
      </c>
      <c r="AA73">
        <f ca="1" t="shared" si="64"/>
        <v>0.0205078125</v>
      </c>
      <c r="AB73">
        <f ca="1" t="shared" si="65"/>
        <v>4599470.885723</v>
      </c>
      <c r="AC73">
        <f ca="1">技能数计算!AJ65</f>
        <v>0</v>
      </c>
      <c r="AD73" s="164">
        <f ca="1" t="shared" si="66"/>
        <v>0</v>
      </c>
      <c r="AE73" s="168">
        <f ca="1" t="shared" si="6"/>
        <v>0.00412304585999932</v>
      </c>
      <c r="AF73" s="168">
        <f ca="1" t="shared" si="50"/>
        <v>0.00364607503748549</v>
      </c>
      <c r="AG73">
        <f ca="1" t="shared" si="8"/>
        <v>0.00297414120044159</v>
      </c>
      <c r="AH73">
        <f ca="1" t="shared" si="51"/>
        <v>1.00281267606035</v>
      </c>
      <c r="AI73">
        <f ca="1" t="shared" si="52"/>
        <v>1.00016101226475</v>
      </c>
      <c r="AJ73">
        <f ca="1" t="shared" si="53"/>
        <v>0</v>
      </c>
      <c r="AK73">
        <f ca="1" t="shared" si="18"/>
        <v>0</v>
      </c>
      <c r="AL73">
        <f ca="1" t="shared" si="54"/>
        <v>0</v>
      </c>
      <c r="AM73">
        <f ca="1" t="shared" si="19"/>
        <v>0</v>
      </c>
      <c r="AN73" s="168">
        <f ca="1" t="shared" si="55"/>
        <v>0.00841753350912167</v>
      </c>
      <c r="AO73" s="168">
        <f ca="1" t="shared" si="56"/>
        <v>0.00447057613551372</v>
      </c>
      <c r="AP73" s="172">
        <f ca="1" t="shared" si="57"/>
        <v>0</v>
      </c>
      <c r="AQ73" s="168">
        <f ca="1" t="shared" si="58"/>
        <v>0.00393951131463699</v>
      </c>
      <c r="AR73">
        <f t="shared" si="21"/>
        <v>1</v>
      </c>
    </row>
    <row r="74" spans="4:44">
      <c r="D74" t="s">
        <v>1825</v>
      </c>
      <c r="E74" t="s">
        <v>2776</v>
      </c>
      <c r="G74" t="s">
        <v>3093</v>
      </c>
      <c r="H74">
        <f ca="1">INDEX(技能数据库!$B$2:$I$100,MATCH(伤害与收益计算!$E74,技能数据库!$B$2:$B$100,0),MATCH(H$9,技能数据库!$B$2:$I$2,0))</f>
        <v>281.5</v>
      </c>
      <c r="I74">
        <f ca="1">INDEX(技能数据库!$B$2:$I$100,MATCH(伤害与收益计算!$E74,技能数据库!$B$2:$B$100,0),MATCH(I$9,技能数据库!$B$2:$I$2,0))</f>
        <v>7.06875</v>
      </c>
      <c r="J74">
        <f ca="1">INDEX(技能数据库!$B$2:$I$100,MATCH(伤害与收益计算!$E74,技能数据库!$B$2:$B$100,0),MATCH(J$9,技能数据库!$B$2:$I$2,0))</f>
        <v>2</v>
      </c>
      <c r="K74">
        <f ca="1">INDEX(技能数据库!$B$2:$I$100,MATCH(伤害与收益计算!$E74,技能数据库!$B$2:$B$100,0),MATCH(K$9,技能数据库!$B$2:$I$2,0))</f>
        <v>0</v>
      </c>
      <c r="L74">
        <f ca="1" t="shared" ref="L74:L137" si="67">IF(D74="轻剑",$V$2,$V$3)+INT(残雪*(COUNTIF(G74,"*莺鸣*")+COUNTIF(G74,"*叠1*")+COUNTIF(G74,"*叠2*")*2+COUNTIF(G74,"*叠3*")*3)*IF(D74="轻剑",$U$2,$U$3)*154/1024+COUNTIF(G74,"*雾锁*")*205/1024*IF(D74="轻剑",$U$2,$U$3))</f>
        <v>105847</v>
      </c>
      <c r="M74">
        <f ca="1" t="shared" si="59"/>
        <v>19530.5</v>
      </c>
      <c r="N74">
        <f ca="1" t="shared" si="60"/>
        <v>92028</v>
      </c>
      <c r="O74">
        <f ca="1" t="shared" ref="O74:O80" si="68">H74+I74*L74+J74*M74+IF(K74&gt;0,MAX(1,K74*N74*破招全局系数),0)</f>
        <v>787548.48125</v>
      </c>
      <c r="P74">
        <f ca="1">IF(G74="恒定伤害",0,(IF(D74="轻剑",$AZ$2,$AZ$3)+IFERROR(INDEX(技能数据库!$T$2:$W$27,MATCH(E74,技能数据库!$T$2:$T$27,0),4),0)+COUNTIF(G74,"*造化2*")*154+COUNTIF(G74,"*造化1*")*102+COUNTIF(G74,"*碧归*")*307)/1024)</f>
        <v>0.697375959429785</v>
      </c>
      <c r="Q74">
        <f ca="1" t="shared" ref="Q74:Q105" si="69">IF(G74="恒定伤害",0,(IF(COUNTIF(F74,"*内破*")&gt;0,内破,IF(D74="轻剑",$AF$2,$AF$3)/破防系数))+IF((IF(D74="轻剑",$AO$2,$AO$3)+INT(COUNTIF(G74,"*大莺鸣*")*IF(D74="轻剑",$AM$2,$AM$3)*听晓无双率)/无双系数)&gt;0.9,(特效裤子破防+特效裤子破防*IF(D74="轻剑",$AD$2,$AD$3)/1024)/破防系数,0))</f>
        <v>0.448284482196154</v>
      </c>
      <c r="R74">
        <f ca="1" t="shared" ref="R74:R89" si="70">IF(G74="恒定伤害",0,(($F$5-IF(D74="轻剑",$BB$2,$BB$3))*(1024-IF(D74="轻剑",$BD$2,$BD$3))/1024*(1024-IF(D74="轻剑",$BC$2,$BC$3)-COUNTIF(G74,"*雾锁*")*461*雾锁)/1024/(($F$5-IF(D74="轻剑",$BB$2,$BB$3))*(1024-IF(D74="轻剑",$BD$2,$BD$3))/1024*(1024-IF(D74="轻剑",$BC$2,$BC$3)-COUNTIF(G74,"*雾锁*")*461*雾锁)/1024+$F$7)))</f>
        <v>0.21277697966198</v>
      </c>
      <c r="S74">
        <f ca="1" t="shared" si="61"/>
        <v>1524077.34686146</v>
      </c>
      <c r="T74">
        <f t="shared" si="31"/>
        <v>0.8</v>
      </c>
      <c r="U74">
        <f ca="1" t="shared" ref="U74:U105" si="71">IF(G74="恒定伤害",0,(IF(D74="轻剑",$AO$2,$AO$3)+INT(COUNTIF(G74,"*大莺鸣*")*IF(D74="轻剑",$AM$2,$AM$3)*听晓无双率)/无双系数)+IF((IF(D74="轻剑",$AO$2,$AO$3)+INT(COUNTIF(G74,"*大莺鸣*")*IF(D74="轻剑",$AM$2,$AM$3)*听晓无双率)/无双系数)&lt;=0.9,特效裤子无双,0))</f>
        <v>2.68954760480339</v>
      </c>
      <c r="V74">
        <f ca="1" t="shared" si="62"/>
        <v>4498524.73971824</v>
      </c>
      <c r="W74">
        <f ca="1">IF(G74="恒定伤害",0,MIN(1,IF(COUNTIF(F74,"*内会*")&gt;0,内会,IF(D74="轻剑",$Y$2,$Y$3)+COUNTIF(G74,"*莺鸣*")*0.2+COUNTIF(G74,"*叠1*")*0.1+COUNTIF(G74,"*叠2*")*0.2+COUNTIF(G74,"*叠3*")*0.3)+IFERROR(INDEX(技能数据库!$T$2:$W$27,MATCH(E74,技能数据库!$T$2:$T$27,0),2),0)+IF((IF(D74="轻剑",$AO$2,$AO$3)+INT(COUNTIF(G74,"*大莺鸣*")*IF(D74="轻剑",$AM$2,$AM$3)*听晓无双率)/无双系数)&gt;0.9,特效裤子会心/会心系数,0)))</f>
        <v>0.9343</v>
      </c>
      <c r="X74">
        <f ca="1">IF(G74="恒定伤害",0,IF(COUNTIF(F74,"*内会*")&gt;0,内会效,IF(D74="轻剑",$AB$2,$AB$3))+IFERROR(INDEX(技能数据库!$T$2:$W$27,MATCH(E74,技能数据库!$T$2:$T$27,0),3)/1024,0))+COUNTIF(G74,"*叠1*")*0.25+COUNTIF(G74,"*叠2*")*0.5+COUNTIF(G74,"*叠3*")*0.75</f>
        <v>2.3156473116</v>
      </c>
      <c r="Y74">
        <f ca="1" t="shared" si="63"/>
        <v>2.22920928322788</v>
      </c>
      <c r="Z74">
        <f t="shared" ref="Z74:Z81" si="72">IF(G74="恒定伤害",0,非侠士伤害/1024)</f>
        <v>0.150390625</v>
      </c>
      <c r="AA74">
        <f ca="1" t="shared" si="64"/>
        <v>0.0205078125</v>
      </c>
      <c r="AB74">
        <f ca="1" t="shared" si="65"/>
        <v>11772877.4649546</v>
      </c>
      <c r="AC74">
        <f ca="1">技能数计算!AJ66</f>
        <v>0</v>
      </c>
      <c r="AD74" s="164">
        <f ca="1" t="shared" si="66"/>
        <v>0</v>
      </c>
      <c r="AE74" s="168">
        <f ca="1" t="shared" ref="AE74:AE137" si="73">IFERROR((delta攻击+INT((IF(D74="轻剑",$T$2,$T$3)+残雪*(COUNTIF(G74,"*莺鸣*")+COUNTIF(G74,"*叠1*")+COUNTIF(G74,"*叠2*")*2+COUNTIF(G74,"*叠3*")*3)*153+COUNTIF(G74,"*雾锁*")*205)/1024*delta攻击))*I74/O74,0)</f>
        <v>0.00445191640067048</v>
      </c>
      <c r="AF74" s="168">
        <f ca="1" t="shared" si="50"/>
        <v>0.00151419249530805</v>
      </c>
      <c r="AG74">
        <f ca="1" t="shared" ref="AG74:AG82" si="74">IF(G74="恒定伤害",0,MAX(0,AH74*AI74*IF(AJ74=0,1,AJ74)-1))</f>
        <v>0.00319852755593519</v>
      </c>
      <c r="AH74">
        <f ca="1" t="shared" ref="AH74:AH80" si="75">IFERROR((delta身法+INT((IF(D74="轻剑",$N$2,$N$3))/1024*delta身法))*身法转额外攻击*I74/O74+1,0)</f>
        <v>1.0030370262927</v>
      </c>
      <c r="AI74">
        <f ca="1" t="shared" ref="AI74:AI80" si="76">IFERROR(((delta身法+INT((IF(D74="轻剑",$N$2,$N$3))/1024*delta身法))*身法转额外破防/破防系数+Q74+1)/(1+Q74),0)</f>
        <v>1.00016101226475</v>
      </c>
      <c r="AJ74">
        <f ca="1" t="shared" ref="AJ74:AJ80" si="77">IFERROR(((1+MIN(1,((delta身法+INT((IF(D74="轻剑",$N$2,$N$3))/1024*delta身法))*身法转基础会心/会心系数)+W74)*(X74-1))*AK74)/(Y74*AC74),0)</f>
        <v>0</v>
      </c>
      <c r="AK74">
        <f ca="1" t="shared" si="18"/>
        <v>0</v>
      </c>
      <c r="AL74">
        <f ca="1" t="shared" ref="AL74:AL105" si="78">IF(G74="恒定伤害",0,IFERROR(((1+MIN(1,W74+delta会心/会心系数)*(X74-1))*AM74)/(Y74*AC74)-1,0))</f>
        <v>0</v>
      </c>
      <c r="AM74">
        <f ca="1" t="shared" si="19"/>
        <v>0</v>
      </c>
      <c r="AN74" s="168">
        <f ca="1" t="shared" ref="AN74:AN105" si="79">IF(OR(COUNTIF(F74,"*内会*")&gt;0,G74="恒定伤害"),0,(1+W74*(MIN(3+COUNTIF(G74,"*叠*")*0.75,X74+delta会效/会效系数)-1))/Y74-1)</f>
        <v>0.00841753350912167</v>
      </c>
      <c r="AO74" s="168">
        <f ca="1" t="shared" ref="AO74:AO105" si="80">IF(OR(COUNTIF(F74,"*内破*")&gt;0,G74="恒定伤害"),0,IFERROR(((delta破防+INT((IF(D74="轻剑",$AD$2,$AD$3))/1024*delta破防))/破防系数+Q74+1)/(Q74+1)-1,0))</f>
        <v>0.00447057613551372</v>
      </c>
      <c r="AP74" s="172">
        <f ca="1" t="shared" ref="AP74:AP80" si="81">IFERROR((delta破招+INT((IF(D74="轻剑",$AI$2,$AI$3))/1024*delta破招))*K74*破招全局系数/MAX(1,O74),0)</f>
        <v>0</v>
      </c>
      <c r="AQ74" s="168">
        <f ca="1" t="shared" ref="AQ74:AQ81" si="82">IF(G74="恒定伤害",0,IFERROR(((delta无双+INT((IF(D74="轻剑",$AL$2,$AL$3)+COUNTIF(G74,"*大莺鸣*")*307)/1024*delta无双))/无双系数+U74+1)/(U74+1)-1,0))</f>
        <v>0.00393951131463699</v>
      </c>
      <c r="AR74">
        <f t="shared" si="21"/>
        <v>1</v>
      </c>
    </row>
    <row r="75" spans="4:44">
      <c r="D75" t="s">
        <v>1825</v>
      </c>
      <c r="E75" t="s">
        <v>2780</v>
      </c>
      <c r="G75" t="s">
        <v>3093</v>
      </c>
      <c r="H75">
        <f ca="1">INDEX(技能数据库!$B$2:$I$100,MATCH(伤害与收益计算!$E75,技能数据库!$B$2:$B$100,0),MATCH(H$9,技能数据库!$B$2:$I$2,0))</f>
        <v>252.5</v>
      </c>
      <c r="I75">
        <f ca="1">INDEX(技能数据库!$B$2:$I$100,MATCH(伤害与收益计算!$E75,技能数据库!$B$2:$B$100,0),MATCH(I$9,技能数据库!$B$2:$I$2,0))</f>
        <v>2.11875</v>
      </c>
      <c r="J75">
        <f ca="1">INDEX(技能数据库!$B$2:$I$100,MATCH(伤害与收益计算!$E75,技能数据库!$B$2:$B$100,0),MATCH(J$9,技能数据库!$B$2:$I$2,0))</f>
        <v>2</v>
      </c>
      <c r="K75">
        <f ca="1">INDEX(技能数据库!$B$2:$I$100,MATCH(伤害与收益计算!$E75,技能数据库!$B$2:$B$100,0),MATCH(K$9,技能数据库!$B$2:$I$2,0))</f>
        <v>0</v>
      </c>
      <c r="L75">
        <f ca="1" t="shared" si="67"/>
        <v>105847</v>
      </c>
      <c r="M75">
        <f ca="1" t="shared" si="59"/>
        <v>19530.5</v>
      </c>
      <c r="N75">
        <f ca="1" t="shared" si="60"/>
        <v>92028</v>
      </c>
      <c r="O75">
        <f ca="1" t="shared" si="68"/>
        <v>263576.83125</v>
      </c>
      <c r="P75">
        <f ca="1">IF(G75="恒定伤害",0,(IF(D75="轻剑",$AZ$2,$AZ$3)+IFERROR(INDEX(技能数据库!$T$2:$W$27,MATCH(E75,技能数据库!$T$2:$T$27,0),4),0)+COUNTIF(G75,"*造化2*")*154+COUNTIF(G75,"*造化1*")*102+COUNTIF(G75,"*碧归*")*307)/1024)</f>
        <v>0.697375959429785</v>
      </c>
      <c r="Q75">
        <f ca="1" t="shared" si="69"/>
        <v>0.448284482196154</v>
      </c>
      <c r="R75">
        <f ca="1" t="shared" si="70"/>
        <v>0.21277697966198</v>
      </c>
      <c r="S75">
        <f ca="1" t="shared" si="61"/>
        <v>510078.410700573</v>
      </c>
      <c r="T75">
        <f t="shared" si="31"/>
        <v>0.8</v>
      </c>
      <c r="U75">
        <f ca="1" t="shared" si="71"/>
        <v>2.68954760480339</v>
      </c>
      <c r="V75">
        <f ca="1" t="shared" si="62"/>
        <v>1505566.86276978</v>
      </c>
      <c r="W75">
        <f ca="1">IF(G75="恒定伤害",0,MIN(1,IF(COUNTIF(F75,"*内会*")&gt;0,内会,IF(D75="轻剑",$Y$2,$Y$3)+COUNTIF(G75,"*莺鸣*")*0.2+COUNTIF(G75,"*叠1*")*0.1+COUNTIF(G75,"*叠2*")*0.2+COUNTIF(G75,"*叠3*")*0.3)+IFERROR(INDEX(技能数据库!$T$2:$W$27,MATCH(E75,技能数据库!$T$2:$T$27,0),2),0)+IF((IF(D75="轻剑",$AO$2,$AO$3)+INT(COUNTIF(G75,"*大莺鸣*")*IF(D75="轻剑",$AM$2,$AM$3)*听晓无双率)/无双系数)&gt;0.9,特效裤子会心/会心系数,0)))</f>
        <v>0.9343</v>
      </c>
      <c r="X75">
        <f ca="1">IF(G75="恒定伤害",0,IF(COUNTIF(F75,"*内会*")&gt;0,内会效,IF(D75="轻剑",$AB$2,$AB$3))+IFERROR(INDEX(技能数据库!$T$2:$W$27,MATCH(E75,技能数据库!$T$2:$T$27,0),3)/1024,0))+COUNTIF(G75,"*叠1*")*0.25+COUNTIF(G75,"*叠2*")*0.5+COUNTIF(G75,"*叠3*")*0.75</f>
        <v>2.3156473116</v>
      </c>
      <c r="Y75">
        <f ca="1" t="shared" si="63"/>
        <v>2.22920928322788</v>
      </c>
      <c r="Z75">
        <f t="shared" si="72"/>
        <v>0.150390625</v>
      </c>
      <c r="AA75">
        <f ca="1" t="shared" si="64"/>
        <v>0.0205078125</v>
      </c>
      <c r="AB75">
        <f ca="1" t="shared" si="65"/>
        <v>3940148.20774218</v>
      </c>
      <c r="AC75">
        <f ca="1">技能数计算!AJ67</f>
        <v>0</v>
      </c>
      <c r="AD75" s="164">
        <f ca="1" t="shared" si="66"/>
        <v>0</v>
      </c>
      <c r="AE75" s="168">
        <f ca="1" t="shared" si="73"/>
        <v>0.00398707274465726</v>
      </c>
      <c r="AF75" s="168">
        <f ca="1" t="shared" si="50"/>
        <v>0.00452429750499931</v>
      </c>
      <c r="AG75">
        <f ca="1" t="shared" si="74"/>
        <v>0.00288136757670965</v>
      </c>
      <c r="AH75">
        <f ca="1" t="shared" si="75"/>
        <v>1.0027199173719</v>
      </c>
      <c r="AI75">
        <f ca="1" t="shared" si="76"/>
        <v>1.00016101226475</v>
      </c>
      <c r="AJ75">
        <f ca="1" t="shared" si="77"/>
        <v>0</v>
      </c>
      <c r="AK75">
        <f ca="1" t="shared" ref="AK75:AK79" si="83">AC75</f>
        <v>0</v>
      </c>
      <c r="AL75">
        <f ca="1" t="shared" si="78"/>
        <v>0</v>
      </c>
      <c r="AM75">
        <f ca="1" t="shared" ref="AM75" si="84">AC75</f>
        <v>0</v>
      </c>
      <c r="AN75" s="168">
        <f ca="1" t="shared" si="79"/>
        <v>0.00841753350912167</v>
      </c>
      <c r="AO75" s="168">
        <f ca="1" t="shared" si="80"/>
        <v>0.00447057613551372</v>
      </c>
      <c r="AP75" s="172">
        <f ca="1" t="shared" si="81"/>
        <v>0</v>
      </c>
      <c r="AQ75" s="168">
        <f ca="1" t="shared" si="82"/>
        <v>0.00393951131463699</v>
      </c>
      <c r="AR75">
        <f t="shared" ref="AR75:AR92" si="85">IF($AR$8="综合属性收益",1,COUNTIF(D75,LEFT($AR$8,2)))</f>
        <v>1</v>
      </c>
    </row>
    <row r="76" spans="4:44">
      <c r="D76" t="s">
        <v>1028</v>
      </c>
      <c r="E76" t="s">
        <v>2723</v>
      </c>
      <c r="G76" t="s">
        <v>2750</v>
      </c>
      <c r="H76">
        <f ca="1">INDEX(技能数据库!$B$2:$I$100,MATCH(伤害与收益计算!$E76,技能数据库!$B$2:$B$100,0),MATCH(H$9,技能数据库!$B$2:$I$2,0))</f>
        <v>143</v>
      </c>
      <c r="I76">
        <f ca="1">INDEX(技能数据库!$B$2:$I$100,MATCH(伤害与收益计算!$E76,技能数据库!$B$2:$B$100,0),MATCH(I$9,技能数据库!$B$2:$I$2,0))</f>
        <v>2.53125</v>
      </c>
      <c r="J76">
        <f ca="1">INDEX(技能数据库!$B$2:$I$100,MATCH(伤害与收益计算!$E76,技能数据库!$B$2:$B$100,0),MATCH(J$9,技能数据库!$B$2:$I$2,0))</f>
        <v>2</v>
      </c>
      <c r="K76">
        <f ca="1">INDEX(技能数据库!$B$2:$I$100,MATCH(伤害与收益计算!$E76,技能数据库!$B$2:$B$100,0),MATCH(K$9,技能数据库!$B$2:$I$2,0))</f>
        <v>0</v>
      </c>
      <c r="L76">
        <f ca="1" t="shared" si="67"/>
        <v>105847</v>
      </c>
      <c r="M76">
        <f ca="1" t="shared" ref="M76:M78" si="86">IF(D76="轻剑",$AU$2+$AV$2,$AU$3+$AV$3)/2</f>
        <v>12694.5</v>
      </c>
      <c r="N76">
        <f ca="1" t="shared" ref="N76:N78" si="87">IF(D76="轻剑",$AJ$2,$AJ$3)</f>
        <v>92028</v>
      </c>
      <c r="O76">
        <f ca="1" t="shared" si="68"/>
        <v>293457.21875</v>
      </c>
      <c r="P76">
        <f ca="1">IF(G76="恒定伤害",0,(IF(D76="轻剑",$AZ$2,$AZ$3)+IFERROR(INDEX(技能数据库!$T$2:$W$27,MATCH(E76,技能数据库!$T$2:$T$27,0),4),0)+COUNTIF(G76,"*造化2*")*154+COUNTIF(G76,"*造化1*")*102+COUNTIF(G76,"*碧归*")*307)/1024)</f>
        <v>0.0772587719297852</v>
      </c>
      <c r="Q76">
        <f ca="1" t="shared" si="69"/>
        <v>0.448284482196154</v>
      </c>
      <c r="R76">
        <f ca="1" t="shared" si="70"/>
        <v>0.21277697966198</v>
      </c>
      <c r="S76">
        <f ca="1" t="shared" ref="S76:S78" si="88">O76*(1+P76)*(1+Q76)*(1-R76)</f>
        <v>360426.321278169</v>
      </c>
      <c r="T76">
        <f t="shared" si="31"/>
        <v>0.8</v>
      </c>
      <c r="U76">
        <f ca="1" t="shared" si="71"/>
        <v>1.7995442148</v>
      </c>
      <c r="V76">
        <f ca="1" t="shared" ref="V76:V78" si="89">S76*T76*(1+U76)</f>
        <v>807223.538076754</v>
      </c>
      <c r="W76">
        <f ca="1">IF(G76="恒定伤害",0,MIN(1,IF(COUNTIF(F76,"*内会*")&gt;0,内会,IF(D76="轻剑",$Y$2,$Y$3)+COUNTIF(G76,"*莺鸣*")*0.2+COUNTIF(G76,"*叠1*")*0.1+COUNTIF(G76,"*叠2*")*0.2+COUNTIF(G76,"*叠3*")*0.3)+IFERROR(INDEX(技能数据库!$T$2:$W$27,MATCH(E76,技能数据库!$T$2:$T$27,0),2),0)+IF((IF(D76="轻剑",$AO$2,$AO$3)+INT(COUNTIF(G76,"*大莺鸣*")*IF(D76="轻剑",$AM$2,$AM$3)*听晓无双率)/无双系数)&gt;0.9,特效裤子会心/会心系数,0)))</f>
        <v>0.7343</v>
      </c>
      <c r="X76">
        <f ca="1">IF(G76="恒定伤害",0,IF(COUNTIF(F76,"*内会*")&gt;0,内会效,IF(D76="轻剑",$AB$2,$AB$3))+IFERROR(INDEX(技能数据库!$T$2:$W$27,MATCH(E76,技能数据库!$T$2:$T$27,0),3)/1024,0))+COUNTIF(G76,"*叠1*")*0.25+COUNTIF(G76,"*叠2*")*0.5+COUNTIF(G76,"*叠3*")*0.75</f>
        <v>2.3156473116</v>
      </c>
      <c r="Y76">
        <f ca="1" t="shared" ref="Y76:Y78" si="90">1+W76*(X76-1)</f>
        <v>1.96607982090788</v>
      </c>
      <c r="Z76">
        <f t="shared" si="72"/>
        <v>0.150390625</v>
      </c>
      <c r="AA76">
        <f ca="1" t="shared" ref="AA76:AA78" si="91">IF(D76="轻剑",$BA$2,$BA$3)/1024</f>
        <v>0.0205078125</v>
      </c>
      <c r="AB76">
        <f ca="1" t="shared" ref="AB76:AB78" si="92">V76*Y76*(1+Z76)*(1+AA76)</f>
        <v>1863187.79454516</v>
      </c>
      <c r="AC76">
        <f ca="1">$AC$11*MIN(1,0.3+$Y$2)</f>
        <v>4</v>
      </c>
      <c r="AD76" s="164">
        <f ca="1" t="shared" si="66"/>
        <v>0.00239242605953518</v>
      </c>
      <c r="AE76" s="168">
        <f ca="1" t="shared" si="73"/>
        <v>0.00427830675063263</v>
      </c>
      <c r="AF76" s="168">
        <f ca="1" t="shared" si="50"/>
        <v>0.0040636246914611</v>
      </c>
      <c r="AG76">
        <f ca="1" t="shared" si="74"/>
        <v>0.00365453640303404</v>
      </c>
      <c r="AH76">
        <f ca="1" t="shared" si="75"/>
        <v>1.00291859256117</v>
      </c>
      <c r="AI76">
        <f ca="1" t="shared" si="76"/>
        <v>1.00016101226475</v>
      </c>
      <c r="AJ76">
        <f ca="1" t="shared" si="77"/>
        <v>1.0005726976962</v>
      </c>
      <c r="AK76">
        <f ca="1">$AC$11*MIN(1,0.3+$Y$2+((delta身法+INT((IF(D52="轻剑",$N$2,$N$3))/1024*delta身法))*身法转基础会心/会心系数))</f>
        <v>4</v>
      </c>
      <c r="AL76">
        <f ca="1" t="shared" si="78"/>
        <v>0.00495187192404045</v>
      </c>
      <c r="AM76">
        <f ca="1">$AC$11*MIN(1,0.3+$Y$2+delta会心/会心系数)</f>
        <v>4</v>
      </c>
      <c r="AN76" s="168">
        <f ca="1" t="shared" si="79"/>
        <v>0.00750104430192855</v>
      </c>
      <c r="AO76" s="168">
        <f ca="1" t="shared" si="80"/>
        <v>0.00447057613551372</v>
      </c>
      <c r="AP76" s="172">
        <f ca="1" t="shared" si="81"/>
        <v>0</v>
      </c>
      <c r="AQ76" s="168">
        <f ca="1" t="shared" si="82"/>
        <v>0.00401583628616287</v>
      </c>
      <c r="AR76">
        <f t="shared" si="85"/>
        <v>1</v>
      </c>
    </row>
    <row r="77" spans="4:44">
      <c r="D77" t="s">
        <v>1825</v>
      </c>
      <c r="E77" t="s">
        <v>2808</v>
      </c>
      <c r="G77" t="s">
        <v>3093</v>
      </c>
      <c r="H77">
        <f ca="1">INDEX(技能数据库!$B$2:$I$100,MATCH(伤害与收益计算!$E77,技能数据库!$B$2:$B$100,0),MATCH(H$9,技能数据库!$B$2:$I$2,0))</f>
        <v>535</v>
      </c>
      <c r="I77">
        <f ca="1">INDEX(技能数据库!$B$2:$I$100,MATCH(伤害与收益计算!$E77,技能数据库!$B$2:$B$100,0),MATCH(I$9,技能数据库!$B$2:$I$2,0))</f>
        <v>7.06875</v>
      </c>
      <c r="J77">
        <f ca="1">INDEX(技能数据库!$B$2:$I$100,MATCH(伤害与收益计算!$E77,技能数据库!$B$2:$B$100,0),MATCH(J$9,技能数据库!$B$2:$I$2,0))</f>
        <v>2</v>
      </c>
      <c r="K77">
        <f ca="1">INDEX(技能数据库!$B$2:$I$100,MATCH(伤害与收益计算!$E77,技能数据库!$B$2:$B$100,0),MATCH(K$9,技能数据库!$B$2:$I$2,0))</f>
        <v>0</v>
      </c>
      <c r="L77">
        <f ca="1" t="shared" si="67"/>
        <v>105847</v>
      </c>
      <c r="M77">
        <f ca="1" t="shared" si="86"/>
        <v>19530.5</v>
      </c>
      <c r="N77">
        <f ca="1" t="shared" si="87"/>
        <v>92028</v>
      </c>
      <c r="O77">
        <f ca="1" t="shared" si="68"/>
        <v>787801.98125</v>
      </c>
      <c r="P77">
        <f ca="1">IF(G77="恒定伤害",0,(IF(D77="轻剑",$AZ$2,$AZ$3)+IFERROR(INDEX(技能数据库!$T$2:$W$27,MATCH(E77,技能数据库!$T$2:$T$27,0),4),0)+COUNTIF(G77,"*造化2*")*154+COUNTIF(G77,"*造化1*")*102+COUNTIF(G77,"*碧归*")*307)/1024)</f>
        <v>0.697375959429785</v>
      </c>
      <c r="Q77">
        <f ca="1" t="shared" si="69"/>
        <v>0.448284482196154</v>
      </c>
      <c r="R77">
        <f ca="1" t="shared" si="70"/>
        <v>0.21277697966198</v>
      </c>
      <c r="S77">
        <f ca="1" t="shared" si="88"/>
        <v>1524567.92441526</v>
      </c>
      <c r="T77">
        <f t="shared" si="31"/>
        <v>0.8</v>
      </c>
      <c r="U77">
        <f ca="1" t="shared" si="71"/>
        <v>2.68954760480339</v>
      </c>
      <c r="V77">
        <f ca="1" t="shared" si="89"/>
        <v>4499972.74710911</v>
      </c>
      <c r="W77">
        <f ca="1">IF(G77="恒定伤害",0,MIN(1,IF(COUNTIF(F77,"*内会*")&gt;0,内会,IF(D77="轻剑",$Y$2,$Y$3)+COUNTIF(G77,"*莺鸣*")*0.2+COUNTIF(G77,"*叠1*")*0.1+COUNTIF(G77,"*叠2*")*0.2+COUNTIF(G77,"*叠3*")*0.3)+IFERROR(INDEX(技能数据库!$T$2:$W$27,MATCH(E77,技能数据库!$T$2:$T$27,0),2),0)+IF((IF(D77="轻剑",$AO$2,$AO$3)+INT(COUNTIF(G77,"*大莺鸣*")*IF(D77="轻剑",$AM$2,$AM$3)*听晓无双率)/无双系数)&gt;0.9,特效裤子会心/会心系数,0)))</f>
        <v>0.9343</v>
      </c>
      <c r="X77">
        <f ca="1">IF(G77="恒定伤害",0,IF(COUNTIF(F77,"*内会*")&gt;0,内会效,IF(D77="轻剑",$AB$2,$AB$3))+IFERROR(INDEX(技能数据库!$T$2:$W$27,MATCH(E77,技能数据库!$T$2:$T$27,0),3)/1024,0))+COUNTIF(G77,"*叠1*")*0.25+COUNTIF(G77,"*叠2*")*0.5+COUNTIF(G77,"*叠3*")*0.75</f>
        <v>2.3156473116</v>
      </c>
      <c r="Y77">
        <f ca="1" t="shared" si="90"/>
        <v>2.22920928322788</v>
      </c>
      <c r="Z77">
        <f t="shared" si="72"/>
        <v>0.150390625</v>
      </c>
      <c r="AA77">
        <f ca="1" t="shared" si="91"/>
        <v>0.0205078125</v>
      </c>
      <c r="AB77">
        <f ca="1" t="shared" si="92"/>
        <v>11776666.9769763</v>
      </c>
      <c r="AC77">
        <f ca="1">技能数计算!AJ69</f>
        <v>0</v>
      </c>
      <c r="AD77" s="164">
        <f ca="1" t="shared" si="66"/>
        <v>0</v>
      </c>
      <c r="AE77" s="168">
        <f ca="1" t="shared" si="73"/>
        <v>0.00445048385691655</v>
      </c>
      <c r="AF77" s="168">
        <f ca="1" t="shared" ref="AF77:AF78" si="93">IFERROR((delta武伤+INT((IF(D77="轻剑",$AW$2,$AW$3))/1024*delta武伤))*J77/O77,0)</f>
        <v>0.00151370525637403</v>
      </c>
      <c r="AG77">
        <f ca="1" t="shared" si="74"/>
        <v>0.0031975501401067</v>
      </c>
      <c r="AH77">
        <f ca="1" t="shared" si="75"/>
        <v>1.00303604903423</v>
      </c>
      <c r="AI77">
        <f ca="1" t="shared" si="76"/>
        <v>1.00016101226475</v>
      </c>
      <c r="AJ77">
        <f ca="1" t="shared" si="77"/>
        <v>0</v>
      </c>
      <c r="AK77">
        <f ca="1" t="shared" si="83"/>
        <v>0</v>
      </c>
      <c r="AL77">
        <f ca="1" t="shared" si="78"/>
        <v>0</v>
      </c>
      <c r="AM77">
        <f ca="1" t="shared" ref="AM77:AM78" si="94">AC77</f>
        <v>0</v>
      </c>
      <c r="AN77" s="168">
        <f ca="1" t="shared" si="79"/>
        <v>0.00841753350912167</v>
      </c>
      <c r="AO77" s="168">
        <f ca="1" t="shared" si="80"/>
        <v>0.00447057613551372</v>
      </c>
      <c r="AP77" s="172">
        <f ca="1" t="shared" si="81"/>
        <v>0</v>
      </c>
      <c r="AQ77" s="168">
        <f ca="1" t="shared" si="82"/>
        <v>0.00393951131463699</v>
      </c>
      <c r="AR77">
        <f t="shared" si="85"/>
        <v>1</v>
      </c>
    </row>
    <row r="78" spans="4:44">
      <c r="D78" t="s">
        <v>1825</v>
      </c>
      <c r="E78" t="s">
        <v>2808</v>
      </c>
      <c r="G78" t="s">
        <v>3057</v>
      </c>
      <c r="H78">
        <f ca="1">INDEX(技能数据库!$B$2:$I$100,MATCH(伤害与收益计算!$E78,技能数据库!$B$2:$B$100,0),MATCH(H$9,技能数据库!$B$2:$I$2,0))</f>
        <v>535</v>
      </c>
      <c r="I78">
        <f ca="1">INDEX(技能数据库!$B$2:$I$100,MATCH(伤害与收益计算!$E78,技能数据库!$B$2:$B$100,0),MATCH(I$9,技能数据库!$B$2:$I$2,0))</f>
        <v>7.06875</v>
      </c>
      <c r="J78">
        <f ca="1">INDEX(技能数据库!$B$2:$I$100,MATCH(伤害与收益计算!$E78,技能数据库!$B$2:$B$100,0),MATCH(J$9,技能数据库!$B$2:$I$2,0))</f>
        <v>2</v>
      </c>
      <c r="K78">
        <f ca="1">INDEX(技能数据库!$B$2:$I$100,MATCH(伤害与收益计算!$E78,技能数据库!$B$2:$B$100,0),MATCH(K$9,技能数据库!$B$2:$I$2,0))</f>
        <v>0</v>
      </c>
      <c r="L78">
        <f ca="1" t="shared" si="67"/>
        <v>105847</v>
      </c>
      <c r="M78">
        <f ca="1" t="shared" si="86"/>
        <v>19530.5</v>
      </c>
      <c r="N78">
        <f ca="1" t="shared" si="87"/>
        <v>92028</v>
      </c>
      <c r="O78">
        <f ca="1" t="shared" si="68"/>
        <v>787801.98125</v>
      </c>
      <c r="P78">
        <f ca="1">IF(G78="恒定伤害",0,(IF(D78="轻剑",$AZ$2,$AZ$3)+IFERROR(INDEX(技能数据库!$T$2:$W$27,MATCH(E78,技能数据库!$T$2:$T$27,0),4),0)+COUNTIF(G78,"*造化2*")*154+COUNTIF(G78,"*造化1*")*102+COUNTIF(G78,"*碧归*")*307)/1024)</f>
        <v>0.346790021929785</v>
      </c>
      <c r="Q78">
        <f ca="1" t="shared" si="69"/>
        <v>0.448284482196154</v>
      </c>
      <c r="R78">
        <f ca="1" t="shared" si="70"/>
        <v>0.21277697966198</v>
      </c>
      <c r="S78">
        <f ca="1" t="shared" si="88"/>
        <v>1209674.7670719</v>
      </c>
      <c r="T78">
        <f t="shared" si="31"/>
        <v>0.8</v>
      </c>
      <c r="U78">
        <f ca="1" t="shared" si="71"/>
        <v>1.7995442148</v>
      </c>
      <c r="V78">
        <f ca="1" t="shared" si="89"/>
        <v>2709230.39675654</v>
      </c>
      <c r="W78">
        <f ca="1">IF(G78="恒定伤害",0,MIN(1,IF(COUNTIF(F78,"*内会*")&gt;0,内会,IF(D78="轻剑",$Y$2,$Y$3)+COUNTIF(G78,"*莺鸣*")*0.2+COUNTIF(G78,"*叠1*")*0.1+COUNTIF(G78,"*叠2*")*0.2+COUNTIF(G78,"*叠3*")*0.3)+IFERROR(INDEX(技能数据库!$T$2:$W$27,MATCH(E78,技能数据库!$T$2:$T$27,0),2),0)+IF((IF(D78="轻剑",$AO$2,$AO$3)+INT(COUNTIF(G78,"*大莺鸣*")*IF(D78="轻剑",$AM$2,$AM$3)*听晓无双率)/无双系数)&gt;0.9,特效裤子会心/会心系数,0)))</f>
        <v>0.7343</v>
      </c>
      <c r="X78">
        <f ca="1">IF(G78="恒定伤害",0,IF(COUNTIF(F78,"*内会*")&gt;0,内会效,IF(D78="轻剑",$AB$2,$AB$3))+IFERROR(INDEX(技能数据库!$T$2:$W$27,MATCH(E78,技能数据库!$T$2:$T$27,0),3)/1024,0))+COUNTIF(G78,"*叠1*")*0.25+COUNTIF(G78,"*叠2*")*0.5+COUNTIF(G78,"*叠3*")*0.75</f>
        <v>2.3156473116</v>
      </c>
      <c r="Y78">
        <f ca="1" t="shared" si="90"/>
        <v>1.96607982090788</v>
      </c>
      <c r="Z78">
        <f t="shared" si="72"/>
        <v>0.150390625</v>
      </c>
      <c r="AA78">
        <f ca="1" t="shared" si="91"/>
        <v>0.0205078125</v>
      </c>
      <c r="AB78">
        <f ca="1" t="shared" si="92"/>
        <v>6253292.63796513</v>
      </c>
      <c r="AC78">
        <f ca="1">技能数计算!AJ70</f>
        <v>0</v>
      </c>
      <c r="AD78" s="164">
        <f ca="1" t="shared" si="66"/>
        <v>0</v>
      </c>
      <c r="AE78" s="168">
        <f ca="1" t="shared" si="73"/>
        <v>0.00445048385691655</v>
      </c>
      <c r="AF78" s="168">
        <f ca="1" t="shared" si="93"/>
        <v>0.00151370525637403</v>
      </c>
      <c r="AG78">
        <f ca="1" t="shared" si="74"/>
        <v>0.0031975501401067</v>
      </c>
      <c r="AH78">
        <f ca="1" t="shared" si="75"/>
        <v>1.00303604903423</v>
      </c>
      <c r="AI78">
        <f ca="1" t="shared" si="76"/>
        <v>1.00016101226475</v>
      </c>
      <c r="AJ78">
        <f ca="1" t="shared" si="77"/>
        <v>0</v>
      </c>
      <c r="AK78">
        <f ca="1" t="shared" si="83"/>
        <v>0</v>
      </c>
      <c r="AL78">
        <f ca="1" t="shared" si="78"/>
        <v>0</v>
      </c>
      <c r="AM78">
        <f ca="1" t="shared" si="94"/>
        <v>0</v>
      </c>
      <c r="AN78" s="168">
        <f ca="1" t="shared" si="79"/>
        <v>0.00750104430192855</v>
      </c>
      <c r="AO78" s="168">
        <f ca="1" t="shared" si="80"/>
        <v>0.00447057613551372</v>
      </c>
      <c r="AP78" s="172">
        <f ca="1" t="shared" si="81"/>
        <v>0</v>
      </c>
      <c r="AQ78" s="168">
        <f ca="1" t="shared" si="82"/>
        <v>0.00401583628616287</v>
      </c>
      <c r="AR78">
        <f t="shared" si="85"/>
        <v>1</v>
      </c>
    </row>
    <row r="79" spans="4:44">
      <c r="D79" t="s">
        <v>1825</v>
      </c>
      <c r="E79" t="s">
        <v>2808</v>
      </c>
      <c r="G79" t="s">
        <v>3070</v>
      </c>
      <c r="H79">
        <f ca="1">INDEX(技能数据库!$B$2:$I$100,MATCH(伤害与收益计算!$E79,技能数据库!$B$2:$B$100,0),MATCH(H$9,技能数据库!$B$2:$I$2,0))</f>
        <v>535</v>
      </c>
      <c r="I79">
        <f ca="1">INDEX(技能数据库!$B$2:$I$100,MATCH(伤害与收益计算!$E79,技能数据库!$B$2:$B$100,0),MATCH(I$9,技能数据库!$B$2:$I$2,0))</f>
        <v>7.06875</v>
      </c>
      <c r="J79">
        <f ca="1">INDEX(技能数据库!$B$2:$I$100,MATCH(伤害与收益计算!$E79,技能数据库!$B$2:$B$100,0),MATCH(J$9,技能数据库!$B$2:$I$2,0))</f>
        <v>2</v>
      </c>
      <c r="K79">
        <f ca="1">INDEX(技能数据库!$B$2:$I$100,MATCH(伤害与收益计算!$E79,技能数据库!$B$2:$B$100,0),MATCH(K$9,技能数据库!$B$2:$I$2,0))</f>
        <v>0</v>
      </c>
      <c r="L79">
        <f ca="1" t="shared" si="67"/>
        <v>105847</v>
      </c>
      <c r="M79">
        <f ca="1" t="shared" ref="M79:M82" si="95">IF(D79="轻剑",$AU$2+$AV$2,$AU$3+$AV$3)/2</f>
        <v>19530.5</v>
      </c>
      <c r="N79">
        <f ca="1" t="shared" ref="N79:N82" si="96">IF(D79="轻剑",$AJ$2,$AJ$3)</f>
        <v>92028</v>
      </c>
      <c r="O79">
        <f ca="1" t="shared" si="68"/>
        <v>787801.98125</v>
      </c>
      <c r="P79">
        <f ca="1">IF(G79="恒定伤害",0,(IF(D79="轻剑",$AZ$2,$AZ$3)+IFERROR(INDEX(技能数据库!$T$2:$W$27,MATCH(E79,技能数据库!$T$2:$T$27,0),4),0)+COUNTIF(G79,"*造化2*")*154+COUNTIF(G79,"*造化1*")*102+COUNTIF(G79,"*碧归*")*307)/1024)</f>
        <v>0.397571271929785</v>
      </c>
      <c r="Q79">
        <f ca="1" t="shared" si="69"/>
        <v>0.448284482196154</v>
      </c>
      <c r="R79">
        <f ca="1" t="shared" si="70"/>
        <v>0.21277697966198</v>
      </c>
      <c r="S79">
        <f ca="1" t="shared" ref="S79:S82" si="97">O79*(1+P79)*(1+Q79)*(1-R79)</f>
        <v>1255286.03220241</v>
      </c>
      <c r="T79">
        <f t="shared" si="31"/>
        <v>0.8</v>
      </c>
      <c r="U79">
        <f ca="1" t="shared" si="71"/>
        <v>2.68954760480339</v>
      </c>
      <c r="V79">
        <f ca="1" t="shared" ref="V79:V82" si="98">S79*T79*(1+U79)</f>
        <v>3705150.05876446</v>
      </c>
      <c r="W79">
        <f ca="1">IF(G79="恒定伤害",0,MIN(1,IF(COUNTIF(F79,"*内会*")&gt;0,内会,IF(D79="轻剑",$Y$2,$Y$3)+COUNTIF(G79,"*莺鸣*")*0.2+COUNTIF(G79,"*叠1*")*0.1+COUNTIF(G79,"*叠2*")*0.2+COUNTIF(G79,"*叠3*")*0.3)+IFERROR(INDEX(技能数据库!$T$2:$W$27,MATCH(E79,技能数据库!$T$2:$T$27,0),2),0)+IF((IF(D79="轻剑",$AO$2,$AO$3)+INT(COUNTIF(G79,"*大莺鸣*")*IF(D79="轻剑",$AM$2,$AM$3)*听晓无双率)/无双系数)&gt;0.9,特效裤子会心/会心系数,0)))</f>
        <v>0.9343</v>
      </c>
      <c r="X79">
        <f ca="1">IF(G79="恒定伤害",0,IF(COUNTIF(F79,"*内会*")&gt;0,内会效,IF(D79="轻剑",$AB$2,$AB$3))+IFERROR(INDEX(技能数据库!$T$2:$W$27,MATCH(E79,技能数据库!$T$2:$T$27,0),3)/1024,0))+COUNTIF(G79,"*叠1*")*0.25+COUNTIF(G79,"*叠2*")*0.5+COUNTIF(G79,"*叠3*")*0.75</f>
        <v>2.3156473116</v>
      </c>
      <c r="Y79">
        <f ca="1" t="shared" ref="Y79:Y82" si="99">1+W79*(X79-1)</f>
        <v>2.22920928322788</v>
      </c>
      <c r="Z79">
        <f t="shared" si="72"/>
        <v>0.150390625</v>
      </c>
      <c r="AA79">
        <f ca="1" t="shared" ref="AA79:AA82" si="100">IF(D79="轻剑",$BA$2,$BA$3)/1024</f>
        <v>0.0205078125</v>
      </c>
      <c r="AB79">
        <f ca="1" t="shared" ref="AB79:AB82" si="101">V79*Y79*(1+Z79)*(1+AA79)</f>
        <v>9696573.91143644</v>
      </c>
      <c r="AC79">
        <f ca="1">技能数计算!AJ71</f>
        <v>0</v>
      </c>
      <c r="AD79" s="164">
        <f ca="1" t="shared" ref="AD79:AD80" si="102">IFERROR(AB79*AC79/$AD$7,0)</f>
        <v>0</v>
      </c>
      <c r="AE79" s="168">
        <f ca="1" t="shared" si="73"/>
        <v>0.00445048385691655</v>
      </c>
      <c r="AF79" s="168">
        <f ca="1" t="shared" ref="AF79:AF80" si="103">IFERROR((delta武伤+INT((IF(D79="轻剑",$AW$2,$AW$3))/1024*delta武伤))*J79/O79,0)</f>
        <v>0.00151370525637403</v>
      </c>
      <c r="AG79">
        <f ca="1" t="shared" si="74"/>
        <v>0.0031975501401067</v>
      </c>
      <c r="AH79">
        <f ca="1" t="shared" si="75"/>
        <v>1.00303604903423</v>
      </c>
      <c r="AI79">
        <f ca="1" t="shared" si="76"/>
        <v>1.00016101226475</v>
      </c>
      <c r="AJ79">
        <f ca="1" t="shared" si="77"/>
        <v>0</v>
      </c>
      <c r="AK79">
        <f ca="1" t="shared" si="83"/>
        <v>0</v>
      </c>
      <c r="AL79">
        <f ca="1" t="shared" si="78"/>
        <v>0</v>
      </c>
      <c r="AM79">
        <f ca="1" t="shared" ref="AM79" si="104">AC79</f>
        <v>0</v>
      </c>
      <c r="AN79" s="168">
        <f ca="1" t="shared" si="79"/>
        <v>0.00841753350912167</v>
      </c>
      <c r="AO79" s="168">
        <f ca="1" t="shared" si="80"/>
        <v>0.00447057613551372</v>
      </c>
      <c r="AP79" s="172">
        <f ca="1" t="shared" si="81"/>
        <v>0</v>
      </c>
      <c r="AQ79" s="168">
        <f ca="1" t="shared" si="82"/>
        <v>0.00393951131463699</v>
      </c>
      <c r="AR79">
        <f t="shared" si="85"/>
        <v>1</v>
      </c>
    </row>
    <row r="80" spans="4:44">
      <c r="D80" t="s">
        <v>1825</v>
      </c>
      <c r="E80" t="s">
        <v>2810</v>
      </c>
      <c r="G80" t="s">
        <v>3098</v>
      </c>
      <c r="H80">
        <f ca="1">INDEX(技能数据库!$B$2:$I$100,MATCH(伤害与收益计算!$E80,技能数据库!$B$2:$B$100,0),MATCH(H$9,技能数据库!$B$2:$I$2,0))</f>
        <v>2415000</v>
      </c>
      <c r="I80">
        <f ca="1">INDEX(技能数据库!$B$2:$I$100,MATCH(伤害与收益计算!$E80,技能数据库!$B$2:$B$100,0),MATCH(I$9,技能数据库!$B$2:$I$2,0))</f>
        <v>0</v>
      </c>
      <c r="J80">
        <f ca="1">INDEX(技能数据库!$B$2:$I$100,MATCH(伤害与收益计算!$E80,技能数据库!$B$2:$B$100,0),MATCH(J$9,技能数据库!$B$2:$I$2,0))</f>
        <v>0</v>
      </c>
      <c r="K80">
        <f ca="1">INDEX(技能数据库!$B$2:$I$100,MATCH(伤害与收益计算!$E80,技能数据库!$B$2:$B$100,0),MATCH(K$9,技能数据库!$B$2:$I$2,0))</f>
        <v>0</v>
      </c>
      <c r="L80">
        <f ca="1" t="shared" si="67"/>
        <v>91975</v>
      </c>
      <c r="M80">
        <f ca="1" t="shared" si="95"/>
        <v>19530.5</v>
      </c>
      <c r="N80">
        <f ca="1" t="shared" si="96"/>
        <v>92028</v>
      </c>
      <c r="O80">
        <f ca="1" t="shared" si="68"/>
        <v>2415000</v>
      </c>
      <c r="P80">
        <f ca="1">IF(G80="恒定伤害",0,(IF(D80="轻剑",$AZ$2,$AZ$3)+IFERROR(INDEX(技能数据库!$T$2:$W$27,MATCH(E80,技能数据库!$T$2:$T$27,0),4),0)+COUNTIF(G80,"*造化2*")*154+COUNTIF(G80,"*造化1*")*102+COUNTIF(G80,"*碧归*")*307)/1024)</f>
        <v>0</v>
      </c>
      <c r="Q80">
        <f ca="1" t="shared" si="69"/>
        <v>0</v>
      </c>
      <c r="R80">
        <f ca="1" t="shared" si="70"/>
        <v>0</v>
      </c>
      <c r="S80">
        <f ca="1" t="shared" si="97"/>
        <v>2415000</v>
      </c>
      <c r="T80">
        <f>1-($F$6-130)*0.05</f>
        <v>0.8</v>
      </c>
      <c r="U80">
        <f ca="1" t="shared" si="71"/>
        <v>0</v>
      </c>
      <c r="V80">
        <f ca="1" t="shared" si="98"/>
        <v>1932000</v>
      </c>
      <c r="W80">
        <f ca="1">IF(G80="恒定伤害",0,MIN(1,IF(COUNTIF(F80,"*内会*")&gt;0,内会,IF(D80="轻剑",$Y$2,$Y$3)+COUNTIF(G80,"*莺鸣*")*0.2+COUNTIF(G80,"*叠1*")*0.1+COUNTIF(G80,"*叠2*")*0.2+COUNTIF(G80,"*叠3*")*0.3)+IFERROR(INDEX(技能数据库!$T$2:$W$27,MATCH(E80,技能数据库!$T$2:$T$27,0),2),0)+IF((IF(D80="轻剑",$AO$2,$AO$3)+INT(COUNTIF(G80,"*大莺鸣*")*IF(D80="轻剑",$AM$2,$AM$3)*听晓无双率)/无双系数)&gt;0.9,特效裤子会心/会心系数,0)))</f>
        <v>0</v>
      </c>
      <c r="X80">
        <f ca="1">IF(G80="恒定伤害",0,IF(COUNTIF(F80,"*内会*")&gt;0,内会效,IF(D80="轻剑",$AB$2,$AB$3))+IFERROR(INDEX(技能数据库!$T$2:$W$27,MATCH(E80,技能数据库!$T$2:$T$27,0),3)/1024,0))+COUNTIF(G80,"*叠1*")*0.25+COUNTIF(G80,"*叠2*")*0.5+COUNTIF(G80,"*叠3*")*0.75</f>
        <v>0</v>
      </c>
      <c r="Y80">
        <f ca="1" t="shared" si="99"/>
        <v>1</v>
      </c>
      <c r="Z80">
        <f t="shared" si="72"/>
        <v>0</v>
      </c>
      <c r="AA80">
        <f ca="1" t="shared" si="100"/>
        <v>0.0205078125</v>
      </c>
      <c r="AB80">
        <f ca="1" t="shared" si="101"/>
        <v>1971621.09375</v>
      </c>
      <c r="AC80" s="171">
        <f>技能数计算!AJ72</f>
        <v>13.210200927357</v>
      </c>
      <c r="AD80" s="164">
        <f ca="1" t="shared" si="102"/>
        <v>0.00836093373904312</v>
      </c>
      <c r="AE80" s="168">
        <f ca="1" t="shared" si="73"/>
        <v>0</v>
      </c>
      <c r="AF80" s="168">
        <f ca="1" t="shared" si="103"/>
        <v>0</v>
      </c>
      <c r="AG80">
        <f ca="1" t="shared" si="74"/>
        <v>0</v>
      </c>
      <c r="AH80">
        <f ca="1" t="shared" si="75"/>
        <v>1</v>
      </c>
      <c r="AI80">
        <f ca="1" t="shared" si="76"/>
        <v>1.00023319156448</v>
      </c>
      <c r="AJ80">
        <f ca="1" t="shared" si="77"/>
        <v>0</v>
      </c>
      <c r="AK80" s="171">
        <f ca="1">$AC$10*MIN($W$10+((delta身法+INT((IF(D63="轻剑",$N$2,$N$3))/1024*delta身法))*身法转基础会心/会心系数),1)</f>
        <v>0</v>
      </c>
      <c r="AL80">
        <f ca="1" t="shared" si="78"/>
        <v>0</v>
      </c>
      <c r="AM80" s="171">
        <f ca="1">$AC$10*MIN($W$10+delta会心/会心系数,1)</f>
        <v>0</v>
      </c>
      <c r="AN80" s="168">
        <f ca="1" t="shared" si="79"/>
        <v>0</v>
      </c>
      <c r="AO80" s="168">
        <f ca="1" t="shared" si="80"/>
        <v>0</v>
      </c>
      <c r="AP80" s="172">
        <f ca="1" t="shared" si="81"/>
        <v>0</v>
      </c>
      <c r="AQ80" s="168">
        <f ca="1" t="shared" si="82"/>
        <v>0</v>
      </c>
      <c r="AR80">
        <f t="shared" si="85"/>
        <v>1</v>
      </c>
    </row>
    <row r="81" spans="4:55">
      <c r="D81" t="s">
        <v>1825</v>
      </c>
      <c r="E81" t="s">
        <v>2815</v>
      </c>
      <c r="G81" t="s">
        <v>3098</v>
      </c>
      <c r="H81">
        <f ca="1">INDEX(技能数据库!$B$2:$I$100,MATCH(伤害与收益计算!$E81,技能数据库!$B$2:$B$100,0),MATCH(H$9,技能数据库!$B$2:$I$2,0))</f>
        <v>1610000</v>
      </c>
      <c r="I81">
        <f ca="1">INDEX(技能数据库!$B$2:$I$100,MATCH(伤害与收益计算!$E81,技能数据库!$B$2:$B$100,0),MATCH(I$9,技能数据库!$B$2:$I$2,0))</f>
        <v>0</v>
      </c>
      <c r="J81">
        <f ca="1">INDEX(技能数据库!$B$2:$I$100,MATCH(伤害与收益计算!$E81,技能数据库!$B$2:$B$100,0),MATCH(J$9,技能数据库!$B$2:$I$2,0))</f>
        <v>0</v>
      </c>
      <c r="K81">
        <f ca="1">INDEX(技能数据库!$B$2:$I$100,MATCH(伤害与收益计算!$E81,技能数据库!$B$2:$B$100,0),MATCH(K$9,技能数据库!$B$2:$I$2,0))</f>
        <v>0</v>
      </c>
      <c r="L81">
        <f ca="1" t="shared" si="67"/>
        <v>91975</v>
      </c>
      <c r="M81">
        <f ca="1" t="shared" si="95"/>
        <v>19530.5</v>
      </c>
      <c r="N81">
        <f ca="1" t="shared" si="96"/>
        <v>92028</v>
      </c>
      <c r="O81">
        <f ca="1" t="shared" ref="O81" si="105">H81+I81*L81+J81*M81+IF(K81&gt;0,MAX(1,K81*N81*破招全局系数),0)</f>
        <v>1610000</v>
      </c>
      <c r="P81">
        <f ca="1">IF(G81="恒定伤害",0,(IF(D81="轻剑",$AZ$2,$AZ$3)+IFERROR(INDEX(技能数据库!$T$2:$W$27,MATCH(E81,技能数据库!$T$2:$T$27,0),4),0)+COUNTIF(G81,"*造化2*")*154+COUNTIF(G81,"*造化1*")*102+COUNTIF(G81,"*碧归*")*307)/1024)</f>
        <v>0</v>
      </c>
      <c r="Q81">
        <f ca="1" t="shared" si="69"/>
        <v>0</v>
      </c>
      <c r="R81">
        <f ca="1" t="shared" si="70"/>
        <v>0</v>
      </c>
      <c r="S81">
        <f ca="1" t="shared" si="97"/>
        <v>1610000</v>
      </c>
      <c r="T81">
        <f>1-($F$6-130)*0.05</f>
        <v>0.8</v>
      </c>
      <c r="U81">
        <f ca="1" t="shared" si="71"/>
        <v>0</v>
      </c>
      <c r="V81">
        <f ca="1" t="shared" si="98"/>
        <v>1288000</v>
      </c>
      <c r="W81">
        <f ca="1">IF(G81="恒定伤害",0,MIN(1,IF(COUNTIF(F81,"*内会*")&gt;0,内会,IF(D81="轻剑",$Y$2,$Y$3)+COUNTIF(G81,"*莺鸣*")*0.2+COUNTIF(G81,"*叠1*")*0.1+COUNTIF(G81,"*叠2*")*0.2+COUNTIF(G81,"*叠3*")*0.3)+IFERROR(INDEX(技能数据库!$T$2:$W$27,MATCH(E81,技能数据库!$T$2:$T$27,0),2),0)+IF((IF(D81="轻剑",$AO$2,$AO$3)+INT(COUNTIF(G81,"*大莺鸣*")*IF(D81="轻剑",$AM$2,$AM$3)*听晓无双率)/无双系数)&gt;0.9,特效裤子会心/会心系数,0)))</f>
        <v>0</v>
      </c>
      <c r="X81">
        <f ca="1">IF(G81="恒定伤害",0,IF(COUNTIF(F81,"*内会*")&gt;0,内会效,IF(D81="轻剑",$AB$2,$AB$3))+IFERROR(INDEX(技能数据库!$T$2:$W$27,MATCH(E81,技能数据库!$T$2:$T$27,0),3)/1024,0))+COUNTIF(G81,"*叠1*")*0.25+COUNTIF(G81,"*叠2*")*0.5+COUNTIF(G81,"*叠3*")*0.75</f>
        <v>0</v>
      </c>
      <c r="Y81">
        <f ca="1" t="shared" si="99"/>
        <v>1</v>
      </c>
      <c r="Z81">
        <f t="shared" si="72"/>
        <v>0</v>
      </c>
      <c r="AA81">
        <f ca="1" t="shared" si="100"/>
        <v>0.0205078125</v>
      </c>
      <c r="AB81">
        <f ca="1" t="shared" si="101"/>
        <v>1314414.0625</v>
      </c>
      <c r="AC81" s="171">
        <f ca="1">技能数计算!AS1/(1/(407/240*(Y3+0.13+0.2*23/51))+10)</f>
        <v>19.7781222910296</v>
      </c>
      <c r="AD81" s="164">
        <f ca="1" t="shared" ref="AD81" si="106">IFERROR(AB81*AC81/$AD$7,0)</f>
        <v>0.00834524626674622</v>
      </c>
      <c r="AE81" s="168">
        <f ca="1" t="shared" si="73"/>
        <v>0</v>
      </c>
      <c r="AF81" s="168">
        <f ca="1" t="shared" ref="AF81" si="107">IFERROR((delta武伤+INT((IF(D81="轻剑",$AW$2,$AW$3))/1024*delta武伤))*J81/O81,0)</f>
        <v>0</v>
      </c>
      <c r="AG81">
        <f ca="1" t="shared" si="74"/>
        <v>0</v>
      </c>
      <c r="AH81">
        <f ca="1" t="shared" ref="AH81" si="108">IFERROR((delta身法+INT((IF(D81="轻剑",$N$2,$N$3))/1024*delta身法))*身法转额外攻击*I81/O81+1,0)</f>
        <v>1</v>
      </c>
      <c r="AI81">
        <f ca="1" t="shared" ref="AI81" si="109">IFERROR(((delta身法+INT((IF(D81="轻剑",$N$2,$N$3))/1024*delta身法))*身法转额外破防/破防系数+Q81+1)/(1+Q81),0)</f>
        <v>1.00023319156448</v>
      </c>
      <c r="AJ81">
        <f ca="1">IFERROR((AK81)/(AC81)-1,0)</f>
        <v>5.21260490988773e-5</v>
      </c>
      <c r="AK81" s="171">
        <f ca="1">技能数计算!AS1/(1/(407/240*(Y3+((delta身法+INT((IF(D64="轻剑",$N$2,$N$3))/1024*delta身法))*身法转基础会心/会心系数)+0.13+0.2*23/51))+10)</f>
        <v>19.7791532464033</v>
      </c>
      <c r="AL81">
        <f ca="1" t="shared" si="78"/>
        <v>0</v>
      </c>
      <c r="AM81" s="171">
        <f ca="1">技能数计算!AS1/(1/(407/240*(Y3+delta会心/会心系数+0.13+0.2*23/51))+10)</f>
        <v>19.7869793771167</v>
      </c>
      <c r="AN81" s="168">
        <f ca="1" t="shared" si="79"/>
        <v>0</v>
      </c>
      <c r="AO81" s="168">
        <f ca="1" t="shared" si="80"/>
        <v>0</v>
      </c>
      <c r="AP81" s="172">
        <f ca="1" t="shared" ref="AP81" si="110">IFERROR((delta破招+INT((IF(D81="轻剑",$AI$2,$AI$3))/1024*delta破招))*K81*破招全局系数/MAX(1,O81),0)</f>
        <v>0</v>
      </c>
      <c r="AQ81" s="168">
        <f ca="1" t="shared" si="82"/>
        <v>0</v>
      </c>
      <c r="AR81">
        <f t="shared" si="85"/>
        <v>1</v>
      </c>
    </row>
    <row r="82" spans="4:55">
      <c r="D82" t="s">
        <v>1825</v>
      </c>
      <c r="E82" t="s">
        <v>2832</v>
      </c>
      <c r="G82" t="s">
        <v>3098</v>
      </c>
      <c r="H82">
        <f ca="1">INDEX(技能数据库!$B$2:$I$100,MATCH(伤害与收益计算!$E82,技能数据库!$B$2:$B$100,0),MATCH(H$9,技能数据库!$B$2:$I$2,0))</f>
        <v>468495.625</v>
      </c>
      <c r="I82">
        <f ca="1">INDEX(技能数据库!$B$2:$I$100,MATCH(伤害与收益计算!$E82,技能数据库!$B$2:$B$100,0),MATCH(I$9,技能数据库!$B$2:$I$2,0))</f>
        <v>0</v>
      </c>
      <c r="J82">
        <f ca="1">INDEX(技能数据库!$B$2:$I$100,MATCH(伤害与收益计算!$E82,技能数据库!$B$2:$B$100,0),MATCH(J$9,技能数据库!$B$2:$I$2,0))</f>
        <v>0</v>
      </c>
      <c r="K82">
        <f ca="1">INDEX(技能数据库!$B$2:$I$100,MATCH(伤害与收益计算!$E82,技能数据库!$B$2:$B$100,0),MATCH(K$9,技能数据库!$B$2:$I$2,0))</f>
        <v>0</v>
      </c>
      <c r="L82">
        <f ca="1" t="shared" si="67"/>
        <v>91975</v>
      </c>
      <c r="M82">
        <f ca="1" t="shared" si="95"/>
        <v>19530.5</v>
      </c>
      <c r="N82">
        <f ca="1" t="shared" si="96"/>
        <v>92028</v>
      </c>
      <c r="O82">
        <f ca="1" t="shared" ref="O82:O84" si="111">H82+I82*L82+J82*M82+IF(K82&gt;0,MAX(1,K82*N82*破招全局系数),0)</f>
        <v>468495.625</v>
      </c>
      <c r="P82">
        <f ca="1">IF(G82="恒定伤害",0,(IF(D82="轻剑",$AZ$2,$AZ$3)+IFERROR(INDEX(技能数据库!$T$2:$W$27,MATCH(E82,技能数据库!$T$2:$T$27,0),4),0)+COUNTIF(G82,"*造化2*")*154+COUNTIF(G82,"*造化1*")*102+COUNTIF(G82,"*碧归*")*307)/1024)</f>
        <v>0</v>
      </c>
      <c r="Q82">
        <f ca="1" t="shared" si="69"/>
        <v>0</v>
      </c>
      <c r="R82">
        <f ca="1" t="shared" si="70"/>
        <v>0</v>
      </c>
      <c r="S82">
        <f ca="1" t="shared" si="97"/>
        <v>468495.625</v>
      </c>
      <c r="T82">
        <f>1-($F$6-130)*0.05</f>
        <v>0.8</v>
      </c>
      <c r="U82">
        <f ca="1" t="shared" si="71"/>
        <v>0</v>
      </c>
      <c r="V82">
        <f ca="1" t="shared" si="98"/>
        <v>374796.5</v>
      </c>
      <c r="W82">
        <f ca="1">IF(G82="恒定伤害",0,MIN(1,IF(COUNTIF(F82,"*内会*")&gt;0,内会,IF(D82="轻剑",$Y$2,$Y$3)+COUNTIF(G82,"*莺鸣*")*0.2+COUNTIF(G82,"*叠1*")*0.1+COUNTIF(G82,"*叠2*")*0.2+COUNTIF(G82,"*叠3*")*0.3)+IFERROR(INDEX(技能数据库!$T$2:$W$27,MATCH(E82,技能数据库!$T$2:$T$27,0),2),0)+IF((IF(D82="轻剑",$AO$2,$AO$3)+INT(COUNTIF(G82,"*大莺鸣*")*IF(D82="轻剑",$AM$2,$AM$3)*听晓无双率)/无双系数)&gt;0.9,特效裤子会心/会心系数,0)))</f>
        <v>0</v>
      </c>
      <c r="X82">
        <f ca="1">IF(G82="恒定伤害",0,IF(COUNTIF(F82,"*内会*")&gt;0,内会效,IF(D82="轻剑",$AB$2,$AB$3))+IFERROR(INDEX(技能数据库!$T$2:$W$27,MATCH(E82,技能数据库!$T$2:$T$27,0),3)/1024,0))+COUNTIF(G82,"*叠1*")*0.25+COUNTIF(G82,"*叠2*")*0.5+COUNTIF(G82,"*叠3*")*0.75</f>
        <v>0</v>
      </c>
      <c r="Y82">
        <f ca="1" t="shared" si="99"/>
        <v>1</v>
      </c>
      <c r="Z82">
        <f t="shared" ref="Z82:Z84" si="112">IF(G82="恒定伤害",0,非侠士伤害/1024)</f>
        <v>0</v>
      </c>
      <c r="AA82">
        <f ca="1" t="shared" si="100"/>
        <v>0.0205078125</v>
      </c>
      <c r="AB82">
        <f ca="1" t="shared" si="101"/>
        <v>382482.756347656</v>
      </c>
      <c r="AC82" s="171">
        <f>技能数计算!AJ74</f>
        <v>48</v>
      </c>
      <c r="AD82" s="164">
        <f ca="1" t="shared" ref="AD82:AD84" si="113">IFERROR(AB82*AC82/$AD$7,0)</f>
        <v>0.00589352323767681</v>
      </c>
      <c r="AE82" s="168">
        <f ca="1" t="shared" si="73"/>
        <v>0</v>
      </c>
      <c r="AF82" s="168">
        <f ca="1" t="shared" ref="AF82:AF84" si="114">IFERROR((delta武伤+INT((IF(D82="轻剑",$AW$2,$AW$3))/1024*delta武伤))*J82/O82,0)</f>
        <v>0</v>
      </c>
      <c r="AG82">
        <f ca="1" t="shared" si="74"/>
        <v>0</v>
      </c>
      <c r="AH82">
        <f ca="1" t="shared" ref="AH82:AH84" si="115">IFERROR((delta身法+INT((IF(D82="轻剑",$N$2,$N$3))/1024*delta身法))*身法转额外攻击*I82/O82+1,0)</f>
        <v>1</v>
      </c>
      <c r="AI82">
        <f ca="1" t="shared" ref="AI82:AI84" si="116">IFERROR(((delta身法+INT((IF(D82="轻剑",$N$2,$N$3))/1024*delta身法))*身法转额外破防/破防系数+Q82+1)/(1+Q82),0)</f>
        <v>1.00023319156448</v>
      </c>
      <c r="AJ82">
        <f ca="1" t="shared" ref="AJ82:AJ84" si="117">IFERROR(((1+MIN(1,((delta身法+INT((IF(D82="轻剑",$N$2,$N$3))/1024*delta身法))*身法转基础会心/会心系数)+W82)*(X82-1))*AK82)/(Y82*AC82),0)</f>
        <v>0</v>
      </c>
      <c r="AK82" s="171">
        <f ca="1">$AC$10*MIN($W$10+((delta身法+INT((IF(D65="轻剑",$N$2,$N$3))/1024*delta身法))*身法转基础会心/会心系数),1)</f>
        <v>0</v>
      </c>
      <c r="AL82">
        <f ca="1" t="shared" si="78"/>
        <v>0</v>
      </c>
      <c r="AM82" s="171">
        <f ca="1">$AC$10*MIN($W$10+delta会心/会心系数,1)</f>
        <v>0</v>
      </c>
      <c r="AN82" s="168">
        <f ca="1" t="shared" si="79"/>
        <v>0</v>
      </c>
      <c r="AO82" s="168">
        <f ca="1" t="shared" si="80"/>
        <v>0</v>
      </c>
      <c r="AP82" s="172">
        <f ca="1" t="shared" ref="AP82:AP84" si="118">IFERROR((delta破招+INT((IF(D82="轻剑",$AI$2,$AI$3))/1024*delta破招))*K82*破招全局系数/MAX(1,O82),0)</f>
        <v>0</v>
      </c>
      <c r="AQ82" s="168">
        <f ca="1" t="shared" ref="AQ82:AQ84" si="119">IF(G82="恒定伤害",0,IFERROR(((delta无双+INT((IF(D82="轻剑",$AL$2,$AL$3)+COUNTIF(G82,"*大莺鸣*")*307)/1024*delta无双))/无双系数+U82+1)/(U82+1)-1,0))</f>
        <v>0</v>
      </c>
      <c r="AR82">
        <f t="shared" si="85"/>
        <v>1</v>
      </c>
    </row>
    <row r="83" spans="4:55">
      <c r="D83" t="s">
        <v>1825</v>
      </c>
      <c r="E83" t="s">
        <v>2902</v>
      </c>
      <c r="G83" t="s">
        <v>2750</v>
      </c>
      <c r="H83">
        <f ca="1">INDEX(技能数据库!$B$2:$I$100,MATCH(伤害与收益计算!$E83,技能数据库!$B$2:$B$100,0),MATCH(H$9,技能数据库!$B$2:$I$2,0))</f>
        <v>317.5</v>
      </c>
      <c r="I83">
        <f ca="1">INDEX(技能数据库!$B$2:$I$100,MATCH(伤害与收益计算!$E83,技能数据库!$B$2:$B$100,0),MATCH(I$9,技能数据库!$B$2:$I$2,0))</f>
        <v>2.25</v>
      </c>
      <c r="J83">
        <f ca="1">INDEX(技能数据库!$B$2:$I$100,MATCH(伤害与收益计算!$E83,技能数据库!$B$2:$B$100,0),MATCH(J$9,技能数据库!$B$2:$I$2,0))</f>
        <v>1</v>
      </c>
      <c r="K83">
        <f ca="1">INDEX(技能数据库!$B$2:$I$100,MATCH(伤害与收益计算!$E83,技能数据库!$B$2:$B$100,0),MATCH(K$9,技能数据库!$B$2:$I$2,0))</f>
        <v>0</v>
      </c>
      <c r="L83">
        <f ca="1" t="shared" si="67"/>
        <v>105847</v>
      </c>
      <c r="M83">
        <f ca="1" t="shared" ref="M83:M84" si="120">IF(D83="轻剑",$AU$2+$AV$2,$AU$3+$AV$3)/2</f>
        <v>19530.5</v>
      </c>
      <c r="N83">
        <f ca="1" t="shared" ref="N83:N84" si="121">IF(D83="轻剑",$AJ$2,$AJ$3)</f>
        <v>92028</v>
      </c>
      <c r="O83">
        <f ca="1" t="shared" si="111"/>
        <v>258003.75</v>
      </c>
      <c r="P83">
        <f ca="1">IF(G83="恒定伤害",0,(IF(D83="轻剑",$AZ$2,$AZ$3)+IFERROR(INDEX(技能数据库!$T$2:$W$27,MATCH(E83,技能数据库!$T$2:$T$27,0),4),0)+COUNTIF(G83,"*造化2*")*154+COUNTIF(G83,"*造化1*")*102+COUNTIF(G83,"*碧归*")*307)/1024)</f>
        <v>0.176868146929785</v>
      </c>
      <c r="Q83">
        <f ca="1" t="shared" si="69"/>
        <v>0.448284482196154</v>
      </c>
      <c r="R83">
        <f ca="1" t="shared" si="70"/>
        <v>0.21277697966198</v>
      </c>
      <c r="S83">
        <f ca="1" t="shared" ref="S83:S84" si="122">O83*(1+P83)*(1+Q83)*(1-R83)</f>
        <v>346182.802657435</v>
      </c>
      <c r="T83">
        <f t="shared" ref="T83:T91" si="123">1-($F$6-130)*0.05</f>
        <v>0.8</v>
      </c>
      <c r="U83">
        <f ca="1" t="shared" si="71"/>
        <v>1.7995442148</v>
      </c>
      <c r="V83">
        <f ca="1" t="shared" ref="V83:V84" si="124">S83*T83*(1+U83)</f>
        <v>775323.249954299</v>
      </c>
      <c r="W83">
        <f ca="1">IF(G83="恒定伤害",0,MIN(1,IF(COUNTIF(F83,"*内会*")&gt;0,内会,IF(D83="轻剑",$Y$2,$Y$3)+COUNTIF(G83,"*莺鸣*")*0.2+COUNTIF(G83,"*叠1*")*0.1+COUNTIF(G83,"*叠2*")*0.2+COUNTIF(G83,"*叠3*")*0.3)+IFERROR(INDEX(技能数据库!$T$2:$W$27,MATCH(E83,技能数据库!$T$2:$T$27,0),2),0)+IF((IF(D83="轻剑",$AO$2,$AO$3)+INT(COUNTIF(G83,"*大莺鸣*")*IF(D83="轻剑",$AM$2,$AM$3)*听晓无双率)/无双系数)&gt;0.9,特效裤子会心/会心系数,0)))</f>
        <v>0.7343</v>
      </c>
      <c r="X83">
        <f ca="1">IF(G83="恒定伤害",0,IF(COUNTIF(F83,"*内会*")&gt;0,内会效,IF(D83="轻剑",$AB$2,$AB$3))+IFERROR(INDEX(技能数据库!$T$2:$W$27,MATCH(E83,技能数据库!$T$2:$T$27,0),3)/1024,0))+COUNTIF(G83,"*叠1*")*0.25+COUNTIF(G83,"*叠2*")*0.5+COUNTIF(G83,"*叠3*")*0.75</f>
        <v>2.3156473116</v>
      </c>
      <c r="Y83">
        <f ca="1" t="shared" ref="Y83:Y84" si="125">1+W83*(X83-1)</f>
        <v>1.96607982090788</v>
      </c>
      <c r="Z83">
        <f t="shared" si="112"/>
        <v>0.150390625</v>
      </c>
      <c r="AA83">
        <f ca="1" t="shared" ref="AA83:AA84" si="126">IF(D83="轻剑",$BA$2,$BA$3)/1024</f>
        <v>0.0205078125</v>
      </c>
      <c r="AB83">
        <f ca="1" t="shared" ref="AB83:AB84" si="127">V83*Y83*(1+Z83)*(1+AA83)</f>
        <v>1789557.35059919</v>
      </c>
      <c r="AC83">
        <f ca="1">技能数计算!AJ75</f>
        <v>0</v>
      </c>
      <c r="AD83" s="164">
        <f ca="1" t="shared" si="113"/>
        <v>0</v>
      </c>
      <c r="AE83" s="168">
        <f ca="1" t="shared" si="73"/>
        <v>0.00432551852444005</v>
      </c>
      <c r="AF83" s="168">
        <f ca="1" t="shared" si="114"/>
        <v>0.00231101292132382</v>
      </c>
      <c r="AG83">
        <f ca="1" t="shared" ref="AG83:AG84" si="128">IF(G83="恒定伤害",0,MAX(0,AH83*AI83*IF(AJ83=0,1,AJ83)-1))</f>
        <v>0.00311228705919864</v>
      </c>
      <c r="AH83">
        <f ca="1" t="shared" si="115"/>
        <v>1.00295079967951</v>
      </c>
      <c r="AI83">
        <f ca="1" t="shared" si="116"/>
        <v>1.00016101226475</v>
      </c>
      <c r="AJ83">
        <f ca="1" t="shared" si="117"/>
        <v>0</v>
      </c>
      <c r="AK83">
        <f ca="1" t="shared" ref="AK83:AK84" si="129">AC83</f>
        <v>0</v>
      </c>
      <c r="AL83">
        <f ca="1" t="shared" si="78"/>
        <v>0</v>
      </c>
      <c r="AM83">
        <f ca="1" t="shared" ref="AM83:AM84" si="130">AC83</f>
        <v>0</v>
      </c>
      <c r="AN83" s="168">
        <f ca="1" t="shared" si="79"/>
        <v>0.00750104430192855</v>
      </c>
      <c r="AO83" s="168">
        <f ca="1" t="shared" si="80"/>
        <v>0.00447057613551372</v>
      </c>
      <c r="AP83" s="172">
        <f ca="1" t="shared" si="118"/>
        <v>0</v>
      </c>
      <c r="AQ83" s="168">
        <f ca="1" t="shared" si="119"/>
        <v>0.00401583628616287</v>
      </c>
      <c r="AR83">
        <f t="shared" si="85"/>
        <v>1</v>
      </c>
    </row>
    <row r="84" spans="4:55">
      <c r="D84" t="s">
        <v>1825</v>
      </c>
      <c r="E84" t="s">
        <v>2902</v>
      </c>
      <c r="G84" t="s">
        <v>3044</v>
      </c>
      <c r="H84">
        <f ca="1">INDEX(技能数据库!$B$2:$I$100,MATCH(伤害与收益计算!$E84,技能数据库!$B$2:$B$100,0),MATCH(H$9,技能数据库!$B$2:$I$2,0))</f>
        <v>317.5</v>
      </c>
      <c r="I84">
        <f ca="1">INDEX(技能数据库!$B$2:$I$100,MATCH(伤害与收益计算!$E84,技能数据库!$B$2:$B$100,0),MATCH(I$9,技能数据库!$B$2:$I$2,0))</f>
        <v>2.25</v>
      </c>
      <c r="J84">
        <f ca="1">INDEX(技能数据库!$B$2:$I$100,MATCH(伤害与收益计算!$E84,技能数据库!$B$2:$B$100,0),MATCH(J$9,技能数据库!$B$2:$I$2,0))</f>
        <v>1</v>
      </c>
      <c r="K84">
        <f ca="1">INDEX(技能数据库!$B$2:$I$100,MATCH(伤害与收益计算!$E84,技能数据库!$B$2:$B$100,0),MATCH(K$9,技能数据库!$B$2:$I$2,0))</f>
        <v>0</v>
      </c>
      <c r="L84">
        <f ca="1" t="shared" si="67"/>
        <v>105847</v>
      </c>
      <c r="M84">
        <f ca="1" t="shared" si="120"/>
        <v>19530.5</v>
      </c>
      <c r="N84">
        <f ca="1" t="shared" si="121"/>
        <v>92028</v>
      </c>
      <c r="O84">
        <f ca="1" t="shared" si="111"/>
        <v>258003.75</v>
      </c>
      <c r="P84">
        <f ca="1">IF(G84="恒定伤害",0,(IF(D84="轻剑",$AZ$2,$AZ$3)+IFERROR(INDEX(技能数据库!$T$2:$W$27,MATCH(E84,技能数据库!$T$2:$T$27,0),4),0)+COUNTIF(G84,"*造化2*")*154+COUNTIF(G84,"*造化1*")*102+COUNTIF(G84,"*碧归*")*307)/1024)</f>
        <v>0.176868146929785</v>
      </c>
      <c r="Q84">
        <f ca="1" t="shared" si="69"/>
        <v>0.448284482196154</v>
      </c>
      <c r="R84">
        <f ca="1" t="shared" si="70"/>
        <v>0.21277697966198</v>
      </c>
      <c r="S84">
        <f ca="1" t="shared" si="122"/>
        <v>346182.802657435</v>
      </c>
      <c r="T84">
        <f t="shared" si="123"/>
        <v>0.8</v>
      </c>
      <c r="U84">
        <f ca="1" t="shared" si="71"/>
        <v>2.68954760480339</v>
      </c>
      <c r="V84">
        <f ca="1" t="shared" si="124"/>
        <v>1021806.34429509</v>
      </c>
      <c r="W84">
        <f ca="1">IF(G84="恒定伤害",0,MIN(1,IF(COUNTIF(F84,"*内会*")&gt;0,内会,IF(D84="轻剑",$Y$2,$Y$3)+COUNTIF(G84,"*莺鸣*")*0.2+COUNTIF(G84,"*叠1*")*0.1+COUNTIF(G84,"*叠2*")*0.2+COUNTIF(G84,"*叠3*")*0.3)+IFERROR(INDEX(技能数据库!$T$2:$W$27,MATCH(E84,技能数据库!$T$2:$T$27,0),2),0)+IF((IF(D84="轻剑",$AO$2,$AO$3)+INT(COUNTIF(G84,"*大莺鸣*")*IF(D84="轻剑",$AM$2,$AM$3)*听晓无双率)/无双系数)&gt;0.9,特效裤子会心/会心系数,0)))</f>
        <v>0.9343</v>
      </c>
      <c r="X84">
        <f ca="1">IF(G84="恒定伤害",0,IF(COUNTIF(F84,"*内会*")&gt;0,内会效,IF(D84="轻剑",$AB$2,$AB$3))+IFERROR(INDEX(技能数据库!$T$2:$W$27,MATCH(E84,技能数据库!$T$2:$T$27,0),3)/1024,0))+COUNTIF(G84,"*叠1*")*0.25+COUNTIF(G84,"*叠2*")*0.5+COUNTIF(G84,"*叠3*")*0.75</f>
        <v>2.3156473116</v>
      </c>
      <c r="Y84">
        <f ca="1" t="shared" si="125"/>
        <v>2.22920928322788</v>
      </c>
      <c r="Z84">
        <f t="shared" si="112"/>
        <v>0.150390625</v>
      </c>
      <c r="AA84">
        <f ca="1" t="shared" si="126"/>
        <v>0.0205078125</v>
      </c>
      <c r="AB84">
        <f ca="1" t="shared" si="127"/>
        <v>2674121.31316917</v>
      </c>
      <c r="AC84">
        <f ca="1">技能数计算!AJ76</f>
        <v>0</v>
      </c>
      <c r="AD84" s="164">
        <f ca="1" t="shared" si="113"/>
        <v>0</v>
      </c>
      <c r="AE84" s="168">
        <f ca="1" t="shared" si="73"/>
        <v>0.00432551852444005</v>
      </c>
      <c r="AF84" s="168">
        <f ca="1" t="shared" si="114"/>
        <v>0.00231101292132382</v>
      </c>
      <c r="AG84">
        <f ca="1" t="shared" si="128"/>
        <v>0.00311228705919864</v>
      </c>
      <c r="AH84">
        <f ca="1" t="shared" si="115"/>
        <v>1.00295079967951</v>
      </c>
      <c r="AI84">
        <f ca="1" t="shared" si="116"/>
        <v>1.00016101226475</v>
      </c>
      <c r="AJ84">
        <f ca="1" t="shared" si="117"/>
        <v>0</v>
      </c>
      <c r="AK84">
        <f ca="1" t="shared" si="129"/>
        <v>0</v>
      </c>
      <c r="AL84">
        <f ca="1" t="shared" si="78"/>
        <v>0</v>
      </c>
      <c r="AM84">
        <f ca="1" t="shared" si="130"/>
        <v>0</v>
      </c>
      <c r="AN84" s="168">
        <f ca="1" t="shared" si="79"/>
        <v>0.00841753350912167</v>
      </c>
      <c r="AO84" s="168">
        <f ca="1" t="shared" si="80"/>
        <v>0.00447057613551372</v>
      </c>
      <c r="AP84" s="172">
        <f ca="1" t="shared" si="118"/>
        <v>0</v>
      </c>
      <c r="AQ84" s="168">
        <f ca="1" t="shared" si="119"/>
        <v>0.00393951131463699</v>
      </c>
      <c r="AR84">
        <f t="shared" si="85"/>
        <v>1</v>
      </c>
    </row>
    <row r="85" spans="4:55">
      <c r="D85" t="s">
        <v>1825</v>
      </c>
      <c r="E85" t="s">
        <v>2906</v>
      </c>
      <c r="G85" t="s">
        <v>2750</v>
      </c>
      <c r="H85">
        <f ca="1">INDEX(技能数据库!$B$2:$I$100,MATCH(伤害与收益计算!$E85,技能数据库!$B$2:$B$100,0),MATCH(H$9,技能数据库!$B$2:$I$2,0))</f>
        <v>317.5</v>
      </c>
      <c r="I85">
        <f ca="1">INDEX(技能数据库!$B$2:$I$100,MATCH(伤害与收益计算!$E85,技能数据库!$B$2:$B$100,0),MATCH(I$9,技能数据库!$B$2:$I$2,0))</f>
        <v>1.6875</v>
      </c>
      <c r="J85">
        <f ca="1">INDEX(技能数据库!$B$2:$I$100,MATCH(伤害与收益计算!$E85,技能数据库!$B$2:$B$100,0),MATCH(J$9,技能数据库!$B$2:$I$2,0))</f>
        <v>1</v>
      </c>
      <c r="K85">
        <f ca="1">INDEX(技能数据库!$B$2:$I$100,MATCH(伤害与收益计算!$E85,技能数据库!$B$2:$B$100,0),MATCH(K$9,技能数据库!$B$2:$I$2,0))</f>
        <v>0</v>
      </c>
      <c r="L85">
        <f ca="1" t="shared" si="67"/>
        <v>105847</v>
      </c>
      <c r="M85">
        <f ca="1" t="shared" ref="M85:M86" si="131">IF(D85="轻剑",$AU$2+$AV$2,$AU$3+$AV$3)/2</f>
        <v>19530.5</v>
      </c>
      <c r="N85">
        <f ca="1" t="shared" ref="N85:N86" si="132">IF(D85="轻剑",$AJ$2,$AJ$3)</f>
        <v>92028</v>
      </c>
      <c r="O85">
        <f ca="1" t="shared" ref="O85:O86" si="133">H85+I85*L85+J85*M85+IF(K85&gt;0,MAX(1,K85*N85*破招全局系数),0)</f>
        <v>198464.8125</v>
      </c>
      <c r="P85">
        <f ca="1">IF(G85="恒定伤害",0,(IF(D85="轻剑",$AZ$2,$AZ$3)+IFERROR(INDEX(技能数据库!$T$2:$W$27,MATCH(E85,技能数据库!$T$2:$T$27,0),4),0)+COUNTIF(G85,"*造化2*")*154+COUNTIF(G85,"*造化1*")*102+COUNTIF(G85,"*碧归*")*307)/1024)</f>
        <v>0.176868146929785</v>
      </c>
      <c r="Q85">
        <f ca="1" t="shared" si="69"/>
        <v>0.448284482196154</v>
      </c>
      <c r="R85">
        <f ca="1" t="shared" si="70"/>
        <v>0.21277697966198</v>
      </c>
      <c r="S85">
        <f ca="1" t="shared" ref="S85:S86" si="134">O85*(1+P85)*(1+Q85)*(1-R85)</f>
        <v>266294.986100522</v>
      </c>
      <c r="T85">
        <f t="shared" si="123"/>
        <v>0.8</v>
      </c>
      <c r="U85">
        <f ca="1" t="shared" si="71"/>
        <v>1.7995442148</v>
      </c>
      <c r="V85">
        <f ca="1" t="shared" ref="V85:V86" si="135">S85*T85*(1+U85)</f>
        <v>596403.670214369</v>
      </c>
      <c r="W85">
        <f ca="1">IF(G85="恒定伤害",0,MIN(1,IF(COUNTIF(F85,"*内会*")&gt;0,内会,IF(D85="轻剑",$Y$2,$Y$3)+COUNTIF(G85,"*莺鸣*")*0.2+COUNTIF(G85,"*叠1*")*0.1+COUNTIF(G85,"*叠2*")*0.2+COUNTIF(G85,"*叠3*")*0.3)+IFERROR(INDEX(技能数据库!$T$2:$W$27,MATCH(E85,技能数据库!$T$2:$T$27,0),2),0)+IF((IF(D85="轻剑",$AO$2,$AO$3)+INT(COUNTIF(G85,"*大莺鸣*")*IF(D85="轻剑",$AM$2,$AM$3)*听晓无双率)/无双系数)&gt;0.9,特效裤子会心/会心系数,0)))</f>
        <v>0.7343</v>
      </c>
      <c r="X85">
        <f ca="1">IF(G85="恒定伤害",0,IF(COUNTIF(F85,"*内会*")&gt;0,内会效,IF(D85="轻剑",$AB$2,$AB$3))+IFERROR(INDEX(技能数据库!$T$2:$W$27,MATCH(E85,技能数据库!$T$2:$T$27,0),3)/1024,0))+COUNTIF(G85,"*叠1*")*0.25+COUNTIF(G85,"*叠2*")*0.5+COUNTIF(G85,"*叠3*")*0.75</f>
        <v>2.3156473116</v>
      </c>
      <c r="Y85">
        <f ca="1" t="shared" ref="Y85:Y86" si="136">1+W85*(X85-1)</f>
        <v>1.96607982090788</v>
      </c>
      <c r="Z85">
        <f t="shared" ref="Z85:Z86" si="137">IF(G85="恒定伤害",0,非侠士伤害/1024)</f>
        <v>0.150390625</v>
      </c>
      <c r="AA85">
        <f ca="1" t="shared" ref="AA85:AA86" si="138">IF(D85="轻剑",$BA$2,$BA$3)/1024</f>
        <v>0.0205078125</v>
      </c>
      <c r="AB85">
        <f ca="1" t="shared" ref="AB85:AB86" si="139">V85*Y85*(1+Z85)*(1+AA85)</f>
        <v>1376585.27848787</v>
      </c>
      <c r="AC85">
        <f ca="1">技能数计算!AJ77</f>
        <v>0</v>
      </c>
      <c r="AD85" s="164">
        <f ca="1" t="shared" ref="AD85:AD86" si="140">IFERROR(AB85*AC85/$AD$7,0)</f>
        <v>0</v>
      </c>
      <c r="AE85" s="168">
        <f ca="1" t="shared" si="73"/>
        <v>0.0042173722860822</v>
      </c>
      <c r="AF85" s="168">
        <f ca="1" t="shared" ref="AF85:AF86" si="141">IFERROR((delta武伤+INT((IF(D85="轻剑",$AW$2,$AW$3))/1024*delta武伤))*J85/O85,0)</f>
        <v>0.00300431090271985</v>
      </c>
      <c r="AG85">
        <f ca="1" t="shared" ref="AG85:AG86" si="142">IF(G85="恒定伤害",0,MAX(0,AH85*AI85*IF(AJ85=0,1,AJ85)-1))</f>
        <v>0.00303849954318736</v>
      </c>
      <c r="AH85">
        <f ca="1" t="shared" ref="AH85:AH86" si="143">IFERROR((delta身法+INT((IF(D85="轻剑",$N$2,$N$3))/1024*delta身法))*身法转额外攻击*I85/O85+1,0)</f>
        <v>1.00287702404228</v>
      </c>
      <c r="AI85">
        <f ca="1" t="shared" ref="AI85:AI86" si="144">IFERROR(((delta身法+INT((IF(D85="轻剑",$N$2,$N$3))/1024*delta身法))*身法转额外破防/破防系数+Q85+1)/(1+Q85),0)</f>
        <v>1.00016101226475</v>
      </c>
      <c r="AJ85">
        <f ca="1" t="shared" ref="AJ85:AJ86" si="145">IFERROR(((1+MIN(1,((delta身法+INT((IF(D85="轻剑",$N$2,$N$3))/1024*delta身法))*身法转基础会心/会心系数)+W85)*(X85-1))*AK85)/(Y85*AC85),0)</f>
        <v>0</v>
      </c>
      <c r="AK85">
        <f ca="1" t="shared" ref="AK85:AK86" si="146">AC85</f>
        <v>0</v>
      </c>
      <c r="AL85">
        <f ca="1" t="shared" si="78"/>
        <v>0</v>
      </c>
      <c r="AM85">
        <f ca="1" t="shared" ref="AM85:AM86" si="147">AC85</f>
        <v>0</v>
      </c>
      <c r="AN85" s="168">
        <f ca="1" t="shared" si="79"/>
        <v>0.00750104430192855</v>
      </c>
      <c r="AO85" s="168">
        <f ca="1" t="shared" si="80"/>
        <v>0.00447057613551372</v>
      </c>
      <c r="AP85" s="172">
        <f ca="1" t="shared" ref="AP85:AP86" si="148">IFERROR((delta破招+INT((IF(D85="轻剑",$AI$2,$AI$3))/1024*delta破招))*K85*破招全局系数/MAX(1,O85),0)</f>
        <v>0</v>
      </c>
      <c r="AQ85" s="168">
        <f ca="1" t="shared" ref="AQ85:AQ86" si="149">IF(G85="恒定伤害",0,IFERROR(((delta无双+INT((IF(D85="轻剑",$AL$2,$AL$3)+COUNTIF(G85,"*大莺鸣*")*307)/1024*delta无双))/无双系数+U85+1)/(U85+1)-1,0))</f>
        <v>0.00401583628616287</v>
      </c>
      <c r="AR85">
        <f t="shared" si="85"/>
        <v>1</v>
      </c>
    </row>
    <row r="86" spans="4:55">
      <c r="D86" t="s">
        <v>1825</v>
      </c>
      <c r="E86" t="s">
        <v>2906</v>
      </c>
      <c r="G86" t="s">
        <v>3044</v>
      </c>
      <c r="H86">
        <f ca="1">INDEX(技能数据库!$B$2:$I$100,MATCH(伤害与收益计算!$E86,技能数据库!$B$2:$B$100,0),MATCH(H$9,技能数据库!$B$2:$I$2,0))</f>
        <v>317.5</v>
      </c>
      <c r="I86">
        <f ca="1">INDEX(技能数据库!$B$2:$I$100,MATCH(伤害与收益计算!$E86,技能数据库!$B$2:$B$100,0),MATCH(I$9,技能数据库!$B$2:$I$2,0))</f>
        <v>1.6875</v>
      </c>
      <c r="J86">
        <f ca="1">INDEX(技能数据库!$B$2:$I$100,MATCH(伤害与收益计算!$E86,技能数据库!$B$2:$B$100,0),MATCH(J$9,技能数据库!$B$2:$I$2,0))</f>
        <v>1</v>
      </c>
      <c r="K86">
        <f ca="1">INDEX(技能数据库!$B$2:$I$100,MATCH(伤害与收益计算!$E86,技能数据库!$B$2:$B$100,0),MATCH(K$9,技能数据库!$B$2:$I$2,0))</f>
        <v>0</v>
      </c>
      <c r="L86">
        <f ca="1" t="shared" si="67"/>
        <v>105847</v>
      </c>
      <c r="M86">
        <f ca="1" t="shared" si="131"/>
        <v>19530.5</v>
      </c>
      <c r="N86">
        <f ca="1" t="shared" si="132"/>
        <v>92028</v>
      </c>
      <c r="O86">
        <f ca="1" t="shared" si="133"/>
        <v>198464.8125</v>
      </c>
      <c r="P86">
        <f ca="1">IF(G86="恒定伤害",0,(IF(D86="轻剑",$AZ$2,$AZ$3)+IFERROR(INDEX(技能数据库!$T$2:$W$27,MATCH(E86,技能数据库!$T$2:$T$27,0),4),0)+COUNTIF(G86,"*造化2*")*154+COUNTIF(G86,"*造化1*")*102+COUNTIF(G86,"*碧归*")*307)/1024)</f>
        <v>0.176868146929785</v>
      </c>
      <c r="Q86">
        <f ca="1" t="shared" si="69"/>
        <v>0.448284482196154</v>
      </c>
      <c r="R86">
        <f ca="1" t="shared" si="70"/>
        <v>0.21277697966198</v>
      </c>
      <c r="S86">
        <f ca="1" t="shared" si="134"/>
        <v>266294.986100522</v>
      </c>
      <c r="T86">
        <f t="shared" si="123"/>
        <v>0.8</v>
      </c>
      <c r="U86">
        <f ca="1" t="shared" si="71"/>
        <v>2.68954760480339</v>
      </c>
      <c r="V86">
        <f ca="1" t="shared" si="135"/>
        <v>786006.422510665</v>
      </c>
      <c r="W86">
        <f ca="1">IF(G86="恒定伤害",0,MIN(1,IF(COUNTIF(F86,"*内会*")&gt;0,内会,IF(D86="轻剑",$Y$2,$Y$3)+COUNTIF(G86,"*莺鸣*")*0.2+COUNTIF(G86,"*叠1*")*0.1+COUNTIF(G86,"*叠2*")*0.2+COUNTIF(G86,"*叠3*")*0.3)+IFERROR(INDEX(技能数据库!$T$2:$W$27,MATCH(E86,技能数据库!$T$2:$T$27,0),2),0)+IF((IF(D86="轻剑",$AO$2,$AO$3)+INT(COUNTIF(G86,"*大莺鸣*")*IF(D86="轻剑",$AM$2,$AM$3)*听晓无双率)/无双系数)&gt;0.9,特效裤子会心/会心系数,0)))</f>
        <v>0.9343</v>
      </c>
      <c r="X86">
        <f ca="1">IF(G86="恒定伤害",0,IF(COUNTIF(F86,"*内会*")&gt;0,内会效,IF(D86="轻剑",$AB$2,$AB$3))+IFERROR(INDEX(技能数据库!$T$2:$W$27,MATCH(E86,技能数据库!$T$2:$T$27,0),3)/1024,0))+COUNTIF(G86,"*叠1*")*0.25+COUNTIF(G86,"*叠2*")*0.5+COUNTIF(G86,"*叠3*")*0.75</f>
        <v>2.3156473116</v>
      </c>
      <c r="Y86">
        <f ca="1" t="shared" si="136"/>
        <v>2.22920928322788</v>
      </c>
      <c r="Z86">
        <f t="shared" si="137"/>
        <v>0.150390625</v>
      </c>
      <c r="AA86">
        <f ca="1" t="shared" si="138"/>
        <v>0.0205078125</v>
      </c>
      <c r="AB86">
        <f ca="1" t="shared" si="139"/>
        <v>2057020.43098355</v>
      </c>
      <c r="AC86">
        <f ca="1">技能数计算!AJ78</f>
        <v>0</v>
      </c>
      <c r="AD86" s="164">
        <f ca="1" t="shared" si="140"/>
        <v>0</v>
      </c>
      <c r="AE86" s="168">
        <f ca="1" t="shared" si="73"/>
        <v>0.0042173722860822</v>
      </c>
      <c r="AF86" s="168">
        <f ca="1" t="shared" si="141"/>
        <v>0.00300431090271985</v>
      </c>
      <c r="AG86">
        <f ca="1" t="shared" si="142"/>
        <v>0.00303849954318736</v>
      </c>
      <c r="AH86">
        <f ca="1" t="shared" si="143"/>
        <v>1.00287702404228</v>
      </c>
      <c r="AI86">
        <f ca="1" t="shared" si="144"/>
        <v>1.00016101226475</v>
      </c>
      <c r="AJ86">
        <f ca="1" t="shared" si="145"/>
        <v>0</v>
      </c>
      <c r="AK86">
        <f ca="1" t="shared" si="146"/>
        <v>0</v>
      </c>
      <c r="AL86">
        <f ca="1" t="shared" si="78"/>
        <v>0</v>
      </c>
      <c r="AM86">
        <f ca="1" t="shared" si="147"/>
        <v>0</v>
      </c>
      <c r="AN86" s="168">
        <f ca="1" t="shared" si="79"/>
        <v>0.00841753350912167</v>
      </c>
      <c r="AO86" s="168">
        <f ca="1" t="shared" si="80"/>
        <v>0.00447057613551372</v>
      </c>
      <c r="AP86" s="172">
        <f ca="1" t="shared" si="148"/>
        <v>0</v>
      </c>
      <c r="AQ86" s="168">
        <f ca="1" t="shared" si="149"/>
        <v>0.00393951131463699</v>
      </c>
      <c r="AR86">
        <f t="shared" si="85"/>
        <v>1</v>
      </c>
    </row>
    <row r="87" spans="4:55">
      <c r="D87" t="s">
        <v>1825</v>
      </c>
      <c r="E87" t="s">
        <v>2827</v>
      </c>
      <c r="G87" t="s">
        <v>2750</v>
      </c>
      <c r="H87">
        <f ca="1">INDEX(技能数据库!$B$2:$I$100,MATCH(伤害与收益计算!$E87,技能数据库!$B$2:$B$100,0),MATCH(H$9,技能数据库!$B$2:$I$2,0))</f>
        <v>1</v>
      </c>
      <c r="I87">
        <f ca="1">INDEX(技能数据库!$B$2:$I$100,MATCH(伤害与收益计算!$E87,技能数据库!$B$2:$B$100,0),MATCH(I$9,技能数据库!$B$2:$I$2,0))</f>
        <v>0.375</v>
      </c>
      <c r="J87">
        <f ca="1">INDEX(技能数据库!$B$2:$I$100,MATCH(伤害与收益计算!$E87,技能数据库!$B$2:$B$100,0),MATCH(J$9,技能数据库!$B$2:$I$2,0))</f>
        <v>0</v>
      </c>
      <c r="K87">
        <f ca="1">INDEX(技能数据库!$B$2:$I$100,MATCH(伤害与收益计算!$E87,技能数据库!$B$2:$B$100,0),MATCH(K$9,技能数据库!$B$2:$I$2,0))</f>
        <v>0</v>
      </c>
      <c r="L87">
        <f ca="1" t="shared" si="67"/>
        <v>105847</v>
      </c>
      <c r="M87">
        <f ca="1" t="shared" ref="M87:M91" si="150">IF(D87="轻剑",$AU$2+$AV$2,$AU$3+$AV$3)/2</f>
        <v>19530.5</v>
      </c>
      <c r="N87">
        <f ca="1" t="shared" ref="N87:N91" si="151">IF(D87="轻剑",$AJ$2,$AJ$3)</f>
        <v>92028</v>
      </c>
      <c r="O87">
        <f ca="1" t="shared" ref="O87:O92" si="152">H87+I87*L87+J87*M87+IF(K87&gt;0,MAX(1,K87*N87*破招全局系数),0)</f>
        <v>39693.625</v>
      </c>
      <c r="P87">
        <f ca="1">IF(G87="恒定伤害",0,(IF(D87="轻剑",$AZ$2,$AZ$3)+IFERROR(INDEX(技能数据库!$T$2:$W$27,MATCH(E87,技能数据库!$T$2:$T$27,0),4),0)+COUNTIF(G87,"*造化2*")*154+COUNTIF(G87,"*造化1*")*102+COUNTIF(G87,"*碧归*")*307)/1024)</f>
        <v>0.176868146929785</v>
      </c>
      <c r="Q87">
        <f ca="1" t="shared" si="69"/>
        <v>0.448284482196154</v>
      </c>
      <c r="R87">
        <f ca="1" t="shared" si="70"/>
        <v>0.21277697966198</v>
      </c>
      <c r="S87">
        <f ca="1" t="shared" ref="S87:S91" si="153">O87*(1+P87)*(1+Q87)*(1-R87)</f>
        <v>53259.8861455822</v>
      </c>
      <c r="T87">
        <f t="shared" si="123"/>
        <v>0.8</v>
      </c>
      <c r="U87">
        <f ca="1" t="shared" si="71"/>
        <v>1.7995442148</v>
      </c>
      <c r="V87">
        <f ca="1" t="shared" ref="V87:V91" si="154">S87*T87*(1+U87)</f>
        <v>119282.724911817</v>
      </c>
      <c r="W87">
        <f ca="1">IF(G87="恒定伤害",0,MIN(1,IF(COUNTIF(F87,"*内会*")&gt;0,内会,IF(D87="轻剑",$Y$2,$Y$3)+COUNTIF(G87,"*莺鸣*")*0.2+COUNTIF(G87,"*叠1*")*0.1+COUNTIF(G87,"*叠2*")*0.2+COUNTIF(G87,"*叠3*")*0.3)+IFERROR(INDEX(技能数据库!$T$2:$W$27,MATCH(E87,技能数据库!$T$2:$T$27,0),2),0)+IF((IF(D87="轻剑",$AO$2,$AO$3)+INT(COUNTIF(G87,"*大莺鸣*")*IF(D87="轻剑",$AM$2,$AM$3)*听晓无双率)/无双系数)&gt;0.9,特效裤子会心/会心系数,0)))</f>
        <v>0.7343</v>
      </c>
      <c r="X87">
        <f ca="1">IF(G87="恒定伤害",0,IF(COUNTIF(F87,"*内会*")&gt;0,内会效,IF(D87="轻剑",$AB$2,$AB$3))+IFERROR(INDEX(技能数据库!$T$2:$W$27,MATCH(E87,技能数据库!$T$2:$T$27,0),3)/1024,0))+COUNTIF(G87,"*叠1*")*0.25+COUNTIF(G87,"*叠2*")*0.5+COUNTIF(G87,"*叠3*")*0.75</f>
        <v>2.3156473116</v>
      </c>
      <c r="Y87">
        <f ca="1" t="shared" ref="Y87:Y91" si="155">1+W87*(X87-1)</f>
        <v>1.96607982090788</v>
      </c>
      <c r="Z87">
        <f t="shared" ref="Z87:Z92" si="156">IF(G87="恒定伤害",0,非侠士伤害/1024)</f>
        <v>0.150390625</v>
      </c>
      <c r="AA87">
        <f ca="1" t="shared" ref="AA87:AA91" si="157">IF(D87="轻剑",$BA$2,$BA$3)/1024</f>
        <v>0.0205078125</v>
      </c>
      <c r="AB87">
        <f ca="1" t="shared" ref="AB87:AB91" si="158">V87*Y87*(1+Z87)*(1+AA87)</f>
        <v>275321.650908863</v>
      </c>
      <c r="AC87">
        <f ca="1">技能数计算!AJ79</f>
        <v>23.0849609375</v>
      </c>
      <c r="AD87" s="164">
        <f ca="1" t="shared" ref="AD87:AD91" si="159">IFERROR(AB87*AC87/$AD$7,0)</f>
        <v>0.0020402877005152</v>
      </c>
      <c r="AE87" s="168">
        <f ca="1" t="shared" si="73"/>
        <v>0.00468589099635017</v>
      </c>
      <c r="AF87" s="168">
        <f ca="1" t="shared" ref="AF87:AF92" si="160">IFERROR((delta武伤+INT((IF(D87="轻剑",$AW$2,$AW$3))/1024*delta武伤))*J87/O87,0)</f>
        <v>0</v>
      </c>
      <c r="AG87">
        <f ca="1" t="shared" ref="AG87:AG90" si="161">IF(G87="恒定伤害",0,MAX(0,AH87*AI87*IF(AJ87=0,1,AJ87)-1))</f>
        <v>0.00393278790012341</v>
      </c>
      <c r="AH87">
        <f ca="1" t="shared" ref="AH87:AH92" si="162">IFERROR((delta身法+INT((IF(D87="轻剑",$N$2,$N$3))/1024*delta身法))*身法转额外攻击*I87/O87+1,0)</f>
        <v>1.00319664002642</v>
      </c>
      <c r="AI87">
        <f ca="1" t="shared" ref="AI87:AI92" si="163">IFERROR(((delta身法+INT((IF(D87="轻剑",$N$2,$N$3))/1024*delta身法))*身法转额外破防/破防系数+Q87+1)/(1+Q87),0)</f>
        <v>1.00016101226475</v>
      </c>
      <c r="AJ87">
        <f ca="1" t="shared" ref="AJ87:AJ92" si="164">IFERROR(((1+MIN(1,((delta身法+INT((IF(D87="轻剑",$N$2,$N$3))/1024*delta身法))*身法转基础会心/会心系数)+W87)*(X87-1))*AK87)/(Y87*AC87),0)</f>
        <v>1.0005726976962</v>
      </c>
      <c r="AK87">
        <f ca="1" t="shared" ref="AK87:AK89" si="165">AC87</f>
        <v>23.0849609375</v>
      </c>
      <c r="AL87">
        <f ca="1" t="shared" si="78"/>
        <v>0.00495187192404023</v>
      </c>
      <c r="AM87">
        <f ca="1" t="shared" ref="AM87:AM89" si="166">AC87</f>
        <v>23.0849609375</v>
      </c>
      <c r="AN87" s="168">
        <f ca="1" t="shared" si="79"/>
        <v>0.00750104430192855</v>
      </c>
      <c r="AO87" s="168">
        <f ca="1" t="shared" si="80"/>
        <v>0.00447057613551372</v>
      </c>
      <c r="AP87" s="172">
        <f ca="1" t="shared" ref="AP87:AP92" si="167">IFERROR((delta破招+INT((IF(D87="轻剑",$AI$2,$AI$3))/1024*delta破招))*K87*破招全局系数/MAX(1,O87),0)</f>
        <v>0</v>
      </c>
      <c r="AQ87" s="168">
        <f ca="1" t="shared" ref="AQ87:AQ92" si="168">IF(G87="恒定伤害",0,IFERROR(((delta无双+INT((IF(D87="轻剑",$AL$2,$AL$3)+COUNTIF(G87,"*大莺鸣*")*307)/1024*delta无双))/无双系数+U87+1)/(U87+1)-1,0))</f>
        <v>0.00401583628616287</v>
      </c>
      <c r="AR87">
        <f t="shared" si="85"/>
        <v>1</v>
      </c>
    </row>
    <row r="88" spans="4:55">
      <c r="D88" t="s">
        <v>1825</v>
      </c>
      <c r="E88" t="s">
        <v>2827</v>
      </c>
      <c r="G88" t="s">
        <v>3044</v>
      </c>
      <c r="H88">
        <f ca="1">INDEX(技能数据库!$B$2:$I$100,MATCH(伤害与收益计算!$E88,技能数据库!$B$2:$B$100,0),MATCH(H$9,技能数据库!$B$2:$I$2,0))</f>
        <v>1</v>
      </c>
      <c r="I88">
        <f ca="1">INDEX(技能数据库!$B$2:$I$100,MATCH(伤害与收益计算!$E88,技能数据库!$B$2:$B$100,0),MATCH(I$9,技能数据库!$B$2:$I$2,0))</f>
        <v>0.375</v>
      </c>
      <c r="J88">
        <f ca="1">INDEX(技能数据库!$B$2:$I$100,MATCH(伤害与收益计算!$E88,技能数据库!$B$2:$B$100,0),MATCH(J$9,技能数据库!$B$2:$I$2,0))</f>
        <v>0</v>
      </c>
      <c r="K88">
        <f ca="1">INDEX(技能数据库!$B$2:$I$100,MATCH(伤害与收益计算!$E88,技能数据库!$B$2:$B$100,0),MATCH(K$9,技能数据库!$B$2:$I$2,0))</f>
        <v>0</v>
      </c>
      <c r="L88">
        <f ca="1" t="shared" si="67"/>
        <v>105847</v>
      </c>
      <c r="M88">
        <f ca="1" t="shared" si="150"/>
        <v>19530.5</v>
      </c>
      <c r="N88">
        <f ca="1" t="shared" si="151"/>
        <v>92028</v>
      </c>
      <c r="O88">
        <f ca="1" t="shared" si="152"/>
        <v>39693.625</v>
      </c>
      <c r="P88">
        <f ca="1">IF(G88="恒定伤害",0,(IF(D88="轻剑",$AZ$2,$AZ$3)+IFERROR(INDEX(技能数据库!$T$2:$W$27,MATCH(E88,技能数据库!$T$2:$T$27,0),4),0)+COUNTIF(G88,"*造化2*")*154+COUNTIF(G88,"*造化1*")*102+COUNTIF(G88,"*碧归*")*307)/1024)</f>
        <v>0.176868146929785</v>
      </c>
      <c r="Q88">
        <f ca="1" t="shared" si="69"/>
        <v>0.448284482196154</v>
      </c>
      <c r="R88">
        <f ca="1" t="shared" si="70"/>
        <v>0.21277697966198</v>
      </c>
      <c r="S88">
        <f ca="1" t="shared" si="153"/>
        <v>53259.8861455822</v>
      </c>
      <c r="T88">
        <f t="shared" si="123"/>
        <v>0.8</v>
      </c>
      <c r="U88">
        <f ca="1" t="shared" si="71"/>
        <v>2.68954760480339</v>
      </c>
      <c r="V88">
        <f ca="1" t="shared" si="154"/>
        <v>157203.908288427</v>
      </c>
      <c r="W88">
        <f ca="1">IF(G88="恒定伤害",0,MIN(1,IF(COUNTIF(F88,"*内会*")&gt;0,内会,IF(D88="轻剑",$Y$2,$Y$3)+COUNTIF(G88,"*莺鸣*")*0.2+COUNTIF(G88,"*叠1*")*0.1+COUNTIF(G88,"*叠2*")*0.2+COUNTIF(G88,"*叠3*")*0.3)+IFERROR(INDEX(技能数据库!$T$2:$W$27,MATCH(E88,技能数据库!$T$2:$T$27,0),2),0)+IF((IF(D88="轻剑",$AO$2,$AO$3)+INT(COUNTIF(G88,"*大莺鸣*")*IF(D88="轻剑",$AM$2,$AM$3)*听晓无双率)/无双系数)&gt;0.9,特效裤子会心/会心系数,0)))</f>
        <v>0.9343</v>
      </c>
      <c r="X88">
        <f ca="1">IF(G88="恒定伤害",0,IF(COUNTIF(F88,"*内会*")&gt;0,内会效,IF(D88="轻剑",$AB$2,$AB$3))+IFERROR(INDEX(技能数据库!$T$2:$W$27,MATCH(E88,技能数据库!$T$2:$T$27,0),3)/1024,0))+COUNTIF(G88,"*叠1*")*0.25+COUNTIF(G88,"*叠2*")*0.5+COUNTIF(G88,"*叠3*")*0.75</f>
        <v>2.3156473116</v>
      </c>
      <c r="Y88">
        <f ca="1" t="shared" si="155"/>
        <v>2.22920928322788</v>
      </c>
      <c r="Z88">
        <f t="shared" si="156"/>
        <v>0.150390625</v>
      </c>
      <c r="AA88">
        <f ca="1" t="shared" si="157"/>
        <v>0.0205078125</v>
      </c>
      <c r="AB88">
        <f ca="1" t="shared" si="158"/>
        <v>411410.952784386</v>
      </c>
      <c r="AC88">
        <f ca="1">技能数计算!AJ80</f>
        <v>0</v>
      </c>
      <c r="AD88" s="164">
        <f ca="1" t="shared" si="159"/>
        <v>0</v>
      </c>
      <c r="AE88" s="168">
        <f ca="1" t="shared" si="73"/>
        <v>0.00468589099635017</v>
      </c>
      <c r="AF88" s="168">
        <f ca="1" t="shared" si="160"/>
        <v>0</v>
      </c>
      <c r="AG88">
        <f ca="1" t="shared" si="161"/>
        <v>0.00335816698942049</v>
      </c>
      <c r="AH88">
        <f ca="1" t="shared" si="162"/>
        <v>1.00319664002642</v>
      </c>
      <c r="AI88">
        <f ca="1" t="shared" si="163"/>
        <v>1.00016101226475</v>
      </c>
      <c r="AJ88">
        <f ca="1" t="shared" si="164"/>
        <v>0</v>
      </c>
      <c r="AK88">
        <f ca="1" t="shared" si="165"/>
        <v>0</v>
      </c>
      <c r="AL88">
        <f ca="1" t="shared" si="78"/>
        <v>0</v>
      </c>
      <c r="AM88">
        <f ca="1" t="shared" si="166"/>
        <v>0</v>
      </c>
      <c r="AN88" s="168">
        <f ca="1" t="shared" si="79"/>
        <v>0.00841753350912167</v>
      </c>
      <c r="AO88" s="168">
        <f ca="1" t="shared" si="80"/>
        <v>0.00447057613551372</v>
      </c>
      <c r="AP88" s="172">
        <f ca="1" t="shared" si="167"/>
        <v>0</v>
      </c>
      <c r="AQ88" s="168">
        <f ca="1" t="shared" si="168"/>
        <v>0.00393951131463699</v>
      </c>
      <c r="AR88">
        <f t="shared" si="85"/>
        <v>1</v>
      </c>
    </row>
    <row r="89" spans="4:55">
      <c r="D89" t="s">
        <v>1028</v>
      </c>
      <c r="E89" t="s">
        <v>2915</v>
      </c>
      <c r="G89" t="s">
        <v>3014</v>
      </c>
      <c r="H89">
        <f ca="1">INDEX(技能数据库!$B$2:$I$100,MATCH(伤害与收益计算!$E89,技能数据库!$B$2:$B$100,0),MATCH(H$9,技能数据库!$B$2:$I$2,0))</f>
        <v>115.5</v>
      </c>
      <c r="I89">
        <f ca="1">INDEX(技能数据库!$B$2:$I$100,MATCH(伤害与收益计算!$E89,技能数据库!$B$2:$B$100,0),MATCH(I$9,技能数据库!$B$2:$I$2,0))</f>
        <v>0.49375</v>
      </c>
      <c r="J89">
        <f ca="1">INDEX(技能数据库!$B$2:$I$100,MATCH(伤害与收益计算!$E89,技能数据库!$B$2:$B$100,0),MATCH(J$9,技能数据库!$B$2:$I$2,0))</f>
        <v>1</v>
      </c>
      <c r="K89">
        <f ca="1">INDEX(技能数据库!$B$2:$I$100,MATCH(伤害与收益计算!$E89,技能数据库!$B$2:$B$100,0),MATCH(K$9,技能数据库!$B$2:$I$2,0))</f>
        <v>0</v>
      </c>
      <c r="L89">
        <f ca="1" t="shared" si="67"/>
        <v>105847</v>
      </c>
      <c r="M89">
        <f ca="1" t="shared" si="150"/>
        <v>12694.5</v>
      </c>
      <c r="N89">
        <f ca="1" t="shared" si="151"/>
        <v>92028</v>
      </c>
      <c r="O89">
        <f ca="1" t="shared" si="152"/>
        <v>65071.95625</v>
      </c>
      <c r="P89">
        <f ca="1">IF(G89="恒定伤害",0,(IF(D89="轻剑",$AZ$2,$AZ$3)+IFERROR(INDEX(技能数据库!$T$2:$W$27,MATCH(E89,技能数据库!$T$2:$T$27,0),4),0)+COUNTIF(G89,"*造化2*")*154+COUNTIF(G89,"*造化1*")*102+COUNTIF(G89,"*碧归*")*307)/1024)</f>
        <v>0.0772587719297852</v>
      </c>
      <c r="Q89">
        <f ca="1" t="shared" si="69"/>
        <v>0.448284482196154</v>
      </c>
      <c r="R89">
        <f ca="1" t="shared" si="70"/>
        <v>0.21277697966198</v>
      </c>
      <c r="S89">
        <f ca="1" t="shared" si="153"/>
        <v>79921.8567853391</v>
      </c>
      <c r="T89">
        <f t="shared" si="123"/>
        <v>0.8</v>
      </c>
      <c r="U89">
        <f ca="1" t="shared" si="71"/>
        <v>1.7995442148</v>
      </c>
      <c r="V89">
        <f ca="1" t="shared" si="154"/>
        <v>178995.817439576</v>
      </c>
      <c r="W89">
        <f ca="1">IF(G89="恒定伤害",0,MIN(1,IF(COUNTIF(F89,"*内会*")&gt;0,内会,IF(D89="轻剑",$Y$2,$Y$3)+COUNTIF(G89,"*莺鸣*")*0.2+COUNTIF(G89,"*叠1*")*0.1+COUNTIF(G89,"*叠2*")*0.2+COUNTIF(G89,"*叠3*")*0.3)+IFERROR(INDEX(技能数据库!$T$2:$W$27,MATCH(E89,技能数据库!$T$2:$T$27,0),2),0)+IF((IF(D89="轻剑",$AO$2,$AO$3)+INT(COUNTIF(G89,"*大莺鸣*")*IF(D89="轻剑",$AM$2,$AM$3)*听晓无双率)/无双系数)&gt;0.9,特效裤子会心/会心系数,0)))</f>
        <v>0.9343</v>
      </c>
      <c r="X89">
        <f ca="1">IF(G89="恒定伤害",0,IF(COUNTIF(F89,"*内会*")&gt;0,内会效,IF(D89="轻剑",$AB$2,$AB$3))+IFERROR(INDEX(技能数据库!$T$2:$W$27,MATCH(E89,技能数据库!$T$2:$T$27,0),3)/1024,0))+COUNTIF(G89,"*叠1*")*0.25+COUNTIF(G89,"*叠2*")*0.5+COUNTIF(G89,"*叠3*")*0.75</f>
        <v>2.3156473116</v>
      </c>
      <c r="Y89">
        <f ca="1" t="shared" si="155"/>
        <v>2.22920928322788</v>
      </c>
      <c r="Z89">
        <f t="shared" si="156"/>
        <v>0.150390625</v>
      </c>
      <c r="AA89">
        <f ca="1" t="shared" si="157"/>
        <v>0.0205078125</v>
      </c>
      <c r="AB89">
        <f ca="1" t="shared" si="158"/>
        <v>468441.533031894</v>
      </c>
      <c r="AC89">
        <f ca="1">技能数计算!AJ81</f>
        <v>0</v>
      </c>
      <c r="AD89" s="164">
        <f ca="1" t="shared" si="159"/>
        <v>0</v>
      </c>
      <c r="AE89" s="168">
        <f ca="1" t="shared" si="73"/>
        <v>0.0037635260120215</v>
      </c>
      <c r="AF89" s="168">
        <f ca="1" t="shared" si="160"/>
        <v>0.00916293337961543</v>
      </c>
      <c r="AG89">
        <f ca="1" t="shared" si="161"/>
        <v>0.00272884301030629</v>
      </c>
      <c r="AH89">
        <f ca="1" t="shared" si="162"/>
        <v>1.00256741735987</v>
      </c>
      <c r="AI89">
        <f ca="1" t="shared" si="163"/>
        <v>1.00016101226475</v>
      </c>
      <c r="AJ89">
        <f ca="1" t="shared" si="164"/>
        <v>0</v>
      </c>
      <c r="AK89">
        <f ca="1" t="shared" si="165"/>
        <v>0</v>
      </c>
      <c r="AL89">
        <f ca="1" t="shared" si="78"/>
        <v>0</v>
      </c>
      <c r="AM89">
        <f ca="1" t="shared" si="166"/>
        <v>0</v>
      </c>
      <c r="AN89" s="168">
        <f ca="1" t="shared" si="79"/>
        <v>0.00841753350912167</v>
      </c>
      <c r="AO89" s="168">
        <f ca="1" t="shared" si="80"/>
        <v>0.00447057613551372</v>
      </c>
      <c r="AP89" s="172">
        <f ca="1" t="shared" si="167"/>
        <v>0</v>
      </c>
      <c r="AQ89" s="168">
        <f ca="1" t="shared" si="168"/>
        <v>0.00401583628616287</v>
      </c>
      <c r="AR89">
        <f t="shared" si="85"/>
        <v>1</v>
      </c>
    </row>
    <row r="90" spans="4:55">
      <c r="D90" t="s">
        <v>1825</v>
      </c>
      <c r="E90" t="s">
        <v>2917</v>
      </c>
      <c r="G90" t="s">
        <v>3098</v>
      </c>
      <c r="H90">
        <f ca="1">INDEX(技能数据库!$B$2:$I$100,MATCH(伤害与收益计算!$E90,技能数据库!$B$2:$B$100,0),MATCH(H$9,技能数据库!$B$2:$I$2,0))</f>
        <v>898344</v>
      </c>
      <c r="I90">
        <f ca="1">INDEX(技能数据库!$B$2:$I$100,MATCH(伤害与收益计算!$E90,技能数据库!$B$2:$B$100,0),MATCH(I$9,技能数据库!$B$2:$I$2,0))</f>
        <v>0</v>
      </c>
      <c r="J90">
        <f ca="1">INDEX(技能数据库!$B$2:$I$100,MATCH(伤害与收益计算!$E90,技能数据库!$B$2:$B$100,0),MATCH(J$9,技能数据库!$B$2:$I$2,0))</f>
        <v>0</v>
      </c>
      <c r="K90">
        <f ca="1">INDEX(技能数据库!$B$2:$I$100,MATCH(伤害与收益计算!$E90,技能数据库!$B$2:$B$100,0),MATCH(K$9,技能数据库!$B$2:$I$2,0))</f>
        <v>0</v>
      </c>
      <c r="L90">
        <f ca="1" t="shared" si="67"/>
        <v>91975</v>
      </c>
      <c r="M90">
        <f ca="1" t="shared" si="150"/>
        <v>19530.5</v>
      </c>
      <c r="N90">
        <f ca="1" t="shared" si="151"/>
        <v>92028</v>
      </c>
      <c r="O90">
        <f ca="1" t="shared" si="152"/>
        <v>898344</v>
      </c>
      <c r="P90">
        <f ca="1">IF(G90="恒定伤害",0,(IF(D90="轻剑",$AZ$2,$AZ$3)+IFERROR(INDEX(技能数据库!$T$2:$W$27,MATCH(E90,技能数据库!$T$2:$T$27,0),4),0)+COUNTIF(G90,"*造化2*")*154+COUNTIF(G90,"*造化1*")*102+COUNTIF(G90,"*碧归*")*307)/1024)</f>
        <v>0</v>
      </c>
      <c r="Q90">
        <f ca="1" t="shared" si="69"/>
        <v>0</v>
      </c>
      <c r="R90">
        <f ca="1" t="shared" ref="R90:R95" si="169">IF(G90="恒定伤害",0,(($F$5-IF(D90="轻剑",$BB$2,$BB$3))*(1024-IF(D90="轻剑",$BD$2,$BD$3))/1024*(1024-IF(D90="轻剑",$BC$2,$BC$3)-COUNTIF(G90,"*雾锁*")*461*雾锁)/1024/(($F$5-IF(D90="轻剑",$BB$2,$BB$3))*(1024-IF(D90="轻剑",$BD$2,$BD$3))/1024*(1024-IF(D90="轻剑",$BC$2,$BC$3)-COUNTIF(G90,"*雾锁*")*461*雾锁)/1024+$F$7)))</f>
        <v>0</v>
      </c>
      <c r="S90">
        <f ca="1" t="shared" si="153"/>
        <v>898344</v>
      </c>
      <c r="T90">
        <f t="shared" si="123"/>
        <v>0.8</v>
      </c>
      <c r="U90">
        <f ca="1" t="shared" si="71"/>
        <v>0</v>
      </c>
      <c r="V90">
        <f ca="1" t="shared" si="154"/>
        <v>718675.2</v>
      </c>
      <c r="W90">
        <f ca="1">IF(G90="恒定伤害",0,MIN(1,IF(COUNTIF(F90,"*内会*")&gt;0,内会,IF(D90="轻剑",$Y$2,$Y$3)+COUNTIF(G90,"*莺鸣*")*0.2+COUNTIF(G90,"*叠1*")*0.1+COUNTIF(G90,"*叠2*")*0.2+COUNTIF(G90,"*叠3*")*0.3)+IFERROR(INDEX(技能数据库!$T$2:$W$27,MATCH(E90,技能数据库!$T$2:$T$27,0),2),0)+IF((IF(D90="轻剑",$AO$2,$AO$3)+INT(COUNTIF(G90,"*大莺鸣*")*IF(D90="轻剑",$AM$2,$AM$3)*听晓无双率)/无双系数)&gt;0.9,特效裤子会心/会心系数,0)))</f>
        <v>0</v>
      </c>
      <c r="X90">
        <f ca="1">IF(G90="恒定伤害",0,IF(COUNTIF(F90,"*内会*")&gt;0,内会效,IF(D90="轻剑",$AB$2,$AB$3))+IFERROR(INDEX(技能数据库!$T$2:$W$27,MATCH(E90,技能数据库!$T$2:$T$27,0),3)/1024,0))+COUNTIF(G90,"*叠1*")*0.25+COUNTIF(G90,"*叠2*")*0.5+COUNTIF(G90,"*叠3*")*0.75</f>
        <v>0</v>
      </c>
      <c r="Y90">
        <f ca="1" t="shared" si="155"/>
        <v>1</v>
      </c>
      <c r="Z90">
        <f t="shared" si="156"/>
        <v>0</v>
      </c>
      <c r="AA90">
        <f ca="1" t="shared" si="157"/>
        <v>0.0205078125</v>
      </c>
      <c r="AB90">
        <f ca="1" t="shared" si="158"/>
        <v>733413.65625</v>
      </c>
      <c r="AC90" s="171">
        <f>技能数计算!AJ82</f>
        <v>19.830626450116</v>
      </c>
      <c r="AD90" s="164">
        <f ca="1" t="shared" si="159"/>
        <v>0.00466882212802517</v>
      </c>
      <c r="AE90" s="168">
        <f ca="1" t="shared" si="73"/>
        <v>0</v>
      </c>
      <c r="AF90" s="168">
        <f ca="1" t="shared" si="160"/>
        <v>0</v>
      </c>
      <c r="AG90">
        <f ca="1" t="shared" si="161"/>
        <v>0</v>
      </c>
      <c r="AH90">
        <f ca="1" t="shared" si="162"/>
        <v>1</v>
      </c>
      <c r="AI90">
        <f ca="1" t="shared" si="163"/>
        <v>1.00023319156448</v>
      </c>
      <c r="AJ90">
        <f ca="1" t="shared" si="164"/>
        <v>0</v>
      </c>
      <c r="AK90" s="171">
        <f ca="1">$AC$10*MIN($W$10+((delta身法+INT((IF(D73="轻剑",$N$2,$N$3))/1024*delta身法))*身法转基础会心/会心系数),1)</f>
        <v>0</v>
      </c>
      <c r="AL90">
        <f ca="1" t="shared" si="78"/>
        <v>0</v>
      </c>
      <c r="AM90" s="171">
        <f ca="1">$AC$10*MIN($W$10+delta会心/会心系数,1)</f>
        <v>0</v>
      </c>
      <c r="AN90" s="168">
        <f ca="1" t="shared" si="79"/>
        <v>0</v>
      </c>
      <c r="AO90" s="168">
        <f ca="1" t="shared" si="80"/>
        <v>0</v>
      </c>
      <c r="AP90" s="172">
        <f ca="1" t="shared" si="167"/>
        <v>0</v>
      </c>
      <c r="AQ90" s="168">
        <f ca="1" t="shared" si="168"/>
        <v>0</v>
      </c>
      <c r="AR90">
        <f t="shared" si="85"/>
        <v>1</v>
      </c>
    </row>
    <row r="91" spans="4:55">
      <c r="D91" t="s">
        <v>1028</v>
      </c>
      <c r="E91" t="s">
        <v>2773</v>
      </c>
      <c r="H91">
        <f ca="1">INDEX(技能数据库!$B$2:$I$100,MATCH(伤害与收益计算!$E91,技能数据库!$B$2:$B$100,0),MATCH(H$9,技能数据库!$B$2:$I$2,0))</f>
        <v>138.5</v>
      </c>
      <c r="I91">
        <f ca="1">INDEX(技能数据库!$B$2:$I$100,MATCH(伤害与收益计算!$E91,技能数据库!$B$2:$B$100,0),MATCH(I$9,技能数据库!$B$2:$I$2,0))</f>
        <v>2.01875</v>
      </c>
      <c r="J91">
        <f ca="1">INDEX(技能数据库!$B$2:$I$100,MATCH(伤害与收益计算!$E91,技能数据库!$B$2:$B$100,0),MATCH(J$9,技能数据库!$B$2:$I$2,0))</f>
        <v>0</v>
      </c>
      <c r="K91">
        <f ca="1">INDEX(技能数据库!$B$2:$I$100,MATCH(伤害与收益计算!$E91,技能数据库!$B$2:$B$100,0),MATCH(K$9,技能数据库!$B$2:$I$2,0))</f>
        <v>0</v>
      </c>
      <c r="L91">
        <f ca="1" t="shared" si="67"/>
        <v>91975</v>
      </c>
      <c r="M91">
        <f ca="1" t="shared" si="150"/>
        <v>12694.5</v>
      </c>
      <c r="N91">
        <f ca="1" t="shared" si="151"/>
        <v>92028</v>
      </c>
      <c r="O91">
        <f ca="1" t="shared" si="152"/>
        <v>185813.03125</v>
      </c>
      <c r="P91">
        <f ca="1">IF(G91="恒定伤害",0,(IF(D91="轻剑",$AZ$2,$AZ$3)+IFERROR(INDEX(技能数据库!$T$2:$W$27,MATCH(E91,技能数据库!$T$2:$T$27,0),4),0)+COUNTIF(G91,"*造化2*")*154+COUNTIF(G91,"*造化1*")*102+COUNTIF(G91,"*碧归*")*307)/1024)</f>
        <v>0.247180646929785</v>
      </c>
      <c r="Q91">
        <f ca="1" t="shared" si="69"/>
        <v>0.448284482196154</v>
      </c>
      <c r="R91">
        <f ca="1" t="shared" si="169"/>
        <v>0.32958230397716</v>
      </c>
      <c r="S91">
        <f ca="1" t="shared" si="153"/>
        <v>225011.584505476</v>
      </c>
      <c r="T91">
        <f t="shared" si="123"/>
        <v>0.8</v>
      </c>
      <c r="U91">
        <f ca="1" t="shared" si="71"/>
        <v>1.7995442148</v>
      </c>
      <c r="V91">
        <f ca="1" t="shared" si="154"/>
        <v>503943.903732229</v>
      </c>
      <c r="W91">
        <f ca="1">IF(G91="恒定伤害",0,MIN(1,IF(COUNTIF(F91,"*内会*")&gt;0,内会,IF(D91="轻剑",$Y$2,$Y$3)+COUNTIF(G91,"*莺鸣*")*0.2+COUNTIF(G91,"*叠1*")*0.1+COUNTIF(G91,"*叠2*")*0.2+COUNTIF(G91,"*叠3*")*0.3)+IFERROR(INDEX(技能数据库!$T$2:$W$27,MATCH(E91,技能数据库!$T$2:$T$27,0),2),0)+IF((IF(D91="轻剑",$AO$2,$AO$3)+INT(COUNTIF(G91,"*大莺鸣*")*IF(D91="轻剑",$AM$2,$AM$3)*听晓无双率)/无双系数)&gt;0.9,特效裤子会心/会心系数,0)))</f>
        <v>0.7343</v>
      </c>
      <c r="X91">
        <f ca="1">IF(G91="恒定伤害",0,IF(COUNTIF(F91,"*内会*")&gt;0,内会效,IF(D91="轻剑",$AB$2,$AB$3))+IFERROR(INDEX(技能数据库!$T$2:$W$27,MATCH(E91,技能数据库!$T$2:$T$27,0),3)/1024,0))+COUNTIF(G91,"*叠1*")*0.25+COUNTIF(G91,"*叠2*")*0.5+COUNTIF(G91,"*叠3*")*0.75</f>
        <v>2.3156473116</v>
      </c>
      <c r="Y91">
        <f ca="1" t="shared" si="155"/>
        <v>1.96607982090788</v>
      </c>
      <c r="Z91">
        <f t="shared" si="156"/>
        <v>0.150390625</v>
      </c>
      <c r="AA91">
        <f ca="1" t="shared" si="157"/>
        <v>0.0205078125</v>
      </c>
      <c r="AB91">
        <f ca="1" t="shared" si="158"/>
        <v>1163174.86579542</v>
      </c>
      <c r="AC91">
        <f ca="1">技能数计算!AJ83</f>
        <v>0</v>
      </c>
      <c r="AD91" s="164">
        <f ca="1" t="shared" si="159"/>
        <v>0</v>
      </c>
      <c r="AE91" s="168">
        <f ca="1" t="shared" si="73"/>
        <v>0.00451959689990796</v>
      </c>
      <c r="AF91" s="168">
        <f ca="1" t="shared" si="160"/>
        <v>0</v>
      </c>
      <c r="AG91">
        <f ca="1" t="shared" ref="AG91:AG95" si="170">IF(G91="恒定伤害",0,MAX(0,AH91*AI91*IF(AJ91=0,1,AJ91)-1))</f>
        <v>0.00383772348471023</v>
      </c>
      <c r="AH91">
        <f ca="1" t="shared" si="162"/>
        <v>1.00367611931966</v>
      </c>
      <c r="AI91">
        <f ca="1" t="shared" si="163"/>
        <v>1.00016101226475</v>
      </c>
      <c r="AJ91">
        <f ca="1" t="shared" si="164"/>
        <v>0</v>
      </c>
      <c r="AK91">
        <f ca="1">AC91</f>
        <v>0</v>
      </c>
      <c r="AL91">
        <f ca="1" t="shared" si="78"/>
        <v>0</v>
      </c>
      <c r="AM91">
        <f ca="1">AC91</f>
        <v>0</v>
      </c>
      <c r="AN91" s="168">
        <f ca="1" t="shared" si="79"/>
        <v>0.00750104430192855</v>
      </c>
      <c r="AO91" s="168">
        <f ca="1" t="shared" si="80"/>
        <v>0.00447057613551372</v>
      </c>
      <c r="AP91" s="172">
        <f ca="1" t="shared" si="167"/>
        <v>0</v>
      </c>
      <c r="AQ91" s="168">
        <f ca="1" t="shared" si="168"/>
        <v>0.00401583628616287</v>
      </c>
      <c r="AR91">
        <f t="shared" si="85"/>
        <v>1</v>
      </c>
      <c r="AX91" s="167"/>
      <c r="AY91" s="167"/>
      <c r="AZ91" s="164"/>
      <c r="BB91" s="167"/>
      <c r="BC91" s="164"/>
    </row>
    <row r="92" spans="4:55">
      <c r="D92" t="s">
        <v>1825</v>
      </c>
      <c r="E92" t="s">
        <v>2808</v>
      </c>
      <c r="G92" t="s">
        <v>2750</v>
      </c>
      <c r="H92">
        <f ca="1">INDEX(技能数据库!$B$2:$I$100,MATCH(伤害与收益计算!$E92,技能数据库!$B$2:$B$100,0),MATCH(H$9,技能数据库!$B$2:$I$2,0))</f>
        <v>535</v>
      </c>
      <c r="I92">
        <f ca="1">INDEX(技能数据库!$B$2:$I$100,MATCH(伤害与收益计算!$E92,技能数据库!$B$2:$B$100,0),MATCH(I$9,技能数据库!$B$2:$I$2,0))</f>
        <v>7.06875</v>
      </c>
      <c r="J92">
        <f ca="1">INDEX(技能数据库!$B$2:$I$100,MATCH(伤害与收益计算!$E92,技能数据库!$B$2:$B$100,0),MATCH(J$9,技能数据库!$B$2:$I$2,0))</f>
        <v>2</v>
      </c>
      <c r="K92">
        <f ca="1">INDEX(技能数据库!$B$2:$I$100,MATCH(伤害与收益计算!$E92,技能数据库!$B$2:$B$100,0),MATCH(K$9,技能数据库!$B$2:$I$2,0))</f>
        <v>0</v>
      </c>
      <c r="L92">
        <f ca="1" t="shared" si="67"/>
        <v>105847</v>
      </c>
      <c r="M92">
        <f ca="1" t="shared" ref="M92:M95" si="171">IF(D92="轻剑",$AU$2+$AV$2,$AU$3+$AV$3)/2</f>
        <v>19530.5</v>
      </c>
      <c r="N92">
        <f ca="1" t="shared" ref="N92:N95" si="172">IF(D92="轻剑",$AJ$2,$AJ$3)</f>
        <v>92028</v>
      </c>
      <c r="O92">
        <f ca="1" t="shared" si="152"/>
        <v>787801.98125</v>
      </c>
      <c r="P92">
        <f ca="1">IF(G92="恒定伤害",0,(IF(D92="轻剑",$AZ$2,$AZ$3)+IFERROR(INDEX(技能数据库!$T$2:$W$27,MATCH(E92,技能数据库!$T$2:$T$27,0),4),0)+COUNTIF(G92,"*造化2*")*154+COUNTIF(G92,"*造化1*")*102+COUNTIF(G92,"*碧归*")*307)/1024)</f>
        <v>0.247180646929785</v>
      </c>
      <c r="Q92">
        <f ca="1" t="shared" si="69"/>
        <v>0.448284482196154</v>
      </c>
      <c r="R92">
        <f ca="1" t="shared" si="169"/>
        <v>0.21277697966198</v>
      </c>
      <c r="S92">
        <f ca="1" t="shared" ref="S92:S95" si="173">O92*(1+P92)*(1+Q92)*(1-R92)</f>
        <v>1120206.51623897</v>
      </c>
      <c r="T92">
        <f t="shared" ref="T92:T106" si="174">1-($F$6-130)*0.05</f>
        <v>0.8</v>
      </c>
      <c r="U92">
        <f ca="1" t="shared" si="71"/>
        <v>1.7995442148</v>
      </c>
      <c r="V92">
        <f ca="1" t="shared" ref="V92:V95" si="175">S92*T92*(1+U92)</f>
        <v>2508854.13753446</v>
      </c>
      <c r="W92">
        <f ca="1">IF(G92="恒定伤害",0,MIN(1,IF(COUNTIF(F92,"*内会*")&gt;0,内会,IF(D92="轻剑",$Y$2,$Y$3)+COUNTIF(G92,"*莺鸣*")*0.2+COUNTIF(G92,"*叠1*")*0.1+COUNTIF(G92,"*叠2*")*0.2+COUNTIF(G92,"*叠3*")*0.3)+IFERROR(INDEX(技能数据库!$T$2:$W$27,MATCH(E92,技能数据库!$T$2:$T$27,0),2),0)+IF((IF(D92="轻剑",$AO$2,$AO$3)+INT(COUNTIF(G92,"*大莺鸣*")*IF(D92="轻剑",$AM$2,$AM$3)*听晓无双率)/无双系数)&gt;0.9,特效裤子会心/会心系数,0)))</f>
        <v>0.7343</v>
      </c>
      <c r="X92">
        <f ca="1">IF(G92="恒定伤害",0,IF(COUNTIF(F92,"*内会*")&gt;0,内会效,IF(D92="轻剑",$AB$2,$AB$3))+IFERROR(INDEX(技能数据库!$T$2:$W$27,MATCH(E92,技能数据库!$T$2:$T$27,0),3)/1024,0))+COUNTIF(G92,"*叠1*")*0.25+COUNTIF(G92,"*叠2*")*0.5+COUNTIF(G92,"*叠3*")*0.75</f>
        <v>2.3156473116</v>
      </c>
      <c r="Y92">
        <f ca="1" t="shared" ref="Y92:Y95" si="176">1+W92*(X92-1)</f>
        <v>1.96607982090788</v>
      </c>
      <c r="Z92">
        <f t="shared" si="156"/>
        <v>0.150390625</v>
      </c>
      <c r="AA92">
        <f ca="1" t="shared" ref="AA92:AA95" si="177">IF(D92="轻剑",$BA$2,$BA$3)/1024</f>
        <v>0.0205078125</v>
      </c>
      <c r="AB92">
        <f ca="1" t="shared" ref="AB92:AB95" si="178">V92*Y92*(1+Z92)*(1+AA92)</f>
        <v>5790795.46972262</v>
      </c>
      <c r="AC92">
        <f ca="1">技能数计算!AJ84</f>
        <v>0</v>
      </c>
      <c r="AD92" s="164">
        <f ca="1" t="shared" ref="AD92:AD95" si="179">IFERROR(AB92*AC92/$AD$7,0)</f>
        <v>0</v>
      </c>
      <c r="AE92" s="168">
        <f ca="1" t="shared" si="73"/>
        <v>0.00445048385691655</v>
      </c>
      <c r="AF92" s="168">
        <f ca="1" t="shared" si="160"/>
        <v>0.00151370525637403</v>
      </c>
      <c r="AG92">
        <f ca="1" t="shared" si="170"/>
        <v>0.0031975501401067</v>
      </c>
      <c r="AH92">
        <f ca="1" t="shared" si="162"/>
        <v>1.00303604903423</v>
      </c>
      <c r="AI92">
        <f ca="1" t="shared" si="163"/>
        <v>1.00016101226475</v>
      </c>
      <c r="AJ92">
        <f ca="1" t="shared" si="164"/>
        <v>0</v>
      </c>
      <c r="AK92">
        <f ca="1" t="shared" ref="AK92:AK95" si="180">AC92</f>
        <v>0</v>
      </c>
      <c r="AL92">
        <f ca="1" t="shared" si="78"/>
        <v>0</v>
      </c>
      <c r="AM92">
        <f ca="1" t="shared" ref="AM92:AM95" si="181">AC92</f>
        <v>0</v>
      </c>
      <c r="AN92" s="168">
        <f ca="1" t="shared" si="79"/>
        <v>0.00750104430192855</v>
      </c>
      <c r="AO92" s="168">
        <f ca="1" t="shared" si="80"/>
        <v>0.00447057613551372</v>
      </c>
      <c r="AP92" s="172">
        <f ca="1" t="shared" si="167"/>
        <v>0</v>
      </c>
      <c r="AQ92" s="168">
        <f ca="1" t="shared" si="168"/>
        <v>0.00401583628616287</v>
      </c>
      <c r="AR92">
        <f t="shared" si="85"/>
        <v>1</v>
      </c>
    </row>
    <row r="93" spans="4:55">
      <c r="D93" t="s">
        <v>1028</v>
      </c>
      <c r="E93" t="s">
        <v>2920</v>
      </c>
      <c r="G93" t="s">
        <v>2750</v>
      </c>
      <c r="H93">
        <f ca="1">INDEX(技能数据库!$B$2:$I$100,MATCH(伤害与收益计算!$E93,技能数据库!$B$2:$B$100,0),MATCH(H$9,技能数据库!$B$2:$I$2,0))</f>
        <v>1</v>
      </c>
      <c r="I93">
        <f ca="1">INDEX(技能数据库!$B$2:$I$100,MATCH(伤害与收益计算!$E93,技能数据库!$B$2:$B$100,0),MATCH(I$9,技能数据库!$B$2:$I$2,0))</f>
        <v>0.3125</v>
      </c>
      <c r="J93">
        <f ca="1">INDEX(技能数据库!$B$2:$I$100,MATCH(伤害与收益计算!$E93,技能数据库!$B$2:$B$100,0),MATCH(J$9,技能数据库!$B$2:$I$2,0))</f>
        <v>0</v>
      </c>
      <c r="K93">
        <f ca="1">INDEX(技能数据库!$B$2:$I$100,MATCH(伤害与收益计算!$E93,技能数据库!$B$2:$B$100,0),MATCH(K$9,技能数据库!$B$2:$I$2,0))</f>
        <v>0</v>
      </c>
      <c r="L93">
        <f ca="1" t="shared" si="67"/>
        <v>105847</v>
      </c>
      <c r="M93">
        <f ca="1" t="shared" si="171"/>
        <v>12694.5</v>
      </c>
      <c r="N93">
        <f ca="1" t="shared" si="172"/>
        <v>92028</v>
      </c>
      <c r="O93">
        <f ca="1" t="shared" ref="O93:O95" si="182">H93+I93*L93+J93*M93+IF(K93&gt;0,MAX(1,K93*N93*破招全局系数),0)</f>
        <v>33078.1875</v>
      </c>
      <c r="P93">
        <f ca="1">IF(G93="恒定伤害",0,(IF(D93="轻剑",$AZ$2,$AZ$3)+IFERROR(INDEX(技能数据库!$T$2:$W$27,MATCH(E93,技能数据库!$T$2:$T$27,0),4),0)+COUNTIF(G93,"*造化2*")*154+COUNTIF(G93,"*造化1*")*102+COUNTIF(G93,"*碧归*")*307)/1024)</f>
        <v>0.0772587719297852</v>
      </c>
      <c r="Q93">
        <f ca="1" t="shared" si="69"/>
        <v>0.448284482196154</v>
      </c>
      <c r="R93">
        <f ca="1" t="shared" si="169"/>
        <v>0.21277697966198</v>
      </c>
      <c r="S93">
        <f ca="1" t="shared" si="173"/>
        <v>40626.8739476169</v>
      </c>
      <c r="T93">
        <f t="shared" si="174"/>
        <v>0.8</v>
      </c>
      <c r="U93">
        <f ca="1" t="shared" si="71"/>
        <v>1.7995442148</v>
      </c>
      <c r="V93">
        <f ca="1" t="shared" si="175"/>
        <v>90989.3839403679</v>
      </c>
      <c r="W93">
        <f ca="1">IF(G93="恒定伤害",0,MIN(1,IF(COUNTIF(F93,"*内会*")&gt;0,内会,IF(D93="轻剑",$Y$2,$Y$3)+COUNTIF(G93,"*莺鸣*")*0.2+COUNTIF(G93,"*叠1*")*0.1+COUNTIF(G93,"*叠2*")*0.2+COUNTIF(G93,"*叠3*")*0.3)+IFERROR(INDEX(技能数据库!$T$2:$W$27,MATCH(E93,技能数据库!$T$2:$T$27,0),2),0)+IF((IF(D93="轻剑",$AO$2,$AO$3)+INT(COUNTIF(G93,"*大莺鸣*")*IF(D93="轻剑",$AM$2,$AM$3)*听晓无双率)/无双系数)&gt;0.9,特效裤子会心/会心系数,0)))</f>
        <v>0.7343</v>
      </c>
      <c r="X93">
        <f ca="1">IF(G93="恒定伤害",0,IF(COUNTIF(F93,"*内会*")&gt;0,内会效,IF(D93="轻剑",$AB$2,$AB$3))+IFERROR(INDEX(技能数据库!$T$2:$W$27,MATCH(E93,技能数据库!$T$2:$T$27,0),3)/1024,0))+COUNTIF(G93,"*叠1*")*0.25+COUNTIF(G93,"*叠2*")*0.5+COUNTIF(G93,"*叠3*")*0.75</f>
        <v>2.3156473116</v>
      </c>
      <c r="Y93">
        <f ca="1" t="shared" si="176"/>
        <v>1.96607982090788</v>
      </c>
      <c r="Z93">
        <f t="shared" ref="Z93:Z95" si="183">IF(G93="恒定伤害",0,非侠士伤害/1024)</f>
        <v>0.150390625</v>
      </c>
      <c r="AA93">
        <f ca="1" t="shared" si="177"/>
        <v>0.0205078125</v>
      </c>
      <c r="AB93">
        <f ca="1" t="shared" si="178"/>
        <v>210016.558727698</v>
      </c>
      <c r="AC93">
        <f ca="1">技能数计算!AJ85</f>
        <v>0.80078125</v>
      </c>
      <c r="AD93" s="164">
        <f ca="1" t="shared" si="179"/>
        <v>5.39870175667778e-5</v>
      </c>
      <c r="AE93" s="168">
        <f ca="1" t="shared" si="73"/>
        <v>0.00468586738617405</v>
      </c>
      <c r="AF93" s="168">
        <f ca="1" t="shared" ref="AF93:AF95" si="184">IFERROR((delta武伤+INT((IF(D93="轻剑",$AW$2,$AW$3))/1024*delta武伤))*J93/O93,0)</f>
        <v>0</v>
      </c>
      <c r="AG93">
        <f ca="1" t="shared" si="170"/>
        <v>0.00393277178181939</v>
      </c>
      <c r="AH93">
        <f ca="1" t="shared" ref="AH93:AH95" si="185">IFERROR((delta身法+INT((IF(D93="轻剑",$N$2,$N$3))/1024*delta身法))*身法转额外攻击*I93/O93+1,0)</f>
        <v>1.00319662391994</v>
      </c>
      <c r="AI93">
        <f ca="1" t="shared" ref="AI93:AI95" si="186">IFERROR(((delta身法+INT((IF(D93="轻剑",$N$2,$N$3))/1024*delta身法))*身法转额外破防/破防系数+Q93+1)/(1+Q93),0)</f>
        <v>1.00016101226475</v>
      </c>
      <c r="AJ93">
        <f ca="1" t="shared" ref="AJ93:AJ95" si="187">IFERROR(((1+MIN(1,((delta身法+INT((IF(D93="轻剑",$N$2,$N$3))/1024*delta身法))*身法转基础会心/会心系数)+W93)*(X93-1))*AK93)/(Y93*AC93),0)</f>
        <v>1.0005726976962</v>
      </c>
      <c r="AK93">
        <f ca="1" t="shared" si="180"/>
        <v>0.80078125</v>
      </c>
      <c r="AL93">
        <f ca="1" t="shared" si="78"/>
        <v>0.00495187192404023</v>
      </c>
      <c r="AM93">
        <f ca="1" t="shared" si="181"/>
        <v>0.80078125</v>
      </c>
      <c r="AN93" s="168">
        <f ca="1" t="shared" si="79"/>
        <v>0.00750104430192855</v>
      </c>
      <c r="AO93" s="168">
        <f ca="1" t="shared" si="80"/>
        <v>0.00447057613551372</v>
      </c>
      <c r="AP93" s="172">
        <f ca="1" t="shared" ref="AP93:AP95" si="188">IFERROR((delta破招+INT((IF(D93="轻剑",$AI$2,$AI$3))/1024*delta破招))*K93*破招全局系数/MAX(1,O93),0)</f>
        <v>0</v>
      </c>
      <c r="AQ93" s="168">
        <f ca="1" t="shared" ref="AQ93:AQ95" si="189">IF(G93="恒定伤害",0,IFERROR(((delta无双+INT((IF(D93="轻剑",$AL$2,$AL$3)+COUNTIF(G93,"*大莺鸣*")*307)/1024*delta无双))/无双系数+U93+1)/(U93+1)-1,0))</f>
        <v>0.00401583628616287</v>
      </c>
      <c r="AR93">
        <f t="shared" ref="AR93:AR95" si="190">IF($AR$8="综合属性收益",1,COUNTIF(D93,LEFT($AR$8,2)))</f>
        <v>1</v>
      </c>
    </row>
    <row r="94" spans="4:55">
      <c r="D94" t="s">
        <v>1028</v>
      </c>
      <c r="E94" t="s">
        <v>2920</v>
      </c>
      <c r="G94" t="s">
        <v>3014</v>
      </c>
      <c r="H94">
        <f ca="1">INDEX(技能数据库!$B$2:$I$100,MATCH(伤害与收益计算!$E94,技能数据库!$B$2:$B$100,0),MATCH(H$9,技能数据库!$B$2:$I$2,0))</f>
        <v>1</v>
      </c>
      <c r="I94">
        <f ca="1">INDEX(技能数据库!$B$2:$I$100,MATCH(伤害与收益计算!$E94,技能数据库!$B$2:$B$100,0),MATCH(I$9,技能数据库!$B$2:$I$2,0))</f>
        <v>0.3125</v>
      </c>
      <c r="J94">
        <f ca="1">INDEX(技能数据库!$B$2:$I$100,MATCH(伤害与收益计算!$E94,技能数据库!$B$2:$B$100,0),MATCH(J$9,技能数据库!$B$2:$I$2,0))</f>
        <v>0</v>
      </c>
      <c r="K94">
        <f ca="1">INDEX(技能数据库!$B$2:$I$100,MATCH(伤害与收益计算!$E94,技能数据库!$B$2:$B$100,0),MATCH(K$9,技能数据库!$B$2:$I$2,0))</f>
        <v>0</v>
      </c>
      <c r="L94">
        <f ca="1" t="shared" si="67"/>
        <v>105847</v>
      </c>
      <c r="M94">
        <f ca="1" t="shared" si="171"/>
        <v>12694.5</v>
      </c>
      <c r="N94">
        <f ca="1" t="shared" si="172"/>
        <v>92028</v>
      </c>
      <c r="O94">
        <f ca="1" t="shared" si="182"/>
        <v>33078.1875</v>
      </c>
      <c r="P94">
        <f ca="1">IF(G94="恒定伤害",0,(IF(D94="轻剑",$AZ$2,$AZ$3)+IFERROR(INDEX(技能数据库!$T$2:$W$27,MATCH(E94,技能数据库!$T$2:$T$27,0),4),0)+COUNTIF(G94,"*造化2*")*154+COUNTIF(G94,"*造化1*")*102+COUNTIF(G94,"*碧归*")*307)/1024)</f>
        <v>0.0772587719297852</v>
      </c>
      <c r="Q94">
        <f ca="1" t="shared" si="69"/>
        <v>0.448284482196154</v>
      </c>
      <c r="R94">
        <f ca="1" t="shared" si="169"/>
        <v>0.21277697966198</v>
      </c>
      <c r="S94">
        <f ca="1" t="shared" si="173"/>
        <v>40626.8739476169</v>
      </c>
      <c r="T94">
        <f t="shared" si="174"/>
        <v>0.8</v>
      </c>
      <c r="U94">
        <f ca="1" t="shared" si="71"/>
        <v>1.7995442148</v>
      </c>
      <c r="V94">
        <f ca="1" t="shared" si="175"/>
        <v>90989.3839403679</v>
      </c>
      <c r="W94">
        <f ca="1">IF(G94="恒定伤害",0,MIN(1,IF(COUNTIF(F94,"*内会*")&gt;0,内会,IF(D94="轻剑",$Y$2,$Y$3)+COUNTIF(G94,"*莺鸣*")*0.2+COUNTIF(G94,"*叠1*")*0.1+COUNTIF(G94,"*叠2*")*0.2+COUNTIF(G94,"*叠3*")*0.3)+IFERROR(INDEX(技能数据库!$T$2:$W$27,MATCH(E94,技能数据库!$T$2:$T$27,0),2),0)+IF((IF(D94="轻剑",$AO$2,$AO$3)+INT(COUNTIF(G94,"*大莺鸣*")*IF(D94="轻剑",$AM$2,$AM$3)*听晓无双率)/无双系数)&gt;0.9,特效裤子会心/会心系数,0)))</f>
        <v>0.9343</v>
      </c>
      <c r="X94">
        <f ca="1">IF(G94="恒定伤害",0,IF(COUNTIF(F94,"*内会*")&gt;0,内会效,IF(D94="轻剑",$AB$2,$AB$3))+IFERROR(INDEX(技能数据库!$T$2:$W$27,MATCH(E94,技能数据库!$T$2:$T$27,0),3)/1024,0))+COUNTIF(G94,"*叠1*")*0.25+COUNTIF(G94,"*叠2*")*0.5+COUNTIF(G94,"*叠3*")*0.75</f>
        <v>2.3156473116</v>
      </c>
      <c r="Y94">
        <f ca="1" t="shared" si="176"/>
        <v>2.22920928322788</v>
      </c>
      <c r="Z94">
        <f t="shared" si="183"/>
        <v>0.150390625</v>
      </c>
      <c r="AA94">
        <f ca="1" t="shared" si="177"/>
        <v>0.0205078125</v>
      </c>
      <c r="AB94">
        <f ca="1" t="shared" si="178"/>
        <v>238124.03614985</v>
      </c>
      <c r="AC94">
        <f ca="1">技能数计算!AJ86</f>
        <v>0</v>
      </c>
      <c r="AD94" s="164">
        <f ca="1" t="shared" si="179"/>
        <v>0</v>
      </c>
      <c r="AE94" s="168">
        <f ca="1" t="shared" si="73"/>
        <v>0.00468586738617405</v>
      </c>
      <c r="AF94" s="168">
        <f ca="1" t="shared" si="184"/>
        <v>0</v>
      </c>
      <c r="AG94">
        <f ca="1" t="shared" si="170"/>
        <v>0.00335815088034197</v>
      </c>
      <c r="AH94">
        <f ca="1" t="shared" si="185"/>
        <v>1.00319662391994</v>
      </c>
      <c r="AI94">
        <f ca="1" t="shared" si="186"/>
        <v>1.00016101226475</v>
      </c>
      <c r="AJ94">
        <f ca="1" t="shared" si="187"/>
        <v>0</v>
      </c>
      <c r="AK94">
        <f ca="1" t="shared" si="180"/>
        <v>0</v>
      </c>
      <c r="AL94">
        <f ca="1" t="shared" si="78"/>
        <v>0</v>
      </c>
      <c r="AM94">
        <f ca="1" t="shared" si="181"/>
        <v>0</v>
      </c>
      <c r="AN94" s="168">
        <f ca="1" t="shared" si="79"/>
        <v>0.00841753350912167</v>
      </c>
      <c r="AO94" s="168">
        <f ca="1" t="shared" si="80"/>
        <v>0.00447057613551372</v>
      </c>
      <c r="AP94" s="172">
        <f ca="1" t="shared" si="188"/>
        <v>0</v>
      </c>
      <c r="AQ94" s="168">
        <f ca="1" t="shared" si="189"/>
        <v>0.00401583628616287</v>
      </c>
      <c r="AR94">
        <f t="shared" si="190"/>
        <v>1</v>
      </c>
    </row>
    <row r="95" spans="4:55">
      <c r="D95" t="s">
        <v>1825</v>
      </c>
      <c r="E95" t="s">
        <v>2808</v>
      </c>
      <c r="G95" t="s">
        <v>3069</v>
      </c>
      <c r="H95">
        <f ca="1">INDEX(技能数据库!$B$2:$I$100,MATCH(伤害与收益计算!$E95,技能数据库!$B$2:$B$100,0),MATCH(H$9,技能数据库!$B$2:$I$2,0))</f>
        <v>535</v>
      </c>
      <c r="I95">
        <f ca="1">INDEX(技能数据库!$B$2:$I$100,MATCH(伤害与收益计算!$E95,技能数据库!$B$2:$B$100,0),MATCH(I$9,技能数据库!$B$2:$I$2,0))</f>
        <v>7.06875</v>
      </c>
      <c r="J95">
        <f ca="1">INDEX(技能数据库!$B$2:$I$100,MATCH(伤害与收益计算!$E95,技能数据库!$B$2:$B$100,0),MATCH(J$9,技能数据库!$B$2:$I$2,0))</f>
        <v>2</v>
      </c>
      <c r="K95">
        <f ca="1">INDEX(技能数据库!$B$2:$I$100,MATCH(伤害与收益计算!$E95,技能数据库!$B$2:$B$100,0),MATCH(K$9,技能数据库!$B$2:$I$2,0))</f>
        <v>0</v>
      </c>
      <c r="L95">
        <f ca="1" t="shared" si="67"/>
        <v>105847</v>
      </c>
      <c r="M95">
        <f ca="1" t="shared" si="171"/>
        <v>19530.5</v>
      </c>
      <c r="N95">
        <f ca="1" t="shared" si="172"/>
        <v>92028</v>
      </c>
      <c r="O95">
        <f ca="1" t="shared" si="182"/>
        <v>787801.98125</v>
      </c>
      <c r="P95">
        <f ca="1">IF(G95="恒定伤害",0,(IF(D95="轻剑",$AZ$2,$AZ$3)+IFERROR(INDEX(技能数据库!$T$2:$W$27,MATCH(E95,技能数据库!$T$2:$T$27,0),4),0)+COUNTIF(G95,"*造化2*")*154+COUNTIF(G95,"*造化1*")*102+COUNTIF(G95,"*碧归*")*307)/1024)</f>
        <v>0.397571271929785</v>
      </c>
      <c r="Q95">
        <f ca="1" t="shared" si="69"/>
        <v>0.448284482196154</v>
      </c>
      <c r="R95">
        <f ca="1" t="shared" si="169"/>
        <v>0.21277697966198</v>
      </c>
      <c r="S95">
        <f ca="1" t="shared" si="173"/>
        <v>1255286.03220241</v>
      </c>
      <c r="T95">
        <f t="shared" si="174"/>
        <v>0.8</v>
      </c>
      <c r="U95">
        <f ca="1" t="shared" si="71"/>
        <v>1.7995442148</v>
      </c>
      <c r="V95">
        <f ca="1" t="shared" si="175"/>
        <v>2811382.99949721</v>
      </c>
      <c r="W95">
        <f ca="1">IF(G95="恒定伤害",0,MIN(1,IF(COUNTIF(F95,"*内会*")&gt;0,内会,IF(D95="轻剑",$Y$2,$Y$3)+COUNTIF(G95,"*莺鸣*")*0.2+COUNTIF(G95,"*叠1*")*0.1+COUNTIF(G95,"*叠2*")*0.2+COUNTIF(G95,"*叠3*")*0.3)+IFERROR(INDEX(技能数据库!$T$2:$W$27,MATCH(E95,技能数据库!$T$2:$T$27,0),2),0)+IF((IF(D95="轻剑",$AO$2,$AO$3)+INT(COUNTIF(G95,"*大莺鸣*")*IF(D95="轻剑",$AM$2,$AM$3)*听晓无双率)/无双系数)&gt;0.9,特效裤子会心/会心系数,0)))</f>
        <v>0.7343</v>
      </c>
      <c r="X95">
        <f ca="1">IF(G95="恒定伤害",0,IF(COUNTIF(F95,"*内会*")&gt;0,内会效,IF(D95="轻剑",$AB$2,$AB$3))+IFERROR(INDEX(技能数据库!$T$2:$W$27,MATCH(E95,技能数据库!$T$2:$T$27,0),3)/1024,0))+COUNTIF(G95,"*叠1*")*0.25+COUNTIF(G95,"*叠2*")*0.5+COUNTIF(G95,"*叠3*")*0.75</f>
        <v>2.3156473116</v>
      </c>
      <c r="Y95">
        <f ca="1" t="shared" si="176"/>
        <v>1.96607982090788</v>
      </c>
      <c r="Z95">
        <f t="shared" si="183"/>
        <v>0.150390625</v>
      </c>
      <c r="AA95">
        <f ca="1" t="shared" si="177"/>
        <v>0.0205078125</v>
      </c>
      <c r="AB95">
        <f ca="1" t="shared" si="178"/>
        <v>6489075.50804956</v>
      </c>
      <c r="AC95">
        <f ca="1">技能数计算!AJ87</f>
        <v>0</v>
      </c>
      <c r="AD95" s="164">
        <f ca="1" t="shared" si="179"/>
        <v>0</v>
      </c>
      <c r="AE95" s="168">
        <f ca="1" t="shared" si="73"/>
        <v>0.00445048385691655</v>
      </c>
      <c r="AF95" s="168">
        <f ca="1" t="shared" si="184"/>
        <v>0.00151370525637403</v>
      </c>
      <c r="AG95">
        <f ca="1" t="shared" si="170"/>
        <v>0.0031975501401067</v>
      </c>
      <c r="AH95">
        <f ca="1" t="shared" si="185"/>
        <v>1.00303604903423</v>
      </c>
      <c r="AI95">
        <f ca="1" t="shared" si="186"/>
        <v>1.00016101226475</v>
      </c>
      <c r="AJ95">
        <f ca="1" t="shared" si="187"/>
        <v>0</v>
      </c>
      <c r="AK95">
        <f ca="1" t="shared" si="180"/>
        <v>0</v>
      </c>
      <c r="AL95">
        <f ca="1" t="shared" si="78"/>
        <v>0</v>
      </c>
      <c r="AM95">
        <f ca="1" t="shared" si="181"/>
        <v>0</v>
      </c>
      <c r="AN95" s="168">
        <f ca="1" t="shared" si="79"/>
        <v>0.00750104430192855</v>
      </c>
      <c r="AO95" s="168">
        <f ca="1" t="shared" si="80"/>
        <v>0.00447057613551372</v>
      </c>
      <c r="AP95" s="172">
        <f ca="1" t="shared" si="188"/>
        <v>0</v>
      </c>
      <c r="AQ95" s="168">
        <f ca="1" t="shared" si="189"/>
        <v>0.00401583628616287</v>
      </c>
      <c r="AR95">
        <f t="shared" si="190"/>
        <v>1</v>
      </c>
    </row>
    <row r="96" spans="4:55">
      <c r="D96" t="s">
        <v>1825</v>
      </c>
      <c r="E96" t="s">
        <v>2820</v>
      </c>
      <c r="G96" t="s">
        <v>2750</v>
      </c>
      <c r="H96">
        <f ca="1">INDEX(技能数据库!$B$2:$I$100,MATCH(伤害与收益计算!$E96,技能数据库!$B$2:$B$100,0),MATCH(H$9,技能数据库!$B$2:$I$2,0))</f>
        <v>31590</v>
      </c>
      <c r="I96">
        <f ca="1">INDEX(技能数据库!$B$2:$I$100,MATCH(伤害与收益计算!$E96,技能数据库!$B$2:$B$100,0),MATCH(I$9,技能数据库!$B$2:$I$2,0))</f>
        <v>0</v>
      </c>
      <c r="J96">
        <f ca="1">INDEX(技能数据库!$B$2:$I$100,MATCH(伤害与收益计算!$E96,技能数据库!$B$2:$B$100,0),MATCH(J$9,技能数据库!$B$2:$I$2,0))</f>
        <v>0</v>
      </c>
      <c r="K96">
        <f ca="1">INDEX(技能数据库!$B$2:$I$100,MATCH(伤害与收益计算!$E96,技能数据库!$B$2:$B$100,0),MATCH(K$9,技能数据库!$B$2:$I$2,0))</f>
        <v>0</v>
      </c>
      <c r="L96">
        <f ca="1" t="shared" si="67"/>
        <v>105847</v>
      </c>
      <c r="M96">
        <f ca="1" t="shared" ref="M96" si="191">IF(D96="轻剑",$AU$2+$AV$2,$AU$3+$AV$3)/2</f>
        <v>19530.5</v>
      </c>
      <c r="N96">
        <f ca="1" t="shared" ref="N96" si="192">IF(D96="轻剑",$AJ$2,$AJ$3)</f>
        <v>92028</v>
      </c>
      <c r="O96">
        <f ca="1" t="shared" ref="O96" si="193">H96+I96*L96+J96*M96+IF(K96&gt;0,MAX(1,K96*N96*破招全局系数),0)</f>
        <v>31590</v>
      </c>
      <c r="P96">
        <f ca="1">IF(G96="恒定伤害",0,(IF(D96="轻剑",$AZ$2,$AZ$3)+IFERROR(INDEX(技能数据库!$T$2:$W$27,MATCH(E96,技能数据库!$T$2:$T$27,0),4),0)+COUNTIF(G96,"*造化2*")*154+COUNTIF(G96,"*造化1*")*102+COUNTIF(G96,"*碧归*")*307)/1024)</f>
        <v>0.176868146929785</v>
      </c>
      <c r="Q96">
        <f ca="1" t="shared" si="69"/>
        <v>0.448284482196154</v>
      </c>
      <c r="R96">
        <f ca="1" t="shared" ref="R96" si="194">IF(G96="恒定伤害",0,(($F$5-IF(D96="轻剑",$BB$2,$BB$3))*(1024-IF(D96="轻剑",$BD$2,$BD$3))/1024*(1024-IF(D96="轻剑",$BC$2,$BC$3)-COUNTIF(G96,"*雾锁*")*461*雾锁)/1024/(($F$5-IF(D96="轻剑",$BB$2,$BB$3))*(1024-IF(D96="轻剑",$BD$2,$BD$3))/1024*(1024-IF(D96="轻剑",$BC$2,$BC$3)-COUNTIF(G96,"*雾锁*")*461*雾锁)/1024+$F$7)))</f>
        <v>0.21277697966198</v>
      </c>
      <c r="S96">
        <f ca="1" t="shared" ref="S96" si="195">O96*(1+P96)*(1+Q96)*(1-R96)</f>
        <v>42386.6503333707</v>
      </c>
      <c r="T96">
        <f t="shared" si="174"/>
        <v>0.8</v>
      </c>
      <c r="U96">
        <f ca="1" t="shared" si="71"/>
        <v>1.7995442148</v>
      </c>
      <c r="V96">
        <f ca="1" t="shared" ref="V96" si="196">S96*T96*(1+U96)</f>
        <v>94930.6413804307</v>
      </c>
      <c r="W96">
        <f ca="1">IF(G96="恒定伤害",0,MIN(1,IF(COUNTIF(F96,"*内会*")&gt;0,内会,IF(D96="轻剑",$Y$2,$Y$3)+COUNTIF(G96,"*莺鸣*")*0.2+COUNTIF(G96,"*叠1*")*0.1+COUNTIF(G96,"*叠2*")*0.2+COUNTIF(G96,"*叠3*")*0.3)+IFERROR(INDEX(技能数据库!$T$2:$W$27,MATCH(E96,技能数据库!$T$2:$T$27,0),2),0)+IF((IF(D96="轻剑",$AO$2,$AO$3)+INT(COUNTIF(G96,"*大莺鸣*")*IF(D96="轻剑",$AM$2,$AM$3)*听晓无双率)/无双系数)&gt;0.9,特效裤子会心/会心系数,0)))</f>
        <v>0.7343</v>
      </c>
      <c r="X96">
        <f ca="1">IF(G96="恒定伤害",0,IF(COUNTIF(F96,"*内会*")&gt;0,内会效,IF(D96="轻剑",$AB$2,$AB$3))+IFERROR(INDEX(技能数据库!$T$2:$W$27,MATCH(E96,技能数据库!$T$2:$T$27,0),3)/1024,0))+COUNTIF(G96,"*叠1*")*0.25+COUNTIF(G96,"*叠2*")*0.5+COUNTIF(G96,"*叠3*")*0.75</f>
        <v>2.3156473116</v>
      </c>
      <c r="Y96">
        <f ca="1" t="shared" ref="Y96" si="197">1+W96*(X96-1)</f>
        <v>1.96607982090788</v>
      </c>
      <c r="Z96">
        <f t="shared" ref="Z96" si="198">IF(G96="恒定伤害",0,非侠士伤害/1024)</f>
        <v>0.150390625</v>
      </c>
      <c r="AA96">
        <f ca="1" t="shared" ref="AA96" si="199">IF(D96="轻剑",$BA$2,$BA$3)/1024</f>
        <v>0.0205078125</v>
      </c>
      <c r="AB96">
        <f ca="1" t="shared" ref="AB96" si="200">V96*Y96*(1+Z96)*(1+AA96)</f>
        <v>219113.546626467</v>
      </c>
      <c r="AC96">
        <f ca="1">技能数计算!AJ88</f>
        <v>0</v>
      </c>
      <c r="AD96" s="164">
        <f ca="1" t="shared" ref="AD96" si="201">IFERROR(AB96*AC96/$AD$7,0)</f>
        <v>0</v>
      </c>
      <c r="AE96" s="168">
        <f ca="1" t="shared" si="73"/>
        <v>0</v>
      </c>
      <c r="AF96" s="168">
        <f ca="1" t="shared" ref="AF96" si="202">IFERROR((delta武伤+INT((IF(D96="轻剑",$AW$2,$AW$3))/1024*delta武伤))*J96/O96,0)</f>
        <v>0</v>
      </c>
      <c r="AG96">
        <f ca="1" t="shared" ref="AG96" si="203">IF(G96="恒定伤害",0,MAX(0,AH96*AI96*IF(AJ96=0,1,AJ96)-1))</f>
        <v>0.000161012264749072</v>
      </c>
      <c r="AH96">
        <f ca="1" t="shared" ref="AH96" si="204">IFERROR((delta身法+INT((IF(D96="轻剑",$N$2,$N$3))/1024*delta身法))*身法转额外攻击*I96/O96+1,0)</f>
        <v>1</v>
      </c>
      <c r="AI96">
        <f ca="1" t="shared" ref="AI96" si="205">IFERROR(((delta身法+INT((IF(D96="轻剑",$N$2,$N$3))/1024*delta身法))*身法转额外破防/破防系数+Q96+1)/(1+Q96),0)</f>
        <v>1.00016101226475</v>
      </c>
      <c r="AJ96">
        <f ca="1" t="shared" ref="AJ96" si="206">IFERROR(((1+MIN(1,((delta身法+INT((IF(D96="轻剑",$N$2,$N$3))/1024*delta身法))*身法转基础会心/会心系数)+W96)*(X96-1))*AK96)/(Y96*AC96),0)</f>
        <v>0</v>
      </c>
      <c r="AK96">
        <f ca="1" t="shared" ref="AK96" si="207">AC96</f>
        <v>0</v>
      </c>
      <c r="AL96">
        <f ca="1" t="shared" si="78"/>
        <v>0</v>
      </c>
      <c r="AM96">
        <f ca="1" t="shared" ref="AM96" si="208">AC96</f>
        <v>0</v>
      </c>
      <c r="AN96" s="168">
        <f ca="1" t="shared" si="79"/>
        <v>0.00750104430192855</v>
      </c>
      <c r="AO96" s="168">
        <f ca="1" t="shared" si="80"/>
        <v>0.00447057613551372</v>
      </c>
      <c r="AP96" s="172">
        <f ca="1" t="shared" ref="AP96" si="209">IFERROR((delta破招+INT((IF(D96="轻剑",$AI$2,$AI$3))/1024*delta破招))*K96*破招全局系数/MAX(1,O96),0)</f>
        <v>0</v>
      </c>
      <c r="AQ96" s="168">
        <f ca="1" t="shared" ref="AQ96" si="210">IF(G96="恒定伤害",0,IFERROR(((delta无双+INT((IF(D96="轻剑",$AL$2,$AL$3)+COUNTIF(G96,"*大莺鸣*")*307)/1024*delta无双))/无双系数+U96+1)/(U96+1)-1,0))</f>
        <v>0.00401583628616287</v>
      </c>
      <c r="AR96">
        <f t="shared" ref="AR96" si="211">IF($AR$8="综合属性收益",1,COUNTIF(D96,LEFT($AR$8,2)))</f>
        <v>1</v>
      </c>
    </row>
    <row r="97" spans="4:55">
      <c r="D97" t="s">
        <v>1825</v>
      </c>
      <c r="E97" t="s">
        <v>2820</v>
      </c>
      <c r="G97" t="s">
        <v>3044</v>
      </c>
      <c r="H97">
        <f ca="1">INDEX(技能数据库!$B$2:$I$100,MATCH(伤害与收益计算!$E97,技能数据库!$B$2:$B$100,0),MATCH(H$9,技能数据库!$B$2:$I$2,0))</f>
        <v>31590</v>
      </c>
      <c r="I97">
        <f ca="1">INDEX(技能数据库!$B$2:$I$100,MATCH(伤害与收益计算!$E97,技能数据库!$B$2:$B$100,0),MATCH(I$9,技能数据库!$B$2:$I$2,0))</f>
        <v>0</v>
      </c>
      <c r="J97">
        <f ca="1">INDEX(技能数据库!$B$2:$I$100,MATCH(伤害与收益计算!$E97,技能数据库!$B$2:$B$100,0),MATCH(J$9,技能数据库!$B$2:$I$2,0))</f>
        <v>0</v>
      </c>
      <c r="K97">
        <f ca="1">INDEX(技能数据库!$B$2:$I$100,MATCH(伤害与收益计算!$E97,技能数据库!$B$2:$B$100,0),MATCH(K$9,技能数据库!$B$2:$I$2,0))</f>
        <v>0</v>
      </c>
      <c r="L97">
        <f ca="1" t="shared" si="67"/>
        <v>105847</v>
      </c>
      <c r="M97">
        <f ca="1" t="shared" ref="M97:M102" si="212">IF(D97="轻剑",$AU$2+$AV$2,$AU$3+$AV$3)/2</f>
        <v>19530.5</v>
      </c>
      <c r="N97">
        <f ca="1" t="shared" ref="N97:N102" si="213">IF(D97="轻剑",$AJ$2,$AJ$3)</f>
        <v>92028</v>
      </c>
      <c r="O97">
        <f ca="1" t="shared" ref="O97:O102" si="214">H97+I97*L97+J97*M97+IF(K97&gt;0,MAX(1,K97*N97*破招全局系数),0)</f>
        <v>31590</v>
      </c>
      <c r="P97">
        <f ca="1">IF(G97="恒定伤害",0,(IF(D97="轻剑",$AZ$2,$AZ$3)+IFERROR(INDEX(技能数据库!$T$2:$W$27,MATCH(E97,技能数据库!$T$2:$T$27,0),4),0)+COUNTIF(G97,"*造化2*")*154+COUNTIF(G97,"*造化1*")*102+COUNTIF(G97,"*碧归*")*307)/1024)</f>
        <v>0.176868146929785</v>
      </c>
      <c r="Q97">
        <f ca="1" t="shared" si="69"/>
        <v>0.448284482196154</v>
      </c>
      <c r="R97">
        <f ca="1" t="shared" ref="R97:R102" si="215">IF(G97="恒定伤害",0,(($F$5-IF(D97="轻剑",$BB$2,$BB$3))*(1024-IF(D97="轻剑",$BD$2,$BD$3))/1024*(1024-IF(D97="轻剑",$BC$2,$BC$3)-COUNTIF(G97,"*雾锁*")*461*雾锁)/1024/(($F$5-IF(D97="轻剑",$BB$2,$BB$3))*(1024-IF(D97="轻剑",$BD$2,$BD$3))/1024*(1024-IF(D97="轻剑",$BC$2,$BC$3)-COUNTIF(G97,"*雾锁*")*461*雾锁)/1024+$F$7)))</f>
        <v>0.21277697966198</v>
      </c>
      <c r="S97">
        <f ca="1" t="shared" ref="S97:S102" si="216">O97*(1+P97)*(1+Q97)*(1-R97)</f>
        <v>42386.6503333707</v>
      </c>
      <c r="T97">
        <f t="shared" si="174"/>
        <v>0.8</v>
      </c>
      <c r="U97">
        <f ca="1" t="shared" si="71"/>
        <v>2.68954760480339</v>
      </c>
      <c r="V97">
        <f ca="1" t="shared" ref="V97:V102" si="217">S97*T97*(1+U97)</f>
        <v>125110.051370501</v>
      </c>
      <c r="W97">
        <f ca="1">IF(G97="恒定伤害",0,MIN(1,IF(COUNTIF(F97,"*内会*")&gt;0,内会,IF(D97="轻剑",$Y$2,$Y$3)+COUNTIF(G97,"*莺鸣*")*0.2+COUNTIF(G97,"*叠1*")*0.1+COUNTIF(G97,"*叠2*")*0.2+COUNTIF(G97,"*叠3*")*0.3)+IFERROR(INDEX(技能数据库!$T$2:$W$27,MATCH(E97,技能数据库!$T$2:$T$27,0),2),0)+IF((IF(D97="轻剑",$AO$2,$AO$3)+INT(COUNTIF(G97,"*大莺鸣*")*IF(D97="轻剑",$AM$2,$AM$3)*听晓无双率)/无双系数)&gt;0.9,特效裤子会心/会心系数,0)))</f>
        <v>0.9343</v>
      </c>
      <c r="X97">
        <f ca="1">IF(G97="恒定伤害",0,IF(COUNTIF(F97,"*内会*")&gt;0,内会效,IF(D97="轻剑",$AB$2,$AB$3))+IFERROR(INDEX(技能数据库!$T$2:$W$27,MATCH(E97,技能数据库!$T$2:$T$27,0),3)/1024,0))+COUNTIF(G97,"*叠1*")*0.25+COUNTIF(G97,"*叠2*")*0.5+COUNTIF(G97,"*叠3*")*0.75</f>
        <v>2.3156473116</v>
      </c>
      <c r="Y97">
        <f ca="1" t="shared" ref="Y97:Y102" si="218">1+W97*(X97-1)</f>
        <v>2.22920928322788</v>
      </c>
      <c r="Z97">
        <f t="shared" ref="Z97:Z102" si="219">IF(G97="恒定伤害",0,非侠士伤害/1024)</f>
        <v>0.150390625</v>
      </c>
      <c r="AA97">
        <f ca="1" t="shared" ref="AA97:AA102" si="220">IF(D97="轻剑",$BA$2,$BA$3)/1024</f>
        <v>0.0205078125</v>
      </c>
      <c r="AB97">
        <f ca="1" t="shared" ref="AB97:AB102" si="221">V97*Y97*(1+Z97)*(1+AA97)</f>
        <v>327419.629687608</v>
      </c>
      <c r="AC97">
        <f ca="1">技能数计算!AJ89</f>
        <v>0</v>
      </c>
      <c r="AD97" s="164">
        <f ca="1" t="shared" ref="AD97:AD102" si="222">IFERROR(AB97*AC97/$AD$7,0)</f>
        <v>0</v>
      </c>
      <c r="AE97" s="168">
        <f ca="1" t="shared" si="73"/>
        <v>0</v>
      </c>
      <c r="AF97" s="168">
        <f ca="1" t="shared" ref="AF97:AF102" si="223">IFERROR((delta武伤+INT((IF(D97="轻剑",$AW$2,$AW$3))/1024*delta武伤))*J97/O97,0)</f>
        <v>0</v>
      </c>
      <c r="AG97">
        <f ca="1" t="shared" ref="AG97:AG102" si="224">IF(G97="恒定伤害",0,MAX(0,AH97*AI97*IF(AJ97=0,1,AJ97)-1))</f>
        <v>0.000161012264749072</v>
      </c>
      <c r="AH97">
        <f ca="1" t="shared" ref="AH97:AH102" si="225">IFERROR((delta身法+INT((IF(D97="轻剑",$N$2,$N$3))/1024*delta身法))*身法转额外攻击*I97/O97+1,0)</f>
        <v>1</v>
      </c>
      <c r="AI97">
        <f ca="1" t="shared" ref="AI97:AI102" si="226">IFERROR(((delta身法+INT((IF(D97="轻剑",$N$2,$N$3))/1024*delta身法))*身法转额外破防/破防系数+Q97+1)/(1+Q97),0)</f>
        <v>1.00016101226475</v>
      </c>
      <c r="AJ97">
        <f ca="1" t="shared" ref="AJ97:AJ102" si="227">IFERROR(((1+MIN(1,((delta身法+INT((IF(D97="轻剑",$N$2,$N$3))/1024*delta身法))*身法转基础会心/会心系数)+W97)*(X97-1))*AK97)/(Y97*AC97),0)</f>
        <v>0</v>
      </c>
      <c r="AK97">
        <f ca="1" t="shared" ref="AK97:AK102" si="228">AC97</f>
        <v>0</v>
      </c>
      <c r="AL97">
        <f ca="1" t="shared" si="78"/>
        <v>0</v>
      </c>
      <c r="AM97">
        <f ca="1" t="shared" ref="AM97:AM102" si="229">AC97</f>
        <v>0</v>
      </c>
      <c r="AN97" s="168">
        <f ca="1" t="shared" si="79"/>
        <v>0.00841753350912167</v>
      </c>
      <c r="AO97" s="168">
        <f ca="1" t="shared" si="80"/>
        <v>0.00447057613551372</v>
      </c>
      <c r="AP97" s="172">
        <f ca="1" t="shared" ref="AP97:AP102" si="230">IFERROR((delta破招+INT((IF(D97="轻剑",$AI$2,$AI$3))/1024*delta破招))*K97*破招全局系数/MAX(1,O97),0)</f>
        <v>0</v>
      </c>
      <c r="AQ97" s="168">
        <f ca="1" t="shared" ref="AQ97:AQ102" si="231">IF(G97="恒定伤害",0,IFERROR(((delta无双+INT((IF(D97="轻剑",$AL$2,$AL$3)+COUNTIF(G97,"*大莺鸣*")*307)/1024*delta无双))/无双系数+U97+1)/(U97+1)-1,0))</f>
        <v>0.00393951131463699</v>
      </c>
      <c r="AR97">
        <f t="shared" ref="AR97:AR102" si="232">IF($AR$8="综合属性收益",1,COUNTIF(D97,LEFT($AR$8,2)))</f>
        <v>1</v>
      </c>
    </row>
    <row r="98" spans="4:55">
      <c r="D98" t="s">
        <v>1825</v>
      </c>
      <c r="E98" t="s">
        <v>2768</v>
      </c>
      <c r="G98" t="s">
        <v>3100</v>
      </c>
      <c r="H98">
        <f ca="1">INDEX(技能数据库!$B$2:$I$100,MATCH(伤害与收益计算!$E98,技能数据库!$B$2:$B$100,0),MATCH(H$9,技能数据库!$B$2:$I$2,0))</f>
        <v>210</v>
      </c>
      <c r="I98">
        <f ca="1">INDEX(技能数据库!$B$2:$I$100,MATCH(伤害与收益计算!$E98,技能数据库!$B$2:$B$100,0),MATCH(I$9,技能数据库!$B$2:$I$2,0))</f>
        <v>5.7875</v>
      </c>
      <c r="J98">
        <f ca="1">INDEX(技能数据库!$B$2:$I$100,MATCH(伤害与收益计算!$E98,技能数据库!$B$2:$B$100,0),MATCH(J$9,技能数据库!$B$2:$I$2,0))</f>
        <v>2</v>
      </c>
      <c r="K98">
        <f ca="1">INDEX(技能数据库!$B$2:$I$100,MATCH(伤害与收益计算!$E98,技能数据库!$B$2:$B$100,0),MATCH(K$9,技能数据库!$B$2:$I$2,0))</f>
        <v>0</v>
      </c>
      <c r="L98">
        <f ca="1" t="shared" si="67"/>
        <v>105847</v>
      </c>
      <c r="M98">
        <f ca="1" t="shared" si="212"/>
        <v>19530.5</v>
      </c>
      <c r="N98">
        <f ca="1" t="shared" si="213"/>
        <v>92028</v>
      </c>
      <c r="O98">
        <f ca="1" t="shared" si="214"/>
        <v>651860.5125</v>
      </c>
      <c r="P98">
        <f ca="1">IF(G98="恒定伤害",0,(IF(D98="轻剑",$AZ$2,$AZ$3)+IFERROR(INDEX(技能数据库!$T$2:$W$27,MATCH(E98,技能数据库!$T$2:$T$27,0),4),0)+COUNTIF(G98,"*造化2*")*154+COUNTIF(G98,"*造化1*")*102+COUNTIF(G98,"*碧归*")*307)/1024)</f>
        <v>0.747180646929785</v>
      </c>
      <c r="Q98">
        <f ca="1" t="shared" si="69"/>
        <v>0.448284482196154</v>
      </c>
      <c r="R98">
        <f ca="1" t="shared" si="215"/>
        <v>0.21277697966198</v>
      </c>
      <c r="S98">
        <f ca="1" t="shared" si="216"/>
        <v>1298506.55725373</v>
      </c>
      <c r="T98">
        <f t="shared" si="174"/>
        <v>0.8</v>
      </c>
      <c r="U98">
        <f ca="1" t="shared" si="71"/>
        <v>1.7995442148</v>
      </c>
      <c r="V98">
        <f ca="1" t="shared" si="217"/>
        <v>2908181.21619164</v>
      </c>
      <c r="W98">
        <f ca="1">IF(G98="恒定伤害",0,MIN(1,IF(COUNTIF(F98,"*内会*")&gt;0,内会,IF(D98="轻剑",$Y$2,$Y$3)+COUNTIF(G98,"*莺鸣*")*0.2+COUNTIF(G98,"*叠1*")*0.1+COUNTIF(G98,"*叠2*")*0.2+COUNTIF(G98,"*叠3*")*0.3)+IFERROR(INDEX(技能数据库!$T$2:$W$27,MATCH(E98,技能数据库!$T$2:$T$27,0),2),0)+IF((IF(D98="轻剑",$AO$2,$AO$3)+INT(COUNTIF(G98,"*大莺鸣*")*IF(D98="轻剑",$AM$2,$AM$3)*听晓无双率)/无双系数)&gt;0.9,特效裤子会心/会心系数,0)))</f>
        <v>0.7343</v>
      </c>
      <c r="X98">
        <f ca="1">IF(G98="恒定伤害",0,IF(COUNTIF(F98,"*内会*")&gt;0,内会效,IF(D98="轻剑",$AB$2,$AB$3))+IFERROR(INDEX(技能数据库!$T$2:$W$27,MATCH(E98,技能数据库!$T$2:$T$27,0),3)/1024,0))+COUNTIF(G98,"*叠1*")*0.25+COUNTIF(G98,"*叠2*")*0.5+COUNTIF(G98,"*叠3*")*0.75</f>
        <v>2.3156473116</v>
      </c>
      <c r="Y98">
        <f ca="1" t="shared" si="218"/>
        <v>1.96607982090788</v>
      </c>
      <c r="Z98">
        <f t="shared" si="219"/>
        <v>0.150390625</v>
      </c>
      <c r="AA98">
        <f ca="1" t="shared" si="220"/>
        <v>0.0205078125</v>
      </c>
      <c r="AB98">
        <f ca="1" t="shared" si="221"/>
        <v>6712499.68657202</v>
      </c>
      <c r="AC98">
        <f ca="1">技能数计算!AJ90</f>
        <v>0</v>
      </c>
      <c r="AD98" s="164">
        <f ca="1" t="shared" si="222"/>
        <v>0</v>
      </c>
      <c r="AE98" s="168">
        <f ca="1" t="shared" si="73"/>
        <v>0.00440370285506441</v>
      </c>
      <c r="AF98" s="168">
        <f ca="1" t="shared" si="223"/>
        <v>0.00182937910355477</v>
      </c>
      <c r="AG98">
        <f ca="1" t="shared" si="224"/>
        <v>0.00316563174908713</v>
      </c>
      <c r="AH98">
        <f ca="1" t="shared" si="225"/>
        <v>1.00300413578163</v>
      </c>
      <c r="AI98">
        <f ca="1" t="shared" si="226"/>
        <v>1.00016101226475</v>
      </c>
      <c r="AJ98">
        <f ca="1" t="shared" si="227"/>
        <v>0</v>
      </c>
      <c r="AK98">
        <f ca="1" t="shared" si="228"/>
        <v>0</v>
      </c>
      <c r="AL98">
        <f ca="1" t="shared" si="78"/>
        <v>0</v>
      </c>
      <c r="AM98">
        <f ca="1" t="shared" si="229"/>
        <v>0</v>
      </c>
      <c r="AN98" s="168">
        <f ca="1" t="shared" si="79"/>
        <v>0.00750104430192855</v>
      </c>
      <c r="AO98" s="168">
        <f ca="1" t="shared" si="80"/>
        <v>0.00447057613551372</v>
      </c>
      <c r="AP98" s="172">
        <f ca="1" t="shared" si="230"/>
        <v>0</v>
      </c>
      <c r="AQ98" s="168">
        <f ca="1" t="shared" si="231"/>
        <v>0.00401583628616287</v>
      </c>
      <c r="AR98">
        <f t="shared" si="232"/>
        <v>1</v>
      </c>
      <c r="AX98" s="167"/>
      <c r="AY98" s="167"/>
      <c r="AZ98" s="164"/>
      <c r="BB98" s="167"/>
      <c r="BC98" s="164"/>
    </row>
    <row r="99" spans="4:55">
      <c r="D99" t="s">
        <v>1825</v>
      </c>
      <c r="E99" t="s">
        <v>2776</v>
      </c>
      <c r="G99" t="s">
        <v>3100</v>
      </c>
      <c r="H99">
        <f ca="1">INDEX(技能数据库!$B$2:$I$100,MATCH(伤害与收益计算!$E99,技能数据库!$B$2:$B$100,0),MATCH(H$9,技能数据库!$B$2:$I$2,0))</f>
        <v>281.5</v>
      </c>
      <c r="I99">
        <f ca="1">INDEX(技能数据库!$B$2:$I$100,MATCH(伤害与收益计算!$E99,技能数据库!$B$2:$B$100,0),MATCH(I$9,技能数据库!$B$2:$I$2,0))</f>
        <v>7.06875</v>
      </c>
      <c r="J99">
        <f ca="1">INDEX(技能数据库!$B$2:$I$100,MATCH(伤害与收益计算!$E99,技能数据库!$B$2:$B$100,0),MATCH(J$9,技能数据库!$B$2:$I$2,0))</f>
        <v>2</v>
      </c>
      <c r="K99">
        <f ca="1">INDEX(技能数据库!$B$2:$I$100,MATCH(伤害与收益计算!$E99,技能数据库!$B$2:$B$100,0),MATCH(K$9,技能数据库!$B$2:$I$2,0))</f>
        <v>0</v>
      </c>
      <c r="L99">
        <f ca="1" t="shared" si="67"/>
        <v>105847</v>
      </c>
      <c r="M99">
        <f ca="1" t="shared" si="212"/>
        <v>19530.5</v>
      </c>
      <c r="N99">
        <f ca="1" t="shared" si="213"/>
        <v>92028</v>
      </c>
      <c r="O99">
        <f ca="1" t="shared" si="214"/>
        <v>787548.48125</v>
      </c>
      <c r="P99">
        <f ca="1">IF(G99="恒定伤害",0,(IF(D99="轻剑",$AZ$2,$AZ$3)+IFERROR(INDEX(技能数据库!$T$2:$W$27,MATCH(E99,技能数据库!$T$2:$T$27,0),4),0)+COUNTIF(G99,"*造化2*")*154+COUNTIF(G99,"*造化1*")*102+COUNTIF(G99,"*碧归*")*307)/1024)</f>
        <v>0.697375959429785</v>
      </c>
      <c r="Q99">
        <f ca="1" t="shared" si="69"/>
        <v>0.448284482196154</v>
      </c>
      <c r="R99">
        <f ca="1" t="shared" si="215"/>
        <v>0.21277697966198</v>
      </c>
      <c r="S99">
        <f ca="1" t="shared" si="216"/>
        <v>1524077.34686146</v>
      </c>
      <c r="T99">
        <f t="shared" si="174"/>
        <v>0.8</v>
      </c>
      <c r="U99">
        <f ca="1" t="shared" si="71"/>
        <v>1.7995442148</v>
      </c>
      <c r="V99">
        <f ca="1" t="shared" si="217"/>
        <v>3413377.53545098</v>
      </c>
      <c r="W99">
        <f ca="1">IF(G99="恒定伤害",0,MIN(1,IF(COUNTIF(F99,"*内会*")&gt;0,内会,IF(D99="轻剑",$Y$2,$Y$3)+COUNTIF(G99,"*莺鸣*")*0.2+COUNTIF(G99,"*叠1*")*0.1+COUNTIF(G99,"*叠2*")*0.2+COUNTIF(G99,"*叠3*")*0.3)+IFERROR(INDEX(技能数据库!$T$2:$W$27,MATCH(E99,技能数据库!$T$2:$T$27,0),2),0)+IF((IF(D99="轻剑",$AO$2,$AO$3)+INT(COUNTIF(G99,"*大莺鸣*")*IF(D99="轻剑",$AM$2,$AM$3)*听晓无双率)/无双系数)&gt;0.9,特效裤子会心/会心系数,0)))</f>
        <v>0.7343</v>
      </c>
      <c r="X99">
        <f ca="1">IF(G99="恒定伤害",0,IF(COUNTIF(F99,"*内会*")&gt;0,内会效,IF(D99="轻剑",$AB$2,$AB$3))+IFERROR(INDEX(技能数据库!$T$2:$W$27,MATCH(E99,技能数据库!$T$2:$T$27,0),3)/1024,0))+COUNTIF(G99,"*叠1*")*0.25+COUNTIF(G99,"*叠2*")*0.5+COUNTIF(G99,"*叠3*")*0.75</f>
        <v>2.3156473116</v>
      </c>
      <c r="Y99">
        <f ca="1" t="shared" si="218"/>
        <v>1.96607982090788</v>
      </c>
      <c r="Z99">
        <f t="shared" si="219"/>
        <v>0.150390625</v>
      </c>
      <c r="AA99">
        <f ca="1" t="shared" si="220"/>
        <v>0.0205078125</v>
      </c>
      <c r="AB99">
        <f ca="1" t="shared" si="221"/>
        <v>7878565.30717542</v>
      </c>
      <c r="AC99">
        <f ca="1">技能数计算!AJ91</f>
        <v>0</v>
      </c>
      <c r="AD99" s="164">
        <f ca="1" t="shared" si="222"/>
        <v>0</v>
      </c>
      <c r="AE99" s="168">
        <f ca="1" t="shared" si="73"/>
        <v>0.00445191640067048</v>
      </c>
      <c r="AF99" s="168">
        <f ca="1" t="shared" si="223"/>
        <v>0.00151419249530805</v>
      </c>
      <c r="AG99">
        <f ca="1" t="shared" si="224"/>
        <v>0.00319852755593519</v>
      </c>
      <c r="AH99">
        <f ca="1" t="shared" si="225"/>
        <v>1.0030370262927</v>
      </c>
      <c r="AI99">
        <f ca="1" t="shared" si="226"/>
        <v>1.00016101226475</v>
      </c>
      <c r="AJ99">
        <f ca="1" t="shared" si="227"/>
        <v>0</v>
      </c>
      <c r="AK99">
        <f ca="1" t="shared" si="228"/>
        <v>0</v>
      </c>
      <c r="AL99">
        <f ca="1" t="shared" si="78"/>
        <v>0</v>
      </c>
      <c r="AM99">
        <f ca="1" t="shared" si="229"/>
        <v>0</v>
      </c>
      <c r="AN99" s="168">
        <f ca="1" t="shared" si="79"/>
        <v>0.00750104430192855</v>
      </c>
      <c r="AO99" s="168">
        <f ca="1" t="shared" si="80"/>
        <v>0.00447057613551372</v>
      </c>
      <c r="AP99" s="172">
        <f ca="1" t="shared" si="230"/>
        <v>0</v>
      </c>
      <c r="AQ99" s="168">
        <f ca="1" t="shared" si="231"/>
        <v>0.00401583628616287</v>
      </c>
      <c r="AR99">
        <f t="shared" si="232"/>
        <v>1</v>
      </c>
    </row>
    <row r="100" spans="4:55">
      <c r="D100" t="s">
        <v>1825</v>
      </c>
      <c r="E100" t="s">
        <v>2780</v>
      </c>
      <c r="G100" t="s">
        <v>3100</v>
      </c>
      <c r="H100">
        <f ca="1">INDEX(技能数据库!$B$2:$I$100,MATCH(伤害与收益计算!$E100,技能数据库!$B$2:$B$100,0),MATCH(H$9,技能数据库!$B$2:$I$2,0))</f>
        <v>252.5</v>
      </c>
      <c r="I100">
        <f ca="1">INDEX(技能数据库!$B$2:$I$100,MATCH(伤害与收益计算!$E100,技能数据库!$B$2:$B$100,0),MATCH(I$9,技能数据库!$B$2:$I$2,0))</f>
        <v>2.11875</v>
      </c>
      <c r="J100">
        <f ca="1">INDEX(技能数据库!$B$2:$I$100,MATCH(伤害与收益计算!$E100,技能数据库!$B$2:$B$100,0),MATCH(J$9,技能数据库!$B$2:$I$2,0))</f>
        <v>2</v>
      </c>
      <c r="K100">
        <f ca="1">INDEX(技能数据库!$B$2:$I$100,MATCH(伤害与收益计算!$E100,技能数据库!$B$2:$B$100,0),MATCH(K$9,技能数据库!$B$2:$I$2,0))</f>
        <v>0</v>
      </c>
      <c r="L100">
        <f ca="1" t="shared" si="67"/>
        <v>105847</v>
      </c>
      <c r="M100">
        <f ca="1" t="shared" si="212"/>
        <v>19530.5</v>
      </c>
      <c r="N100">
        <f ca="1" t="shared" si="213"/>
        <v>92028</v>
      </c>
      <c r="O100">
        <f ca="1" t="shared" si="214"/>
        <v>263576.83125</v>
      </c>
      <c r="P100">
        <f ca="1">IF(G100="恒定伤害",0,(IF(D100="轻剑",$AZ$2,$AZ$3)+IFERROR(INDEX(技能数据库!$T$2:$W$27,MATCH(E100,技能数据库!$T$2:$T$27,0),4),0)+COUNTIF(G100,"*造化2*")*154+COUNTIF(G100,"*造化1*")*102+COUNTIF(G100,"*碧归*")*307)/1024)</f>
        <v>0.697375959429785</v>
      </c>
      <c r="Q100">
        <f ca="1" t="shared" si="69"/>
        <v>0.448284482196154</v>
      </c>
      <c r="R100">
        <f ca="1" t="shared" si="215"/>
        <v>0.21277697966198</v>
      </c>
      <c r="S100">
        <f ca="1" t="shared" si="216"/>
        <v>510078.410700573</v>
      </c>
      <c r="T100">
        <f t="shared" si="174"/>
        <v>0.8</v>
      </c>
      <c r="U100">
        <f ca="1" t="shared" si="71"/>
        <v>1.7995442148</v>
      </c>
      <c r="V100">
        <f ca="1" t="shared" si="217"/>
        <v>1142389.65101693</v>
      </c>
      <c r="W100">
        <f ca="1">IF(G100="恒定伤害",0,MIN(1,IF(COUNTIF(F100,"*内会*")&gt;0,内会,IF(D100="轻剑",$Y$2,$Y$3)+COUNTIF(G100,"*莺鸣*")*0.2+COUNTIF(G100,"*叠1*")*0.1+COUNTIF(G100,"*叠2*")*0.2+COUNTIF(G100,"*叠3*")*0.3)+IFERROR(INDEX(技能数据库!$T$2:$W$27,MATCH(E100,技能数据库!$T$2:$T$27,0),2),0)+IF((IF(D100="轻剑",$AO$2,$AO$3)+INT(COUNTIF(G100,"*大莺鸣*")*IF(D100="轻剑",$AM$2,$AM$3)*听晓无双率)/无双系数)&gt;0.9,特效裤子会心/会心系数,0)))</f>
        <v>0.7343</v>
      </c>
      <c r="X100">
        <f ca="1">IF(G100="恒定伤害",0,IF(COUNTIF(F100,"*内会*")&gt;0,内会效,IF(D100="轻剑",$AB$2,$AB$3))+IFERROR(INDEX(技能数据库!$T$2:$W$27,MATCH(E100,技能数据库!$T$2:$T$27,0),3)/1024,0))+COUNTIF(G100,"*叠1*")*0.25+COUNTIF(G100,"*叠2*")*0.5+COUNTIF(G100,"*叠3*")*0.75</f>
        <v>2.3156473116</v>
      </c>
      <c r="Y100">
        <f ca="1" t="shared" si="218"/>
        <v>1.96607982090788</v>
      </c>
      <c r="Z100">
        <f t="shared" si="219"/>
        <v>0.150390625</v>
      </c>
      <c r="AA100">
        <f ca="1" t="shared" si="220"/>
        <v>0.0205078125</v>
      </c>
      <c r="AB100">
        <f ca="1" t="shared" si="221"/>
        <v>2636799.29287081</v>
      </c>
      <c r="AC100">
        <f ca="1">技能数计算!AJ92</f>
        <v>0</v>
      </c>
      <c r="AD100" s="164">
        <f ca="1" t="shared" si="222"/>
        <v>0</v>
      </c>
      <c r="AE100" s="168">
        <f ca="1" t="shared" si="73"/>
        <v>0.00398707274465726</v>
      </c>
      <c r="AF100" s="168">
        <f ca="1" t="shared" si="223"/>
        <v>0.00452429750499931</v>
      </c>
      <c r="AG100">
        <f ca="1" t="shared" si="224"/>
        <v>0.00288136757670965</v>
      </c>
      <c r="AH100">
        <f ca="1" t="shared" si="225"/>
        <v>1.0027199173719</v>
      </c>
      <c r="AI100">
        <f ca="1" t="shared" si="226"/>
        <v>1.00016101226475</v>
      </c>
      <c r="AJ100">
        <f ca="1" t="shared" si="227"/>
        <v>0</v>
      </c>
      <c r="AK100">
        <f ca="1" t="shared" si="228"/>
        <v>0</v>
      </c>
      <c r="AL100">
        <f ca="1" t="shared" si="78"/>
        <v>0</v>
      </c>
      <c r="AM100">
        <f ca="1" t="shared" si="229"/>
        <v>0</v>
      </c>
      <c r="AN100" s="168">
        <f ca="1" t="shared" si="79"/>
        <v>0.00750104430192855</v>
      </c>
      <c r="AO100" s="168">
        <f ca="1" t="shared" si="80"/>
        <v>0.00447057613551372</v>
      </c>
      <c r="AP100" s="172">
        <f ca="1" t="shared" si="230"/>
        <v>0</v>
      </c>
      <c r="AQ100" s="168">
        <f ca="1" t="shared" si="231"/>
        <v>0.00401583628616287</v>
      </c>
      <c r="AR100">
        <f t="shared" si="232"/>
        <v>1</v>
      </c>
    </row>
    <row r="101" spans="4:55">
      <c r="D101" t="s">
        <v>1825</v>
      </c>
      <c r="E101" t="s">
        <v>2794</v>
      </c>
      <c r="G101" t="s">
        <v>2948</v>
      </c>
      <c r="H101">
        <f ca="1">INDEX(技能数据库!$B$2:$I$100,MATCH(伤害与收益计算!$E101,技能数据库!$B$2:$B$100,0),MATCH(H$9,技能数据库!$B$2:$I$2,0))</f>
        <v>231.5</v>
      </c>
      <c r="I101">
        <f ca="1">INDEX(技能数据库!$B$2:$I$100,MATCH(伤害与收益计算!$E101,技能数据库!$B$2:$B$100,0),MATCH(I$9,技能数据库!$B$2:$I$2,0))</f>
        <v>2.71875</v>
      </c>
      <c r="J101">
        <f ca="1">INDEX(技能数据库!$B$2:$I$100,MATCH(伤害与收益计算!$E101,技能数据库!$B$2:$B$100,0),MATCH(J$9,技能数据库!$B$2:$I$2,0))</f>
        <v>2</v>
      </c>
      <c r="K101">
        <f ca="1">INDEX(技能数据库!$B$2:$I$100,MATCH(伤害与收益计算!$E101,技能数据库!$B$2:$B$100,0),MATCH(K$9,技能数据库!$B$2:$I$2,0))</f>
        <v>0</v>
      </c>
      <c r="L101">
        <f ca="1" t="shared" si="67"/>
        <v>91975</v>
      </c>
      <c r="M101">
        <f ca="1" t="shared" si="212"/>
        <v>19530.5</v>
      </c>
      <c r="N101">
        <f ca="1" t="shared" si="213"/>
        <v>92028</v>
      </c>
      <c r="O101">
        <f ca="1" t="shared" si="214"/>
        <v>289349.53125</v>
      </c>
      <c r="P101">
        <f ca="1">IF(G101="恒定伤害",0,(IF(D101="轻剑",$AZ$2,$AZ$3)+IFERROR(INDEX(技能数据库!$T$2:$W$27,MATCH(E101,技能数据库!$T$2:$T$27,0),4),0)+COUNTIF(G101,"*造化2*")*154+COUNTIF(G101,"*造化1*")*102+COUNTIF(G101,"*碧归*")*307)/1024)</f>
        <v>0.296985334429785</v>
      </c>
      <c r="Q101">
        <f ca="1" t="shared" si="69"/>
        <v>0.448284482196154</v>
      </c>
      <c r="R101">
        <f ca="1" t="shared" si="215"/>
        <v>0.32958230397716</v>
      </c>
      <c r="S101">
        <f ca="1" t="shared" si="216"/>
        <v>364382.234809136</v>
      </c>
      <c r="T101">
        <f t="shared" si="174"/>
        <v>0.8</v>
      </c>
      <c r="U101">
        <f ca="1" t="shared" si="71"/>
        <v>2.68954760480339</v>
      </c>
      <c r="V101">
        <f ca="1" t="shared" si="217"/>
        <v>1075524.48133836</v>
      </c>
      <c r="W101">
        <f ca="1">IF(G101="恒定伤害",0,MIN(1,IF(COUNTIF(F101,"*内会*")&gt;0,内会,IF(D101="轻剑",$Y$2,$Y$3)+COUNTIF(G101,"*莺鸣*")*0.2+COUNTIF(G101,"*叠1*")*0.1+COUNTIF(G101,"*叠2*")*0.2+COUNTIF(G101,"*叠3*")*0.3)+IFERROR(INDEX(技能数据库!$T$2:$W$27,MATCH(E101,技能数据库!$T$2:$T$27,0),2),0)+IF((IF(D101="轻剑",$AO$2,$AO$3)+INT(COUNTIF(G101,"*大莺鸣*")*IF(D101="轻剑",$AM$2,$AM$3)*听晓无双率)/无双系数)&gt;0.9,特效裤子会心/会心系数,0)))</f>
        <v>0.9343</v>
      </c>
      <c r="X101">
        <f ca="1">IF(G101="恒定伤害",0,IF(COUNTIF(F101,"*内会*")&gt;0,内会效,IF(D101="轻剑",$AB$2,$AB$3))+IFERROR(INDEX(技能数据库!$T$2:$W$27,MATCH(E101,技能数据库!$T$2:$T$27,0),3)/1024,0))+COUNTIF(G101,"*叠1*")*0.25+COUNTIF(G101,"*叠2*")*0.5+COUNTIF(G101,"*叠3*")*0.75</f>
        <v>2.3156473116</v>
      </c>
      <c r="Y101">
        <f ca="1" t="shared" si="218"/>
        <v>2.22920928322788</v>
      </c>
      <c r="Z101">
        <f t="shared" si="219"/>
        <v>0.150390625</v>
      </c>
      <c r="AA101">
        <f ca="1" t="shared" si="220"/>
        <v>0.0205078125</v>
      </c>
      <c r="AB101">
        <f ca="1" t="shared" si="221"/>
        <v>2814704.52247607</v>
      </c>
      <c r="AC101">
        <f ca="1">技能数计算!AJ93</f>
        <v>0</v>
      </c>
      <c r="AD101" s="164">
        <f ca="1" t="shared" si="222"/>
        <v>0</v>
      </c>
      <c r="AE101" s="168">
        <f ca="1" t="shared" si="73"/>
        <v>0.00390876734831413</v>
      </c>
      <c r="AF101" s="168">
        <f ca="1" t="shared" si="223"/>
        <v>0.00412131305293068</v>
      </c>
      <c r="AG101">
        <f ca="1" t="shared" si="224"/>
        <v>0.00334081105743711</v>
      </c>
      <c r="AH101">
        <f ca="1" t="shared" si="225"/>
        <v>1.00317928688851</v>
      </c>
      <c r="AI101">
        <f ca="1" t="shared" si="226"/>
        <v>1.00016101226475</v>
      </c>
      <c r="AJ101">
        <f ca="1" t="shared" si="227"/>
        <v>0</v>
      </c>
      <c r="AK101">
        <f ca="1" t="shared" si="228"/>
        <v>0</v>
      </c>
      <c r="AL101">
        <f ca="1" t="shared" si="78"/>
        <v>0</v>
      </c>
      <c r="AM101">
        <f ca="1" t="shared" si="229"/>
        <v>0</v>
      </c>
      <c r="AN101" s="168">
        <f ca="1" t="shared" si="79"/>
        <v>0.00841753350912167</v>
      </c>
      <c r="AO101" s="168">
        <f ca="1" t="shared" si="80"/>
        <v>0.00447057613551372</v>
      </c>
      <c r="AP101" s="172">
        <f ca="1" t="shared" si="230"/>
        <v>0</v>
      </c>
      <c r="AQ101" s="168">
        <f ca="1" t="shared" si="231"/>
        <v>0.00393951131463699</v>
      </c>
      <c r="AR101">
        <f t="shared" si="232"/>
        <v>1</v>
      </c>
    </row>
    <row r="102" spans="4:55">
      <c r="D102" t="s">
        <v>1825</v>
      </c>
      <c r="E102" t="s">
        <v>2798</v>
      </c>
      <c r="G102" t="s">
        <v>2948</v>
      </c>
      <c r="H102">
        <f ca="1">INDEX(技能数据库!$B$2:$I$100,MATCH(伤害与收益计算!$E102,技能数据库!$B$2:$B$100,0),MATCH(H$9,技能数据库!$B$2:$I$2,0))</f>
        <v>1504.5</v>
      </c>
      <c r="I102">
        <f ca="1">INDEX(技能数据库!$B$2:$I$100,MATCH(伤害与收益计算!$E102,技能数据库!$B$2:$B$100,0),MATCH(I$9,技能数据库!$B$2:$I$2,0))</f>
        <v>2.85625</v>
      </c>
      <c r="J102">
        <f ca="1">INDEX(技能数据库!$B$2:$I$100,MATCH(伤害与收益计算!$E102,技能数据库!$B$2:$B$100,0),MATCH(J$9,技能数据库!$B$2:$I$2,0))</f>
        <v>0</v>
      </c>
      <c r="K102">
        <f ca="1">INDEX(技能数据库!$B$2:$I$100,MATCH(伤害与收益计算!$E102,技能数据库!$B$2:$B$100,0),MATCH(K$9,技能数据库!$B$2:$I$2,0))</f>
        <v>0</v>
      </c>
      <c r="L102">
        <f ca="1" t="shared" si="67"/>
        <v>91975</v>
      </c>
      <c r="M102">
        <f ca="1" t="shared" si="212"/>
        <v>19530.5</v>
      </c>
      <c r="N102">
        <f ca="1" t="shared" si="213"/>
        <v>92028</v>
      </c>
      <c r="O102">
        <f ca="1" t="shared" si="214"/>
        <v>264208.09375</v>
      </c>
      <c r="P102">
        <f ca="1">IF(G102="恒定伤害",0,(IF(D102="轻剑",$AZ$2,$AZ$3)+IFERROR(INDEX(技能数据库!$T$2:$W$27,MATCH(E102,技能数据库!$T$2:$T$27,0),4),0)+COUNTIF(G102,"*造化2*")*154+COUNTIF(G102,"*造化1*")*102+COUNTIF(G102,"*碧归*")*307)/1024)</f>
        <v>0.176868146929785</v>
      </c>
      <c r="Q102">
        <f ca="1" t="shared" si="69"/>
        <v>0.448284482196154</v>
      </c>
      <c r="R102">
        <f ca="1" t="shared" si="215"/>
        <v>0.32958230397716</v>
      </c>
      <c r="S102">
        <f ca="1" t="shared" si="216"/>
        <v>301907.062571432</v>
      </c>
      <c r="T102">
        <f t="shared" si="174"/>
        <v>0.8</v>
      </c>
      <c r="U102">
        <f ca="1" t="shared" si="71"/>
        <v>2.68954760480339</v>
      </c>
      <c r="V102">
        <f ca="1" t="shared" si="217"/>
        <v>891120.383666923</v>
      </c>
      <c r="W102">
        <f ca="1">IF(G102="恒定伤害",0,MIN(1,IF(COUNTIF(F102,"*内会*")&gt;0,内会,IF(D102="轻剑",$Y$2,$Y$3)+COUNTIF(G102,"*莺鸣*")*0.2+COUNTIF(G102,"*叠1*")*0.1+COUNTIF(G102,"*叠2*")*0.2+COUNTIF(G102,"*叠3*")*0.3)+IFERROR(INDEX(技能数据库!$T$2:$W$27,MATCH(E102,技能数据库!$T$2:$T$27,0),2),0)+IF((IF(D102="轻剑",$AO$2,$AO$3)+INT(COUNTIF(G102,"*大莺鸣*")*IF(D102="轻剑",$AM$2,$AM$3)*听晓无双率)/无双系数)&gt;0.9,特效裤子会心/会心系数,0)))</f>
        <v>0.9343</v>
      </c>
      <c r="X102">
        <f ca="1">IF(G102="恒定伤害",0,IF(COUNTIF(F102,"*内会*")&gt;0,内会效,IF(D102="轻剑",$AB$2,$AB$3))+IFERROR(INDEX(技能数据库!$T$2:$W$27,MATCH(E102,技能数据库!$T$2:$T$27,0),3)/1024,0))+COUNTIF(G102,"*叠1*")*0.25+COUNTIF(G102,"*叠2*")*0.5+COUNTIF(G102,"*叠3*")*0.75</f>
        <v>2.3156473116</v>
      </c>
      <c r="Y102">
        <f ca="1" t="shared" si="218"/>
        <v>2.22920928322788</v>
      </c>
      <c r="Z102">
        <f t="shared" si="219"/>
        <v>0.150390625</v>
      </c>
      <c r="AA102">
        <f ca="1" t="shared" si="220"/>
        <v>0.0205078125</v>
      </c>
      <c r="AB102">
        <f ca="1" t="shared" si="221"/>
        <v>2332109.23367982</v>
      </c>
      <c r="AC102">
        <f ca="1">技能数计算!AJ94</f>
        <v>0</v>
      </c>
      <c r="AD102" s="164">
        <f ca="1" t="shared" si="222"/>
        <v>0</v>
      </c>
      <c r="AE102" s="168">
        <f ca="1" t="shared" si="73"/>
        <v>0.00449721272022917</v>
      </c>
      <c r="AF102" s="168">
        <f ca="1" t="shared" si="223"/>
        <v>0</v>
      </c>
      <c r="AG102">
        <f ca="1" t="shared" si="224"/>
        <v>0.00381951385973744</v>
      </c>
      <c r="AH102">
        <f ca="1" t="shared" si="225"/>
        <v>1.00365791262619</v>
      </c>
      <c r="AI102">
        <f ca="1" t="shared" si="226"/>
        <v>1.00016101226475</v>
      </c>
      <c r="AJ102">
        <f ca="1" t="shared" si="227"/>
        <v>0</v>
      </c>
      <c r="AK102">
        <f ca="1" t="shared" si="228"/>
        <v>0</v>
      </c>
      <c r="AL102">
        <f ca="1" t="shared" si="78"/>
        <v>0</v>
      </c>
      <c r="AM102">
        <f ca="1" t="shared" si="229"/>
        <v>0</v>
      </c>
      <c r="AN102" s="168">
        <f ca="1" t="shared" si="79"/>
        <v>0.00841753350912167</v>
      </c>
      <c r="AO102" s="168">
        <f ca="1" t="shared" si="80"/>
        <v>0.00447057613551372</v>
      </c>
      <c r="AP102" s="172">
        <f ca="1" t="shared" si="230"/>
        <v>0</v>
      </c>
      <c r="AQ102" s="168">
        <f ca="1" t="shared" si="231"/>
        <v>0.00393951131463699</v>
      </c>
      <c r="AR102">
        <f t="shared" si="232"/>
        <v>1</v>
      </c>
    </row>
    <row r="103" spans="4:55">
      <c r="D103" t="s">
        <v>1825</v>
      </c>
      <c r="E103" t="s">
        <v>2776</v>
      </c>
      <c r="G103" t="s">
        <v>3101</v>
      </c>
      <c r="H103">
        <f ca="1">INDEX(技能数据库!$B$2:$I$100,MATCH(伤害与收益计算!$E103,技能数据库!$B$2:$B$100,0),MATCH(H$9,技能数据库!$B$2:$I$2,0))</f>
        <v>281.5</v>
      </c>
      <c r="I103">
        <f ca="1">INDEX(技能数据库!$B$2:$I$100,MATCH(伤害与收益计算!$E103,技能数据库!$B$2:$B$100,0),MATCH(I$9,技能数据库!$B$2:$I$2,0))</f>
        <v>7.06875</v>
      </c>
      <c r="J103">
        <f ca="1">INDEX(技能数据库!$B$2:$I$100,MATCH(伤害与收益计算!$E103,技能数据库!$B$2:$B$100,0),MATCH(J$9,技能数据库!$B$2:$I$2,0))</f>
        <v>2</v>
      </c>
      <c r="K103">
        <f ca="1">INDEX(技能数据库!$B$2:$I$100,MATCH(伤害与收益计算!$E103,技能数据库!$B$2:$B$100,0),MATCH(K$9,技能数据库!$B$2:$I$2,0))</f>
        <v>0</v>
      </c>
      <c r="L103">
        <f ca="1" t="shared" si="67"/>
        <v>91975</v>
      </c>
      <c r="M103">
        <f ca="1" t="shared" ref="M103:M106" si="233">IF(D103="轻剑",$AU$2+$AV$2,$AU$3+$AV$3)/2</f>
        <v>19530.5</v>
      </c>
      <c r="N103">
        <f ca="1" t="shared" ref="N103:N106" si="234">IF(D103="轻剑",$AJ$2,$AJ$3)</f>
        <v>92028</v>
      </c>
      <c r="O103">
        <f ca="1" t="shared" ref="O103:O107" si="235">H103+I103*L103+J103*M103+IF(K103&gt;0,MAX(1,K103*N103*破招全局系数),0)</f>
        <v>689490.78125</v>
      </c>
      <c r="P103">
        <f ca="1">IF(G103="恒定伤害",0,(IF(D103="轻剑",$AZ$2,$AZ$3)+IFERROR(INDEX(技能数据库!$T$2:$W$27,MATCH(E103,技能数据库!$T$2:$T$27,0),4),0)+COUNTIF(G103,"*造化2*")*154+COUNTIF(G103,"*造化1*")*102+COUNTIF(G103,"*碧归*")*307)/1024)</f>
        <v>0.397571271929785</v>
      </c>
      <c r="Q103">
        <f ca="1" t="shared" si="69"/>
        <v>0.448284482196154</v>
      </c>
      <c r="R103">
        <f ca="1" t="shared" ref="R103:R107" si="236">IF(G103="恒定伤害",0,(($F$5-IF(D103="轻剑",$BB$2,$BB$3))*(1024-IF(D103="轻剑",$BD$2,$BD$3))/1024*(1024-IF(D103="轻剑",$BC$2,$BC$3)-COUNTIF(G103,"*雾锁*")*461*雾锁)/1024/(($F$5-IF(D103="轻剑",$BB$2,$BB$3))*(1024-IF(D103="轻剑",$BD$2,$BD$3))/1024*(1024-IF(D103="轻剑",$BC$2,$BC$3)-COUNTIF(G103,"*雾锁*")*461*雾锁)/1024+$F$7)))</f>
        <v>0.32958230397716</v>
      </c>
      <c r="S103">
        <f ca="1" t="shared" ref="S103:S106" si="237">O103*(1+P103)*(1+Q103)*(1-R103)</f>
        <v>935624.908718113</v>
      </c>
      <c r="T103">
        <f t="shared" si="174"/>
        <v>0.8</v>
      </c>
      <c r="U103">
        <f ca="1" t="shared" si="71"/>
        <v>2.68954760480339</v>
      </c>
      <c r="V103">
        <f ca="1" t="shared" ref="V103:V106" si="238">S103*T103*(1+U103)</f>
        <v>2761626.11276424</v>
      </c>
      <c r="W103">
        <f ca="1">IF(G103="恒定伤害",0,MIN(1,IF(COUNTIF(F103,"*内会*")&gt;0,内会,IF(D103="轻剑",$Y$2,$Y$3)+COUNTIF(G103,"*莺鸣*")*0.2+COUNTIF(G103,"*叠1*")*0.1+COUNTIF(G103,"*叠2*")*0.2+COUNTIF(G103,"*叠3*")*0.3)+IFERROR(INDEX(技能数据库!$T$2:$W$27,MATCH(E103,技能数据库!$T$2:$T$27,0),2),0)+IF((IF(D103="轻剑",$AO$2,$AO$3)+INT(COUNTIF(G103,"*大莺鸣*")*IF(D103="轻剑",$AM$2,$AM$3)*听晓无双率)/无双系数)&gt;0.9,特效裤子会心/会心系数,0)))</f>
        <v>0.9343</v>
      </c>
      <c r="X103">
        <f ca="1">IF(G103="恒定伤害",0,IF(COUNTIF(F103,"*内会*")&gt;0,内会效,IF(D103="轻剑",$AB$2,$AB$3))+IFERROR(INDEX(技能数据库!$T$2:$W$27,MATCH(E103,技能数据库!$T$2:$T$27,0),3)/1024,0))+COUNTIF(G103,"*叠1*")*0.25+COUNTIF(G103,"*叠2*")*0.5+COUNTIF(G103,"*叠3*")*0.75</f>
        <v>2.3156473116</v>
      </c>
      <c r="Y103">
        <f ca="1" t="shared" ref="Y103:Y106" si="239">1+W103*(X103-1)</f>
        <v>2.22920928322788</v>
      </c>
      <c r="Z103">
        <f t="shared" ref="Z103:Z107" si="240">IF(G103="恒定伤害",0,非侠士伤害/1024)</f>
        <v>0.150390625</v>
      </c>
      <c r="AA103">
        <f ca="1" t="shared" ref="AA103:AA106" si="241">IF(D103="轻剑",$BA$2,$BA$3)/1024</f>
        <v>0.0205078125</v>
      </c>
      <c r="AB103">
        <f ca="1" t="shared" ref="AB103:AB106" si="242">V103*Y103*(1+Z103)*(1+AA103)</f>
        <v>7227321.78007956</v>
      </c>
      <c r="AC103">
        <f ca="1">技能数计算!AJ95</f>
        <v>0</v>
      </c>
      <c r="AD103" s="164">
        <f ca="1" t="shared" ref="AD103:AD106" si="243">IFERROR(AB103*AC103/$AD$7,0)</f>
        <v>0</v>
      </c>
      <c r="AE103" s="168">
        <f ca="1" t="shared" si="73"/>
        <v>0.004264886609026</v>
      </c>
      <c r="AF103" s="168">
        <f ca="1" t="shared" ref="AF103:AF107" si="244">IFERROR((delta武伤+INT((IF(D103="轻剑",$AW$2,$AW$3))/1024*delta武伤))*J103/O103,0)</f>
        <v>0.00172953726493352</v>
      </c>
      <c r="AG103">
        <f ca="1" t="shared" ref="AG103:AG107" si="245">IF(G103="恒定伤害",0,MAX(0,AH103*AI103*IF(AJ103=0,1,AJ103)-1))</f>
        <v>0.00363051558430105</v>
      </c>
      <c r="AH103">
        <f ca="1" t="shared" ref="AH103:AH107" si="246">IFERROR((delta身法+INT((IF(D103="轻剑",$N$2,$N$3))/1024*delta身法))*身法转额外攻击*I103/O103+1,0)</f>
        <v>1.0034689447769</v>
      </c>
      <c r="AI103">
        <f ca="1" t="shared" ref="AI103:AI107" si="247">IFERROR(((delta身法+INT((IF(D103="轻剑",$N$2,$N$3))/1024*delta身法))*身法转额外破防/破防系数+Q103+1)/(1+Q103),0)</f>
        <v>1.00016101226475</v>
      </c>
      <c r="AJ103">
        <f ca="1" t="shared" ref="AJ103:AJ107" si="248">IFERROR(((1+MIN(1,((delta身法+INT((IF(D103="轻剑",$N$2,$N$3))/1024*delta身法))*身法转基础会心/会心系数)+W103)*(X103-1))*AK103)/(Y103*AC103),0)</f>
        <v>0</v>
      </c>
      <c r="AK103">
        <f ca="1" t="shared" ref="AK103:AK107" si="249">AC103</f>
        <v>0</v>
      </c>
      <c r="AL103">
        <f ca="1" t="shared" si="78"/>
        <v>0</v>
      </c>
      <c r="AM103">
        <f ca="1" t="shared" ref="AM103:AM107" si="250">AC103</f>
        <v>0</v>
      </c>
      <c r="AN103" s="168">
        <f ca="1" t="shared" si="79"/>
        <v>0.00841753350912167</v>
      </c>
      <c r="AO103" s="168">
        <f ca="1" t="shared" si="80"/>
        <v>0.00447057613551372</v>
      </c>
      <c r="AP103" s="172">
        <f ca="1" t="shared" ref="AP103:AP107" si="251">IFERROR((delta破招+INT((IF(D103="轻剑",$AI$2,$AI$3))/1024*delta破招))*K103*破招全局系数/MAX(1,O103),0)</f>
        <v>0</v>
      </c>
      <c r="AQ103" s="168">
        <f ca="1" t="shared" ref="AQ103:AQ107" si="252">IF(G103="恒定伤害",0,IFERROR(((delta无双+INT((IF(D103="轻剑",$AL$2,$AL$3)+COUNTIF(G103,"*大莺鸣*")*307)/1024*delta无双))/无双系数+U103+1)/(U103+1)-1,0))</f>
        <v>0.00393951131463699</v>
      </c>
      <c r="AR103">
        <f t="shared" ref="AR103:AR107" si="253">IF($AR$8="综合属性收益",1,COUNTIF(D103,LEFT($AR$8,2)))</f>
        <v>1</v>
      </c>
    </row>
    <row r="104" spans="4:55">
      <c r="D104" t="s">
        <v>1825</v>
      </c>
      <c r="E104" t="s">
        <v>2780</v>
      </c>
      <c r="G104" t="s">
        <v>3101</v>
      </c>
      <c r="H104">
        <f ca="1">INDEX(技能数据库!$B$2:$I$100,MATCH(伤害与收益计算!$E104,技能数据库!$B$2:$B$100,0),MATCH(H$9,技能数据库!$B$2:$I$2,0))</f>
        <v>252.5</v>
      </c>
      <c r="I104">
        <f ca="1">INDEX(技能数据库!$B$2:$I$100,MATCH(伤害与收益计算!$E104,技能数据库!$B$2:$B$100,0),MATCH(I$9,技能数据库!$B$2:$I$2,0))</f>
        <v>2.11875</v>
      </c>
      <c r="J104">
        <f ca="1">INDEX(技能数据库!$B$2:$I$100,MATCH(伤害与收益计算!$E104,技能数据库!$B$2:$B$100,0),MATCH(J$9,技能数据库!$B$2:$I$2,0))</f>
        <v>2</v>
      </c>
      <c r="K104">
        <f ca="1">INDEX(技能数据库!$B$2:$I$100,MATCH(伤害与收益计算!$E104,技能数据库!$B$2:$B$100,0),MATCH(K$9,技能数据库!$B$2:$I$2,0))</f>
        <v>0</v>
      </c>
      <c r="L104">
        <f ca="1" t="shared" si="67"/>
        <v>91975</v>
      </c>
      <c r="M104">
        <f ca="1" t="shared" si="233"/>
        <v>19530.5</v>
      </c>
      <c r="N104">
        <f ca="1" t="shared" si="234"/>
        <v>92028</v>
      </c>
      <c r="O104">
        <f ca="1" t="shared" si="235"/>
        <v>234185.53125</v>
      </c>
      <c r="P104">
        <f ca="1">IF(G104="恒定伤害",0,(IF(D104="轻剑",$AZ$2,$AZ$3)+IFERROR(INDEX(技能数据库!$T$2:$W$27,MATCH(E104,技能数据库!$T$2:$T$27,0),4),0)+COUNTIF(G104,"*造化2*")*154+COUNTIF(G104,"*造化1*")*102+COUNTIF(G104,"*碧归*")*307)/1024)</f>
        <v>0.397571271929785</v>
      </c>
      <c r="Q104">
        <f ca="1" t="shared" si="69"/>
        <v>0.448284482196154</v>
      </c>
      <c r="R104">
        <f ca="1" t="shared" si="236"/>
        <v>0.32958230397716</v>
      </c>
      <c r="S104">
        <f ca="1" t="shared" si="237"/>
        <v>317784.983146044</v>
      </c>
      <c r="T104">
        <f t="shared" si="174"/>
        <v>0.8</v>
      </c>
      <c r="U104">
        <f ca="1" t="shared" si="71"/>
        <v>2.68954760480339</v>
      </c>
      <c r="V104">
        <f ca="1" t="shared" si="238"/>
        <v>937986.258727179</v>
      </c>
      <c r="W104">
        <f ca="1">IF(G104="恒定伤害",0,MIN(1,IF(COUNTIF(F104,"*内会*")&gt;0,内会,IF(D104="轻剑",$Y$2,$Y$3)+COUNTIF(G104,"*莺鸣*")*0.2+COUNTIF(G104,"*叠1*")*0.1+COUNTIF(G104,"*叠2*")*0.2+COUNTIF(G104,"*叠3*")*0.3)+IFERROR(INDEX(技能数据库!$T$2:$W$27,MATCH(E104,技能数据库!$T$2:$T$27,0),2),0)+IF((IF(D104="轻剑",$AO$2,$AO$3)+INT(COUNTIF(G104,"*大莺鸣*")*IF(D104="轻剑",$AM$2,$AM$3)*听晓无双率)/无双系数)&gt;0.9,特效裤子会心/会心系数,0)))</f>
        <v>0.9343</v>
      </c>
      <c r="X104">
        <f ca="1">IF(G104="恒定伤害",0,IF(COUNTIF(F104,"*内会*")&gt;0,内会效,IF(D104="轻剑",$AB$2,$AB$3))+IFERROR(INDEX(技能数据库!$T$2:$W$27,MATCH(E104,技能数据库!$T$2:$T$27,0),3)/1024,0))+COUNTIF(G104,"*叠1*")*0.25+COUNTIF(G104,"*叠2*")*0.5+COUNTIF(G104,"*叠3*")*0.75</f>
        <v>2.3156473116</v>
      </c>
      <c r="Y104">
        <f ca="1" t="shared" si="239"/>
        <v>2.22920928322788</v>
      </c>
      <c r="Z104">
        <f t="shared" si="240"/>
        <v>0.150390625</v>
      </c>
      <c r="AA104">
        <f ca="1" t="shared" si="241"/>
        <v>0.0205078125</v>
      </c>
      <c r="AB104">
        <f ca="1" t="shared" si="242"/>
        <v>2454759.71051299</v>
      </c>
      <c r="AC104">
        <f ca="1">技能数计算!AJ96</f>
        <v>0</v>
      </c>
      <c r="AD104" s="164">
        <f ca="1" t="shared" si="243"/>
        <v>0</v>
      </c>
      <c r="AE104" s="168">
        <f ca="1" t="shared" si="73"/>
        <v>0.0037636825609823</v>
      </c>
      <c r="AF104" s="168">
        <f ca="1" t="shared" si="244"/>
        <v>0.00509211646695188</v>
      </c>
      <c r="AG104">
        <f ca="1" t="shared" si="245"/>
        <v>0.00322278396846398</v>
      </c>
      <c r="AH104">
        <f ca="1" t="shared" si="246"/>
        <v>1.00306127880028</v>
      </c>
      <c r="AI104">
        <f ca="1" t="shared" si="247"/>
        <v>1.00016101226475</v>
      </c>
      <c r="AJ104">
        <f ca="1" t="shared" si="248"/>
        <v>0</v>
      </c>
      <c r="AK104">
        <f ca="1" t="shared" si="249"/>
        <v>0</v>
      </c>
      <c r="AL104">
        <f ca="1" t="shared" si="78"/>
        <v>0</v>
      </c>
      <c r="AM104">
        <f ca="1" t="shared" si="250"/>
        <v>0</v>
      </c>
      <c r="AN104" s="168">
        <f ca="1" t="shared" si="79"/>
        <v>0.00841753350912167</v>
      </c>
      <c r="AO104" s="168">
        <f ca="1" t="shared" si="80"/>
        <v>0.00447057613551372</v>
      </c>
      <c r="AP104" s="172">
        <f ca="1" t="shared" si="251"/>
        <v>0</v>
      </c>
      <c r="AQ104" s="168">
        <f ca="1" t="shared" si="252"/>
        <v>0.00393951131463699</v>
      </c>
      <c r="AR104">
        <f t="shared" si="253"/>
        <v>1</v>
      </c>
    </row>
    <row r="105" spans="4:55">
      <c r="D105" t="s">
        <v>1825</v>
      </c>
      <c r="E105" s="161" t="s">
        <v>2783</v>
      </c>
      <c r="G105" t="s">
        <v>2948</v>
      </c>
      <c r="H105">
        <f ca="1">INDEX(技能数据库!$B$2:$I$100,MATCH(伤害与收益计算!$E105,技能数据库!$B$2:$B$100,0),MATCH(H$9,技能数据库!$B$2:$I$2,0))</f>
        <v>0</v>
      </c>
      <c r="I105">
        <f ca="1">INDEX(技能数据库!$B$2:$I$100,MATCH(伤害与收益计算!$E105,技能数据库!$B$2:$B$100,0),MATCH(I$9,技能数据库!$B$2:$I$2,0))</f>
        <v>0</v>
      </c>
      <c r="J105">
        <f ca="1">INDEX(技能数据库!$B$2:$I$100,MATCH(伤害与收益计算!$E105,技能数据库!$B$2:$B$100,0),MATCH(J$9,技能数据库!$B$2:$I$2,0))</f>
        <v>0</v>
      </c>
      <c r="K105">
        <f ca="1">INDEX(技能数据库!$B$2:$I$100,MATCH(伤害与收益计算!$E105,技能数据库!$B$2:$B$100,0),MATCH(K$9,技能数据库!$B$2:$I$2,0))</f>
        <v>1.28127956390381</v>
      </c>
      <c r="L105">
        <f ca="1" t="shared" si="67"/>
        <v>91975</v>
      </c>
      <c r="M105">
        <f ca="1" t="shared" si="233"/>
        <v>19530.5</v>
      </c>
      <c r="N105">
        <f ca="1" t="shared" si="234"/>
        <v>92028</v>
      </c>
      <c r="O105">
        <f ca="1" t="shared" si="235"/>
        <v>1006274.62576302</v>
      </c>
      <c r="P105">
        <f ca="1">IF(G105="恒定伤害",0,(IF(D105="轻剑",$AZ$2,$AZ$3)+IFERROR(INDEX(技能数据库!$T$2:$W$27,MATCH(E105,技能数据库!$T$2:$T$27,0),4),0)+COUNTIF(G105,"*造化2*")*154+COUNTIF(G105,"*造化1*")*102+COUNTIF(G105,"*碧归*")*307)/1024)</f>
        <v>0.176868146929785</v>
      </c>
      <c r="Q105">
        <f ca="1" t="shared" si="69"/>
        <v>0.448284482196154</v>
      </c>
      <c r="R105">
        <f ca="1" t="shared" si="236"/>
        <v>0.32958230397716</v>
      </c>
      <c r="S105">
        <f ca="1" t="shared" si="237"/>
        <v>1149856.58498314</v>
      </c>
      <c r="T105">
        <f t="shared" si="174"/>
        <v>0.8</v>
      </c>
      <c r="U105">
        <f ca="1" t="shared" si="71"/>
        <v>2.68954760480339</v>
      </c>
      <c r="V105">
        <f ca="1" t="shared" si="238"/>
        <v>3393960.48719357</v>
      </c>
      <c r="W105">
        <f ca="1">IF(G105="恒定伤害",0,MIN(1,IF(COUNTIF(F105,"*内会*")&gt;0,内会,IF(D105="轻剑",$Y$2,$Y$3)+COUNTIF(G105,"*莺鸣*")*0.2+COUNTIF(G105,"*叠1*")*0.1+COUNTIF(G105,"*叠2*")*0.2+COUNTIF(G105,"*叠3*")*0.3)+IFERROR(INDEX(技能数据库!$T$2:$W$27,MATCH(E105,技能数据库!$T$2:$T$27,0),2),0)+IF((IF(D105="轻剑",$AO$2,$AO$3)+INT(COUNTIF(G105,"*大莺鸣*")*IF(D105="轻剑",$AM$2,$AM$3)*听晓无双率)/无双系数)&gt;0.9,特效裤子会心/会心系数,0)))</f>
        <v>0.9343</v>
      </c>
      <c r="X105">
        <f ca="1">IF(G105="恒定伤害",0,IF(COUNTIF(F105,"*内会*")&gt;0,内会效,IF(D105="轻剑",$AB$2,$AB$3))+IFERROR(INDEX(技能数据库!$T$2:$W$27,MATCH(E105,技能数据库!$T$2:$T$27,0),3)/1024,0))+COUNTIF(G105,"*叠1*")*0.25+COUNTIF(G105,"*叠2*")*0.5+COUNTIF(G105,"*叠3*")*0.75</f>
        <v>2.3156473116</v>
      </c>
      <c r="Y105">
        <f ca="1" t="shared" si="239"/>
        <v>2.22920928322788</v>
      </c>
      <c r="Z105">
        <f t="shared" si="240"/>
        <v>0.150390625</v>
      </c>
      <c r="AA105">
        <f ca="1" t="shared" si="241"/>
        <v>0.0205078125</v>
      </c>
      <c r="AB105">
        <f ca="1" t="shared" si="242"/>
        <v>8882174.3234717</v>
      </c>
      <c r="AC105">
        <f ca="1">技能数计算!AJ97</f>
        <v>0</v>
      </c>
      <c r="AD105" s="164">
        <f ca="1" t="shared" si="243"/>
        <v>0</v>
      </c>
      <c r="AE105" s="168">
        <f ca="1" t="shared" si="73"/>
        <v>0</v>
      </c>
      <c r="AF105" s="168">
        <f ca="1" t="shared" si="244"/>
        <v>0</v>
      </c>
      <c r="AG105">
        <f ca="1" t="shared" si="245"/>
        <v>0.000161012264749072</v>
      </c>
      <c r="AH105">
        <f ca="1" t="shared" si="246"/>
        <v>1</v>
      </c>
      <c r="AI105">
        <f ca="1" t="shared" si="247"/>
        <v>1.00016101226475</v>
      </c>
      <c r="AJ105">
        <f ca="1" t="shared" si="248"/>
        <v>0</v>
      </c>
      <c r="AK105">
        <f ca="1" t="shared" si="249"/>
        <v>0</v>
      </c>
      <c r="AL105">
        <f ca="1" t="shared" si="78"/>
        <v>0</v>
      </c>
      <c r="AM105">
        <f ca="1" t="shared" si="250"/>
        <v>0</v>
      </c>
      <c r="AN105" s="168">
        <f ca="1" t="shared" si="79"/>
        <v>0.00841753350912167</v>
      </c>
      <c r="AO105" s="168">
        <f ca="1" t="shared" si="80"/>
        <v>0.00447057613551372</v>
      </c>
      <c r="AP105" s="172">
        <f ca="1" t="shared" si="251"/>
        <v>0.015897335593515</v>
      </c>
      <c r="AQ105" s="168">
        <f ca="1" t="shared" si="252"/>
        <v>0.00393951131463699</v>
      </c>
      <c r="AR105">
        <f t="shared" si="253"/>
        <v>1</v>
      </c>
    </row>
    <row r="106" spans="4:55">
      <c r="D106" t="s">
        <v>1825</v>
      </c>
      <c r="E106" t="s">
        <v>2786</v>
      </c>
      <c r="G106" t="s">
        <v>2948</v>
      </c>
      <c r="H106">
        <f ca="1">INDEX(技能数据库!$B$2:$I$100,MATCH(伤害与收益计算!$E106,技能数据库!$B$2:$B$100,0),MATCH(H$9,技能数据库!$B$2:$I$2,0))</f>
        <v>0</v>
      </c>
      <c r="I106">
        <f ca="1">INDEX(技能数据库!$B$2:$I$100,MATCH(伤害与收益计算!$E106,技能数据库!$B$2:$B$100,0),MATCH(I$9,技能数据库!$B$2:$I$2,0))</f>
        <v>0</v>
      </c>
      <c r="J106">
        <f ca="1">INDEX(技能数据库!$B$2:$I$100,MATCH(伤害与收益计算!$E106,技能数据库!$B$2:$B$100,0),MATCH(J$9,技能数据库!$B$2:$I$2,0))</f>
        <v>0</v>
      </c>
      <c r="K106">
        <f ca="1">INDEX(技能数据库!$B$2:$I$100,MATCH(伤害与收益计算!$E106,技能数据库!$B$2:$B$100,0),MATCH(K$9,技能数据库!$B$2:$I$2,0))</f>
        <v>0</v>
      </c>
      <c r="L106">
        <f ca="1" t="shared" si="67"/>
        <v>91975</v>
      </c>
      <c r="M106">
        <f ca="1" t="shared" si="233"/>
        <v>19530.5</v>
      </c>
      <c r="N106">
        <f ca="1" t="shared" si="234"/>
        <v>92028</v>
      </c>
      <c r="O106">
        <f ca="1" t="shared" si="235"/>
        <v>0</v>
      </c>
      <c r="P106">
        <f ca="1">IF(G106="恒定伤害",0,(IF(D106="轻剑",$AZ$2,$AZ$3)+IFERROR(INDEX(技能数据库!$T$2:$W$27,MATCH(E106,技能数据库!$T$2:$T$27,0),4),0)+COUNTIF(G106,"*造化2*")*154+COUNTIF(G106,"*造化1*")*102+COUNTIF(G106,"*碧归*")*307)/1024)</f>
        <v>0.176868146929785</v>
      </c>
      <c r="Q106">
        <f ca="1" t="shared" ref="Q106:Q142" si="254">IF(G106="恒定伤害",0,(IF(COUNTIF(F106,"*内破*")&gt;0,内破,IF(D106="轻剑",$AF$2,$AF$3)/破防系数))+IF((IF(D106="轻剑",$AO$2,$AO$3)+INT(COUNTIF(G106,"*大莺鸣*")*IF(D106="轻剑",$AM$2,$AM$3)*听晓无双率)/无双系数)&gt;0.9,(特效裤子破防+特效裤子破防*IF(D106="轻剑",$AD$2,$AD$3)/1024)/破防系数,0))</f>
        <v>0.448284482196154</v>
      </c>
      <c r="R106">
        <f ca="1" t="shared" si="236"/>
        <v>0.32958230397716</v>
      </c>
      <c r="S106">
        <f ca="1" t="shared" si="237"/>
        <v>0</v>
      </c>
      <c r="T106">
        <f t="shared" si="174"/>
        <v>0.8</v>
      </c>
      <c r="U106">
        <f ca="1" t="shared" ref="U106:U142" si="255">IF(G106="恒定伤害",0,(IF(D106="轻剑",$AO$2,$AO$3)+INT(COUNTIF(G106,"*大莺鸣*")*IF(D106="轻剑",$AM$2,$AM$3)*听晓无双率)/无双系数)+IF((IF(D106="轻剑",$AO$2,$AO$3)+INT(COUNTIF(G106,"*大莺鸣*")*IF(D106="轻剑",$AM$2,$AM$3)*听晓无双率)/无双系数)&lt;=0.9,特效裤子无双,0))</f>
        <v>2.68954760480339</v>
      </c>
      <c r="V106">
        <f ca="1" t="shared" si="238"/>
        <v>0</v>
      </c>
      <c r="W106">
        <f ca="1">IF(G106="恒定伤害",0,MIN(1,IF(COUNTIF(F106,"*内会*")&gt;0,内会,IF(D106="轻剑",$Y$2,$Y$3)+COUNTIF(G106,"*莺鸣*")*0.2+COUNTIF(G106,"*叠1*")*0.1+COUNTIF(G106,"*叠2*")*0.2+COUNTIF(G106,"*叠3*")*0.3)+IFERROR(INDEX(技能数据库!$T$2:$W$27,MATCH(E106,技能数据库!$T$2:$T$27,0),2),0)+IF((IF(D106="轻剑",$AO$2,$AO$3)+INT(COUNTIF(G106,"*大莺鸣*")*IF(D106="轻剑",$AM$2,$AM$3)*听晓无双率)/无双系数)&gt;0.9,特效裤子会心/会心系数,0)))</f>
        <v>0.9343</v>
      </c>
      <c r="X106">
        <f ca="1">IF(G106="恒定伤害",0,IF(COUNTIF(F106,"*内会*")&gt;0,内会效,IF(D106="轻剑",$AB$2,$AB$3))+IFERROR(INDEX(技能数据库!$T$2:$W$27,MATCH(E106,技能数据库!$T$2:$T$27,0),3)/1024,0))+COUNTIF(G106,"*叠1*")*0.25+COUNTIF(G106,"*叠2*")*0.5+COUNTIF(G106,"*叠3*")*0.75</f>
        <v>2.3156473116</v>
      </c>
      <c r="Y106">
        <f ca="1" t="shared" si="239"/>
        <v>2.22920928322788</v>
      </c>
      <c r="Z106">
        <f t="shared" si="240"/>
        <v>0.150390625</v>
      </c>
      <c r="AA106">
        <f ca="1" t="shared" si="241"/>
        <v>0.0205078125</v>
      </c>
      <c r="AB106">
        <f ca="1" t="shared" si="242"/>
        <v>0</v>
      </c>
      <c r="AC106">
        <f ca="1">技能数计算!AJ98</f>
        <v>0</v>
      </c>
      <c r="AD106" s="164">
        <f ca="1" t="shared" si="243"/>
        <v>0</v>
      </c>
      <c r="AE106" s="168">
        <f ca="1" t="shared" si="73"/>
        <v>0</v>
      </c>
      <c r="AF106" s="168">
        <f ca="1" t="shared" si="244"/>
        <v>0</v>
      </c>
      <c r="AG106">
        <f ca="1" t="shared" si="245"/>
        <v>0</v>
      </c>
      <c r="AH106">
        <f ca="1" t="shared" si="246"/>
        <v>0</v>
      </c>
      <c r="AI106">
        <f ca="1" t="shared" si="247"/>
        <v>1.00016101226475</v>
      </c>
      <c r="AJ106">
        <f ca="1" t="shared" si="248"/>
        <v>0</v>
      </c>
      <c r="AK106">
        <f ca="1" t="shared" si="249"/>
        <v>0</v>
      </c>
      <c r="AL106">
        <f ca="1" t="shared" ref="AL106:AL140" si="256">IF(G106="恒定伤害",0,IFERROR(((1+MIN(1,W106+delta会心/会心系数)*(X106-1))*AM106)/(Y106*AC106)-1,0))</f>
        <v>0</v>
      </c>
      <c r="AM106">
        <f ca="1" t="shared" si="250"/>
        <v>0</v>
      </c>
      <c r="AN106" s="168">
        <f ca="1" t="shared" ref="AN106:AN137" si="257">IF(OR(COUNTIF(F106,"*内会*")&gt;0,G106="恒定伤害"),0,(1+W106*(MIN(3+COUNTIF(G106,"*叠*")*0.75,X106+delta会效/会效系数)-1))/Y106-1)</f>
        <v>0.00841753350912167</v>
      </c>
      <c r="AO106" s="168">
        <f ca="1" t="shared" ref="AO106:AO140" si="258">IF(OR(COUNTIF(F106,"*内破*")&gt;0,G106="恒定伤害"),0,IFERROR(((delta破防+INT((IF(D106="轻剑",$AD$2,$AD$3))/1024*delta破防))/破防系数+Q106+1)/(Q106+1)-1,0))</f>
        <v>0.00447057613551372</v>
      </c>
      <c r="AP106" s="172">
        <f ca="1" t="shared" si="251"/>
        <v>0</v>
      </c>
      <c r="AQ106" s="168">
        <f ca="1" t="shared" si="252"/>
        <v>0.00393951131463699</v>
      </c>
      <c r="AR106">
        <f t="shared" si="253"/>
        <v>1</v>
      </c>
    </row>
    <row r="107" spans="4:55">
      <c r="D107" t="s">
        <v>1825</v>
      </c>
      <c r="E107" t="s">
        <v>2718</v>
      </c>
      <c r="G107" t="s">
        <v>2750</v>
      </c>
      <c r="H107">
        <f ca="1">INDEX(技能数据库!$B$2:$I$100,MATCH(伤害与收益计算!$E107,技能数据库!$B$2:$B$100,0),MATCH(H$9,技能数据库!$B$2:$I$2,0))</f>
        <v>145.5</v>
      </c>
      <c r="I107">
        <f ca="1">INDEX(技能数据库!$B$2:$I$100,MATCH(伤害与收益计算!$E107,技能数据库!$B$2:$B$100,0),MATCH(I$9,技能数据库!$B$2:$I$2,0))</f>
        <v>5.1625</v>
      </c>
      <c r="J107">
        <f ca="1">INDEX(技能数据库!$B$2:$I$100,MATCH(伤害与收益计算!$E107,技能数据库!$B$2:$B$100,0),MATCH(J$9,技能数据库!$B$2:$I$2,0))</f>
        <v>1</v>
      </c>
      <c r="K107">
        <f ca="1">INDEX(技能数据库!$B$2:$I$100,MATCH(伤害与收益计算!$E107,技能数据库!$B$2:$B$100,0),MATCH(K$9,技能数据库!$B$2:$I$2,0))</f>
        <v>0</v>
      </c>
      <c r="L107">
        <f ca="1" t="shared" si="67"/>
        <v>105847</v>
      </c>
      <c r="M107">
        <f ca="1" t="shared" ref="M107:M115" si="259">IF(D107="轻剑",$AU$2+$AV$2,$AU$3+$AV$3)/2</f>
        <v>19530.5</v>
      </c>
      <c r="N107">
        <f ca="1" t="shared" ref="N107:N115" si="260">IF(D107="轻剑",$AJ$2,$AJ$3)</f>
        <v>92028</v>
      </c>
      <c r="O107">
        <f ca="1" t="shared" si="235"/>
        <v>566111.1375</v>
      </c>
      <c r="P107">
        <f ca="1">IF(G107="恒定伤害",0,(IF(D107="轻剑",$AZ$2,$AZ$3)+IFERROR(INDEX(技能数据库!$T$2:$W$27,MATCH(E107,技能数据库!$T$2:$T$27,0),4),0)+COUNTIF(G107,"*造化2*")*154+COUNTIF(G107,"*造化1*")*102+COUNTIF(G107,"*碧归*")*307)/1024)</f>
        <v>0.176868146929785</v>
      </c>
      <c r="Q107">
        <f ca="1" t="shared" si="254"/>
        <v>0.448284482196154</v>
      </c>
      <c r="R107">
        <f ca="1" t="shared" si="236"/>
        <v>0.21277697966198</v>
      </c>
      <c r="S107">
        <f ca="1" t="shared" ref="S107:S115" si="261">O107*(1+P107)*(1+Q107)*(1-R107)</f>
        <v>759593.378760343</v>
      </c>
      <c r="T107">
        <f t="shared" ref="T107:T115" si="262">1-($F$6-130)*0.05</f>
        <v>0.8</v>
      </c>
      <c r="U107">
        <f ca="1" t="shared" si="255"/>
        <v>1.7995442148</v>
      </c>
      <c r="V107">
        <f ca="1" t="shared" ref="V107:V115" si="263">S107*T107*(1+U107)</f>
        <v>1701212.19928712</v>
      </c>
      <c r="W107">
        <f ca="1">IF(G107="恒定伤害",0,MIN(1,IF(COUNTIF(F107,"*内会*")&gt;0,内会,IF(D107="轻剑",$Y$2,$Y$3)+COUNTIF(G107,"*莺鸣*")*0.2+COUNTIF(G107,"*叠1*")*0.1+COUNTIF(G107,"*叠2*")*0.2+COUNTIF(G107,"*叠3*")*0.3)+IFERROR(INDEX(技能数据库!$T$2:$W$27,MATCH(E107,技能数据库!$T$2:$T$27,0),2),0)+IF((IF(D107="轻剑",$AO$2,$AO$3)+INT(COUNTIF(G107,"*大莺鸣*")*IF(D107="轻剑",$AM$2,$AM$3)*听晓无双率)/无双系数)&gt;0.9,特效裤子会心/会心系数,0)))</f>
        <v>0.7343</v>
      </c>
      <c r="X107">
        <f ca="1">IF(G107="恒定伤害",0,IF(COUNTIF(F107,"*内会*")&gt;0,内会效,IF(D107="轻剑",$AB$2,$AB$3))+IFERROR(INDEX(技能数据库!$T$2:$W$27,MATCH(E107,技能数据库!$T$2:$T$27,0),3)/1024,0))+COUNTIF(G107,"*叠1*")*0.25+COUNTIF(G107,"*叠2*")*0.5+COUNTIF(G107,"*叠3*")*0.75</f>
        <v>2.3156473116</v>
      </c>
      <c r="Y107">
        <f ca="1" t="shared" ref="Y107:Y115" si="264">1+W107*(X107-1)</f>
        <v>1.96607982090788</v>
      </c>
      <c r="Z107">
        <f t="shared" si="240"/>
        <v>0.150390625</v>
      </c>
      <c r="AA107">
        <f ca="1" t="shared" ref="AA107:AA115" si="265">IF(D107="轻剑",$BA$2,$BA$3)/1024</f>
        <v>0.0205078125</v>
      </c>
      <c r="AB107">
        <f ca="1" t="shared" ref="AB107:AB115" si="266">V107*Y107*(1+Z107)*(1+AA107)</f>
        <v>3926641.9475267</v>
      </c>
      <c r="AC107">
        <f ca="1">技能数计算!AJ99</f>
        <v>0</v>
      </c>
      <c r="AD107" s="164">
        <f ca="1" t="shared" ref="AD107:AD115" si="267">IFERROR(AB107*AC107/$AD$7,0)</f>
        <v>0</v>
      </c>
      <c r="AE107" s="168">
        <f ca="1" t="shared" si="73"/>
        <v>0.00452314012281732</v>
      </c>
      <c r="AF107" s="168">
        <f ca="1" t="shared" si="244"/>
        <v>0.00105323841999134</v>
      </c>
      <c r="AG107">
        <f ca="1" t="shared" si="245"/>
        <v>0.00324712306529484</v>
      </c>
      <c r="AH107">
        <f ca="1" t="shared" si="246"/>
        <v>1.00308561397885</v>
      </c>
      <c r="AI107">
        <f ca="1" t="shared" si="247"/>
        <v>1.00016101226475</v>
      </c>
      <c r="AJ107">
        <f ca="1" t="shared" si="248"/>
        <v>0</v>
      </c>
      <c r="AK107">
        <f ca="1" t="shared" si="249"/>
        <v>0</v>
      </c>
      <c r="AL107">
        <f ca="1" t="shared" si="256"/>
        <v>0</v>
      </c>
      <c r="AM107">
        <f ca="1" t="shared" si="250"/>
        <v>0</v>
      </c>
      <c r="AN107" s="168">
        <f ca="1" t="shared" si="257"/>
        <v>0.00750104430192855</v>
      </c>
      <c r="AO107" s="168">
        <f ca="1" t="shared" si="258"/>
        <v>0.00447057613551372</v>
      </c>
      <c r="AP107" s="172">
        <f ca="1" t="shared" si="251"/>
        <v>0</v>
      </c>
      <c r="AQ107" s="168">
        <f ca="1" t="shared" si="252"/>
        <v>0.00401583628616287</v>
      </c>
      <c r="AR107">
        <f t="shared" si="253"/>
        <v>1</v>
      </c>
    </row>
    <row r="108" spans="4:55">
      <c r="D108" t="s">
        <v>1825</v>
      </c>
      <c r="E108" t="s">
        <v>2776</v>
      </c>
      <c r="G108" t="s">
        <v>3102</v>
      </c>
      <c r="H108">
        <f ca="1">INDEX(技能数据库!$B$2:$I$100,MATCH(伤害与收益计算!$E108,技能数据库!$B$2:$B$100,0),MATCH(H$9,技能数据库!$B$2:$I$2,0))</f>
        <v>281.5</v>
      </c>
      <c r="I108">
        <f ca="1">INDEX(技能数据库!$B$2:$I$100,MATCH(伤害与收益计算!$E108,技能数据库!$B$2:$B$100,0),MATCH(I$9,技能数据库!$B$2:$I$2,0))</f>
        <v>7.06875</v>
      </c>
      <c r="J108">
        <f ca="1">INDEX(技能数据库!$B$2:$I$100,MATCH(伤害与收益计算!$E108,技能数据库!$B$2:$B$100,0),MATCH(J$9,技能数据库!$B$2:$I$2,0))</f>
        <v>2</v>
      </c>
      <c r="K108">
        <f ca="1">INDEX(技能数据库!$B$2:$I$100,MATCH(伤害与收益计算!$E108,技能数据库!$B$2:$B$100,0),MATCH(K$9,技能数据库!$B$2:$I$2,0))</f>
        <v>0</v>
      </c>
      <c r="L108">
        <f ca="1" t="shared" si="67"/>
        <v>91975</v>
      </c>
      <c r="M108">
        <f ca="1" t="shared" si="259"/>
        <v>19530.5</v>
      </c>
      <c r="N108">
        <f ca="1" t="shared" si="260"/>
        <v>92028</v>
      </c>
      <c r="O108">
        <f ca="1" t="shared" ref="O108" si="268">H108+I108*L108+J108*M108+IF(K108&gt;0,MAX(1,K108*N108*破招全局系数),0)</f>
        <v>689490.78125</v>
      </c>
      <c r="P108">
        <f ca="1">IF(G108="恒定伤害",0,(IF(D108="轻剑",$AZ$2,$AZ$3)+IFERROR(INDEX(技能数据库!$T$2:$W$27,MATCH(E108,技能数据库!$T$2:$T$27,0),4),0)+COUNTIF(G108,"*造化2*")*154+COUNTIF(G108,"*造化1*")*102+COUNTIF(G108,"*碧归*")*307)/1024)</f>
        <v>0.697375959429785</v>
      </c>
      <c r="Q108">
        <f ca="1" t="shared" si="254"/>
        <v>0.448284482196154</v>
      </c>
      <c r="R108">
        <f ca="1" t="shared" ref="R108" si="269">IF(G108="恒定伤害",0,(($F$5-IF(D108="轻剑",$BB$2,$BB$3))*(1024-IF(D108="轻剑",$BD$2,$BD$3))/1024*(1024-IF(D108="轻剑",$BC$2,$BC$3)-COUNTIF(G108,"*雾锁*")*461*雾锁)/1024/(($F$5-IF(D108="轻剑",$BB$2,$BB$3))*(1024-IF(D108="轻剑",$BD$2,$BD$3))/1024*(1024-IF(D108="轻剑",$BC$2,$BC$3)-COUNTIF(G108,"*雾锁*")*461*雾锁)/1024+$F$7)))</f>
        <v>0.32958230397716</v>
      </c>
      <c r="S108">
        <f ca="1" t="shared" si="261"/>
        <v>1136333.62319256</v>
      </c>
      <c r="T108">
        <f t="shared" si="262"/>
        <v>0.8</v>
      </c>
      <c r="U108">
        <f ca="1" t="shared" si="255"/>
        <v>2.68954760480339</v>
      </c>
      <c r="V108">
        <f ca="1" t="shared" si="263"/>
        <v>3354045.59816615</v>
      </c>
      <c r="W108">
        <f ca="1">IF(G108="恒定伤害",0,MIN(1,IF(COUNTIF(F108,"*内会*")&gt;0,内会,IF(D108="轻剑",$Y$2,$Y$3)+COUNTIF(G108,"*莺鸣*")*0.2+COUNTIF(G108,"*叠1*")*0.1+COUNTIF(G108,"*叠2*")*0.2+COUNTIF(G108,"*叠3*")*0.3)+IFERROR(INDEX(技能数据库!$T$2:$W$27,MATCH(E108,技能数据库!$T$2:$T$27,0),2),0)+IF((IF(D108="轻剑",$AO$2,$AO$3)+INT(COUNTIF(G108,"*大莺鸣*")*IF(D108="轻剑",$AM$2,$AM$3)*听晓无双率)/无双系数)&gt;0.9,特效裤子会心/会心系数,0)))</f>
        <v>0.9343</v>
      </c>
      <c r="X108">
        <f ca="1">IF(G108="恒定伤害",0,IF(COUNTIF(F108,"*内会*")&gt;0,内会效,IF(D108="轻剑",$AB$2,$AB$3))+IFERROR(INDEX(技能数据库!$T$2:$W$27,MATCH(E108,技能数据库!$T$2:$T$27,0),3)/1024,0))+COUNTIF(G108,"*叠1*")*0.25+COUNTIF(G108,"*叠2*")*0.5+COUNTIF(G108,"*叠3*")*0.75</f>
        <v>2.3156473116</v>
      </c>
      <c r="Y108">
        <f ca="1" t="shared" si="264"/>
        <v>2.22920928322788</v>
      </c>
      <c r="Z108">
        <f t="shared" ref="Z108" si="270">IF(G108="恒定伤害",0,非侠士伤害/1024)</f>
        <v>0.150390625</v>
      </c>
      <c r="AA108">
        <f ca="1" t="shared" si="265"/>
        <v>0.0205078125</v>
      </c>
      <c r="AB108">
        <f ca="1" t="shared" si="266"/>
        <v>8777714.94517859</v>
      </c>
      <c r="AC108">
        <f ca="1">技能数计算!AJ100</f>
        <v>0</v>
      </c>
      <c r="AD108" s="164">
        <f ca="1" t="shared" si="267"/>
        <v>0</v>
      </c>
      <c r="AE108" s="168">
        <f ca="1" t="shared" si="73"/>
        <v>0.004264886609026</v>
      </c>
      <c r="AF108" s="168">
        <f ca="1" t="shared" ref="AF108" si="271">IFERROR((delta武伤+INT((IF(D108="轻剑",$AW$2,$AW$3))/1024*delta武伤))*J108/O108,0)</f>
        <v>0.00172953726493352</v>
      </c>
      <c r="AG108">
        <f ca="1" t="shared" ref="AG108" si="272">IF(G108="恒定伤害",0,MAX(0,AH108*AI108*IF(AJ108=0,1,AJ108)-1))</f>
        <v>0.00363051558430105</v>
      </c>
      <c r="AH108">
        <f ca="1" t="shared" ref="AH108" si="273">IFERROR((delta身法+INT((IF(D108="轻剑",$N$2,$N$3))/1024*delta身法))*身法转额外攻击*I108/O108+1,0)</f>
        <v>1.0034689447769</v>
      </c>
      <c r="AI108">
        <f ca="1" t="shared" ref="AI108" si="274">IFERROR(((delta身法+INT((IF(D108="轻剑",$N$2,$N$3))/1024*delta身法))*身法转额外破防/破防系数+Q108+1)/(1+Q108),0)</f>
        <v>1.00016101226475</v>
      </c>
      <c r="AJ108">
        <f ca="1" t="shared" ref="AJ108" si="275">IFERROR(((1+MIN(1,((delta身法+INT((IF(D108="轻剑",$N$2,$N$3))/1024*delta身法))*身法转基础会心/会心系数)+W108)*(X108-1))*AK108)/(Y108*AC108),0)</f>
        <v>0</v>
      </c>
      <c r="AK108">
        <f ca="1" t="shared" ref="AK108" si="276">AC108</f>
        <v>0</v>
      </c>
      <c r="AL108">
        <f ca="1" t="shared" si="256"/>
        <v>0</v>
      </c>
      <c r="AM108">
        <f ca="1" t="shared" ref="AM108" si="277">AC108</f>
        <v>0</v>
      </c>
      <c r="AN108" s="168">
        <f ca="1" t="shared" si="257"/>
        <v>0.00841753350912167</v>
      </c>
      <c r="AO108" s="168">
        <f ca="1" t="shared" si="258"/>
        <v>0.00447057613551372</v>
      </c>
      <c r="AP108" s="172">
        <f ca="1" t="shared" ref="AP108" si="278">IFERROR((delta破招+INT((IF(D108="轻剑",$AI$2,$AI$3))/1024*delta破招))*K108*破招全局系数/MAX(1,O108),0)</f>
        <v>0</v>
      </c>
      <c r="AQ108" s="168">
        <f ca="1" t="shared" ref="AQ108" si="279">IF(G108="恒定伤害",0,IFERROR(((delta无双+INT((IF(D108="轻剑",$AL$2,$AL$3)+COUNTIF(G108,"*大莺鸣*")*307)/1024*delta无双))/无双系数+U108+1)/(U108+1)-1,0))</f>
        <v>0.00393951131463699</v>
      </c>
      <c r="AR108">
        <f t="shared" ref="AR108" si="280">IF($AR$8="综合属性收益",1,COUNTIF(D108,LEFT($AR$8,2)))</f>
        <v>1</v>
      </c>
    </row>
    <row r="109" spans="4:55">
      <c r="D109" t="s">
        <v>1825</v>
      </c>
      <c r="E109" t="s">
        <v>2780</v>
      </c>
      <c r="G109" t="s">
        <v>3102</v>
      </c>
      <c r="H109">
        <f ca="1">INDEX(技能数据库!$B$2:$I$100,MATCH(伤害与收益计算!$E109,技能数据库!$B$2:$B$100,0),MATCH(H$9,技能数据库!$B$2:$I$2,0))</f>
        <v>252.5</v>
      </c>
      <c r="I109">
        <f ca="1">INDEX(技能数据库!$B$2:$I$100,MATCH(伤害与收益计算!$E109,技能数据库!$B$2:$B$100,0),MATCH(I$9,技能数据库!$B$2:$I$2,0))</f>
        <v>2.11875</v>
      </c>
      <c r="J109">
        <f ca="1">INDEX(技能数据库!$B$2:$I$100,MATCH(伤害与收益计算!$E109,技能数据库!$B$2:$B$100,0),MATCH(J$9,技能数据库!$B$2:$I$2,0))</f>
        <v>2</v>
      </c>
      <c r="K109">
        <f ca="1">INDEX(技能数据库!$B$2:$I$100,MATCH(伤害与收益计算!$E109,技能数据库!$B$2:$B$100,0),MATCH(K$9,技能数据库!$B$2:$I$2,0))</f>
        <v>0</v>
      </c>
      <c r="L109">
        <f ca="1" t="shared" si="67"/>
        <v>91975</v>
      </c>
      <c r="M109">
        <f ca="1" t="shared" si="259"/>
        <v>19530.5</v>
      </c>
      <c r="N109">
        <f ca="1" t="shared" si="260"/>
        <v>92028</v>
      </c>
      <c r="O109">
        <f ca="1" t="shared" ref="O109:O132" si="281">H109+I109*L109+J109*M109+IF(K109&gt;0,MAX(1,K109*N109*破招全局系数),0)</f>
        <v>234185.53125</v>
      </c>
      <c r="P109">
        <f ca="1">IF(G109="恒定伤害",0,(IF(D109="轻剑",$AZ$2,$AZ$3)+IFERROR(INDEX(技能数据库!$T$2:$W$27,MATCH(E109,技能数据库!$T$2:$T$27,0),4),0)+COUNTIF(G109,"*造化2*")*154+COUNTIF(G109,"*造化1*")*102+COUNTIF(G109,"*碧归*")*307)/1024)</f>
        <v>0.697375959429785</v>
      </c>
      <c r="Q109">
        <f ca="1" t="shared" si="254"/>
        <v>0.448284482196154</v>
      </c>
      <c r="R109">
        <f ca="1" t="shared" ref="R109:R132" si="282">IF(G109="恒定伤害",0,(($F$5-IF(D109="轻剑",$BB$2,$BB$3))*(1024-IF(D109="轻剑",$BD$2,$BD$3))/1024*(1024-IF(D109="轻剑",$BC$2,$BC$3)-COUNTIF(G109,"*雾锁*")*461*雾锁)/1024/(($F$5-IF(D109="轻剑",$BB$2,$BB$3))*(1024-IF(D109="轻剑",$BD$2,$BD$3))/1024*(1024-IF(D109="轻剑",$BC$2,$BC$3)-COUNTIF(G109,"*雾锁*")*461*雾锁)/1024+$F$7)))</f>
        <v>0.32958230397716</v>
      </c>
      <c r="S109">
        <f ca="1" t="shared" si="261"/>
        <v>385955.694349014</v>
      </c>
      <c r="T109">
        <f t="shared" si="262"/>
        <v>0.8</v>
      </c>
      <c r="U109">
        <f ca="1" t="shared" si="255"/>
        <v>2.68954760480339</v>
      </c>
      <c r="V109">
        <f ca="1" t="shared" si="263"/>
        <v>1139201.52611651</v>
      </c>
      <c r="W109">
        <f ca="1">IF(G109="恒定伤害",0,MIN(1,IF(COUNTIF(F109,"*内会*")&gt;0,内会,IF(D109="轻剑",$Y$2,$Y$3)+COUNTIF(G109,"*莺鸣*")*0.2+COUNTIF(G109,"*叠1*")*0.1+COUNTIF(G109,"*叠2*")*0.2+COUNTIF(G109,"*叠3*")*0.3)+IFERROR(INDEX(技能数据库!$T$2:$W$27,MATCH(E109,技能数据库!$T$2:$T$27,0),2),0)+IF((IF(D109="轻剑",$AO$2,$AO$3)+INT(COUNTIF(G109,"*大莺鸣*")*IF(D109="轻剑",$AM$2,$AM$3)*听晓无双率)/无双系数)&gt;0.9,特效裤子会心/会心系数,0)))</f>
        <v>0.9343</v>
      </c>
      <c r="X109">
        <f ca="1">IF(G109="恒定伤害",0,IF(COUNTIF(F109,"*内会*")&gt;0,内会效,IF(D109="轻剑",$AB$2,$AB$3))+IFERROR(INDEX(技能数据库!$T$2:$W$27,MATCH(E109,技能数据库!$T$2:$T$27,0),3)/1024,0))+COUNTIF(G109,"*叠1*")*0.25+COUNTIF(G109,"*叠2*")*0.5+COUNTIF(G109,"*叠3*")*0.75</f>
        <v>2.3156473116</v>
      </c>
      <c r="Y109">
        <f ca="1" t="shared" si="264"/>
        <v>2.22920928322788</v>
      </c>
      <c r="Z109">
        <f t="shared" ref="Z109:Z132" si="283">IF(G109="恒定伤害",0,非侠士伤害/1024)</f>
        <v>0.150390625</v>
      </c>
      <c r="AA109">
        <f ca="1" t="shared" si="265"/>
        <v>0.0205078125</v>
      </c>
      <c r="AB109">
        <f ca="1" t="shared" si="266"/>
        <v>2981350.72070293</v>
      </c>
      <c r="AC109">
        <f ca="1">技能数计算!AJ101</f>
        <v>0</v>
      </c>
      <c r="AD109" s="164">
        <f ca="1" t="shared" si="267"/>
        <v>0</v>
      </c>
      <c r="AE109" s="168">
        <f ca="1" t="shared" si="73"/>
        <v>0.0037636825609823</v>
      </c>
      <c r="AF109" s="168">
        <f ca="1" t="shared" ref="AF109:AF132" si="284">IFERROR((delta武伤+INT((IF(D109="轻剑",$AW$2,$AW$3))/1024*delta武伤))*J109/O109,0)</f>
        <v>0.00509211646695188</v>
      </c>
      <c r="AG109">
        <f ca="1" t="shared" ref="AG109:AG114" si="285">IF(G109="恒定伤害",0,MAX(0,AH109*AI109*IF(AJ109=0,1,AJ109)-1))</f>
        <v>0.00322278396846398</v>
      </c>
      <c r="AH109">
        <f ca="1" t="shared" ref="AH109:AH132" si="286">IFERROR((delta身法+INT((IF(D109="轻剑",$N$2,$N$3))/1024*delta身法))*身法转额外攻击*I109/O109+1,0)</f>
        <v>1.00306127880028</v>
      </c>
      <c r="AI109">
        <f ca="1" t="shared" ref="AI109:AI132" si="287">IFERROR(((delta身法+INT((IF(D109="轻剑",$N$2,$N$3))/1024*delta身法))*身法转额外破防/破防系数+Q109+1)/(1+Q109),0)</f>
        <v>1.00016101226475</v>
      </c>
      <c r="AJ109">
        <f ca="1" t="shared" ref="AJ109:AJ132" si="288">IFERROR(((1+MIN(1,((delta身法+INT((IF(D109="轻剑",$N$2,$N$3))/1024*delta身法))*身法转基础会心/会心系数)+W109)*(X109-1))*AK109)/(Y109*AC109),0)</f>
        <v>0</v>
      </c>
      <c r="AK109">
        <f ca="1" t="shared" ref="AK109:AK113" si="289">AC109</f>
        <v>0</v>
      </c>
      <c r="AL109">
        <f ca="1" t="shared" si="256"/>
        <v>0</v>
      </c>
      <c r="AM109">
        <f ca="1" t="shared" ref="AM109:AM113" si="290">AC109</f>
        <v>0</v>
      </c>
      <c r="AN109" s="168">
        <f ca="1" t="shared" si="257"/>
        <v>0.00841753350912167</v>
      </c>
      <c r="AO109" s="168">
        <f ca="1" t="shared" si="258"/>
        <v>0.00447057613551372</v>
      </c>
      <c r="AP109" s="172">
        <f ca="1" t="shared" ref="AP109:AP132" si="291">IFERROR((delta破招+INT((IF(D109="轻剑",$AI$2,$AI$3))/1024*delta破招))*K109*破招全局系数/MAX(1,O109),0)</f>
        <v>0</v>
      </c>
      <c r="AQ109" s="168">
        <f ca="1" t="shared" ref="AQ109:AQ132" si="292">IF(G109="恒定伤害",0,IFERROR(((delta无双+INT((IF(D109="轻剑",$AL$2,$AL$3)+COUNTIF(G109,"*大莺鸣*")*307)/1024*delta无双))/无双系数+U109+1)/(U109+1)-1,0))</f>
        <v>0.00393951131463699</v>
      </c>
      <c r="AR109">
        <f t="shared" ref="AR109:AR132" si="293">IF($AR$8="综合属性收益",1,COUNTIF(D109,LEFT($AR$8,2)))</f>
        <v>1</v>
      </c>
    </row>
    <row r="110" spans="4:55">
      <c r="D110" t="s">
        <v>1825</v>
      </c>
      <c r="E110" t="s">
        <v>2794</v>
      </c>
      <c r="G110" t="s">
        <v>3103</v>
      </c>
      <c r="H110">
        <f ca="1">INDEX(技能数据库!$B$2:$I$100,MATCH(伤害与收益计算!$E110,技能数据库!$B$2:$B$100,0),MATCH(H$9,技能数据库!$B$2:$I$2,0))</f>
        <v>231.5</v>
      </c>
      <c r="I110">
        <f ca="1">INDEX(技能数据库!$B$2:$I$100,MATCH(伤害与收益计算!$E110,技能数据库!$B$2:$B$100,0),MATCH(I$9,技能数据库!$B$2:$I$2,0))</f>
        <v>2.71875</v>
      </c>
      <c r="J110">
        <f ca="1">INDEX(技能数据库!$B$2:$I$100,MATCH(伤害与收益计算!$E110,技能数据库!$B$2:$B$100,0),MATCH(J$9,技能数据库!$B$2:$I$2,0))</f>
        <v>2</v>
      </c>
      <c r="K110">
        <f ca="1">INDEX(技能数据库!$B$2:$I$100,MATCH(伤害与收益计算!$E110,技能数据库!$B$2:$B$100,0),MATCH(K$9,技能数据库!$B$2:$I$2,0))</f>
        <v>0</v>
      </c>
      <c r="L110">
        <f ca="1" t="shared" si="67"/>
        <v>91975</v>
      </c>
      <c r="M110">
        <f ca="1" t="shared" si="259"/>
        <v>19530.5</v>
      </c>
      <c r="N110">
        <f ca="1" t="shared" si="260"/>
        <v>92028</v>
      </c>
      <c r="O110">
        <f ca="1" t="shared" si="281"/>
        <v>289349.53125</v>
      </c>
      <c r="P110">
        <f ca="1">IF(G110="恒定伤害",0,(IF(D110="轻剑",$AZ$2,$AZ$3)+IFERROR(INDEX(技能数据库!$T$2:$W$27,MATCH(E110,技能数据库!$T$2:$T$27,0),4),0)+COUNTIF(G110,"*造化2*")*154+COUNTIF(G110,"*造化1*")*102+COUNTIF(G110,"*碧归*")*307)/1024)</f>
        <v>0.596790021929785</v>
      </c>
      <c r="Q110">
        <f ca="1" t="shared" si="254"/>
        <v>0.448284482196154</v>
      </c>
      <c r="R110">
        <f ca="1" t="shared" si="282"/>
        <v>0.32958230397716</v>
      </c>
      <c r="S110">
        <f ca="1" t="shared" si="261"/>
        <v>448611.022242212</v>
      </c>
      <c r="T110">
        <f t="shared" si="262"/>
        <v>0.8</v>
      </c>
      <c r="U110">
        <f ca="1" t="shared" si="255"/>
        <v>2.68954760480339</v>
      </c>
      <c r="V110">
        <f ca="1" t="shared" si="263"/>
        <v>1324137.37808172</v>
      </c>
      <c r="W110">
        <f ca="1">IF(G110="恒定伤害",0,MIN(1,IF(COUNTIF(F110,"*内会*")&gt;0,内会,IF(D110="轻剑",$Y$2,$Y$3)+COUNTIF(G110,"*莺鸣*")*0.2+COUNTIF(G110,"*叠1*")*0.1+COUNTIF(G110,"*叠2*")*0.2+COUNTIF(G110,"*叠3*")*0.3)+IFERROR(INDEX(技能数据库!$T$2:$W$27,MATCH(E110,技能数据库!$T$2:$T$27,0),2),0)+IF((IF(D110="轻剑",$AO$2,$AO$3)+INT(COUNTIF(G110,"*大莺鸣*")*IF(D110="轻剑",$AM$2,$AM$3)*听晓无双率)/无双系数)&gt;0.9,特效裤子会心/会心系数,0)))</f>
        <v>0.9343</v>
      </c>
      <c r="X110">
        <f ca="1">IF(G110="恒定伤害",0,IF(COUNTIF(F110,"*内会*")&gt;0,内会效,IF(D110="轻剑",$AB$2,$AB$3))+IFERROR(INDEX(技能数据库!$T$2:$W$27,MATCH(E110,技能数据库!$T$2:$T$27,0),3)/1024,0))+COUNTIF(G110,"*叠1*")*0.25+COUNTIF(G110,"*叠2*")*0.5+COUNTIF(G110,"*叠3*")*0.75</f>
        <v>2.3156473116</v>
      </c>
      <c r="Y110">
        <f ca="1" t="shared" si="264"/>
        <v>2.22920928322788</v>
      </c>
      <c r="Z110">
        <f t="shared" si="283"/>
        <v>0.150390625</v>
      </c>
      <c r="AA110">
        <f ca="1" t="shared" si="265"/>
        <v>0.0205078125</v>
      </c>
      <c r="AB110">
        <f ca="1" t="shared" si="266"/>
        <v>3465337.63864524</v>
      </c>
      <c r="AC110">
        <f ca="1">技能数计算!AJ102</f>
        <v>0</v>
      </c>
      <c r="AD110" s="164">
        <f ca="1" t="shared" si="267"/>
        <v>0</v>
      </c>
      <c r="AE110" s="168">
        <f ca="1" t="shared" si="73"/>
        <v>0.00390876734831413</v>
      </c>
      <c r="AF110" s="168">
        <f ca="1" t="shared" si="284"/>
        <v>0.00412131305293068</v>
      </c>
      <c r="AG110">
        <f ca="1" t="shared" si="285"/>
        <v>0.00334081105743711</v>
      </c>
      <c r="AH110">
        <f ca="1" t="shared" si="286"/>
        <v>1.00317928688851</v>
      </c>
      <c r="AI110">
        <f ca="1" t="shared" si="287"/>
        <v>1.00016101226475</v>
      </c>
      <c r="AJ110">
        <f ca="1" t="shared" si="288"/>
        <v>0</v>
      </c>
      <c r="AK110">
        <f ca="1" t="shared" si="289"/>
        <v>0</v>
      </c>
      <c r="AL110">
        <f ca="1" t="shared" si="256"/>
        <v>0</v>
      </c>
      <c r="AM110">
        <f ca="1" t="shared" si="290"/>
        <v>0</v>
      </c>
      <c r="AN110" s="168">
        <f ca="1" t="shared" si="257"/>
        <v>0.00841753350912167</v>
      </c>
      <c r="AO110" s="168">
        <f ca="1" t="shared" si="258"/>
        <v>0.00447057613551372</v>
      </c>
      <c r="AP110" s="172">
        <f ca="1" t="shared" si="291"/>
        <v>0</v>
      </c>
      <c r="AQ110" s="168">
        <f ca="1" t="shared" si="292"/>
        <v>0.00393951131463699</v>
      </c>
      <c r="AR110">
        <f t="shared" si="293"/>
        <v>1</v>
      </c>
    </row>
    <row r="111" spans="4:55">
      <c r="D111" t="s">
        <v>1825</v>
      </c>
      <c r="E111" t="s">
        <v>2798</v>
      </c>
      <c r="G111" t="s">
        <v>3103</v>
      </c>
      <c r="H111">
        <f ca="1">INDEX(技能数据库!$B$2:$I$100,MATCH(伤害与收益计算!$E111,技能数据库!$B$2:$B$100,0),MATCH(H$9,技能数据库!$B$2:$I$2,0))</f>
        <v>1504.5</v>
      </c>
      <c r="I111">
        <f ca="1">INDEX(技能数据库!$B$2:$I$100,MATCH(伤害与收益计算!$E111,技能数据库!$B$2:$B$100,0),MATCH(I$9,技能数据库!$B$2:$I$2,0))</f>
        <v>2.85625</v>
      </c>
      <c r="J111">
        <f ca="1">INDEX(技能数据库!$B$2:$I$100,MATCH(伤害与收益计算!$E111,技能数据库!$B$2:$B$100,0),MATCH(J$9,技能数据库!$B$2:$I$2,0))</f>
        <v>0</v>
      </c>
      <c r="K111">
        <f ca="1">INDEX(技能数据库!$B$2:$I$100,MATCH(伤害与收益计算!$E111,技能数据库!$B$2:$B$100,0),MATCH(K$9,技能数据库!$B$2:$I$2,0))</f>
        <v>0</v>
      </c>
      <c r="L111">
        <f ca="1" t="shared" si="67"/>
        <v>91975</v>
      </c>
      <c r="M111">
        <f ca="1" t="shared" si="259"/>
        <v>19530.5</v>
      </c>
      <c r="N111">
        <f ca="1" t="shared" si="260"/>
        <v>92028</v>
      </c>
      <c r="O111">
        <f ca="1" t="shared" si="281"/>
        <v>264208.09375</v>
      </c>
      <c r="P111">
        <f ca="1">IF(G111="恒定伤害",0,(IF(D111="轻剑",$AZ$2,$AZ$3)+IFERROR(INDEX(技能数据库!$T$2:$W$27,MATCH(E111,技能数据库!$T$2:$T$27,0),4),0)+COUNTIF(G111,"*造化2*")*154+COUNTIF(G111,"*造化1*")*102+COUNTIF(G111,"*碧归*")*307)/1024)</f>
        <v>0.476672834429785</v>
      </c>
      <c r="Q111">
        <f ca="1" t="shared" si="254"/>
        <v>0.448284482196154</v>
      </c>
      <c r="R111">
        <f ca="1" t="shared" si="282"/>
        <v>0.32958230397716</v>
      </c>
      <c r="S111">
        <f ca="1" t="shared" si="261"/>
        <v>378817.25237001</v>
      </c>
      <c r="T111">
        <f t="shared" si="262"/>
        <v>0.8</v>
      </c>
      <c r="U111">
        <f ca="1" t="shared" si="255"/>
        <v>2.68954760480339</v>
      </c>
      <c r="V111">
        <f ca="1" t="shared" si="263"/>
        <v>1118131.42891198</v>
      </c>
      <c r="W111">
        <f ca="1">IF(G111="恒定伤害",0,MIN(1,IF(COUNTIF(F111,"*内会*")&gt;0,内会,IF(D111="轻剑",$Y$2,$Y$3)+COUNTIF(G111,"*莺鸣*")*0.2+COUNTIF(G111,"*叠1*")*0.1+COUNTIF(G111,"*叠2*")*0.2+COUNTIF(G111,"*叠3*")*0.3)+IFERROR(INDEX(技能数据库!$T$2:$W$27,MATCH(E111,技能数据库!$T$2:$T$27,0),2),0)+IF((IF(D111="轻剑",$AO$2,$AO$3)+INT(COUNTIF(G111,"*大莺鸣*")*IF(D111="轻剑",$AM$2,$AM$3)*听晓无双率)/无双系数)&gt;0.9,特效裤子会心/会心系数,0)))</f>
        <v>0.9343</v>
      </c>
      <c r="X111">
        <f ca="1">IF(G111="恒定伤害",0,IF(COUNTIF(F111,"*内会*")&gt;0,内会效,IF(D111="轻剑",$AB$2,$AB$3))+IFERROR(INDEX(技能数据库!$T$2:$W$27,MATCH(E111,技能数据库!$T$2:$T$27,0),3)/1024,0))+COUNTIF(G111,"*叠1*")*0.25+COUNTIF(G111,"*叠2*")*0.5+COUNTIF(G111,"*叠3*")*0.75</f>
        <v>2.3156473116</v>
      </c>
      <c r="Y111">
        <f ca="1" t="shared" si="264"/>
        <v>2.22920928322788</v>
      </c>
      <c r="Z111">
        <f t="shared" si="283"/>
        <v>0.150390625</v>
      </c>
      <c r="AA111">
        <f ca="1" t="shared" si="265"/>
        <v>0.0205078125</v>
      </c>
      <c r="AB111">
        <f ca="1" t="shared" si="266"/>
        <v>2926209.16054355</v>
      </c>
      <c r="AC111">
        <f ca="1">技能数计算!AJ103</f>
        <v>0</v>
      </c>
      <c r="AD111" s="164">
        <f ca="1" t="shared" si="267"/>
        <v>0</v>
      </c>
      <c r="AE111" s="168">
        <f ca="1" t="shared" si="73"/>
        <v>0.00449721272022917</v>
      </c>
      <c r="AF111" s="168">
        <f ca="1" t="shared" si="284"/>
        <v>0</v>
      </c>
      <c r="AG111">
        <f ca="1" t="shared" si="285"/>
        <v>0.00381951385973744</v>
      </c>
      <c r="AH111">
        <f ca="1" t="shared" si="286"/>
        <v>1.00365791262619</v>
      </c>
      <c r="AI111">
        <f ca="1" t="shared" si="287"/>
        <v>1.00016101226475</v>
      </c>
      <c r="AJ111">
        <f ca="1" t="shared" si="288"/>
        <v>0</v>
      </c>
      <c r="AK111">
        <f ca="1" t="shared" si="289"/>
        <v>0</v>
      </c>
      <c r="AL111">
        <f ca="1" t="shared" si="256"/>
        <v>0</v>
      </c>
      <c r="AM111">
        <f ca="1" t="shared" si="290"/>
        <v>0</v>
      </c>
      <c r="AN111" s="168">
        <f ca="1" t="shared" si="257"/>
        <v>0.00841753350912167</v>
      </c>
      <c r="AO111" s="168">
        <f ca="1" t="shared" si="258"/>
        <v>0.00447057613551372</v>
      </c>
      <c r="AP111" s="172">
        <f ca="1" t="shared" si="291"/>
        <v>0</v>
      </c>
      <c r="AQ111" s="168">
        <f ca="1" t="shared" si="292"/>
        <v>0.00393951131463699</v>
      </c>
      <c r="AR111">
        <f t="shared" si="293"/>
        <v>1</v>
      </c>
    </row>
    <row r="112" spans="4:55">
      <c r="D112" t="s">
        <v>1825</v>
      </c>
      <c r="E112" t="s">
        <v>2768</v>
      </c>
      <c r="G112" t="s">
        <v>3102</v>
      </c>
      <c r="H112">
        <f ca="1">INDEX(技能数据库!$B$2:$I$100,MATCH(伤害与收益计算!$E112,技能数据库!$B$2:$B$100,0),MATCH(H$9,技能数据库!$B$2:$I$2,0))</f>
        <v>210</v>
      </c>
      <c r="I112">
        <f ca="1">INDEX(技能数据库!$B$2:$I$100,MATCH(伤害与收益计算!$E112,技能数据库!$B$2:$B$100,0),MATCH(I$9,技能数据库!$B$2:$I$2,0))</f>
        <v>5.7875</v>
      </c>
      <c r="J112">
        <f ca="1">INDEX(技能数据库!$B$2:$I$100,MATCH(伤害与收益计算!$E112,技能数据库!$B$2:$B$100,0),MATCH(J$9,技能数据库!$B$2:$I$2,0))</f>
        <v>2</v>
      </c>
      <c r="K112">
        <f ca="1">INDEX(技能数据库!$B$2:$I$100,MATCH(伤害与收益计算!$E112,技能数据库!$B$2:$B$100,0),MATCH(K$9,技能数据库!$B$2:$I$2,0))</f>
        <v>0</v>
      </c>
      <c r="L112">
        <f ca="1" t="shared" si="67"/>
        <v>91975</v>
      </c>
      <c r="M112">
        <f ca="1" t="shared" si="259"/>
        <v>19530.5</v>
      </c>
      <c r="N112">
        <f ca="1" t="shared" si="260"/>
        <v>92028</v>
      </c>
      <c r="O112">
        <f ca="1" t="shared" si="281"/>
        <v>571576.3125</v>
      </c>
      <c r="P112">
        <f ca="1">IF(G112="恒定伤害",0,(IF(D112="轻剑",$AZ$2,$AZ$3)+IFERROR(INDEX(技能数据库!$T$2:$W$27,MATCH(E112,技能数据库!$T$2:$T$27,0),4),0)+COUNTIF(G112,"*造化2*")*154+COUNTIF(G112,"*造化1*")*102+COUNTIF(G112,"*碧归*")*307)/1024)</f>
        <v>0.747180646929785</v>
      </c>
      <c r="Q112">
        <f ca="1" t="shared" si="254"/>
        <v>0.448284482196154</v>
      </c>
      <c r="R112">
        <f ca="1" t="shared" si="282"/>
        <v>0.32958230397716</v>
      </c>
      <c r="S112">
        <f ca="1" t="shared" si="261"/>
        <v>969641.912254645</v>
      </c>
      <c r="T112">
        <f t="shared" si="262"/>
        <v>0.8</v>
      </c>
      <c r="U112">
        <f ca="1" t="shared" si="255"/>
        <v>2.68954760480339</v>
      </c>
      <c r="V112">
        <f ca="1" t="shared" si="263"/>
        <v>2862031.99590088</v>
      </c>
      <c r="W112">
        <f ca="1">IF(G112="恒定伤害",0,MIN(1,IF(COUNTIF(F112,"*内会*")&gt;0,内会,IF(D112="轻剑",$Y$2,$Y$3)+COUNTIF(G112,"*莺鸣*")*0.2+COUNTIF(G112,"*叠1*")*0.1+COUNTIF(G112,"*叠2*")*0.2+COUNTIF(G112,"*叠3*")*0.3)+IFERROR(INDEX(技能数据库!$T$2:$W$27,MATCH(E112,技能数据库!$T$2:$T$27,0),2),0)+IF((IF(D112="轻剑",$AO$2,$AO$3)+INT(COUNTIF(G112,"*大莺鸣*")*IF(D112="轻剑",$AM$2,$AM$3)*听晓无双率)/无双系数)&gt;0.9,特效裤子会心/会心系数,0)))</f>
        <v>0.9343</v>
      </c>
      <c r="X112">
        <f ca="1">IF(G112="恒定伤害",0,IF(COUNTIF(F112,"*内会*")&gt;0,内会效,IF(D112="轻剑",$AB$2,$AB$3))+IFERROR(INDEX(技能数据库!$T$2:$W$27,MATCH(E112,技能数据库!$T$2:$T$27,0),3)/1024,0))+COUNTIF(G112,"*叠1*")*0.25+COUNTIF(G112,"*叠2*")*0.5+COUNTIF(G112,"*叠3*")*0.75</f>
        <v>2.3156473116</v>
      </c>
      <c r="Y112">
        <f ca="1" t="shared" si="264"/>
        <v>2.22920928322788</v>
      </c>
      <c r="Z112">
        <f t="shared" si="283"/>
        <v>0.150390625</v>
      </c>
      <c r="AA112">
        <f ca="1" t="shared" si="265"/>
        <v>0.0205078125</v>
      </c>
      <c r="AB112">
        <f ca="1" t="shared" si="266"/>
        <v>7490089.2932804</v>
      </c>
      <c r="AC112">
        <f ca="1">技能数计算!AJ104</f>
        <v>0</v>
      </c>
      <c r="AD112" s="164">
        <f ca="1" t="shared" si="267"/>
        <v>0</v>
      </c>
      <c r="AE112" s="168">
        <f ca="1" t="shared" si="73"/>
        <v>0.00421221094602306</v>
      </c>
      <c r="AF112" s="168">
        <f ca="1" t="shared" si="284"/>
        <v>0.00208633558445444</v>
      </c>
      <c r="AG112">
        <f ca="1" t="shared" si="285"/>
        <v>0.0035876637093506</v>
      </c>
      <c r="AH112">
        <f ca="1" t="shared" si="286"/>
        <v>1.00342609980051</v>
      </c>
      <c r="AI112">
        <f ca="1" t="shared" si="287"/>
        <v>1.00016101226475</v>
      </c>
      <c r="AJ112">
        <f ca="1" t="shared" si="288"/>
        <v>0</v>
      </c>
      <c r="AK112">
        <f ca="1" t="shared" si="289"/>
        <v>0</v>
      </c>
      <c r="AL112">
        <f ca="1" t="shared" si="256"/>
        <v>0</v>
      </c>
      <c r="AM112">
        <f ca="1" t="shared" si="290"/>
        <v>0</v>
      </c>
      <c r="AN112" s="168">
        <f ca="1" t="shared" si="257"/>
        <v>0.00841753350912167</v>
      </c>
      <c r="AO112" s="168">
        <f ca="1" t="shared" si="258"/>
        <v>0.00447057613551372</v>
      </c>
      <c r="AP112" s="172">
        <f ca="1" t="shared" si="291"/>
        <v>0</v>
      </c>
      <c r="AQ112" s="168">
        <f ca="1" t="shared" si="292"/>
        <v>0.00393951131463699</v>
      </c>
      <c r="AR112">
        <f t="shared" si="293"/>
        <v>1</v>
      </c>
    </row>
    <row r="113" spans="4:55">
      <c r="D113" t="s">
        <v>1825</v>
      </c>
      <c r="E113" t="s">
        <v>2902</v>
      </c>
      <c r="G113" t="s">
        <v>2948</v>
      </c>
      <c r="H113">
        <f ca="1">INDEX(技能数据库!$B$2:$I$100,MATCH(伤害与收益计算!$E113,技能数据库!$B$2:$B$100,0),MATCH(H$9,技能数据库!$B$2:$I$2,0))</f>
        <v>317.5</v>
      </c>
      <c r="I113">
        <f ca="1">INDEX(技能数据库!$B$2:$I$100,MATCH(伤害与收益计算!$E113,技能数据库!$B$2:$B$100,0),MATCH(I$9,技能数据库!$B$2:$I$2,0))</f>
        <v>2.25</v>
      </c>
      <c r="J113">
        <f ca="1">INDEX(技能数据库!$B$2:$I$100,MATCH(伤害与收益计算!$E113,技能数据库!$B$2:$B$100,0),MATCH(J$9,技能数据库!$B$2:$I$2,0))</f>
        <v>1</v>
      </c>
      <c r="K113">
        <f ca="1">INDEX(技能数据库!$B$2:$I$100,MATCH(伤害与收益计算!$E113,技能数据库!$B$2:$B$100,0),MATCH(K$9,技能数据库!$B$2:$I$2,0))</f>
        <v>0</v>
      </c>
      <c r="L113">
        <f ca="1" t="shared" si="67"/>
        <v>91975</v>
      </c>
      <c r="M113">
        <f ca="1" t="shared" si="259"/>
        <v>19530.5</v>
      </c>
      <c r="N113">
        <f ca="1" t="shared" si="260"/>
        <v>92028</v>
      </c>
      <c r="O113">
        <f ca="1" t="shared" si="281"/>
        <v>226791.75</v>
      </c>
      <c r="P113">
        <f ca="1">IF(G113="恒定伤害",0,(IF(D113="轻剑",$AZ$2,$AZ$3)+IFERROR(INDEX(技能数据库!$T$2:$W$27,MATCH(E113,技能数据库!$T$2:$T$27,0),4),0)+COUNTIF(G113,"*造化2*")*154+COUNTIF(G113,"*造化1*")*102+COUNTIF(G113,"*碧归*")*307)/1024)</f>
        <v>0.176868146929785</v>
      </c>
      <c r="Q113">
        <f ca="1" t="shared" si="254"/>
        <v>0.448284482196154</v>
      </c>
      <c r="R113">
        <f ca="1" t="shared" si="282"/>
        <v>0.32958230397716</v>
      </c>
      <c r="S113">
        <f ca="1" t="shared" si="261"/>
        <v>259151.905931854</v>
      </c>
      <c r="T113">
        <f t="shared" si="262"/>
        <v>0.8</v>
      </c>
      <c r="U113">
        <f ca="1" t="shared" si="255"/>
        <v>2.68954760480339</v>
      </c>
      <c r="V113">
        <f ca="1" t="shared" si="263"/>
        <v>764922.635048885</v>
      </c>
      <c r="W113">
        <f ca="1">IF(G113="恒定伤害",0,MIN(1,IF(COUNTIF(F113,"*内会*")&gt;0,内会,IF(D113="轻剑",$Y$2,$Y$3)+COUNTIF(G113,"*莺鸣*")*0.2+COUNTIF(G113,"*叠1*")*0.1+COUNTIF(G113,"*叠2*")*0.2+COUNTIF(G113,"*叠3*")*0.3)+IFERROR(INDEX(技能数据库!$T$2:$W$27,MATCH(E113,技能数据库!$T$2:$T$27,0),2),0)+IF((IF(D113="轻剑",$AO$2,$AO$3)+INT(COUNTIF(G113,"*大莺鸣*")*IF(D113="轻剑",$AM$2,$AM$3)*听晓无双率)/无双系数)&gt;0.9,特效裤子会心/会心系数,0)))</f>
        <v>0.9343</v>
      </c>
      <c r="X113">
        <f ca="1">IF(G113="恒定伤害",0,IF(COUNTIF(F113,"*内会*")&gt;0,内会效,IF(D113="轻剑",$AB$2,$AB$3))+IFERROR(INDEX(技能数据库!$T$2:$W$27,MATCH(E113,技能数据库!$T$2:$T$27,0),3)/1024,0))+COUNTIF(G113,"*叠1*")*0.25+COUNTIF(G113,"*叠2*")*0.5+COUNTIF(G113,"*叠3*")*0.75</f>
        <v>2.3156473116</v>
      </c>
      <c r="Y113">
        <f ca="1" t="shared" si="264"/>
        <v>2.22920928322788</v>
      </c>
      <c r="Z113">
        <f t="shared" si="283"/>
        <v>0.150390625</v>
      </c>
      <c r="AA113">
        <f ca="1" t="shared" si="265"/>
        <v>0.0205078125</v>
      </c>
      <c r="AB113">
        <f ca="1" t="shared" si="266"/>
        <v>2001843.04269598</v>
      </c>
      <c r="AC113">
        <f ca="1">技能数计算!AJ105</f>
        <v>0</v>
      </c>
      <c r="AD113" s="164">
        <f ca="1" t="shared" si="267"/>
        <v>0</v>
      </c>
      <c r="AE113" s="168">
        <f ca="1" t="shared" si="73"/>
        <v>0.00412713425422221</v>
      </c>
      <c r="AF113" s="168">
        <f ca="1" t="shared" si="284"/>
        <v>0.00262906388790598</v>
      </c>
      <c r="AG113">
        <f ca="1" t="shared" si="285"/>
        <v>0.0035184534602446</v>
      </c>
      <c r="AH113">
        <f ca="1" t="shared" si="286"/>
        <v>1.00335690069331</v>
      </c>
      <c r="AI113">
        <f ca="1" t="shared" si="287"/>
        <v>1.00016101226475</v>
      </c>
      <c r="AJ113">
        <f ca="1" t="shared" si="288"/>
        <v>0</v>
      </c>
      <c r="AK113">
        <f ca="1" t="shared" si="289"/>
        <v>0</v>
      </c>
      <c r="AL113">
        <f ca="1" t="shared" si="256"/>
        <v>0</v>
      </c>
      <c r="AM113">
        <f ca="1" t="shared" si="290"/>
        <v>0</v>
      </c>
      <c r="AN113" s="168">
        <f ca="1" t="shared" si="257"/>
        <v>0.00841753350912167</v>
      </c>
      <c r="AO113" s="168">
        <f ca="1" t="shared" si="258"/>
        <v>0.00447057613551372</v>
      </c>
      <c r="AP113" s="172">
        <f ca="1" t="shared" si="291"/>
        <v>0</v>
      </c>
      <c r="AQ113" s="168">
        <f ca="1" t="shared" si="292"/>
        <v>0.00393951131463699</v>
      </c>
      <c r="AR113">
        <f t="shared" si="293"/>
        <v>1</v>
      </c>
    </row>
    <row r="114" spans="4:55">
      <c r="D114" t="s">
        <v>1825</v>
      </c>
      <c r="E114" s="161" t="s">
        <v>2922</v>
      </c>
      <c r="G114" t="s">
        <v>3098</v>
      </c>
      <c r="H114">
        <f ca="1">INDEX(技能数据库!$B$2:$I$100,MATCH(伤害与收益计算!$E114,技能数据库!$B$2:$B$100,0),MATCH(H$9,技能数据库!$B$2:$I$2,0))</f>
        <v>0</v>
      </c>
      <c r="I114">
        <f ca="1">INDEX(技能数据库!$B$2:$I$100,MATCH(伤害与收益计算!$E114,技能数据库!$B$2:$B$100,0),MATCH(I$9,技能数据库!$B$2:$I$2,0))</f>
        <v>0</v>
      </c>
      <c r="J114">
        <f ca="1">INDEX(技能数据库!$B$2:$I$100,MATCH(伤害与收益计算!$E114,技能数据库!$B$2:$B$100,0),MATCH(J$9,技能数据库!$B$2:$I$2,0))</f>
        <v>0</v>
      </c>
      <c r="K114">
        <f ca="1">INDEX(技能数据库!$B$2:$I$100,MATCH(伤害与收益计算!$E114,技能数据库!$B$2:$B$100,0),MATCH(K$9,技能数据库!$B$2:$I$2,0))</f>
        <v>0</v>
      </c>
      <c r="L114">
        <f ca="1" t="shared" si="67"/>
        <v>91975</v>
      </c>
      <c r="M114">
        <f ca="1" t="shared" si="259"/>
        <v>19530.5</v>
      </c>
      <c r="N114">
        <f ca="1" t="shared" si="260"/>
        <v>92028</v>
      </c>
      <c r="O114">
        <f ca="1" t="shared" si="281"/>
        <v>0</v>
      </c>
      <c r="P114">
        <f ca="1">IF(G114="恒定伤害",0,(IF(D114="轻剑",$AZ$2,$AZ$3)+IFERROR(INDEX(技能数据库!$T$2:$W$27,MATCH(E114,技能数据库!$T$2:$T$27,0),4),0)+COUNTIF(G114,"*造化2*")*154+COUNTIF(G114,"*造化1*")*102+COUNTIF(G114,"*碧归*")*307)/1024)</f>
        <v>0</v>
      </c>
      <c r="Q114">
        <f ca="1" t="shared" si="254"/>
        <v>0</v>
      </c>
      <c r="R114">
        <f ca="1" t="shared" si="282"/>
        <v>0</v>
      </c>
      <c r="S114">
        <f ca="1" t="shared" si="261"/>
        <v>0</v>
      </c>
      <c r="T114">
        <f t="shared" si="262"/>
        <v>0.8</v>
      </c>
      <c r="U114">
        <f ca="1" t="shared" si="255"/>
        <v>0</v>
      </c>
      <c r="V114">
        <f ca="1" t="shared" si="263"/>
        <v>0</v>
      </c>
      <c r="W114">
        <f ca="1">IF(G114="恒定伤害",0,MIN(1,IF(COUNTIF(F114,"*内会*")&gt;0,内会,IF(D114="轻剑",$Y$2,$Y$3)+COUNTIF(G114,"*莺鸣*")*0.2+COUNTIF(G114,"*叠1*")*0.1+COUNTIF(G114,"*叠2*")*0.2+COUNTIF(G114,"*叠3*")*0.3)+IFERROR(INDEX(技能数据库!$T$2:$W$27,MATCH(E114,技能数据库!$T$2:$T$27,0),2),0)+IF((IF(D114="轻剑",$AO$2,$AO$3)+INT(COUNTIF(G114,"*大莺鸣*")*IF(D114="轻剑",$AM$2,$AM$3)*听晓无双率)/无双系数)&gt;0.9,特效裤子会心/会心系数,0)))</f>
        <v>0</v>
      </c>
      <c r="X114">
        <f ca="1">IF(G114="恒定伤害",0,IF(COUNTIF(F114,"*内会*")&gt;0,内会效,IF(D114="轻剑",$AB$2,$AB$3))+IFERROR(INDEX(技能数据库!$T$2:$W$27,MATCH(E114,技能数据库!$T$2:$T$27,0),3)/1024,0))+COUNTIF(G114,"*叠1*")*0.25+COUNTIF(G114,"*叠2*")*0.5+COUNTIF(G114,"*叠3*")*0.75</f>
        <v>0</v>
      </c>
      <c r="Y114">
        <f ca="1" t="shared" si="264"/>
        <v>1</v>
      </c>
      <c r="Z114">
        <f t="shared" si="283"/>
        <v>0</v>
      </c>
      <c r="AA114">
        <f ca="1" t="shared" si="265"/>
        <v>0.0205078125</v>
      </c>
      <c r="AB114">
        <f ca="1" t="shared" si="266"/>
        <v>0</v>
      </c>
      <c r="AC114" s="171">
        <f>技能数计算!AJ106</f>
        <v>19.830626450116</v>
      </c>
      <c r="AD114" s="164">
        <f ca="1" t="shared" si="267"/>
        <v>0</v>
      </c>
      <c r="AE114" s="168">
        <f ca="1" t="shared" si="73"/>
        <v>0</v>
      </c>
      <c r="AF114" s="168">
        <f ca="1" t="shared" si="284"/>
        <v>0</v>
      </c>
      <c r="AG114">
        <f ca="1" t="shared" si="285"/>
        <v>0</v>
      </c>
      <c r="AH114">
        <f ca="1" t="shared" si="286"/>
        <v>0</v>
      </c>
      <c r="AI114">
        <f ca="1" t="shared" si="287"/>
        <v>1.00023319156448</v>
      </c>
      <c r="AJ114">
        <f ca="1" t="shared" si="288"/>
        <v>0</v>
      </c>
      <c r="AK114" s="171">
        <f ca="1">$AC$10*MIN($W$10+((delta身法+INT((IF(D97="轻剑",$N$2,$N$3))/1024*delta身法))*身法转基础会心/会心系数),1)</f>
        <v>0</v>
      </c>
      <c r="AL114">
        <f ca="1" t="shared" si="256"/>
        <v>0</v>
      </c>
      <c r="AM114" s="171">
        <f ca="1">$AC$10*MIN($W$10+delta会心/会心系数,1)</f>
        <v>0</v>
      </c>
      <c r="AN114" s="168">
        <f ca="1" t="shared" si="257"/>
        <v>0</v>
      </c>
      <c r="AO114" s="168">
        <f ca="1" t="shared" si="258"/>
        <v>0</v>
      </c>
      <c r="AP114" s="172">
        <f ca="1" t="shared" si="291"/>
        <v>0</v>
      </c>
      <c r="AQ114" s="168">
        <f ca="1" t="shared" si="292"/>
        <v>0</v>
      </c>
      <c r="AR114">
        <f t="shared" si="293"/>
        <v>1</v>
      </c>
    </row>
    <row r="115" spans="4:55">
      <c r="D115" t="s">
        <v>1825</v>
      </c>
      <c r="E115" s="161" t="s">
        <v>2844</v>
      </c>
      <c r="H115">
        <f ca="1">INDEX(技能数据库!$B$2:$I$100,MATCH(伤害与收益计算!$E115,技能数据库!$B$2:$B$100,0),MATCH(H$9,技能数据库!$B$2:$I$2,0))</f>
        <v>5241589</v>
      </c>
      <c r="I115">
        <f ca="1">INDEX(技能数据库!$B$2:$I$100,MATCH(伤害与收益计算!$E115,技能数据库!$B$2:$B$100,0),MATCH(I$9,技能数据库!$B$2:$I$2,0))</f>
        <v>0</v>
      </c>
      <c r="J115">
        <f ca="1">INDEX(技能数据库!$B$2:$I$100,MATCH(伤害与收益计算!$E115,技能数据库!$B$2:$B$100,0),MATCH(J$9,技能数据库!$B$2:$I$2,0))</f>
        <v>0</v>
      </c>
      <c r="K115">
        <f ca="1">INDEX(技能数据库!$B$2:$I$100,MATCH(伤害与收益计算!$E115,技能数据库!$B$2:$B$100,0),MATCH(K$9,技能数据库!$B$2:$I$2,0))</f>
        <v>0</v>
      </c>
      <c r="L115">
        <f ca="1" t="shared" si="67"/>
        <v>91975</v>
      </c>
      <c r="M115">
        <f ca="1" t="shared" si="259"/>
        <v>19530.5</v>
      </c>
      <c r="N115">
        <f ca="1" t="shared" si="260"/>
        <v>92028</v>
      </c>
      <c r="O115">
        <f ca="1" t="shared" si="281"/>
        <v>5241589</v>
      </c>
      <c r="P115">
        <f ca="1">IF(G115="恒定伤害",0,(IF(D115="轻剑",$AZ$2,$AZ$3)+IFERROR(INDEX(技能数据库!$T$2:$W$27,MATCH(E115,技能数据库!$T$2:$T$27,0),4),0)+COUNTIF(G115,"*造化2*")*154+COUNTIF(G115,"*造化1*")*102+COUNTIF(G115,"*碧归*")*307)/1024)</f>
        <v>0.176868146929785</v>
      </c>
      <c r="Q115">
        <f ca="1" t="shared" si="254"/>
        <v>0.448284482196154</v>
      </c>
      <c r="R115">
        <f ca="1" t="shared" si="282"/>
        <v>0.32958230397716</v>
      </c>
      <c r="S115">
        <f ca="1" t="shared" si="261"/>
        <v>5989493.79534944</v>
      </c>
      <c r="T115">
        <f t="shared" si="262"/>
        <v>0.8</v>
      </c>
      <c r="U115">
        <f ca="1" t="shared" si="255"/>
        <v>1.7995442148</v>
      </c>
      <c r="V115">
        <f ca="1" t="shared" si="263"/>
        <v>13414282.1634808</v>
      </c>
      <c r="W115">
        <f ca="1">IF(G115="恒定伤害",0,MIN(1,IF(COUNTIF(F115,"*内会*")&gt;0,内会,IF(D115="轻剑",$Y$2,$Y$3)+COUNTIF(G115,"*莺鸣*")*0.2+COUNTIF(G115,"*叠1*")*0.1+COUNTIF(G115,"*叠2*")*0.2+COUNTIF(G115,"*叠3*")*0.3)+IFERROR(INDEX(技能数据库!$T$2:$W$27,MATCH(E115,技能数据库!$T$2:$T$27,0),2),0)+IF((IF(D115="轻剑",$AO$2,$AO$3)+INT(COUNTIF(G115,"*大莺鸣*")*IF(D115="轻剑",$AM$2,$AM$3)*听晓无双率)/无双系数)&gt;0.9,特效裤子会心/会心系数,0)))</f>
        <v>0.7343</v>
      </c>
      <c r="X115">
        <f ca="1">IF(G115="恒定伤害",0,IF(COUNTIF(F115,"*内会*")&gt;0,内会效,IF(D115="轻剑",$AB$2,$AB$3))+IFERROR(INDEX(技能数据库!$T$2:$W$27,MATCH(E115,技能数据库!$T$2:$T$27,0),3)/1024,0))+COUNTIF(G115,"*叠1*")*0.25+COUNTIF(G115,"*叠2*")*0.5+COUNTIF(G115,"*叠3*")*0.75</f>
        <v>2.3156473116</v>
      </c>
      <c r="Y115">
        <f ca="1" t="shared" si="264"/>
        <v>1.96607982090788</v>
      </c>
      <c r="Z115">
        <f t="shared" si="283"/>
        <v>0.150390625</v>
      </c>
      <c r="AA115">
        <f ca="1" t="shared" si="265"/>
        <v>0.0205078125</v>
      </c>
      <c r="AB115">
        <f ca="1" t="shared" si="266"/>
        <v>30962088.716008</v>
      </c>
      <c r="AC115">
        <f ca="1">技能数计算!AJ107</f>
        <v>0</v>
      </c>
      <c r="AD115" s="164">
        <f ca="1" t="shared" si="267"/>
        <v>0</v>
      </c>
      <c r="AE115" s="168">
        <f ca="1" t="shared" si="73"/>
        <v>0</v>
      </c>
      <c r="AF115" s="168">
        <f ca="1" t="shared" si="284"/>
        <v>0</v>
      </c>
      <c r="AG115">
        <f ca="1" t="shared" ref="AG115:AG143" si="294">IF(G115="恒定伤害",0,MAX(0,AH115*AI115*IF(AJ115=0,1,AJ115)-1))</f>
        <v>0.000161012264749072</v>
      </c>
      <c r="AH115">
        <f ca="1" t="shared" si="286"/>
        <v>1</v>
      </c>
      <c r="AI115">
        <f ca="1" t="shared" si="287"/>
        <v>1.00016101226475</v>
      </c>
      <c r="AJ115">
        <f ca="1" t="shared" si="288"/>
        <v>0</v>
      </c>
      <c r="AK115">
        <f ca="1">AC115</f>
        <v>0</v>
      </c>
      <c r="AL115">
        <f ca="1" t="shared" si="256"/>
        <v>0</v>
      </c>
      <c r="AM115">
        <f ca="1">AC115</f>
        <v>0</v>
      </c>
      <c r="AN115" s="168">
        <f ca="1" t="shared" si="257"/>
        <v>0.00750104430192855</v>
      </c>
      <c r="AO115" s="168">
        <f ca="1" t="shared" si="258"/>
        <v>0.00447057613551372</v>
      </c>
      <c r="AP115" s="172">
        <f ca="1" t="shared" si="291"/>
        <v>0</v>
      </c>
      <c r="AQ115" s="168">
        <f ca="1" t="shared" si="292"/>
        <v>0.00401583628616287</v>
      </c>
      <c r="AR115">
        <f t="shared" si="293"/>
        <v>1</v>
      </c>
      <c r="AX115" s="167"/>
      <c r="AY115" s="167"/>
      <c r="AZ115" s="164"/>
      <c r="BB115" s="167"/>
      <c r="BC115" s="164"/>
    </row>
    <row r="116" spans="4:55">
      <c r="D116" t="s">
        <v>1825</v>
      </c>
      <c r="E116" s="161" t="s">
        <v>2847</v>
      </c>
      <c r="H116">
        <f ca="1">INDEX(技能数据库!$B$2:$I$100,MATCH(伤害与收益计算!$E116,技能数据库!$B$2:$B$100,0),MATCH(H$9,技能数据库!$B$2:$I$2,0))</f>
        <v>4717430</v>
      </c>
      <c r="I116">
        <f ca="1">INDEX(技能数据库!$B$2:$I$100,MATCH(伤害与收益计算!$E116,技能数据库!$B$2:$B$100,0),MATCH(I$9,技能数据库!$B$2:$I$2,0))</f>
        <v>0</v>
      </c>
      <c r="J116">
        <f ca="1">INDEX(技能数据库!$B$2:$I$100,MATCH(伤害与收益计算!$E116,技能数据库!$B$2:$B$100,0),MATCH(J$9,技能数据库!$B$2:$I$2,0))</f>
        <v>0</v>
      </c>
      <c r="K116">
        <f ca="1">INDEX(技能数据库!$B$2:$I$100,MATCH(伤害与收益计算!$E116,技能数据库!$B$2:$B$100,0),MATCH(K$9,技能数据库!$B$2:$I$2,0))</f>
        <v>0</v>
      </c>
      <c r="L116">
        <f ca="1" t="shared" si="67"/>
        <v>91975</v>
      </c>
      <c r="M116">
        <f ca="1" t="shared" ref="M116:M143" si="295">IF(D116="轻剑",$AU$2+$AV$2,$AU$3+$AV$3)/2</f>
        <v>19530.5</v>
      </c>
      <c r="N116">
        <f ca="1" t="shared" ref="N116:N143" si="296">IF(D116="轻剑",$AJ$2,$AJ$3)</f>
        <v>92028</v>
      </c>
      <c r="O116">
        <f ca="1" t="shared" si="281"/>
        <v>4717430</v>
      </c>
      <c r="P116">
        <f ca="1">IF(G116="恒定伤害",0,(IF(D116="轻剑",$AZ$2,$AZ$3)+IFERROR(INDEX(技能数据库!$T$2:$W$27,MATCH(E116,技能数据库!$T$2:$T$27,0),4),0)+COUNTIF(G116,"*造化2*")*154+COUNTIF(G116,"*造化1*")*102+COUNTIF(G116,"*碧归*")*307)/1024)</f>
        <v>0.176868146929785</v>
      </c>
      <c r="Q116">
        <f ca="1" t="shared" si="254"/>
        <v>0.448284482196154</v>
      </c>
      <c r="R116">
        <f ca="1" t="shared" si="282"/>
        <v>0.32958230397716</v>
      </c>
      <c r="S116">
        <f ca="1" t="shared" ref="S116:S143" si="297">O116*(1+P116)*(1+Q116)*(1-R116)</f>
        <v>5390544.30154583</v>
      </c>
      <c r="T116">
        <f t="shared" ref="T116:T143" si="298">1-($F$6-130)*0.05</f>
        <v>0.8</v>
      </c>
      <c r="U116">
        <f ca="1" t="shared" si="255"/>
        <v>1.7995442148</v>
      </c>
      <c r="V116">
        <f ca="1" t="shared" ref="V116:V143" si="299">S116*T116*(1+U116)</f>
        <v>12072853.6912126</v>
      </c>
      <c r="W116">
        <f ca="1">IF(G116="恒定伤害",0,MIN(1,IF(COUNTIF(F116,"*内会*")&gt;0,内会,IF(D116="轻剑",$Y$2,$Y$3)+COUNTIF(G116,"*莺鸣*")*0.2+COUNTIF(G116,"*叠1*")*0.1+COUNTIF(G116,"*叠2*")*0.2+COUNTIF(G116,"*叠3*")*0.3)+IFERROR(INDEX(技能数据库!$T$2:$W$27,MATCH(E116,技能数据库!$T$2:$T$27,0),2),0)+IF((IF(D116="轻剑",$AO$2,$AO$3)+INT(COUNTIF(G116,"*大莺鸣*")*IF(D116="轻剑",$AM$2,$AM$3)*听晓无双率)/无双系数)&gt;0.9,特效裤子会心/会心系数,0)))</f>
        <v>0.7343</v>
      </c>
      <c r="X116">
        <f ca="1">IF(G116="恒定伤害",0,IF(COUNTIF(F116,"*内会*")&gt;0,内会效,IF(D116="轻剑",$AB$2,$AB$3))+IFERROR(INDEX(技能数据库!$T$2:$W$27,MATCH(E116,技能数据库!$T$2:$T$27,0),3)/1024,0))+COUNTIF(G116,"*叠1*")*0.25+COUNTIF(G116,"*叠2*")*0.5+COUNTIF(G116,"*叠3*")*0.75</f>
        <v>2.3156473116</v>
      </c>
      <c r="Y116">
        <f ca="1" t="shared" ref="Y116:Y143" si="300">1+W116*(X116-1)</f>
        <v>1.96607982090788</v>
      </c>
      <c r="Z116">
        <f t="shared" si="283"/>
        <v>0.150390625</v>
      </c>
      <c r="AA116">
        <f ca="1" t="shared" ref="AA116:AA143" si="301">IF(D116="轻剑",$BA$2,$BA$3)/1024</f>
        <v>0.0205078125</v>
      </c>
      <c r="AB116">
        <f ca="1" t="shared" ref="AB116:AB143" si="302">V116*Y116*(1+Z116)*(1+AA116)</f>
        <v>27865879.2537068</v>
      </c>
      <c r="AC116">
        <f ca="1">技能数计算!AJ108</f>
        <v>0</v>
      </c>
      <c r="AD116" s="164">
        <f ca="1" t="shared" ref="AD116:AD151" si="303">IFERROR(AB116*AC116/$AD$7,0)</f>
        <v>0</v>
      </c>
      <c r="AE116" s="168">
        <f ca="1" t="shared" si="73"/>
        <v>0</v>
      </c>
      <c r="AF116" s="168">
        <f ca="1" t="shared" si="284"/>
        <v>0</v>
      </c>
      <c r="AG116">
        <f ca="1" t="shared" si="294"/>
        <v>0.000161012264749072</v>
      </c>
      <c r="AH116">
        <f ca="1" t="shared" si="286"/>
        <v>1</v>
      </c>
      <c r="AI116">
        <f ca="1" t="shared" si="287"/>
        <v>1.00016101226475</v>
      </c>
      <c r="AJ116">
        <f ca="1" t="shared" si="288"/>
        <v>0</v>
      </c>
      <c r="AK116">
        <f ca="1" t="shared" ref="AK116:AK142" si="304">AC116</f>
        <v>0</v>
      </c>
      <c r="AL116">
        <f ca="1" t="shared" si="256"/>
        <v>0</v>
      </c>
      <c r="AM116">
        <f ca="1" t="shared" ref="AM116:AM142" si="305">AC116</f>
        <v>0</v>
      </c>
      <c r="AN116" s="168">
        <f ca="1" t="shared" si="257"/>
        <v>0.00750104430192855</v>
      </c>
      <c r="AO116" s="168">
        <f ca="1" t="shared" si="258"/>
        <v>0.00447057613551372</v>
      </c>
      <c r="AP116" s="172">
        <f ca="1" t="shared" si="291"/>
        <v>0</v>
      </c>
      <c r="AQ116" s="168">
        <f ca="1" t="shared" si="292"/>
        <v>0.00401583628616287</v>
      </c>
      <c r="AR116">
        <f t="shared" si="293"/>
        <v>1</v>
      </c>
    </row>
    <row r="117" spans="4:55">
      <c r="D117" t="s">
        <v>1825</v>
      </c>
      <c r="E117" s="161" t="s">
        <v>2850</v>
      </c>
      <c r="F117" t="s">
        <v>3160</v>
      </c>
      <c r="H117">
        <f ca="1">INDEX(技能数据库!$B$2:$I$100,MATCH(伤害与收益计算!$E117,技能数据库!$B$2:$B$100,0),MATCH(H$9,技能数据库!$B$2:$I$2,0))</f>
        <v>3667380</v>
      </c>
      <c r="I117">
        <f ca="1">INDEX(技能数据库!$B$2:$I$100,MATCH(伤害与收益计算!$E117,技能数据库!$B$2:$B$100,0),MATCH(I$9,技能数据库!$B$2:$I$2,0))</f>
        <v>0</v>
      </c>
      <c r="J117">
        <f ca="1">INDEX(技能数据库!$B$2:$I$100,MATCH(伤害与收益计算!$E117,技能数据库!$B$2:$B$100,0),MATCH(J$9,技能数据库!$B$2:$I$2,0))</f>
        <v>0</v>
      </c>
      <c r="K117">
        <f ca="1">INDEX(技能数据库!$B$2:$I$100,MATCH(伤害与收益计算!$E117,技能数据库!$B$2:$B$100,0),MATCH(K$9,技能数据库!$B$2:$I$2,0))</f>
        <v>0</v>
      </c>
      <c r="L117">
        <f ca="1" t="shared" si="67"/>
        <v>91975</v>
      </c>
      <c r="M117">
        <f ca="1" t="shared" si="295"/>
        <v>19530.5</v>
      </c>
      <c r="N117">
        <f ca="1" t="shared" si="296"/>
        <v>92028</v>
      </c>
      <c r="O117">
        <f ca="1" t="shared" si="281"/>
        <v>3667380</v>
      </c>
      <c r="P117">
        <f ca="1">IF(G117="恒定伤害",0,(IF(D117="轻剑",$AZ$2,$AZ$3)+IFERROR(INDEX(技能数据库!$T$2:$W$27,MATCH(E117,技能数据库!$T$2:$T$27,0),4),0)+COUNTIF(G117,"*造化2*")*154+COUNTIF(G117,"*造化1*")*102+COUNTIF(G117,"*碧归*")*307)/1024)</f>
        <v>0.176868146929785</v>
      </c>
      <c r="Q117">
        <f ca="1" t="shared" si="254"/>
        <v>0.0415122129107408</v>
      </c>
      <c r="R117">
        <f ca="1" t="shared" si="282"/>
        <v>0.32958230397716</v>
      </c>
      <c r="S117">
        <f ca="1" t="shared" si="297"/>
        <v>3013655.16308289</v>
      </c>
      <c r="T117">
        <f t="shared" si="298"/>
        <v>0.8</v>
      </c>
      <c r="U117">
        <f ca="1" t="shared" si="255"/>
        <v>1.7995442148</v>
      </c>
      <c r="V117">
        <f ca="1" t="shared" si="299"/>
        <v>6749488.70176869</v>
      </c>
      <c r="W117">
        <f ca="1">IF(G117="恒定伤害",0,MIN(1,IF(COUNTIF(F117,"*内会*")&gt;0,内会,IF(D117="轻剑",$Y$2,$Y$3)+COUNTIF(G117,"*莺鸣*")*0.2+COUNTIF(G117,"*叠1*")*0.1+COUNTIF(G117,"*叠2*")*0.2+COUNTIF(G117,"*叠3*")*0.3)+IFERROR(INDEX(技能数据库!$T$2:$W$27,MATCH(E117,技能数据库!$T$2:$T$27,0),2),0)+IF((IF(D117="轻剑",$AO$2,$AO$3)+INT(COUNTIF(G117,"*大莺鸣*")*IF(D117="轻剑",$AM$2,$AM$3)*听晓无双率)/无双系数)&gt;0.9,特效裤子会心/会心系数,0)))</f>
        <v>0.112613819719478</v>
      </c>
      <c r="X117">
        <f ca="1">IF(G117="恒定伤害",0,IF(COUNTIF(F117,"*内会*")&gt;0,内会效,IF(D117="轻剑",$AB$2,$AB$3))+IFERROR(INDEX(技能数据库!$T$2:$W$27,MATCH(E117,技能数据库!$T$2:$T$27,0),3)/1024,0))+COUNTIF(G117,"*叠1*")*0.25+COUNTIF(G117,"*叠2*")*0.5+COUNTIF(G117,"*叠3*")*0.75</f>
        <v>1.93437818487951</v>
      </c>
      <c r="Y117">
        <f ca="1" t="shared" si="300"/>
        <v>1.10522389646183</v>
      </c>
      <c r="Z117">
        <f t="shared" si="283"/>
        <v>0.150390625</v>
      </c>
      <c r="AA117">
        <f ca="1" t="shared" si="301"/>
        <v>0.0205078125</v>
      </c>
      <c r="AB117">
        <f ca="1" t="shared" si="302"/>
        <v>8757553.69352306</v>
      </c>
      <c r="AC117">
        <f ca="1">技能数计算!AJ109</f>
        <v>0</v>
      </c>
      <c r="AD117" s="164">
        <f ca="1" t="shared" si="303"/>
        <v>0</v>
      </c>
      <c r="AE117" s="168">
        <f ca="1" t="shared" si="73"/>
        <v>0</v>
      </c>
      <c r="AF117" s="168">
        <f ca="1" t="shared" si="284"/>
        <v>0</v>
      </c>
      <c r="AG117">
        <f ca="1" t="shared" si="294"/>
        <v>0.00022389710037829</v>
      </c>
      <c r="AH117">
        <f ca="1" t="shared" si="286"/>
        <v>1</v>
      </c>
      <c r="AI117">
        <f ca="1" t="shared" si="287"/>
        <v>1.00022389710038</v>
      </c>
      <c r="AJ117">
        <f ca="1" t="shared" si="288"/>
        <v>0</v>
      </c>
      <c r="AK117">
        <f ca="1" t="shared" si="304"/>
        <v>0</v>
      </c>
      <c r="AL117">
        <f ca="1" t="shared" si="256"/>
        <v>0</v>
      </c>
      <c r="AM117">
        <f ca="1" t="shared" si="305"/>
        <v>0</v>
      </c>
      <c r="AN117" s="168">
        <f ca="1" t="shared" si="257"/>
        <v>0</v>
      </c>
      <c r="AO117" s="168">
        <f ca="1" t="shared" si="258"/>
        <v>0</v>
      </c>
      <c r="AP117" s="172">
        <f ca="1" t="shared" si="291"/>
        <v>0</v>
      </c>
      <c r="AQ117" s="168">
        <f ca="1" t="shared" si="292"/>
        <v>0.00401583628616287</v>
      </c>
      <c r="AR117">
        <f t="shared" si="293"/>
        <v>1</v>
      </c>
    </row>
    <row r="118" spans="4:55">
      <c r="D118" t="s">
        <v>1825</v>
      </c>
      <c r="E118" s="161" t="s">
        <v>2853</v>
      </c>
      <c r="F118" t="s">
        <v>3160</v>
      </c>
      <c r="H118">
        <f ca="1">INDEX(技能数据库!$B$2:$I$100,MATCH(伤害与收益计算!$E118,技能数据库!$B$2:$B$100,0),MATCH(H$9,技能数据库!$B$2:$I$2,0))</f>
        <v>2444920</v>
      </c>
      <c r="I118">
        <f ca="1">INDEX(技能数据库!$B$2:$I$100,MATCH(伤害与收益计算!$E118,技能数据库!$B$2:$B$100,0),MATCH(I$9,技能数据库!$B$2:$I$2,0))</f>
        <v>0</v>
      </c>
      <c r="J118">
        <f ca="1">INDEX(技能数据库!$B$2:$I$100,MATCH(伤害与收益计算!$E118,技能数据库!$B$2:$B$100,0),MATCH(J$9,技能数据库!$B$2:$I$2,0))</f>
        <v>0</v>
      </c>
      <c r="K118">
        <f ca="1">INDEX(技能数据库!$B$2:$I$100,MATCH(伤害与收益计算!$E118,技能数据库!$B$2:$B$100,0),MATCH(K$9,技能数据库!$B$2:$I$2,0))</f>
        <v>0</v>
      </c>
      <c r="L118">
        <f ca="1" t="shared" si="67"/>
        <v>91975</v>
      </c>
      <c r="M118">
        <f ca="1" t="shared" si="295"/>
        <v>19530.5</v>
      </c>
      <c r="N118">
        <f ca="1" t="shared" si="296"/>
        <v>92028</v>
      </c>
      <c r="O118">
        <f ca="1" t="shared" si="281"/>
        <v>2444920</v>
      </c>
      <c r="P118">
        <f ca="1">IF(G118="恒定伤害",0,(IF(D118="轻剑",$AZ$2,$AZ$3)+IFERROR(INDEX(技能数据库!$T$2:$W$27,MATCH(E118,技能数据库!$T$2:$T$27,0),4),0)+COUNTIF(G118,"*造化2*")*154+COUNTIF(G118,"*造化1*")*102+COUNTIF(G118,"*碧归*")*307)/1024)</f>
        <v>0.176868146929785</v>
      </c>
      <c r="Q118">
        <f ca="1" t="shared" si="254"/>
        <v>0.0415122129107408</v>
      </c>
      <c r="R118">
        <f ca="1" t="shared" si="282"/>
        <v>0.32958230397716</v>
      </c>
      <c r="S118">
        <f ca="1" t="shared" si="297"/>
        <v>2009103.44205526</v>
      </c>
      <c r="T118">
        <f t="shared" si="298"/>
        <v>0.8</v>
      </c>
      <c r="U118">
        <f ca="1" t="shared" si="255"/>
        <v>1.7995442148</v>
      </c>
      <c r="V118">
        <f ca="1" t="shared" si="299"/>
        <v>4499659.13451246</v>
      </c>
      <c r="W118">
        <f ca="1">IF(G118="恒定伤害",0,MIN(1,IF(COUNTIF(F118,"*内会*")&gt;0,内会,IF(D118="轻剑",$Y$2,$Y$3)+COUNTIF(G118,"*莺鸣*")*0.2+COUNTIF(G118,"*叠1*")*0.1+COUNTIF(G118,"*叠2*")*0.2+COUNTIF(G118,"*叠3*")*0.3)+IFERROR(INDEX(技能数据库!$T$2:$W$27,MATCH(E118,技能数据库!$T$2:$T$27,0),2),0)+IF((IF(D118="轻剑",$AO$2,$AO$3)+INT(COUNTIF(G118,"*大莺鸣*")*IF(D118="轻剑",$AM$2,$AM$3)*听晓无双率)/无双系数)&gt;0.9,特效裤子会心/会心系数,0)))</f>
        <v>0.112613819719478</v>
      </c>
      <c r="X118">
        <f ca="1">IF(G118="恒定伤害",0,IF(COUNTIF(F118,"*内会*")&gt;0,内会效,IF(D118="轻剑",$AB$2,$AB$3))+IFERROR(INDEX(技能数据库!$T$2:$W$27,MATCH(E118,技能数据库!$T$2:$T$27,0),3)/1024,0))+COUNTIF(G118,"*叠1*")*0.25+COUNTIF(G118,"*叠2*")*0.5+COUNTIF(G118,"*叠3*")*0.75</f>
        <v>1.93437818487951</v>
      </c>
      <c r="Y118">
        <f ca="1" t="shared" si="300"/>
        <v>1.10522389646183</v>
      </c>
      <c r="Z118">
        <f t="shared" si="283"/>
        <v>0.150390625</v>
      </c>
      <c r="AA118">
        <f ca="1" t="shared" si="301"/>
        <v>0.0205078125</v>
      </c>
      <c r="AB118">
        <f ca="1" t="shared" si="302"/>
        <v>5838369.12901537</v>
      </c>
      <c r="AC118">
        <f ca="1">技能数计算!AJ110</f>
        <v>0</v>
      </c>
      <c r="AD118" s="164">
        <f ca="1" t="shared" si="303"/>
        <v>0</v>
      </c>
      <c r="AE118" s="168">
        <f ca="1" t="shared" si="73"/>
        <v>0</v>
      </c>
      <c r="AF118" s="168">
        <f ca="1" t="shared" si="284"/>
        <v>0</v>
      </c>
      <c r="AG118">
        <f ca="1" t="shared" si="294"/>
        <v>0.00022389710037829</v>
      </c>
      <c r="AH118">
        <f ca="1" t="shared" si="286"/>
        <v>1</v>
      </c>
      <c r="AI118">
        <f ca="1" t="shared" si="287"/>
        <v>1.00022389710038</v>
      </c>
      <c r="AJ118">
        <f ca="1" t="shared" si="288"/>
        <v>0</v>
      </c>
      <c r="AK118">
        <f ca="1" t="shared" si="304"/>
        <v>0</v>
      </c>
      <c r="AL118">
        <f ca="1" t="shared" si="256"/>
        <v>0</v>
      </c>
      <c r="AM118">
        <f ca="1" t="shared" si="305"/>
        <v>0</v>
      </c>
      <c r="AN118" s="168">
        <f ca="1" t="shared" si="257"/>
        <v>0</v>
      </c>
      <c r="AO118" s="168">
        <f ca="1" t="shared" si="258"/>
        <v>0</v>
      </c>
      <c r="AP118" s="172">
        <f ca="1" t="shared" si="291"/>
        <v>0</v>
      </c>
      <c r="AQ118" s="168">
        <f ca="1" t="shared" si="292"/>
        <v>0.00401583628616287</v>
      </c>
      <c r="AR118">
        <f t="shared" si="293"/>
        <v>1</v>
      </c>
    </row>
    <row r="119" spans="4:55">
      <c r="D119" t="s">
        <v>1825</v>
      </c>
      <c r="E119" s="161" t="s">
        <v>2855</v>
      </c>
      <c r="F119" t="s">
        <v>3160</v>
      </c>
      <c r="H119">
        <f ca="1">INDEX(技能数据库!$B$2:$I$100,MATCH(伤害与收益计算!$E119,技能数据库!$B$2:$B$100,0),MATCH(H$9,技能数据库!$B$2:$I$2,0))</f>
        <v>815</v>
      </c>
      <c r="I119">
        <f ca="1">INDEX(技能数据库!$B$2:$I$100,MATCH(伤害与收益计算!$E119,技能数据库!$B$2:$B$100,0),MATCH(I$9,技能数据库!$B$2:$I$2,0))</f>
        <v>0</v>
      </c>
      <c r="J119">
        <f ca="1">INDEX(技能数据库!$B$2:$I$100,MATCH(伤害与收益计算!$E119,技能数据库!$B$2:$B$100,0),MATCH(J$9,技能数据库!$B$2:$I$2,0))</f>
        <v>0</v>
      </c>
      <c r="K119">
        <f ca="1">INDEX(技能数据库!$B$2:$I$100,MATCH(伤害与收益计算!$E119,技能数据库!$B$2:$B$100,0),MATCH(K$9,技能数据库!$B$2:$I$2,0))</f>
        <v>0</v>
      </c>
      <c r="L119">
        <f ca="1" t="shared" si="67"/>
        <v>91975</v>
      </c>
      <c r="M119">
        <f ca="1" t="shared" si="295"/>
        <v>19530.5</v>
      </c>
      <c r="N119">
        <f ca="1" t="shared" si="296"/>
        <v>92028</v>
      </c>
      <c r="O119">
        <f ca="1" t="shared" si="281"/>
        <v>815</v>
      </c>
      <c r="P119">
        <f ca="1">IF(G119="恒定伤害",0,(IF(D119="轻剑",$AZ$2,$AZ$3)+IFERROR(INDEX(技能数据库!$T$2:$W$27,MATCH(E119,技能数据库!$T$2:$T$27,0),4),0)+COUNTIF(G119,"*造化2*")*154+COUNTIF(G119,"*造化1*")*102+COUNTIF(G119,"*碧归*")*307)/1024)</f>
        <v>0.176868146929785</v>
      </c>
      <c r="Q119">
        <f ca="1" t="shared" si="254"/>
        <v>0.0415122129107408</v>
      </c>
      <c r="R119">
        <f ca="1" t="shared" si="282"/>
        <v>0.32958230397716</v>
      </c>
      <c r="S119">
        <f ca="1" t="shared" si="297"/>
        <v>669.72306058073</v>
      </c>
      <c r="T119">
        <f t="shared" si="298"/>
        <v>0.8</v>
      </c>
      <c r="U119">
        <f ca="1" t="shared" si="255"/>
        <v>1.7995442148</v>
      </c>
      <c r="V119">
        <f ca="1" t="shared" si="299"/>
        <v>1499.93545581355</v>
      </c>
      <c r="W119">
        <f ca="1">IF(G119="恒定伤害",0,MIN(1,IF(COUNTIF(F119,"*内会*")&gt;0,内会,IF(D119="轻剑",$Y$2,$Y$3)+COUNTIF(G119,"*莺鸣*")*0.2+COUNTIF(G119,"*叠1*")*0.1+COUNTIF(G119,"*叠2*")*0.2+COUNTIF(G119,"*叠3*")*0.3)+IFERROR(INDEX(技能数据库!$T$2:$W$27,MATCH(E119,技能数据库!$T$2:$T$27,0),2),0)+IF((IF(D119="轻剑",$AO$2,$AO$3)+INT(COUNTIF(G119,"*大莺鸣*")*IF(D119="轻剑",$AM$2,$AM$3)*听晓无双率)/无双系数)&gt;0.9,特效裤子会心/会心系数,0)))</f>
        <v>0.112613819719478</v>
      </c>
      <c r="X119">
        <f ca="1">IF(G119="恒定伤害",0,IF(COUNTIF(F119,"*内会*")&gt;0,内会效,IF(D119="轻剑",$AB$2,$AB$3))+IFERROR(INDEX(技能数据库!$T$2:$W$27,MATCH(E119,技能数据库!$T$2:$T$27,0),3)/1024,0))+COUNTIF(G119,"*叠1*")*0.25+COUNTIF(G119,"*叠2*")*0.5+COUNTIF(G119,"*叠3*")*0.75</f>
        <v>1.93437818487951</v>
      </c>
      <c r="Y119">
        <f ca="1" t="shared" si="300"/>
        <v>1.10522389646183</v>
      </c>
      <c r="Z119">
        <f t="shared" si="283"/>
        <v>0.150390625</v>
      </c>
      <c r="AA119">
        <f ca="1" t="shared" si="301"/>
        <v>0.0205078125</v>
      </c>
      <c r="AB119">
        <f ca="1" t="shared" si="302"/>
        <v>1946.18672191627</v>
      </c>
      <c r="AC119">
        <f ca="1">技能数计算!AJ111</f>
        <v>0</v>
      </c>
      <c r="AD119" s="164">
        <f ca="1" t="shared" si="303"/>
        <v>0</v>
      </c>
      <c r="AE119" s="168">
        <f ca="1" t="shared" si="73"/>
        <v>0</v>
      </c>
      <c r="AF119" s="168">
        <f ca="1" t="shared" si="284"/>
        <v>0</v>
      </c>
      <c r="AG119">
        <f ca="1" t="shared" si="294"/>
        <v>0.00022389710037829</v>
      </c>
      <c r="AH119">
        <f ca="1" t="shared" si="286"/>
        <v>1</v>
      </c>
      <c r="AI119">
        <f ca="1" t="shared" si="287"/>
        <v>1.00022389710038</v>
      </c>
      <c r="AJ119">
        <f ca="1" t="shared" si="288"/>
        <v>0</v>
      </c>
      <c r="AK119">
        <f ca="1" t="shared" si="304"/>
        <v>0</v>
      </c>
      <c r="AL119">
        <f ca="1" t="shared" si="256"/>
        <v>0</v>
      </c>
      <c r="AM119">
        <f ca="1" t="shared" si="305"/>
        <v>0</v>
      </c>
      <c r="AN119" s="168">
        <f ca="1" t="shared" si="257"/>
        <v>0</v>
      </c>
      <c r="AO119" s="168">
        <f ca="1" t="shared" si="258"/>
        <v>0</v>
      </c>
      <c r="AP119" s="172">
        <f ca="1" t="shared" si="291"/>
        <v>0</v>
      </c>
      <c r="AQ119" s="168">
        <f ca="1" t="shared" si="292"/>
        <v>0.00401583628616287</v>
      </c>
      <c r="AR119">
        <f t="shared" si="293"/>
        <v>1</v>
      </c>
    </row>
    <row r="120" spans="4:55">
      <c r="D120" t="s">
        <v>1825</v>
      </c>
      <c r="E120" s="161" t="s">
        <v>2857</v>
      </c>
      <c r="F120" t="s">
        <v>3160</v>
      </c>
      <c r="H120">
        <f ca="1">INDEX(技能数据库!$B$2:$I$100,MATCH(伤害与收益计算!$E120,技能数据库!$B$2:$B$100,0),MATCH(H$9,技能数据库!$B$2:$I$2,0))</f>
        <v>469999</v>
      </c>
      <c r="I120">
        <f ca="1">INDEX(技能数据库!$B$2:$I$100,MATCH(伤害与收益计算!$E120,技能数据库!$B$2:$B$100,0),MATCH(I$9,技能数据库!$B$2:$I$2,0))</f>
        <v>0</v>
      </c>
      <c r="J120">
        <f ca="1">INDEX(技能数据库!$B$2:$I$100,MATCH(伤害与收益计算!$E120,技能数据库!$B$2:$B$100,0),MATCH(J$9,技能数据库!$B$2:$I$2,0))</f>
        <v>0</v>
      </c>
      <c r="K120">
        <f ca="1">INDEX(技能数据库!$B$2:$I$100,MATCH(伤害与收益计算!$E120,技能数据库!$B$2:$B$100,0),MATCH(K$9,技能数据库!$B$2:$I$2,0))</f>
        <v>0</v>
      </c>
      <c r="L120">
        <f ca="1" t="shared" si="67"/>
        <v>91975</v>
      </c>
      <c r="M120">
        <f ca="1" t="shared" si="295"/>
        <v>19530.5</v>
      </c>
      <c r="N120">
        <f ca="1" t="shared" si="296"/>
        <v>92028</v>
      </c>
      <c r="O120">
        <f ca="1" t="shared" si="281"/>
        <v>469999</v>
      </c>
      <c r="P120">
        <f ca="1">IF(G120="恒定伤害",0,(IF(D120="轻剑",$AZ$2,$AZ$3)+IFERROR(INDEX(技能数据库!$T$2:$W$27,MATCH(E120,技能数据库!$T$2:$T$27,0),4),0)+COUNTIF(G120,"*造化2*")*154+COUNTIF(G120,"*造化1*")*102+COUNTIF(G120,"*碧归*")*307)/1024)</f>
        <v>0.176868146929785</v>
      </c>
      <c r="Q120">
        <f ca="1" t="shared" si="254"/>
        <v>0.0415122129107408</v>
      </c>
      <c r="R120">
        <f ca="1" t="shared" si="282"/>
        <v>0.32958230397716</v>
      </c>
      <c r="S120">
        <f ca="1" t="shared" si="297"/>
        <v>386219.838956911</v>
      </c>
      <c r="T120">
        <f t="shared" si="298"/>
        <v>0.8</v>
      </c>
      <c r="U120">
        <f ca="1" t="shared" si="255"/>
        <v>1.7995442148</v>
      </c>
      <c r="V120">
        <f ca="1" t="shared" si="299"/>
        <v>864991.612634247</v>
      </c>
      <c r="W120">
        <f ca="1">IF(G120="恒定伤害",0,MIN(1,IF(COUNTIF(F120,"*内会*")&gt;0,内会,IF(D120="轻剑",$Y$2,$Y$3)+COUNTIF(G120,"*莺鸣*")*0.2+COUNTIF(G120,"*叠1*")*0.1+COUNTIF(G120,"*叠2*")*0.2+COUNTIF(G120,"*叠3*")*0.3)+IFERROR(INDEX(技能数据库!$T$2:$W$27,MATCH(E120,技能数据库!$T$2:$T$27,0),2),0)+IF((IF(D120="轻剑",$AO$2,$AO$3)+INT(COUNTIF(G120,"*大莺鸣*")*IF(D120="轻剑",$AM$2,$AM$3)*听晓无双率)/无双系数)&gt;0.9,特效裤子会心/会心系数,0)))</f>
        <v>0.112613819719478</v>
      </c>
      <c r="X120">
        <f ca="1">IF(G120="恒定伤害",0,IF(COUNTIF(F120,"*内会*")&gt;0,内会效,IF(D120="轻剑",$AB$2,$AB$3))+IFERROR(INDEX(技能数据库!$T$2:$W$27,MATCH(E120,技能数据库!$T$2:$T$27,0),3)/1024,0))+COUNTIF(G120,"*叠1*")*0.25+COUNTIF(G120,"*叠2*")*0.5+COUNTIF(G120,"*叠3*")*0.75</f>
        <v>1.93437818487951</v>
      </c>
      <c r="Y120">
        <f ca="1" t="shared" si="300"/>
        <v>1.10522389646183</v>
      </c>
      <c r="Z120">
        <f t="shared" si="283"/>
        <v>0.150390625</v>
      </c>
      <c r="AA120">
        <f ca="1" t="shared" si="301"/>
        <v>0.0205078125</v>
      </c>
      <c r="AB120">
        <f ca="1" t="shared" si="302"/>
        <v>1122338.42099868</v>
      </c>
      <c r="AC120">
        <f>技能数计算!AJ112</f>
        <v>0</v>
      </c>
      <c r="AD120" s="164">
        <f ca="1" t="shared" si="303"/>
        <v>0</v>
      </c>
      <c r="AE120" s="168">
        <f ca="1" t="shared" si="73"/>
        <v>0</v>
      </c>
      <c r="AF120" s="168">
        <f ca="1" t="shared" si="284"/>
        <v>0</v>
      </c>
      <c r="AG120">
        <f ca="1" t="shared" si="294"/>
        <v>0.00022389710037829</v>
      </c>
      <c r="AH120">
        <f ca="1" t="shared" si="286"/>
        <v>1</v>
      </c>
      <c r="AI120">
        <f ca="1" t="shared" si="287"/>
        <v>1.00022389710038</v>
      </c>
      <c r="AJ120">
        <f ca="1" t="shared" si="288"/>
        <v>0</v>
      </c>
      <c r="AK120">
        <f t="shared" si="304"/>
        <v>0</v>
      </c>
      <c r="AL120">
        <f ca="1" t="shared" si="256"/>
        <v>0</v>
      </c>
      <c r="AM120">
        <f t="shared" si="305"/>
        <v>0</v>
      </c>
      <c r="AN120" s="168">
        <f ca="1" t="shared" si="257"/>
        <v>0</v>
      </c>
      <c r="AO120" s="168">
        <f ca="1" t="shared" si="258"/>
        <v>0</v>
      </c>
      <c r="AP120" s="172">
        <f ca="1" t="shared" si="291"/>
        <v>0</v>
      </c>
      <c r="AQ120" s="168">
        <f ca="1" t="shared" si="292"/>
        <v>0.00401583628616287</v>
      </c>
      <c r="AR120">
        <f t="shared" si="293"/>
        <v>1</v>
      </c>
    </row>
    <row r="121" spans="4:55">
      <c r="D121" t="s">
        <v>1825</v>
      </c>
      <c r="E121" s="161" t="s">
        <v>2844</v>
      </c>
      <c r="G121" t="s">
        <v>2750</v>
      </c>
      <c r="H121">
        <f ca="1">INDEX(技能数据库!$B$2:$I$100,MATCH(伤害与收益计算!$E121,技能数据库!$B$2:$B$100,0),MATCH(H$9,技能数据库!$B$2:$I$2,0))</f>
        <v>5241589</v>
      </c>
      <c r="I121">
        <f ca="1">INDEX(技能数据库!$B$2:$I$100,MATCH(伤害与收益计算!$E121,技能数据库!$B$2:$B$100,0),MATCH(I$9,技能数据库!$B$2:$I$2,0))</f>
        <v>0</v>
      </c>
      <c r="J121">
        <f ca="1">INDEX(技能数据库!$B$2:$I$100,MATCH(伤害与收益计算!$E121,技能数据库!$B$2:$B$100,0),MATCH(J$9,技能数据库!$B$2:$I$2,0))</f>
        <v>0</v>
      </c>
      <c r="K121">
        <f ca="1">INDEX(技能数据库!$B$2:$I$100,MATCH(伤害与收益计算!$E121,技能数据库!$B$2:$B$100,0),MATCH(K$9,技能数据库!$B$2:$I$2,0))</f>
        <v>0</v>
      </c>
      <c r="L121">
        <f ca="1" t="shared" si="67"/>
        <v>105847</v>
      </c>
      <c r="M121">
        <f ca="1" t="shared" si="295"/>
        <v>19530.5</v>
      </c>
      <c r="N121">
        <f ca="1" t="shared" si="296"/>
        <v>92028</v>
      </c>
      <c r="O121">
        <f ca="1" t="shared" si="281"/>
        <v>5241589</v>
      </c>
      <c r="P121">
        <f ca="1">IF(G121="恒定伤害",0,(IF(D121="轻剑",$AZ$2,$AZ$3)+IFERROR(INDEX(技能数据库!$T$2:$W$27,MATCH(E121,技能数据库!$T$2:$T$27,0),4),0)+COUNTIF(G121,"*造化2*")*154+COUNTIF(G121,"*造化1*")*102+COUNTIF(G121,"*碧归*")*307)/1024)</f>
        <v>0.176868146929785</v>
      </c>
      <c r="Q121">
        <f ca="1" t="shared" si="254"/>
        <v>0.448284482196154</v>
      </c>
      <c r="R121">
        <f ca="1" t="shared" si="282"/>
        <v>0.21277697966198</v>
      </c>
      <c r="S121">
        <f ca="1" t="shared" si="297"/>
        <v>7033029.44394562</v>
      </c>
      <c r="T121">
        <f t="shared" si="298"/>
        <v>0.8</v>
      </c>
      <c r="U121">
        <f ca="1" t="shared" si="255"/>
        <v>1.7995442148</v>
      </c>
      <c r="V121">
        <f ca="1" t="shared" si="299"/>
        <v>15751421.5138528</v>
      </c>
      <c r="W121">
        <f ca="1">IF(G121="恒定伤害",0,MIN(1,IF(COUNTIF(F121,"*内会*")&gt;0,内会,IF(D121="轻剑",$Y$2,$Y$3)+COUNTIF(G121,"*莺鸣*")*0.2+COUNTIF(G121,"*叠1*")*0.1+COUNTIF(G121,"*叠2*")*0.2+COUNTIF(G121,"*叠3*")*0.3)+IFERROR(INDEX(技能数据库!$T$2:$W$27,MATCH(E121,技能数据库!$T$2:$T$27,0),2),0)+IF((IF(D121="轻剑",$AO$2,$AO$3)+INT(COUNTIF(G121,"*大莺鸣*")*IF(D121="轻剑",$AM$2,$AM$3)*听晓无双率)/无双系数)&gt;0.9,特效裤子会心/会心系数,0)))</f>
        <v>0.7343</v>
      </c>
      <c r="X121">
        <f ca="1">IF(G121="恒定伤害",0,IF(COUNTIF(F121,"*内会*")&gt;0,内会效,IF(D121="轻剑",$AB$2,$AB$3))+IFERROR(INDEX(技能数据库!$T$2:$W$27,MATCH(E121,技能数据库!$T$2:$T$27,0),3)/1024,0))+COUNTIF(G121,"*叠1*")*0.25+COUNTIF(G121,"*叠2*")*0.5+COUNTIF(G121,"*叠3*")*0.75</f>
        <v>2.3156473116</v>
      </c>
      <c r="Y121">
        <f ca="1" t="shared" si="300"/>
        <v>1.96607982090788</v>
      </c>
      <c r="Z121">
        <f t="shared" si="283"/>
        <v>0.150390625</v>
      </c>
      <c r="AA121">
        <f ca="1" t="shared" si="301"/>
        <v>0.0205078125</v>
      </c>
      <c r="AB121">
        <f ca="1" t="shared" si="302"/>
        <v>36356541.8090622</v>
      </c>
      <c r="AC121">
        <f ca="1">技能数计算!AJ113</f>
        <v>0</v>
      </c>
      <c r="AD121" s="164">
        <f ca="1" t="shared" si="303"/>
        <v>0</v>
      </c>
      <c r="AE121" s="168">
        <f ca="1" t="shared" si="73"/>
        <v>0</v>
      </c>
      <c r="AF121" s="168">
        <f ca="1" t="shared" si="284"/>
        <v>0</v>
      </c>
      <c r="AG121">
        <f ca="1" t="shared" si="294"/>
        <v>0.000161012264749072</v>
      </c>
      <c r="AH121">
        <f ca="1" t="shared" si="286"/>
        <v>1</v>
      </c>
      <c r="AI121">
        <f ca="1" t="shared" si="287"/>
        <v>1.00016101226475</v>
      </c>
      <c r="AJ121">
        <f ca="1" t="shared" si="288"/>
        <v>0</v>
      </c>
      <c r="AK121">
        <f ca="1" t="shared" si="304"/>
        <v>0</v>
      </c>
      <c r="AL121">
        <f ca="1" t="shared" si="256"/>
        <v>0</v>
      </c>
      <c r="AM121">
        <f ca="1" t="shared" si="305"/>
        <v>0</v>
      </c>
      <c r="AN121" s="168">
        <f ca="1" t="shared" si="257"/>
        <v>0.00750104430192855</v>
      </c>
      <c r="AO121" s="168">
        <f ca="1" t="shared" si="258"/>
        <v>0.00447057613551372</v>
      </c>
      <c r="AP121" s="172">
        <f ca="1" t="shared" si="291"/>
        <v>0</v>
      </c>
      <c r="AQ121" s="168">
        <f ca="1" t="shared" si="292"/>
        <v>0.00401583628616287</v>
      </c>
      <c r="AR121">
        <f t="shared" si="293"/>
        <v>1</v>
      </c>
    </row>
    <row r="122" spans="4:55">
      <c r="D122" t="s">
        <v>1825</v>
      </c>
      <c r="E122" s="161" t="s">
        <v>2847</v>
      </c>
      <c r="G122" t="s">
        <v>2750</v>
      </c>
      <c r="H122">
        <f ca="1">INDEX(技能数据库!$B$2:$I$100,MATCH(伤害与收益计算!$E122,技能数据库!$B$2:$B$100,0),MATCH(H$9,技能数据库!$B$2:$I$2,0))</f>
        <v>4717430</v>
      </c>
      <c r="I122">
        <f ca="1">INDEX(技能数据库!$B$2:$I$100,MATCH(伤害与收益计算!$E122,技能数据库!$B$2:$B$100,0),MATCH(I$9,技能数据库!$B$2:$I$2,0))</f>
        <v>0</v>
      </c>
      <c r="J122">
        <f ca="1">INDEX(技能数据库!$B$2:$I$100,MATCH(伤害与收益计算!$E122,技能数据库!$B$2:$B$100,0),MATCH(J$9,技能数据库!$B$2:$I$2,0))</f>
        <v>0</v>
      </c>
      <c r="K122">
        <f ca="1">INDEX(技能数据库!$B$2:$I$100,MATCH(伤害与收益计算!$E122,技能数据库!$B$2:$B$100,0),MATCH(K$9,技能数据库!$B$2:$I$2,0))</f>
        <v>0</v>
      </c>
      <c r="L122">
        <f ca="1" t="shared" si="67"/>
        <v>105847</v>
      </c>
      <c r="M122">
        <f ca="1" t="shared" si="295"/>
        <v>19530.5</v>
      </c>
      <c r="N122">
        <f ca="1" t="shared" si="296"/>
        <v>92028</v>
      </c>
      <c r="O122">
        <f ca="1" t="shared" si="281"/>
        <v>4717430</v>
      </c>
      <c r="P122">
        <f ca="1">IF(G122="恒定伤害",0,(IF(D122="轻剑",$AZ$2,$AZ$3)+IFERROR(INDEX(技能数据库!$T$2:$W$27,MATCH(E122,技能数据库!$T$2:$T$27,0),4),0)+COUNTIF(G122,"*造化2*")*154+COUNTIF(G122,"*造化1*")*102+COUNTIF(G122,"*碧归*")*307)/1024)</f>
        <v>0.176868146929785</v>
      </c>
      <c r="Q122">
        <f ca="1" t="shared" si="254"/>
        <v>0.448284482196154</v>
      </c>
      <c r="R122">
        <f ca="1" t="shared" si="282"/>
        <v>0.21277697966198</v>
      </c>
      <c r="S122">
        <f ca="1" t="shared" si="297"/>
        <v>6329726.36537363</v>
      </c>
      <c r="T122">
        <f t="shared" si="298"/>
        <v>0.8</v>
      </c>
      <c r="U122">
        <f ca="1" t="shared" si="255"/>
        <v>1.7995442148</v>
      </c>
      <c r="V122">
        <f ca="1" t="shared" si="299"/>
        <v>14176279.061959</v>
      </c>
      <c r="W122">
        <f ca="1">IF(G122="恒定伤害",0,MIN(1,IF(COUNTIF(F122,"*内会*")&gt;0,内会,IF(D122="轻剑",$Y$2,$Y$3)+COUNTIF(G122,"*莺鸣*")*0.2+COUNTIF(G122,"*叠1*")*0.1+COUNTIF(G122,"*叠2*")*0.2+COUNTIF(G122,"*叠3*")*0.3)+IFERROR(INDEX(技能数据库!$T$2:$W$27,MATCH(E122,技能数据库!$T$2:$T$27,0),2),0)+IF((IF(D122="轻剑",$AO$2,$AO$3)+INT(COUNTIF(G122,"*大莺鸣*")*IF(D122="轻剑",$AM$2,$AM$3)*听晓无双率)/无双系数)&gt;0.9,特效裤子会心/会心系数,0)))</f>
        <v>0.7343</v>
      </c>
      <c r="X122">
        <f ca="1">IF(G122="恒定伤害",0,IF(COUNTIF(F122,"*内会*")&gt;0,内会效,IF(D122="轻剑",$AB$2,$AB$3))+IFERROR(INDEX(技能数据库!$T$2:$W$27,MATCH(E122,技能数据库!$T$2:$T$27,0),3)/1024,0))+COUNTIF(G122,"*叠1*")*0.25+COUNTIF(G122,"*叠2*")*0.5+COUNTIF(G122,"*叠3*")*0.75</f>
        <v>2.3156473116</v>
      </c>
      <c r="Y122">
        <f ca="1" t="shared" si="300"/>
        <v>1.96607982090788</v>
      </c>
      <c r="Z122">
        <f t="shared" si="283"/>
        <v>0.150390625</v>
      </c>
      <c r="AA122">
        <f ca="1" t="shared" si="301"/>
        <v>0.0205078125</v>
      </c>
      <c r="AB122">
        <f ca="1" t="shared" si="302"/>
        <v>32720886.9345392</v>
      </c>
      <c r="AC122">
        <f ca="1">技能数计算!AJ114</f>
        <v>0</v>
      </c>
      <c r="AD122" s="164">
        <f ca="1" t="shared" si="303"/>
        <v>0</v>
      </c>
      <c r="AE122" s="168">
        <f ca="1" t="shared" si="73"/>
        <v>0</v>
      </c>
      <c r="AF122" s="168">
        <f ca="1" t="shared" si="284"/>
        <v>0</v>
      </c>
      <c r="AG122">
        <f ca="1" t="shared" si="294"/>
        <v>0.000161012264749072</v>
      </c>
      <c r="AH122">
        <f ca="1" t="shared" si="286"/>
        <v>1</v>
      </c>
      <c r="AI122">
        <f ca="1" t="shared" si="287"/>
        <v>1.00016101226475</v>
      </c>
      <c r="AJ122">
        <f ca="1" t="shared" si="288"/>
        <v>0</v>
      </c>
      <c r="AK122">
        <f ca="1" t="shared" si="304"/>
        <v>0</v>
      </c>
      <c r="AL122">
        <f ca="1" t="shared" si="256"/>
        <v>0</v>
      </c>
      <c r="AM122">
        <f ca="1" t="shared" si="305"/>
        <v>0</v>
      </c>
      <c r="AN122" s="168">
        <f ca="1" t="shared" si="257"/>
        <v>0.00750104430192855</v>
      </c>
      <c r="AO122" s="168">
        <f ca="1" t="shared" si="258"/>
        <v>0.00447057613551372</v>
      </c>
      <c r="AP122" s="172">
        <f ca="1" t="shared" si="291"/>
        <v>0</v>
      </c>
      <c r="AQ122" s="168">
        <f ca="1" t="shared" si="292"/>
        <v>0.00401583628616287</v>
      </c>
      <c r="AR122">
        <f t="shared" si="293"/>
        <v>1</v>
      </c>
      <c r="AX122" s="167"/>
      <c r="AY122" s="167"/>
      <c r="AZ122" s="164"/>
      <c r="BB122" s="167"/>
      <c r="BC122" s="164"/>
    </row>
    <row r="123" spans="4:55">
      <c r="D123" t="s">
        <v>1825</v>
      </c>
      <c r="E123" s="161" t="s">
        <v>2850</v>
      </c>
      <c r="F123" t="s">
        <v>3160</v>
      </c>
      <c r="G123" t="s">
        <v>2750</v>
      </c>
      <c r="H123">
        <f ca="1">INDEX(技能数据库!$B$2:$I$100,MATCH(伤害与收益计算!$E123,技能数据库!$B$2:$B$100,0),MATCH(H$9,技能数据库!$B$2:$I$2,0))</f>
        <v>3667380</v>
      </c>
      <c r="I123">
        <f ca="1">INDEX(技能数据库!$B$2:$I$100,MATCH(伤害与收益计算!$E123,技能数据库!$B$2:$B$100,0),MATCH(I$9,技能数据库!$B$2:$I$2,0))</f>
        <v>0</v>
      </c>
      <c r="J123">
        <f ca="1">INDEX(技能数据库!$B$2:$I$100,MATCH(伤害与收益计算!$E123,技能数据库!$B$2:$B$100,0),MATCH(J$9,技能数据库!$B$2:$I$2,0))</f>
        <v>0</v>
      </c>
      <c r="K123">
        <f ca="1">INDEX(技能数据库!$B$2:$I$100,MATCH(伤害与收益计算!$E123,技能数据库!$B$2:$B$100,0),MATCH(K$9,技能数据库!$B$2:$I$2,0))</f>
        <v>0</v>
      </c>
      <c r="L123">
        <f ca="1" t="shared" si="67"/>
        <v>105847</v>
      </c>
      <c r="M123">
        <f ca="1" t="shared" si="295"/>
        <v>19530.5</v>
      </c>
      <c r="N123">
        <f ca="1" t="shared" si="296"/>
        <v>92028</v>
      </c>
      <c r="O123">
        <f ca="1" t="shared" si="281"/>
        <v>3667380</v>
      </c>
      <c r="P123">
        <f ca="1">IF(G123="恒定伤害",0,(IF(D123="轻剑",$AZ$2,$AZ$3)+IFERROR(INDEX(技能数据库!$T$2:$W$27,MATCH(E123,技能数据库!$T$2:$T$27,0),4),0)+COUNTIF(G123,"*造化2*")*154+COUNTIF(G123,"*造化1*")*102+COUNTIF(G123,"*碧归*")*307)/1024)</f>
        <v>0.176868146929785</v>
      </c>
      <c r="Q123">
        <f ca="1" t="shared" si="254"/>
        <v>0.0415122129107408</v>
      </c>
      <c r="R123">
        <f ca="1" t="shared" si="282"/>
        <v>0.21277697966198</v>
      </c>
      <c r="S123">
        <f ca="1" t="shared" si="297"/>
        <v>3538717.33072296</v>
      </c>
      <c r="T123">
        <f t="shared" si="298"/>
        <v>0.8</v>
      </c>
      <c r="U123">
        <f ca="1" t="shared" si="255"/>
        <v>1.7995442148</v>
      </c>
      <c r="V123">
        <f ca="1" t="shared" si="299"/>
        <v>7925436.50483037</v>
      </c>
      <c r="W123">
        <f ca="1">IF(G123="恒定伤害",0,MIN(1,IF(COUNTIF(F123,"*内会*")&gt;0,内会,IF(D123="轻剑",$Y$2,$Y$3)+COUNTIF(G123,"*莺鸣*")*0.2+COUNTIF(G123,"*叠1*")*0.1+COUNTIF(G123,"*叠2*")*0.2+COUNTIF(G123,"*叠3*")*0.3)+IFERROR(INDEX(技能数据库!$T$2:$W$27,MATCH(E123,技能数据库!$T$2:$T$27,0),2),0)+IF((IF(D123="轻剑",$AO$2,$AO$3)+INT(COUNTIF(G123,"*大莺鸣*")*IF(D123="轻剑",$AM$2,$AM$3)*听晓无双率)/无双系数)&gt;0.9,特效裤子会心/会心系数,0)))</f>
        <v>0.112613819719478</v>
      </c>
      <c r="X123">
        <f ca="1">IF(G123="恒定伤害",0,IF(COUNTIF(F123,"*内会*")&gt;0,内会效,IF(D123="轻剑",$AB$2,$AB$3))+IFERROR(INDEX(技能数据库!$T$2:$W$27,MATCH(E123,技能数据库!$T$2:$T$27,0),3)/1024,0))+COUNTIF(G123,"*叠1*")*0.25+COUNTIF(G123,"*叠2*")*0.5+COUNTIF(G123,"*叠3*")*0.75</f>
        <v>1.93437818487951</v>
      </c>
      <c r="Y123">
        <f ca="1" t="shared" si="300"/>
        <v>1.10522389646183</v>
      </c>
      <c r="Z123">
        <f t="shared" si="283"/>
        <v>0.150390625</v>
      </c>
      <c r="AA123">
        <f ca="1" t="shared" si="301"/>
        <v>0.0205078125</v>
      </c>
      <c r="AB123">
        <f ca="1" t="shared" si="302"/>
        <v>10283362.0148844</v>
      </c>
      <c r="AC123">
        <f ca="1">技能数计算!AJ115</f>
        <v>0</v>
      </c>
      <c r="AD123" s="164">
        <f ca="1" t="shared" si="303"/>
        <v>0</v>
      </c>
      <c r="AE123" s="168">
        <f ca="1" t="shared" si="73"/>
        <v>0</v>
      </c>
      <c r="AF123" s="168">
        <f ca="1" t="shared" si="284"/>
        <v>0</v>
      </c>
      <c r="AG123">
        <f ca="1" t="shared" si="294"/>
        <v>0.00022389710037829</v>
      </c>
      <c r="AH123">
        <f ca="1" t="shared" si="286"/>
        <v>1</v>
      </c>
      <c r="AI123">
        <f ca="1" t="shared" si="287"/>
        <v>1.00022389710038</v>
      </c>
      <c r="AJ123">
        <f ca="1" t="shared" si="288"/>
        <v>0</v>
      </c>
      <c r="AK123">
        <f ca="1" t="shared" si="304"/>
        <v>0</v>
      </c>
      <c r="AL123">
        <f ca="1" t="shared" si="256"/>
        <v>0</v>
      </c>
      <c r="AM123">
        <f ca="1" t="shared" si="305"/>
        <v>0</v>
      </c>
      <c r="AN123" s="168">
        <f ca="1" t="shared" si="257"/>
        <v>0</v>
      </c>
      <c r="AO123" s="168">
        <f ca="1" t="shared" si="258"/>
        <v>0</v>
      </c>
      <c r="AP123" s="172">
        <f ca="1" t="shared" si="291"/>
        <v>0</v>
      </c>
      <c r="AQ123" s="168">
        <f ca="1" t="shared" si="292"/>
        <v>0.00401583628616287</v>
      </c>
      <c r="AR123">
        <f t="shared" si="293"/>
        <v>1</v>
      </c>
    </row>
    <row r="124" spans="4:55">
      <c r="D124" t="s">
        <v>1825</v>
      </c>
      <c r="E124" s="161" t="s">
        <v>2853</v>
      </c>
      <c r="F124" t="s">
        <v>3160</v>
      </c>
      <c r="G124" t="s">
        <v>2750</v>
      </c>
      <c r="H124">
        <f ca="1">INDEX(技能数据库!$B$2:$I$100,MATCH(伤害与收益计算!$E124,技能数据库!$B$2:$B$100,0),MATCH(H$9,技能数据库!$B$2:$I$2,0))</f>
        <v>2444920</v>
      </c>
      <c r="I124">
        <f ca="1">INDEX(技能数据库!$B$2:$I$100,MATCH(伤害与收益计算!$E124,技能数据库!$B$2:$B$100,0),MATCH(I$9,技能数据库!$B$2:$I$2,0))</f>
        <v>0</v>
      </c>
      <c r="J124">
        <f ca="1">INDEX(技能数据库!$B$2:$I$100,MATCH(伤害与收益计算!$E124,技能数据库!$B$2:$B$100,0),MATCH(J$9,技能数据库!$B$2:$I$2,0))</f>
        <v>0</v>
      </c>
      <c r="K124">
        <f ca="1">INDEX(技能数据库!$B$2:$I$100,MATCH(伤害与收益计算!$E124,技能数据库!$B$2:$B$100,0),MATCH(K$9,技能数据库!$B$2:$I$2,0))</f>
        <v>0</v>
      </c>
      <c r="L124">
        <f ca="1" t="shared" si="67"/>
        <v>105847</v>
      </c>
      <c r="M124">
        <f ca="1" t="shared" si="295"/>
        <v>19530.5</v>
      </c>
      <c r="N124">
        <f ca="1" t="shared" si="296"/>
        <v>92028</v>
      </c>
      <c r="O124">
        <f ca="1" t="shared" si="281"/>
        <v>2444920</v>
      </c>
      <c r="P124">
        <f ca="1">IF(G124="恒定伤害",0,(IF(D124="轻剑",$AZ$2,$AZ$3)+IFERROR(INDEX(技能数据库!$T$2:$W$27,MATCH(E124,技能数据库!$T$2:$T$27,0),4),0)+COUNTIF(G124,"*造化2*")*154+COUNTIF(G124,"*造化1*")*102+COUNTIF(G124,"*碧归*")*307)/1024)</f>
        <v>0.176868146929785</v>
      </c>
      <c r="Q124">
        <f ca="1" t="shared" si="254"/>
        <v>0.0415122129107408</v>
      </c>
      <c r="R124">
        <f ca="1" t="shared" si="282"/>
        <v>0.21277697966198</v>
      </c>
      <c r="S124">
        <f ca="1" t="shared" si="297"/>
        <v>2359144.88714864</v>
      </c>
      <c r="T124">
        <f t="shared" si="298"/>
        <v>0.8</v>
      </c>
      <c r="U124">
        <f ca="1" t="shared" si="255"/>
        <v>1.7995442148</v>
      </c>
      <c r="V124">
        <f ca="1" t="shared" si="299"/>
        <v>5283624.33655358</v>
      </c>
      <c r="W124">
        <f ca="1">IF(G124="恒定伤害",0,MIN(1,IF(COUNTIF(F124,"*内会*")&gt;0,内会,IF(D124="轻剑",$Y$2,$Y$3)+COUNTIF(G124,"*莺鸣*")*0.2+COUNTIF(G124,"*叠1*")*0.1+COUNTIF(G124,"*叠2*")*0.2+COUNTIF(G124,"*叠3*")*0.3)+IFERROR(INDEX(技能数据库!$T$2:$W$27,MATCH(E124,技能数据库!$T$2:$T$27,0),2),0)+IF((IF(D124="轻剑",$AO$2,$AO$3)+INT(COUNTIF(G124,"*大莺鸣*")*IF(D124="轻剑",$AM$2,$AM$3)*听晓无双率)/无双系数)&gt;0.9,特效裤子会心/会心系数,0)))</f>
        <v>0.112613819719478</v>
      </c>
      <c r="X124">
        <f ca="1">IF(G124="恒定伤害",0,IF(COUNTIF(F124,"*内会*")&gt;0,内会效,IF(D124="轻剑",$AB$2,$AB$3))+IFERROR(INDEX(技能数据库!$T$2:$W$27,MATCH(E124,技能数据库!$T$2:$T$27,0),3)/1024,0))+COUNTIF(G124,"*叠1*")*0.25+COUNTIF(G124,"*叠2*")*0.5+COUNTIF(G124,"*叠3*")*0.75</f>
        <v>1.93437818487951</v>
      </c>
      <c r="Y124">
        <f ca="1" t="shared" si="300"/>
        <v>1.10522389646183</v>
      </c>
      <c r="Z124">
        <f t="shared" si="283"/>
        <v>0.150390625</v>
      </c>
      <c r="AA124">
        <f ca="1" t="shared" si="301"/>
        <v>0.0205078125</v>
      </c>
      <c r="AB124">
        <f ca="1" t="shared" si="302"/>
        <v>6855574.67658961</v>
      </c>
      <c r="AC124">
        <f ca="1">技能数计算!AJ116</f>
        <v>0</v>
      </c>
      <c r="AD124" s="164">
        <f ca="1" t="shared" si="303"/>
        <v>0</v>
      </c>
      <c r="AE124" s="168">
        <f ca="1" t="shared" si="73"/>
        <v>0</v>
      </c>
      <c r="AF124" s="168">
        <f ca="1" t="shared" si="284"/>
        <v>0</v>
      </c>
      <c r="AG124">
        <f ca="1" t="shared" si="294"/>
        <v>0.00022389710037829</v>
      </c>
      <c r="AH124">
        <f ca="1" t="shared" si="286"/>
        <v>1</v>
      </c>
      <c r="AI124">
        <f ca="1" t="shared" si="287"/>
        <v>1.00022389710038</v>
      </c>
      <c r="AJ124">
        <f ca="1" t="shared" si="288"/>
        <v>0</v>
      </c>
      <c r="AK124">
        <f ca="1" t="shared" si="304"/>
        <v>0</v>
      </c>
      <c r="AL124">
        <f ca="1" t="shared" si="256"/>
        <v>0</v>
      </c>
      <c r="AM124">
        <f ca="1" t="shared" si="305"/>
        <v>0</v>
      </c>
      <c r="AN124" s="168">
        <f ca="1" t="shared" si="257"/>
        <v>0</v>
      </c>
      <c r="AO124" s="168">
        <f ca="1" t="shared" si="258"/>
        <v>0</v>
      </c>
      <c r="AP124" s="172">
        <f ca="1" t="shared" si="291"/>
        <v>0</v>
      </c>
      <c r="AQ124" s="168">
        <f ca="1" t="shared" si="292"/>
        <v>0.00401583628616287</v>
      </c>
      <c r="AR124">
        <f t="shared" si="293"/>
        <v>1</v>
      </c>
    </row>
    <row r="125" spans="4:55">
      <c r="D125" t="s">
        <v>1825</v>
      </c>
      <c r="E125" s="161" t="s">
        <v>2855</v>
      </c>
      <c r="F125" t="s">
        <v>3160</v>
      </c>
      <c r="G125" t="s">
        <v>2750</v>
      </c>
      <c r="H125">
        <f ca="1">INDEX(技能数据库!$B$2:$I$100,MATCH(伤害与收益计算!$E125,技能数据库!$B$2:$B$100,0),MATCH(H$9,技能数据库!$B$2:$I$2,0))</f>
        <v>815</v>
      </c>
      <c r="I125">
        <f ca="1">INDEX(技能数据库!$B$2:$I$100,MATCH(伤害与收益计算!$E125,技能数据库!$B$2:$B$100,0),MATCH(I$9,技能数据库!$B$2:$I$2,0))</f>
        <v>0</v>
      </c>
      <c r="J125">
        <f ca="1">INDEX(技能数据库!$B$2:$I$100,MATCH(伤害与收益计算!$E125,技能数据库!$B$2:$B$100,0),MATCH(J$9,技能数据库!$B$2:$I$2,0))</f>
        <v>0</v>
      </c>
      <c r="K125">
        <f ca="1">INDEX(技能数据库!$B$2:$I$100,MATCH(伤害与收益计算!$E125,技能数据库!$B$2:$B$100,0),MATCH(K$9,技能数据库!$B$2:$I$2,0))</f>
        <v>0</v>
      </c>
      <c r="L125">
        <f ca="1" t="shared" si="67"/>
        <v>105847</v>
      </c>
      <c r="M125">
        <f ca="1" t="shared" si="295"/>
        <v>19530.5</v>
      </c>
      <c r="N125">
        <f ca="1" t="shared" si="296"/>
        <v>92028</v>
      </c>
      <c r="O125">
        <f ca="1" t="shared" si="281"/>
        <v>815</v>
      </c>
      <c r="P125">
        <f ca="1">IF(G125="恒定伤害",0,(IF(D125="轻剑",$AZ$2,$AZ$3)+IFERROR(INDEX(技能数据库!$T$2:$W$27,MATCH(E125,技能数据库!$T$2:$T$27,0),4),0)+COUNTIF(G125,"*造化2*")*154+COUNTIF(G125,"*造化1*")*102+COUNTIF(G125,"*碧归*")*307)/1024)</f>
        <v>0.176868146929785</v>
      </c>
      <c r="Q125">
        <f ca="1" t="shared" si="254"/>
        <v>0.0415122129107408</v>
      </c>
      <c r="R125">
        <f ca="1" t="shared" si="282"/>
        <v>0.21277697966198</v>
      </c>
      <c r="S125">
        <f ca="1" t="shared" si="297"/>
        <v>786.407360169716</v>
      </c>
      <c r="T125">
        <f t="shared" si="298"/>
        <v>0.8</v>
      </c>
      <c r="U125">
        <f ca="1" t="shared" si="255"/>
        <v>1.7995442148</v>
      </c>
      <c r="V125">
        <f ca="1" t="shared" si="299"/>
        <v>1761.26574051142</v>
      </c>
      <c r="W125">
        <f ca="1">IF(G125="恒定伤害",0,MIN(1,IF(COUNTIF(F125,"*内会*")&gt;0,内会,IF(D125="轻剑",$Y$2,$Y$3)+COUNTIF(G125,"*莺鸣*")*0.2+COUNTIF(G125,"*叠1*")*0.1+COUNTIF(G125,"*叠2*")*0.2+COUNTIF(G125,"*叠3*")*0.3)+IFERROR(INDEX(技能数据库!$T$2:$W$27,MATCH(E125,技能数据库!$T$2:$T$27,0),2),0)+IF((IF(D125="轻剑",$AO$2,$AO$3)+INT(COUNTIF(G125,"*大莺鸣*")*IF(D125="轻剑",$AM$2,$AM$3)*听晓无双率)/无双系数)&gt;0.9,特效裤子会心/会心系数,0)))</f>
        <v>0.112613819719478</v>
      </c>
      <c r="X125">
        <f ca="1">IF(G125="恒定伤害",0,IF(COUNTIF(F125,"*内会*")&gt;0,内会效,IF(D125="轻剑",$AB$2,$AB$3))+IFERROR(INDEX(技能数据库!$T$2:$W$27,MATCH(E125,技能数据库!$T$2:$T$27,0),3)/1024,0))+COUNTIF(G125,"*叠1*")*0.25+COUNTIF(G125,"*叠2*")*0.5+COUNTIF(G125,"*叠3*")*0.75</f>
        <v>1.93437818487951</v>
      </c>
      <c r="Y125">
        <f ca="1" t="shared" si="300"/>
        <v>1.10522389646183</v>
      </c>
      <c r="Z125">
        <f t="shared" si="283"/>
        <v>0.150390625</v>
      </c>
      <c r="AA125">
        <f ca="1" t="shared" si="301"/>
        <v>0.0205078125</v>
      </c>
      <c r="AB125">
        <f ca="1" t="shared" si="302"/>
        <v>2285.26633240373</v>
      </c>
      <c r="AC125">
        <f ca="1">技能数计算!AJ117</f>
        <v>0</v>
      </c>
      <c r="AD125" s="164">
        <f ca="1" t="shared" si="303"/>
        <v>0</v>
      </c>
      <c r="AE125" s="168">
        <f ca="1" t="shared" si="73"/>
        <v>0</v>
      </c>
      <c r="AF125" s="168">
        <f ca="1" t="shared" si="284"/>
        <v>0</v>
      </c>
      <c r="AG125">
        <f ca="1" t="shared" si="294"/>
        <v>0.00022389710037829</v>
      </c>
      <c r="AH125">
        <f ca="1" t="shared" si="286"/>
        <v>1</v>
      </c>
      <c r="AI125">
        <f ca="1" t="shared" si="287"/>
        <v>1.00022389710038</v>
      </c>
      <c r="AJ125">
        <f ca="1" t="shared" si="288"/>
        <v>0</v>
      </c>
      <c r="AK125">
        <f ca="1" t="shared" si="304"/>
        <v>0</v>
      </c>
      <c r="AL125">
        <f ca="1" t="shared" si="256"/>
        <v>0</v>
      </c>
      <c r="AM125">
        <f ca="1" t="shared" si="305"/>
        <v>0</v>
      </c>
      <c r="AN125" s="168">
        <f ca="1" t="shared" si="257"/>
        <v>0</v>
      </c>
      <c r="AO125" s="168">
        <f ca="1" t="shared" si="258"/>
        <v>0</v>
      </c>
      <c r="AP125" s="172">
        <f ca="1" t="shared" si="291"/>
        <v>0</v>
      </c>
      <c r="AQ125" s="168">
        <f ca="1" t="shared" si="292"/>
        <v>0.00401583628616287</v>
      </c>
      <c r="AR125">
        <f t="shared" si="293"/>
        <v>1</v>
      </c>
    </row>
    <row r="126" spans="4:55">
      <c r="D126" t="s">
        <v>1825</v>
      </c>
      <c r="E126" s="161" t="s">
        <v>2857</v>
      </c>
      <c r="F126" t="s">
        <v>3160</v>
      </c>
      <c r="G126" t="s">
        <v>2750</v>
      </c>
      <c r="H126">
        <f ca="1">INDEX(技能数据库!$B$2:$I$100,MATCH(伤害与收益计算!$E126,技能数据库!$B$2:$B$100,0),MATCH(H$9,技能数据库!$B$2:$I$2,0))</f>
        <v>469999</v>
      </c>
      <c r="I126">
        <f ca="1">INDEX(技能数据库!$B$2:$I$100,MATCH(伤害与收益计算!$E126,技能数据库!$B$2:$B$100,0),MATCH(I$9,技能数据库!$B$2:$I$2,0))</f>
        <v>0</v>
      </c>
      <c r="J126">
        <f ca="1">INDEX(技能数据库!$B$2:$I$100,MATCH(伤害与收益计算!$E126,技能数据库!$B$2:$B$100,0),MATCH(J$9,技能数据库!$B$2:$I$2,0))</f>
        <v>0</v>
      </c>
      <c r="K126">
        <f ca="1">INDEX(技能数据库!$B$2:$I$100,MATCH(伤害与收益计算!$E126,技能数据库!$B$2:$B$100,0),MATCH(K$9,技能数据库!$B$2:$I$2,0))</f>
        <v>0</v>
      </c>
      <c r="L126">
        <f ca="1" t="shared" si="67"/>
        <v>105847</v>
      </c>
      <c r="M126">
        <f ca="1" t="shared" si="295"/>
        <v>19530.5</v>
      </c>
      <c r="N126">
        <f ca="1" t="shared" si="296"/>
        <v>92028</v>
      </c>
      <c r="O126">
        <f ca="1" t="shared" si="281"/>
        <v>469999</v>
      </c>
      <c r="P126">
        <f ca="1">IF(G126="恒定伤害",0,(IF(D126="轻剑",$AZ$2,$AZ$3)+IFERROR(INDEX(技能数据库!$T$2:$W$27,MATCH(E126,技能数据库!$T$2:$T$27,0),4),0)+COUNTIF(G126,"*造化2*")*154+COUNTIF(G126,"*造化1*")*102+COUNTIF(G126,"*碧归*")*307)/1024)</f>
        <v>0.176868146929785</v>
      </c>
      <c r="Q126">
        <f ca="1" t="shared" si="254"/>
        <v>0.0415122129107408</v>
      </c>
      <c r="R126">
        <f ca="1" t="shared" si="282"/>
        <v>0.21277697966198</v>
      </c>
      <c r="S126">
        <f ca="1" t="shared" si="297"/>
        <v>453510.028064302</v>
      </c>
      <c r="T126">
        <f t="shared" si="298"/>
        <v>0.8</v>
      </c>
      <c r="U126">
        <f ca="1" t="shared" si="255"/>
        <v>1.7995442148</v>
      </c>
      <c r="V126">
        <f ca="1" t="shared" si="299"/>
        <v>1015697.10033696</v>
      </c>
      <c r="W126">
        <f ca="1">IF(G126="恒定伤害",0,MIN(1,IF(COUNTIF(F126,"*内会*")&gt;0,内会,IF(D126="轻剑",$Y$2,$Y$3)+COUNTIF(G126,"*莺鸣*")*0.2+COUNTIF(G126,"*叠1*")*0.1+COUNTIF(G126,"*叠2*")*0.2+COUNTIF(G126,"*叠3*")*0.3)+IFERROR(INDEX(技能数据库!$T$2:$W$27,MATCH(E126,技能数据库!$T$2:$T$27,0),2),0)+IF((IF(D126="轻剑",$AO$2,$AO$3)+INT(COUNTIF(G126,"*大莺鸣*")*IF(D126="轻剑",$AM$2,$AM$3)*听晓无双率)/无双系数)&gt;0.9,特效裤子会心/会心系数,0)))</f>
        <v>0.112613819719478</v>
      </c>
      <c r="X126">
        <f ca="1">IF(G126="恒定伤害",0,IF(COUNTIF(F126,"*内会*")&gt;0,内会效,IF(D126="轻剑",$AB$2,$AB$3))+IFERROR(INDEX(技能数据库!$T$2:$W$27,MATCH(E126,技能数据库!$T$2:$T$27,0),3)/1024,0))+COUNTIF(G126,"*叠1*")*0.25+COUNTIF(G126,"*叠2*")*0.5+COUNTIF(G126,"*叠3*")*0.75</f>
        <v>1.93437818487951</v>
      </c>
      <c r="Y126">
        <f ca="1" t="shared" si="300"/>
        <v>1.10522389646183</v>
      </c>
      <c r="Z126">
        <f t="shared" si="283"/>
        <v>0.150390625</v>
      </c>
      <c r="AA126">
        <f ca="1" t="shared" si="301"/>
        <v>0.0205078125</v>
      </c>
      <c r="AB126">
        <f ca="1" t="shared" si="302"/>
        <v>1317880.84780788</v>
      </c>
      <c r="AC126">
        <f ca="1">技能数计算!AJ118</f>
        <v>0</v>
      </c>
      <c r="AD126" s="164">
        <f ca="1" t="shared" si="303"/>
        <v>0</v>
      </c>
      <c r="AE126" s="168">
        <f ca="1" t="shared" si="73"/>
        <v>0</v>
      </c>
      <c r="AF126" s="168">
        <f ca="1" t="shared" si="284"/>
        <v>0</v>
      </c>
      <c r="AG126">
        <f ca="1" t="shared" si="294"/>
        <v>0.00022389710037829</v>
      </c>
      <c r="AH126">
        <f ca="1" t="shared" si="286"/>
        <v>1</v>
      </c>
      <c r="AI126">
        <f ca="1" t="shared" si="287"/>
        <v>1.00022389710038</v>
      </c>
      <c r="AJ126">
        <f ca="1" t="shared" si="288"/>
        <v>0</v>
      </c>
      <c r="AK126">
        <f ca="1" t="shared" si="304"/>
        <v>0</v>
      </c>
      <c r="AL126">
        <f ca="1" t="shared" si="256"/>
        <v>0</v>
      </c>
      <c r="AM126">
        <f ca="1" t="shared" si="305"/>
        <v>0</v>
      </c>
      <c r="AN126" s="168">
        <f ca="1" t="shared" si="257"/>
        <v>0</v>
      </c>
      <c r="AO126" s="168">
        <f ca="1" t="shared" si="258"/>
        <v>0</v>
      </c>
      <c r="AP126" s="172">
        <f ca="1" t="shared" si="291"/>
        <v>0</v>
      </c>
      <c r="AQ126" s="168">
        <f ca="1" t="shared" si="292"/>
        <v>0.00401583628616287</v>
      </c>
      <c r="AR126">
        <f t="shared" si="293"/>
        <v>1</v>
      </c>
    </row>
    <row r="127" spans="4:55">
      <c r="D127" t="s">
        <v>1028</v>
      </c>
      <c r="E127" s="161" t="s">
        <v>2859</v>
      </c>
      <c r="F127" t="s">
        <v>3160</v>
      </c>
      <c r="G127" t="s">
        <v>2750</v>
      </c>
      <c r="H127">
        <f ca="1">INDEX(技能数据库!$B$2:$I$100,MATCH(伤害与收益计算!$E127,技能数据库!$B$2:$B$100,0),MATCH(H$9,技能数据库!$B$2:$I$2,0))</f>
        <v>1955936</v>
      </c>
      <c r="I127">
        <f ca="1">INDEX(技能数据库!$B$2:$I$100,MATCH(伤害与收益计算!$E127,技能数据库!$B$2:$B$100,0),MATCH(I$9,技能数据库!$B$2:$I$2,0))</f>
        <v>0</v>
      </c>
      <c r="J127">
        <f ca="1">INDEX(技能数据库!$B$2:$I$100,MATCH(伤害与收益计算!$E127,技能数据库!$B$2:$B$100,0),MATCH(J$9,技能数据库!$B$2:$I$2,0))</f>
        <v>0</v>
      </c>
      <c r="K127">
        <f ca="1">INDEX(技能数据库!$B$2:$I$100,MATCH(伤害与收益计算!$E127,技能数据库!$B$2:$B$100,0),MATCH(K$9,技能数据库!$B$2:$I$2,0))</f>
        <v>0</v>
      </c>
      <c r="L127">
        <f ca="1" t="shared" si="67"/>
        <v>105847</v>
      </c>
      <c r="M127">
        <f ca="1" t="shared" si="295"/>
        <v>12694.5</v>
      </c>
      <c r="N127">
        <f ca="1" t="shared" si="296"/>
        <v>92028</v>
      </c>
      <c r="O127">
        <f ca="1" t="shared" si="281"/>
        <v>1955936</v>
      </c>
      <c r="P127">
        <f ca="1">IF(G127="恒定伤害",0,(IF(D127="轻剑",$AZ$2,$AZ$3)+IFERROR(INDEX(技能数据库!$T$2:$W$27,MATCH(E127,技能数据库!$T$2:$T$27,0),4),0)+COUNTIF(G127,"*造化2*")*154+COUNTIF(G127,"*造化1*")*102+COUNTIF(G127,"*碧归*")*307)/1024)</f>
        <v>0.0772587719297852</v>
      </c>
      <c r="Q127">
        <f ca="1" t="shared" si="254"/>
        <v>0.0415122129107408</v>
      </c>
      <c r="R127">
        <f ca="1" t="shared" si="282"/>
        <v>0.21277697966198</v>
      </c>
      <c r="S127">
        <f ca="1" t="shared" si="297"/>
        <v>1727574.68578903</v>
      </c>
      <c r="T127">
        <f t="shared" si="298"/>
        <v>0.8</v>
      </c>
      <c r="U127">
        <f ca="1" t="shared" si="255"/>
        <v>1.7995442148</v>
      </c>
      <c r="V127">
        <f ca="1" t="shared" si="299"/>
        <v>3869137.37378848</v>
      </c>
      <c r="W127">
        <f ca="1">IF(G127="恒定伤害",0,MIN(1,IF(COUNTIF(F127,"*内会*")&gt;0,内会,IF(D127="轻剑",$Y$2,$Y$3)+COUNTIF(G127,"*莺鸣*")*0.2+COUNTIF(G127,"*叠1*")*0.1+COUNTIF(G127,"*叠2*")*0.2+COUNTIF(G127,"*叠3*")*0.3)+IFERROR(INDEX(技能数据库!$T$2:$W$27,MATCH(E127,技能数据库!$T$2:$T$27,0),2),0)+IF((IF(D127="轻剑",$AO$2,$AO$3)+INT(COUNTIF(G127,"*大莺鸣*")*IF(D127="轻剑",$AM$2,$AM$3)*听晓无双率)/无双系数)&gt;0.9,特效裤子会心/会心系数,0)))</f>
        <v>0.112613819719478</v>
      </c>
      <c r="X127">
        <f ca="1">IF(G127="恒定伤害",0,IF(COUNTIF(F127,"*内会*")&gt;0,内会效,IF(D127="轻剑",$AB$2,$AB$3))+IFERROR(INDEX(技能数据库!$T$2:$W$27,MATCH(E127,技能数据库!$T$2:$T$27,0),3)/1024,0))+COUNTIF(G127,"*叠1*")*0.25+COUNTIF(G127,"*叠2*")*0.5+COUNTIF(G127,"*叠3*")*0.75</f>
        <v>1.93437818487951</v>
      </c>
      <c r="Y127">
        <f ca="1" t="shared" si="300"/>
        <v>1.10522389646183</v>
      </c>
      <c r="Z127">
        <f t="shared" si="283"/>
        <v>0.150390625</v>
      </c>
      <c r="AA127">
        <f ca="1" t="shared" si="301"/>
        <v>0.0205078125</v>
      </c>
      <c r="AB127">
        <f ca="1" t="shared" si="302"/>
        <v>5020258.54042695</v>
      </c>
      <c r="AC127">
        <f ca="1">技能数计算!AJ119</f>
        <v>0</v>
      </c>
      <c r="AD127" s="164">
        <f ca="1" t="shared" si="303"/>
        <v>0</v>
      </c>
      <c r="AE127" s="168">
        <f ca="1" t="shared" si="73"/>
        <v>0</v>
      </c>
      <c r="AF127" s="168">
        <f ca="1" t="shared" si="284"/>
        <v>0</v>
      </c>
      <c r="AG127">
        <f ca="1" t="shared" si="294"/>
        <v>0.00022389710037829</v>
      </c>
      <c r="AH127">
        <f ca="1" t="shared" si="286"/>
        <v>1</v>
      </c>
      <c r="AI127">
        <f ca="1" t="shared" si="287"/>
        <v>1.00022389710038</v>
      </c>
      <c r="AJ127">
        <f ca="1" t="shared" si="288"/>
        <v>0</v>
      </c>
      <c r="AK127">
        <f ca="1" t="shared" si="304"/>
        <v>0</v>
      </c>
      <c r="AL127">
        <f ca="1" t="shared" si="256"/>
        <v>0</v>
      </c>
      <c r="AM127">
        <f ca="1" t="shared" si="305"/>
        <v>0</v>
      </c>
      <c r="AN127" s="168">
        <f ca="1" t="shared" si="257"/>
        <v>0</v>
      </c>
      <c r="AO127" s="168">
        <f ca="1" t="shared" si="258"/>
        <v>0</v>
      </c>
      <c r="AP127" s="172">
        <f ca="1" t="shared" si="291"/>
        <v>0</v>
      </c>
      <c r="AQ127" s="168">
        <f ca="1" t="shared" si="292"/>
        <v>0.00401583628616287</v>
      </c>
      <c r="AR127">
        <f t="shared" si="293"/>
        <v>1</v>
      </c>
    </row>
    <row r="128" spans="4:55">
      <c r="D128" t="s">
        <v>1028</v>
      </c>
      <c r="E128" s="161" t="s">
        <v>2859</v>
      </c>
      <c r="F128" t="s">
        <v>2503</v>
      </c>
      <c r="G128" t="s">
        <v>2750</v>
      </c>
      <c r="H128">
        <f ca="1">INDEX(技能数据库!$B$2:$I$100,MATCH(伤害与收益计算!$E128,技能数据库!$B$2:$B$100,0),MATCH(H$9,技能数据库!$B$2:$I$2,0))</f>
        <v>1955936</v>
      </c>
      <c r="I128">
        <f ca="1">INDEX(技能数据库!$B$2:$I$100,MATCH(伤害与收益计算!$E128,技能数据库!$B$2:$B$100,0),MATCH(I$9,技能数据库!$B$2:$I$2,0))</f>
        <v>0</v>
      </c>
      <c r="J128">
        <f ca="1">INDEX(技能数据库!$B$2:$I$100,MATCH(伤害与收益计算!$E128,技能数据库!$B$2:$B$100,0),MATCH(J$9,技能数据库!$B$2:$I$2,0))</f>
        <v>0</v>
      </c>
      <c r="K128">
        <f ca="1">INDEX(技能数据库!$B$2:$I$100,MATCH(伤害与收益计算!$E128,技能数据库!$B$2:$B$100,0),MATCH(K$9,技能数据库!$B$2:$I$2,0))</f>
        <v>0</v>
      </c>
      <c r="L128">
        <f ca="1" t="shared" si="67"/>
        <v>105847</v>
      </c>
      <c r="M128">
        <f ca="1" t="shared" si="295"/>
        <v>12694.5</v>
      </c>
      <c r="N128">
        <f ca="1" t="shared" si="296"/>
        <v>92028</v>
      </c>
      <c r="O128">
        <f ca="1" t="shared" si="281"/>
        <v>1955936</v>
      </c>
      <c r="P128">
        <f ca="1">IF(G128="恒定伤害",0,(IF(D128="轻剑",$AZ$2,$AZ$3)+IFERROR(INDEX(技能数据库!$T$2:$W$27,MATCH(E128,技能数据库!$T$2:$T$27,0),4),0)+COUNTIF(G128,"*造化2*")*154+COUNTIF(G128,"*造化1*")*102+COUNTIF(G128,"*碧归*")*307)/1024)</f>
        <v>0.0772587719297852</v>
      </c>
      <c r="Q128">
        <f ca="1" t="shared" si="254"/>
        <v>0.0415122129107408</v>
      </c>
      <c r="R128">
        <f ca="1" t="shared" si="282"/>
        <v>0.21277697966198</v>
      </c>
      <c r="S128">
        <f ca="1" t="shared" si="297"/>
        <v>1727574.68578903</v>
      </c>
      <c r="T128">
        <f t="shared" si="298"/>
        <v>0.8</v>
      </c>
      <c r="U128">
        <f ca="1" t="shared" si="255"/>
        <v>1.7995442148</v>
      </c>
      <c r="V128">
        <f ca="1" t="shared" si="299"/>
        <v>3869137.37378848</v>
      </c>
      <c r="W128">
        <f ca="1">IF(G128="恒定伤害",0,MIN(1,IF(COUNTIF(F128,"*内会*")&gt;0,内会,IF(D128="轻剑",$Y$2,$Y$3)+COUNTIF(G128,"*莺鸣*")*0.2+COUNTIF(G128,"*叠1*")*0.1+COUNTIF(G128,"*叠2*")*0.2+COUNTIF(G128,"*叠3*")*0.3)+IFERROR(INDEX(技能数据库!$T$2:$W$27,MATCH(E128,技能数据库!$T$2:$T$27,0),2),0)+IF((IF(D128="轻剑",$AO$2,$AO$3)+INT(COUNTIF(G128,"*大莺鸣*")*IF(D128="轻剑",$AM$2,$AM$3)*听晓无双率)/无双系数)&gt;0.9,特效裤子会心/会心系数,0)))</f>
        <v>0.7343</v>
      </c>
      <c r="X128">
        <f ca="1">IF(G128="恒定伤害",0,IF(COUNTIF(F128,"*内会*")&gt;0,内会效,IF(D128="轻剑",$AB$2,$AB$3))+IFERROR(INDEX(技能数据库!$T$2:$W$27,MATCH(E128,技能数据库!$T$2:$T$27,0),3)/1024,0))+COUNTIF(G128,"*叠1*")*0.25+COUNTIF(G128,"*叠2*")*0.5+COUNTIF(G128,"*叠3*")*0.75</f>
        <v>2.3156473116</v>
      </c>
      <c r="Y128">
        <f ca="1" t="shared" si="300"/>
        <v>1.96607982090788</v>
      </c>
      <c r="Z128">
        <f t="shared" si="283"/>
        <v>0.150390625</v>
      </c>
      <c r="AA128">
        <f ca="1" t="shared" si="301"/>
        <v>0.0205078125</v>
      </c>
      <c r="AB128">
        <f ca="1" t="shared" si="302"/>
        <v>8930524.43371116</v>
      </c>
      <c r="AC128">
        <f ca="1">技能数计算!AJ120</f>
        <v>0</v>
      </c>
      <c r="AD128" s="164">
        <f ca="1" t="shared" si="303"/>
        <v>0</v>
      </c>
      <c r="AE128" s="168">
        <f ca="1" t="shared" si="73"/>
        <v>0</v>
      </c>
      <c r="AF128" s="168">
        <f ca="1" t="shared" si="284"/>
        <v>0</v>
      </c>
      <c r="AG128">
        <f ca="1" t="shared" si="294"/>
        <v>0.00022389710037829</v>
      </c>
      <c r="AH128">
        <f ca="1" t="shared" si="286"/>
        <v>1</v>
      </c>
      <c r="AI128">
        <f ca="1" t="shared" si="287"/>
        <v>1.00022389710038</v>
      </c>
      <c r="AJ128">
        <f ca="1" t="shared" si="288"/>
        <v>0</v>
      </c>
      <c r="AK128">
        <f ca="1" t="shared" si="304"/>
        <v>0</v>
      </c>
      <c r="AL128">
        <f ca="1" t="shared" si="256"/>
        <v>0</v>
      </c>
      <c r="AM128">
        <f ca="1" t="shared" si="305"/>
        <v>0</v>
      </c>
      <c r="AN128" s="168">
        <f ca="1" t="shared" si="257"/>
        <v>0.00750104430192855</v>
      </c>
      <c r="AO128" s="168">
        <f ca="1" t="shared" si="258"/>
        <v>0</v>
      </c>
      <c r="AP128" s="172">
        <f ca="1" t="shared" si="291"/>
        <v>0</v>
      </c>
      <c r="AQ128" s="168">
        <f ca="1" t="shared" si="292"/>
        <v>0.00401583628616287</v>
      </c>
      <c r="AR128">
        <f t="shared" si="293"/>
        <v>1</v>
      </c>
    </row>
    <row r="129" spans="4:44">
      <c r="D129" t="s">
        <v>1825</v>
      </c>
      <c r="E129" s="161" t="s">
        <v>2859</v>
      </c>
      <c r="F129" t="s">
        <v>3160</v>
      </c>
      <c r="G129" t="s">
        <v>3044</v>
      </c>
      <c r="H129">
        <f ca="1">INDEX(技能数据库!$B$2:$I$100,MATCH(伤害与收益计算!$E129,技能数据库!$B$2:$B$100,0),MATCH(H$9,技能数据库!$B$2:$I$2,0))</f>
        <v>1955936</v>
      </c>
      <c r="I129">
        <f ca="1">INDEX(技能数据库!$B$2:$I$100,MATCH(伤害与收益计算!$E129,技能数据库!$B$2:$B$100,0),MATCH(I$9,技能数据库!$B$2:$I$2,0))</f>
        <v>0</v>
      </c>
      <c r="J129">
        <f ca="1">INDEX(技能数据库!$B$2:$I$100,MATCH(伤害与收益计算!$E129,技能数据库!$B$2:$B$100,0),MATCH(J$9,技能数据库!$B$2:$I$2,0))</f>
        <v>0</v>
      </c>
      <c r="K129">
        <f ca="1">INDEX(技能数据库!$B$2:$I$100,MATCH(伤害与收益计算!$E129,技能数据库!$B$2:$B$100,0),MATCH(K$9,技能数据库!$B$2:$I$2,0))</f>
        <v>0</v>
      </c>
      <c r="L129">
        <f ca="1" t="shared" si="67"/>
        <v>105847</v>
      </c>
      <c r="M129">
        <f ca="1" t="shared" si="295"/>
        <v>19530.5</v>
      </c>
      <c r="N129">
        <f ca="1" t="shared" si="296"/>
        <v>92028</v>
      </c>
      <c r="O129">
        <f ca="1" t="shared" si="281"/>
        <v>1955936</v>
      </c>
      <c r="P129">
        <f ca="1">IF(G129="恒定伤害",0,(IF(D129="轻剑",$AZ$2,$AZ$3)+IFERROR(INDEX(技能数据库!$T$2:$W$27,MATCH(E129,技能数据库!$T$2:$T$27,0),4),0)+COUNTIF(G129,"*造化2*")*154+COUNTIF(G129,"*造化1*")*102+COUNTIF(G129,"*碧归*")*307)/1024)</f>
        <v>0.176868146929785</v>
      </c>
      <c r="Q129">
        <f ca="1" t="shared" si="254"/>
        <v>0.0415122129107408</v>
      </c>
      <c r="R129">
        <f ca="1" t="shared" si="282"/>
        <v>0.21277697966198</v>
      </c>
      <c r="S129">
        <f ca="1" t="shared" si="297"/>
        <v>1887315.90971891</v>
      </c>
      <c r="T129">
        <f t="shared" si="298"/>
        <v>0.8</v>
      </c>
      <c r="U129">
        <f ca="1" t="shared" si="255"/>
        <v>2.68954760480339</v>
      </c>
      <c r="V129">
        <f ca="1" t="shared" si="299"/>
        <v>5570673.5153686</v>
      </c>
      <c r="W129">
        <f ca="1">IF(G129="恒定伤害",0,MIN(1,IF(COUNTIF(F129,"*内会*")&gt;0,内会,IF(D129="轻剑",$Y$2,$Y$3)+COUNTIF(G129,"*莺鸣*")*0.2+COUNTIF(G129,"*叠1*")*0.1+COUNTIF(G129,"*叠2*")*0.2+COUNTIF(G129,"*叠3*")*0.3)+IFERROR(INDEX(技能数据库!$T$2:$W$27,MATCH(E129,技能数据库!$T$2:$T$27,0),2),0)+IF((IF(D129="轻剑",$AO$2,$AO$3)+INT(COUNTIF(G129,"*大莺鸣*")*IF(D129="轻剑",$AM$2,$AM$3)*听晓无双率)/无双系数)&gt;0.9,特效裤子会心/会心系数,0)))</f>
        <v>0.112613819719478</v>
      </c>
      <c r="X129">
        <f ca="1">IF(G129="恒定伤害",0,IF(COUNTIF(F129,"*内会*")&gt;0,内会效,IF(D129="轻剑",$AB$2,$AB$3))+IFERROR(INDEX(技能数据库!$T$2:$W$27,MATCH(E129,技能数据库!$T$2:$T$27,0),3)/1024,0))+COUNTIF(G129,"*叠1*")*0.25+COUNTIF(G129,"*叠2*")*0.5+COUNTIF(G129,"*叠3*")*0.75</f>
        <v>1.93437818487951</v>
      </c>
      <c r="Y129">
        <f ca="1" t="shared" si="300"/>
        <v>1.10522389646183</v>
      </c>
      <c r="Z129">
        <f t="shared" si="283"/>
        <v>0.150390625</v>
      </c>
      <c r="AA129">
        <f ca="1" t="shared" si="301"/>
        <v>0.0205078125</v>
      </c>
      <c r="AB129">
        <f ca="1" t="shared" si="302"/>
        <v>7228024.90315203</v>
      </c>
      <c r="AC129">
        <f ca="1">技能数计算!AJ121</f>
        <v>0</v>
      </c>
      <c r="AD129" s="164">
        <f ca="1" t="shared" si="303"/>
        <v>0</v>
      </c>
      <c r="AE129" s="168">
        <f ca="1" t="shared" si="73"/>
        <v>0</v>
      </c>
      <c r="AF129" s="168">
        <f ca="1" t="shared" si="284"/>
        <v>0</v>
      </c>
      <c r="AG129">
        <f ca="1" t="shared" si="294"/>
        <v>0.00022389710037829</v>
      </c>
      <c r="AH129">
        <f ca="1" t="shared" si="286"/>
        <v>1</v>
      </c>
      <c r="AI129">
        <f ca="1" t="shared" si="287"/>
        <v>1.00022389710038</v>
      </c>
      <c r="AJ129">
        <f ca="1" t="shared" si="288"/>
        <v>0</v>
      </c>
      <c r="AK129">
        <f ca="1" t="shared" si="304"/>
        <v>0</v>
      </c>
      <c r="AL129">
        <f ca="1" t="shared" si="256"/>
        <v>0</v>
      </c>
      <c r="AM129">
        <f ca="1" t="shared" si="305"/>
        <v>0</v>
      </c>
      <c r="AN129" s="168">
        <f ca="1" t="shared" si="257"/>
        <v>0</v>
      </c>
      <c r="AO129" s="168">
        <f ca="1" t="shared" si="258"/>
        <v>0</v>
      </c>
      <c r="AP129" s="172">
        <f ca="1" t="shared" si="291"/>
        <v>0</v>
      </c>
      <c r="AQ129" s="168">
        <f ca="1" t="shared" si="292"/>
        <v>0.00393951131463699</v>
      </c>
      <c r="AR129">
        <f t="shared" si="293"/>
        <v>1</v>
      </c>
    </row>
    <row r="130" spans="4:44">
      <c r="D130" t="s">
        <v>1825</v>
      </c>
      <c r="E130" s="161" t="s">
        <v>2859</v>
      </c>
      <c r="F130" t="s">
        <v>2503</v>
      </c>
      <c r="G130" t="s">
        <v>3044</v>
      </c>
      <c r="H130">
        <f ca="1">INDEX(技能数据库!$B$2:$I$100,MATCH(伤害与收益计算!$E130,技能数据库!$B$2:$B$100,0),MATCH(H$9,技能数据库!$B$2:$I$2,0))</f>
        <v>1955936</v>
      </c>
      <c r="I130">
        <f ca="1">INDEX(技能数据库!$B$2:$I$100,MATCH(伤害与收益计算!$E130,技能数据库!$B$2:$B$100,0),MATCH(I$9,技能数据库!$B$2:$I$2,0))</f>
        <v>0</v>
      </c>
      <c r="J130">
        <f ca="1">INDEX(技能数据库!$B$2:$I$100,MATCH(伤害与收益计算!$E130,技能数据库!$B$2:$B$100,0),MATCH(J$9,技能数据库!$B$2:$I$2,0))</f>
        <v>0</v>
      </c>
      <c r="K130">
        <f ca="1">INDEX(技能数据库!$B$2:$I$100,MATCH(伤害与收益计算!$E130,技能数据库!$B$2:$B$100,0),MATCH(K$9,技能数据库!$B$2:$I$2,0))</f>
        <v>0</v>
      </c>
      <c r="L130">
        <f ca="1" t="shared" si="67"/>
        <v>105847</v>
      </c>
      <c r="M130">
        <f ca="1" t="shared" si="295"/>
        <v>19530.5</v>
      </c>
      <c r="N130">
        <f ca="1" t="shared" si="296"/>
        <v>92028</v>
      </c>
      <c r="O130">
        <f ca="1" t="shared" si="281"/>
        <v>1955936</v>
      </c>
      <c r="P130">
        <f ca="1">IF(G130="恒定伤害",0,(IF(D130="轻剑",$AZ$2,$AZ$3)+IFERROR(INDEX(技能数据库!$T$2:$W$27,MATCH(E130,技能数据库!$T$2:$T$27,0),4),0)+COUNTIF(G130,"*造化2*")*154+COUNTIF(G130,"*造化1*")*102+COUNTIF(G130,"*碧归*")*307)/1024)</f>
        <v>0.176868146929785</v>
      </c>
      <c r="Q130">
        <f ca="1" t="shared" si="254"/>
        <v>0.0415122129107408</v>
      </c>
      <c r="R130">
        <f ca="1" t="shared" si="282"/>
        <v>0.21277697966198</v>
      </c>
      <c r="S130">
        <f ca="1" t="shared" si="297"/>
        <v>1887315.90971891</v>
      </c>
      <c r="T130">
        <f t="shared" si="298"/>
        <v>0.8</v>
      </c>
      <c r="U130">
        <f ca="1" t="shared" si="255"/>
        <v>2.68954760480339</v>
      </c>
      <c r="V130">
        <f ca="1" t="shared" si="299"/>
        <v>5570673.5153686</v>
      </c>
      <c r="W130">
        <f ca="1">IF(G130="恒定伤害",0,MIN(1,IF(COUNTIF(F130,"*内会*")&gt;0,内会,IF(D130="轻剑",$Y$2,$Y$3)+COUNTIF(G130,"*莺鸣*")*0.2+COUNTIF(G130,"*叠1*")*0.1+COUNTIF(G130,"*叠2*")*0.2+COUNTIF(G130,"*叠3*")*0.3)+IFERROR(INDEX(技能数据库!$T$2:$W$27,MATCH(E130,技能数据库!$T$2:$T$27,0),2),0)+IF((IF(D130="轻剑",$AO$2,$AO$3)+INT(COUNTIF(G130,"*大莺鸣*")*IF(D130="轻剑",$AM$2,$AM$3)*听晓无双率)/无双系数)&gt;0.9,特效裤子会心/会心系数,0)))</f>
        <v>0.9343</v>
      </c>
      <c r="X130">
        <f ca="1">IF(G130="恒定伤害",0,IF(COUNTIF(F130,"*内会*")&gt;0,内会效,IF(D130="轻剑",$AB$2,$AB$3))+IFERROR(INDEX(技能数据库!$T$2:$W$27,MATCH(E130,技能数据库!$T$2:$T$27,0),3)/1024,0))+COUNTIF(G130,"*叠1*")*0.25+COUNTIF(G130,"*叠2*")*0.5+COUNTIF(G130,"*叠3*")*0.75</f>
        <v>2.3156473116</v>
      </c>
      <c r="Y130">
        <f ca="1" t="shared" si="300"/>
        <v>2.22920928322788</v>
      </c>
      <c r="Z130">
        <f t="shared" si="283"/>
        <v>0.150390625</v>
      </c>
      <c r="AA130">
        <f ca="1" t="shared" si="301"/>
        <v>0.0205078125</v>
      </c>
      <c r="AB130">
        <f ca="1" t="shared" si="302"/>
        <v>14578747.5868834</v>
      </c>
      <c r="AC130">
        <f ca="1">技能数计算!AJ122</f>
        <v>0</v>
      </c>
      <c r="AD130" s="164">
        <f ca="1" t="shared" si="303"/>
        <v>0</v>
      </c>
      <c r="AE130" s="168">
        <f ca="1" t="shared" si="73"/>
        <v>0</v>
      </c>
      <c r="AF130" s="168">
        <f ca="1" t="shared" si="284"/>
        <v>0</v>
      </c>
      <c r="AG130">
        <f ca="1" t="shared" si="294"/>
        <v>0.00022389710037829</v>
      </c>
      <c r="AH130">
        <f ca="1" t="shared" si="286"/>
        <v>1</v>
      </c>
      <c r="AI130">
        <f ca="1" t="shared" si="287"/>
        <v>1.00022389710038</v>
      </c>
      <c r="AJ130">
        <f ca="1" t="shared" si="288"/>
        <v>0</v>
      </c>
      <c r="AK130">
        <f ca="1" t="shared" si="304"/>
        <v>0</v>
      </c>
      <c r="AL130">
        <f ca="1" t="shared" si="256"/>
        <v>0</v>
      </c>
      <c r="AM130">
        <f ca="1" t="shared" si="305"/>
        <v>0</v>
      </c>
      <c r="AN130" s="168">
        <f ca="1" t="shared" si="257"/>
        <v>0.00841753350912167</v>
      </c>
      <c r="AO130" s="168">
        <f ca="1" t="shared" si="258"/>
        <v>0</v>
      </c>
      <c r="AP130" s="172">
        <f ca="1" t="shared" si="291"/>
        <v>0</v>
      </c>
      <c r="AQ130" s="168">
        <f ca="1" t="shared" si="292"/>
        <v>0.00393951131463699</v>
      </c>
      <c r="AR130">
        <f t="shared" si="293"/>
        <v>1</v>
      </c>
    </row>
    <row r="131" spans="4:44">
      <c r="D131" t="s">
        <v>1028</v>
      </c>
      <c r="E131" s="161" t="s">
        <v>2861</v>
      </c>
      <c r="F131" t="s">
        <v>3160</v>
      </c>
      <c r="G131" t="s">
        <v>2750</v>
      </c>
      <c r="H131">
        <f ca="1">INDEX(技能数据库!$B$2:$I$100,MATCH(伤害与收益计算!$E131,技能数据库!$B$2:$B$100,0),MATCH(H$9,技能数据库!$B$2:$I$2,0))</f>
        <v>1344706</v>
      </c>
      <c r="I131">
        <f ca="1">INDEX(技能数据库!$B$2:$I$100,MATCH(伤害与收益计算!$E131,技能数据库!$B$2:$B$100,0),MATCH(I$9,技能数据库!$B$2:$I$2,0))</f>
        <v>0</v>
      </c>
      <c r="J131">
        <f ca="1">INDEX(技能数据库!$B$2:$I$100,MATCH(伤害与收益计算!$E131,技能数据库!$B$2:$B$100,0),MATCH(J$9,技能数据库!$B$2:$I$2,0))</f>
        <v>0</v>
      </c>
      <c r="K131">
        <f ca="1">INDEX(技能数据库!$B$2:$I$100,MATCH(伤害与收益计算!$E131,技能数据库!$B$2:$B$100,0),MATCH(K$9,技能数据库!$B$2:$I$2,0))</f>
        <v>0</v>
      </c>
      <c r="L131">
        <f ca="1" t="shared" si="67"/>
        <v>105847</v>
      </c>
      <c r="M131">
        <f ca="1" t="shared" si="295"/>
        <v>12694.5</v>
      </c>
      <c r="N131">
        <f ca="1" t="shared" si="296"/>
        <v>92028</v>
      </c>
      <c r="O131">
        <f ca="1" t="shared" si="281"/>
        <v>1344706</v>
      </c>
      <c r="P131">
        <f ca="1">IF(G131="恒定伤害",0,(IF(D131="轻剑",$AZ$2,$AZ$3)+IFERROR(INDEX(技能数据库!$T$2:$W$27,MATCH(E131,技能数据库!$T$2:$T$27,0),4),0)+COUNTIF(G131,"*造化2*")*154+COUNTIF(G131,"*造化1*")*102+COUNTIF(G131,"*碧归*")*307)/1024)</f>
        <v>0.0772587719297852</v>
      </c>
      <c r="Q131">
        <f ca="1" t="shared" si="254"/>
        <v>0.0415122129107408</v>
      </c>
      <c r="R131">
        <f ca="1" t="shared" si="282"/>
        <v>0.21277697966198</v>
      </c>
      <c r="S131">
        <f ca="1" t="shared" si="297"/>
        <v>1187707.59647996</v>
      </c>
      <c r="T131">
        <f t="shared" si="298"/>
        <v>0.8</v>
      </c>
      <c r="U131">
        <f ca="1" t="shared" si="255"/>
        <v>1.7995442148</v>
      </c>
      <c r="V131">
        <f ca="1" t="shared" si="299"/>
        <v>2660031.94447958</v>
      </c>
      <c r="W131">
        <f ca="1">IF(G131="恒定伤害",0,MIN(1,IF(COUNTIF(F131,"*内会*")&gt;0,内会,IF(D131="轻剑",$Y$2,$Y$3)+COUNTIF(G131,"*莺鸣*")*0.2+COUNTIF(G131,"*叠1*")*0.1+COUNTIF(G131,"*叠2*")*0.2+COUNTIF(G131,"*叠3*")*0.3)+IFERROR(INDEX(技能数据库!$T$2:$W$27,MATCH(E131,技能数据库!$T$2:$T$27,0),2),0)+IF((IF(D131="轻剑",$AO$2,$AO$3)+INT(COUNTIF(G131,"*大莺鸣*")*IF(D131="轻剑",$AM$2,$AM$3)*听晓无双率)/无双系数)&gt;0.9,特效裤子会心/会心系数,0)))</f>
        <v>0.112613819719478</v>
      </c>
      <c r="X131">
        <f ca="1">IF(G131="恒定伤害",0,IF(COUNTIF(F131,"*内会*")&gt;0,内会效,IF(D131="轻剑",$AB$2,$AB$3))+IFERROR(INDEX(技能数据库!$T$2:$W$27,MATCH(E131,技能数据库!$T$2:$T$27,0),3)/1024,0))+COUNTIF(G131,"*叠1*")*0.25+COUNTIF(G131,"*叠2*")*0.5+COUNTIF(G131,"*叠3*")*0.75</f>
        <v>1.93437818487951</v>
      </c>
      <c r="Y131">
        <f ca="1" t="shared" si="300"/>
        <v>1.10522389646183</v>
      </c>
      <c r="Z131">
        <f t="shared" si="283"/>
        <v>0.150390625</v>
      </c>
      <c r="AA131">
        <f ca="1" t="shared" si="301"/>
        <v>0.0205078125</v>
      </c>
      <c r="AB131">
        <f ca="1" t="shared" si="302"/>
        <v>3451427.74654353</v>
      </c>
      <c r="AC131">
        <f ca="1">技能数计算!AJ123</f>
        <v>0</v>
      </c>
      <c r="AD131" s="164">
        <f ca="1" t="shared" si="303"/>
        <v>0</v>
      </c>
      <c r="AE131" s="168">
        <f ca="1" t="shared" si="73"/>
        <v>0</v>
      </c>
      <c r="AF131" s="168">
        <f ca="1" t="shared" si="284"/>
        <v>0</v>
      </c>
      <c r="AG131">
        <f ca="1" t="shared" si="294"/>
        <v>0.00022389710037829</v>
      </c>
      <c r="AH131">
        <f ca="1" t="shared" si="286"/>
        <v>1</v>
      </c>
      <c r="AI131">
        <f ca="1" t="shared" si="287"/>
        <v>1.00022389710038</v>
      </c>
      <c r="AJ131">
        <f ca="1" t="shared" si="288"/>
        <v>0</v>
      </c>
      <c r="AK131">
        <f ca="1" t="shared" si="304"/>
        <v>0</v>
      </c>
      <c r="AL131">
        <f ca="1" t="shared" si="256"/>
        <v>0</v>
      </c>
      <c r="AM131">
        <f ca="1" t="shared" si="305"/>
        <v>0</v>
      </c>
      <c r="AN131" s="168">
        <f ca="1" t="shared" si="257"/>
        <v>0</v>
      </c>
      <c r="AO131" s="168">
        <f ca="1" t="shared" si="258"/>
        <v>0</v>
      </c>
      <c r="AP131" s="172">
        <f ca="1" t="shared" si="291"/>
        <v>0</v>
      </c>
      <c r="AQ131" s="168">
        <f ca="1" t="shared" si="292"/>
        <v>0.00401583628616287</v>
      </c>
      <c r="AR131">
        <f t="shared" si="293"/>
        <v>1</v>
      </c>
    </row>
    <row r="132" spans="4:44">
      <c r="D132" t="s">
        <v>1825</v>
      </c>
      <c r="E132" s="161" t="s">
        <v>2861</v>
      </c>
      <c r="F132" t="s">
        <v>3160</v>
      </c>
      <c r="G132" t="s">
        <v>3044</v>
      </c>
      <c r="H132">
        <f ca="1">INDEX(技能数据库!$B$2:$I$100,MATCH(伤害与收益计算!$E132,技能数据库!$B$2:$B$100,0),MATCH(H$9,技能数据库!$B$2:$I$2,0))</f>
        <v>1344706</v>
      </c>
      <c r="I132">
        <f ca="1">INDEX(技能数据库!$B$2:$I$100,MATCH(伤害与收益计算!$E132,技能数据库!$B$2:$B$100,0),MATCH(I$9,技能数据库!$B$2:$I$2,0))</f>
        <v>0</v>
      </c>
      <c r="J132">
        <f ca="1">INDEX(技能数据库!$B$2:$I$100,MATCH(伤害与收益计算!$E132,技能数据库!$B$2:$B$100,0),MATCH(J$9,技能数据库!$B$2:$I$2,0))</f>
        <v>0</v>
      </c>
      <c r="K132">
        <f ca="1">INDEX(技能数据库!$B$2:$I$100,MATCH(伤害与收益计算!$E132,技能数据库!$B$2:$B$100,0),MATCH(K$9,技能数据库!$B$2:$I$2,0))</f>
        <v>0</v>
      </c>
      <c r="L132">
        <f ca="1" t="shared" si="67"/>
        <v>105847</v>
      </c>
      <c r="M132">
        <f ca="1" t="shared" si="295"/>
        <v>19530.5</v>
      </c>
      <c r="N132">
        <f ca="1" t="shared" si="296"/>
        <v>92028</v>
      </c>
      <c r="O132">
        <f ca="1" t="shared" si="281"/>
        <v>1344706</v>
      </c>
      <c r="P132">
        <f ca="1">IF(G132="恒定伤害",0,(IF(D132="轻剑",$AZ$2,$AZ$3)+IFERROR(INDEX(技能数据库!$T$2:$W$27,MATCH(E132,技能数据库!$T$2:$T$27,0),4),0)+COUNTIF(G132,"*造化2*")*154+COUNTIF(G132,"*造化1*")*102+COUNTIF(G132,"*碧归*")*307)/1024)</f>
        <v>0.176868146929785</v>
      </c>
      <c r="Q132">
        <f ca="1" t="shared" si="254"/>
        <v>0.0415122129107408</v>
      </c>
      <c r="R132">
        <f ca="1" t="shared" si="282"/>
        <v>0.21277697966198</v>
      </c>
      <c r="S132">
        <f ca="1" t="shared" si="297"/>
        <v>1297529.68793175</v>
      </c>
      <c r="T132">
        <f t="shared" si="298"/>
        <v>0.8</v>
      </c>
      <c r="U132">
        <f ca="1" t="shared" si="255"/>
        <v>2.68954760480339</v>
      </c>
      <c r="V132">
        <f ca="1" t="shared" si="299"/>
        <v>3829838.04181591</v>
      </c>
      <c r="W132">
        <f ca="1">IF(G132="恒定伤害",0,MIN(1,IF(COUNTIF(F132,"*内会*")&gt;0,内会,IF(D132="轻剑",$Y$2,$Y$3)+COUNTIF(G132,"*莺鸣*")*0.2+COUNTIF(G132,"*叠1*")*0.1+COUNTIF(G132,"*叠2*")*0.2+COUNTIF(G132,"*叠3*")*0.3)+IFERROR(INDEX(技能数据库!$T$2:$W$27,MATCH(E132,技能数据库!$T$2:$T$27,0),2),0)+IF((IF(D132="轻剑",$AO$2,$AO$3)+INT(COUNTIF(G132,"*大莺鸣*")*IF(D132="轻剑",$AM$2,$AM$3)*听晓无双率)/无双系数)&gt;0.9,特效裤子会心/会心系数,0)))</f>
        <v>0.112613819719478</v>
      </c>
      <c r="X132">
        <f ca="1">IF(G132="恒定伤害",0,IF(COUNTIF(F132,"*内会*")&gt;0,内会效,IF(D132="轻剑",$AB$2,$AB$3))+IFERROR(INDEX(技能数据库!$T$2:$W$27,MATCH(E132,技能数据库!$T$2:$T$27,0),3)/1024,0))+COUNTIF(G132,"*叠1*")*0.25+COUNTIF(G132,"*叠2*")*0.5+COUNTIF(G132,"*叠3*")*0.75</f>
        <v>1.93437818487951</v>
      </c>
      <c r="Y132">
        <f ca="1" t="shared" si="300"/>
        <v>1.10522389646183</v>
      </c>
      <c r="Z132">
        <f t="shared" si="283"/>
        <v>0.150390625</v>
      </c>
      <c r="AA132">
        <f ca="1" t="shared" si="301"/>
        <v>0.0205078125</v>
      </c>
      <c r="AB132">
        <f ca="1" t="shared" si="302"/>
        <v>4969267.12091702</v>
      </c>
      <c r="AC132">
        <f ca="1">技能数计算!AJ124</f>
        <v>0</v>
      </c>
      <c r="AD132" s="164">
        <f ca="1" t="shared" si="303"/>
        <v>0</v>
      </c>
      <c r="AE132" s="168">
        <f ca="1" t="shared" si="73"/>
        <v>0</v>
      </c>
      <c r="AF132" s="168">
        <f ca="1" t="shared" si="284"/>
        <v>0</v>
      </c>
      <c r="AG132">
        <f ca="1" t="shared" si="294"/>
        <v>0.00022389710037829</v>
      </c>
      <c r="AH132">
        <f ca="1" t="shared" si="286"/>
        <v>1</v>
      </c>
      <c r="AI132">
        <f ca="1" t="shared" si="287"/>
        <v>1.00022389710038</v>
      </c>
      <c r="AJ132">
        <f ca="1" t="shared" si="288"/>
        <v>0</v>
      </c>
      <c r="AK132">
        <f ca="1" t="shared" si="304"/>
        <v>0</v>
      </c>
      <c r="AL132">
        <f ca="1" t="shared" si="256"/>
        <v>0</v>
      </c>
      <c r="AM132">
        <f ca="1" t="shared" si="305"/>
        <v>0</v>
      </c>
      <c r="AN132" s="168">
        <f ca="1" t="shared" si="257"/>
        <v>0</v>
      </c>
      <c r="AO132" s="168">
        <f ca="1" t="shared" si="258"/>
        <v>0</v>
      </c>
      <c r="AP132" s="172">
        <f ca="1" t="shared" si="291"/>
        <v>0</v>
      </c>
      <c r="AQ132" s="168">
        <f ca="1" t="shared" si="292"/>
        <v>0.00393951131463699</v>
      </c>
      <c r="AR132">
        <f t="shared" si="293"/>
        <v>1</v>
      </c>
    </row>
    <row r="133" spans="4:44">
      <c r="D133" t="s">
        <v>1825</v>
      </c>
      <c r="E133" s="161" t="s">
        <v>2869</v>
      </c>
      <c r="G133" t="s">
        <v>3044</v>
      </c>
      <c r="H133">
        <f ca="1">INDEX(技能数据库!$B$2:$I$100,MATCH(伤害与收益计算!$E133,技能数据库!$B$2:$B$100,0),MATCH(H$9,技能数据库!$B$2:$I$2,0))</f>
        <v>1544889</v>
      </c>
      <c r="I133">
        <f ca="1">INDEX(技能数据库!$B$2:$I$100,MATCH(伤害与收益计算!$E133,技能数据库!$B$2:$B$100,0),MATCH(I$9,技能数据库!$B$2:$I$2,0))</f>
        <v>0</v>
      </c>
      <c r="J133">
        <f ca="1">INDEX(技能数据库!$B$2:$I$100,MATCH(伤害与收益计算!$E133,技能数据库!$B$2:$B$100,0),MATCH(J$9,技能数据库!$B$2:$I$2,0))</f>
        <v>0</v>
      </c>
      <c r="K133">
        <f ca="1">INDEX(技能数据库!$B$2:$I$100,MATCH(伤害与收益计算!$E133,技能数据库!$B$2:$B$100,0),MATCH(K$9,技能数据库!$B$2:$I$2,0))</f>
        <v>0</v>
      </c>
      <c r="L133">
        <f ca="1" t="shared" si="67"/>
        <v>105847</v>
      </c>
      <c r="M133">
        <f ca="1" t="shared" si="295"/>
        <v>19530.5</v>
      </c>
      <c r="N133">
        <f ca="1" t="shared" si="296"/>
        <v>92028</v>
      </c>
      <c r="O133">
        <f ca="1" t="shared" ref="O133:O168" si="306">H133+I133*L133+J133*M133+IF(K133&gt;0,MAX(1,K133*N133*破招全局系数),0)</f>
        <v>1544889</v>
      </c>
      <c r="P133">
        <f ca="1">IF(G133="恒定伤害",0,(IF(D133="轻剑",$AZ$2,$AZ$3)+IFERROR(INDEX(技能数据库!$T$2:$W$27,MATCH(E133,技能数据库!$T$2:$T$27,0),4),0)+COUNTIF(G133,"*造化2*")*154+COUNTIF(G133,"*造化1*")*102+COUNTIF(G133,"*碧归*")*307)/1024)</f>
        <v>0.176868146929785</v>
      </c>
      <c r="Q133">
        <f ca="1" t="shared" si="254"/>
        <v>0.448284482196154</v>
      </c>
      <c r="R133">
        <f ca="1" t="shared" ref="R133:R168" si="307">IF(G133="恒定伤害",0,(($F$5-IF(D133="轻剑",$BB$2,$BB$3))*(1024-IF(D133="轻剑",$BD$2,$BD$3))/1024*(1024-IF(D133="轻剑",$BC$2,$BC$3)-COUNTIF(G133,"*雾锁*")*461*雾锁)/1024/(($F$5-IF(D133="轻剑",$BB$2,$BB$3))*(1024-IF(D133="轻剑",$BD$2,$BD$3))/1024*(1024-IF(D133="轻剑",$BC$2,$BC$3)-COUNTIF(G133,"*雾锁*")*461*雾锁)/1024+$F$7)))</f>
        <v>0.21277697966198</v>
      </c>
      <c r="S133">
        <f ca="1" t="shared" si="297"/>
        <v>2072892.36615608</v>
      </c>
      <c r="T133">
        <f t="shared" si="298"/>
        <v>0.8</v>
      </c>
      <c r="U133">
        <f ca="1" t="shared" si="255"/>
        <v>2.68954760480339</v>
      </c>
      <c r="V133">
        <f ca="1" t="shared" si="299"/>
        <v>6118428.05165313</v>
      </c>
      <c r="W133">
        <f ca="1">IF(G133="恒定伤害",0,MIN(1,IF(COUNTIF(F133,"*内会*")&gt;0,内会,IF(D133="轻剑",$Y$2,$Y$3)+COUNTIF(G133,"*莺鸣*")*0.2+COUNTIF(G133,"*叠1*")*0.1+COUNTIF(G133,"*叠2*")*0.2+COUNTIF(G133,"*叠3*")*0.3)+IFERROR(INDEX(技能数据库!$T$2:$W$27,MATCH(E133,技能数据库!$T$2:$T$27,0),2),0)+IF((IF(D133="轻剑",$AO$2,$AO$3)+INT(COUNTIF(G133,"*大莺鸣*")*IF(D133="轻剑",$AM$2,$AM$3)*听晓无双率)/无双系数)&gt;0.9,特效裤子会心/会心系数,0)))</f>
        <v>0.9343</v>
      </c>
      <c r="X133">
        <f ca="1">IF(G133="恒定伤害",0,IF(COUNTIF(F133,"*内会*")&gt;0,内会效,IF(D133="轻剑",$AB$2,$AB$3))+IFERROR(INDEX(技能数据库!$T$2:$W$27,MATCH(E133,技能数据库!$T$2:$T$27,0),3)/1024,0))+COUNTIF(G133,"*叠1*")*0.25+COUNTIF(G133,"*叠2*")*0.5+COUNTIF(G133,"*叠3*")*0.75</f>
        <v>2.3156473116</v>
      </c>
      <c r="Y133">
        <f ca="1" t="shared" si="300"/>
        <v>2.22920928322788</v>
      </c>
      <c r="Z133">
        <f t="shared" ref="Z133:Z168" si="308">IF(G133="恒定伤害",0,非侠士伤害/1024)</f>
        <v>0.150390625</v>
      </c>
      <c r="AA133">
        <f ca="1" t="shared" si="301"/>
        <v>0.0205078125</v>
      </c>
      <c r="AB133">
        <f ca="1" t="shared" si="302"/>
        <v>16012250.2148926</v>
      </c>
      <c r="AC133">
        <f ca="1">技能数计算!AJ125</f>
        <v>0</v>
      </c>
      <c r="AD133" s="164">
        <f ca="1" t="shared" si="303"/>
        <v>0</v>
      </c>
      <c r="AE133" s="168">
        <f ca="1" t="shared" si="73"/>
        <v>0</v>
      </c>
      <c r="AF133" s="168">
        <f ca="1" t="shared" ref="AF133:AF168" si="309">IFERROR((delta武伤+INT((IF(D133="轻剑",$AW$2,$AW$3))/1024*delta武伤))*J133/O133,0)</f>
        <v>0</v>
      </c>
      <c r="AG133">
        <f ca="1" t="shared" si="294"/>
        <v>0.000161012264749072</v>
      </c>
      <c r="AH133">
        <f ca="1" t="shared" ref="AH133:AH168" si="310">IFERROR((delta身法+INT((IF(D133="轻剑",$N$2,$N$3))/1024*delta身法))*身法转额外攻击*I133/O133+1,0)</f>
        <v>1</v>
      </c>
      <c r="AI133">
        <f ca="1" t="shared" ref="AI133:AI168" si="311">IFERROR(((delta身法+INT((IF(D133="轻剑",$N$2,$N$3))/1024*delta身法))*身法转额外破防/破防系数+Q133+1)/(1+Q133),0)</f>
        <v>1.00016101226475</v>
      </c>
      <c r="AJ133">
        <f ca="1" t="shared" ref="AJ133:AJ168" si="312">IFERROR(((1+MIN(1,((delta身法+INT((IF(D133="轻剑",$N$2,$N$3))/1024*delta身法))*身法转基础会心/会心系数)+W133)*(X133-1))*AK133)/(Y133*AC133),0)</f>
        <v>0</v>
      </c>
      <c r="AK133">
        <f ca="1" t="shared" si="304"/>
        <v>0</v>
      </c>
      <c r="AL133">
        <f ca="1" t="shared" si="256"/>
        <v>0</v>
      </c>
      <c r="AM133">
        <f ca="1" t="shared" si="305"/>
        <v>0</v>
      </c>
      <c r="AN133" s="168">
        <f ca="1" t="shared" si="257"/>
        <v>0.00841753350912167</v>
      </c>
      <c r="AO133" s="168">
        <f ca="1" t="shared" si="258"/>
        <v>0.00447057613551372</v>
      </c>
      <c r="AP133" s="172">
        <f ca="1" t="shared" ref="AP133:AP168" si="313">IFERROR((delta破招+INT((IF(D133="轻剑",$AI$2,$AI$3))/1024*delta破招))*K133*破招全局系数/MAX(1,O133),0)</f>
        <v>0</v>
      </c>
      <c r="AQ133" s="168">
        <f ca="1" t="shared" ref="AQ133:AQ168" si="314">IF(G133="恒定伤害",0,IFERROR(((delta无双+INT((IF(D133="轻剑",$AL$2,$AL$3)+COUNTIF(G133,"*大莺鸣*")*307)/1024*delta无双))/无双系数+U133+1)/(U133+1)-1,0))</f>
        <v>0.00393951131463699</v>
      </c>
      <c r="AR133">
        <f t="shared" ref="AR133:AR168" si="315">IF($AR$8="综合属性收益",1,COUNTIF(D133,LEFT($AR$8,2)))</f>
        <v>1</v>
      </c>
    </row>
    <row r="134" spans="4:44">
      <c r="D134" t="s">
        <v>1825</v>
      </c>
      <c r="E134" s="161" t="s">
        <v>2871</v>
      </c>
      <c r="F134" t="s">
        <v>2503</v>
      </c>
      <c r="G134" t="s">
        <v>3044</v>
      </c>
      <c r="H134">
        <f ca="1">INDEX(技能数据库!$B$2:$I$100,MATCH(伤害与收益计算!$E134,技能数据库!$B$2:$B$100,0),MATCH(H$9,技能数据库!$B$2:$I$2,0))</f>
        <v>2607915</v>
      </c>
      <c r="I134">
        <f ca="1">INDEX(技能数据库!$B$2:$I$100,MATCH(伤害与收益计算!$E134,技能数据库!$B$2:$B$100,0),MATCH(I$9,技能数据库!$B$2:$I$2,0))</f>
        <v>0</v>
      </c>
      <c r="J134">
        <f ca="1">INDEX(技能数据库!$B$2:$I$100,MATCH(伤害与收益计算!$E134,技能数据库!$B$2:$B$100,0),MATCH(J$9,技能数据库!$B$2:$I$2,0))</f>
        <v>0</v>
      </c>
      <c r="K134">
        <f ca="1">INDEX(技能数据库!$B$2:$I$100,MATCH(伤害与收益计算!$E134,技能数据库!$B$2:$B$100,0),MATCH(K$9,技能数据库!$B$2:$I$2,0))</f>
        <v>0</v>
      </c>
      <c r="L134">
        <f ca="1" t="shared" si="67"/>
        <v>105847</v>
      </c>
      <c r="M134">
        <f ca="1" t="shared" si="295"/>
        <v>19530.5</v>
      </c>
      <c r="N134">
        <f ca="1" t="shared" si="296"/>
        <v>92028</v>
      </c>
      <c r="O134">
        <f ca="1" t="shared" si="306"/>
        <v>2607915</v>
      </c>
      <c r="P134">
        <f ca="1">IF(G134="恒定伤害",0,(IF(D134="轻剑",$AZ$2,$AZ$3)+IFERROR(INDEX(技能数据库!$T$2:$W$27,MATCH(E134,技能数据库!$T$2:$T$27,0),4),0)+COUNTIF(G134,"*造化2*")*154+COUNTIF(G134,"*造化1*")*102+COUNTIF(G134,"*碧归*")*307)/1024)</f>
        <v>0.176868146929785</v>
      </c>
      <c r="Q134">
        <f ca="1" t="shared" si="254"/>
        <v>0.0415122129107408</v>
      </c>
      <c r="R134">
        <f ca="1" t="shared" si="307"/>
        <v>0.21277697966198</v>
      </c>
      <c r="S134">
        <f ca="1" t="shared" si="297"/>
        <v>2516421.53459755</v>
      </c>
      <c r="T134">
        <f t="shared" si="298"/>
        <v>0.8</v>
      </c>
      <c r="U134">
        <f ca="1" t="shared" si="255"/>
        <v>2.68954760480339</v>
      </c>
      <c r="V134">
        <f ca="1" t="shared" si="299"/>
        <v>7427565.63652006</v>
      </c>
      <c r="W134">
        <f ca="1">IF(G134="恒定伤害",0,MIN(1,IF(COUNTIF(F134,"*内会*")&gt;0,内会,IF(D134="轻剑",$Y$2,$Y$3)+COUNTIF(G134,"*莺鸣*")*0.2+COUNTIF(G134,"*叠1*")*0.1+COUNTIF(G134,"*叠2*")*0.2+COUNTIF(G134,"*叠3*")*0.3)+IFERROR(INDEX(技能数据库!$T$2:$W$27,MATCH(E134,技能数据库!$T$2:$T$27,0),2),0)+IF((IF(D134="轻剑",$AO$2,$AO$3)+INT(COUNTIF(G134,"*大莺鸣*")*IF(D134="轻剑",$AM$2,$AM$3)*听晓无双率)/无双系数)&gt;0.9,特效裤子会心/会心系数,0)))</f>
        <v>0.9343</v>
      </c>
      <c r="X134">
        <f ca="1">IF(G134="恒定伤害",0,IF(COUNTIF(F134,"*内会*")&gt;0,内会效,IF(D134="轻剑",$AB$2,$AB$3))+IFERROR(INDEX(技能数据库!$T$2:$W$27,MATCH(E134,技能数据库!$T$2:$T$27,0),3)/1024,0))+COUNTIF(G134,"*叠1*")*0.25+COUNTIF(G134,"*叠2*")*0.5+COUNTIF(G134,"*叠3*")*0.75</f>
        <v>2.3156473116</v>
      </c>
      <c r="Y134">
        <f ca="1" t="shared" si="300"/>
        <v>2.22920928322788</v>
      </c>
      <c r="Z134">
        <f t="shared" si="308"/>
        <v>0.150390625</v>
      </c>
      <c r="AA134">
        <f ca="1" t="shared" si="301"/>
        <v>0.0205078125</v>
      </c>
      <c r="AB134">
        <f ca="1" t="shared" si="302"/>
        <v>19438332.6003749</v>
      </c>
      <c r="AC134">
        <f ca="1">技能数计算!AJ126</f>
        <v>0</v>
      </c>
      <c r="AD134" s="164">
        <f ca="1" t="shared" si="303"/>
        <v>0</v>
      </c>
      <c r="AE134" s="168">
        <f ca="1" t="shared" si="73"/>
        <v>0</v>
      </c>
      <c r="AF134" s="168">
        <f ca="1" t="shared" si="309"/>
        <v>0</v>
      </c>
      <c r="AG134">
        <f ca="1" t="shared" si="294"/>
        <v>0.00022389710037829</v>
      </c>
      <c r="AH134">
        <f ca="1" t="shared" si="310"/>
        <v>1</v>
      </c>
      <c r="AI134">
        <f ca="1" t="shared" si="311"/>
        <v>1.00022389710038</v>
      </c>
      <c r="AJ134">
        <f ca="1" t="shared" si="312"/>
        <v>0</v>
      </c>
      <c r="AK134">
        <f ca="1" t="shared" si="304"/>
        <v>0</v>
      </c>
      <c r="AL134">
        <f ca="1" t="shared" si="256"/>
        <v>0</v>
      </c>
      <c r="AM134">
        <f ca="1" t="shared" si="305"/>
        <v>0</v>
      </c>
      <c r="AN134" s="168">
        <f ca="1" t="shared" si="257"/>
        <v>0.00841753350912167</v>
      </c>
      <c r="AO134" s="168">
        <f ca="1" t="shared" si="258"/>
        <v>0</v>
      </c>
      <c r="AP134" s="172">
        <f ca="1" t="shared" si="313"/>
        <v>0</v>
      </c>
      <c r="AQ134" s="168">
        <f ca="1" t="shared" si="314"/>
        <v>0.00393951131463699</v>
      </c>
      <c r="AR134">
        <f t="shared" si="315"/>
        <v>1</v>
      </c>
    </row>
    <row r="135" spans="4:44">
      <c r="D135" t="s">
        <v>1825</v>
      </c>
      <c r="E135" s="161" t="s">
        <v>2885</v>
      </c>
      <c r="F135" t="s">
        <v>2503</v>
      </c>
      <c r="G135" t="s">
        <v>3044</v>
      </c>
      <c r="H135">
        <f ca="1">INDEX(技能数据库!$B$2:$I$100,MATCH(伤害与收益计算!$E135,技能数据库!$B$2:$B$100,0),MATCH(H$9,技能数据库!$B$2:$I$2,0))</f>
        <v>2133748</v>
      </c>
      <c r="I135">
        <f ca="1">INDEX(技能数据库!$B$2:$I$100,MATCH(伤害与收益计算!$E135,技能数据库!$B$2:$B$100,0),MATCH(I$9,技能数据库!$B$2:$I$2,0))</f>
        <v>0</v>
      </c>
      <c r="J135">
        <f ca="1">INDEX(技能数据库!$B$2:$I$100,MATCH(伤害与收益计算!$E135,技能数据库!$B$2:$B$100,0),MATCH(J$9,技能数据库!$B$2:$I$2,0))</f>
        <v>0</v>
      </c>
      <c r="K135">
        <f ca="1">INDEX(技能数据库!$B$2:$I$100,MATCH(伤害与收益计算!$E135,技能数据库!$B$2:$B$100,0),MATCH(K$9,技能数据库!$B$2:$I$2,0))</f>
        <v>0</v>
      </c>
      <c r="L135">
        <f ca="1" t="shared" si="67"/>
        <v>105847</v>
      </c>
      <c r="M135">
        <f ca="1" t="shared" si="295"/>
        <v>19530.5</v>
      </c>
      <c r="N135">
        <f ca="1" t="shared" si="296"/>
        <v>92028</v>
      </c>
      <c r="O135">
        <f ca="1" t="shared" si="306"/>
        <v>2133748</v>
      </c>
      <c r="P135">
        <f ca="1">IF(G135="恒定伤害",0,(IF(D135="轻剑",$AZ$2,$AZ$3)+IFERROR(INDEX(技能数据库!$T$2:$W$27,MATCH(E135,技能数据库!$T$2:$T$27,0),4),0)+COUNTIF(G135,"*造化2*")*154+COUNTIF(G135,"*造化1*")*102+COUNTIF(G135,"*碧归*")*307)/1024)</f>
        <v>0.176868146929785</v>
      </c>
      <c r="Q135">
        <f ca="1" t="shared" si="254"/>
        <v>0.0415122129107408</v>
      </c>
      <c r="R135">
        <f ca="1" t="shared" si="307"/>
        <v>0.21277697966198</v>
      </c>
      <c r="S135">
        <f ca="1" t="shared" si="297"/>
        <v>2058889.73245081</v>
      </c>
      <c r="T135">
        <f t="shared" si="298"/>
        <v>0.8</v>
      </c>
      <c r="U135">
        <f ca="1" t="shared" si="255"/>
        <v>2.68954760480339</v>
      </c>
      <c r="V135">
        <f ca="1" t="shared" si="299"/>
        <v>6077097.34473455</v>
      </c>
      <c r="W135">
        <f ca="1">IF(G135="恒定伤害",0,MIN(1,IF(COUNTIF(F135,"*内会*")&gt;0,内会,IF(D135="轻剑",$Y$2,$Y$3)+COUNTIF(G135,"*莺鸣*")*0.2+COUNTIF(G135,"*叠1*")*0.1+COUNTIF(G135,"*叠2*")*0.2+COUNTIF(G135,"*叠3*")*0.3)+IFERROR(INDEX(技能数据库!$T$2:$W$27,MATCH(E135,技能数据库!$T$2:$T$27,0),2),0)+IF((IF(D135="轻剑",$AO$2,$AO$3)+INT(COUNTIF(G135,"*大莺鸣*")*IF(D135="轻剑",$AM$2,$AM$3)*听晓无双率)/无双系数)&gt;0.9,特效裤子会心/会心系数,0)))</f>
        <v>0.9343</v>
      </c>
      <c r="X135">
        <f ca="1">IF(G135="恒定伤害",0,IF(COUNTIF(F135,"*内会*")&gt;0,内会效,IF(D135="轻剑",$AB$2,$AB$3))+IFERROR(INDEX(技能数据库!$T$2:$W$27,MATCH(E135,技能数据库!$T$2:$T$27,0),3)/1024,0))+COUNTIF(G135,"*叠1*")*0.25+COUNTIF(G135,"*叠2*")*0.5+COUNTIF(G135,"*叠3*")*0.75</f>
        <v>2.3156473116</v>
      </c>
      <c r="Y135">
        <f ca="1" t="shared" si="300"/>
        <v>2.22920928322788</v>
      </c>
      <c r="Z135">
        <f t="shared" si="308"/>
        <v>0.150390625</v>
      </c>
      <c r="AA135">
        <f ca="1" t="shared" si="301"/>
        <v>0.0205078125</v>
      </c>
      <c r="AB135">
        <f ca="1" t="shared" si="302"/>
        <v>15904085.5662032</v>
      </c>
      <c r="AC135">
        <f ca="1">技能数计算!AJ127</f>
        <v>0</v>
      </c>
      <c r="AD135" s="164">
        <f ca="1" t="shared" si="303"/>
        <v>0</v>
      </c>
      <c r="AE135" s="168">
        <f ca="1" t="shared" si="73"/>
        <v>0</v>
      </c>
      <c r="AF135" s="168">
        <f ca="1" t="shared" si="309"/>
        <v>0</v>
      </c>
      <c r="AG135">
        <f ca="1" t="shared" si="294"/>
        <v>0.00022389710037829</v>
      </c>
      <c r="AH135">
        <f ca="1" t="shared" si="310"/>
        <v>1</v>
      </c>
      <c r="AI135">
        <f ca="1" t="shared" si="311"/>
        <v>1.00022389710038</v>
      </c>
      <c r="AJ135">
        <f ca="1" t="shared" si="312"/>
        <v>0</v>
      </c>
      <c r="AK135">
        <f ca="1" t="shared" si="304"/>
        <v>0</v>
      </c>
      <c r="AL135">
        <f ca="1" t="shared" si="256"/>
        <v>0</v>
      </c>
      <c r="AM135">
        <f ca="1" t="shared" si="305"/>
        <v>0</v>
      </c>
      <c r="AN135" s="168">
        <f ca="1" t="shared" si="257"/>
        <v>0.00841753350912167</v>
      </c>
      <c r="AO135" s="168">
        <f ca="1" t="shared" si="258"/>
        <v>0</v>
      </c>
      <c r="AP135" s="172">
        <f ca="1" t="shared" si="313"/>
        <v>0</v>
      </c>
      <c r="AQ135" s="168">
        <f ca="1" t="shared" si="314"/>
        <v>0.00393951131463699</v>
      </c>
      <c r="AR135">
        <f t="shared" si="315"/>
        <v>1</v>
      </c>
    </row>
    <row r="136" spans="4:44">
      <c r="D136" t="s">
        <v>1825</v>
      </c>
      <c r="E136" s="161" t="s">
        <v>2897</v>
      </c>
      <c r="F136" t="s">
        <v>3160</v>
      </c>
      <c r="G136" t="s">
        <v>3044</v>
      </c>
      <c r="H136">
        <f ca="1">INDEX(技能数据库!$B$2:$I$100,MATCH(伤害与收益计算!$E136,技能数据库!$B$2:$B$100,0),MATCH(H$9,技能数据库!$B$2:$I$2,0))</f>
        <v>4978746</v>
      </c>
      <c r="I136">
        <f ca="1">INDEX(技能数据库!$B$2:$I$100,MATCH(伤害与收益计算!$E136,技能数据库!$B$2:$B$100,0),MATCH(I$9,技能数据库!$B$2:$I$2,0))</f>
        <v>0</v>
      </c>
      <c r="J136">
        <f ca="1">INDEX(技能数据库!$B$2:$I$100,MATCH(伤害与收益计算!$E136,技能数据库!$B$2:$B$100,0),MATCH(J$9,技能数据库!$B$2:$I$2,0))</f>
        <v>0</v>
      </c>
      <c r="K136">
        <f ca="1">INDEX(技能数据库!$B$2:$I$100,MATCH(伤害与收益计算!$E136,技能数据库!$B$2:$B$100,0),MATCH(K$9,技能数据库!$B$2:$I$2,0))</f>
        <v>0</v>
      </c>
      <c r="L136">
        <f ca="1" t="shared" si="67"/>
        <v>105847</v>
      </c>
      <c r="M136">
        <f ca="1" t="shared" si="295"/>
        <v>19530.5</v>
      </c>
      <c r="N136">
        <f ca="1" t="shared" si="296"/>
        <v>92028</v>
      </c>
      <c r="O136">
        <f ca="1" t="shared" si="306"/>
        <v>4978746</v>
      </c>
      <c r="P136">
        <f ca="1">IF(G136="恒定伤害",0,(IF(D136="轻剑",$AZ$2,$AZ$3)+IFERROR(INDEX(技能数据库!$T$2:$W$27,MATCH(E136,技能数据库!$T$2:$T$27,0),4),0)+COUNTIF(G136,"*造化2*")*154+COUNTIF(G136,"*造化1*")*102+COUNTIF(G136,"*碧归*")*307)/1024)</f>
        <v>0.176868146929785</v>
      </c>
      <c r="Q136">
        <f ca="1" t="shared" si="254"/>
        <v>0.0415122129107408</v>
      </c>
      <c r="R136">
        <f ca="1" t="shared" si="307"/>
        <v>0.21277697966198</v>
      </c>
      <c r="S136">
        <f ca="1" t="shared" si="297"/>
        <v>4804076.68566323</v>
      </c>
      <c r="T136">
        <f t="shared" si="298"/>
        <v>0.8</v>
      </c>
      <c r="U136">
        <f ca="1" t="shared" si="255"/>
        <v>2.68954760480339</v>
      </c>
      <c r="V136">
        <f ca="1" t="shared" si="299"/>
        <v>14179895.7031045</v>
      </c>
      <c r="W136">
        <f ca="1">IF(G136="恒定伤害",0,MIN(1,IF(COUNTIF(F136,"*内会*")&gt;0,内会,IF(D136="轻剑",$Y$2,$Y$3)+COUNTIF(G136,"*莺鸣*")*0.2+COUNTIF(G136,"*叠1*")*0.1+COUNTIF(G136,"*叠2*")*0.2+COUNTIF(G136,"*叠3*")*0.3)+IFERROR(INDEX(技能数据库!$T$2:$W$27,MATCH(E136,技能数据库!$T$2:$T$27,0),2),0)+IF((IF(D136="轻剑",$AO$2,$AO$3)+INT(COUNTIF(G136,"*大莺鸣*")*IF(D136="轻剑",$AM$2,$AM$3)*听晓无双率)/无双系数)&gt;0.9,特效裤子会心/会心系数,0)))</f>
        <v>0.112613819719478</v>
      </c>
      <c r="X136">
        <f ca="1">IF(G136="恒定伤害",0,IF(COUNTIF(F136,"*内会*")&gt;0,内会效,IF(D136="轻剑",$AB$2,$AB$3))+IFERROR(INDEX(技能数据库!$T$2:$W$27,MATCH(E136,技能数据库!$T$2:$T$27,0),3)/1024,0))+COUNTIF(G136,"*叠1*")*0.25+COUNTIF(G136,"*叠2*")*0.5+COUNTIF(G136,"*叠3*")*0.75</f>
        <v>1.93437818487951</v>
      </c>
      <c r="Y136">
        <f ca="1" t="shared" si="300"/>
        <v>1.10522389646183</v>
      </c>
      <c r="Z136">
        <f t="shared" si="308"/>
        <v>0.150390625</v>
      </c>
      <c r="AA136">
        <f ca="1" t="shared" si="301"/>
        <v>0.0205078125</v>
      </c>
      <c r="AB136">
        <f ca="1" t="shared" si="302"/>
        <v>18398608.1724906</v>
      </c>
      <c r="AC136">
        <f ca="1">技能数计算!AJ128</f>
        <v>0</v>
      </c>
      <c r="AD136" s="164">
        <f ca="1" t="shared" si="303"/>
        <v>0</v>
      </c>
      <c r="AE136" s="168">
        <f ca="1" t="shared" si="73"/>
        <v>0</v>
      </c>
      <c r="AF136" s="168">
        <f ca="1" t="shared" si="309"/>
        <v>0</v>
      </c>
      <c r="AG136">
        <f ca="1" t="shared" si="294"/>
        <v>0.00022389710037829</v>
      </c>
      <c r="AH136">
        <f ca="1" t="shared" si="310"/>
        <v>1</v>
      </c>
      <c r="AI136">
        <f ca="1" t="shared" si="311"/>
        <v>1.00022389710038</v>
      </c>
      <c r="AJ136">
        <f ca="1" t="shared" si="312"/>
        <v>0</v>
      </c>
      <c r="AK136">
        <f ca="1" t="shared" si="304"/>
        <v>0</v>
      </c>
      <c r="AL136">
        <f ca="1" t="shared" si="256"/>
        <v>0</v>
      </c>
      <c r="AM136">
        <f ca="1" t="shared" si="305"/>
        <v>0</v>
      </c>
      <c r="AN136" s="168">
        <f ca="1" t="shared" si="257"/>
        <v>0</v>
      </c>
      <c r="AO136" s="168">
        <f ca="1" t="shared" si="258"/>
        <v>0</v>
      </c>
      <c r="AP136" s="172">
        <f ca="1" t="shared" si="313"/>
        <v>0</v>
      </c>
      <c r="AQ136" s="168">
        <f ca="1" t="shared" si="314"/>
        <v>0.00393951131463699</v>
      </c>
      <c r="AR136">
        <f t="shared" si="315"/>
        <v>1</v>
      </c>
    </row>
    <row r="137" spans="4:44">
      <c r="D137" t="s">
        <v>1825</v>
      </c>
      <c r="E137" t="s">
        <v>2776</v>
      </c>
      <c r="G137" t="s">
        <v>3046</v>
      </c>
      <c r="H137">
        <f ca="1">INDEX(技能数据库!$B$2:$I$100,MATCH(伤害与收益计算!$E137,技能数据库!$B$2:$B$100,0),MATCH(H$9,技能数据库!$B$2:$I$2,0))</f>
        <v>281.5</v>
      </c>
      <c r="I137">
        <f ca="1">INDEX(技能数据库!$B$2:$I$100,MATCH(伤害与收益计算!$E137,技能数据库!$B$2:$B$100,0),MATCH(I$9,技能数据库!$B$2:$I$2,0))</f>
        <v>7.06875</v>
      </c>
      <c r="J137">
        <f ca="1">INDEX(技能数据库!$B$2:$I$100,MATCH(伤害与收益计算!$E137,技能数据库!$B$2:$B$100,0),MATCH(J$9,技能数据库!$B$2:$I$2,0))</f>
        <v>2</v>
      </c>
      <c r="K137">
        <f ca="1">INDEX(技能数据库!$B$2:$I$100,MATCH(伤害与收益计算!$E137,技能数据库!$B$2:$B$100,0),MATCH(K$9,技能数据库!$B$2:$I$2,0))</f>
        <v>0</v>
      </c>
      <c r="L137">
        <f ca="1" t="shared" si="67"/>
        <v>91975</v>
      </c>
      <c r="M137">
        <f ca="1" t="shared" si="295"/>
        <v>19530.5</v>
      </c>
      <c r="N137">
        <f ca="1" t="shared" si="296"/>
        <v>92028</v>
      </c>
      <c r="O137">
        <f ca="1" t="shared" si="306"/>
        <v>689490.78125</v>
      </c>
      <c r="P137">
        <f ca="1">IF(G137="恒定伤害",0,(IF(D137="轻剑",$AZ$2,$AZ$3)+IFERROR(INDEX(技能数据库!$T$2:$W$27,MATCH(E137,技能数据库!$T$2:$T$27,0),4),0)+COUNTIF(G137,"*造化2*")*154+COUNTIF(G137,"*造化1*")*102+COUNTIF(G137,"*碧归*")*307)/1024)</f>
        <v>0.397571271929785</v>
      </c>
      <c r="Q137">
        <f ca="1" t="shared" si="254"/>
        <v>0.448284482196154</v>
      </c>
      <c r="R137">
        <f ca="1" t="shared" si="307"/>
        <v>0.32958230397716</v>
      </c>
      <c r="S137">
        <f ca="1" t="shared" si="297"/>
        <v>935624.908718113</v>
      </c>
      <c r="T137">
        <f t="shared" si="298"/>
        <v>0.8</v>
      </c>
      <c r="U137">
        <f ca="1" t="shared" si="255"/>
        <v>1.7995442148</v>
      </c>
      <c r="V137">
        <f ca="1" t="shared" si="299"/>
        <v>2095458.64033966</v>
      </c>
      <c r="W137">
        <f ca="1">IF(G137="恒定伤害",0,MIN(1,IF(COUNTIF(F137,"*内会*")&gt;0,内会,IF(D137="轻剑",$Y$2,$Y$3)+COUNTIF(G137,"*莺鸣*")*0.2+COUNTIF(G137,"*叠1*")*0.1+COUNTIF(G137,"*叠2*")*0.2+COUNTIF(G137,"*叠3*")*0.3)+IFERROR(INDEX(技能数据库!$T$2:$W$27,MATCH(E137,技能数据库!$T$2:$T$27,0),2),0)+IF((IF(D137="轻剑",$AO$2,$AO$3)+INT(COUNTIF(G137,"*大莺鸣*")*IF(D137="轻剑",$AM$2,$AM$3)*听晓无双率)/无双系数)&gt;0.9,特效裤子会心/会心系数,0)))</f>
        <v>0.7343</v>
      </c>
      <c r="X137">
        <f ca="1">IF(G137="恒定伤害",0,IF(COUNTIF(F137,"*内会*")&gt;0,内会效,IF(D137="轻剑",$AB$2,$AB$3))+IFERROR(INDEX(技能数据库!$T$2:$W$27,MATCH(E137,技能数据库!$T$2:$T$27,0),3)/1024,0))+COUNTIF(G137,"*叠1*")*0.25+COUNTIF(G137,"*叠2*")*0.5+COUNTIF(G137,"*叠3*")*0.75</f>
        <v>2.3156473116</v>
      </c>
      <c r="Y137">
        <f ca="1" t="shared" si="300"/>
        <v>1.96607982090788</v>
      </c>
      <c r="Z137">
        <f t="shared" si="308"/>
        <v>0.150390625</v>
      </c>
      <c r="AA137">
        <f ca="1" t="shared" si="301"/>
        <v>0.0205078125</v>
      </c>
      <c r="AB137">
        <f ca="1" t="shared" si="302"/>
        <v>4836619.32351113</v>
      </c>
      <c r="AC137">
        <f ca="1">技能数计算!AJ129</f>
        <v>0</v>
      </c>
      <c r="AD137" s="164">
        <f ca="1" t="shared" si="303"/>
        <v>0</v>
      </c>
      <c r="AE137" s="168">
        <f ca="1" t="shared" si="73"/>
        <v>0.004264886609026</v>
      </c>
      <c r="AF137" s="168">
        <f ca="1" t="shared" si="309"/>
        <v>0.00172953726493352</v>
      </c>
      <c r="AG137">
        <f ca="1" t="shared" si="294"/>
        <v>0.00363051558430105</v>
      </c>
      <c r="AH137">
        <f ca="1" t="shared" si="310"/>
        <v>1.0034689447769</v>
      </c>
      <c r="AI137">
        <f ca="1" t="shared" si="311"/>
        <v>1.00016101226475</v>
      </c>
      <c r="AJ137">
        <f ca="1" t="shared" si="312"/>
        <v>0</v>
      </c>
      <c r="AK137">
        <f ca="1" t="shared" si="304"/>
        <v>0</v>
      </c>
      <c r="AL137">
        <f ca="1" t="shared" si="256"/>
        <v>0</v>
      </c>
      <c r="AM137">
        <f ca="1" t="shared" si="305"/>
        <v>0</v>
      </c>
      <c r="AN137" s="168">
        <f ca="1" t="shared" si="257"/>
        <v>0.00750104430192855</v>
      </c>
      <c r="AO137" s="168">
        <f ca="1" t="shared" si="258"/>
        <v>0.00447057613551372</v>
      </c>
      <c r="AP137" s="172">
        <f ca="1" t="shared" si="313"/>
        <v>0</v>
      </c>
      <c r="AQ137" s="168">
        <f ca="1" t="shared" si="314"/>
        <v>0.00401583628616287</v>
      </c>
      <c r="AR137">
        <f t="shared" si="315"/>
        <v>1</v>
      </c>
    </row>
    <row r="138" spans="4:44">
      <c r="D138" t="s">
        <v>1825</v>
      </c>
      <c r="E138" t="s">
        <v>2780</v>
      </c>
      <c r="G138" t="s">
        <v>3046</v>
      </c>
      <c r="H138">
        <f ca="1">INDEX(技能数据库!$B$2:$I$100,MATCH(伤害与收益计算!$E138,技能数据库!$B$2:$B$100,0),MATCH(H$9,技能数据库!$B$2:$I$2,0))</f>
        <v>252.5</v>
      </c>
      <c r="I138">
        <f ca="1">INDEX(技能数据库!$B$2:$I$100,MATCH(伤害与收益计算!$E138,技能数据库!$B$2:$B$100,0),MATCH(I$9,技能数据库!$B$2:$I$2,0))</f>
        <v>2.11875</v>
      </c>
      <c r="J138">
        <f ca="1">INDEX(技能数据库!$B$2:$I$100,MATCH(伤害与收益计算!$E138,技能数据库!$B$2:$B$100,0),MATCH(J$9,技能数据库!$B$2:$I$2,0))</f>
        <v>2</v>
      </c>
      <c r="K138">
        <f ca="1">INDEX(技能数据库!$B$2:$I$100,MATCH(伤害与收益计算!$E138,技能数据库!$B$2:$B$100,0),MATCH(K$9,技能数据库!$B$2:$I$2,0))</f>
        <v>0</v>
      </c>
      <c r="L138">
        <f ca="1" t="shared" ref="L138:L201" si="316">IF(D138="轻剑",$V$2,$V$3)+INT(残雪*(COUNTIF(G138,"*莺鸣*")+COUNTIF(G138,"*叠1*")+COUNTIF(G138,"*叠2*")*2+COUNTIF(G138,"*叠3*")*3)*IF(D138="轻剑",$U$2,$U$3)*154/1024+COUNTIF(G138,"*雾锁*")*205/1024*IF(D138="轻剑",$U$2,$U$3))</f>
        <v>91975</v>
      </c>
      <c r="M138">
        <f ca="1" t="shared" si="295"/>
        <v>19530.5</v>
      </c>
      <c r="N138">
        <f ca="1" t="shared" si="296"/>
        <v>92028</v>
      </c>
      <c r="O138">
        <f ca="1" t="shared" si="306"/>
        <v>234185.53125</v>
      </c>
      <c r="P138">
        <f ca="1">IF(G138="恒定伤害",0,(IF(D138="轻剑",$AZ$2,$AZ$3)+IFERROR(INDEX(技能数据库!$T$2:$W$27,MATCH(E138,技能数据库!$T$2:$T$27,0),4),0)+COUNTIF(G138,"*造化2*")*154+COUNTIF(G138,"*造化1*")*102+COUNTIF(G138,"*碧归*")*307)/1024)</f>
        <v>0.397571271929785</v>
      </c>
      <c r="Q138">
        <f ca="1" t="shared" si="254"/>
        <v>0.448284482196154</v>
      </c>
      <c r="R138">
        <f ca="1" t="shared" si="307"/>
        <v>0.32958230397716</v>
      </c>
      <c r="S138">
        <f ca="1" t="shared" si="297"/>
        <v>317784.983146044</v>
      </c>
      <c r="T138">
        <f t="shared" si="298"/>
        <v>0.8</v>
      </c>
      <c r="U138">
        <f ca="1" t="shared" si="255"/>
        <v>1.7995442148</v>
      </c>
      <c r="V138">
        <f ca="1" t="shared" si="299"/>
        <v>711722.488893459</v>
      </c>
      <c r="W138">
        <f ca="1">IF(G138="恒定伤害",0,MIN(1,IF(COUNTIF(F138,"*内会*")&gt;0,内会,IF(D138="轻剑",$Y$2,$Y$3)+COUNTIF(G138,"*莺鸣*")*0.2+COUNTIF(G138,"*叠1*")*0.1+COUNTIF(G138,"*叠2*")*0.2+COUNTIF(G138,"*叠3*")*0.3)+IFERROR(INDEX(技能数据库!$T$2:$W$27,MATCH(E138,技能数据库!$T$2:$T$27,0),2),0)+IF((IF(D138="轻剑",$AO$2,$AO$3)+INT(COUNTIF(G138,"*大莺鸣*")*IF(D138="轻剑",$AM$2,$AM$3)*听晓无双率)/无双系数)&gt;0.9,特效裤子会心/会心系数,0)))</f>
        <v>0.7343</v>
      </c>
      <c r="X138">
        <f ca="1">IF(G138="恒定伤害",0,IF(COUNTIF(F138,"*内会*")&gt;0,内会效,IF(D138="轻剑",$AB$2,$AB$3))+IFERROR(INDEX(技能数据库!$T$2:$W$27,MATCH(E138,技能数据库!$T$2:$T$27,0),3)/1024,0))+COUNTIF(G138,"*叠1*")*0.25+COUNTIF(G138,"*叠2*")*0.5+COUNTIF(G138,"*叠3*")*0.75</f>
        <v>2.3156473116</v>
      </c>
      <c r="Y138">
        <f ca="1" t="shared" si="300"/>
        <v>1.96607982090788</v>
      </c>
      <c r="Z138">
        <f t="shared" si="308"/>
        <v>0.150390625</v>
      </c>
      <c r="AA138">
        <f ca="1" t="shared" si="301"/>
        <v>0.0205078125</v>
      </c>
      <c r="AB138">
        <f ca="1" t="shared" si="302"/>
        <v>1642757.66483349</v>
      </c>
      <c r="AC138">
        <f ca="1">技能数计算!AJ130</f>
        <v>0</v>
      </c>
      <c r="AD138" s="164">
        <f ca="1" t="shared" si="303"/>
        <v>0</v>
      </c>
      <c r="AE138" s="168">
        <f ca="1" t="shared" ref="AE138:AE201" si="317">IFERROR((delta攻击+INT((IF(D138="轻剑",$T$2,$T$3)+残雪*(COUNTIF(G138,"*莺鸣*")+COUNTIF(G138,"*叠1*")+COUNTIF(G138,"*叠2*")*2+COUNTIF(G138,"*叠3*")*3)*153+COUNTIF(G138,"*雾锁*")*205)/1024*delta攻击))*I138/O138,0)</f>
        <v>0.0037636825609823</v>
      </c>
      <c r="AF138" s="168">
        <f ca="1" t="shared" si="309"/>
        <v>0.00509211646695188</v>
      </c>
      <c r="AG138">
        <f ca="1" t="shared" si="294"/>
        <v>0.00322278396846398</v>
      </c>
      <c r="AH138">
        <f ca="1" t="shared" si="310"/>
        <v>1.00306127880028</v>
      </c>
      <c r="AI138">
        <f ca="1" t="shared" si="311"/>
        <v>1.00016101226475</v>
      </c>
      <c r="AJ138">
        <f ca="1" t="shared" si="312"/>
        <v>0</v>
      </c>
      <c r="AK138">
        <f ca="1" t="shared" si="304"/>
        <v>0</v>
      </c>
      <c r="AL138">
        <f ca="1" t="shared" si="256"/>
        <v>0</v>
      </c>
      <c r="AM138">
        <f ca="1" t="shared" si="305"/>
        <v>0</v>
      </c>
      <c r="AN138" s="168">
        <f ca="1" t="shared" ref="AN138:AN169" si="318">IF(OR(COUNTIF(F138,"*内会*")&gt;0,G138="恒定伤害"),0,(1+W138*(MIN(3+COUNTIF(G138,"*叠*")*0.75,X138+delta会效/会效系数)-1))/Y138-1)</f>
        <v>0.00750104430192855</v>
      </c>
      <c r="AO138" s="168">
        <f ca="1" t="shared" si="258"/>
        <v>0.00447057613551372</v>
      </c>
      <c r="AP138" s="172">
        <f ca="1" t="shared" si="313"/>
        <v>0</v>
      </c>
      <c r="AQ138" s="168">
        <f ca="1" t="shared" si="314"/>
        <v>0.00401583628616287</v>
      </c>
      <c r="AR138">
        <f t="shared" si="315"/>
        <v>1</v>
      </c>
    </row>
    <row r="139" spans="4:44">
      <c r="D139" t="s">
        <v>1825</v>
      </c>
      <c r="E139" s="161" t="s">
        <v>2783</v>
      </c>
      <c r="H139">
        <f ca="1">INDEX(技能数据库!$B$2:$I$100,MATCH(伤害与收益计算!$E139,技能数据库!$B$2:$B$100,0),MATCH(H$9,技能数据库!$B$2:$I$2,0))</f>
        <v>0</v>
      </c>
      <c r="I139">
        <f ca="1">INDEX(技能数据库!$B$2:$I$100,MATCH(伤害与收益计算!$E139,技能数据库!$B$2:$B$100,0),MATCH(I$9,技能数据库!$B$2:$I$2,0))</f>
        <v>0</v>
      </c>
      <c r="J139">
        <f ca="1">INDEX(技能数据库!$B$2:$I$100,MATCH(伤害与收益计算!$E139,技能数据库!$B$2:$B$100,0),MATCH(J$9,技能数据库!$B$2:$I$2,0))</f>
        <v>0</v>
      </c>
      <c r="K139">
        <f ca="1">INDEX(技能数据库!$B$2:$I$100,MATCH(伤害与收益计算!$E139,技能数据库!$B$2:$B$100,0),MATCH(K$9,技能数据库!$B$2:$I$2,0))</f>
        <v>1.28127956390381</v>
      </c>
      <c r="L139">
        <f ca="1" t="shared" si="316"/>
        <v>91975</v>
      </c>
      <c r="M139">
        <f ca="1" t="shared" si="295"/>
        <v>19530.5</v>
      </c>
      <c r="N139">
        <f ca="1" t="shared" si="296"/>
        <v>92028</v>
      </c>
      <c r="O139">
        <f ca="1" t="shared" si="306"/>
        <v>1006274.62576302</v>
      </c>
      <c r="P139">
        <f ca="1">IF(G139="恒定伤害",0,(IF(D139="轻剑",$AZ$2,$AZ$3)+IFERROR(INDEX(技能数据库!$T$2:$W$27,MATCH(E139,技能数据库!$T$2:$T$27,0),4),0)+COUNTIF(G139,"*造化2*")*154+COUNTIF(G139,"*造化1*")*102+COUNTIF(G139,"*碧归*")*307)/1024)</f>
        <v>0.176868146929785</v>
      </c>
      <c r="Q139">
        <f ca="1" t="shared" si="254"/>
        <v>0.448284482196154</v>
      </c>
      <c r="R139">
        <f ca="1" t="shared" si="307"/>
        <v>0.32958230397716</v>
      </c>
      <c r="S139">
        <f ca="1" t="shared" si="297"/>
        <v>1149856.58498314</v>
      </c>
      <c r="T139">
        <f t="shared" si="298"/>
        <v>0.8</v>
      </c>
      <c r="U139">
        <f ca="1" t="shared" si="255"/>
        <v>1.7995442148</v>
      </c>
      <c r="V139">
        <f ca="1" t="shared" si="299"/>
        <v>2575259.4802714</v>
      </c>
      <c r="W139">
        <f ca="1">IF(G139="恒定伤害",0,MIN(1,IF(COUNTIF(F139,"*内会*")&gt;0,内会,IF(D139="轻剑",$Y$2,$Y$3)+COUNTIF(G139,"*莺鸣*")*0.2+COUNTIF(G139,"*叠1*")*0.1+COUNTIF(G139,"*叠2*")*0.2+COUNTIF(G139,"*叠3*")*0.3)+IFERROR(INDEX(技能数据库!$T$2:$W$27,MATCH(E139,技能数据库!$T$2:$T$27,0),2),0)+IF((IF(D139="轻剑",$AO$2,$AO$3)+INT(COUNTIF(G139,"*大莺鸣*")*IF(D139="轻剑",$AM$2,$AM$3)*听晓无双率)/无双系数)&gt;0.9,特效裤子会心/会心系数,0)))</f>
        <v>0.7343</v>
      </c>
      <c r="X139">
        <f ca="1">IF(G139="恒定伤害",0,IF(COUNTIF(F139,"*内会*")&gt;0,内会效,IF(D139="轻剑",$AB$2,$AB$3))+IFERROR(INDEX(技能数据库!$T$2:$W$27,MATCH(E139,技能数据库!$T$2:$T$27,0),3)/1024,0))+COUNTIF(G139,"*叠1*")*0.25+COUNTIF(G139,"*叠2*")*0.5+COUNTIF(G139,"*叠3*")*0.75</f>
        <v>2.3156473116</v>
      </c>
      <c r="Y139">
        <f ca="1" t="shared" si="300"/>
        <v>1.96607982090788</v>
      </c>
      <c r="Z139">
        <f t="shared" si="308"/>
        <v>0.150390625</v>
      </c>
      <c r="AA139">
        <f ca="1" t="shared" si="301"/>
        <v>0.0205078125</v>
      </c>
      <c r="AB139">
        <f ca="1" t="shared" si="302"/>
        <v>5944068.5325657</v>
      </c>
      <c r="AC139">
        <f ca="1">技能数计算!AJ131</f>
        <v>0</v>
      </c>
      <c r="AD139" s="164">
        <f ca="1" t="shared" si="303"/>
        <v>0</v>
      </c>
      <c r="AE139" s="168">
        <f ca="1" t="shared" si="317"/>
        <v>0</v>
      </c>
      <c r="AF139" s="168">
        <f ca="1" t="shared" si="309"/>
        <v>0</v>
      </c>
      <c r="AG139">
        <f ca="1" t="shared" si="294"/>
        <v>0.000161012264749072</v>
      </c>
      <c r="AH139">
        <f ca="1" t="shared" si="310"/>
        <v>1</v>
      </c>
      <c r="AI139">
        <f ca="1" t="shared" si="311"/>
        <v>1.00016101226475</v>
      </c>
      <c r="AJ139">
        <f ca="1" t="shared" si="312"/>
        <v>0</v>
      </c>
      <c r="AK139">
        <f ca="1" t="shared" si="304"/>
        <v>0</v>
      </c>
      <c r="AL139">
        <f ca="1" t="shared" si="256"/>
        <v>0</v>
      </c>
      <c r="AM139">
        <f ca="1" t="shared" si="305"/>
        <v>0</v>
      </c>
      <c r="AN139" s="168">
        <f ca="1" t="shared" si="318"/>
        <v>0.00750104430192855</v>
      </c>
      <c r="AO139" s="168">
        <f ca="1" t="shared" si="258"/>
        <v>0.00447057613551372</v>
      </c>
      <c r="AP139" s="172">
        <f ca="1" t="shared" si="313"/>
        <v>0.015897335593515</v>
      </c>
      <c r="AQ139" s="168">
        <f ca="1" t="shared" si="314"/>
        <v>0.00401583628616287</v>
      </c>
      <c r="AR139">
        <f t="shared" si="315"/>
        <v>1</v>
      </c>
    </row>
    <row r="140" spans="4:44">
      <c r="D140" t="s">
        <v>1825</v>
      </c>
      <c r="E140" t="s">
        <v>2786</v>
      </c>
      <c r="H140">
        <f ca="1">INDEX(技能数据库!$B$2:$I$100,MATCH(伤害与收益计算!$E140,技能数据库!$B$2:$B$100,0),MATCH(H$9,技能数据库!$B$2:$I$2,0))</f>
        <v>0</v>
      </c>
      <c r="I140">
        <f ca="1">INDEX(技能数据库!$B$2:$I$100,MATCH(伤害与收益计算!$E140,技能数据库!$B$2:$B$100,0),MATCH(I$9,技能数据库!$B$2:$I$2,0))</f>
        <v>0</v>
      </c>
      <c r="J140">
        <f ca="1">INDEX(技能数据库!$B$2:$I$100,MATCH(伤害与收益计算!$E140,技能数据库!$B$2:$B$100,0),MATCH(J$9,技能数据库!$B$2:$I$2,0))</f>
        <v>0</v>
      </c>
      <c r="K140">
        <f ca="1">INDEX(技能数据库!$B$2:$I$100,MATCH(伤害与收益计算!$E140,技能数据库!$B$2:$B$100,0),MATCH(K$9,技能数据库!$B$2:$I$2,0))</f>
        <v>0</v>
      </c>
      <c r="L140">
        <f ca="1" t="shared" si="316"/>
        <v>91975</v>
      </c>
      <c r="M140">
        <f ca="1" t="shared" si="295"/>
        <v>19530.5</v>
      </c>
      <c r="N140">
        <f ca="1" t="shared" si="296"/>
        <v>92028</v>
      </c>
      <c r="O140">
        <f ca="1" t="shared" si="306"/>
        <v>0</v>
      </c>
      <c r="P140">
        <f ca="1">IF(G140="恒定伤害",0,(IF(D140="轻剑",$AZ$2,$AZ$3)+IFERROR(INDEX(技能数据库!$T$2:$W$27,MATCH(E140,技能数据库!$T$2:$T$27,0),4),0)+COUNTIF(G140,"*造化2*")*154+COUNTIF(G140,"*造化1*")*102+COUNTIF(G140,"*碧归*")*307)/1024)</f>
        <v>0.176868146929785</v>
      </c>
      <c r="Q140">
        <f ca="1" t="shared" si="254"/>
        <v>0.448284482196154</v>
      </c>
      <c r="R140">
        <f ca="1" t="shared" si="307"/>
        <v>0.32958230397716</v>
      </c>
      <c r="S140">
        <f ca="1" t="shared" si="297"/>
        <v>0</v>
      </c>
      <c r="T140">
        <f t="shared" si="298"/>
        <v>0.8</v>
      </c>
      <c r="U140">
        <f ca="1" t="shared" si="255"/>
        <v>1.7995442148</v>
      </c>
      <c r="V140">
        <f ca="1" t="shared" si="299"/>
        <v>0</v>
      </c>
      <c r="W140">
        <f ca="1">IF(G140="恒定伤害",0,MIN(1,IF(COUNTIF(F140,"*内会*")&gt;0,内会,IF(D140="轻剑",$Y$2,$Y$3)+COUNTIF(G140,"*莺鸣*")*0.2+COUNTIF(G140,"*叠1*")*0.1+COUNTIF(G140,"*叠2*")*0.2+COUNTIF(G140,"*叠3*")*0.3)+IFERROR(INDEX(技能数据库!$T$2:$W$27,MATCH(E140,技能数据库!$T$2:$T$27,0),2),0)+IF((IF(D140="轻剑",$AO$2,$AO$3)+INT(COUNTIF(G140,"*大莺鸣*")*IF(D140="轻剑",$AM$2,$AM$3)*听晓无双率)/无双系数)&gt;0.9,特效裤子会心/会心系数,0)))</f>
        <v>0.7343</v>
      </c>
      <c r="X140">
        <f ca="1">IF(G140="恒定伤害",0,IF(COUNTIF(F140,"*内会*")&gt;0,内会效,IF(D140="轻剑",$AB$2,$AB$3))+IFERROR(INDEX(技能数据库!$T$2:$W$27,MATCH(E140,技能数据库!$T$2:$T$27,0),3)/1024,0))+COUNTIF(G140,"*叠1*")*0.25+COUNTIF(G140,"*叠2*")*0.5+COUNTIF(G140,"*叠3*")*0.75</f>
        <v>2.3156473116</v>
      </c>
      <c r="Y140">
        <f ca="1" t="shared" si="300"/>
        <v>1.96607982090788</v>
      </c>
      <c r="Z140">
        <f t="shared" si="308"/>
        <v>0.150390625</v>
      </c>
      <c r="AA140">
        <f ca="1" t="shared" si="301"/>
        <v>0.0205078125</v>
      </c>
      <c r="AB140">
        <f ca="1" t="shared" si="302"/>
        <v>0</v>
      </c>
      <c r="AC140">
        <f ca="1">技能数计算!AJ132</f>
        <v>0</v>
      </c>
      <c r="AD140" s="164">
        <f ca="1" t="shared" si="303"/>
        <v>0</v>
      </c>
      <c r="AE140" s="168">
        <f ca="1" t="shared" si="317"/>
        <v>0</v>
      </c>
      <c r="AF140" s="168">
        <f ca="1" t="shared" si="309"/>
        <v>0</v>
      </c>
      <c r="AG140">
        <f ca="1" t="shared" si="294"/>
        <v>0</v>
      </c>
      <c r="AH140">
        <f ca="1" t="shared" si="310"/>
        <v>0</v>
      </c>
      <c r="AI140">
        <f ca="1" t="shared" si="311"/>
        <v>1.00016101226475</v>
      </c>
      <c r="AJ140">
        <f ca="1" t="shared" si="312"/>
        <v>0</v>
      </c>
      <c r="AK140">
        <f ca="1" t="shared" si="304"/>
        <v>0</v>
      </c>
      <c r="AL140">
        <f ca="1" t="shared" si="256"/>
        <v>0</v>
      </c>
      <c r="AM140">
        <f ca="1" t="shared" si="305"/>
        <v>0</v>
      </c>
      <c r="AN140" s="168">
        <f ca="1" t="shared" si="318"/>
        <v>0.00750104430192855</v>
      </c>
      <c r="AO140" s="168">
        <f ca="1" t="shared" si="258"/>
        <v>0.00447057613551372</v>
      </c>
      <c r="AP140" s="172">
        <f ca="1" t="shared" si="313"/>
        <v>0</v>
      </c>
      <c r="AQ140" s="168">
        <f ca="1" t="shared" si="314"/>
        <v>0.00401583628616287</v>
      </c>
      <c r="AR140">
        <f t="shared" si="315"/>
        <v>1</v>
      </c>
    </row>
    <row r="141" spans="4:44">
      <c r="D141" t="s">
        <v>1825</v>
      </c>
      <c r="E141" t="s">
        <v>2794</v>
      </c>
      <c r="G141" t="s">
        <v>3104</v>
      </c>
      <c r="H141">
        <f ca="1">INDEX(技能数据库!$B$2:$I$100,MATCH(伤害与收益计算!$E141,技能数据库!$B$2:$B$100,0),MATCH(H$9,技能数据库!$B$2:$I$2,0))</f>
        <v>231.5</v>
      </c>
      <c r="I141">
        <f ca="1">INDEX(技能数据库!$B$2:$I$100,MATCH(伤害与收益计算!$E141,技能数据库!$B$2:$B$100,0),MATCH(I$9,技能数据库!$B$2:$I$2,0))</f>
        <v>2.71875</v>
      </c>
      <c r="J141">
        <f ca="1">INDEX(技能数据库!$B$2:$I$100,MATCH(伤害与收益计算!$E141,技能数据库!$B$2:$B$100,0),MATCH(J$9,技能数据库!$B$2:$I$2,0))</f>
        <v>2</v>
      </c>
      <c r="K141">
        <f ca="1">INDEX(技能数据库!$B$2:$I$100,MATCH(伤害与收益计算!$E141,技能数据库!$B$2:$B$100,0),MATCH(K$9,技能数据库!$B$2:$I$2,0))</f>
        <v>0</v>
      </c>
      <c r="L141">
        <f ca="1" t="shared" si="316"/>
        <v>105847</v>
      </c>
      <c r="M141">
        <f ca="1" t="shared" si="295"/>
        <v>19530.5</v>
      </c>
      <c r="N141">
        <f ca="1" t="shared" si="296"/>
        <v>92028</v>
      </c>
      <c r="O141">
        <f ca="1" t="shared" si="306"/>
        <v>327064.03125</v>
      </c>
      <c r="P141">
        <f ca="1">IF(G141="恒定伤害",0,(IF(D141="轻剑",$AZ$2,$AZ$3)+IFERROR(INDEX(技能数据库!$T$2:$W$27,MATCH(E141,技能数据库!$T$2:$T$27,0),4),0)+COUNTIF(G141,"*造化2*")*154+COUNTIF(G141,"*造化1*")*102+COUNTIF(G141,"*碧归*")*307)/1024)</f>
        <v>0.596790021929785</v>
      </c>
      <c r="Q141">
        <f ca="1" t="shared" si="254"/>
        <v>0.448284482196154</v>
      </c>
      <c r="R141">
        <f ca="1" t="shared" si="307"/>
        <v>0.21277697966198</v>
      </c>
      <c r="S141">
        <f ca="1" t="shared" si="297"/>
        <v>595432.119746968</v>
      </c>
      <c r="T141">
        <f t="shared" si="298"/>
        <v>0.8</v>
      </c>
      <c r="U141">
        <f ca="1" t="shared" si="255"/>
        <v>1.7995442148</v>
      </c>
      <c r="V141">
        <f ca="1" t="shared" si="299"/>
        <v>1333550.83691498</v>
      </c>
      <c r="W141">
        <f ca="1">IF(G141="恒定伤害",0,MIN(1,IF(COUNTIF(F141,"*内会*")&gt;0,内会,IF(D141="轻剑",$Y$2,$Y$3)+COUNTIF(G141,"*莺鸣*")*0.2+COUNTIF(G141,"*叠1*")*0.1+COUNTIF(G141,"*叠2*")*0.2+COUNTIF(G141,"*叠3*")*0.3)+IFERROR(INDEX(技能数据库!$T$2:$W$27,MATCH(E141,技能数据库!$T$2:$T$27,0),2),0)+IF((IF(D141="轻剑",$AO$2,$AO$3)+INT(COUNTIF(G141,"*大莺鸣*")*IF(D141="轻剑",$AM$2,$AM$3)*听晓无双率)/无双系数)&gt;0.9,特效裤子会心/会心系数,0)))</f>
        <v>0.7343</v>
      </c>
      <c r="X141">
        <f ca="1">IF(G141="恒定伤害",0,IF(COUNTIF(F141,"*内会*")&gt;0,内会效,IF(D141="轻剑",$AB$2,$AB$3))+IFERROR(INDEX(技能数据库!$T$2:$W$27,MATCH(E141,技能数据库!$T$2:$T$27,0),3)/1024,0))+COUNTIF(G141,"*叠1*")*0.25+COUNTIF(G141,"*叠2*")*0.5+COUNTIF(G141,"*叠3*")*0.75</f>
        <v>2.3156473116</v>
      </c>
      <c r="Y141">
        <f ca="1" t="shared" si="300"/>
        <v>1.96607982090788</v>
      </c>
      <c r="Z141">
        <f t="shared" si="308"/>
        <v>0.150390625</v>
      </c>
      <c r="AA141">
        <f ca="1" t="shared" si="301"/>
        <v>0.0205078125</v>
      </c>
      <c r="AB141">
        <f ca="1" t="shared" si="302"/>
        <v>3078026.74915213</v>
      </c>
      <c r="AC141">
        <f ca="1">技能数计算!AJ133</f>
        <v>0</v>
      </c>
      <c r="AD141" s="164">
        <f ca="1" t="shared" si="303"/>
        <v>0</v>
      </c>
      <c r="AE141" s="168">
        <f ca="1" t="shared" si="317"/>
        <v>0.00412304585999932</v>
      </c>
      <c r="AF141" s="168">
        <f ca="1" t="shared" si="309"/>
        <v>0.00364607503748549</v>
      </c>
      <c r="AG141">
        <f ca="1" t="shared" si="294"/>
        <v>0.00297414120044159</v>
      </c>
      <c r="AH141">
        <f ca="1" t="shared" si="310"/>
        <v>1.00281267606035</v>
      </c>
      <c r="AI141">
        <f ca="1" t="shared" si="311"/>
        <v>1.00016101226475</v>
      </c>
      <c r="AJ141">
        <f ca="1" t="shared" si="312"/>
        <v>0</v>
      </c>
      <c r="AK141">
        <f ca="1" t="shared" si="304"/>
        <v>0</v>
      </c>
      <c r="AL141">
        <f ca="1" t="shared" ref="AL141:AL176" si="319">IF(G141="恒定伤害",0,IFERROR(((1+MIN(1,W141+delta会心/会心系数)*(X141-1))*AM141)/(Y141*AC141)-1,0))</f>
        <v>0</v>
      </c>
      <c r="AM141">
        <f ca="1" t="shared" si="305"/>
        <v>0</v>
      </c>
      <c r="AN141" s="168">
        <f ca="1" t="shared" si="318"/>
        <v>0.00750104430192855</v>
      </c>
      <c r="AO141" s="168">
        <f ca="1" t="shared" ref="AO141:AO176" si="320">IF(OR(COUNTIF(F141,"*内破*")&gt;0,G141="恒定伤害"),0,IFERROR(((delta破防+INT((IF(D141="轻剑",$AD$2,$AD$3))/1024*delta破防))/破防系数+Q141+1)/(Q141+1)-1,0))</f>
        <v>0.00447057613551372</v>
      </c>
      <c r="AP141" s="172">
        <f ca="1" t="shared" si="313"/>
        <v>0</v>
      </c>
      <c r="AQ141" s="168">
        <f ca="1" t="shared" si="314"/>
        <v>0.00401583628616287</v>
      </c>
      <c r="AR141">
        <f t="shared" si="315"/>
        <v>1</v>
      </c>
    </row>
    <row r="142" spans="4:44">
      <c r="D142" t="s">
        <v>1825</v>
      </c>
      <c r="E142" t="s">
        <v>2798</v>
      </c>
      <c r="G142" t="s">
        <v>3104</v>
      </c>
      <c r="H142">
        <f ca="1">INDEX(技能数据库!$B$2:$I$100,MATCH(伤害与收益计算!$E142,技能数据库!$B$2:$B$100,0),MATCH(H$9,技能数据库!$B$2:$I$2,0))</f>
        <v>1504.5</v>
      </c>
      <c r="I142">
        <f ca="1">INDEX(技能数据库!$B$2:$I$100,MATCH(伤害与收益计算!$E142,技能数据库!$B$2:$B$100,0),MATCH(I$9,技能数据库!$B$2:$I$2,0))</f>
        <v>2.85625</v>
      </c>
      <c r="J142">
        <f ca="1">INDEX(技能数据库!$B$2:$I$100,MATCH(伤害与收益计算!$E142,技能数据库!$B$2:$B$100,0),MATCH(J$9,技能数据库!$B$2:$I$2,0))</f>
        <v>0</v>
      </c>
      <c r="K142">
        <f ca="1">INDEX(技能数据库!$B$2:$I$100,MATCH(伤害与收益计算!$E142,技能数据库!$B$2:$B$100,0),MATCH(K$9,技能数据库!$B$2:$I$2,0))</f>
        <v>0</v>
      </c>
      <c r="L142">
        <f ca="1" t="shared" si="316"/>
        <v>105847</v>
      </c>
      <c r="M142">
        <f ca="1" t="shared" si="295"/>
        <v>19530.5</v>
      </c>
      <c r="N142">
        <f ca="1" t="shared" si="296"/>
        <v>92028</v>
      </c>
      <c r="O142">
        <f ca="1" t="shared" si="306"/>
        <v>303829.99375</v>
      </c>
      <c r="P142">
        <f ca="1">IF(G142="恒定伤害",0,(IF(D142="轻剑",$AZ$2,$AZ$3)+IFERROR(INDEX(技能数据库!$T$2:$W$27,MATCH(E142,技能数据库!$T$2:$T$27,0),4),0)+COUNTIF(G142,"*造化2*")*154+COUNTIF(G142,"*造化1*")*102+COUNTIF(G142,"*碧归*")*307)/1024)</f>
        <v>0.476672834429785</v>
      </c>
      <c r="Q142">
        <f ca="1" t="shared" si="254"/>
        <v>0.448284482196154</v>
      </c>
      <c r="R142">
        <f ca="1" t="shared" si="307"/>
        <v>0.21277697966198</v>
      </c>
      <c r="S142">
        <f ca="1" t="shared" si="297"/>
        <v>511524.68078327</v>
      </c>
      <c r="T142">
        <f t="shared" si="298"/>
        <v>0.8</v>
      </c>
      <c r="U142">
        <f ca="1" t="shared" si="255"/>
        <v>1.7995442148</v>
      </c>
      <c r="V142">
        <f ca="1" t="shared" si="299"/>
        <v>1145628.76865138</v>
      </c>
      <c r="W142">
        <f ca="1">IF(G142="恒定伤害",0,MIN(1,IF(COUNTIF(F142,"*内会*")&gt;0,内会,IF(D142="轻剑",$Y$2,$Y$3)+COUNTIF(G142,"*莺鸣*")*0.2+COUNTIF(G142,"*叠1*")*0.1+COUNTIF(G142,"*叠2*")*0.2+COUNTIF(G142,"*叠3*")*0.3)+IFERROR(INDEX(技能数据库!$T$2:$W$27,MATCH(E142,技能数据库!$T$2:$T$27,0),2),0)+IF((IF(D142="轻剑",$AO$2,$AO$3)+INT(COUNTIF(G142,"*大莺鸣*")*IF(D142="轻剑",$AM$2,$AM$3)*听晓无双率)/无双系数)&gt;0.9,特效裤子会心/会心系数,0)))</f>
        <v>0.7343</v>
      </c>
      <c r="X142">
        <f ca="1">IF(G142="恒定伤害",0,IF(COUNTIF(F142,"*内会*")&gt;0,内会效,IF(D142="轻剑",$AB$2,$AB$3))+IFERROR(INDEX(技能数据库!$T$2:$W$27,MATCH(E142,技能数据库!$T$2:$T$27,0),3)/1024,0))+COUNTIF(G142,"*叠1*")*0.25+COUNTIF(G142,"*叠2*")*0.5+COUNTIF(G142,"*叠3*")*0.75</f>
        <v>2.3156473116</v>
      </c>
      <c r="Y142">
        <f ca="1" t="shared" si="300"/>
        <v>1.96607982090788</v>
      </c>
      <c r="Z142">
        <f t="shared" si="308"/>
        <v>0.150390625</v>
      </c>
      <c r="AA142">
        <f ca="1" t="shared" si="301"/>
        <v>0.0205078125</v>
      </c>
      <c r="AB142">
        <f ca="1" t="shared" si="302"/>
        <v>2644275.64131323</v>
      </c>
      <c r="AC142">
        <f ca="1">技能数计算!AJ134</f>
        <v>0</v>
      </c>
      <c r="AD142" s="164">
        <f ca="1" t="shared" si="303"/>
        <v>0</v>
      </c>
      <c r="AE142" s="168">
        <f ca="1" t="shared" si="317"/>
        <v>0.00466280495389702</v>
      </c>
      <c r="AF142" s="168">
        <f ca="1" t="shared" si="309"/>
        <v>0</v>
      </c>
      <c r="AG142">
        <f ca="1" t="shared" si="294"/>
        <v>0.00334241552406178</v>
      </c>
      <c r="AH142">
        <f ca="1" t="shared" si="310"/>
        <v>1.00318089109683</v>
      </c>
      <c r="AI142">
        <f ca="1" t="shared" si="311"/>
        <v>1.00016101226475</v>
      </c>
      <c r="AJ142">
        <f ca="1" t="shared" si="312"/>
        <v>0</v>
      </c>
      <c r="AK142">
        <f ca="1" t="shared" si="304"/>
        <v>0</v>
      </c>
      <c r="AL142">
        <f ca="1" t="shared" si="319"/>
        <v>0</v>
      </c>
      <c r="AM142">
        <f ca="1" t="shared" si="305"/>
        <v>0</v>
      </c>
      <c r="AN142" s="168">
        <f ca="1" t="shared" si="318"/>
        <v>0.00750104430192855</v>
      </c>
      <c r="AO142" s="168">
        <f ca="1" t="shared" si="320"/>
        <v>0.00447057613551372</v>
      </c>
      <c r="AP142" s="172">
        <f ca="1" t="shared" si="313"/>
        <v>0</v>
      </c>
      <c r="AQ142" s="168">
        <f ca="1" t="shared" si="314"/>
        <v>0.00401583628616287</v>
      </c>
      <c r="AR142">
        <f t="shared" si="315"/>
        <v>1</v>
      </c>
    </row>
    <row r="143" spans="4:44">
      <c r="D143" t="s">
        <v>1825</v>
      </c>
      <c r="E143" s="161" t="s">
        <v>2924</v>
      </c>
      <c r="G143" t="s">
        <v>3098</v>
      </c>
      <c r="H143">
        <f ca="1">INDEX(技能数据库!$B$2:$I$100,MATCH(伤害与收益计算!$E143,技能数据库!$B$2:$B$100,0),MATCH(H$9,技能数据库!$B$2:$I$2,0))</f>
        <v>0</v>
      </c>
      <c r="I143">
        <f ca="1">INDEX(技能数据库!$B$2:$I$100,MATCH(伤害与收益计算!$E143,技能数据库!$B$2:$B$100,0),MATCH(I$9,技能数据库!$B$2:$I$2,0))</f>
        <v>0</v>
      </c>
      <c r="J143">
        <f ca="1">INDEX(技能数据库!$B$2:$I$100,MATCH(伤害与收益计算!$E143,技能数据库!$B$2:$B$100,0),MATCH(J$9,技能数据库!$B$2:$I$2,0))</f>
        <v>0</v>
      </c>
      <c r="K143">
        <f ca="1">INDEX(技能数据库!$B$2:$I$100,MATCH(伤害与收益计算!$E143,技能数据库!$B$2:$B$100,0),MATCH(K$9,技能数据库!$B$2:$I$2,0))</f>
        <v>0</v>
      </c>
      <c r="L143">
        <f ca="1" t="shared" si="316"/>
        <v>91975</v>
      </c>
      <c r="M143">
        <f ca="1" t="shared" si="295"/>
        <v>19530.5</v>
      </c>
      <c r="N143">
        <f ca="1" t="shared" si="296"/>
        <v>92028</v>
      </c>
      <c r="O143">
        <f ca="1" t="shared" si="306"/>
        <v>0</v>
      </c>
      <c r="P143">
        <f ca="1">IF(G143="恒定伤害",0,(IF(D143="轻剑",$AZ$2,$AZ$3)+IFERROR(INDEX(技能数据库!$T$2:$W$27,MATCH(E143,技能数据库!$T$2:$T$27,0),4),0)+COUNTIF(G143,"*造化2*")*154+COUNTIF(G143,"*造化1*")*102+COUNTIF(G143,"*碧归*")*307)/1024)</f>
        <v>0</v>
      </c>
      <c r="Q143">
        <f ca="1" t="shared" ref="Q143:Q178" si="321">IF(G143="恒定伤害",0,(IF(COUNTIF(F143,"*内破*")&gt;0,内破,IF(D143="轻剑",$AF$2,$AF$3)/破防系数))+IF((IF(D143="轻剑",$AO$2,$AO$3)+INT(COUNTIF(G143,"*大莺鸣*")*IF(D143="轻剑",$AM$2,$AM$3)*听晓无双率)/无双系数)&gt;0.9,(特效裤子破防+特效裤子破防*IF(D143="轻剑",$AD$2,$AD$3)/1024)/破防系数,0))</f>
        <v>0</v>
      </c>
      <c r="R143">
        <f ca="1" t="shared" si="307"/>
        <v>0</v>
      </c>
      <c r="S143">
        <f ca="1" t="shared" si="297"/>
        <v>0</v>
      </c>
      <c r="T143">
        <f t="shared" si="298"/>
        <v>0.8</v>
      </c>
      <c r="U143">
        <f ca="1" t="shared" ref="U143:U178" si="322">IF(G143="恒定伤害",0,(IF(D143="轻剑",$AO$2,$AO$3)+INT(COUNTIF(G143,"*大莺鸣*")*IF(D143="轻剑",$AM$2,$AM$3)*听晓无双率)/无双系数)+IF((IF(D143="轻剑",$AO$2,$AO$3)+INT(COUNTIF(G143,"*大莺鸣*")*IF(D143="轻剑",$AM$2,$AM$3)*听晓无双率)/无双系数)&lt;=0.9,特效裤子无双,0))</f>
        <v>0</v>
      </c>
      <c r="V143">
        <f ca="1" t="shared" si="299"/>
        <v>0</v>
      </c>
      <c r="W143">
        <f ca="1">IF(G143="恒定伤害",0,MIN(1,IF(COUNTIF(F143,"*内会*")&gt;0,内会,IF(D143="轻剑",$Y$2,$Y$3)+COUNTIF(G143,"*莺鸣*")*0.2+COUNTIF(G143,"*叠1*")*0.1+COUNTIF(G143,"*叠2*")*0.2+COUNTIF(G143,"*叠3*")*0.3)+IFERROR(INDEX(技能数据库!$T$2:$W$27,MATCH(E143,技能数据库!$T$2:$T$27,0),2),0)+IF((IF(D143="轻剑",$AO$2,$AO$3)+INT(COUNTIF(G143,"*大莺鸣*")*IF(D143="轻剑",$AM$2,$AM$3)*听晓无双率)/无双系数)&gt;0.9,特效裤子会心/会心系数,0)))</f>
        <v>0</v>
      </c>
      <c r="X143">
        <f ca="1">IF(G143="恒定伤害",0,IF(COUNTIF(F143,"*内会*")&gt;0,内会效,IF(D143="轻剑",$AB$2,$AB$3))+IFERROR(INDEX(技能数据库!$T$2:$W$27,MATCH(E143,技能数据库!$T$2:$T$27,0),3)/1024,0))+COUNTIF(G143,"*叠1*")*0.25+COUNTIF(G143,"*叠2*")*0.5+COUNTIF(G143,"*叠3*")*0.75</f>
        <v>0</v>
      </c>
      <c r="Y143">
        <f ca="1" t="shared" si="300"/>
        <v>1</v>
      </c>
      <c r="Z143">
        <f t="shared" si="308"/>
        <v>0</v>
      </c>
      <c r="AA143">
        <f ca="1" t="shared" si="301"/>
        <v>0.0205078125</v>
      </c>
      <c r="AB143">
        <f ca="1" t="shared" si="302"/>
        <v>0</v>
      </c>
      <c r="AC143" s="171">
        <f ca="1">技能数计算!AJ135</f>
        <v>86.25</v>
      </c>
      <c r="AD143" s="164">
        <f ca="1" t="shared" si="303"/>
        <v>0</v>
      </c>
      <c r="AE143" s="168">
        <f ca="1" t="shared" si="317"/>
        <v>0</v>
      </c>
      <c r="AF143" s="168">
        <f ca="1" t="shared" si="309"/>
        <v>0</v>
      </c>
      <c r="AG143">
        <f ca="1" t="shared" si="294"/>
        <v>0</v>
      </c>
      <c r="AH143">
        <f ca="1" t="shared" si="310"/>
        <v>0</v>
      </c>
      <c r="AI143">
        <f ca="1" t="shared" si="311"/>
        <v>1.00023319156448</v>
      </c>
      <c r="AJ143">
        <f ca="1" t="shared" si="312"/>
        <v>0</v>
      </c>
      <c r="AK143" s="171">
        <f ca="1">$AC$10*MIN($W$10+((delta身法+INT((IF(D126="轻剑",$N$2,$N$3))/1024*delta身法))*身法转基础会心/会心系数),1)</f>
        <v>0</v>
      </c>
      <c r="AL143">
        <f ca="1" t="shared" si="319"/>
        <v>0</v>
      </c>
      <c r="AM143" s="171">
        <f ca="1">$AC$10*MIN($W$10+delta会心/会心系数,1)</f>
        <v>0</v>
      </c>
      <c r="AN143" s="168">
        <f ca="1" t="shared" si="318"/>
        <v>0</v>
      </c>
      <c r="AO143" s="168">
        <f ca="1" t="shared" si="320"/>
        <v>0</v>
      </c>
      <c r="AP143" s="172">
        <f ca="1" t="shared" si="313"/>
        <v>0</v>
      </c>
      <c r="AQ143" s="168">
        <f ca="1" t="shared" si="314"/>
        <v>0</v>
      </c>
      <c r="AR143">
        <f t="shared" si="315"/>
        <v>1</v>
      </c>
    </row>
    <row r="144" spans="4:44">
      <c r="D144" t="s">
        <v>1825</v>
      </c>
      <c r="E144" t="s">
        <v>2776</v>
      </c>
      <c r="G144" t="s">
        <v>3105</v>
      </c>
      <c r="H144">
        <f ca="1">INDEX(技能数据库!$B$2:$I$100,MATCH(伤害与收益计算!$E144,技能数据库!$B$2:$B$100,0),MATCH(H$9,技能数据库!$B$2:$I$2,0))</f>
        <v>281.5</v>
      </c>
      <c r="I144">
        <f ca="1">INDEX(技能数据库!$B$2:$I$100,MATCH(伤害与收益计算!$E144,技能数据库!$B$2:$B$100,0),MATCH(I$9,技能数据库!$B$2:$I$2,0))</f>
        <v>7.06875</v>
      </c>
      <c r="J144">
        <f ca="1">INDEX(技能数据库!$B$2:$I$100,MATCH(伤害与收益计算!$E144,技能数据库!$B$2:$B$100,0),MATCH(J$9,技能数据库!$B$2:$I$2,0))</f>
        <v>2</v>
      </c>
      <c r="K144">
        <f ca="1">INDEX(技能数据库!$B$2:$I$100,MATCH(伤害与收益计算!$E144,技能数据库!$B$2:$B$100,0),MATCH(K$9,技能数据库!$B$2:$I$2,0))</f>
        <v>0</v>
      </c>
      <c r="L144">
        <f ca="1" t="shared" si="316"/>
        <v>105847</v>
      </c>
      <c r="M144">
        <f ca="1" t="shared" ref="M144:M151" si="323">IF(D144="轻剑",$AU$2+$AV$2,$AU$3+$AV$3)/2</f>
        <v>19530.5</v>
      </c>
      <c r="N144">
        <f ca="1" t="shared" ref="N144:N151" si="324">IF(D144="轻剑",$AJ$2,$AJ$3)</f>
        <v>92028</v>
      </c>
      <c r="O144">
        <f ca="1" t="shared" si="306"/>
        <v>787548.48125</v>
      </c>
      <c r="P144">
        <f ca="1">IF(G144="恒定伤害",0,(IF(D144="轻剑",$AZ$2,$AZ$3)+IFERROR(INDEX(技能数据库!$T$2:$W$27,MATCH(E144,技能数据库!$T$2:$T$27,0),4),0)+COUNTIF(G144,"*造化2*")*154+COUNTIF(G144,"*造化1*")*102+COUNTIF(G144,"*碧归*")*307)/1024)</f>
        <v>0.397571271929785</v>
      </c>
      <c r="Q144">
        <f ca="1" t="shared" si="321"/>
        <v>0.448284482196154</v>
      </c>
      <c r="R144">
        <f ca="1" t="shared" si="307"/>
        <v>0.21277697966198</v>
      </c>
      <c r="S144">
        <f ca="1" t="shared" ref="S144:S151" si="325">O144*(1+P144)*(1+Q144)*(1-R144)</f>
        <v>1254882.10454453</v>
      </c>
      <c r="T144">
        <f t="shared" ref="T144:T151" si="326">1-($F$6-130)*0.05</f>
        <v>0.8</v>
      </c>
      <c r="U144">
        <f ca="1" t="shared" si="322"/>
        <v>1.7995442148</v>
      </c>
      <c r="V144">
        <f ca="1" t="shared" ref="V144:V151" si="327">S144*T144*(1+U144)</f>
        <v>2810478.34882695</v>
      </c>
      <c r="W144">
        <f ca="1">IF(G144="恒定伤害",0,MIN(1,IF(COUNTIF(F144,"*内会*")&gt;0,内会,IF(D144="轻剑",$Y$2,$Y$3)+COUNTIF(G144,"*莺鸣*")*0.2+COUNTIF(G144,"*叠1*")*0.1+COUNTIF(G144,"*叠2*")*0.2+COUNTIF(G144,"*叠3*")*0.3)+IFERROR(INDEX(技能数据库!$T$2:$W$27,MATCH(E144,技能数据库!$T$2:$T$27,0),2),0)+IF((IF(D144="轻剑",$AO$2,$AO$3)+INT(COUNTIF(G144,"*大莺鸣*")*IF(D144="轻剑",$AM$2,$AM$3)*听晓无双率)/无双系数)&gt;0.9,特效裤子会心/会心系数,0)))</f>
        <v>0.8343</v>
      </c>
      <c r="X144">
        <f ca="1">IF(G144="恒定伤害",0,IF(COUNTIF(F144,"*内会*")&gt;0,内会效,IF(D144="轻剑",$AB$2,$AB$3))+IFERROR(INDEX(技能数据库!$T$2:$W$27,MATCH(E144,技能数据库!$T$2:$T$27,0),3)/1024,0))+COUNTIF(G144,"*叠1*")*0.25+COUNTIF(G144,"*叠2*")*0.5+COUNTIF(G144,"*叠3*")*0.75</f>
        <v>2.5656473116</v>
      </c>
      <c r="Y144">
        <f ca="1" t="shared" ref="Y144:Y151" si="328">1+W144*(X144-1)</f>
        <v>2.30621955206788</v>
      </c>
      <c r="Z144">
        <f t="shared" si="308"/>
        <v>0.150390625</v>
      </c>
      <c r="AA144">
        <f ca="1" t="shared" ref="AA144:AA151" si="329">IF(D144="轻剑",$BA$2,$BA$3)/1024</f>
        <v>0.0205078125</v>
      </c>
      <c r="AB144">
        <f ca="1" t="shared" ref="AB144:AB151" si="330">V144*Y144*(1+Z144)*(1+AA144)</f>
        <v>7609262.41107517</v>
      </c>
      <c r="AC144">
        <f ca="1">技能数计算!AJ136</f>
        <v>5</v>
      </c>
      <c r="AD144" s="164">
        <f ca="1" t="shared" si="303"/>
        <v>0.0122133405844778</v>
      </c>
      <c r="AE144" s="168">
        <f ca="1" t="shared" si="317"/>
        <v>0.00445191640067048</v>
      </c>
      <c r="AF144" s="168">
        <f ca="1" t="shared" si="309"/>
        <v>0.00151419249530805</v>
      </c>
      <c r="AG144">
        <f ca="1" t="shared" ref="AG144:AG150" si="331">IF(G144="恒定伤害",0,MAX(0,AH144*AI144*IF(AJ144=0,1,AJ144)-1))</f>
        <v>0.00378139160926838</v>
      </c>
      <c r="AH144">
        <f ca="1" t="shared" si="310"/>
        <v>1.0030370262927</v>
      </c>
      <c r="AI144">
        <f ca="1" t="shared" si="311"/>
        <v>1.00016101226475</v>
      </c>
      <c r="AJ144">
        <f ca="1" t="shared" si="312"/>
        <v>1.00058100569062</v>
      </c>
      <c r="AK144">
        <f ca="1" t="shared" ref="AK144:AK154" si="332">AC144</f>
        <v>5</v>
      </c>
      <c r="AL144">
        <f ca="1" t="shared" si="319"/>
        <v>0.00502370759680582</v>
      </c>
      <c r="AM144">
        <f ca="1" t="shared" ref="AM144:AM154" si="333">AC144</f>
        <v>5</v>
      </c>
      <c r="AN144" s="168">
        <f ca="1" t="shared" si="318"/>
        <v>0.00726559092089141</v>
      </c>
      <c r="AO144" s="168">
        <f ca="1" t="shared" si="320"/>
        <v>0.00447057613551372</v>
      </c>
      <c r="AP144" s="172">
        <f ca="1" t="shared" si="313"/>
        <v>0</v>
      </c>
      <c r="AQ144" s="168">
        <f ca="1" t="shared" si="314"/>
        <v>0.00401583628616287</v>
      </c>
      <c r="AR144">
        <f t="shared" si="315"/>
        <v>1</v>
      </c>
    </row>
    <row r="145" spans="4:55">
      <c r="D145" t="s">
        <v>1825</v>
      </c>
      <c r="E145" t="s">
        <v>2776</v>
      </c>
      <c r="G145" t="s">
        <v>3106</v>
      </c>
      <c r="H145">
        <f ca="1">INDEX(技能数据库!$B$2:$I$100,MATCH(伤害与收益计算!$E145,技能数据库!$B$2:$B$100,0),MATCH(H$9,技能数据库!$B$2:$I$2,0))</f>
        <v>281.5</v>
      </c>
      <c r="I145">
        <f ca="1">INDEX(技能数据库!$B$2:$I$100,MATCH(伤害与收益计算!$E145,技能数据库!$B$2:$B$100,0),MATCH(I$9,技能数据库!$B$2:$I$2,0))</f>
        <v>7.06875</v>
      </c>
      <c r="J145">
        <f ca="1">INDEX(技能数据库!$B$2:$I$100,MATCH(伤害与收益计算!$E145,技能数据库!$B$2:$B$100,0),MATCH(J$9,技能数据库!$B$2:$I$2,0))</f>
        <v>2</v>
      </c>
      <c r="K145">
        <f ca="1">INDEX(技能数据库!$B$2:$I$100,MATCH(伤害与收益计算!$E145,技能数据库!$B$2:$B$100,0),MATCH(K$9,技能数据库!$B$2:$I$2,0))</f>
        <v>0</v>
      </c>
      <c r="L145">
        <f ca="1" t="shared" si="316"/>
        <v>105847</v>
      </c>
      <c r="M145">
        <f ca="1" t="shared" si="323"/>
        <v>19530.5</v>
      </c>
      <c r="N145">
        <f ca="1" t="shared" si="324"/>
        <v>92028</v>
      </c>
      <c r="O145">
        <f ca="1" t="shared" si="306"/>
        <v>787548.48125</v>
      </c>
      <c r="P145">
        <f ca="1">IF(G145="恒定伤害",0,(IF(D145="轻剑",$AZ$2,$AZ$3)+IFERROR(INDEX(技能数据库!$T$2:$W$27,MATCH(E145,技能数据库!$T$2:$T$27,0),4),0)+COUNTIF(G145,"*造化2*")*154+COUNTIF(G145,"*造化1*")*102+COUNTIF(G145,"*碧归*")*307)/1024)</f>
        <v>0.397571271929785</v>
      </c>
      <c r="Q145">
        <f ca="1" t="shared" si="321"/>
        <v>0.448284482196154</v>
      </c>
      <c r="R145">
        <f ca="1" t="shared" si="307"/>
        <v>0.21277697966198</v>
      </c>
      <c r="S145">
        <f ca="1" t="shared" si="325"/>
        <v>1254882.10454453</v>
      </c>
      <c r="T145">
        <f t="shared" si="326"/>
        <v>0.8</v>
      </c>
      <c r="U145">
        <f ca="1" t="shared" si="322"/>
        <v>1.7995442148</v>
      </c>
      <c r="V145">
        <f ca="1" t="shared" si="327"/>
        <v>2810478.34882695</v>
      </c>
      <c r="W145">
        <f ca="1">IF(G145="恒定伤害",0,MIN(1,IF(COUNTIF(F145,"*内会*")&gt;0,内会,IF(D145="轻剑",$Y$2,$Y$3)+COUNTIF(G145,"*莺鸣*")*0.2+COUNTIF(G145,"*叠1*")*0.1+COUNTIF(G145,"*叠2*")*0.2+COUNTIF(G145,"*叠3*")*0.3)+IFERROR(INDEX(技能数据库!$T$2:$W$27,MATCH(E145,技能数据库!$T$2:$T$27,0),2),0)+IF((IF(D145="轻剑",$AO$2,$AO$3)+INT(COUNTIF(G145,"*大莺鸣*")*IF(D145="轻剑",$AM$2,$AM$3)*听晓无双率)/无双系数)&gt;0.9,特效裤子会心/会心系数,0)))</f>
        <v>0.9343</v>
      </c>
      <c r="X145">
        <f ca="1">IF(G145="恒定伤害",0,IF(COUNTIF(F145,"*内会*")&gt;0,内会效,IF(D145="轻剑",$AB$2,$AB$3))+IFERROR(INDEX(技能数据库!$T$2:$W$27,MATCH(E145,技能数据库!$T$2:$T$27,0),3)/1024,0))+COUNTIF(G145,"*叠1*")*0.25+COUNTIF(G145,"*叠2*")*0.5+COUNTIF(G145,"*叠3*")*0.75</f>
        <v>2.8156473116</v>
      </c>
      <c r="Y145">
        <f ca="1" t="shared" si="328"/>
        <v>2.69635928322788</v>
      </c>
      <c r="Z145">
        <f t="shared" si="308"/>
        <v>0.150390625</v>
      </c>
      <c r="AA145">
        <f ca="1" t="shared" si="329"/>
        <v>0.0205078125</v>
      </c>
      <c r="AB145">
        <f ca="1" t="shared" si="330"/>
        <v>8896510.01450516</v>
      </c>
      <c r="AC145">
        <f ca="1">技能数计算!AJ137</f>
        <v>0</v>
      </c>
      <c r="AD145" s="164">
        <f ca="1" t="shared" si="303"/>
        <v>0</v>
      </c>
      <c r="AE145" s="168">
        <f ca="1" t="shared" si="317"/>
        <v>0.00445191640067048</v>
      </c>
      <c r="AF145" s="168">
        <f ca="1" t="shared" si="309"/>
        <v>0.00151419249530805</v>
      </c>
      <c r="AG145">
        <f ca="1" t="shared" si="331"/>
        <v>0.00319852755593519</v>
      </c>
      <c r="AH145">
        <f ca="1" t="shared" si="310"/>
        <v>1.0030370262927</v>
      </c>
      <c r="AI145">
        <f ca="1" t="shared" si="311"/>
        <v>1.00016101226475</v>
      </c>
      <c r="AJ145">
        <f ca="1" t="shared" si="312"/>
        <v>0</v>
      </c>
      <c r="AK145">
        <f ca="1" t="shared" si="332"/>
        <v>0</v>
      </c>
      <c r="AL145">
        <f ca="1" t="shared" si="319"/>
        <v>0</v>
      </c>
      <c r="AM145">
        <f ca="1" t="shared" si="333"/>
        <v>0</v>
      </c>
      <c r="AN145" s="168">
        <f ca="1" t="shared" si="318"/>
        <v>0.00695917786518119</v>
      </c>
      <c r="AO145" s="168">
        <f ca="1" t="shared" si="320"/>
        <v>0.00447057613551372</v>
      </c>
      <c r="AP145" s="172">
        <f ca="1" t="shared" si="313"/>
        <v>0</v>
      </c>
      <c r="AQ145" s="168">
        <f ca="1" t="shared" si="314"/>
        <v>0.00401583628616287</v>
      </c>
      <c r="AR145">
        <f t="shared" si="315"/>
        <v>1</v>
      </c>
    </row>
    <row r="146" spans="4:55">
      <c r="D146" t="s">
        <v>1825</v>
      </c>
      <c r="E146" t="s">
        <v>2776</v>
      </c>
      <c r="G146" t="s">
        <v>3107</v>
      </c>
      <c r="H146">
        <f ca="1">INDEX(技能数据库!$B$2:$I$100,MATCH(伤害与收益计算!$E146,技能数据库!$B$2:$B$100,0),MATCH(H$9,技能数据库!$B$2:$I$2,0))</f>
        <v>281.5</v>
      </c>
      <c r="I146">
        <f ca="1">INDEX(技能数据库!$B$2:$I$100,MATCH(伤害与收益计算!$E146,技能数据库!$B$2:$B$100,0),MATCH(I$9,技能数据库!$B$2:$I$2,0))</f>
        <v>7.06875</v>
      </c>
      <c r="J146">
        <f ca="1">INDEX(技能数据库!$B$2:$I$100,MATCH(伤害与收益计算!$E146,技能数据库!$B$2:$B$100,0),MATCH(J$9,技能数据库!$B$2:$I$2,0))</f>
        <v>2</v>
      </c>
      <c r="K146">
        <f ca="1">INDEX(技能数据库!$B$2:$I$100,MATCH(伤害与收益计算!$E146,技能数据库!$B$2:$B$100,0),MATCH(K$9,技能数据库!$B$2:$I$2,0))</f>
        <v>0</v>
      </c>
      <c r="L146">
        <f ca="1" t="shared" si="316"/>
        <v>105847</v>
      </c>
      <c r="M146">
        <f ca="1" t="shared" si="323"/>
        <v>19530.5</v>
      </c>
      <c r="N146">
        <f ca="1" t="shared" si="324"/>
        <v>92028</v>
      </c>
      <c r="O146">
        <f ca="1" t="shared" si="306"/>
        <v>787548.48125</v>
      </c>
      <c r="P146">
        <f ca="1">IF(G146="恒定伤害",0,(IF(D146="轻剑",$AZ$2,$AZ$3)+IFERROR(INDEX(技能数据库!$T$2:$W$27,MATCH(E146,技能数据库!$T$2:$T$27,0),4),0)+COUNTIF(G146,"*造化2*")*154+COUNTIF(G146,"*造化1*")*102+COUNTIF(G146,"*碧归*")*307)/1024)</f>
        <v>0.397571271929785</v>
      </c>
      <c r="Q146">
        <f ca="1" t="shared" si="321"/>
        <v>0.448284482196154</v>
      </c>
      <c r="R146">
        <f ca="1" t="shared" si="307"/>
        <v>0.21277697966198</v>
      </c>
      <c r="S146">
        <f ca="1" t="shared" si="325"/>
        <v>1254882.10454453</v>
      </c>
      <c r="T146">
        <f t="shared" si="326"/>
        <v>0.8</v>
      </c>
      <c r="U146">
        <f ca="1" t="shared" si="322"/>
        <v>1.7995442148</v>
      </c>
      <c r="V146">
        <f ca="1" t="shared" si="327"/>
        <v>2810478.34882695</v>
      </c>
      <c r="W146">
        <f ca="1">IF(G146="恒定伤害",0,MIN(1,IF(COUNTIF(F146,"*内会*")&gt;0,内会,IF(D146="轻剑",$Y$2,$Y$3)+COUNTIF(G146,"*莺鸣*")*0.2+COUNTIF(G146,"*叠1*")*0.1+COUNTIF(G146,"*叠2*")*0.2+COUNTIF(G146,"*叠3*")*0.3)+IFERROR(INDEX(技能数据库!$T$2:$W$27,MATCH(E146,技能数据库!$T$2:$T$27,0),2),0)+IF((IF(D146="轻剑",$AO$2,$AO$3)+INT(COUNTIF(G146,"*大莺鸣*")*IF(D146="轻剑",$AM$2,$AM$3)*听晓无双率)/无双系数)&gt;0.9,特效裤子会心/会心系数,0)))</f>
        <v>1</v>
      </c>
      <c r="X146">
        <f ca="1">IF(G146="恒定伤害",0,IF(COUNTIF(F146,"*内会*")&gt;0,内会效,IF(D146="轻剑",$AB$2,$AB$3))+IFERROR(INDEX(技能数据库!$T$2:$W$27,MATCH(E146,技能数据库!$T$2:$T$27,0),3)/1024,0))+COUNTIF(G146,"*叠1*")*0.25+COUNTIF(G146,"*叠2*")*0.5+COUNTIF(G146,"*叠3*")*0.75</f>
        <v>3.0656473116</v>
      </c>
      <c r="Y146">
        <f ca="1" t="shared" si="328"/>
        <v>3.0656473116</v>
      </c>
      <c r="Z146">
        <f t="shared" si="308"/>
        <v>0.150390625</v>
      </c>
      <c r="AA146">
        <f ca="1" t="shared" si="329"/>
        <v>0.0205078125</v>
      </c>
      <c r="AB146">
        <f ca="1" t="shared" si="330"/>
        <v>10114958.4101197</v>
      </c>
      <c r="AC146">
        <f ca="1">技能数计算!AJ138</f>
        <v>18</v>
      </c>
      <c r="AD146" s="164">
        <f ca="1" t="shared" si="303"/>
        <v>0.058446499988084</v>
      </c>
      <c r="AE146" s="168">
        <f ca="1" t="shared" si="317"/>
        <v>0.00445191640067048</v>
      </c>
      <c r="AF146" s="168">
        <f ca="1" t="shared" si="309"/>
        <v>0.00151419249530805</v>
      </c>
      <c r="AG146">
        <f ca="1" t="shared" si="331"/>
        <v>0.00319852755593519</v>
      </c>
      <c r="AH146">
        <f ca="1" t="shared" si="310"/>
        <v>1.0030370262927</v>
      </c>
      <c r="AI146">
        <f ca="1" t="shared" si="311"/>
        <v>1.00016101226475</v>
      </c>
      <c r="AJ146">
        <f ca="1" t="shared" si="312"/>
        <v>1</v>
      </c>
      <c r="AK146">
        <f ca="1" t="shared" si="332"/>
        <v>18</v>
      </c>
      <c r="AL146">
        <f ca="1" t="shared" si="319"/>
        <v>0</v>
      </c>
      <c r="AM146">
        <f ca="1" t="shared" si="333"/>
        <v>18</v>
      </c>
      <c r="AN146" s="168">
        <f ca="1" t="shared" si="318"/>
        <v>0.00655129503556839</v>
      </c>
      <c r="AO146" s="168">
        <f ca="1" t="shared" si="320"/>
        <v>0.00447057613551372</v>
      </c>
      <c r="AP146" s="172">
        <f ca="1" t="shared" si="313"/>
        <v>0</v>
      </c>
      <c r="AQ146" s="168">
        <f ca="1" t="shared" si="314"/>
        <v>0.00401583628616287</v>
      </c>
      <c r="AR146">
        <f t="shared" si="315"/>
        <v>1</v>
      </c>
    </row>
    <row r="147" spans="4:55">
      <c r="D147" t="s">
        <v>1825</v>
      </c>
      <c r="E147" t="s">
        <v>2780</v>
      </c>
      <c r="G147" t="s">
        <v>3105</v>
      </c>
      <c r="H147">
        <f ca="1">INDEX(技能数据库!$B$2:$I$100,MATCH(伤害与收益计算!$E147,技能数据库!$B$2:$B$100,0),MATCH(H$9,技能数据库!$B$2:$I$2,0))</f>
        <v>252.5</v>
      </c>
      <c r="I147">
        <f ca="1">INDEX(技能数据库!$B$2:$I$100,MATCH(伤害与收益计算!$E147,技能数据库!$B$2:$B$100,0),MATCH(I$9,技能数据库!$B$2:$I$2,0))</f>
        <v>2.11875</v>
      </c>
      <c r="J147">
        <f ca="1">INDEX(技能数据库!$B$2:$I$100,MATCH(伤害与收益计算!$E147,技能数据库!$B$2:$B$100,0),MATCH(J$9,技能数据库!$B$2:$I$2,0))</f>
        <v>2</v>
      </c>
      <c r="K147">
        <f ca="1">INDEX(技能数据库!$B$2:$I$100,MATCH(伤害与收益计算!$E147,技能数据库!$B$2:$B$100,0),MATCH(K$9,技能数据库!$B$2:$I$2,0))</f>
        <v>0</v>
      </c>
      <c r="L147">
        <f ca="1" t="shared" si="316"/>
        <v>105847</v>
      </c>
      <c r="M147">
        <f ca="1" t="shared" si="323"/>
        <v>19530.5</v>
      </c>
      <c r="N147">
        <f ca="1" t="shared" si="324"/>
        <v>92028</v>
      </c>
      <c r="O147">
        <f ca="1" t="shared" si="306"/>
        <v>263576.83125</v>
      </c>
      <c r="P147">
        <f ca="1">IF(G147="恒定伤害",0,(IF(D147="轻剑",$AZ$2,$AZ$3)+IFERROR(INDEX(技能数据库!$T$2:$W$27,MATCH(E147,技能数据库!$T$2:$T$27,0),4),0)+COUNTIF(G147,"*造化2*")*154+COUNTIF(G147,"*造化1*")*102+COUNTIF(G147,"*碧归*")*307)/1024)</f>
        <v>0.397571271929785</v>
      </c>
      <c r="Q147">
        <f ca="1" t="shared" si="321"/>
        <v>0.448284482196154</v>
      </c>
      <c r="R147">
        <f ca="1" t="shared" si="307"/>
        <v>0.21277697966198</v>
      </c>
      <c r="S147">
        <f ca="1" t="shared" si="325"/>
        <v>419984.11092508</v>
      </c>
      <c r="T147">
        <f t="shared" si="326"/>
        <v>0.8</v>
      </c>
      <c r="U147">
        <f ca="1" t="shared" si="322"/>
        <v>1.7995442148</v>
      </c>
      <c r="V147">
        <f ca="1" t="shared" si="327"/>
        <v>940611.270438584</v>
      </c>
      <c r="W147">
        <f ca="1">IF(G147="恒定伤害",0,MIN(1,IF(COUNTIF(F147,"*内会*")&gt;0,内会,IF(D147="轻剑",$Y$2,$Y$3)+COUNTIF(G147,"*莺鸣*")*0.2+COUNTIF(G147,"*叠1*")*0.1+COUNTIF(G147,"*叠2*")*0.2+COUNTIF(G147,"*叠3*")*0.3)+IFERROR(INDEX(技能数据库!$T$2:$W$27,MATCH(E147,技能数据库!$T$2:$T$27,0),2),0)+IF((IF(D147="轻剑",$AO$2,$AO$3)+INT(COUNTIF(G147,"*大莺鸣*")*IF(D147="轻剑",$AM$2,$AM$3)*听晓无双率)/无双系数)&gt;0.9,特效裤子会心/会心系数,0)))</f>
        <v>0.8343</v>
      </c>
      <c r="X147">
        <f ca="1">IF(G147="恒定伤害",0,IF(COUNTIF(F147,"*内会*")&gt;0,内会效,IF(D147="轻剑",$AB$2,$AB$3))+IFERROR(INDEX(技能数据库!$T$2:$W$27,MATCH(E147,技能数据库!$T$2:$T$27,0),3)/1024,0))+COUNTIF(G147,"*叠1*")*0.25+COUNTIF(G147,"*叠2*")*0.5+COUNTIF(G147,"*叠3*")*0.75</f>
        <v>2.5656473116</v>
      </c>
      <c r="Y147">
        <f ca="1" t="shared" si="328"/>
        <v>2.30621955206788</v>
      </c>
      <c r="Z147">
        <f t="shared" si="308"/>
        <v>0.150390625</v>
      </c>
      <c r="AA147">
        <f ca="1" t="shared" si="329"/>
        <v>0.0205078125</v>
      </c>
      <c r="AB147">
        <f ca="1" t="shared" si="330"/>
        <v>2546668.96351269</v>
      </c>
      <c r="AC147">
        <f ca="1">技能数计算!AJ139</f>
        <v>5</v>
      </c>
      <c r="AD147" s="164">
        <f ca="1" t="shared" si="303"/>
        <v>0.00408756246361396</v>
      </c>
      <c r="AE147" s="168">
        <f ca="1" t="shared" si="317"/>
        <v>0.00398707274465726</v>
      </c>
      <c r="AF147" s="168">
        <f ca="1" t="shared" si="309"/>
        <v>0.00452429750499931</v>
      </c>
      <c r="AG147">
        <f ca="1" t="shared" si="331"/>
        <v>0.00346404735828987</v>
      </c>
      <c r="AH147">
        <f ca="1" t="shared" si="310"/>
        <v>1.0027199173719</v>
      </c>
      <c r="AI147">
        <f ca="1" t="shared" si="311"/>
        <v>1.00016101226475</v>
      </c>
      <c r="AJ147">
        <f ca="1" t="shared" si="312"/>
        <v>1.00058100569062</v>
      </c>
      <c r="AK147">
        <f ca="1" t="shared" si="332"/>
        <v>5</v>
      </c>
      <c r="AL147">
        <f ca="1" t="shared" si="319"/>
        <v>0.00502370759680582</v>
      </c>
      <c r="AM147">
        <f ca="1" t="shared" si="333"/>
        <v>5</v>
      </c>
      <c r="AN147" s="168">
        <f ca="1" t="shared" si="318"/>
        <v>0.00726559092089141</v>
      </c>
      <c r="AO147" s="168">
        <f ca="1" t="shared" si="320"/>
        <v>0.00447057613551372</v>
      </c>
      <c r="AP147" s="172">
        <f ca="1" t="shared" si="313"/>
        <v>0</v>
      </c>
      <c r="AQ147" s="168">
        <f ca="1" t="shared" si="314"/>
        <v>0.00401583628616287</v>
      </c>
      <c r="AR147">
        <f t="shared" si="315"/>
        <v>1</v>
      </c>
    </row>
    <row r="148" spans="4:55">
      <c r="D148" t="s">
        <v>1825</v>
      </c>
      <c r="E148" t="s">
        <v>2780</v>
      </c>
      <c r="G148" t="s">
        <v>3106</v>
      </c>
      <c r="H148">
        <f ca="1">INDEX(技能数据库!$B$2:$I$100,MATCH(伤害与收益计算!$E148,技能数据库!$B$2:$B$100,0),MATCH(H$9,技能数据库!$B$2:$I$2,0))</f>
        <v>252.5</v>
      </c>
      <c r="I148">
        <f ca="1">INDEX(技能数据库!$B$2:$I$100,MATCH(伤害与收益计算!$E148,技能数据库!$B$2:$B$100,0),MATCH(I$9,技能数据库!$B$2:$I$2,0))</f>
        <v>2.11875</v>
      </c>
      <c r="J148">
        <f ca="1">INDEX(技能数据库!$B$2:$I$100,MATCH(伤害与收益计算!$E148,技能数据库!$B$2:$B$100,0),MATCH(J$9,技能数据库!$B$2:$I$2,0))</f>
        <v>2</v>
      </c>
      <c r="K148">
        <f ca="1">INDEX(技能数据库!$B$2:$I$100,MATCH(伤害与收益计算!$E148,技能数据库!$B$2:$B$100,0),MATCH(K$9,技能数据库!$B$2:$I$2,0))</f>
        <v>0</v>
      </c>
      <c r="L148">
        <f ca="1" t="shared" si="316"/>
        <v>105847</v>
      </c>
      <c r="M148">
        <f ca="1" t="shared" si="323"/>
        <v>19530.5</v>
      </c>
      <c r="N148">
        <f ca="1" t="shared" si="324"/>
        <v>92028</v>
      </c>
      <c r="O148">
        <f ca="1" t="shared" si="306"/>
        <v>263576.83125</v>
      </c>
      <c r="P148">
        <f ca="1">IF(G148="恒定伤害",0,(IF(D148="轻剑",$AZ$2,$AZ$3)+IFERROR(INDEX(技能数据库!$T$2:$W$27,MATCH(E148,技能数据库!$T$2:$T$27,0),4),0)+COUNTIF(G148,"*造化2*")*154+COUNTIF(G148,"*造化1*")*102+COUNTIF(G148,"*碧归*")*307)/1024)</f>
        <v>0.397571271929785</v>
      </c>
      <c r="Q148">
        <f ca="1" t="shared" si="321"/>
        <v>0.448284482196154</v>
      </c>
      <c r="R148">
        <f ca="1" t="shared" si="307"/>
        <v>0.21277697966198</v>
      </c>
      <c r="S148">
        <f ca="1" t="shared" si="325"/>
        <v>419984.11092508</v>
      </c>
      <c r="T148">
        <f t="shared" si="326"/>
        <v>0.8</v>
      </c>
      <c r="U148">
        <f ca="1" t="shared" si="322"/>
        <v>1.7995442148</v>
      </c>
      <c r="V148">
        <f ca="1" t="shared" si="327"/>
        <v>940611.270438584</v>
      </c>
      <c r="W148">
        <f ca="1">IF(G148="恒定伤害",0,MIN(1,IF(COUNTIF(F148,"*内会*")&gt;0,内会,IF(D148="轻剑",$Y$2,$Y$3)+COUNTIF(G148,"*莺鸣*")*0.2+COUNTIF(G148,"*叠1*")*0.1+COUNTIF(G148,"*叠2*")*0.2+COUNTIF(G148,"*叠3*")*0.3)+IFERROR(INDEX(技能数据库!$T$2:$W$27,MATCH(E148,技能数据库!$T$2:$T$27,0),2),0)+IF((IF(D148="轻剑",$AO$2,$AO$3)+INT(COUNTIF(G148,"*大莺鸣*")*IF(D148="轻剑",$AM$2,$AM$3)*听晓无双率)/无双系数)&gt;0.9,特效裤子会心/会心系数,0)))</f>
        <v>0.9343</v>
      </c>
      <c r="X148">
        <f ca="1">IF(G148="恒定伤害",0,IF(COUNTIF(F148,"*内会*")&gt;0,内会效,IF(D148="轻剑",$AB$2,$AB$3))+IFERROR(INDEX(技能数据库!$T$2:$W$27,MATCH(E148,技能数据库!$T$2:$T$27,0),3)/1024,0))+COUNTIF(G148,"*叠1*")*0.25+COUNTIF(G148,"*叠2*")*0.5+COUNTIF(G148,"*叠3*")*0.75</f>
        <v>2.8156473116</v>
      </c>
      <c r="Y148">
        <f ca="1" t="shared" si="328"/>
        <v>2.69635928322788</v>
      </c>
      <c r="Z148">
        <f t="shared" si="308"/>
        <v>0.150390625</v>
      </c>
      <c r="AA148">
        <f ca="1" t="shared" si="329"/>
        <v>0.0205078125</v>
      </c>
      <c r="AB148">
        <f ca="1" t="shared" si="330"/>
        <v>2977485.16394229</v>
      </c>
      <c r="AC148">
        <f ca="1">技能数计算!AJ140</f>
        <v>4</v>
      </c>
      <c r="AD148" s="164">
        <f ca="1" t="shared" si="303"/>
        <v>0.00382323946032175</v>
      </c>
      <c r="AE148" s="168">
        <f ca="1" t="shared" si="317"/>
        <v>0.00398707274465726</v>
      </c>
      <c r="AF148" s="168">
        <f ca="1" t="shared" si="309"/>
        <v>0.00452429750499931</v>
      </c>
      <c r="AG148">
        <f ca="1" t="shared" si="331"/>
        <v>0.00345931774224595</v>
      </c>
      <c r="AH148">
        <f ca="1" t="shared" si="310"/>
        <v>1.0027199173719</v>
      </c>
      <c r="AI148">
        <f ca="1" t="shared" si="311"/>
        <v>1.00016101226475</v>
      </c>
      <c r="AJ148">
        <f ca="1" t="shared" si="312"/>
        <v>1.00057628966319</v>
      </c>
      <c r="AK148">
        <f ca="1" t="shared" si="332"/>
        <v>4</v>
      </c>
      <c r="AL148">
        <f ca="1" t="shared" si="319"/>
        <v>0.00498293012553974</v>
      </c>
      <c r="AM148">
        <f ca="1" t="shared" si="333"/>
        <v>4</v>
      </c>
      <c r="AN148" s="168">
        <f ca="1" t="shared" si="318"/>
        <v>0.00695917786518119</v>
      </c>
      <c r="AO148" s="168">
        <f ca="1" t="shared" si="320"/>
        <v>0.00447057613551372</v>
      </c>
      <c r="AP148" s="172">
        <f ca="1" t="shared" si="313"/>
        <v>0</v>
      </c>
      <c r="AQ148" s="168">
        <f ca="1" t="shared" si="314"/>
        <v>0.00401583628616287</v>
      </c>
      <c r="AR148">
        <f t="shared" si="315"/>
        <v>1</v>
      </c>
    </row>
    <row r="149" spans="4:55">
      <c r="D149" t="s">
        <v>1825</v>
      </c>
      <c r="E149" t="s">
        <v>2780</v>
      </c>
      <c r="G149" t="s">
        <v>3107</v>
      </c>
      <c r="H149">
        <f ca="1">INDEX(技能数据库!$B$2:$I$100,MATCH(伤害与收益计算!$E149,技能数据库!$B$2:$B$100,0),MATCH(H$9,技能数据库!$B$2:$I$2,0))</f>
        <v>252.5</v>
      </c>
      <c r="I149">
        <f ca="1">INDEX(技能数据库!$B$2:$I$100,MATCH(伤害与收益计算!$E149,技能数据库!$B$2:$B$100,0),MATCH(I$9,技能数据库!$B$2:$I$2,0))</f>
        <v>2.11875</v>
      </c>
      <c r="J149">
        <f ca="1">INDEX(技能数据库!$B$2:$I$100,MATCH(伤害与收益计算!$E149,技能数据库!$B$2:$B$100,0),MATCH(J$9,技能数据库!$B$2:$I$2,0))</f>
        <v>2</v>
      </c>
      <c r="K149">
        <f ca="1">INDEX(技能数据库!$B$2:$I$100,MATCH(伤害与收益计算!$E149,技能数据库!$B$2:$B$100,0),MATCH(K$9,技能数据库!$B$2:$I$2,0))</f>
        <v>0</v>
      </c>
      <c r="L149">
        <f ca="1" t="shared" si="316"/>
        <v>105847</v>
      </c>
      <c r="M149">
        <f ca="1" t="shared" si="323"/>
        <v>19530.5</v>
      </c>
      <c r="N149">
        <f ca="1" t="shared" si="324"/>
        <v>92028</v>
      </c>
      <c r="O149">
        <f ca="1" t="shared" si="306"/>
        <v>263576.83125</v>
      </c>
      <c r="P149">
        <f ca="1">IF(G149="恒定伤害",0,(IF(D149="轻剑",$AZ$2,$AZ$3)+IFERROR(INDEX(技能数据库!$T$2:$W$27,MATCH(E149,技能数据库!$T$2:$T$27,0),4),0)+COUNTIF(G149,"*造化2*")*154+COUNTIF(G149,"*造化1*")*102+COUNTIF(G149,"*碧归*")*307)/1024)</f>
        <v>0.397571271929785</v>
      </c>
      <c r="Q149">
        <f ca="1" t="shared" si="321"/>
        <v>0.448284482196154</v>
      </c>
      <c r="R149">
        <f ca="1" t="shared" si="307"/>
        <v>0.21277697966198</v>
      </c>
      <c r="S149">
        <f ca="1" t="shared" si="325"/>
        <v>419984.11092508</v>
      </c>
      <c r="T149">
        <f t="shared" si="326"/>
        <v>0.8</v>
      </c>
      <c r="U149">
        <f ca="1" t="shared" si="322"/>
        <v>1.7995442148</v>
      </c>
      <c r="V149">
        <f ca="1" t="shared" si="327"/>
        <v>940611.270438584</v>
      </c>
      <c r="W149">
        <f ca="1">IF(G149="恒定伤害",0,MIN(1,IF(COUNTIF(F149,"*内会*")&gt;0,内会,IF(D149="轻剑",$Y$2,$Y$3)+COUNTIF(G149,"*莺鸣*")*0.2+COUNTIF(G149,"*叠1*")*0.1+COUNTIF(G149,"*叠2*")*0.2+COUNTIF(G149,"*叠3*")*0.3)+IFERROR(INDEX(技能数据库!$T$2:$W$27,MATCH(E149,技能数据库!$T$2:$T$27,0),2),0)+IF((IF(D149="轻剑",$AO$2,$AO$3)+INT(COUNTIF(G149,"*大莺鸣*")*IF(D149="轻剑",$AM$2,$AM$3)*听晓无双率)/无双系数)&gt;0.9,特效裤子会心/会心系数,0)))</f>
        <v>1</v>
      </c>
      <c r="X149">
        <f ca="1">IF(G149="恒定伤害",0,IF(COUNTIF(F149,"*内会*")&gt;0,内会效,IF(D149="轻剑",$AB$2,$AB$3))+IFERROR(INDEX(技能数据库!$T$2:$W$27,MATCH(E149,技能数据库!$T$2:$T$27,0),3)/1024,0))+COUNTIF(G149,"*叠1*")*0.25+COUNTIF(G149,"*叠2*")*0.5+COUNTIF(G149,"*叠3*")*0.75</f>
        <v>3.0656473116</v>
      </c>
      <c r="Y149">
        <f ca="1" t="shared" si="328"/>
        <v>3.0656473116</v>
      </c>
      <c r="Z149">
        <f t="shared" si="308"/>
        <v>0.150390625</v>
      </c>
      <c r="AA149">
        <f ca="1" t="shared" si="329"/>
        <v>0.0205078125</v>
      </c>
      <c r="AB149">
        <f ca="1" t="shared" si="330"/>
        <v>3385275.63627994</v>
      </c>
      <c r="AC149">
        <f ca="1">技能数计算!AJ141</f>
        <v>22</v>
      </c>
      <c r="AD149" s="164">
        <f ca="1" t="shared" si="303"/>
        <v>0.0239077452152778</v>
      </c>
      <c r="AE149" s="168">
        <f ca="1" t="shared" si="317"/>
        <v>0.00398707274465726</v>
      </c>
      <c r="AF149" s="168">
        <f ca="1" t="shared" si="309"/>
        <v>0.00452429750499931</v>
      </c>
      <c r="AG149">
        <f ca="1" t="shared" si="331"/>
        <v>0.00288136757670965</v>
      </c>
      <c r="AH149">
        <f ca="1" t="shared" si="310"/>
        <v>1.0027199173719</v>
      </c>
      <c r="AI149">
        <f ca="1" t="shared" si="311"/>
        <v>1.00016101226475</v>
      </c>
      <c r="AJ149">
        <f ca="1" t="shared" si="312"/>
        <v>1</v>
      </c>
      <c r="AK149">
        <f ca="1" t="shared" si="332"/>
        <v>22</v>
      </c>
      <c r="AL149">
        <f ca="1" t="shared" si="319"/>
        <v>0</v>
      </c>
      <c r="AM149">
        <f ca="1" t="shared" si="333"/>
        <v>22</v>
      </c>
      <c r="AN149" s="168">
        <f ca="1" t="shared" si="318"/>
        <v>0.00655129503556839</v>
      </c>
      <c r="AO149" s="168">
        <f ca="1" t="shared" si="320"/>
        <v>0.00447057613551372</v>
      </c>
      <c r="AP149" s="172">
        <f ca="1" t="shared" si="313"/>
        <v>0</v>
      </c>
      <c r="AQ149" s="168">
        <f ca="1" t="shared" si="314"/>
        <v>0.00401583628616287</v>
      </c>
      <c r="AR149">
        <f t="shared" si="315"/>
        <v>1</v>
      </c>
    </row>
    <row r="150" spans="4:55">
      <c r="D150" t="s">
        <v>1825</v>
      </c>
      <c r="E150" t="s">
        <v>2808</v>
      </c>
      <c r="G150" t="s">
        <v>3105</v>
      </c>
      <c r="H150">
        <f ca="1">INDEX(技能数据库!$B$2:$I$100,MATCH(伤害与收益计算!$E150,技能数据库!$B$2:$B$100,0),MATCH(H$9,技能数据库!$B$2:$I$2,0))</f>
        <v>535</v>
      </c>
      <c r="I150">
        <f ca="1">INDEX(技能数据库!$B$2:$I$100,MATCH(伤害与收益计算!$E150,技能数据库!$B$2:$B$100,0),MATCH(I$9,技能数据库!$B$2:$I$2,0))</f>
        <v>7.06875</v>
      </c>
      <c r="J150">
        <f ca="1">INDEX(技能数据库!$B$2:$I$100,MATCH(伤害与收益计算!$E150,技能数据库!$B$2:$B$100,0),MATCH(J$9,技能数据库!$B$2:$I$2,0))</f>
        <v>2</v>
      </c>
      <c r="K150">
        <f ca="1">INDEX(技能数据库!$B$2:$I$100,MATCH(伤害与收益计算!$E150,技能数据库!$B$2:$B$100,0),MATCH(K$9,技能数据库!$B$2:$I$2,0))</f>
        <v>0</v>
      </c>
      <c r="L150">
        <f ca="1" t="shared" si="316"/>
        <v>105847</v>
      </c>
      <c r="M150">
        <f ca="1" t="shared" si="323"/>
        <v>19530.5</v>
      </c>
      <c r="N150">
        <f ca="1" t="shared" si="324"/>
        <v>92028</v>
      </c>
      <c r="O150">
        <f ca="1" t="shared" si="306"/>
        <v>787801.98125</v>
      </c>
      <c r="P150">
        <f ca="1">IF(G150="恒定伤害",0,(IF(D150="轻剑",$AZ$2,$AZ$3)+IFERROR(INDEX(技能数据库!$T$2:$W$27,MATCH(E150,技能数据库!$T$2:$T$27,0),4),0)+COUNTIF(G150,"*造化2*")*154+COUNTIF(G150,"*造化1*")*102+COUNTIF(G150,"*碧归*")*307)/1024)</f>
        <v>0.397571271929785</v>
      </c>
      <c r="Q150">
        <f ca="1" t="shared" si="321"/>
        <v>0.448284482196154</v>
      </c>
      <c r="R150">
        <f ca="1" t="shared" si="307"/>
        <v>0.21277697966198</v>
      </c>
      <c r="S150">
        <f ca="1" t="shared" si="325"/>
        <v>1255286.03220241</v>
      </c>
      <c r="T150">
        <f t="shared" si="326"/>
        <v>0.8</v>
      </c>
      <c r="U150">
        <f ca="1" t="shared" si="322"/>
        <v>1.7995442148</v>
      </c>
      <c r="V150">
        <f ca="1" t="shared" si="327"/>
        <v>2811382.99949721</v>
      </c>
      <c r="W150">
        <f ca="1">IF(G150="恒定伤害",0,MIN(1,IF(COUNTIF(F150,"*内会*")&gt;0,内会,IF(D150="轻剑",$Y$2,$Y$3)+COUNTIF(G150,"*莺鸣*")*0.2+COUNTIF(G150,"*叠1*")*0.1+COUNTIF(G150,"*叠2*")*0.2+COUNTIF(G150,"*叠3*")*0.3)+IFERROR(INDEX(技能数据库!$T$2:$W$27,MATCH(E150,技能数据库!$T$2:$T$27,0),2),0)+IF((IF(D150="轻剑",$AO$2,$AO$3)+INT(COUNTIF(G150,"*大莺鸣*")*IF(D150="轻剑",$AM$2,$AM$3)*听晓无双率)/无双系数)&gt;0.9,特效裤子会心/会心系数,0)))</f>
        <v>0.8343</v>
      </c>
      <c r="X150">
        <f ca="1">IF(G150="恒定伤害",0,IF(COUNTIF(F150,"*内会*")&gt;0,内会效,IF(D150="轻剑",$AB$2,$AB$3))+IFERROR(INDEX(技能数据库!$T$2:$W$27,MATCH(E150,技能数据库!$T$2:$T$27,0),3)/1024,0))+COUNTIF(G150,"*叠1*")*0.25+COUNTIF(G150,"*叠2*")*0.5+COUNTIF(G150,"*叠3*")*0.75</f>
        <v>2.5656473116</v>
      </c>
      <c r="Y150">
        <f ca="1" t="shared" si="328"/>
        <v>2.30621955206788</v>
      </c>
      <c r="Z150">
        <f t="shared" si="308"/>
        <v>0.150390625</v>
      </c>
      <c r="AA150">
        <f ca="1" t="shared" si="329"/>
        <v>0.0205078125</v>
      </c>
      <c r="AB150">
        <f ca="1" t="shared" si="330"/>
        <v>7611711.71809198</v>
      </c>
      <c r="AC150" s="171">
        <f ca="1">技能数计算!AJ142</f>
        <v>0</v>
      </c>
      <c r="AD150" s="164">
        <f ca="1" t="shared" si="303"/>
        <v>0</v>
      </c>
      <c r="AE150" s="168">
        <f ca="1" t="shared" si="317"/>
        <v>0.00445048385691655</v>
      </c>
      <c r="AF150" s="168">
        <f ca="1" t="shared" si="309"/>
        <v>0.00151370525637403</v>
      </c>
      <c r="AG150">
        <f ca="1" t="shared" si="331"/>
        <v>0.0031975501401067</v>
      </c>
      <c r="AH150">
        <f ca="1" t="shared" si="310"/>
        <v>1.00303604903423</v>
      </c>
      <c r="AI150">
        <f ca="1" t="shared" si="311"/>
        <v>1.00016101226475</v>
      </c>
      <c r="AJ150">
        <f ca="1" t="shared" si="312"/>
        <v>0</v>
      </c>
      <c r="AK150">
        <f ca="1" t="shared" si="332"/>
        <v>0</v>
      </c>
      <c r="AL150">
        <f ca="1" t="shared" si="319"/>
        <v>0</v>
      </c>
      <c r="AM150">
        <f ca="1" t="shared" si="333"/>
        <v>0</v>
      </c>
      <c r="AN150" s="168">
        <f ca="1" t="shared" si="318"/>
        <v>0.00726559092089141</v>
      </c>
      <c r="AO150" s="168">
        <f ca="1" t="shared" si="320"/>
        <v>0.00447057613551372</v>
      </c>
      <c r="AP150" s="172">
        <f ca="1" t="shared" si="313"/>
        <v>0</v>
      </c>
      <c r="AQ150" s="168">
        <f ca="1" t="shared" si="314"/>
        <v>0.00401583628616287</v>
      </c>
      <c r="AR150">
        <f t="shared" si="315"/>
        <v>1</v>
      </c>
    </row>
    <row r="151" spans="4:55">
      <c r="D151" t="s">
        <v>1825</v>
      </c>
      <c r="E151" t="s">
        <v>2808</v>
      </c>
      <c r="G151" t="s">
        <v>3106</v>
      </c>
      <c r="H151">
        <f ca="1">INDEX(技能数据库!$B$2:$I$100,MATCH(伤害与收益计算!$E151,技能数据库!$B$2:$B$100,0),MATCH(H$9,技能数据库!$B$2:$I$2,0))</f>
        <v>535</v>
      </c>
      <c r="I151">
        <f ca="1">INDEX(技能数据库!$B$2:$I$100,MATCH(伤害与收益计算!$E151,技能数据库!$B$2:$B$100,0),MATCH(I$9,技能数据库!$B$2:$I$2,0))</f>
        <v>7.06875</v>
      </c>
      <c r="J151">
        <f ca="1">INDEX(技能数据库!$B$2:$I$100,MATCH(伤害与收益计算!$E151,技能数据库!$B$2:$B$100,0),MATCH(J$9,技能数据库!$B$2:$I$2,0))</f>
        <v>2</v>
      </c>
      <c r="K151">
        <f ca="1">INDEX(技能数据库!$B$2:$I$100,MATCH(伤害与收益计算!$E151,技能数据库!$B$2:$B$100,0),MATCH(K$9,技能数据库!$B$2:$I$2,0))</f>
        <v>0</v>
      </c>
      <c r="L151">
        <f ca="1" t="shared" si="316"/>
        <v>105847</v>
      </c>
      <c r="M151">
        <f ca="1" t="shared" si="323"/>
        <v>19530.5</v>
      </c>
      <c r="N151">
        <f ca="1" t="shared" si="324"/>
        <v>92028</v>
      </c>
      <c r="O151">
        <f ca="1" t="shared" si="306"/>
        <v>787801.98125</v>
      </c>
      <c r="P151">
        <f ca="1">IF(G151="恒定伤害",0,(IF(D151="轻剑",$AZ$2,$AZ$3)+IFERROR(INDEX(技能数据库!$T$2:$W$27,MATCH(E151,技能数据库!$T$2:$T$27,0),4),0)+COUNTIF(G151,"*造化2*")*154+COUNTIF(G151,"*造化1*")*102+COUNTIF(G151,"*碧归*")*307)/1024)</f>
        <v>0.397571271929785</v>
      </c>
      <c r="Q151">
        <f ca="1" t="shared" si="321"/>
        <v>0.448284482196154</v>
      </c>
      <c r="R151">
        <f ca="1" t="shared" si="307"/>
        <v>0.21277697966198</v>
      </c>
      <c r="S151">
        <f ca="1" t="shared" si="325"/>
        <v>1255286.03220241</v>
      </c>
      <c r="T151">
        <f t="shared" si="326"/>
        <v>0.8</v>
      </c>
      <c r="U151">
        <f ca="1" t="shared" si="322"/>
        <v>1.7995442148</v>
      </c>
      <c r="V151">
        <f ca="1" t="shared" si="327"/>
        <v>2811382.99949721</v>
      </c>
      <c r="W151">
        <f ca="1">IF(G151="恒定伤害",0,MIN(1,IF(COUNTIF(F151,"*内会*")&gt;0,内会,IF(D151="轻剑",$Y$2,$Y$3)+COUNTIF(G151,"*莺鸣*")*0.2+COUNTIF(G151,"*叠1*")*0.1+COUNTIF(G151,"*叠2*")*0.2+COUNTIF(G151,"*叠3*")*0.3)+IFERROR(INDEX(技能数据库!$T$2:$W$27,MATCH(E151,技能数据库!$T$2:$T$27,0),2),0)+IF((IF(D151="轻剑",$AO$2,$AO$3)+INT(COUNTIF(G151,"*大莺鸣*")*IF(D151="轻剑",$AM$2,$AM$3)*听晓无双率)/无双系数)&gt;0.9,特效裤子会心/会心系数,0)))</f>
        <v>0.9343</v>
      </c>
      <c r="X151">
        <f ca="1">IF(G151="恒定伤害",0,IF(COUNTIF(F151,"*内会*")&gt;0,内会效,IF(D151="轻剑",$AB$2,$AB$3))+IFERROR(INDEX(技能数据库!$T$2:$W$27,MATCH(E151,技能数据库!$T$2:$T$27,0),3)/1024,0))+COUNTIF(G151,"*叠1*")*0.25+COUNTIF(G151,"*叠2*")*0.5+COUNTIF(G151,"*叠3*")*0.75</f>
        <v>2.8156473116</v>
      </c>
      <c r="Y151">
        <f ca="1" t="shared" si="328"/>
        <v>2.69635928322788</v>
      </c>
      <c r="Z151">
        <f t="shared" si="308"/>
        <v>0.150390625</v>
      </c>
      <c r="AA151">
        <f ca="1" t="shared" si="329"/>
        <v>0.0205078125</v>
      </c>
      <c r="AB151">
        <f ca="1" t="shared" si="330"/>
        <v>8899373.6671467</v>
      </c>
      <c r="AC151">
        <f ca="1">技能数计算!AJ143</f>
        <v>4</v>
      </c>
      <c r="AD151" s="164">
        <f ca="1" t="shared" si="303"/>
        <v>0.0114272396680338</v>
      </c>
      <c r="AE151" s="168">
        <f ca="1" t="shared" si="317"/>
        <v>0.00445048385691655</v>
      </c>
      <c r="AF151" s="168">
        <f ca="1" t="shared" si="309"/>
        <v>0.00151370525637403</v>
      </c>
      <c r="AG151">
        <f ca="1" t="shared" ref="AG151:AG179" si="334">IF(G151="恒定伤害",0,MAX(0,AH151*AI151*IF(AJ151=0,1,AJ151)-1))</f>
        <v>0.00377568251838589</v>
      </c>
      <c r="AH151">
        <f ca="1" t="shared" si="310"/>
        <v>1.00303604903423</v>
      </c>
      <c r="AI151">
        <f ca="1" t="shared" si="311"/>
        <v>1.00016101226475</v>
      </c>
      <c r="AJ151">
        <f ca="1" t="shared" si="312"/>
        <v>1.00057628966319</v>
      </c>
      <c r="AK151">
        <f ca="1" t="shared" si="332"/>
        <v>4</v>
      </c>
      <c r="AL151">
        <f ca="1" t="shared" si="319"/>
        <v>0.00498293012553974</v>
      </c>
      <c r="AM151">
        <f ca="1" t="shared" si="333"/>
        <v>4</v>
      </c>
      <c r="AN151" s="168">
        <f ca="1" t="shared" si="318"/>
        <v>0.00695917786518119</v>
      </c>
      <c r="AO151" s="168">
        <f ca="1" t="shared" si="320"/>
        <v>0.00447057613551372</v>
      </c>
      <c r="AP151" s="172">
        <f ca="1" t="shared" si="313"/>
        <v>0</v>
      </c>
      <c r="AQ151" s="168">
        <f ca="1" t="shared" si="314"/>
        <v>0.00401583628616287</v>
      </c>
      <c r="AR151">
        <f t="shared" si="315"/>
        <v>1</v>
      </c>
      <c r="AX151" s="167"/>
      <c r="AY151" s="167"/>
      <c r="AZ151" s="164"/>
      <c r="BB151" s="167"/>
      <c r="BC151" s="164"/>
    </row>
    <row r="152" spans="4:55">
      <c r="D152" t="s">
        <v>1825</v>
      </c>
      <c r="E152" t="s">
        <v>2808</v>
      </c>
      <c r="G152" t="s">
        <v>3107</v>
      </c>
      <c r="H152">
        <f ca="1">INDEX(技能数据库!$B$2:$I$100,MATCH(伤害与收益计算!$E152,技能数据库!$B$2:$B$100,0),MATCH(H$9,技能数据库!$B$2:$I$2,0))</f>
        <v>535</v>
      </c>
      <c r="I152">
        <f ca="1">INDEX(技能数据库!$B$2:$I$100,MATCH(伤害与收益计算!$E152,技能数据库!$B$2:$B$100,0),MATCH(I$9,技能数据库!$B$2:$I$2,0))</f>
        <v>7.06875</v>
      </c>
      <c r="J152">
        <f ca="1">INDEX(技能数据库!$B$2:$I$100,MATCH(伤害与收益计算!$E152,技能数据库!$B$2:$B$100,0),MATCH(J$9,技能数据库!$B$2:$I$2,0))</f>
        <v>2</v>
      </c>
      <c r="K152">
        <f ca="1">INDEX(技能数据库!$B$2:$I$100,MATCH(伤害与收益计算!$E152,技能数据库!$B$2:$B$100,0),MATCH(K$9,技能数据库!$B$2:$I$2,0))</f>
        <v>0</v>
      </c>
      <c r="L152">
        <f ca="1" t="shared" si="316"/>
        <v>105847</v>
      </c>
      <c r="M152">
        <f ca="1" t="shared" ref="M152:M179" si="335">IF(D152="轻剑",$AU$2+$AV$2,$AU$3+$AV$3)/2</f>
        <v>19530.5</v>
      </c>
      <c r="N152">
        <f ca="1" t="shared" ref="N152:N179" si="336">IF(D152="轻剑",$AJ$2,$AJ$3)</f>
        <v>92028</v>
      </c>
      <c r="O152">
        <f ca="1" t="shared" si="306"/>
        <v>787801.98125</v>
      </c>
      <c r="P152">
        <f ca="1">IF(G152="恒定伤害",0,(IF(D152="轻剑",$AZ$2,$AZ$3)+IFERROR(INDEX(技能数据库!$T$2:$W$27,MATCH(E152,技能数据库!$T$2:$T$27,0),4),0)+COUNTIF(G152,"*造化2*")*154+COUNTIF(G152,"*造化1*")*102+COUNTIF(G152,"*碧归*")*307)/1024)</f>
        <v>0.397571271929785</v>
      </c>
      <c r="Q152">
        <f ca="1" t="shared" si="321"/>
        <v>0.448284482196154</v>
      </c>
      <c r="R152">
        <f ca="1" t="shared" si="307"/>
        <v>0.21277697966198</v>
      </c>
      <c r="S152">
        <f ca="1" t="shared" ref="S152:S179" si="337">O152*(1+P152)*(1+Q152)*(1-R152)</f>
        <v>1255286.03220241</v>
      </c>
      <c r="T152">
        <f t="shared" ref="T152:T217" si="338">1-($F$6-130)*0.05</f>
        <v>0.8</v>
      </c>
      <c r="U152">
        <f ca="1" t="shared" si="322"/>
        <v>1.7995442148</v>
      </c>
      <c r="V152">
        <f ca="1" t="shared" ref="V152:V179" si="339">S152*T152*(1+U152)</f>
        <v>2811382.99949721</v>
      </c>
      <c r="W152">
        <f ca="1">IF(G152="恒定伤害",0,MIN(1,IF(COUNTIF(F152,"*内会*")&gt;0,内会,IF(D152="轻剑",$Y$2,$Y$3)+COUNTIF(G152,"*莺鸣*")*0.2+COUNTIF(G152,"*叠1*")*0.1+COUNTIF(G152,"*叠2*")*0.2+COUNTIF(G152,"*叠3*")*0.3)+IFERROR(INDEX(技能数据库!$T$2:$W$27,MATCH(E152,技能数据库!$T$2:$T$27,0),2),0)+IF((IF(D152="轻剑",$AO$2,$AO$3)+INT(COUNTIF(G152,"*大莺鸣*")*IF(D152="轻剑",$AM$2,$AM$3)*听晓无双率)/无双系数)&gt;0.9,特效裤子会心/会心系数,0)))</f>
        <v>1</v>
      </c>
      <c r="X152">
        <f ca="1">IF(G152="恒定伤害",0,IF(COUNTIF(F152,"*内会*")&gt;0,内会效,IF(D152="轻剑",$AB$2,$AB$3))+IFERROR(INDEX(技能数据库!$T$2:$W$27,MATCH(E152,技能数据库!$T$2:$T$27,0),3)/1024,0))+COUNTIF(G152,"*叠1*")*0.25+COUNTIF(G152,"*叠2*")*0.5+COUNTIF(G152,"*叠3*")*0.75</f>
        <v>3.0656473116</v>
      </c>
      <c r="Y152">
        <f ca="1" t="shared" ref="Y152:Y179" si="340">1+W152*(X152-1)</f>
        <v>3.0656473116</v>
      </c>
      <c r="Z152">
        <f t="shared" si="308"/>
        <v>0.150390625</v>
      </c>
      <c r="AA152">
        <f ca="1" t="shared" ref="AA152:AA179" si="341">IF(D152="轻剑",$BA$2,$BA$3)/1024</f>
        <v>0.0205078125</v>
      </c>
      <c r="AB152">
        <f ca="1" t="shared" ref="AB152:AB179" si="342">V152*Y152*(1+Z152)*(1+AA152)</f>
        <v>10118214.2629567</v>
      </c>
      <c r="AC152">
        <f ca="1">技能数计算!AJ144</f>
        <v>4</v>
      </c>
      <c r="AD152" s="164">
        <f ca="1" t="shared" ref="AD152:AD179" si="343">IFERROR(AB152*AC152/$AD$7,0)</f>
        <v>0.0129922917859</v>
      </c>
      <c r="AE152" s="168">
        <f ca="1" t="shared" si="317"/>
        <v>0.00445048385691655</v>
      </c>
      <c r="AF152" s="168">
        <f ca="1" t="shared" si="309"/>
        <v>0.00151370525637403</v>
      </c>
      <c r="AG152">
        <f ca="1" t="shared" si="334"/>
        <v>0.0031975501401067</v>
      </c>
      <c r="AH152">
        <f ca="1" t="shared" si="310"/>
        <v>1.00303604903423</v>
      </c>
      <c r="AI152">
        <f ca="1" t="shared" si="311"/>
        <v>1.00016101226475</v>
      </c>
      <c r="AJ152">
        <f ca="1" t="shared" si="312"/>
        <v>1</v>
      </c>
      <c r="AK152">
        <f ca="1" t="shared" si="332"/>
        <v>4</v>
      </c>
      <c r="AL152">
        <f ca="1" t="shared" si="319"/>
        <v>0</v>
      </c>
      <c r="AM152">
        <f ca="1" t="shared" si="333"/>
        <v>4</v>
      </c>
      <c r="AN152" s="168">
        <f ca="1" t="shared" si="318"/>
        <v>0.00655129503556839</v>
      </c>
      <c r="AO152" s="168">
        <f ca="1" t="shared" si="320"/>
        <v>0.00447057613551372</v>
      </c>
      <c r="AP152" s="172">
        <f ca="1" t="shared" si="313"/>
        <v>0</v>
      </c>
      <c r="AQ152" s="168">
        <f ca="1" t="shared" si="314"/>
        <v>0.00401583628616287</v>
      </c>
      <c r="AR152">
        <f t="shared" si="315"/>
        <v>1</v>
      </c>
    </row>
    <row r="153" spans="4:55">
      <c r="D153" t="s">
        <v>1825</v>
      </c>
      <c r="E153" t="s">
        <v>2768</v>
      </c>
      <c r="G153" t="s">
        <v>3105</v>
      </c>
      <c r="H153">
        <f ca="1">INDEX(技能数据库!$B$2:$I$100,MATCH(伤害与收益计算!$E153,技能数据库!$B$2:$B$100,0),MATCH(H$9,技能数据库!$B$2:$I$2,0))</f>
        <v>210</v>
      </c>
      <c r="I153">
        <f ca="1">INDEX(技能数据库!$B$2:$I$100,MATCH(伤害与收益计算!$E153,技能数据库!$B$2:$B$100,0),MATCH(I$9,技能数据库!$B$2:$I$2,0))</f>
        <v>5.7875</v>
      </c>
      <c r="J153">
        <f ca="1">INDEX(技能数据库!$B$2:$I$100,MATCH(伤害与收益计算!$E153,技能数据库!$B$2:$B$100,0),MATCH(J$9,技能数据库!$B$2:$I$2,0))</f>
        <v>2</v>
      </c>
      <c r="K153">
        <f ca="1">INDEX(技能数据库!$B$2:$I$100,MATCH(伤害与收益计算!$E153,技能数据库!$B$2:$B$100,0),MATCH(K$9,技能数据库!$B$2:$I$2,0))</f>
        <v>0</v>
      </c>
      <c r="L153">
        <f ca="1" t="shared" si="316"/>
        <v>105847</v>
      </c>
      <c r="M153">
        <f ca="1" t="shared" si="335"/>
        <v>19530.5</v>
      </c>
      <c r="N153">
        <f ca="1" t="shared" si="336"/>
        <v>92028</v>
      </c>
      <c r="O153">
        <f ca="1" t="shared" si="306"/>
        <v>651860.5125</v>
      </c>
      <c r="P153">
        <f ca="1">IF(G153="恒定伤害",0,(IF(D153="轻剑",$AZ$2,$AZ$3)+IFERROR(INDEX(技能数据库!$T$2:$W$27,MATCH(E153,技能数据库!$T$2:$T$27,0),4),0)+COUNTIF(G153,"*造化2*")*154+COUNTIF(G153,"*造化1*")*102+COUNTIF(G153,"*碧归*")*307)/1024)</f>
        <v>0.447375959429785</v>
      </c>
      <c r="Q153">
        <f ca="1" t="shared" si="321"/>
        <v>0.448284482196154</v>
      </c>
      <c r="R153">
        <f ca="1" t="shared" si="307"/>
        <v>0.21277697966198</v>
      </c>
      <c r="S153">
        <f ca="1" t="shared" si="337"/>
        <v>1075691.38739809</v>
      </c>
      <c r="T153">
        <f t="shared" si="338"/>
        <v>0.8</v>
      </c>
      <c r="U153">
        <f ca="1" t="shared" si="322"/>
        <v>1.7995442148</v>
      </c>
      <c r="V153">
        <f ca="1" t="shared" si="339"/>
        <v>2409156.4804004</v>
      </c>
      <c r="W153">
        <f ca="1">IF(G153="恒定伤害",0,MIN(1,IF(COUNTIF(F153,"*内会*")&gt;0,内会,IF(D153="轻剑",$Y$2,$Y$3)+COUNTIF(G153,"*莺鸣*")*0.2+COUNTIF(G153,"*叠1*")*0.1+COUNTIF(G153,"*叠2*")*0.2+COUNTIF(G153,"*叠3*")*0.3)+IFERROR(INDEX(技能数据库!$T$2:$W$27,MATCH(E153,技能数据库!$T$2:$T$27,0),2),0)+IF((IF(D153="轻剑",$AO$2,$AO$3)+INT(COUNTIF(G153,"*大莺鸣*")*IF(D153="轻剑",$AM$2,$AM$3)*听晓无双率)/无双系数)&gt;0.9,特效裤子会心/会心系数,0)))</f>
        <v>0.8343</v>
      </c>
      <c r="X153">
        <f ca="1">IF(G153="恒定伤害",0,IF(COUNTIF(F153,"*内会*")&gt;0,内会效,IF(D153="轻剑",$AB$2,$AB$3))+IFERROR(INDEX(技能数据库!$T$2:$W$27,MATCH(E153,技能数据库!$T$2:$T$27,0),3)/1024,0))+COUNTIF(G153,"*叠1*")*0.25+COUNTIF(G153,"*叠2*")*0.5+COUNTIF(G153,"*叠3*")*0.75</f>
        <v>2.5656473116</v>
      </c>
      <c r="Y153">
        <f ca="1" t="shared" si="340"/>
        <v>2.30621955206788</v>
      </c>
      <c r="Z153">
        <f t="shared" si="308"/>
        <v>0.150390625</v>
      </c>
      <c r="AA153">
        <f ca="1" t="shared" si="341"/>
        <v>0.0205078125</v>
      </c>
      <c r="AB153">
        <f ca="1" t="shared" si="342"/>
        <v>6522698.83394062</v>
      </c>
      <c r="AC153">
        <f ca="1">技能数计算!AJ145</f>
        <v>6</v>
      </c>
      <c r="AD153" s="164">
        <f ca="1" t="shared" si="343"/>
        <v>0.0125632059590338</v>
      </c>
      <c r="AE153" s="168">
        <f ca="1" t="shared" si="317"/>
        <v>0.00440370285506441</v>
      </c>
      <c r="AF153" s="168">
        <f ca="1" t="shared" si="309"/>
        <v>0.00182937910355477</v>
      </c>
      <c r="AG153">
        <f ca="1" t="shared" si="334"/>
        <v>0.0037484766897693</v>
      </c>
      <c r="AH153">
        <f ca="1" t="shared" si="310"/>
        <v>1.00300413578163</v>
      </c>
      <c r="AI153">
        <f ca="1" t="shared" si="311"/>
        <v>1.00016101226475</v>
      </c>
      <c r="AJ153">
        <f ca="1" t="shared" si="312"/>
        <v>1.00058100569062</v>
      </c>
      <c r="AK153">
        <f ca="1" t="shared" si="332"/>
        <v>6</v>
      </c>
      <c r="AL153">
        <f ca="1" t="shared" si="319"/>
        <v>0.00502370759680559</v>
      </c>
      <c r="AM153">
        <f ca="1" t="shared" si="333"/>
        <v>6</v>
      </c>
      <c r="AN153" s="168">
        <f ca="1" t="shared" si="318"/>
        <v>0.00726559092089141</v>
      </c>
      <c r="AO153" s="168">
        <f ca="1" t="shared" si="320"/>
        <v>0.00447057613551372</v>
      </c>
      <c r="AP153" s="172">
        <f ca="1" t="shared" si="313"/>
        <v>0</v>
      </c>
      <c r="AQ153" s="168">
        <f ca="1" t="shared" si="314"/>
        <v>0.00401583628616287</v>
      </c>
      <c r="AR153">
        <f t="shared" si="315"/>
        <v>1</v>
      </c>
    </row>
    <row r="154" spans="4:55">
      <c r="D154" t="s">
        <v>1825</v>
      </c>
      <c r="E154" t="s">
        <v>2768</v>
      </c>
      <c r="G154" t="s">
        <v>3106</v>
      </c>
      <c r="H154">
        <f ca="1">INDEX(技能数据库!$B$2:$I$100,MATCH(伤害与收益计算!$E154,技能数据库!$B$2:$B$100,0),MATCH(H$9,技能数据库!$B$2:$I$2,0))</f>
        <v>210</v>
      </c>
      <c r="I154">
        <f ca="1">INDEX(技能数据库!$B$2:$I$100,MATCH(伤害与收益计算!$E154,技能数据库!$B$2:$B$100,0),MATCH(I$9,技能数据库!$B$2:$I$2,0))</f>
        <v>5.7875</v>
      </c>
      <c r="J154">
        <f ca="1">INDEX(技能数据库!$B$2:$I$100,MATCH(伤害与收益计算!$E154,技能数据库!$B$2:$B$100,0),MATCH(J$9,技能数据库!$B$2:$I$2,0))</f>
        <v>2</v>
      </c>
      <c r="K154">
        <f ca="1">INDEX(技能数据库!$B$2:$I$100,MATCH(伤害与收益计算!$E154,技能数据库!$B$2:$B$100,0),MATCH(K$9,技能数据库!$B$2:$I$2,0))</f>
        <v>0</v>
      </c>
      <c r="L154">
        <f ca="1" t="shared" si="316"/>
        <v>105847</v>
      </c>
      <c r="M154">
        <f ca="1" t="shared" si="335"/>
        <v>19530.5</v>
      </c>
      <c r="N154">
        <f ca="1" t="shared" si="336"/>
        <v>92028</v>
      </c>
      <c r="O154">
        <f ca="1" t="shared" si="306"/>
        <v>651860.5125</v>
      </c>
      <c r="P154">
        <f ca="1">IF(G154="恒定伤害",0,(IF(D154="轻剑",$AZ$2,$AZ$3)+IFERROR(INDEX(技能数据库!$T$2:$W$27,MATCH(E154,技能数据库!$T$2:$T$27,0),4),0)+COUNTIF(G154,"*造化2*")*154+COUNTIF(G154,"*造化1*")*102+COUNTIF(G154,"*碧归*")*307)/1024)</f>
        <v>0.447375959429785</v>
      </c>
      <c r="Q154">
        <f ca="1" t="shared" si="321"/>
        <v>0.448284482196154</v>
      </c>
      <c r="R154">
        <f ca="1" t="shared" si="307"/>
        <v>0.21277697966198</v>
      </c>
      <c r="S154">
        <f ca="1" t="shared" si="337"/>
        <v>1075691.38739809</v>
      </c>
      <c r="T154">
        <f t="shared" si="338"/>
        <v>0.8</v>
      </c>
      <c r="U154">
        <f ca="1" t="shared" si="322"/>
        <v>1.7995442148</v>
      </c>
      <c r="V154">
        <f ca="1" t="shared" si="339"/>
        <v>2409156.4804004</v>
      </c>
      <c r="W154">
        <f ca="1">IF(G154="恒定伤害",0,MIN(1,IF(COUNTIF(F154,"*内会*")&gt;0,内会,IF(D154="轻剑",$Y$2,$Y$3)+COUNTIF(G154,"*莺鸣*")*0.2+COUNTIF(G154,"*叠1*")*0.1+COUNTIF(G154,"*叠2*")*0.2+COUNTIF(G154,"*叠3*")*0.3)+IFERROR(INDEX(技能数据库!$T$2:$W$27,MATCH(E154,技能数据库!$T$2:$T$27,0),2),0)+IF((IF(D154="轻剑",$AO$2,$AO$3)+INT(COUNTIF(G154,"*大莺鸣*")*IF(D154="轻剑",$AM$2,$AM$3)*听晓无双率)/无双系数)&gt;0.9,特效裤子会心/会心系数,0)))</f>
        <v>0.9343</v>
      </c>
      <c r="X154">
        <f ca="1">IF(G154="恒定伤害",0,IF(COUNTIF(F154,"*内会*")&gt;0,内会效,IF(D154="轻剑",$AB$2,$AB$3))+IFERROR(INDEX(技能数据库!$T$2:$W$27,MATCH(E154,技能数据库!$T$2:$T$27,0),3)/1024,0))+COUNTIF(G154,"*叠1*")*0.25+COUNTIF(G154,"*叠2*")*0.5+COUNTIF(G154,"*叠3*")*0.75</f>
        <v>2.8156473116</v>
      </c>
      <c r="Y154">
        <f ca="1" t="shared" si="340"/>
        <v>2.69635928322788</v>
      </c>
      <c r="Z154">
        <f t="shared" si="308"/>
        <v>0.150390625</v>
      </c>
      <c r="AA154">
        <f ca="1" t="shared" si="341"/>
        <v>0.0205078125</v>
      </c>
      <c r="AB154">
        <f ca="1" t="shared" si="342"/>
        <v>7626134.09327205</v>
      </c>
      <c r="AC154">
        <f ca="1">技能数计算!AJ146</f>
        <v>3</v>
      </c>
      <c r="AD154" s="164">
        <f ca="1" t="shared" si="343"/>
        <v>0.00734425241178158</v>
      </c>
      <c r="AE154" s="168">
        <f ca="1" t="shared" si="317"/>
        <v>0.00440370285506441</v>
      </c>
      <c r="AF154" s="168">
        <f ca="1" t="shared" si="309"/>
        <v>0.00182937910355477</v>
      </c>
      <c r="AG154">
        <f ca="1" t="shared" si="334"/>
        <v>0.00374374573312752</v>
      </c>
      <c r="AH154">
        <f ca="1" t="shared" si="310"/>
        <v>1.00300413578163</v>
      </c>
      <c r="AI154">
        <f ca="1" t="shared" si="311"/>
        <v>1.00016101226475</v>
      </c>
      <c r="AJ154">
        <f ca="1" t="shared" si="312"/>
        <v>1.00057628966319</v>
      </c>
      <c r="AK154">
        <f ca="1" t="shared" si="332"/>
        <v>3</v>
      </c>
      <c r="AL154">
        <f ca="1" t="shared" si="319"/>
        <v>0.00498293012553974</v>
      </c>
      <c r="AM154">
        <f ca="1" t="shared" si="333"/>
        <v>3</v>
      </c>
      <c r="AN154" s="168">
        <f ca="1" t="shared" si="318"/>
        <v>0.00695917786518119</v>
      </c>
      <c r="AO154" s="168">
        <f ca="1" t="shared" si="320"/>
        <v>0.00447057613551372</v>
      </c>
      <c r="AP154" s="172">
        <f ca="1" t="shared" si="313"/>
        <v>0</v>
      </c>
      <c r="AQ154" s="168">
        <f ca="1" t="shared" si="314"/>
        <v>0.00401583628616287</v>
      </c>
      <c r="AR154">
        <f t="shared" si="315"/>
        <v>1</v>
      </c>
    </row>
    <row r="155" spans="4:55">
      <c r="D155" t="s">
        <v>1825</v>
      </c>
      <c r="E155" t="s">
        <v>2768</v>
      </c>
      <c r="G155" t="s">
        <v>3107</v>
      </c>
      <c r="H155">
        <f ca="1">INDEX(技能数据库!$B$2:$I$100,MATCH(伤害与收益计算!$E155,技能数据库!$B$2:$B$100,0),MATCH(H$9,技能数据库!$B$2:$I$2,0))</f>
        <v>210</v>
      </c>
      <c r="I155">
        <f ca="1">INDEX(技能数据库!$B$2:$I$100,MATCH(伤害与收益计算!$E155,技能数据库!$B$2:$B$100,0),MATCH(I$9,技能数据库!$B$2:$I$2,0))</f>
        <v>5.7875</v>
      </c>
      <c r="J155">
        <f ca="1">INDEX(技能数据库!$B$2:$I$100,MATCH(伤害与收益计算!$E155,技能数据库!$B$2:$B$100,0),MATCH(J$9,技能数据库!$B$2:$I$2,0))</f>
        <v>2</v>
      </c>
      <c r="K155">
        <f ca="1">INDEX(技能数据库!$B$2:$I$100,MATCH(伤害与收益计算!$E155,技能数据库!$B$2:$B$100,0),MATCH(K$9,技能数据库!$B$2:$I$2,0))</f>
        <v>0</v>
      </c>
      <c r="L155">
        <f ca="1" t="shared" si="316"/>
        <v>105847</v>
      </c>
      <c r="M155">
        <f ca="1" t="shared" si="335"/>
        <v>19530.5</v>
      </c>
      <c r="N155">
        <f ca="1" t="shared" si="336"/>
        <v>92028</v>
      </c>
      <c r="O155">
        <f ca="1" t="shared" si="306"/>
        <v>651860.5125</v>
      </c>
      <c r="P155">
        <f ca="1">IF(G155="恒定伤害",0,(IF(D155="轻剑",$AZ$2,$AZ$3)+IFERROR(INDEX(技能数据库!$T$2:$W$27,MATCH(E155,技能数据库!$T$2:$T$27,0),4),0)+COUNTIF(G155,"*造化2*")*154+COUNTIF(G155,"*造化1*")*102+COUNTIF(G155,"*碧归*")*307)/1024)</f>
        <v>0.447375959429785</v>
      </c>
      <c r="Q155">
        <f ca="1" t="shared" si="321"/>
        <v>0.448284482196154</v>
      </c>
      <c r="R155">
        <f ca="1" t="shared" si="307"/>
        <v>0.21277697966198</v>
      </c>
      <c r="S155">
        <f ca="1" t="shared" si="337"/>
        <v>1075691.38739809</v>
      </c>
      <c r="T155">
        <f t="shared" si="338"/>
        <v>0.8</v>
      </c>
      <c r="U155">
        <f ca="1" t="shared" si="322"/>
        <v>1.7995442148</v>
      </c>
      <c r="V155">
        <f ca="1" t="shared" si="339"/>
        <v>2409156.4804004</v>
      </c>
      <c r="W155">
        <f ca="1">IF(G155="恒定伤害",0,MIN(1,IF(COUNTIF(F155,"*内会*")&gt;0,内会,IF(D155="轻剑",$Y$2,$Y$3)+COUNTIF(G155,"*莺鸣*")*0.2+COUNTIF(G155,"*叠1*")*0.1+COUNTIF(G155,"*叠2*")*0.2+COUNTIF(G155,"*叠3*")*0.3)+IFERROR(INDEX(技能数据库!$T$2:$W$27,MATCH(E155,技能数据库!$T$2:$T$27,0),2),0)+IF((IF(D155="轻剑",$AO$2,$AO$3)+INT(COUNTIF(G155,"*大莺鸣*")*IF(D155="轻剑",$AM$2,$AM$3)*听晓无双率)/无双系数)&gt;0.9,特效裤子会心/会心系数,0)))</f>
        <v>1</v>
      </c>
      <c r="X155">
        <f ca="1">IF(G155="恒定伤害",0,IF(COUNTIF(F155,"*内会*")&gt;0,内会效,IF(D155="轻剑",$AB$2,$AB$3))+IFERROR(INDEX(技能数据库!$T$2:$W$27,MATCH(E155,技能数据库!$T$2:$T$27,0),3)/1024,0))+COUNTIF(G155,"*叠1*")*0.25+COUNTIF(G155,"*叠2*")*0.5+COUNTIF(G155,"*叠3*")*0.75</f>
        <v>3.0656473116</v>
      </c>
      <c r="Y155">
        <f ca="1" t="shared" si="340"/>
        <v>3.0656473116</v>
      </c>
      <c r="Z155">
        <f t="shared" si="308"/>
        <v>0.150390625</v>
      </c>
      <c r="AA155">
        <f ca="1" t="shared" si="341"/>
        <v>0.0205078125</v>
      </c>
      <c r="AB155">
        <f ca="1" t="shared" si="342"/>
        <v>8670594.31818483</v>
      </c>
      <c r="AC155">
        <f ca="1">技能数计算!AJ147</f>
        <v>8</v>
      </c>
      <c r="AD155" s="164">
        <f ca="1" t="shared" si="343"/>
        <v>0.0222669511460029</v>
      </c>
      <c r="AE155" s="168">
        <f ca="1" t="shared" si="317"/>
        <v>0.00440370285506441</v>
      </c>
      <c r="AF155" s="168">
        <f ca="1" t="shared" si="309"/>
        <v>0.00182937910355477</v>
      </c>
      <c r="AG155">
        <f ca="1" t="shared" si="334"/>
        <v>0.00316563174908713</v>
      </c>
      <c r="AH155">
        <f ca="1" t="shared" si="310"/>
        <v>1.00300413578163</v>
      </c>
      <c r="AI155">
        <f ca="1" t="shared" si="311"/>
        <v>1.00016101226475</v>
      </c>
      <c r="AJ155">
        <f ca="1" t="shared" si="312"/>
        <v>1</v>
      </c>
      <c r="AK155">
        <f ca="1" t="shared" ref="AK155" si="344">AC155</f>
        <v>8</v>
      </c>
      <c r="AL155">
        <f ca="1" t="shared" si="319"/>
        <v>0</v>
      </c>
      <c r="AM155">
        <f ca="1" t="shared" ref="AM155:AM182" si="345">AC155</f>
        <v>8</v>
      </c>
      <c r="AN155" s="168">
        <f ca="1" t="shared" si="318"/>
        <v>0.00655129503556839</v>
      </c>
      <c r="AO155" s="168">
        <f ca="1" t="shared" si="320"/>
        <v>0.00447057613551372</v>
      </c>
      <c r="AP155" s="172">
        <f ca="1" t="shared" si="313"/>
        <v>0</v>
      </c>
      <c r="AQ155" s="168">
        <f ca="1" t="shared" si="314"/>
        <v>0.00401583628616287</v>
      </c>
      <c r="AR155">
        <f t="shared" si="315"/>
        <v>1</v>
      </c>
    </row>
    <row r="156" spans="4:55">
      <c r="D156" t="s">
        <v>1825</v>
      </c>
      <c r="E156" t="s">
        <v>2723</v>
      </c>
      <c r="G156" t="s">
        <v>3108</v>
      </c>
      <c r="H156">
        <f ca="1">INDEX(技能数据库!$B$2:$I$100,MATCH(伤害与收益计算!$E156,技能数据库!$B$2:$B$100,0),MATCH(H$9,技能数据库!$B$2:$I$2,0))</f>
        <v>143</v>
      </c>
      <c r="I156">
        <f ca="1">INDEX(技能数据库!$B$2:$I$100,MATCH(伤害与收益计算!$E156,技能数据库!$B$2:$B$100,0),MATCH(I$9,技能数据库!$B$2:$I$2,0))</f>
        <v>2.53125</v>
      </c>
      <c r="J156">
        <f ca="1">INDEX(技能数据库!$B$2:$I$100,MATCH(伤害与收益计算!$E156,技能数据库!$B$2:$B$100,0),MATCH(J$9,技能数据库!$B$2:$I$2,0))</f>
        <v>2</v>
      </c>
      <c r="K156">
        <f ca="1">INDEX(技能数据库!$B$2:$I$100,MATCH(伤害与收益计算!$E156,技能数据库!$B$2:$B$100,0),MATCH(K$9,技能数据库!$B$2:$I$2,0))</f>
        <v>0</v>
      </c>
      <c r="L156">
        <f ca="1" t="shared" si="316"/>
        <v>105847</v>
      </c>
      <c r="M156">
        <f ca="1" t="shared" si="335"/>
        <v>19530.5</v>
      </c>
      <c r="N156">
        <f ca="1" t="shared" si="336"/>
        <v>92028</v>
      </c>
      <c r="O156">
        <f ca="1" t="shared" si="306"/>
        <v>307129.21875</v>
      </c>
      <c r="P156">
        <f ca="1">IF(G156="恒定伤害",0,(IF(D156="轻剑",$AZ$2,$AZ$3)+IFERROR(INDEX(技能数据库!$T$2:$W$27,MATCH(E156,技能数据库!$T$2:$T$27,0),4),0)+COUNTIF(G156,"*造化2*")*154+COUNTIF(G156,"*造化1*")*102+COUNTIF(G156,"*碧归*")*307)/1024)</f>
        <v>0.176868146929785</v>
      </c>
      <c r="Q156">
        <f ca="1" t="shared" si="321"/>
        <v>0.448284482196154</v>
      </c>
      <c r="R156">
        <f ca="1" t="shared" si="307"/>
        <v>0.21277697966198</v>
      </c>
      <c r="S156">
        <f ca="1" t="shared" si="337"/>
        <v>412098.094407014</v>
      </c>
      <c r="T156">
        <f t="shared" si="338"/>
        <v>0.8</v>
      </c>
      <c r="U156">
        <f ca="1" t="shared" si="322"/>
        <v>1.7995442148</v>
      </c>
      <c r="V156">
        <f ca="1" t="shared" si="339"/>
        <v>922949.468901808</v>
      </c>
      <c r="W156">
        <f ca="1">IF(G156="恒定伤害",0,MIN(1,IF(COUNTIF(F156,"*内会*")&gt;0,内会,IF(D156="轻剑",$Y$2,$Y$3)+COUNTIF(G156,"*莺鸣*")*0.2+COUNTIF(G156,"*叠1*")*0.1+COUNTIF(G156,"*叠2*")*0.2+COUNTIF(G156,"*叠3*")*0.3)+IFERROR(INDEX(技能数据库!$T$2:$W$27,MATCH(E156,技能数据库!$T$2:$T$27,0),2),0)+IF((IF(D156="轻剑",$AO$2,$AO$3)+INT(COUNTIF(G156,"*大莺鸣*")*IF(D156="轻剑",$AM$2,$AM$3)*听晓无双率)/无双系数)&gt;0.9,特效裤子会心/会心系数,0)))</f>
        <v>0.8343</v>
      </c>
      <c r="X156">
        <f ca="1">IF(G156="恒定伤害",0,IF(COUNTIF(F156,"*内会*")&gt;0,内会效,IF(D156="轻剑",$AB$2,$AB$3))+IFERROR(INDEX(技能数据库!$T$2:$W$27,MATCH(E156,技能数据库!$T$2:$T$27,0),3)/1024,0))+COUNTIF(G156,"*叠1*")*0.25+COUNTIF(G156,"*叠2*")*0.5+COUNTIF(G156,"*叠3*")*0.75</f>
        <v>2.5656473116</v>
      </c>
      <c r="Y156">
        <f ca="1" t="shared" si="340"/>
        <v>2.30621955206788</v>
      </c>
      <c r="Z156">
        <f t="shared" si="308"/>
        <v>0.150390625</v>
      </c>
      <c r="AA156">
        <f ca="1" t="shared" si="341"/>
        <v>0.0205078125</v>
      </c>
      <c r="AB156">
        <f ca="1" t="shared" si="342"/>
        <v>2498850.31278309</v>
      </c>
      <c r="AC156" s="171">
        <f ca="1">($AC$144+$AC$150+$AC$153+$AC$194+$AC$200+$AC$203)*MIN(1,0.1+$Y$3+0.3)</f>
        <v>11</v>
      </c>
      <c r="AD156" s="164">
        <f ca="1" t="shared" si="343"/>
        <v>0.00882378320525553</v>
      </c>
      <c r="AE156" s="168">
        <f ca="1" t="shared" si="317"/>
        <v>0.00408785593604483</v>
      </c>
      <c r="AF156" s="168">
        <f ca="1" t="shared" si="309"/>
        <v>0.00388273054857305</v>
      </c>
      <c r="AG156">
        <f ca="1" t="shared" si="334"/>
        <v>0.00353285106458623</v>
      </c>
      <c r="AH156">
        <f ca="1" t="shared" si="310"/>
        <v>1.00278867005604</v>
      </c>
      <c r="AI156">
        <f ca="1" t="shared" si="311"/>
        <v>1.00016101226475</v>
      </c>
      <c r="AJ156">
        <f ca="1" t="shared" si="312"/>
        <v>1.00058100569062</v>
      </c>
      <c r="AK156" s="171">
        <f ca="1">(($AC$144+$AC$150+$AC$153+$AC$194+$AC$200+$AC$203))*MIN(1,0.1+$Y$2+0.3+((delta身法+INT((IF(D139="轻剑",$N$2,$N$3))/1024*delta身法))*身法转基础会心/会心系数))</f>
        <v>11</v>
      </c>
      <c r="AL156">
        <f ca="1" t="shared" si="319"/>
        <v>0.00502370759680559</v>
      </c>
      <c r="AM156" s="171">
        <f ca="1">($AC$144+$AC$150+$AC$153+$AC$194+$AC$200+$AC$203)*MIN(1,0.1+$Y$2+0.3+delta会心/会心系数)</f>
        <v>11</v>
      </c>
      <c r="AN156" s="168">
        <f ca="1" t="shared" si="318"/>
        <v>0.00726559092089141</v>
      </c>
      <c r="AO156" s="168">
        <f ca="1" t="shared" si="320"/>
        <v>0.00447057613551372</v>
      </c>
      <c r="AP156" s="172">
        <f ca="1" t="shared" si="313"/>
        <v>0</v>
      </c>
      <c r="AQ156" s="168">
        <f ca="1" t="shared" si="314"/>
        <v>0.00401583628616287</v>
      </c>
      <c r="AR156">
        <f t="shared" si="315"/>
        <v>1</v>
      </c>
    </row>
    <row r="157" spans="4:55">
      <c r="D157" t="s">
        <v>1825</v>
      </c>
      <c r="E157" t="s">
        <v>2723</v>
      </c>
      <c r="G157" t="s">
        <v>3109</v>
      </c>
      <c r="H157">
        <f ca="1">INDEX(技能数据库!$B$2:$I$100,MATCH(伤害与收益计算!$E157,技能数据库!$B$2:$B$100,0),MATCH(H$9,技能数据库!$B$2:$I$2,0))</f>
        <v>143</v>
      </c>
      <c r="I157">
        <f ca="1">INDEX(技能数据库!$B$2:$I$100,MATCH(伤害与收益计算!$E157,技能数据库!$B$2:$B$100,0),MATCH(I$9,技能数据库!$B$2:$I$2,0))</f>
        <v>2.53125</v>
      </c>
      <c r="J157">
        <f ca="1">INDEX(技能数据库!$B$2:$I$100,MATCH(伤害与收益计算!$E157,技能数据库!$B$2:$B$100,0),MATCH(J$9,技能数据库!$B$2:$I$2,0))</f>
        <v>2</v>
      </c>
      <c r="K157">
        <f ca="1">INDEX(技能数据库!$B$2:$I$100,MATCH(伤害与收益计算!$E157,技能数据库!$B$2:$B$100,0),MATCH(K$9,技能数据库!$B$2:$I$2,0))</f>
        <v>0</v>
      </c>
      <c r="L157">
        <f ca="1" t="shared" si="316"/>
        <v>105847</v>
      </c>
      <c r="M157">
        <f ca="1" t="shared" ref="M157:M158" si="346">IF(D157="轻剑",$AU$2+$AV$2,$AU$3+$AV$3)/2</f>
        <v>19530.5</v>
      </c>
      <c r="N157">
        <f ca="1" t="shared" ref="N157:N158" si="347">IF(D157="轻剑",$AJ$2,$AJ$3)</f>
        <v>92028</v>
      </c>
      <c r="O157">
        <f ca="1" t="shared" si="306"/>
        <v>307129.21875</v>
      </c>
      <c r="P157">
        <f ca="1">IF(G157="恒定伤害",0,(IF(D157="轻剑",$AZ$2,$AZ$3)+IFERROR(INDEX(技能数据库!$T$2:$W$27,MATCH(E157,技能数据库!$T$2:$T$27,0),4),0)+COUNTIF(G157,"*造化2*")*154+COUNTIF(G157,"*造化1*")*102+COUNTIF(G157,"*碧归*")*307)/1024)</f>
        <v>0.176868146929785</v>
      </c>
      <c r="Q157">
        <f ca="1" t="shared" si="321"/>
        <v>0.448284482196154</v>
      </c>
      <c r="R157">
        <f ca="1" t="shared" si="307"/>
        <v>0.21277697966198</v>
      </c>
      <c r="S157">
        <f ca="1" t="shared" ref="S157:S158" si="348">O157*(1+P157)*(1+Q157)*(1-R157)</f>
        <v>412098.094407014</v>
      </c>
      <c r="T157">
        <f t="shared" ref="T157:T158" si="349">1-($F$6-130)*0.05</f>
        <v>0.8</v>
      </c>
      <c r="U157">
        <f ca="1" t="shared" si="322"/>
        <v>1.7995442148</v>
      </c>
      <c r="V157">
        <f ca="1" t="shared" ref="V157:V158" si="350">S157*T157*(1+U157)</f>
        <v>922949.468901808</v>
      </c>
      <c r="W157">
        <f ca="1">IF(G157="恒定伤害",0,MIN(1,IF(COUNTIF(F157,"*内会*")&gt;0,内会,IF(D157="轻剑",$Y$2,$Y$3)+COUNTIF(G157,"*莺鸣*")*0.2+COUNTIF(G157,"*叠1*")*0.1+COUNTIF(G157,"*叠2*")*0.2+COUNTIF(G157,"*叠3*")*0.3)+IFERROR(INDEX(技能数据库!$T$2:$W$27,MATCH(E157,技能数据库!$T$2:$T$27,0),2),0)+IF((IF(D157="轻剑",$AO$2,$AO$3)+INT(COUNTIF(G157,"*大莺鸣*")*IF(D157="轻剑",$AM$2,$AM$3)*听晓无双率)/无双系数)&gt;0.9,特效裤子会心/会心系数,0)))</f>
        <v>0.9343</v>
      </c>
      <c r="X157">
        <f ca="1">IF(G157="恒定伤害",0,IF(COUNTIF(F157,"*内会*")&gt;0,内会效,IF(D157="轻剑",$AB$2,$AB$3))+IFERROR(INDEX(技能数据库!$T$2:$W$27,MATCH(E157,技能数据库!$T$2:$T$27,0),3)/1024,0))+COUNTIF(G157,"*叠1*")*0.25+COUNTIF(G157,"*叠2*")*0.5+COUNTIF(G157,"*叠3*")*0.75</f>
        <v>2.8156473116</v>
      </c>
      <c r="Y157">
        <f ca="1" t="shared" ref="Y157:Y158" si="351">1+W157*(X157-1)</f>
        <v>2.69635928322788</v>
      </c>
      <c r="Z157">
        <f t="shared" si="308"/>
        <v>0.150390625</v>
      </c>
      <c r="AA157">
        <f ca="1" t="shared" ref="AA157:AA158" si="352">IF(D157="轻剑",$BA$2,$BA$3)/1024</f>
        <v>0.0205078125</v>
      </c>
      <c r="AB157">
        <f ca="1" t="shared" ref="AB157:AB158" si="353">V157*Y157*(1+Z157)*(1+AA157)</f>
        <v>2921577.10319822</v>
      </c>
      <c r="AC157" s="171">
        <f ca="1">($AC$145+$AC$151+$AC$154+$AC$195+$AC$201+$AC$204)*MIN(1,0.2+$Y$3+0.3)</f>
        <v>7</v>
      </c>
      <c r="AD157" s="164">
        <f ca="1" t="shared" si="343"/>
        <v>0.00656503876309112</v>
      </c>
      <c r="AE157" s="168">
        <f ca="1" t="shared" si="317"/>
        <v>0.00408785593604483</v>
      </c>
      <c r="AF157" s="168">
        <f ca="1" t="shared" si="309"/>
        <v>0.00388273054857305</v>
      </c>
      <c r="AG157">
        <f ca="1" t="shared" si="334"/>
        <v>0.00352812112425038</v>
      </c>
      <c r="AH157">
        <f ca="1" t="shared" si="310"/>
        <v>1.00278867005604</v>
      </c>
      <c r="AI157">
        <f ca="1" t="shared" si="311"/>
        <v>1.00016101226475</v>
      </c>
      <c r="AJ157">
        <f ca="1" t="shared" si="312"/>
        <v>1.00057628966319</v>
      </c>
      <c r="AK157" s="171">
        <f ca="1">($AC$145+$AC$151+$AC$154+$AC$195+$AC$201+$AC$204)*MIN(1,$Y$2+0.2+0.3+((delta身法+INT((IF(D139="轻剑",$N$2,$N$3))/1024*delta身法))*身法转基础会心/会心系数))</f>
        <v>7</v>
      </c>
      <c r="AL157">
        <f ca="1" t="shared" si="319"/>
        <v>0.00498293012553952</v>
      </c>
      <c r="AM157" s="171">
        <f ca="1">($AC$145+$AC$151+$AC$154+$AC$195+$AC$201+$AC$204)*MIN(1,$Y$2+0.2+0.3+delta会心/会心系数)</f>
        <v>7</v>
      </c>
      <c r="AN157" s="168">
        <f ca="1" t="shared" si="318"/>
        <v>0.00695917786518119</v>
      </c>
      <c r="AO157" s="168">
        <f ca="1" t="shared" si="320"/>
        <v>0.00447057613551372</v>
      </c>
      <c r="AP157" s="172">
        <f ca="1" t="shared" si="313"/>
        <v>0</v>
      </c>
      <c r="AQ157" s="168">
        <f ca="1" t="shared" si="314"/>
        <v>0.00401583628616287</v>
      </c>
      <c r="AR157">
        <f t="shared" si="315"/>
        <v>1</v>
      </c>
    </row>
    <row r="158" spans="4:55">
      <c r="D158" t="s">
        <v>1825</v>
      </c>
      <c r="E158" t="s">
        <v>2723</v>
      </c>
      <c r="G158" t="s">
        <v>3110</v>
      </c>
      <c r="H158">
        <f ca="1">INDEX(技能数据库!$B$2:$I$100,MATCH(伤害与收益计算!$E158,技能数据库!$B$2:$B$100,0),MATCH(H$9,技能数据库!$B$2:$I$2,0))</f>
        <v>143</v>
      </c>
      <c r="I158">
        <f ca="1">INDEX(技能数据库!$B$2:$I$100,MATCH(伤害与收益计算!$E158,技能数据库!$B$2:$B$100,0),MATCH(I$9,技能数据库!$B$2:$I$2,0))</f>
        <v>2.53125</v>
      </c>
      <c r="J158">
        <f ca="1">INDEX(技能数据库!$B$2:$I$100,MATCH(伤害与收益计算!$E158,技能数据库!$B$2:$B$100,0),MATCH(J$9,技能数据库!$B$2:$I$2,0))</f>
        <v>2</v>
      </c>
      <c r="K158">
        <f ca="1">INDEX(技能数据库!$B$2:$I$100,MATCH(伤害与收益计算!$E158,技能数据库!$B$2:$B$100,0),MATCH(K$9,技能数据库!$B$2:$I$2,0))</f>
        <v>0</v>
      </c>
      <c r="L158">
        <f ca="1" t="shared" si="316"/>
        <v>105847</v>
      </c>
      <c r="M158">
        <f ca="1" t="shared" si="346"/>
        <v>19530.5</v>
      </c>
      <c r="N158">
        <f ca="1" t="shared" si="347"/>
        <v>92028</v>
      </c>
      <c r="O158">
        <f ca="1" t="shared" si="306"/>
        <v>307129.21875</v>
      </c>
      <c r="P158">
        <f ca="1">IF(G158="恒定伤害",0,(IF(D158="轻剑",$AZ$2,$AZ$3)+IFERROR(INDEX(技能数据库!$T$2:$W$27,MATCH(E158,技能数据库!$T$2:$T$27,0),4),0)+COUNTIF(G158,"*造化2*")*154+COUNTIF(G158,"*造化1*")*102+COUNTIF(G158,"*碧归*")*307)/1024)</f>
        <v>0.176868146929785</v>
      </c>
      <c r="Q158">
        <f ca="1" t="shared" si="321"/>
        <v>0.448284482196154</v>
      </c>
      <c r="R158">
        <f ca="1" t="shared" si="307"/>
        <v>0.21277697966198</v>
      </c>
      <c r="S158">
        <f ca="1" t="shared" si="348"/>
        <v>412098.094407014</v>
      </c>
      <c r="T158">
        <f t="shared" si="349"/>
        <v>0.8</v>
      </c>
      <c r="U158">
        <f ca="1" t="shared" si="322"/>
        <v>1.7995442148</v>
      </c>
      <c r="V158">
        <f ca="1" t="shared" si="350"/>
        <v>922949.468901808</v>
      </c>
      <c r="W158">
        <f ca="1">IF(G158="恒定伤害",0,MIN(1,IF(COUNTIF(F158,"*内会*")&gt;0,内会,IF(D158="轻剑",$Y$2,$Y$3)+COUNTIF(G158,"*莺鸣*")*0.2+COUNTIF(G158,"*叠1*")*0.1+COUNTIF(G158,"*叠2*")*0.2+COUNTIF(G158,"*叠3*")*0.3)+IFERROR(INDEX(技能数据库!$T$2:$W$27,MATCH(E158,技能数据库!$T$2:$T$27,0),2),0)+IF((IF(D158="轻剑",$AO$2,$AO$3)+INT(COUNTIF(G158,"*大莺鸣*")*IF(D158="轻剑",$AM$2,$AM$3)*听晓无双率)/无双系数)&gt;0.9,特效裤子会心/会心系数,0)))</f>
        <v>1</v>
      </c>
      <c r="X158">
        <f ca="1">IF(G158="恒定伤害",0,IF(COUNTIF(F158,"*内会*")&gt;0,内会效,IF(D158="轻剑",$AB$2,$AB$3))+IFERROR(INDEX(技能数据库!$T$2:$W$27,MATCH(E158,技能数据库!$T$2:$T$27,0),3)/1024,0))+COUNTIF(G158,"*叠1*")*0.25+COUNTIF(G158,"*叠2*")*0.5+COUNTIF(G158,"*叠3*")*0.75</f>
        <v>3.0656473116</v>
      </c>
      <c r="Y158">
        <f ca="1" t="shared" si="351"/>
        <v>3.0656473116</v>
      </c>
      <c r="Z158">
        <f t="shared" si="308"/>
        <v>0.150390625</v>
      </c>
      <c r="AA158">
        <f ca="1" t="shared" si="352"/>
        <v>0.0205078125</v>
      </c>
      <c r="AB158">
        <f ca="1" t="shared" si="353"/>
        <v>3321710.51823986</v>
      </c>
      <c r="AC158" s="171">
        <f ca="1">($AC$146+$AC$152+$AC$155+$AC$196+$AC$202+$AC$205)*MIN(1,0.3+$Y$3+0.3)</f>
        <v>48</v>
      </c>
      <c r="AD158" s="164">
        <f ca="1" t="shared" si="343"/>
        <v>0.0511829038125003</v>
      </c>
      <c r="AE158" s="168">
        <f ca="1" t="shared" si="317"/>
        <v>0.00408785593604483</v>
      </c>
      <c r="AF158" s="168">
        <f ca="1" t="shared" si="309"/>
        <v>0.00388273054857305</v>
      </c>
      <c r="AG158">
        <f ca="1" t="shared" si="334"/>
        <v>0.00295013133087352</v>
      </c>
      <c r="AH158">
        <f ca="1" t="shared" si="310"/>
        <v>1.00278867005604</v>
      </c>
      <c r="AI158">
        <f ca="1" t="shared" si="311"/>
        <v>1.00016101226475</v>
      </c>
      <c r="AJ158">
        <f ca="1" t="shared" si="312"/>
        <v>1</v>
      </c>
      <c r="AK158" s="171">
        <f ca="1">($AC$146+$AC$152+$AC$155+$AC$196+$AC$202+$AC$205)*MIN(1,0.3+$Y$2+0.3+((delta身法+INT((IF(D139="轻剑",$N$2,$N$3))/1024*delta身法))*身法转基础会心/会心系数))</f>
        <v>48</v>
      </c>
      <c r="AL158">
        <f ca="1" t="shared" si="319"/>
        <v>0</v>
      </c>
      <c r="AM158" s="171">
        <f ca="1">($AC$146+$AC$152+$AC$155+$AC$196+$AC$202+$AC$205)*MIN(1,0.3+$Y$2+0.3+delta会心/会心系数)</f>
        <v>48</v>
      </c>
      <c r="AN158" s="168">
        <f ca="1" t="shared" si="318"/>
        <v>0.00655129503556839</v>
      </c>
      <c r="AO158" s="168">
        <f ca="1" t="shared" si="320"/>
        <v>0.00447057613551372</v>
      </c>
      <c r="AP158" s="172">
        <f ca="1" t="shared" si="313"/>
        <v>0</v>
      </c>
      <c r="AQ158" s="168">
        <f ca="1" t="shared" si="314"/>
        <v>0.00401583628616287</v>
      </c>
      <c r="AR158">
        <f t="shared" si="315"/>
        <v>1</v>
      </c>
    </row>
    <row r="159" spans="4:55">
      <c r="D159" t="s">
        <v>1825</v>
      </c>
      <c r="E159" t="s">
        <v>2792</v>
      </c>
      <c r="G159" t="s">
        <v>3108</v>
      </c>
      <c r="H159">
        <f ca="1">INDEX(技能数据库!$B$2:$I$100,MATCH(伤害与收益计算!$E159,技能数据库!$B$2:$B$100,0),MATCH(H$9,技能数据库!$B$2:$I$2,0))</f>
        <v>0</v>
      </c>
      <c r="I159">
        <f ca="1">INDEX(技能数据库!$B$2:$I$100,MATCH(伤害与收益计算!$E159,技能数据库!$B$2:$B$100,0),MATCH(I$9,技能数据库!$B$2:$I$2,0))</f>
        <v>0.16875</v>
      </c>
      <c r="J159">
        <f ca="1">INDEX(技能数据库!$B$2:$I$100,MATCH(伤害与收益计算!$E159,技能数据库!$B$2:$B$100,0),MATCH(J$9,技能数据库!$B$2:$I$2,0))</f>
        <v>1</v>
      </c>
      <c r="K159">
        <f ca="1">INDEX(技能数据库!$B$2:$I$100,MATCH(伤害与收益计算!$E159,技能数据库!$B$2:$B$100,0),MATCH(K$9,技能数据库!$B$2:$I$2,0))</f>
        <v>0</v>
      </c>
      <c r="L159">
        <f ca="1" t="shared" si="316"/>
        <v>105847</v>
      </c>
      <c r="M159">
        <f ca="1" t="shared" si="335"/>
        <v>19530.5</v>
      </c>
      <c r="N159">
        <f ca="1" t="shared" si="336"/>
        <v>92028</v>
      </c>
      <c r="O159">
        <f ca="1" t="shared" si="306"/>
        <v>37392.18125</v>
      </c>
      <c r="P159">
        <f ca="1">IF(G159="恒定伤害",0,(IF(D159="轻剑",$AZ$2,$AZ$3)+IFERROR(INDEX(技能数据库!$T$2:$W$27,MATCH(E159,技能数据库!$T$2:$T$27,0),4),0)+COUNTIF(G159,"*造化2*")*154+COUNTIF(G159,"*造化1*")*102+COUNTIF(G159,"*碧归*")*307)/1024)</f>
        <v>0.377063459429785</v>
      </c>
      <c r="Q159">
        <f ca="1" t="shared" si="321"/>
        <v>0.448284482196154</v>
      </c>
      <c r="R159">
        <f ca="1" t="shared" si="307"/>
        <v>0.21277697966198</v>
      </c>
      <c r="S159">
        <f ca="1" t="shared" si="337"/>
        <v>58706.5308629565</v>
      </c>
      <c r="T159">
        <f t="shared" si="338"/>
        <v>0.8</v>
      </c>
      <c r="U159">
        <f ca="1" t="shared" si="322"/>
        <v>1.7995442148</v>
      </c>
      <c r="V159">
        <f ca="1" t="shared" si="339"/>
        <v>131481.223078694</v>
      </c>
      <c r="W159">
        <f ca="1">IF(G159="恒定伤害",0,MIN(1,IF(COUNTIF(F159,"*内会*")&gt;0,内会,IF(D159="轻剑",$Y$2,$Y$3)+COUNTIF(G159,"*莺鸣*")*0.2+COUNTIF(G159,"*叠1*")*0.1+COUNTIF(G159,"*叠2*")*0.2+COUNTIF(G159,"*叠3*")*0.3)+IFERROR(INDEX(技能数据库!$T$2:$W$27,MATCH(E159,技能数据库!$T$2:$T$27,0),2),0)+IF((IF(D159="轻剑",$AO$2,$AO$3)+INT(COUNTIF(G159,"*大莺鸣*")*IF(D159="轻剑",$AM$2,$AM$3)*听晓无双率)/无双系数)&gt;0.9,特效裤子会心/会心系数,0)))</f>
        <v>0.8343</v>
      </c>
      <c r="X159">
        <f ca="1">IF(G159="恒定伤害",0,IF(COUNTIF(F159,"*内会*")&gt;0,内会效,IF(D159="轻剑",$AB$2,$AB$3))+IFERROR(INDEX(技能数据库!$T$2:$W$27,MATCH(E159,技能数据库!$T$2:$T$27,0),3)/1024,0))+COUNTIF(G159,"*叠1*")*0.25+COUNTIF(G159,"*叠2*")*0.5+COUNTIF(G159,"*叠3*")*0.75</f>
        <v>2.5656473116</v>
      </c>
      <c r="Y159">
        <f ca="1" t="shared" si="340"/>
        <v>2.30621955206788</v>
      </c>
      <c r="Z159">
        <f t="shared" si="308"/>
        <v>0.150390625</v>
      </c>
      <c r="AA159">
        <f ca="1" t="shared" si="341"/>
        <v>0.0205078125</v>
      </c>
      <c r="AB159">
        <f ca="1" t="shared" si="342"/>
        <v>355980.372149986</v>
      </c>
      <c r="AC159">
        <f ca="1">技能数计算!AJ151</f>
        <v>5.5</v>
      </c>
      <c r="AD159" s="164">
        <f ca="1" t="shared" si="343"/>
        <v>0.000628507760770847</v>
      </c>
      <c r="AE159" s="168">
        <f ca="1" t="shared" si="317"/>
        <v>0.00223843587621677</v>
      </c>
      <c r="AF159" s="168">
        <f ca="1" t="shared" si="309"/>
        <v>0.0159458469676732</v>
      </c>
      <c r="AG159">
        <f ca="1" t="shared" si="334"/>
        <v>0.00227026994502388</v>
      </c>
      <c r="AH159">
        <f ca="1" t="shared" si="310"/>
        <v>1.00152702521763</v>
      </c>
      <c r="AI159">
        <f ca="1" t="shared" si="311"/>
        <v>1.00016101226475</v>
      </c>
      <c r="AJ159">
        <f ca="1" t="shared" si="312"/>
        <v>1.00058100569062</v>
      </c>
      <c r="AK159">
        <f ca="1" t="shared" ref="AK159:AK181" si="354">AC159</f>
        <v>5.5</v>
      </c>
      <c r="AL159">
        <f ca="1" t="shared" si="319"/>
        <v>0.00502370759680559</v>
      </c>
      <c r="AM159">
        <f ca="1" t="shared" si="345"/>
        <v>5.5</v>
      </c>
      <c r="AN159" s="168">
        <f ca="1" t="shared" si="318"/>
        <v>0.00726559092089141</v>
      </c>
      <c r="AO159" s="168">
        <f ca="1" t="shared" si="320"/>
        <v>0.00447057613551372</v>
      </c>
      <c r="AP159" s="172">
        <f ca="1" t="shared" si="313"/>
        <v>0</v>
      </c>
      <c r="AQ159" s="168">
        <f ca="1" t="shared" si="314"/>
        <v>0.00401583628616287</v>
      </c>
      <c r="AR159">
        <f t="shared" si="315"/>
        <v>1</v>
      </c>
    </row>
    <row r="160" spans="4:55">
      <c r="D160" t="s">
        <v>1825</v>
      </c>
      <c r="E160" t="s">
        <v>2792</v>
      </c>
      <c r="G160" t="s">
        <v>3109</v>
      </c>
      <c r="H160">
        <f ca="1">INDEX(技能数据库!$B$2:$I$100,MATCH(伤害与收益计算!$E160,技能数据库!$B$2:$B$100,0),MATCH(H$9,技能数据库!$B$2:$I$2,0))</f>
        <v>0</v>
      </c>
      <c r="I160">
        <f ca="1">INDEX(技能数据库!$B$2:$I$100,MATCH(伤害与收益计算!$E160,技能数据库!$B$2:$B$100,0),MATCH(I$9,技能数据库!$B$2:$I$2,0))</f>
        <v>0.16875</v>
      </c>
      <c r="J160">
        <f ca="1">INDEX(技能数据库!$B$2:$I$100,MATCH(伤害与收益计算!$E160,技能数据库!$B$2:$B$100,0),MATCH(J$9,技能数据库!$B$2:$I$2,0))</f>
        <v>1</v>
      </c>
      <c r="K160">
        <f ca="1">INDEX(技能数据库!$B$2:$I$100,MATCH(伤害与收益计算!$E160,技能数据库!$B$2:$B$100,0),MATCH(K$9,技能数据库!$B$2:$I$2,0))</f>
        <v>0</v>
      </c>
      <c r="L160">
        <f ca="1" t="shared" si="316"/>
        <v>105847</v>
      </c>
      <c r="M160">
        <f ca="1" t="shared" si="335"/>
        <v>19530.5</v>
      </c>
      <c r="N160">
        <f ca="1" t="shared" si="336"/>
        <v>92028</v>
      </c>
      <c r="O160">
        <f ca="1" t="shared" si="306"/>
        <v>37392.18125</v>
      </c>
      <c r="P160">
        <f ca="1">IF(G160="恒定伤害",0,(IF(D160="轻剑",$AZ$2,$AZ$3)+IFERROR(INDEX(技能数据库!$T$2:$W$27,MATCH(E160,技能数据库!$T$2:$T$27,0),4),0)+COUNTIF(G160,"*造化2*")*154+COUNTIF(G160,"*造化1*")*102+COUNTIF(G160,"*碧归*")*307)/1024)</f>
        <v>0.377063459429785</v>
      </c>
      <c r="Q160">
        <f ca="1" t="shared" si="321"/>
        <v>0.448284482196154</v>
      </c>
      <c r="R160">
        <f ca="1" t="shared" si="307"/>
        <v>0.21277697966198</v>
      </c>
      <c r="S160">
        <f ca="1" t="shared" si="337"/>
        <v>58706.5308629565</v>
      </c>
      <c r="T160">
        <f t="shared" si="338"/>
        <v>0.8</v>
      </c>
      <c r="U160">
        <f ca="1" t="shared" si="322"/>
        <v>1.7995442148</v>
      </c>
      <c r="V160">
        <f ca="1" t="shared" si="339"/>
        <v>131481.223078694</v>
      </c>
      <c r="W160">
        <f ca="1">IF(G160="恒定伤害",0,MIN(1,IF(COUNTIF(F160,"*内会*")&gt;0,内会,IF(D160="轻剑",$Y$2,$Y$3)+COUNTIF(G160,"*莺鸣*")*0.2+COUNTIF(G160,"*叠1*")*0.1+COUNTIF(G160,"*叠2*")*0.2+COUNTIF(G160,"*叠3*")*0.3)+IFERROR(INDEX(技能数据库!$T$2:$W$27,MATCH(E160,技能数据库!$T$2:$T$27,0),2),0)+IF((IF(D160="轻剑",$AO$2,$AO$3)+INT(COUNTIF(G160,"*大莺鸣*")*IF(D160="轻剑",$AM$2,$AM$3)*听晓无双率)/无双系数)&gt;0.9,特效裤子会心/会心系数,0)))</f>
        <v>0.9343</v>
      </c>
      <c r="X160">
        <f ca="1">IF(G160="恒定伤害",0,IF(COUNTIF(F160,"*内会*")&gt;0,内会效,IF(D160="轻剑",$AB$2,$AB$3))+IFERROR(INDEX(技能数据库!$T$2:$W$27,MATCH(E160,技能数据库!$T$2:$T$27,0),3)/1024,0))+COUNTIF(G160,"*叠1*")*0.25+COUNTIF(G160,"*叠2*")*0.5+COUNTIF(G160,"*叠3*")*0.75</f>
        <v>2.8156473116</v>
      </c>
      <c r="Y160">
        <f ca="1" t="shared" si="340"/>
        <v>2.69635928322788</v>
      </c>
      <c r="Z160">
        <f t="shared" si="308"/>
        <v>0.150390625</v>
      </c>
      <c r="AA160">
        <f ca="1" t="shared" si="341"/>
        <v>0.0205078125</v>
      </c>
      <c r="AB160">
        <f ca="1" t="shared" si="342"/>
        <v>416201.042191701</v>
      </c>
      <c r="AC160">
        <f ca="1">技能数计算!AJ152</f>
        <v>3.6875</v>
      </c>
      <c r="AD160" s="164">
        <f ca="1" t="shared" si="343"/>
        <v>0.000492671108433744</v>
      </c>
      <c r="AE160" s="168">
        <f ca="1" t="shared" si="317"/>
        <v>0.00223843587621677</v>
      </c>
      <c r="AF160" s="168">
        <f ca="1" t="shared" si="309"/>
        <v>0.0159458469676732</v>
      </c>
      <c r="AG160">
        <f ca="1" t="shared" si="334"/>
        <v>0.0022655459555978</v>
      </c>
      <c r="AH160">
        <f ca="1" t="shared" si="310"/>
        <v>1.00152702521763</v>
      </c>
      <c r="AI160">
        <f ca="1" t="shared" si="311"/>
        <v>1.00016101226475</v>
      </c>
      <c r="AJ160">
        <f ca="1" t="shared" si="312"/>
        <v>1.00057628966319</v>
      </c>
      <c r="AK160">
        <f ca="1" t="shared" si="354"/>
        <v>3.6875</v>
      </c>
      <c r="AL160">
        <f ca="1" t="shared" si="319"/>
        <v>0.00498293012553952</v>
      </c>
      <c r="AM160">
        <f ca="1" t="shared" si="345"/>
        <v>3.6875</v>
      </c>
      <c r="AN160" s="168">
        <f ca="1" t="shared" si="318"/>
        <v>0.00695917786518119</v>
      </c>
      <c r="AO160" s="168">
        <f ca="1" t="shared" si="320"/>
        <v>0.00447057613551372</v>
      </c>
      <c r="AP160" s="172">
        <f ca="1" t="shared" si="313"/>
        <v>0</v>
      </c>
      <c r="AQ160" s="168">
        <f ca="1" t="shared" si="314"/>
        <v>0.00401583628616287</v>
      </c>
      <c r="AR160">
        <f t="shared" si="315"/>
        <v>1</v>
      </c>
    </row>
    <row r="161" spans="4:44">
      <c r="D161" t="s">
        <v>1825</v>
      </c>
      <c r="E161" t="s">
        <v>2792</v>
      </c>
      <c r="G161" t="s">
        <v>3110</v>
      </c>
      <c r="H161">
        <f ca="1">INDEX(技能数据库!$B$2:$I$100,MATCH(伤害与收益计算!$E161,技能数据库!$B$2:$B$100,0),MATCH(H$9,技能数据库!$B$2:$I$2,0))</f>
        <v>0</v>
      </c>
      <c r="I161">
        <f ca="1">INDEX(技能数据库!$B$2:$I$100,MATCH(伤害与收益计算!$E161,技能数据库!$B$2:$B$100,0),MATCH(I$9,技能数据库!$B$2:$I$2,0))</f>
        <v>0.16875</v>
      </c>
      <c r="J161">
        <f ca="1">INDEX(技能数据库!$B$2:$I$100,MATCH(伤害与收益计算!$E161,技能数据库!$B$2:$B$100,0),MATCH(J$9,技能数据库!$B$2:$I$2,0))</f>
        <v>1</v>
      </c>
      <c r="K161">
        <f ca="1">INDEX(技能数据库!$B$2:$I$100,MATCH(伤害与收益计算!$E161,技能数据库!$B$2:$B$100,0),MATCH(K$9,技能数据库!$B$2:$I$2,0))</f>
        <v>0</v>
      </c>
      <c r="L161">
        <f ca="1" t="shared" si="316"/>
        <v>105847</v>
      </c>
      <c r="M161">
        <f ca="1" t="shared" si="335"/>
        <v>19530.5</v>
      </c>
      <c r="N161">
        <f ca="1" t="shared" si="336"/>
        <v>92028</v>
      </c>
      <c r="O161">
        <f ca="1" t="shared" si="306"/>
        <v>37392.18125</v>
      </c>
      <c r="P161">
        <f ca="1">IF(G161="恒定伤害",0,(IF(D161="轻剑",$AZ$2,$AZ$3)+IFERROR(INDEX(技能数据库!$T$2:$W$27,MATCH(E161,技能数据库!$T$2:$T$27,0),4),0)+COUNTIF(G161,"*造化2*")*154+COUNTIF(G161,"*造化1*")*102+COUNTIF(G161,"*碧归*")*307)/1024)</f>
        <v>0.377063459429785</v>
      </c>
      <c r="Q161">
        <f ca="1" t="shared" si="321"/>
        <v>0.448284482196154</v>
      </c>
      <c r="R161">
        <f ca="1" t="shared" si="307"/>
        <v>0.21277697966198</v>
      </c>
      <c r="S161">
        <f ca="1" t="shared" si="337"/>
        <v>58706.5308629565</v>
      </c>
      <c r="T161">
        <f t="shared" si="338"/>
        <v>0.8</v>
      </c>
      <c r="U161">
        <f ca="1" t="shared" si="322"/>
        <v>1.7995442148</v>
      </c>
      <c r="V161">
        <f ca="1" t="shared" si="339"/>
        <v>131481.223078694</v>
      </c>
      <c r="W161">
        <f ca="1">IF(G161="恒定伤害",0,MIN(1,IF(COUNTIF(F161,"*内会*")&gt;0,内会,IF(D161="轻剑",$Y$2,$Y$3)+COUNTIF(G161,"*莺鸣*")*0.2+COUNTIF(G161,"*叠1*")*0.1+COUNTIF(G161,"*叠2*")*0.2+COUNTIF(G161,"*叠3*")*0.3)+IFERROR(INDEX(技能数据库!$T$2:$W$27,MATCH(E161,技能数据库!$T$2:$T$27,0),2),0)+IF((IF(D161="轻剑",$AO$2,$AO$3)+INT(COUNTIF(G161,"*大莺鸣*")*IF(D161="轻剑",$AM$2,$AM$3)*听晓无双率)/无双系数)&gt;0.9,特效裤子会心/会心系数,0)))</f>
        <v>1</v>
      </c>
      <c r="X161">
        <f ca="1">IF(G161="恒定伤害",0,IF(COUNTIF(F161,"*内会*")&gt;0,内会效,IF(D161="轻剑",$AB$2,$AB$3))+IFERROR(INDEX(技能数据库!$T$2:$W$27,MATCH(E161,技能数据库!$T$2:$T$27,0),3)/1024,0))+COUNTIF(G161,"*叠1*")*0.25+COUNTIF(G161,"*叠2*")*0.5+COUNTIF(G161,"*叠3*")*0.75</f>
        <v>3.0656473116</v>
      </c>
      <c r="Y161">
        <f ca="1" t="shared" si="340"/>
        <v>3.0656473116</v>
      </c>
      <c r="Z161">
        <f t="shared" si="308"/>
        <v>0.150390625</v>
      </c>
      <c r="AA161">
        <f ca="1" t="shared" si="341"/>
        <v>0.0205078125</v>
      </c>
      <c r="AB161">
        <f ca="1" t="shared" si="342"/>
        <v>473203.11281094</v>
      </c>
      <c r="AC161">
        <f ca="1">技能数计算!AJ153</f>
        <v>30.5</v>
      </c>
      <c r="AD161" s="164">
        <f ca="1" t="shared" si="343"/>
        <v>0.00463307504302886</v>
      </c>
      <c r="AE161" s="168">
        <f ca="1" t="shared" si="317"/>
        <v>0.00223843587621677</v>
      </c>
      <c r="AF161" s="168">
        <f ca="1" t="shared" si="309"/>
        <v>0.0159458469676732</v>
      </c>
      <c r="AG161">
        <f ca="1" t="shared" si="334"/>
        <v>0.00168828335216742</v>
      </c>
      <c r="AH161">
        <f ca="1" t="shared" si="310"/>
        <v>1.00152702521763</v>
      </c>
      <c r="AI161">
        <f ca="1" t="shared" si="311"/>
        <v>1.00016101226475</v>
      </c>
      <c r="AJ161">
        <f ca="1" t="shared" si="312"/>
        <v>1</v>
      </c>
      <c r="AK161">
        <f ca="1" t="shared" si="354"/>
        <v>30.5</v>
      </c>
      <c r="AL161">
        <f ca="1" t="shared" si="319"/>
        <v>0</v>
      </c>
      <c r="AM161">
        <f ca="1" t="shared" si="345"/>
        <v>30.5</v>
      </c>
      <c r="AN161" s="168">
        <f ca="1" t="shared" si="318"/>
        <v>0.00655129503556839</v>
      </c>
      <c r="AO161" s="168">
        <f ca="1" t="shared" si="320"/>
        <v>0.00447057613551372</v>
      </c>
      <c r="AP161" s="172">
        <f ca="1" t="shared" si="313"/>
        <v>0</v>
      </c>
      <c r="AQ161" s="168">
        <f ca="1" t="shared" si="314"/>
        <v>0.00401583628616287</v>
      </c>
      <c r="AR161">
        <f t="shared" si="315"/>
        <v>1</v>
      </c>
    </row>
    <row r="162" spans="4:44">
      <c r="D162" t="s">
        <v>1825</v>
      </c>
      <c r="E162" t="s">
        <v>2794</v>
      </c>
      <c r="G162" t="s">
        <v>3108</v>
      </c>
      <c r="H162">
        <f ca="1">INDEX(技能数据库!$B$2:$I$100,MATCH(伤害与收益计算!$E162,技能数据库!$B$2:$B$100,0),MATCH(H$9,技能数据库!$B$2:$I$2,0))</f>
        <v>231.5</v>
      </c>
      <c r="I162">
        <f ca="1">INDEX(技能数据库!$B$2:$I$100,MATCH(伤害与收益计算!$E162,技能数据库!$B$2:$B$100,0),MATCH(I$9,技能数据库!$B$2:$I$2,0))</f>
        <v>2.71875</v>
      </c>
      <c r="J162">
        <f ca="1">INDEX(技能数据库!$B$2:$I$100,MATCH(伤害与收益计算!$E162,技能数据库!$B$2:$B$100,0),MATCH(J$9,技能数据库!$B$2:$I$2,0))</f>
        <v>2</v>
      </c>
      <c r="K162">
        <f ca="1">INDEX(技能数据库!$B$2:$I$100,MATCH(伤害与收益计算!$E162,技能数据库!$B$2:$B$100,0),MATCH(K$9,技能数据库!$B$2:$I$2,0))</f>
        <v>0</v>
      </c>
      <c r="L162">
        <f ca="1" t="shared" si="316"/>
        <v>105847</v>
      </c>
      <c r="M162">
        <f ca="1" t="shared" si="335"/>
        <v>19530.5</v>
      </c>
      <c r="N162">
        <f ca="1" t="shared" si="336"/>
        <v>92028</v>
      </c>
      <c r="O162">
        <f ca="1" t="shared" si="306"/>
        <v>327064.03125</v>
      </c>
      <c r="P162">
        <f ca="1">IF(G162="恒定伤害",0,(IF(D162="轻剑",$AZ$2,$AZ$3)+IFERROR(INDEX(技能数据库!$T$2:$W$27,MATCH(E162,技能数据库!$T$2:$T$27,0),4),0)+COUNTIF(G162,"*造化2*")*154+COUNTIF(G162,"*造化1*")*102+COUNTIF(G162,"*碧归*")*307)/1024)</f>
        <v>0.296985334429785</v>
      </c>
      <c r="Q162">
        <f ca="1" t="shared" si="321"/>
        <v>0.448284482196154</v>
      </c>
      <c r="R162">
        <f ca="1" t="shared" si="307"/>
        <v>0.21277697966198</v>
      </c>
      <c r="S162">
        <f ca="1" t="shared" si="337"/>
        <v>483636.994441474</v>
      </c>
      <c r="T162">
        <f t="shared" si="338"/>
        <v>0.8</v>
      </c>
      <c r="U162">
        <f ca="1" t="shared" si="322"/>
        <v>1.7995442148</v>
      </c>
      <c r="V162">
        <f ca="1" t="shared" si="339"/>
        <v>1083170.51988151</v>
      </c>
      <c r="W162">
        <f ca="1">IF(G162="恒定伤害",0,MIN(1,IF(COUNTIF(F162,"*内会*")&gt;0,内会,IF(D162="轻剑",$Y$2,$Y$3)+COUNTIF(G162,"*莺鸣*")*0.2+COUNTIF(G162,"*叠1*")*0.1+COUNTIF(G162,"*叠2*")*0.2+COUNTIF(G162,"*叠3*")*0.3)+IFERROR(INDEX(技能数据库!$T$2:$W$27,MATCH(E162,技能数据库!$T$2:$T$27,0),2),0)+IF((IF(D162="轻剑",$AO$2,$AO$3)+INT(COUNTIF(G162,"*大莺鸣*")*IF(D162="轻剑",$AM$2,$AM$3)*听晓无双率)/无双系数)&gt;0.9,特效裤子会心/会心系数,0)))</f>
        <v>0.8343</v>
      </c>
      <c r="X162">
        <f ca="1">IF(G162="恒定伤害",0,IF(COUNTIF(F162,"*内会*")&gt;0,内会效,IF(D162="轻剑",$AB$2,$AB$3))+IFERROR(INDEX(技能数据库!$T$2:$W$27,MATCH(E162,技能数据库!$T$2:$T$27,0),3)/1024,0))+COUNTIF(G162,"*叠1*")*0.25+COUNTIF(G162,"*叠2*")*0.5+COUNTIF(G162,"*叠3*")*0.75</f>
        <v>2.5656473116</v>
      </c>
      <c r="Y162">
        <f ca="1" t="shared" si="340"/>
        <v>2.30621955206788</v>
      </c>
      <c r="Z162">
        <f t="shared" si="308"/>
        <v>0.150390625</v>
      </c>
      <c r="AA162">
        <f ca="1" t="shared" si="341"/>
        <v>0.0205078125</v>
      </c>
      <c r="AB162">
        <f ca="1" t="shared" si="342"/>
        <v>2932642.6674517</v>
      </c>
      <c r="AC162">
        <f ca="1">技能数计算!AJ154</f>
        <v>0</v>
      </c>
      <c r="AD162" s="164">
        <f ca="1" t="shared" si="343"/>
        <v>0</v>
      </c>
      <c r="AE162" s="168">
        <f ca="1" t="shared" si="317"/>
        <v>0.00412304585999932</v>
      </c>
      <c r="AF162" s="168">
        <f ca="1" t="shared" si="309"/>
        <v>0.00364607503748549</v>
      </c>
      <c r="AG162">
        <f ca="1" t="shared" si="334"/>
        <v>0.00297414120044159</v>
      </c>
      <c r="AH162">
        <f ca="1" t="shared" si="310"/>
        <v>1.00281267606035</v>
      </c>
      <c r="AI162">
        <f ca="1" t="shared" si="311"/>
        <v>1.00016101226475</v>
      </c>
      <c r="AJ162">
        <f ca="1" t="shared" si="312"/>
        <v>0</v>
      </c>
      <c r="AK162">
        <f ca="1" t="shared" si="354"/>
        <v>0</v>
      </c>
      <c r="AL162">
        <f ca="1" t="shared" si="319"/>
        <v>0</v>
      </c>
      <c r="AM162">
        <f ca="1" t="shared" si="345"/>
        <v>0</v>
      </c>
      <c r="AN162" s="168">
        <f ca="1" t="shared" si="318"/>
        <v>0.00726559092089141</v>
      </c>
      <c r="AO162" s="168">
        <f ca="1" t="shared" si="320"/>
        <v>0.00447057613551372</v>
      </c>
      <c r="AP162" s="172">
        <f ca="1" t="shared" si="313"/>
        <v>0</v>
      </c>
      <c r="AQ162" s="168">
        <f ca="1" t="shared" si="314"/>
        <v>0.00401583628616287</v>
      </c>
      <c r="AR162">
        <f t="shared" si="315"/>
        <v>1</v>
      </c>
    </row>
    <row r="163" spans="4:44">
      <c r="D163" t="s">
        <v>1825</v>
      </c>
      <c r="E163" t="s">
        <v>2794</v>
      </c>
      <c r="G163" t="s">
        <v>3109</v>
      </c>
      <c r="H163">
        <f ca="1">INDEX(技能数据库!$B$2:$I$100,MATCH(伤害与收益计算!$E163,技能数据库!$B$2:$B$100,0),MATCH(H$9,技能数据库!$B$2:$I$2,0))</f>
        <v>231.5</v>
      </c>
      <c r="I163">
        <f ca="1">INDEX(技能数据库!$B$2:$I$100,MATCH(伤害与收益计算!$E163,技能数据库!$B$2:$B$100,0),MATCH(I$9,技能数据库!$B$2:$I$2,0))</f>
        <v>2.71875</v>
      </c>
      <c r="J163">
        <f ca="1">INDEX(技能数据库!$B$2:$I$100,MATCH(伤害与收益计算!$E163,技能数据库!$B$2:$B$100,0),MATCH(J$9,技能数据库!$B$2:$I$2,0))</f>
        <v>2</v>
      </c>
      <c r="K163">
        <f ca="1">INDEX(技能数据库!$B$2:$I$100,MATCH(伤害与收益计算!$E163,技能数据库!$B$2:$B$100,0),MATCH(K$9,技能数据库!$B$2:$I$2,0))</f>
        <v>0</v>
      </c>
      <c r="L163">
        <f ca="1" t="shared" si="316"/>
        <v>105847</v>
      </c>
      <c r="M163">
        <f ca="1" t="shared" si="335"/>
        <v>19530.5</v>
      </c>
      <c r="N163">
        <f ca="1" t="shared" si="336"/>
        <v>92028</v>
      </c>
      <c r="O163">
        <f ca="1" t="shared" si="306"/>
        <v>327064.03125</v>
      </c>
      <c r="P163">
        <f ca="1">IF(G163="恒定伤害",0,(IF(D163="轻剑",$AZ$2,$AZ$3)+IFERROR(INDEX(技能数据库!$T$2:$W$27,MATCH(E163,技能数据库!$T$2:$T$27,0),4),0)+COUNTIF(G163,"*造化2*")*154+COUNTIF(G163,"*造化1*")*102+COUNTIF(G163,"*碧归*")*307)/1024)</f>
        <v>0.296985334429785</v>
      </c>
      <c r="Q163">
        <f ca="1" t="shared" si="321"/>
        <v>0.448284482196154</v>
      </c>
      <c r="R163">
        <f ca="1" t="shared" si="307"/>
        <v>0.21277697966198</v>
      </c>
      <c r="S163">
        <f ca="1" t="shared" si="337"/>
        <v>483636.994441474</v>
      </c>
      <c r="T163">
        <f t="shared" si="338"/>
        <v>0.8</v>
      </c>
      <c r="U163">
        <f ca="1" t="shared" si="322"/>
        <v>1.7995442148</v>
      </c>
      <c r="V163">
        <f ca="1" t="shared" si="339"/>
        <v>1083170.51988151</v>
      </c>
      <c r="W163">
        <f ca="1">IF(G163="恒定伤害",0,MIN(1,IF(COUNTIF(F163,"*内会*")&gt;0,内会,IF(D163="轻剑",$Y$2,$Y$3)+COUNTIF(G163,"*莺鸣*")*0.2+COUNTIF(G163,"*叠1*")*0.1+COUNTIF(G163,"*叠2*")*0.2+COUNTIF(G163,"*叠3*")*0.3)+IFERROR(INDEX(技能数据库!$T$2:$W$27,MATCH(E163,技能数据库!$T$2:$T$27,0),2),0)+IF((IF(D163="轻剑",$AO$2,$AO$3)+INT(COUNTIF(G163,"*大莺鸣*")*IF(D163="轻剑",$AM$2,$AM$3)*听晓无双率)/无双系数)&gt;0.9,特效裤子会心/会心系数,0)))</f>
        <v>0.9343</v>
      </c>
      <c r="X163">
        <f ca="1">IF(G163="恒定伤害",0,IF(COUNTIF(F163,"*内会*")&gt;0,内会效,IF(D163="轻剑",$AB$2,$AB$3))+IFERROR(INDEX(技能数据库!$T$2:$W$27,MATCH(E163,技能数据库!$T$2:$T$27,0),3)/1024,0))+COUNTIF(G163,"*叠1*")*0.25+COUNTIF(G163,"*叠2*")*0.5+COUNTIF(G163,"*叠3*")*0.75</f>
        <v>2.8156473116</v>
      </c>
      <c r="Y163">
        <f ca="1" t="shared" si="340"/>
        <v>2.69635928322788</v>
      </c>
      <c r="Z163">
        <f t="shared" si="308"/>
        <v>0.150390625</v>
      </c>
      <c r="AA163">
        <f ca="1" t="shared" si="341"/>
        <v>0.0205078125</v>
      </c>
      <c r="AB163">
        <f ca="1" t="shared" si="342"/>
        <v>3428753.46524719</v>
      </c>
      <c r="AC163">
        <f ca="1">技能数计算!AJ155</f>
        <v>0</v>
      </c>
      <c r="AD163" s="164">
        <f ca="1" t="shared" si="343"/>
        <v>0</v>
      </c>
      <c r="AE163" s="168">
        <f ca="1" t="shared" si="317"/>
        <v>0.00412304585999932</v>
      </c>
      <c r="AF163" s="168">
        <f ca="1" t="shared" si="309"/>
        <v>0.00364607503748549</v>
      </c>
      <c r="AG163">
        <f ca="1" t="shared" si="334"/>
        <v>0.00297414120044159</v>
      </c>
      <c r="AH163">
        <f ca="1" t="shared" si="310"/>
        <v>1.00281267606035</v>
      </c>
      <c r="AI163">
        <f ca="1" t="shared" si="311"/>
        <v>1.00016101226475</v>
      </c>
      <c r="AJ163">
        <f ca="1" t="shared" si="312"/>
        <v>0</v>
      </c>
      <c r="AK163">
        <f ca="1" t="shared" si="354"/>
        <v>0</v>
      </c>
      <c r="AL163">
        <f ca="1" t="shared" si="319"/>
        <v>0</v>
      </c>
      <c r="AM163">
        <f ca="1" t="shared" si="345"/>
        <v>0</v>
      </c>
      <c r="AN163" s="168">
        <f ca="1" t="shared" si="318"/>
        <v>0.00695917786518119</v>
      </c>
      <c r="AO163" s="168">
        <f ca="1" t="shared" si="320"/>
        <v>0.00447057613551372</v>
      </c>
      <c r="AP163" s="172">
        <f ca="1" t="shared" si="313"/>
        <v>0</v>
      </c>
      <c r="AQ163" s="168">
        <f ca="1" t="shared" si="314"/>
        <v>0.00401583628616287</v>
      </c>
      <c r="AR163">
        <f t="shared" si="315"/>
        <v>1</v>
      </c>
    </row>
    <row r="164" spans="4:44">
      <c r="D164" t="s">
        <v>1825</v>
      </c>
      <c r="E164" t="s">
        <v>2794</v>
      </c>
      <c r="G164" t="s">
        <v>3110</v>
      </c>
      <c r="H164">
        <f ca="1">INDEX(技能数据库!$B$2:$I$100,MATCH(伤害与收益计算!$E164,技能数据库!$B$2:$B$100,0),MATCH(H$9,技能数据库!$B$2:$I$2,0))</f>
        <v>231.5</v>
      </c>
      <c r="I164">
        <f ca="1">INDEX(技能数据库!$B$2:$I$100,MATCH(伤害与收益计算!$E164,技能数据库!$B$2:$B$100,0),MATCH(I$9,技能数据库!$B$2:$I$2,0))</f>
        <v>2.71875</v>
      </c>
      <c r="J164">
        <f ca="1">INDEX(技能数据库!$B$2:$I$100,MATCH(伤害与收益计算!$E164,技能数据库!$B$2:$B$100,0),MATCH(J$9,技能数据库!$B$2:$I$2,0))</f>
        <v>2</v>
      </c>
      <c r="K164">
        <f ca="1">INDEX(技能数据库!$B$2:$I$100,MATCH(伤害与收益计算!$E164,技能数据库!$B$2:$B$100,0),MATCH(K$9,技能数据库!$B$2:$I$2,0))</f>
        <v>0</v>
      </c>
      <c r="L164">
        <f ca="1" t="shared" si="316"/>
        <v>105847</v>
      </c>
      <c r="M164">
        <f ca="1" t="shared" si="335"/>
        <v>19530.5</v>
      </c>
      <c r="N164">
        <f ca="1" t="shared" si="336"/>
        <v>92028</v>
      </c>
      <c r="O164">
        <f ca="1" t="shared" si="306"/>
        <v>327064.03125</v>
      </c>
      <c r="P164">
        <f ca="1">IF(G164="恒定伤害",0,(IF(D164="轻剑",$AZ$2,$AZ$3)+IFERROR(INDEX(技能数据库!$T$2:$W$27,MATCH(E164,技能数据库!$T$2:$T$27,0),4),0)+COUNTIF(G164,"*造化2*")*154+COUNTIF(G164,"*造化1*")*102+COUNTIF(G164,"*碧归*")*307)/1024)</f>
        <v>0.296985334429785</v>
      </c>
      <c r="Q164">
        <f ca="1" t="shared" si="321"/>
        <v>0.448284482196154</v>
      </c>
      <c r="R164">
        <f ca="1" t="shared" si="307"/>
        <v>0.21277697966198</v>
      </c>
      <c r="S164">
        <f ca="1" t="shared" si="337"/>
        <v>483636.994441474</v>
      </c>
      <c r="T164">
        <f t="shared" si="338"/>
        <v>0.8</v>
      </c>
      <c r="U164">
        <f ca="1" t="shared" si="322"/>
        <v>1.7995442148</v>
      </c>
      <c r="V164">
        <f ca="1" t="shared" si="339"/>
        <v>1083170.51988151</v>
      </c>
      <c r="W164">
        <f ca="1">IF(G164="恒定伤害",0,MIN(1,IF(COUNTIF(F164,"*内会*")&gt;0,内会,IF(D164="轻剑",$Y$2,$Y$3)+COUNTIF(G164,"*莺鸣*")*0.2+COUNTIF(G164,"*叠1*")*0.1+COUNTIF(G164,"*叠2*")*0.2+COUNTIF(G164,"*叠3*")*0.3)+IFERROR(INDEX(技能数据库!$T$2:$W$27,MATCH(E164,技能数据库!$T$2:$T$27,0),2),0)+IF((IF(D164="轻剑",$AO$2,$AO$3)+INT(COUNTIF(G164,"*大莺鸣*")*IF(D164="轻剑",$AM$2,$AM$3)*听晓无双率)/无双系数)&gt;0.9,特效裤子会心/会心系数,0)))</f>
        <v>1</v>
      </c>
      <c r="X164">
        <f ca="1">IF(G164="恒定伤害",0,IF(COUNTIF(F164,"*内会*")&gt;0,内会效,IF(D164="轻剑",$AB$2,$AB$3))+IFERROR(INDEX(技能数据库!$T$2:$W$27,MATCH(E164,技能数据库!$T$2:$T$27,0),3)/1024,0))+COUNTIF(G164,"*叠1*")*0.25+COUNTIF(G164,"*叠2*")*0.5+COUNTIF(G164,"*叠3*")*0.75</f>
        <v>3.0656473116</v>
      </c>
      <c r="Y164">
        <f ca="1" t="shared" si="340"/>
        <v>3.0656473116</v>
      </c>
      <c r="Z164">
        <f t="shared" si="308"/>
        <v>0.150390625</v>
      </c>
      <c r="AA164">
        <f ca="1" t="shared" si="341"/>
        <v>0.0205078125</v>
      </c>
      <c r="AB164">
        <f ca="1" t="shared" si="342"/>
        <v>3898348.75057557</v>
      </c>
      <c r="AC164">
        <f ca="1">技能数计算!AJ156</f>
        <v>2</v>
      </c>
      <c r="AD164" s="164">
        <f ca="1" t="shared" si="343"/>
        <v>0.00250283711801315</v>
      </c>
      <c r="AE164" s="168">
        <f ca="1" t="shared" si="317"/>
        <v>0.00412304585999932</v>
      </c>
      <c r="AF164" s="168">
        <f ca="1" t="shared" si="309"/>
        <v>0.00364607503748549</v>
      </c>
      <c r="AG164">
        <f ca="1" t="shared" si="334"/>
        <v>0.00297414120044159</v>
      </c>
      <c r="AH164">
        <f ca="1" t="shared" si="310"/>
        <v>1.00281267606035</v>
      </c>
      <c r="AI164">
        <f ca="1" t="shared" si="311"/>
        <v>1.00016101226475</v>
      </c>
      <c r="AJ164">
        <f ca="1" t="shared" si="312"/>
        <v>1</v>
      </c>
      <c r="AK164">
        <f ca="1" t="shared" si="354"/>
        <v>2</v>
      </c>
      <c r="AL164">
        <f ca="1" t="shared" si="319"/>
        <v>0</v>
      </c>
      <c r="AM164">
        <f ca="1" t="shared" si="345"/>
        <v>2</v>
      </c>
      <c r="AN164" s="168">
        <f ca="1" t="shared" si="318"/>
        <v>0.00655129503556839</v>
      </c>
      <c r="AO164" s="168">
        <f ca="1" t="shared" si="320"/>
        <v>0.00447057613551372</v>
      </c>
      <c r="AP164" s="172">
        <f ca="1" t="shared" si="313"/>
        <v>0</v>
      </c>
      <c r="AQ164" s="168">
        <f ca="1" t="shared" si="314"/>
        <v>0.00401583628616287</v>
      </c>
      <c r="AR164">
        <f t="shared" si="315"/>
        <v>1</v>
      </c>
    </row>
    <row r="165" spans="4:44">
      <c r="D165" t="s">
        <v>1825</v>
      </c>
      <c r="E165" t="s">
        <v>2798</v>
      </c>
      <c r="G165" t="s">
        <v>3108</v>
      </c>
      <c r="H165">
        <f ca="1">INDEX(技能数据库!$B$2:$I$100,MATCH(伤害与收益计算!$E165,技能数据库!$B$2:$B$100,0),MATCH(H$9,技能数据库!$B$2:$I$2,0))</f>
        <v>1504.5</v>
      </c>
      <c r="I165">
        <f ca="1">INDEX(技能数据库!$B$2:$I$100,MATCH(伤害与收益计算!$E165,技能数据库!$B$2:$B$100,0),MATCH(I$9,技能数据库!$B$2:$I$2,0))</f>
        <v>2.85625</v>
      </c>
      <c r="J165">
        <f ca="1">INDEX(技能数据库!$B$2:$I$100,MATCH(伤害与收益计算!$E165,技能数据库!$B$2:$B$100,0),MATCH(J$9,技能数据库!$B$2:$I$2,0))</f>
        <v>0</v>
      </c>
      <c r="K165">
        <f ca="1">INDEX(技能数据库!$B$2:$I$100,MATCH(伤害与收益计算!$E165,技能数据库!$B$2:$B$100,0),MATCH(K$9,技能数据库!$B$2:$I$2,0))</f>
        <v>0</v>
      </c>
      <c r="L165">
        <f ca="1" t="shared" si="316"/>
        <v>105847</v>
      </c>
      <c r="M165">
        <f ca="1" t="shared" si="335"/>
        <v>19530.5</v>
      </c>
      <c r="N165">
        <f ca="1" t="shared" si="336"/>
        <v>92028</v>
      </c>
      <c r="O165">
        <f ca="1" t="shared" si="306"/>
        <v>303829.99375</v>
      </c>
      <c r="P165">
        <f ca="1">IF(G165="恒定伤害",0,(IF(D165="轻剑",$AZ$2,$AZ$3)+IFERROR(INDEX(技能数据库!$T$2:$W$27,MATCH(E165,技能数据库!$T$2:$T$27,0),4),0)+COUNTIF(G165,"*造化2*")*154+COUNTIF(G165,"*造化1*")*102+COUNTIF(G165,"*碧归*")*307)/1024)</f>
        <v>0.176868146929785</v>
      </c>
      <c r="Q165">
        <f ca="1" t="shared" si="321"/>
        <v>0.448284482196154</v>
      </c>
      <c r="R165">
        <f ca="1" t="shared" si="307"/>
        <v>0.21277697966198</v>
      </c>
      <c r="S165">
        <f ca="1" t="shared" si="337"/>
        <v>407671.279071588</v>
      </c>
      <c r="T165">
        <f t="shared" si="338"/>
        <v>0.8</v>
      </c>
      <c r="U165">
        <f ca="1" t="shared" si="322"/>
        <v>1.7995442148</v>
      </c>
      <c r="V165">
        <f ca="1" t="shared" si="339"/>
        <v>913035.016691983</v>
      </c>
      <c r="W165">
        <f ca="1">IF(G165="恒定伤害",0,MIN(1,IF(COUNTIF(F165,"*内会*")&gt;0,内会,IF(D165="轻剑",$Y$2,$Y$3)+COUNTIF(G165,"*莺鸣*")*0.2+COUNTIF(G165,"*叠1*")*0.1+COUNTIF(G165,"*叠2*")*0.2+COUNTIF(G165,"*叠3*")*0.3)+IFERROR(INDEX(技能数据库!$T$2:$W$27,MATCH(E165,技能数据库!$T$2:$T$27,0),2),0)+IF((IF(D165="轻剑",$AO$2,$AO$3)+INT(COUNTIF(G165,"*大莺鸣*")*IF(D165="轻剑",$AM$2,$AM$3)*听晓无双率)/无双系数)&gt;0.9,特效裤子会心/会心系数,0)))</f>
        <v>0.8343</v>
      </c>
      <c r="X165">
        <f ca="1">IF(G165="恒定伤害",0,IF(COUNTIF(F165,"*内会*")&gt;0,内会效,IF(D165="轻剑",$AB$2,$AB$3))+IFERROR(INDEX(技能数据库!$T$2:$W$27,MATCH(E165,技能数据库!$T$2:$T$27,0),3)/1024,0))+COUNTIF(G165,"*叠1*")*0.25+COUNTIF(G165,"*叠2*")*0.5+COUNTIF(G165,"*叠3*")*0.75</f>
        <v>2.5656473116</v>
      </c>
      <c r="Y165">
        <f ca="1" t="shared" si="340"/>
        <v>2.30621955206788</v>
      </c>
      <c r="Z165">
        <f t="shared" si="308"/>
        <v>0.150390625</v>
      </c>
      <c r="AA165">
        <f ca="1" t="shared" si="341"/>
        <v>0.0205078125</v>
      </c>
      <c r="AB165">
        <f ca="1" t="shared" si="342"/>
        <v>2472007.31342032</v>
      </c>
      <c r="AC165">
        <f ca="1">技能数计算!AJ157</f>
        <v>0</v>
      </c>
      <c r="AD165" s="164">
        <f ca="1" t="shared" si="343"/>
        <v>0</v>
      </c>
      <c r="AE165" s="168">
        <f ca="1" t="shared" si="317"/>
        <v>0.00466280495389702</v>
      </c>
      <c r="AF165" s="168">
        <f ca="1" t="shared" si="309"/>
        <v>0</v>
      </c>
      <c r="AG165">
        <f ca="1" t="shared" si="334"/>
        <v>0.00334241552406178</v>
      </c>
      <c r="AH165">
        <f ca="1" t="shared" si="310"/>
        <v>1.00318089109683</v>
      </c>
      <c r="AI165">
        <f ca="1" t="shared" si="311"/>
        <v>1.00016101226475</v>
      </c>
      <c r="AJ165">
        <f ca="1" t="shared" si="312"/>
        <v>0</v>
      </c>
      <c r="AK165">
        <f ca="1" t="shared" si="354"/>
        <v>0</v>
      </c>
      <c r="AL165">
        <f ca="1" t="shared" si="319"/>
        <v>0</v>
      </c>
      <c r="AM165">
        <f ca="1" t="shared" si="345"/>
        <v>0</v>
      </c>
      <c r="AN165" s="168">
        <f ca="1" t="shared" si="318"/>
        <v>0.00726559092089141</v>
      </c>
      <c r="AO165" s="168">
        <f ca="1" t="shared" si="320"/>
        <v>0.00447057613551372</v>
      </c>
      <c r="AP165" s="172">
        <f ca="1" t="shared" si="313"/>
        <v>0</v>
      </c>
      <c r="AQ165" s="168">
        <f ca="1" t="shared" si="314"/>
        <v>0.00401583628616287</v>
      </c>
      <c r="AR165">
        <f t="shared" si="315"/>
        <v>1</v>
      </c>
    </row>
    <row r="166" spans="4:44">
      <c r="D166" t="s">
        <v>1825</v>
      </c>
      <c r="E166" t="s">
        <v>2798</v>
      </c>
      <c r="G166" t="s">
        <v>3109</v>
      </c>
      <c r="H166">
        <f ca="1">INDEX(技能数据库!$B$2:$I$100,MATCH(伤害与收益计算!$E166,技能数据库!$B$2:$B$100,0),MATCH(H$9,技能数据库!$B$2:$I$2,0))</f>
        <v>1504.5</v>
      </c>
      <c r="I166">
        <f ca="1">INDEX(技能数据库!$B$2:$I$100,MATCH(伤害与收益计算!$E166,技能数据库!$B$2:$B$100,0),MATCH(I$9,技能数据库!$B$2:$I$2,0))</f>
        <v>2.85625</v>
      </c>
      <c r="J166">
        <f ca="1">INDEX(技能数据库!$B$2:$I$100,MATCH(伤害与收益计算!$E166,技能数据库!$B$2:$B$100,0),MATCH(J$9,技能数据库!$B$2:$I$2,0))</f>
        <v>0</v>
      </c>
      <c r="K166">
        <f ca="1">INDEX(技能数据库!$B$2:$I$100,MATCH(伤害与收益计算!$E166,技能数据库!$B$2:$B$100,0),MATCH(K$9,技能数据库!$B$2:$I$2,0))</f>
        <v>0</v>
      </c>
      <c r="L166">
        <f ca="1" t="shared" si="316"/>
        <v>105847</v>
      </c>
      <c r="M166">
        <f ca="1" t="shared" si="335"/>
        <v>19530.5</v>
      </c>
      <c r="N166">
        <f ca="1" t="shared" si="336"/>
        <v>92028</v>
      </c>
      <c r="O166">
        <f ca="1" t="shared" si="306"/>
        <v>303829.99375</v>
      </c>
      <c r="P166">
        <f ca="1">IF(G166="恒定伤害",0,(IF(D166="轻剑",$AZ$2,$AZ$3)+IFERROR(INDEX(技能数据库!$T$2:$W$27,MATCH(E166,技能数据库!$T$2:$T$27,0),4),0)+COUNTIF(G166,"*造化2*")*154+COUNTIF(G166,"*造化1*")*102+COUNTIF(G166,"*碧归*")*307)/1024)</f>
        <v>0.176868146929785</v>
      </c>
      <c r="Q166">
        <f ca="1" t="shared" si="321"/>
        <v>0.448284482196154</v>
      </c>
      <c r="R166">
        <f ca="1" t="shared" si="307"/>
        <v>0.21277697966198</v>
      </c>
      <c r="S166">
        <f ca="1" t="shared" si="337"/>
        <v>407671.279071588</v>
      </c>
      <c r="T166">
        <f t="shared" si="338"/>
        <v>0.8</v>
      </c>
      <c r="U166">
        <f ca="1" t="shared" si="322"/>
        <v>1.7995442148</v>
      </c>
      <c r="V166">
        <f ca="1" t="shared" si="339"/>
        <v>913035.016691983</v>
      </c>
      <c r="W166">
        <f ca="1">IF(G166="恒定伤害",0,MIN(1,IF(COUNTIF(F166,"*内会*")&gt;0,内会,IF(D166="轻剑",$Y$2,$Y$3)+COUNTIF(G166,"*莺鸣*")*0.2+COUNTIF(G166,"*叠1*")*0.1+COUNTIF(G166,"*叠2*")*0.2+COUNTIF(G166,"*叠3*")*0.3)+IFERROR(INDEX(技能数据库!$T$2:$W$27,MATCH(E166,技能数据库!$T$2:$T$27,0),2),0)+IF((IF(D166="轻剑",$AO$2,$AO$3)+INT(COUNTIF(G166,"*大莺鸣*")*IF(D166="轻剑",$AM$2,$AM$3)*听晓无双率)/无双系数)&gt;0.9,特效裤子会心/会心系数,0)))</f>
        <v>0.9343</v>
      </c>
      <c r="X166">
        <f ca="1">IF(G166="恒定伤害",0,IF(COUNTIF(F166,"*内会*")&gt;0,内会效,IF(D166="轻剑",$AB$2,$AB$3))+IFERROR(INDEX(技能数据库!$T$2:$W$27,MATCH(E166,技能数据库!$T$2:$T$27,0),3)/1024,0))+COUNTIF(G166,"*叠1*")*0.25+COUNTIF(G166,"*叠2*")*0.5+COUNTIF(G166,"*叠3*")*0.75</f>
        <v>2.8156473116</v>
      </c>
      <c r="Y166">
        <f ca="1" t="shared" si="340"/>
        <v>2.69635928322788</v>
      </c>
      <c r="Z166">
        <f t="shared" si="308"/>
        <v>0.150390625</v>
      </c>
      <c r="AA166">
        <f ca="1" t="shared" si="341"/>
        <v>0.0205078125</v>
      </c>
      <c r="AB166">
        <f ca="1" t="shared" si="342"/>
        <v>2890193.11356177</v>
      </c>
      <c r="AC166">
        <f ca="1">技能数计算!AJ158</f>
        <v>0</v>
      </c>
      <c r="AD166" s="164">
        <f ca="1" t="shared" si="343"/>
        <v>0</v>
      </c>
      <c r="AE166" s="168">
        <f ca="1" t="shared" si="317"/>
        <v>0.00466280495389702</v>
      </c>
      <c r="AF166" s="168">
        <f ca="1" t="shared" si="309"/>
        <v>0</v>
      </c>
      <c r="AG166">
        <f ca="1" t="shared" si="334"/>
        <v>0.00334241552406178</v>
      </c>
      <c r="AH166">
        <f ca="1" t="shared" si="310"/>
        <v>1.00318089109683</v>
      </c>
      <c r="AI166">
        <f ca="1" t="shared" si="311"/>
        <v>1.00016101226475</v>
      </c>
      <c r="AJ166">
        <f ca="1" t="shared" si="312"/>
        <v>0</v>
      </c>
      <c r="AK166">
        <f ca="1" t="shared" si="354"/>
        <v>0</v>
      </c>
      <c r="AL166">
        <f ca="1" t="shared" si="319"/>
        <v>0</v>
      </c>
      <c r="AM166">
        <f ca="1" t="shared" si="345"/>
        <v>0</v>
      </c>
      <c r="AN166" s="168">
        <f ca="1" t="shared" si="318"/>
        <v>0.00695917786518119</v>
      </c>
      <c r="AO166" s="168">
        <f ca="1" t="shared" si="320"/>
        <v>0.00447057613551372</v>
      </c>
      <c r="AP166" s="172">
        <f ca="1" t="shared" si="313"/>
        <v>0</v>
      </c>
      <c r="AQ166" s="168">
        <f ca="1" t="shared" si="314"/>
        <v>0.00401583628616287</v>
      </c>
      <c r="AR166">
        <f t="shared" si="315"/>
        <v>1</v>
      </c>
    </row>
    <row r="167" spans="4:44">
      <c r="D167" t="s">
        <v>1825</v>
      </c>
      <c r="E167" t="s">
        <v>2798</v>
      </c>
      <c r="G167" t="s">
        <v>3110</v>
      </c>
      <c r="H167">
        <f ca="1">INDEX(技能数据库!$B$2:$I$100,MATCH(伤害与收益计算!$E167,技能数据库!$B$2:$B$100,0),MATCH(H$9,技能数据库!$B$2:$I$2,0))</f>
        <v>1504.5</v>
      </c>
      <c r="I167">
        <f ca="1">INDEX(技能数据库!$B$2:$I$100,MATCH(伤害与收益计算!$E167,技能数据库!$B$2:$B$100,0),MATCH(I$9,技能数据库!$B$2:$I$2,0))</f>
        <v>2.85625</v>
      </c>
      <c r="J167">
        <f ca="1">INDEX(技能数据库!$B$2:$I$100,MATCH(伤害与收益计算!$E167,技能数据库!$B$2:$B$100,0),MATCH(J$9,技能数据库!$B$2:$I$2,0))</f>
        <v>0</v>
      </c>
      <c r="K167">
        <f ca="1">INDEX(技能数据库!$B$2:$I$100,MATCH(伤害与收益计算!$E167,技能数据库!$B$2:$B$100,0),MATCH(K$9,技能数据库!$B$2:$I$2,0))</f>
        <v>0</v>
      </c>
      <c r="L167">
        <f ca="1" t="shared" si="316"/>
        <v>105847</v>
      </c>
      <c r="M167">
        <f ca="1" t="shared" si="335"/>
        <v>19530.5</v>
      </c>
      <c r="N167">
        <f ca="1" t="shared" si="336"/>
        <v>92028</v>
      </c>
      <c r="O167">
        <f ca="1" t="shared" si="306"/>
        <v>303829.99375</v>
      </c>
      <c r="P167">
        <f ca="1">IF(G167="恒定伤害",0,(IF(D167="轻剑",$AZ$2,$AZ$3)+IFERROR(INDEX(技能数据库!$T$2:$W$27,MATCH(E167,技能数据库!$T$2:$T$27,0),4),0)+COUNTIF(G167,"*造化2*")*154+COUNTIF(G167,"*造化1*")*102+COUNTIF(G167,"*碧归*")*307)/1024)</f>
        <v>0.176868146929785</v>
      </c>
      <c r="Q167">
        <f ca="1" t="shared" si="321"/>
        <v>0.448284482196154</v>
      </c>
      <c r="R167">
        <f ca="1" t="shared" si="307"/>
        <v>0.21277697966198</v>
      </c>
      <c r="S167">
        <f ca="1" t="shared" si="337"/>
        <v>407671.279071588</v>
      </c>
      <c r="T167">
        <f t="shared" si="338"/>
        <v>0.8</v>
      </c>
      <c r="U167">
        <f ca="1" t="shared" si="322"/>
        <v>1.7995442148</v>
      </c>
      <c r="V167">
        <f ca="1" t="shared" si="339"/>
        <v>913035.016691983</v>
      </c>
      <c r="W167">
        <f ca="1">IF(G167="恒定伤害",0,MIN(1,IF(COUNTIF(F167,"*内会*")&gt;0,内会,IF(D167="轻剑",$Y$2,$Y$3)+COUNTIF(G167,"*莺鸣*")*0.2+COUNTIF(G167,"*叠1*")*0.1+COUNTIF(G167,"*叠2*")*0.2+COUNTIF(G167,"*叠3*")*0.3)+IFERROR(INDEX(技能数据库!$T$2:$W$27,MATCH(E167,技能数据库!$T$2:$T$27,0),2),0)+IF((IF(D167="轻剑",$AO$2,$AO$3)+INT(COUNTIF(G167,"*大莺鸣*")*IF(D167="轻剑",$AM$2,$AM$3)*听晓无双率)/无双系数)&gt;0.9,特效裤子会心/会心系数,0)))</f>
        <v>1</v>
      </c>
      <c r="X167">
        <f ca="1">IF(G167="恒定伤害",0,IF(COUNTIF(F167,"*内会*")&gt;0,内会效,IF(D167="轻剑",$AB$2,$AB$3))+IFERROR(INDEX(技能数据库!$T$2:$W$27,MATCH(E167,技能数据库!$T$2:$T$27,0),3)/1024,0))+COUNTIF(G167,"*叠1*")*0.25+COUNTIF(G167,"*叠2*")*0.5+COUNTIF(G167,"*叠3*")*0.75</f>
        <v>3.0656473116</v>
      </c>
      <c r="Y167">
        <f ca="1" t="shared" si="340"/>
        <v>3.0656473116</v>
      </c>
      <c r="Z167">
        <f t="shared" si="308"/>
        <v>0.150390625</v>
      </c>
      <c r="AA167">
        <f ca="1" t="shared" si="341"/>
        <v>0.0205078125</v>
      </c>
      <c r="AB167">
        <f ca="1" t="shared" si="342"/>
        <v>3286028.23952622</v>
      </c>
      <c r="AC167">
        <f ca="1">技能数计算!AJ159</f>
        <v>2</v>
      </c>
      <c r="AD167" s="164">
        <f ca="1" t="shared" si="343"/>
        <v>0.00210971207938011</v>
      </c>
      <c r="AE167" s="168">
        <f ca="1" t="shared" si="317"/>
        <v>0.00466280495389702</v>
      </c>
      <c r="AF167" s="168">
        <f ca="1" t="shared" si="309"/>
        <v>0</v>
      </c>
      <c r="AG167">
        <f ca="1" t="shared" si="334"/>
        <v>0.00334241552406178</v>
      </c>
      <c r="AH167">
        <f ca="1" t="shared" si="310"/>
        <v>1.00318089109683</v>
      </c>
      <c r="AI167">
        <f ca="1" t="shared" si="311"/>
        <v>1.00016101226475</v>
      </c>
      <c r="AJ167">
        <f ca="1" t="shared" si="312"/>
        <v>1</v>
      </c>
      <c r="AK167">
        <f ca="1" t="shared" si="354"/>
        <v>2</v>
      </c>
      <c r="AL167">
        <f ca="1" t="shared" si="319"/>
        <v>0</v>
      </c>
      <c r="AM167">
        <f ca="1" t="shared" si="345"/>
        <v>2</v>
      </c>
      <c r="AN167" s="168">
        <f ca="1" t="shared" si="318"/>
        <v>0.00655129503556839</v>
      </c>
      <c r="AO167" s="168">
        <f ca="1" t="shared" si="320"/>
        <v>0.00447057613551372</v>
      </c>
      <c r="AP167" s="172">
        <f ca="1" t="shared" si="313"/>
        <v>0</v>
      </c>
      <c r="AQ167" s="168">
        <f ca="1" t="shared" si="314"/>
        <v>0.00401583628616287</v>
      </c>
      <c r="AR167">
        <f t="shared" si="315"/>
        <v>1</v>
      </c>
    </row>
    <row r="168" spans="4:44">
      <c r="D168" t="s">
        <v>1825</v>
      </c>
      <c r="E168" t="s">
        <v>2801</v>
      </c>
      <c r="G168" t="s">
        <v>3108</v>
      </c>
      <c r="H168">
        <f ca="1">INDEX(技能数据库!$B$2:$I$100,MATCH(伤害与收益计算!$E168,技能数据库!$B$2:$B$100,0),MATCH(H$9,技能数据库!$B$2:$I$2,0))</f>
        <v>291</v>
      </c>
      <c r="I168">
        <f ca="1">INDEX(技能数据库!$B$2:$I$100,MATCH(伤害与收益计算!$E168,技能数据库!$B$2:$B$100,0),MATCH(I$9,技能数据库!$B$2:$I$2,0))</f>
        <v>1.8875</v>
      </c>
      <c r="J168">
        <f ca="1">INDEX(技能数据库!$B$2:$I$100,MATCH(伤害与收益计算!$E168,技能数据库!$B$2:$B$100,0),MATCH(J$9,技能数据库!$B$2:$I$2,0))</f>
        <v>2</v>
      </c>
      <c r="K168">
        <f ca="1">INDEX(技能数据库!$B$2:$I$100,MATCH(伤害与收益计算!$E168,技能数据库!$B$2:$B$100,0),MATCH(K$9,技能数据库!$B$2:$I$2,0))</f>
        <v>0</v>
      </c>
      <c r="L168">
        <f ca="1" t="shared" si="316"/>
        <v>105847</v>
      </c>
      <c r="M168">
        <f ca="1" t="shared" si="335"/>
        <v>19530.5</v>
      </c>
      <c r="N168">
        <f ca="1" t="shared" si="336"/>
        <v>92028</v>
      </c>
      <c r="O168">
        <f ca="1" t="shared" si="306"/>
        <v>239138.2125</v>
      </c>
      <c r="P168">
        <f ca="1">IF(G168="恒定伤害",0,(IF(D168="轻剑",$AZ$2,$AZ$3)+IFERROR(INDEX(技能数据库!$T$2:$W$27,MATCH(E168,技能数据库!$T$2:$T$27,0),4),0)+COUNTIF(G168,"*造化2*")*154+COUNTIF(G168,"*造化1*")*102+COUNTIF(G168,"*碧归*")*307)/1024)</f>
        <v>0.176868146929785</v>
      </c>
      <c r="Q168">
        <f ca="1" t="shared" si="321"/>
        <v>0.448284482196154</v>
      </c>
      <c r="R168">
        <f ca="1" t="shared" si="307"/>
        <v>0.21277697966198</v>
      </c>
      <c r="S168">
        <f ca="1" t="shared" si="337"/>
        <v>320869.509166977</v>
      </c>
      <c r="T168">
        <f t="shared" si="338"/>
        <v>0.8</v>
      </c>
      <c r="U168">
        <f ca="1" t="shared" si="322"/>
        <v>1.7995442148</v>
      </c>
      <c r="V168">
        <f ca="1" t="shared" si="339"/>
        <v>718630.7024753</v>
      </c>
      <c r="W168">
        <f ca="1">IF(G168="恒定伤害",0,MIN(1,IF(COUNTIF(F168,"*内会*")&gt;0,内会,IF(D168="轻剑",$Y$2,$Y$3)+COUNTIF(G168,"*莺鸣*")*0.2+COUNTIF(G168,"*叠1*")*0.1+COUNTIF(G168,"*叠2*")*0.2+COUNTIF(G168,"*叠3*")*0.3)+IFERROR(INDEX(技能数据库!$T$2:$W$27,MATCH(E168,技能数据库!$T$2:$T$27,0),2),0)+IF((IF(D168="轻剑",$AO$2,$AO$3)+INT(COUNTIF(G168,"*大莺鸣*")*IF(D168="轻剑",$AM$2,$AM$3)*听晓无双率)/无双系数)&gt;0.9,特效裤子会心/会心系数,0)))</f>
        <v>0.8343</v>
      </c>
      <c r="X168">
        <f ca="1">IF(G168="恒定伤害",0,IF(COUNTIF(F168,"*内会*")&gt;0,内会效,IF(D168="轻剑",$AB$2,$AB$3))+IFERROR(INDEX(技能数据库!$T$2:$W$27,MATCH(E168,技能数据库!$T$2:$T$27,0),3)/1024,0))+COUNTIF(G168,"*叠1*")*0.25+COUNTIF(G168,"*叠2*")*0.5+COUNTIF(G168,"*叠3*")*0.75</f>
        <v>2.5656473116</v>
      </c>
      <c r="Y168">
        <f ca="1" t="shared" si="340"/>
        <v>2.30621955206788</v>
      </c>
      <c r="Z168">
        <f t="shared" si="308"/>
        <v>0.150390625</v>
      </c>
      <c r="AA168">
        <f ca="1" t="shared" si="341"/>
        <v>0.0205078125</v>
      </c>
      <c r="AB168">
        <f ca="1" t="shared" si="342"/>
        <v>1945665.08369374</v>
      </c>
      <c r="AC168">
        <f ca="1">技能数计算!AJ160</f>
        <v>8</v>
      </c>
      <c r="AD168" s="164">
        <f ca="1" t="shared" si="343"/>
        <v>0.00499666202514271</v>
      </c>
      <c r="AE168" s="168">
        <f ca="1" t="shared" si="317"/>
        <v>0.00391489084999329</v>
      </c>
      <c r="AF168" s="168">
        <f ca="1" t="shared" si="309"/>
        <v>0.00498665599083208</v>
      </c>
      <c r="AG168">
        <f ca="1" t="shared" si="334"/>
        <v>0.0034147694795883</v>
      </c>
      <c r="AH168">
        <f ca="1" t="shared" si="310"/>
        <v>1.00267067603576</v>
      </c>
      <c r="AI168">
        <f ca="1" t="shared" si="311"/>
        <v>1.00016101226475</v>
      </c>
      <c r="AJ168">
        <f ca="1" t="shared" si="312"/>
        <v>1.00058100569062</v>
      </c>
      <c r="AK168">
        <f ca="1" t="shared" si="354"/>
        <v>8</v>
      </c>
      <c r="AL168">
        <f ca="1" t="shared" si="319"/>
        <v>0.00502370759680582</v>
      </c>
      <c r="AM168">
        <f ca="1" t="shared" si="345"/>
        <v>8</v>
      </c>
      <c r="AN168" s="168">
        <f ca="1" t="shared" si="318"/>
        <v>0.00726559092089141</v>
      </c>
      <c r="AO168" s="168">
        <f ca="1" t="shared" si="320"/>
        <v>0.00447057613551372</v>
      </c>
      <c r="AP168" s="172">
        <f ca="1" t="shared" si="313"/>
        <v>0</v>
      </c>
      <c r="AQ168" s="168">
        <f ca="1" t="shared" si="314"/>
        <v>0.00401583628616287</v>
      </c>
      <c r="AR168">
        <f t="shared" si="315"/>
        <v>1</v>
      </c>
    </row>
    <row r="169" spans="4:44">
      <c r="D169" t="s">
        <v>1825</v>
      </c>
      <c r="E169" t="s">
        <v>2801</v>
      </c>
      <c r="G169" t="s">
        <v>3109</v>
      </c>
      <c r="H169">
        <f ca="1">INDEX(技能数据库!$B$2:$I$100,MATCH(伤害与收益计算!$E169,技能数据库!$B$2:$B$100,0),MATCH(H$9,技能数据库!$B$2:$I$2,0))</f>
        <v>291</v>
      </c>
      <c r="I169">
        <f ca="1">INDEX(技能数据库!$B$2:$I$100,MATCH(伤害与收益计算!$E169,技能数据库!$B$2:$B$100,0),MATCH(I$9,技能数据库!$B$2:$I$2,0))</f>
        <v>1.8875</v>
      </c>
      <c r="J169">
        <f ca="1">INDEX(技能数据库!$B$2:$I$100,MATCH(伤害与收益计算!$E169,技能数据库!$B$2:$B$100,0),MATCH(J$9,技能数据库!$B$2:$I$2,0))</f>
        <v>2</v>
      </c>
      <c r="K169">
        <f ca="1">INDEX(技能数据库!$B$2:$I$100,MATCH(伤害与收益计算!$E169,技能数据库!$B$2:$B$100,0),MATCH(K$9,技能数据库!$B$2:$I$2,0))</f>
        <v>0</v>
      </c>
      <c r="L169">
        <f ca="1" t="shared" si="316"/>
        <v>105847</v>
      </c>
      <c r="M169">
        <f ca="1" t="shared" si="335"/>
        <v>19530.5</v>
      </c>
      <c r="N169">
        <f ca="1" t="shared" si="336"/>
        <v>92028</v>
      </c>
      <c r="O169">
        <f ca="1" t="shared" ref="O169:O179" si="355">H169+I169*L169+J169*M169+IF(K169&gt;0,MAX(1,K169*N169*破招全局系数),0)</f>
        <v>239138.2125</v>
      </c>
      <c r="P169">
        <f ca="1">IF(G169="恒定伤害",0,(IF(D169="轻剑",$AZ$2,$AZ$3)+IFERROR(INDEX(技能数据库!$T$2:$W$27,MATCH(E169,技能数据库!$T$2:$T$27,0),4),0)+COUNTIF(G169,"*造化2*")*154+COUNTIF(G169,"*造化1*")*102+COUNTIF(G169,"*碧归*")*307)/1024)</f>
        <v>0.176868146929785</v>
      </c>
      <c r="Q169">
        <f ca="1" t="shared" si="321"/>
        <v>0.448284482196154</v>
      </c>
      <c r="R169">
        <f ca="1" t="shared" ref="R169:R179" si="356">IF(G169="恒定伤害",0,(($F$5-IF(D169="轻剑",$BB$2,$BB$3))*(1024-IF(D169="轻剑",$BD$2,$BD$3))/1024*(1024-IF(D169="轻剑",$BC$2,$BC$3)-COUNTIF(G169,"*雾锁*")*461*雾锁)/1024/(($F$5-IF(D169="轻剑",$BB$2,$BB$3))*(1024-IF(D169="轻剑",$BD$2,$BD$3))/1024*(1024-IF(D169="轻剑",$BC$2,$BC$3)-COUNTIF(G169,"*雾锁*")*461*雾锁)/1024+$F$7)))</f>
        <v>0.21277697966198</v>
      </c>
      <c r="S169">
        <f ca="1" t="shared" si="337"/>
        <v>320869.509166977</v>
      </c>
      <c r="T169">
        <f t="shared" si="338"/>
        <v>0.8</v>
      </c>
      <c r="U169">
        <f ca="1" t="shared" si="322"/>
        <v>1.7995442148</v>
      </c>
      <c r="V169">
        <f ca="1" t="shared" si="339"/>
        <v>718630.7024753</v>
      </c>
      <c r="W169">
        <f ca="1">IF(G169="恒定伤害",0,MIN(1,IF(COUNTIF(F169,"*内会*")&gt;0,内会,IF(D169="轻剑",$Y$2,$Y$3)+COUNTIF(G169,"*莺鸣*")*0.2+COUNTIF(G169,"*叠1*")*0.1+COUNTIF(G169,"*叠2*")*0.2+COUNTIF(G169,"*叠3*")*0.3)+IFERROR(INDEX(技能数据库!$T$2:$W$27,MATCH(E169,技能数据库!$T$2:$T$27,0),2),0)+IF((IF(D169="轻剑",$AO$2,$AO$3)+INT(COUNTIF(G169,"*大莺鸣*")*IF(D169="轻剑",$AM$2,$AM$3)*听晓无双率)/无双系数)&gt;0.9,特效裤子会心/会心系数,0)))</f>
        <v>0.9343</v>
      </c>
      <c r="X169">
        <f ca="1">IF(G169="恒定伤害",0,IF(COUNTIF(F169,"*内会*")&gt;0,内会效,IF(D169="轻剑",$AB$2,$AB$3))+IFERROR(INDEX(技能数据库!$T$2:$W$27,MATCH(E169,技能数据库!$T$2:$T$27,0),3)/1024,0))+COUNTIF(G169,"*叠1*")*0.25+COUNTIF(G169,"*叠2*")*0.5+COUNTIF(G169,"*叠3*")*0.75</f>
        <v>2.8156473116</v>
      </c>
      <c r="Y169">
        <f ca="1" t="shared" si="340"/>
        <v>2.69635928322788</v>
      </c>
      <c r="Z169">
        <f t="shared" ref="Z169:Z179" si="357">IF(G169="恒定伤害",0,非侠士伤害/1024)</f>
        <v>0.150390625</v>
      </c>
      <c r="AA169">
        <f ca="1" t="shared" si="341"/>
        <v>0.0205078125</v>
      </c>
      <c r="AB169">
        <f ca="1" t="shared" si="342"/>
        <v>2274810.35175768</v>
      </c>
      <c r="AC169">
        <f ca="1">技能数计算!AJ161</f>
        <v>4</v>
      </c>
      <c r="AD169" s="164">
        <f ca="1" t="shared" si="343"/>
        <v>0.00292096995374212</v>
      </c>
      <c r="AE169" s="168">
        <f ca="1" t="shared" si="317"/>
        <v>0.00391489084999329</v>
      </c>
      <c r="AF169" s="168">
        <f ca="1" t="shared" ref="AF169:AF179" si="358">IFERROR((delta武伤+INT((IF(D169="轻剑",$AW$2,$AW$3))/1024*delta武伤))*J169/O169,0)</f>
        <v>0.00498665599083208</v>
      </c>
      <c r="AG169">
        <f ca="1" t="shared" si="334"/>
        <v>0.00341004009580526</v>
      </c>
      <c r="AH169">
        <f ca="1" t="shared" ref="AH169:AH179" si="359">IFERROR((delta身法+INT((IF(D169="轻剑",$N$2,$N$3))/1024*delta身法))*身法转额外攻击*I169/O169+1,0)</f>
        <v>1.00267067603576</v>
      </c>
      <c r="AI169">
        <f ca="1" t="shared" ref="AI169:AI179" si="360">IFERROR(((delta身法+INT((IF(D169="轻剑",$N$2,$N$3))/1024*delta身法))*身法转额外破防/破防系数+Q169+1)/(1+Q169),0)</f>
        <v>1.00016101226475</v>
      </c>
      <c r="AJ169">
        <f ca="1" t="shared" ref="AJ169:AJ179" si="361">IFERROR(((1+MIN(1,((delta身法+INT((IF(D169="轻剑",$N$2,$N$3))/1024*delta身法))*身法转基础会心/会心系数)+W169)*(X169-1))*AK169)/(Y169*AC169),0)</f>
        <v>1.00057628966319</v>
      </c>
      <c r="AK169">
        <f ca="1" t="shared" si="354"/>
        <v>4</v>
      </c>
      <c r="AL169">
        <f ca="1" t="shared" si="319"/>
        <v>0.00498293012553974</v>
      </c>
      <c r="AM169">
        <f ca="1" t="shared" si="345"/>
        <v>4</v>
      </c>
      <c r="AN169" s="168">
        <f ca="1" t="shared" si="318"/>
        <v>0.00695917786518119</v>
      </c>
      <c r="AO169" s="168">
        <f ca="1" t="shared" si="320"/>
        <v>0.00447057613551372</v>
      </c>
      <c r="AP169" s="172">
        <f ca="1" t="shared" ref="AP169:AP179" si="362">IFERROR((delta破招+INT((IF(D169="轻剑",$AI$2,$AI$3))/1024*delta破招))*K169*破招全局系数/MAX(1,O169),0)</f>
        <v>0</v>
      </c>
      <c r="AQ169" s="168">
        <f ca="1" t="shared" ref="AQ169:AQ179" si="363">IF(G169="恒定伤害",0,IFERROR(((delta无双+INT((IF(D169="轻剑",$AL$2,$AL$3)+COUNTIF(G169,"*大莺鸣*")*307)/1024*delta无双))/无双系数+U169+1)/(U169+1)-1,0))</f>
        <v>0.00401583628616287</v>
      </c>
      <c r="AR169">
        <f t="shared" ref="AR169:AR179" si="364">IF($AR$8="综合属性收益",1,COUNTIF(D169,LEFT($AR$8,2)))</f>
        <v>1</v>
      </c>
    </row>
    <row r="170" spans="4:44">
      <c r="D170" t="s">
        <v>1825</v>
      </c>
      <c r="E170" t="s">
        <v>2801</v>
      </c>
      <c r="G170" t="s">
        <v>3110</v>
      </c>
      <c r="H170">
        <f ca="1">INDEX(技能数据库!$B$2:$I$100,MATCH(伤害与收益计算!$E170,技能数据库!$B$2:$B$100,0),MATCH(H$9,技能数据库!$B$2:$I$2,0))</f>
        <v>291</v>
      </c>
      <c r="I170">
        <f ca="1">INDEX(技能数据库!$B$2:$I$100,MATCH(伤害与收益计算!$E170,技能数据库!$B$2:$B$100,0),MATCH(I$9,技能数据库!$B$2:$I$2,0))</f>
        <v>1.8875</v>
      </c>
      <c r="J170">
        <f ca="1">INDEX(技能数据库!$B$2:$I$100,MATCH(伤害与收益计算!$E170,技能数据库!$B$2:$B$100,0),MATCH(J$9,技能数据库!$B$2:$I$2,0))</f>
        <v>2</v>
      </c>
      <c r="K170">
        <f ca="1">INDEX(技能数据库!$B$2:$I$100,MATCH(伤害与收益计算!$E170,技能数据库!$B$2:$B$100,0),MATCH(K$9,技能数据库!$B$2:$I$2,0))</f>
        <v>0</v>
      </c>
      <c r="L170">
        <f ca="1" t="shared" si="316"/>
        <v>105847</v>
      </c>
      <c r="M170">
        <f ca="1" t="shared" si="335"/>
        <v>19530.5</v>
      </c>
      <c r="N170">
        <f ca="1" t="shared" si="336"/>
        <v>92028</v>
      </c>
      <c r="O170">
        <f ca="1" t="shared" si="355"/>
        <v>239138.2125</v>
      </c>
      <c r="P170">
        <f ca="1">IF(G170="恒定伤害",0,(IF(D170="轻剑",$AZ$2,$AZ$3)+IFERROR(INDEX(技能数据库!$T$2:$W$27,MATCH(E170,技能数据库!$T$2:$T$27,0),4),0)+COUNTIF(G170,"*造化2*")*154+COUNTIF(G170,"*造化1*")*102+COUNTIF(G170,"*碧归*")*307)/1024)</f>
        <v>0.176868146929785</v>
      </c>
      <c r="Q170">
        <f ca="1" t="shared" si="321"/>
        <v>0.448284482196154</v>
      </c>
      <c r="R170">
        <f ca="1" t="shared" si="356"/>
        <v>0.21277697966198</v>
      </c>
      <c r="S170">
        <f ca="1" t="shared" si="337"/>
        <v>320869.509166977</v>
      </c>
      <c r="T170">
        <f t="shared" si="338"/>
        <v>0.8</v>
      </c>
      <c r="U170">
        <f ca="1" t="shared" si="322"/>
        <v>1.7995442148</v>
      </c>
      <c r="V170">
        <f ca="1" t="shared" si="339"/>
        <v>718630.7024753</v>
      </c>
      <c r="W170">
        <f ca="1">IF(G170="恒定伤害",0,MIN(1,IF(COUNTIF(F170,"*内会*")&gt;0,内会,IF(D170="轻剑",$Y$2,$Y$3)+COUNTIF(G170,"*莺鸣*")*0.2+COUNTIF(G170,"*叠1*")*0.1+COUNTIF(G170,"*叠2*")*0.2+COUNTIF(G170,"*叠3*")*0.3)+IFERROR(INDEX(技能数据库!$T$2:$W$27,MATCH(E170,技能数据库!$T$2:$T$27,0),2),0)+IF((IF(D170="轻剑",$AO$2,$AO$3)+INT(COUNTIF(G170,"*大莺鸣*")*IF(D170="轻剑",$AM$2,$AM$3)*听晓无双率)/无双系数)&gt;0.9,特效裤子会心/会心系数,0)))</f>
        <v>1</v>
      </c>
      <c r="X170">
        <f ca="1">IF(G170="恒定伤害",0,IF(COUNTIF(F170,"*内会*")&gt;0,内会效,IF(D170="轻剑",$AB$2,$AB$3))+IFERROR(INDEX(技能数据库!$T$2:$W$27,MATCH(E170,技能数据库!$T$2:$T$27,0),3)/1024,0))+COUNTIF(G170,"*叠1*")*0.25+COUNTIF(G170,"*叠2*")*0.5+COUNTIF(G170,"*叠3*")*0.75</f>
        <v>3.0656473116</v>
      </c>
      <c r="Y170">
        <f ca="1" t="shared" si="340"/>
        <v>3.0656473116</v>
      </c>
      <c r="Z170">
        <f t="shared" si="357"/>
        <v>0.150390625</v>
      </c>
      <c r="AA170">
        <f ca="1" t="shared" si="341"/>
        <v>0.0205078125</v>
      </c>
      <c r="AB170">
        <f ca="1" t="shared" si="342"/>
        <v>2586363.87318433</v>
      </c>
      <c r="AC170">
        <f ca="1">技能数计算!AJ162</f>
        <v>20</v>
      </c>
      <c r="AD170" s="164">
        <f ca="1" t="shared" si="343"/>
        <v>0.0166051010739823</v>
      </c>
      <c r="AE170" s="168">
        <f ca="1" t="shared" si="317"/>
        <v>0.00391489084999329</v>
      </c>
      <c r="AF170" s="168">
        <f ca="1" t="shared" si="358"/>
        <v>0.00498665599083208</v>
      </c>
      <c r="AG170">
        <f ca="1" t="shared" si="334"/>
        <v>0.00283211831211094</v>
      </c>
      <c r="AH170">
        <f ca="1" t="shared" si="359"/>
        <v>1.00267067603576</v>
      </c>
      <c r="AI170">
        <f ca="1" t="shared" si="360"/>
        <v>1.00016101226475</v>
      </c>
      <c r="AJ170">
        <f ca="1" t="shared" si="361"/>
        <v>1</v>
      </c>
      <c r="AK170">
        <f ca="1" t="shared" si="354"/>
        <v>20</v>
      </c>
      <c r="AL170">
        <f ca="1" t="shared" si="319"/>
        <v>0</v>
      </c>
      <c r="AM170">
        <f ca="1" t="shared" si="345"/>
        <v>20</v>
      </c>
      <c r="AN170" s="168">
        <f ca="1" t="shared" ref="AN170:AN182" si="365">IF(OR(COUNTIF(F170,"*内会*")&gt;0,G170="恒定伤害"),0,(1+W170*(MIN(3+COUNTIF(G170,"*叠*")*0.75,X170+delta会效/会效系数)-1))/Y170-1)</f>
        <v>0.00655129503556839</v>
      </c>
      <c r="AO170" s="168">
        <f ca="1" t="shared" si="320"/>
        <v>0.00447057613551372</v>
      </c>
      <c r="AP170" s="172">
        <f ca="1" t="shared" si="362"/>
        <v>0</v>
      </c>
      <c r="AQ170" s="168">
        <f ca="1" t="shared" si="363"/>
        <v>0.00401583628616287</v>
      </c>
      <c r="AR170">
        <f t="shared" si="364"/>
        <v>1</v>
      </c>
    </row>
    <row r="171" spans="4:44">
      <c r="D171" t="s">
        <v>1825</v>
      </c>
      <c r="E171" s="161" t="s">
        <v>2772</v>
      </c>
      <c r="G171" t="s">
        <v>3108</v>
      </c>
      <c r="H171">
        <f ca="1">INDEX(技能数据库!$B$2:$I$100,MATCH(伤害与收益计算!$E171,技能数据库!$B$2:$B$100,0),MATCH(H$9,技能数据库!$B$2:$I$2,0))</f>
        <v>0</v>
      </c>
      <c r="I171">
        <f ca="1">INDEX(技能数据库!$B$2:$I$100,MATCH(伤害与收益计算!$E171,技能数据库!$B$2:$B$100,0),MATCH(I$9,技能数据库!$B$2:$I$2,0))</f>
        <v>0</v>
      </c>
      <c r="J171">
        <f ca="1">INDEX(技能数据库!$B$2:$I$100,MATCH(伤害与收益计算!$E171,技能数据库!$B$2:$B$100,0),MATCH(J$9,技能数据库!$B$2:$I$2,0))</f>
        <v>0</v>
      </c>
      <c r="K171">
        <f ca="1">INDEX(技能数据库!$B$2:$I$100,MATCH(伤害与收益计算!$E171,技能数据库!$B$2:$B$100,0),MATCH(K$9,技能数据库!$B$2:$I$2,0))</f>
        <v>0.207999229431152</v>
      </c>
      <c r="L171">
        <f ca="1" t="shared" si="316"/>
        <v>105847</v>
      </c>
      <c r="M171">
        <f ca="1" t="shared" si="335"/>
        <v>19530.5</v>
      </c>
      <c r="N171">
        <f ca="1" t="shared" si="336"/>
        <v>92028</v>
      </c>
      <c r="O171">
        <f ca="1" t="shared" si="355"/>
        <v>163355.720836693</v>
      </c>
      <c r="P171">
        <f ca="1">IF(G171="恒定伤害",0,(IF(D171="轻剑",$AZ$2,$AZ$3)+IFERROR(INDEX(技能数据库!$T$2:$W$27,MATCH(E171,技能数据库!$T$2:$T$27,0),4),0)+COUNTIF(G171,"*造化2*")*154+COUNTIF(G171,"*造化1*")*102+COUNTIF(G171,"*碧归*")*307)/1024)</f>
        <v>0.176868146929785</v>
      </c>
      <c r="Q171">
        <f ca="1" t="shared" si="321"/>
        <v>0.448284482196154</v>
      </c>
      <c r="R171">
        <f ca="1" t="shared" si="356"/>
        <v>0.21277697966198</v>
      </c>
      <c r="S171">
        <f ca="1" t="shared" si="337"/>
        <v>219186.508992105</v>
      </c>
      <c r="T171">
        <f t="shared" si="338"/>
        <v>0.8</v>
      </c>
      <c r="U171">
        <f ca="1" t="shared" si="322"/>
        <v>1.7995442148</v>
      </c>
      <c r="V171">
        <f ca="1" t="shared" si="339"/>
        <v>490897.858568846</v>
      </c>
      <c r="W171">
        <f ca="1">IF(G171="恒定伤害",0,MIN(1,IF(COUNTIF(F171,"*内会*")&gt;0,内会,IF(D171="轻剑",$Y$2,$Y$3)+COUNTIF(G171,"*莺鸣*")*0.2+COUNTIF(G171,"*叠1*")*0.1+COUNTIF(G171,"*叠2*")*0.2+COUNTIF(G171,"*叠3*")*0.3)+IFERROR(INDEX(技能数据库!$T$2:$W$27,MATCH(E171,技能数据库!$T$2:$T$27,0),2),0)+IF((IF(D171="轻剑",$AO$2,$AO$3)+INT(COUNTIF(G171,"*大莺鸣*")*IF(D171="轻剑",$AM$2,$AM$3)*听晓无双率)/无双系数)&gt;0.9,特效裤子会心/会心系数,0)))</f>
        <v>0.8343</v>
      </c>
      <c r="X171">
        <f ca="1">IF(G171="恒定伤害",0,IF(COUNTIF(F171,"*内会*")&gt;0,内会效,IF(D171="轻剑",$AB$2,$AB$3))+IFERROR(INDEX(技能数据库!$T$2:$W$27,MATCH(E171,技能数据库!$T$2:$T$27,0),3)/1024,0))+COUNTIF(G171,"*叠1*")*0.25+COUNTIF(G171,"*叠2*")*0.5+COUNTIF(G171,"*叠3*")*0.75</f>
        <v>2.5656473116</v>
      </c>
      <c r="Y171">
        <f ca="1" t="shared" si="340"/>
        <v>2.30621955206788</v>
      </c>
      <c r="Z171">
        <f t="shared" si="357"/>
        <v>0.150390625</v>
      </c>
      <c r="AA171">
        <f ca="1" t="shared" si="341"/>
        <v>0.0205078125</v>
      </c>
      <c r="AB171">
        <f ca="1" t="shared" si="342"/>
        <v>1329087.13722854</v>
      </c>
      <c r="AC171">
        <f ca="1">技能数计算!AJ163</f>
        <v>6</v>
      </c>
      <c r="AD171" s="164">
        <f ca="1" t="shared" si="343"/>
        <v>0.00255992126382097</v>
      </c>
      <c r="AE171" s="168">
        <f ca="1" t="shared" si="317"/>
        <v>0</v>
      </c>
      <c r="AF171" s="168">
        <f ca="1" t="shared" si="358"/>
        <v>0</v>
      </c>
      <c r="AG171">
        <f ca="1" t="shared" si="334"/>
        <v>0.000742111504412613</v>
      </c>
      <c r="AH171">
        <f ca="1" t="shared" si="359"/>
        <v>1</v>
      </c>
      <c r="AI171">
        <f ca="1" t="shared" si="360"/>
        <v>1.00016101226475</v>
      </c>
      <c r="AJ171">
        <f ca="1" t="shared" si="361"/>
        <v>1.00058100569062</v>
      </c>
      <c r="AK171">
        <f ca="1" t="shared" si="354"/>
        <v>6</v>
      </c>
      <c r="AL171">
        <f ca="1" t="shared" si="319"/>
        <v>0.00502370759680559</v>
      </c>
      <c r="AM171">
        <f ca="1" t="shared" si="345"/>
        <v>6</v>
      </c>
      <c r="AN171" s="168">
        <f ca="1" t="shared" si="365"/>
        <v>0.00726559092089141</v>
      </c>
      <c r="AO171" s="168">
        <f ca="1" t="shared" si="320"/>
        <v>0.00447057613551372</v>
      </c>
      <c r="AP171" s="172">
        <f ca="1" t="shared" si="362"/>
        <v>0.015897335593515</v>
      </c>
      <c r="AQ171" s="168">
        <f ca="1" t="shared" si="363"/>
        <v>0.00401583628616287</v>
      </c>
      <c r="AR171">
        <f t="shared" si="364"/>
        <v>1</v>
      </c>
    </row>
    <row r="172" spans="4:44">
      <c r="D172" t="s">
        <v>1825</v>
      </c>
      <c r="E172" s="161" t="s">
        <v>2772</v>
      </c>
      <c r="G172" t="s">
        <v>3109</v>
      </c>
      <c r="H172">
        <f ca="1">INDEX(技能数据库!$B$2:$I$100,MATCH(伤害与收益计算!$E172,技能数据库!$B$2:$B$100,0),MATCH(H$9,技能数据库!$B$2:$I$2,0))</f>
        <v>0</v>
      </c>
      <c r="I172">
        <f ca="1">INDEX(技能数据库!$B$2:$I$100,MATCH(伤害与收益计算!$E172,技能数据库!$B$2:$B$100,0),MATCH(I$9,技能数据库!$B$2:$I$2,0))</f>
        <v>0</v>
      </c>
      <c r="J172">
        <f ca="1">INDEX(技能数据库!$B$2:$I$100,MATCH(伤害与收益计算!$E172,技能数据库!$B$2:$B$100,0),MATCH(J$9,技能数据库!$B$2:$I$2,0))</f>
        <v>0</v>
      </c>
      <c r="K172">
        <f ca="1">INDEX(技能数据库!$B$2:$I$100,MATCH(伤害与收益计算!$E172,技能数据库!$B$2:$B$100,0),MATCH(K$9,技能数据库!$B$2:$I$2,0))</f>
        <v>0.207999229431152</v>
      </c>
      <c r="L172">
        <f ca="1" t="shared" si="316"/>
        <v>105847</v>
      </c>
      <c r="M172">
        <f ca="1" t="shared" si="335"/>
        <v>19530.5</v>
      </c>
      <c r="N172">
        <f ca="1" t="shared" si="336"/>
        <v>92028</v>
      </c>
      <c r="O172">
        <f ca="1" t="shared" si="355"/>
        <v>163355.720836693</v>
      </c>
      <c r="P172">
        <f ca="1">IF(G172="恒定伤害",0,(IF(D172="轻剑",$AZ$2,$AZ$3)+IFERROR(INDEX(技能数据库!$T$2:$W$27,MATCH(E172,技能数据库!$T$2:$T$27,0),4),0)+COUNTIF(G172,"*造化2*")*154+COUNTIF(G172,"*造化1*")*102+COUNTIF(G172,"*碧归*")*307)/1024)</f>
        <v>0.176868146929785</v>
      </c>
      <c r="Q172">
        <f ca="1" t="shared" si="321"/>
        <v>0.448284482196154</v>
      </c>
      <c r="R172">
        <f ca="1" t="shared" si="356"/>
        <v>0.21277697966198</v>
      </c>
      <c r="S172">
        <f ca="1" t="shared" si="337"/>
        <v>219186.508992105</v>
      </c>
      <c r="T172">
        <f t="shared" si="338"/>
        <v>0.8</v>
      </c>
      <c r="U172">
        <f ca="1" t="shared" si="322"/>
        <v>1.7995442148</v>
      </c>
      <c r="V172">
        <f ca="1" t="shared" si="339"/>
        <v>490897.858568846</v>
      </c>
      <c r="W172">
        <f ca="1">IF(G172="恒定伤害",0,MIN(1,IF(COUNTIF(F172,"*内会*")&gt;0,内会,IF(D172="轻剑",$Y$2,$Y$3)+COUNTIF(G172,"*莺鸣*")*0.2+COUNTIF(G172,"*叠1*")*0.1+COUNTIF(G172,"*叠2*")*0.2+COUNTIF(G172,"*叠3*")*0.3)+IFERROR(INDEX(技能数据库!$T$2:$W$27,MATCH(E172,技能数据库!$T$2:$T$27,0),2),0)+IF((IF(D172="轻剑",$AO$2,$AO$3)+INT(COUNTIF(G172,"*大莺鸣*")*IF(D172="轻剑",$AM$2,$AM$3)*听晓无双率)/无双系数)&gt;0.9,特效裤子会心/会心系数,0)))</f>
        <v>0.9343</v>
      </c>
      <c r="X172">
        <f ca="1">IF(G172="恒定伤害",0,IF(COUNTIF(F172,"*内会*")&gt;0,内会效,IF(D172="轻剑",$AB$2,$AB$3))+IFERROR(INDEX(技能数据库!$T$2:$W$27,MATCH(E172,技能数据库!$T$2:$T$27,0),3)/1024,0))+COUNTIF(G172,"*叠1*")*0.25+COUNTIF(G172,"*叠2*")*0.5+COUNTIF(G172,"*叠3*")*0.75</f>
        <v>2.8156473116</v>
      </c>
      <c r="Y172">
        <f ca="1" t="shared" si="340"/>
        <v>2.69635928322788</v>
      </c>
      <c r="Z172">
        <f t="shared" si="357"/>
        <v>0.150390625</v>
      </c>
      <c r="AA172">
        <f ca="1" t="shared" si="341"/>
        <v>0.0205078125</v>
      </c>
      <c r="AB172">
        <f ca="1" t="shared" si="342"/>
        <v>1553926.83123843</v>
      </c>
      <c r="AC172">
        <f ca="1">技能数计算!AJ164</f>
        <v>3</v>
      </c>
      <c r="AD172" s="164">
        <f ca="1" t="shared" si="343"/>
        <v>0.00149648966809058</v>
      </c>
      <c r="AE172" s="168">
        <f ca="1" t="shared" si="317"/>
        <v>0</v>
      </c>
      <c r="AF172" s="168">
        <f ca="1" t="shared" si="358"/>
        <v>0</v>
      </c>
      <c r="AG172">
        <f ca="1" t="shared" si="334"/>
        <v>0.000737394717639006</v>
      </c>
      <c r="AH172">
        <f ca="1" t="shared" si="359"/>
        <v>1</v>
      </c>
      <c r="AI172">
        <f ca="1" t="shared" si="360"/>
        <v>1.00016101226475</v>
      </c>
      <c r="AJ172">
        <f ca="1" t="shared" si="361"/>
        <v>1.00057628966319</v>
      </c>
      <c r="AK172">
        <f ca="1" t="shared" si="354"/>
        <v>3</v>
      </c>
      <c r="AL172">
        <f ca="1" t="shared" si="319"/>
        <v>0.00498293012553974</v>
      </c>
      <c r="AM172">
        <f ca="1" t="shared" si="345"/>
        <v>3</v>
      </c>
      <c r="AN172" s="168">
        <f ca="1" t="shared" si="365"/>
        <v>0.00695917786518119</v>
      </c>
      <c r="AO172" s="168">
        <f ca="1" t="shared" si="320"/>
        <v>0.00447057613551372</v>
      </c>
      <c r="AP172" s="172">
        <f ca="1" t="shared" si="362"/>
        <v>0.015897335593515</v>
      </c>
      <c r="AQ172" s="168">
        <f ca="1" t="shared" si="363"/>
        <v>0.00401583628616287</v>
      </c>
      <c r="AR172">
        <f t="shared" si="364"/>
        <v>1</v>
      </c>
    </row>
    <row r="173" spans="4:44">
      <c r="D173" t="s">
        <v>1825</v>
      </c>
      <c r="E173" s="161" t="s">
        <v>2772</v>
      </c>
      <c r="G173" t="s">
        <v>3110</v>
      </c>
      <c r="H173">
        <f ca="1">INDEX(技能数据库!$B$2:$I$100,MATCH(伤害与收益计算!$E173,技能数据库!$B$2:$B$100,0),MATCH(H$9,技能数据库!$B$2:$I$2,0))</f>
        <v>0</v>
      </c>
      <c r="I173">
        <f ca="1">INDEX(技能数据库!$B$2:$I$100,MATCH(伤害与收益计算!$E173,技能数据库!$B$2:$B$100,0),MATCH(I$9,技能数据库!$B$2:$I$2,0))</f>
        <v>0</v>
      </c>
      <c r="J173">
        <f ca="1">INDEX(技能数据库!$B$2:$I$100,MATCH(伤害与收益计算!$E173,技能数据库!$B$2:$B$100,0),MATCH(J$9,技能数据库!$B$2:$I$2,0))</f>
        <v>0</v>
      </c>
      <c r="K173">
        <f ca="1">INDEX(技能数据库!$B$2:$I$100,MATCH(伤害与收益计算!$E173,技能数据库!$B$2:$B$100,0),MATCH(K$9,技能数据库!$B$2:$I$2,0))</f>
        <v>0.207999229431152</v>
      </c>
      <c r="L173">
        <f ca="1" t="shared" si="316"/>
        <v>105847</v>
      </c>
      <c r="M173">
        <f ca="1" t="shared" si="335"/>
        <v>19530.5</v>
      </c>
      <c r="N173">
        <f ca="1" t="shared" si="336"/>
        <v>92028</v>
      </c>
      <c r="O173">
        <f ca="1" t="shared" si="355"/>
        <v>163355.720836693</v>
      </c>
      <c r="P173">
        <f ca="1">IF(G173="恒定伤害",0,(IF(D173="轻剑",$AZ$2,$AZ$3)+IFERROR(INDEX(技能数据库!$T$2:$W$27,MATCH(E173,技能数据库!$T$2:$T$27,0),4),0)+COUNTIF(G173,"*造化2*")*154+COUNTIF(G173,"*造化1*")*102+COUNTIF(G173,"*碧归*")*307)/1024)</f>
        <v>0.176868146929785</v>
      </c>
      <c r="Q173">
        <f ca="1" t="shared" si="321"/>
        <v>0.448284482196154</v>
      </c>
      <c r="R173">
        <f ca="1" t="shared" si="356"/>
        <v>0.21277697966198</v>
      </c>
      <c r="S173">
        <f ca="1" t="shared" si="337"/>
        <v>219186.508992105</v>
      </c>
      <c r="T173">
        <f t="shared" si="338"/>
        <v>0.8</v>
      </c>
      <c r="U173">
        <f ca="1" t="shared" si="322"/>
        <v>1.7995442148</v>
      </c>
      <c r="V173">
        <f ca="1" t="shared" si="339"/>
        <v>490897.858568846</v>
      </c>
      <c r="W173">
        <f ca="1">IF(G173="恒定伤害",0,MIN(1,IF(COUNTIF(F173,"*内会*")&gt;0,内会,IF(D173="轻剑",$Y$2,$Y$3)+COUNTIF(G173,"*莺鸣*")*0.2+COUNTIF(G173,"*叠1*")*0.1+COUNTIF(G173,"*叠2*")*0.2+COUNTIF(G173,"*叠3*")*0.3)+IFERROR(INDEX(技能数据库!$T$2:$W$27,MATCH(E173,技能数据库!$T$2:$T$27,0),2),0)+IF((IF(D173="轻剑",$AO$2,$AO$3)+INT(COUNTIF(G173,"*大莺鸣*")*IF(D173="轻剑",$AM$2,$AM$3)*听晓无双率)/无双系数)&gt;0.9,特效裤子会心/会心系数,0)))</f>
        <v>1</v>
      </c>
      <c r="X173">
        <f ca="1">IF(G173="恒定伤害",0,IF(COUNTIF(F173,"*内会*")&gt;0,内会效,IF(D173="轻剑",$AB$2,$AB$3))+IFERROR(INDEX(技能数据库!$T$2:$W$27,MATCH(E173,技能数据库!$T$2:$T$27,0),3)/1024,0))+COUNTIF(G173,"*叠1*")*0.25+COUNTIF(G173,"*叠2*")*0.5+COUNTIF(G173,"*叠3*")*0.75</f>
        <v>3.0656473116</v>
      </c>
      <c r="Y173">
        <f ca="1" t="shared" si="340"/>
        <v>3.0656473116</v>
      </c>
      <c r="Z173">
        <f t="shared" si="357"/>
        <v>0.150390625</v>
      </c>
      <c r="AA173">
        <f ca="1" t="shared" si="341"/>
        <v>0.0205078125</v>
      </c>
      <c r="AB173">
        <f ca="1" t="shared" si="342"/>
        <v>1766749.57311562</v>
      </c>
      <c r="AC173">
        <f ca="1">技能数计算!AJ165</f>
        <v>8</v>
      </c>
      <c r="AD173" s="164">
        <f ca="1" t="shared" si="343"/>
        <v>0.00453718914622485</v>
      </c>
      <c r="AE173" s="168">
        <f ca="1" t="shared" si="317"/>
        <v>0</v>
      </c>
      <c r="AF173" s="168">
        <f ca="1" t="shared" si="358"/>
        <v>0</v>
      </c>
      <c r="AG173">
        <f ca="1" t="shared" si="334"/>
        <v>0.000161012264749072</v>
      </c>
      <c r="AH173">
        <f ca="1" t="shared" si="359"/>
        <v>1</v>
      </c>
      <c r="AI173">
        <f ca="1" t="shared" si="360"/>
        <v>1.00016101226475</v>
      </c>
      <c r="AJ173">
        <f ca="1" t="shared" si="361"/>
        <v>1</v>
      </c>
      <c r="AK173">
        <f ca="1" t="shared" si="354"/>
        <v>8</v>
      </c>
      <c r="AL173">
        <f ca="1" t="shared" si="319"/>
        <v>0</v>
      </c>
      <c r="AM173">
        <f ca="1" t="shared" si="345"/>
        <v>8</v>
      </c>
      <c r="AN173" s="168">
        <f ca="1" t="shared" si="365"/>
        <v>0.00655129503556839</v>
      </c>
      <c r="AO173" s="168">
        <f ca="1" t="shared" si="320"/>
        <v>0.00447057613551372</v>
      </c>
      <c r="AP173" s="172">
        <f ca="1" t="shared" si="362"/>
        <v>0.015897335593515</v>
      </c>
      <c r="AQ173" s="168">
        <f ca="1" t="shared" si="363"/>
        <v>0.00401583628616287</v>
      </c>
      <c r="AR173">
        <f t="shared" si="364"/>
        <v>1</v>
      </c>
    </row>
    <row r="174" spans="4:44">
      <c r="D174" t="s">
        <v>1825</v>
      </c>
      <c r="E174" s="161" t="s">
        <v>2783</v>
      </c>
      <c r="G174" t="s">
        <v>3108</v>
      </c>
      <c r="H174">
        <f ca="1">INDEX(技能数据库!$B$2:$I$100,MATCH(伤害与收益计算!$E174,技能数据库!$B$2:$B$100,0),MATCH(H$9,技能数据库!$B$2:$I$2,0))</f>
        <v>0</v>
      </c>
      <c r="I174">
        <f ca="1">INDEX(技能数据库!$B$2:$I$100,MATCH(伤害与收益计算!$E174,技能数据库!$B$2:$B$100,0),MATCH(I$9,技能数据库!$B$2:$I$2,0))</f>
        <v>0</v>
      </c>
      <c r="J174">
        <f ca="1">INDEX(技能数据库!$B$2:$I$100,MATCH(伤害与收益计算!$E174,技能数据库!$B$2:$B$100,0),MATCH(J$9,技能数据库!$B$2:$I$2,0))</f>
        <v>0</v>
      </c>
      <c r="K174">
        <f ca="1">INDEX(技能数据库!$B$2:$I$100,MATCH(伤害与收益计算!$E174,技能数据库!$B$2:$B$100,0),MATCH(K$9,技能数据库!$B$2:$I$2,0))</f>
        <v>1.28127956390381</v>
      </c>
      <c r="L174">
        <f ca="1" t="shared" si="316"/>
        <v>105847</v>
      </c>
      <c r="M174">
        <f ca="1" t="shared" si="335"/>
        <v>19530.5</v>
      </c>
      <c r="N174">
        <f ca="1" t="shared" si="336"/>
        <v>92028</v>
      </c>
      <c r="O174">
        <f ca="1" t="shared" si="355"/>
        <v>1006274.62576302</v>
      </c>
      <c r="P174">
        <f ca="1">IF(G174="恒定伤害",0,(IF(D174="轻剑",$AZ$2,$AZ$3)+IFERROR(INDEX(技能数据库!$T$2:$W$27,MATCH(E174,技能数据库!$T$2:$T$27,0),4),0)+COUNTIF(G174,"*造化2*")*154+COUNTIF(G174,"*造化1*")*102+COUNTIF(G174,"*碧归*")*307)/1024)</f>
        <v>0.176868146929785</v>
      </c>
      <c r="Q174">
        <f ca="1" t="shared" si="321"/>
        <v>0.448284482196154</v>
      </c>
      <c r="R174">
        <f ca="1" t="shared" si="356"/>
        <v>0.21277697966198</v>
      </c>
      <c r="S174">
        <f ca="1" t="shared" si="337"/>
        <v>1350193.43784618</v>
      </c>
      <c r="T174">
        <f t="shared" si="338"/>
        <v>0.8</v>
      </c>
      <c r="U174">
        <f ca="1" t="shared" si="322"/>
        <v>1.7995442148</v>
      </c>
      <c r="V174">
        <f ca="1" t="shared" si="339"/>
        <v>3023940.98222655</v>
      </c>
      <c r="W174">
        <f ca="1">IF(G174="恒定伤害",0,MIN(1,IF(COUNTIF(F174,"*内会*")&gt;0,内会,IF(D174="轻剑",$Y$2,$Y$3)+COUNTIF(G174,"*莺鸣*")*0.2+COUNTIF(G174,"*叠1*")*0.1+COUNTIF(G174,"*叠2*")*0.2+COUNTIF(G174,"*叠3*")*0.3)+IFERROR(INDEX(技能数据库!$T$2:$W$27,MATCH(E174,技能数据库!$T$2:$T$27,0),2),0)+IF((IF(D174="轻剑",$AO$2,$AO$3)+INT(COUNTIF(G174,"*大莺鸣*")*IF(D174="轻剑",$AM$2,$AM$3)*听晓无双率)/无双系数)&gt;0.9,特效裤子会心/会心系数,0)))</f>
        <v>0.8343</v>
      </c>
      <c r="X174">
        <f ca="1">IF(G174="恒定伤害",0,IF(COUNTIF(F174,"*内会*")&gt;0,内会效,IF(D174="轻剑",$AB$2,$AB$3))+IFERROR(INDEX(技能数据库!$T$2:$W$27,MATCH(E174,技能数据库!$T$2:$T$27,0),3)/1024,0))+COUNTIF(G174,"*叠1*")*0.25+COUNTIF(G174,"*叠2*")*0.5+COUNTIF(G174,"*叠3*")*0.75</f>
        <v>2.5656473116</v>
      </c>
      <c r="Y174">
        <f ca="1" t="shared" si="340"/>
        <v>2.30621955206788</v>
      </c>
      <c r="Z174">
        <f t="shared" si="357"/>
        <v>0.150390625</v>
      </c>
      <c r="AA174">
        <f ca="1" t="shared" si="341"/>
        <v>0.0205078125</v>
      </c>
      <c r="AB174">
        <f ca="1" t="shared" si="342"/>
        <v>8187204.30953336</v>
      </c>
      <c r="AC174">
        <f ca="1">技能数计算!AJ166</f>
        <v>5</v>
      </c>
      <c r="AD174" s="164">
        <f ca="1" t="shared" si="343"/>
        <v>0.0131409733644482</v>
      </c>
      <c r="AE174" s="168">
        <f ca="1" t="shared" si="317"/>
        <v>0</v>
      </c>
      <c r="AF174" s="168">
        <f ca="1" t="shared" si="358"/>
        <v>0</v>
      </c>
      <c r="AG174">
        <f ca="1" t="shared" si="334"/>
        <v>0.000742111504412613</v>
      </c>
      <c r="AH174">
        <f ca="1" t="shared" si="359"/>
        <v>1</v>
      </c>
      <c r="AI174">
        <f ca="1" t="shared" si="360"/>
        <v>1.00016101226475</v>
      </c>
      <c r="AJ174">
        <f ca="1" t="shared" si="361"/>
        <v>1.00058100569062</v>
      </c>
      <c r="AK174">
        <f ca="1" t="shared" si="354"/>
        <v>5</v>
      </c>
      <c r="AL174">
        <f ca="1" t="shared" si="319"/>
        <v>0.00502370759680582</v>
      </c>
      <c r="AM174">
        <f ca="1" t="shared" si="345"/>
        <v>5</v>
      </c>
      <c r="AN174" s="168">
        <f ca="1" t="shared" si="365"/>
        <v>0.00726559092089141</v>
      </c>
      <c r="AO174" s="168">
        <f ca="1" t="shared" si="320"/>
        <v>0.00447057613551372</v>
      </c>
      <c r="AP174" s="172">
        <f ca="1" t="shared" si="362"/>
        <v>0.015897335593515</v>
      </c>
      <c r="AQ174" s="168">
        <f ca="1" t="shared" si="363"/>
        <v>0.00401583628616287</v>
      </c>
      <c r="AR174">
        <f t="shared" si="364"/>
        <v>1</v>
      </c>
    </row>
    <row r="175" spans="4:44">
      <c r="D175" t="s">
        <v>1825</v>
      </c>
      <c r="E175" s="161" t="s">
        <v>2783</v>
      </c>
      <c r="G175" t="s">
        <v>3109</v>
      </c>
      <c r="H175">
        <f ca="1">INDEX(技能数据库!$B$2:$I$100,MATCH(伤害与收益计算!$E175,技能数据库!$B$2:$B$100,0),MATCH(H$9,技能数据库!$B$2:$I$2,0))</f>
        <v>0</v>
      </c>
      <c r="I175">
        <f ca="1">INDEX(技能数据库!$B$2:$I$100,MATCH(伤害与收益计算!$E175,技能数据库!$B$2:$B$100,0),MATCH(I$9,技能数据库!$B$2:$I$2,0))</f>
        <v>0</v>
      </c>
      <c r="J175">
        <f ca="1">INDEX(技能数据库!$B$2:$I$100,MATCH(伤害与收益计算!$E175,技能数据库!$B$2:$B$100,0),MATCH(J$9,技能数据库!$B$2:$I$2,0))</f>
        <v>0</v>
      </c>
      <c r="K175">
        <f ca="1">INDEX(技能数据库!$B$2:$I$100,MATCH(伤害与收益计算!$E175,技能数据库!$B$2:$B$100,0),MATCH(K$9,技能数据库!$B$2:$I$2,0))</f>
        <v>1.28127956390381</v>
      </c>
      <c r="L175">
        <f ca="1" t="shared" si="316"/>
        <v>105847</v>
      </c>
      <c r="M175">
        <f ca="1" t="shared" si="335"/>
        <v>19530.5</v>
      </c>
      <c r="N175">
        <f ca="1" t="shared" si="336"/>
        <v>92028</v>
      </c>
      <c r="O175">
        <f ca="1" t="shared" si="355"/>
        <v>1006274.62576302</v>
      </c>
      <c r="P175">
        <f ca="1">IF(G175="恒定伤害",0,(IF(D175="轻剑",$AZ$2,$AZ$3)+IFERROR(INDEX(技能数据库!$T$2:$W$27,MATCH(E175,技能数据库!$T$2:$T$27,0),4),0)+COUNTIF(G175,"*造化2*")*154+COUNTIF(G175,"*造化1*")*102+COUNTIF(G175,"*碧归*")*307)/1024)</f>
        <v>0.176868146929785</v>
      </c>
      <c r="Q175">
        <f ca="1" t="shared" si="321"/>
        <v>0.448284482196154</v>
      </c>
      <c r="R175">
        <f ca="1" t="shared" si="356"/>
        <v>0.21277697966198</v>
      </c>
      <c r="S175">
        <f ca="1" t="shared" si="337"/>
        <v>1350193.43784618</v>
      </c>
      <c r="T175">
        <f t="shared" si="338"/>
        <v>0.8</v>
      </c>
      <c r="U175">
        <f ca="1" t="shared" si="322"/>
        <v>1.7995442148</v>
      </c>
      <c r="V175">
        <f ca="1" t="shared" si="339"/>
        <v>3023940.98222655</v>
      </c>
      <c r="W175">
        <f ca="1">IF(G175="恒定伤害",0,MIN(1,IF(COUNTIF(F175,"*内会*")&gt;0,内会,IF(D175="轻剑",$Y$2,$Y$3)+COUNTIF(G175,"*莺鸣*")*0.2+COUNTIF(G175,"*叠1*")*0.1+COUNTIF(G175,"*叠2*")*0.2+COUNTIF(G175,"*叠3*")*0.3)+IFERROR(INDEX(技能数据库!$T$2:$W$27,MATCH(E175,技能数据库!$T$2:$T$27,0),2),0)+IF((IF(D175="轻剑",$AO$2,$AO$3)+INT(COUNTIF(G175,"*大莺鸣*")*IF(D175="轻剑",$AM$2,$AM$3)*听晓无双率)/无双系数)&gt;0.9,特效裤子会心/会心系数,0)))</f>
        <v>0.9343</v>
      </c>
      <c r="X175">
        <f ca="1">IF(G175="恒定伤害",0,IF(COUNTIF(F175,"*内会*")&gt;0,内会效,IF(D175="轻剑",$AB$2,$AB$3))+IFERROR(INDEX(技能数据库!$T$2:$W$27,MATCH(E175,技能数据库!$T$2:$T$27,0),3)/1024,0))+COUNTIF(G175,"*叠1*")*0.25+COUNTIF(G175,"*叠2*")*0.5+COUNTIF(G175,"*叠3*")*0.75</f>
        <v>2.8156473116</v>
      </c>
      <c r="Y175">
        <f ca="1" t="shared" si="340"/>
        <v>2.69635928322788</v>
      </c>
      <c r="Z175">
        <f t="shared" si="357"/>
        <v>0.150390625</v>
      </c>
      <c r="AA175">
        <f ca="1" t="shared" si="341"/>
        <v>0.0205078125</v>
      </c>
      <c r="AB175">
        <f ca="1" t="shared" si="342"/>
        <v>9572221.48424653</v>
      </c>
      <c r="AC175">
        <f ca="1">技能数计算!AJ167</f>
        <v>4</v>
      </c>
      <c r="AD175" s="164">
        <f ca="1" t="shared" si="343"/>
        <v>0.0122912098252256</v>
      </c>
      <c r="AE175" s="168">
        <f ca="1" t="shared" si="317"/>
        <v>0</v>
      </c>
      <c r="AF175" s="168">
        <f ca="1" t="shared" si="358"/>
        <v>0</v>
      </c>
      <c r="AG175">
        <f ca="1" t="shared" si="334"/>
        <v>0.000737394717639006</v>
      </c>
      <c r="AH175">
        <f ca="1" t="shared" si="359"/>
        <v>1</v>
      </c>
      <c r="AI175">
        <f ca="1" t="shared" si="360"/>
        <v>1.00016101226475</v>
      </c>
      <c r="AJ175">
        <f ca="1" t="shared" si="361"/>
        <v>1.00057628966319</v>
      </c>
      <c r="AK175">
        <f ca="1" t="shared" si="354"/>
        <v>4</v>
      </c>
      <c r="AL175">
        <f ca="1" t="shared" si="319"/>
        <v>0.00498293012553974</v>
      </c>
      <c r="AM175">
        <f ca="1" t="shared" si="345"/>
        <v>4</v>
      </c>
      <c r="AN175" s="168">
        <f ca="1" t="shared" si="365"/>
        <v>0.00695917786518119</v>
      </c>
      <c r="AO175" s="168">
        <f ca="1" t="shared" si="320"/>
        <v>0.00447057613551372</v>
      </c>
      <c r="AP175" s="172">
        <f ca="1" t="shared" si="362"/>
        <v>0.015897335593515</v>
      </c>
      <c r="AQ175" s="168">
        <f ca="1" t="shared" si="363"/>
        <v>0.00401583628616287</v>
      </c>
      <c r="AR175">
        <f t="shared" si="364"/>
        <v>1</v>
      </c>
    </row>
    <row r="176" spans="4:44">
      <c r="D176" t="s">
        <v>1825</v>
      </c>
      <c r="E176" s="161" t="s">
        <v>2783</v>
      </c>
      <c r="G176" t="s">
        <v>3110</v>
      </c>
      <c r="H176">
        <f ca="1">INDEX(技能数据库!$B$2:$I$100,MATCH(伤害与收益计算!$E176,技能数据库!$B$2:$B$100,0),MATCH(H$9,技能数据库!$B$2:$I$2,0))</f>
        <v>0</v>
      </c>
      <c r="I176">
        <f ca="1">INDEX(技能数据库!$B$2:$I$100,MATCH(伤害与收益计算!$E176,技能数据库!$B$2:$B$100,0),MATCH(I$9,技能数据库!$B$2:$I$2,0))</f>
        <v>0</v>
      </c>
      <c r="J176">
        <f ca="1">INDEX(技能数据库!$B$2:$I$100,MATCH(伤害与收益计算!$E176,技能数据库!$B$2:$B$100,0),MATCH(J$9,技能数据库!$B$2:$I$2,0))</f>
        <v>0</v>
      </c>
      <c r="K176">
        <f ca="1">INDEX(技能数据库!$B$2:$I$100,MATCH(伤害与收益计算!$E176,技能数据库!$B$2:$B$100,0),MATCH(K$9,技能数据库!$B$2:$I$2,0))</f>
        <v>1.28127956390381</v>
      </c>
      <c r="L176">
        <f ca="1" t="shared" si="316"/>
        <v>105847</v>
      </c>
      <c r="M176">
        <f ca="1" t="shared" si="335"/>
        <v>19530.5</v>
      </c>
      <c r="N176">
        <f ca="1" t="shared" si="336"/>
        <v>92028</v>
      </c>
      <c r="O176">
        <f ca="1" t="shared" si="355"/>
        <v>1006274.62576302</v>
      </c>
      <c r="P176">
        <f ca="1">IF(G176="恒定伤害",0,(IF(D176="轻剑",$AZ$2,$AZ$3)+IFERROR(INDEX(技能数据库!$T$2:$W$27,MATCH(E176,技能数据库!$T$2:$T$27,0),4),0)+COUNTIF(G176,"*造化2*")*154+COUNTIF(G176,"*造化1*")*102+COUNTIF(G176,"*碧归*")*307)/1024)</f>
        <v>0.176868146929785</v>
      </c>
      <c r="Q176">
        <f ca="1" t="shared" si="321"/>
        <v>0.448284482196154</v>
      </c>
      <c r="R176">
        <f ca="1" t="shared" si="356"/>
        <v>0.21277697966198</v>
      </c>
      <c r="S176">
        <f ca="1" t="shared" si="337"/>
        <v>1350193.43784618</v>
      </c>
      <c r="T176">
        <f t="shared" si="338"/>
        <v>0.8</v>
      </c>
      <c r="U176">
        <f ca="1" t="shared" si="322"/>
        <v>1.7995442148</v>
      </c>
      <c r="V176">
        <f ca="1" t="shared" si="339"/>
        <v>3023940.98222655</v>
      </c>
      <c r="W176">
        <f ca="1">IF(G176="恒定伤害",0,MIN(1,IF(COUNTIF(F176,"*内会*")&gt;0,内会,IF(D176="轻剑",$Y$2,$Y$3)+COUNTIF(G176,"*莺鸣*")*0.2+COUNTIF(G176,"*叠1*")*0.1+COUNTIF(G176,"*叠2*")*0.2+COUNTIF(G176,"*叠3*")*0.3)+IFERROR(INDEX(技能数据库!$T$2:$W$27,MATCH(E176,技能数据库!$T$2:$T$27,0),2),0)+IF((IF(D176="轻剑",$AO$2,$AO$3)+INT(COUNTIF(G176,"*大莺鸣*")*IF(D176="轻剑",$AM$2,$AM$3)*听晓无双率)/无双系数)&gt;0.9,特效裤子会心/会心系数,0)))</f>
        <v>1</v>
      </c>
      <c r="X176">
        <f ca="1">IF(G176="恒定伤害",0,IF(COUNTIF(F176,"*内会*")&gt;0,内会效,IF(D176="轻剑",$AB$2,$AB$3))+IFERROR(INDEX(技能数据库!$T$2:$W$27,MATCH(E176,技能数据库!$T$2:$T$27,0),3)/1024,0))+COUNTIF(G176,"*叠1*")*0.25+COUNTIF(G176,"*叠2*")*0.5+COUNTIF(G176,"*叠3*")*0.75</f>
        <v>3.0656473116</v>
      </c>
      <c r="Y176">
        <f ca="1" t="shared" si="340"/>
        <v>3.0656473116</v>
      </c>
      <c r="Z176">
        <f t="shared" si="357"/>
        <v>0.150390625</v>
      </c>
      <c r="AA176">
        <f ca="1" t="shared" si="341"/>
        <v>0.0205078125</v>
      </c>
      <c r="AB176">
        <f ca="1" t="shared" si="342"/>
        <v>10883213.9847812</v>
      </c>
      <c r="AC176">
        <f ca="1">技能数计算!AJ168</f>
        <v>40</v>
      </c>
      <c r="AD176" s="164">
        <f ca="1" t="shared" si="343"/>
        <v>0.139745895850742</v>
      </c>
      <c r="AE176" s="168">
        <f ca="1" t="shared" si="317"/>
        <v>0</v>
      </c>
      <c r="AF176" s="168">
        <f ca="1" t="shared" si="358"/>
        <v>0</v>
      </c>
      <c r="AG176">
        <f ca="1" t="shared" si="334"/>
        <v>0.000161012264749072</v>
      </c>
      <c r="AH176">
        <f ca="1" t="shared" si="359"/>
        <v>1</v>
      </c>
      <c r="AI176">
        <f ca="1" t="shared" si="360"/>
        <v>1.00016101226475</v>
      </c>
      <c r="AJ176">
        <f ca="1" t="shared" si="361"/>
        <v>1</v>
      </c>
      <c r="AK176">
        <f ca="1" t="shared" si="354"/>
        <v>40</v>
      </c>
      <c r="AL176">
        <f ca="1" t="shared" si="319"/>
        <v>0</v>
      </c>
      <c r="AM176">
        <f ca="1" t="shared" si="345"/>
        <v>40</v>
      </c>
      <c r="AN176" s="168">
        <f ca="1" t="shared" si="365"/>
        <v>0.00655129503556839</v>
      </c>
      <c r="AO176" s="168">
        <f ca="1" t="shared" si="320"/>
        <v>0.00447057613551372</v>
      </c>
      <c r="AP176" s="172">
        <f ca="1" t="shared" si="362"/>
        <v>0.015897335593515</v>
      </c>
      <c r="AQ176" s="168">
        <f ca="1" t="shared" si="363"/>
        <v>0.00401583628616287</v>
      </c>
      <c r="AR176">
        <f t="shared" si="364"/>
        <v>1</v>
      </c>
    </row>
    <row r="177" spans="4:44">
      <c r="D177" t="s">
        <v>1825</v>
      </c>
      <c r="E177" s="161" t="s">
        <v>2789</v>
      </c>
      <c r="G177" t="s">
        <v>3108</v>
      </c>
      <c r="H177">
        <f ca="1">INDEX(技能数据库!$B$2:$I$100,MATCH(伤害与收益计算!$E177,技能数据库!$B$2:$B$100,0),MATCH(H$9,技能数据库!$B$2:$I$2,0))</f>
        <v>131</v>
      </c>
      <c r="I177">
        <f ca="1">INDEX(技能数据库!$B$2:$I$100,MATCH(伤害与收益计算!$E177,技能数据库!$B$2:$B$100,0),MATCH(I$9,技能数据库!$B$2:$I$2,0))</f>
        <v>3.425</v>
      </c>
      <c r="J177">
        <f ca="1">INDEX(技能数据库!$B$2:$I$100,MATCH(伤害与收益计算!$E177,技能数据库!$B$2:$B$100,0),MATCH(J$9,技能数据库!$B$2:$I$2,0))</f>
        <v>0</v>
      </c>
      <c r="K177">
        <f ca="1">INDEX(技能数据库!$B$2:$I$100,MATCH(伤害与收益计算!$E177,技能数据库!$B$2:$B$100,0),MATCH(K$9,技能数据库!$B$2:$I$2,0))</f>
        <v>0</v>
      </c>
      <c r="L177">
        <f ca="1" t="shared" si="316"/>
        <v>105847</v>
      </c>
      <c r="M177">
        <f ca="1" t="shared" si="335"/>
        <v>19530.5</v>
      </c>
      <c r="N177">
        <f ca="1" t="shared" si="336"/>
        <v>92028</v>
      </c>
      <c r="O177">
        <f ca="1" t="shared" si="355"/>
        <v>362656.975</v>
      </c>
      <c r="P177">
        <f ca="1">IF(G177="恒定伤害",0,(IF(D177="轻剑",$AZ$2,$AZ$3)+IFERROR(INDEX(技能数据库!$T$2:$W$27,MATCH(E177,技能数据库!$T$2:$T$27,0),4),0)+COUNTIF(G177,"*造化2*")*154+COUNTIF(G177,"*造化1*")*102+COUNTIF(G177,"*碧归*")*307)/1024)</f>
        <v>0.672900861773535</v>
      </c>
      <c r="Q177">
        <f ca="1" t="shared" si="321"/>
        <v>0.448284482196154</v>
      </c>
      <c r="R177">
        <f ca="1" t="shared" si="356"/>
        <v>0.21277697966198</v>
      </c>
      <c r="S177">
        <f ca="1" t="shared" si="337"/>
        <v>691700.201870402</v>
      </c>
      <c r="T177">
        <f t="shared" si="338"/>
        <v>0.8</v>
      </c>
      <c r="U177">
        <f ca="1" t="shared" si="322"/>
        <v>1.7995442148</v>
      </c>
      <c r="V177">
        <f ca="1" t="shared" si="339"/>
        <v>1549156.23881782</v>
      </c>
      <c r="W177">
        <f ca="1">IF(G177="恒定伤害",0,MIN(1,IF(COUNTIF(F177,"*内会*")&gt;0,内会,IF(D177="轻剑",$Y$2,$Y$3)+COUNTIF(G177,"*莺鸣*")*0.2+COUNTIF(G177,"*叠1*")*0.1+COUNTIF(G177,"*叠2*")*0.2+COUNTIF(G177,"*叠3*")*0.3)+IFERROR(INDEX(技能数据库!$T$2:$W$27,MATCH(E177,技能数据库!$T$2:$T$27,0),2),0)+IF((IF(D177="轻剑",$AO$2,$AO$3)+INT(COUNTIF(G177,"*大莺鸣*")*IF(D177="轻剑",$AM$2,$AM$3)*听晓无双率)/无双系数)&gt;0.9,特效裤子会心/会心系数,0)))</f>
        <v>0.8643</v>
      </c>
      <c r="X177">
        <f ca="1">IF(G177="恒定伤害",0,IF(COUNTIF(F177,"*内会*")&gt;0,内会效,IF(D177="轻剑",$AB$2,$AB$3))+IFERROR(INDEX(技能数据库!$T$2:$W$27,MATCH(E177,技能数据库!$T$2:$T$27,0),3)/1024,0))+COUNTIF(G177,"*叠1*")*0.25+COUNTIF(G177,"*叠2*")*0.5+COUNTIF(G177,"*叠3*")*0.75</f>
        <v>2.5656473116</v>
      </c>
      <c r="Y177">
        <f ca="1" t="shared" si="340"/>
        <v>2.35318897141588</v>
      </c>
      <c r="Z177">
        <f t="shared" si="357"/>
        <v>0.150390625</v>
      </c>
      <c r="AA177">
        <f ca="1" t="shared" si="341"/>
        <v>0.0205078125</v>
      </c>
      <c r="AB177">
        <f ca="1" t="shared" si="342"/>
        <v>4279703.60246561</v>
      </c>
      <c r="AC177">
        <f ca="1">技能数计算!AJ169</f>
        <v>0</v>
      </c>
      <c r="AD177" s="164">
        <f ca="1" t="shared" si="343"/>
        <v>0</v>
      </c>
      <c r="AE177" s="168">
        <f ca="1" t="shared" si="317"/>
        <v>0.00468431635707544</v>
      </c>
      <c r="AF177" s="168">
        <f ca="1" t="shared" si="358"/>
        <v>0</v>
      </c>
      <c r="AG177">
        <f ca="1" t="shared" si="334"/>
        <v>0.00335709262268846</v>
      </c>
      <c r="AH177">
        <f ca="1" t="shared" si="359"/>
        <v>1.00319556583265</v>
      </c>
      <c r="AI177">
        <f ca="1" t="shared" si="360"/>
        <v>1.00016101226475</v>
      </c>
      <c r="AJ177">
        <f ca="1" t="shared" si="361"/>
        <v>0</v>
      </c>
      <c r="AK177">
        <f ca="1" t="shared" si="354"/>
        <v>0</v>
      </c>
      <c r="AL177">
        <f ca="1" t="shared" ref="AL177:AL179" si="366">IF(G177="恒定伤害",0,IFERROR(((1+MIN(1,W177+delta会心/会心系数)*(X177-1))*AM177)/(Y177*AC177)-1,0))</f>
        <v>0</v>
      </c>
      <c r="AM177">
        <f ca="1" t="shared" si="345"/>
        <v>0</v>
      </c>
      <c r="AN177" s="168">
        <f ca="1" t="shared" si="365"/>
        <v>0.00737661396952793</v>
      </c>
      <c r="AO177" s="168">
        <f ca="1" t="shared" ref="AO177:AO179" si="367">IF(OR(COUNTIF(F177,"*内破*")&gt;0,G177="恒定伤害"),0,IFERROR(((delta破防+INT((IF(D177="轻剑",$AD$2,$AD$3))/1024*delta破防))/破防系数+Q177+1)/(Q177+1)-1,0))</f>
        <v>0.00447057613551372</v>
      </c>
      <c r="AP177" s="172">
        <f ca="1" t="shared" si="362"/>
        <v>0</v>
      </c>
      <c r="AQ177" s="168">
        <f ca="1" t="shared" si="363"/>
        <v>0.00401583628616287</v>
      </c>
      <c r="AR177">
        <f t="shared" si="364"/>
        <v>1</v>
      </c>
    </row>
    <row r="178" spans="4:44">
      <c r="D178" t="s">
        <v>1825</v>
      </c>
      <c r="E178" s="161" t="s">
        <v>2789</v>
      </c>
      <c r="G178" t="s">
        <v>3109</v>
      </c>
      <c r="H178">
        <f ca="1">INDEX(技能数据库!$B$2:$I$100,MATCH(伤害与收益计算!$E178,技能数据库!$B$2:$B$100,0),MATCH(H$9,技能数据库!$B$2:$I$2,0))</f>
        <v>131</v>
      </c>
      <c r="I178">
        <f ca="1">INDEX(技能数据库!$B$2:$I$100,MATCH(伤害与收益计算!$E178,技能数据库!$B$2:$B$100,0),MATCH(I$9,技能数据库!$B$2:$I$2,0))</f>
        <v>3.425</v>
      </c>
      <c r="J178">
        <f ca="1">INDEX(技能数据库!$B$2:$I$100,MATCH(伤害与收益计算!$E178,技能数据库!$B$2:$B$100,0),MATCH(J$9,技能数据库!$B$2:$I$2,0))</f>
        <v>0</v>
      </c>
      <c r="K178">
        <f ca="1">INDEX(技能数据库!$B$2:$I$100,MATCH(伤害与收益计算!$E178,技能数据库!$B$2:$B$100,0),MATCH(K$9,技能数据库!$B$2:$I$2,0))</f>
        <v>0</v>
      </c>
      <c r="L178">
        <f ca="1" t="shared" si="316"/>
        <v>105847</v>
      </c>
      <c r="M178">
        <f ca="1" t="shared" si="335"/>
        <v>19530.5</v>
      </c>
      <c r="N178">
        <f ca="1" t="shared" si="336"/>
        <v>92028</v>
      </c>
      <c r="O178">
        <f ca="1" t="shared" si="355"/>
        <v>362656.975</v>
      </c>
      <c r="P178">
        <f ca="1">IF(G178="恒定伤害",0,(IF(D178="轻剑",$AZ$2,$AZ$3)+IFERROR(INDEX(技能数据库!$T$2:$W$27,MATCH(E178,技能数据库!$T$2:$T$27,0),4),0)+COUNTIF(G178,"*造化2*")*154+COUNTIF(G178,"*造化1*")*102+COUNTIF(G178,"*碧归*")*307)/1024)</f>
        <v>0.672900861773535</v>
      </c>
      <c r="Q178">
        <f ca="1" t="shared" si="321"/>
        <v>0.448284482196154</v>
      </c>
      <c r="R178">
        <f ca="1" t="shared" si="356"/>
        <v>0.21277697966198</v>
      </c>
      <c r="S178">
        <f ca="1" t="shared" si="337"/>
        <v>691700.201870402</v>
      </c>
      <c r="T178">
        <f t="shared" si="338"/>
        <v>0.8</v>
      </c>
      <c r="U178">
        <f ca="1" t="shared" si="322"/>
        <v>1.7995442148</v>
      </c>
      <c r="V178">
        <f ca="1" t="shared" si="339"/>
        <v>1549156.23881782</v>
      </c>
      <c r="W178">
        <f ca="1">IF(G178="恒定伤害",0,MIN(1,IF(COUNTIF(F178,"*内会*")&gt;0,内会,IF(D178="轻剑",$Y$2,$Y$3)+COUNTIF(G178,"*莺鸣*")*0.2+COUNTIF(G178,"*叠1*")*0.1+COUNTIF(G178,"*叠2*")*0.2+COUNTIF(G178,"*叠3*")*0.3)+IFERROR(INDEX(技能数据库!$T$2:$W$27,MATCH(E178,技能数据库!$T$2:$T$27,0),2),0)+IF((IF(D178="轻剑",$AO$2,$AO$3)+INT(COUNTIF(G178,"*大莺鸣*")*IF(D178="轻剑",$AM$2,$AM$3)*听晓无双率)/无双系数)&gt;0.9,特效裤子会心/会心系数,0)))</f>
        <v>0.9643</v>
      </c>
      <c r="X178">
        <f ca="1">IF(G178="恒定伤害",0,IF(COUNTIF(F178,"*内会*")&gt;0,内会效,IF(D178="轻剑",$AB$2,$AB$3))+IFERROR(INDEX(技能数据库!$T$2:$W$27,MATCH(E178,技能数据库!$T$2:$T$27,0),3)/1024,0))+COUNTIF(G178,"*叠1*")*0.25+COUNTIF(G178,"*叠2*")*0.5+COUNTIF(G178,"*叠3*")*0.75</f>
        <v>2.8156473116</v>
      </c>
      <c r="Y178">
        <f ca="1" t="shared" si="340"/>
        <v>2.75082870257588</v>
      </c>
      <c r="Z178">
        <f t="shared" si="357"/>
        <v>0.150390625</v>
      </c>
      <c r="AA178">
        <f ca="1" t="shared" si="341"/>
        <v>0.0205078125</v>
      </c>
      <c r="AB178">
        <f ca="1" t="shared" si="342"/>
        <v>5002884.02299298</v>
      </c>
      <c r="AC178">
        <f ca="1">技能数计算!AJ170</f>
        <v>3</v>
      </c>
      <c r="AD178" s="164">
        <f ca="1" t="shared" si="343"/>
        <v>0.00481796446303569</v>
      </c>
      <c r="AE178" s="168">
        <f ca="1" t="shared" si="317"/>
        <v>0.00468431635707544</v>
      </c>
      <c r="AF178" s="168">
        <f ca="1" t="shared" si="358"/>
        <v>0</v>
      </c>
      <c r="AG178">
        <f ca="1" t="shared" si="334"/>
        <v>0.00392386746917639</v>
      </c>
      <c r="AH178">
        <f ca="1" t="shared" si="359"/>
        <v>1.00319556583265</v>
      </c>
      <c r="AI178">
        <f ca="1" t="shared" si="360"/>
        <v>1.00016101226475</v>
      </c>
      <c r="AJ178">
        <f ca="1" t="shared" si="361"/>
        <v>1.00056487849705</v>
      </c>
      <c r="AK178">
        <f ca="1" t="shared" si="354"/>
        <v>3</v>
      </c>
      <c r="AL178">
        <f ca="1" t="shared" si="366"/>
        <v>0.00488426265477537</v>
      </c>
      <c r="AM178">
        <f ca="1" t="shared" si="345"/>
        <v>3</v>
      </c>
      <c r="AN178" s="168">
        <f ca="1" t="shared" si="365"/>
        <v>0.00704041026716018</v>
      </c>
      <c r="AO178" s="168">
        <f ca="1" t="shared" si="367"/>
        <v>0.00447057613551372</v>
      </c>
      <c r="AP178" s="172">
        <f ca="1" t="shared" si="362"/>
        <v>0</v>
      </c>
      <c r="AQ178" s="168">
        <f ca="1" t="shared" si="363"/>
        <v>0.00401583628616287</v>
      </c>
      <c r="AR178">
        <f t="shared" si="364"/>
        <v>1</v>
      </c>
    </row>
    <row r="179" spans="4:44">
      <c r="D179" t="s">
        <v>1825</v>
      </c>
      <c r="E179" s="161" t="s">
        <v>2789</v>
      </c>
      <c r="G179" t="s">
        <v>3110</v>
      </c>
      <c r="H179">
        <f ca="1">INDEX(技能数据库!$B$2:$I$100,MATCH(伤害与收益计算!$E179,技能数据库!$B$2:$B$100,0),MATCH(H$9,技能数据库!$B$2:$I$2,0))</f>
        <v>131</v>
      </c>
      <c r="I179">
        <f ca="1">INDEX(技能数据库!$B$2:$I$100,MATCH(伤害与收益计算!$E179,技能数据库!$B$2:$B$100,0),MATCH(I$9,技能数据库!$B$2:$I$2,0))</f>
        <v>3.425</v>
      </c>
      <c r="J179">
        <f ca="1">INDEX(技能数据库!$B$2:$I$100,MATCH(伤害与收益计算!$E179,技能数据库!$B$2:$B$100,0),MATCH(J$9,技能数据库!$B$2:$I$2,0))</f>
        <v>0</v>
      </c>
      <c r="K179">
        <f ca="1">INDEX(技能数据库!$B$2:$I$100,MATCH(伤害与收益计算!$E179,技能数据库!$B$2:$B$100,0),MATCH(K$9,技能数据库!$B$2:$I$2,0))</f>
        <v>0</v>
      </c>
      <c r="L179">
        <f ca="1" t="shared" si="316"/>
        <v>105847</v>
      </c>
      <c r="M179">
        <f ca="1" t="shared" si="335"/>
        <v>19530.5</v>
      </c>
      <c r="N179">
        <f ca="1" t="shared" si="336"/>
        <v>92028</v>
      </c>
      <c r="O179">
        <f ca="1" t="shared" si="355"/>
        <v>362656.975</v>
      </c>
      <c r="P179">
        <f ca="1">IF(G179="恒定伤害",0,(IF(D179="轻剑",$AZ$2,$AZ$3)+IFERROR(INDEX(技能数据库!$T$2:$W$27,MATCH(E179,技能数据库!$T$2:$T$27,0),4),0)+COUNTIF(G179,"*造化2*")*154+COUNTIF(G179,"*造化1*")*102+COUNTIF(G179,"*碧归*")*307)/1024)</f>
        <v>0.672900861773535</v>
      </c>
      <c r="Q179">
        <f ca="1" t="shared" ref="Q179:Q181" si="368">IF(G179="恒定伤害",0,(IF(COUNTIF(F179,"*内破*")&gt;0,内破,IF(D179="轻剑",$AF$2,$AF$3)/破防系数))+IF((IF(D179="轻剑",$AO$2,$AO$3)+INT(COUNTIF(G179,"*大莺鸣*")*IF(D179="轻剑",$AM$2,$AM$3)*听晓无双率)/无双系数)&gt;0.9,(特效裤子破防+特效裤子破防*IF(D179="轻剑",$AD$2,$AD$3)/1024)/破防系数,0))</f>
        <v>0.448284482196154</v>
      </c>
      <c r="R179">
        <f ca="1" t="shared" si="356"/>
        <v>0.21277697966198</v>
      </c>
      <c r="S179">
        <f ca="1" t="shared" si="337"/>
        <v>691700.201870402</v>
      </c>
      <c r="T179">
        <f t="shared" si="338"/>
        <v>0.8</v>
      </c>
      <c r="U179">
        <f ca="1" t="shared" ref="U179:U181" si="369">IF(G179="恒定伤害",0,(IF(D179="轻剑",$AO$2,$AO$3)+INT(COUNTIF(G179,"*大莺鸣*")*IF(D179="轻剑",$AM$2,$AM$3)*听晓无双率)/无双系数)+IF((IF(D179="轻剑",$AO$2,$AO$3)+INT(COUNTIF(G179,"*大莺鸣*")*IF(D179="轻剑",$AM$2,$AM$3)*听晓无双率)/无双系数)&lt;=0.9,特效裤子无双,0))</f>
        <v>1.7995442148</v>
      </c>
      <c r="V179">
        <f ca="1" t="shared" si="339"/>
        <v>1549156.23881782</v>
      </c>
      <c r="W179">
        <f ca="1">IF(G179="恒定伤害",0,MIN(1,IF(COUNTIF(F179,"*内会*")&gt;0,内会,IF(D179="轻剑",$Y$2,$Y$3)+COUNTIF(G179,"*莺鸣*")*0.2+COUNTIF(G179,"*叠1*")*0.1+COUNTIF(G179,"*叠2*")*0.2+COUNTIF(G179,"*叠3*")*0.3)+IFERROR(INDEX(技能数据库!$T$2:$W$27,MATCH(E179,技能数据库!$T$2:$T$27,0),2),0)+IF((IF(D179="轻剑",$AO$2,$AO$3)+INT(COUNTIF(G179,"*大莺鸣*")*IF(D179="轻剑",$AM$2,$AM$3)*听晓无双率)/无双系数)&gt;0.9,特效裤子会心/会心系数,0)))</f>
        <v>1</v>
      </c>
      <c r="X179">
        <f ca="1">IF(G179="恒定伤害",0,IF(COUNTIF(F179,"*内会*")&gt;0,内会效,IF(D179="轻剑",$AB$2,$AB$3))+IFERROR(INDEX(技能数据库!$T$2:$W$27,MATCH(E179,技能数据库!$T$2:$T$27,0),3)/1024,0))+COUNTIF(G179,"*叠1*")*0.25+COUNTIF(G179,"*叠2*")*0.5+COUNTIF(G179,"*叠3*")*0.75</f>
        <v>3.0656473116</v>
      </c>
      <c r="Y179">
        <f ca="1" t="shared" si="340"/>
        <v>3.0656473116</v>
      </c>
      <c r="Z179">
        <f t="shared" si="357"/>
        <v>0.150390625</v>
      </c>
      <c r="AA179">
        <f ca="1" t="shared" si="341"/>
        <v>0.0205078125</v>
      </c>
      <c r="AB179">
        <f ca="1" t="shared" si="342"/>
        <v>5575439.11802772</v>
      </c>
      <c r="AC179" s="171">
        <f ca="1">技能数计算!AJ171</f>
        <v>40</v>
      </c>
      <c r="AD179" s="164">
        <f ca="1" t="shared" si="343"/>
        <v>0.0715914191708067</v>
      </c>
      <c r="AE179" s="168">
        <f ca="1" t="shared" si="317"/>
        <v>0.00468431635707544</v>
      </c>
      <c r="AF179" s="168">
        <f ca="1" t="shared" si="358"/>
        <v>0</v>
      </c>
      <c r="AG179">
        <f ca="1" t="shared" si="334"/>
        <v>0.00335709262268846</v>
      </c>
      <c r="AH179">
        <f ca="1" t="shared" si="359"/>
        <v>1.00319556583265</v>
      </c>
      <c r="AI179">
        <f ca="1" t="shared" si="360"/>
        <v>1.00016101226475</v>
      </c>
      <c r="AJ179">
        <f ca="1" t="shared" si="361"/>
        <v>1</v>
      </c>
      <c r="AK179">
        <f ca="1" t="shared" si="354"/>
        <v>40</v>
      </c>
      <c r="AL179">
        <f ca="1" t="shared" si="366"/>
        <v>0</v>
      </c>
      <c r="AM179">
        <f ca="1" t="shared" si="345"/>
        <v>40</v>
      </c>
      <c r="AN179" s="168">
        <f ca="1" t="shared" si="365"/>
        <v>0.00655129503556839</v>
      </c>
      <c r="AO179" s="168">
        <f ca="1" t="shared" si="367"/>
        <v>0.00447057613551372</v>
      </c>
      <c r="AP179" s="172">
        <f ca="1" t="shared" si="362"/>
        <v>0</v>
      </c>
      <c r="AQ179" s="168">
        <f ca="1" t="shared" si="363"/>
        <v>0.00401583628616287</v>
      </c>
      <c r="AR179">
        <f t="shared" si="364"/>
        <v>1</v>
      </c>
    </row>
    <row r="180" spans="4:44">
      <c r="D180" t="s">
        <v>1825</v>
      </c>
      <c r="E180" t="s">
        <v>2786</v>
      </c>
      <c r="G180" t="s">
        <v>3108</v>
      </c>
      <c r="H180">
        <f ca="1">INDEX(技能数据库!$B$2:$I$100,MATCH(伤害与收益计算!$E180,技能数据库!$B$2:$B$100,0),MATCH(H$9,技能数据库!$B$2:$I$2,0))</f>
        <v>0</v>
      </c>
      <c r="I180">
        <f ca="1">INDEX(技能数据库!$B$2:$I$100,MATCH(伤害与收益计算!$E180,技能数据库!$B$2:$B$100,0),MATCH(I$9,技能数据库!$B$2:$I$2,0))</f>
        <v>0</v>
      </c>
      <c r="J180">
        <f ca="1">INDEX(技能数据库!$B$2:$I$100,MATCH(伤害与收益计算!$E180,技能数据库!$B$2:$B$100,0),MATCH(J$9,技能数据库!$B$2:$I$2,0))</f>
        <v>0</v>
      </c>
      <c r="K180">
        <f ca="1">INDEX(技能数据库!$B$2:$I$100,MATCH(伤害与收益计算!$E180,技能数据库!$B$2:$B$100,0),MATCH(K$9,技能数据库!$B$2:$I$2,0))</f>
        <v>0</v>
      </c>
      <c r="L180">
        <f ca="1" t="shared" si="316"/>
        <v>105847</v>
      </c>
      <c r="M180">
        <f ca="1" t="shared" ref="M180:M182" si="370">IF(D180="轻剑",$AU$2+$AV$2,$AU$3+$AV$3)/2</f>
        <v>19530.5</v>
      </c>
      <c r="N180">
        <f ca="1" t="shared" ref="N180:N182" si="371">IF(D180="轻剑",$AJ$2,$AJ$3)</f>
        <v>92028</v>
      </c>
      <c r="O180">
        <f ca="1" t="shared" ref="O180:O184" si="372">H180+I180*L180+J180*M180+IF(K180&gt;0,MAX(1,K180*N180*破招全局系数),0)</f>
        <v>0</v>
      </c>
      <c r="P180">
        <f ca="1">IF(G180="恒定伤害",0,(IF(D180="轻剑",$AZ$2,$AZ$3)+IFERROR(INDEX(技能数据库!$T$2:$W$27,MATCH(E180,技能数据库!$T$2:$T$27,0),4),0)+COUNTIF(G180,"*造化2*")*154+COUNTIF(G180,"*造化1*")*102+COUNTIF(G180,"*碧归*")*307)/1024)</f>
        <v>0.176868146929785</v>
      </c>
      <c r="Q180">
        <f ca="1" t="shared" si="368"/>
        <v>0.448284482196154</v>
      </c>
      <c r="R180">
        <f ca="1" t="shared" ref="R180:R184" si="373">IF(G180="恒定伤害",0,(($F$5-IF(D180="轻剑",$BB$2,$BB$3))*(1024-IF(D180="轻剑",$BD$2,$BD$3))/1024*(1024-IF(D180="轻剑",$BC$2,$BC$3)-COUNTIF(G180,"*雾锁*")*461*雾锁)/1024/(($F$5-IF(D180="轻剑",$BB$2,$BB$3))*(1024-IF(D180="轻剑",$BD$2,$BD$3))/1024*(1024-IF(D180="轻剑",$BC$2,$BC$3)-COUNTIF(G180,"*雾锁*")*461*雾锁)/1024+$F$7)))</f>
        <v>0.21277697966198</v>
      </c>
      <c r="S180">
        <f ca="1" t="shared" ref="S180:S182" si="374">O180*(1+P180)*(1+Q180)*(1-R180)</f>
        <v>0</v>
      </c>
      <c r="T180">
        <f t="shared" si="338"/>
        <v>0.8</v>
      </c>
      <c r="U180">
        <f ca="1" t="shared" si="369"/>
        <v>1.7995442148</v>
      </c>
      <c r="V180">
        <f ca="1" t="shared" ref="V180:V182" si="375">S180*T180*(1+U180)</f>
        <v>0</v>
      </c>
      <c r="W180">
        <f ca="1">IF(G180="恒定伤害",0,MIN(1,IF(COUNTIF(F180,"*内会*")&gt;0,内会,IF(D180="轻剑",$Y$2,$Y$3)+COUNTIF(G180,"*莺鸣*")*0.2+COUNTIF(G180,"*叠1*")*0.1+COUNTIF(G180,"*叠2*")*0.2+COUNTIF(G180,"*叠3*")*0.3)+IFERROR(INDEX(技能数据库!$T$2:$W$27,MATCH(E180,技能数据库!$T$2:$T$27,0),2),0)+IF((IF(D180="轻剑",$AO$2,$AO$3)+INT(COUNTIF(G180,"*大莺鸣*")*IF(D180="轻剑",$AM$2,$AM$3)*听晓无双率)/无双系数)&gt;0.9,特效裤子会心/会心系数,0)))</f>
        <v>0.8343</v>
      </c>
      <c r="X180">
        <f ca="1">IF(G180="恒定伤害",0,IF(COUNTIF(F180,"*内会*")&gt;0,内会效,IF(D180="轻剑",$AB$2,$AB$3))+IFERROR(INDEX(技能数据库!$T$2:$W$27,MATCH(E180,技能数据库!$T$2:$T$27,0),3)/1024,0))+COUNTIF(G180,"*叠1*")*0.25+COUNTIF(G180,"*叠2*")*0.5+COUNTIF(G180,"*叠3*")*0.75</f>
        <v>2.5656473116</v>
      </c>
      <c r="Y180">
        <f ca="1" t="shared" ref="Y180:Y182" si="376">1+W180*(X180-1)</f>
        <v>2.30621955206788</v>
      </c>
      <c r="Z180">
        <f t="shared" ref="Z180:Z184" si="377">IF(G180="恒定伤害",0,非侠士伤害/1024)</f>
        <v>0.150390625</v>
      </c>
      <c r="AA180">
        <f ca="1" t="shared" ref="AA180:AA182" si="378">IF(D180="轻剑",$BA$2,$BA$3)/1024</f>
        <v>0.0205078125</v>
      </c>
      <c r="AB180">
        <f ca="1" t="shared" ref="AB180:AB182" si="379">V180*Y180*(1+Z180)*(1+AA180)</f>
        <v>0</v>
      </c>
      <c r="AC180">
        <f ca="1">技能数计算!AJ172</f>
        <v>5</v>
      </c>
      <c r="AD180" s="164">
        <f ca="1" t="shared" ref="AD180:AD184" si="380">IFERROR(AB180*AC180/$AD$7,0)</f>
        <v>0</v>
      </c>
      <c r="AE180" s="168">
        <f ca="1" t="shared" si="317"/>
        <v>0</v>
      </c>
      <c r="AF180" s="168">
        <f ca="1" t="shared" ref="AF180:AF184" si="381">IFERROR((delta武伤+INT((IF(D180="轻剑",$AW$2,$AW$3))/1024*delta武伤))*J180/O180,0)</f>
        <v>0</v>
      </c>
      <c r="AG180">
        <f ca="1" t="shared" ref="AG180:AG182" si="382">IF(G180="恒定伤害",0,MAX(0,AH180*AI180*IF(AJ180=0,1,AJ180)-1))</f>
        <v>0</v>
      </c>
      <c r="AH180">
        <f ca="1" t="shared" ref="AH180:AH184" si="383">IFERROR((delta身法+INT((IF(D180="轻剑",$N$2,$N$3))/1024*delta身法))*身法转额外攻击*I180/O180+1,0)</f>
        <v>0</v>
      </c>
      <c r="AI180">
        <f ca="1" t="shared" ref="AI180:AI184" si="384">IFERROR(((delta身法+INT((IF(D180="轻剑",$N$2,$N$3))/1024*delta身法))*身法转额外破防/破防系数+Q180+1)/(1+Q180),0)</f>
        <v>1.00016101226475</v>
      </c>
      <c r="AJ180">
        <f ca="1" t="shared" ref="AJ180:AJ184" si="385">IFERROR(((1+MIN(1,((delta身法+INT((IF(D180="轻剑",$N$2,$N$3))/1024*delta身法))*身法转基础会心/会心系数)+W180)*(X180-1))*AK180)/(Y180*AC180),0)</f>
        <v>1.00058100569062</v>
      </c>
      <c r="AK180">
        <f ca="1" t="shared" si="354"/>
        <v>5</v>
      </c>
      <c r="AL180">
        <f ca="1" t="shared" ref="AL180:AL184" si="386">IF(G180="恒定伤害",0,IFERROR(((1+MIN(1,W180+delta会心/会心系数)*(X180-1))*AM180)/(Y180*AC180)-1,0))</f>
        <v>0.00502370759680582</v>
      </c>
      <c r="AM180">
        <f ca="1" t="shared" si="345"/>
        <v>5</v>
      </c>
      <c r="AN180" s="168">
        <f ca="1" t="shared" si="365"/>
        <v>0.00726559092089141</v>
      </c>
      <c r="AO180" s="168">
        <f ca="1" t="shared" ref="AO180:AO184" si="387">IF(OR(COUNTIF(F180,"*内破*")&gt;0,G180="恒定伤害"),0,IFERROR(((delta破防+INT((IF(D180="轻剑",$AD$2,$AD$3))/1024*delta破防))/破防系数+Q180+1)/(Q180+1)-1,0))</f>
        <v>0.00447057613551372</v>
      </c>
      <c r="AP180" s="172">
        <f ca="1" t="shared" ref="AP180:AP184" si="388">IFERROR((delta破招+INT((IF(D180="轻剑",$AI$2,$AI$3))/1024*delta破招))*K180*破招全局系数/MAX(1,O180),0)</f>
        <v>0</v>
      </c>
      <c r="AQ180" s="168">
        <f ca="1" t="shared" ref="AQ180:AQ184" si="389">IF(G180="恒定伤害",0,IFERROR(((delta无双+INT((IF(D180="轻剑",$AL$2,$AL$3)+COUNTIF(G180,"*大莺鸣*")*307)/1024*delta无双))/无双系数+U180+1)/(U180+1)-1,0))</f>
        <v>0.00401583628616287</v>
      </c>
      <c r="AR180">
        <f t="shared" ref="AR180:AR184" si="390">IF($AR$8="综合属性收益",1,COUNTIF(D180,LEFT($AR$8,2)))</f>
        <v>1</v>
      </c>
    </row>
    <row r="181" spans="4:44">
      <c r="D181" t="s">
        <v>1825</v>
      </c>
      <c r="E181" t="s">
        <v>2786</v>
      </c>
      <c r="G181" t="s">
        <v>3109</v>
      </c>
      <c r="H181">
        <f ca="1">INDEX(技能数据库!$B$2:$I$100,MATCH(伤害与收益计算!$E181,技能数据库!$B$2:$B$100,0),MATCH(H$9,技能数据库!$B$2:$I$2,0))</f>
        <v>0</v>
      </c>
      <c r="I181">
        <f ca="1">INDEX(技能数据库!$B$2:$I$100,MATCH(伤害与收益计算!$E181,技能数据库!$B$2:$B$100,0),MATCH(I$9,技能数据库!$B$2:$I$2,0))</f>
        <v>0</v>
      </c>
      <c r="J181">
        <f ca="1">INDEX(技能数据库!$B$2:$I$100,MATCH(伤害与收益计算!$E181,技能数据库!$B$2:$B$100,0),MATCH(J$9,技能数据库!$B$2:$I$2,0))</f>
        <v>0</v>
      </c>
      <c r="K181">
        <f ca="1">INDEX(技能数据库!$B$2:$I$100,MATCH(伤害与收益计算!$E181,技能数据库!$B$2:$B$100,0),MATCH(K$9,技能数据库!$B$2:$I$2,0))</f>
        <v>0</v>
      </c>
      <c r="L181">
        <f ca="1" t="shared" si="316"/>
        <v>105847</v>
      </c>
      <c r="M181">
        <f ca="1" t="shared" si="370"/>
        <v>19530.5</v>
      </c>
      <c r="N181">
        <f ca="1" t="shared" si="371"/>
        <v>92028</v>
      </c>
      <c r="O181">
        <f ca="1" t="shared" si="372"/>
        <v>0</v>
      </c>
      <c r="P181">
        <f ca="1">IF(G181="恒定伤害",0,(IF(D181="轻剑",$AZ$2,$AZ$3)+IFERROR(INDEX(技能数据库!$T$2:$W$27,MATCH(E181,技能数据库!$T$2:$T$27,0),4),0)+COUNTIF(G181,"*造化2*")*154+COUNTIF(G181,"*造化1*")*102+COUNTIF(G181,"*碧归*")*307)/1024)</f>
        <v>0.176868146929785</v>
      </c>
      <c r="Q181">
        <f ca="1" t="shared" si="368"/>
        <v>0.448284482196154</v>
      </c>
      <c r="R181">
        <f ca="1" t="shared" si="373"/>
        <v>0.21277697966198</v>
      </c>
      <c r="S181">
        <f ca="1" t="shared" si="374"/>
        <v>0</v>
      </c>
      <c r="T181">
        <f t="shared" si="338"/>
        <v>0.8</v>
      </c>
      <c r="U181">
        <f ca="1" t="shared" si="369"/>
        <v>1.7995442148</v>
      </c>
      <c r="V181">
        <f ca="1" t="shared" si="375"/>
        <v>0</v>
      </c>
      <c r="W181">
        <f ca="1">IF(G181="恒定伤害",0,MIN(1,IF(COUNTIF(F181,"*内会*")&gt;0,内会,IF(D181="轻剑",$Y$2,$Y$3)+COUNTIF(G181,"*莺鸣*")*0.2+COUNTIF(G181,"*叠1*")*0.1+COUNTIF(G181,"*叠2*")*0.2+COUNTIF(G181,"*叠3*")*0.3)+IFERROR(INDEX(技能数据库!$T$2:$W$27,MATCH(E181,技能数据库!$T$2:$T$27,0),2),0)+IF((IF(D181="轻剑",$AO$2,$AO$3)+INT(COUNTIF(G181,"*大莺鸣*")*IF(D181="轻剑",$AM$2,$AM$3)*听晓无双率)/无双系数)&gt;0.9,特效裤子会心/会心系数,0)))</f>
        <v>0.9343</v>
      </c>
      <c r="X181">
        <f ca="1">IF(G181="恒定伤害",0,IF(COUNTIF(F181,"*内会*")&gt;0,内会效,IF(D181="轻剑",$AB$2,$AB$3))+IFERROR(INDEX(技能数据库!$T$2:$W$27,MATCH(E181,技能数据库!$T$2:$T$27,0),3)/1024,0))+COUNTIF(G181,"*叠1*")*0.25+COUNTIF(G181,"*叠2*")*0.5+COUNTIF(G181,"*叠3*")*0.75</f>
        <v>2.8156473116</v>
      </c>
      <c r="Y181">
        <f ca="1" t="shared" si="376"/>
        <v>2.69635928322788</v>
      </c>
      <c r="Z181">
        <f t="shared" si="377"/>
        <v>0.150390625</v>
      </c>
      <c r="AA181">
        <f ca="1" t="shared" si="378"/>
        <v>0.0205078125</v>
      </c>
      <c r="AB181">
        <f ca="1" t="shared" si="379"/>
        <v>0</v>
      </c>
      <c r="AC181">
        <f ca="1">技能数计算!AJ173</f>
        <v>4</v>
      </c>
      <c r="AD181" s="164">
        <f ca="1" t="shared" si="380"/>
        <v>0</v>
      </c>
      <c r="AE181" s="168">
        <f ca="1" t="shared" si="317"/>
        <v>0</v>
      </c>
      <c r="AF181" s="168">
        <f ca="1" t="shared" si="381"/>
        <v>0</v>
      </c>
      <c r="AG181">
        <f ca="1" t="shared" si="382"/>
        <v>0</v>
      </c>
      <c r="AH181">
        <f ca="1" t="shared" si="383"/>
        <v>0</v>
      </c>
      <c r="AI181">
        <f ca="1" t="shared" si="384"/>
        <v>1.00016101226475</v>
      </c>
      <c r="AJ181">
        <f ca="1" t="shared" si="385"/>
        <v>1.00057628966319</v>
      </c>
      <c r="AK181">
        <f ca="1" t="shared" si="354"/>
        <v>4</v>
      </c>
      <c r="AL181">
        <f ca="1" t="shared" si="386"/>
        <v>0.00498293012553974</v>
      </c>
      <c r="AM181">
        <f ca="1" t="shared" si="345"/>
        <v>4</v>
      </c>
      <c r="AN181" s="168">
        <f ca="1" t="shared" si="365"/>
        <v>0.00695917786518119</v>
      </c>
      <c r="AO181" s="168">
        <f ca="1" t="shared" si="387"/>
        <v>0.00447057613551372</v>
      </c>
      <c r="AP181" s="172">
        <f ca="1" t="shared" si="388"/>
        <v>0</v>
      </c>
      <c r="AQ181" s="168">
        <f ca="1" t="shared" si="389"/>
        <v>0.00401583628616287</v>
      </c>
      <c r="AR181">
        <f t="shared" si="390"/>
        <v>1</v>
      </c>
    </row>
    <row r="182" spans="4:44">
      <c r="D182" t="s">
        <v>1825</v>
      </c>
      <c r="E182" t="s">
        <v>2786</v>
      </c>
      <c r="G182" t="s">
        <v>3110</v>
      </c>
      <c r="H182">
        <f ca="1">INDEX(技能数据库!$B$2:$I$100,MATCH(伤害与收益计算!$E182,技能数据库!$B$2:$B$100,0),MATCH(H$9,技能数据库!$B$2:$I$2,0))</f>
        <v>0</v>
      </c>
      <c r="I182">
        <f ca="1">INDEX(技能数据库!$B$2:$I$100,MATCH(伤害与收益计算!$E182,技能数据库!$B$2:$B$100,0),MATCH(I$9,技能数据库!$B$2:$I$2,0))</f>
        <v>0</v>
      </c>
      <c r="J182">
        <f ca="1">INDEX(技能数据库!$B$2:$I$100,MATCH(伤害与收益计算!$E182,技能数据库!$B$2:$B$100,0),MATCH(J$9,技能数据库!$B$2:$I$2,0))</f>
        <v>0</v>
      </c>
      <c r="K182">
        <f ca="1">INDEX(技能数据库!$B$2:$I$100,MATCH(伤害与收益计算!$E182,技能数据库!$B$2:$B$100,0),MATCH(K$9,技能数据库!$B$2:$I$2,0))</f>
        <v>0</v>
      </c>
      <c r="L182">
        <f ca="1" t="shared" si="316"/>
        <v>105847</v>
      </c>
      <c r="M182">
        <f ca="1" t="shared" si="370"/>
        <v>19530.5</v>
      </c>
      <c r="N182">
        <f ca="1" t="shared" si="371"/>
        <v>92028</v>
      </c>
      <c r="O182">
        <f ca="1" t="shared" si="372"/>
        <v>0</v>
      </c>
      <c r="P182">
        <f ca="1">IF(G182="恒定伤害",0,(IF(D182="轻剑",$AZ$2,$AZ$3)+IFERROR(INDEX(技能数据库!$T$2:$W$27,MATCH(E182,技能数据库!$T$2:$T$27,0),4),0)+COUNTIF(G182,"*造化2*")*154+COUNTIF(G182,"*造化1*")*102+COUNTIF(G182,"*碧归*")*307)/1024)</f>
        <v>0.176868146929785</v>
      </c>
      <c r="Q182">
        <f ca="1" t="shared" ref="Q182:Q186" si="391">IF(G182="恒定伤害",0,(IF(COUNTIF(F182,"*内破*")&gt;0,内破,IF(D182="轻剑",$AF$2,$AF$3)/破防系数))+IF((IF(D182="轻剑",$AO$2,$AO$3)+INT(COUNTIF(G182,"*大莺鸣*")*IF(D182="轻剑",$AM$2,$AM$3)*听晓无双率)/无双系数)&gt;0.9,(特效裤子破防+特效裤子破防*IF(D182="轻剑",$AD$2,$AD$3)/1024)/破防系数,0))</f>
        <v>0.448284482196154</v>
      </c>
      <c r="R182">
        <f ca="1" t="shared" si="373"/>
        <v>0.21277697966198</v>
      </c>
      <c r="S182">
        <f ca="1" t="shared" si="374"/>
        <v>0</v>
      </c>
      <c r="T182">
        <f t="shared" si="338"/>
        <v>0.8</v>
      </c>
      <c r="U182">
        <f ca="1" t="shared" ref="U182:U186" si="392">IF(G182="恒定伤害",0,(IF(D182="轻剑",$AO$2,$AO$3)+INT(COUNTIF(G182,"*大莺鸣*")*IF(D182="轻剑",$AM$2,$AM$3)*听晓无双率)/无双系数)+IF((IF(D182="轻剑",$AO$2,$AO$3)+INT(COUNTIF(G182,"*大莺鸣*")*IF(D182="轻剑",$AM$2,$AM$3)*听晓无双率)/无双系数)&lt;=0.9,特效裤子无双,0))</f>
        <v>1.7995442148</v>
      </c>
      <c r="V182">
        <f ca="1" t="shared" si="375"/>
        <v>0</v>
      </c>
      <c r="W182">
        <f ca="1">IF(G182="恒定伤害",0,MIN(1,IF(COUNTIF(F182,"*内会*")&gt;0,内会,IF(D182="轻剑",$Y$2,$Y$3)+COUNTIF(G182,"*莺鸣*")*0.2+COUNTIF(G182,"*叠1*")*0.1+COUNTIF(G182,"*叠2*")*0.2+COUNTIF(G182,"*叠3*")*0.3)+IFERROR(INDEX(技能数据库!$T$2:$W$27,MATCH(E182,技能数据库!$T$2:$T$27,0),2),0)+IF((IF(D182="轻剑",$AO$2,$AO$3)+INT(COUNTIF(G182,"*大莺鸣*")*IF(D182="轻剑",$AM$2,$AM$3)*听晓无双率)/无双系数)&gt;0.9,特效裤子会心/会心系数,0)))</f>
        <v>1</v>
      </c>
      <c r="X182">
        <f ca="1">IF(G182="恒定伤害",0,IF(COUNTIF(F182,"*内会*")&gt;0,内会效,IF(D182="轻剑",$AB$2,$AB$3))+IFERROR(INDEX(技能数据库!$T$2:$W$27,MATCH(E182,技能数据库!$T$2:$T$27,0),3)/1024,0))+COUNTIF(G182,"*叠1*")*0.25+COUNTIF(G182,"*叠2*")*0.5+COUNTIF(G182,"*叠3*")*0.75</f>
        <v>3.0656473116</v>
      </c>
      <c r="Y182">
        <f ca="1" t="shared" si="376"/>
        <v>3.0656473116</v>
      </c>
      <c r="Z182">
        <f t="shared" si="377"/>
        <v>0.150390625</v>
      </c>
      <c r="AA182">
        <f ca="1" t="shared" si="378"/>
        <v>0.0205078125</v>
      </c>
      <c r="AB182">
        <f ca="1" t="shared" si="379"/>
        <v>0</v>
      </c>
      <c r="AC182" s="171">
        <f ca="1">技能数计算!AJ174</f>
        <v>40</v>
      </c>
      <c r="AD182" s="164">
        <f ca="1" t="shared" si="380"/>
        <v>0</v>
      </c>
      <c r="AE182" s="168">
        <f ca="1" t="shared" si="317"/>
        <v>0</v>
      </c>
      <c r="AF182" s="168">
        <f ca="1" t="shared" si="381"/>
        <v>0</v>
      </c>
      <c r="AG182">
        <f ca="1" t="shared" si="382"/>
        <v>0</v>
      </c>
      <c r="AH182">
        <f ca="1" t="shared" si="383"/>
        <v>0</v>
      </c>
      <c r="AI182">
        <f ca="1" t="shared" si="384"/>
        <v>1.00016101226475</v>
      </c>
      <c r="AJ182">
        <f ca="1" t="shared" si="385"/>
        <v>1</v>
      </c>
      <c r="AK182">
        <f ca="1" t="shared" ref="AK182:AK186" si="393">AC182</f>
        <v>40</v>
      </c>
      <c r="AL182">
        <f ca="1" t="shared" si="386"/>
        <v>0</v>
      </c>
      <c r="AM182">
        <f ca="1" t="shared" si="345"/>
        <v>40</v>
      </c>
      <c r="AN182" s="168">
        <f ca="1" t="shared" si="365"/>
        <v>0.00655129503556839</v>
      </c>
      <c r="AO182" s="168">
        <f ca="1" t="shared" si="387"/>
        <v>0.00447057613551372</v>
      </c>
      <c r="AP182" s="172">
        <f ca="1" t="shared" si="388"/>
        <v>0</v>
      </c>
      <c r="AQ182" s="168">
        <f ca="1" t="shared" si="389"/>
        <v>0.00401583628616287</v>
      </c>
      <c r="AR182">
        <f t="shared" si="390"/>
        <v>1</v>
      </c>
    </row>
    <row r="183" spans="4:44">
      <c r="D183" t="s">
        <v>1825</v>
      </c>
      <c r="E183" s="161" t="s">
        <v>2859</v>
      </c>
      <c r="F183" t="s">
        <v>3160</v>
      </c>
      <c r="G183" t="s">
        <v>3108</v>
      </c>
      <c r="H183">
        <f ca="1">INDEX(技能数据库!$B$2:$I$100,MATCH(伤害与收益计算!$E183,技能数据库!$B$2:$B$100,0),MATCH(H$9,技能数据库!$B$2:$I$2,0))</f>
        <v>1955936</v>
      </c>
      <c r="I183">
        <f ca="1">INDEX(技能数据库!$B$2:$I$100,MATCH(伤害与收益计算!$E183,技能数据库!$B$2:$B$100,0),MATCH(I$9,技能数据库!$B$2:$I$2,0))</f>
        <v>0</v>
      </c>
      <c r="J183">
        <f ca="1">INDEX(技能数据库!$B$2:$I$100,MATCH(伤害与收益计算!$E183,技能数据库!$B$2:$B$100,0),MATCH(J$9,技能数据库!$B$2:$I$2,0))</f>
        <v>0</v>
      </c>
      <c r="K183">
        <f ca="1">INDEX(技能数据库!$B$2:$I$100,MATCH(伤害与收益计算!$E183,技能数据库!$B$2:$B$100,0),MATCH(K$9,技能数据库!$B$2:$I$2,0))</f>
        <v>0</v>
      </c>
      <c r="L183">
        <f ca="1" t="shared" si="316"/>
        <v>105847</v>
      </c>
      <c r="M183">
        <f ca="1" t="shared" ref="M183:M184" si="394">IF(D183="轻剑",$AU$2+$AV$2,$AU$3+$AV$3)/2</f>
        <v>19530.5</v>
      </c>
      <c r="N183">
        <f ca="1" t="shared" ref="N183:N184" si="395">IF(D183="轻剑",$AJ$2,$AJ$3)</f>
        <v>92028</v>
      </c>
      <c r="O183">
        <f ca="1" t="shared" si="372"/>
        <v>1955936</v>
      </c>
      <c r="P183">
        <f ca="1">IF(G183="恒定伤害",0,(IF(D183="轻剑",$AZ$2,$AZ$3)+IFERROR(INDEX(技能数据库!$T$2:$W$27,MATCH(E183,技能数据库!$T$2:$T$27,0),4),0)+COUNTIF(G183,"*造化2*")*154+COUNTIF(G183,"*造化1*")*102+COUNTIF(G183,"*碧归*")*307)/1024)</f>
        <v>0.176868146929785</v>
      </c>
      <c r="Q183">
        <f ca="1" t="shared" si="391"/>
        <v>0.0415122129107408</v>
      </c>
      <c r="R183">
        <f ca="1" t="shared" si="373"/>
        <v>0.21277697966198</v>
      </c>
      <c r="S183">
        <f ca="1" t="shared" ref="S183:S184" si="396">O183*(1+P183)*(1+Q183)*(1-R183)</f>
        <v>1887315.90971891</v>
      </c>
      <c r="T183">
        <f t="shared" si="338"/>
        <v>0.8</v>
      </c>
      <c r="U183">
        <f ca="1" t="shared" si="392"/>
        <v>1.7995442148</v>
      </c>
      <c r="V183">
        <f ca="1" t="shared" ref="V183:V184" si="397">S183*T183*(1+U183)</f>
        <v>4226899.46924287</v>
      </c>
      <c r="W183">
        <f ca="1">IF(G183="恒定伤害",0,MIN(1,IF(COUNTIF(F183,"*内会*")&gt;0,内会,IF(D183="轻剑",$Y$2,$Y$3)+COUNTIF(G183,"*莺鸣*")*0.2+COUNTIF(G183,"*叠1*")*0.1+COUNTIF(G183,"*叠2*")*0.2+COUNTIF(G183,"*叠3*")*0.3)+IFERROR(INDEX(技能数据库!$T$2:$W$27,MATCH(E183,技能数据库!$T$2:$T$27,0),2),0)+IF((IF(D183="轻剑",$AO$2,$AO$3)+INT(COUNTIF(G183,"*大莺鸣*")*IF(D183="轻剑",$AM$2,$AM$3)*听晓无双率)/无双系数)&gt;0.9,特效裤子会心/会心系数,0)))</f>
        <v>0.112613819719478</v>
      </c>
      <c r="X183">
        <f ca="1">IF(G183="恒定伤害",0,IF(COUNTIF(F183,"*内会*")&gt;0,内会效,IF(D183="轻剑",$AB$2,$AB$3))+IFERROR(INDEX(技能数据库!$T$2:$W$27,MATCH(E183,技能数据库!$T$2:$T$27,0),3)/1024,0))+COUNTIF(G183,"*叠1*")*0.25+COUNTIF(G183,"*叠2*")*0.5+COUNTIF(G183,"*叠3*")*0.75</f>
        <v>2.18437818487951</v>
      </c>
      <c r="Y183">
        <f ca="1" t="shared" ref="Y183:Y184" si="398">1+W183*(X183-1)</f>
        <v>1.1333773513917</v>
      </c>
      <c r="Z183">
        <f t="shared" si="377"/>
        <v>0.150390625</v>
      </c>
      <c r="AA183">
        <f ca="1" t="shared" ref="AA183:AA184" si="399">IF(D183="轻剑",$BA$2,$BA$3)/1024</f>
        <v>0.0205078125</v>
      </c>
      <c r="AB183">
        <f ca="1" t="shared" ref="AB183:AB184" si="400">V183*Y183*(1+Z183)*(1+AA183)</f>
        <v>5624165.81407276</v>
      </c>
      <c r="AC183">
        <f ca="1">技能数计算!AJ175</f>
        <v>0</v>
      </c>
      <c r="AD183" s="164">
        <f ca="1" t="shared" si="380"/>
        <v>0</v>
      </c>
      <c r="AE183" s="168">
        <f ca="1" t="shared" si="317"/>
        <v>0</v>
      </c>
      <c r="AF183" s="168">
        <f ca="1" t="shared" si="381"/>
        <v>0</v>
      </c>
      <c r="AG183">
        <f ca="1" t="shared" ref="AG183:AG184" si="401">IF(G183="恒定伤害",0,MAX(0,AH183*AI183*IF(AJ183=0,1,AJ183)-1))</f>
        <v>0.00022389710037829</v>
      </c>
      <c r="AH183">
        <f ca="1" t="shared" si="383"/>
        <v>1</v>
      </c>
      <c r="AI183">
        <f ca="1" t="shared" si="384"/>
        <v>1.00022389710038</v>
      </c>
      <c r="AJ183">
        <f ca="1" t="shared" si="385"/>
        <v>0</v>
      </c>
      <c r="AK183">
        <f ca="1" t="shared" si="393"/>
        <v>0</v>
      </c>
      <c r="AL183">
        <f ca="1" t="shared" si="386"/>
        <v>0</v>
      </c>
      <c r="AM183">
        <f ca="1" t="shared" ref="AM183:AM187" si="402">AC183</f>
        <v>0</v>
      </c>
      <c r="AN183" s="168">
        <f ca="1" t="shared" ref="AN183:AN187" si="403">IF(OR(COUNTIF(F183,"*内会*")&gt;0,G183="恒定伤害"),0,(1+W183*(MIN(3+COUNTIF(G183,"*叠*")*0.75,X183+delta会效/会效系数)-1))/Y183-1)</f>
        <v>0</v>
      </c>
      <c r="AO183" s="168">
        <f ca="1" t="shared" si="387"/>
        <v>0</v>
      </c>
      <c r="AP183" s="172">
        <f ca="1" t="shared" si="388"/>
        <v>0</v>
      </c>
      <c r="AQ183" s="168">
        <f ca="1" t="shared" si="389"/>
        <v>0.00401583628616287</v>
      </c>
      <c r="AR183">
        <f t="shared" si="390"/>
        <v>1</v>
      </c>
    </row>
    <row r="184" spans="4:44">
      <c r="D184" t="s">
        <v>1825</v>
      </c>
      <c r="E184" s="161" t="s">
        <v>2859</v>
      </c>
      <c r="F184" t="s">
        <v>2503</v>
      </c>
      <c r="G184" t="s">
        <v>3108</v>
      </c>
      <c r="H184">
        <f ca="1">INDEX(技能数据库!$B$2:$I$100,MATCH(伤害与收益计算!$E184,技能数据库!$B$2:$B$100,0),MATCH(H$9,技能数据库!$B$2:$I$2,0))</f>
        <v>1955936</v>
      </c>
      <c r="I184">
        <f ca="1">INDEX(技能数据库!$B$2:$I$100,MATCH(伤害与收益计算!$E184,技能数据库!$B$2:$B$100,0),MATCH(I$9,技能数据库!$B$2:$I$2,0))</f>
        <v>0</v>
      </c>
      <c r="J184">
        <f ca="1">INDEX(技能数据库!$B$2:$I$100,MATCH(伤害与收益计算!$E184,技能数据库!$B$2:$B$100,0),MATCH(J$9,技能数据库!$B$2:$I$2,0))</f>
        <v>0</v>
      </c>
      <c r="K184">
        <f ca="1">INDEX(技能数据库!$B$2:$I$100,MATCH(伤害与收益计算!$E184,技能数据库!$B$2:$B$100,0),MATCH(K$9,技能数据库!$B$2:$I$2,0))</f>
        <v>0</v>
      </c>
      <c r="L184">
        <f ca="1" t="shared" si="316"/>
        <v>105847</v>
      </c>
      <c r="M184">
        <f ca="1" t="shared" si="394"/>
        <v>19530.5</v>
      </c>
      <c r="N184">
        <f ca="1" t="shared" si="395"/>
        <v>92028</v>
      </c>
      <c r="O184">
        <f ca="1" t="shared" si="372"/>
        <v>1955936</v>
      </c>
      <c r="P184">
        <f ca="1">IF(G184="恒定伤害",0,(IF(D184="轻剑",$AZ$2,$AZ$3)+IFERROR(INDEX(技能数据库!$T$2:$W$27,MATCH(E184,技能数据库!$T$2:$T$27,0),4),0)+COUNTIF(G184,"*造化2*")*154+COUNTIF(G184,"*造化1*")*102+COUNTIF(G184,"*碧归*")*307)/1024)</f>
        <v>0.176868146929785</v>
      </c>
      <c r="Q184">
        <f ca="1" t="shared" si="391"/>
        <v>0.0415122129107408</v>
      </c>
      <c r="R184">
        <f ca="1" t="shared" si="373"/>
        <v>0.21277697966198</v>
      </c>
      <c r="S184">
        <f ca="1" t="shared" si="396"/>
        <v>1887315.90971891</v>
      </c>
      <c r="T184">
        <f t="shared" si="338"/>
        <v>0.8</v>
      </c>
      <c r="U184">
        <f ca="1" t="shared" si="392"/>
        <v>1.7995442148</v>
      </c>
      <c r="V184">
        <f ca="1" t="shared" si="397"/>
        <v>4226899.46924287</v>
      </c>
      <c r="W184">
        <f ca="1">IF(G184="恒定伤害",0,MIN(1,IF(COUNTIF(F184,"*内会*")&gt;0,内会,IF(D184="轻剑",$Y$2,$Y$3)+COUNTIF(G184,"*莺鸣*")*0.2+COUNTIF(G184,"*叠1*")*0.1+COUNTIF(G184,"*叠2*")*0.2+COUNTIF(G184,"*叠3*")*0.3)+IFERROR(INDEX(技能数据库!$T$2:$W$27,MATCH(E184,技能数据库!$T$2:$T$27,0),2),0)+IF((IF(D184="轻剑",$AO$2,$AO$3)+INT(COUNTIF(G184,"*大莺鸣*")*IF(D184="轻剑",$AM$2,$AM$3)*听晓无双率)/无双系数)&gt;0.9,特效裤子会心/会心系数,0)))</f>
        <v>0.8343</v>
      </c>
      <c r="X184">
        <f ca="1">IF(G184="恒定伤害",0,IF(COUNTIF(F184,"*内会*")&gt;0,内会效,IF(D184="轻剑",$AB$2,$AB$3))+IFERROR(INDEX(技能数据库!$T$2:$W$27,MATCH(E184,技能数据库!$T$2:$T$27,0),3)/1024,0))+COUNTIF(G184,"*叠1*")*0.25+COUNTIF(G184,"*叠2*")*0.5+COUNTIF(G184,"*叠3*")*0.75</f>
        <v>2.5656473116</v>
      </c>
      <c r="Y184">
        <f ca="1" t="shared" si="398"/>
        <v>2.30621955206788</v>
      </c>
      <c r="Z184">
        <f t="shared" si="377"/>
        <v>0.150390625</v>
      </c>
      <c r="AA184">
        <f ca="1" t="shared" si="399"/>
        <v>0.0205078125</v>
      </c>
      <c r="AB184">
        <f ca="1" t="shared" si="400"/>
        <v>11444168.3068393</v>
      </c>
      <c r="AC184" s="171">
        <f ca="1">技能数计算!AJ176</f>
        <v>0</v>
      </c>
      <c r="AD184" s="164">
        <f ca="1" t="shared" si="380"/>
        <v>0</v>
      </c>
      <c r="AE184" s="168">
        <f ca="1" t="shared" si="317"/>
        <v>0</v>
      </c>
      <c r="AF184" s="168">
        <f ca="1" t="shared" si="381"/>
        <v>0</v>
      </c>
      <c r="AG184">
        <f ca="1" t="shared" si="401"/>
        <v>0.00022389710037829</v>
      </c>
      <c r="AH184">
        <f ca="1" t="shared" si="383"/>
        <v>1</v>
      </c>
      <c r="AI184">
        <f ca="1" t="shared" si="384"/>
        <v>1.00022389710038</v>
      </c>
      <c r="AJ184">
        <f ca="1" t="shared" si="385"/>
        <v>0</v>
      </c>
      <c r="AK184">
        <f ca="1" t="shared" si="393"/>
        <v>0</v>
      </c>
      <c r="AL184">
        <f ca="1" t="shared" si="386"/>
        <v>0</v>
      </c>
      <c r="AM184">
        <f ca="1" t="shared" si="402"/>
        <v>0</v>
      </c>
      <c r="AN184" s="168">
        <f ca="1" t="shared" si="403"/>
        <v>0.00726559092089141</v>
      </c>
      <c r="AO184" s="168">
        <f ca="1" t="shared" si="387"/>
        <v>0</v>
      </c>
      <c r="AP184" s="172">
        <f ca="1" t="shared" si="388"/>
        <v>0</v>
      </c>
      <c r="AQ184" s="168">
        <f ca="1" t="shared" si="389"/>
        <v>0.00401583628616287</v>
      </c>
      <c r="AR184">
        <f t="shared" si="390"/>
        <v>1</v>
      </c>
    </row>
    <row r="185" spans="4:44">
      <c r="D185" t="s">
        <v>1825</v>
      </c>
      <c r="E185" s="161" t="s">
        <v>2861</v>
      </c>
      <c r="F185" t="s">
        <v>3160</v>
      </c>
      <c r="G185" t="s">
        <v>3108</v>
      </c>
      <c r="H185">
        <f ca="1">INDEX(技能数据库!$B$2:$I$100,MATCH(伤害与收益计算!$E185,技能数据库!$B$2:$B$100,0),MATCH(H$9,技能数据库!$B$2:$I$2,0))</f>
        <v>1344706</v>
      </c>
      <c r="I185">
        <f ca="1">INDEX(技能数据库!$B$2:$I$100,MATCH(伤害与收益计算!$E185,技能数据库!$B$2:$B$100,0),MATCH(I$9,技能数据库!$B$2:$I$2,0))</f>
        <v>0</v>
      </c>
      <c r="J185">
        <f ca="1">INDEX(技能数据库!$B$2:$I$100,MATCH(伤害与收益计算!$E185,技能数据库!$B$2:$B$100,0),MATCH(J$9,技能数据库!$B$2:$I$2,0))</f>
        <v>0</v>
      </c>
      <c r="K185">
        <f ca="1">INDEX(技能数据库!$B$2:$I$100,MATCH(伤害与收益计算!$E185,技能数据库!$B$2:$B$100,0),MATCH(K$9,技能数据库!$B$2:$I$2,0))</f>
        <v>0</v>
      </c>
      <c r="L185">
        <f ca="1" t="shared" si="316"/>
        <v>105847</v>
      </c>
      <c r="M185">
        <f ca="1" t="shared" ref="M185:M187" si="404">IF(D185="轻剑",$AU$2+$AV$2,$AU$3+$AV$3)/2</f>
        <v>19530.5</v>
      </c>
      <c r="N185">
        <f ca="1" t="shared" ref="N185:N187" si="405">IF(D185="轻剑",$AJ$2,$AJ$3)</f>
        <v>92028</v>
      </c>
      <c r="O185">
        <f ca="1" t="shared" ref="O185:O187" si="406">H185+I185*L185+J185*M185+IF(K185&gt;0,MAX(1,K185*N185*破招全局系数),0)</f>
        <v>1344706</v>
      </c>
      <c r="P185">
        <f ca="1">IF(G185="恒定伤害",0,(IF(D185="轻剑",$AZ$2,$AZ$3)+IFERROR(INDEX(技能数据库!$T$2:$W$27,MATCH(E185,技能数据库!$T$2:$T$27,0),4),0)+COUNTIF(G185,"*造化2*")*154+COUNTIF(G185,"*造化1*")*102+COUNTIF(G185,"*碧归*")*307)/1024)</f>
        <v>0.176868146929785</v>
      </c>
      <c r="Q185">
        <f ca="1" t="shared" si="391"/>
        <v>0.0415122129107408</v>
      </c>
      <c r="R185">
        <f ca="1" t="shared" ref="R185:R187" si="407">IF(G185="恒定伤害",0,(($F$5-IF(D185="轻剑",$BB$2,$BB$3))*(1024-IF(D185="轻剑",$BD$2,$BD$3))/1024*(1024-IF(D185="轻剑",$BC$2,$BC$3)-COUNTIF(G185,"*雾锁*")*461*雾锁)/1024/(($F$5-IF(D185="轻剑",$BB$2,$BB$3))*(1024-IF(D185="轻剑",$BD$2,$BD$3))/1024*(1024-IF(D185="轻剑",$BC$2,$BC$3)-COUNTIF(G185,"*雾锁*")*461*雾锁)/1024+$F$7)))</f>
        <v>0.21277697966198</v>
      </c>
      <c r="S185">
        <f ca="1" t="shared" ref="S185:S187" si="408">O185*(1+P185)*(1+Q185)*(1-R185)</f>
        <v>1297529.68793175</v>
      </c>
      <c r="T185">
        <f t="shared" si="338"/>
        <v>0.8</v>
      </c>
      <c r="U185">
        <f ca="1" t="shared" si="392"/>
        <v>1.7995442148</v>
      </c>
      <c r="V185">
        <f ca="1" t="shared" ref="V185:V187" si="409">S185*T185*(1+U185)</f>
        <v>2905993.38510447</v>
      </c>
      <c r="W185">
        <f ca="1">IF(G185="恒定伤害",0,MIN(1,IF(COUNTIF(F185,"*内会*")&gt;0,内会,IF(D185="轻剑",$Y$2,$Y$3)+COUNTIF(G185,"*莺鸣*")*0.2+COUNTIF(G185,"*叠1*")*0.1+COUNTIF(G185,"*叠2*")*0.2+COUNTIF(G185,"*叠3*")*0.3)+IFERROR(INDEX(技能数据库!$T$2:$W$27,MATCH(E185,技能数据库!$T$2:$T$27,0),2),0)+IF((IF(D185="轻剑",$AO$2,$AO$3)+INT(COUNTIF(G185,"*大莺鸣*")*IF(D185="轻剑",$AM$2,$AM$3)*听晓无双率)/无双系数)&gt;0.9,特效裤子会心/会心系数,0)))</f>
        <v>0.112613819719478</v>
      </c>
      <c r="X185">
        <f ca="1">IF(G185="恒定伤害",0,IF(COUNTIF(F185,"*内会*")&gt;0,内会效,IF(D185="轻剑",$AB$2,$AB$3))+IFERROR(INDEX(技能数据库!$T$2:$W$27,MATCH(E185,技能数据库!$T$2:$T$27,0),3)/1024,0))+COUNTIF(G185,"*叠1*")*0.25+COUNTIF(G185,"*叠2*")*0.5+COUNTIF(G185,"*叠3*")*0.75</f>
        <v>2.18437818487951</v>
      </c>
      <c r="Y185">
        <f ca="1" t="shared" ref="Y185:Y187" si="410">1+W185*(X185-1)</f>
        <v>1.1333773513917</v>
      </c>
      <c r="Z185">
        <f t="shared" ref="Z185:Z187" si="411">IF(G185="恒定伤害",0,非侠士伤害/1024)</f>
        <v>0.150390625</v>
      </c>
      <c r="AA185">
        <f ca="1" t="shared" ref="AA185:AA187" si="412">IF(D185="轻剑",$BA$2,$BA$3)/1024</f>
        <v>0.0205078125</v>
      </c>
      <c r="AB185">
        <f ca="1" t="shared" ref="AB185:AB187" si="413">V185*Y185*(1+Z185)*(1+AA185)</f>
        <v>3866613.99717502</v>
      </c>
      <c r="AC185">
        <f ca="1">技能数计算!AJ177</f>
        <v>0</v>
      </c>
      <c r="AD185" s="164">
        <f ca="1" t="shared" ref="AD185:AD187" si="414">IFERROR(AB185*AC185/$AD$7,0)</f>
        <v>0</v>
      </c>
      <c r="AE185" s="168">
        <f ca="1" t="shared" si="317"/>
        <v>0</v>
      </c>
      <c r="AF185" s="168">
        <f ca="1" t="shared" ref="AF185:AF187" si="415">IFERROR((delta武伤+INT((IF(D185="轻剑",$AW$2,$AW$3))/1024*delta武伤))*J185/O185,0)</f>
        <v>0</v>
      </c>
      <c r="AG185">
        <f ca="1" t="shared" ref="AG185:AG187" si="416">IF(G185="恒定伤害",0,MAX(0,AH185*AI185*IF(AJ185=0,1,AJ185)-1))</f>
        <v>0.00022389710037829</v>
      </c>
      <c r="AH185">
        <f ca="1" t="shared" ref="AH185:AH187" si="417">IFERROR((delta身法+INT((IF(D185="轻剑",$N$2,$N$3))/1024*delta身法))*身法转额外攻击*I185/O185+1,0)</f>
        <v>1</v>
      </c>
      <c r="AI185">
        <f ca="1" t="shared" ref="AI185:AI187" si="418">IFERROR(((delta身法+INT((IF(D185="轻剑",$N$2,$N$3))/1024*delta身法))*身法转额外破防/破防系数+Q185+1)/(1+Q185),0)</f>
        <v>1.00022389710038</v>
      </c>
      <c r="AJ185">
        <f ca="1" t="shared" ref="AJ185:AJ187" si="419">IFERROR(((1+MIN(1,((delta身法+INT((IF(D185="轻剑",$N$2,$N$3))/1024*delta身法))*身法转基础会心/会心系数)+W185)*(X185-1))*AK185)/(Y185*AC185),0)</f>
        <v>0</v>
      </c>
      <c r="AK185">
        <f ca="1" t="shared" si="393"/>
        <v>0</v>
      </c>
      <c r="AL185">
        <f ca="1" t="shared" ref="AL185:AL187" si="420">IF(G185="恒定伤害",0,IFERROR(((1+MIN(1,W185+delta会心/会心系数)*(X185-1))*AM185)/(Y185*AC185)-1,0))</f>
        <v>0</v>
      </c>
      <c r="AM185">
        <f ca="1" t="shared" si="402"/>
        <v>0</v>
      </c>
      <c r="AN185" s="168">
        <f ca="1" t="shared" si="403"/>
        <v>0</v>
      </c>
      <c r="AO185" s="168">
        <f ca="1" t="shared" ref="AO185:AO187" si="421">IF(OR(COUNTIF(F185,"*内破*")&gt;0,G185="恒定伤害"),0,IFERROR(((delta破防+INT((IF(D185="轻剑",$AD$2,$AD$3))/1024*delta破防))/破防系数+Q185+1)/(Q185+1)-1,0))</f>
        <v>0</v>
      </c>
      <c r="AP185" s="172">
        <f ca="1" t="shared" ref="AP185:AP187" si="422">IFERROR((delta破招+INT((IF(D185="轻剑",$AI$2,$AI$3))/1024*delta破招))*K185*破招全局系数/MAX(1,O185),0)</f>
        <v>0</v>
      </c>
      <c r="AQ185" s="168">
        <f ca="1" t="shared" ref="AQ185:AQ187" si="423">IF(G185="恒定伤害",0,IFERROR(((delta无双+INT((IF(D185="轻剑",$AL$2,$AL$3)+COUNTIF(G185,"*大莺鸣*")*307)/1024*delta无双))/无双系数+U185+1)/(U185+1)-1,0))</f>
        <v>0.00401583628616287</v>
      </c>
      <c r="AR185">
        <f t="shared" ref="AR185:AR187" si="424">IF($AR$8="综合属性收益",1,COUNTIF(D185,LEFT($AR$8,2)))</f>
        <v>1</v>
      </c>
    </row>
    <row r="186" spans="4:44">
      <c r="D186" t="s">
        <v>1825</v>
      </c>
      <c r="E186" s="161" t="s">
        <v>2869</v>
      </c>
      <c r="G186" t="s">
        <v>3110</v>
      </c>
      <c r="H186">
        <f ca="1">INDEX(技能数据库!$B$2:$I$100,MATCH(伤害与收益计算!$E186,技能数据库!$B$2:$B$100,0),MATCH(H$9,技能数据库!$B$2:$I$2,0))</f>
        <v>1544889</v>
      </c>
      <c r="I186">
        <f ca="1">INDEX(技能数据库!$B$2:$I$100,MATCH(伤害与收益计算!$E186,技能数据库!$B$2:$B$100,0),MATCH(I$9,技能数据库!$B$2:$I$2,0))</f>
        <v>0</v>
      </c>
      <c r="J186">
        <f ca="1">INDEX(技能数据库!$B$2:$I$100,MATCH(伤害与收益计算!$E186,技能数据库!$B$2:$B$100,0),MATCH(J$9,技能数据库!$B$2:$I$2,0))</f>
        <v>0</v>
      </c>
      <c r="K186">
        <f ca="1">INDEX(技能数据库!$B$2:$I$100,MATCH(伤害与收益计算!$E186,技能数据库!$B$2:$B$100,0),MATCH(K$9,技能数据库!$B$2:$I$2,0))</f>
        <v>0</v>
      </c>
      <c r="L186">
        <f ca="1" t="shared" si="316"/>
        <v>105847</v>
      </c>
      <c r="M186">
        <f ca="1" t="shared" si="404"/>
        <v>19530.5</v>
      </c>
      <c r="N186">
        <f ca="1" t="shared" si="405"/>
        <v>92028</v>
      </c>
      <c r="O186">
        <f ca="1" t="shared" si="406"/>
        <v>1544889</v>
      </c>
      <c r="P186">
        <f ca="1">IF(G186="恒定伤害",0,(IF(D186="轻剑",$AZ$2,$AZ$3)+IFERROR(INDEX(技能数据库!$T$2:$W$27,MATCH(E186,技能数据库!$T$2:$T$27,0),4),0)+COUNTIF(G186,"*造化2*")*154+COUNTIF(G186,"*造化1*")*102+COUNTIF(G186,"*碧归*")*307)/1024)</f>
        <v>0.176868146929785</v>
      </c>
      <c r="Q186">
        <f ca="1" t="shared" si="391"/>
        <v>0.448284482196154</v>
      </c>
      <c r="R186">
        <f ca="1" t="shared" si="407"/>
        <v>0.21277697966198</v>
      </c>
      <c r="S186">
        <f ca="1" t="shared" si="408"/>
        <v>2072892.36615608</v>
      </c>
      <c r="T186">
        <f t="shared" si="338"/>
        <v>0.8</v>
      </c>
      <c r="U186">
        <f ca="1" t="shared" si="392"/>
        <v>1.7995442148</v>
      </c>
      <c r="V186">
        <f ca="1" t="shared" si="409"/>
        <v>4642523.06526028</v>
      </c>
      <c r="W186">
        <f ca="1">IF(G186="恒定伤害",0,MIN(1,IF(COUNTIF(F186,"*内会*")&gt;0,内会,IF(D186="轻剑",$Y$2,$Y$3)+COUNTIF(G186,"*莺鸣*")*0.2+COUNTIF(G186,"*叠1*")*0.1+COUNTIF(G186,"*叠2*")*0.2+COUNTIF(G186,"*叠3*")*0.3)+IFERROR(INDEX(技能数据库!$T$2:$W$27,MATCH(E186,技能数据库!$T$2:$T$27,0),2),0)+IF((IF(D186="轻剑",$AO$2,$AO$3)+INT(COUNTIF(G186,"*大莺鸣*")*IF(D186="轻剑",$AM$2,$AM$3)*听晓无双率)/无双系数)&gt;0.9,特效裤子会心/会心系数,0)))</f>
        <v>1</v>
      </c>
      <c r="X186">
        <f ca="1">IF(G186="恒定伤害",0,IF(COUNTIF(F186,"*内会*")&gt;0,内会效,IF(D186="轻剑",$AB$2,$AB$3))+IFERROR(INDEX(技能数据库!$T$2:$W$27,MATCH(E186,技能数据库!$T$2:$T$27,0),3)/1024,0))+COUNTIF(G186,"*叠1*")*0.25+COUNTIF(G186,"*叠2*")*0.5+COUNTIF(G186,"*叠3*")*0.75</f>
        <v>3.0656473116</v>
      </c>
      <c r="Y186">
        <f ca="1" t="shared" si="410"/>
        <v>3.0656473116</v>
      </c>
      <c r="Z186">
        <f t="shared" si="411"/>
        <v>0.150390625</v>
      </c>
      <c r="AA186">
        <f ca="1" t="shared" si="412"/>
        <v>0.0205078125</v>
      </c>
      <c r="AB186">
        <f ca="1" t="shared" si="413"/>
        <v>16708517.8730265</v>
      </c>
      <c r="AC186">
        <f ca="1">技能数计算!AJ178</f>
        <v>0</v>
      </c>
      <c r="AD186" s="164">
        <f ca="1" t="shared" si="414"/>
        <v>0</v>
      </c>
      <c r="AE186" s="168">
        <f ca="1" t="shared" si="317"/>
        <v>0</v>
      </c>
      <c r="AF186" s="168">
        <f ca="1" t="shared" si="415"/>
        <v>0</v>
      </c>
      <c r="AG186">
        <f ca="1" t="shared" si="416"/>
        <v>0.000161012264749072</v>
      </c>
      <c r="AH186">
        <f ca="1" t="shared" si="417"/>
        <v>1</v>
      </c>
      <c r="AI186">
        <f ca="1" t="shared" si="418"/>
        <v>1.00016101226475</v>
      </c>
      <c r="AJ186">
        <f ca="1" t="shared" si="419"/>
        <v>0</v>
      </c>
      <c r="AK186">
        <f ca="1" t="shared" si="393"/>
        <v>0</v>
      </c>
      <c r="AL186">
        <f ca="1" t="shared" si="420"/>
        <v>0</v>
      </c>
      <c r="AM186">
        <f ca="1" t="shared" si="402"/>
        <v>0</v>
      </c>
      <c r="AN186" s="168">
        <f ca="1" t="shared" si="403"/>
        <v>0.00655129503556839</v>
      </c>
      <c r="AO186" s="168">
        <f ca="1" t="shared" si="421"/>
        <v>0.00447057613551372</v>
      </c>
      <c r="AP186" s="172">
        <f ca="1" t="shared" si="422"/>
        <v>0</v>
      </c>
      <c r="AQ186" s="168">
        <f ca="1" t="shared" si="423"/>
        <v>0.00401583628616287</v>
      </c>
      <c r="AR186">
        <f t="shared" si="424"/>
        <v>1</v>
      </c>
    </row>
    <row r="187" spans="4:44">
      <c r="D187" t="s">
        <v>1825</v>
      </c>
      <c r="E187" s="161" t="s">
        <v>2871</v>
      </c>
      <c r="F187" t="s">
        <v>2503</v>
      </c>
      <c r="G187" t="s">
        <v>3110</v>
      </c>
      <c r="H187">
        <f ca="1">INDEX(技能数据库!$B$2:$I$100,MATCH(伤害与收益计算!$E187,技能数据库!$B$2:$B$100,0),MATCH(H$9,技能数据库!$B$2:$I$2,0))</f>
        <v>2607915</v>
      </c>
      <c r="I187">
        <f ca="1">INDEX(技能数据库!$B$2:$I$100,MATCH(伤害与收益计算!$E187,技能数据库!$B$2:$B$100,0),MATCH(I$9,技能数据库!$B$2:$I$2,0))</f>
        <v>0</v>
      </c>
      <c r="J187">
        <f ca="1">INDEX(技能数据库!$B$2:$I$100,MATCH(伤害与收益计算!$E187,技能数据库!$B$2:$B$100,0),MATCH(J$9,技能数据库!$B$2:$I$2,0))</f>
        <v>0</v>
      </c>
      <c r="K187">
        <f ca="1">INDEX(技能数据库!$B$2:$I$100,MATCH(伤害与收益计算!$E187,技能数据库!$B$2:$B$100,0),MATCH(K$9,技能数据库!$B$2:$I$2,0))</f>
        <v>0</v>
      </c>
      <c r="L187">
        <f ca="1" t="shared" si="316"/>
        <v>105847</v>
      </c>
      <c r="M187">
        <f ca="1" t="shared" si="404"/>
        <v>19530.5</v>
      </c>
      <c r="N187">
        <f ca="1" t="shared" si="405"/>
        <v>92028</v>
      </c>
      <c r="O187">
        <f ca="1" t="shared" si="406"/>
        <v>2607915</v>
      </c>
      <c r="P187">
        <f ca="1">IF(G187="恒定伤害",0,(IF(D187="轻剑",$AZ$2,$AZ$3)+IFERROR(INDEX(技能数据库!$T$2:$W$27,MATCH(E187,技能数据库!$T$2:$T$27,0),4),0)+COUNTIF(G187,"*造化2*")*154+COUNTIF(G187,"*造化1*")*102+COUNTIF(G187,"*碧归*")*307)/1024)</f>
        <v>0.176868146929785</v>
      </c>
      <c r="Q187">
        <f ca="1" t="shared" ref="Q187:Q188" si="425">IF(G187="恒定伤害",0,(IF(COUNTIF(F187,"*内破*")&gt;0,内破,IF(D187="轻剑",$AF$2,$AF$3)/破防系数))+IF((IF(D187="轻剑",$AO$2,$AO$3)+INT(COUNTIF(G187,"*大莺鸣*")*IF(D187="轻剑",$AM$2,$AM$3)*听晓无双率)/无双系数)&gt;0.9,(特效裤子破防+特效裤子破防*IF(D187="轻剑",$AD$2,$AD$3)/1024)/破防系数,0))</f>
        <v>0.0415122129107408</v>
      </c>
      <c r="R187">
        <f ca="1" t="shared" si="407"/>
        <v>0.21277697966198</v>
      </c>
      <c r="S187">
        <f ca="1" t="shared" si="408"/>
        <v>2516421.53459755</v>
      </c>
      <c r="T187">
        <f t="shared" si="338"/>
        <v>0.8</v>
      </c>
      <c r="U187">
        <f ca="1" t="shared" ref="U187:U188" si="426">IF(G187="恒定伤害",0,(IF(D187="轻剑",$AO$2,$AO$3)+INT(COUNTIF(G187,"*大莺鸣*")*IF(D187="轻剑",$AM$2,$AM$3)*听晓无双率)/无双系数)+IF((IF(D187="轻剑",$AO$2,$AO$3)+INT(COUNTIF(G187,"*大莺鸣*")*IF(D187="轻剑",$AM$2,$AM$3)*听晓无双率)/无双系数)&lt;=0.9,特效裤子无双,0))</f>
        <v>1.7995442148</v>
      </c>
      <c r="V187">
        <f ca="1" t="shared" si="409"/>
        <v>5635866.67934457</v>
      </c>
      <c r="W187">
        <f ca="1">IF(G187="恒定伤害",0,MIN(1,IF(COUNTIF(F187,"*内会*")&gt;0,内会,IF(D187="轻剑",$Y$2,$Y$3)+COUNTIF(G187,"*莺鸣*")*0.2+COUNTIF(G187,"*叠1*")*0.1+COUNTIF(G187,"*叠2*")*0.2+COUNTIF(G187,"*叠3*")*0.3)+IFERROR(INDEX(技能数据库!$T$2:$W$27,MATCH(E187,技能数据库!$T$2:$T$27,0),2),0)+IF((IF(D187="轻剑",$AO$2,$AO$3)+INT(COUNTIF(G187,"*大莺鸣*")*IF(D187="轻剑",$AM$2,$AM$3)*听晓无双率)/无双系数)&gt;0.9,特效裤子会心/会心系数,0)))</f>
        <v>1</v>
      </c>
      <c r="X187">
        <f ca="1">IF(G187="恒定伤害",0,IF(COUNTIF(F187,"*内会*")&gt;0,内会效,IF(D187="轻剑",$AB$2,$AB$3))+IFERROR(INDEX(技能数据库!$T$2:$W$27,MATCH(E187,技能数据库!$T$2:$T$27,0),3)/1024,0))+COUNTIF(G187,"*叠1*")*0.25+COUNTIF(G187,"*叠2*")*0.5+COUNTIF(G187,"*叠3*")*0.75</f>
        <v>3.0656473116</v>
      </c>
      <c r="Y187">
        <f ca="1" t="shared" si="410"/>
        <v>3.0656473116</v>
      </c>
      <c r="Z187">
        <f t="shared" si="411"/>
        <v>0.150390625</v>
      </c>
      <c r="AA187">
        <f ca="1" t="shared" si="412"/>
        <v>0.0205078125</v>
      </c>
      <c r="AB187">
        <f ca="1" t="shared" si="413"/>
        <v>20283578.0927982</v>
      </c>
      <c r="AC187" s="171">
        <f ca="1">技能数计算!AJ179</f>
        <v>0</v>
      </c>
      <c r="AD187" s="164">
        <f ca="1" t="shared" si="414"/>
        <v>0</v>
      </c>
      <c r="AE187" s="168">
        <f ca="1" t="shared" si="317"/>
        <v>0</v>
      </c>
      <c r="AF187" s="168">
        <f ca="1" t="shared" si="415"/>
        <v>0</v>
      </c>
      <c r="AG187">
        <f ca="1" t="shared" si="416"/>
        <v>0.00022389710037829</v>
      </c>
      <c r="AH187">
        <f ca="1" t="shared" si="417"/>
        <v>1</v>
      </c>
      <c r="AI187">
        <f ca="1" t="shared" si="418"/>
        <v>1.00022389710038</v>
      </c>
      <c r="AJ187">
        <f ca="1" t="shared" si="419"/>
        <v>0</v>
      </c>
      <c r="AK187">
        <f ca="1" t="shared" ref="AK187:AK188" si="427">AC187</f>
        <v>0</v>
      </c>
      <c r="AL187">
        <f ca="1" t="shared" si="420"/>
        <v>0</v>
      </c>
      <c r="AM187">
        <f ca="1" t="shared" si="402"/>
        <v>0</v>
      </c>
      <c r="AN187" s="168">
        <f ca="1" t="shared" si="403"/>
        <v>0.00655129503556839</v>
      </c>
      <c r="AO187" s="168">
        <f ca="1" t="shared" si="421"/>
        <v>0</v>
      </c>
      <c r="AP187" s="172">
        <f ca="1" t="shared" si="422"/>
        <v>0</v>
      </c>
      <c r="AQ187" s="168">
        <f ca="1" t="shared" si="423"/>
        <v>0.00401583628616287</v>
      </c>
      <c r="AR187">
        <f t="shared" si="424"/>
        <v>1</v>
      </c>
    </row>
    <row r="188" spans="4:44">
      <c r="D188" t="s">
        <v>1825</v>
      </c>
      <c r="E188" s="161" t="s">
        <v>2885</v>
      </c>
      <c r="F188" t="s">
        <v>2503</v>
      </c>
      <c r="G188" t="s">
        <v>3110</v>
      </c>
      <c r="H188">
        <f ca="1">INDEX(技能数据库!$B$2:$I$100,MATCH(伤害与收益计算!$E188,技能数据库!$B$2:$B$100,0),MATCH(H$9,技能数据库!$B$2:$I$2,0))</f>
        <v>2133748</v>
      </c>
      <c r="I188">
        <f ca="1">INDEX(技能数据库!$B$2:$I$100,MATCH(伤害与收益计算!$E188,技能数据库!$B$2:$B$100,0),MATCH(I$9,技能数据库!$B$2:$I$2,0))</f>
        <v>0</v>
      </c>
      <c r="J188">
        <f ca="1">INDEX(技能数据库!$B$2:$I$100,MATCH(伤害与收益计算!$E188,技能数据库!$B$2:$B$100,0),MATCH(J$9,技能数据库!$B$2:$I$2,0))</f>
        <v>0</v>
      </c>
      <c r="K188">
        <f ca="1">INDEX(技能数据库!$B$2:$I$100,MATCH(伤害与收益计算!$E188,技能数据库!$B$2:$B$100,0),MATCH(K$9,技能数据库!$B$2:$I$2,0))</f>
        <v>0</v>
      </c>
      <c r="L188">
        <f ca="1" t="shared" si="316"/>
        <v>105847</v>
      </c>
      <c r="M188">
        <f ca="1" t="shared" ref="M188:M189" si="428">IF(D188="轻剑",$AU$2+$AV$2,$AU$3+$AV$3)/2</f>
        <v>19530.5</v>
      </c>
      <c r="N188">
        <f ca="1" t="shared" ref="N188:N189" si="429">IF(D188="轻剑",$AJ$2,$AJ$3)</f>
        <v>92028</v>
      </c>
      <c r="O188">
        <f ca="1" t="shared" ref="O188:O192" si="430">H188+I188*L188+J188*M188+IF(K188&gt;0,MAX(1,K188*N188*破招全局系数),0)</f>
        <v>2133748</v>
      </c>
      <c r="P188">
        <f ca="1">IF(G188="恒定伤害",0,(IF(D188="轻剑",$AZ$2,$AZ$3)+IFERROR(INDEX(技能数据库!$T$2:$W$27,MATCH(E188,技能数据库!$T$2:$T$27,0),4),0)+COUNTIF(G188,"*造化2*")*154+COUNTIF(G188,"*造化1*")*102+COUNTIF(G188,"*碧归*")*307)/1024)</f>
        <v>0.176868146929785</v>
      </c>
      <c r="Q188">
        <f ca="1" t="shared" si="425"/>
        <v>0.0415122129107408</v>
      </c>
      <c r="R188">
        <f ca="1" t="shared" ref="R188:R192" si="431">IF(G188="恒定伤害",0,(($F$5-IF(D188="轻剑",$BB$2,$BB$3))*(1024-IF(D188="轻剑",$BD$2,$BD$3))/1024*(1024-IF(D188="轻剑",$BC$2,$BC$3)-COUNTIF(G188,"*雾锁*")*461*雾锁)/1024/(($F$5-IF(D188="轻剑",$BB$2,$BB$3))*(1024-IF(D188="轻剑",$BD$2,$BD$3))/1024*(1024-IF(D188="轻剑",$BC$2,$BC$3)-COUNTIF(G188,"*雾锁*")*461*雾锁)/1024+$F$7)))</f>
        <v>0.21277697966198</v>
      </c>
      <c r="S188">
        <f ca="1" t="shared" ref="S188:S189" si="432">O188*(1+P188)*(1+Q188)*(1-R188)</f>
        <v>2058889.73245081</v>
      </c>
      <c r="T188">
        <f t="shared" si="338"/>
        <v>0.8</v>
      </c>
      <c r="U188">
        <f ca="1" t="shared" si="426"/>
        <v>1.7995442148</v>
      </c>
      <c r="V188">
        <f ca="1" t="shared" ref="V188:V189" si="433">S188*T188*(1+U188)</f>
        <v>4611162.27151503</v>
      </c>
      <c r="W188">
        <f ca="1">IF(G188="恒定伤害",0,MIN(1,IF(COUNTIF(F188,"*内会*")&gt;0,内会,IF(D188="轻剑",$Y$2,$Y$3)+COUNTIF(G188,"*莺鸣*")*0.2+COUNTIF(G188,"*叠1*")*0.1+COUNTIF(G188,"*叠2*")*0.2+COUNTIF(G188,"*叠3*")*0.3)+IFERROR(INDEX(技能数据库!$T$2:$W$27,MATCH(E188,技能数据库!$T$2:$T$27,0),2),0)+IF((IF(D188="轻剑",$AO$2,$AO$3)+INT(COUNTIF(G188,"*大莺鸣*")*IF(D188="轻剑",$AM$2,$AM$3)*听晓无双率)/无双系数)&gt;0.9,特效裤子会心/会心系数,0)))</f>
        <v>1</v>
      </c>
      <c r="X188">
        <f ca="1">IF(G188="恒定伤害",0,IF(COUNTIF(F188,"*内会*")&gt;0,内会效,IF(D188="轻剑",$AB$2,$AB$3))+IFERROR(INDEX(技能数据库!$T$2:$W$27,MATCH(E188,技能数据库!$T$2:$T$27,0),3)/1024,0))+COUNTIF(G188,"*叠1*")*0.25+COUNTIF(G188,"*叠2*")*0.5+COUNTIF(G188,"*叠3*")*0.75</f>
        <v>3.0656473116</v>
      </c>
      <c r="Y188">
        <f ca="1" t="shared" ref="Y188:Y189" si="434">1+W188*(X188-1)</f>
        <v>3.0656473116</v>
      </c>
      <c r="Z188">
        <f t="shared" ref="Z188:Z192" si="435">IF(G188="恒定伤害",0,非侠士伤害/1024)</f>
        <v>0.150390625</v>
      </c>
      <c r="AA188">
        <f ca="1" t="shared" ref="AA188:AA189" si="436">IF(D188="轻剑",$BA$2,$BA$3)/1024</f>
        <v>0.0205078125</v>
      </c>
      <c r="AB188">
        <f ca="1" t="shared" ref="AB188:AB189" si="437">V188*Y188*(1+Z188)*(1+AA188)</f>
        <v>16595649.8537536</v>
      </c>
      <c r="AC188">
        <f ca="1">技能数计算!AJ180</f>
        <v>0</v>
      </c>
      <c r="AD188" s="164">
        <f ca="1" t="shared" ref="AD188:AD192" si="438">IFERROR(AB188*AC188/$AD$7,0)</f>
        <v>0</v>
      </c>
      <c r="AE188" s="168">
        <f ca="1" t="shared" si="317"/>
        <v>0</v>
      </c>
      <c r="AF188" s="168">
        <f ca="1" t="shared" ref="AF188:AF192" si="439">IFERROR((delta武伤+INT((IF(D188="轻剑",$AW$2,$AW$3))/1024*delta武伤))*J188/O188,0)</f>
        <v>0</v>
      </c>
      <c r="AG188">
        <f ca="1" t="shared" ref="AG188:AG189" si="440">IF(G188="恒定伤害",0,MAX(0,AH188*AI188*IF(AJ188=0,1,AJ188)-1))</f>
        <v>0.00022389710037829</v>
      </c>
      <c r="AH188">
        <f ca="1" t="shared" ref="AH188:AH192" si="441">IFERROR((delta身法+INT((IF(D188="轻剑",$N$2,$N$3))/1024*delta身法))*身法转额外攻击*I188/O188+1,0)</f>
        <v>1</v>
      </c>
      <c r="AI188">
        <f ca="1" t="shared" ref="AI188:AI192" si="442">IFERROR(((delta身法+INT((IF(D188="轻剑",$N$2,$N$3))/1024*delta身法))*身法转额外破防/破防系数+Q188+1)/(1+Q188),0)</f>
        <v>1.00022389710038</v>
      </c>
      <c r="AJ188">
        <f ca="1" t="shared" ref="AJ188:AJ192" si="443">IFERROR(((1+MIN(1,((delta身法+INT((IF(D188="轻剑",$N$2,$N$3))/1024*delta身法))*身法转基础会心/会心系数)+W188)*(X188-1))*AK188)/(Y188*AC188),0)</f>
        <v>0</v>
      </c>
      <c r="AK188">
        <f ca="1" t="shared" si="427"/>
        <v>0</v>
      </c>
      <c r="AL188">
        <f ca="1" t="shared" ref="AL188:AL192" si="444">IF(G188="恒定伤害",0,IFERROR(((1+MIN(1,W188+delta会心/会心系数)*(X188-1))*AM188)/(Y188*AC188)-1,0))</f>
        <v>0</v>
      </c>
      <c r="AM188">
        <f ca="1" t="shared" ref="AM188:AM192" si="445">AC188</f>
        <v>0</v>
      </c>
      <c r="AN188" s="168">
        <f ca="1" t="shared" ref="AN188:AN192" si="446">IF(OR(COUNTIF(F188,"*内会*")&gt;0,G188="恒定伤害"),0,(1+W188*(MIN(3+COUNTIF(G188,"*叠*")*0.75,X188+delta会效/会效系数)-1))/Y188-1)</f>
        <v>0.00655129503556839</v>
      </c>
      <c r="AO188" s="168">
        <f ca="1" t="shared" ref="AO188:AO192" si="447">IF(OR(COUNTIF(F188,"*内破*")&gt;0,G188="恒定伤害"),0,IFERROR(((delta破防+INT((IF(D188="轻剑",$AD$2,$AD$3))/1024*delta破防))/破防系数+Q188+1)/(Q188+1)-1,0))</f>
        <v>0</v>
      </c>
      <c r="AP188" s="172">
        <f ca="1" t="shared" ref="AP188:AP192" si="448">IFERROR((delta破招+INT((IF(D188="轻剑",$AI$2,$AI$3))/1024*delta破招))*K188*破招全局系数/MAX(1,O188),0)</f>
        <v>0</v>
      </c>
      <c r="AQ188" s="168">
        <f ca="1" t="shared" ref="AQ188:AQ192" si="449">IF(G188="恒定伤害",0,IFERROR(((delta无双+INT((IF(D188="轻剑",$AL$2,$AL$3)+COUNTIF(G188,"*大莺鸣*")*307)/1024*delta无双))/无双系数+U188+1)/(U188+1)-1,0))</f>
        <v>0.00401583628616287</v>
      </c>
      <c r="AR188">
        <f t="shared" ref="AR188:AR192" si="450">IF($AR$8="综合属性收益",1,COUNTIF(D188,LEFT($AR$8,2)))</f>
        <v>1</v>
      </c>
    </row>
    <row r="189" spans="4:44">
      <c r="D189" t="s">
        <v>1825</v>
      </c>
      <c r="E189" s="161" t="s">
        <v>2897</v>
      </c>
      <c r="F189" t="s">
        <v>3160</v>
      </c>
      <c r="G189" t="s">
        <v>3110</v>
      </c>
      <c r="H189">
        <f ca="1">INDEX(技能数据库!$B$2:$I$100,MATCH(伤害与收益计算!$E189,技能数据库!$B$2:$B$100,0),MATCH(H$9,技能数据库!$B$2:$I$2,0))</f>
        <v>4978746</v>
      </c>
      <c r="I189">
        <f ca="1">INDEX(技能数据库!$B$2:$I$100,MATCH(伤害与收益计算!$E189,技能数据库!$B$2:$B$100,0),MATCH(I$9,技能数据库!$B$2:$I$2,0))</f>
        <v>0</v>
      </c>
      <c r="J189">
        <f ca="1">INDEX(技能数据库!$B$2:$I$100,MATCH(伤害与收益计算!$E189,技能数据库!$B$2:$B$100,0),MATCH(J$9,技能数据库!$B$2:$I$2,0))</f>
        <v>0</v>
      </c>
      <c r="K189">
        <f ca="1">INDEX(技能数据库!$B$2:$I$100,MATCH(伤害与收益计算!$E189,技能数据库!$B$2:$B$100,0),MATCH(K$9,技能数据库!$B$2:$I$2,0))</f>
        <v>0</v>
      </c>
      <c r="L189">
        <f ca="1" t="shared" si="316"/>
        <v>105847</v>
      </c>
      <c r="M189">
        <f ca="1" t="shared" si="428"/>
        <v>19530.5</v>
      </c>
      <c r="N189">
        <f ca="1" t="shared" si="429"/>
        <v>92028</v>
      </c>
      <c r="O189">
        <f ca="1" t="shared" si="430"/>
        <v>4978746</v>
      </c>
      <c r="P189">
        <f ca="1">IF(G189="恒定伤害",0,(IF(D189="轻剑",$AZ$2,$AZ$3)+IFERROR(INDEX(技能数据库!$T$2:$W$27,MATCH(E189,技能数据库!$T$2:$T$27,0),4),0)+COUNTIF(G189,"*造化2*")*154+COUNTIF(G189,"*造化1*")*102+COUNTIF(G189,"*碧归*")*307)/1024)</f>
        <v>0.176868146929785</v>
      </c>
      <c r="Q189">
        <f ca="1" t="shared" ref="Q189:Q192" si="451">IF(G189="恒定伤害",0,(IF(COUNTIF(F189,"*内破*")&gt;0,内破,IF(D189="轻剑",$AF$2,$AF$3)/破防系数))+IF((IF(D189="轻剑",$AO$2,$AO$3)+INT(COUNTIF(G189,"*大莺鸣*")*IF(D189="轻剑",$AM$2,$AM$3)*听晓无双率)/无双系数)&gt;0.9,(特效裤子破防+特效裤子破防*IF(D189="轻剑",$AD$2,$AD$3)/1024)/破防系数,0))</f>
        <v>0.0415122129107408</v>
      </c>
      <c r="R189">
        <f ca="1" t="shared" si="431"/>
        <v>0.21277697966198</v>
      </c>
      <c r="S189">
        <f ca="1" t="shared" si="432"/>
        <v>4804076.68566323</v>
      </c>
      <c r="T189">
        <f t="shared" si="338"/>
        <v>0.8</v>
      </c>
      <c r="U189">
        <f ca="1" t="shared" ref="U189:U192" si="452">IF(G189="恒定伤害",0,(IF(D189="轻剑",$AO$2,$AO$3)+INT(COUNTIF(G189,"*大莺鸣*")*IF(D189="轻剑",$AM$2,$AM$3)*听晓无双率)/无双系数)+IF((IF(D189="轻剑",$AO$2,$AO$3)+INT(COUNTIF(G189,"*大莺鸣*")*IF(D189="轻剑",$AM$2,$AM$3)*听晓无双率)/无双系数)&lt;=0.9,特效裤子无双,0))</f>
        <v>1.7995442148</v>
      </c>
      <c r="V189">
        <f ca="1" t="shared" si="433"/>
        <v>10759380.0742432</v>
      </c>
      <c r="W189">
        <f ca="1">IF(G189="恒定伤害",0,MIN(1,IF(COUNTIF(F189,"*内会*")&gt;0,内会,IF(D189="轻剑",$Y$2,$Y$3)+COUNTIF(G189,"*莺鸣*")*0.2+COUNTIF(G189,"*叠1*")*0.1+COUNTIF(G189,"*叠2*")*0.2+COUNTIF(G189,"*叠3*")*0.3)+IFERROR(INDEX(技能数据库!$T$2:$W$27,MATCH(E189,技能数据库!$T$2:$T$27,0),2),0)+IF((IF(D189="轻剑",$AO$2,$AO$3)+INT(COUNTIF(G189,"*大莺鸣*")*IF(D189="轻剑",$AM$2,$AM$3)*听晓无双率)/无双系数)&gt;0.9,特效裤子会心/会心系数,0)))</f>
        <v>0.112613819719478</v>
      </c>
      <c r="X189">
        <f ca="1">IF(G189="恒定伤害",0,IF(COUNTIF(F189,"*内会*")&gt;0,内会效,IF(D189="轻剑",$AB$2,$AB$3))+IFERROR(INDEX(技能数据库!$T$2:$W$27,MATCH(E189,技能数据库!$T$2:$T$27,0),3)/1024,0))+COUNTIF(G189,"*叠1*")*0.25+COUNTIF(G189,"*叠2*")*0.5+COUNTIF(G189,"*叠3*")*0.75</f>
        <v>2.68437818487951</v>
      </c>
      <c r="Y189">
        <f ca="1" t="shared" si="434"/>
        <v>1.18968426125144</v>
      </c>
      <c r="Z189">
        <f t="shared" si="435"/>
        <v>0.150390625</v>
      </c>
      <c r="AA189">
        <f ca="1" t="shared" si="436"/>
        <v>0.0205078125</v>
      </c>
      <c r="AB189">
        <f ca="1" t="shared" si="437"/>
        <v>15027288.8031201</v>
      </c>
      <c r="AC189" s="171">
        <f ca="1">技能数计算!AJ181</f>
        <v>0</v>
      </c>
      <c r="AD189" s="164">
        <f ca="1" t="shared" si="438"/>
        <v>0</v>
      </c>
      <c r="AE189" s="168">
        <f ca="1" t="shared" si="317"/>
        <v>0</v>
      </c>
      <c r="AF189" s="168">
        <f ca="1" t="shared" si="439"/>
        <v>0</v>
      </c>
      <c r="AG189">
        <f ca="1" t="shared" si="440"/>
        <v>0.00022389710037829</v>
      </c>
      <c r="AH189">
        <f ca="1" t="shared" si="441"/>
        <v>1</v>
      </c>
      <c r="AI189">
        <f ca="1" t="shared" si="442"/>
        <v>1.00022389710038</v>
      </c>
      <c r="AJ189">
        <f ca="1" t="shared" si="443"/>
        <v>0</v>
      </c>
      <c r="AK189">
        <f ca="1" t="shared" ref="AK189:AK192" si="453">AC189</f>
        <v>0</v>
      </c>
      <c r="AL189">
        <f ca="1" t="shared" si="444"/>
        <v>0</v>
      </c>
      <c r="AM189">
        <f ca="1" t="shared" si="445"/>
        <v>0</v>
      </c>
      <c r="AN189" s="168">
        <f ca="1" t="shared" si="446"/>
        <v>0</v>
      </c>
      <c r="AO189" s="168">
        <f ca="1" t="shared" si="447"/>
        <v>0</v>
      </c>
      <c r="AP189" s="172">
        <f ca="1" t="shared" si="448"/>
        <v>0</v>
      </c>
      <c r="AQ189" s="168">
        <f ca="1" t="shared" si="449"/>
        <v>0.00401583628616287</v>
      </c>
      <c r="AR189">
        <f t="shared" si="450"/>
        <v>1</v>
      </c>
    </row>
    <row r="190" spans="4:44">
      <c r="D190" t="s">
        <v>1825</v>
      </c>
      <c r="E190" s="161" t="s">
        <v>2859</v>
      </c>
      <c r="F190" t="s">
        <v>3160</v>
      </c>
      <c r="G190" t="s">
        <v>2750</v>
      </c>
      <c r="H190">
        <f ca="1">INDEX(技能数据库!$B$2:$I$100,MATCH(伤害与收益计算!$E190,技能数据库!$B$2:$B$100,0),MATCH(H$9,技能数据库!$B$2:$I$2,0))</f>
        <v>1955936</v>
      </c>
      <c r="I190">
        <f ca="1">INDEX(技能数据库!$B$2:$I$100,MATCH(伤害与收益计算!$E190,技能数据库!$B$2:$B$100,0),MATCH(I$9,技能数据库!$B$2:$I$2,0))</f>
        <v>0</v>
      </c>
      <c r="J190">
        <f ca="1">INDEX(技能数据库!$B$2:$I$100,MATCH(伤害与收益计算!$E190,技能数据库!$B$2:$B$100,0),MATCH(J$9,技能数据库!$B$2:$I$2,0))</f>
        <v>0</v>
      </c>
      <c r="K190">
        <f ca="1">INDEX(技能数据库!$B$2:$I$100,MATCH(伤害与收益计算!$E190,技能数据库!$B$2:$B$100,0),MATCH(K$9,技能数据库!$B$2:$I$2,0))</f>
        <v>0</v>
      </c>
      <c r="L190">
        <f ca="1" t="shared" si="316"/>
        <v>105847</v>
      </c>
      <c r="M190">
        <f ca="1" t="shared" ref="M190:M191" si="454">IF(D190="轻剑",$AU$2+$AV$2,$AU$3+$AV$3)/2</f>
        <v>19530.5</v>
      </c>
      <c r="N190">
        <f ca="1" t="shared" ref="N190:N191" si="455">IF(D190="轻剑",$AJ$2,$AJ$3)</f>
        <v>92028</v>
      </c>
      <c r="O190">
        <f ca="1" t="shared" si="430"/>
        <v>1955936</v>
      </c>
      <c r="P190">
        <f ca="1">IF(G190="恒定伤害",0,(IF(D190="轻剑",$AZ$2,$AZ$3)+IFERROR(INDEX(技能数据库!$T$2:$W$27,MATCH(E190,技能数据库!$T$2:$T$27,0),4),0)+COUNTIF(G190,"*造化2*")*154+COUNTIF(G190,"*造化1*")*102+COUNTIF(G190,"*碧归*")*307)/1024)</f>
        <v>0.176868146929785</v>
      </c>
      <c r="Q190">
        <f ca="1" t="shared" si="451"/>
        <v>0.0415122129107408</v>
      </c>
      <c r="R190">
        <f ca="1" t="shared" si="431"/>
        <v>0.21277697966198</v>
      </c>
      <c r="S190">
        <f ca="1" t="shared" ref="S190:S191" si="456">O190*(1+P190)*(1+Q190)*(1-R190)</f>
        <v>1887315.90971891</v>
      </c>
      <c r="T190">
        <f t="shared" si="338"/>
        <v>0.8</v>
      </c>
      <c r="U190">
        <f ca="1" t="shared" si="452"/>
        <v>1.7995442148</v>
      </c>
      <c r="V190">
        <f ca="1" t="shared" ref="V190:V191" si="457">S190*T190*(1+U190)</f>
        <v>4226899.46924287</v>
      </c>
      <c r="W190">
        <f ca="1">IF(G190="恒定伤害",0,MIN(1,IF(COUNTIF(F190,"*内会*")&gt;0,内会,IF(D190="轻剑",$Y$2,$Y$3)+COUNTIF(G190,"*莺鸣*")*0.2+COUNTIF(G190,"*叠1*")*0.1+COUNTIF(G190,"*叠2*")*0.2+COUNTIF(G190,"*叠3*")*0.3)+IFERROR(INDEX(技能数据库!$T$2:$W$27,MATCH(E190,技能数据库!$T$2:$T$27,0),2),0)+IF((IF(D190="轻剑",$AO$2,$AO$3)+INT(COUNTIF(G190,"*大莺鸣*")*IF(D190="轻剑",$AM$2,$AM$3)*听晓无双率)/无双系数)&gt;0.9,特效裤子会心/会心系数,0)))</f>
        <v>0.112613819719478</v>
      </c>
      <c r="X190">
        <f ca="1">IF(G190="恒定伤害",0,IF(COUNTIF(F190,"*内会*")&gt;0,内会效,IF(D190="轻剑",$AB$2,$AB$3))+IFERROR(INDEX(技能数据库!$T$2:$W$27,MATCH(E190,技能数据库!$T$2:$T$27,0),3)/1024,0))+COUNTIF(G190,"*叠1*")*0.25+COUNTIF(G190,"*叠2*")*0.5+COUNTIF(G190,"*叠3*")*0.75</f>
        <v>1.93437818487951</v>
      </c>
      <c r="Y190">
        <f ca="1" t="shared" ref="Y190:Y191" si="458">1+W190*(X190-1)</f>
        <v>1.10522389646183</v>
      </c>
      <c r="Z190">
        <f t="shared" si="435"/>
        <v>0.150390625</v>
      </c>
      <c r="AA190">
        <f ca="1" t="shared" ref="AA190:AA191" si="459">IF(D190="轻剑",$BA$2,$BA$3)/1024</f>
        <v>0.0205078125</v>
      </c>
      <c r="AB190">
        <f ca="1" t="shared" ref="AB190:AB191" si="460">V190*Y190*(1+Z190)*(1+AA190)</f>
        <v>5484459.74127169</v>
      </c>
      <c r="AC190">
        <f ca="1">技能数计算!AJ182</f>
        <v>0</v>
      </c>
      <c r="AD190" s="164">
        <f ca="1" t="shared" si="438"/>
        <v>0</v>
      </c>
      <c r="AE190" s="168">
        <f ca="1" t="shared" si="317"/>
        <v>0</v>
      </c>
      <c r="AF190" s="168">
        <f ca="1" t="shared" si="439"/>
        <v>0</v>
      </c>
      <c r="AG190">
        <f ca="1" t="shared" ref="AG190:AG191" si="461">IF(G190="恒定伤害",0,MAX(0,AH190*AI190*IF(AJ190=0,1,AJ190)-1))</f>
        <v>0.00022389710037829</v>
      </c>
      <c r="AH190">
        <f ca="1" t="shared" si="441"/>
        <v>1</v>
      </c>
      <c r="AI190">
        <f ca="1" t="shared" si="442"/>
        <v>1.00022389710038</v>
      </c>
      <c r="AJ190">
        <f ca="1" t="shared" si="443"/>
        <v>0</v>
      </c>
      <c r="AK190">
        <f ca="1" t="shared" si="453"/>
        <v>0</v>
      </c>
      <c r="AL190">
        <f ca="1" t="shared" si="444"/>
        <v>0</v>
      </c>
      <c r="AM190">
        <f ca="1" t="shared" si="445"/>
        <v>0</v>
      </c>
      <c r="AN190" s="168">
        <f ca="1" t="shared" si="446"/>
        <v>0</v>
      </c>
      <c r="AO190" s="168">
        <f ca="1" t="shared" si="447"/>
        <v>0</v>
      </c>
      <c r="AP190" s="172">
        <f ca="1" t="shared" si="448"/>
        <v>0</v>
      </c>
      <c r="AQ190" s="168">
        <f ca="1" t="shared" si="449"/>
        <v>0.00401583628616287</v>
      </c>
      <c r="AR190">
        <f t="shared" si="450"/>
        <v>1</v>
      </c>
    </row>
    <row r="191" spans="4:44">
      <c r="D191" t="s">
        <v>1825</v>
      </c>
      <c r="E191" s="161" t="s">
        <v>2859</v>
      </c>
      <c r="F191" t="s">
        <v>2503</v>
      </c>
      <c r="G191" t="s">
        <v>2750</v>
      </c>
      <c r="H191">
        <f ca="1">INDEX(技能数据库!$B$2:$I$100,MATCH(伤害与收益计算!$E191,技能数据库!$B$2:$B$100,0),MATCH(H$9,技能数据库!$B$2:$I$2,0))</f>
        <v>1955936</v>
      </c>
      <c r="I191">
        <f ca="1">INDEX(技能数据库!$B$2:$I$100,MATCH(伤害与收益计算!$E191,技能数据库!$B$2:$B$100,0),MATCH(I$9,技能数据库!$B$2:$I$2,0))</f>
        <v>0</v>
      </c>
      <c r="J191">
        <f ca="1">INDEX(技能数据库!$B$2:$I$100,MATCH(伤害与收益计算!$E191,技能数据库!$B$2:$B$100,0),MATCH(J$9,技能数据库!$B$2:$I$2,0))</f>
        <v>0</v>
      </c>
      <c r="K191">
        <f ca="1">INDEX(技能数据库!$B$2:$I$100,MATCH(伤害与收益计算!$E191,技能数据库!$B$2:$B$100,0),MATCH(K$9,技能数据库!$B$2:$I$2,0))</f>
        <v>0</v>
      </c>
      <c r="L191">
        <f ca="1" t="shared" si="316"/>
        <v>105847</v>
      </c>
      <c r="M191">
        <f ca="1" t="shared" si="454"/>
        <v>19530.5</v>
      </c>
      <c r="N191">
        <f ca="1" t="shared" si="455"/>
        <v>92028</v>
      </c>
      <c r="O191">
        <f ca="1" t="shared" si="430"/>
        <v>1955936</v>
      </c>
      <c r="P191">
        <f ca="1">IF(G191="恒定伤害",0,(IF(D191="轻剑",$AZ$2,$AZ$3)+IFERROR(INDEX(技能数据库!$T$2:$W$27,MATCH(E191,技能数据库!$T$2:$T$27,0),4),0)+COUNTIF(G191,"*造化2*")*154+COUNTIF(G191,"*造化1*")*102+COUNTIF(G191,"*碧归*")*307)/1024)</f>
        <v>0.176868146929785</v>
      </c>
      <c r="Q191">
        <f ca="1" t="shared" si="451"/>
        <v>0.0415122129107408</v>
      </c>
      <c r="R191">
        <f ca="1" t="shared" si="431"/>
        <v>0.21277697966198</v>
      </c>
      <c r="S191">
        <f ca="1" t="shared" si="456"/>
        <v>1887315.90971891</v>
      </c>
      <c r="T191">
        <f t="shared" si="338"/>
        <v>0.8</v>
      </c>
      <c r="U191">
        <f ca="1" t="shared" si="452"/>
        <v>1.7995442148</v>
      </c>
      <c r="V191">
        <f ca="1" t="shared" si="457"/>
        <v>4226899.46924287</v>
      </c>
      <c r="W191">
        <f ca="1">IF(G191="恒定伤害",0,MIN(1,IF(COUNTIF(F191,"*内会*")&gt;0,内会,IF(D191="轻剑",$Y$2,$Y$3)+COUNTIF(G191,"*莺鸣*")*0.2+COUNTIF(G191,"*叠1*")*0.1+COUNTIF(G191,"*叠2*")*0.2+COUNTIF(G191,"*叠3*")*0.3)+IFERROR(INDEX(技能数据库!$T$2:$W$27,MATCH(E191,技能数据库!$T$2:$T$27,0),2),0)+IF((IF(D191="轻剑",$AO$2,$AO$3)+INT(COUNTIF(G191,"*大莺鸣*")*IF(D191="轻剑",$AM$2,$AM$3)*听晓无双率)/无双系数)&gt;0.9,特效裤子会心/会心系数,0)))</f>
        <v>0.7343</v>
      </c>
      <c r="X191">
        <f ca="1">IF(G191="恒定伤害",0,IF(COUNTIF(F191,"*内会*")&gt;0,内会效,IF(D191="轻剑",$AB$2,$AB$3))+IFERROR(INDEX(技能数据库!$T$2:$W$27,MATCH(E191,技能数据库!$T$2:$T$27,0),3)/1024,0))+COUNTIF(G191,"*叠1*")*0.25+COUNTIF(G191,"*叠2*")*0.5+COUNTIF(G191,"*叠3*")*0.75</f>
        <v>2.3156473116</v>
      </c>
      <c r="Y191">
        <f ca="1" t="shared" si="458"/>
        <v>1.96607982090788</v>
      </c>
      <c r="Z191">
        <f t="shared" si="435"/>
        <v>0.150390625</v>
      </c>
      <c r="AA191">
        <f ca="1" t="shared" si="459"/>
        <v>0.0205078125</v>
      </c>
      <c r="AB191">
        <f ca="1" t="shared" si="460"/>
        <v>9756290.70310124</v>
      </c>
      <c r="AC191" s="171">
        <f ca="1">技能数计算!AJ183</f>
        <v>0</v>
      </c>
      <c r="AD191" s="164">
        <f ca="1" t="shared" si="438"/>
        <v>0</v>
      </c>
      <c r="AE191" s="168">
        <f ca="1" t="shared" si="317"/>
        <v>0</v>
      </c>
      <c r="AF191" s="168">
        <f ca="1" t="shared" si="439"/>
        <v>0</v>
      </c>
      <c r="AG191">
        <f ca="1" t="shared" si="461"/>
        <v>0.00022389710037829</v>
      </c>
      <c r="AH191">
        <f ca="1" t="shared" si="441"/>
        <v>1</v>
      </c>
      <c r="AI191">
        <f ca="1" t="shared" si="442"/>
        <v>1.00022389710038</v>
      </c>
      <c r="AJ191">
        <f ca="1" t="shared" si="443"/>
        <v>0</v>
      </c>
      <c r="AK191">
        <f ca="1" t="shared" si="453"/>
        <v>0</v>
      </c>
      <c r="AL191">
        <f ca="1" t="shared" si="444"/>
        <v>0</v>
      </c>
      <c r="AM191">
        <f ca="1" t="shared" si="445"/>
        <v>0</v>
      </c>
      <c r="AN191" s="168">
        <f ca="1" t="shared" si="446"/>
        <v>0.00750104430192855</v>
      </c>
      <c r="AO191" s="168">
        <f ca="1" t="shared" si="447"/>
        <v>0</v>
      </c>
      <c r="AP191" s="172">
        <f ca="1" t="shared" si="448"/>
        <v>0</v>
      </c>
      <c r="AQ191" s="168">
        <f ca="1" t="shared" si="449"/>
        <v>0.00401583628616287</v>
      </c>
      <c r="AR191">
        <f t="shared" si="450"/>
        <v>1</v>
      </c>
    </row>
    <row r="192" spans="4:44">
      <c r="D192" t="s">
        <v>1825</v>
      </c>
      <c r="E192" s="161" t="s">
        <v>2861</v>
      </c>
      <c r="F192" t="s">
        <v>3160</v>
      </c>
      <c r="G192" t="s">
        <v>2750</v>
      </c>
      <c r="H192">
        <f ca="1">INDEX(技能数据库!$B$2:$I$100,MATCH(伤害与收益计算!$E192,技能数据库!$B$2:$B$100,0),MATCH(H$9,技能数据库!$B$2:$I$2,0))</f>
        <v>1344706</v>
      </c>
      <c r="I192">
        <f ca="1">INDEX(技能数据库!$B$2:$I$100,MATCH(伤害与收益计算!$E192,技能数据库!$B$2:$B$100,0),MATCH(I$9,技能数据库!$B$2:$I$2,0))</f>
        <v>0</v>
      </c>
      <c r="J192">
        <f ca="1">INDEX(技能数据库!$B$2:$I$100,MATCH(伤害与收益计算!$E192,技能数据库!$B$2:$B$100,0),MATCH(J$9,技能数据库!$B$2:$I$2,0))</f>
        <v>0</v>
      </c>
      <c r="K192">
        <f ca="1">INDEX(技能数据库!$B$2:$I$100,MATCH(伤害与收益计算!$E192,技能数据库!$B$2:$B$100,0),MATCH(K$9,技能数据库!$B$2:$I$2,0))</f>
        <v>0</v>
      </c>
      <c r="L192">
        <f ca="1" t="shared" si="316"/>
        <v>105847</v>
      </c>
      <c r="M192">
        <f ca="1" t="shared" ref="M192" si="462">IF(D192="轻剑",$AU$2+$AV$2,$AU$3+$AV$3)/2</f>
        <v>19530.5</v>
      </c>
      <c r="N192">
        <f ca="1" t="shared" ref="N192" si="463">IF(D192="轻剑",$AJ$2,$AJ$3)</f>
        <v>92028</v>
      </c>
      <c r="O192">
        <f ca="1" t="shared" si="430"/>
        <v>1344706</v>
      </c>
      <c r="P192">
        <f ca="1">IF(G192="恒定伤害",0,(IF(D192="轻剑",$AZ$2,$AZ$3)+IFERROR(INDEX(技能数据库!$T$2:$W$27,MATCH(E192,技能数据库!$T$2:$T$27,0),4),0)+COUNTIF(G192,"*造化2*")*154+COUNTIF(G192,"*造化1*")*102+COUNTIF(G192,"*碧归*")*307)/1024)</f>
        <v>0.176868146929785</v>
      </c>
      <c r="Q192">
        <f ca="1" t="shared" si="451"/>
        <v>0.0415122129107408</v>
      </c>
      <c r="R192">
        <f ca="1" t="shared" si="431"/>
        <v>0.21277697966198</v>
      </c>
      <c r="S192">
        <f ca="1" t="shared" ref="S192" si="464">O192*(1+P192)*(1+Q192)*(1-R192)</f>
        <v>1297529.68793175</v>
      </c>
      <c r="T192">
        <f t="shared" si="338"/>
        <v>0.8</v>
      </c>
      <c r="U192">
        <f ca="1" t="shared" si="452"/>
        <v>1.7995442148</v>
      </c>
      <c r="V192">
        <f ca="1" t="shared" ref="V192" si="465">S192*T192*(1+U192)</f>
        <v>2905993.38510447</v>
      </c>
      <c r="W192">
        <f ca="1">IF(G192="恒定伤害",0,MIN(1,IF(COUNTIF(F192,"*内会*")&gt;0,内会,IF(D192="轻剑",$Y$2,$Y$3)+COUNTIF(G192,"*莺鸣*")*0.2+COUNTIF(G192,"*叠1*")*0.1+COUNTIF(G192,"*叠2*")*0.2+COUNTIF(G192,"*叠3*")*0.3)+IFERROR(INDEX(技能数据库!$T$2:$W$27,MATCH(E192,技能数据库!$T$2:$T$27,0),2),0)+IF((IF(D192="轻剑",$AO$2,$AO$3)+INT(COUNTIF(G192,"*大莺鸣*")*IF(D192="轻剑",$AM$2,$AM$3)*听晓无双率)/无双系数)&gt;0.9,特效裤子会心/会心系数,0)))</f>
        <v>0.112613819719478</v>
      </c>
      <c r="X192">
        <f ca="1">IF(G192="恒定伤害",0,IF(COUNTIF(F192,"*内会*")&gt;0,内会效,IF(D192="轻剑",$AB$2,$AB$3))+IFERROR(INDEX(技能数据库!$T$2:$W$27,MATCH(E192,技能数据库!$T$2:$T$27,0),3)/1024,0))+COUNTIF(G192,"*叠1*")*0.25+COUNTIF(G192,"*叠2*")*0.5+COUNTIF(G192,"*叠3*")*0.75</f>
        <v>1.93437818487951</v>
      </c>
      <c r="Y192">
        <f ca="1" t="shared" ref="Y192" si="466">1+W192*(X192-1)</f>
        <v>1.10522389646183</v>
      </c>
      <c r="Z192">
        <f t="shared" si="435"/>
        <v>0.150390625</v>
      </c>
      <c r="AA192">
        <f ca="1" t="shared" ref="AA192" si="467">IF(D192="轻剑",$BA$2,$BA$3)/1024</f>
        <v>0.0205078125</v>
      </c>
      <c r="AB192">
        <f ca="1" t="shared" ref="AB192" si="468">V192*Y192*(1+Z192)*(1+AA192)</f>
        <v>3770566.07212429</v>
      </c>
      <c r="AC192">
        <f ca="1">技能数计算!AJ184</f>
        <v>0</v>
      </c>
      <c r="AD192" s="164">
        <f ca="1" t="shared" si="438"/>
        <v>0</v>
      </c>
      <c r="AE192" s="168">
        <f ca="1" t="shared" si="317"/>
        <v>0</v>
      </c>
      <c r="AF192" s="168">
        <f ca="1" t="shared" si="439"/>
        <v>0</v>
      </c>
      <c r="AG192">
        <f ca="1" t="shared" ref="AG192" si="469">IF(G192="恒定伤害",0,MAX(0,AH192*AI192*IF(AJ192=0,1,AJ192)-1))</f>
        <v>0.00022389710037829</v>
      </c>
      <c r="AH192">
        <f ca="1" t="shared" si="441"/>
        <v>1</v>
      </c>
      <c r="AI192">
        <f ca="1" t="shared" si="442"/>
        <v>1.00022389710038</v>
      </c>
      <c r="AJ192">
        <f ca="1" t="shared" si="443"/>
        <v>0</v>
      </c>
      <c r="AK192">
        <f ca="1" t="shared" si="453"/>
        <v>0</v>
      </c>
      <c r="AL192">
        <f ca="1" t="shared" si="444"/>
        <v>0</v>
      </c>
      <c r="AM192">
        <f ca="1" t="shared" si="445"/>
        <v>0</v>
      </c>
      <c r="AN192" s="168">
        <f ca="1" t="shared" si="446"/>
        <v>0</v>
      </c>
      <c r="AO192" s="168">
        <f ca="1" t="shared" si="447"/>
        <v>0</v>
      </c>
      <c r="AP192" s="172">
        <f ca="1" t="shared" si="448"/>
        <v>0</v>
      </c>
      <c r="AQ192" s="168">
        <f ca="1" t="shared" si="449"/>
        <v>0.00401583628616287</v>
      </c>
      <c r="AR192">
        <f t="shared" si="450"/>
        <v>1</v>
      </c>
    </row>
    <row r="193" spans="4:44">
      <c r="D193" t="s">
        <v>1825</v>
      </c>
      <c r="E193" s="161" t="s">
        <v>2902</v>
      </c>
      <c r="G193" t="s">
        <v>3110</v>
      </c>
      <c r="H193">
        <f ca="1">INDEX(技能数据库!$B$2:$I$100,MATCH(伤害与收益计算!$E193,技能数据库!$B$2:$B$100,0),MATCH(H$9,技能数据库!$B$2:$I$2,0))</f>
        <v>317.5</v>
      </c>
      <c r="I193">
        <f ca="1">INDEX(技能数据库!$B$2:$I$100,MATCH(伤害与收益计算!$E193,技能数据库!$B$2:$B$100,0),MATCH(I$9,技能数据库!$B$2:$I$2,0))</f>
        <v>2.25</v>
      </c>
      <c r="J193">
        <f ca="1">INDEX(技能数据库!$B$2:$I$100,MATCH(伤害与收益计算!$E193,技能数据库!$B$2:$B$100,0),MATCH(J$9,技能数据库!$B$2:$I$2,0))</f>
        <v>1</v>
      </c>
      <c r="K193">
        <f ca="1">INDEX(技能数据库!$B$2:$I$100,MATCH(伤害与收益计算!$E193,技能数据库!$B$2:$B$100,0),MATCH(K$9,技能数据库!$B$2:$I$2,0))</f>
        <v>0</v>
      </c>
      <c r="L193">
        <f ca="1" t="shared" si="316"/>
        <v>105847</v>
      </c>
      <c r="M193">
        <f ca="1" t="shared" ref="M193:M197" si="470">IF(D193="轻剑",$AU$2+$AV$2,$AU$3+$AV$3)/2</f>
        <v>19530.5</v>
      </c>
      <c r="N193">
        <f ca="1" t="shared" ref="N193:N197" si="471">IF(D193="轻剑",$AJ$2,$AJ$3)</f>
        <v>92028</v>
      </c>
      <c r="O193">
        <f ca="1" t="shared" ref="O193:O210" si="472">H193+I193*L193+J193*M193+IF(K193&gt;0,MAX(1,K193*N193*破招全局系数),0)</f>
        <v>258003.75</v>
      </c>
      <c r="P193">
        <f ca="1">IF(G193="恒定伤害",0,(IF(D193="轻剑",$AZ$2,$AZ$3)+IFERROR(INDEX(技能数据库!$T$2:$W$27,MATCH(E193,技能数据库!$T$2:$T$27,0),4),0)+COUNTIF(G193,"*造化2*")*154+COUNTIF(G193,"*造化1*")*102+COUNTIF(G193,"*碧归*")*307)/1024)</f>
        <v>0.176868146929785</v>
      </c>
      <c r="Q193">
        <f ca="1" t="shared" ref="Q193:Q210" si="473">IF(G193="恒定伤害",0,(IF(COUNTIF(F193,"*内破*")&gt;0,内破,IF(D193="轻剑",$AF$2,$AF$3)/破防系数))+IF((IF(D193="轻剑",$AO$2,$AO$3)+INT(COUNTIF(G193,"*大莺鸣*")*IF(D193="轻剑",$AM$2,$AM$3)*听晓无双率)/无双系数)&gt;0.9,(特效裤子破防+特效裤子破防*IF(D193="轻剑",$AD$2,$AD$3)/1024)/破防系数,0))</f>
        <v>0.448284482196154</v>
      </c>
      <c r="R193">
        <f ca="1" t="shared" ref="R193:R210" si="474">IF(G193="恒定伤害",0,(($F$5-IF(D193="轻剑",$BB$2,$BB$3))*(1024-IF(D193="轻剑",$BD$2,$BD$3))/1024*(1024-IF(D193="轻剑",$BC$2,$BC$3)-COUNTIF(G193,"*雾锁*")*461*雾锁)/1024/(($F$5-IF(D193="轻剑",$BB$2,$BB$3))*(1024-IF(D193="轻剑",$BD$2,$BD$3))/1024*(1024-IF(D193="轻剑",$BC$2,$BC$3)-COUNTIF(G193,"*雾锁*")*461*雾锁)/1024+$F$7)))</f>
        <v>0.21277697966198</v>
      </c>
      <c r="S193">
        <f ca="1" t="shared" ref="S193:S197" si="475">O193*(1+P193)*(1+Q193)*(1-R193)</f>
        <v>346182.802657435</v>
      </c>
      <c r="T193">
        <f t="shared" si="338"/>
        <v>0.8</v>
      </c>
      <c r="U193">
        <f ca="1" t="shared" ref="U193:U210" si="476">IF(G193="恒定伤害",0,(IF(D193="轻剑",$AO$2,$AO$3)+INT(COUNTIF(G193,"*大莺鸣*")*IF(D193="轻剑",$AM$2,$AM$3)*听晓无双率)/无双系数)+IF((IF(D193="轻剑",$AO$2,$AO$3)+INT(COUNTIF(G193,"*大莺鸣*")*IF(D193="轻剑",$AM$2,$AM$3)*听晓无双率)/无双系数)&lt;=0.9,特效裤子无双,0))</f>
        <v>1.7995442148</v>
      </c>
      <c r="V193">
        <f ca="1" t="shared" ref="V193:V197" si="477">S193*T193*(1+U193)</f>
        <v>775323.249954299</v>
      </c>
      <c r="W193">
        <f ca="1">IF(G193="恒定伤害",0,MIN(1,IF(COUNTIF(F193,"*内会*")&gt;0,内会,IF(D193="轻剑",$Y$2,$Y$3)+COUNTIF(G193,"*莺鸣*")*0.2+COUNTIF(G193,"*叠1*")*0.1+COUNTIF(G193,"*叠2*")*0.2+COUNTIF(G193,"*叠3*")*0.3)+IFERROR(INDEX(技能数据库!$T$2:$W$27,MATCH(E193,技能数据库!$T$2:$T$27,0),2),0)+IF((IF(D193="轻剑",$AO$2,$AO$3)+INT(COUNTIF(G193,"*大莺鸣*")*IF(D193="轻剑",$AM$2,$AM$3)*听晓无双率)/无双系数)&gt;0.9,特效裤子会心/会心系数,0)))</f>
        <v>1</v>
      </c>
      <c r="X193">
        <f ca="1">IF(G193="恒定伤害",0,IF(COUNTIF(F193,"*内会*")&gt;0,内会效,IF(D193="轻剑",$AB$2,$AB$3))+IFERROR(INDEX(技能数据库!$T$2:$W$27,MATCH(E193,技能数据库!$T$2:$T$27,0),3)/1024,0))+COUNTIF(G193,"*叠1*")*0.25+COUNTIF(G193,"*叠2*")*0.5+COUNTIF(G193,"*叠3*")*0.75</f>
        <v>3.0656473116</v>
      </c>
      <c r="Y193">
        <f ca="1" t="shared" ref="Y193:Y197" si="478">1+W193*(X193-1)</f>
        <v>3.0656473116</v>
      </c>
      <c r="Z193">
        <f t="shared" ref="Z193:Z210" si="479">IF(G193="恒定伤害",0,非侠士伤害/1024)</f>
        <v>0.150390625</v>
      </c>
      <c r="AA193">
        <f ca="1" t="shared" ref="AA193:AA197" si="480">IF(D193="轻剑",$BA$2,$BA$3)/1024</f>
        <v>0.0205078125</v>
      </c>
      <c r="AB193">
        <f ca="1" t="shared" ref="AB193:AB197" si="481">V193*Y193*(1+Z193)*(1+AA193)</f>
        <v>2790401.29626327</v>
      </c>
      <c r="AC193">
        <f ca="1">技能数计算!AJ185</f>
        <v>23</v>
      </c>
      <c r="AD193" s="164">
        <f ca="1" t="shared" ref="AD193:AD210" si="482">IFERROR(AB193*AC193/$AD$7,0)</f>
        <v>0.0206023330468314</v>
      </c>
      <c r="AE193" s="168">
        <f ca="1" t="shared" si="317"/>
        <v>0.00432551852444005</v>
      </c>
      <c r="AF193" s="168">
        <f ca="1" t="shared" ref="AF193:AF210" si="483">IFERROR((delta武伤+INT((IF(D193="轻剑",$AW$2,$AW$3))/1024*delta武伤))*J193/O193,0)</f>
        <v>0.00231101292132382</v>
      </c>
      <c r="AG193">
        <f ca="1" t="shared" ref="AG193:AG197" si="484">IF(G193="恒定伤害",0,MAX(0,AH193*AI193*IF(AJ193=0,1,AJ193)-1))</f>
        <v>0.00311228705919864</v>
      </c>
      <c r="AH193">
        <f ca="1" t="shared" ref="AH193:AH210" si="485">IFERROR((delta身法+INT((IF(D193="轻剑",$N$2,$N$3))/1024*delta身法))*身法转额外攻击*I193/O193+1,0)</f>
        <v>1.00295079967951</v>
      </c>
      <c r="AI193">
        <f ca="1" t="shared" ref="AI193:AI210" si="486">IFERROR(((delta身法+INT((IF(D193="轻剑",$N$2,$N$3))/1024*delta身法))*身法转额外破防/破防系数+Q193+1)/(1+Q193),0)</f>
        <v>1.00016101226475</v>
      </c>
      <c r="AJ193">
        <f ca="1" t="shared" ref="AJ193:AJ210" si="487">IFERROR(((1+MIN(1,((delta身法+INT((IF(D193="轻剑",$N$2,$N$3))/1024*delta身法))*身法转基础会心/会心系数)+W193)*(X193-1))*AK193)/(Y193*AC193),0)</f>
        <v>1</v>
      </c>
      <c r="AK193">
        <f ca="1" t="shared" ref="AK193:AK210" si="488">AC193</f>
        <v>23</v>
      </c>
      <c r="AL193">
        <f ca="1" t="shared" ref="AL193:AL210" si="489">IF(G193="恒定伤害",0,IFERROR(((1+MIN(1,W193+delta会心/会心系数)*(X193-1))*AM193)/(Y193*AC193)-1,0))</f>
        <v>0</v>
      </c>
      <c r="AM193">
        <f ca="1" t="shared" ref="AM193:AM210" si="490">AC193</f>
        <v>23</v>
      </c>
      <c r="AN193" s="168">
        <f ca="1" t="shared" ref="AN193:AN210" si="491">IF(OR(COUNTIF(F193,"*内会*")&gt;0,G193="恒定伤害"),0,(1+W193*(MIN(3+COUNTIF(G193,"*叠*")*0.75,X193+delta会效/会效系数)-1))/Y193-1)</f>
        <v>0.00655129503556839</v>
      </c>
      <c r="AO193" s="168">
        <f ca="1" t="shared" ref="AO193:AO210" si="492">IF(OR(COUNTIF(F193,"*内破*")&gt;0,G193="恒定伤害"),0,IFERROR(((delta破防+INT((IF(D193="轻剑",$AD$2,$AD$3))/1024*delta破防))/破防系数+Q193+1)/(Q193+1)-1,0))</f>
        <v>0.00447057613551372</v>
      </c>
      <c r="AP193" s="172">
        <f ca="1" t="shared" ref="AP193:AP210" si="493">IFERROR((delta破招+INT((IF(D193="轻剑",$AI$2,$AI$3))/1024*delta破招))*K193*破招全局系数/MAX(1,O193),0)</f>
        <v>0</v>
      </c>
      <c r="AQ193" s="168">
        <f ca="1" t="shared" ref="AQ193:AQ210" si="494">IF(G193="恒定伤害",0,IFERROR(((delta无双+INT((IF(D193="轻剑",$AL$2,$AL$3)+COUNTIF(G193,"*大莺鸣*")*307)/1024*delta无双))/无双系数+U193+1)/(U193+1)-1,0))</f>
        <v>0.00401583628616287</v>
      </c>
      <c r="AR193">
        <f t="shared" ref="AR193:AR210" si="495">IF($AR$8="综合属性收益",1,COUNTIF(D193,LEFT($AR$8,2)))</f>
        <v>1</v>
      </c>
    </row>
    <row r="194" spans="4:44">
      <c r="D194" t="s">
        <v>1825</v>
      </c>
      <c r="E194" t="s">
        <v>2776</v>
      </c>
      <c r="G194" t="s">
        <v>3111</v>
      </c>
      <c r="H194">
        <f ca="1">INDEX(技能数据库!$B$2:$I$100,MATCH(伤害与收益计算!$E194,技能数据库!$B$2:$B$100,0),MATCH(H$9,技能数据库!$B$2:$I$2,0))</f>
        <v>281.5</v>
      </c>
      <c r="I194">
        <f ca="1">INDEX(技能数据库!$B$2:$I$100,MATCH(伤害与收益计算!$E194,技能数据库!$B$2:$B$100,0),MATCH(I$9,技能数据库!$B$2:$I$2,0))</f>
        <v>7.06875</v>
      </c>
      <c r="J194">
        <f ca="1">INDEX(技能数据库!$B$2:$I$100,MATCH(伤害与收益计算!$E194,技能数据库!$B$2:$B$100,0),MATCH(J$9,技能数据库!$B$2:$I$2,0))</f>
        <v>2</v>
      </c>
      <c r="K194">
        <f ca="1">INDEX(技能数据库!$B$2:$I$100,MATCH(伤害与收益计算!$E194,技能数据库!$B$2:$B$100,0),MATCH(K$9,技能数据库!$B$2:$I$2,0))</f>
        <v>0</v>
      </c>
      <c r="L194">
        <f ca="1" t="shared" si="316"/>
        <v>105847</v>
      </c>
      <c r="M194">
        <f ca="1" t="shared" si="470"/>
        <v>19530.5</v>
      </c>
      <c r="N194">
        <f ca="1" t="shared" si="471"/>
        <v>92028</v>
      </c>
      <c r="O194">
        <f ca="1" t="shared" si="472"/>
        <v>787548.48125</v>
      </c>
      <c r="P194">
        <f ca="1">IF(G194="恒定伤害",0,(IF(D194="轻剑",$AZ$2,$AZ$3)+IFERROR(INDEX(技能数据库!$T$2:$W$27,MATCH(E194,技能数据库!$T$2:$T$27,0),4),0)+COUNTIF(G194,"*造化2*")*154+COUNTIF(G194,"*造化1*")*102+COUNTIF(G194,"*碧归*")*307)/1024)</f>
        <v>0.697375959429785</v>
      </c>
      <c r="Q194">
        <f ca="1" t="shared" si="473"/>
        <v>0.448284482196154</v>
      </c>
      <c r="R194">
        <f ca="1" t="shared" si="474"/>
        <v>0.21277697966198</v>
      </c>
      <c r="S194">
        <f ca="1" t="shared" si="475"/>
        <v>1524077.34686146</v>
      </c>
      <c r="T194">
        <f t="shared" si="338"/>
        <v>0.8</v>
      </c>
      <c r="U194">
        <f ca="1" t="shared" si="476"/>
        <v>1.7995442148</v>
      </c>
      <c r="V194">
        <f ca="1" t="shared" si="477"/>
        <v>3413377.53545098</v>
      </c>
      <c r="W194">
        <f ca="1">IF(G194="恒定伤害",0,MIN(1,IF(COUNTIF(F194,"*内会*")&gt;0,内会,IF(D194="轻剑",$Y$2,$Y$3)+COUNTIF(G194,"*莺鸣*")*0.2+COUNTIF(G194,"*叠1*")*0.1+COUNTIF(G194,"*叠2*")*0.2+COUNTIF(G194,"*叠3*")*0.3)+IFERROR(INDEX(技能数据库!$T$2:$W$27,MATCH(E194,技能数据库!$T$2:$T$27,0),2),0)+IF((IF(D194="轻剑",$AO$2,$AO$3)+INT(COUNTIF(G194,"*大莺鸣*")*IF(D194="轻剑",$AM$2,$AM$3)*听晓无双率)/无双系数)&gt;0.9,特效裤子会心/会心系数,0)))</f>
        <v>0.8343</v>
      </c>
      <c r="X194">
        <f ca="1">IF(G194="恒定伤害",0,IF(COUNTIF(F194,"*内会*")&gt;0,内会效,IF(D194="轻剑",$AB$2,$AB$3))+IFERROR(INDEX(技能数据库!$T$2:$W$27,MATCH(E194,技能数据库!$T$2:$T$27,0),3)/1024,0))+COUNTIF(G194,"*叠1*")*0.25+COUNTIF(G194,"*叠2*")*0.5+COUNTIF(G194,"*叠3*")*0.75</f>
        <v>2.5656473116</v>
      </c>
      <c r="Y194">
        <f ca="1" t="shared" si="478"/>
        <v>2.30621955206788</v>
      </c>
      <c r="Z194">
        <f t="shared" si="479"/>
        <v>0.150390625</v>
      </c>
      <c r="AA194">
        <f ca="1" t="shared" si="480"/>
        <v>0.0205078125</v>
      </c>
      <c r="AB194">
        <f ca="1" t="shared" si="481"/>
        <v>9241588.8512916</v>
      </c>
      <c r="AC194">
        <f ca="1">技能数计算!AJ186</f>
        <v>0</v>
      </c>
      <c r="AD194" s="164">
        <f ca="1" t="shared" si="482"/>
        <v>0</v>
      </c>
      <c r="AE194" s="168">
        <f ca="1" t="shared" si="317"/>
        <v>0.00445191640067048</v>
      </c>
      <c r="AF194" s="168">
        <f ca="1" t="shared" si="483"/>
        <v>0.00151419249530805</v>
      </c>
      <c r="AG194">
        <f ca="1" t="shared" si="484"/>
        <v>0.00319852755593519</v>
      </c>
      <c r="AH194">
        <f ca="1" t="shared" si="485"/>
        <v>1.0030370262927</v>
      </c>
      <c r="AI194">
        <f ca="1" t="shared" si="486"/>
        <v>1.00016101226475</v>
      </c>
      <c r="AJ194">
        <f ca="1" t="shared" si="487"/>
        <v>0</v>
      </c>
      <c r="AK194">
        <f ca="1" t="shared" si="488"/>
        <v>0</v>
      </c>
      <c r="AL194">
        <f ca="1" t="shared" si="489"/>
        <v>0</v>
      </c>
      <c r="AM194">
        <f ca="1" t="shared" si="490"/>
        <v>0</v>
      </c>
      <c r="AN194" s="168">
        <f ca="1" t="shared" si="491"/>
        <v>0.00726559092089141</v>
      </c>
      <c r="AO194" s="168">
        <f ca="1" t="shared" si="492"/>
        <v>0.00447057613551372</v>
      </c>
      <c r="AP194" s="172">
        <f ca="1" t="shared" si="493"/>
        <v>0</v>
      </c>
      <c r="AQ194" s="168">
        <f ca="1" t="shared" si="494"/>
        <v>0.00401583628616287</v>
      </c>
      <c r="AR194">
        <f t="shared" si="495"/>
        <v>1</v>
      </c>
    </row>
    <row r="195" spans="4:44">
      <c r="D195" t="s">
        <v>1825</v>
      </c>
      <c r="E195" t="s">
        <v>2776</v>
      </c>
      <c r="G195" t="s">
        <v>3112</v>
      </c>
      <c r="H195">
        <f ca="1">INDEX(技能数据库!$B$2:$I$100,MATCH(伤害与收益计算!$E195,技能数据库!$B$2:$B$100,0),MATCH(H$9,技能数据库!$B$2:$I$2,0))</f>
        <v>281.5</v>
      </c>
      <c r="I195">
        <f ca="1">INDEX(技能数据库!$B$2:$I$100,MATCH(伤害与收益计算!$E195,技能数据库!$B$2:$B$100,0),MATCH(I$9,技能数据库!$B$2:$I$2,0))</f>
        <v>7.06875</v>
      </c>
      <c r="J195">
        <f ca="1">INDEX(技能数据库!$B$2:$I$100,MATCH(伤害与收益计算!$E195,技能数据库!$B$2:$B$100,0),MATCH(J$9,技能数据库!$B$2:$I$2,0))</f>
        <v>2</v>
      </c>
      <c r="K195">
        <f ca="1">INDEX(技能数据库!$B$2:$I$100,MATCH(伤害与收益计算!$E195,技能数据库!$B$2:$B$100,0),MATCH(K$9,技能数据库!$B$2:$I$2,0))</f>
        <v>0</v>
      </c>
      <c r="L195">
        <f ca="1" t="shared" si="316"/>
        <v>105847</v>
      </c>
      <c r="M195">
        <f ca="1" t="shared" si="470"/>
        <v>19530.5</v>
      </c>
      <c r="N195">
        <f ca="1" t="shared" si="471"/>
        <v>92028</v>
      </c>
      <c r="O195">
        <f ca="1" t="shared" si="472"/>
        <v>787548.48125</v>
      </c>
      <c r="P195">
        <f ca="1">IF(G195="恒定伤害",0,(IF(D195="轻剑",$AZ$2,$AZ$3)+IFERROR(INDEX(技能数据库!$T$2:$W$27,MATCH(E195,技能数据库!$T$2:$T$27,0),4),0)+COUNTIF(G195,"*造化2*")*154+COUNTIF(G195,"*造化1*")*102+COUNTIF(G195,"*碧归*")*307)/1024)</f>
        <v>0.697375959429785</v>
      </c>
      <c r="Q195">
        <f ca="1" t="shared" si="473"/>
        <v>0.448284482196154</v>
      </c>
      <c r="R195">
        <f ca="1" t="shared" si="474"/>
        <v>0.21277697966198</v>
      </c>
      <c r="S195">
        <f ca="1" t="shared" si="475"/>
        <v>1524077.34686146</v>
      </c>
      <c r="T195">
        <f t="shared" si="338"/>
        <v>0.8</v>
      </c>
      <c r="U195">
        <f ca="1" t="shared" si="476"/>
        <v>1.7995442148</v>
      </c>
      <c r="V195">
        <f ca="1" t="shared" si="477"/>
        <v>3413377.53545098</v>
      </c>
      <c r="W195">
        <f ca="1">IF(G195="恒定伤害",0,MIN(1,IF(COUNTIF(F195,"*内会*")&gt;0,内会,IF(D195="轻剑",$Y$2,$Y$3)+COUNTIF(G195,"*莺鸣*")*0.2+COUNTIF(G195,"*叠1*")*0.1+COUNTIF(G195,"*叠2*")*0.2+COUNTIF(G195,"*叠3*")*0.3)+IFERROR(INDEX(技能数据库!$T$2:$W$27,MATCH(E195,技能数据库!$T$2:$T$27,0),2),0)+IF((IF(D195="轻剑",$AO$2,$AO$3)+INT(COUNTIF(G195,"*大莺鸣*")*IF(D195="轻剑",$AM$2,$AM$3)*听晓无双率)/无双系数)&gt;0.9,特效裤子会心/会心系数,0)))</f>
        <v>0.9343</v>
      </c>
      <c r="X195">
        <f ca="1">IF(G195="恒定伤害",0,IF(COUNTIF(F195,"*内会*")&gt;0,内会效,IF(D195="轻剑",$AB$2,$AB$3))+IFERROR(INDEX(技能数据库!$T$2:$W$27,MATCH(E195,技能数据库!$T$2:$T$27,0),3)/1024,0))+COUNTIF(G195,"*叠1*")*0.25+COUNTIF(G195,"*叠2*")*0.5+COUNTIF(G195,"*叠3*")*0.75</f>
        <v>2.8156473116</v>
      </c>
      <c r="Y195">
        <f ca="1" t="shared" si="478"/>
        <v>2.69635928322788</v>
      </c>
      <c r="Z195">
        <f t="shared" si="479"/>
        <v>0.150390625</v>
      </c>
      <c r="AA195">
        <f ca="1" t="shared" si="480"/>
        <v>0.0205078125</v>
      </c>
      <c r="AB195">
        <f ca="1" t="shared" si="481"/>
        <v>10804974.6905545</v>
      </c>
      <c r="AC195">
        <f ca="1">技能数计算!AJ187</f>
        <v>0</v>
      </c>
      <c r="AD195" s="164">
        <f ca="1" t="shared" si="482"/>
        <v>0</v>
      </c>
      <c r="AE195" s="168">
        <f ca="1" t="shared" si="317"/>
        <v>0.00445191640067048</v>
      </c>
      <c r="AF195" s="168">
        <f ca="1" t="shared" si="483"/>
        <v>0.00151419249530805</v>
      </c>
      <c r="AG195">
        <f ca="1" t="shared" si="484"/>
        <v>0.00319852755593519</v>
      </c>
      <c r="AH195">
        <f ca="1" t="shared" si="485"/>
        <v>1.0030370262927</v>
      </c>
      <c r="AI195">
        <f ca="1" t="shared" si="486"/>
        <v>1.00016101226475</v>
      </c>
      <c r="AJ195">
        <f ca="1" t="shared" si="487"/>
        <v>0</v>
      </c>
      <c r="AK195">
        <f ca="1" t="shared" si="488"/>
        <v>0</v>
      </c>
      <c r="AL195">
        <f ca="1" t="shared" si="489"/>
        <v>0</v>
      </c>
      <c r="AM195">
        <f ca="1" t="shared" si="490"/>
        <v>0</v>
      </c>
      <c r="AN195" s="168">
        <f ca="1" t="shared" si="491"/>
        <v>0.00695917786518119</v>
      </c>
      <c r="AO195" s="168">
        <f ca="1" t="shared" si="492"/>
        <v>0.00447057613551372</v>
      </c>
      <c r="AP195" s="172">
        <f ca="1" t="shared" si="493"/>
        <v>0</v>
      </c>
      <c r="AQ195" s="168">
        <f ca="1" t="shared" si="494"/>
        <v>0.00401583628616287</v>
      </c>
      <c r="AR195">
        <f t="shared" si="495"/>
        <v>1</v>
      </c>
    </row>
    <row r="196" spans="4:44">
      <c r="D196" t="s">
        <v>1825</v>
      </c>
      <c r="E196" t="s">
        <v>2776</v>
      </c>
      <c r="G196" t="s">
        <v>3113</v>
      </c>
      <c r="H196">
        <f ca="1">INDEX(技能数据库!$B$2:$I$100,MATCH(伤害与收益计算!$E196,技能数据库!$B$2:$B$100,0),MATCH(H$9,技能数据库!$B$2:$I$2,0))</f>
        <v>281.5</v>
      </c>
      <c r="I196">
        <f ca="1">INDEX(技能数据库!$B$2:$I$100,MATCH(伤害与收益计算!$E196,技能数据库!$B$2:$B$100,0),MATCH(I$9,技能数据库!$B$2:$I$2,0))</f>
        <v>7.06875</v>
      </c>
      <c r="J196">
        <f ca="1">INDEX(技能数据库!$B$2:$I$100,MATCH(伤害与收益计算!$E196,技能数据库!$B$2:$B$100,0),MATCH(J$9,技能数据库!$B$2:$I$2,0))</f>
        <v>2</v>
      </c>
      <c r="K196">
        <f ca="1">INDEX(技能数据库!$B$2:$I$100,MATCH(伤害与收益计算!$E196,技能数据库!$B$2:$B$100,0),MATCH(K$9,技能数据库!$B$2:$I$2,0))</f>
        <v>0</v>
      </c>
      <c r="L196">
        <f ca="1" t="shared" si="316"/>
        <v>105847</v>
      </c>
      <c r="M196">
        <f ca="1" t="shared" si="470"/>
        <v>19530.5</v>
      </c>
      <c r="N196">
        <f ca="1" t="shared" si="471"/>
        <v>92028</v>
      </c>
      <c r="O196">
        <f ca="1" t="shared" si="472"/>
        <v>787548.48125</v>
      </c>
      <c r="P196">
        <f ca="1">IF(G196="恒定伤害",0,(IF(D196="轻剑",$AZ$2,$AZ$3)+IFERROR(INDEX(技能数据库!$T$2:$W$27,MATCH(E196,技能数据库!$T$2:$T$27,0),4),0)+COUNTIF(G196,"*造化2*")*154+COUNTIF(G196,"*造化1*")*102+COUNTIF(G196,"*碧归*")*307)/1024)</f>
        <v>0.697375959429785</v>
      </c>
      <c r="Q196">
        <f ca="1" t="shared" si="473"/>
        <v>0.448284482196154</v>
      </c>
      <c r="R196">
        <f ca="1" t="shared" si="474"/>
        <v>0.21277697966198</v>
      </c>
      <c r="S196">
        <f ca="1" t="shared" si="475"/>
        <v>1524077.34686146</v>
      </c>
      <c r="T196">
        <f t="shared" si="338"/>
        <v>0.8</v>
      </c>
      <c r="U196">
        <f ca="1" t="shared" si="476"/>
        <v>1.7995442148</v>
      </c>
      <c r="V196">
        <f ca="1" t="shared" si="477"/>
        <v>3413377.53545098</v>
      </c>
      <c r="W196">
        <f ca="1">IF(G196="恒定伤害",0,MIN(1,IF(COUNTIF(F196,"*内会*")&gt;0,内会,IF(D196="轻剑",$Y$2,$Y$3)+COUNTIF(G196,"*莺鸣*")*0.2+COUNTIF(G196,"*叠1*")*0.1+COUNTIF(G196,"*叠2*")*0.2+COUNTIF(G196,"*叠3*")*0.3)+IFERROR(INDEX(技能数据库!$T$2:$W$27,MATCH(E196,技能数据库!$T$2:$T$27,0),2),0)+IF((IF(D196="轻剑",$AO$2,$AO$3)+INT(COUNTIF(G196,"*大莺鸣*")*IF(D196="轻剑",$AM$2,$AM$3)*听晓无双率)/无双系数)&gt;0.9,特效裤子会心/会心系数,0)))</f>
        <v>1</v>
      </c>
      <c r="X196">
        <f ca="1">IF(G196="恒定伤害",0,IF(COUNTIF(F196,"*内会*")&gt;0,内会效,IF(D196="轻剑",$AB$2,$AB$3))+IFERROR(INDEX(技能数据库!$T$2:$W$27,MATCH(E196,技能数据库!$T$2:$T$27,0),3)/1024,0))+COUNTIF(G196,"*叠1*")*0.25+COUNTIF(G196,"*叠2*")*0.5+COUNTIF(G196,"*叠3*")*0.75</f>
        <v>3.0656473116</v>
      </c>
      <c r="Y196">
        <f ca="1" t="shared" si="478"/>
        <v>3.0656473116</v>
      </c>
      <c r="Z196">
        <f t="shared" si="479"/>
        <v>0.150390625</v>
      </c>
      <c r="AA196">
        <f ca="1" t="shared" si="480"/>
        <v>0.0205078125</v>
      </c>
      <c r="AB196">
        <f ca="1" t="shared" si="481"/>
        <v>12284802.6292515</v>
      </c>
      <c r="AC196">
        <f ca="1">技能数计算!AJ188</f>
        <v>18</v>
      </c>
      <c r="AD196" s="164">
        <f ca="1" t="shared" si="482"/>
        <v>0.0709843469060455</v>
      </c>
      <c r="AE196" s="168">
        <f ca="1" t="shared" si="317"/>
        <v>0.00445191640067048</v>
      </c>
      <c r="AF196" s="168">
        <f ca="1" t="shared" si="483"/>
        <v>0.00151419249530805</v>
      </c>
      <c r="AG196">
        <f ca="1" t="shared" si="484"/>
        <v>0.00319852755593519</v>
      </c>
      <c r="AH196">
        <f ca="1" t="shared" si="485"/>
        <v>1.0030370262927</v>
      </c>
      <c r="AI196">
        <f ca="1" t="shared" si="486"/>
        <v>1.00016101226475</v>
      </c>
      <c r="AJ196">
        <f ca="1" t="shared" si="487"/>
        <v>1</v>
      </c>
      <c r="AK196">
        <f ca="1" t="shared" si="488"/>
        <v>18</v>
      </c>
      <c r="AL196">
        <f ca="1" t="shared" si="489"/>
        <v>0</v>
      </c>
      <c r="AM196">
        <f ca="1" t="shared" si="490"/>
        <v>18</v>
      </c>
      <c r="AN196" s="168">
        <f ca="1" t="shared" si="491"/>
        <v>0.00655129503556839</v>
      </c>
      <c r="AO196" s="168">
        <f ca="1" t="shared" si="492"/>
        <v>0.00447057613551372</v>
      </c>
      <c r="AP196" s="172">
        <f ca="1" t="shared" si="493"/>
        <v>0</v>
      </c>
      <c r="AQ196" s="168">
        <f ca="1" t="shared" si="494"/>
        <v>0.00401583628616287</v>
      </c>
      <c r="AR196">
        <f t="shared" si="495"/>
        <v>1</v>
      </c>
    </row>
    <row r="197" spans="4:44">
      <c r="D197" t="s">
        <v>1825</v>
      </c>
      <c r="E197" t="s">
        <v>2780</v>
      </c>
      <c r="G197" t="s">
        <v>3111</v>
      </c>
      <c r="H197">
        <f ca="1">INDEX(技能数据库!$B$2:$I$100,MATCH(伤害与收益计算!$E197,技能数据库!$B$2:$B$100,0),MATCH(H$9,技能数据库!$B$2:$I$2,0))</f>
        <v>252.5</v>
      </c>
      <c r="I197">
        <f ca="1">INDEX(技能数据库!$B$2:$I$100,MATCH(伤害与收益计算!$E197,技能数据库!$B$2:$B$100,0),MATCH(I$9,技能数据库!$B$2:$I$2,0))</f>
        <v>2.11875</v>
      </c>
      <c r="J197">
        <f ca="1">INDEX(技能数据库!$B$2:$I$100,MATCH(伤害与收益计算!$E197,技能数据库!$B$2:$B$100,0),MATCH(J$9,技能数据库!$B$2:$I$2,0))</f>
        <v>2</v>
      </c>
      <c r="K197">
        <f ca="1">INDEX(技能数据库!$B$2:$I$100,MATCH(伤害与收益计算!$E197,技能数据库!$B$2:$B$100,0),MATCH(K$9,技能数据库!$B$2:$I$2,0))</f>
        <v>0</v>
      </c>
      <c r="L197">
        <f ca="1" t="shared" si="316"/>
        <v>105847</v>
      </c>
      <c r="M197">
        <f ca="1" t="shared" si="470"/>
        <v>19530.5</v>
      </c>
      <c r="N197">
        <f ca="1" t="shared" si="471"/>
        <v>92028</v>
      </c>
      <c r="O197">
        <f ca="1" t="shared" si="472"/>
        <v>263576.83125</v>
      </c>
      <c r="P197">
        <f ca="1">IF(G197="恒定伤害",0,(IF(D197="轻剑",$AZ$2,$AZ$3)+IFERROR(INDEX(技能数据库!$T$2:$W$27,MATCH(E197,技能数据库!$T$2:$T$27,0),4),0)+COUNTIF(G197,"*造化2*")*154+COUNTIF(G197,"*造化1*")*102+COUNTIF(G197,"*碧归*")*307)/1024)</f>
        <v>0.697375959429785</v>
      </c>
      <c r="Q197">
        <f ca="1" t="shared" si="473"/>
        <v>0.448284482196154</v>
      </c>
      <c r="R197">
        <f ca="1" t="shared" si="474"/>
        <v>0.21277697966198</v>
      </c>
      <c r="S197">
        <f ca="1" t="shared" si="475"/>
        <v>510078.410700573</v>
      </c>
      <c r="T197">
        <f t="shared" si="338"/>
        <v>0.8</v>
      </c>
      <c r="U197">
        <f ca="1" t="shared" si="476"/>
        <v>1.7995442148</v>
      </c>
      <c r="V197">
        <f ca="1" t="shared" si="477"/>
        <v>1142389.65101693</v>
      </c>
      <c r="W197">
        <f ca="1">IF(G197="恒定伤害",0,MIN(1,IF(COUNTIF(F197,"*内会*")&gt;0,内会,IF(D197="轻剑",$Y$2,$Y$3)+COUNTIF(G197,"*莺鸣*")*0.2+COUNTIF(G197,"*叠1*")*0.1+COUNTIF(G197,"*叠2*")*0.2+COUNTIF(G197,"*叠3*")*0.3)+IFERROR(INDEX(技能数据库!$T$2:$W$27,MATCH(E197,技能数据库!$T$2:$T$27,0),2),0)+IF((IF(D197="轻剑",$AO$2,$AO$3)+INT(COUNTIF(G197,"*大莺鸣*")*IF(D197="轻剑",$AM$2,$AM$3)*听晓无双率)/无双系数)&gt;0.9,特效裤子会心/会心系数,0)))</f>
        <v>0.8343</v>
      </c>
      <c r="X197">
        <f ca="1">IF(G197="恒定伤害",0,IF(COUNTIF(F197,"*内会*")&gt;0,内会效,IF(D197="轻剑",$AB$2,$AB$3))+IFERROR(INDEX(技能数据库!$T$2:$W$27,MATCH(E197,技能数据库!$T$2:$T$27,0),3)/1024,0))+COUNTIF(G197,"*叠1*")*0.25+COUNTIF(G197,"*叠2*")*0.5+COUNTIF(G197,"*叠3*")*0.75</f>
        <v>2.5656473116</v>
      </c>
      <c r="Y197">
        <f ca="1" t="shared" si="478"/>
        <v>2.30621955206788</v>
      </c>
      <c r="Z197">
        <f t="shared" si="479"/>
        <v>0.150390625</v>
      </c>
      <c r="AA197">
        <f ca="1" t="shared" si="480"/>
        <v>0.0205078125</v>
      </c>
      <c r="AB197">
        <f ca="1" t="shared" si="481"/>
        <v>3092976.19528457</v>
      </c>
      <c r="AC197" s="171">
        <f ca="1">技能数计算!AJ189</f>
        <v>0</v>
      </c>
      <c r="AD197" s="164">
        <f ca="1" t="shared" si="482"/>
        <v>0</v>
      </c>
      <c r="AE197" s="168">
        <f ca="1" t="shared" si="317"/>
        <v>0.00398707274465726</v>
      </c>
      <c r="AF197" s="168">
        <f ca="1" t="shared" si="483"/>
        <v>0.00452429750499931</v>
      </c>
      <c r="AG197">
        <f ca="1" t="shared" si="484"/>
        <v>0.00288136757670965</v>
      </c>
      <c r="AH197">
        <f ca="1" t="shared" si="485"/>
        <v>1.0027199173719</v>
      </c>
      <c r="AI197">
        <f ca="1" t="shared" si="486"/>
        <v>1.00016101226475</v>
      </c>
      <c r="AJ197">
        <f ca="1" t="shared" si="487"/>
        <v>0</v>
      </c>
      <c r="AK197">
        <f ca="1" t="shared" si="488"/>
        <v>0</v>
      </c>
      <c r="AL197">
        <f ca="1" t="shared" si="489"/>
        <v>0</v>
      </c>
      <c r="AM197">
        <f ca="1" t="shared" si="490"/>
        <v>0</v>
      </c>
      <c r="AN197" s="168">
        <f ca="1" t="shared" si="491"/>
        <v>0.00726559092089141</v>
      </c>
      <c r="AO197" s="168">
        <f ca="1" t="shared" si="492"/>
        <v>0.00447057613551372</v>
      </c>
      <c r="AP197" s="172">
        <f ca="1" t="shared" si="493"/>
        <v>0</v>
      </c>
      <c r="AQ197" s="168">
        <f ca="1" t="shared" si="494"/>
        <v>0.00401583628616287</v>
      </c>
      <c r="AR197">
        <f t="shared" si="495"/>
        <v>1</v>
      </c>
    </row>
    <row r="198" spans="4:44">
      <c r="D198" t="s">
        <v>1825</v>
      </c>
      <c r="E198" t="s">
        <v>2780</v>
      </c>
      <c r="G198" t="s">
        <v>3112</v>
      </c>
      <c r="H198">
        <f ca="1">INDEX(技能数据库!$B$2:$I$100,MATCH(伤害与收益计算!$E198,技能数据库!$B$2:$B$100,0),MATCH(H$9,技能数据库!$B$2:$I$2,0))</f>
        <v>252.5</v>
      </c>
      <c r="I198">
        <f ca="1">INDEX(技能数据库!$B$2:$I$100,MATCH(伤害与收益计算!$E198,技能数据库!$B$2:$B$100,0),MATCH(I$9,技能数据库!$B$2:$I$2,0))</f>
        <v>2.11875</v>
      </c>
      <c r="J198">
        <f ca="1">INDEX(技能数据库!$B$2:$I$100,MATCH(伤害与收益计算!$E198,技能数据库!$B$2:$B$100,0),MATCH(J$9,技能数据库!$B$2:$I$2,0))</f>
        <v>2</v>
      </c>
      <c r="K198">
        <f ca="1">INDEX(技能数据库!$B$2:$I$100,MATCH(伤害与收益计算!$E198,技能数据库!$B$2:$B$100,0),MATCH(K$9,技能数据库!$B$2:$I$2,0))</f>
        <v>0</v>
      </c>
      <c r="L198">
        <f ca="1" t="shared" si="316"/>
        <v>105847</v>
      </c>
      <c r="M198">
        <f ca="1" t="shared" ref="M198:M200" si="496">IF(D198="轻剑",$AU$2+$AV$2,$AU$3+$AV$3)/2</f>
        <v>19530.5</v>
      </c>
      <c r="N198">
        <f ca="1" t="shared" ref="N198:N200" si="497">IF(D198="轻剑",$AJ$2,$AJ$3)</f>
        <v>92028</v>
      </c>
      <c r="O198">
        <f ca="1" t="shared" si="472"/>
        <v>263576.83125</v>
      </c>
      <c r="P198">
        <f ca="1">IF(G198="恒定伤害",0,(IF(D198="轻剑",$AZ$2,$AZ$3)+IFERROR(INDEX(技能数据库!$T$2:$W$27,MATCH(E198,技能数据库!$T$2:$T$27,0),4),0)+COUNTIF(G198,"*造化2*")*154+COUNTIF(G198,"*造化1*")*102+COUNTIF(G198,"*碧归*")*307)/1024)</f>
        <v>0.697375959429785</v>
      </c>
      <c r="Q198">
        <f ca="1" t="shared" si="473"/>
        <v>0.448284482196154</v>
      </c>
      <c r="R198">
        <f ca="1" t="shared" si="474"/>
        <v>0.21277697966198</v>
      </c>
      <c r="S198">
        <f ca="1" t="shared" ref="S198:S200" si="498">O198*(1+P198)*(1+Q198)*(1-R198)</f>
        <v>510078.410700573</v>
      </c>
      <c r="T198">
        <f t="shared" si="338"/>
        <v>0.8</v>
      </c>
      <c r="U198">
        <f ca="1" t="shared" si="476"/>
        <v>1.7995442148</v>
      </c>
      <c r="V198">
        <f ca="1" t="shared" ref="V198:V200" si="499">S198*T198*(1+U198)</f>
        <v>1142389.65101693</v>
      </c>
      <c r="W198">
        <f ca="1">IF(G198="恒定伤害",0,MIN(1,IF(COUNTIF(F198,"*内会*")&gt;0,内会,IF(D198="轻剑",$Y$2,$Y$3)+COUNTIF(G198,"*莺鸣*")*0.2+COUNTIF(G198,"*叠1*")*0.1+COUNTIF(G198,"*叠2*")*0.2+COUNTIF(G198,"*叠3*")*0.3)+IFERROR(INDEX(技能数据库!$T$2:$W$27,MATCH(E198,技能数据库!$T$2:$T$27,0),2),0)+IF((IF(D198="轻剑",$AO$2,$AO$3)+INT(COUNTIF(G198,"*大莺鸣*")*IF(D198="轻剑",$AM$2,$AM$3)*听晓无双率)/无双系数)&gt;0.9,特效裤子会心/会心系数,0)))</f>
        <v>0.9343</v>
      </c>
      <c r="X198">
        <f ca="1">IF(G198="恒定伤害",0,IF(COUNTIF(F198,"*内会*")&gt;0,内会效,IF(D198="轻剑",$AB$2,$AB$3))+IFERROR(INDEX(技能数据库!$T$2:$W$27,MATCH(E198,技能数据库!$T$2:$T$27,0),3)/1024,0))+COUNTIF(G198,"*叠1*")*0.25+COUNTIF(G198,"*叠2*")*0.5+COUNTIF(G198,"*叠3*")*0.75</f>
        <v>2.8156473116</v>
      </c>
      <c r="Y198">
        <f ca="1" t="shared" ref="Y198:Y200" si="500">1+W198*(X198-1)</f>
        <v>2.69635928322788</v>
      </c>
      <c r="Z198">
        <f t="shared" si="479"/>
        <v>0.150390625</v>
      </c>
      <c r="AA198">
        <f ca="1" t="shared" ref="AA198:AA200" si="501">IF(D198="轻剑",$BA$2,$BA$3)/1024</f>
        <v>0.0205078125</v>
      </c>
      <c r="AB198">
        <f ca="1" t="shared" ref="AB198:AB200" si="502">V198*Y198*(1+Z198)*(1+AA198)</f>
        <v>3616210.37749008</v>
      </c>
      <c r="AC198">
        <f ca="1">技能数计算!AJ190</f>
        <v>0</v>
      </c>
      <c r="AD198" s="164">
        <f ca="1" t="shared" si="482"/>
        <v>0</v>
      </c>
      <c r="AE198" s="168">
        <f ca="1" t="shared" si="317"/>
        <v>0.00398707274465726</v>
      </c>
      <c r="AF198" s="168">
        <f ca="1" t="shared" si="483"/>
        <v>0.00452429750499931</v>
      </c>
      <c r="AG198">
        <f ca="1" t="shared" ref="AG198:AG200" si="503">IF(G198="恒定伤害",0,MAX(0,AH198*AI198*IF(AJ198=0,1,AJ198)-1))</f>
        <v>0.00288136757670965</v>
      </c>
      <c r="AH198">
        <f ca="1" t="shared" si="485"/>
        <v>1.0027199173719</v>
      </c>
      <c r="AI198">
        <f ca="1" t="shared" si="486"/>
        <v>1.00016101226475</v>
      </c>
      <c r="AJ198">
        <f ca="1" t="shared" si="487"/>
        <v>0</v>
      </c>
      <c r="AK198">
        <f ca="1" t="shared" si="488"/>
        <v>0</v>
      </c>
      <c r="AL198">
        <f ca="1" t="shared" si="489"/>
        <v>0</v>
      </c>
      <c r="AM198">
        <f ca="1" t="shared" si="490"/>
        <v>0</v>
      </c>
      <c r="AN198" s="168">
        <f ca="1" t="shared" si="491"/>
        <v>0.00695917786518119</v>
      </c>
      <c r="AO198" s="168">
        <f ca="1" t="shared" si="492"/>
        <v>0.00447057613551372</v>
      </c>
      <c r="AP198" s="172">
        <f ca="1" t="shared" si="493"/>
        <v>0</v>
      </c>
      <c r="AQ198" s="168">
        <f ca="1" t="shared" si="494"/>
        <v>0.00401583628616287</v>
      </c>
      <c r="AR198">
        <f t="shared" si="495"/>
        <v>1</v>
      </c>
    </row>
    <row r="199" spans="4:44">
      <c r="D199" t="s">
        <v>1825</v>
      </c>
      <c r="E199" t="s">
        <v>2780</v>
      </c>
      <c r="G199" t="s">
        <v>3113</v>
      </c>
      <c r="H199">
        <f ca="1">INDEX(技能数据库!$B$2:$I$100,MATCH(伤害与收益计算!$E199,技能数据库!$B$2:$B$100,0),MATCH(H$9,技能数据库!$B$2:$I$2,0))</f>
        <v>252.5</v>
      </c>
      <c r="I199">
        <f ca="1">INDEX(技能数据库!$B$2:$I$100,MATCH(伤害与收益计算!$E199,技能数据库!$B$2:$B$100,0),MATCH(I$9,技能数据库!$B$2:$I$2,0))</f>
        <v>2.11875</v>
      </c>
      <c r="J199">
        <f ca="1">INDEX(技能数据库!$B$2:$I$100,MATCH(伤害与收益计算!$E199,技能数据库!$B$2:$B$100,0),MATCH(J$9,技能数据库!$B$2:$I$2,0))</f>
        <v>2</v>
      </c>
      <c r="K199">
        <f ca="1">INDEX(技能数据库!$B$2:$I$100,MATCH(伤害与收益计算!$E199,技能数据库!$B$2:$B$100,0),MATCH(K$9,技能数据库!$B$2:$I$2,0))</f>
        <v>0</v>
      </c>
      <c r="L199">
        <f ca="1" t="shared" si="316"/>
        <v>105847</v>
      </c>
      <c r="M199">
        <f ca="1" t="shared" si="496"/>
        <v>19530.5</v>
      </c>
      <c r="N199">
        <f ca="1" t="shared" si="497"/>
        <v>92028</v>
      </c>
      <c r="O199">
        <f ca="1" t="shared" si="472"/>
        <v>263576.83125</v>
      </c>
      <c r="P199">
        <f ca="1">IF(G199="恒定伤害",0,(IF(D199="轻剑",$AZ$2,$AZ$3)+IFERROR(INDEX(技能数据库!$T$2:$W$27,MATCH(E199,技能数据库!$T$2:$T$27,0),4),0)+COUNTIF(G199,"*造化2*")*154+COUNTIF(G199,"*造化1*")*102+COUNTIF(G199,"*碧归*")*307)/1024)</f>
        <v>0.697375959429785</v>
      </c>
      <c r="Q199">
        <f ca="1" t="shared" si="473"/>
        <v>0.448284482196154</v>
      </c>
      <c r="R199">
        <f ca="1" t="shared" si="474"/>
        <v>0.21277697966198</v>
      </c>
      <c r="S199">
        <f ca="1" t="shared" si="498"/>
        <v>510078.410700573</v>
      </c>
      <c r="T199">
        <f t="shared" si="338"/>
        <v>0.8</v>
      </c>
      <c r="U199">
        <f ca="1" t="shared" si="476"/>
        <v>1.7995442148</v>
      </c>
      <c r="V199">
        <f ca="1" t="shared" si="499"/>
        <v>1142389.65101693</v>
      </c>
      <c r="W199">
        <f ca="1">IF(G199="恒定伤害",0,MIN(1,IF(COUNTIF(F199,"*内会*")&gt;0,内会,IF(D199="轻剑",$Y$2,$Y$3)+COUNTIF(G199,"*莺鸣*")*0.2+COUNTIF(G199,"*叠1*")*0.1+COUNTIF(G199,"*叠2*")*0.2+COUNTIF(G199,"*叠3*")*0.3)+IFERROR(INDEX(技能数据库!$T$2:$W$27,MATCH(E199,技能数据库!$T$2:$T$27,0),2),0)+IF((IF(D199="轻剑",$AO$2,$AO$3)+INT(COUNTIF(G199,"*大莺鸣*")*IF(D199="轻剑",$AM$2,$AM$3)*听晓无双率)/无双系数)&gt;0.9,特效裤子会心/会心系数,0)))</f>
        <v>1</v>
      </c>
      <c r="X199">
        <f ca="1">IF(G199="恒定伤害",0,IF(COUNTIF(F199,"*内会*")&gt;0,内会效,IF(D199="轻剑",$AB$2,$AB$3))+IFERROR(INDEX(技能数据库!$T$2:$W$27,MATCH(E199,技能数据库!$T$2:$T$27,0),3)/1024,0))+COUNTIF(G199,"*叠1*")*0.25+COUNTIF(G199,"*叠2*")*0.5+COUNTIF(G199,"*叠3*")*0.75</f>
        <v>3.0656473116</v>
      </c>
      <c r="Y199">
        <f ca="1" t="shared" si="500"/>
        <v>3.0656473116</v>
      </c>
      <c r="Z199">
        <f t="shared" si="479"/>
        <v>0.150390625</v>
      </c>
      <c r="AA199">
        <f ca="1" t="shared" si="501"/>
        <v>0.0205078125</v>
      </c>
      <c r="AB199">
        <f ca="1" t="shared" si="502"/>
        <v>4111479.39033597</v>
      </c>
      <c r="AC199">
        <f ca="1">技能数计算!AJ191</f>
        <v>18</v>
      </c>
      <c r="AD199" s="164">
        <f ca="1" t="shared" si="482"/>
        <v>0.0237570507356574</v>
      </c>
      <c r="AE199" s="168">
        <f ca="1" t="shared" si="317"/>
        <v>0.00398707274465726</v>
      </c>
      <c r="AF199" s="168">
        <f ca="1" t="shared" si="483"/>
        <v>0.00452429750499931</v>
      </c>
      <c r="AG199">
        <f ca="1" t="shared" si="503"/>
        <v>0.00288136757670965</v>
      </c>
      <c r="AH199">
        <f ca="1" t="shared" si="485"/>
        <v>1.0027199173719</v>
      </c>
      <c r="AI199">
        <f ca="1" t="shared" si="486"/>
        <v>1.00016101226475</v>
      </c>
      <c r="AJ199">
        <f ca="1" t="shared" si="487"/>
        <v>1</v>
      </c>
      <c r="AK199">
        <f ca="1" t="shared" si="488"/>
        <v>18</v>
      </c>
      <c r="AL199">
        <f ca="1" t="shared" si="489"/>
        <v>0</v>
      </c>
      <c r="AM199">
        <f ca="1" t="shared" si="490"/>
        <v>18</v>
      </c>
      <c r="AN199" s="168">
        <f ca="1" t="shared" si="491"/>
        <v>0.00655129503556839</v>
      </c>
      <c r="AO199" s="168">
        <f ca="1" t="shared" si="492"/>
        <v>0.00447057613551372</v>
      </c>
      <c r="AP199" s="172">
        <f ca="1" t="shared" si="493"/>
        <v>0</v>
      </c>
      <c r="AQ199" s="168">
        <f ca="1" t="shared" si="494"/>
        <v>0.00401583628616287</v>
      </c>
      <c r="AR199">
        <f t="shared" si="495"/>
        <v>1</v>
      </c>
    </row>
    <row r="200" spans="4:44">
      <c r="D200" t="s">
        <v>1825</v>
      </c>
      <c r="E200" t="s">
        <v>2808</v>
      </c>
      <c r="G200" t="s">
        <v>3111</v>
      </c>
      <c r="H200">
        <f ca="1">INDEX(技能数据库!$B$2:$I$100,MATCH(伤害与收益计算!$E200,技能数据库!$B$2:$B$100,0),MATCH(H$9,技能数据库!$B$2:$I$2,0))</f>
        <v>535</v>
      </c>
      <c r="I200">
        <f ca="1">INDEX(技能数据库!$B$2:$I$100,MATCH(伤害与收益计算!$E200,技能数据库!$B$2:$B$100,0),MATCH(I$9,技能数据库!$B$2:$I$2,0))</f>
        <v>7.06875</v>
      </c>
      <c r="J200">
        <f ca="1">INDEX(技能数据库!$B$2:$I$100,MATCH(伤害与收益计算!$E200,技能数据库!$B$2:$B$100,0),MATCH(J$9,技能数据库!$B$2:$I$2,0))</f>
        <v>2</v>
      </c>
      <c r="K200">
        <f ca="1">INDEX(技能数据库!$B$2:$I$100,MATCH(伤害与收益计算!$E200,技能数据库!$B$2:$B$100,0),MATCH(K$9,技能数据库!$B$2:$I$2,0))</f>
        <v>0</v>
      </c>
      <c r="L200">
        <f ca="1" t="shared" si="316"/>
        <v>105847</v>
      </c>
      <c r="M200">
        <f ca="1" t="shared" si="496"/>
        <v>19530.5</v>
      </c>
      <c r="N200">
        <f ca="1" t="shared" si="497"/>
        <v>92028</v>
      </c>
      <c r="O200">
        <f ca="1" t="shared" si="472"/>
        <v>787801.98125</v>
      </c>
      <c r="P200">
        <f ca="1">IF(G200="恒定伤害",0,(IF(D200="轻剑",$AZ$2,$AZ$3)+IFERROR(INDEX(技能数据库!$T$2:$W$27,MATCH(E200,技能数据库!$T$2:$T$27,0),4),0)+COUNTIF(G200,"*造化2*")*154+COUNTIF(G200,"*造化1*")*102+COUNTIF(G200,"*碧归*")*307)/1024)</f>
        <v>0.697375959429785</v>
      </c>
      <c r="Q200">
        <f ca="1" t="shared" si="473"/>
        <v>0.448284482196154</v>
      </c>
      <c r="R200">
        <f ca="1" t="shared" si="474"/>
        <v>0.21277697966198</v>
      </c>
      <c r="S200">
        <f ca="1" t="shared" si="498"/>
        <v>1524567.92441526</v>
      </c>
      <c r="T200">
        <f t="shared" si="338"/>
        <v>0.8</v>
      </c>
      <c r="U200">
        <f ca="1" t="shared" si="476"/>
        <v>1.7995442148</v>
      </c>
      <c r="V200">
        <f ca="1" t="shared" si="499"/>
        <v>3414476.2502931</v>
      </c>
      <c r="W200">
        <f ca="1">IF(G200="恒定伤害",0,MIN(1,IF(COUNTIF(F200,"*内会*")&gt;0,内会,IF(D200="轻剑",$Y$2,$Y$3)+COUNTIF(G200,"*莺鸣*")*0.2+COUNTIF(G200,"*叠1*")*0.1+COUNTIF(G200,"*叠2*")*0.2+COUNTIF(G200,"*叠3*")*0.3)+IFERROR(INDEX(技能数据库!$T$2:$W$27,MATCH(E200,技能数据库!$T$2:$T$27,0),2),0)+IF((IF(D200="轻剑",$AO$2,$AO$3)+INT(COUNTIF(G200,"*大莺鸣*")*IF(D200="轻剑",$AM$2,$AM$3)*听晓无双率)/无双系数)&gt;0.9,特效裤子会心/会心系数,0)))</f>
        <v>0.8343</v>
      </c>
      <c r="X200">
        <f ca="1">IF(G200="恒定伤害",0,IF(COUNTIF(F200,"*内会*")&gt;0,内会效,IF(D200="轻剑",$AB$2,$AB$3))+IFERROR(INDEX(技能数据库!$T$2:$W$27,MATCH(E200,技能数据库!$T$2:$T$27,0),3)/1024,0))+COUNTIF(G200,"*叠1*")*0.25+COUNTIF(G200,"*叠2*")*0.5+COUNTIF(G200,"*叠3*")*0.75</f>
        <v>2.5656473116</v>
      </c>
      <c r="Y200">
        <f ca="1" t="shared" si="500"/>
        <v>2.30621955206788</v>
      </c>
      <c r="Z200">
        <f t="shared" si="479"/>
        <v>0.150390625</v>
      </c>
      <c r="AA200">
        <f ca="1" t="shared" si="501"/>
        <v>0.0205078125</v>
      </c>
      <c r="AB200">
        <f ca="1" t="shared" si="502"/>
        <v>9244563.57961573</v>
      </c>
      <c r="AC200" s="171">
        <f ca="1">技能数计算!AJ192</f>
        <v>0</v>
      </c>
      <c r="AD200" s="164">
        <f ca="1" t="shared" si="482"/>
        <v>0</v>
      </c>
      <c r="AE200" s="168">
        <f ca="1" t="shared" si="317"/>
        <v>0.00445048385691655</v>
      </c>
      <c r="AF200" s="168">
        <f ca="1" t="shared" si="483"/>
        <v>0.00151370525637403</v>
      </c>
      <c r="AG200">
        <f ca="1" t="shared" si="503"/>
        <v>0.0031975501401067</v>
      </c>
      <c r="AH200">
        <f ca="1" t="shared" si="485"/>
        <v>1.00303604903423</v>
      </c>
      <c r="AI200">
        <f ca="1" t="shared" si="486"/>
        <v>1.00016101226475</v>
      </c>
      <c r="AJ200">
        <f ca="1" t="shared" si="487"/>
        <v>0</v>
      </c>
      <c r="AK200">
        <f ca="1" t="shared" si="488"/>
        <v>0</v>
      </c>
      <c r="AL200">
        <f ca="1" t="shared" si="489"/>
        <v>0</v>
      </c>
      <c r="AM200">
        <f ca="1" t="shared" si="490"/>
        <v>0</v>
      </c>
      <c r="AN200" s="168">
        <f ca="1" t="shared" si="491"/>
        <v>0.00726559092089141</v>
      </c>
      <c r="AO200" s="168">
        <f ca="1" t="shared" si="492"/>
        <v>0.00447057613551372</v>
      </c>
      <c r="AP200" s="172">
        <f ca="1" t="shared" si="493"/>
        <v>0</v>
      </c>
      <c r="AQ200" s="168">
        <f ca="1" t="shared" si="494"/>
        <v>0.00401583628616287</v>
      </c>
      <c r="AR200">
        <f t="shared" si="495"/>
        <v>1</v>
      </c>
    </row>
    <row r="201" spans="4:44">
      <c r="D201" t="s">
        <v>1825</v>
      </c>
      <c r="E201" t="s">
        <v>2808</v>
      </c>
      <c r="G201" t="s">
        <v>3112</v>
      </c>
      <c r="H201">
        <f ca="1">INDEX(技能数据库!$B$2:$I$100,MATCH(伤害与收益计算!$E201,技能数据库!$B$2:$B$100,0),MATCH(H$9,技能数据库!$B$2:$I$2,0))</f>
        <v>535</v>
      </c>
      <c r="I201">
        <f ca="1">INDEX(技能数据库!$B$2:$I$100,MATCH(伤害与收益计算!$E201,技能数据库!$B$2:$B$100,0),MATCH(I$9,技能数据库!$B$2:$I$2,0))</f>
        <v>7.06875</v>
      </c>
      <c r="J201">
        <f ca="1">INDEX(技能数据库!$B$2:$I$100,MATCH(伤害与收益计算!$E201,技能数据库!$B$2:$B$100,0),MATCH(J$9,技能数据库!$B$2:$I$2,0))</f>
        <v>2</v>
      </c>
      <c r="K201">
        <f ca="1">INDEX(技能数据库!$B$2:$I$100,MATCH(伤害与收益计算!$E201,技能数据库!$B$2:$B$100,0),MATCH(K$9,技能数据库!$B$2:$I$2,0))</f>
        <v>0</v>
      </c>
      <c r="L201">
        <f ca="1" t="shared" si="316"/>
        <v>105847</v>
      </c>
      <c r="M201">
        <f ca="1" t="shared" ref="M201:M202" si="504">IF(D201="轻剑",$AU$2+$AV$2,$AU$3+$AV$3)/2</f>
        <v>19530.5</v>
      </c>
      <c r="N201">
        <f ca="1" t="shared" ref="N201:N202" si="505">IF(D201="轻剑",$AJ$2,$AJ$3)</f>
        <v>92028</v>
      </c>
      <c r="O201">
        <f ca="1" t="shared" si="472"/>
        <v>787801.98125</v>
      </c>
      <c r="P201">
        <f ca="1">IF(G201="恒定伤害",0,(IF(D201="轻剑",$AZ$2,$AZ$3)+IFERROR(INDEX(技能数据库!$T$2:$W$27,MATCH(E201,技能数据库!$T$2:$T$27,0),4),0)+COUNTIF(G201,"*造化2*")*154+COUNTIF(G201,"*造化1*")*102+COUNTIF(G201,"*碧归*")*307)/1024)</f>
        <v>0.697375959429785</v>
      </c>
      <c r="Q201">
        <f ca="1" t="shared" si="473"/>
        <v>0.448284482196154</v>
      </c>
      <c r="R201">
        <f ca="1" t="shared" si="474"/>
        <v>0.21277697966198</v>
      </c>
      <c r="S201">
        <f ca="1" t="shared" ref="S201:S202" si="506">O201*(1+P201)*(1+Q201)*(1-R201)</f>
        <v>1524567.92441526</v>
      </c>
      <c r="T201">
        <f t="shared" si="338"/>
        <v>0.8</v>
      </c>
      <c r="U201">
        <f ca="1" t="shared" si="476"/>
        <v>1.7995442148</v>
      </c>
      <c r="V201">
        <f ca="1" t="shared" ref="V201:V202" si="507">S201*T201*(1+U201)</f>
        <v>3414476.2502931</v>
      </c>
      <c r="W201">
        <f ca="1">IF(G201="恒定伤害",0,MIN(1,IF(COUNTIF(F201,"*内会*")&gt;0,内会,IF(D201="轻剑",$Y$2,$Y$3)+COUNTIF(G201,"*莺鸣*")*0.2+COUNTIF(G201,"*叠1*")*0.1+COUNTIF(G201,"*叠2*")*0.2+COUNTIF(G201,"*叠3*")*0.3)+IFERROR(INDEX(技能数据库!$T$2:$W$27,MATCH(E201,技能数据库!$T$2:$T$27,0),2),0)+IF((IF(D201="轻剑",$AO$2,$AO$3)+INT(COUNTIF(G201,"*大莺鸣*")*IF(D201="轻剑",$AM$2,$AM$3)*听晓无双率)/无双系数)&gt;0.9,特效裤子会心/会心系数,0)))</f>
        <v>0.9343</v>
      </c>
      <c r="X201">
        <f ca="1">IF(G201="恒定伤害",0,IF(COUNTIF(F201,"*内会*")&gt;0,内会效,IF(D201="轻剑",$AB$2,$AB$3))+IFERROR(INDEX(技能数据库!$T$2:$W$27,MATCH(E201,技能数据库!$T$2:$T$27,0),3)/1024,0))+COUNTIF(G201,"*叠1*")*0.25+COUNTIF(G201,"*叠2*")*0.5+COUNTIF(G201,"*叠3*")*0.75</f>
        <v>2.8156473116</v>
      </c>
      <c r="Y201">
        <f ca="1" t="shared" ref="Y201:Y202" si="508">1+W201*(X201-1)</f>
        <v>2.69635928322788</v>
      </c>
      <c r="Z201">
        <f t="shared" si="479"/>
        <v>0.150390625</v>
      </c>
      <c r="AA201">
        <f ca="1" t="shared" ref="AA201:AA202" si="509">IF(D201="轻剑",$BA$2,$BA$3)/1024</f>
        <v>0.0205078125</v>
      </c>
      <c r="AB201">
        <f ca="1" t="shared" ref="AB201:AB202" si="510">V201*Y201*(1+Z201)*(1+AA201)</f>
        <v>10808452.6492444</v>
      </c>
      <c r="AC201">
        <f ca="1">技能数计算!AJ193</f>
        <v>0</v>
      </c>
      <c r="AD201" s="164">
        <f ca="1" t="shared" si="482"/>
        <v>0</v>
      </c>
      <c r="AE201" s="168">
        <f ca="1" t="shared" si="317"/>
        <v>0.00445048385691655</v>
      </c>
      <c r="AF201" s="168">
        <f ca="1" t="shared" si="483"/>
        <v>0.00151370525637403</v>
      </c>
      <c r="AG201">
        <f ca="1" t="shared" ref="AG201:AG202" si="511">IF(G201="恒定伤害",0,MAX(0,AH201*AI201*IF(AJ201=0,1,AJ201)-1))</f>
        <v>0.0031975501401067</v>
      </c>
      <c r="AH201">
        <f ca="1" t="shared" si="485"/>
        <v>1.00303604903423</v>
      </c>
      <c r="AI201">
        <f ca="1" t="shared" si="486"/>
        <v>1.00016101226475</v>
      </c>
      <c r="AJ201">
        <f ca="1" t="shared" si="487"/>
        <v>0</v>
      </c>
      <c r="AK201">
        <f ca="1" t="shared" si="488"/>
        <v>0</v>
      </c>
      <c r="AL201">
        <f ca="1" t="shared" si="489"/>
        <v>0</v>
      </c>
      <c r="AM201">
        <f ca="1" t="shared" si="490"/>
        <v>0</v>
      </c>
      <c r="AN201" s="168">
        <f ca="1" t="shared" si="491"/>
        <v>0.00695917786518119</v>
      </c>
      <c r="AO201" s="168">
        <f ca="1" t="shared" si="492"/>
        <v>0.00447057613551372</v>
      </c>
      <c r="AP201" s="172">
        <f ca="1" t="shared" si="493"/>
        <v>0</v>
      </c>
      <c r="AQ201" s="168">
        <f ca="1" t="shared" si="494"/>
        <v>0.00401583628616287</v>
      </c>
      <c r="AR201">
        <f t="shared" si="495"/>
        <v>1</v>
      </c>
    </row>
    <row r="202" spans="4:44">
      <c r="D202" t="s">
        <v>1825</v>
      </c>
      <c r="E202" t="s">
        <v>2808</v>
      </c>
      <c r="G202" t="s">
        <v>3113</v>
      </c>
      <c r="H202">
        <f ca="1">INDEX(技能数据库!$B$2:$I$100,MATCH(伤害与收益计算!$E202,技能数据库!$B$2:$B$100,0),MATCH(H$9,技能数据库!$B$2:$I$2,0))</f>
        <v>535</v>
      </c>
      <c r="I202">
        <f ca="1">INDEX(技能数据库!$B$2:$I$100,MATCH(伤害与收益计算!$E202,技能数据库!$B$2:$B$100,0),MATCH(I$9,技能数据库!$B$2:$I$2,0))</f>
        <v>7.06875</v>
      </c>
      <c r="J202">
        <f ca="1">INDEX(技能数据库!$B$2:$I$100,MATCH(伤害与收益计算!$E202,技能数据库!$B$2:$B$100,0),MATCH(J$9,技能数据库!$B$2:$I$2,0))</f>
        <v>2</v>
      </c>
      <c r="K202">
        <f ca="1">INDEX(技能数据库!$B$2:$I$100,MATCH(伤害与收益计算!$E202,技能数据库!$B$2:$B$100,0),MATCH(K$9,技能数据库!$B$2:$I$2,0))</f>
        <v>0</v>
      </c>
      <c r="L202">
        <f ca="1" t="shared" ref="L202:L219" si="512">IF(D202="轻剑",$V$2,$V$3)+INT(残雪*(COUNTIF(G202,"*莺鸣*")+COUNTIF(G202,"*叠1*")+COUNTIF(G202,"*叠2*")*2+COUNTIF(G202,"*叠3*")*3)*IF(D202="轻剑",$U$2,$U$3)*154/1024+COUNTIF(G202,"*雾锁*")*205/1024*IF(D202="轻剑",$U$2,$U$3))</f>
        <v>105847</v>
      </c>
      <c r="M202">
        <f ca="1" t="shared" si="504"/>
        <v>19530.5</v>
      </c>
      <c r="N202">
        <f ca="1" t="shared" si="505"/>
        <v>92028</v>
      </c>
      <c r="O202">
        <f ca="1" t="shared" si="472"/>
        <v>787801.98125</v>
      </c>
      <c r="P202">
        <f ca="1">IF(G202="恒定伤害",0,(IF(D202="轻剑",$AZ$2,$AZ$3)+IFERROR(INDEX(技能数据库!$T$2:$W$27,MATCH(E202,技能数据库!$T$2:$T$27,0),4),0)+COUNTIF(G202,"*造化2*")*154+COUNTIF(G202,"*造化1*")*102+COUNTIF(G202,"*碧归*")*307)/1024)</f>
        <v>0.697375959429785</v>
      </c>
      <c r="Q202">
        <f ca="1" t="shared" si="473"/>
        <v>0.448284482196154</v>
      </c>
      <c r="R202">
        <f ca="1" t="shared" si="474"/>
        <v>0.21277697966198</v>
      </c>
      <c r="S202">
        <f ca="1" t="shared" si="506"/>
        <v>1524567.92441526</v>
      </c>
      <c r="T202">
        <f t="shared" si="338"/>
        <v>0.8</v>
      </c>
      <c r="U202">
        <f ca="1" t="shared" si="476"/>
        <v>1.7995442148</v>
      </c>
      <c r="V202">
        <f ca="1" t="shared" si="507"/>
        <v>3414476.2502931</v>
      </c>
      <c r="W202">
        <f ca="1">IF(G202="恒定伤害",0,MIN(1,IF(COUNTIF(F202,"*内会*")&gt;0,内会,IF(D202="轻剑",$Y$2,$Y$3)+COUNTIF(G202,"*莺鸣*")*0.2+COUNTIF(G202,"*叠1*")*0.1+COUNTIF(G202,"*叠2*")*0.2+COUNTIF(G202,"*叠3*")*0.3)+IFERROR(INDEX(技能数据库!$T$2:$W$27,MATCH(E202,技能数据库!$T$2:$T$27,0),2),0)+IF((IF(D202="轻剑",$AO$2,$AO$3)+INT(COUNTIF(G202,"*大莺鸣*")*IF(D202="轻剑",$AM$2,$AM$3)*听晓无双率)/无双系数)&gt;0.9,特效裤子会心/会心系数,0)))</f>
        <v>1</v>
      </c>
      <c r="X202">
        <f ca="1">IF(G202="恒定伤害",0,IF(COUNTIF(F202,"*内会*")&gt;0,内会效,IF(D202="轻剑",$AB$2,$AB$3))+IFERROR(INDEX(技能数据库!$T$2:$W$27,MATCH(E202,技能数据库!$T$2:$T$27,0),3)/1024,0))+COUNTIF(G202,"*叠1*")*0.25+COUNTIF(G202,"*叠2*")*0.5+COUNTIF(G202,"*叠3*")*0.75</f>
        <v>3.0656473116</v>
      </c>
      <c r="Y202">
        <f ca="1" t="shared" si="508"/>
        <v>3.0656473116</v>
      </c>
      <c r="Z202">
        <f t="shared" si="479"/>
        <v>0.150390625</v>
      </c>
      <c r="AA202">
        <f ca="1" t="shared" si="509"/>
        <v>0.0205078125</v>
      </c>
      <c r="AB202">
        <f ca="1" t="shared" si="510"/>
        <v>12288756.9222768</v>
      </c>
      <c r="AC202" s="171">
        <f ca="1">技能数计算!AJ194</f>
        <v>0</v>
      </c>
      <c r="AD202" s="164">
        <f ca="1" t="shared" si="482"/>
        <v>0</v>
      </c>
      <c r="AE202" s="168">
        <f ca="1" t="shared" ref="AE202:AE219" si="513">IFERROR((delta攻击+INT((IF(D202="轻剑",$T$2,$T$3)+残雪*(COUNTIF(G202,"*莺鸣*")+COUNTIF(G202,"*叠1*")+COUNTIF(G202,"*叠2*")*2+COUNTIF(G202,"*叠3*")*3)*153+COUNTIF(G202,"*雾锁*")*205)/1024*delta攻击))*I202/O202,0)</f>
        <v>0.00445048385691655</v>
      </c>
      <c r="AF202" s="168">
        <f ca="1" t="shared" si="483"/>
        <v>0.00151370525637403</v>
      </c>
      <c r="AG202">
        <f ca="1" t="shared" si="511"/>
        <v>0.0031975501401067</v>
      </c>
      <c r="AH202">
        <f ca="1" t="shared" si="485"/>
        <v>1.00303604903423</v>
      </c>
      <c r="AI202">
        <f ca="1" t="shared" si="486"/>
        <v>1.00016101226475</v>
      </c>
      <c r="AJ202">
        <f ca="1" t="shared" si="487"/>
        <v>0</v>
      </c>
      <c r="AK202">
        <f ca="1" t="shared" si="488"/>
        <v>0</v>
      </c>
      <c r="AL202">
        <f ca="1" t="shared" si="489"/>
        <v>0</v>
      </c>
      <c r="AM202">
        <f ca="1" t="shared" si="490"/>
        <v>0</v>
      </c>
      <c r="AN202" s="168">
        <f ca="1" t="shared" si="491"/>
        <v>0.00655129503556839</v>
      </c>
      <c r="AO202" s="168">
        <f ca="1" t="shared" si="492"/>
        <v>0.00447057613551372</v>
      </c>
      <c r="AP202" s="172">
        <f ca="1" t="shared" si="493"/>
        <v>0</v>
      </c>
      <c r="AQ202" s="168">
        <f ca="1" t="shared" si="494"/>
        <v>0.00401583628616287</v>
      </c>
      <c r="AR202">
        <f t="shared" si="495"/>
        <v>1</v>
      </c>
    </row>
    <row r="203" spans="4:44">
      <c r="D203" t="s">
        <v>1825</v>
      </c>
      <c r="E203" t="s">
        <v>2768</v>
      </c>
      <c r="G203" t="s">
        <v>3111</v>
      </c>
      <c r="H203">
        <f ca="1">INDEX(技能数据库!$B$2:$I$100,MATCH(伤害与收益计算!$E203,技能数据库!$B$2:$B$100,0),MATCH(H$9,技能数据库!$B$2:$I$2,0))</f>
        <v>210</v>
      </c>
      <c r="I203">
        <f ca="1">INDEX(技能数据库!$B$2:$I$100,MATCH(伤害与收益计算!$E203,技能数据库!$B$2:$B$100,0),MATCH(I$9,技能数据库!$B$2:$I$2,0))</f>
        <v>5.7875</v>
      </c>
      <c r="J203">
        <f ca="1">INDEX(技能数据库!$B$2:$I$100,MATCH(伤害与收益计算!$E203,技能数据库!$B$2:$B$100,0),MATCH(J$9,技能数据库!$B$2:$I$2,0))</f>
        <v>2</v>
      </c>
      <c r="K203">
        <f ca="1">INDEX(技能数据库!$B$2:$I$100,MATCH(伤害与收益计算!$E203,技能数据库!$B$2:$B$100,0),MATCH(K$9,技能数据库!$B$2:$I$2,0))</f>
        <v>0</v>
      </c>
      <c r="L203">
        <f ca="1" t="shared" si="512"/>
        <v>105847</v>
      </c>
      <c r="M203">
        <f ca="1" t="shared" ref="M203:M205" si="514">IF(D203="轻剑",$AU$2+$AV$2,$AU$3+$AV$3)/2</f>
        <v>19530.5</v>
      </c>
      <c r="N203">
        <f ca="1" t="shared" ref="N203:N205" si="515">IF(D203="轻剑",$AJ$2,$AJ$3)</f>
        <v>92028</v>
      </c>
      <c r="O203">
        <f ca="1" t="shared" si="472"/>
        <v>651860.5125</v>
      </c>
      <c r="P203">
        <f ca="1">IF(G203="恒定伤害",0,(IF(D203="轻剑",$AZ$2,$AZ$3)+IFERROR(INDEX(技能数据库!$T$2:$W$27,MATCH(E203,技能数据库!$T$2:$T$27,0),4),0)+COUNTIF(G203,"*造化2*")*154+COUNTIF(G203,"*造化1*")*102+COUNTIF(G203,"*碧归*")*307)/1024)</f>
        <v>0.747180646929785</v>
      </c>
      <c r="Q203">
        <f ca="1" t="shared" si="473"/>
        <v>0.448284482196154</v>
      </c>
      <c r="R203">
        <f ca="1" t="shared" si="474"/>
        <v>0.21277697966198</v>
      </c>
      <c r="S203">
        <f ca="1" t="shared" ref="S203:S205" si="516">O203*(1+P203)*(1+Q203)*(1-R203)</f>
        <v>1298506.55725373</v>
      </c>
      <c r="T203">
        <f t="shared" si="338"/>
        <v>0.8</v>
      </c>
      <c r="U203">
        <f ca="1" t="shared" si="476"/>
        <v>1.7995442148</v>
      </c>
      <c r="V203">
        <f ca="1" t="shared" ref="V203:V205" si="517">S203*T203*(1+U203)</f>
        <v>2908181.21619164</v>
      </c>
      <c r="W203">
        <f ca="1">IF(G203="恒定伤害",0,MIN(1,IF(COUNTIF(F203,"*内会*")&gt;0,内会,IF(D203="轻剑",$Y$2,$Y$3)+COUNTIF(G203,"*莺鸣*")*0.2+COUNTIF(G203,"*叠1*")*0.1+COUNTIF(G203,"*叠2*")*0.2+COUNTIF(G203,"*叠3*")*0.3)+IFERROR(INDEX(技能数据库!$T$2:$W$27,MATCH(E203,技能数据库!$T$2:$T$27,0),2),0)+IF((IF(D203="轻剑",$AO$2,$AO$3)+INT(COUNTIF(G203,"*大莺鸣*")*IF(D203="轻剑",$AM$2,$AM$3)*听晓无双率)/无双系数)&gt;0.9,特效裤子会心/会心系数,0)))</f>
        <v>0.8343</v>
      </c>
      <c r="X203">
        <f ca="1">IF(G203="恒定伤害",0,IF(COUNTIF(F203,"*内会*")&gt;0,内会效,IF(D203="轻剑",$AB$2,$AB$3))+IFERROR(INDEX(技能数据库!$T$2:$W$27,MATCH(E203,技能数据库!$T$2:$T$27,0),3)/1024,0))+COUNTIF(G203,"*叠1*")*0.25+COUNTIF(G203,"*叠2*")*0.5+COUNTIF(G203,"*叠3*")*0.75</f>
        <v>2.5656473116</v>
      </c>
      <c r="Y203">
        <f ca="1" t="shared" ref="Y203:Y205" si="518">1+W203*(X203-1)</f>
        <v>2.30621955206788</v>
      </c>
      <c r="Z203">
        <f t="shared" si="479"/>
        <v>0.150390625</v>
      </c>
      <c r="AA203">
        <f ca="1" t="shared" ref="AA203:AA205" si="519">IF(D203="轻剑",$BA$2,$BA$3)/1024</f>
        <v>0.0205078125</v>
      </c>
      <c r="AB203">
        <f ca="1" t="shared" ref="AB203:AB205" si="520">V203*Y203*(1+Z203)*(1+AA203)</f>
        <v>7873789.17976659</v>
      </c>
      <c r="AC203">
        <f ca="1">技能数计算!AJ195</f>
        <v>0</v>
      </c>
      <c r="AD203" s="164">
        <f ca="1" t="shared" si="482"/>
        <v>0</v>
      </c>
      <c r="AE203" s="168">
        <f ca="1" t="shared" si="513"/>
        <v>0.00440370285506441</v>
      </c>
      <c r="AF203" s="168">
        <f ca="1" t="shared" si="483"/>
        <v>0.00182937910355477</v>
      </c>
      <c r="AG203">
        <f ca="1" t="shared" ref="AG203:AG205" si="521">IF(G203="恒定伤害",0,MAX(0,AH203*AI203*IF(AJ203=0,1,AJ203)-1))</f>
        <v>0.00316563174908713</v>
      </c>
      <c r="AH203">
        <f ca="1" t="shared" si="485"/>
        <v>1.00300413578163</v>
      </c>
      <c r="AI203">
        <f ca="1" t="shared" si="486"/>
        <v>1.00016101226475</v>
      </c>
      <c r="AJ203">
        <f ca="1" t="shared" si="487"/>
        <v>0</v>
      </c>
      <c r="AK203">
        <f ca="1" t="shared" si="488"/>
        <v>0</v>
      </c>
      <c r="AL203">
        <f ca="1" t="shared" si="489"/>
        <v>0</v>
      </c>
      <c r="AM203">
        <f ca="1" t="shared" si="490"/>
        <v>0</v>
      </c>
      <c r="AN203" s="168">
        <f ca="1" t="shared" si="491"/>
        <v>0.00726559092089141</v>
      </c>
      <c r="AO203" s="168">
        <f ca="1" t="shared" si="492"/>
        <v>0.00447057613551372</v>
      </c>
      <c r="AP203" s="172">
        <f ca="1" t="shared" si="493"/>
        <v>0</v>
      </c>
      <c r="AQ203" s="168">
        <f ca="1" t="shared" si="494"/>
        <v>0.00401583628616287</v>
      </c>
      <c r="AR203">
        <f t="shared" si="495"/>
        <v>1</v>
      </c>
    </row>
    <row r="204" spans="4:44">
      <c r="D204" t="s">
        <v>1825</v>
      </c>
      <c r="E204" t="s">
        <v>2768</v>
      </c>
      <c r="G204" t="s">
        <v>3112</v>
      </c>
      <c r="H204">
        <f ca="1">INDEX(技能数据库!$B$2:$I$100,MATCH(伤害与收益计算!$E204,技能数据库!$B$2:$B$100,0),MATCH(H$9,技能数据库!$B$2:$I$2,0))</f>
        <v>210</v>
      </c>
      <c r="I204">
        <f ca="1">INDEX(技能数据库!$B$2:$I$100,MATCH(伤害与收益计算!$E204,技能数据库!$B$2:$B$100,0),MATCH(I$9,技能数据库!$B$2:$I$2,0))</f>
        <v>5.7875</v>
      </c>
      <c r="J204">
        <f ca="1">INDEX(技能数据库!$B$2:$I$100,MATCH(伤害与收益计算!$E204,技能数据库!$B$2:$B$100,0),MATCH(J$9,技能数据库!$B$2:$I$2,0))</f>
        <v>2</v>
      </c>
      <c r="K204">
        <f ca="1">INDEX(技能数据库!$B$2:$I$100,MATCH(伤害与收益计算!$E204,技能数据库!$B$2:$B$100,0),MATCH(K$9,技能数据库!$B$2:$I$2,0))</f>
        <v>0</v>
      </c>
      <c r="L204">
        <f ca="1" t="shared" si="512"/>
        <v>105847</v>
      </c>
      <c r="M204">
        <f ca="1" t="shared" si="514"/>
        <v>19530.5</v>
      </c>
      <c r="N204">
        <f ca="1" t="shared" si="515"/>
        <v>92028</v>
      </c>
      <c r="O204">
        <f ca="1" t="shared" si="472"/>
        <v>651860.5125</v>
      </c>
      <c r="P204">
        <f ca="1">IF(G204="恒定伤害",0,(IF(D204="轻剑",$AZ$2,$AZ$3)+IFERROR(INDEX(技能数据库!$T$2:$W$27,MATCH(E204,技能数据库!$T$2:$T$27,0),4),0)+COUNTIF(G204,"*造化2*")*154+COUNTIF(G204,"*造化1*")*102+COUNTIF(G204,"*碧归*")*307)/1024)</f>
        <v>0.747180646929785</v>
      </c>
      <c r="Q204">
        <f ca="1" t="shared" si="473"/>
        <v>0.448284482196154</v>
      </c>
      <c r="R204">
        <f ca="1" t="shared" si="474"/>
        <v>0.21277697966198</v>
      </c>
      <c r="S204">
        <f ca="1" t="shared" si="516"/>
        <v>1298506.55725373</v>
      </c>
      <c r="T204">
        <f t="shared" si="338"/>
        <v>0.8</v>
      </c>
      <c r="U204">
        <f ca="1" t="shared" si="476"/>
        <v>1.7995442148</v>
      </c>
      <c r="V204">
        <f ca="1" t="shared" si="517"/>
        <v>2908181.21619164</v>
      </c>
      <c r="W204">
        <f ca="1">IF(G204="恒定伤害",0,MIN(1,IF(COUNTIF(F204,"*内会*")&gt;0,内会,IF(D204="轻剑",$Y$2,$Y$3)+COUNTIF(G204,"*莺鸣*")*0.2+COUNTIF(G204,"*叠1*")*0.1+COUNTIF(G204,"*叠2*")*0.2+COUNTIF(G204,"*叠3*")*0.3)+IFERROR(INDEX(技能数据库!$T$2:$W$27,MATCH(E204,技能数据库!$T$2:$T$27,0),2),0)+IF((IF(D204="轻剑",$AO$2,$AO$3)+INT(COUNTIF(G204,"*大莺鸣*")*IF(D204="轻剑",$AM$2,$AM$3)*听晓无双率)/无双系数)&gt;0.9,特效裤子会心/会心系数,0)))</f>
        <v>0.9343</v>
      </c>
      <c r="X204">
        <f ca="1">IF(G204="恒定伤害",0,IF(COUNTIF(F204,"*内会*")&gt;0,内会效,IF(D204="轻剑",$AB$2,$AB$3))+IFERROR(INDEX(技能数据库!$T$2:$W$27,MATCH(E204,技能数据库!$T$2:$T$27,0),3)/1024,0))+COUNTIF(G204,"*叠1*")*0.25+COUNTIF(G204,"*叠2*")*0.5+COUNTIF(G204,"*叠3*")*0.75</f>
        <v>2.8156473116</v>
      </c>
      <c r="Y204">
        <f ca="1" t="shared" si="518"/>
        <v>2.69635928322788</v>
      </c>
      <c r="Z204">
        <f t="shared" si="479"/>
        <v>0.150390625</v>
      </c>
      <c r="AA204">
        <f ca="1" t="shared" si="519"/>
        <v>0.0205078125</v>
      </c>
      <c r="AB204">
        <f ca="1" t="shared" si="520"/>
        <v>9205786.38317693</v>
      </c>
      <c r="AC204">
        <f ca="1">技能数计算!AJ196</f>
        <v>0</v>
      </c>
      <c r="AD204" s="164">
        <f ca="1" t="shared" si="482"/>
        <v>0</v>
      </c>
      <c r="AE204" s="168">
        <f ca="1" t="shared" si="513"/>
        <v>0.00440370285506441</v>
      </c>
      <c r="AF204" s="168">
        <f ca="1" t="shared" si="483"/>
        <v>0.00182937910355477</v>
      </c>
      <c r="AG204">
        <f ca="1" t="shared" si="521"/>
        <v>0.00316563174908713</v>
      </c>
      <c r="AH204">
        <f ca="1" t="shared" si="485"/>
        <v>1.00300413578163</v>
      </c>
      <c r="AI204">
        <f ca="1" t="shared" si="486"/>
        <v>1.00016101226475</v>
      </c>
      <c r="AJ204">
        <f ca="1" t="shared" si="487"/>
        <v>0</v>
      </c>
      <c r="AK204">
        <f ca="1" t="shared" si="488"/>
        <v>0</v>
      </c>
      <c r="AL204">
        <f ca="1" t="shared" si="489"/>
        <v>0</v>
      </c>
      <c r="AM204">
        <f ca="1" t="shared" si="490"/>
        <v>0</v>
      </c>
      <c r="AN204" s="168">
        <f ca="1" t="shared" si="491"/>
        <v>0.00695917786518119</v>
      </c>
      <c r="AO204" s="168">
        <f ca="1" t="shared" si="492"/>
        <v>0.00447057613551372</v>
      </c>
      <c r="AP204" s="172">
        <f ca="1" t="shared" si="493"/>
        <v>0</v>
      </c>
      <c r="AQ204" s="168">
        <f ca="1" t="shared" si="494"/>
        <v>0.00401583628616287</v>
      </c>
      <c r="AR204">
        <f t="shared" si="495"/>
        <v>1</v>
      </c>
    </row>
    <row r="205" spans="4:44">
      <c r="D205" t="s">
        <v>1825</v>
      </c>
      <c r="E205" t="s">
        <v>2768</v>
      </c>
      <c r="G205" t="s">
        <v>3113</v>
      </c>
      <c r="H205">
        <f ca="1">INDEX(技能数据库!$B$2:$I$100,MATCH(伤害与收益计算!$E205,技能数据库!$B$2:$B$100,0),MATCH(H$9,技能数据库!$B$2:$I$2,0))</f>
        <v>210</v>
      </c>
      <c r="I205">
        <f ca="1">INDEX(技能数据库!$B$2:$I$100,MATCH(伤害与收益计算!$E205,技能数据库!$B$2:$B$100,0),MATCH(I$9,技能数据库!$B$2:$I$2,0))</f>
        <v>5.7875</v>
      </c>
      <c r="J205">
        <f ca="1">INDEX(技能数据库!$B$2:$I$100,MATCH(伤害与收益计算!$E205,技能数据库!$B$2:$B$100,0),MATCH(J$9,技能数据库!$B$2:$I$2,0))</f>
        <v>2</v>
      </c>
      <c r="K205">
        <f ca="1">INDEX(技能数据库!$B$2:$I$100,MATCH(伤害与收益计算!$E205,技能数据库!$B$2:$B$100,0),MATCH(K$9,技能数据库!$B$2:$I$2,0))</f>
        <v>0</v>
      </c>
      <c r="L205">
        <f ca="1" t="shared" si="512"/>
        <v>105847</v>
      </c>
      <c r="M205">
        <f ca="1" t="shared" si="514"/>
        <v>19530.5</v>
      </c>
      <c r="N205">
        <f ca="1" t="shared" si="515"/>
        <v>92028</v>
      </c>
      <c r="O205">
        <f ca="1" t="shared" si="472"/>
        <v>651860.5125</v>
      </c>
      <c r="P205">
        <f ca="1">IF(G205="恒定伤害",0,(IF(D205="轻剑",$AZ$2,$AZ$3)+IFERROR(INDEX(技能数据库!$T$2:$W$27,MATCH(E205,技能数据库!$T$2:$T$27,0),4),0)+COUNTIF(G205,"*造化2*")*154+COUNTIF(G205,"*造化1*")*102+COUNTIF(G205,"*碧归*")*307)/1024)</f>
        <v>0.747180646929785</v>
      </c>
      <c r="Q205">
        <f ca="1" t="shared" si="473"/>
        <v>0.448284482196154</v>
      </c>
      <c r="R205">
        <f ca="1" t="shared" si="474"/>
        <v>0.21277697966198</v>
      </c>
      <c r="S205">
        <f ca="1" t="shared" si="516"/>
        <v>1298506.55725373</v>
      </c>
      <c r="T205">
        <f t="shared" si="338"/>
        <v>0.8</v>
      </c>
      <c r="U205">
        <f ca="1" t="shared" si="476"/>
        <v>1.7995442148</v>
      </c>
      <c r="V205">
        <f ca="1" t="shared" si="517"/>
        <v>2908181.21619164</v>
      </c>
      <c r="W205">
        <f ca="1">IF(G205="恒定伤害",0,MIN(1,IF(COUNTIF(F205,"*内会*")&gt;0,内会,IF(D205="轻剑",$Y$2,$Y$3)+COUNTIF(G205,"*莺鸣*")*0.2+COUNTIF(G205,"*叠1*")*0.1+COUNTIF(G205,"*叠2*")*0.2+COUNTIF(G205,"*叠3*")*0.3)+IFERROR(INDEX(技能数据库!$T$2:$W$27,MATCH(E205,技能数据库!$T$2:$T$27,0),2),0)+IF((IF(D205="轻剑",$AO$2,$AO$3)+INT(COUNTIF(G205,"*大莺鸣*")*IF(D205="轻剑",$AM$2,$AM$3)*听晓无双率)/无双系数)&gt;0.9,特效裤子会心/会心系数,0)))</f>
        <v>1</v>
      </c>
      <c r="X205">
        <f ca="1">IF(G205="恒定伤害",0,IF(COUNTIF(F205,"*内会*")&gt;0,内会效,IF(D205="轻剑",$AB$2,$AB$3))+IFERROR(INDEX(技能数据库!$T$2:$W$27,MATCH(E205,技能数据库!$T$2:$T$27,0),3)/1024,0))+COUNTIF(G205,"*叠1*")*0.25+COUNTIF(G205,"*叠2*")*0.5+COUNTIF(G205,"*叠3*")*0.75</f>
        <v>3.0656473116</v>
      </c>
      <c r="Y205">
        <f ca="1" t="shared" si="518"/>
        <v>3.0656473116</v>
      </c>
      <c r="Z205">
        <f t="shared" si="479"/>
        <v>0.150390625</v>
      </c>
      <c r="AA205">
        <f ca="1" t="shared" si="519"/>
        <v>0.0205078125</v>
      </c>
      <c r="AB205">
        <f ca="1" t="shared" si="520"/>
        <v>10466592.6578469</v>
      </c>
      <c r="AC205" s="171">
        <f ca="1">技能数计算!AJ197</f>
        <v>0</v>
      </c>
      <c r="AD205" s="164">
        <f ca="1" t="shared" si="482"/>
        <v>0</v>
      </c>
      <c r="AE205" s="168">
        <f ca="1" t="shared" si="513"/>
        <v>0.00440370285506441</v>
      </c>
      <c r="AF205" s="168">
        <f ca="1" t="shared" si="483"/>
        <v>0.00182937910355477</v>
      </c>
      <c r="AG205">
        <f ca="1" t="shared" si="521"/>
        <v>0.00316563174908713</v>
      </c>
      <c r="AH205">
        <f ca="1" t="shared" si="485"/>
        <v>1.00300413578163</v>
      </c>
      <c r="AI205">
        <f ca="1" t="shared" si="486"/>
        <v>1.00016101226475</v>
      </c>
      <c r="AJ205">
        <f ca="1" t="shared" si="487"/>
        <v>0</v>
      </c>
      <c r="AK205">
        <f ca="1" t="shared" si="488"/>
        <v>0</v>
      </c>
      <c r="AL205">
        <f ca="1" t="shared" si="489"/>
        <v>0</v>
      </c>
      <c r="AM205">
        <f ca="1" t="shared" si="490"/>
        <v>0</v>
      </c>
      <c r="AN205" s="168">
        <f ca="1" t="shared" si="491"/>
        <v>0.00655129503556839</v>
      </c>
      <c r="AO205" s="168">
        <f ca="1" t="shared" si="492"/>
        <v>0.00447057613551372</v>
      </c>
      <c r="AP205" s="172">
        <f ca="1" t="shared" si="493"/>
        <v>0</v>
      </c>
      <c r="AQ205" s="168">
        <f ca="1" t="shared" si="494"/>
        <v>0.00401583628616287</v>
      </c>
      <c r="AR205">
        <f t="shared" si="495"/>
        <v>1</v>
      </c>
    </row>
    <row r="206" spans="4:44">
      <c r="D206" t="s">
        <v>1825</v>
      </c>
      <c r="E206" t="s">
        <v>2794</v>
      </c>
      <c r="G206" t="s">
        <v>3114</v>
      </c>
      <c r="H206">
        <f ca="1">INDEX(技能数据库!$B$2:$I$100,MATCH(伤害与收益计算!$E206,技能数据库!$B$2:$B$100,0),MATCH(H$9,技能数据库!$B$2:$I$2,0))</f>
        <v>231.5</v>
      </c>
      <c r="I206">
        <f ca="1">INDEX(技能数据库!$B$2:$I$100,MATCH(伤害与收益计算!$E206,技能数据库!$B$2:$B$100,0),MATCH(I$9,技能数据库!$B$2:$I$2,0))</f>
        <v>2.71875</v>
      </c>
      <c r="J206">
        <f ca="1">INDEX(技能数据库!$B$2:$I$100,MATCH(伤害与收益计算!$E206,技能数据库!$B$2:$B$100,0),MATCH(J$9,技能数据库!$B$2:$I$2,0))</f>
        <v>2</v>
      </c>
      <c r="K206">
        <f ca="1">INDEX(技能数据库!$B$2:$I$100,MATCH(伤害与收益计算!$E206,技能数据库!$B$2:$B$100,0),MATCH(K$9,技能数据库!$B$2:$I$2,0))</f>
        <v>0</v>
      </c>
      <c r="L206">
        <f ca="1" t="shared" si="512"/>
        <v>105847</v>
      </c>
      <c r="M206">
        <f ca="1" t="shared" ref="M206:M207" si="522">IF(D206="轻剑",$AU$2+$AV$2,$AU$3+$AV$3)/2</f>
        <v>19530.5</v>
      </c>
      <c r="N206">
        <f ca="1" t="shared" ref="N206:N207" si="523">IF(D206="轻剑",$AJ$2,$AJ$3)</f>
        <v>92028</v>
      </c>
      <c r="O206">
        <f ca="1" t="shared" si="472"/>
        <v>327064.03125</v>
      </c>
      <c r="P206">
        <f ca="1">IF(G206="恒定伤害",0,(IF(D206="轻剑",$AZ$2,$AZ$3)+IFERROR(INDEX(技能数据库!$T$2:$W$27,MATCH(E206,技能数据库!$T$2:$T$27,0),4),0)+COUNTIF(G206,"*造化2*")*154+COUNTIF(G206,"*造化1*")*102+COUNTIF(G206,"*碧归*")*307)/1024)</f>
        <v>0.596790021929785</v>
      </c>
      <c r="Q206">
        <f ca="1" t="shared" si="473"/>
        <v>0.448284482196154</v>
      </c>
      <c r="R206">
        <f ca="1" t="shared" si="474"/>
        <v>0.21277697966198</v>
      </c>
      <c r="S206">
        <f ca="1" t="shared" ref="S206:S207" si="524">O206*(1+P206)*(1+Q206)*(1-R206)</f>
        <v>595432.119746968</v>
      </c>
      <c r="T206">
        <f t="shared" si="338"/>
        <v>0.8</v>
      </c>
      <c r="U206">
        <f ca="1" t="shared" si="476"/>
        <v>1.7995442148</v>
      </c>
      <c r="V206">
        <f ca="1" t="shared" ref="V206:V207" si="525">S206*T206*(1+U206)</f>
        <v>1333550.83691498</v>
      </c>
      <c r="W206">
        <f ca="1">IF(G206="恒定伤害",0,MIN(1,IF(COUNTIF(F206,"*内会*")&gt;0,内会,IF(D206="轻剑",$Y$2,$Y$3)+COUNTIF(G206,"*莺鸣*")*0.2+COUNTIF(G206,"*叠1*")*0.1+COUNTIF(G206,"*叠2*")*0.2+COUNTIF(G206,"*叠3*")*0.3)+IFERROR(INDEX(技能数据库!$T$2:$W$27,MATCH(E206,技能数据库!$T$2:$T$27,0),2),0)+IF((IF(D206="轻剑",$AO$2,$AO$3)+INT(COUNTIF(G206,"*大莺鸣*")*IF(D206="轻剑",$AM$2,$AM$3)*听晓无双率)/无双系数)&gt;0.9,特效裤子会心/会心系数,0)))</f>
        <v>0.8343</v>
      </c>
      <c r="X206">
        <f ca="1">IF(G206="恒定伤害",0,IF(COUNTIF(F206,"*内会*")&gt;0,内会效,IF(D206="轻剑",$AB$2,$AB$3))+IFERROR(INDEX(技能数据库!$T$2:$W$27,MATCH(E206,技能数据库!$T$2:$T$27,0),3)/1024,0))+COUNTIF(G206,"*叠1*")*0.25+COUNTIF(G206,"*叠2*")*0.5+COUNTIF(G206,"*叠3*")*0.75</f>
        <v>2.5656473116</v>
      </c>
      <c r="Y206">
        <f ca="1" t="shared" ref="Y206:Y207" si="526">1+W206*(X206-1)</f>
        <v>2.30621955206788</v>
      </c>
      <c r="Z206">
        <f t="shared" si="479"/>
        <v>0.150390625</v>
      </c>
      <c r="AA206">
        <f ca="1" t="shared" ref="AA206:AA207" si="527">IF(D206="轻剑",$BA$2,$BA$3)/1024</f>
        <v>0.0205078125</v>
      </c>
      <c r="AB206">
        <f ca="1" t="shared" ref="AB206:AB207" si="528">V206*Y206*(1+Z206)*(1+AA206)</f>
        <v>3610537.77938917</v>
      </c>
      <c r="AC206">
        <f ca="1">技能数计算!AJ198</f>
        <v>0</v>
      </c>
      <c r="AD206" s="164">
        <f ca="1" t="shared" si="482"/>
        <v>0</v>
      </c>
      <c r="AE206" s="168">
        <f ca="1" t="shared" si="513"/>
        <v>0.00412304585999932</v>
      </c>
      <c r="AF206" s="168">
        <f ca="1" t="shared" si="483"/>
        <v>0.00364607503748549</v>
      </c>
      <c r="AG206">
        <f ca="1" t="shared" ref="AG206:AG207" si="529">IF(G206="恒定伤害",0,MAX(0,AH206*AI206*IF(AJ206=0,1,AJ206)-1))</f>
        <v>0.00297414120044159</v>
      </c>
      <c r="AH206">
        <f ca="1" t="shared" si="485"/>
        <v>1.00281267606035</v>
      </c>
      <c r="AI206">
        <f ca="1" t="shared" si="486"/>
        <v>1.00016101226475</v>
      </c>
      <c r="AJ206">
        <f ca="1" t="shared" si="487"/>
        <v>0</v>
      </c>
      <c r="AK206">
        <f ca="1" t="shared" si="488"/>
        <v>0</v>
      </c>
      <c r="AL206">
        <f ca="1" t="shared" si="489"/>
        <v>0</v>
      </c>
      <c r="AM206">
        <f ca="1" t="shared" si="490"/>
        <v>0</v>
      </c>
      <c r="AN206" s="168">
        <f ca="1" t="shared" si="491"/>
        <v>0.00726559092089141</v>
      </c>
      <c r="AO206" s="168">
        <f ca="1" t="shared" si="492"/>
        <v>0.00447057613551372</v>
      </c>
      <c r="AP206" s="172">
        <f ca="1" t="shared" si="493"/>
        <v>0</v>
      </c>
      <c r="AQ206" s="168">
        <f ca="1" t="shared" si="494"/>
        <v>0.00401583628616287</v>
      </c>
      <c r="AR206">
        <f t="shared" si="495"/>
        <v>1</v>
      </c>
    </row>
    <row r="207" spans="4:44">
      <c r="D207" t="s">
        <v>1825</v>
      </c>
      <c r="E207" t="s">
        <v>2794</v>
      </c>
      <c r="G207" t="s">
        <v>3115</v>
      </c>
      <c r="H207">
        <f ca="1">INDEX(技能数据库!$B$2:$I$100,MATCH(伤害与收益计算!$E207,技能数据库!$B$2:$B$100,0),MATCH(H$9,技能数据库!$B$2:$I$2,0))</f>
        <v>231.5</v>
      </c>
      <c r="I207">
        <f ca="1">INDEX(技能数据库!$B$2:$I$100,MATCH(伤害与收益计算!$E207,技能数据库!$B$2:$B$100,0),MATCH(I$9,技能数据库!$B$2:$I$2,0))</f>
        <v>2.71875</v>
      </c>
      <c r="J207">
        <f ca="1">INDEX(技能数据库!$B$2:$I$100,MATCH(伤害与收益计算!$E207,技能数据库!$B$2:$B$100,0),MATCH(J$9,技能数据库!$B$2:$I$2,0))</f>
        <v>2</v>
      </c>
      <c r="K207">
        <f ca="1">INDEX(技能数据库!$B$2:$I$100,MATCH(伤害与收益计算!$E207,技能数据库!$B$2:$B$100,0),MATCH(K$9,技能数据库!$B$2:$I$2,0))</f>
        <v>0</v>
      </c>
      <c r="L207">
        <f ca="1" t="shared" si="512"/>
        <v>105847</v>
      </c>
      <c r="M207">
        <f ca="1" t="shared" si="522"/>
        <v>19530.5</v>
      </c>
      <c r="N207">
        <f ca="1" t="shared" si="523"/>
        <v>92028</v>
      </c>
      <c r="O207">
        <f ca="1" t="shared" si="472"/>
        <v>327064.03125</v>
      </c>
      <c r="P207">
        <f ca="1">IF(G207="恒定伤害",0,(IF(D207="轻剑",$AZ$2,$AZ$3)+IFERROR(INDEX(技能数据库!$T$2:$W$27,MATCH(E207,技能数据库!$T$2:$T$27,0),4),0)+COUNTIF(G207,"*造化2*")*154+COUNTIF(G207,"*造化1*")*102+COUNTIF(G207,"*碧归*")*307)/1024)</f>
        <v>0.596790021929785</v>
      </c>
      <c r="Q207">
        <f ca="1" t="shared" si="473"/>
        <v>0.448284482196154</v>
      </c>
      <c r="R207">
        <f ca="1" t="shared" si="474"/>
        <v>0.21277697966198</v>
      </c>
      <c r="S207">
        <f ca="1" t="shared" si="524"/>
        <v>595432.119746968</v>
      </c>
      <c r="T207">
        <f t="shared" si="338"/>
        <v>0.8</v>
      </c>
      <c r="U207">
        <f ca="1" t="shared" si="476"/>
        <v>1.7995442148</v>
      </c>
      <c r="V207">
        <f ca="1" t="shared" si="525"/>
        <v>1333550.83691498</v>
      </c>
      <c r="W207">
        <f ca="1">IF(G207="恒定伤害",0,MIN(1,IF(COUNTIF(F207,"*内会*")&gt;0,内会,IF(D207="轻剑",$Y$2,$Y$3)+COUNTIF(G207,"*莺鸣*")*0.2+COUNTIF(G207,"*叠1*")*0.1+COUNTIF(G207,"*叠2*")*0.2+COUNTIF(G207,"*叠3*")*0.3)+IFERROR(INDEX(技能数据库!$T$2:$W$27,MATCH(E207,技能数据库!$T$2:$T$27,0),2),0)+IF((IF(D207="轻剑",$AO$2,$AO$3)+INT(COUNTIF(G207,"*大莺鸣*")*IF(D207="轻剑",$AM$2,$AM$3)*听晓无双率)/无双系数)&gt;0.9,特效裤子会心/会心系数,0)))</f>
        <v>0.9343</v>
      </c>
      <c r="X207">
        <f ca="1">IF(G207="恒定伤害",0,IF(COUNTIF(F207,"*内会*")&gt;0,内会效,IF(D207="轻剑",$AB$2,$AB$3))+IFERROR(INDEX(技能数据库!$T$2:$W$27,MATCH(E207,技能数据库!$T$2:$T$27,0),3)/1024,0))+COUNTIF(G207,"*叠1*")*0.25+COUNTIF(G207,"*叠2*")*0.5+COUNTIF(G207,"*叠3*")*0.75</f>
        <v>2.8156473116</v>
      </c>
      <c r="Y207">
        <f ca="1" t="shared" si="526"/>
        <v>2.69635928322788</v>
      </c>
      <c r="Z207">
        <f t="shared" si="479"/>
        <v>0.150390625</v>
      </c>
      <c r="AA207">
        <f ca="1" t="shared" si="527"/>
        <v>0.0205078125</v>
      </c>
      <c r="AB207">
        <f ca="1" t="shared" si="528"/>
        <v>4221327.08491338</v>
      </c>
      <c r="AC207" s="171">
        <f ca="1">技能数计算!AJ199</f>
        <v>0</v>
      </c>
      <c r="AD207" s="164">
        <f ca="1" t="shared" si="482"/>
        <v>0</v>
      </c>
      <c r="AE207" s="168">
        <f ca="1" t="shared" si="513"/>
        <v>0.00412304585999932</v>
      </c>
      <c r="AF207" s="168">
        <f ca="1" t="shared" si="483"/>
        <v>0.00364607503748549</v>
      </c>
      <c r="AG207">
        <f ca="1" t="shared" si="529"/>
        <v>0.00297414120044159</v>
      </c>
      <c r="AH207">
        <f ca="1" t="shared" si="485"/>
        <v>1.00281267606035</v>
      </c>
      <c r="AI207">
        <f ca="1" t="shared" si="486"/>
        <v>1.00016101226475</v>
      </c>
      <c r="AJ207">
        <f ca="1" t="shared" si="487"/>
        <v>0</v>
      </c>
      <c r="AK207">
        <f ca="1" t="shared" si="488"/>
        <v>0</v>
      </c>
      <c r="AL207">
        <f ca="1" t="shared" si="489"/>
        <v>0</v>
      </c>
      <c r="AM207">
        <f ca="1" t="shared" si="490"/>
        <v>0</v>
      </c>
      <c r="AN207" s="168">
        <f ca="1" t="shared" si="491"/>
        <v>0.00695917786518119</v>
      </c>
      <c r="AO207" s="168">
        <f ca="1" t="shared" si="492"/>
        <v>0.00447057613551372</v>
      </c>
      <c r="AP207" s="172">
        <f ca="1" t="shared" si="493"/>
        <v>0</v>
      </c>
      <c r="AQ207" s="168">
        <f ca="1" t="shared" si="494"/>
        <v>0.00401583628616287</v>
      </c>
      <c r="AR207">
        <f t="shared" si="495"/>
        <v>1</v>
      </c>
    </row>
    <row r="208" spans="4:44">
      <c r="D208" t="s">
        <v>1825</v>
      </c>
      <c r="E208" t="s">
        <v>2794</v>
      </c>
      <c r="G208" t="s">
        <v>3116</v>
      </c>
      <c r="H208">
        <f ca="1">INDEX(技能数据库!$B$2:$I$100,MATCH(伤害与收益计算!$E208,技能数据库!$B$2:$B$100,0),MATCH(H$9,技能数据库!$B$2:$I$2,0))</f>
        <v>231.5</v>
      </c>
      <c r="I208">
        <f ca="1">INDEX(技能数据库!$B$2:$I$100,MATCH(伤害与收益计算!$E208,技能数据库!$B$2:$B$100,0),MATCH(I$9,技能数据库!$B$2:$I$2,0))</f>
        <v>2.71875</v>
      </c>
      <c r="J208">
        <f ca="1">INDEX(技能数据库!$B$2:$I$100,MATCH(伤害与收益计算!$E208,技能数据库!$B$2:$B$100,0),MATCH(J$9,技能数据库!$B$2:$I$2,0))</f>
        <v>2</v>
      </c>
      <c r="K208">
        <f ca="1">INDEX(技能数据库!$B$2:$I$100,MATCH(伤害与收益计算!$E208,技能数据库!$B$2:$B$100,0),MATCH(K$9,技能数据库!$B$2:$I$2,0))</f>
        <v>0</v>
      </c>
      <c r="L208">
        <f ca="1" t="shared" si="512"/>
        <v>105847</v>
      </c>
      <c r="M208">
        <f ca="1" t="shared" ref="M208:M209" si="530">IF(D208="轻剑",$AU$2+$AV$2,$AU$3+$AV$3)/2</f>
        <v>19530.5</v>
      </c>
      <c r="N208">
        <f ca="1" t="shared" ref="N208:N209" si="531">IF(D208="轻剑",$AJ$2,$AJ$3)</f>
        <v>92028</v>
      </c>
      <c r="O208">
        <f ca="1" t="shared" si="472"/>
        <v>327064.03125</v>
      </c>
      <c r="P208">
        <f ca="1">IF(G208="恒定伤害",0,(IF(D208="轻剑",$AZ$2,$AZ$3)+IFERROR(INDEX(技能数据库!$T$2:$W$27,MATCH(E208,技能数据库!$T$2:$T$27,0),4),0)+COUNTIF(G208,"*造化2*")*154+COUNTIF(G208,"*造化1*")*102+COUNTIF(G208,"*碧归*")*307)/1024)</f>
        <v>0.596790021929785</v>
      </c>
      <c r="Q208">
        <f ca="1" t="shared" si="473"/>
        <v>0.448284482196154</v>
      </c>
      <c r="R208">
        <f ca="1" t="shared" si="474"/>
        <v>0.21277697966198</v>
      </c>
      <c r="S208">
        <f ca="1" t="shared" ref="S208:S209" si="532">O208*(1+P208)*(1+Q208)*(1-R208)</f>
        <v>595432.119746968</v>
      </c>
      <c r="T208">
        <f t="shared" si="338"/>
        <v>0.8</v>
      </c>
      <c r="U208">
        <f ca="1" t="shared" si="476"/>
        <v>1.7995442148</v>
      </c>
      <c r="V208">
        <f ca="1" t="shared" ref="V208:V209" si="533">S208*T208*(1+U208)</f>
        <v>1333550.83691498</v>
      </c>
      <c r="W208">
        <f ca="1">IF(G208="恒定伤害",0,MIN(1,IF(COUNTIF(F208,"*内会*")&gt;0,内会,IF(D208="轻剑",$Y$2,$Y$3)+COUNTIF(G208,"*莺鸣*")*0.2+COUNTIF(G208,"*叠1*")*0.1+COUNTIF(G208,"*叠2*")*0.2+COUNTIF(G208,"*叠3*")*0.3)+IFERROR(INDEX(技能数据库!$T$2:$W$27,MATCH(E208,技能数据库!$T$2:$T$27,0),2),0)+IF((IF(D208="轻剑",$AO$2,$AO$3)+INT(COUNTIF(G208,"*大莺鸣*")*IF(D208="轻剑",$AM$2,$AM$3)*听晓无双率)/无双系数)&gt;0.9,特效裤子会心/会心系数,0)))</f>
        <v>1</v>
      </c>
      <c r="X208">
        <f ca="1">IF(G208="恒定伤害",0,IF(COUNTIF(F208,"*内会*")&gt;0,内会效,IF(D208="轻剑",$AB$2,$AB$3))+IFERROR(INDEX(技能数据库!$T$2:$W$27,MATCH(E208,技能数据库!$T$2:$T$27,0),3)/1024,0))+COUNTIF(G208,"*叠1*")*0.25+COUNTIF(G208,"*叠2*")*0.5+COUNTIF(G208,"*叠3*")*0.75</f>
        <v>3.0656473116</v>
      </c>
      <c r="Y208">
        <f ca="1" t="shared" ref="Y208:Y209" si="534">1+W208*(X208-1)</f>
        <v>3.0656473116</v>
      </c>
      <c r="Z208">
        <f t="shared" si="479"/>
        <v>0.150390625</v>
      </c>
      <c r="AA208">
        <f ca="1" t="shared" ref="AA208:AA209" si="535">IF(D208="轻剑",$BA$2,$BA$3)/1024</f>
        <v>0.0205078125</v>
      </c>
      <c r="AB208">
        <f ca="1" t="shared" ref="AB208:AB209" si="536">V208*Y208*(1+Z208)*(1+AA208)</f>
        <v>4799471.68381688</v>
      </c>
      <c r="AC208">
        <f ca="1">技能数计算!AJ200</f>
        <v>2</v>
      </c>
      <c r="AD208" s="164">
        <f ca="1" t="shared" si="482"/>
        <v>0.00308138051407956</v>
      </c>
      <c r="AE208" s="168">
        <f ca="1" t="shared" si="513"/>
        <v>0.00412304585999932</v>
      </c>
      <c r="AF208" s="168">
        <f ca="1" t="shared" si="483"/>
        <v>0.00364607503748549</v>
      </c>
      <c r="AG208">
        <f ca="1" t="shared" ref="AG208:AG209" si="537">IF(G208="恒定伤害",0,MAX(0,AH208*AI208*IF(AJ208=0,1,AJ208)-1))</f>
        <v>0.00297414120044159</v>
      </c>
      <c r="AH208">
        <f ca="1" t="shared" si="485"/>
        <v>1.00281267606035</v>
      </c>
      <c r="AI208">
        <f ca="1" t="shared" si="486"/>
        <v>1.00016101226475</v>
      </c>
      <c r="AJ208">
        <f ca="1" t="shared" si="487"/>
        <v>1</v>
      </c>
      <c r="AK208">
        <f ca="1" t="shared" si="488"/>
        <v>2</v>
      </c>
      <c r="AL208">
        <f ca="1" t="shared" si="489"/>
        <v>0</v>
      </c>
      <c r="AM208">
        <f ca="1" t="shared" si="490"/>
        <v>2</v>
      </c>
      <c r="AN208" s="168">
        <f ca="1" t="shared" si="491"/>
        <v>0.00655129503556839</v>
      </c>
      <c r="AO208" s="168">
        <f ca="1" t="shared" si="492"/>
        <v>0.00447057613551372</v>
      </c>
      <c r="AP208" s="172">
        <f ca="1" t="shared" si="493"/>
        <v>0</v>
      </c>
      <c r="AQ208" s="168">
        <f ca="1" t="shared" si="494"/>
        <v>0.00401583628616287</v>
      </c>
      <c r="AR208">
        <f t="shared" si="495"/>
        <v>1</v>
      </c>
    </row>
    <row r="209" spans="4:44">
      <c r="D209" t="s">
        <v>1825</v>
      </c>
      <c r="E209" t="s">
        <v>2798</v>
      </c>
      <c r="G209" t="s">
        <v>3114</v>
      </c>
      <c r="H209">
        <f ca="1">INDEX(技能数据库!$B$2:$I$100,MATCH(伤害与收益计算!$E209,技能数据库!$B$2:$B$100,0),MATCH(H$9,技能数据库!$B$2:$I$2,0))</f>
        <v>1504.5</v>
      </c>
      <c r="I209">
        <f ca="1">INDEX(技能数据库!$B$2:$I$100,MATCH(伤害与收益计算!$E209,技能数据库!$B$2:$B$100,0),MATCH(I$9,技能数据库!$B$2:$I$2,0))</f>
        <v>2.85625</v>
      </c>
      <c r="J209">
        <f ca="1">INDEX(技能数据库!$B$2:$I$100,MATCH(伤害与收益计算!$E209,技能数据库!$B$2:$B$100,0),MATCH(J$9,技能数据库!$B$2:$I$2,0))</f>
        <v>0</v>
      </c>
      <c r="K209">
        <f ca="1">INDEX(技能数据库!$B$2:$I$100,MATCH(伤害与收益计算!$E209,技能数据库!$B$2:$B$100,0),MATCH(K$9,技能数据库!$B$2:$I$2,0))</f>
        <v>0</v>
      </c>
      <c r="L209">
        <f ca="1" t="shared" si="512"/>
        <v>105847</v>
      </c>
      <c r="M209">
        <f ca="1" t="shared" si="530"/>
        <v>19530.5</v>
      </c>
      <c r="N209">
        <f ca="1" t="shared" si="531"/>
        <v>92028</v>
      </c>
      <c r="O209">
        <f ca="1" t="shared" si="472"/>
        <v>303829.99375</v>
      </c>
      <c r="P209">
        <f ca="1">IF(G209="恒定伤害",0,(IF(D209="轻剑",$AZ$2,$AZ$3)+IFERROR(INDEX(技能数据库!$T$2:$W$27,MATCH(E209,技能数据库!$T$2:$T$27,0),4),0)+COUNTIF(G209,"*造化2*")*154+COUNTIF(G209,"*造化1*")*102+COUNTIF(G209,"*碧归*")*307)/1024)</f>
        <v>0.476672834429785</v>
      </c>
      <c r="Q209">
        <f ca="1" t="shared" si="473"/>
        <v>0.448284482196154</v>
      </c>
      <c r="R209">
        <f ca="1" t="shared" si="474"/>
        <v>0.21277697966198</v>
      </c>
      <c r="S209">
        <f ca="1" t="shared" si="532"/>
        <v>511524.68078327</v>
      </c>
      <c r="T209">
        <f t="shared" si="338"/>
        <v>0.8</v>
      </c>
      <c r="U209">
        <f ca="1" t="shared" si="476"/>
        <v>1.7995442148</v>
      </c>
      <c r="V209">
        <f ca="1" t="shared" si="533"/>
        <v>1145628.76865138</v>
      </c>
      <c r="W209">
        <f ca="1">IF(G209="恒定伤害",0,MIN(1,IF(COUNTIF(F209,"*内会*")&gt;0,内会,IF(D209="轻剑",$Y$2,$Y$3)+COUNTIF(G209,"*莺鸣*")*0.2+COUNTIF(G209,"*叠1*")*0.1+COUNTIF(G209,"*叠2*")*0.2+COUNTIF(G209,"*叠3*")*0.3)+IFERROR(INDEX(技能数据库!$T$2:$W$27,MATCH(E209,技能数据库!$T$2:$T$27,0),2),0)+IF((IF(D209="轻剑",$AO$2,$AO$3)+INT(COUNTIF(G209,"*大莺鸣*")*IF(D209="轻剑",$AM$2,$AM$3)*听晓无双率)/无双系数)&gt;0.9,特效裤子会心/会心系数,0)))</f>
        <v>0.8343</v>
      </c>
      <c r="X209">
        <f ca="1">IF(G209="恒定伤害",0,IF(COUNTIF(F209,"*内会*")&gt;0,内会效,IF(D209="轻剑",$AB$2,$AB$3))+IFERROR(INDEX(技能数据库!$T$2:$W$27,MATCH(E209,技能数据库!$T$2:$T$27,0),3)/1024,0))+COUNTIF(G209,"*叠1*")*0.25+COUNTIF(G209,"*叠2*")*0.5+COUNTIF(G209,"*叠3*")*0.75</f>
        <v>2.5656473116</v>
      </c>
      <c r="Y209">
        <f ca="1" t="shared" si="534"/>
        <v>2.30621955206788</v>
      </c>
      <c r="Z209">
        <f t="shared" si="479"/>
        <v>0.150390625</v>
      </c>
      <c r="AA209">
        <f ca="1" t="shared" si="535"/>
        <v>0.0205078125</v>
      </c>
      <c r="AB209">
        <f ca="1" t="shared" si="536"/>
        <v>3101745.98213281</v>
      </c>
      <c r="AC209" s="171">
        <f ca="1">技能数计算!AJ201</f>
        <v>0</v>
      </c>
      <c r="AD209" s="164">
        <f ca="1" t="shared" si="482"/>
        <v>0</v>
      </c>
      <c r="AE209" s="168">
        <f ca="1" t="shared" si="513"/>
        <v>0.00466280495389702</v>
      </c>
      <c r="AF209" s="168">
        <f ca="1" t="shared" si="483"/>
        <v>0</v>
      </c>
      <c r="AG209">
        <f ca="1" t="shared" si="537"/>
        <v>0.00334241552406178</v>
      </c>
      <c r="AH209">
        <f ca="1" t="shared" si="485"/>
        <v>1.00318089109683</v>
      </c>
      <c r="AI209">
        <f ca="1" t="shared" si="486"/>
        <v>1.00016101226475</v>
      </c>
      <c r="AJ209">
        <f ca="1" t="shared" si="487"/>
        <v>0</v>
      </c>
      <c r="AK209">
        <f ca="1" t="shared" si="488"/>
        <v>0</v>
      </c>
      <c r="AL209">
        <f ca="1" t="shared" si="489"/>
        <v>0</v>
      </c>
      <c r="AM209">
        <f ca="1" t="shared" si="490"/>
        <v>0</v>
      </c>
      <c r="AN209" s="168">
        <f ca="1" t="shared" si="491"/>
        <v>0.00726559092089141</v>
      </c>
      <c r="AO209" s="168">
        <f ca="1" t="shared" si="492"/>
        <v>0.00447057613551372</v>
      </c>
      <c r="AP209" s="172">
        <f ca="1" t="shared" si="493"/>
        <v>0</v>
      </c>
      <c r="AQ209" s="168">
        <f ca="1" t="shared" si="494"/>
        <v>0.00401583628616287</v>
      </c>
      <c r="AR209">
        <f t="shared" si="495"/>
        <v>1</v>
      </c>
    </row>
    <row r="210" spans="4:44">
      <c r="D210" t="s">
        <v>1825</v>
      </c>
      <c r="E210" t="s">
        <v>2798</v>
      </c>
      <c r="G210" t="s">
        <v>3115</v>
      </c>
      <c r="H210">
        <f ca="1">INDEX(技能数据库!$B$2:$I$100,MATCH(伤害与收益计算!$E210,技能数据库!$B$2:$B$100,0),MATCH(H$9,技能数据库!$B$2:$I$2,0))</f>
        <v>1504.5</v>
      </c>
      <c r="I210">
        <f ca="1">INDEX(技能数据库!$B$2:$I$100,MATCH(伤害与收益计算!$E210,技能数据库!$B$2:$B$100,0),MATCH(I$9,技能数据库!$B$2:$I$2,0))</f>
        <v>2.85625</v>
      </c>
      <c r="J210">
        <f ca="1">INDEX(技能数据库!$B$2:$I$100,MATCH(伤害与收益计算!$E210,技能数据库!$B$2:$B$100,0),MATCH(J$9,技能数据库!$B$2:$I$2,0))</f>
        <v>0</v>
      </c>
      <c r="K210">
        <f ca="1">INDEX(技能数据库!$B$2:$I$100,MATCH(伤害与收益计算!$E210,技能数据库!$B$2:$B$100,0),MATCH(K$9,技能数据库!$B$2:$I$2,0))</f>
        <v>0</v>
      </c>
      <c r="L210">
        <f ca="1" t="shared" si="512"/>
        <v>105847</v>
      </c>
      <c r="M210">
        <f ca="1" t="shared" ref="M210:M212" si="538">IF(D210="轻剑",$AU$2+$AV$2,$AU$3+$AV$3)/2</f>
        <v>19530.5</v>
      </c>
      <c r="N210">
        <f ca="1" t="shared" ref="N210:N212" si="539">IF(D210="轻剑",$AJ$2,$AJ$3)</f>
        <v>92028</v>
      </c>
      <c r="O210">
        <f ca="1" t="shared" si="472"/>
        <v>303829.99375</v>
      </c>
      <c r="P210">
        <f ca="1">IF(G210="恒定伤害",0,(IF(D210="轻剑",$AZ$2,$AZ$3)+IFERROR(INDEX(技能数据库!$T$2:$W$27,MATCH(E210,技能数据库!$T$2:$T$27,0),4),0)+COUNTIF(G210,"*造化2*")*154+COUNTIF(G210,"*造化1*")*102+COUNTIF(G210,"*碧归*")*307)/1024)</f>
        <v>0.476672834429785</v>
      </c>
      <c r="Q210">
        <f ca="1" t="shared" si="473"/>
        <v>0.448284482196154</v>
      </c>
      <c r="R210">
        <f ca="1" t="shared" si="474"/>
        <v>0.21277697966198</v>
      </c>
      <c r="S210">
        <f ca="1" t="shared" ref="S210:S212" si="540">O210*(1+P210)*(1+Q210)*(1-R210)</f>
        <v>511524.68078327</v>
      </c>
      <c r="T210">
        <f t="shared" si="338"/>
        <v>0.8</v>
      </c>
      <c r="U210">
        <f ca="1" t="shared" si="476"/>
        <v>1.7995442148</v>
      </c>
      <c r="V210">
        <f ca="1" t="shared" ref="V210:V212" si="541">S210*T210*(1+U210)</f>
        <v>1145628.76865138</v>
      </c>
      <c r="W210">
        <f ca="1">IF(G210="恒定伤害",0,MIN(1,IF(COUNTIF(F210,"*内会*")&gt;0,内会,IF(D210="轻剑",$Y$2,$Y$3)+COUNTIF(G210,"*莺鸣*")*0.2+COUNTIF(G210,"*叠1*")*0.1+COUNTIF(G210,"*叠2*")*0.2+COUNTIF(G210,"*叠3*")*0.3)+IFERROR(INDEX(技能数据库!$T$2:$W$27,MATCH(E210,技能数据库!$T$2:$T$27,0),2),0)+IF((IF(D210="轻剑",$AO$2,$AO$3)+INT(COUNTIF(G210,"*大莺鸣*")*IF(D210="轻剑",$AM$2,$AM$3)*听晓无双率)/无双系数)&gt;0.9,特效裤子会心/会心系数,0)))</f>
        <v>0.9343</v>
      </c>
      <c r="X210">
        <f ca="1">IF(G210="恒定伤害",0,IF(COUNTIF(F210,"*内会*")&gt;0,内会效,IF(D210="轻剑",$AB$2,$AB$3))+IFERROR(INDEX(技能数据库!$T$2:$W$27,MATCH(E210,技能数据库!$T$2:$T$27,0),3)/1024,0))+COUNTIF(G210,"*叠1*")*0.25+COUNTIF(G210,"*叠2*")*0.5+COUNTIF(G210,"*叠3*")*0.75</f>
        <v>2.8156473116</v>
      </c>
      <c r="Y210">
        <f ca="1" t="shared" ref="Y210:Y212" si="542">1+W210*(X210-1)</f>
        <v>2.69635928322788</v>
      </c>
      <c r="Z210">
        <f t="shared" si="479"/>
        <v>0.150390625</v>
      </c>
      <c r="AA210">
        <f ca="1" t="shared" ref="AA210:AA212" si="543">IF(D210="轻剑",$BA$2,$BA$3)/1024</f>
        <v>0.0205078125</v>
      </c>
      <c r="AB210">
        <f ca="1" t="shared" ref="AB210:AB212" si="544">V210*Y210*(1+Z210)*(1+AA210)</f>
        <v>3626463.73613453</v>
      </c>
      <c r="AC210">
        <f ca="1">技能数计算!AJ202</f>
        <v>0</v>
      </c>
      <c r="AD210" s="164">
        <f ca="1" t="shared" si="482"/>
        <v>0</v>
      </c>
      <c r="AE210" s="168">
        <f ca="1" t="shared" si="513"/>
        <v>0.00466280495389702</v>
      </c>
      <c r="AF210" s="168">
        <f ca="1" t="shared" si="483"/>
        <v>0</v>
      </c>
      <c r="AG210">
        <f ca="1" t="shared" ref="AG210:AG212" si="545">IF(G210="恒定伤害",0,MAX(0,AH210*AI210*IF(AJ210=0,1,AJ210)-1))</f>
        <v>0.00334241552406178</v>
      </c>
      <c r="AH210">
        <f ca="1" t="shared" si="485"/>
        <v>1.00318089109683</v>
      </c>
      <c r="AI210">
        <f ca="1" t="shared" si="486"/>
        <v>1.00016101226475</v>
      </c>
      <c r="AJ210">
        <f ca="1" t="shared" si="487"/>
        <v>0</v>
      </c>
      <c r="AK210">
        <f ca="1" t="shared" si="488"/>
        <v>0</v>
      </c>
      <c r="AL210">
        <f ca="1" t="shared" si="489"/>
        <v>0</v>
      </c>
      <c r="AM210">
        <f ca="1" t="shared" si="490"/>
        <v>0</v>
      </c>
      <c r="AN210" s="168">
        <f ca="1" t="shared" si="491"/>
        <v>0.00695917786518119</v>
      </c>
      <c r="AO210" s="168">
        <f ca="1" t="shared" si="492"/>
        <v>0.00447057613551372</v>
      </c>
      <c r="AP210" s="172">
        <f ca="1" t="shared" si="493"/>
        <v>0</v>
      </c>
      <c r="AQ210" s="168">
        <f ca="1" t="shared" si="494"/>
        <v>0.00401583628616287</v>
      </c>
      <c r="AR210">
        <f t="shared" si="495"/>
        <v>1</v>
      </c>
    </row>
    <row r="211" spans="4:44">
      <c r="D211" t="s">
        <v>1825</v>
      </c>
      <c r="E211" t="s">
        <v>2798</v>
      </c>
      <c r="G211" t="s">
        <v>3116</v>
      </c>
      <c r="H211">
        <f ca="1">INDEX(技能数据库!$B$2:$I$100,MATCH(伤害与收益计算!$E211,技能数据库!$B$2:$B$100,0),MATCH(H$9,技能数据库!$B$2:$I$2,0))</f>
        <v>1504.5</v>
      </c>
      <c r="I211">
        <f ca="1">INDEX(技能数据库!$B$2:$I$100,MATCH(伤害与收益计算!$E211,技能数据库!$B$2:$B$100,0),MATCH(I$9,技能数据库!$B$2:$I$2,0))</f>
        <v>2.85625</v>
      </c>
      <c r="J211">
        <f ca="1">INDEX(技能数据库!$B$2:$I$100,MATCH(伤害与收益计算!$E211,技能数据库!$B$2:$B$100,0),MATCH(J$9,技能数据库!$B$2:$I$2,0))</f>
        <v>0</v>
      </c>
      <c r="K211">
        <f ca="1">INDEX(技能数据库!$B$2:$I$100,MATCH(伤害与收益计算!$E211,技能数据库!$B$2:$B$100,0),MATCH(K$9,技能数据库!$B$2:$I$2,0))</f>
        <v>0</v>
      </c>
      <c r="L211">
        <f ca="1" t="shared" si="512"/>
        <v>105847</v>
      </c>
      <c r="M211">
        <f ca="1" t="shared" si="538"/>
        <v>19530.5</v>
      </c>
      <c r="N211">
        <f ca="1" t="shared" si="539"/>
        <v>92028</v>
      </c>
      <c r="O211">
        <f ca="1" t="shared" ref="O211:O213" si="546">H211+I211*L211+J211*M211+IF(K211&gt;0,MAX(1,K211*N211*破招全局系数),0)</f>
        <v>303829.99375</v>
      </c>
      <c r="P211">
        <f ca="1">IF(G211="恒定伤害",0,(IF(D211="轻剑",$AZ$2,$AZ$3)+IFERROR(INDEX(技能数据库!$T$2:$W$27,MATCH(E211,技能数据库!$T$2:$T$27,0),4),0)+COUNTIF(G211,"*造化2*")*154+COUNTIF(G211,"*造化1*")*102+COUNTIF(G211,"*碧归*")*307)/1024)</f>
        <v>0.476672834429785</v>
      </c>
      <c r="Q211">
        <f ca="1" t="shared" ref="Q211:Q213" si="547">IF(G211="恒定伤害",0,(IF(COUNTIF(F211,"*内破*")&gt;0,内破,IF(D211="轻剑",$AF$2,$AF$3)/破防系数))+IF((IF(D211="轻剑",$AO$2,$AO$3)+INT(COUNTIF(G211,"*大莺鸣*")*IF(D211="轻剑",$AM$2,$AM$3)*听晓无双率)/无双系数)&gt;0.9,(特效裤子破防+特效裤子破防*IF(D211="轻剑",$AD$2,$AD$3)/1024)/破防系数,0))</f>
        <v>0.448284482196154</v>
      </c>
      <c r="R211">
        <f ca="1" t="shared" ref="R211:R213" si="548">IF(G211="恒定伤害",0,(($F$5-IF(D211="轻剑",$BB$2,$BB$3))*(1024-IF(D211="轻剑",$BD$2,$BD$3))/1024*(1024-IF(D211="轻剑",$BC$2,$BC$3)-COUNTIF(G211,"*雾锁*")*461*雾锁)/1024/(($F$5-IF(D211="轻剑",$BB$2,$BB$3))*(1024-IF(D211="轻剑",$BD$2,$BD$3))/1024*(1024-IF(D211="轻剑",$BC$2,$BC$3)-COUNTIF(G211,"*雾锁*")*461*雾锁)/1024+$F$7)))</f>
        <v>0.21277697966198</v>
      </c>
      <c r="S211">
        <f ca="1" t="shared" si="540"/>
        <v>511524.68078327</v>
      </c>
      <c r="T211">
        <f t="shared" si="338"/>
        <v>0.8</v>
      </c>
      <c r="U211">
        <f ca="1" t="shared" ref="U211:U213" si="549">IF(G211="恒定伤害",0,(IF(D211="轻剑",$AO$2,$AO$3)+INT(COUNTIF(G211,"*大莺鸣*")*IF(D211="轻剑",$AM$2,$AM$3)*听晓无双率)/无双系数)+IF((IF(D211="轻剑",$AO$2,$AO$3)+INT(COUNTIF(G211,"*大莺鸣*")*IF(D211="轻剑",$AM$2,$AM$3)*听晓无双率)/无双系数)&lt;=0.9,特效裤子无双,0))</f>
        <v>1.7995442148</v>
      </c>
      <c r="V211">
        <f ca="1" t="shared" si="541"/>
        <v>1145628.76865138</v>
      </c>
      <c r="W211">
        <f ca="1">IF(G211="恒定伤害",0,MIN(1,IF(COUNTIF(F211,"*内会*")&gt;0,内会,IF(D211="轻剑",$Y$2,$Y$3)+COUNTIF(G211,"*莺鸣*")*0.2+COUNTIF(G211,"*叠1*")*0.1+COUNTIF(G211,"*叠2*")*0.2+COUNTIF(G211,"*叠3*")*0.3)+IFERROR(INDEX(技能数据库!$T$2:$W$27,MATCH(E211,技能数据库!$T$2:$T$27,0),2),0)+IF((IF(D211="轻剑",$AO$2,$AO$3)+INT(COUNTIF(G211,"*大莺鸣*")*IF(D211="轻剑",$AM$2,$AM$3)*听晓无双率)/无双系数)&gt;0.9,特效裤子会心/会心系数,0)))</f>
        <v>1</v>
      </c>
      <c r="X211">
        <f ca="1">IF(G211="恒定伤害",0,IF(COUNTIF(F211,"*内会*")&gt;0,内会效,IF(D211="轻剑",$AB$2,$AB$3))+IFERROR(INDEX(技能数据库!$T$2:$W$27,MATCH(E211,技能数据库!$T$2:$T$27,0),3)/1024,0))+COUNTIF(G211,"*叠1*")*0.25+COUNTIF(G211,"*叠2*")*0.5+COUNTIF(G211,"*叠3*")*0.75</f>
        <v>3.0656473116</v>
      </c>
      <c r="Y211">
        <f ca="1" t="shared" si="542"/>
        <v>3.0656473116</v>
      </c>
      <c r="Z211">
        <f t="shared" ref="Z211:Z213" si="550">IF(G211="恒定伤害",0,非侠士伤害/1024)</f>
        <v>0.150390625</v>
      </c>
      <c r="AA211">
        <f ca="1" t="shared" si="543"/>
        <v>0.0205078125</v>
      </c>
      <c r="AB211">
        <f ca="1" t="shared" si="544"/>
        <v>4123137.02867769</v>
      </c>
      <c r="AC211">
        <f ca="1">技能数计算!AJ203</f>
        <v>2</v>
      </c>
      <c r="AD211" s="164">
        <f ca="1" t="shared" ref="AD211:AD213" si="551">IFERROR(AB211*AC211/$AD$7,0)</f>
        <v>0.00264715679850485</v>
      </c>
      <c r="AE211" s="168">
        <f ca="1" t="shared" si="513"/>
        <v>0.00466280495389702</v>
      </c>
      <c r="AF211" s="168">
        <f ca="1" t="shared" ref="AF211:AF213" si="552">IFERROR((delta武伤+INT((IF(D211="轻剑",$AW$2,$AW$3))/1024*delta武伤))*J211/O211,0)</f>
        <v>0</v>
      </c>
      <c r="AG211">
        <f ca="1" t="shared" si="545"/>
        <v>0.00334241552406178</v>
      </c>
      <c r="AH211">
        <f ca="1" t="shared" ref="AH211:AH213" si="553">IFERROR((delta身法+INT((IF(D211="轻剑",$N$2,$N$3))/1024*delta身法))*身法转额外攻击*I211/O211+1,0)</f>
        <v>1.00318089109683</v>
      </c>
      <c r="AI211">
        <f ca="1" t="shared" ref="AI211:AI213" si="554">IFERROR(((delta身法+INT((IF(D211="轻剑",$N$2,$N$3))/1024*delta身法))*身法转额外破防/破防系数+Q211+1)/(1+Q211),0)</f>
        <v>1.00016101226475</v>
      </c>
      <c r="AJ211">
        <f ca="1" t="shared" ref="AJ211:AJ213" si="555">IFERROR(((1+MIN(1,((delta身法+INT((IF(D211="轻剑",$N$2,$N$3))/1024*delta身法))*身法转基础会心/会心系数)+W211)*(X211-1))*AK211)/(Y211*AC211),0)</f>
        <v>1</v>
      </c>
      <c r="AK211">
        <f ca="1" t="shared" ref="AK211:AK213" si="556">AC211</f>
        <v>2</v>
      </c>
      <c r="AL211">
        <f ca="1" t="shared" ref="AL211:AL213" si="557">IF(G211="恒定伤害",0,IFERROR(((1+MIN(1,W211+delta会心/会心系数)*(X211-1))*AM211)/(Y211*AC211)-1,0))</f>
        <v>0</v>
      </c>
      <c r="AM211">
        <f ca="1" t="shared" ref="AM211:AM213" si="558">AC211</f>
        <v>2</v>
      </c>
      <c r="AN211" s="168">
        <f ca="1" t="shared" ref="AN211:AN213" si="559">IF(OR(COUNTIF(F211,"*内会*")&gt;0,G211="恒定伤害"),0,(1+W211*(MIN(3+COUNTIF(G211,"*叠*")*0.75,X211+delta会效/会效系数)-1))/Y211-1)</f>
        <v>0.00655129503556839</v>
      </c>
      <c r="AO211" s="168">
        <f ca="1" t="shared" ref="AO211:AO213" si="560">IF(OR(COUNTIF(F211,"*内破*")&gt;0,G211="恒定伤害"),0,IFERROR(((delta破防+INT((IF(D211="轻剑",$AD$2,$AD$3))/1024*delta破防))/破防系数+Q211+1)/(Q211+1)-1,0))</f>
        <v>0.00447057613551372</v>
      </c>
      <c r="AP211" s="172">
        <f ca="1" t="shared" ref="AP211:AP213" si="561">IFERROR((delta破招+INT((IF(D211="轻剑",$AI$2,$AI$3))/1024*delta破招))*K211*破招全局系数/MAX(1,O211),0)</f>
        <v>0</v>
      </c>
      <c r="AQ211" s="168">
        <f ca="1" t="shared" ref="AQ211:AQ213" si="562">IF(G211="恒定伤害",0,IFERROR(((delta无双+INT((IF(D211="轻剑",$AL$2,$AL$3)+COUNTIF(G211,"*大莺鸣*")*307)/1024*delta无双))/无双系数+U211+1)/(U211+1)-1,0))</f>
        <v>0.00401583628616287</v>
      </c>
      <c r="AR211">
        <f t="shared" ref="AR211:AR213" si="563">IF($AR$8="综合属性收益",1,COUNTIF(D211,LEFT($AR$8,2)))</f>
        <v>1</v>
      </c>
    </row>
    <row r="212" spans="4:44">
      <c r="D212" t="s">
        <v>1825</v>
      </c>
      <c r="E212" s="161" t="s">
        <v>2859</v>
      </c>
      <c r="G212" t="s">
        <v>3109</v>
      </c>
      <c r="H212">
        <f ca="1">INDEX(技能数据库!$B$2:$I$100,MATCH(伤害与收益计算!$E212,技能数据库!$B$2:$B$100,0),MATCH(H$9,技能数据库!$B$2:$I$2,0))</f>
        <v>1955936</v>
      </c>
      <c r="I212">
        <f ca="1">INDEX(技能数据库!$B$2:$I$100,MATCH(伤害与收益计算!$E212,技能数据库!$B$2:$B$100,0),MATCH(I$9,技能数据库!$B$2:$I$2,0))</f>
        <v>0</v>
      </c>
      <c r="J212">
        <f ca="1">INDEX(技能数据库!$B$2:$I$100,MATCH(伤害与收益计算!$E212,技能数据库!$B$2:$B$100,0),MATCH(J$9,技能数据库!$B$2:$I$2,0))</f>
        <v>0</v>
      </c>
      <c r="K212">
        <f ca="1">INDEX(技能数据库!$B$2:$I$100,MATCH(伤害与收益计算!$E212,技能数据库!$B$2:$B$100,0),MATCH(K$9,技能数据库!$B$2:$I$2,0))</f>
        <v>0</v>
      </c>
      <c r="L212">
        <f ca="1" t="shared" si="512"/>
        <v>105847</v>
      </c>
      <c r="M212">
        <f ca="1" t="shared" si="538"/>
        <v>19530.5</v>
      </c>
      <c r="N212">
        <f ca="1" t="shared" si="539"/>
        <v>92028</v>
      </c>
      <c r="O212">
        <f ca="1" t="shared" si="546"/>
        <v>1955936</v>
      </c>
      <c r="P212">
        <f ca="1">IF(G212="恒定伤害",0,(IF(D212="轻剑",$AZ$2,$AZ$3)+IFERROR(INDEX(技能数据库!$T$2:$W$27,MATCH(E212,技能数据库!$T$2:$T$27,0),4),0)+COUNTIF(G212,"*造化2*")*154+COUNTIF(G212,"*造化1*")*102+COUNTIF(G212,"*碧归*")*307)/1024)</f>
        <v>0.176868146929785</v>
      </c>
      <c r="Q212">
        <f ca="1" t="shared" si="547"/>
        <v>0.448284482196154</v>
      </c>
      <c r="R212">
        <f ca="1" t="shared" si="548"/>
        <v>0.21277697966198</v>
      </c>
      <c r="S212">
        <f ca="1" t="shared" si="540"/>
        <v>2624424.66940335</v>
      </c>
      <c r="T212">
        <f t="shared" si="338"/>
        <v>0.8</v>
      </c>
      <c r="U212">
        <f ca="1" t="shared" si="549"/>
        <v>1.7995442148</v>
      </c>
      <c r="V212">
        <f ca="1" t="shared" si="541"/>
        <v>5877754.32032523</v>
      </c>
      <c r="W212">
        <f ca="1">IF(G212="恒定伤害",0,MIN(1,IF(COUNTIF(F212,"*内会*")&gt;0,内会,IF(D212="轻剑",$Y$2,$Y$3)+COUNTIF(G212,"*莺鸣*")*0.2+COUNTIF(G212,"*叠1*")*0.1+COUNTIF(G212,"*叠2*")*0.2+COUNTIF(G212,"*叠3*")*0.3)+IFERROR(INDEX(技能数据库!$T$2:$W$27,MATCH(E212,技能数据库!$T$2:$T$27,0),2),0)+IF((IF(D212="轻剑",$AO$2,$AO$3)+INT(COUNTIF(G212,"*大莺鸣*")*IF(D212="轻剑",$AM$2,$AM$3)*听晓无双率)/无双系数)&gt;0.9,特效裤子会心/会心系数,0)))</f>
        <v>0.9343</v>
      </c>
      <c r="X212">
        <f ca="1">IF(G212="恒定伤害",0,IF(COUNTIF(F212,"*内会*")&gt;0,内会效,IF(D212="轻剑",$AB$2,$AB$3))+IFERROR(INDEX(技能数据库!$T$2:$W$27,MATCH(E212,技能数据库!$T$2:$T$27,0),3)/1024,0))+COUNTIF(G212,"*叠1*")*0.25+COUNTIF(G212,"*叠2*")*0.5+COUNTIF(G212,"*叠3*")*0.75</f>
        <v>2.8156473116</v>
      </c>
      <c r="Y212">
        <f ca="1" t="shared" si="542"/>
        <v>2.69635928322788</v>
      </c>
      <c r="Z212">
        <f t="shared" si="550"/>
        <v>0.150390625</v>
      </c>
      <c r="AA212">
        <f ca="1" t="shared" si="543"/>
        <v>0.0205078125</v>
      </c>
      <c r="AB212">
        <f ca="1" t="shared" si="544"/>
        <v>18605907.4945018</v>
      </c>
      <c r="AC212" s="171">
        <f ca="1">技能数计算!AJ204</f>
        <v>0</v>
      </c>
      <c r="AD212" s="164">
        <f ca="1" t="shared" si="551"/>
        <v>0</v>
      </c>
      <c r="AE212" s="168">
        <f ca="1" t="shared" si="513"/>
        <v>0</v>
      </c>
      <c r="AF212" s="168">
        <f ca="1" t="shared" si="552"/>
        <v>0</v>
      </c>
      <c r="AG212">
        <f ca="1" t="shared" si="545"/>
        <v>0.000161012264749072</v>
      </c>
      <c r="AH212">
        <f ca="1" t="shared" si="553"/>
        <v>1</v>
      </c>
      <c r="AI212">
        <f ca="1" t="shared" si="554"/>
        <v>1.00016101226475</v>
      </c>
      <c r="AJ212">
        <f ca="1" t="shared" si="555"/>
        <v>0</v>
      </c>
      <c r="AK212">
        <f ca="1" t="shared" si="556"/>
        <v>0</v>
      </c>
      <c r="AL212">
        <f ca="1" t="shared" si="557"/>
        <v>0</v>
      </c>
      <c r="AM212">
        <f ca="1" t="shared" si="558"/>
        <v>0</v>
      </c>
      <c r="AN212" s="168">
        <f ca="1" t="shared" si="559"/>
        <v>0.00695917786518119</v>
      </c>
      <c r="AO212" s="168">
        <f ca="1" t="shared" si="560"/>
        <v>0.00447057613551372</v>
      </c>
      <c r="AP212" s="172">
        <f ca="1" t="shared" si="561"/>
        <v>0</v>
      </c>
      <c r="AQ212" s="168">
        <f ca="1" t="shared" si="562"/>
        <v>0.00401583628616287</v>
      </c>
      <c r="AR212">
        <f t="shared" si="563"/>
        <v>1</v>
      </c>
    </row>
    <row r="213" spans="4:44">
      <c r="D213" t="s">
        <v>1825</v>
      </c>
      <c r="E213" s="161" t="s">
        <v>2859</v>
      </c>
      <c r="G213" t="s">
        <v>3109</v>
      </c>
      <c r="H213">
        <f ca="1">INDEX(技能数据库!$B$2:$I$100,MATCH(伤害与收益计算!$E213,技能数据库!$B$2:$B$100,0),MATCH(H$9,技能数据库!$B$2:$I$2,0))</f>
        <v>1955936</v>
      </c>
      <c r="I213">
        <f ca="1">INDEX(技能数据库!$B$2:$I$100,MATCH(伤害与收益计算!$E213,技能数据库!$B$2:$B$100,0),MATCH(I$9,技能数据库!$B$2:$I$2,0))</f>
        <v>0</v>
      </c>
      <c r="J213">
        <f ca="1">INDEX(技能数据库!$B$2:$I$100,MATCH(伤害与收益计算!$E213,技能数据库!$B$2:$B$100,0),MATCH(J$9,技能数据库!$B$2:$I$2,0))</f>
        <v>0</v>
      </c>
      <c r="K213">
        <f ca="1">INDEX(技能数据库!$B$2:$I$100,MATCH(伤害与收益计算!$E213,技能数据库!$B$2:$B$100,0),MATCH(K$9,技能数据库!$B$2:$I$2,0))</f>
        <v>0</v>
      </c>
      <c r="L213">
        <f ca="1" t="shared" si="512"/>
        <v>105847</v>
      </c>
      <c r="M213">
        <f ca="1" t="shared" ref="M213:M214" si="564">IF(D213="轻剑",$AU$2+$AV$2,$AU$3+$AV$3)/2</f>
        <v>19530.5</v>
      </c>
      <c r="N213">
        <f ca="1" t="shared" ref="N213:N214" si="565">IF(D213="轻剑",$AJ$2,$AJ$3)</f>
        <v>92028</v>
      </c>
      <c r="O213">
        <f ca="1" t="shared" si="546"/>
        <v>1955936</v>
      </c>
      <c r="P213">
        <f ca="1">IF(G213="恒定伤害",0,(IF(D213="轻剑",$AZ$2,$AZ$3)+IFERROR(INDEX(技能数据库!$T$2:$W$27,MATCH(E213,技能数据库!$T$2:$T$27,0),4),0)+COUNTIF(G213,"*造化2*")*154+COUNTIF(G213,"*造化1*")*102+COUNTIF(G213,"*碧归*")*307)/1024)</f>
        <v>0.176868146929785</v>
      </c>
      <c r="Q213">
        <f ca="1" t="shared" si="547"/>
        <v>0.448284482196154</v>
      </c>
      <c r="R213">
        <f ca="1" t="shared" si="548"/>
        <v>0.21277697966198</v>
      </c>
      <c r="S213">
        <f ca="1" t="shared" ref="S213:S214" si="566">O213*(1+P213)*(1+Q213)*(1-R213)</f>
        <v>2624424.66940335</v>
      </c>
      <c r="T213">
        <f t="shared" si="338"/>
        <v>0.8</v>
      </c>
      <c r="U213">
        <f ca="1" t="shared" si="549"/>
        <v>1.7995442148</v>
      </c>
      <c r="V213">
        <f ca="1" t="shared" ref="V213:V214" si="567">S213*T213*(1+U213)</f>
        <v>5877754.32032523</v>
      </c>
      <c r="W213">
        <f ca="1">IF(G213="恒定伤害",0,MIN(1,IF(COUNTIF(F213,"*内会*")&gt;0,内会,IF(D213="轻剑",$Y$2,$Y$3)+COUNTIF(G213,"*莺鸣*")*0.2+COUNTIF(G213,"*叠1*")*0.1+COUNTIF(G213,"*叠2*")*0.2+COUNTIF(G213,"*叠3*")*0.3)+IFERROR(INDEX(技能数据库!$T$2:$W$27,MATCH(E213,技能数据库!$T$2:$T$27,0),2),0)+IF((IF(D213="轻剑",$AO$2,$AO$3)+INT(COUNTIF(G213,"*大莺鸣*")*IF(D213="轻剑",$AM$2,$AM$3)*听晓无双率)/无双系数)&gt;0.9,特效裤子会心/会心系数,0)))</f>
        <v>0.9343</v>
      </c>
      <c r="X213">
        <f ca="1">IF(G213="恒定伤害",0,IF(COUNTIF(F213,"*内会*")&gt;0,内会效,IF(D213="轻剑",$AB$2,$AB$3))+IFERROR(INDEX(技能数据库!$T$2:$W$27,MATCH(E213,技能数据库!$T$2:$T$27,0),3)/1024,0))+COUNTIF(G213,"*叠1*")*0.25+COUNTIF(G213,"*叠2*")*0.5+COUNTIF(G213,"*叠3*")*0.75</f>
        <v>2.8156473116</v>
      </c>
      <c r="Y213">
        <f ca="1" t="shared" ref="Y213:Y214" si="568">1+W213*(X213-1)</f>
        <v>2.69635928322788</v>
      </c>
      <c r="Z213">
        <f t="shared" si="550"/>
        <v>0.150390625</v>
      </c>
      <c r="AA213">
        <f ca="1" t="shared" ref="AA213:AA214" si="569">IF(D213="轻剑",$BA$2,$BA$3)/1024</f>
        <v>0.0205078125</v>
      </c>
      <c r="AB213">
        <f ca="1" t="shared" ref="AB213:AB214" si="570">V213*Y213*(1+Z213)*(1+AA213)</f>
        <v>18605907.4945018</v>
      </c>
      <c r="AC213">
        <f ca="1">技能数计算!AJ205</f>
        <v>0</v>
      </c>
      <c r="AD213" s="164">
        <f ca="1" t="shared" si="551"/>
        <v>0</v>
      </c>
      <c r="AE213" s="168">
        <f ca="1" t="shared" si="513"/>
        <v>0</v>
      </c>
      <c r="AF213" s="168">
        <f ca="1" t="shared" si="552"/>
        <v>0</v>
      </c>
      <c r="AG213">
        <f ca="1" t="shared" ref="AG213:AG214" si="571">IF(G213="恒定伤害",0,MAX(0,AH213*AI213*IF(AJ213=0,1,AJ213)-1))</f>
        <v>0.000161012264749072</v>
      </c>
      <c r="AH213">
        <f ca="1" t="shared" si="553"/>
        <v>1</v>
      </c>
      <c r="AI213">
        <f ca="1" t="shared" si="554"/>
        <v>1.00016101226475</v>
      </c>
      <c r="AJ213">
        <f ca="1" t="shared" si="555"/>
        <v>0</v>
      </c>
      <c r="AK213">
        <f ca="1" t="shared" si="556"/>
        <v>0</v>
      </c>
      <c r="AL213">
        <f ca="1" t="shared" si="557"/>
        <v>0</v>
      </c>
      <c r="AM213">
        <f ca="1" t="shared" si="558"/>
        <v>0</v>
      </c>
      <c r="AN213" s="168">
        <f ca="1" t="shared" si="559"/>
        <v>0.00695917786518119</v>
      </c>
      <c r="AO213" s="168">
        <f ca="1" t="shared" si="560"/>
        <v>0.00447057613551372</v>
      </c>
      <c r="AP213" s="172">
        <f ca="1" t="shared" si="561"/>
        <v>0</v>
      </c>
      <c r="AQ213" s="168">
        <f ca="1" t="shared" si="562"/>
        <v>0.00401583628616287</v>
      </c>
      <c r="AR213">
        <f t="shared" si="563"/>
        <v>1</v>
      </c>
    </row>
    <row r="214" spans="4:44">
      <c r="D214" t="s">
        <v>1825</v>
      </c>
      <c r="E214" s="161" t="s">
        <v>2861</v>
      </c>
      <c r="G214" t="s">
        <v>3109</v>
      </c>
      <c r="H214">
        <f ca="1">INDEX(技能数据库!$B$2:$I$100,MATCH(伤害与收益计算!$E214,技能数据库!$B$2:$B$100,0),MATCH(H$9,技能数据库!$B$2:$I$2,0))</f>
        <v>1344706</v>
      </c>
      <c r="I214">
        <f ca="1">INDEX(技能数据库!$B$2:$I$100,MATCH(伤害与收益计算!$E214,技能数据库!$B$2:$B$100,0),MATCH(I$9,技能数据库!$B$2:$I$2,0))</f>
        <v>0</v>
      </c>
      <c r="J214">
        <f ca="1">INDEX(技能数据库!$B$2:$I$100,MATCH(伤害与收益计算!$E214,技能数据库!$B$2:$B$100,0),MATCH(J$9,技能数据库!$B$2:$I$2,0))</f>
        <v>0</v>
      </c>
      <c r="K214">
        <f ca="1">INDEX(技能数据库!$B$2:$I$100,MATCH(伤害与收益计算!$E214,技能数据库!$B$2:$B$100,0),MATCH(K$9,技能数据库!$B$2:$I$2,0))</f>
        <v>0</v>
      </c>
      <c r="L214">
        <f ca="1" t="shared" si="512"/>
        <v>105847</v>
      </c>
      <c r="M214">
        <f ca="1" t="shared" si="564"/>
        <v>19530.5</v>
      </c>
      <c r="N214">
        <f ca="1" t="shared" si="565"/>
        <v>92028</v>
      </c>
      <c r="O214">
        <f ca="1" t="shared" ref="O214" si="572">H214+I214*L214+J214*M214+IF(K214&gt;0,MAX(1,K214*N214*破招全局系数),0)</f>
        <v>1344706</v>
      </c>
      <c r="P214">
        <f ca="1">IF(G214="恒定伤害",0,(IF(D214="轻剑",$AZ$2,$AZ$3)+IFERROR(INDEX(技能数据库!$T$2:$W$27,MATCH(E214,技能数据库!$T$2:$T$27,0),4),0)+COUNTIF(G214,"*造化2*")*154+COUNTIF(G214,"*造化1*")*102+COUNTIF(G214,"*碧归*")*307)/1024)</f>
        <v>0.176868146929785</v>
      </c>
      <c r="Q214">
        <f ca="1" t="shared" ref="Q214" si="573">IF(G214="恒定伤害",0,(IF(COUNTIF(F214,"*内破*")&gt;0,内破,IF(D214="轻剑",$AF$2,$AF$3)/破防系数))+IF((IF(D214="轻剑",$AO$2,$AO$3)+INT(COUNTIF(G214,"*大莺鸣*")*IF(D214="轻剑",$AM$2,$AM$3)*听晓无双率)/无双系数)&gt;0.9,(特效裤子破防+特效裤子破防*IF(D214="轻剑",$AD$2,$AD$3)/1024)/破防系数,0))</f>
        <v>0.448284482196154</v>
      </c>
      <c r="R214">
        <f ca="1" t="shared" ref="R214" si="574">IF(G214="恒定伤害",0,(($F$5-IF(D214="轻剑",$BB$2,$BB$3))*(1024-IF(D214="轻剑",$BD$2,$BD$3))/1024*(1024-IF(D214="轻剑",$BC$2,$BC$3)-COUNTIF(G214,"*雾锁*")*461*雾锁)/1024/(($F$5-IF(D214="轻剑",$BB$2,$BB$3))*(1024-IF(D214="轻剑",$BD$2,$BD$3))/1024*(1024-IF(D214="轻剑",$BC$2,$BC$3)-COUNTIF(G214,"*雾锁*")*461*雾锁)/1024+$F$7)))</f>
        <v>0.21277697966198</v>
      </c>
      <c r="S214">
        <f ca="1" t="shared" si="566"/>
        <v>1804291.9602148</v>
      </c>
      <c r="T214">
        <f t="shared" si="338"/>
        <v>0.8</v>
      </c>
      <c r="U214">
        <f ca="1" t="shared" ref="U214" si="575">IF(G214="恒定伤害",0,(IF(D214="轻剑",$AO$2,$AO$3)+INT(COUNTIF(G214,"*大莺鸣*")*IF(D214="轻剑",$AM$2,$AM$3)*听晓无双率)/无双系数)+IF((IF(D214="轻剑",$AO$2,$AO$3)+INT(COUNTIF(G214,"*大莺鸣*")*IF(D214="轻剑",$AM$2,$AM$3)*听晓无双率)/无双系数)&lt;=0.9,特效裤子无双,0))</f>
        <v>1.7995442148</v>
      </c>
      <c r="V214">
        <f ca="1" t="shared" si="567"/>
        <v>4040956.0952236</v>
      </c>
      <c r="W214">
        <f ca="1">IF(G214="恒定伤害",0,MIN(1,IF(COUNTIF(F214,"*内会*")&gt;0,内会,IF(D214="轻剑",$Y$2,$Y$3)+COUNTIF(G214,"*莺鸣*")*0.2+COUNTIF(G214,"*叠1*")*0.1+COUNTIF(G214,"*叠2*")*0.2+COUNTIF(G214,"*叠3*")*0.3)+IFERROR(INDEX(技能数据库!$T$2:$W$27,MATCH(E214,技能数据库!$T$2:$T$27,0),2),0)+IF((IF(D214="轻剑",$AO$2,$AO$3)+INT(COUNTIF(G214,"*大莺鸣*")*IF(D214="轻剑",$AM$2,$AM$3)*听晓无双率)/无双系数)&gt;0.9,特效裤子会心/会心系数,0)))</f>
        <v>0.9343</v>
      </c>
      <c r="X214">
        <f ca="1">IF(G214="恒定伤害",0,IF(COUNTIF(F214,"*内会*")&gt;0,内会效,IF(D214="轻剑",$AB$2,$AB$3))+IFERROR(INDEX(技能数据库!$T$2:$W$27,MATCH(E214,技能数据库!$T$2:$T$27,0),3)/1024,0))+COUNTIF(G214,"*叠1*")*0.25+COUNTIF(G214,"*叠2*")*0.5+COUNTIF(G214,"*叠3*")*0.75</f>
        <v>2.8156473116</v>
      </c>
      <c r="Y214">
        <f ca="1" t="shared" si="568"/>
        <v>2.69635928322788</v>
      </c>
      <c r="Z214">
        <f t="shared" ref="Z214" si="576">IF(G214="恒定伤害",0,非侠士伤害/1024)</f>
        <v>0.150390625</v>
      </c>
      <c r="AA214">
        <f ca="1" t="shared" si="569"/>
        <v>0.0205078125</v>
      </c>
      <c r="AB214">
        <f ca="1" t="shared" si="570"/>
        <v>12791561.40247</v>
      </c>
      <c r="AC214">
        <f ca="1">技能数计算!AJ206</f>
        <v>0</v>
      </c>
      <c r="AD214" s="164">
        <f ca="1" t="shared" ref="AD214" si="577">IFERROR(AB214*AC214/$AD$7,0)</f>
        <v>0</v>
      </c>
      <c r="AE214" s="168">
        <f ca="1" t="shared" si="513"/>
        <v>0</v>
      </c>
      <c r="AF214" s="168">
        <f ca="1" t="shared" ref="AF214" si="578">IFERROR((delta武伤+INT((IF(D214="轻剑",$AW$2,$AW$3))/1024*delta武伤))*J214/O214,0)</f>
        <v>0</v>
      </c>
      <c r="AG214">
        <f ca="1" t="shared" si="571"/>
        <v>0.000161012264749072</v>
      </c>
      <c r="AH214">
        <f ca="1" t="shared" ref="AH214" si="579">IFERROR((delta身法+INT((IF(D214="轻剑",$N$2,$N$3))/1024*delta身法))*身法转额外攻击*I214/O214+1,0)</f>
        <v>1</v>
      </c>
      <c r="AI214">
        <f ca="1" t="shared" ref="AI214" si="580">IFERROR(((delta身法+INT((IF(D214="轻剑",$N$2,$N$3))/1024*delta身法))*身法转额外破防/破防系数+Q214+1)/(1+Q214),0)</f>
        <v>1.00016101226475</v>
      </c>
      <c r="AJ214">
        <f ca="1" t="shared" ref="AJ214" si="581">IFERROR(((1+MIN(1,((delta身法+INT((IF(D214="轻剑",$N$2,$N$3))/1024*delta身法))*身法转基础会心/会心系数)+W214)*(X214-1))*AK214)/(Y214*AC214),0)</f>
        <v>0</v>
      </c>
      <c r="AK214">
        <f ca="1" t="shared" ref="AK214" si="582">AC214</f>
        <v>0</v>
      </c>
      <c r="AL214">
        <f ca="1" t="shared" ref="AL214" si="583">IF(G214="恒定伤害",0,IFERROR(((1+MIN(1,W214+delta会心/会心系数)*(X214-1))*AM214)/(Y214*AC214)-1,0))</f>
        <v>0</v>
      </c>
      <c r="AM214">
        <f ca="1" t="shared" ref="AM214" si="584">AC214</f>
        <v>0</v>
      </c>
      <c r="AN214" s="168">
        <f ca="1" t="shared" ref="AN214" si="585">IF(OR(COUNTIF(F214,"*内会*")&gt;0,G214="恒定伤害"),0,(1+W214*(MIN(3+COUNTIF(G214,"*叠*")*0.75,X214+delta会效/会效系数)-1))/Y214-1)</f>
        <v>0.00695917786518119</v>
      </c>
      <c r="AO214" s="168">
        <f ca="1" t="shared" ref="AO214" si="586">IF(OR(COUNTIF(F214,"*内破*")&gt;0,G214="恒定伤害"),0,IFERROR(((delta破防+INT((IF(D214="轻剑",$AD$2,$AD$3))/1024*delta破防))/破防系数+Q214+1)/(Q214+1)-1,0))</f>
        <v>0.00447057613551372</v>
      </c>
      <c r="AP214" s="172">
        <f ca="1" t="shared" ref="AP214" si="587">IFERROR((delta破招+INT((IF(D214="轻剑",$AI$2,$AI$3))/1024*delta破招))*K214*破招全局系数/MAX(1,O214),0)</f>
        <v>0</v>
      </c>
      <c r="AQ214" s="168">
        <f ca="1" t="shared" ref="AQ214" si="588">IF(G214="恒定伤害",0,IFERROR(((delta无双+INT((IF(D214="轻剑",$AL$2,$AL$3)+COUNTIF(G214,"*大莺鸣*")*307)/1024*delta无双))/无双系数+U214+1)/(U214+1)-1,0))</f>
        <v>0.00401583628616287</v>
      </c>
      <c r="AR214">
        <f t="shared" ref="AR214" si="589">IF($AR$8="综合属性收益",1,COUNTIF(D214,LEFT($AR$8,2)))</f>
        <v>1</v>
      </c>
    </row>
    <row r="215" spans="4:44">
      <c r="D215" t="s">
        <v>1028</v>
      </c>
      <c r="E215" s="161" t="s">
        <v>2726</v>
      </c>
      <c r="G215" t="s">
        <v>3108</v>
      </c>
      <c r="H215">
        <f ca="1">INDEX(技能数据库!$B$2:$I$100,MATCH(伤害与收益计算!$E215,技能数据库!$B$2:$B$100,0),MATCH(H$9,技能数据库!$B$2:$I$2,0))</f>
        <v>122</v>
      </c>
      <c r="I215">
        <f ca="1">INDEX(技能数据库!$B$2:$I$100,MATCH(伤害与收益计算!$E215,技能数据库!$B$2:$B$100,0),MATCH(I$9,技能数据库!$B$2:$I$2,0))</f>
        <v>0.7</v>
      </c>
      <c r="J215">
        <f ca="1">INDEX(技能数据库!$B$2:$I$100,MATCH(伤害与收益计算!$E215,技能数据库!$B$2:$B$100,0),MATCH(J$9,技能数据库!$B$2:$I$2,0))</f>
        <v>1</v>
      </c>
      <c r="K215">
        <f ca="1">INDEX(技能数据库!$B$2:$I$100,MATCH(伤害与收益计算!$E215,技能数据库!$B$2:$B$100,0),MATCH(K$9,技能数据库!$B$2:$I$2,0))</f>
        <v>0</v>
      </c>
      <c r="L215">
        <f ca="1" t="shared" si="512"/>
        <v>105847</v>
      </c>
      <c r="M215">
        <f ca="1" t="shared" ref="M215:M216" si="590">IF(D215="轻剑",$AU$2+$AV$2,$AU$3+$AV$3)/2</f>
        <v>12694.5</v>
      </c>
      <c r="N215">
        <f ca="1" t="shared" ref="N215:N216" si="591">IF(D215="轻剑",$AJ$2,$AJ$3)</f>
        <v>92028</v>
      </c>
      <c r="O215">
        <f ca="1" t="shared" ref="O215:O218" si="592">H215+I215*L215+J215*M215+IF(K215&gt;0,MAX(1,K215*N215*破招全局系数),0)</f>
        <v>86909.4</v>
      </c>
      <c r="P215">
        <f ca="1">IF(G215="恒定伤害",0,(IF(D215="轻剑",$AZ$2,$AZ$3)+IFERROR(INDEX(技能数据库!$T$2:$W$27,MATCH(E215,技能数据库!$T$2:$T$27,0),4),0)+COUNTIF(G215,"*造化2*")*154+COUNTIF(G215,"*造化1*")*102+COUNTIF(G215,"*碧归*")*307)/1024)</f>
        <v>0.197375959429785</v>
      </c>
      <c r="Q215">
        <f ca="1" t="shared" ref="Q215:Q218" si="593">IF(G215="恒定伤害",0,(IF(COUNTIF(F215,"*内破*")&gt;0,内破,IF(D215="轻剑",$AF$2,$AF$3)/破防系数))+IF((IF(D215="轻剑",$AO$2,$AO$3)+INT(COUNTIF(G215,"*大莺鸣*")*IF(D215="轻剑",$AM$2,$AM$3)*听晓无双率)/无双系数)&gt;0.9,(特效裤子破防+特效裤子破防*IF(D215="轻剑",$AD$2,$AD$3)/1024)/破防系数,0))</f>
        <v>0.448284482196154</v>
      </c>
      <c r="R215">
        <f ca="1" t="shared" ref="R215:R218" si="594">IF(G215="恒定伤害",0,(($F$5-IF(D215="轻剑",$BB$2,$BB$3))*(1024-IF(D215="轻剑",$BD$2,$BD$3))/1024*(1024-IF(D215="轻剑",$BC$2,$BC$3)-COUNTIF(G215,"*雾锁*")*461*雾锁)/1024/(($F$5-IF(D215="轻剑",$BB$2,$BB$3))*(1024-IF(D215="轻剑",$BD$2,$BD$3))/1024*(1024-IF(D215="轻剑",$BC$2,$BC$3)-COUNTIF(G215,"*雾锁*")*461*雾锁)/1024+$F$7)))</f>
        <v>0.21277697966198</v>
      </c>
      <c r="S215">
        <f ca="1" t="shared" ref="S215:S216" si="595">O215*(1+P215)*(1+Q215)*(1-R215)</f>
        <v>118644.865623013</v>
      </c>
      <c r="T215">
        <f t="shared" si="338"/>
        <v>0.8</v>
      </c>
      <c r="U215">
        <f ca="1" t="shared" ref="U215:U218" si="596">IF(G215="恒定伤害",0,(IF(D215="轻剑",$AO$2,$AO$3)+INT(COUNTIF(G215,"*大莺鸣*")*IF(D215="轻剑",$AM$2,$AM$3)*听晓无双率)/无双系数)+IF((IF(D215="轻剑",$AO$2,$AO$3)+INT(COUNTIF(G215,"*大莺鸣*")*IF(D215="轻剑",$AM$2,$AM$3)*听晓无双率)/无双系数)&lt;=0.9,特效裤子无双,0))</f>
        <v>1.7995442148</v>
      </c>
      <c r="V215">
        <f ca="1" t="shared" ref="V215:V216" si="597">S215*T215*(1+U215)</f>
        <v>265721.237736503</v>
      </c>
      <c r="W215">
        <f ca="1">IF(G215="恒定伤害",0,MIN(1,IF(COUNTIF(F215,"*内会*")&gt;0,内会,IF(D215="轻剑",$Y$2,$Y$3)+COUNTIF(G215,"*莺鸣*")*0.2+COUNTIF(G215,"*叠1*")*0.1+COUNTIF(G215,"*叠2*")*0.2+COUNTIF(G215,"*叠3*")*0.3)+IFERROR(INDEX(技能数据库!$T$2:$W$27,MATCH(E215,技能数据库!$T$2:$T$27,0),2),0)+IF((IF(D215="轻剑",$AO$2,$AO$3)+INT(COUNTIF(G215,"*大莺鸣*")*IF(D215="轻剑",$AM$2,$AM$3)*听晓无双率)/无双系数)&gt;0.9,特效裤子会心/会心系数,0)))</f>
        <v>0.8743</v>
      </c>
      <c r="X215">
        <f ca="1">IF(G215="恒定伤害",0,IF(COUNTIF(F215,"*内会*")&gt;0,内会效,IF(D215="轻剑",$AB$2,$AB$3))+IFERROR(INDEX(技能数据库!$T$2:$W$27,MATCH(E215,技能数据库!$T$2:$T$27,0),3)/1024,0))+COUNTIF(G215,"*叠1*")*0.25+COUNTIF(G215,"*叠2*")*0.5+COUNTIF(G215,"*叠3*")*0.75</f>
        <v>2.5656473116</v>
      </c>
      <c r="Y215">
        <f ca="1" t="shared" ref="Y215:Y216" si="598">1+W215*(X215-1)</f>
        <v>2.36884544453188</v>
      </c>
      <c r="Z215">
        <f t="shared" ref="Z215:Z218" si="599">IF(G215="恒定伤害",0,非侠士伤害/1024)</f>
        <v>0.150390625</v>
      </c>
      <c r="AA215">
        <f ca="1" t="shared" ref="AA215:AA216" si="600">IF(D215="轻剑",$BA$2,$BA$3)/1024</f>
        <v>0.0205078125</v>
      </c>
      <c r="AB215">
        <f ca="1" t="shared" ref="AB215:AB216" si="601">V215*Y215*(1+Z215)*(1+AA215)</f>
        <v>738966.346366665</v>
      </c>
      <c r="AC215">
        <f ca="1">技能数计算!AJ207</f>
        <v>0</v>
      </c>
      <c r="AD215" s="164">
        <f ca="1" t="shared" ref="AD215:AD218" si="602">IFERROR(AB215*AC215/$AD$7,0)</f>
        <v>0</v>
      </c>
      <c r="AE215" s="168">
        <f ca="1" t="shared" si="513"/>
        <v>0.00399496487146385</v>
      </c>
      <c r="AF215" s="168">
        <f ca="1" t="shared" ref="AF215:AF218" si="603">IFERROR((delta武伤+INT((IF(D215="轻剑",$AW$2,$AW$3))/1024*delta武伤))*J215/O215,0)</f>
        <v>0.00686059275521405</v>
      </c>
      <c r="AG215">
        <f ca="1" t="shared" ref="AG215:AG216" si="604">IF(G215="恒定伤害",0,MAX(0,AH215*AI215*IF(AJ215=0,1,AJ215)-1))</f>
        <v>0.00288675232648883</v>
      </c>
      <c r="AH215">
        <f ca="1" t="shared" ref="AH215:AH218" si="605">IFERROR((delta身法+INT((IF(D215="轻剑",$N$2,$N$3))/1024*delta身法))*身法转额外攻击*I215/O215+1,0)</f>
        <v>1.00272530125481</v>
      </c>
      <c r="AI215">
        <f ca="1" t="shared" ref="AI215:AI218" si="606">IFERROR(((delta身法+INT((IF(D215="轻剑",$N$2,$N$3))/1024*delta身法))*身法转额外破防/破防系数+Q215+1)/(1+Q215),0)</f>
        <v>1.00016101226475</v>
      </c>
      <c r="AJ215">
        <f ca="1" t="shared" ref="AJ215:AJ218" si="607">IFERROR(((1+MIN(1,((delta身法+INT((IF(D215="轻剑",$N$2,$N$3))/1024*delta身法))*身法转基础会心/会心系数)+W215)*(X215-1))*AK215)/(Y215*AC215),0)</f>
        <v>0</v>
      </c>
      <c r="AK215">
        <f ca="1" t="shared" ref="AK215:AK218" si="608">AC215</f>
        <v>0</v>
      </c>
      <c r="AL215">
        <f ca="1" t="shared" ref="AL215:AL218" si="609">IF(G215="恒定伤害",0,IFERROR(((1+MIN(1,W215+delta会心/会心系数)*(X215-1))*AM215)/(Y215*AC215)-1,0))</f>
        <v>0</v>
      </c>
      <c r="AM215">
        <f ca="1" t="shared" ref="AM215:AM218" si="610">AC215</f>
        <v>0</v>
      </c>
      <c r="AN215" s="168">
        <f ca="1" t="shared" ref="AN215:AN218" si="611">IF(OR(COUNTIF(F215,"*内会*")&gt;0,G215="恒定伤害"),0,(1+W215*(MIN(3+COUNTIF(G215,"*叠*")*0.75,X215+delta会效/会效系数)-1))/Y215-1)</f>
        <v>0.00741264326896096</v>
      </c>
      <c r="AO215" s="168">
        <f ca="1" t="shared" ref="AO215:AO218" si="612">IF(OR(COUNTIF(F215,"*内破*")&gt;0,G215="恒定伤害"),0,IFERROR(((delta破防+INT((IF(D215="轻剑",$AD$2,$AD$3))/1024*delta破防))/破防系数+Q215+1)/(Q215+1)-1,0))</f>
        <v>0.00447057613551372</v>
      </c>
      <c r="AP215" s="172">
        <f ca="1" t="shared" ref="AP215:AP218" si="613">IFERROR((delta破招+INT((IF(D215="轻剑",$AI$2,$AI$3))/1024*delta破招))*K215*破招全局系数/MAX(1,O215),0)</f>
        <v>0</v>
      </c>
      <c r="AQ215" s="168">
        <f ca="1" t="shared" ref="AQ215:AQ218" si="614">IF(G215="恒定伤害",0,IFERROR(((delta无双+INT((IF(D215="轻剑",$AL$2,$AL$3)+COUNTIF(G215,"*大莺鸣*")*307)/1024*delta无双))/无双系数+U215+1)/(U215+1)-1,0))</f>
        <v>0.00401583628616287</v>
      </c>
      <c r="AR215">
        <f t="shared" ref="AR215:AR218" si="615">IF($AR$8="综合属性收益",1,COUNTIF(D215,LEFT($AR$8,2)))</f>
        <v>1</v>
      </c>
    </row>
    <row r="216" spans="4:44">
      <c r="D216" t="s">
        <v>1825</v>
      </c>
      <c r="E216" t="s">
        <v>2820</v>
      </c>
      <c r="G216" t="s">
        <v>2750</v>
      </c>
      <c r="H216">
        <f ca="1">INDEX(技能数据库!$B$2:$I$100,MATCH(伤害与收益计算!$E216,技能数据库!$B$2:$B$100,0),MATCH(H$9,技能数据库!$B$2:$I$2,0))</f>
        <v>31590</v>
      </c>
      <c r="I216">
        <f ca="1">INDEX(技能数据库!$B$2:$I$100,MATCH(伤害与收益计算!$E216,技能数据库!$B$2:$B$100,0),MATCH(I$9,技能数据库!$B$2:$I$2,0))</f>
        <v>0</v>
      </c>
      <c r="J216">
        <f ca="1">INDEX(技能数据库!$B$2:$I$100,MATCH(伤害与收益计算!$E216,技能数据库!$B$2:$B$100,0),MATCH(J$9,技能数据库!$B$2:$I$2,0))</f>
        <v>0</v>
      </c>
      <c r="K216">
        <f ca="1">INDEX(技能数据库!$B$2:$I$100,MATCH(伤害与收益计算!$E216,技能数据库!$B$2:$B$100,0),MATCH(K$9,技能数据库!$B$2:$I$2,0))</f>
        <v>0</v>
      </c>
      <c r="L216">
        <f ca="1" t="shared" si="512"/>
        <v>105847</v>
      </c>
      <c r="M216">
        <f ca="1" t="shared" si="590"/>
        <v>19530.5</v>
      </c>
      <c r="N216">
        <f ca="1" t="shared" si="591"/>
        <v>92028</v>
      </c>
      <c r="O216">
        <f ca="1" t="shared" si="592"/>
        <v>31590</v>
      </c>
      <c r="P216">
        <f ca="1">IF(G216="恒定伤害",0,(IF(D216="轻剑",$AZ$2,$AZ$3)+IFERROR(INDEX(技能数据库!$T$2:$W$27,MATCH(E216,技能数据库!$T$2:$T$27,0),4),0)+COUNTIF(G216,"*造化2*")*154+COUNTIF(G216,"*造化1*")*102+COUNTIF(G216,"*碧归*")*307)/1024)</f>
        <v>0.176868146929785</v>
      </c>
      <c r="Q216">
        <f ca="1" t="shared" si="593"/>
        <v>0.448284482196154</v>
      </c>
      <c r="R216">
        <f ca="1" t="shared" si="594"/>
        <v>0.21277697966198</v>
      </c>
      <c r="S216">
        <f ca="1" t="shared" si="595"/>
        <v>42386.6503333707</v>
      </c>
      <c r="T216">
        <f t="shared" si="338"/>
        <v>0.8</v>
      </c>
      <c r="U216">
        <f ca="1" t="shared" si="596"/>
        <v>1.7995442148</v>
      </c>
      <c r="V216">
        <f ca="1" t="shared" si="597"/>
        <v>94930.6413804307</v>
      </c>
      <c r="W216">
        <f ca="1">IF(G216="恒定伤害",0,MIN(1,IF(COUNTIF(F216,"*内会*")&gt;0,内会,IF(D216="轻剑",$Y$2,$Y$3)+COUNTIF(G216,"*莺鸣*")*0.2+COUNTIF(G216,"*叠1*")*0.1+COUNTIF(G216,"*叠2*")*0.2+COUNTIF(G216,"*叠3*")*0.3)+IFERROR(INDEX(技能数据库!$T$2:$W$27,MATCH(E216,技能数据库!$T$2:$T$27,0),2),0)+IF((IF(D216="轻剑",$AO$2,$AO$3)+INT(COUNTIF(G216,"*大莺鸣*")*IF(D216="轻剑",$AM$2,$AM$3)*听晓无双率)/无双系数)&gt;0.9,特效裤子会心/会心系数,0)))</f>
        <v>0.7343</v>
      </c>
      <c r="X216">
        <f ca="1">IF(G216="恒定伤害",0,IF(COUNTIF(F216,"*内会*")&gt;0,内会效,IF(D216="轻剑",$AB$2,$AB$3))+IFERROR(INDEX(技能数据库!$T$2:$W$27,MATCH(E216,技能数据库!$T$2:$T$27,0),3)/1024,0))+COUNTIF(G216,"*叠1*")*0.25+COUNTIF(G216,"*叠2*")*0.5+COUNTIF(G216,"*叠3*")*0.75</f>
        <v>2.3156473116</v>
      </c>
      <c r="Y216">
        <f ca="1" t="shared" si="598"/>
        <v>1.96607982090788</v>
      </c>
      <c r="Z216">
        <f t="shared" si="599"/>
        <v>0.150390625</v>
      </c>
      <c r="AA216">
        <f ca="1" t="shared" si="600"/>
        <v>0.0205078125</v>
      </c>
      <c r="AB216">
        <f ca="1" t="shared" si="601"/>
        <v>219113.546626467</v>
      </c>
      <c r="AC216" s="171">
        <f ca="1">技能数计算!AJ208</f>
        <v>0</v>
      </c>
      <c r="AD216" s="164">
        <f ca="1" t="shared" si="602"/>
        <v>0</v>
      </c>
      <c r="AE216" s="168">
        <f ca="1" t="shared" si="513"/>
        <v>0</v>
      </c>
      <c r="AF216" s="168">
        <f ca="1" t="shared" si="603"/>
        <v>0</v>
      </c>
      <c r="AG216">
        <f ca="1" t="shared" si="604"/>
        <v>0.000161012264749072</v>
      </c>
      <c r="AH216">
        <f ca="1" t="shared" si="605"/>
        <v>1</v>
      </c>
      <c r="AI216">
        <f ca="1" t="shared" si="606"/>
        <v>1.00016101226475</v>
      </c>
      <c r="AJ216">
        <f ca="1" t="shared" si="607"/>
        <v>0</v>
      </c>
      <c r="AK216">
        <f ca="1" t="shared" si="608"/>
        <v>0</v>
      </c>
      <c r="AL216">
        <f ca="1" t="shared" si="609"/>
        <v>0</v>
      </c>
      <c r="AM216">
        <f ca="1" t="shared" si="610"/>
        <v>0</v>
      </c>
      <c r="AN216" s="168">
        <f ca="1" t="shared" si="611"/>
        <v>0.00750104430192855</v>
      </c>
      <c r="AO216" s="168">
        <f ca="1" t="shared" si="612"/>
        <v>0.00447057613551372</v>
      </c>
      <c r="AP216" s="172">
        <f ca="1" t="shared" si="613"/>
        <v>0</v>
      </c>
      <c r="AQ216" s="168">
        <f ca="1" t="shared" si="614"/>
        <v>0.00401583628616287</v>
      </c>
      <c r="AR216">
        <f t="shared" si="615"/>
        <v>1</v>
      </c>
    </row>
    <row r="217" spans="4:44">
      <c r="D217" t="s">
        <v>1825</v>
      </c>
      <c r="E217" t="s">
        <v>2820</v>
      </c>
      <c r="G217" t="s">
        <v>3096</v>
      </c>
      <c r="H217">
        <f ca="1">INDEX(技能数据库!$B$2:$I$100,MATCH(伤害与收益计算!$E217,技能数据库!$B$2:$B$100,0),MATCH(H$9,技能数据库!$B$2:$I$2,0))</f>
        <v>31590</v>
      </c>
      <c r="I217">
        <f ca="1">INDEX(技能数据库!$B$2:$I$100,MATCH(伤害与收益计算!$E217,技能数据库!$B$2:$B$100,0),MATCH(I$9,技能数据库!$B$2:$I$2,0))</f>
        <v>0</v>
      </c>
      <c r="J217">
        <f ca="1">INDEX(技能数据库!$B$2:$I$100,MATCH(伤害与收益计算!$E217,技能数据库!$B$2:$B$100,0),MATCH(J$9,技能数据库!$B$2:$I$2,0))</f>
        <v>0</v>
      </c>
      <c r="K217">
        <f ca="1">INDEX(技能数据库!$B$2:$I$100,MATCH(伤害与收益计算!$E217,技能数据库!$B$2:$B$100,0),MATCH(K$9,技能数据库!$B$2:$I$2,0))</f>
        <v>0</v>
      </c>
      <c r="L217">
        <f ca="1" t="shared" si="512"/>
        <v>105847</v>
      </c>
      <c r="M217">
        <f ca="1" t="shared" ref="M217:M219" si="616">IF(D217="轻剑",$AU$2+$AV$2,$AU$3+$AV$3)/2</f>
        <v>19530.5</v>
      </c>
      <c r="N217">
        <f ca="1" t="shared" ref="N217:N219" si="617">IF(D217="轻剑",$AJ$2,$AJ$3)</f>
        <v>92028</v>
      </c>
      <c r="O217">
        <f ca="1" t="shared" si="592"/>
        <v>31590</v>
      </c>
      <c r="P217">
        <f ca="1">IF(G217="恒定伤害",0,(IF(D217="轻剑",$AZ$2,$AZ$3)+IFERROR(INDEX(技能数据库!$T$2:$W$27,MATCH(E217,技能数据库!$T$2:$T$27,0),4),0)+COUNTIF(G217,"*造化2*")*154+COUNTIF(G217,"*造化1*")*102+COUNTIF(G217,"*碧归*")*307)/1024)</f>
        <v>0.176868146929785</v>
      </c>
      <c r="Q217">
        <f ca="1" t="shared" si="593"/>
        <v>0.448284482196154</v>
      </c>
      <c r="R217">
        <f ca="1" t="shared" si="594"/>
        <v>0.21277697966198</v>
      </c>
      <c r="S217">
        <f ca="1" t="shared" ref="S217:S219" si="618">O217*(1+P217)*(1+Q217)*(1-R217)</f>
        <v>42386.6503333707</v>
      </c>
      <c r="T217">
        <f t="shared" si="338"/>
        <v>0.8</v>
      </c>
      <c r="U217">
        <f ca="1" t="shared" si="596"/>
        <v>1.7995442148</v>
      </c>
      <c r="V217">
        <f ca="1" t="shared" ref="V217:V219" si="619">S217*T217*(1+U217)</f>
        <v>94930.6413804307</v>
      </c>
      <c r="W217">
        <f ca="1">IF(G217="恒定伤害",0,MIN(1,IF(COUNTIF(F217,"*内会*")&gt;0,内会,IF(D217="轻剑",$Y$2,$Y$3)+COUNTIF(G217,"*莺鸣*")*0.2+COUNTIF(G217,"*叠1*")*0.1+COUNTIF(G217,"*叠2*")*0.2+COUNTIF(G217,"*叠3*")*0.3)+IFERROR(INDEX(技能数据库!$T$2:$W$27,MATCH(E217,技能数据库!$T$2:$T$27,0),2),0)+IF((IF(D217="轻剑",$AO$2,$AO$3)+INT(COUNTIF(G217,"*大莺鸣*")*IF(D217="轻剑",$AM$2,$AM$3)*听晓无双率)/无双系数)&gt;0.9,特效裤子会心/会心系数,0)))</f>
        <v>0.8343</v>
      </c>
      <c r="X217">
        <f ca="1">IF(G217="恒定伤害",0,IF(COUNTIF(F217,"*内会*")&gt;0,内会效,IF(D217="轻剑",$AB$2,$AB$3))+IFERROR(INDEX(技能数据库!$T$2:$W$27,MATCH(E217,技能数据库!$T$2:$T$27,0),3)/1024,0))+COUNTIF(G217,"*叠1*")*0.25+COUNTIF(G217,"*叠2*")*0.5+COUNTIF(G217,"*叠3*")*0.75</f>
        <v>2.5656473116</v>
      </c>
      <c r="Y217">
        <f ca="1" t="shared" ref="Y217:Y219" si="620">1+W217*(X217-1)</f>
        <v>2.30621955206788</v>
      </c>
      <c r="Z217">
        <f t="shared" si="599"/>
        <v>0.150390625</v>
      </c>
      <c r="AA217">
        <f ca="1" t="shared" ref="AA217:AA219" si="621">IF(D217="轻剑",$BA$2,$BA$3)/1024</f>
        <v>0.0205078125</v>
      </c>
      <c r="AB217">
        <f ca="1" t="shared" ref="AB217:AB219" si="622">V217*Y217*(1+Z217)*(1+AA217)</f>
        <v>257021.0730913</v>
      </c>
      <c r="AC217">
        <f ca="1">技能数计算!AJ209</f>
        <v>0</v>
      </c>
      <c r="AD217" s="164">
        <f ca="1" t="shared" si="602"/>
        <v>0</v>
      </c>
      <c r="AE217" s="168">
        <f ca="1" t="shared" si="513"/>
        <v>0</v>
      </c>
      <c r="AF217" s="168">
        <f ca="1" t="shared" si="603"/>
        <v>0</v>
      </c>
      <c r="AG217">
        <f ca="1" t="shared" ref="AG217:AG219" si="623">IF(G217="恒定伤害",0,MAX(0,AH217*AI217*IF(AJ217=0,1,AJ217)-1))</f>
        <v>0.000161012264749072</v>
      </c>
      <c r="AH217">
        <f ca="1" t="shared" si="605"/>
        <v>1</v>
      </c>
      <c r="AI217">
        <f ca="1" t="shared" si="606"/>
        <v>1.00016101226475</v>
      </c>
      <c r="AJ217">
        <f ca="1" t="shared" si="607"/>
        <v>0</v>
      </c>
      <c r="AK217">
        <f ca="1" t="shared" si="608"/>
        <v>0</v>
      </c>
      <c r="AL217">
        <f ca="1" t="shared" si="609"/>
        <v>0</v>
      </c>
      <c r="AM217">
        <f ca="1" t="shared" si="610"/>
        <v>0</v>
      </c>
      <c r="AN217" s="168">
        <f ca="1" t="shared" si="611"/>
        <v>0.00726559092089141</v>
      </c>
      <c r="AO217" s="168">
        <f ca="1" t="shared" si="612"/>
        <v>0.00447057613551372</v>
      </c>
      <c r="AP217" s="172">
        <f ca="1" t="shared" si="613"/>
        <v>0</v>
      </c>
      <c r="AQ217" s="168">
        <f ca="1" t="shared" si="614"/>
        <v>0.00401583628616287</v>
      </c>
      <c r="AR217">
        <f t="shared" si="615"/>
        <v>1</v>
      </c>
    </row>
    <row r="218" spans="4:44">
      <c r="D218" t="s">
        <v>1825</v>
      </c>
      <c r="E218" t="s">
        <v>2820</v>
      </c>
      <c r="G218" t="s">
        <v>3097</v>
      </c>
      <c r="H218">
        <f ca="1">INDEX(技能数据库!$B$2:$I$100,MATCH(伤害与收益计算!$E218,技能数据库!$B$2:$B$100,0),MATCH(H$9,技能数据库!$B$2:$I$2,0))</f>
        <v>31590</v>
      </c>
      <c r="I218">
        <f ca="1">INDEX(技能数据库!$B$2:$I$100,MATCH(伤害与收益计算!$E218,技能数据库!$B$2:$B$100,0),MATCH(I$9,技能数据库!$B$2:$I$2,0))</f>
        <v>0</v>
      </c>
      <c r="J218">
        <f ca="1">INDEX(技能数据库!$B$2:$I$100,MATCH(伤害与收益计算!$E218,技能数据库!$B$2:$B$100,0),MATCH(J$9,技能数据库!$B$2:$I$2,0))</f>
        <v>0</v>
      </c>
      <c r="K218">
        <f ca="1">INDEX(技能数据库!$B$2:$I$100,MATCH(伤害与收益计算!$E218,技能数据库!$B$2:$B$100,0),MATCH(K$9,技能数据库!$B$2:$I$2,0))</f>
        <v>0</v>
      </c>
      <c r="L218">
        <f ca="1" t="shared" si="512"/>
        <v>105847</v>
      </c>
      <c r="M218">
        <f ca="1" t="shared" si="616"/>
        <v>19530.5</v>
      </c>
      <c r="N218">
        <f ca="1" t="shared" si="617"/>
        <v>92028</v>
      </c>
      <c r="O218">
        <f ca="1" t="shared" si="592"/>
        <v>31590</v>
      </c>
      <c r="P218">
        <f ca="1">IF(G218="恒定伤害",0,(IF(D218="轻剑",$AZ$2,$AZ$3)+IFERROR(INDEX(技能数据库!$T$2:$W$27,MATCH(E218,技能数据库!$T$2:$T$27,0),4),0)+COUNTIF(G218,"*造化2*")*154+COUNTIF(G218,"*造化1*")*102+COUNTIF(G218,"*碧归*")*307)/1024)</f>
        <v>0.176868146929785</v>
      </c>
      <c r="Q218">
        <f ca="1" t="shared" si="593"/>
        <v>0.448284482196154</v>
      </c>
      <c r="R218">
        <f ca="1" t="shared" si="594"/>
        <v>0.21277697966198</v>
      </c>
      <c r="S218">
        <f ca="1" t="shared" si="618"/>
        <v>42386.6503333707</v>
      </c>
      <c r="T218">
        <f t="shared" ref="T218:T219" si="624">1-($F$6-130)*0.05</f>
        <v>0.8</v>
      </c>
      <c r="U218">
        <f ca="1" t="shared" si="596"/>
        <v>1.7995442148</v>
      </c>
      <c r="V218">
        <f ca="1" t="shared" si="619"/>
        <v>94930.6413804307</v>
      </c>
      <c r="W218">
        <f ca="1">IF(G218="恒定伤害",0,MIN(1,IF(COUNTIF(F218,"*内会*")&gt;0,内会,IF(D218="轻剑",$Y$2,$Y$3)+COUNTIF(G218,"*莺鸣*")*0.2+COUNTIF(G218,"*叠1*")*0.1+COUNTIF(G218,"*叠2*")*0.2+COUNTIF(G218,"*叠3*")*0.3)+IFERROR(INDEX(技能数据库!$T$2:$W$27,MATCH(E218,技能数据库!$T$2:$T$27,0),2),0)+IF((IF(D218="轻剑",$AO$2,$AO$3)+INT(COUNTIF(G218,"*大莺鸣*")*IF(D218="轻剑",$AM$2,$AM$3)*听晓无双率)/无双系数)&gt;0.9,特效裤子会心/会心系数,0)))</f>
        <v>0.9343</v>
      </c>
      <c r="X218">
        <f ca="1">IF(G218="恒定伤害",0,IF(COUNTIF(F218,"*内会*")&gt;0,内会效,IF(D218="轻剑",$AB$2,$AB$3))+IFERROR(INDEX(技能数据库!$T$2:$W$27,MATCH(E218,技能数据库!$T$2:$T$27,0),3)/1024,0))+COUNTIF(G218,"*叠1*")*0.25+COUNTIF(G218,"*叠2*")*0.5+COUNTIF(G218,"*叠3*")*0.75</f>
        <v>2.8156473116</v>
      </c>
      <c r="Y218">
        <f ca="1" t="shared" si="620"/>
        <v>2.69635928322788</v>
      </c>
      <c r="Z218">
        <f t="shared" si="599"/>
        <v>0.150390625</v>
      </c>
      <c r="AA218">
        <f ca="1" t="shared" si="621"/>
        <v>0.0205078125</v>
      </c>
      <c r="AB218">
        <f ca="1" t="shared" si="622"/>
        <v>300500.945711573</v>
      </c>
      <c r="AC218">
        <f ca="1">技能数计算!AJ210</f>
        <v>0</v>
      </c>
      <c r="AD218" s="164">
        <f ca="1" t="shared" si="602"/>
        <v>0</v>
      </c>
      <c r="AE218" s="168">
        <f ca="1" t="shared" si="513"/>
        <v>0</v>
      </c>
      <c r="AF218" s="168">
        <f ca="1" t="shared" si="603"/>
        <v>0</v>
      </c>
      <c r="AG218">
        <f ca="1" t="shared" si="623"/>
        <v>0.000161012264749072</v>
      </c>
      <c r="AH218">
        <f ca="1" t="shared" si="605"/>
        <v>1</v>
      </c>
      <c r="AI218">
        <f ca="1" t="shared" si="606"/>
        <v>1.00016101226475</v>
      </c>
      <c r="AJ218">
        <f ca="1" t="shared" si="607"/>
        <v>0</v>
      </c>
      <c r="AK218">
        <f ca="1" t="shared" si="608"/>
        <v>0</v>
      </c>
      <c r="AL218">
        <f ca="1" t="shared" si="609"/>
        <v>0</v>
      </c>
      <c r="AM218">
        <f ca="1" t="shared" si="610"/>
        <v>0</v>
      </c>
      <c r="AN218" s="168">
        <f ca="1" t="shared" si="611"/>
        <v>0.00695917786518119</v>
      </c>
      <c r="AO218" s="168">
        <f ca="1" t="shared" si="612"/>
        <v>0.00447057613551372</v>
      </c>
      <c r="AP218" s="172">
        <f ca="1" t="shared" si="613"/>
        <v>0</v>
      </c>
      <c r="AQ218" s="168">
        <f ca="1" t="shared" si="614"/>
        <v>0.00401583628616287</v>
      </c>
      <c r="AR218">
        <f t="shared" si="615"/>
        <v>1</v>
      </c>
    </row>
    <row r="219" spans="4:44">
      <c r="D219" t="s">
        <v>1825</v>
      </c>
      <c r="E219" t="s">
        <v>2820</v>
      </c>
      <c r="G219" t="s">
        <v>3099</v>
      </c>
      <c r="H219">
        <f ca="1">INDEX(技能数据库!$B$2:$I$100,MATCH(伤害与收益计算!$E219,技能数据库!$B$2:$B$100,0),MATCH(H$9,技能数据库!$B$2:$I$2,0))</f>
        <v>31590</v>
      </c>
      <c r="I219">
        <f ca="1">INDEX(技能数据库!$B$2:$I$100,MATCH(伤害与收益计算!$E219,技能数据库!$B$2:$B$100,0),MATCH(I$9,技能数据库!$B$2:$I$2,0))</f>
        <v>0</v>
      </c>
      <c r="J219">
        <f ca="1">INDEX(技能数据库!$B$2:$I$100,MATCH(伤害与收益计算!$E219,技能数据库!$B$2:$B$100,0),MATCH(J$9,技能数据库!$B$2:$I$2,0))</f>
        <v>0</v>
      </c>
      <c r="K219">
        <f ca="1">INDEX(技能数据库!$B$2:$I$100,MATCH(伤害与收益计算!$E219,技能数据库!$B$2:$B$100,0),MATCH(K$9,技能数据库!$B$2:$I$2,0))</f>
        <v>0</v>
      </c>
      <c r="L219">
        <f ca="1" t="shared" si="512"/>
        <v>105847</v>
      </c>
      <c r="M219">
        <f ca="1" t="shared" si="616"/>
        <v>19530.5</v>
      </c>
      <c r="N219">
        <f ca="1" t="shared" si="617"/>
        <v>92028</v>
      </c>
      <c r="O219">
        <f ca="1" t="shared" ref="O219" si="625">H219+I219*L219+J219*M219+IF(K219&gt;0,MAX(1,K219*N219*破招全局系数),0)</f>
        <v>31590</v>
      </c>
      <c r="P219">
        <f ca="1">IF(G219="恒定伤害",0,(IF(D219="轻剑",$AZ$2,$AZ$3)+IFERROR(INDEX(技能数据库!$T$2:$W$27,MATCH(E219,技能数据库!$T$2:$T$27,0),4),0)+COUNTIF(G219,"*造化2*")*154+COUNTIF(G219,"*造化1*")*102+COUNTIF(G219,"*碧归*")*307)/1024)</f>
        <v>0.176868146929785</v>
      </c>
      <c r="Q219">
        <f ca="1" t="shared" ref="Q219" si="626">IF(G219="恒定伤害",0,(IF(COUNTIF(F219,"*内破*")&gt;0,内破,IF(D219="轻剑",$AF$2,$AF$3)/破防系数))+IF((IF(D219="轻剑",$AO$2,$AO$3)+INT(COUNTIF(G219,"*大莺鸣*")*IF(D219="轻剑",$AM$2,$AM$3)*听晓无双率)/无双系数)&gt;0.9,(特效裤子破防+特效裤子破防*IF(D219="轻剑",$AD$2,$AD$3)/1024)/破防系数,0))</f>
        <v>0.448284482196154</v>
      </c>
      <c r="R219">
        <f ca="1" t="shared" ref="R219" si="627">IF(G219="恒定伤害",0,(($F$5-IF(D219="轻剑",$BB$2,$BB$3))*(1024-IF(D219="轻剑",$BD$2,$BD$3))/1024*(1024-IF(D219="轻剑",$BC$2,$BC$3)-COUNTIF(G219,"*雾锁*")*461*雾锁)/1024/(($F$5-IF(D219="轻剑",$BB$2,$BB$3))*(1024-IF(D219="轻剑",$BD$2,$BD$3))/1024*(1024-IF(D219="轻剑",$BC$2,$BC$3)-COUNTIF(G219,"*雾锁*")*461*雾锁)/1024+$F$7)))</f>
        <v>0.21277697966198</v>
      </c>
      <c r="S219">
        <f ca="1" t="shared" si="618"/>
        <v>42386.6503333707</v>
      </c>
      <c r="T219">
        <f t="shared" si="624"/>
        <v>0.8</v>
      </c>
      <c r="U219">
        <f ca="1" t="shared" ref="U219" si="628">IF(G219="恒定伤害",0,(IF(D219="轻剑",$AO$2,$AO$3)+INT(COUNTIF(G219,"*大莺鸣*")*IF(D219="轻剑",$AM$2,$AM$3)*听晓无双率)/无双系数)+IF((IF(D219="轻剑",$AO$2,$AO$3)+INT(COUNTIF(G219,"*大莺鸣*")*IF(D219="轻剑",$AM$2,$AM$3)*听晓无双率)/无双系数)&lt;=0.9,特效裤子无双,0))</f>
        <v>1.7995442148</v>
      </c>
      <c r="V219">
        <f ca="1" t="shared" si="619"/>
        <v>94930.6413804307</v>
      </c>
      <c r="W219">
        <f ca="1">IF(G219="恒定伤害",0,MIN(1,IF(COUNTIF(F219,"*内会*")&gt;0,内会,IF(D219="轻剑",$Y$2,$Y$3)+COUNTIF(G219,"*莺鸣*")*0.2+COUNTIF(G219,"*叠1*")*0.1+COUNTIF(G219,"*叠2*")*0.2+COUNTIF(G219,"*叠3*")*0.3)+IFERROR(INDEX(技能数据库!$T$2:$W$27,MATCH(E219,技能数据库!$T$2:$T$27,0),2),0)+IF((IF(D219="轻剑",$AO$2,$AO$3)+INT(COUNTIF(G219,"*大莺鸣*")*IF(D219="轻剑",$AM$2,$AM$3)*听晓无双率)/无双系数)&gt;0.9,特效裤子会心/会心系数,0)))</f>
        <v>1</v>
      </c>
      <c r="X219">
        <f ca="1">IF(G219="恒定伤害",0,IF(COUNTIF(F219,"*内会*")&gt;0,内会效,IF(D219="轻剑",$AB$2,$AB$3))+IFERROR(INDEX(技能数据库!$T$2:$W$27,MATCH(E219,技能数据库!$T$2:$T$27,0),3)/1024,0))+COUNTIF(G219,"*叠1*")*0.25+COUNTIF(G219,"*叠2*")*0.5+COUNTIF(G219,"*叠3*")*0.75</f>
        <v>3.0656473116</v>
      </c>
      <c r="Y219">
        <f ca="1" t="shared" si="620"/>
        <v>3.0656473116</v>
      </c>
      <c r="Z219">
        <f t="shared" ref="Z219" si="629">IF(G219="恒定伤害",0,非侠士伤害/1024)</f>
        <v>0.150390625</v>
      </c>
      <c r="AA219">
        <f ca="1" t="shared" si="621"/>
        <v>0.0205078125</v>
      </c>
      <c r="AB219">
        <f ca="1" t="shared" si="622"/>
        <v>341656.960214558</v>
      </c>
      <c r="AC219">
        <f ca="1">技能数计算!AJ211</f>
        <v>0</v>
      </c>
      <c r="AD219" s="164">
        <f ca="1" t="shared" ref="AD219" si="630">IFERROR(AB219*AC219/$AD$7,0)</f>
        <v>0</v>
      </c>
      <c r="AE219" s="168">
        <f ca="1" t="shared" si="513"/>
        <v>0</v>
      </c>
      <c r="AF219" s="168">
        <f ca="1" t="shared" ref="AF219" si="631">IFERROR((delta武伤+INT((IF(D219="轻剑",$AW$2,$AW$3))/1024*delta武伤))*J219/O219,0)</f>
        <v>0</v>
      </c>
      <c r="AG219">
        <f ca="1" t="shared" si="623"/>
        <v>0.000161012264749072</v>
      </c>
      <c r="AH219">
        <f ca="1" t="shared" ref="AH219" si="632">IFERROR((delta身法+INT((IF(D219="轻剑",$N$2,$N$3))/1024*delta身法))*身法转额外攻击*I219/O219+1,0)</f>
        <v>1</v>
      </c>
      <c r="AI219">
        <f ca="1" t="shared" ref="AI219" si="633">IFERROR(((delta身法+INT((IF(D219="轻剑",$N$2,$N$3))/1024*delta身法))*身法转额外破防/破防系数+Q219+1)/(1+Q219),0)</f>
        <v>1.00016101226475</v>
      </c>
      <c r="AJ219">
        <f ca="1" t="shared" ref="AJ219" si="634">IFERROR(((1+MIN(1,((delta身法+INT((IF(D219="轻剑",$N$2,$N$3))/1024*delta身法))*身法转基础会心/会心系数)+W219)*(X219-1))*AK219)/(Y219*AC219),0)</f>
        <v>0</v>
      </c>
      <c r="AK219">
        <f ca="1" t="shared" ref="AK219" si="635">AC219</f>
        <v>0</v>
      </c>
      <c r="AL219">
        <f ca="1" t="shared" ref="AL219" si="636">IF(G219="恒定伤害",0,IFERROR(((1+MIN(1,W219+delta会心/会心系数)*(X219-1))*AM219)/(Y219*AC219)-1,0))</f>
        <v>0</v>
      </c>
      <c r="AM219">
        <f ca="1" t="shared" ref="AM219" si="637">AC219</f>
        <v>0</v>
      </c>
      <c r="AN219" s="168">
        <f ca="1" t="shared" ref="AN219" si="638">IF(OR(COUNTIF(F219,"*内会*")&gt;0,G219="恒定伤害"),0,(1+W219*(MIN(3+COUNTIF(G219,"*叠*")*0.75,X219+delta会效/会效系数)-1))/Y219-1)</f>
        <v>0.00655129503556839</v>
      </c>
      <c r="AO219" s="168">
        <f ca="1" t="shared" ref="AO219" si="639">IF(OR(COUNTIF(F219,"*内破*")&gt;0,G219="恒定伤害"),0,IFERROR(((delta破防+INT((IF(D219="轻剑",$AD$2,$AD$3))/1024*delta破防))/破防系数+Q219+1)/(Q219+1)-1,0))</f>
        <v>0.00447057613551372</v>
      </c>
      <c r="AP219" s="172">
        <f ca="1" t="shared" ref="AP219" si="640">IFERROR((delta破招+INT((IF(D219="轻剑",$AI$2,$AI$3))/1024*delta破招))*K219*破招全局系数/MAX(1,O219),0)</f>
        <v>0</v>
      </c>
      <c r="AQ219" s="168">
        <f ca="1" t="shared" ref="AQ219" si="641">IF(G219="恒定伤害",0,IFERROR(((delta无双+INT((IF(D219="轻剑",$AL$2,$AL$3)+COUNTIF(G219,"*大莺鸣*")*307)/1024*delta无双))/无双系数+U219+1)/(U219+1)-1,0))</f>
        <v>0.00401583628616287</v>
      </c>
      <c r="AR219">
        <f t="shared" ref="AR219" si="642">IF($AR$8="综合属性收益",1,COUNTIF(D219,LEFT($AR$8,2)))</f>
        <v>1</v>
      </c>
    </row>
  </sheetData>
  <customSheetViews>
    <customSheetView guid="{8E53DF33-FD66-42DA-A21D-B11FBF5F6988}" topLeftCell="D1">
      <pane xSplit="4" ySplit="9" topLeftCell="AD76" activePane="bottomRight" state="frozen"/>
      <selection activeCell="AD90" sqref="AD90"/>
      <pageMargins left="0.7" right="0.7" top="0.75" bottom="0.75" header="0.3" footer="0.3"/>
      <headerFooter/>
    </customSheetView>
  </customSheetViews>
  <conditionalFormatting sqref="BF10:BF1048576">
    <cfRule type="expression" dxfId="5" priority="1">
      <formula>IF(ROUND(BF10,5)&lt;&gt;ROUND(BE10,5),1,0)=1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C219"/>
  <sheetViews>
    <sheetView topLeftCell="D1" workbookViewId="0">
      <pane xSplit="4" ySplit="9" topLeftCell="CL10" activePane="bottomRight" state="frozen"/>
      <selection/>
      <selection pane="topRight"/>
      <selection pane="bottomLeft"/>
      <selection pane="bottomRight" activeCell="CV16" sqref="CV16"/>
    </sheetView>
  </sheetViews>
  <sheetFormatPr defaultColWidth="9" defaultRowHeight="16.8"/>
  <cols>
    <col min="1" max="1" width="9.25" customWidth="1"/>
    <col min="2" max="2" width="15.375" customWidth="1"/>
    <col min="3" max="4" width="5.25" customWidth="1"/>
    <col min="5" max="5" width="13.5" customWidth="1"/>
    <col min="6" max="6" width="11" customWidth="1"/>
    <col min="7" max="7" width="16.25" customWidth="1"/>
    <col min="8" max="8" width="17.25" customWidth="1"/>
    <col min="9" max="9" width="15.125" customWidth="1"/>
    <col min="10" max="10" width="11" customWidth="1"/>
    <col min="11" max="11" width="17.25" customWidth="1"/>
    <col min="12" max="12" width="11" customWidth="1"/>
    <col min="13" max="13" width="9" customWidth="1"/>
    <col min="14" max="14" width="11" customWidth="1"/>
    <col min="15" max="16" width="9" customWidth="1"/>
    <col min="17" max="17" width="11" customWidth="1"/>
    <col min="18" max="18" width="9" customWidth="1"/>
    <col min="19" max="20" width="15.125" customWidth="1"/>
    <col min="21" max="22" width="13" customWidth="1"/>
    <col min="23" max="23" width="7.125" customWidth="1"/>
    <col min="24" max="25" width="9" customWidth="1"/>
    <col min="26" max="26" width="12.75" customWidth="1"/>
    <col min="27" max="27" width="9" customWidth="1"/>
    <col min="28" max="28" width="9.5" customWidth="1"/>
    <col min="29" max="29" width="8.875" customWidth="1"/>
    <col min="30" max="30" width="12.125" customWidth="1"/>
    <col min="31" max="31" width="13" customWidth="1"/>
    <col min="32" max="32" width="11" customWidth="1"/>
    <col min="33" max="33" width="9" customWidth="1"/>
    <col min="34" max="36" width="15.125" customWidth="1"/>
    <col min="37" max="37" width="11.625" customWidth="1"/>
    <col min="38" max="38" width="13" customWidth="1"/>
    <col min="39" max="40" width="11" customWidth="1"/>
    <col min="41" max="41" width="15.375" customWidth="1"/>
    <col min="42" max="42" width="10.5" customWidth="1"/>
    <col min="43" max="43" width="13" customWidth="1"/>
    <col min="44" max="45" width="11" customWidth="1"/>
    <col min="46" max="46" width="9" customWidth="1"/>
    <col min="47" max="48" width="11" customWidth="1"/>
    <col min="49" max="51" width="15.125" customWidth="1"/>
    <col min="52" max="52" width="18.875" customWidth="1"/>
    <col min="53" max="53" width="14.25" customWidth="1"/>
    <col min="54" max="54" width="13" customWidth="1"/>
    <col min="55" max="55" width="9" customWidth="1"/>
    <col min="56" max="56" width="15.125" customWidth="1"/>
    <col min="57" max="57" width="16.625" customWidth="1"/>
    <col min="58" max="58" width="11" customWidth="1"/>
    <col min="59" max="59" width="9" customWidth="1"/>
    <col min="60" max="60" width="7.125" customWidth="1"/>
    <col min="66" max="66" width="12.75" customWidth="1"/>
    <col min="68" max="68" width="12.75" customWidth="1"/>
    <col min="70" max="70" width="12.75" customWidth="1"/>
    <col min="73" max="73" width="12.75" customWidth="1"/>
    <col min="77" max="77" width="12.75" customWidth="1"/>
    <col min="82" max="82" width="12.75" customWidth="1"/>
    <col min="85" max="85" width="12.75" customWidth="1"/>
    <col min="88" max="88" width="12.75" customWidth="1"/>
    <col min="91" max="91" width="12.75" customWidth="1"/>
    <col min="94" max="94" width="12.75" customWidth="1"/>
    <col min="96" max="96" width="12.75" customWidth="1"/>
    <col min="100" max="100" width="21.5" customWidth="1"/>
  </cols>
  <sheetData>
    <row r="1" s="160" customFormat="1" spans="2:107">
      <c r="B1" s="160" t="s">
        <v>1988</v>
      </c>
      <c r="C1" s="160" t="s">
        <v>1989</v>
      </c>
      <c r="D1" s="160" t="s">
        <v>1990</v>
      </c>
      <c r="E1" s="160" t="s">
        <v>1991</v>
      </c>
      <c r="F1" s="160" t="s">
        <v>1992</v>
      </c>
      <c r="G1" s="160" t="s">
        <v>1993</v>
      </c>
      <c r="H1" s="160" t="s">
        <v>1994</v>
      </c>
      <c r="I1" s="160" t="s">
        <v>1995</v>
      </c>
      <c r="J1" s="160" t="s">
        <v>1996</v>
      </c>
      <c r="K1" s="160" t="s">
        <v>1997</v>
      </c>
      <c r="L1" s="160" t="s">
        <v>229</v>
      </c>
      <c r="M1" s="160" t="s">
        <v>1998</v>
      </c>
      <c r="N1" s="160" t="s">
        <v>1999</v>
      </c>
      <c r="O1" s="160" t="s">
        <v>2000</v>
      </c>
      <c r="P1" s="160" t="s">
        <v>2001</v>
      </c>
      <c r="Q1" s="160" t="s">
        <v>2002</v>
      </c>
      <c r="R1" s="160" t="s">
        <v>2003</v>
      </c>
      <c r="S1" s="160" t="s">
        <v>2004</v>
      </c>
      <c r="T1" s="160" t="s">
        <v>2005</v>
      </c>
      <c r="U1" s="160" t="s">
        <v>2006</v>
      </c>
      <c r="V1" s="160" t="s">
        <v>2007</v>
      </c>
      <c r="W1" s="160" t="s">
        <v>2008</v>
      </c>
      <c r="X1" s="160" t="s">
        <v>2009</v>
      </c>
      <c r="Y1" s="160" t="s">
        <v>2010</v>
      </c>
      <c r="Z1" s="160" t="s">
        <v>2011</v>
      </c>
      <c r="AA1" s="160" t="s">
        <v>2012</v>
      </c>
      <c r="AB1" s="160" t="s">
        <v>2013</v>
      </c>
      <c r="AC1" s="160" t="s">
        <v>2014</v>
      </c>
      <c r="AD1" s="160" t="s">
        <v>2015</v>
      </c>
      <c r="AE1" s="160" t="s">
        <v>2016</v>
      </c>
      <c r="AF1" s="160" t="s">
        <v>2017</v>
      </c>
      <c r="AG1" s="160" t="s">
        <v>2018</v>
      </c>
      <c r="AH1" s="160" t="s">
        <v>2019</v>
      </c>
      <c r="AI1" s="160" t="s">
        <v>2020</v>
      </c>
      <c r="AJ1" s="160" t="s">
        <v>2021</v>
      </c>
      <c r="AK1" s="160" t="s">
        <v>2022</v>
      </c>
      <c r="AL1" s="160" t="s">
        <v>2023</v>
      </c>
      <c r="AM1" s="160" t="s">
        <v>2024</v>
      </c>
      <c r="AN1" s="160" t="s">
        <v>2025</v>
      </c>
      <c r="AO1" s="160" t="s">
        <v>2026</v>
      </c>
      <c r="AP1" s="160" t="s">
        <v>2027</v>
      </c>
      <c r="AQ1" s="160" t="s">
        <v>2028</v>
      </c>
      <c r="AR1" s="160" t="s">
        <v>2029</v>
      </c>
      <c r="AS1" s="160" t="s">
        <v>2030</v>
      </c>
      <c r="AT1" s="160" t="s">
        <v>2031</v>
      </c>
      <c r="AU1" s="160" t="s">
        <v>2032</v>
      </c>
      <c r="AV1" s="160" t="s">
        <v>2033</v>
      </c>
      <c r="AW1" s="160" t="s">
        <v>2034</v>
      </c>
      <c r="AX1" s="160" t="s">
        <v>2035</v>
      </c>
      <c r="AY1" s="160" t="s">
        <v>2036</v>
      </c>
      <c r="AZ1" s="160" t="s">
        <v>2037</v>
      </c>
      <c r="BA1" s="160" t="s">
        <v>2038</v>
      </c>
      <c r="BB1" s="160" t="s">
        <v>2039</v>
      </c>
      <c r="BC1" s="160" t="s">
        <v>2040</v>
      </c>
      <c r="BD1" s="160" t="s">
        <v>2041</v>
      </c>
      <c r="BE1" s="160" t="s">
        <v>2042</v>
      </c>
      <c r="BF1" s="160" t="s">
        <v>2043</v>
      </c>
      <c r="BG1" s="160" t="s">
        <v>2044</v>
      </c>
      <c r="BH1" s="160" t="s">
        <v>2045</v>
      </c>
    </row>
    <row r="2" s="161" customFormat="1" spans="2:107">
      <c r="B2" s="159" t="s">
        <v>2508</v>
      </c>
      <c r="C2" s="161">
        <f>额外属性!C7</f>
        <v>0</v>
      </c>
      <c r="D2" s="161">
        <f>额外属性!D7</f>
        <v>0</v>
      </c>
      <c r="E2" s="161">
        <f ca="1">额外属性!E7-E$4</f>
        <v>218067</v>
      </c>
      <c r="F2" s="161">
        <f ca="1">额外属性!F7-F$4</f>
        <v>0</v>
      </c>
      <c r="G2" s="161">
        <f ca="1">额外属性!G7-G$4</f>
        <v>112978</v>
      </c>
      <c r="H2" s="161">
        <f ca="1">额外属性!H7-H$4</f>
        <v>358</v>
      </c>
      <c r="I2" s="159">
        <f ca="1" t="shared" ref="I2:I3" si="0">G2+E2*10</f>
        <v>2293648</v>
      </c>
      <c r="J2" s="161">
        <f ca="1">额外属性!J7-J$4</f>
        <v>0</v>
      </c>
      <c r="K2" s="161">
        <f ca="1">额外属性!K7-K$4</f>
        <v>0</v>
      </c>
      <c r="L2" s="159">
        <f ca="1" t="shared" ref="L2:L3" si="1">INT((I2)+INT(H2*(I2)/1024)+J2+INT(((I2)+INT(H2*(I2)/1024)+J2)*K2/1024))</f>
        <v>3095528</v>
      </c>
      <c r="M2" s="161">
        <f ca="1">额外属性!M7-M$4</f>
        <v>10684</v>
      </c>
      <c r="N2" s="161">
        <f ca="1">额外属性!N7-N$4</f>
        <v>0</v>
      </c>
      <c r="O2" s="159">
        <f ca="1">M2+INT(M2*N2/1024)</f>
        <v>10684</v>
      </c>
      <c r="P2" s="161">
        <f ca="1">额外属性!P7-P$4</f>
        <v>361</v>
      </c>
      <c r="Q2" s="161">
        <f ca="1">额外属性!Q7-Q$4</f>
        <v>0</v>
      </c>
      <c r="R2" s="159">
        <f ca="1">P2+INT(P2*Q2/1024)</f>
        <v>361</v>
      </c>
      <c r="S2" s="161">
        <f ca="1">额外属性!S7-S$4</f>
        <v>69237</v>
      </c>
      <c r="T2" s="161">
        <f ca="1">额外属性!T7-T$4</f>
        <v>51</v>
      </c>
      <c r="U2" s="159">
        <f ca="1">(INT(R2*力道转基础攻击)+S2)</f>
        <v>69295</v>
      </c>
      <c r="V2" s="159">
        <f ca="1">U2+INT(O2*身法转额外攻击)+INT(U2*T2/1024)</f>
        <v>91975</v>
      </c>
      <c r="W2" s="161">
        <f ca="1">额外属性!W7-W$4</f>
        <v>129620</v>
      </c>
      <c r="X2" s="161">
        <f ca="1">额外属性!X7-X$4</f>
        <v>0</v>
      </c>
      <c r="Y2" s="162">
        <f ca="1">ROUND((W2+INT(O2*身法转基础会心))/会心系数+X2,4)</f>
        <v>0.7043</v>
      </c>
      <c r="Z2" s="161">
        <f ca="1">额外属性!Z7-Z$4</f>
        <v>13632</v>
      </c>
      <c r="AA2" s="161">
        <f ca="1">额外属性!AA7-AA$4</f>
        <v>239.752380952381</v>
      </c>
      <c r="AB2" s="163">
        <f ca="1">ROUND(1.75+Z2/会效系数+AA2/1024,10)</f>
        <v>2.1712723116</v>
      </c>
      <c r="AC2" s="161">
        <f ca="1">额外属性!AC7-AC$4</f>
        <v>98191.2857142857</v>
      </c>
      <c r="AD2" s="161">
        <f ca="1">额外属性!AD7-AD$4</f>
        <v>0</v>
      </c>
      <c r="AE2" s="159">
        <f ca="1">AC2+INT(R2*力道转基础破防)</f>
        <v>98299.2857142857</v>
      </c>
      <c r="AF2" s="159">
        <f ca="1">AE2+INT(O2*身法转额外破防)+INT(AE2*AD2/1024)</f>
        <v>101293.285714286</v>
      </c>
      <c r="AG2" s="161">
        <f ca="1">额外属性!AG7-AG$4</f>
        <v>0</v>
      </c>
      <c r="AH2" s="161">
        <f ca="1">额外属性!AH7-AH$4</f>
        <v>92028</v>
      </c>
      <c r="AI2" s="161">
        <f ca="1">额外属性!AI7-AI$4</f>
        <v>0</v>
      </c>
      <c r="AJ2" s="159">
        <f ca="1" t="shared" ref="AJ2:AJ3" si="2">AH2+INT(AH2*AI2/1024)+AG2*全能转破招</f>
        <v>92028</v>
      </c>
      <c r="AK2" s="161">
        <f ca="1">额外属性!AK7-AK$4</f>
        <v>231568.824643414</v>
      </c>
      <c r="AL2" s="161">
        <f ca="1">额外属性!AL7-AL$4</f>
        <v>25.5</v>
      </c>
      <c r="AM2" s="159">
        <f ca="1" t="shared" ref="AM2:AM3" si="3">(AK2+INT(AK2*AL2/1024)+AG2*全能转无双)</f>
        <v>237334.824643414</v>
      </c>
      <c r="AN2" s="161">
        <f ca="1">额外属性!AN7-AN$4</f>
        <v>0</v>
      </c>
      <c r="AO2" s="163">
        <f ca="1">ROUND(AM2/无双系数+AN2/1024,10)</f>
        <v>1.7800129648</v>
      </c>
      <c r="AP2" s="161">
        <f ca="1">额外属性!AP7-AP$4</f>
        <v>14505</v>
      </c>
      <c r="AQ2" s="161">
        <f ca="1">额外属性!AQ7-AQ$4</f>
        <v>0</v>
      </c>
      <c r="AR2" s="159">
        <f ca="1" t="shared" ref="AR2:AR3" si="4">(AP2+INT(AP2*AQ2/1024))</f>
        <v>14505</v>
      </c>
      <c r="AS2" s="161">
        <f ca="1">额外属性!AS7-AS$4</f>
        <v>82</v>
      </c>
      <c r="AT2" s="163">
        <f ca="1">ROUND(AR2/急速系数+AS2/1024,10)</f>
        <v>0.149123908</v>
      </c>
      <c r="AU2" s="161">
        <f ca="1">额外属性!AU7-AU$4</f>
        <v>9521</v>
      </c>
      <c r="AV2" s="161">
        <f ca="1">额外属性!AV7-AV$4</f>
        <v>15868</v>
      </c>
      <c r="AW2" s="161">
        <f ca="1">额外属性!AW7-AW$4</f>
        <v>0</v>
      </c>
      <c r="AX2" s="159">
        <f ca="1" t="shared" ref="AX2:AX3" si="5">AU2+INT(AU2*AW2/1024)</f>
        <v>9521</v>
      </c>
      <c r="AY2" s="159">
        <f ca="1" t="shared" ref="AY2:AY3" si="6">AX2+AV2-AU2</f>
        <v>15868</v>
      </c>
      <c r="AZ2" s="161">
        <f ca="1">ROUND(额外属性!AZ7-AZ$4,10)</f>
        <v>17.1129824561</v>
      </c>
      <c r="BA2" s="161">
        <f ca="1">额外属性!BA7-BA$4</f>
        <v>21</v>
      </c>
      <c r="BB2" s="161">
        <f ca="1">额外属性!BB7-BB$4</f>
        <v>4655</v>
      </c>
      <c r="BC2" s="161">
        <f ca="1">额外属性!BC7-BC$4</f>
        <v>0</v>
      </c>
      <c r="BD2" s="161">
        <f ca="1">额外属性!BD7-BD$4</f>
        <v>34</v>
      </c>
      <c r="BE2" s="161">
        <f>额外属性!BE7</f>
        <v>0</v>
      </c>
    </row>
    <row r="3" s="161" customFormat="1" spans="2:107">
      <c r="B3" s="159" t="s">
        <v>2509</v>
      </c>
      <c r="C3" s="161">
        <f>额外属性!C8</f>
        <v>0</v>
      </c>
      <c r="D3" s="161">
        <f>额外属性!D8</f>
        <v>0</v>
      </c>
      <c r="E3" s="161">
        <f ca="1">额外属性!E8-E$4</f>
        <v>218067</v>
      </c>
      <c r="F3" s="161">
        <f ca="1">额外属性!F8-F$4</f>
        <v>0</v>
      </c>
      <c r="G3" s="161">
        <f ca="1">额外属性!G8-G$4</f>
        <v>112978</v>
      </c>
      <c r="H3" s="161">
        <f ca="1">额外属性!H8-H$4</f>
        <v>358</v>
      </c>
      <c r="I3" s="159">
        <f ca="1" t="shared" si="0"/>
        <v>2293648</v>
      </c>
      <c r="J3" s="161">
        <f ca="1">额外属性!J8-J$4</f>
        <v>0</v>
      </c>
      <c r="K3" s="161">
        <f ca="1">额外属性!K8-K$4</f>
        <v>0</v>
      </c>
      <c r="L3" s="159">
        <f ca="1" t="shared" si="1"/>
        <v>3095528</v>
      </c>
      <c r="M3" s="161">
        <f ca="1">额外属性!M8-M$4</f>
        <v>10684</v>
      </c>
      <c r="N3" s="161">
        <f ca="1">额外属性!N8-N$4</f>
        <v>0</v>
      </c>
      <c r="O3" s="159">
        <f ca="1" t="shared" ref="O3" si="7">M3+INT(M3*N3/1024)</f>
        <v>10684</v>
      </c>
      <c r="P3" s="161">
        <f ca="1">额外属性!P8-P$4</f>
        <v>361</v>
      </c>
      <c r="Q3" s="161">
        <f ca="1">额外属性!Q8-Q$4</f>
        <v>0</v>
      </c>
      <c r="R3" s="159">
        <f ca="1" t="shared" ref="R3" si="8">P3+INT(P3*Q3/1024)</f>
        <v>361</v>
      </c>
      <c r="S3" s="161">
        <f ca="1">额外属性!S8-S$4</f>
        <v>69237</v>
      </c>
      <c r="T3" s="161">
        <f ca="1">额外属性!T8-T$4</f>
        <v>51</v>
      </c>
      <c r="U3" s="159">
        <f ca="1" t="shared" ref="U3" si="9">(INT(R3*力道转基础攻击)+S3)</f>
        <v>69295</v>
      </c>
      <c r="V3" s="159">
        <f ca="1" t="shared" ref="V3" si="10">U3+INT(O3*身法转额外攻击)+INT(U3*T3/1024)</f>
        <v>91975</v>
      </c>
      <c r="W3" s="161">
        <f ca="1">额外属性!W8-W$4</f>
        <v>129620</v>
      </c>
      <c r="X3" s="161">
        <f ca="1">额外属性!X8-X$4</f>
        <v>0</v>
      </c>
      <c r="Y3" s="162">
        <f ca="1">ROUND((W3+INT(O3*身法转基础会心))/会心系数+X3,4)</f>
        <v>0.7043</v>
      </c>
      <c r="Z3" s="161">
        <f ca="1">额外属性!Z8-Z$4</f>
        <v>13632</v>
      </c>
      <c r="AA3" s="161">
        <f ca="1">额外属性!AA8-AA$4</f>
        <v>239.752380952381</v>
      </c>
      <c r="AB3" s="163">
        <f ca="1">ROUND(1.75+Z3/会效系数+AA3/1024,10)</f>
        <v>2.1712723116</v>
      </c>
      <c r="AC3" s="161">
        <f ca="1">额外属性!AC8-AC$4</f>
        <v>98191.2857142857</v>
      </c>
      <c r="AD3" s="161">
        <f ca="1">额外属性!AD8-AD$4</f>
        <v>0</v>
      </c>
      <c r="AE3" s="159">
        <f ca="1" t="shared" ref="AE3" si="11">AC3+INT(R3*力道转基础破防)</f>
        <v>98299.2857142857</v>
      </c>
      <c r="AF3" s="159">
        <f ca="1" t="shared" ref="AF3" si="12">AE3+INT(O3*身法转额外破防)+INT(AE3*AD3/1024)</f>
        <v>101293.285714286</v>
      </c>
      <c r="AG3" s="161">
        <f ca="1">额外属性!AG8-AG$4</f>
        <v>0</v>
      </c>
      <c r="AH3" s="161">
        <f ca="1">额外属性!AH8-AH$4</f>
        <v>92028</v>
      </c>
      <c r="AI3" s="161">
        <f ca="1">额外属性!AI8-AI$4</f>
        <v>0</v>
      </c>
      <c r="AJ3" s="159">
        <f ca="1" t="shared" si="2"/>
        <v>92028</v>
      </c>
      <c r="AK3" s="161">
        <f ca="1">额外属性!AK8-AK$4</f>
        <v>231568.824643414</v>
      </c>
      <c r="AL3" s="161">
        <f ca="1">额外属性!AL8-AL$4</f>
        <v>25.5</v>
      </c>
      <c r="AM3" s="159">
        <f ca="1" t="shared" si="3"/>
        <v>237334.824643414</v>
      </c>
      <c r="AN3" s="161">
        <f ca="1">额外属性!AN8-AN$4</f>
        <v>0</v>
      </c>
      <c r="AO3" s="163">
        <f ca="1">ROUND(AM3/无双系数+AN3/1024,10)</f>
        <v>1.7800129648</v>
      </c>
      <c r="AP3" s="161">
        <f ca="1">额外属性!AP8-AP$4</f>
        <v>14505</v>
      </c>
      <c r="AQ3" s="161">
        <f ca="1">额外属性!AQ8-AQ$4</f>
        <v>0</v>
      </c>
      <c r="AR3" s="159">
        <f ca="1" t="shared" si="4"/>
        <v>14505</v>
      </c>
      <c r="AS3" s="161">
        <f ca="1">额外属性!AS8-AS$4</f>
        <v>82</v>
      </c>
      <c r="AT3" s="163">
        <f ca="1">ROUND(AR3/急速系数+AS3/1024,10)</f>
        <v>0.149123908</v>
      </c>
      <c r="AU3" s="161">
        <f ca="1">额外属性!AU8-AU$4</f>
        <v>14648</v>
      </c>
      <c r="AV3" s="161">
        <f ca="1">额外属性!AV8-AV$4</f>
        <v>24413</v>
      </c>
      <c r="AW3" s="161">
        <f ca="1">额外属性!AW8-AW$4</f>
        <v>0</v>
      </c>
      <c r="AX3" s="159">
        <f ca="1" t="shared" si="5"/>
        <v>14648</v>
      </c>
      <c r="AY3" s="159">
        <f ca="1" t="shared" si="6"/>
        <v>24413</v>
      </c>
      <c r="AZ3" s="161">
        <f ca="1">ROUND(额外属性!AZ8-AZ$4,10)</f>
        <v>119.1129824561</v>
      </c>
      <c r="BA3" s="161">
        <f ca="1">额外属性!BA8-BA$4</f>
        <v>21</v>
      </c>
      <c r="BB3" s="161">
        <f ca="1">额外属性!BB8-BB$4</f>
        <v>4655</v>
      </c>
      <c r="BC3" s="161">
        <f ca="1">额外属性!BC8-BC$4</f>
        <v>0</v>
      </c>
      <c r="BD3" s="161">
        <f ca="1">额外属性!BD8-BD$4</f>
        <v>34</v>
      </c>
      <c r="BE3" s="161">
        <f>额外属性!BE8</f>
        <v>0</v>
      </c>
    </row>
    <row r="4" s="160" customFormat="1" spans="2:107">
      <c r="D4" s="160" t="s">
        <v>3161</v>
      </c>
      <c r="E4" s="160">
        <f ca="1">SUMPRODUCT(额外属性!E$141:E$166,额外属性!$BG$141:$BG$166,额外属性!$BE$141:$BE$166,额外属性!$BH$141:$BH$166)</f>
        <v>0</v>
      </c>
      <c r="F4" s="160">
        <f ca="1">SUMPRODUCT(额外属性!F$141:F$166,额外属性!$BG$141:$BG$166,额外属性!$BE$141:$BE$166,额外属性!$BH$141:$BH$166)</f>
        <v>0</v>
      </c>
      <c r="G4" s="160">
        <f ca="1">SUMPRODUCT(额外属性!G$141:G$166,额外属性!$BG$141:$BG$166,额外属性!$BE$141:$BE$166,额外属性!$BH$141:$BH$166)</f>
        <v>0</v>
      </c>
      <c r="H4" s="160">
        <f ca="1">SUMPRODUCT(额外属性!H$141:H$166,额外属性!$BG$141:$BG$166,额外属性!$BE$141:$BE$166,额外属性!$BH$141:$BH$166)</f>
        <v>0</v>
      </c>
      <c r="I4" s="160">
        <f ca="1">SUMPRODUCT(额外属性!I$141:I$166,额外属性!$BG$141:$BG$166,额外属性!$BE$141:$BE$166,额外属性!$BH$141:$BH$166)</f>
        <v>0</v>
      </c>
      <c r="J4" s="160">
        <f ca="1">SUMPRODUCT(额外属性!J$141:J$166,额外属性!$BG$141:$BG$166,额外属性!$BE$141:$BE$166,额外属性!$BH$141:$BH$166)</f>
        <v>0</v>
      </c>
      <c r="K4" s="160">
        <f ca="1">SUMPRODUCT(额外属性!K$141:K$166,额外属性!$BG$141:$BG$166,额外属性!$BE$141:$BE$166,额外属性!$BH$141:$BH$166)</f>
        <v>0</v>
      </c>
      <c r="L4" s="160">
        <f ca="1">SUMPRODUCT(额外属性!L$141:L$166,额外属性!$BG$141:$BG$166,额外属性!$BE$141:$BE$166,额外属性!$BH$141:$BH$166)</f>
        <v>0</v>
      </c>
      <c r="M4" s="160">
        <f ca="1">SUMPRODUCT(额外属性!M$141:M$166,额外属性!$BG$141:$BG$166,额外属性!$BE$141:$BE$166,额外属性!$BH$141:$BH$166)</f>
        <v>0</v>
      </c>
      <c r="N4" s="160">
        <f ca="1">SUMPRODUCT(额外属性!N$141:N$166,额外属性!$BG$141:$BG$166,额外属性!$BE$141:$BE$166,额外属性!$BH$141:$BH$166)</f>
        <v>0</v>
      </c>
      <c r="O4" s="160">
        <f ca="1">SUMPRODUCT(额外属性!O$141:O$166,额外属性!$BG$141:$BG$166,额外属性!$BE$141:$BE$166,额外属性!$BH$141:$BH$166)</f>
        <v>0</v>
      </c>
      <c r="P4" s="160">
        <f ca="1">SUMPRODUCT(额外属性!P$141:P$166,额外属性!$BG$141:$BG$166,额外属性!$BE$141:$BE$166,额外属性!$BH$141:$BH$166)</f>
        <v>0</v>
      </c>
      <c r="Q4" s="160">
        <f ca="1">SUMPRODUCT(额外属性!Q$141:Q$166,额外属性!$BG$141:$BG$166,额外属性!$BE$141:$BE$166,额外属性!$BH$141:$BH$166)</f>
        <v>0</v>
      </c>
      <c r="R4" s="160">
        <f ca="1">SUMPRODUCT(额外属性!R$141:R$166,额外属性!$BG$141:$BG$166,额外属性!$BE$141:$BE$166,额外属性!$BH$141:$BH$166)</f>
        <v>0</v>
      </c>
      <c r="S4" s="160">
        <f ca="1">SUMPRODUCT(额外属性!S$141:S$166,额外属性!$BG$141:$BG$166,额外属性!$BE$141:$BE$166,额外属性!$BH$141:$BH$166)</f>
        <v>0</v>
      </c>
      <c r="T4" s="160">
        <f ca="1">SUMPRODUCT(额外属性!T$141:T$166,额外属性!$BG$141:$BG$166,额外属性!$BE$141:$BE$166,额外属性!$BH$141:$BH$166)</f>
        <v>0</v>
      </c>
      <c r="U4" s="160">
        <f ca="1">SUMPRODUCT(额外属性!U$141:U$166,额外属性!$BG$141:$BG$166,额外属性!$BE$141:$BE$166,额外属性!$BH$141:$BH$166)</f>
        <v>0</v>
      </c>
      <c r="V4" s="160">
        <f ca="1">SUMPRODUCT(额外属性!V$141:V$166,额外属性!$BG$141:$BG$166,额外属性!$BE$141:$BE$166,额外属性!$BH$141:$BH$166)</f>
        <v>0</v>
      </c>
      <c r="W4" s="160">
        <f ca="1">SUMPRODUCT(额外属性!W$141:W$166,额外属性!$BG$141:$BG$166,额外属性!$BE$141:$BE$166,额外属性!$BH$141:$BH$166)</f>
        <v>0</v>
      </c>
      <c r="X4" s="160">
        <f ca="1">SUMPRODUCT(额外属性!X$141:X$166,额外属性!$BG$141:$BG$166,额外属性!$BE$141:$BE$166,额外属性!$BH$141:$BH$166)</f>
        <v>0.03</v>
      </c>
      <c r="Y4" s="160">
        <f ca="1">SUMPRODUCT(额外属性!Y$141:Y$166,额外属性!$BG$141:$BG$166,额外属性!$BE$141:$BE$166,额外属性!$BH$141:$BH$166)</f>
        <v>0</v>
      </c>
      <c r="Z4" s="160">
        <f ca="1">SUMPRODUCT(额外属性!Z$141:Z$166,额外属性!$BG$141:$BG$166,额外属性!$BE$141:$BE$166,额外属性!$BH$141:$BH$166)</f>
        <v>0</v>
      </c>
      <c r="AA4" s="160">
        <f ca="1">SUMPRODUCT(额外属性!AA$141:AA$166,额外属性!$BG$141:$BG$166,额外属性!$BE$141:$BE$166,额外属性!$BH$141:$BH$166)</f>
        <v>147.84</v>
      </c>
      <c r="AB4" s="160">
        <f ca="1">SUMPRODUCT(额外属性!AB$141:AB$166,额外属性!$BG$141:$BG$166,额外属性!$BE$141:$BE$166,额外属性!$BH$141:$BH$166)</f>
        <v>0</v>
      </c>
      <c r="AC4" s="160">
        <f ca="1">SUMPRODUCT(额外属性!AC$141:AC$166,额外属性!$BG$141:$BG$166,额外属性!$BE$141:$BE$166,额外属性!$BH$141:$BH$166)</f>
        <v>0</v>
      </c>
      <c r="AD4" s="160">
        <f ca="1">SUMPRODUCT(额外属性!AD$141:AD$166,额外属性!$BG$141:$BG$166,额外属性!$BE$141:$BE$166,额外属性!$BH$141:$BH$166)</f>
        <v>0</v>
      </c>
      <c r="AE4" s="160">
        <f ca="1">SUMPRODUCT(额外属性!AE$141:AE$166,额外属性!$BG$141:$BG$166,额外属性!$BE$141:$BE$166,额外属性!$BH$141:$BH$166)</f>
        <v>0</v>
      </c>
      <c r="AF4" s="160">
        <f ca="1">SUMPRODUCT(额外属性!AF$141:AF$166,额外属性!$BG$141:$BG$166,额外属性!$BE$141:$BE$166,额外属性!$BH$141:$BH$166)</f>
        <v>0</v>
      </c>
      <c r="AG4" s="160">
        <f ca="1">SUMPRODUCT(额外属性!AG$141:AG$166,额外属性!$BG$141:$BG$166,额外属性!$BE$141:$BE$166,额外属性!$BH$141:$BH$166)</f>
        <v>0</v>
      </c>
      <c r="AH4" s="160">
        <f ca="1">SUMPRODUCT(额外属性!AH$141:AH$166,额外属性!$BG$141:$BG$166,额外属性!$BE$141:$BE$166,额外属性!$BH$141:$BH$166)</f>
        <v>0</v>
      </c>
      <c r="AI4" s="160">
        <f ca="1">SUMPRODUCT(额外属性!AI$141:AI$166,额外属性!$BG$141:$BG$166,额外属性!$BE$141:$BE$166,额外属性!$BH$141:$BH$166)</f>
        <v>0</v>
      </c>
      <c r="AJ4" s="160">
        <f ca="1">SUMPRODUCT(额外属性!AJ$141:AJ$166,额外属性!$BG$141:$BG$166,额外属性!$BE$141:$BE$166,额外属性!$BH$141:$BH$166)</f>
        <v>0</v>
      </c>
      <c r="AK4" s="160">
        <f ca="1">SUMPRODUCT(额外属性!AK$141:AK$166,额外属性!$BG$141:$BG$166,额外属性!$BE$141:$BE$166,额外属性!$BH$141:$BH$166)</f>
        <v>0</v>
      </c>
      <c r="AL4" s="160">
        <f ca="1">SUMPRODUCT(额外属性!AL$141:AL$166,额外属性!$BG$141:$BG$166,额外属性!$BE$141:$BE$166,额外属性!$BH$141:$BH$166)</f>
        <v>0</v>
      </c>
      <c r="AM4" s="160">
        <f ca="1">SUMPRODUCT(额外属性!AM$141:AM$166,额外属性!$BG$141:$BG$166,额外属性!$BE$141:$BE$166,额外属性!$BH$141:$BH$166)</f>
        <v>0</v>
      </c>
      <c r="AN4" s="160">
        <f ca="1">SUMPRODUCT(额外属性!AN$141:AN$166,额外属性!$BG$141:$BG$166,额外属性!$BE$141:$BE$166,额外属性!$BH$141:$BH$166)</f>
        <v>20</v>
      </c>
      <c r="AO4" s="160">
        <f ca="1">SUMPRODUCT(额外属性!AO$141:AO$166,额外属性!$BG$141:$BG$166,额外属性!$BE$141:$BE$166,额外属性!$BH$141:$BH$166)</f>
        <v>0</v>
      </c>
      <c r="AP4" s="160">
        <f ca="1">SUMPRODUCT(额外属性!AP$141:AP$166,额外属性!$BG$141:$BG$166,额外属性!$BE$141:$BE$166,额外属性!$BH$141:$BH$166)</f>
        <v>0</v>
      </c>
      <c r="AQ4" s="160">
        <f ca="1">SUMPRODUCT(额外属性!AQ$141:AQ$166,额外属性!$BG$141:$BG$166,额外属性!$BE$141:$BE$166,额外属性!$BH$141:$BH$166)</f>
        <v>0</v>
      </c>
      <c r="AR4" s="160">
        <f ca="1">SUMPRODUCT(额外属性!AR$141:AR$166,额外属性!$BG$141:$BG$166,额外属性!$BE$141:$BE$166,额外属性!$BH$141:$BH$166)</f>
        <v>0</v>
      </c>
      <c r="AS4" s="160">
        <f ca="1">SUMPRODUCT(额外属性!AS$141:AS$166,额外属性!$BG$141:$BG$166,额外属性!$BE$141:$BE$166,额外属性!$BH$141:$BH$166)</f>
        <v>0</v>
      </c>
      <c r="AT4" s="160">
        <f ca="1">SUMPRODUCT(额外属性!AT$141:AT$166,额外属性!$BG$141:$BG$166,额外属性!$BE$141:$BE$166,额外属性!$BH$141:$BH$166)</f>
        <v>0</v>
      </c>
      <c r="AU4" s="160">
        <f ca="1">SUMPRODUCT(额外属性!AU$141:AU$166,额外属性!$BG$141:$BG$166,额外属性!$BE$141:$BE$166,额外属性!$BH$141:$BH$166)</f>
        <v>0</v>
      </c>
      <c r="AV4" s="160">
        <f ca="1">SUMPRODUCT(额外属性!AV$141:AV$166,额外属性!$BG$141:$BG$166,额外属性!$BE$141:$BE$166,额外属性!$BH$141:$BH$166)</f>
        <v>0</v>
      </c>
      <c r="AW4" s="160">
        <f ca="1">SUMPRODUCT(额外属性!AW$141:AW$166,额外属性!$BG$141:$BG$166,额外属性!$BE$141:$BE$166,额外属性!$BH$141:$BH$166)</f>
        <v>0</v>
      </c>
      <c r="AX4" s="160">
        <f ca="1">SUMPRODUCT(额外属性!AX$141:AX$166,额外属性!$BG$141:$BG$166,额外属性!$BE$141:$BE$166,额外属性!$BH$141:$BH$166)</f>
        <v>0</v>
      </c>
      <c r="AY4" s="160">
        <f ca="1">SUMPRODUCT(额外属性!AY$141:AY$166,额外属性!$BG$141:$BG$166,额外属性!$BE$141:$BE$166,额外属性!$BH$141:$BH$166)</f>
        <v>0</v>
      </c>
      <c r="AZ4" s="160">
        <f ca="1">SUMPRODUCT(额外属性!AZ$141:AZ$166,额外属性!$BG$141:$BG$166,额外属性!$BE$141:$BE$166,额外属性!$BH$141:$BH$166)</f>
        <v>62</v>
      </c>
      <c r="BA4" s="160">
        <f ca="1">SUMPRODUCT(额外属性!BA$141:BA$166,额外属性!$BG$141:$BG$166,额外属性!$BE$141:$BE$166,额外属性!$BH$141:$BH$166)</f>
        <v>0</v>
      </c>
      <c r="BB4" s="160">
        <f ca="1">SUMPRODUCT(额外属性!BB$141:BB$166,额外属性!$BG$141:$BG$166,额外属性!$BE$141:$BE$166,额外属性!$BH$141:$BH$166)</f>
        <v>0</v>
      </c>
      <c r="BC4" s="160">
        <f ca="1">SUMPRODUCT(额外属性!BC$141:BC$166,额外属性!$BG$141:$BG$166,额外属性!$BE$141:$BE$166,额外属性!$BH$141:$BH$166)</f>
        <v>0</v>
      </c>
      <c r="BD4" s="160">
        <f ca="1">SUMPRODUCT(额外属性!BD$141:BD$166,额外属性!$BG$141:$BG$166,额外属性!$BE$141:$BE$166,额外属性!$BH$141:$BH$166)</f>
        <v>0</v>
      </c>
    </row>
    <row r="5" spans="2:107">
      <c r="E5" t="s">
        <v>3118</v>
      </c>
      <c r="F5">
        <f>INDEX(技能数据库!$Z$16:$AB$23,MATCH(配装计算器!$K$31,技能数据库!$Z$16:$Z$23,0),2)</f>
        <v>83679</v>
      </c>
    </row>
    <row r="6" spans="2:107">
      <c r="E6" t="s">
        <v>3119</v>
      </c>
      <c r="F6">
        <f>INDEX(技能数据库!$Z$16:$AB$23,MATCH(配装计算器!$K$31,技能数据库!$Z$16:$Z$23,0),3)</f>
        <v>134</v>
      </c>
      <c r="AE6" t="s">
        <v>2654</v>
      </c>
      <c r="AF6" t="s">
        <v>3121</v>
      </c>
      <c r="AH6">
        <f ca="1">SUMPRODUCT($AG$10:$AG$1048576,$AL$10:$AL$1048576)</f>
        <v>3062358951.77204</v>
      </c>
      <c r="AI6">
        <f ca="1">AH6/(MAX(技能数计算!$A$2:$A$515))</f>
        <v>14639126.8787802</v>
      </c>
      <c r="AJ6" s="164"/>
      <c r="AM6" t="s">
        <v>3162</v>
      </c>
      <c r="AN6">
        <f ca="1">SUMPRODUCT(AN10:AN1048576,AO10:AO1048576)</f>
        <v>3082408687.8033</v>
      </c>
      <c r="AO6">
        <f ca="1">AN6/(MAX(技能数计算!$A$2:$A$515))</f>
        <v>14734971.4986534</v>
      </c>
      <c r="AP6" t="s">
        <v>2659</v>
      </c>
      <c r="AQ6">
        <f ca="1">SUMPRODUCT(AR10:AR1048576,AC10:AC1048576)</f>
        <v>3041692115.12487</v>
      </c>
      <c r="AR6">
        <f ca="1">AQ6/(MAX(技能数计算!$A$2:$A$515))</f>
        <v>14540332.3061565</v>
      </c>
      <c r="AS6" t="s">
        <v>3163</v>
      </c>
      <c r="AU6">
        <f ca="1">SUMPRODUCT(AW10:AW1048576,AT10:AT1048576)</f>
        <v>3022174499.36931</v>
      </c>
      <c r="AV6">
        <f ca="1">AU6/(MAX(技能数计算!$A$2:$A$515))</f>
        <v>14447031.4038401</v>
      </c>
      <c r="AX6" t="s">
        <v>3164</v>
      </c>
      <c r="AY6">
        <f ca="1">SUMPRODUCT(AZ10:AZ1048576,AY10:AY1048576)</f>
        <v>3013461837.24015</v>
      </c>
      <c r="AZ6">
        <f ca="1">AY6/(MAX(技能数计算!$A$2:$A$515))</f>
        <v>14405381.8884275</v>
      </c>
      <c r="BA6" t="s">
        <v>3165</v>
      </c>
      <c r="BB6">
        <f ca="1">SUMPRODUCT(BC10:BC1048576,BB10:BB1048576)</f>
        <v>3004694411.39211</v>
      </c>
      <c r="BC6">
        <f ca="1">BB6/(MAX(技能数计算!$A$2:$A$515))</f>
        <v>14363470.5836422</v>
      </c>
      <c r="BD6" t="s">
        <v>2664</v>
      </c>
      <c r="BE6" t="s">
        <v>3166</v>
      </c>
      <c r="BF6">
        <f ca="1">SUMPRODUCT(BK10:BK1048576,BJ10:BJ1048576)</f>
        <v>3013099631.41985</v>
      </c>
      <c r="BG6">
        <f ca="1">BF6/(MAX(技能数计算!$A$2:$A$515))</f>
        <v>14403650.4202871</v>
      </c>
      <c r="BL6" t="s">
        <v>3167</v>
      </c>
      <c r="BN6">
        <f ca="1">SUMPRODUCT(AC10:AC1048576,BO10:BO1048576)</f>
        <v>3068921792.89206</v>
      </c>
      <c r="BO6">
        <f ca="1">BN6/(MAX(技能数计算!$A$2:$A$515))</f>
        <v>14670499.511889</v>
      </c>
      <c r="BP6" t="s">
        <v>3168</v>
      </c>
      <c r="BQ6" t="s">
        <v>2668</v>
      </c>
      <c r="BR6">
        <f ca="1">SUMPRODUCT(BJ10:BJ1048576,BS10:BS1048576)</f>
        <v>2992065865.66122</v>
      </c>
      <c r="BS6">
        <f ca="1">BR6/(MAX(技能数计算!$A$2:$A$515))</f>
        <v>14303101.8005699</v>
      </c>
      <c r="BT6" t="s">
        <v>2671</v>
      </c>
      <c r="BU6">
        <f ca="1">SUMPRODUCT(BJ10:BJ1048576,BV10:BV1048576)</f>
        <v>3033523967.4717</v>
      </c>
      <c r="BV6">
        <f ca="1">BU6/(MAX(技能数计算!$A$2:$A$515))</f>
        <v>14501285.7568321</v>
      </c>
      <c r="BW6" t="s">
        <v>3169</v>
      </c>
      <c r="BY6">
        <f ca="1">SUMPRODUCT(CB10:CB1048576,BZ10:BZ1048576)</f>
        <v>3094351944.0058</v>
      </c>
      <c r="BZ6">
        <f ca="1">BY6/(MAX(技能数计算!$A$2:$A$515))</f>
        <v>14792064.362569</v>
      </c>
      <c r="CC6" t="s">
        <v>2676</v>
      </c>
      <c r="CD6">
        <f ca="1">SUMPRODUCT(BZ10:BZ1048576,CE10:CE1048576)</f>
        <v>3056446846.42032</v>
      </c>
      <c r="CE6">
        <f ca="1">CD6/(MAX(技能数计算!$A$2:$A$515))</f>
        <v>14610864.9859952</v>
      </c>
      <c r="CF6" t="s">
        <v>3170</v>
      </c>
      <c r="CG6">
        <f ca="1">SUMPRODUCT(BZ10:BZ1048576,CH10:CH1048576)</f>
        <v>2929492652.05576</v>
      </c>
      <c r="CH6">
        <f ca="1">CG6/(MAX(技能数计算!$A$2:$A$515))</f>
        <v>14003980.3626166</v>
      </c>
      <c r="CI6" t="s">
        <v>2684</v>
      </c>
      <c r="CJ6">
        <f ca="1">SUMPRODUCT(AC10:AC1048576,CK10:CK1048576)</f>
        <v>3077286718.77268</v>
      </c>
      <c r="CK6">
        <f ca="1">CJ6/(MAX(技能数计算!$A$2:$A$515))</f>
        <v>14710486.7286805</v>
      </c>
      <c r="CL6" t="s">
        <v>3171</v>
      </c>
      <c r="CM6">
        <f ca="1">SUMPRODUCT(BZ10:BZ1048576,CN10:CN1048576)</f>
        <v>3089949734.84334</v>
      </c>
      <c r="CN6">
        <f ca="1">CM6/(MAX(技能数计算!$A$2:$A$515))</f>
        <v>14771020.2918081</v>
      </c>
      <c r="CO6" t="s">
        <v>3172</v>
      </c>
      <c r="CP6">
        <f ca="1">SUMPRODUCT(BZ10:BZ1048576,CP10:CP1048576)</f>
        <v>3115143788.23839</v>
      </c>
      <c r="CQ6" t="s">
        <v>2688</v>
      </c>
      <c r="CR6">
        <f ca="1">SUMPRODUCT(AC10:AC1048576,CS10:CS1048576)</f>
        <v>3001057044.97624</v>
      </c>
      <c r="CS6">
        <f ca="1">CR6/(MAX(技能数计算!$A$2:$A$515))</f>
        <v>14346082.723726</v>
      </c>
    </row>
    <row r="7" spans="2:107">
      <c r="E7" t="s">
        <v>3120</v>
      </c>
      <c r="F7">
        <f>外防全局系数*(1155*F6-130350)</f>
        <v>155408.88</v>
      </c>
      <c r="AC7" t="s">
        <v>3121</v>
      </c>
      <c r="AD7">
        <f ca="1">SUMPRODUCT(AB10:AB1048576,AC10:AC1048576)</f>
        <v>2789289069.26996</v>
      </c>
      <c r="AE7" t="s">
        <v>3173</v>
      </c>
      <c r="AF7" t="s">
        <v>3174</v>
      </c>
      <c r="AG7" t="s">
        <v>3034</v>
      </c>
      <c r="AH7" t="s">
        <v>3175</v>
      </c>
      <c r="AI7" t="s">
        <v>3176</v>
      </c>
      <c r="AJ7" t="s">
        <v>3177</v>
      </c>
      <c r="AK7" t="s">
        <v>3178</v>
      </c>
      <c r="AL7" t="s">
        <v>3131</v>
      </c>
      <c r="AM7" t="s">
        <v>3179</v>
      </c>
      <c r="AO7" s="164"/>
      <c r="AP7" t="s">
        <v>3180</v>
      </c>
      <c r="AQ7" t="s">
        <v>3181</v>
      </c>
      <c r="AR7" t="s">
        <v>3131</v>
      </c>
      <c r="AS7" t="s">
        <v>3182</v>
      </c>
      <c r="AT7" t="s">
        <v>3034</v>
      </c>
      <c r="AU7" t="s">
        <v>3183</v>
      </c>
      <c r="AV7" t="s">
        <v>3184</v>
      </c>
      <c r="AW7" t="s">
        <v>3131</v>
      </c>
      <c r="AX7" t="s">
        <v>3185</v>
      </c>
      <c r="AY7" t="s">
        <v>3034</v>
      </c>
      <c r="AZ7" t="s">
        <v>3131</v>
      </c>
      <c r="BA7" t="s">
        <v>3186</v>
      </c>
      <c r="BB7" t="s">
        <v>3034</v>
      </c>
      <c r="BC7" t="s">
        <v>3131</v>
      </c>
      <c r="BD7" t="s">
        <v>3187</v>
      </c>
      <c r="BE7" t="s">
        <v>35</v>
      </c>
      <c r="BF7" t="s">
        <v>2007</v>
      </c>
      <c r="BG7" t="s">
        <v>36</v>
      </c>
      <c r="BH7" t="s">
        <v>3188</v>
      </c>
      <c r="BI7" t="s">
        <v>3189</v>
      </c>
      <c r="BJ7" t="s">
        <v>3034</v>
      </c>
      <c r="BK7" t="s">
        <v>3131</v>
      </c>
      <c r="BL7" t="s">
        <v>3190</v>
      </c>
      <c r="BM7" t="s">
        <v>3191</v>
      </c>
      <c r="BN7" t="s">
        <v>3192</v>
      </c>
      <c r="BO7" t="s">
        <v>3131</v>
      </c>
      <c r="BP7">
        <f ca="1">SUMPRODUCT(AC10:AC1048576,BP10:BP1048576)</f>
        <v>2930589332.68615</v>
      </c>
      <c r="BQ7" t="s">
        <v>3191</v>
      </c>
      <c r="BR7" t="s">
        <v>3193</v>
      </c>
      <c r="BS7" t="s">
        <v>3131</v>
      </c>
      <c r="BT7" t="s">
        <v>3194</v>
      </c>
      <c r="BU7" t="s">
        <v>3195</v>
      </c>
      <c r="BV7" t="s">
        <v>3131</v>
      </c>
      <c r="BW7" t="s">
        <v>3196</v>
      </c>
      <c r="BY7" t="s">
        <v>3197</v>
      </c>
      <c r="BZ7" t="s">
        <v>3034</v>
      </c>
      <c r="CA7" t="s">
        <v>3198</v>
      </c>
      <c r="CB7" t="s">
        <v>3131</v>
      </c>
      <c r="CC7" t="s">
        <v>3199</v>
      </c>
      <c r="CD7" t="s">
        <v>3200</v>
      </c>
      <c r="CE7" t="s">
        <v>3131</v>
      </c>
      <c r="CF7" t="s">
        <v>3201</v>
      </c>
      <c r="CG7" t="s">
        <v>3200</v>
      </c>
      <c r="CH7" t="s">
        <v>3131</v>
      </c>
      <c r="CI7" t="s">
        <v>3202</v>
      </c>
      <c r="CJ7" t="s">
        <v>3203</v>
      </c>
      <c r="CK7" t="s">
        <v>3131</v>
      </c>
      <c r="CL7" t="s">
        <v>3204</v>
      </c>
      <c r="CM7" t="s">
        <v>3205</v>
      </c>
      <c r="CN7" t="s">
        <v>3200</v>
      </c>
      <c r="CO7" t="s">
        <v>3206</v>
      </c>
      <c r="CP7">
        <f ca="1">CP6/(MAX(技能数计算!$A$2:$A$515))</f>
        <v>14891456.5143572</v>
      </c>
      <c r="CQ7" t="s">
        <v>3207</v>
      </c>
      <c r="CR7" t="s">
        <v>3208</v>
      </c>
      <c r="CS7" t="s">
        <v>3131</v>
      </c>
      <c r="CV7" t="s">
        <v>3209</v>
      </c>
      <c r="CW7">
        <f ca="1">AD8</f>
        <v>13333759.1150148</v>
      </c>
    </row>
    <row r="8" spans="2:107">
      <c r="AC8" t="s">
        <v>3210</v>
      </c>
      <c r="AD8">
        <f ca="1">AD7/(MAX(技能数计算!A2:A515))</f>
        <v>13333759.1150148</v>
      </c>
      <c r="AE8">
        <f ca="1">M2+INT(M2*(N2+31)/1024)</f>
        <v>11007</v>
      </c>
      <c r="AF8" s="164">
        <f ca="1">ROUND((W2+INT(AE8*身法转基础会心))/会心系数+X2,4)</f>
        <v>0.7057</v>
      </c>
      <c r="AH8">
        <f ca="1">U2+INT(AE8*身法转额外攻击)+INT(U2*(T2+51)/1024)</f>
        <v>96007</v>
      </c>
      <c r="AI8">
        <f ca="1">AE2+INT(AE8*身法转额外破防)+INT(AE2*AD2/1024)</f>
        <v>101383.285714286</v>
      </c>
      <c r="AJ8">
        <f ca="1">ROUND(1.75+Z2/会效系数+(AA2+204)/1024,10)</f>
        <v>2.3704910616</v>
      </c>
      <c r="AK8">
        <f>2385*(15/47.5*叠峰意+0.1*听晓)</f>
        <v>753.157894736842</v>
      </c>
      <c r="AM8" s="165">
        <v>0.15</v>
      </c>
      <c r="AN8" s="166">
        <f ca="1">ROUND((W2+INT(AE8*身法转基础会心))/会心系数+X2+$AM$9,4)</f>
        <v>0.7272</v>
      </c>
      <c r="AO8" t="s">
        <v>3131</v>
      </c>
      <c r="AP8">
        <f ca="1">U2+INT(O2*身法转额外攻击)+INT(U2*(T2+50+51/2)/1024)</f>
        <v>97084</v>
      </c>
      <c r="AQ8">
        <f ca="1">AE2+INT(O2*身法转额外破防)+INT(AE2*(AD2+200)/1024)</f>
        <v>120492.285714286</v>
      </c>
      <c r="AS8" s="166">
        <f ca="1">Y2+0.08</f>
        <v>0.7843</v>
      </c>
      <c r="AU8">
        <f ca="1">ROUND(1.75+Z2/会效系数+(AA2+150)/1024,10)</f>
        <v>2.3177566866</v>
      </c>
      <c r="AV8">
        <f ca="1">ROUND(AM2/无双系数+(AN2+20)/1024,10)</f>
        <v>1.7995442148</v>
      </c>
      <c r="AX8" s="166">
        <f ca="1">Y2+0.07</f>
        <v>0.7743</v>
      </c>
      <c r="BA8" s="166">
        <f ca="1">$Y2+0.06</f>
        <v>0.7643</v>
      </c>
      <c r="BD8">
        <f ca="1">P2+INT(P2*(Q2+31)/1024)</f>
        <v>371</v>
      </c>
      <c r="BE8">
        <f ca="1">(INT(BD8*力道转基础攻击)+S2)</f>
        <v>69297</v>
      </c>
      <c r="BF8">
        <f ca="1">BE8+INT(O2*身法转额外攻击)+INT(BE8*T2/1024)</f>
        <v>91977</v>
      </c>
      <c r="BG8">
        <f ca="1">AC2+INT(BD8*力道转基础破防)</f>
        <v>98302.2857142857</v>
      </c>
      <c r="BH8">
        <f ca="1">BG8+INT(O2*身法转额外破防)+INT(BG8*(AD2+204)/1024)</f>
        <v>120879.285714286</v>
      </c>
      <c r="BI8" s="166">
        <f ca="1">$Y2+0.05</f>
        <v>0.7543</v>
      </c>
      <c r="BL8">
        <f ca="1">AC2+INT(R2*力道转基础破防)+14900</f>
        <v>113199.285714286</v>
      </c>
      <c r="BM8">
        <f ca="1">BL8+INT(O2*身法转额外破防)+INT(BL8*(AD2+102)/1024)</f>
        <v>127468.285714286</v>
      </c>
      <c r="BN8">
        <f ca="1">U2+INT(O2*身法转额外攻击)+INT(U2*(T2+50)/1024)</f>
        <v>95358</v>
      </c>
      <c r="BP8">
        <f ca="1">BP7/(MAX(技能数计算!$A$2:$A$515))</f>
        <v>14009222.8724421</v>
      </c>
      <c r="BQ8">
        <f ca="1">AE2+INT(O2*身法转额外破防)+INT(AE2*(AD2+102)/1024)</f>
        <v>111084.285714286</v>
      </c>
      <c r="BR8" t="s">
        <v>3211</v>
      </c>
      <c r="BT8">
        <f ca="1">额外属性!BC7-BC$4+52</f>
        <v>52</v>
      </c>
      <c r="BW8">
        <f ca="1">U2+INT(O2*身法转额外攻击)+INT(U2*(T2+50+102*0.55)/1024)</f>
        <v>99155</v>
      </c>
      <c r="BY8" s="166">
        <f ca="1">$Y2+0.03</f>
        <v>0.7343</v>
      </c>
      <c r="CA8">
        <f ca="1">ROUND(1.75+Z2/会效系数+(AA2+154)/1024,10)</f>
        <v>2.3216629366</v>
      </c>
      <c r="CC8">
        <f ca="1">U2+INT(O2*身法转额外攻击)+INT(U2*(T2+133)/1024)</f>
        <v>100975</v>
      </c>
      <c r="CD8" t="s">
        <v>3212</v>
      </c>
      <c r="CF8">
        <f ca="1">ROUND(1.75+Z2/会效系数+(AA2+100)/1024,10)</f>
        <v>2.2689285616</v>
      </c>
      <c r="CG8" t="s">
        <v>3211</v>
      </c>
      <c r="CI8">
        <f ca="1">AE2+INT(O2*身法转额外破防)+INT(AE2*(AD2+256)/1024)</f>
        <v>125867.285714286</v>
      </c>
      <c r="CJ8" t="s">
        <v>3193</v>
      </c>
      <c r="CL8">
        <f ca="1">ROUND(1.75+Z2/会效系数+(AA2+154*0.8)/1024,10)</f>
        <v>2.2915848116</v>
      </c>
      <c r="CM8">
        <f ca="1">ROUND(额外属性!AZ7-AZ$4+62,10)</f>
        <v>79.1129824561</v>
      </c>
      <c r="CN8" t="s">
        <v>3211</v>
      </c>
      <c r="CO8">
        <f ca="1">ROUND(1.75+Z2/会效系数+(AA2+154*0.96)/1024,10)</f>
        <v>2.3156473116</v>
      </c>
      <c r="CQ8">
        <f ca="1">ROUND(AM2/无双系数+(AN2+104)/1024,10)</f>
        <v>1.8815754648</v>
      </c>
      <c r="CR8">
        <f ca="1">ROUND(额外属性!AZ7-AZ$4+52,10)</f>
        <v>69.1129824561</v>
      </c>
      <c r="CV8" s="167" t="s">
        <v>3213</v>
      </c>
      <c r="CW8" s="167"/>
      <c r="CX8" s="167"/>
      <c r="CY8" s="167"/>
      <c r="CZ8" s="167" t="s">
        <v>1986</v>
      </c>
      <c r="DA8" s="167"/>
      <c r="DB8" s="167"/>
      <c r="DC8" s="167"/>
    </row>
    <row r="9" spans="2:107">
      <c r="D9" t="s">
        <v>2135</v>
      </c>
      <c r="E9" t="s">
        <v>2969</v>
      </c>
      <c r="F9" t="s">
        <v>1990</v>
      </c>
      <c r="G9" t="s">
        <v>2971</v>
      </c>
      <c r="H9" t="s">
        <v>2705</v>
      </c>
      <c r="I9" t="s">
        <v>2709</v>
      </c>
      <c r="J9" t="s">
        <v>2710</v>
      </c>
      <c r="K9" t="s">
        <v>2711</v>
      </c>
      <c r="L9" t="s">
        <v>66</v>
      </c>
      <c r="M9" t="s">
        <v>69</v>
      </c>
      <c r="N9" t="s">
        <v>34</v>
      </c>
      <c r="O9" t="s">
        <v>3123</v>
      </c>
      <c r="P9" t="s">
        <v>3124</v>
      </c>
      <c r="Q9" t="s">
        <v>28</v>
      </c>
      <c r="R9" t="s">
        <v>3125</v>
      </c>
      <c r="S9" t="s">
        <v>3126</v>
      </c>
      <c r="T9" t="s">
        <v>3127</v>
      </c>
      <c r="U9" t="s">
        <v>21</v>
      </c>
      <c r="V9" t="s">
        <v>3128</v>
      </c>
      <c r="W9" t="s">
        <v>7</v>
      </c>
      <c r="X9" t="s">
        <v>9</v>
      </c>
      <c r="Y9" t="s">
        <v>3129</v>
      </c>
      <c r="Z9" t="s">
        <v>3130</v>
      </c>
      <c r="AA9" t="s">
        <v>2038</v>
      </c>
      <c r="AB9" t="s">
        <v>3131</v>
      </c>
      <c r="AC9" t="s">
        <v>3034</v>
      </c>
      <c r="AD9" t="s">
        <v>3132</v>
      </c>
      <c r="AE9">
        <f ca="1">M3+INT(M3*(N3+31)/1024)</f>
        <v>11007</v>
      </c>
      <c r="AF9" s="164">
        <f ca="1">ROUND((W3+INT(AE9*身法转基础会心))/会心系数+X3,4)</f>
        <v>0.7057</v>
      </c>
      <c r="AH9">
        <f ca="1">U3+INT(AE9*身法转额外攻击)+INT(U3*(T3+51)/1024)</f>
        <v>96007</v>
      </c>
      <c r="AI9">
        <f ca="1">AE3+INT(AE9*身法转额外破防)+INT(AE3*AD3/1024)</f>
        <v>101383.285714286</v>
      </c>
      <c r="AJ9">
        <f ca="1">ROUND(1.75+Z3/会效系数+(AA3+204)/1024,10)</f>
        <v>2.3704910616</v>
      </c>
      <c r="AK9">
        <f>2385*(15/47.5*叠峰意+0.1*听晓)</f>
        <v>753.157894736842</v>
      </c>
      <c r="AM9">
        <f>IFERROR(5/(20+2/AM8*2),0)*0.2</f>
        <v>0.0214285714285714</v>
      </c>
      <c r="AN9" s="166">
        <f ca="1">ROUND((W3+INT(AE9*身法转基础会心))/会心系数+X3+$AM$9,4)</f>
        <v>0.7272</v>
      </c>
      <c r="AP9">
        <f ca="1">U3+INT(O3*身法转额外攻击)+INT(U3*(T3+50+51/2)/1024)</f>
        <v>97084</v>
      </c>
      <c r="AQ9">
        <f ca="1">AE3+INT(O3*身法转额外破防)+INT(AE3*(AD3+200)/1024)</f>
        <v>120492.285714286</v>
      </c>
      <c r="AS9" s="166">
        <f ca="1">Y3+0.08</f>
        <v>0.7843</v>
      </c>
      <c r="AU9">
        <f ca="1">ROUND(1.75+Z3/会效系数+(AA3+150)/1024,10)</f>
        <v>2.3177566866</v>
      </c>
      <c r="AV9">
        <f ca="1">ROUND(AM3/无双系数+(AN3+20)/1024,10)</f>
        <v>1.7995442148</v>
      </c>
      <c r="AX9" s="166">
        <f ca="1">Y3+0.07</f>
        <v>0.7743</v>
      </c>
      <c r="AY9" s="167"/>
      <c r="BA9" s="166">
        <f ca="1">$Y3+0.06</f>
        <v>0.7643</v>
      </c>
      <c r="BB9" s="167"/>
      <c r="BD9">
        <f ca="1">P3+INT(P3*(Q3+31)/1024)</f>
        <v>371</v>
      </c>
      <c r="BE9">
        <f ca="1">(INT(BD9*力道转基础攻击)+S3)</f>
        <v>69297</v>
      </c>
      <c r="BF9">
        <f ca="1">BE9+INT(O3*身法转额外攻击)+INT(BE9*T3/1024)</f>
        <v>91977</v>
      </c>
      <c r="BG9">
        <f ca="1">AC3+INT(BD9*力道转基础破防)</f>
        <v>98302.2857142857</v>
      </c>
      <c r="BH9">
        <f ca="1">BG9+INT(O3*身法转额外破防)+INT(BG9*(AD3+204)/1024)</f>
        <v>120879.285714286</v>
      </c>
      <c r="BI9" s="166">
        <f ca="1">$Y3+0.05</f>
        <v>0.7543</v>
      </c>
      <c r="BL9">
        <f ca="1">AC3+INT(R3*力道转基础破防)+14900</f>
        <v>113199.285714286</v>
      </c>
      <c r="BM9">
        <f ca="1">BL9+INT(O3*身法转额外破防)+INT(BL9*(AD3+102)/1024)</f>
        <v>127468.285714286</v>
      </c>
      <c r="BN9">
        <f ca="1">U3+INT(O3*身法转额外攻击)+INT(U3*(T3+50)/1024)</f>
        <v>95358</v>
      </c>
      <c r="BQ9">
        <f ca="1">AE3+INT(O3*身法转额外破防)+INT(AE3*(AD3+102)/1024)</f>
        <v>111084.285714286</v>
      </c>
      <c r="BR9" t="s">
        <v>3214</v>
      </c>
      <c r="BT9">
        <f ca="1">额外属性!BC8-BC$4+52</f>
        <v>52</v>
      </c>
      <c r="BU9" t="s">
        <v>3215</v>
      </c>
      <c r="BW9">
        <f ca="1">U3+INT(O3*身法转额外攻击)+INT(U3*(T3+50+102*0.55)/1024)</f>
        <v>99155</v>
      </c>
      <c r="BY9" s="166">
        <f ca="1">$Y3+0.03</f>
        <v>0.7343</v>
      </c>
      <c r="CA9">
        <f ca="1">ROUND(1.75+Z3/会效系数+(AA3+154)/1024,10)</f>
        <v>2.3216629366</v>
      </c>
      <c r="CC9">
        <f ca="1">U3+INT(O3*身法转额外攻击)+INT(U3*(T3+133)/1024)</f>
        <v>100975</v>
      </c>
      <c r="CF9">
        <f ca="1">ROUND(1.75+Z3/会效系数+(AA3+100)/1024,10)</f>
        <v>2.2689285616</v>
      </c>
      <c r="CG9" t="s">
        <v>3216</v>
      </c>
      <c r="CI9">
        <f ca="1">AE3+INT(O3*身法转额外破防)+INT(AE3*(AD3+256)/1024)</f>
        <v>125867.285714286</v>
      </c>
      <c r="CL9">
        <f ca="1">ROUND(1.75+Z3/会效系数+(AA3+154*0.8)/1024,10)</f>
        <v>2.2915848116</v>
      </c>
      <c r="CM9">
        <f ca="1">ROUND(额外属性!AZ8-AZ$4+62,10)</f>
        <v>181.1129824561</v>
      </c>
      <c r="CN9" t="s">
        <v>3131</v>
      </c>
      <c r="CO9">
        <f ca="1">ROUND(1.75+Z3/会效系数+(AA3+154*0.96)/1024,10)</f>
        <v>2.3156473116</v>
      </c>
      <c r="CP9" t="s">
        <v>3131</v>
      </c>
      <c r="CQ9">
        <f ca="1">ROUND(AM3/无双系数+(AN3+104)/1024,10)</f>
        <v>1.8815754648</v>
      </c>
      <c r="CR9">
        <f ca="1">ROUND(额外属性!AZ8-AZ$4+52,10)</f>
        <v>171.1129824561</v>
      </c>
      <c r="CV9" t="s">
        <v>2653</v>
      </c>
      <c r="CW9" t="s">
        <v>3122</v>
      </c>
      <c r="CX9" t="s">
        <v>3217</v>
      </c>
      <c r="CY9" t="s">
        <v>3218</v>
      </c>
      <c r="CZ9" t="s">
        <v>3218</v>
      </c>
      <c r="DA9" t="s">
        <v>2653</v>
      </c>
      <c r="DB9" t="s">
        <v>3217</v>
      </c>
    </row>
    <row r="10" spans="2:107">
      <c r="D10" t="s">
        <v>1028</v>
      </c>
      <c r="E10" t="s">
        <v>2722</v>
      </c>
      <c r="H10">
        <f ca="1">INDEX(技能数据库!$B$2:$I$100,MATCH(阵眼收益计算!$E10,技能数据库!$B$2:$B$100,0),MATCH(H$9,技能数据库!$B$2:$I$2,0))</f>
        <v>145.5</v>
      </c>
      <c r="I10">
        <f ca="1">INDEX(技能数据库!$B$2:$I$100,MATCH(阵眼收益计算!$E10,技能数据库!$B$2:$B$100,0),MATCH(I$9,技能数据库!$B$2:$I$2,0))</f>
        <v>5.1625</v>
      </c>
      <c r="J10">
        <f ca="1">INDEX(技能数据库!$B$2:$I$100,MATCH(阵眼收益计算!$E10,技能数据库!$B$2:$B$100,0),MATCH(J$9,技能数据库!$B$2:$I$2,0))</f>
        <v>1</v>
      </c>
      <c r="K10">
        <f ca="1">INDEX(技能数据库!$B$2:$I$100,MATCH(阵眼收益计算!$E10,技能数据库!$B$2:$B$100,0),MATCH(K$9,技能数据库!$B$2:$I$2,0))</f>
        <v>0</v>
      </c>
      <c r="L10">
        <f ca="1" t="shared" ref="L10:L73" si="13">IF(D10="轻剑",$V$2,$V$3)+INT(残雪*(COUNTIF(G10,"*莺鸣*")+COUNTIF(G10,"*叠1*")+COUNTIF(G10,"*叠2*")*2+COUNTIF(G10,"*叠3*")*3)*IF(D10="轻剑",$U$2,$U$3)*154/1024+COUNTIF(G10,"*雾锁*")*205/1024*IF(D10="轻剑",$U$2,$U$3))</f>
        <v>91975</v>
      </c>
      <c r="M10">
        <f ca="1">IF(D10="轻剑",$AU$2+$AV$2,$AU$3+$AV$3)/2</f>
        <v>12694.5</v>
      </c>
      <c r="N10">
        <f ca="1">IF(D10="轻剑",$AJ$2,$AJ$3)</f>
        <v>92028</v>
      </c>
      <c r="O10">
        <f ca="1">H10+I10*L10+J10*M10+IF(K10&gt;0,MAX(1,K10*N10*破招全局系数),0)</f>
        <v>487660.9375</v>
      </c>
      <c r="P10">
        <f ca="1">IF(G10="恒定伤害",0,(IF(D10="轻剑",$AZ$2,$AZ$3)+IFERROR(INDEX(技能数据库!$T$2:$W$27,MATCH(E10,技能数据库!$T$2:$T$27,0),4),0)+COUNTIF(G10,"*造化2*")*154+COUNTIF(G10,"*造化1*")*102+COUNTIF(G10,"*碧归*")*307)/1024)</f>
        <v>0.186633771929785</v>
      </c>
      <c r="Q10">
        <f ca="1" t="shared" ref="Q10:Q41" si="14">IF(G10="恒定伤害",0,(IF(COUNTIF(F10,"*内破*")&gt;0,内破,IF(D10="轻剑",$AF$2,$AF$3)/破防系数))+IF((IF(D10="轻剑",$AO$2,$AO$3)+INT(COUNTIF(G10,"*大莺鸣*")*IF(D10="轻剑",$AM$2,$AM$3)*听晓无双率)/无双系数)&gt;0.9,(特效裤子破防+特效裤子破防*IF(D10="轻剑",$AD$2,$AD$3)/1024)/破防系数,0))</f>
        <v>0.448284482196154</v>
      </c>
      <c r="R10">
        <f ca="1">IF(G10="恒定伤害",0,(($F$5-IF(D10="轻剑",$BB$2,$BB$3))*(1024-IF(D10="轻剑",$BD$2,$BD$3))/1024*(1024-IF(D10="轻剑",$BC$2,$BC$3)-COUNTIF(G10,"*雾锁*")*461*雾锁)/1024/(($F$5-IF(D10="轻剑",$BB$2,$BB$3))*(1024-IF(D10="轻剑",$BD$2,$BD$3))/1024*(1024-IF(D10="轻剑",$BC$2,$BC$3)-COUNTIF(G10,"*雾锁*")*461*雾锁)/1024+$F$7)))</f>
        <v>0.32958230397716</v>
      </c>
      <c r="S10">
        <f ca="1">O10*(1+P10)*(1+Q10)*(1-R10)</f>
        <v>561867.639929095</v>
      </c>
      <c r="T10">
        <f>1-($F$6-130)*0.05</f>
        <v>0.8</v>
      </c>
      <c r="U10">
        <f ca="1" t="shared" ref="U10:U41" si="15">IF(G10="恒定伤害",0,(IF(D10="轻剑",$AO$2,$AO$3)+INT(COUNTIF(G10,"*大莺鸣*")*IF(D10="轻剑",$AM$2,$AM$3)*听晓无双率)/无双系数)+IF((IF(D10="轻剑",$AO$2,$AO$3)+INT(COUNTIF(G10,"*大莺鸣*")*IF(D10="轻剑",$AM$2,$AM$3)*听晓无双率)/无双系数)&lt;=0.9,特效裤子无双,0))</f>
        <v>1.7800129648</v>
      </c>
      <c r="V10">
        <f ca="1">S10*T10*(1+U10)</f>
        <v>1249599.45880357</v>
      </c>
      <c r="W10">
        <f ca="1">IF(G10="恒定伤害",0,MIN(1,IF(COUNTIF(F10,"*内会*")&gt;0,内会2,IF(D10="轻剑",$Y$2,$Y$3)+COUNTIF(G10,"*莺鸣*")*0.2+COUNTIF(G10,"*叠1*")*0.1+COUNTIF(G10,"*叠2*")*0.2+COUNTIF(G10,"*叠3*")*0.3)+IFERROR(INDEX(技能数据库!$T$2:$W$27,MATCH(E10,技能数据库!$T$2:$T$27,0),2),0)+IF((IF(D10="轻剑",$AO$2,$AO$3)+INT(COUNTIF(G10,"*大莺鸣*")*IF(D10="轻剑",$AM$2,$AM$3)*听晓无双率)/无双系数)&gt;0.9,特效裤子会心/会心系数,0)))</f>
        <v>0.7043</v>
      </c>
      <c r="X10">
        <f ca="1">IF(G10="恒定伤害",0,IF(COUNTIF(F10,"*内会*")&gt;0,内会效2,IF(D10="轻剑",$AB$2,$AB$3))+IFERROR(INDEX(技能数据库!$T$2:$W$27,MATCH(E10,技能数据库!$T$2:$T$27,0),3)/1024,0))+COUNTIF(G10,"*叠1*")*0.25+COUNTIF(G10,"*叠2*")*0.5+COUNTIF(G10,"*叠3*")*0.75</f>
        <v>2.1712723116</v>
      </c>
      <c r="Y10">
        <f ca="1">1+W10*(X10-1)</f>
        <v>1.82492708905988</v>
      </c>
      <c r="Z10">
        <f t="shared" ref="Z10:Z73" si="16">IF(G10="恒定伤害",0,非侠士伤害/1024)</f>
        <v>0.150390625</v>
      </c>
      <c r="AA10">
        <f ca="1">IF(D10="轻剑",$BA$2,$BA$3)/1024</f>
        <v>0.0205078125</v>
      </c>
      <c r="AB10">
        <f ca="1">V10*Y10*(1+Z10)*(1+AA10)</f>
        <v>2677182.72464893</v>
      </c>
      <c r="AC10">
        <f ca="1">技能数计算!$AJ2</f>
        <v>0</v>
      </c>
      <c r="AD10" s="164">
        <f ca="1">IFERROR(AB10*AC10/$AD$7,0)</f>
        <v>0</v>
      </c>
      <c r="AE10" s="168"/>
      <c r="AF10" s="168">
        <f ca="1" t="shared" ref="AF10:AF73" si="17">W10+IF(COUNTIF(F10,"*内会*")&gt;0,0,IF(D10="轻剑",$AF$8-$Y$2,$AF$9-$Y$3))</f>
        <v>0.7057</v>
      </c>
      <c r="AG10">
        <f ca="1">技能数计算!$AJ2</f>
        <v>0</v>
      </c>
      <c r="AH10">
        <f ca="1" t="shared" ref="AH10:AH73" si="18">IF(D10="轻剑",$AH$8,$AH$9)+INT(残雪*(COUNTIF(G10,"*莺鸣*")+COUNTIF(G10,"*叠1*")+COUNTIF(G10,"*叠2*")*2+COUNTIF(G10,"*叠3*")*3)*IF(D10="轻剑",$U$2,$U$3)*154/1024+COUNTIF(G10,"*雾锁*")*205/1024*IF(D10="轻剑",$U$2,$U$3))</f>
        <v>96007</v>
      </c>
      <c r="AJ10">
        <f ca="1">X10+IF(COUNTIF(F10,"*内会*")&gt;0,0,IF(D10="轻剑",$AJ$8-$AB$2,$AJ$9-$AB$3))</f>
        <v>2.3704910616</v>
      </c>
      <c r="AK10">
        <f ca="1">H10+AH10*I10+J10*(238.5+M10)+IF(K10&gt;0,MAX(1,K10*N10*破招全局系数),0)</f>
        <v>508714.6375</v>
      </c>
      <c r="AL10">
        <f ca="1" t="shared" ref="AL10:AL41" si="19">IF(COUNTIF(G10,"*恒定伤害*")&gt;0,AB10,((AK10*(1+P10)*(1+IF(COUNTIF(F10,"*内破*")&gt;0,内破,IF(D10="轻剑",$AI$8,$AI$9)/破防系数)+IF((IF(D10="轻剑",$AO$2,$AO$3)+INT(COUNTIF(G10,"*大莺鸣*")*IF(D10="轻剑",$AM$2,$AM$3)*听晓无双率)/无双系数)&gt;0.9,(特效裤子破防+特效裤子破防*IF(D10="轻剑",$AD$2,$AD$3)/1024)/破防系数,0))*(1-R10))*T10*(1+U10))*(1+Z10)*(1+AA10)*(1+MIN(1,AF10)*(MIN(3+COUNTIF(G10,"*叠*")*0.75,AJ10)-1)))</f>
        <v>3011250.49297736</v>
      </c>
      <c r="AM10" s="169">
        <f ca="1" t="shared" ref="AM10:AM73" si="20">W10+IF(COUNTIF(F10,"*内会*")&gt;0,0,IF(D10="轻剑",$AN$8-$Y$2,$AN$9-$Y$3))</f>
        <v>0.7272</v>
      </c>
      <c r="AN10">
        <f ca="1">技能数计算!$AJ2</f>
        <v>0</v>
      </c>
      <c r="AO10" s="170">
        <f ca="1" t="shared" ref="AO10:AO41" si="21">IF(COUNTIF(G10,"*恒定伤害*")&gt;0,AB10,((AK10*(1+P10)*(1+IF(COUNTIF(F10,"*内破*")&gt;0,内破,IF(D10="轻剑",$AI$8,$AI$9)/破防系数)+IF((IF(D10="轻剑",$AO$2,$AO$3)+INT(COUNTIF(G10,"*大莺鸣*")*IF(D10="轻剑",$AM$2,$AM$3)*听晓无双率)/无双系数)&gt;0.9,(特效裤子破防+特效裤子破防*IF(D10="轻剑",$AD$2,$AD$3)/1024)/破防系数,0))*(1-R10))*T10*(1+U10))*(1+Z10)*(1+AA10)*(1+MIN(1,AM10)*(MIN(3+COUNTIF(G10,"*叠*")*0.75,AJ10)-1)))</f>
        <v>3056355.30224254</v>
      </c>
      <c r="AP10">
        <f ca="1" t="shared" ref="AP10:AP73" si="22">IF(D10="轻剑",$AP$8,$AP$9)+INT(残雪*(COUNTIF(G10,"*莺鸣*")+COUNTIF(G10,"*叠1*")+COUNTIF(G10,"*叠2*")*2+COUNTIF(G10,"*叠3*")*3)*IF(D10="轻剑",$U$2,$U$3)*154/1024+COUNTIF(G10,"*雾锁*")*205/1024*IF(D10="轻剑",$U$2,$U$3))</f>
        <v>97084</v>
      </c>
      <c r="AQ10" s="170">
        <f ca="1">H10+AP10*I10+J10*M10+IF(K10&gt;0,MAX(1,K10*N10*破招全局系数),0)</f>
        <v>514036.15</v>
      </c>
      <c r="AR10">
        <f ca="1" t="shared" ref="AR10:AR41" si="23">IF(COUNTIF(G10,"*恒定伤害*")&gt;0,AB10,((AQ10*(1+P10)*(1+IF(COUNTIF(F10,"*内破*")&gt;0,内破,IF(D10="轻剑",$AQ$8,$AQ$9)/破防系数)+IF((IF(D10="轻剑",$AO$2,$AO$3)+INT(COUNTIF(G10,"*大莺鸣*")*IF(D10="轻剑",$AM$2,$AM$3)*听晓无双率)/无双系数)&gt;0.9,(特效裤子破防+特效裤子破防*IF(D10="轻剑",$AD$2+200,$AD$3+200)/1024)/破防系数,0))*(1-R10))*T10*(1+U10))*Y10*(1+Z10)*(1+AA10))</f>
        <v>2987537.0411358</v>
      </c>
      <c r="AS10">
        <f ca="1" t="shared" ref="AS10:AS73" si="24">W10+IF(COUNTIF(F10,"*内会*")&gt;0,0,IF(D10="轻剑",$AS$8-$Y$2,$AS$9-$Y$3))</f>
        <v>0.7843</v>
      </c>
      <c r="AT10">
        <f ca="1">技能数计算!$AJ2</f>
        <v>0</v>
      </c>
      <c r="AU10">
        <f ca="1" t="shared" ref="AU10:AU73" si="25">X10+IF(COUNTIF(F10,"*内会*")&gt;0,0,IF(D10="轻剑",$AU$8-$AB$2,$AU$9-$AB$3))</f>
        <v>2.3177566866</v>
      </c>
      <c r="AV10">
        <f ca="1" t="shared" ref="AV10:AV41" si="26">IF(G10="恒定伤害",0,(IF(D10="轻剑",$AV$8,$AV$9)+INT(COUNTIF(G10,"*大莺鸣*")*IF(D10="轻剑",$AM$2,$AM$3)*听晓无双率)/无双系数))+IF((IF(G10="恒定伤害",0,(IF(D10="轻剑",$AV$8,$AV$9)+INT(COUNTIF(G10,"*大莺鸣*")*IF(D10="轻剑",$AM$2,$AM$3)*听晓无双率)/无双系数)))&lt;=0.9,特效裤子无双,0)</f>
        <v>1.7995442148</v>
      </c>
      <c r="AW10">
        <f ca="1">IF(COUNTIF(G10,"*恒定伤害*")&gt;0,AB10,((O10*(1+P10)*(1+Q10)*(1-R10))*T10*(1+AV10))*(1+MIN(1,AS10)*(MIN(3+COUNTIF(G10,"*叠*")*0.75,AU10)-1))*(1+Z10)*(1+AA10))</f>
        <v>3004143.82664503</v>
      </c>
      <c r="AX10">
        <f ca="1" t="shared" ref="AX10:AX73" si="27">$W10+IF(COUNTIF(F10,"*内会*")&gt;0,0,IF(I10="轻剑",AX$8-$Y$2,AX$9-$Y$3))</f>
        <v>0.7743</v>
      </c>
      <c r="AY10">
        <f ca="1">技能数计算!$AJ2</f>
        <v>0</v>
      </c>
      <c r="AZ10" s="170">
        <f ca="1">IF(COUNTIF(G10,"*恒定伤害*")&gt;0,AB10,((O10*(1+P10)*(1+Q10)*(1-R10))*T10*(1+AV10))*(1+MIN(1,AX10)*(MIN(3+COUNTIF(G10,"*叠*")*0.75,AU10)-1))*(1+Z10)*(1+AA10))</f>
        <v>2984676.41401199</v>
      </c>
      <c r="BA10">
        <f ca="1" t="shared" ref="BA10:BA73" si="28">$W10+IF(COUNTIF(F10,"*内会*")&gt;0,0,IF(L10="轻剑",BA$8-$Y$2,BA$9-$Y$3))</f>
        <v>0.7643</v>
      </c>
      <c r="BB10">
        <f ca="1">技能数计算!$AJ2</f>
        <v>0</v>
      </c>
      <c r="BC10" s="170">
        <f ca="1">IF(COUNTIF(G10,"*恒定伤害*")&gt;0,AB10,((O10*(1+P10)*(1+Q10)*(1-R10))*T10*(1+AV10))*(1+MIN(1,BA10)*(MIN(3+COUNTIF(G10,"*叠*")*0.75,AU10)-1))*(1+Z10)*(1+AA10))</f>
        <v>2965209.00137895</v>
      </c>
      <c r="BE10">
        <f ca="1" t="shared" ref="BE10:BE73" si="29">IF(D10="轻剑",$BF$8,$BF$9)+INT(残雪*(COUNTIF(G10,"*莺鸣*")+COUNTIF(G10,"*叠1*")+COUNTIF(G10,"*叠2*")*2+COUNTIF(G10,"*叠3*")*3)*IF(D10="轻剑",$BE$8,$BE$9)*154/1024+COUNTIF(G10,"*雾锁*")*205/1024*IF(D10="轻剑",$BE$8,$BE$9))</f>
        <v>91977</v>
      </c>
      <c r="BF10">
        <f ca="1" t="shared" ref="BF10:BF41" si="30">H10+BE10*I10+J10*M10+IF(K10&gt;0,MAX(1,K10*N10*破招全局系数),0)</f>
        <v>487671.2625</v>
      </c>
      <c r="BI10">
        <f ca="1" t="shared" ref="BI10:BI73" si="31">$W10+IF(COUNTIF(F10,"*内会*")&gt;0,0,IF(T10="轻剑",BI$8-$Y$2,BI$9-$Y$3))</f>
        <v>0.7543</v>
      </c>
      <c r="BJ10">
        <f ca="1">技能数计算!$AJ2</f>
        <v>0</v>
      </c>
      <c r="BK10">
        <f ca="1" t="shared" ref="BK10:BK41" si="32">IF(COUNTIF(G10,"*恒定伤害*")&gt;0,AB10,((BF10*(1+P10)*(1+IF(COUNTIF(F10,"*内破*")&gt;0,内破,IF(D10="轻剑",$BH$8,$BH$9)/破防系数)+IF((IF(D10="轻剑",$AO$2,$AO$3)+INT(COUNTIF(G10,"*大莺鸣*")*IF(D10="轻剑",$AM$2,$AM$3)*听晓无双率)/无双系数)&gt;0.9,(特效裤子破防+特效裤子破防*IF(D10="轻剑",$AD$2+204,$AD$3+204)/1024)/破防系数,0))*(1-R10))*T10*(1+AV10))*(1+MIN(1,BI10)*(MIN(3+COUNTIF(G10,"*叠*")*0.75,X10)-1))*(1+Z10)*(1+AA10))</f>
        <v>2949104.27900306</v>
      </c>
      <c r="BM10">
        <f ca="1" t="shared" ref="BM10:BM73" si="33">IF(D10="轻剑",$BN$8,$BN$9)+INT(残雪*(COUNTIF(G10,"*莺鸣*")+COUNTIF(G10,"*叠1*")+COUNTIF(G10,"*叠2*")*2+COUNTIF(G10,"*叠3*")*3)*IF(D10="轻剑",$U$2,$U$3)*154/1024+COUNTIF(G10,"*雾锁*")*205/1024*IF(D10="轻剑",$U$2,$U$3))</f>
        <v>95358</v>
      </c>
      <c r="BN10">
        <f ca="1" t="shared" ref="BN10:BN41" si="34">H10+BM10*I10+J10*M10+IF(K10&gt;0,MAX(1,K10*N10*破招全局系数),0)</f>
        <v>505125.675</v>
      </c>
      <c r="BO10">
        <f ca="1" t="shared" ref="BO10:BO41" si="35">IF(COUNTIF(G10,"*恒定伤害*")&gt;0,AB10,((BN10*(1+P10)*(1+IF(COUNTIF(F10,"*内破*")&gt;0,内破,IF(D10="轻剑",$BM$8,$BM$9)/破防系数)+IF((IF(D10="轻剑",$AO$2,$AO$3)+INT(COUNTIF(G10,"*大莺鸣*")*IF(D10="轻剑",$AM$2,$AM$3)*听晓无双率)/无双系数)&gt;0.9,(特效裤子破防+特效裤子破防*IF(D10="轻剑",$AD$2+102,$AD$3+102)/1024)/破防系数,0))*(1-R10))*T10*(1+U10))*Y10*(1+Z10)*(1+AA10))</f>
        <v>2994863.36205424</v>
      </c>
      <c r="BP10">
        <f ca="1" t="shared" ref="BP10:BP41" si="36">IF(COUNTIF(G10,"*恒定伤害*")&gt;0,AB10,((BN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U10))*Y10*(1+Z10)*(1+AA10))</f>
        <v>2856028.47953077</v>
      </c>
      <c r="BR10">
        <f ca="1" t="shared" ref="BR10:BR73" si="37">$W10+IF(T10="轻剑",BI$8-$Y$2,BI$9-$Y$3)</f>
        <v>0.7543</v>
      </c>
      <c r="BS10">
        <f ca="1" t="shared" ref="BS10:BS41" si="38">IF(COUNTIF(G10,"*恒定伤害*")&gt;0,AB10,((BN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AV10))*(1+MIN(1,BR10)*(MIN(3+COUNTIF(G10,"*叠*")*0.75,X10)-1))*(1+Z10)*(1+AA10))</f>
        <v>2968390.32095584</v>
      </c>
      <c r="BT10">
        <f ca="1" t="shared" ref="BT10:BT41" si="39">IF(G10="恒定伤害",0,(($F$5-IF(D10="轻剑",$BB$2,$BB$3))*(1024-IF(D10="轻剑",$BD$2,$BD$3))/1024*(1024-IF(D10="轻剑",$BT$8,$BT$9)-COUNTIF(G10,"*雾锁*")*461*雾锁)/1024/(($F$5-IF(D10="轻剑",$BB$2,$BB$3))*(1024-IF(D10="轻剑",$BD$2,$BD$3))/1024*(1024-IF(D10="轻剑",$BT$8,$BT$9)-COUNTIF(G10,"*雾锁*")*461*雾锁)/1024+$F$7)))</f>
        <v>0.318170800459405</v>
      </c>
      <c r="BU10">
        <f ca="1" t="shared" ref="BU10:BU73" si="40">X10+IF(D10="轻剑",$AU$8-$AB$2,$AU$9-$AB$3)</f>
        <v>2.3177566866</v>
      </c>
      <c r="BV10">
        <f ca="1">IF(COUNTIF(G10,"*恒定伤害*")&gt;0,AB10,((O10*(1+P10)*(1+Q10)*(1-BT10))*T10*(1+U10))*(1+MIN(1,BR10)*(MIN(3+COUNTIF(G10,"*叠*")*0.75,BU10)-1))*(1+Z10)*(1+AA10))</f>
        <v>2974981.45954981</v>
      </c>
      <c r="BW10">
        <f ca="1" t="shared" ref="BW10:BW73" si="41">IF(D10="轻剑",$BW$8,$BW$9)+INT(残雪*(COUNTIF(G10,"*莺鸣*")+COUNTIF(G10,"*叠1*")+COUNTIF(G10,"*叠2*")*2+COUNTIF(G10,"*叠3*")*3)*IF(D10="轻剑",$U$2,$U$3)*154/1024+COUNTIF(G10,"*雾锁*")*205/1024*IF(D10="轻剑",$U$2,$U$3))</f>
        <v>99155</v>
      </c>
      <c r="BX10">
        <f ca="1" t="shared" ref="BX10:BX41" si="42">H10+BW10*I10+J10*M10+IF(K10&gt;0,MAX(1,K10*N10*破招全局系数),0)</f>
        <v>524727.6875</v>
      </c>
      <c r="BY10">
        <f ca="1" t="shared" ref="BY10:BY73" si="43">$W10+IF(COUNTIF(F10,"*内会*")&gt;0,0,IF(AI10="轻剑",BY$8-$Y$2,BY$9-$Y$3))</f>
        <v>0.7343</v>
      </c>
      <c r="BZ10">
        <f ca="1">技能数计算!$AJ2</f>
        <v>0</v>
      </c>
      <c r="CA10">
        <f ca="1" t="shared" ref="CA10:CA73" si="44">X10+IF(COUNTIF(F10,"*内会*")&gt;0,0,IF(D10="轻剑",$CA$8-$AB$2,$CA$9-$AB$3))</f>
        <v>2.3216629366</v>
      </c>
      <c r="CB10">
        <f ca="1">IF(COUNTIF(G10,"*恒定伤害*")&gt;0,AB10,((BX10*(1+P10)*(1+Q10)*(1-R10))*T10*(1+U10))*(1+MIN(1,BY10)*(MIN(3+COUNTIF(G10,"*叠*")*0.75,CA10)-1))*(1+Z10)*(1+AA10))</f>
        <v>3110457.74696526</v>
      </c>
      <c r="CC10">
        <f ca="1" t="shared" ref="CC10:CC73" si="45">IF(D10="轻剑",$CC$8,$CC$9)+INT(残雪*(COUNTIF(G10,"*莺鸣*")+COUNTIF(G10,"*叠1*")+COUNTIF(G10,"*叠2*")*2+COUNTIF(G10,"*叠3*")*3)*IF(D10="轻剑",$U$2,$U$3)*154/1024+COUNTIF(G10,"*雾锁*")*205/1024*IF(D10="轻剑",$U$2,$U$3))</f>
        <v>100975</v>
      </c>
      <c r="CD10">
        <f ca="1" t="shared" ref="CD10:CD41" si="46">H10+CC10*I10+J10*M10+IF(K10&gt;0,MAX(1,K10*N10*破招全局系数),0)</f>
        <v>534123.4375</v>
      </c>
      <c r="CE10">
        <f ca="1" t="shared" ref="CE10:CE41" si="47">IF(COUNTIF(G10,"*恒定伤害*")&gt;0,AB10,((CD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U10))*(1+MIN(1,BY10)*(MIN(3+COUNTIF(G10,"*叠*")*0.75,X10)-1))*(1+Z10)*(1+AA10))</f>
        <v>3078133.05554594</v>
      </c>
      <c r="CF10">
        <f ca="1" t="shared" ref="CF10:CF73" si="48">X10+IF(COUNTIF(F10,"*内会*")&gt;0,0,IF(D10="轻剑",$CF$8-$AB$2,$CF$9-$AB$3))</f>
        <v>2.2689285616</v>
      </c>
      <c r="CG10">
        <f ca="1" t="shared" ref="CG10:CG73" si="49">$W10+IF(AI10="轻剑",BY$8-$Y$2,BY$9-$Y$3)</f>
        <v>0.7343</v>
      </c>
      <c r="CH10">
        <f ca="1">IF(COUNTIF(G10,"*恒定伤害*")&gt;0,AB10,((O10*(1+P10)*(1+Q10)*(1-R10))*T10*(1+AV10))*(1+MIN(1,BY10)*(MIN(3+COUNTIF(G10,"*叠*")*0.75,CF10)-1))*(1+Z10)*(1+AA10))</f>
        <v>2853838.3967654</v>
      </c>
      <c r="CJ10">
        <f ca="1" t="shared" ref="CJ10:CJ41" si="50">H10+BM10*I10+J10*M10+IF(K10&gt;0,MAX(1,K10*(N10+2667)*破招全局系数),0)</f>
        <v>505125.675</v>
      </c>
      <c r="CK10">
        <f ca="1" t="shared" ref="CK10:CK41" si="51">IF(COUNTIF(G10,"*恒定伤害*")&gt;0,AB10,((CJ10*(1+P10)*(1+IF(COUNTIF(F10,"*内破*")&gt;0,内破,IF(D10="轻剑",$CI$8,$CI$9)/破防系数)+IF((IF(D10="轻剑",$AO$2,$AO$3)+INT(COUNTIF(G10,"*大莺鸣*")*IF(D10="轻剑",$AM$2,$AM$3)*听晓无双率)/无双系数)&gt;0.9,(特效裤子破防+特效裤子破防*IF(D10="轻剑",$AD$2+256,$AD$3+256)/1024)/破防系数,0))*(1-R10))*T10*(1+U10))*Y10*(1+Z10)*(1+AA10))</f>
        <v>2981296.79424906</v>
      </c>
      <c r="CL10">
        <f ca="1">X10+IF(D10="轻剑",$CL$8-$AB$2,$CL$9-$AB$3)</f>
        <v>2.2915848116</v>
      </c>
      <c r="CM10">
        <f ca="1">IF(G10="恒定伤害",0,(IF(D10="轻剑",$CM$8,$CM$9)+IFERROR(INDEX(技能数据库!$T$2:$W$27,MATCH(E10,技能数据库!$T$2:$T$27,0),4),0)+COUNTIF(G10,"*造化2*")*154+COUNTIF(G10,"*造化1*")*102+COUNTIF(G10,"*碧归*")*307)/1024)</f>
        <v>0.247180646929785</v>
      </c>
      <c r="CN10">
        <f ca="1">IF(COUNTIF(G10,"*恒定伤害*")&gt;0,AB10,((O10*(1+CM10)*(1+Q10)*(1-R10))*T10*(1+AV10))*(1+MIN(1,CG10)*(MIN(3+COUNTIF(G10,"*叠*")*0.75,CL10)-1))*(1+Z10)*(1+AA10))</f>
        <v>3025284.18066046</v>
      </c>
      <c r="CO10">
        <f ca="1">X10+IF(D10="轻剑",$CO$8-$AB$2,$CO$9-$AB$3)</f>
        <v>2.3156473116</v>
      </c>
      <c r="CP10">
        <f ca="1">IF(COUNTIF(G10,"*恒定伤害*")&gt;0,AB10,((O10*(1+CM10)*(1+Q10)*(1-R10))*T10*(1+AV10))*(1+MIN(1,CG10)*(MIN(3+COUNTIF(G10,"*叠*")*0.75,CO10)-1))*(1+Z10)*(1+AA10))</f>
        <v>3052718.86322682</v>
      </c>
      <c r="CQ10">
        <f ca="1" t="shared" ref="CQ10:CQ41" si="52">IF(G10="恒定伤害",0,(IF(D10="轻剑",$CQ$8,$CQ$9)+INT(COUNTIF(G10,"*大莺鸣*")*IF(D10="轻剑",$AM$2,$AM$3)*听晓无双率)/无双系数))+IF((IF(G10="恒定伤害",0,(IF(D10="轻剑",$CQ$8,$CQ$9)+INT(COUNTIF(G10,"*大莺鸣*")*IF(D10="轻剑",$AM$2,$AM$3)*听晓无双率)/无双系数)))&lt;=0.9,特效裤子无双,0)</f>
        <v>1.8815754648</v>
      </c>
      <c r="CR10">
        <f ca="1">IF(G10="恒定伤害",0,(IF(D10="轻剑",$CR$8,$CR$9)+IFERROR(INDEX(技能数据库!$T$2:$W$27,MATCH(E10,技能数据库!$T$2:$T$27,0),4),0)+COUNTIF(G10,"*造化2*")*154+COUNTIF(G10,"*造化1*")*102+COUNTIF(G10,"*碧归*")*307)/1024)</f>
        <v>0.237415021929785</v>
      </c>
      <c r="CS10">
        <f ca="1">IF(COUNTIF(G10,"*恒定伤害*")&gt;0,AB10,((O10*(1+CR10)*(1+Q10)*(1-R10))*T10*(1+CQ10))*Y10*(1+Z10)*(1+AA10))</f>
        <v>2893742.41464765</v>
      </c>
      <c r="CV10" t="s">
        <v>3169</v>
      </c>
      <c r="CW10">
        <f ca="1">BZ6</f>
        <v>14792064.362569</v>
      </c>
      <c r="CX10" s="164">
        <f ca="1">CW10/$CW$7-1</f>
        <v>0.109369401004999</v>
      </c>
      <c r="CY10">
        <f ca="1">RANK(CW10,$CW$10:$CW$27)</f>
        <v>2</v>
      </c>
      <c r="CZ10">
        <v>1</v>
      </c>
      <c r="DA10" t="str">
        <f ca="1">INDEX($CV$10:$CY$27,MATCH(CZ10,$CY$10:$CY$27,0),1)</f>
        <v>万灵阵(96%)</v>
      </c>
      <c r="DB10" s="164">
        <f ca="1">MAX(0,INDEX($CV$10:$CY$27,MATCH(CZ10,$CY$10:$CY$27,0),3))</f>
        <v>0.116823574350334</v>
      </c>
    </row>
    <row r="11" spans="2:107">
      <c r="D11" t="s">
        <v>1028</v>
      </c>
      <c r="E11" t="s">
        <v>2722</v>
      </c>
      <c r="G11" t="s">
        <v>2750</v>
      </c>
      <c r="H11">
        <f ca="1">INDEX(技能数据库!$B$2:$I$100,MATCH(阵眼收益计算!$E11,技能数据库!$B$2:$B$100,0),MATCH(H$9,技能数据库!$B$2:$I$2,0))</f>
        <v>145.5</v>
      </c>
      <c r="I11">
        <f ca="1">INDEX(技能数据库!$B$2:$I$100,MATCH(阵眼收益计算!$E11,技能数据库!$B$2:$B$100,0),MATCH(I$9,技能数据库!$B$2:$I$2,0))</f>
        <v>5.1625</v>
      </c>
      <c r="J11">
        <f ca="1">INDEX(技能数据库!$B$2:$I$100,MATCH(阵眼收益计算!$E11,技能数据库!$B$2:$B$100,0),MATCH(J$9,技能数据库!$B$2:$I$2,0))</f>
        <v>1</v>
      </c>
      <c r="K11">
        <f ca="1">INDEX(技能数据库!$B$2:$I$100,MATCH(阵眼收益计算!$E11,技能数据库!$B$2:$B$100,0),MATCH(K$9,技能数据库!$B$2:$I$2,0))</f>
        <v>0</v>
      </c>
      <c r="L11">
        <f ca="1" t="shared" si="13"/>
        <v>105847</v>
      </c>
      <c r="M11">
        <f ca="1">IF(D11="轻剑",$AU$2+$AV$2,$AU$3+$AV$3)/2</f>
        <v>12694.5</v>
      </c>
      <c r="N11">
        <f ca="1">IF(D11="轻剑",$AJ$2,$AJ$3)</f>
        <v>92028</v>
      </c>
      <c r="O11">
        <f ca="1" t="shared" ref="O11:O73" si="53">H11+I11*L11+J11*M11+IF(K11&gt;0,MAX(1,K11*N11*破招全局系数),0)</f>
        <v>559275.1375</v>
      </c>
      <c r="P11">
        <f ca="1">IF(G11="恒定伤害",0,(IF(D11="轻剑",$AZ$2,$AZ$3)+IFERROR(INDEX(技能数据库!$T$2:$W$27,MATCH(E11,技能数据库!$T$2:$T$27,0),4),0)+COUNTIF(G11,"*造化2*")*154+COUNTIF(G11,"*造化1*")*102+COUNTIF(G11,"*碧归*")*307)/1024)</f>
        <v>0.186633771929785</v>
      </c>
      <c r="Q11">
        <f ca="1" t="shared" si="14"/>
        <v>0.448284482196154</v>
      </c>
      <c r="R11">
        <f ca="1" t="shared" ref="R11:R73" si="54">IF(G11="恒定伤害",0,(($F$5-IF(D11="轻剑",$BB$2,$BB$3))*(1024-IF(D11="轻剑",$BD$2,$BD$3))/1024*(1024-IF(D11="轻剑",$BC$2,$BC$3)-COUNTIF(G11,"*雾锁*")*461*雾锁)/1024/(($F$5-IF(D11="轻剑",$BB$2,$BB$3))*(1024-IF(D11="轻剑",$BD$2,$BD$3))/1024*(1024-IF(D11="轻剑",$BC$2,$BC$3)-COUNTIF(G11,"*雾锁*")*461*雾锁)/1024+$F$7)))</f>
        <v>0.21277697966198</v>
      </c>
      <c r="S11">
        <f ca="1">O11*(1+P11)*(1+Q11)*(1-R11)</f>
        <v>756647.985998852</v>
      </c>
      <c r="T11">
        <f>1-($F$6-130)*0.05</f>
        <v>0.8</v>
      </c>
      <c r="U11">
        <f ca="1" t="shared" si="15"/>
        <v>1.7800129648</v>
      </c>
      <c r="V11">
        <f ca="1">S11*T11*(1+U11)</f>
        <v>1682792.96869329</v>
      </c>
      <c r="W11">
        <f ca="1">IF(G11="恒定伤害",0,MIN(1,IF(COUNTIF(F11,"*内会*")&gt;0,内会2,IF(D11="轻剑",$Y$2,$Y$3)+COUNTIF(G11,"*莺鸣*")*0.2+COUNTIF(G11,"*叠1*")*0.1+COUNTIF(G11,"*叠2*")*0.2+COUNTIF(G11,"*叠3*")*0.3)+IFERROR(INDEX(技能数据库!$T$2:$W$27,MATCH(E11,技能数据库!$T$2:$T$27,0),2),0)+IF((IF(D11="轻剑",$AO$2,$AO$3)+INT(COUNTIF(G11,"*大莺鸣*")*IF(D11="轻剑",$AM$2,$AM$3)*听晓无双率)/无双系数)&gt;0.9,特效裤子会心/会心系数,0)))</f>
        <v>0.7043</v>
      </c>
      <c r="X11">
        <f ca="1">IF(G11="恒定伤害",0,IF(COUNTIF(F11,"*内会*")&gt;0,内会效2,IF(D11="轻剑",$AB$2,$AB$3))+IFERROR(INDEX(技能数据库!$T$2:$W$27,MATCH(E11,技能数据库!$T$2:$T$27,0),3)/1024,0))+COUNTIF(G11,"*叠1*")*0.25+COUNTIF(G11,"*叠2*")*0.5+COUNTIF(G11,"*叠3*")*0.75</f>
        <v>2.1712723116</v>
      </c>
      <c r="Y11">
        <f ca="1">1+W11*(X11-1)</f>
        <v>1.82492708905988</v>
      </c>
      <c r="Z11">
        <f t="shared" si="16"/>
        <v>0.150390625</v>
      </c>
      <c r="AA11">
        <f ca="1">IF(D11="轻剑",$BA$2,$BA$3)/1024</f>
        <v>0.0205078125</v>
      </c>
      <c r="AB11">
        <f ca="1">V11*Y11*(1+Z11)*(1+AA11)</f>
        <v>3605270.65949582</v>
      </c>
      <c r="AC11">
        <f ca="1">技能数计算!$AJ3</f>
        <v>4</v>
      </c>
      <c r="AD11" s="164">
        <f ca="1">IFERROR(AB11*AC11/$AD$7,0)</f>
        <v>0.00517016425327251</v>
      </c>
      <c r="AE11" s="168"/>
      <c r="AF11" s="168">
        <f ca="1" t="shared" si="17"/>
        <v>0.7057</v>
      </c>
      <c r="AG11">
        <f ca="1">技能数计算!$AJ3</f>
        <v>4</v>
      </c>
      <c r="AH11">
        <f ca="1" t="shared" si="18"/>
        <v>109879</v>
      </c>
      <c r="AJ11">
        <f ca="1" t="shared" ref="AJ11:AJ73" si="55">X11+IF(COUNTIF(F11,"*内会*")&gt;0,0,IF(D11="轻剑",$AJ$8-$AB$2,$AJ$9-$AB$3))</f>
        <v>2.3704910616</v>
      </c>
      <c r="AK11">
        <f ca="1" t="shared" ref="AK11:AK41" si="56">H11+AH11*I11+J11*(238.5+M11)+IF(K11&gt;0,MAX(1,K11*N11*破招全局系数),0)</f>
        <v>580328.8375</v>
      </c>
      <c r="AL11">
        <f ca="1" t="shared" si="19"/>
        <v>4033658.41962658</v>
      </c>
      <c r="AM11" s="169">
        <f ca="1" t="shared" si="20"/>
        <v>0.7272</v>
      </c>
      <c r="AN11">
        <f ca="1">技能数计算!$AJ3</f>
        <v>4</v>
      </c>
      <c r="AO11" s="170">
        <f ca="1" t="shared" si="21"/>
        <v>4094077.63552458</v>
      </c>
      <c r="AP11">
        <f ca="1" t="shared" si="22"/>
        <v>110956</v>
      </c>
      <c r="AQ11" s="170">
        <f ca="1" t="shared" ref="AQ11:AQ41" si="57">H11+AP11*I11+J11*M11+IF(K11&gt;0,MAX(1,K11*N11*破招全局系数),0)</f>
        <v>585650.35</v>
      </c>
      <c r="AR11">
        <f ca="1" t="shared" si="23"/>
        <v>3996781.07100088</v>
      </c>
      <c r="AS11">
        <f ca="1" t="shared" si="24"/>
        <v>0.7843</v>
      </c>
      <c r="AT11">
        <f ca="1">技能数计算!$AJ3</f>
        <v>4</v>
      </c>
      <c r="AU11">
        <f ca="1" t="shared" si="25"/>
        <v>2.3177566866</v>
      </c>
      <c r="AV11">
        <f ca="1" t="shared" si="26"/>
        <v>1.7995442148</v>
      </c>
      <c r="AW11">
        <f ca="1" t="shared" ref="AW11:AW74" si="58">IF(COUNTIF(G11,"*恒定伤害*")&gt;0,AB11,((O11*(1+P11)*(1+Q11)*(1-R11))*T11*(1+AV11))*(1+MIN(1,AS11)*(MIN(3+COUNTIF(G11,"*叠*")*0.75,AU11)-1))*(1+Z11)*(1+AA11))</f>
        <v>4045578.02326665</v>
      </c>
      <c r="AX11">
        <f ca="1" t="shared" si="27"/>
        <v>0.7743</v>
      </c>
      <c r="AY11">
        <f ca="1">技能数计算!$AJ3</f>
        <v>4</v>
      </c>
      <c r="AZ11" s="170">
        <f ca="1" t="shared" ref="AZ11:AZ74" si="59">IF(COUNTIF(G11,"*恒定伤害*")&gt;0,AB11,((O11*(1+P11)*(1+Q11)*(1-R11))*T11*(1+AV11))*(1+MIN(1,AX11)*(MIN(3+COUNTIF(G11,"*叠*")*0.75,AU11)-1))*(1+Z11)*(1+AA11))</f>
        <v>4019361.922686</v>
      </c>
      <c r="BA11">
        <f ca="1" t="shared" si="28"/>
        <v>0.7643</v>
      </c>
      <c r="BB11">
        <f ca="1">技能数计算!$AJ3</f>
        <v>4</v>
      </c>
      <c r="BC11" s="170">
        <f ca="1" t="shared" ref="BC11:BC74" si="60">IF(COUNTIF(G11,"*恒定伤害*")&gt;0,AB11,((O11*(1+P11)*(1+Q11)*(1-R11))*T11*(1+AV11))*(1+MIN(1,BA11)*(MIN(3+COUNTIF(G11,"*叠*")*0.75,AU11)-1))*(1+Z11)*(1+AA11))</f>
        <v>3993145.82210534</v>
      </c>
      <c r="BE11">
        <f ca="1" t="shared" si="29"/>
        <v>105849</v>
      </c>
      <c r="BF11">
        <f ca="1" t="shared" si="30"/>
        <v>559285.4625</v>
      </c>
      <c r="BI11">
        <f ca="1" t="shared" si="31"/>
        <v>0.7543</v>
      </c>
      <c r="BJ11">
        <f ca="1">技能数计算!$AJ3</f>
        <v>4</v>
      </c>
      <c r="BK11">
        <f ca="1" t="shared" si="32"/>
        <v>3971447.37499946</v>
      </c>
      <c r="BM11">
        <f ca="1" t="shared" si="33"/>
        <v>109230</v>
      </c>
      <c r="BN11">
        <f ca="1" t="shared" si="34"/>
        <v>576739.875</v>
      </c>
      <c r="BO11">
        <f ca="1" t="shared" si="35"/>
        <v>4015224.79262408</v>
      </c>
      <c r="BP11">
        <f ca="1" t="shared" si="36"/>
        <v>3829088.33329428</v>
      </c>
      <c r="BR11">
        <f ca="1" t="shared" si="37"/>
        <v>0.7543</v>
      </c>
      <c r="BS11">
        <f ca="1" t="shared" si="38"/>
        <v>3979732.28491864</v>
      </c>
      <c r="BT11">
        <f ca="1" t="shared" si="39"/>
        <v>0.196995876306796</v>
      </c>
      <c r="BU11">
        <f ca="1" t="shared" si="40"/>
        <v>2.3177566866</v>
      </c>
      <c r="BV11">
        <f ca="1" t="shared" ref="BV11:BV74" si="61">IF(COUNTIF(G11,"*恒定伤害*")&gt;0,AB11,((O11*(1+P11)*(1+Q11)*(1-BT11))*T11*(1+U11))*(1+MIN(1,BR11)*(MIN(3+COUNTIF(G11,"*叠*")*0.75,BU11)-1))*(1+Z11)*(1+AA11))</f>
        <v>4018222.55378674</v>
      </c>
      <c r="BW11">
        <f ca="1" t="shared" si="41"/>
        <v>113027</v>
      </c>
      <c r="BX11">
        <f ca="1" t="shared" si="42"/>
        <v>596341.8875</v>
      </c>
      <c r="BY11">
        <f ca="1" t="shared" si="43"/>
        <v>0.7343</v>
      </c>
      <c r="BZ11">
        <f ca="1">技能数计算!$AJ3</f>
        <v>4</v>
      </c>
      <c r="CA11">
        <f ca="1" t="shared" si="44"/>
        <v>2.3216629366</v>
      </c>
      <c r="CB11">
        <f ca="1" t="shared" ref="CB11:CB74" si="62">IF(COUNTIF(G11,"*恒定伤害*")&gt;0,AB11,((BX11*(1+P11)*(1+Q11)*(1-R11))*T11*(1+U11))*(1+MIN(1,BY11)*(MIN(3+COUNTIF(G11,"*叠*")*0.75,CA11)-1))*(1+Z11)*(1+AA11))</f>
        <v>4150858.7737374</v>
      </c>
      <c r="CC11">
        <f ca="1" t="shared" si="45"/>
        <v>114847</v>
      </c>
      <c r="CD11">
        <f ca="1" t="shared" si="46"/>
        <v>605737.6375</v>
      </c>
      <c r="CE11">
        <f ca="1" t="shared" si="47"/>
        <v>4099044.46112344</v>
      </c>
      <c r="CF11">
        <f ca="1" t="shared" si="48"/>
        <v>2.2689285616</v>
      </c>
      <c r="CG11">
        <f ca="1" t="shared" si="49"/>
        <v>0.7343</v>
      </c>
      <c r="CH11">
        <f ca="1" t="shared" ref="CH11:CH74" si="63">IF(COUNTIF(G11,"*恒定伤害*")&gt;0,AB11,((O11*(1+P11)*(1+Q11)*(1-R11))*T11*(1+AV11))*(1+MIN(1,BY11)*(MIN(3+COUNTIF(G11,"*叠*")*0.75,CF11)-1))*(1+Z11)*(1+AA11))</f>
        <v>3843166.82760237</v>
      </c>
      <c r="CJ11">
        <f ca="1" t="shared" si="50"/>
        <v>576739.875</v>
      </c>
      <c r="CK11">
        <f ca="1" t="shared" si="51"/>
        <v>3997036.04314977</v>
      </c>
      <c r="CL11">
        <f ca="1" t="shared" ref="CL11:CL74" si="64">X11+IF(D11="轻剑",$CL$8-$AB$2,$CL$9-$AB$3)</f>
        <v>2.2915848116</v>
      </c>
      <c r="CM11">
        <f ca="1">IF(G11="恒定伤害",0,(IF(D11="轻剑",$CM$8,$CM$9)+IFERROR(INDEX(技能数据库!$T$2:$W$27,MATCH(E11,技能数据库!$T$2:$T$27,0),4),0)+COUNTIF(G11,"*造化2*")*154+COUNTIF(G11,"*造化1*")*102+COUNTIF(G11,"*碧归*")*307)/1024)</f>
        <v>0.247180646929785</v>
      </c>
      <c r="CN11">
        <f ca="1" t="shared" ref="CN11:CN74" si="65">IF(COUNTIF(G11,"*恒定伤害*")&gt;0,AB11,((O11*(1+CM11)*(1+Q11)*(1-R11))*T11*(1+AV11))*(1+MIN(1,CG11)*(MIN(3+COUNTIF(G11,"*叠*")*0.75,CL11)-1))*(1+Z11)*(1+AA11))</f>
        <v>4074047.01694476</v>
      </c>
      <c r="CO11">
        <f ca="1" t="shared" ref="CO11:CO74" si="66">X11+IF(D11="轻剑",$CO$8-$AB$2,$CO$9-$AB$3)</f>
        <v>2.3156473116</v>
      </c>
      <c r="CP11">
        <f ca="1" t="shared" ref="CP11:CP74" si="67">IF(COUNTIF(G11,"*恒定伤害*")&gt;0,AB11,((O11*(1+CM11)*(1+Q11)*(1-R11))*T11*(1+AV11))*(1+MIN(1,CG11)*(MIN(3+COUNTIF(G11,"*叠*")*0.75,CO11)-1))*(1+Z11)*(1+AA11))</f>
        <v>4110992.36818972</v>
      </c>
      <c r="CQ11">
        <f ca="1" t="shared" si="52"/>
        <v>1.8815754648</v>
      </c>
      <c r="CR11">
        <f ca="1">IF(G11="恒定伤害",0,(IF(D11="轻剑",$CR$8,$CR$9)+IFERROR(INDEX(技能数据库!$T$2:$W$27,MATCH(E11,技能数据库!$T$2:$T$27,0),4),0)+COUNTIF(G11,"*造化2*")*154+COUNTIF(G11,"*造化1*")*102+COUNTIF(G11,"*碧归*")*307)/1024)</f>
        <v>0.237415021929785</v>
      </c>
      <c r="CS11">
        <f ca="1" t="shared" ref="CS11:CS74" si="68">IF(COUNTIF(G11,"*恒定伤害*")&gt;0,AB11,((O11*(1+CR11)*(1+Q11)*(1-R11))*T11*(1+CQ11))*Y11*(1+Z11)*(1+AA11))</f>
        <v>3896904.20740177</v>
      </c>
      <c r="CV11" t="s">
        <v>3163</v>
      </c>
      <c r="CW11">
        <f ca="1">AV6</f>
        <v>14447031.4038401</v>
      </c>
      <c r="CX11" s="164">
        <f ca="1" t="shared" ref="CX11:CX27" si="69">CW11/$CW$7-1</f>
        <v>0.0834927554354592</v>
      </c>
      <c r="CY11">
        <f ca="1" t="shared" ref="CY11:CY27" si="70">RANK(CW11,$CW$10:$CW$27)</f>
        <v>11</v>
      </c>
      <c r="CZ11">
        <v>2</v>
      </c>
      <c r="DA11" t="str">
        <f ca="1" t="shared" ref="DA11:DA27" si="71">INDEX($CV$10:$CY$27,MATCH(CZ11,$CY$10:$CY$27,0),1)</f>
        <v>凌雪阵(55%)</v>
      </c>
      <c r="DB11" s="164">
        <f ca="1" t="shared" ref="DB11:DB27" si="72">MAX(0,INDEX($CV$10:$CY$27,MATCH(CZ11,$CY$10:$CY$27,0),3))</f>
        <v>0.109369401004999</v>
      </c>
    </row>
    <row r="12" spans="2:107">
      <c r="D12" t="s">
        <v>1028</v>
      </c>
      <c r="E12" t="s">
        <v>2722</v>
      </c>
      <c r="G12" t="s">
        <v>2949</v>
      </c>
      <c r="H12">
        <f ca="1">INDEX(技能数据库!$B$2:$I$100,MATCH(阵眼收益计算!$E12,技能数据库!$B$2:$B$100,0),MATCH(H$9,技能数据库!$B$2:$I$2,0))</f>
        <v>145.5</v>
      </c>
      <c r="I12">
        <f ca="1">INDEX(技能数据库!$B$2:$I$100,MATCH(阵眼收益计算!$E12,技能数据库!$B$2:$B$100,0),MATCH(I$9,技能数据库!$B$2:$I$2,0))</f>
        <v>5.1625</v>
      </c>
      <c r="J12">
        <f ca="1">INDEX(技能数据库!$B$2:$I$100,MATCH(阵眼收益计算!$E12,技能数据库!$B$2:$B$100,0),MATCH(J$9,技能数据库!$B$2:$I$2,0))</f>
        <v>1</v>
      </c>
      <c r="K12">
        <f ca="1">INDEX(技能数据库!$B$2:$I$100,MATCH(阵眼收益计算!$E12,技能数据库!$B$2:$B$100,0),MATCH(K$9,技能数据库!$B$2:$I$2,0))</f>
        <v>0</v>
      </c>
      <c r="L12">
        <f ca="1" t="shared" si="13"/>
        <v>91975</v>
      </c>
      <c r="M12">
        <f ca="1" t="shared" ref="M12:M69" si="73">IF(D12="轻剑",$AU$2+$AV$2,$AU$3+$AV$3)/2</f>
        <v>12694.5</v>
      </c>
      <c r="N12">
        <f ca="1" t="shared" ref="N12:N69" si="74">IF(D12="轻剑",$AJ$2,$AJ$3)</f>
        <v>92028</v>
      </c>
      <c r="O12">
        <f ca="1" t="shared" si="53"/>
        <v>487660.9375</v>
      </c>
      <c r="P12">
        <f ca="1">IF(G12="恒定伤害",0,(IF(D12="轻剑",$AZ$2,$AZ$3)+IFERROR(INDEX(技能数据库!$T$2:$W$27,MATCH(E12,技能数据库!$T$2:$T$27,0),4),0)+COUNTIF(G12,"*造化2*")*154+COUNTIF(G12,"*造化1*")*102+COUNTIF(G12,"*碧归*")*307)/1024)</f>
        <v>0.186633771929785</v>
      </c>
      <c r="Q12">
        <f ca="1" t="shared" si="14"/>
        <v>0.448284482196154</v>
      </c>
      <c r="R12">
        <f ca="1" t="shared" si="54"/>
        <v>0.32958230397716</v>
      </c>
      <c r="S12">
        <f ca="1" t="shared" ref="S12:S69" si="75">O12*(1+P12)*(1+Q12)*(1-R12)</f>
        <v>561867.639929095</v>
      </c>
      <c r="T12">
        <f t="shared" ref="T12:T79" si="76">1-($F$6-130)*0.05</f>
        <v>0.8</v>
      </c>
      <c r="U12">
        <f ca="1" t="shared" si="15"/>
        <v>1.7800129648</v>
      </c>
      <c r="V12">
        <f ca="1" t="shared" ref="V12:V69" si="77">S12*T12*(1+U12)</f>
        <v>1249599.45880357</v>
      </c>
      <c r="W12">
        <f ca="1">IF(G12="恒定伤害",0,MIN(1,IF(COUNTIF(F12,"*内会*")&gt;0,内会2,IF(D12="轻剑",$Y$2,$Y$3)+COUNTIF(G12,"*莺鸣*")*0.2+COUNTIF(G12,"*叠1*")*0.1+COUNTIF(G12,"*叠2*")*0.2+COUNTIF(G12,"*叠3*")*0.3)+IFERROR(INDEX(技能数据库!$T$2:$W$27,MATCH(E12,技能数据库!$T$2:$T$27,0),2),0)+IF((IF(D12="轻剑",$AO$2,$AO$3)+INT(COUNTIF(G12,"*大莺鸣*")*IF(D12="轻剑",$AM$2,$AM$3)*听晓无双率)/无双系数)&gt;0.9,特效裤子会心/会心系数,0)))</f>
        <v>0.9043</v>
      </c>
      <c r="X12">
        <f ca="1">IF(G12="恒定伤害",0,IF(COUNTIF(F12,"*内会*")&gt;0,内会效2,IF(D12="轻剑",$AB$2,$AB$3))+IFERROR(INDEX(技能数据库!$T$2:$W$27,MATCH(E12,技能数据库!$T$2:$T$27,0),3)/1024,0))+COUNTIF(G12,"*叠1*")*0.25+COUNTIF(G12,"*叠2*")*0.5+COUNTIF(G12,"*叠3*")*0.75</f>
        <v>2.1712723116</v>
      </c>
      <c r="Y12">
        <f ca="1" t="shared" ref="Y12:Y69" si="78">1+W12*(X12-1)</f>
        <v>2.05918155137988</v>
      </c>
      <c r="Z12">
        <f t="shared" si="16"/>
        <v>0.150390625</v>
      </c>
      <c r="AA12">
        <f ca="1" t="shared" ref="AA12:AA69" si="79">IF(D12="轻剑",$BA$2,$BA$3)/1024</f>
        <v>0.0205078125</v>
      </c>
      <c r="AB12">
        <f ca="1" t="shared" ref="AB12:AB69" si="80">V12*Y12*(1+Z12)*(1+AA12)</f>
        <v>3020835.90589361</v>
      </c>
      <c r="AC12">
        <f ca="1">技能数计算!$AJ4</f>
        <v>0</v>
      </c>
      <c r="AD12" s="164">
        <f ca="1" t="shared" ref="AD12:AD75" si="81">IFERROR(AB12*AC12/$AD$7,0)</f>
        <v>0</v>
      </c>
      <c r="AE12" s="168"/>
      <c r="AF12" s="168">
        <f ca="1" t="shared" si="17"/>
        <v>0.9057</v>
      </c>
      <c r="AG12">
        <f ca="1">技能数计算!$AJ4</f>
        <v>0</v>
      </c>
      <c r="AH12">
        <f ca="1" t="shared" si="18"/>
        <v>96007</v>
      </c>
      <c r="AJ12">
        <f ca="1" t="shared" si="55"/>
        <v>2.3704910616</v>
      </c>
      <c r="AK12">
        <f ca="1" t="shared" si="56"/>
        <v>508714.6375</v>
      </c>
      <c r="AL12">
        <f ca="1" t="shared" si="19"/>
        <v>3430830.11404884</v>
      </c>
      <c r="AM12" s="169">
        <f ca="1" t="shared" si="20"/>
        <v>0.9272</v>
      </c>
      <c r="AN12">
        <f ca="1">技能数计算!$AJ4</f>
        <v>0</v>
      </c>
      <c r="AO12" s="170">
        <f ca="1" t="shared" si="21"/>
        <v>3475934.92331402</v>
      </c>
      <c r="AP12">
        <f ca="1" t="shared" si="22"/>
        <v>97084</v>
      </c>
      <c r="AQ12" s="170">
        <f ca="1" t="shared" si="57"/>
        <v>514036.15</v>
      </c>
      <c r="AR12">
        <f ca="1" t="shared" si="23"/>
        <v>3371028.46247958</v>
      </c>
      <c r="AS12">
        <f ca="1" t="shared" si="24"/>
        <v>0.9843</v>
      </c>
      <c r="AT12">
        <f ca="1">技能数计算!$AJ4</f>
        <v>0</v>
      </c>
      <c r="AU12">
        <f ca="1" t="shared" si="25"/>
        <v>2.3177566866</v>
      </c>
      <c r="AV12">
        <f ca="1" t="shared" si="26"/>
        <v>1.7995442148</v>
      </c>
      <c r="AW12">
        <f ca="1" t="shared" si="58"/>
        <v>3393492.07930585</v>
      </c>
      <c r="AX12">
        <f ca="1" t="shared" si="27"/>
        <v>0.9743</v>
      </c>
      <c r="AY12">
        <f ca="1">技能数计算!$AJ4</f>
        <v>0</v>
      </c>
      <c r="AZ12" s="170">
        <f ca="1" t="shared" si="59"/>
        <v>3374024.66667281</v>
      </c>
      <c r="BA12">
        <f ca="1" t="shared" si="28"/>
        <v>0.9643</v>
      </c>
      <c r="BB12">
        <f ca="1">技能数计算!$AJ4</f>
        <v>0</v>
      </c>
      <c r="BC12" s="170">
        <f ca="1" t="shared" si="60"/>
        <v>3354557.25403977</v>
      </c>
      <c r="BE12">
        <f ca="1" t="shared" si="29"/>
        <v>91977</v>
      </c>
      <c r="BF12">
        <f ca="1" t="shared" si="30"/>
        <v>487671.2625</v>
      </c>
      <c r="BI12">
        <f ca="1" t="shared" si="31"/>
        <v>0.9543</v>
      </c>
      <c r="BJ12">
        <f ca="1">技能数计算!$AJ4</f>
        <v>0</v>
      </c>
      <c r="BK12">
        <f ca="1" t="shared" si="32"/>
        <v>3315891.77389306</v>
      </c>
      <c r="BM12">
        <f ca="1" t="shared" si="33"/>
        <v>95358</v>
      </c>
      <c r="BN12">
        <f ca="1" t="shared" si="34"/>
        <v>505125.675</v>
      </c>
      <c r="BO12">
        <f ca="1" t="shared" si="35"/>
        <v>3379295.21733526</v>
      </c>
      <c r="BP12">
        <f ca="1" t="shared" si="36"/>
        <v>3222638.97035741</v>
      </c>
      <c r="BR12">
        <f ca="1" t="shared" si="37"/>
        <v>0.9543</v>
      </c>
      <c r="BS12">
        <f ca="1" t="shared" si="38"/>
        <v>3337576.4692487</v>
      </c>
      <c r="BT12">
        <f ca="1" t="shared" si="39"/>
        <v>0.318170800459405</v>
      </c>
      <c r="BU12">
        <f ca="1" t="shared" si="40"/>
        <v>2.3177566866</v>
      </c>
      <c r="BV12">
        <f ca="1" t="shared" si="61"/>
        <v>3368194.44109554</v>
      </c>
      <c r="BW12">
        <f ca="1" t="shared" si="41"/>
        <v>99155</v>
      </c>
      <c r="BX12">
        <f ca="1" t="shared" si="42"/>
        <v>524727.6875</v>
      </c>
      <c r="BY12">
        <f ca="1" t="shared" si="43"/>
        <v>0.9343</v>
      </c>
      <c r="BZ12">
        <f ca="1">技能数计算!$AJ4</f>
        <v>0</v>
      </c>
      <c r="CA12">
        <f ca="1" t="shared" si="44"/>
        <v>2.3216629366</v>
      </c>
      <c r="CB12">
        <f ca="1" t="shared" si="62"/>
        <v>3527710.50332012</v>
      </c>
      <c r="CC12">
        <f ca="1" t="shared" si="45"/>
        <v>100975</v>
      </c>
      <c r="CD12">
        <f ca="1" t="shared" si="46"/>
        <v>534123.4375</v>
      </c>
      <c r="CE12">
        <f ca="1" t="shared" si="47"/>
        <v>3465789.5641641</v>
      </c>
      <c r="CF12">
        <f ca="1" t="shared" si="48"/>
        <v>2.2689285616</v>
      </c>
      <c r="CG12">
        <f ca="1" t="shared" si="49"/>
        <v>0.9343</v>
      </c>
      <c r="CH12">
        <f ca="1" t="shared" si="63"/>
        <v>3228759.74850986</v>
      </c>
      <c r="CJ12">
        <f ca="1" t="shared" si="50"/>
        <v>505125.675</v>
      </c>
      <c r="CK12">
        <f ca="1" t="shared" si="51"/>
        <v>3363987.19417782</v>
      </c>
      <c r="CL12">
        <f ca="1" t="shared" si="64"/>
        <v>2.2915848116</v>
      </c>
      <c r="CM12">
        <f ca="1">IF(G12="恒定伤害",0,(IF(D12="轻剑",$CM$8,$CM$9)+IFERROR(INDEX(技能数据库!$T$2:$W$27,MATCH(E12,技能数据库!$T$2:$T$27,0),4),0)+COUNTIF(G12,"*造化2*")*154+COUNTIF(G12,"*造化1*")*102+COUNTIF(G12,"*碧归*")*307)/1024)</f>
        <v>0.247180646929785</v>
      </c>
      <c r="CN12">
        <f ca="1" t="shared" si="65"/>
        <v>3426371.18393461</v>
      </c>
      <c r="CO12">
        <f ca="1" t="shared" si="66"/>
        <v>2.3156473116</v>
      </c>
      <c r="CP12">
        <f ca="1" t="shared" si="67"/>
        <v>3461278.20275764</v>
      </c>
      <c r="CQ12">
        <f ca="1" t="shared" si="52"/>
        <v>1.8815754648</v>
      </c>
      <c r="CR12">
        <f ca="1">IF(G12="恒定伤害",0,(IF(D12="轻剑",$CR$8,$CR$9)+IFERROR(INDEX(技能数据库!$T$2:$W$27,MATCH(E12,技能数据库!$T$2:$T$27,0),4),0)+COUNTIF(G12,"*造化2*")*154+COUNTIF(G12,"*造化1*")*102+COUNTIF(G12,"*碧归*")*307)/1024)</f>
        <v>0.237415021929785</v>
      </c>
      <c r="CS12">
        <f ca="1" t="shared" si="68"/>
        <v>3265194.00715213</v>
      </c>
      <c r="CV12" t="s">
        <v>3171</v>
      </c>
      <c r="CW12">
        <f ca="1">CN6</f>
        <v>14771020.2918081</v>
      </c>
      <c r="CX12" s="164">
        <f ca="1" t="shared" si="69"/>
        <v>0.107791146097338</v>
      </c>
      <c r="CY12">
        <f ca="1" t="shared" si="70"/>
        <v>3</v>
      </c>
      <c r="CZ12">
        <v>3</v>
      </c>
      <c r="DA12" t="str">
        <f ca="1" t="shared" si="71"/>
        <v>万灵阵(80%)</v>
      </c>
      <c r="DB12" s="164">
        <f ca="1" t="shared" si="72"/>
        <v>0.107791146097338</v>
      </c>
    </row>
    <row r="13" spans="2:107">
      <c r="D13" t="s">
        <v>1028</v>
      </c>
      <c r="E13" t="s">
        <v>2722</v>
      </c>
      <c r="G13" t="s">
        <v>3014</v>
      </c>
      <c r="H13">
        <f ca="1">INDEX(技能数据库!$B$2:$I$100,MATCH(阵眼收益计算!$E13,技能数据库!$B$2:$B$100,0),MATCH(H$9,技能数据库!$B$2:$I$2,0))</f>
        <v>145.5</v>
      </c>
      <c r="I13">
        <f ca="1">INDEX(技能数据库!$B$2:$I$100,MATCH(阵眼收益计算!$E13,技能数据库!$B$2:$B$100,0),MATCH(I$9,技能数据库!$B$2:$I$2,0))</f>
        <v>5.1625</v>
      </c>
      <c r="J13">
        <f ca="1">INDEX(技能数据库!$B$2:$I$100,MATCH(阵眼收益计算!$E13,技能数据库!$B$2:$B$100,0),MATCH(J$9,技能数据库!$B$2:$I$2,0))</f>
        <v>1</v>
      </c>
      <c r="K13">
        <f ca="1">INDEX(技能数据库!$B$2:$I$100,MATCH(阵眼收益计算!$E13,技能数据库!$B$2:$B$100,0),MATCH(K$9,技能数据库!$B$2:$I$2,0))</f>
        <v>0</v>
      </c>
      <c r="L13">
        <f ca="1" t="shared" si="13"/>
        <v>105847</v>
      </c>
      <c r="M13">
        <f ca="1" t="shared" si="73"/>
        <v>12694.5</v>
      </c>
      <c r="N13">
        <f ca="1" t="shared" si="74"/>
        <v>92028</v>
      </c>
      <c r="O13">
        <f ca="1" t="shared" si="53"/>
        <v>559275.1375</v>
      </c>
      <c r="P13">
        <f ca="1">IF(G13="恒定伤害",0,(IF(D13="轻剑",$AZ$2,$AZ$3)+IFERROR(INDEX(技能数据库!$T$2:$W$27,MATCH(E13,技能数据库!$T$2:$T$27,0),4),0)+COUNTIF(G13,"*造化2*")*154+COUNTIF(G13,"*造化1*")*102+COUNTIF(G13,"*碧归*")*307)/1024)</f>
        <v>0.186633771929785</v>
      </c>
      <c r="Q13">
        <f ca="1" t="shared" si="14"/>
        <v>0.448284482196154</v>
      </c>
      <c r="R13">
        <f ca="1" t="shared" si="54"/>
        <v>0.21277697966198</v>
      </c>
      <c r="S13">
        <f ca="1" t="shared" si="75"/>
        <v>756647.985998852</v>
      </c>
      <c r="T13">
        <f t="shared" si="76"/>
        <v>0.8</v>
      </c>
      <c r="U13">
        <f ca="1" t="shared" si="15"/>
        <v>1.7800129648</v>
      </c>
      <c r="V13">
        <f ca="1" t="shared" si="77"/>
        <v>1682792.96869329</v>
      </c>
      <c r="W13">
        <f ca="1">IF(G13="恒定伤害",0,MIN(1,IF(COUNTIF(F13,"*内会*")&gt;0,内会2,IF(D13="轻剑",$Y$2,$Y$3)+COUNTIF(G13,"*莺鸣*")*0.2+COUNTIF(G13,"*叠1*")*0.1+COUNTIF(G13,"*叠2*")*0.2+COUNTIF(G13,"*叠3*")*0.3)+IFERROR(INDEX(技能数据库!$T$2:$W$27,MATCH(E13,技能数据库!$T$2:$T$27,0),2),0)+IF((IF(D13="轻剑",$AO$2,$AO$3)+INT(COUNTIF(G13,"*大莺鸣*")*IF(D13="轻剑",$AM$2,$AM$3)*听晓无双率)/无双系数)&gt;0.9,特效裤子会心/会心系数,0)))</f>
        <v>0.9043</v>
      </c>
      <c r="X13">
        <f ca="1">IF(G13="恒定伤害",0,IF(COUNTIF(F13,"*内会*")&gt;0,内会效2,IF(D13="轻剑",$AB$2,$AB$3))+IFERROR(INDEX(技能数据库!$T$2:$W$27,MATCH(E13,技能数据库!$T$2:$T$27,0),3)/1024,0))+COUNTIF(G13,"*叠1*")*0.25+COUNTIF(G13,"*叠2*")*0.5+COUNTIF(G13,"*叠3*")*0.75</f>
        <v>2.1712723116</v>
      </c>
      <c r="Y13">
        <f ca="1" t="shared" si="78"/>
        <v>2.05918155137988</v>
      </c>
      <c r="Z13">
        <f t="shared" si="16"/>
        <v>0.150390625</v>
      </c>
      <c r="AA13">
        <f ca="1" t="shared" si="79"/>
        <v>0.0205078125</v>
      </c>
      <c r="AB13">
        <f ca="1" t="shared" si="80"/>
        <v>4068056.67704205</v>
      </c>
      <c r="AC13">
        <f ca="1">技能数计算!$AJ5</f>
        <v>0</v>
      </c>
      <c r="AD13" s="164">
        <f ca="1" t="shared" si="81"/>
        <v>0</v>
      </c>
      <c r="AE13" s="168"/>
      <c r="AF13" s="168">
        <f ca="1" t="shared" si="17"/>
        <v>0.9057</v>
      </c>
      <c r="AG13">
        <f ca="1">技能数计算!$AJ5</f>
        <v>0</v>
      </c>
      <c r="AH13">
        <f ca="1" t="shared" si="18"/>
        <v>109879</v>
      </c>
      <c r="AJ13">
        <f ca="1" t="shared" si="55"/>
        <v>2.3704910616</v>
      </c>
      <c r="AK13">
        <f ca="1" t="shared" si="56"/>
        <v>580328.8375</v>
      </c>
      <c r="AL13">
        <f ca="1" t="shared" si="19"/>
        <v>4595697.63728239</v>
      </c>
      <c r="AM13" s="169">
        <f ca="1" t="shared" si="20"/>
        <v>0.9272</v>
      </c>
      <c r="AN13">
        <f ca="1">技能数计算!$AJ5</f>
        <v>0</v>
      </c>
      <c r="AO13" s="170">
        <f ca="1" t="shared" si="21"/>
        <v>4656116.85318039</v>
      </c>
      <c r="AP13">
        <f ca="1" t="shared" si="22"/>
        <v>110956</v>
      </c>
      <c r="AQ13" s="170">
        <f ca="1" t="shared" si="57"/>
        <v>585650.35</v>
      </c>
      <c r="AR13">
        <f ca="1" t="shared" si="23"/>
        <v>4509822.82834604</v>
      </c>
      <c r="AS13">
        <f ca="1" t="shared" si="24"/>
        <v>0.9843</v>
      </c>
      <c r="AT13">
        <f ca="1">技能数计算!$AJ5</f>
        <v>0</v>
      </c>
      <c r="AU13">
        <f ca="1" t="shared" si="25"/>
        <v>2.3177566866</v>
      </c>
      <c r="AV13">
        <f ca="1" t="shared" si="26"/>
        <v>1.7995442148</v>
      </c>
      <c r="AW13">
        <f ca="1" t="shared" si="58"/>
        <v>4569900.03487985</v>
      </c>
      <c r="AX13">
        <f ca="1" t="shared" si="27"/>
        <v>0.9743</v>
      </c>
      <c r="AY13">
        <f ca="1">技能数计算!$AJ5</f>
        <v>0</v>
      </c>
      <c r="AZ13" s="170">
        <f ca="1" t="shared" si="59"/>
        <v>4543683.93429919</v>
      </c>
      <c r="BA13">
        <f ca="1" t="shared" si="28"/>
        <v>0.9643</v>
      </c>
      <c r="BB13">
        <f ca="1">技能数计算!$AJ5</f>
        <v>0</v>
      </c>
      <c r="BC13" s="170">
        <f ca="1" t="shared" si="60"/>
        <v>4517467.83371853</v>
      </c>
      <c r="BE13">
        <f ca="1" t="shared" si="29"/>
        <v>105849</v>
      </c>
      <c r="BF13">
        <f ca="1" t="shared" si="30"/>
        <v>559285.4625</v>
      </c>
      <c r="BI13">
        <f ca="1" t="shared" si="31"/>
        <v>0.9543</v>
      </c>
      <c r="BJ13">
        <f ca="1">技能数计算!$AJ5</f>
        <v>0</v>
      </c>
      <c r="BK13">
        <f ca="1" t="shared" si="32"/>
        <v>4465386.24455207</v>
      </c>
      <c r="BM13">
        <f ca="1" t="shared" si="33"/>
        <v>109230</v>
      </c>
      <c r="BN13">
        <f ca="1" t="shared" si="34"/>
        <v>576739.875</v>
      </c>
      <c r="BO13">
        <f ca="1" t="shared" si="35"/>
        <v>4530634.05501528</v>
      </c>
      <c r="BP13">
        <f ca="1" t="shared" si="36"/>
        <v>4320604.42402957</v>
      </c>
      <c r="BR13">
        <f ca="1" t="shared" si="37"/>
        <v>0.9543</v>
      </c>
      <c r="BS13">
        <f ca="1" t="shared" si="38"/>
        <v>4474701.56949465</v>
      </c>
      <c r="BT13">
        <f ca="1" t="shared" si="39"/>
        <v>0.196995876306796</v>
      </c>
      <c r="BU13">
        <f ca="1" t="shared" si="40"/>
        <v>2.3177566866</v>
      </c>
      <c r="BV13">
        <f ca="1" t="shared" si="61"/>
        <v>4549324.10597184</v>
      </c>
      <c r="BW13">
        <f ca="1" t="shared" si="41"/>
        <v>113027</v>
      </c>
      <c r="BX13">
        <f ca="1" t="shared" si="42"/>
        <v>596341.8875</v>
      </c>
      <c r="BY13">
        <f ca="1" t="shared" si="43"/>
        <v>0.9343</v>
      </c>
      <c r="BZ13">
        <f ca="1">技能数计算!$AJ5</f>
        <v>0</v>
      </c>
      <c r="CA13">
        <f ca="1" t="shared" si="44"/>
        <v>2.3216629366</v>
      </c>
      <c r="CB13">
        <f ca="1" t="shared" si="62"/>
        <v>4707676.26025414</v>
      </c>
      <c r="CC13">
        <f ca="1" t="shared" si="45"/>
        <v>114847</v>
      </c>
      <c r="CD13">
        <f ca="1" t="shared" si="46"/>
        <v>605737.6375</v>
      </c>
      <c r="CE13">
        <f ca="1" t="shared" si="47"/>
        <v>4615273.36864475</v>
      </c>
      <c r="CF13">
        <f ca="1" t="shared" si="48"/>
        <v>2.2689285616</v>
      </c>
      <c r="CG13">
        <f ca="1" t="shared" si="49"/>
        <v>0.9343</v>
      </c>
      <c r="CH13">
        <f ca="1" t="shared" si="63"/>
        <v>4348060.62383739</v>
      </c>
      <c r="CJ13">
        <f ca="1" t="shared" si="50"/>
        <v>576739.875</v>
      </c>
      <c r="CK13">
        <f ca="1" t="shared" si="51"/>
        <v>4510110.52967299</v>
      </c>
      <c r="CL13">
        <f ca="1" t="shared" si="64"/>
        <v>2.2915848116</v>
      </c>
      <c r="CM13">
        <f ca="1">IF(G13="恒定伤害",0,(IF(D13="轻剑",$CM$8,$CM$9)+IFERROR(INDEX(技能数据库!$T$2:$W$27,MATCH(E13,技能数据库!$T$2:$T$27,0),4),0)+COUNTIF(G13,"*造化2*")*154+COUNTIF(G13,"*造化1*")*102+COUNTIF(G13,"*碧归*")*307)/1024)</f>
        <v>0.247180646929785</v>
      </c>
      <c r="CN13">
        <f ca="1" t="shared" si="65"/>
        <v>4614177.20361291</v>
      </c>
      <c r="CO13">
        <f ca="1" t="shared" si="66"/>
        <v>2.3156473116</v>
      </c>
      <c r="CP13">
        <f ca="1" t="shared" si="67"/>
        <v>4661185.29522148</v>
      </c>
      <c r="CQ13">
        <f ca="1" t="shared" si="52"/>
        <v>1.8815754648</v>
      </c>
      <c r="CR13">
        <f ca="1">IF(G13="恒定伤害",0,(IF(D13="轻剑",$CR$8,$CR$9)+IFERROR(INDEX(技能数据库!$T$2:$W$27,MATCH(E13,技能数据库!$T$2:$T$27,0),4),0)+COUNTIF(G13,"*造化2*")*154+COUNTIF(G13,"*造化1*")*102+COUNTIF(G13,"*碧归*")*307)/1024)</f>
        <v>0.237415021929785</v>
      </c>
      <c r="CS13">
        <f ca="1" t="shared" si="68"/>
        <v>4397125.39721803</v>
      </c>
      <c r="CV13" t="s">
        <v>3164</v>
      </c>
      <c r="CW13">
        <f ca="1">AZ6</f>
        <v>14405381.8884275</v>
      </c>
      <c r="CX13" s="164">
        <f ca="1" t="shared" si="69"/>
        <v>0.0803691415278334</v>
      </c>
      <c r="CY13">
        <f ca="1" t="shared" si="70"/>
        <v>12</v>
      </c>
      <c r="CZ13">
        <v>4</v>
      </c>
      <c r="DA13" t="str">
        <f ca="1" t="shared" si="71"/>
        <v>藏剑阵(阵眼&amp;T闪避15%)</v>
      </c>
      <c r="DB13" s="164">
        <f ca="1" t="shared" si="72"/>
        <v>0.105087572945626</v>
      </c>
    </row>
    <row r="14" spans="2:107">
      <c r="D14" t="s">
        <v>1028</v>
      </c>
      <c r="E14" t="s">
        <v>2726</v>
      </c>
      <c r="G14" t="s">
        <v>2750</v>
      </c>
      <c r="H14">
        <f ca="1">INDEX(技能数据库!$B$2:$I$100,MATCH(阵眼收益计算!$E14,技能数据库!$B$2:$B$100,0),MATCH(H$9,技能数据库!$B$2:$I$2,0))</f>
        <v>122</v>
      </c>
      <c r="I14">
        <f ca="1">INDEX(技能数据库!$B$2:$I$100,MATCH(阵眼收益计算!$E14,技能数据库!$B$2:$B$100,0),MATCH(I$9,技能数据库!$B$2:$I$2,0))</f>
        <v>0.7</v>
      </c>
      <c r="J14">
        <f ca="1">INDEX(技能数据库!$B$2:$I$100,MATCH(阵眼收益计算!$E14,技能数据库!$B$2:$B$100,0),MATCH(J$9,技能数据库!$B$2:$I$2,0))</f>
        <v>1</v>
      </c>
      <c r="K14">
        <f ca="1">INDEX(技能数据库!$B$2:$I$100,MATCH(阵眼收益计算!$E14,技能数据库!$B$2:$B$100,0),MATCH(K$9,技能数据库!$B$2:$I$2,0))</f>
        <v>0</v>
      </c>
      <c r="L14">
        <f ca="1" t="shared" si="13"/>
        <v>105847</v>
      </c>
      <c r="M14">
        <f ca="1" t="shared" si="73"/>
        <v>12694.5</v>
      </c>
      <c r="N14">
        <f ca="1" t="shared" si="74"/>
        <v>92028</v>
      </c>
      <c r="O14">
        <f ca="1" t="shared" si="53"/>
        <v>86909.4</v>
      </c>
      <c r="P14">
        <f ca="1">IF(G14="恒定伤害",0,(IF(D14="轻剑",$AZ$2,$AZ$3)+IFERROR(INDEX(技能数据库!$T$2:$W$27,MATCH(E14,技能数据库!$T$2:$T$27,0),4),0)+COUNTIF(G14,"*造化2*")*154+COUNTIF(G14,"*造化1*")*102+COUNTIF(G14,"*碧归*")*307)/1024)</f>
        <v>0.136829084429785</v>
      </c>
      <c r="Q14">
        <f ca="1" t="shared" si="14"/>
        <v>0.448284482196154</v>
      </c>
      <c r="R14">
        <f ca="1" t="shared" si="54"/>
        <v>0.21277697966198</v>
      </c>
      <c r="S14">
        <f ca="1" t="shared" si="75"/>
        <v>112645.43345495</v>
      </c>
      <c r="T14">
        <f t="shared" si="76"/>
        <v>0.8</v>
      </c>
      <c r="U14">
        <f ca="1" t="shared" si="15"/>
        <v>1.7800129648</v>
      </c>
      <c r="V14">
        <f ca="1" t="shared" si="77"/>
        <v>250524.612344221</v>
      </c>
      <c r="W14">
        <f ca="1">IF(G14="恒定伤害",0,MIN(1,IF(COUNTIF(F14,"*内会*")&gt;0,内会2,IF(D14="轻剑",$Y$2,$Y$3)+COUNTIF(G14,"*莺鸣*")*0.2+COUNTIF(G14,"*叠1*")*0.1+COUNTIF(G14,"*叠2*")*0.2+COUNTIF(G14,"*叠3*")*0.3)+IFERROR(INDEX(技能数据库!$T$2:$W$27,MATCH(E14,技能数据库!$T$2:$T$27,0),2),0)+IF((IF(D14="轻剑",$AO$2,$AO$3)+INT(COUNTIF(G14,"*大莺鸣*")*IF(D14="轻剑",$AM$2,$AM$3)*听晓无双率)/无双系数)&gt;0.9,特效裤子会心/会心系数,0)))</f>
        <v>0.7443</v>
      </c>
      <c r="X14">
        <f ca="1">IF(G14="恒定伤害",0,IF(COUNTIF(F14,"*内会*")&gt;0,内会效2,IF(D14="轻剑",$AB$2,$AB$3))+IFERROR(INDEX(技能数据库!$T$2:$W$27,MATCH(E14,技能数据库!$T$2:$T$27,0),3)/1024,0))+COUNTIF(G14,"*叠1*")*0.25+COUNTIF(G14,"*叠2*")*0.5+COUNTIF(G14,"*叠3*")*0.75</f>
        <v>2.1712723116</v>
      </c>
      <c r="Y14">
        <f ca="1" t="shared" si="78"/>
        <v>1.87177798152388</v>
      </c>
      <c r="Z14">
        <f t="shared" si="16"/>
        <v>0.150390625</v>
      </c>
      <c r="AA14">
        <f ca="1" t="shared" si="79"/>
        <v>0.0205078125</v>
      </c>
      <c r="AB14">
        <f ca="1" t="shared" si="80"/>
        <v>550511.50624569</v>
      </c>
      <c r="AC14">
        <f ca="1">技能数计算!$AJ6</f>
        <v>0</v>
      </c>
      <c r="AD14" s="164">
        <f ca="1" t="shared" si="81"/>
        <v>0</v>
      </c>
      <c r="AE14" s="168"/>
      <c r="AF14" s="168">
        <f ca="1" t="shared" si="17"/>
        <v>0.7457</v>
      </c>
      <c r="AG14">
        <f ca="1">技能数计算!$AJ6</f>
        <v>0</v>
      </c>
      <c r="AH14">
        <f ca="1" t="shared" si="18"/>
        <v>109879</v>
      </c>
      <c r="AJ14">
        <f ca="1" t="shared" si="55"/>
        <v>2.3704910616</v>
      </c>
      <c r="AK14">
        <f ca="1" t="shared" si="56"/>
        <v>89970.3</v>
      </c>
      <c r="AL14">
        <f ca="1" t="shared" si="19"/>
        <v>615800.060354898</v>
      </c>
      <c r="AM14" s="169">
        <f ca="1" t="shared" si="20"/>
        <v>0.7672</v>
      </c>
      <c r="AN14">
        <f ca="1">技能数计算!$AJ6</f>
        <v>0</v>
      </c>
      <c r="AO14" s="170">
        <f ca="1" t="shared" si="21"/>
        <v>624773.905545749</v>
      </c>
      <c r="AP14">
        <f ca="1" t="shared" si="22"/>
        <v>110956</v>
      </c>
      <c r="AQ14" s="170">
        <f ca="1" t="shared" si="57"/>
        <v>90485.7</v>
      </c>
      <c r="AR14">
        <f ca="1" t="shared" si="23"/>
        <v>606791.084491253</v>
      </c>
      <c r="AS14">
        <f ca="1" t="shared" si="24"/>
        <v>0.8243</v>
      </c>
      <c r="AT14">
        <f ca="1">技能数计算!$AJ6</f>
        <v>0</v>
      </c>
      <c r="AU14">
        <f ca="1" t="shared" si="25"/>
        <v>2.3177566866</v>
      </c>
      <c r="AV14">
        <f ca="1" t="shared" si="26"/>
        <v>1.7995442148</v>
      </c>
      <c r="AW14">
        <f ca="1" t="shared" si="58"/>
        <v>617894.178946547</v>
      </c>
      <c r="AX14">
        <f ca="1" t="shared" si="27"/>
        <v>0.8143</v>
      </c>
      <c r="AY14">
        <f ca="1">技能数计算!$AJ6</f>
        <v>0</v>
      </c>
      <c r="AZ14" s="170">
        <f ca="1" t="shared" si="59"/>
        <v>613991.275525072</v>
      </c>
      <c r="BA14">
        <f ca="1" t="shared" si="28"/>
        <v>0.8043</v>
      </c>
      <c r="BB14">
        <f ca="1">技能数计算!$AJ6</f>
        <v>0</v>
      </c>
      <c r="BC14" s="170">
        <f ca="1" t="shared" si="60"/>
        <v>610088.372103597</v>
      </c>
      <c r="BE14">
        <f ca="1" t="shared" si="29"/>
        <v>105849</v>
      </c>
      <c r="BF14">
        <f ca="1" t="shared" si="30"/>
        <v>86910.8</v>
      </c>
      <c r="BI14">
        <f ca="1" t="shared" si="31"/>
        <v>0.7943</v>
      </c>
      <c r="BJ14">
        <f ca="1">技能数计算!$AJ6</f>
        <v>0</v>
      </c>
      <c r="BK14">
        <f ca="1" t="shared" si="32"/>
        <v>605951.95181134</v>
      </c>
      <c r="BM14">
        <f ca="1" t="shared" si="33"/>
        <v>109230</v>
      </c>
      <c r="BN14">
        <f ca="1" t="shared" si="34"/>
        <v>89277.5</v>
      </c>
      <c r="BO14">
        <f ca="1" t="shared" si="35"/>
        <v>610743.978329948</v>
      </c>
      <c r="BP14">
        <f ca="1" t="shared" si="36"/>
        <v>582431.311529285</v>
      </c>
      <c r="BR14">
        <f ca="1" t="shared" si="37"/>
        <v>0.7943</v>
      </c>
      <c r="BS14">
        <f ca="1" t="shared" si="38"/>
        <v>604874.198317516</v>
      </c>
      <c r="BT14">
        <f ca="1" t="shared" si="39"/>
        <v>0.196995876306796</v>
      </c>
      <c r="BU14">
        <f ca="1" t="shared" si="40"/>
        <v>2.3177566866</v>
      </c>
      <c r="BV14">
        <f ca="1" t="shared" si="61"/>
        <v>614023.512647484</v>
      </c>
      <c r="BW14">
        <f ca="1" t="shared" si="41"/>
        <v>113027</v>
      </c>
      <c r="BX14">
        <f ca="1" t="shared" si="42"/>
        <v>91935.4</v>
      </c>
      <c r="BY14">
        <f ca="1" t="shared" si="43"/>
        <v>0.7743</v>
      </c>
      <c r="BZ14">
        <f ca="1">技能数计算!$AJ6</f>
        <v>0</v>
      </c>
      <c r="CA14">
        <f ca="1" t="shared" si="44"/>
        <v>2.3216629366</v>
      </c>
      <c r="CB14">
        <f ca="1" t="shared" si="62"/>
        <v>629509.110947114</v>
      </c>
      <c r="CC14">
        <f ca="1" t="shared" si="45"/>
        <v>114847</v>
      </c>
      <c r="CD14">
        <f ca="1" t="shared" si="46"/>
        <v>93209.4</v>
      </c>
      <c r="CE14">
        <f ca="1" t="shared" si="47"/>
        <v>619497.658874625</v>
      </c>
      <c r="CF14">
        <f ca="1" t="shared" si="48"/>
        <v>2.2689285616</v>
      </c>
      <c r="CG14">
        <f ca="1" t="shared" si="49"/>
        <v>0.7743</v>
      </c>
      <c r="CH14">
        <f ca="1" t="shared" si="63"/>
        <v>587181.883070193</v>
      </c>
      <c r="CJ14">
        <f ca="1" t="shared" si="50"/>
        <v>89277.5</v>
      </c>
      <c r="CK14">
        <f ca="1" t="shared" si="51"/>
        <v>607977.341394654</v>
      </c>
      <c r="CL14">
        <f ca="1" t="shared" si="64"/>
        <v>2.2915848116</v>
      </c>
      <c r="CM14">
        <f ca="1">IF(G14="恒定伤害",0,(IF(D14="轻剑",$CM$8,$CM$9)+IFERROR(INDEX(技能数据库!$T$2:$W$27,MATCH(E14,技能数据库!$T$2:$T$27,0),4),0)+COUNTIF(G14,"*造化2*")*154+COUNTIF(G14,"*造化1*")*102+COUNTIF(G14,"*碧归*")*307)/1024)</f>
        <v>0.197375959429785</v>
      </c>
      <c r="CN14">
        <f ca="1" t="shared" si="65"/>
        <v>623927.35163504</v>
      </c>
      <c r="CO14">
        <f ca="1" t="shared" si="66"/>
        <v>2.3156473116</v>
      </c>
      <c r="CP14">
        <f ca="1" t="shared" si="67"/>
        <v>629739.51670989</v>
      </c>
      <c r="CQ14">
        <f ca="1" t="shared" si="52"/>
        <v>1.8815754648</v>
      </c>
      <c r="CR14">
        <f ca="1">IF(G14="恒定伤害",0,(IF(D14="轻剑",$CR$8,$CR$9)+IFERROR(INDEX(技能数据库!$T$2:$W$27,MATCH(E14,技能数据库!$T$2:$T$27,0),4),0)+COUNTIF(G14,"*造化2*")*154+COUNTIF(G14,"*造化1*")*102+COUNTIF(G14,"*碧归*")*307)/1024)</f>
        <v>0.187610334429785</v>
      </c>
      <c r="CS14">
        <f ca="1" t="shared" si="68"/>
        <v>596112.692719073</v>
      </c>
      <c r="CV14" t="s">
        <v>3219</v>
      </c>
      <c r="CW14">
        <f ca="1">AO6</f>
        <v>14734971.4986534</v>
      </c>
      <c r="CX14" s="164">
        <f ca="1" t="shared" si="69"/>
        <v>0.105087572945626</v>
      </c>
      <c r="CY14">
        <f ca="1" t="shared" si="70"/>
        <v>4</v>
      </c>
      <c r="CZ14">
        <v>5</v>
      </c>
      <c r="DA14" t="str">
        <f ca="1" t="shared" si="71"/>
        <v>刀宗阵</v>
      </c>
      <c r="DB14" s="164">
        <f ca="1" t="shared" si="72"/>
        <v>0.103251273837351</v>
      </c>
    </row>
    <row r="15" spans="2:107">
      <c r="D15" t="s">
        <v>1028</v>
      </c>
      <c r="E15" t="s">
        <v>2726</v>
      </c>
      <c r="G15" t="s">
        <v>2949</v>
      </c>
      <c r="H15">
        <f ca="1">INDEX(技能数据库!$B$2:$I$100,MATCH(阵眼收益计算!$E15,技能数据库!$B$2:$B$100,0),MATCH(H$9,技能数据库!$B$2:$I$2,0))</f>
        <v>122</v>
      </c>
      <c r="I15">
        <f ca="1">INDEX(技能数据库!$B$2:$I$100,MATCH(阵眼收益计算!$E15,技能数据库!$B$2:$B$100,0),MATCH(I$9,技能数据库!$B$2:$I$2,0))</f>
        <v>0.7</v>
      </c>
      <c r="J15">
        <f ca="1">INDEX(技能数据库!$B$2:$I$100,MATCH(阵眼收益计算!$E15,技能数据库!$B$2:$B$100,0),MATCH(J$9,技能数据库!$B$2:$I$2,0))</f>
        <v>1</v>
      </c>
      <c r="K15">
        <f ca="1">INDEX(技能数据库!$B$2:$I$100,MATCH(阵眼收益计算!$E15,技能数据库!$B$2:$B$100,0),MATCH(K$9,技能数据库!$B$2:$I$2,0))</f>
        <v>0</v>
      </c>
      <c r="L15">
        <f ca="1" t="shared" si="13"/>
        <v>91975</v>
      </c>
      <c r="M15">
        <f ca="1" t="shared" si="73"/>
        <v>12694.5</v>
      </c>
      <c r="N15">
        <f ca="1" t="shared" si="74"/>
        <v>92028</v>
      </c>
      <c r="O15">
        <f ca="1" t="shared" si="53"/>
        <v>77199</v>
      </c>
      <c r="P15">
        <f ca="1">IF(G15="恒定伤害",0,(IF(D15="轻剑",$AZ$2,$AZ$3)+IFERROR(INDEX(技能数据库!$T$2:$W$27,MATCH(E15,技能数据库!$T$2:$T$27,0),4),0)+COUNTIF(G15,"*造化2*")*154+COUNTIF(G15,"*造化1*")*102+COUNTIF(G15,"*碧归*")*307)/1024)</f>
        <v>0.136829084429785</v>
      </c>
      <c r="Q15">
        <f ca="1" t="shared" si="14"/>
        <v>0.448284482196154</v>
      </c>
      <c r="R15">
        <f ca="1" t="shared" si="54"/>
        <v>0.32958230397716</v>
      </c>
      <c r="S15">
        <f ca="1" t="shared" si="75"/>
        <v>85213.0671048692</v>
      </c>
      <c r="T15">
        <f t="shared" si="76"/>
        <v>0.8</v>
      </c>
      <c r="U15">
        <f ca="1" t="shared" si="15"/>
        <v>1.7800129648</v>
      </c>
      <c r="V15">
        <f ca="1" t="shared" si="77"/>
        <v>189514.745057527</v>
      </c>
      <c r="W15">
        <f ca="1">IF(G15="恒定伤害",0,MIN(1,IF(COUNTIF(F15,"*内会*")&gt;0,内会2,IF(D15="轻剑",$Y$2,$Y$3)+COUNTIF(G15,"*莺鸣*")*0.2+COUNTIF(G15,"*叠1*")*0.1+COUNTIF(G15,"*叠2*")*0.2+COUNTIF(G15,"*叠3*")*0.3)+IFERROR(INDEX(技能数据库!$T$2:$W$27,MATCH(E15,技能数据库!$T$2:$T$27,0),2),0)+IF((IF(D15="轻剑",$AO$2,$AO$3)+INT(COUNTIF(G15,"*大莺鸣*")*IF(D15="轻剑",$AM$2,$AM$3)*听晓无双率)/无双系数)&gt;0.9,特效裤子会心/会心系数,0)))</f>
        <v>0.9443</v>
      </c>
      <c r="X15">
        <f ca="1">IF(G15="恒定伤害",0,IF(COUNTIF(F15,"*内会*")&gt;0,内会效2,IF(D15="轻剑",$AB$2,$AB$3))+IFERROR(INDEX(技能数据库!$T$2:$W$27,MATCH(E15,技能数据库!$T$2:$T$27,0),3)/1024,0))+COUNTIF(G15,"*叠1*")*0.25+COUNTIF(G15,"*叠2*")*0.5+COUNTIF(G15,"*叠3*")*0.75</f>
        <v>2.1712723116</v>
      </c>
      <c r="Y15">
        <f ca="1" t="shared" si="78"/>
        <v>2.10603244384388</v>
      </c>
      <c r="Z15">
        <f t="shared" si="16"/>
        <v>0.150390625</v>
      </c>
      <c r="AA15">
        <f ca="1" t="shared" si="79"/>
        <v>0.0205078125</v>
      </c>
      <c r="AB15">
        <f ca="1" t="shared" si="80"/>
        <v>468564.876086786</v>
      </c>
      <c r="AC15">
        <f ca="1">技能数计算!$AJ7</f>
        <v>0</v>
      </c>
      <c r="AD15" s="164">
        <f ca="1" t="shared" si="81"/>
        <v>0</v>
      </c>
      <c r="AE15" s="168"/>
      <c r="AF15" s="168">
        <f ca="1" t="shared" si="17"/>
        <v>0.9457</v>
      </c>
      <c r="AG15">
        <f ca="1">技能数计算!$AJ7</f>
        <v>0</v>
      </c>
      <c r="AH15">
        <f ca="1" t="shared" si="18"/>
        <v>96007</v>
      </c>
      <c r="AJ15">
        <f ca="1" t="shared" si="55"/>
        <v>2.3704910616</v>
      </c>
      <c r="AK15">
        <f ca="1" t="shared" si="56"/>
        <v>80259.9</v>
      </c>
      <c r="AL15">
        <f ca="1" t="shared" si="19"/>
        <v>531247.381003226</v>
      </c>
      <c r="AM15" s="169">
        <f ca="1" t="shared" si="20"/>
        <v>0.9672</v>
      </c>
      <c r="AN15">
        <f ca="1">技能数计算!$AJ7</f>
        <v>0</v>
      </c>
      <c r="AO15" s="170">
        <f ca="1" t="shared" si="21"/>
        <v>538064.889731288</v>
      </c>
      <c r="AP15">
        <f ca="1" t="shared" si="22"/>
        <v>97084</v>
      </c>
      <c r="AQ15" s="170">
        <f ca="1" t="shared" si="57"/>
        <v>80775.3</v>
      </c>
      <c r="AR15">
        <f ca="1" t="shared" si="23"/>
        <v>519034.501213192</v>
      </c>
      <c r="AS15">
        <f ca="1" t="shared" si="24"/>
        <v>1.0243</v>
      </c>
      <c r="AT15">
        <f ca="1">技能数计算!$AJ7</f>
        <v>0</v>
      </c>
      <c r="AU15">
        <f ca="1" t="shared" si="25"/>
        <v>2.3177566866</v>
      </c>
      <c r="AV15">
        <f ca="1" t="shared" si="26"/>
        <v>1.7995442148</v>
      </c>
      <c r="AW15">
        <f ca="1" t="shared" si="58"/>
        <v>519293.666164637</v>
      </c>
      <c r="AX15">
        <f ca="1" t="shared" si="27"/>
        <v>1.0143</v>
      </c>
      <c r="AY15">
        <f ca="1">技能数计算!$AJ7</f>
        <v>0</v>
      </c>
      <c r="AZ15" s="170">
        <f ca="1" t="shared" si="59"/>
        <v>519293.666164637</v>
      </c>
      <c r="BA15">
        <f ca="1" t="shared" si="28"/>
        <v>1.0043</v>
      </c>
      <c r="BB15">
        <f ca="1">技能数计算!$AJ7</f>
        <v>0</v>
      </c>
      <c r="BC15" s="170">
        <f ca="1" t="shared" si="60"/>
        <v>519293.666164637</v>
      </c>
      <c r="BE15">
        <f ca="1" t="shared" si="29"/>
        <v>91977</v>
      </c>
      <c r="BF15">
        <f ca="1" t="shared" si="30"/>
        <v>77200.4</v>
      </c>
      <c r="BI15">
        <f ca="1" t="shared" si="31"/>
        <v>0.9943</v>
      </c>
      <c r="BJ15">
        <f ca="1">技能数计算!$AJ7</f>
        <v>0</v>
      </c>
      <c r="BK15">
        <f ca="1" t="shared" si="32"/>
        <v>514013.315503046</v>
      </c>
      <c r="BM15">
        <f ca="1" t="shared" si="33"/>
        <v>95358</v>
      </c>
      <c r="BN15">
        <f ca="1" t="shared" si="34"/>
        <v>79567.1</v>
      </c>
      <c r="BO15">
        <f ca="1" t="shared" si="35"/>
        <v>521565.804198753</v>
      </c>
      <c r="BP15">
        <f ca="1" t="shared" si="36"/>
        <v>497387.229619469</v>
      </c>
      <c r="BR15">
        <f ca="1" t="shared" si="37"/>
        <v>0.9943</v>
      </c>
      <c r="BS15">
        <f ca="1" t="shared" si="38"/>
        <v>514809.966959319</v>
      </c>
      <c r="BT15">
        <f ca="1" t="shared" si="39"/>
        <v>0.318170800459405</v>
      </c>
      <c r="BU15">
        <f ca="1" t="shared" si="40"/>
        <v>2.3177566866</v>
      </c>
      <c r="BV15">
        <f ca="1" t="shared" si="61"/>
        <v>522748.659817781</v>
      </c>
      <c r="BW15">
        <f ca="1" t="shared" si="41"/>
        <v>99155</v>
      </c>
      <c r="BX15">
        <f ca="1" t="shared" si="42"/>
        <v>82225</v>
      </c>
      <c r="BY15">
        <f ca="1" t="shared" si="43"/>
        <v>0.9743</v>
      </c>
      <c r="BZ15">
        <f ca="1">技能数计算!$AJ7</f>
        <v>0</v>
      </c>
      <c r="CA15">
        <f ca="1" t="shared" si="44"/>
        <v>2.3216629366</v>
      </c>
      <c r="CB15">
        <f ca="1" t="shared" si="62"/>
        <v>542119.752352026</v>
      </c>
      <c r="CC15">
        <f ca="1" t="shared" si="45"/>
        <v>100975</v>
      </c>
      <c r="CD15">
        <f ca="1" t="shared" si="46"/>
        <v>83499</v>
      </c>
      <c r="CE15">
        <f ca="1" t="shared" si="47"/>
        <v>530674.955693438</v>
      </c>
      <c r="CF15">
        <f ca="1" t="shared" si="48"/>
        <v>2.2689285616</v>
      </c>
      <c r="CG15">
        <f ca="1" t="shared" si="49"/>
        <v>0.9743</v>
      </c>
      <c r="CH15">
        <f ca="1" t="shared" si="63"/>
        <v>501047.116384647</v>
      </c>
      <c r="CJ15">
        <f ca="1" t="shared" si="50"/>
        <v>79567.1</v>
      </c>
      <c r="CK15">
        <f ca="1" t="shared" si="51"/>
        <v>519203.139531917</v>
      </c>
      <c r="CL15">
        <f ca="1" t="shared" si="64"/>
        <v>2.2915848116</v>
      </c>
      <c r="CM15">
        <f ca="1">IF(G15="恒定伤害",0,(IF(D15="轻剑",$CM$8,$CM$9)+IFERROR(INDEX(技能数据库!$T$2:$W$27,MATCH(E15,技能数据库!$T$2:$T$27,0),4),0)+COUNTIF(G15,"*造化2*")*154+COUNTIF(G15,"*造化1*")*102+COUNTIF(G15,"*碧归*")*307)/1024)</f>
        <v>0.197375959429785</v>
      </c>
      <c r="CN15">
        <f ca="1" t="shared" si="65"/>
        <v>532941.685765929</v>
      </c>
      <c r="CO15">
        <f ca="1" t="shared" si="66"/>
        <v>2.3156473116</v>
      </c>
      <c r="CP15">
        <f ca="1" t="shared" si="67"/>
        <v>538474.091089473</v>
      </c>
      <c r="CQ15">
        <f ca="1" t="shared" si="52"/>
        <v>1.8815754648</v>
      </c>
      <c r="CR15">
        <f ca="1">IF(G15="恒定伤害",0,(IF(D15="轻剑",$CR$8,$CR$9)+IFERROR(INDEX(技能数据库!$T$2:$W$27,MATCH(E15,技能数据库!$T$2:$T$27,0),4),0)+COUNTIF(G15,"*造化2*")*154+COUNTIF(G15,"*造化1*")*102+COUNTIF(G15,"*碧归*")*307)/1024)</f>
        <v>0.187610334429785</v>
      </c>
      <c r="CS15">
        <f ca="1" t="shared" si="68"/>
        <v>507378.07807602</v>
      </c>
      <c r="CV15" t="s">
        <v>3220</v>
      </c>
      <c r="CW15">
        <f ca="1">CP7</f>
        <v>14891456.5143572</v>
      </c>
      <c r="CX15" s="164">
        <f ca="1" t="shared" si="69"/>
        <v>0.116823574350334</v>
      </c>
      <c r="CY15">
        <f ca="1" t="shared" si="70"/>
        <v>1</v>
      </c>
      <c r="CZ15">
        <v>6</v>
      </c>
      <c r="DA15" t="str">
        <f ca="1" t="shared" si="71"/>
        <v>丐帮阵(5层)</v>
      </c>
      <c r="DB15" s="164">
        <f ca="1" t="shared" si="72"/>
        <v>0.10025232834519</v>
      </c>
    </row>
    <row r="16" spans="2:107">
      <c r="D16" t="s">
        <v>1028</v>
      </c>
      <c r="E16" t="s">
        <v>2726</v>
      </c>
      <c r="G16" t="s">
        <v>3014</v>
      </c>
      <c r="H16">
        <f ca="1">INDEX(技能数据库!$B$2:$I$100,MATCH(阵眼收益计算!$E16,技能数据库!$B$2:$B$100,0),MATCH(H$9,技能数据库!$B$2:$I$2,0))</f>
        <v>122</v>
      </c>
      <c r="I16">
        <f ca="1">INDEX(技能数据库!$B$2:$I$100,MATCH(阵眼收益计算!$E16,技能数据库!$B$2:$B$100,0),MATCH(I$9,技能数据库!$B$2:$I$2,0))</f>
        <v>0.7</v>
      </c>
      <c r="J16">
        <f ca="1">INDEX(技能数据库!$B$2:$I$100,MATCH(阵眼收益计算!$E16,技能数据库!$B$2:$B$100,0),MATCH(J$9,技能数据库!$B$2:$I$2,0))</f>
        <v>1</v>
      </c>
      <c r="K16">
        <f ca="1">INDEX(技能数据库!$B$2:$I$100,MATCH(阵眼收益计算!$E16,技能数据库!$B$2:$B$100,0),MATCH(K$9,技能数据库!$B$2:$I$2,0))</f>
        <v>0</v>
      </c>
      <c r="L16">
        <f ca="1" t="shared" si="13"/>
        <v>105847</v>
      </c>
      <c r="M16">
        <f ca="1" t="shared" si="73"/>
        <v>12694.5</v>
      </c>
      <c r="N16">
        <f ca="1" t="shared" si="74"/>
        <v>92028</v>
      </c>
      <c r="O16">
        <f ca="1" t="shared" si="53"/>
        <v>86909.4</v>
      </c>
      <c r="P16">
        <f ca="1">IF(G16="恒定伤害",0,(IF(D16="轻剑",$AZ$2,$AZ$3)+IFERROR(INDEX(技能数据库!$T$2:$W$27,MATCH(E16,技能数据库!$T$2:$T$27,0),4),0)+COUNTIF(G16,"*造化2*")*154+COUNTIF(G16,"*造化1*")*102+COUNTIF(G16,"*碧归*")*307)/1024)</f>
        <v>0.136829084429785</v>
      </c>
      <c r="Q16">
        <f ca="1" t="shared" si="14"/>
        <v>0.448284482196154</v>
      </c>
      <c r="R16">
        <f ca="1" t="shared" si="54"/>
        <v>0.21277697966198</v>
      </c>
      <c r="S16">
        <f ca="1" t="shared" si="75"/>
        <v>112645.43345495</v>
      </c>
      <c r="T16">
        <f t="shared" si="76"/>
        <v>0.8</v>
      </c>
      <c r="U16">
        <f ca="1" t="shared" si="15"/>
        <v>1.7800129648</v>
      </c>
      <c r="V16">
        <f ca="1" t="shared" si="77"/>
        <v>250524.612344221</v>
      </c>
      <c r="W16">
        <f ca="1">IF(G16="恒定伤害",0,MIN(1,IF(COUNTIF(F16,"*内会*")&gt;0,内会2,IF(D16="轻剑",$Y$2,$Y$3)+COUNTIF(G16,"*莺鸣*")*0.2+COUNTIF(G16,"*叠1*")*0.1+COUNTIF(G16,"*叠2*")*0.2+COUNTIF(G16,"*叠3*")*0.3)+IFERROR(INDEX(技能数据库!$T$2:$W$27,MATCH(E16,技能数据库!$T$2:$T$27,0),2),0)+IF((IF(D16="轻剑",$AO$2,$AO$3)+INT(COUNTIF(G16,"*大莺鸣*")*IF(D16="轻剑",$AM$2,$AM$3)*听晓无双率)/无双系数)&gt;0.9,特效裤子会心/会心系数,0)))</f>
        <v>0.9443</v>
      </c>
      <c r="X16">
        <f ca="1">IF(G16="恒定伤害",0,IF(COUNTIF(F16,"*内会*")&gt;0,内会效2,IF(D16="轻剑",$AB$2,$AB$3))+IFERROR(INDEX(技能数据库!$T$2:$W$27,MATCH(E16,技能数据库!$T$2:$T$27,0),3)/1024,0))+COUNTIF(G16,"*叠1*")*0.25+COUNTIF(G16,"*叠2*")*0.5+COUNTIF(G16,"*叠3*")*0.75</f>
        <v>2.1712723116</v>
      </c>
      <c r="Y16">
        <f ca="1" t="shared" si="78"/>
        <v>2.10603244384388</v>
      </c>
      <c r="Z16">
        <f t="shared" si="16"/>
        <v>0.150390625</v>
      </c>
      <c r="AA16">
        <f ca="1" t="shared" si="79"/>
        <v>0.0205078125</v>
      </c>
      <c r="AB16">
        <f ca="1" t="shared" si="80"/>
        <v>619408.447105934</v>
      </c>
      <c r="AC16">
        <f ca="1">技能数计算!$AJ8</f>
        <v>0</v>
      </c>
      <c r="AD16" s="164">
        <f ca="1" t="shared" si="81"/>
        <v>0</v>
      </c>
      <c r="AE16" s="168"/>
      <c r="AF16" s="168">
        <f ca="1" t="shared" si="17"/>
        <v>0.9457</v>
      </c>
      <c r="AG16">
        <f ca="1">技能数计算!$AJ8</f>
        <v>0</v>
      </c>
      <c r="AH16">
        <f ca="1" t="shared" si="18"/>
        <v>109879</v>
      </c>
      <c r="AJ16">
        <f ca="1" t="shared" si="55"/>
        <v>2.3704910616</v>
      </c>
      <c r="AK16">
        <f ca="1" t="shared" si="56"/>
        <v>89970.3</v>
      </c>
      <c r="AL16">
        <f ca="1" t="shared" si="19"/>
        <v>699277.690037226</v>
      </c>
      <c r="AM16" s="169">
        <f ca="1" t="shared" si="20"/>
        <v>0.9672</v>
      </c>
      <c r="AN16">
        <f ca="1">技能数计算!$AJ8</f>
        <v>0</v>
      </c>
      <c r="AO16" s="170">
        <f ca="1" t="shared" si="21"/>
        <v>708251.535228076</v>
      </c>
      <c r="AP16">
        <f ca="1" t="shared" si="22"/>
        <v>110956</v>
      </c>
      <c r="AQ16" s="170">
        <f ca="1" t="shared" si="57"/>
        <v>90485.7</v>
      </c>
      <c r="AR16">
        <f ca="1" t="shared" si="23"/>
        <v>682731.458104551</v>
      </c>
      <c r="AS16">
        <f ca="1" t="shared" si="24"/>
        <v>1.0243</v>
      </c>
      <c r="AT16">
        <f ca="1">技能数计算!$AJ8</f>
        <v>0</v>
      </c>
      <c r="AU16">
        <f ca="1" t="shared" si="25"/>
        <v>2.3177566866</v>
      </c>
      <c r="AV16">
        <f ca="1" t="shared" si="26"/>
        <v>1.7995442148</v>
      </c>
      <c r="AW16">
        <f ca="1" t="shared" si="58"/>
        <v>686468.192061859</v>
      </c>
      <c r="AX16">
        <f ca="1" t="shared" si="27"/>
        <v>1.0143</v>
      </c>
      <c r="AY16">
        <f ca="1">技能数计算!$AJ8</f>
        <v>0</v>
      </c>
      <c r="AZ16" s="170">
        <f ca="1" t="shared" si="59"/>
        <v>686468.192061859</v>
      </c>
      <c r="BA16">
        <f ca="1" t="shared" si="28"/>
        <v>1.0043</v>
      </c>
      <c r="BB16">
        <f ca="1">技能数计算!$AJ8</f>
        <v>0</v>
      </c>
      <c r="BC16" s="170">
        <f ca="1" t="shared" si="60"/>
        <v>686468.192061859</v>
      </c>
      <c r="BE16">
        <f ca="1" t="shared" si="29"/>
        <v>105849</v>
      </c>
      <c r="BF16">
        <f ca="1" t="shared" si="30"/>
        <v>86910.8</v>
      </c>
      <c r="BI16">
        <f ca="1" t="shared" si="31"/>
        <v>0.9943</v>
      </c>
      <c r="BJ16">
        <f ca="1">技能数计算!$AJ8</f>
        <v>0</v>
      </c>
      <c r="BK16">
        <f ca="1" t="shared" si="32"/>
        <v>679486.578468241</v>
      </c>
      <c r="BM16">
        <f ca="1" t="shared" si="33"/>
        <v>109230</v>
      </c>
      <c r="BN16">
        <f ca="1" t="shared" si="34"/>
        <v>89277.5</v>
      </c>
      <c r="BO16">
        <f ca="1" t="shared" si="35"/>
        <v>687179.059664959</v>
      </c>
      <c r="BP16">
        <f ca="1" t="shared" si="36"/>
        <v>655323.040712651</v>
      </c>
      <c r="BR16">
        <f ca="1" t="shared" si="37"/>
        <v>0.9943</v>
      </c>
      <c r="BS16">
        <f ca="1" t="shared" si="38"/>
        <v>678278.035395211</v>
      </c>
      <c r="BT16">
        <f ca="1" t="shared" si="39"/>
        <v>0.196995876306796</v>
      </c>
      <c r="BU16">
        <f ca="1" t="shared" si="40"/>
        <v>2.3177566866</v>
      </c>
      <c r="BV16">
        <f ca="1" t="shared" si="61"/>
        <v>693090.880381914</v>
      </c>
      <c r="BW16">
        <f ca="1" t="shared" si="41"/>
        <v>113027</v>
      </c>
      <c r="BX16">
        <f ca="1" t="shared" si="42"/>
        <v>91935.4</v>
      </c>
      <c r="BY16">
        <f ca="1" t="shared" si="43"/>
        <v>0.9743</v>
      </c>
      <c r="BZ16">
        <f ca="1">技能数计算!$AJ8</f>
        <v>0</v>
      </c>
      <c r="CA16">
        <f ca="1" t="shared" si="44"/>
        <v>2.3216629366</v>
      </c>
      <c r="CB16">
        <f ca="1" t="shared" si="62"/>
        <v>711748.294782866</v>
      </c>
      <c r="CC16">
        <f ca="1" t="shared" si="45"/>
        <v>114847</v>
      </c>
      <c r="CD16">
        <f ca="1" t="shared" si="46"/>
        <v>93209.4</v>
      </c>
      <c r="CE16">
        <f ca="1" t="shared" si="47"/>
        <v>695599.636888615</v>
      </c>
      <c r="CF16">
        <f ca="1" t="shared" si="48"/>
        <v>2.2689285616</v>
      </c>
      <c r="CG16">
        <f ca="1" t="shared" si="49"/>
        <v>0.9743</v>
      </c>
      <c r="CH16">
        <f ca="1" t="shared" si="63"/>
        <v>662347.589684119</v>
      </c>
      <c r="CJ16">
        <f ca="1" t="shared" si="50"/>
        <v>89277.5</v>
      </c>
      <c r="CK16">
        <f ca="1" t="shared" si="51"/>
        <v>684066.175977053</v>
      </c>
      <c r="CL16">
        <f ca="1" t="shared" si="64"/>
        <v>2.2915848116</v>
      </c>
      <c r="CM16">
        <f ca="1">IF(G16="恒定伤害",0,(IF(D16="轻剑",$CM$8,$CM$9)+IFERROR(INDEX(技能数据库!$T$2:$W$27,MATCH(E16,技能数据库!$T$2:$T$27,0),4),0)+COUNTIF(G16,"*造化2*")*154+COUNTIF(G16,"*造化1*")*102+COUNTIF(G16,"*碧归*")*307)/1024)</f>
        <v>0.197375959429785</v>
      </c>
      <c r="CN16">
        <f ca="1" t="shared" si="65"/>
        <v>704509.874353346</v>
      </c>
      <c r="CO16">
        <f ca="1" t="shared" si="66"/>
        <v>2.3156473116</v>
      </c>
      <c r="CP16">
        <f ca="1" t="shared" si="67"/>
        <v>711823.308981302</v>
      </c>
      <c r="CQ16">
        <f ca="1" t="shared" si="52"/>
        <v>1.8815754648</v>
      </c>
      <c r="CR16">
        <f ca="1">IF(G16="恒定伤害",0,(IF(D16="轻剑",$CR$8,$CR$9)+IFERROR(INDEX(技能数据库!$T$2:$W$27,MATCH(E16,技能数据库!$T$2:$T$27,0),4),0)+COUNTIF(G16,"*造化2*")*154+COUNTIF(G16,"*造化1*")*102+COUNTIF(G16,"*碧归*")*307)/1024)</f>
        <v>0.187610334429785</v>
      </c>
      <c r="CS16">
        <f ca="1" t="shared" si="68"/>
        <v>670716.657341707</v>
      </c>
      <c r="CV16" t="s">
        <v>2671</v>
      </c>
      <c r="CW16">
        <f ca="1">BV6</f>
        <v>14501285.7568321</v>
      </c>
      <c r="CX16" s="164">
        <f ca="1" t="shared" si="69"/>
        <v>0.0875617019736379</v>
      </c>
      <c r="CY16">
        <f ca="1" t="shared" si="70"/>
        <v>10</v>
      </c>
      <c r="CZ16">
        <v>7</v>
      </c>
      <c r="DA16" t="str">
        <f ca="1" t="shared" si="71"/>
        <v>藏剑阵</v>
      </c>
      <c r="DB16" s="164">
        <f ca="1" t="shared" si="72"/>
        <v>0.0978994559977795</v>
      </c>
    </row>
    <row r="17" spans="4:106">
      <c r="D17" t="s">
        <v>1028</v>
      </c>
      <c r="E17" t="s">
        <v>2741</v>
      </c>
      <c r="H17">
        <f ca="1">INDEX(技能数据库!$B$2:$I$100,MATCH(阵眼收益计算!$E17,技能数据库!$B$2:$B$100,0),MATCH(H$9,技能数据库!$B$2:$I$2,0))</f>
        <v>68.5</v>
      </c>
      <c r="I17">
        <f ca="1">INDEX(技能数据库!$B$2:$I$100,MATCH(阵眼收益计算!$E17,技能数据库!$B$2:$B$100,0),MATCH(I$9,技能数据库!$B$2:$I$2,0))</f>
        <v>0.325</v>
      </c>
      <c r="J17">
        <f ca="1">INDEX(技能数据库!$B$2:$I$100,MATCH(阵眼收益计算!$E17,技能数据库!$B$2:$B$100,0),MATCH(J$9,技能数据库!$B$2:$I$2,0))</f>
        <v>1</v>
      </c>
      <c r="K17">
        <f ca="1">INDEX(技能数据库!$B$2:$I$100,MATCH(阵眼收益计算!$E17,技能数据库!$B$2:$B$100,0),MATCH(K$9,技能数据库!$B$2:$I$2,0))</f>
        <v>0</v>
      </c>
      <c r="L17">
        <f ca="1" t="shared" si="13"/>
        <v>91975</v>
      </c>
      <c r="M17">
        <f ca="1" t="shared" si="73"/>
        <v>12694.5</v>
      </c>
      <c r="N17">
        <f ca="1" t="shared" si="74"/>
        <v>92028</v>
      </c>
      <c r="O17">
        <f ca="1" t="shared" si="53"/>
        <v>42654.875</v>
      </c>
      <c r="P17">
        <f ca="1">IF(G17="恒定伤害",0,(IF(D17="轻剑",$AZ$2,$AZ$3)+IFERROR(INDEX(技能数据库!$T$2:$W$27,MATCH(E17,技能数据库!$T$2:$T$27,0),4),0)+COUNTIF(G17,"*造化2*")*154+COUNTIF(G17,"*造化1*")*102+COUNTIF(G17,"*碧归*")*307)/1024)</f>
        <v>0.106555646929785</v>
      </c>
      <c r="Q17">
        <f ca="1" t="shared" si="14"/>
        <v>0.448284482196154</v>
      </c>
      <c r="R17">
        <f ca="1" t="shared" si="54"/>
        <v>0.32958230397716</v>
      </c>
      <c r="S17">
        <f ca="1" t="shared" si="75"/>
        <v>45829.0947683526</v>
      </c>
      <c r="T17">
        <f t="shared" si="76"/>
        <v>0.8</v>
      </c>
      <c r="U17">
        <f ca="1" t="shared" si="15"/>
        <v>1.7800129648</v>
      </c>
      <c r="V17">
        <f ca="1" t="shared" si="77"/>
        <v>101924.382096854</v>
      </c>
      <c r="W17">
        <f ca="1">IF(G17="恒定伤害",0,MIN(1,IF(COUNTIF(F17,"*内会*")&gt;0,内会2,IF(D17="轻剑",$Y$2,$Y$3)+COUNTIF(G17,"*莺鸣*")*0.2+COUNTIF(G17,"*叠1*")*0.1+COUNTIF(G17,"*叠2*")*0.2+COUNTIF(G17,"*叠3*")*0.3)+IFERROR(INDEX(技能数据库!$T$2:$W$27,MATCH(E17,技能数据库!$T$2:$T$27,0),2),0)+IF((IF(D17="轻剑",$AO$2,$AO$3)+INT(COUNTIF(G17,"*大莺鸣*")*IF(D17="轻剑",$AM$2,$AM$3)*听晓无双率)/无双系数)&gt;0.9,特效裤子会心/会心系数,0)))</f>
        <v>0.7043</v>
      </c>
      <c r="X17">
        <f ca="1">IF(G17="恒定伤害",0,IF(COUNTIF(F17,"*内会*")&gt;0,内会效2,IF(D17="轻剑",$AB$2,$AB$3))+IFERROR(INDEX(技能数据库!$T$2:$W$27,MATCH(E17,技能数据库!$T$2:$T$27,0),3)/1024,0))+COUNTIF(G17,"*叠1*")*0.25+COUNTIF(G17,"*叠2*")*0.5+COUNTIF(G17,"*叠3*")*0.75</f>
        <v>2.1712723116</v>
      </c>
      <c r="Y17">
        <f ca="1" t="shared" si="78"/>
        <v>1.82492708905988</v>
      </c>
      <c r="Z17">
        <f t="shared" si="16"/>
        <v>0.150390625</v>
      </c>
      <c r="AA17">
        <f ca="1" t="shared" si="79"/>
        <v>0.0205078125</v>
      </c>
      <c r="AB17">
        <f ca="1" t="shared" si="80"/>
        <v>218366.127680204</v>
      </c>
      <c r="AC17">
        <f ca="1">技能数计算!$AJ9</f>
        <v>0</v>
      </c>
      <c r="AD17" s="164">
        <f ca="1" t="shared" si="81"/>
        <v>0</v>
      </c>
      <c r="AE17" s="168"/>
      <c r="AF17" s="168">
        <f ca="1" t="shared" si="17"/>
        <v>0.7057</v>
      </c>
      <c r="AG17">
        <f ca="1">技能数计算!$AJ9</f>
        <v>0</v>
      </c>
      <c r="AH17">
        <f ca="1" t="shared" si="18"/>
        <v>96007</v>
      </c>
      <c r="AJ17">
        <f ca="1" t="shared" si="55"/>
        <v>2.3704910616</v>
      </c>
      <c r="AK17">
        <f ca="1" t="shared" si="56"/>
        <v>44203.775</v>
      </c>
      <c r="AL17">
        <f ca="1" t="shared" si="19"/>
        <v>243999.290923286</v>
      </c>
      <c r="AM17" s="169">
        <f ca="1" t="shared" si="20"/>
        <v>0.7272</v>
      </c>
      <c r="AN17">
        <f ca="1">技能数计算!$AJ9</f>
        <v>0</v>
      </c>
      <c r="AO17" s="170">
        <f ca="1" t="shared" si="21"/>
        <v>247654.098619823</v>
      </c>
      <c r="AP17">
        <f ca="1" t="shared" si="22"/>
        <v>97084</v>
      </c>
      <c r="AQ17" s="170">
        <f ca="1" t="shared" si="57"/>
        <v>44315.3</v>
      </c>
      <c r="AR17">
        <f ca="1" t="shared" si="23"/>
        <v>240176.153178398</v>
      </c>
      <c r="AS17">
        <f ca="1" t="shared" si="24"/>
        <v>0.7843</v>
      </c>
      <c r="AT17">
        <f ca="1">技能数计算!$AJ9</f>
        <v>0</v>
      </c>
      <c r="AU17">
        <f ca="1" t="shared" si="25"/>
        <v>2.3177566866</v>
      </c>
      <c r="AV17">
        <f ca="1" t="shared" si="26"/>
        <v>1.7995442148</v>
      </c>
      <c r="AW17">
        <f ca="1" t="shared" si="58"/>
        <v>245034.919872678</v>
      </c>
      <c r="AX17">
        <f ca="1" t="shared" si="27"/>
        <v>0.7743</v>
      </c>
      <c r="AY17">
        <f ca="1">技能数计算!$AJ9</f>
        <v>0</v>
      </c>
      <c r="AZ17" s="170">
        <f ca="1" t="shared" si="59"/>
        <v>243447.047863237</v>
      </c>
      <c r="BA17">
        <f ca="1" t="shared" si="28"/>
        <v>0.7643</v>
      </c>
      <c r="BB17">
        <f ca="1">技能数计算!$AJ9</f>
        <v>0</v>
      </c>
      <c r="BC17" s="170">
        <f ca="1" t="shared" si="60"/>
        <v>241859.175853795</v>
      </c>
      <c r="BE17">
        <f ca="1" t="shared" si="29"/>
        <v>91977</v>
      </c>
      <c r="BF17">
        <f ca="1" t="shared" si="30"/>
        <v>42655.525</v>
      </c>
      <c r="BI17">
        <f ca="1" t="shared" si="31"/>
        <v>0.7543</v>
      </c>
      <c r="BJ17">
        <f ca="1">技能数计算!$AJ9</f>
        <v>0</v>
      </c>
      <c r="BK17">
        <f ca="1" t="shared" si="32"/>
        <v>240544.156488128</v>
      </c>
      <c r="BM17">
        <f ca="1" t="shared" si="33"/>
        <v>95358</v>
      </c>
      <c r="BN17">
        <f ca="1" t="shared" si="34"/>
        <v>43754.35</v>
      </c>
      <c r="BO17">
        <f ca="1" t="shared" si="35"/>
        <v>241910.857022093</v>
      </c>
      <c r="BP17">
        <f ca="1" t="shared" si="36"/>
        <v>230696.43373943</v>
      </c>
      <c r="BR17">
        <f ca="1" t="shared" si="37"/>
        <v>0.7543</v>
      </c>
      <c r="BS17">
        <f ca="1" t="shared" si="38"/>
        <v>239772.490330231</v>
      </c>
      <c r="BT17">
        <f ca="1" t="shared" si="39"/>
        <v>0.318170800459405</v>
      </c>
      <c r="BU17">
        <f ca="1" t="shared" si="40"/>
        <v>2.3177566866</v>
      </c>
      <c r="BV17">
        <f ca="1" t="shared" si="61"/>
        <v>242656.272678393</v>
      </c>
      <c r="BW17">
        <f ca="1" t="shared" si="41"/>
        <v>99155</v>
      </c>
      <c r="BX17">
        <f ca="1" t="shared" si="42"/>
        <v>44988.375</v>
      </c>
      <c r="BY17">
        <f ca="1" t="shared" si="43"/>
        <v>0.7343</v>
      </c>
      <c r="BZ17">
        <f ca="1">技能数计算!$AJ9</f>
        <v>0</v>
      </c>
      <c r="CA17">
        <f ca="1" t="shared" si="44"/>
        <v>2.3216629366</v>
      </c>
      <c r="CB17">
        <f ca="1" t="shared" si="62"/>
        <v>248683.623452134</v>
      </c>
      <c r="CC17">
        <f ca="1" t="shared" si="45"/>
        <v>100975</v>
      </c>
      <c r="CD17">
        <f ca="1" t="shared" si="46"/>
        <v>45579.875</v>
      </c>
      <c r="CE17">
        <f ca="1" t="shared" si="47"/>
        <v>244948.868512839</v>
      </c>
      <c r="CF17">
        <f ca="1" t="shared" si="48"/>
        <v>2.2689285616</v>
      </c>
      <c r="CG17">
        <f ca="1" t="shared" si="49"/>
        <v>0.7343</v>
      </c>
      <c r="CH17">
        <f ca="1" t="shared" si="63"/>
        <v>232775.160988858</v>
      </c>
      <c r="CJ17">
        <f ca="1" t="shared" si="50"/>
        <v>43754.35</v>
      </c>
      <c r="CK17">
        <f ca="1" t="shared" si="51"/>
        <v>240815.014024318</v>
      </c>
      <c r="CL17">
        <f ca="1" t="shared" si="64"/>
        <v>2.2915848116</v>
      </c>
      <c r="CM17">
        <f ca="1">IF(G17="恒定伤害",0,(IF(D17="轻剑",$CM$8,$CM$9)+IFERROR(INDEX(技能数据库!$T$2:$W$27,MATCH(E17,技能数据库!$T$2:$T$27,0),4),0)+COUNTIF(G17,"*造化2*")*154+COUNTIF(G17,"*造化1*")*102+COUNTIF(G17,"*碧归*")*307)/1024)</f>
        <v>0.167102521929785</v>
      </c>
      <c r="CN17">
        <f ca="1" t="shared" si="65"/>
        <v>247626.16126929</v>
      </c>
      <c r="CO17">
        <f ca="1" t="shared" si="66"/>
        <v>2.3156473116</v>
      </c>
      <c r="CP17">
        <f ca="1" t="shared" si="67"/>
        <v>249871.750352451</v>
      </c>
      <c r="CQ17">
        <f ca="1" t="shared" si="52"/>
        <v>1.8815754648</v>
      </c>
      <c r="CR17">
        <f ca="1">IF(G17="恒定伤害",0,(IF(D17="轻剑",$CR$8,$CR$9)+IFERROR(INDEX(技能数据库!$T$2:$W$27,MATCH(E17,技能数据库!$T$2:$T$27,0),4),0)+COUNTIF(G17,"*造化2*")*154+COUNTIF(G17,"*造化1*")*102+COUNTIF(G17,"*碧归*")*307)/1024)</f>
        <v>0.157336896929785</v>
      </c>
      <c r="CS17">
        <f ca="1" t="shared" si="68"/>
        <v>236730.921913938</v>
      </c>
      <c r="CV17" t="s">
        <v>3165</v>
      </c>
      <c r="CW17">
        <f ca="1">BC6</f>
        <v>14363470.5836422</v>
      </c>
      <c r="CX17" s="164">
        <f ca="1" t="shared" si="69"/>
        <v>0.0772258940442259</v>
      </c>
      <c r="CY17">
        <f ca="1" t="shared" si="70"/>
        <v>14</v>
      </c>
      <c r="CZ17">
        <v>8</v>
      </c>
      <c r="DA17" t="str">
        <f ca="1" t="shared" si="71"/>
        <v>蓬莱阵</v>
      </c>
      <c r="DB17" s="164">
        <f ca="1" t="shared" si="72"/>
        <v>0.0957798817245905</v>
      </c>
    </row>
    <row r="18" spans="4:106">
      <c r="D18" t="s">
        <v>1028</v>
      </c>
      <c r="E18" t="s">
        <v>2741</v>
      </c>
      <c r="G18" t="s">
        <v>2949</v>
      </c>
      <c r="H18">
        <f ca="1">INDEX(技能数据库!$B$2:$I$100,MATCH(阵眼收益计算!$E18,技能数据库!$B$2:$B$100,0),MATCH(H$9,技能数据库!$B$2:$I$2,0))</f>
        <v>68.5</v>
      </c>
      <c r="I18">
        <f ca="1">INDEX(技能数据库!$B$2:$I$100,MATCH(阵眼收益计算!$E18,技能数据库!$B$2:$B$100,0),MATCH(I$9,技能数据库!$B$2:$I$2,0))</f>
        <v>0.325</v>
      </c>
      <c r="J18">
        <f ca="1">INDEX(技能数据库!$B$2:$I$100,MATCH(阵眼收益计算!$E18,技能数据库!$B$2:$B$100,0),MATCH(J$9,技能数据库!$B$2:$I$2,0))</f>
        <v>1</v>
      </c>
      <c r="K18">
        <f ca="1">INDEX(技能数据库!$B$2:$I$100,MATCH(阵眼收益计算!$E18,技能数据库!$B$2:$B$100,0),MATCH(K$9,技能数据库!$B$2:$I$2,0))</f>
        <v>0</v>
      </c>
      <c r="L18">
        <f ca="1" t="shared" si="13"/>
        <v>91975</v>
      </c>
      <c r="M18">
        <f ca="1" t="shared" si="73"/>
        <v>12694.5</v>
      </c>
      <c r="N18">
        <f ca="1" t="shared" si="74"/>
        <v>92028</v>
      </c>
      <c r="O18">
        <f ca="1" t="shared" si="53"/>
        <v>42654.875</v>
      </c>
      <c r="P18">
        <f ca="1">IF(G18="恒定伤害",0,(IF(D18="轻剑",$AZ$2,$AZ$3)+IFERROR(INDEX(技能数据库!$T$2:$W$27,MATCH(E18,技能数据库!$T$2:$T$27,0),4),0)+COUNTIF(G18,"*造化2*")*154+COUNTIF(G18,"*造化1*")*102+COUNTIF(G18,"*碧归*")*307)/1024)</f>
        <v>0.106555646929785</v>
      </c>
      <c r="Q18">
        <f ca="1" t="shared" si="14"/>
        <v>0.448284482196154</v>
      </c>
      <c r="R18">
        <f ca="1" t="shared" si="54"/>
        <v>0.32958230397716</v>
      </c>
      <c r="S18">
        <f ca="1" t="shared" si="75"/>
        <v>45829.0947683526</v>
      </c>
      <c r="T18">
        <f t="shared" si="76"/>
        <v>0.8</v>
      </c>
      <c r="U18">
        <f ca="1" t="shared" si="15"/>
        <v>1.7800129648</v>
      </c>
      <c r="V18">
        <f ca="1" t="shared" si="77"/>
        <v>101924.382096854</v>
      </c>
      <c r="W18">
        <f ca="1">IF(G18="恒定伤害",0,MIN(1,IF(COUNTIF(F18,"*内会*")&gt;0,内会2,IF(D18="轻剑",$Y$2,$Y$3)+COUNTIF(G18,"*莺鸣*")*0.2+COUNTIF(G18,"*叠1*")*0.1+COUNTIF(G18,"*叠2*")*0.2+COUNTIF(G18,"*叠3*")*0.3)+IFERROR(INDEX(技能数据库!$T$2:$W$27,MATCH(E18,技能数据库!$T$2:$T$27,0),2),0)+IF((IF(D18="轻剑",$AO$2,$AO$3)+INT(COUNTIF(G18,"*大莺鸣*")*IF(D18="轻剑",$AM$2,$AM$3)*听晓无双率)/无双系数)&gt;0.9,特效裤子会心/会心系数,0)))</f>
        <v>0.9043</v>
      </c>
      <c r="X18">
        <f ca="1">IF(G18="恒定伤害",0,IF(COUNTIF(F18,"*内会*")&gt;0,内会效2,IF(D18="轻剑",$AB$2,$AB$3))+IFERROR(INDEX(技能数据库!$T$2:$W$27,MATCH(E18,技能数据库!$T$2:$T$27,0),3)/1024,0))+COUNTIF(G18,"*叠1*")*0.25+COUNTIF(G18,"*叠2*")*0.5+COUNTIF(G18,"*叠3*")*0.75</f>
        <v>2.1712723116</v>
      </c>
      <c r="Y18">
        <f ca="1" t="shared" si="78"/>
        <v>2.05918155137988</v>
      </c>
      <c r="Z18">
        <f t="shared" si="16"/>
        <v>0.150390625</v>
      </c>
      <c r="AA18">
        <f ca="1" t="shared" si="79"/>
        <v>0.0205078125</v>
      </c>
      <c r="AB18">
        <f ca="1" t="shared" si="80"/>
        <v>246396.420032859</v>
      </c>
      <c r="AC18">
        <f ca="1">技能数计算!$AJ10</f>
        <v>0</v>
      </c>
      <c r="AD18" s="164">
        <f ca="1" t="shared" si="81"/>
        <v>0</v>
      </c>
      <c r="AE18" s="168"/>
      <c r="AF18" s="168">
        <f ca="1" t="shared" si="17"/>
        <v>0.9057</v>
      </c>
      <c r="AG18">
        <f ca="1">技能数计算!$AJ10</f>
        <v>0</v>
      </c>
      <c r="AH18">
        <f ca="1" t="shared" si="18"/>
        <v>96007</v>
      </c>
      <c r="AJ18">
        <f ca="1" t="shared" si="55"/>
        <v>2.3704910616</v>
      </c>
      <c r="AK18">
        <f ca="1" t="shared" si="56"/>
        <v>44203.775</v>
      </c>
      <c r="AL18">
        <f ca="1" t="shared" si="19"/>
        <v>277997.502053864</v>
      </c>
      <c r="AM18" s="169">
        <f ca="1" t="shared" si="20"/>
        <v>0.9272</v>
      </c>
      <c r="AN18">
        <f ca="1">技能数计算!$AJ10</f>
        <v>0</v>
      </c>
      <c r="AO18" s="170">
        <f ca="1" t="shared" si="21"/>
        <v>281652.309750401</v>
      </c>
      <c r="AP18">
        <f ca="1" t="shared" si="22"/>
        <v>97084</v>
      </c>
      <c r="AQ18" s="170">
        <f ca="1" t="shared" si="57"/>
        <v>44315.3</v>
      </c>
      <c r="AR18">
        <f ca="1" t="shared" si="23"/>
        <v>271006.061924985</v>
      </c>
      <c r="AS18">
        <f ca="1" t="shared" si="24"/>
        <v>0.9843</v>
      </c>
      <c r="AT18">
        <f ca="1">技能数计算!$AJ10</f>
        <v>0</v>
      </c>
      <c r="AU18">
        <f ca="1" t="shared" si="25"/>
        <v>2.3177566866</v>
      </c>
      <c r="AV18">
        <f ca="1" t="shared" si="26"/>
        <v>1.7995442148</v>
      </c>
      <c r="AW18">
        <f ca="1" t="shared" si="58"/>
        <v>276792.360061504</v>
      </c>
      <c r="AX18">
        <f ca="1" t="shared" si="27"/>
        <v>0.9743</v>
      </c>
      <c r="AY18">
        <f ca="1">技能数计算!$AJ10</f>
        <v>0</v>
      </c>
      <c r="AZ18" s="170">
        <f ca="1" t="shared" si="59"/>
        <v>275204.488052063</v>
      </c>
      <c r="BA18">
        <f ca="1" t="shared" si="28"/>
        <v>0.9643</v>
      </c>
      <c r="BB18">
        <f ca="1">技能数计算!$AJ10</f>
        <v>0</v>
      </c>
      <c r="BC18" s="170">
        <f ca="1" t="shared" si="60"/>
        <v>273616.616042621</v>
      </c>
      <c r="BE18">
        <f ca="1" t="shared" si="29"/>
        <v>91977</v>
      </c>
      <c r="BF18">
        <f ca="1" t="shared" si="30"/>
        <v>42655.525</v>
      </c>
      <c r="BI18">
        <f ca="1" t="shared" si="31"/>
        <v>0.9543</v>
      </c>
      <c r="BJ18">
        <f ca="1">技能数计算!$AJ10</f>
        <v>0</v>
      </c>
      <c r="BK18">
        <f ca="1" t="shared" si="32"/>
        <v>270461.236462843</v>
      </c>
      <c r="BM18">
        <f ca="1" t="shared" si="33"/>
        <v>95358</v>
      </c>
      <c r="BN18">
        <f ca="1" t="shared" si="34"/>
        <v>43754.35</v>
      </c>
      <c r="BO18">
        <f ca="1" t="shared" si="35"/>
        <v>272963.438837991</v>
      </c>
      <c r="BP18">
        <f ca="1" t="shared" si="36"/>
        <v>260309.490265766</v>
      </c>
      <c r="BR18">
        <f ca="1" t="shared" si="37"/>
        <v>0.9543</v>
      </c>
      <c r="BS18">
        <f ca="1" t="shared" si="38"/>
        <v>269593.596249719</v>
      </c>
      <c r="BT18">
        <f ca="1" t="shared" si="39"/>
        <v>0.318170800459405</v>
      </c>
      <c r="BU18">
        <f ca="1" t="shared" si="40"/>
        <v>2.3177566866</v>
      </c>
      <c r="BV18">
        <f ca="1" t="shared" si="61"/>
        <v>274728.941959863</v>
      </c>
      <c r="BW18">
        <f ca="1" t="shared" si="41"/>
        <v>99155</v>
      </c>
      <c r="BX18">
        <f ca="1" t="shared" si="42"/>
        <v>44988.375</v>
      </c>
      <c r="BY18">
        <f ca="1" t="shared" si="43"/>
        <v>0.9343</v>
      </c>
      <c r="BZ18">
        <f ca="1">技能数计算!$AJ10</f>
        <v>0</v>
      </c>
      <c r="CA18">
        <f ca="1" t="shared" si="44"/>
        <v>2.3216629366</v>
      </c>
      <c r="CB18">
        <f ca="1" t="shared" si="62"/>
        <v>282043.320251409</v>
      </c>
      <c r="CC18">
        <f ca="1" t="shared" si="45"/>
        <v>100975</v>
      </c>
      <c r="CD18">
        <f ca="1" t="shared" si="46"/>
        <v>45579.875</v>
      </c>
      <c r="CE18">
        <f ca="1" t="shared" si="47"/>
        <v>275797.445050677</v>
      </c>
      <c r="CF18">
        <f ca="1" t="shared" si="48"/>
        <v>2.2689285616</v>
      </c>
      <c r="CG18">
        <f ca="1" t="shared" si="49"/>
        <v>0.9343</v>
      </c>
      <c r="CH18">
        <f ca="1" t="shared" si="63"/>
        <v>263355.861742409</v>
      </c>
      <c r="CJ18">
        <f ca="1" t="shared" si="50"/>
        <v>43754.35</v>
      </c>
      <c r="CK18">
        <f ca="1" t="shared" si="51"/>
        <v>271726.929337006</v>
      </c>
      <c r="CL18">
        <f ca="1" t="shared" si="64"/>
        <v>2.2915848116</v>
      </c>
      <c r="CM18">
        <f ca="1">IF(G18="恒定伤害",0,(IF(D18="轻剑",$CM$8,$CM$9)+IFERROR(INDEX(技能数据库!$T$2:$W$27,MATCH(E18,技能数据库!$T$2:$T$27,0),4),0)+COUNTIF(G18,"*造化2*")*154+COUNTIF(G18,"*造化1*")*102+COUNTIF(G18,"*碧归*")*307)/1024)</f>
        <v>0.167102521929785</v>
      </c>
      <c r="CN18">
        <f ca="1" t="shared" si="65"/>
        <v>280456.014276388</v>
      </c>
      <c r="CO18">
        <f ca="1" t="shared" si="66"/>
        <v>2.3156473116</v>
      </c>
      <c r="CP18">
        <f ca="1" t="shared" si="67"/>
        <v>283313.230510076</v>
      </c>
      <c r="CQ18">
        <f ca="1" t="shared" si="52"/>
        <v>1.8815754648</v>
      </c>
      <c r="CR18">
        <f ca="1">IF(G18="恒定伤害",0,(IF(D18="轻剑",$CR$8,$CR$9)+IFERROR(INDEX(技能数据库!$T$2:$W$27,MATCH(E18,技能数据库!$T$2:$T$27,0),4),0)+COUNTIF(G18,"*造化2*")*154+COUNTIF(G18,"*造化1*")*102+COUNTIF(G18,"*碧归*")*307)/1024)</f>
        <v>0.157336896929785</v>
      </c>
      <c r="CS18">
        <f ca="1" t="shared" si="68"/>
        <v>267118.587897917</v>
      </c>
      <c r="CV18" t="s">
        <v>2654</v>
      </c>
      <c r="CW18">
        <f ca="1">AI6</f>
        <v>14639126.8787802</v>
      </c>
      <c r="CX18" s="164">
        <f ca="1" t="shared" si="69"/>
        <v>0.0978994559977795</v>
      </c>
      <c r="CY18">
        <f ca="1" t="shared" si="70"/>
        <v>7</v>
      </c>
      <c r="CZ18">
        <v>9</v>
      </c>
      <c r="DA18" t="str">
        <f ca="1" t="shared" si="71"/>
        <v>天策阵</v>
      </c>
      <c r="DB18" s="164">
        <f ca="1" t="shared" si="72"/>
        <v>0.0904900996586133</v>
      </c>
    </row>
    <row r="19" spans="4:106">
      <c r="D19" t="s">
        <v>1028</v>
      </c>
      <c r="E19" t="s">
        <v>2741</v>
      </c>
      <c r="G19" t="s">
        <v>3014</v>
      </c>
      <c r="H19">
        <f ca="1">INDEX(技能数据库!$B$2:$I$100,MATCH(阵眼收益计算!$E19,技能数据库!$B$2:$B$100,0),MATCH(H$9,技能数据库!$B$2:$I$2,0))</f>
        <v>68.5</v>
      </c>
      <c r="I19">
        <f ca="1">INDEX(技能数据库!$B$2:$I$100,MATCH(阵眼收益计算!$E19,技能数据库!$B$2:$B$100,0),MATCH(I$9,技能数据库!$B$2:$I$2,0))</f>
        <v>0.325</v>
      </c>
      <c r="J19">
        <f ca="1">INDEX(技能数据库!$B$2:$I$100,MATCH(阵眼收益计算!$E19,技能数据库!$B$2:$B$100,0),MATCH(J$9,技能数据库!$B$2:$I$2,0))</f>
        <v>1</v>
      </c>
      <c r="K19">
        <f ca="1">INDEX(技能数据库!$B$2:$I$100,MATCH(阵眼收益计算!$E19,技能数据库!$B$2:$B$100,0),MATCH(K$9,技能数据库!$B$2:$I$2,0))</f>
        <v>0</v>
      </c>
      <c r="L19">
        <f ca="1" t="shared" si="13"/>
        <v>105847</v>
      </c>
      <c r="M19">
        <f ca="1" t="shared" si="73"/>
        <v>12694.5</v>
      </c>
      <c r="N19">
        <f ca="1" t="shared" si="74"/>
        <v>92028</v>
      </c>
      <c r="O19">
        <f ca="1" t="shared" si="53"/>
        <v>47163.275</v>
      </c>
      <c r="P19">
        <f ca="1">IF(G19="恒定伤害",0,(IF(D19="轻剑",$AZ$2,$AZ$3)+IFERROR(INDEX(技能数据库!$T$2:$W$27,MATCH(E19,技能数据库!$T$2:$T$27,0),4),0)+COUNTIF(G19,"*造化2*")*154+COUNTIF(G19,"*造化1*")*102+COUNTIF(G19,"*碧归*")*307)/1024)</f>
        <v>0.106555646929785</v>
      </c>
      <c r="Q19">
        <f ca="1" t="shared" si="14"/>
        <v>0.448284482196154</v>
      </c>
      <c r="R19">
        <f ca="1" t="shared" si="54"/>
        <v>0.21277697966198</v>
      </c>
      <c r="S19">
        <f ca="1" t="shared" si="75"/>
        <v>59501.6318250602</v>
      </c>
      <c r="T19">
        <f t="shared" si="76"/>
        <v>0.8</v>
      </c>
      <c r="U19">
        <f ca="1" t="shared" si="15"/>
        <v>1.7800129648</v>
      </c>
      <c r="V19">
        <f ca="1" t="shared" si="77"/>
        <v>132332.246320339</v>
      </c>
      <c r="W19">
        <f ca="1">IF(G19="恒定伤害",0,MIN(1,IF(COUNTIF(F19,"*内会*")&gt;0,内会2,IF(D19="轻剑",$Y$2,$Y$3)+COUNTIF(G19,"*莺鸣*")*0.2+COUNTIF(G19,"*叠1*")*0.1+COUNTIF(G19,"*叠2*")*0.2+COUNTIF(G19,"*叠3*")*0.3)+IFERROR(INDEX(技能数据库!$T$2:$W$27,MATCH(E19,技能数据库!$T$2:$T$27,0),2),0)+IF((IF(D19="轻剑",$AO$2,$AO$3)+INT(COUNTIF(G19,"*大莺鸣*")*IF(D19="轻剑",$AM$2,$AM$3)*听晓无双率)/无双系数)&gt;0.9,特效裤子会心/会心系数,0)))</f>
        <v>0.9043</v>
      </c>
      <c r="X19">
        <f ca="1">IF(G19="恒定伤害",0,IF(COUNTIF(F19,"*内会*")&gt;0,内会效2,IF(D19="轻剑",$AB$2,$AB$3))+IFERROR(INDEX(技能数据库!$T$2:$W$27,MATCH(E19,技能数据库!$T$2:$T$27,0),3)/1024,0))+COUNTIF(G19,"*叠1*")*0.25+COUNTIF(G19,"*叠2*")*0.5+COUNTIF(G19,"*叠3*")*0.75</f>
        <v>2.1712723116</v>
      </c>
      <c r="Y19">
        <f ca="1" t="shared" si="78"/>
        <v>2.05918155137988</v>
      </c>
      <c r="Z19">
        <f t="shared" si="16"/>
        <v>0.150390625</v>
      </c>
      <c r="AA19">
        <f ca="1" t="shared" si="79"/>
        <v>0.0205078125</v>
      </c>
      <c r="AB19">
        <f ca="1" t="shared" si="80"/>
        <v>319905.709286064</v>
      </c>
      <c r="AC19">
        <f ca="1">技能数计算!$AJ11</f>
        <v>0</v>
      </c>
      <c r="AD19" s="164">
        <f ca="1" t="shared" si="81"/>
        <v>0</v>
      </c>
      <c r="AE19" s="168"/>
      <c r="AF19" s="168">
        <f ca="1" t="shared" si="17"/>
        <v>0.9057</v>
      </c>
      <c r="AG19">
        <f ca="1">技能数计算!$AJ11</f>
        <v>0</v>
      </c>
      <c r="AH19">
        <f ca="1" t="shared" si="18"/>
        <v>109879</v>
      </c>
      <c r="AJ19">
        <f ca="1" t="shared" si="55"/>
        <v>2.3704910616</v>
      </c>
      <c r="AK19">
        <f ca="1" t="shared" si="56"/>
        <v>48712.175</v>
      </c>
      <c r="AL19">
        <f ca="1" t="shared" si="19"/>
        <v>359725.621368418</v>
      </c>
      <c r="AM19" s="169">
        <f ca="1" t="shared" si="20"/>
        <v>0.9272</v>
      </c>
      <c r="AN19">
        <f ca="1">技能数计算!$AJ11</f>
        <v>0</v>
      </c>
      <c r="AO19" s="170">
        <f ca="1" t="shared" si="21"/>
        <v>364454.90116376</v>
      </c>
      <c r="AP19">
        <f ca="1" t="shared" si="22"/>
        <v>110956</v>
      </c>
      <c r="AQ19" s="170">
        <f ca="1" t="shared" si="57"/>
        <v>48823.7</v>
      </c>
      <c r="AR19">
        <f ca="1" t="shared" si="23"/>
        <v>350597.097492902</v>
      </c>
      <c r="AS19">
        <f ca="1" t="shared" si="24"/>
        <v>0.9843</v>
      </c>
      <c r="AT19">
        <f ca="1">技能数计算!$AJ11</f>
        <v>0</v>
      </c>
      <c r="AU19">
        <f ca="1" t="shared" si="25"/>
        <v>2.3177566866</v>
      </c>
      <c r="AV19">
        <f ca="1" t="shared" si="26"/>
        <v>1.7995442148</v>
      </c>
      <c r="AW19">
        <f ca="1" t="shared" si="58"/>
        <v>359369.897738898</v>
      </c>
      <c r="AX19">
        <f ca="1" t="shared" si="27"/>
        <v>0.9743</v>
      </c>
      <c r="AY19">
        <f ca="1">技能数计算!$AJ11</f>
        <v>0</v>
      </c>
      <c r="AZ19" s="170">
        <f ca="1" t="shared" si="59"/>
        <v>357308.303981294</v>
      </c>
      <c r="BA19">
        <f ca="1" t="shared" si="28"/>
        <v>0.9643</v>
      </c>
      <c r="BB19">
        <f ca="1">技能数计算!$AJ11</f>
        <v>0</v>
      </c>
      <c r="BC19" s="170">
        <f ca="1" t="shared" si="60"/>
        <v>355246.710223689</v>
      </c>
      <c r="BE19">
        <f ca="1" t="shared" si="29"/>
        <v>105849</v>
      </c>
      <c r="BF19">
        <f ca="1" t="shared" si="30"/>
        <v>47163.925</v>
      </c>
      <c r="BI19">
        <f ca="1" t="shared" si="31"/>
        <v>0.9543</v>
      </c>
      <c r="BJ19">
        <f ca="1">技能数计算!$AJ11</f>
        <v>0</v>
      </c>
      <c r="BK19">
        <f ca="1" t="shared" si="32"/>
        <v>351149.451119043</v>
      </c>
      <c r="BM19">
        <f ca="1" t="shared" si="33"/>
        <v>109230</v>
      </c>
      <c r="BN19">
        <f ca="1" t="shared" si="34"/>
        <v>48262.75</v>
      </c>
      <c r="BO19">
        <f ca="1" t="shared" si="35"/>
        <v>353547.381348504</v>
      </c>
      <c r="BP19">
        <f ca="1" t="shared" si="36"/>
        <v>337157.749094186</v>
      </c>
      <c r="BR19">
        <f ca="1" t="shared" si="37"/>
        <v>0.9543</v>
      </c>
      <c r="BS19">
        <f ca="1" t="shared" si="38"/>
        <v>349182.697830037</v>
      </c>
      <c r="BT19">
        <f ca="1" t="shared" si="39"/>
        <v>0.196995876306796</v>
      </c>
      <c r="BU19">
        <f ca="1" t="shared" si="40"/>
        <v>2.3177566866</v>
      </c>
      <c r="BV19">
        <f ca="1" t="shared" si="61"/>
        <v>357751.838391622</v>
      </c>
      <c r="BW19">
        <f ca="1" t="shared" si="41"/>
        <v>113027</v>
      </c>
      <c r="BX19">
        <f ca="1" t="shared" si="42"/>
        <v>49496.775</v>
      </c>
      <c r="BY19">
        <f ca="1" t="shared" si="43"/>
        <v>0.9343</v>
      </c>
      <c r="BZ19">
        <f ca="1">技能数计算!$AJ11</f>
        <v>0</v>
      </c>
      <c r="CA19">
        <f ca="1" t="shared" si="44"/>
        <v>2.3216629366</v>
      </c>
      <c r="CB19">
        <f ca="1" t="shared" si="62"/>
        <v>364371.777632264</v>
      </c>
      <c r="CC19">
        <f ca="1" t="shared" si="45"/>
        <v>114847</v>
      </c>
      <c r="CD19">
        <f ca="1" t="shared" si="46"/>
        <v>50088.275</v>
      </c>
      <c r="CE19">
        <f ca="1" t="shared" si="47"/>
        <v>355881.571974267</v>
      </c>
      <c r="CF19">
        <f ca="1" t="shared" si="48"/>
        <v>2.2689285616</v>
      </c>
      <c r="CG19">
        <f ca="1" t="shared" si="49"/>
        <v>0.9343</v>
      </c>
      <c r="CH19">
        <f ca="1" t="shared" si="63"/>
        <v>341924.788250221</v>
      </c>
      <c r="CJ19">
        <f ca="1" t="shared" si="50"/>
        <v>48262.75</v>
      </c>
      <c r="CK19">
        <f ca="1" t="shared" si="51"/>
        <v>351945.830979903</v>
      </c>
      <c r="CL19">
        <f ca="1" t="shared" si="64"/>
        <v>2.2915848116</v>
      </c>
      <c r="CM19">
        <f ca="1">IF(G19="恒定伤害",0,(IF(D19="轻剑",$CM$8,$CM$9)+IFERROR(INDEX(技能数据库!$T$2:$W$27,MATCH(E19,技能数据库!$T$2:$T$27,0),4),0)+COUNTIF(G19,"*造化2*")*154+COUNTIF(G19,"*造化1*")*102+COUNTIF(G19,"*碧归*")*307)/1024)</f>
        <v>0.167102521929785</v>
      </c>
      <c r="CN19">
        <f ca="1" t="shared" si="65"/>
        <v>364126.557352844</v>
      </c>
      <c r="CO19">
        <f ca="1" t="shared" si="66"/>
        <v>2.3156473116</v>
      </c>
      <c r="CP19">
        <f ca="1" t="shared" si="67"/>
        <v>367836.188303245</v>
      </c>
      <c r="CQ19">
        <f ca="1" t="shared" si="52"/>
        <v>1.8815754648</v>
      </c>
      <c r="CR19">
        <f ca="1">IF(G19="恒定伤害",0,(IF(D19="轻剑",$CR$8,$CR$9)+IFERROR(INDEX(技能数据库!$T$2:$W$27,MATCH(E19,技能数据库!$T$2:$T$27,0),4),0)+COUNTIF(G19,"*造化2*")*154+COUNTIF(G19,"*造化1*")*102+COUNTIF(G19,"*碧归*")*307)/1024)</f>
        <v>0.157336896929785</v>
      </c>
      <c r="CS19">
        <f ca="1" t="shared" si="68"/>
        <v>346810.07667879</v>
      </c>
      <c r="CV19" t="s">
        <v>2676</v>
      </c>
      <c r="CW19">
        <f ca="1">CE6</f>
        <v>14610864.9859952</v>
      </c>
      <c r="CX19" s="164">
        <f ca="1" t="shared" si="69"/>
        <v>0.0957798817245905</v>
      </c>
      <c r="CY19">
        <f ca="1" t="shared" si="70"/>
        <v>8</v>
      </c>
      <c r="CZ19">
        <v>10</v>
      </c>
      <c r="DA19" t="str">
        <f ca="1" t="shared" si="71"/>
        <v>天罗阵</v>
      </c>
      <c r="DB19" s="164">
        <f ca="1" t="shared" si="72"/>
        <v>0.0875617019736379</v>
      </c>
    </row>
    <row r="20" spans="4:106">
      <c r="D20" t="s">
        <v>1028</v>
      </c>
      <c r="E20" t="s">
        <v>2754</v>
      </c>
      <c r="H20">
        <f ca="1">INDEX(技能数据库!$B$2:$I$100,MATCH(阵眼收益计算!$E20,技能数据库!$B$2:$B$100,0),MATCH(H$9,技能数据库!$B$2:$I$2,0))</f>
        <v>0</v>
      </c>
      <c r="I20">
        <f ca="1">INDEX(技能数据库!$B$2:$I$100,MATCH(阵眼收益计算!$E20,技能数据库!$B$2:$B$100,0),MATCH(I$9,技能数据库!$B$2:$I$2,0))</f>
        <v>0.10625</v>
      </c>
      <c r="J20">
        <f ca="1">INDEX(技能数据库!$B$2:$I$100,MATCH(阵眼收益计算!$E20,技能数据库!$B$2:$B$100,0),MATCH(J$9,技能数据库!$B$2:$I$2,0))</f>
        <v>1</v>
      </c>
      <c r="K20">
        <f ca="1">INDEX(技能数据库!$B$2:$I$100,MATCH(阵眼收益计算!$E20,技能数据库!$B$2:$B$100,0),MATCH(K$9,技能数据库!$B$2:$I$2,0))</f>
        <v>0</v>
      </c>
      <c r="L20">
        <f ca="1" t="shared" si="13"/>
        <v>91975</v>
      </c>
      <c r="M20">
        <f ca="1" t="shared" si="73"/>
        <v>12694.5</v>
      </c>
      <c r="N20">
        <f ca="1" t="shared" si="74"/>
        <v>92028</v>
      </c>
      <c r="O20">
        <f ca="1" t="shared" si="53"/>
        <v>22466.84375</v>
      </c>
      <c r="P20">
        <f ca="1">IF(G20="恒定伤害",0,(IF(D20="轻剑",$AZ$2,$AZ$3)+IFERROR(INDEX(技能数据库!$T$2:$W$27,MATCH(E20,技能数据库!$T$2:$T$27,0),4),0)+COUNTIF(G20,"*造化2*")*154+COUNTIF(G20,"*造化1*")*102+COUNTIF(G20,"*碧归*")*307)/1024)</f>
        <v>0.215930646929785</v>
      </c>
      <c r="Q20">
        <f ca="1" t="shared" si="14"/>
        <v>0.448284482196154</v>
      </c>
      <c r="R20">
        <f ca="1" t="shared" si="54"/>
        <v>0.32958230397716</v>
      </c>
      <c r="S20">
        <f ca="1" t="shared" si="75"/>
        <v>26524.6838566089</v>
      </c>
      <c r="T20">
        <f t="shared" si="76"/>
        <v>0.8</v>
      </c>
      <c r="U20">
        <f ca="1" t="shared" si="15"/>
        <v>1.7800129648</v>
      </c>
      <c r="V20">
        <f ca="1" t="shared" si="77"/>
        <v>58991.1720068753</v>
      </c>
      <c r="W20">
        <f ca="1">IF(G20="恒定伤害",0,MIN(1,IF(COUNTIF(F20,"*内会*")&gt;0,内会2,IF(D20="轻剑",$Y$2,$Y$3)+COUNTIF(G20,"*莺鸣*")*0.2+COUNTIF(G20,"*叠1*")*0.1+COUNTIF(G20,"*叠2*")*0.2+COUNTIF(G20,"*叠3*")*0.3)+IFERROR(INDEX(技能数据库!$T$2:$W$27,MATCH(E20,技能数据库!$T$2:$T$27,0),2),0)+IF((IF(D20="轻剑",$AO$2,$AO$3)+INT(COUNTIF(G20,"*大莺鸣*")*IF(D20="轻剑",$AM$2,$AM$3)*听晓无双率)/无双系数)&gt;0.9,特效裤子会心/会心系数,0)))</f>
        <v>0.7043</v>
      </c>
      <c r="X20">
        <f ca="1">IF(G20="恒定伤害",0,IF(COUNTIF(F20,"*内会*")&gt;0,内会效2,IF(D20="轻剑",$AB$2,$AB$3))+IFERROR(INDEX(技能数据库!$T$2:$W$27,MATCH(E20,技能数据库!$T$2:$T$27,0),3)/1024,0))+COUNTIF(G20,"*叠1*")*0.25+COUNTIF(G20,"*叠2*")*0.5+COUNTIF(G20,"*叠3*")*0.75</f>
        <v>2.1712723116</v>
      </c>
      <c r="Y20">
        <f ca="1" t="shared" si="78"/>
        <v>1.82492708905988</v>
      </c>
      <c r="Z20">
        <f t="shared" si="16"/>
        <v>0.150390625</v>
      </c>
      <c r="AA20">
        <f ca="1" t="shared" si="79"/>
        <v>0.0205078125</v>
      </c>
      <c r="AB20">
        <f ca="1" t="shared" si="80"/>
        <v>126384.615078827</v>
      </c>
      <c r="AC20">
        <f ca="1">技能数计算!$AJ12</f>
        <v>0</v>
      </c>
      <c r="AD20" s="164">
        <f ca="1" t="shared" si="81"/>
        <v>0</v>
      </c>
      <c r="AE20" s="168"/>
      <c r="AF20" s="168">
        <f ca="1" t="shared" si="17"/>
        <v>0.7057</v>
      </c>
      <c r="AG20">
        <f ca="1">技能数计算!$AJ12</f>
        <v>0</v>
      </c>
      <c r="AH20">
        <f ca="1" t="shared" si="18"/>
        <v>96007</v>
      </c>
      <c r="AJ20">
        <f ca="1" t="shared" si="55"/>
        <v>2.3704910616</v>
      </c>
      <c r="AK20">
        <f ca="1" t="shared" si="56"/>
        <v>23133.74375</v>
      </c>
      <c r="AL20">
        <f ca="1" t="shared" si="19"/>
        <v>140317.12289871</v>
      </c>
      <c r="AM20" s="169">
        <f ca="1" t="shared" si="20"/>
        <v>0.7272</v>
      </c>
      <c r="AN20">
        <f ca="1">技能数计算!$AJ12</f>
        <v>0</v>
      </c>
      <c r="AO20" s="170">
        <f ca="1" t="shared" si="21"/>
        <v>142418.899911199</v>
      </c>
      <c r="AP20">
        <f ca="1" t="shared" si="22"/>
        <v>97084</v>
      </c>
      <c r="AQ20" s="170">
        <f ca="1" t="shared" si="57"/>
        <v>23009.675</v>
      </c>
      <c r="AR20">
        <f ca="1" t="shared" si="23"/>
        <v>137032.071012884</v>
      </c>
      <c r="AS20">
        <f ca="1" t="shared" si="24"/>
        <v>0.7843</v>
      </c>
      <c r="AT20">
        <f ca="1">技能数计算!$AJ12</f>
        <v>0</v>
      </c>
      <c r="AU20">
        <f ca="1" t="shared" si="25"/>
        <v>2.3177566866</v>
      </c>
      <c r="AV20">
        <f ca="1" t="shared" si="26"/>
        <v>1.7995442148</v>
      </c>
      <c r="AW20">
        <f ca="1" t="shared" si="58"/>
        <v>141819.815911802</v>
      </c>
      <c r="AX20">
        <f ca="1" t="shared" si="27"/>
        <v>0.7743</v>
      </c>
      <c r="AY20">
        <f ca="1">技能数计算!$AJ12</f>
        <v>0</v>
      </c>
      <c r="AZ20" s="170">
        <f ca="1" t="shared" si="59"/>
        <v>140900.797038135</v>
      </c>
      <c r="BA20">
        <f ca="1" t="shared" si="28"/>
        <v>0.7643</v>
      </c>
      <c r="BB20">
        <f ca="1">技能数计算!$AJ12</f>
        <v>0</v>
      </c>
      <c r="BC20" s="170">
        <f ca="1" t="shared" si="60"/>
        <v>139981.778164468</v>
      </c>
      <c r="BE20">
        <f ca="1" t="shared" si="29"/>
        <v>91977</v>
      </c>
      <c r="BF20">
        <f ca="1" t="shared" si="30"/>
        <v>22467.05625</v>
      </c>
      <c r="BI20">
        <f ca="1" t="shared" si="31"/>
        <v>0.7543</v>
      </c>
      <c r="BJ20">
        <f ca="1">技能数计算!$AJ12</f>
        <v>0</v>
      </c>
      <c r="BK20">
        <f ca="1" t="shared" si="32"/>
        <v>139219.874567563</v>
      </c>
      <c r="BM20">
        <f ca="1" t="shared" si="33"/>
        <v>95358</v>
      </c>
      <c r="BN20">
        <f ca="1" t="shared" si="34"/>
        <v>22826.2875</v>
      </c>
      <c r="BO20">
        <f ca="1" t="shared" si="35"/>
        <v>138677.164290067</v>
      </c>
      <c r="BP20">
        <f ca="1" t="shared" si="36"/>
        <v>132248.414298717</v>
      </c>
      <c r="BR20">
        <f ca="1" t="shared" si="37"/>
        <v>0.7543</v>
      </c>
      <c r="BS20">
        <f ca="1" t="shared" si="38"/>
        <v>137451.329977832</v>
      </c>
      <c r="BT20">
        <f ca="1" t="shared" si="39"/>
        <v>0.318170800459405</v>
      </c>
      <c r="BU20">
        <f ca="1" t="shared" si="40"/>
        <v>2.3177566866</v>
      </c>
      <c r="BV20">
        <f ca="1" t="shared" si="61"/>
        <v>140443.117001345</v>
      </c>
      <c r="BW20">
        <f ca="1" t="shared" si="41"/>
        <v>99155</v>
      </c>
      <c r="BX20">
        <f ca="1" t="shared" si="42"/>
        <v>23229.71875</v>
      </c>
      <c r="BY20">
        <f ca="1" t="shared" si="43"/>
        <v>0.7343</v>
      </c>
      <c r="BZ20">
        <f ca="1">技能数计算!$AJ12</f>
        <v>0</v>
      </c>
      <c r="CA20">
        <f ca="1" t="shared" si="44"/>
        <v>2.3216629366</v>
      </c>
      <c r="CB20">
        <f ca="1" t="shared" si="62"/>
        <v>141099.793371777</v>
      </c>
      <c r="CC20">
        <f ca="1" t="shared" si="45"/>
        <v>100975</v>
      </c>
      <c r="CD20">
        <f ca="1" t="shared" si="46"/>
        <v>23423.09375</v>
      </c>
      <c r="CE20">
        <f ca="1" t="shared" si="47"/>
        <v>138319.085997089</v>
      </c>
      <c r="CF20">
        <f ca="1" t="shared" si="48"/>
        <v>2.2689285616</v>
      </c>
      <c r="CG20">
        <f ca="1" t="shared" si="49"/>
        <v>0.7343</v>
      </c>
      <c r="CH20">
        <f ca="1" t="shared" si="63"/>
        <v>134724.187464519</v>
      </c>
      <c r="CJ20">
        <f ca="1" t="shared" si="50"/>
        <v>22826.2875</v>
      </c>
      <c r="CK20">
        <f ca="1" t="shared" si="51"/>
        <v>138048.964293964</v>
      </c>
      <c r="CL20">
        <f ca="1" t="shared" si="64"/>
        <v>2.2915848116</v>
      </c>
      <c r="CM20">
        <f ca="1">IF(G20="恒定伤害",0,(IF(D20="轻剑",$CM$8,$CM$9)+IFERROR(INDEX(技能数据库!$T$2:$W$27,MATCH(E20,技能数据库!$T$2:$T$27,0),4),0)+COUNTIF(G20,"*造化2*")*154+COUNTIF(G20,"*造化1*")*102+COUNTIF(G20,"*碧归*")*307)/1024)</f>
        <v>0.276477521929785</v>
      </c>
      <c r="CN20">
        <f ca="1" t="shared" si="65"/>
        <v>142650.756973166</v>
      </c>
      <c r="CO20">
        <f ca="1" t="shared" si="66"/>
        <v>2.3156473116</v>
      </c>
      <c r="CP20">
        <f ca="1" t="shared" si="67"/>
        <v>143944.380316199</v>
      </c>
      <c r="CQ20">
        <f ca="1" t="shared" si="52"/>
        <v>1.8815754648</v>
      </c>
      <c r="CR20">
        <f ca="1">IF(G20="恒定伤害",0,(IF(D20="轻剑",$CR$8,$CR$9)+IFERROR(INDEX(技能数据库!$T$2:$W$27,MATCH(E20,技能数据库!$T$2:$T$27,0),4),0)+COUNTIF(G20,"*造化2*")*154+COUNTIF(G20,"*造化1*")*102+COUNTIF(G20,"*碧归*")*307)/1024)</f>
        <v>0.266711896929785</v>
      </c>
      <c r="CS20">
        <f ca="1" t="shared" si="68"/>
        <v>136472.903426154</v>
      </c>
      <c r="CV20" t="s">
        <v>3167</v>
      </c>
      <c r="CW20">
        <f ca="1">BO6</f>
        <v>14670499.511889</v>
      </c>
      <c r="CX20" s="164">
        <f ca="1" t="shared" si="69"/>
        <v>0.10025232834519</v>
      </c>
      <c r="CY20">
        <f ca="1" t="shared" si="70"/>
        <v>6</v>
      </c>
      <c r="CZ20">
        <v>11</v>
      </c>
      <c r="DA20" t="str">
        <f ca="1" t="shared" si="71"/>
        <v>剑纯阵(5层)</v>
      </c>
      <c r="DB20" s="164">
        <f ca="1" t="shared" si="72"/>
        <v>0.0834927554354592</v>
      </c>
    </row>
    <row r="21" spans="4:106">
      <c r="D21" t="s">
        <v>1028</v>
      </c>
      <c r="E21" t="s">
        <v>2754</v>
      </c>
      <c r="G21" t="s">
        <v>2750</v>
      </c>
      <c r="H21">
        <f ca="1">INDEX(技能数据库!$B$2:$I$100,MATCH(阵眼收益计算!$E21,技能数据库!$B$2:$B$100,0),MATCH(H$9,技能数据库!$B$2:$I$2,0))</f>
        <v>0</v>
      </c>
      <c r="I21">
        <f ca="1">INDEX(技能数据库!$B$2:$I$100,MATCH(阵眼收益计算!$E21,技能数据库!$B$2:$B$100,0),MATCH(I$9,技能数据库!$B$2:$I$2,0))</f>
        <v>0.10625</v>
      </c>
      <c r="J21">
        <f ca="1">INDEX(技能数据库!$B$2:$I$100,MATCH(阵眼收益计算!$E21,技能数据库!$B$2:$B$100,0),MATCH(J$9,技能数据库!$B$2:$I$2,0))</f>
        <v>1</v>
      </c>
      <c r="K21">
        <f ca="1">INDEX(技能数据库!$B$2:$I$100,MATCH(阵眼收益计算!$E21,技能数据库!$B$2:$B$100,0),MATCH(K$9,技能数据库!$B$2:$I$2,0))</f>
        <v>0</v>
      </c>
      <c r="L21">
        <f ca="1" t="shared" si="13"/>
        <v>105847</v>
      </c>
      <c r="M21">
        <f ca="1" t="shared" si="73"/>
        <v>12694.5</v>
      </c>
      <c r="N21">
        <f ca="1" t="shared" si="74"/>
        <v>92028</v>
      </c>
      <c r="O21">
        <f ca="1" t="shared" si="53"/>
        <v>23940.74375</v>
      </c>
      <c r="P21">
        <f ca="1">IF(G21="恒定伤害",0,(IF(D21="轻剑",$AZ$2,$AZ$3)+IFERROR(INDEX(技能数据库!$T$2:$W$27,MATCH(E21,技能数据库!$T$2:$T$27,0),4),0)+COUNTIF(G21,"*造化2*")*154+COUNTIF(G21,"*造化1*")*102+COUNTIF(G21,"*碧归*")*307)/1024)</f>
        <v>0.215930646929785</v>
      </c>
      <c r="Q21">
        <f ca="1" t="shared" si="14"/>
        <v>0.448284482196154</v>
      </c>
      <c r="R21">
        <f ca="1" t="shared" si="54"/>
        <v>0.21277697966198</v>
      </c>
      <c r="S21">
        <f ca="1" t="shared" si="75"/>
        <v>33189.301000243</v>
      </c>
      <c r="T21">
        <f t="shared" si="76"/>
        <v>0.8</v>
      </c>
      <c r="U21">
        <f ca="1" t="shared" si="15"/>
        <v>1.7800129648</v>
      </c>
      <c r="V21">
        <f ca="1" t="shared" si="77"/>
        <v>73813.3496586602</v>
      </c>
      <c r="W21">
        <f ca="1">IF(G21="恒定伤害",0,MIN(1,IF(COUNTIF(F21,"*内会*")&gt;0,内会2,IF(D21="轻剑",$Y$2,$Y$3)+COUNTIF(G21,"*莺鸣*")*0.2+COUNTIF(G21,"*叠1*")*0.1+COUNTIF(G21,"*叠2*")*0.2+COUNTIF(G21,"*叠3*")*0.3)+IFERROR(INDEX(技能数据库!$T$2:$W$27,MATCH(E21,技能数据库!$T$2:$T$27,0),2),0)+IF((IF(D21="轻剑",$AO$2,$AO$3)+INT(COUNTIF(G21,"*大莺鸣*")*IF(D21="轻剑",$AM$2,$AM$3)*听晓无双率)/无双系数)&gt;0.9,特效裤子会心/会心系数,0)))</f>
        <v>0.7043</v>
      </c>
      <c r="X21">
        <f ca="1">IF(G21="恒定伤害",0,IF(COUNTIF(F21,"*内会*")&gt;0,内会效2,IF(D21="轻剑",$AB$2,$AB$3))+IFERROR(INDEX(技能数据库!$T$2:$W$27,MATCH(E21,技能数据库!$T$2:$T$27,0),3)/1024,0))+COUNTIF(G21,"*叠1*")*0.25+COUNTIF(G21,"*叠2*")*0.5+COUNTIF(G21,"*叠3*")*0.75</f>
        <v>2.1712723116</v>
      </c>
      <c r="Y21">
        <f ca="1" t="shared" si="78"/>
        <v>1.82492708905988</v>
      </c>
      <c r="Z21">
        <f t="shared" si="16"/>
        <v>0.150390625</v>
      </c>
      <c r="AA21">
        <f ca="1" t="shared" si="79"/>
        <v>0.0205078125</v>
      </c>
      <c r="AB21">
        <f ca="1" t="shared" si="80"/>
        <v>158140.132954154</v>
      </c>
      <c r="AC21">
        <f ca="1">技能数计算!$AJ13</f>
        <v>8</v>
      </c>
      <c r="AD21" s="164">
        <f ca="1" t="shared" si="81"/>
        <v>0.000453563984303841</v>
      </c>
      <c r="AE21" s="168"/>
      <c r="AF21" s="168">
        <f ca="1" t="shared" si="17"/>
        <v>0.7057</v>
      </c>
      <c r="AG21">
        <f ca="1">技能数计算!$AJ13</f>
        <v>8</v>
      </c>
      <c r="AH21">
        <f ca="1" t="shared" si="18"/>
        <v>109879</v>
      </c>
      <c r="AJ21">
        <f ca="1" t="shared" si="55"/>
        <v>2.3704910616</v>
      </c>
      <c r="AK21">
        <f ca="1" t="shared" si="56"/>
        <v>24607.64375</v>
      </c>
      <c r="AL21">
        <f ca="1" t="shared" si="19"/>
        <v>175261.731348964</v>
      </c>
      <c r="AM21" s="169">
        <f ca="1" t="shared" si="20"/>
        <v>0.7272</v>
      </c>
      <c r="AN21">
        <f ca="1">技能数计算!$AJ13</f>
        <v>8</v>
      </c>
      <c r="AO21" s="170">
        <f ca="1" t="shared" si="21"/>
        <v>177886.935390413</v>
      </c>
      <c r="AP21">
        <f ca="1" t="shared" si="22"/>
        <v>110956</v>
      </c>
      <c r="AQ21" s="170">
        <f ca="1" t="shared" si="57"/>
        <v>24483.575</v>
      </c>
      <c r="AR21">
        <f ca="1" t="shared" si="23"/>
        <v>171213.846909468</v>
      </c>
      <c r="AS21">
        <f ca="1" t="shared" si="24"/>
        <v>0.7843</v>
      </c>
      <c r="AT21">
        <f ca="1">技能数计算!$AJ13</f>
        <v>8</v>
      </c>
      <c r="AU21">
        <f ca="1" t="shared" si="25"/>
        <v>2.3177566866</v>
      </c>
      <c r="AV21">
        <f ca="1" t="shared" si="26"/>
        <v>1.7995442148</v>
      </c>
      <c r="AW21">
        <f ca="1" t="shared" si="58"/>
        <v>177453.596941668</v>
      </c>
      <c r="AX21">
        <f ca="1" t="shared" si="27"/>
        <v>0.7743</v>
      </c>
      <c r="AY21">
        <f ca="1">技能数计算!$AJ13</f>
        <v>8</v>
      </c>
      <c r="AZ21" s="170">
        <f ca="1" t="shared" si="59"/>
        <v>176303.664516915</v>
      </c>
      <c r="BA21">
        <f ca="1" t="shared" si="28"/>
        <v>0.7643</v>
      </c>
      <c r="BB21">
        <f ca="1">技能数计算!$AJ13</f>
        <v>8</v>
      </c>
      <c r="BC21" s="170">
        <f ca="1" t="shared" si="60"/>
        <v>175153.732092162</v>
      </c>
      <c r="BE21">
        <f ca="1" t="shared" si="29"/>
        <v>105849</v>
      </c>
      <c r="BF21">
        <f ca="1" t="shared" si="30"/>
        <v>23940.95625</v>
      </c>
      <c r="BI21">
        <f ca="1" t="shared" si="31"/>
        <v>0.7543</v>
      </c>
      <c r="BJ21">
        <f ca="1">技能数计算!$AJ13</f>
        <v>8</v>
      </c>
      <c r="BK21">
        <f ca="1" t="shared" si="32"/>
        <v>174200.290441118</v>
      </c>
      <c r="BM21">
        <f ca="1" t="shared" si="33"/>
        <v>109230</v>
      </c>
      <c r="BN21">
        <f ca="1" t="shared" si="34"/>
        <v>24300.1875</v>
      </c>
      <c r="BO21">
        <f ca="1" t="shared" si="35"/>
        <v>173353.099218989</v>
      </c>
      <c r="BP21">
        <f ca="1" t="shared" si="36"/>
        <v>165316.85373611</v>
      </c>
      <c r="BR21">
        <f ca="1" t="shared" si="37"/>
        <v>0.7543</v>
      </c>
      <c r="BS21">
        <f ca="1" t="shared" si="38"/>
        <v>171820.747600446</v>
      </c>
      <c r="BT21">
        <f ca="1" t="shared" si="39"/>
        <v>0.196995876306796</v>
      </c>
      <c r="BU21">
        <f ca="1" t="shared" si="40"/>
        <v>2.3177566866</v>
      </c>
      <c r="BV21">
        <f ca="1" t="shared" si="61"/>
        <v>176253.687700684</v>
      </c>
      <c r="BW21">
        <f ca="1" t="shared" si="41"/>
        <v>113027</v>
      </c>
      <c r="BX21">
        <f ca="1" t="shared" si="42"/>
        <v>24703.61875</v>
      </c>
      <c r="BY21">
        <f ca="1" t="shared" si="43"/>
        <v>0.7343</v>
      </c>
      <c r="BZ21">
        <f ca="1">技能数计算!$AJ13</f>
        <v>8</v>
      </c>
      <c r="CA21">
        <f ca="1" t="shared" si="44"/>
        <v>2.3216629366</v>
      </c>
      <c r="CB21">
        <f ca="1" t="shared" si="62"/>
        <v>176195.70535648</v>
      </c>
      <c r="CC21">
        <f ca="1" t="shared" si="45"/>
        <v>114847</v>
      </c>
      <c r="CD21">
        <f ca="1" t="shared" si="46"/>
        <v>24896.99375</v>
      </c>
      <c r="CE21">
        <f ca="1" t="shared" si="47"/>
        <v>172638.272006336</v>
      </c>
      <c r="CF21">
        <f ca="1" t="shared" si="48"/>
        <v>2.2689285616</v>
      </c>
      <c r="CG21">
        <f ca="1" t="shared" si="49"/>
        <v>0.7343</v>
      </c>
      <c r="CH21">
        <f ca="1" t="shared" si="63"/>
        <v>168575.114182142</v>
      </c>
      <c r="CJ21">
        <f ca="1" t="shared" si="50"/>
        <v>24300.1875</v>
      </c>
      <c r="CK21">
        <f ca="1" t="shared" si="51"/>
        <v>172567.819127553</v>
      </c>
      <c r="CL21">
        <f ca="1" t="shared" si="64"/>
        <v>2.2915848116</v>
      </c>
      <c r="CM21">
        <f ca="1">IF(G21="恒定伤害",0,(IF(D21="轻剑",$CM$8,$CM$9)+IFERROR(INDEX(技能数据库!$T$2:$W$27,MATCH(E21,技能数据库!$T$2:$T$27,0),4),0)+COUNTIF(G21,"*造化2*")*154+COUNTIF(G21,"*造化1*")*102+COUNTIF(G21,"*碧归*")*307)/1024)</f>
        <v>0.276477521929785</v>
      </c>
      <c r="CN21">
        <f ca="1" t="shared" si="65"/>
        <v>178493.321039726</v>
      </c>
      <c r="CO21">
        <f ca="1" t="shared" si="66"/>
        <v>2.3156473116</v>
      </c>
      <c r="CP21">
        <f ca="1" t="shared" si="67"/>
        <v>180111.981406988</v>
      </c>
      <c r="CQ21">
        <f ca="1" t="shared" si="52"/>
        <v>1.8815754648</v>
      </c>
      <c r="CR21">
        <f ca="1">IF(G21="恒定伤害",0,(IF(D21="轻剑",$CR$8,$CR$9)+IFERROR(INDEX(技能数据库!$T$2:$W$27,MATCH(E21,技能数据库!$T$2:$T$27,0),4),0)+COUNTIF(G21,"*造化2*")*154+COUNTIF(G21,"*造化1*")*102+COUNTIF(G21,"*碧归*")*307)/1024)</f>
        <v>0.266711896929785</v>
      </c>
      <c r="CS21">
        <f ca="1" t="shared" si="68"/>
        <v>170763.214169625</v>
      </c>
      <c r="CV21" t="s">
        <v>2688</v>
      </c>
      <c r="CW21">
        <f ca="1">CS6</f>
        <v>14346082.723726</v>
      </c>
      <c r="CX21" s="164">
        <f ca="1" t="shared" si="69"/>
        <v>0.0759218461934861</v>
      </c>
      <c r="CY21">
        <f ca="1" t="shared" si="70"/>
        <v>15</v>
      </c>
      <c r="CZ21">
        <v>12</v>
      </c>
      <c r="DA21" t="str">
        <f ca="1" t="shared" si="71"/>
        <v>剑纯阵(4层)</v>
      </c>
      <c r="DB21" s="164">
        <f ca="1" t="shared" si="72"/>
        <v>0.0803691415278334</v>
      </c>
    </row>
    <row r="22" spans="4:106">
      <c r="D22" t="s">
        <v>1028</v>
      </c>
      <c r="E22" t="s">
        <v>2754</v>
      </c>
      <c r="G22" t="s">
        <v>2949</v>
      </c>
      <c r="H22">
        <f ca="1">INDEX(技能数据库!$B$2:$I$100,MATCH(阵眼收益计算!$E22,技能数据库!$B$2:$B$100,0),MATCH(H$9,技能数据库!$B$2:$I$2,0))</f>
        <v>0</v>
      </c>
      <c r="I22">
        <f ca="1">INDEX(技能数据库!$B$2:$I$100,MATCH(阵眼收益计算!$E22,技能数据库!$B$2:$B$100,0),MATCH(I$9,技能数据库!$B$2:$I$2,0))</f>
        <v>0.10625</v>
      </c>
      <c r="J22">
        <f ca="1">INDEX(技能数据库!$B$2:$I$100,MATCH(阵眼收益计算!$E22,技能数据库!$B$2:$B$100,0),MATCH(J$9,技能数据库!$B$2:$I$2,0))</f>
        <v>1</v>
      </c>
      <c r="K22">
        <f ca="1">INDEX(技能数据库!$B$2:$I$100,MATCH(阵眼收益计算!$E22,技能数据库!$B$2:$B$100,0),MATCH(K$9,技能数据库!$B$2:$I$2,0))</f>
        <v>0</v>
      </c>
      <c r="L22">
        <f ca="1" t="shared" si="13"/>
        <v>91975</v>
      </c>
      <c r="M22">
        <f ca="1" t="shared" si="73"/>
        <v>12694.5</v>
      </c>
      <c r="N22">
        <f ca="1" t="shared" si="74"/>
        <v>92028</v>
      </c>
      <c r="O22">
        <f ca="1" t="shared" si="53"/>
        <v>22466.84375</v>
      </c>
      <c r="P22">
        <f ca="1">IF(G22="恒定伤害",0,(IF(D22="轻剑",$AZ$2,$AZ$3)+IFERROR(INDEX(技能数据库!$T$2:$W$27,MATCH(E22,技能数据库!$T$2:$T$27,0),4),0)+COUNTIF(G22,"*造化2*")*154+COUNTIF(G22,"*造化1*")*102+COUNTIF(G22,"*碧归*")*307)/1024)</f>
        <v>0.215930646929785</v>
      </c>
      <c r="Q22">
        <f ca="1" t="shared" si="14"/>
        <v>0.448284482196154</v>
      </c>
      <c r="R22">
        <f ca="1" t="shared" si="54"/>
        <v>0.32958230397716</v>
      </c>
      <c r="S22">
        <f ca="1" t="shared" si="75"/>
        <v>26524.6838566089</v>
      </c>
      <c r="T22">
        <f t="shared" si="76"/>
        <v>0.8</v>
      </c>
      <c r="U22">
        <f ca="1" t="shared" si="15"/>
        <v>1.7800129648</v>
      </c>
      <c r="V22">
        <f ca="1" t="shared" si="77"/>
        <v>58991.1720068753</v>
      </c>
      <c r="W22">
        <f ca="1">IF(G22="恒定伤害",0,MIN(1,IF(COUNTIF(F22,"*内会*")&gt;0,内会2,IF(D22="轻剑",$Y$2,$Y$3)+COUNTIF(G22,"*莺鸣*")*0.2+COUNTIF(G22,"*叠1*")*0.1+COUNTIF(G22,"*叠2*")*0.2+COUNTIF(G22,"*叠3*")*0.3)+IFERROR(INDEX(技能数据库!$T$2:$W$27,MATCH(E22,技能数据库!$T$2:$T$27,0),2),0)+IF((IF(D22="轻剑",$AO$2,$AO$3)+INT(COUNTIF(G22,"*大莺鸣*")*IF(D22="轻剑",$AM$2,$AM$3)*听晓无双率)/无双系数)&gt;0.9,特效裤子会心/会心系数,0)))</f>
        <v>0.9043</v>
      </c>
      <c r="X22">
        <f ca="1">IF(G22="恒定伤害",0,IF(COUNTIF(F22,"*内会*")&gt;0,内会效2,IF(D22="轻剑",$AB$2,$AB$3))+IFERROR(INDEX(技能数据库!$T$2:$W$27,MATCH(E22,技能数据库!$T$2:$T$27,0),3)/1024,0))+COUNTIF(G22,"*叠1*")*0.25+COUNTIF(G22,"*叠2*")*0.5+COUNTIF(G22,"*叠3*")*0.75</f>
        <v>2.1712723116</v>
      </c>
      <c r="Y22">
        <f ca="1" t="shared" si="78"/>
        <v>2.05918155137988</v>
      </c>
      <c r="Z22">
        <f t="shared" si="16"/>
        <v>0.150390625</v>
      </c>
      <c r="AA22">
        <f ca="1" t="shared" si="79"/>
        <v>0.0205078125</v>
      </c>
      <c r="AB22">
        <f ca="1" t="shared" si="80"/>
        <v>142607.816667699</v>
      </c>
      <c r="AC22">
        <f ca="1">技能数计算!$AJ14</f>
        <v>0</v>
      </c>
      <c r="AD22" s="164">
        <f ca="1" t="shared" si="81"/>
        <v>0</v>
      </c>
      <c r="AE22" s="168"/>
      <c r="AF22" s="168">
        <f ca="1" t="shared" si="17"/>
        <v>0.9057</v>
      </c>
      <c r="AG22">
        <f ca="1">技能数计算!$AJ14</f>
        <v>0</v>
      </c>
      <c r="AH22">
        <f ca="1" t="shared" si="18"/>
        <v>96007</v>
      </c>
      <c r="AJ22">
        <f ca="1" t="shared" si="55"/>
        <v>2.3704910616</v>
      </c>
      <c r="AK22">
        <f ca="1" t="shared" si="56"/>
        <v>23133.74375</v>
      </c>
      <c r="AL22">
        <f ca="1" t="shared" si="19"/>
        <v>159868.536968374</v>
      </c>
      <c r="AM22" s="169">
        <f ca="1" t="shared" si="20"/>
        <v>0.9272</v>
      </c>
      <c r="AN22">
        <f ca="1">技能数计算!$AJ14</f>
        <v>0</v>
      </c>
      <c r="AO22" s="170">
        <f ca="1" t="shared" si="21"/>
        <v>161970.313980863</v>
      </c>
      <c r="AP22">
        <f ca="1" t="shared" si="22"/>
        <v>97084</v>
      </c>
      <c r="AQ22" s="170">
        <f ca="1" t="shared" si="57"/>
        <v>23009.675</v>
      </c>
      <c r="AR22">
        <f ca="1" t="shared" si="23"/>
        <v>154622.019843254</v>
      </c>
      <c r="AS22">
        <f ca="1" t="shared" si="24"/>
        <v>0.9843</v>
      </c>
      <c r="AT22">
        <f ca="1">技能数计算!$AJ14</f>
        <v>0</v>
      </c>
      <c r="AU22">
        <f ca="1" t="shared" si="25"/>
        <v>2.3177566866</v>
      </c>
      <c r="AV22">
        <f ca="1" t="shared" si="26"/>
        <v>1.7995442148</v>
      </c>
      <c r="AW22">
        <f ca="1" t="shared" si="58"/>
        <v>160200.193385142</v>
      </c>
      <c r="AX22">
        <f ca="1" t="shared" si="27"/>
        <v>0.9743</v>
      </c>
      <c r="AY22">
        <f ca="1">技能数计算!$AJ14</f>
        <v>0</v>
      </c>
      <c r="AZ22" s="170">
        <f ca="1" t="shared" si="59"/>
        <v>159281.174511475</v>
      </c>
      <c r="BA22">
        <f ca="1" t="shared" si="28"/>
        <v>0.9643</v>
      </c>
      <c r="BB22">
        <f ca="1">技能数计算!$AJ14</f>
        <v>0</v>
      </c>
      <c r="BC22" s="170">
        <f ca="1" t="shared" si="60"/>
        <v>158362.155637808</v>
      </c>
      <c r="BE22">
        <f ca="1" t="shared" si="29"/>
        <v>91977</v>
      </c>
      <c r="BF22">
        <f ca="1" t="shared" si="30"/>
        <v>22467.05625</v>
      </c>
      <c r="BI22">
        <f ca="1" t="shared" si="31"/>
        <v>0.9543</v>
      </c>
      <c r="BJ22">
        <f ca="1">技能数计算!$AJ14</f>
        <v>0</v>
      </c>
      <c r="BK22">
        <f ca="1" t="shared" si="32"/>
        <v>156534.999500615</v>
      </c>
      <c r="BM22">
        <f ca="1" t="shared" si="33"/>
        <v>95358</v>
      </c>
      <c r="BN22">
        <f ca="1" t="shared" si="34"/>
        <v>22826.2875</v>
      </c>
      <c r="BO22">
        <f ca="1" t="shared" si="35"/>
        <v>156478.283442486</v>
      </c>
      <c r="BP22">
        <f ca="1" t="shared" si="36"/>
        <v>149224.31507302</v>
      </c>
      <c r="BR22">
        <f ca="1" t="shared" si="37"/>
        <v>0.9543</v>
      </c>
      <c r="BS22">
        <f ca="1" t="shared" si="38"/>
        <v>154546.496585136</v>
      </c>
      <c r="BT22">
        <f ca="1" t="shared" si="39"/>
        <v>0.318170800459405</v>
      </c>
      <c r="BU22">
        <f ca="1" t="shared" si="40"/>
        <v>2.3177566866</v>
      </c>
      <c r="BV22">
        <f ca="1" t="shared" si="61"/>
        <v>159005.940845643</v>
      </c>
      <c r="BW22">
        <f ca="1" t="shared" si="41"/>
        <v>99155</v>
      </c>
      <c r="BX22">
        <f ca="1" t="shared" si="42"/>
        <v>23229.71875</v>
      </c>
      <c r="BY22">
        <f ca="1" t="shared" si="43"/>
        <v>0.9343</v>
      </c>
      <c r="BZ22">
        <f ca="1">技能数计算!$AJ14</f>
        <v>0</v>
      </c>
      <c r="CA22">
        <f ca="1" t="shared" si="44"/>
        <v>2.3216629366</v>
      </c>
      <c r="CB22">
        <f ca="1" t="shared" si="62"/>
        <v>160027.643384502</v>
      </c>
      <c r="CC22">
        <f ca="1" t="shared" si="45"/>
        <v>100975</v>
      </c>
      <c r="CD22">
        <f ca="1" t="shared" si="46"/>
        <v>23423.09375</v>
      </c>
      <c r="CE22">
        <f ca="1" t="shared" si="47"/>
        <v>155738.831337946</v>
      </c>
      <c r="CF22">
        <f ca="1" t="shared" si="48"/>
        <v>2.2689285616</v>
      </c>
      <c r="CG22">
        <f ca="1" t="shared" si="49"/>
        <v>0.9343</v>
      </c>
      <c r="CH22">
        <f ca="1" t="shared" si="63"/>
        <v>152423.498867056</v>
      </c>
      <c r="CJ22">
        <f ca="1" t="shared" si="50"/>
        <v>22826.2875</v>
      </c>
      <c r="CK22">
        <f ca="1" t="shared" si="51"/>
        <v>155769.445346812</v>
      </c>
      <c r="CL22">
        <f ca="1" t="shared" si="64"/>
        <v>2.2915848116</v>
      </c>
      <c r="CM22">
        <f ca="1">IF(G22="恒定伤害",0,(IF(D22="轻剑",$CM$8,$CM$9)+IFERROR(INDEX(技能数据库!$T$2:$W$27,MATCH(E22,技能数据库!$T$2:$T$27,0),4),0)+COUNTIF(G22,"*造化2*")*154+COUNTIF(G22,"*造化1*")*102+COUNTIF(G22,"*碧归*")*307)/1024)</f>
        <v>0.276477521929785</v>
      </c>
      <c r="CN22">
        <f ca="1" t="shared" si="65"/>
        <v>161563.150392242</v>
      </c>
      <c r="CO22">
        <f ca="1" t="shared" si="66"/>
        <v>2.3156473116</v>
      </c>
      <c r="CP22">
        <f ca="1" t="shared" si="67"/>
        <v>163209.11565085</v>
      </c>
      <c r="CQ22">
        <f ca="1" t="shared" si="52"/>
        <v>1.8815754648</v>
      </c>
      <c r="CR22">
        <f ca="1">IF(G22="恒定伤害",0,(IF(D22="轻剑",$CR$8,$CR$9)+IFERROR(INDEX(技能数据库!$T$2:$W$27,MATCH(E22,技能数据库!$T$2:$T$27,0),4),0)+COUNTIF(G22,"*造化2*")*154+COUNTIF(G22,"*造化1*")*102+COUNTIF(G22,"*碧归*")*307)/1024)</f>
        <v>0.266711896929785</v>
      </c>
      <c r="CS22">
        <f ca="1" t="shared" si="68"/>
        <v>153991.075415048</v>
      </c>
      <c r="CV22" t="s">
        <v>2668</v>
      </c>
      <c r="CW22">
        <f ca="1">BS6</f>
        <v>14303101.8005699</v>
      </c>
      <c r="CX22" s="164">
        <f ca="1" t="shared" si="69"/>
        <v>0.0726983798937471</v>
      </c>
      <c r="CY22">
        <f ca="1" t="shared" si="70"/>
        <v>16</v>
      </c>
      <c r="CZ22">
        <v>13</v>
      </c>
      <c r="DA22" t="str">
        <f ca="1" t="shared" si="71"/>
        <v>惊羽阵</v>
      </c>
      <c r="DB22" s="164">
        <f ca="1" t="shared" si="72"/>
        <v>0.0802392855640719</v>
      </c>
    </row>
    <row r="23" spans="4:106">
      <c r="D23" t="s">
        <v>1028</v>
      </c>
      <c r="E23" t="s">
        <v>2754</v>
      </c>
      <c r="G23" t="s">
        <v>3014</v>
      </c>
      <c r="H23">
        <f ca="1">INDEX(技能数据库!$B$2:$I$100,MATCH(阵眼收益计算!$E23,技能数据库!$B$2:$B$100,0),MATCH(H$9,技能数据库!$B$2:$I$2,0))</f>
        <v>0</v>
      </c>
      <c r="I23">
        <f ca="1">INDEX(技能数据库!$B$2:$I$100,MATCH(阵眼收益计算!$E23,技能数据库!$B$2:$B$100,0),MATCH(I$9,技能数据库!$B$2:$I$2,0))</f>
        <v>0.10625</v>
      </c>
      <c r="J23">
        <f ca="1">INDEX(技能数据库!$B$2:$I$100,MATCH(阵眼收益计算!$E23,技能数据库!$B$2:$B$100,0),MATCH(J$9,技能数据库!$B$2:$I$2,0))</f>
        <v>1</v>
      </c>
      <c r="K23">
        <f ca="1">INDEX(技能数据库!$B$2:$I$100,MATCH(阵眼收益计算!$E23,技能数据库!$B$2:$B$100,0),MATCH(K$9,技能数据库!$B$2:$I$2,0))</f>
        <v>0</v>
      </c>
      <c r="L23">
        <f ca="1" t="shared" si="13"/>
        <v>105847</v>
      </c>
      <c r="M23">
        <f ca="1" t="shared" si="73"/>
        <v>12694.5</v>
      </c>
      <c r="N23">
        <f ca="1" t="shared" si="74"/>
        <v>92028</v>
      </c>
      <c r="O23">
        <f ca="1" t="shared" si="53"/>
        <v>23940.74375</v>
      </c>
      <c r="P23">
        <f ca="1">IF(G23="恒定伤害",0,(IF(D23="轻剑",$AZ$2,$AZ$3)+IFERROR(INDEX(技能数据库!$T$2:$W$27,MATCH(E23,技能数据库!$T$2:$T$27,0),4),0)+COUNTIF(G23,"*造化2*")*154+COUNTIF(G23,"*造化1*")*102+COUNTIF(G23,"*碧归*")*307)/1024)</f>
        <v>0.215930646929785</v>
      </c>
      <c r="Q23">
        <f ca="1" t="shared" si="14"/>
        <v>0.448284482196154</v>
      </c>
      <c r="R23">
        <f ca="1" t="shared" si="54"/>
        <v>0.21277697966198</v>
      </c>
      <c r="S23">
        <f ca="1" t="shared" si="75"/>
        <v>33189.301000243</v>
      </c>
      <c r="T23">
        <f t="shared" si="76"/>
        <v>0.8</v>
      </c>
      <c r="U23">
        <f ca="1" t="shared" si="15"/>
        <v>1.7800129648</v>
      </c>
      <c r="V23">
        <f ca="1" t="shared" si="77"/>
        <v>73813.3496586602</v>
      </c>
      <c r="W23">
        <f ca="1">IF(G23="恒定伤害",0,MIN(1,IF(COUNTIF(F23,"*内会*")&gt;0,内会2,IF(D23="轻剑",$Y$2,$Y$3)+COUNTIF(G23,"*莺鸣*")*0.2+COUNTIF(G23,"*叠1*")*0.1+COUNTIF(G23,"*叠2*")*0.2+COUNTIF(G23,"*叠3*")*0.3)+IFERROR(INDEX(技能数据库!$T$2:$W$27,MATCH(E23,技能数据库!$T$2:$T$27,0),2),0)+IF((IF(D23="轻剑",$AO$2,$AO$3)+INT(COUNTIF(G23,"*大莺鸣*")*IF(D23="轻剑",$AM$2,$AM$3)*听晓无双率)/无双系数)&gt;0.9,特效裤子会心/会心系数,0)))</f>
        <v>0.9043</v>
      </c>
      <c r="X23">
        <f ca="1">IF(G23="恒定伤害",0,IF(COUNTIF(F23,"*内会*")&gt;0,内会效2,IF(D23="轻剑",$AB$2,$AB$3))+IFERROR(INDEX(技能数据库!$T$2:$W$27,MATCH(E23,技能数据库!$T$2:$T$27,0),3)/1024,0))+COUNTIF(G23,"*叠1*")*0.25+COUNTIF(G23,"*叠2*")*0.5+COUNTIF(G23,"*叠3*")*0.75</f>
        <v>2.1712723116</v>
      </c>
      <c r="Y23">
        <f ca="1" t="shared" si="78"/>
        <v>2.05918155137988</v>
      </c>
      <c r="Z23">
        <f t="shared" si="16"/>
        <v>0.150390625</v>
      </c>
      <c r="AA23">
        <f ca="1" t="shared" si="79"/>
        <v>0.0205078125</v>
      </c>
      <c r="AB23">
        <f ca="1" t="shared" si="80"/>
        <v>178439.591512508</v>
      </c>
      <c r="AC23">
        <f ca="1">技能数计算!$AJ15</f>
        <v>0</v>
      </c>
      <c r="AD23" s="164">
        <f ca="1" t="shared" si="81"/>
        <v>0</v>
      </c>
      <c r="AE23" s="168"/>
      <c r="AF23" s="168">
        <f ca="1" t="shared" si="17"/>
        <v>0.9057</v>
      </c>
      <c r="AG23">
        <f ca="1">技能数计算!$AJ15</f>
        <v>0</v>
      </c>
      <c r="AH23">
        <f ca="1" t="shared" si="18"/>
        <v>109879</v>
      </c>
      <c r="AJ23">
        <f ca="1" t="shared" si="55"/>
        <v>2.3704910616</v>
      </c>
      <c r="AK23">
        <f ca="1" t="shared" si="56"/>
        <v>24607.64375</v>
      </c>
      <c r="AL23">
        <f ca="1" t="shared" si="19"/>
        <v>199682.234060121</v>
      </c>
      <c r="AM23" s="169">
        <f ca="1" t="shared" si="20"/>
        <v>0.9272</v>
      </c>
      <c r="AN23">
        <f ca="1">技能数计算!$AJ15</f>
        <v>0</v>
      </c>
      <c r="AO23" s="170">
        <f ca="1" t="shared" si="21"/>
        <v>202307.438101571</v>
      </c>
      <c r="AP23">
        <f ca="1" t="shared" si="22"/>
        <v>110956</v>
      </c>
      <c r="AQ23" s="170">
        <f ca="1" t="shared" si="57"/>
        <v>24483.575</v>
      </c>
      <c r="AR23">
        <f ca="1" t="shared" si="23"/>
        <v>193191.496257737</v>
      </c>
      <c r="AS23">
        <f ca="1" t="shared" si="24"/>
        <v>0.9843</v>
      </c>
      <c r="AT23">
        <f ca="1">技能数计算!$AJ15</f>
        <v>0</v>
      </c>
      <c r="AU23">
        <f ca="1" t="shared" si="25"/>
        <v>2.3177566866</v>
      </c>
      <c r="AV23">
        <f ca="1" t="shared" si="26"/>
        <v>1.7995442148</v>
      </c>
      <c r="AW23">
        <f ca="1" t="shared" si="58"/>
        <v>200452.245436729</v>
      </c>
      <c r="AX23">
        <f ca="1" t="shared" si="27"/>
        <v>0.9743</v>
      </c>
      <c r="AY23">
        <f ca="1">技能数计算!$AJ15</f>
        <v>0</v>
      </c>
      <c r="AZ23" s="170">
        <f ca="1" t="shared" si="59"/>
        <v>199302.313011976</v>
      </c>
      <c r="BA23">
        <f ca="1" t="shared" si="28"/>
        <v>0.9643</v>
      </c>
      <c r="BB23">
        <f ca="1">技能数计算!$AJ15</f>
        <v>0</v>
      </c>
      <c r="BC23" s="170">
        <f ca="1" t="shared" si="60"/>
        <v>198152.380587223</v>
      </c>
      <c r="BE23">
        <f ca="1" t="shared" si="29"/>
        <v>105849</v>
      </c>
      <c r="BF23">
        <f ca="1" t="shared" si="30"/>
        <v>23940.95625</v>
      </c>
      <c r="BI23">
        <f ca="1" t="shared" si="31"/>
        <v>0.9543</v>
      </c>
      <c r="BJ23">
        <f ca="1">技能数计算!$AJ15</f>
        <v>0</v>
      </c>
      <c r="BK23">
        <f ca="1" t="shared" si="32"/>
        <v>195866.017419619</v>
      </c>
      <c r="BM23">
        <f ca="1" t="shared" si="33"/>
        <v>109230</v>
      </c>
      <c r="BN23">
        <f ca="1" t="shared" si="34"/>
        <v>24300.1875</v>
      </c>
      <c r="BO23">
        <f ca="1" t="shared" si="35"/>
        <v>195605.350989754</v>
      </c>
      <c r="BP23">
        <f ca="1" t="shared" si="36"/>
        <v>186537.542999009</v>
      </c>
      <c r="BR23">
        <f ca="1" t="shared" si="37"/>
        <v>0.9543</v>
      </c>
      <c r="BS23">
        <f ca="1" t="shared" si="38"/>
        <v>193190.524868478</v>
      </c>
      <c r="BT23">
        <f ca="1" t="shared" si="39"/>
        <v>0.196995876306796</v>
      </c>
      <c r="BU23">
        <f ca="1" t="shared" si="40"/>
        <v>2.3177566866</v>
      </c>
      <c r="BV23">
        <f ca="1" t="shared" si="61"/>
        <v>199549.711219333</v>
      </c>
      <c r="BW23">
        <f ca="1" t="shared" si="41"/>
        <v>113027</v>
      </c>
      <c r="BX23">
        <f ca="1" t="shared" si="42"/>
        <v>24703.61875</v>
      </c>
      <c r="BY23">
        <f ca="1" t="shared" si="43"/>
        <v>0.9343</v>
      </c>
      <c r="BZ23">
        <f ca="1">技能数计算!$AJ15</f>
        <v>0</v>
      </c>
      <c r="CA23">
        <f ca="1" t="shared" si="44"/>
        <v>2.3216629366</v>
      </c>
      <c r="CB23">
        <f ca="1" t="shared" si="62"/>
        <v>199831.501016977</v>
      </c>
      <c r="CC23">
        <f ca="1" t="shared" si="45"/>
        <v>114847</v>
      </c>
      <c r="CD23">
        <f ca="1" t="shared" si="46"/>
        <v>24896.99375</v>
      </c>
      <c r="CE23">
        <f ca="1" t="shared" si="47"/>
        <v>194380.135847884</v>
      </c>
      <c r="CF23">
        <f ca="1" t="shared" si="48"/>
        <v>2.2689285616</v>
      </c>
      <c r="CG23">
        <f ca="1" t="shared" si="49"/>
        <v>0.9343</v>
      </c>
      <c r="CH23">
        <f ca="1" t="shared" si="63"/>
        <v>190721.571301536</v>
      </c>
      <c r="CJ23">
        <f ca="1" t="shared" si="50"/>
        <v>24300.1875</v>
      </c>
      <c r="CK23">
        <f ca="1" t="shared" si="51"/>
        <v>194719.26941058</v>
      </c>
      <c r="CL23">
        <f ca="1" t="shared" si="64"/>
        <v>2.2915848116</v>
      </c>
      <c r="CM23">
        <f ca="1">IF(G23="恒定伤害",0,(IF(D23="轻剑",$CM$8,$CM$9)+IFERROR(INDEX(技能数据库!$T$2:$W$27,MATCH(E23,技能数据库!$T$2:$T$27,0),4),0)+COUNTIF(G23,"*造化2*")*154+COUNTIF(G23,"*造化1*")*102+COUNTIF(G23,"*碧归*")*307)/1024)</f>
        <v>0.276477521929785</v>
      </c>
      <c r="CN23">
        <f ca="1" t="shared" si="65"/>
        <v>202157.660310043</v>
      </c>
      <c r="CO23">
        <f ca="1" t="shared" si="66"/>
        <v>2.3156473116</v>
      </c>
      <c r="CP23">
        <f ca="1" t="shared" si="67"/>
        <v>204217.192355711</v>
      </c>
      <c r="CQ23">
        <f ca="1" t="shared" si="52"/>
        <v>1.8815754648</v>
      </c>
      <c r="CR23">
        <f ca="1">IF(G23="恒定伤害",0,(IF(D23="轻剑",$CR$8,$CR$9)+IFERROR(INDEX(技能数据库!$T$2:$W$27,MATCH(E23,技能数据库!$T$2:$T$27,0),4),0)+COUNTIF(G23,"*造化2*")*154+COUNTIF(G23,"*造化1*")*102+COUNTIF(G23,"*碧归*")*307)/1024)</f>
        <v>0.266711896929785</v>
      </c>
      <c r="CS23">
        <f ca="1" t="shared" si="68"/>
        <v>192683.018615044</v>
      </c>
      <c r="CV23" t="s">
        <v>2664</v>
      </c>
      <c r="CW23">
        <f ca="1">BG6</f>
        <v>14403650.4202871</v>
      </c>
      <c r="CX23" s="164">
        <f ca="1" t="shared" si="69"/>
        <v>0.0802392855640719</v>
      </c>
      <c r="CY23">
        <f ca="1" t="shared" si="70"/>
        <v>13</v>
      </c>
      <c r="CZ23">
        <v>14</v>
      </c>
      <c r="DA23" t="str">
        <f ca="1" t="shared" si="71"/>
        <v>剑纯阵(3层)</v>
      </c>
      <c r="DB23" s="164">
        <f ca="1" t="shared" si="72"/>
        <v>0.0772258940442259</v>
      </c>
    </row>
    <row r="24" spans="4:106">
      <c r="D24" t="s">
        <v>1825</v>
      </c>
      <c r="E24" t="s">
        <v>2768</v>
      </c>
      <c r="H24">
        <f ca="1">INDEX(技能数据库!$B$2:$I$100,MATCH(阵眼收益计算!$E24,技能数据库!$B$2:$B$100,0),MATCH(H$9,技能数据库!$B$2:$I$2,0))</f>
        <v>210</v>
      </c>
      <c r="I24">
        <f ca="1">INDEX(技能数据库!$B$2:$I$100,MATCH(阵眼收益计算!$E24,技能数据库!$B$2:$B$100,0),MATCH(I$9,技能数据库!$B$2:$I$2,0))</f>
        <v>5.7875</v>
      </c>
      <c r="J24">
        <f ca="1">INDEX(技能数据库!$B$2:$I$100,MATCH(阵眼收益计算!$E24,技能数据库!$B$2:$B$100,0),MATCH(J$9,技能数据库!$B$2:$I$2,0))</f>
        <v>2</v>
      </c>
      <c r="K24">
        <f ca="1">INDEX(技能数据库!$B$2:$I$100,MATCH(阵眼收益计算!$E24,技能数据库!$B$2:$B$100,0),MATCH(K$9,技能数据库!$B$2:$I$2,0))</f>
        <v>0</v>
      </c>
      <c r="L24">
        <f ca="1" t="shared" si="13"/>
        <v>91975</v>
      </c>
      <c r="M24">
        <f ca="1" t="shared" si="73"/>
        <v>19530.5</v>
      </c>
      <c r="N24">
        <f ca="1" t="shared" si="74"/>
        <v>92028</v>
      </c>
      <c r="O24">
        <f ca="1" t="shared" si="53"/>
        <v>571576.3125</v>
      </c>
      <c r="P24">
        <f ca="1">IF(G24="恒定伤害",0,(IF(D24="轻剑",$AZ$2,$AZ$3)+IFERROR(INDEX(技能数据库!$T$2:$W$27,MATCH(E24,技能数据库!$T$2:$T$27,0),4),0)+COUNTIF(G24,"*造化2*")*154+COUNTIF(G24,"*造化1*")*102+COUNTIF(G24,"*碧归*")*307)/1024)</f>
        <v>0.236438459429785</v>
      </c>
      <c r="Q24">
        <f ca="1" t="shared" si="14"/>
        <v>0.448284482196154</v>
      </c>
      <c r="R24">
        <f ca="1" t="shared" si="54"/>
        <v>0.32958230397716</v>
      </c>
      <c r="S24">
        <f ca="1" t="shared" si="75"/>
        <v>686192.669483516</v>
      </c>
      <c r="T24">
        <f t="shared" si="76"/>
        <v>0.8</v>
      </c>
      <c r="U24">
        <f ca="1" t="shared" si="15"/>
        <v>1.7800129648</v>
      </c>
      <c r="V24">
        <f ca="1" t="shared" si="77"/>
        <v>1526099.61401192</v>
      </c>
      <c r="W24">
        <f ca="1">IF(G24="恒定伤害",0,MIN(1,IF(COUNTIF(F24,"*内会*")&gt;0,内会2,IF(D24="轻剑",$Y$2,$Y$3)+COUNTIF(G24,"*莺鸣*")*0.2+COUNTIF(G24,"*叠1*")*0.1+COUNTIF(G24,"*叠2*")*0.2+COUNTIF(G24,"*叠3*")*0.3)+IFERROR(INDEX(技能数据库!$T$2:$W$27,MATCH(E24,技能数据库!$T$2:$T$27,0),2),0)+IF((IF(D24="轻剑",$AO$2,$AO$3)+INT(COUNTIF(G24,"*大莺鸣*")*IF(D24="轻剑",$AM$2,$AM$3)*听晓无双率)/无双系数)&gt;0.9,特效裤子会心/会心系数,0)))</f>
        <v>0.7043</v>
      </c>
      <c r="X24">
        <f ca="1">IF(G24="恒定伤害",0,IF(COUNTIF(F24,"*内会*")&gt;0,内会效2,IF(D24="轻剑",$AB$2,$AB$3))+IFERROR(INDEX(技能数据库!$T$2:$W$27,MATCH(E24,技能数据库!$T$2:$T$27,0),3)/1024,0))+COUNTIF(G24,"*叠1*")*0.25+COUNTIF(G24,"*叠2*")*0.5+COUNTIF(G24,"*叠3*")*0.75</f>
        <v>2.1712723116</v>
      </c>
      <c r="Y24">
        <f ca="1" t="shared" si="78"/>
        <v>1.82492708905988</v>
      </c>
      <c r="Z24">
        <f t="shared" si="16"/>
        <v>0.150390625</v>
      </c>
      <c r="AA24">
        <f ca="1" t="shared" si="79"/>
        <v>0.0205078125</v>
      </c>
      <c r="AB24">
        <f ca="1" t="shared" si="80"/>
        <v>3269565.69478503</v>
      </c>
      <c r="AC24">
        <f ca="1">技能数计算!$AJ16</f>
        <v>0</v>
      </c>
      <c r="AD24" s="164">
        <f ca="1" t="shared" si="81"/>
        <v>0</v>
      </c>
      <c r="AE24" s="168"/>
      <c r="AF24" s="168">
        <f ca="1" t="shared" si="17"/>
        <v>0.7057</v>
      </c>
      <c r="AG24">
        <f ca="1">技能数计算!$AJ16</f>
        <v>0</v>
      </c>
      <c r="AH24">
        <f ca="1" t="shared" si="18"/>
        <v>96007</v>
      </c>
      <c r="AJ24">
        <f ca="1" t="shared" si="55"/>
        <v>2.3704910616</v>
      </c>
      <c r="AK24">
        <f ca="1" t="shared" si="56"/>
        <v>595388.5125</v>
      </c>
      <c r="AL24">
        <f ca="1" t="shared" si="19"/>
        <v>3672221.7809698</v>
      </c>
      <c r="AM24" s="169">
        <f ca="1" t="shared" si="20"/>
        <v>0.7272</v>
      </c>
      <c r="AN24">
        <f ca="1">技能数计算!$AJ16</f>
        <v>0</v>
      </c>
      <c r="AO24" s="170">
        <f ca="1" t="shared" si="21"/>
        <v>3727227.12290213</v>
      </c>
      <c r="AP24">
        <f ca="1" t="shared" si="22"/>
        <v>97084</v>
      </c>
      <c r="AQ24" s="170">
        <f ca="1" t="shared" si="57"/>
        <v>601144.65</v>
      </c>
      <c r="AR24">
        <f ca="1" t="shared" si="23"/>
        <v>3640444.57863926</v>
      </c>
      <c r="AS24">
        <f ca="1" t="shared" si="24"/>
        <v>0.7843</v>
      </c>
      <c r="AT24">
        <f ca="1">技能数计算!$AJ16</f>
        <v>0</v>
      </c>
      <c r="AU24">
        <f ca="1" t="shared" si="25"/>
        <v>2.3177566866</v>
      </c>
      <c r="AV24">
        <f ca="1" t="shared" si="26"/>
        <v>1.7995442148</v>
      </c>
      <c r="AW24">
        <f ca="1" t="shared" si="58"/>
        <v>3668873.8155095</v>
      </c>
      <c r="AX24">
        <f ca="1" t="shared" si="27"/>
        <v>0.7743</v>
      </c>
      <c r="AY24">
        <f ca="1">技能数计算!$AJ16</f>
        <v>0</v>
      </c>
      <c r="AZ24" s="170">
        <f ca="1" t="shared" si="59"/>
        <v>3645098.82849604</v>
      </c>
      <c r="BA24">
        <f ca="1" t="shared" si="28"/>
        <v>0.7643</v>
      </c>
      <c r="BB24">
        <f ca="1">技能数计算!$AJ16</f>
        <v>0</v>
      </c>
      <c r="BC24" s="170">
        <f ca="1" t="shared" si="60"/>
        <v>3621323.84148256</v>
      </c>
      <c r="BE24">
        <f ca="1" t="shared" si="29"/>
        <v>91977</v>
      </c>
      <c r="BF24">
        <f ca="1" t="shared" si="30"/>
        <v>571587.8875</v>
      </c>
      <c r="BI24">
        <f ca="1" t="shared" si="31"/>
        <v>0.7543</v>
      </c>
      <c r="BJ24">
        <f ca="1">技能数计算!$AJ16</f>
        <v>0</v>
      </c>
      <c r="BK24">
        <f ca="1" t="shared" si="32"/>
        <v>3601652.29185639</v>
      </c>
      <c r="BM24">
        <f ca="1" t="shared" si="33"/>
        <v>95358</v>
      </c>
      <c r="BN24">
        <f ca="1" t="shared" si="34"/>
        <v>591155.425</v>
      </c>
      <c r="BO24">
        <f ca="1" t="shared" si="35"/>
        <v>3652035.99651979</v>
      </c>
      <c r="BP24">
        <f ca="1" t="shared" si="36"/>
        <v>3482736.12295209</v>
      </c>
      <c r="BR24">
        <f ca="1" t="shared" si="37"/>
        <v>0.7543</v>
      </c>
      <c r="BS24">
        <f ca="1" t="shared" si="38"/>
        <v>3619753.88967857</v>
      </c>
      <c r="BT24">
        <f ca="1" t="shared" si="39"/>
        <v>0.318170800459405</v>
      </c>
      <c r="BU24">
        <f ca="1" t="shared" si="40"/>
        <v>2.3177566866</v>
      </c>
      <c r="BV24">
        <f ca="1" t="shared" si="61"/>
        <v>3633258.66150623</v>
      </c>
      <c r="BW24">
        <f ca="1" t="shared" si="41"/>
        <v>99155</v>
      </c>
      <c r="BX24">
        <f ca="1" t="shared" si="42"/>
        <v>613130.5625</v>
      </c>
      <c r="BY24">
        <f ca="1" t="shared" si="43"/>
        <v>0.7343</v>
      </c>
      <c r="BZ24">
        <f ca="1">技能数计算!$AJ16</f>
        <v>0</v>
      </c>
      <c r="CA24">
        <f ca="1" t="shared" si="44"/>
        <v>2.3216629366</v>
      </c>
      <c r="CB24">
        <f ca="1" t="shared" si="62"/>
        <v>3787033.01636842</v>
      </c>
      <c r="CC24">
        <f ca="1" t="shared" si="45"/>
        <v>100975</v>
      </c>
      <c r="CD24">
        <f ca="1" t="shared" si="46"/>
        <v>623663.8125</v>
      </c>
      <c r="CE24">
        <f ca="1" t="shared" si="47"/>
        <v>3745002.39391002</v>
      </c>
      <c r="CF24">
        <f ca="1" t="shared" si="48"/>
        <v>2.2689285616</v>
      </c>
      <c r="CG24">
        <f ca="1" t="shared" si="49"/>
        <v>0.7343</v>
      </c>
      <c r="CH24">
        <f ca="1" t="shared" si="63"/>
        <v>3485310.14884241</v>
      </c>
      <c r="CJ24">
        <f ca="1" t="shared" si="50"/>
        <v>591155.425</v>
      </c>
      <c r="CK24">
        <f ca="1" t="shared" si="51"/>
        <v>3635492.47249745</v>
      </c>
      <c r="CL24">
        <f ca="1" t="shared" si="64"/>
        <v>2.2915848116</v>
      </c>
      <c r="CM24">
        <f ca="1">IF(G24="恒定伤害",0,(IF(D24="轻剑",$CM$8,$CM$9)+IFERROR(INDEX(技能数据库!$T$2:$W$27,MATCH(E24,技能数据库!$T$2:$T$27,0),4),0)+COUNTIF(G24,"*造化2*")*154+COUNTIF(G24,"*造化1*")*102+COUNTIF(G24,"*碧归*")*307)/1024)</f>
        <v>0.296985334429785</v>
      </c>
      <c r="CN24">
        <f ca="1" t="shared" si="65"/>
        <v>3687466.90966055</v>
      </c>
      <c r="CO24">
        <f ca="1" t="shared" si="66"/>
        <v>2.3156473116</v>
      </c>
      <c r="CP24">
        <f ca="1" t="shared" si="67"/>
        <v>3720906.57287871</v>
      </c>
      <c r="CQ24">
        <f ca="1" t="shared" si="52"/>
        <v>1.8815754648</v>
      </c>
      <c r="CR24">
        <f ca="1">IF(G24="恒定伤害",0,(IF(D24="轻剑",$CR$8,$CR$9)+IFERROR(INDEX(技能数据库!$T$2:$W$27,MATCH(E24,技能数据库!$T$2:$T$27,0),4),0)+COUNTIF(G24,"*造化2*")*154+COUNTIF(G24,"*造化1*")*102+COUNTIF(G24,"*碧归*")*307)/1024)</f>
        <v>0.287219709429785</v>
      </c>
      <c r="CS24">
        <f ca="1" t="shared" si="68"/>
        <v>3528201.82234624</v>
      </c>
      <c r="CV24" t="s">
        <v>3170</v>
      </c>
      <c r="CW24">
        <f ca="1">CH6</f>
        <v>14003980.3626166</v>
      </c>
      <c r="CX24" s="164">
        <f ca="1" t="shared" si="69"/>
        <v>0.0502649884267807</v>
      </c>
      <c r="CY24">
        <f ca="1" t="shared" si="70"/>
        <v>18</v>
      </c>
      <c r="CZ24">
        <v>15</v>
      </c>
      <c r="DA24" t="str">
        <f ca="1" t="shared" si="71"/>
        <v>无界阵</v>
      </c>
      <c r="DB24" s="164">
        <f ca="1" t="shared" si="72"/>
        <v>0.0759218461934861</v>
      </c>
    </row>
    <row r="25" spans="4:106">
      <c r="D25" t="s">
        <v>1825</v>
      </c>
      <c r="E25" t="s">
        <v>2768</v>
      </c>
      <c r="G25" t="s">
        <v>2750</v>
      </c>
      <c r="H25">
        <f ca="1">INDEX(技能数据库!$B$2:$I$100,MATCH(阵眼收益计算!$E25,技能数据库!$B$2:$B$100,0),MATCH(H$9,技能数据库!$B$2:$I$2,0))</f>
        <v>210</v>
      </c>
      <c r="I25">
        <f ca="1">INDEX(技能数据库!$B$2:$I$100,MATCH(阵眼收益计算!$E25,技能数据库!$B$2:$B$100,0),MATCH(I$9,技能数据库!$B$2:$I$2,0))</f>
        <v>5.7875</v>
      </c>
      <c r="J25">
        <f ca="1">INDEX(技能数据库!$B$2:$I$100,MATCH(阵眼收益计算!$E25,技能数据库!$B$2:$B$100,0),MATCH(J$9,技能数据库!$B$2:$I$2,0))</f>
        <v>2</v>
      </c>
      <c r="K25">
        <f ca="1">INDEX(技能数据库!$B$2:$I$100,MATCH(阵眼收益计算!$E25,技能数据库!$B$2:$B$100,0),MATCH(K$9,技能数据库!$B$2:$I$2,0))</f>
        <v>0</v>
      </c>
      <c r="L25">
        <f ca="1" t="shared" si="13"/>
        <v>105847</v>
      </c>
      <c r="M25">
        <f ca="1" t="shared" si="73"/>
        <v>19530.5</v>
      </c>
      <c r="N25">
        <f ca="1" t="shared" si="74"/>
        <v>92028</v>
      </c>
      <c r="O25">
        <f ca="1" t="shared" si="53"/>
        <v>651860.5125</v>
      </c>
      <c r="P25">
        <f ca="1">IF(G25="恒定伤害",0,(IF(D25="轻剑",$AZ$2,$AZ$3)+IFERROR(INDEX(技能数据库!$T$2:$W$27,MATCH(E25,技能数据库!$T$2:$T$27,0),4),0)+COUNTIF(G25,"*造化2*")*154+COUNTIF(G25,"*造化1*")*102+COUNTIF(G25,"*碧归*")*307)/1024)</f>
        <v>0.236438459429785</v>
      </c>
      <c r="Q25">
        <f ca="1" t="shared" si="14"/>
        <v>0.448284482196154</v>
      </c>
      <c r="R25">
        <f ca="1" t="shared" si="54"/>
        <v>0.21277697966198</v>
      </c>
      <c r="S25">
        <f ca="1" t="shared" si="75"/>
        <v>918922.407955679</v>
      </c>
      <c r="T25">
        <f t="shared" si="76"/>
        <v>0.8</v>
      </c>
      <c r="U25">
        <f ca="1" t="shared" si="15"/>
        <v>1.7800129648</v>
      </c>
      <c r="V25">
        <f ca="1" t="shared" si="77"/>
        <v>2043692.96620962</v>
      </c>
      <c r="W25">
        <f ca="1">IF(G25="恒定伤害",0,MIN(1,IF(COUNTIF(F25,"*内会*")&gt;0,内会2,IF(D25="轻剑",$Y$2,$Y$3)+COUNTIF(G25,"*莺鸣*")*0.2+COUNTIF(G25,"*叠1*")*0.1+COUNTIF(G25,"*叠2*")*0.2+COUNTIF(G25,"*叠3*")*0.3)+IFERROR(INDEX(技能数据库!$T$2:$W$27,MATCH(E25,技能数据库!$T$2:$T$27,0),2),0)+IF((IF(D25="轻剑",$AO$2,$AO$3)+INT(COUNTIF(G25,"*大莺鸣*")*IF(D25="轻剑",$AM$2,$AM$3)*听晓无双率)/无双系数)&gt;0.9,特效裤子会心/会心系数,0)))</f>
        <v>0.7043</v>
      </c>
      <c r="X25">
        <f ca="1">IF(G25="恒定伤害",0,IF(COUNTIF(F25,"*内会*")&gt;0,内会效2,IF(D25="轻剑",$AB$2,$AB$3))+IFERROR(INDEX(技能数据库!$T$2:$W$27,MATCH(E25,技能数据库!$T$2:$T$27,0),3)/1024,0))+COUNTIF(G25,"*叠1*")*0.25+COUNTIF(G25,"*叠2*")*0.5+COUNTIF(G25,"*叠3*")*0.75</f>
        <v>2.1712723116</v>
      </c>
      <c r="Y25">
        <f ca="1" t="shared" si="78"/>
        <v>1.82492708905988</v>
      </c>
      <c r="Z25">
        <f t="shared" si="16"/>
        <v>0.150390625</v>
      </c>
      <c r="AA25">
        <f ca="1" t="shared" si="79"/>
        <v>0.0205078125</v>
      </c>
      <c r="AB25">
        <f ca="1" t="shared" si="80"/>
        <v>4378474.61046553</v>
      </c>
      <c r="AC25">
        <f ca="1">技能数计算!$AJ17</f>
        <v>12</v>
      </c>
      <c r="AD25" s="164">
        <f ca="1" t="shared" si="81"/>
        <v>0.0188369487782556</v>
      </c>
      <c r="AE25" s="168"/>
      <c r="AF25" s="168">
        <f ca="1" t="shared" si="17"/>
        <v>0.7057</v>
      </c>
      <c r="AG25">
        <f ca="1">技能数计算!$AJ17</f>
        <v>12</v>
      </c>
      <c r="AH25">
        <f ca="1" t="shared" si="18"/>
        <v>109879</v>
      </c>
      <c r="AJ25">
        <f ca="1" t="shared" si="55"/>
        <v>2.3704910616</v>
      </c>
      <c r="AK25">
        <f ca="1" t="shared" si="56"/>
        <v>675672.7125</v>
      </c>
      <c r="AL25">
        <f ca="1" t="shared" si="19"/>
        <v>4893472.44753096</v>
      </c>
      <c r="AM25" s="169">
        <f ca="1" t="shared" si="20"/>
        <v>0.7272</v>
      </c>
      <c r="AN25">
        <f ca="1">技能数计算!$AJ17</f>
        <v>12</v>
      </c>
      <c r="AO25" s="170">
        <f ca="1" t="shared" si="21"/>
        <v>4966770.61449019</v>
      </c>
      <c r="AP25">
        <f ca="1" t="shared" si="22"/>
        <v>110956</v>
      </c>
      <c r="AQ25" s="170">
        <f ca="1" t="shared" si="57"/>
        <v>681428.85</v>
      </c>
      <c r="AR25">
        <f ca="1" t="shared" si="23"/>
        <v>4845607.91745335</v>
      </c>
      <c r="AS25">
        <f ca="1" t="shared" si="24"/>
        <v>0.7843</v>
      </c>
      <c r="AT25">
        <f ca="1">技能数计算!$AJ17</f>
        <v>12</v>
      </c>
      <c r="AU25">
        <f ca="1" t="shared" si="25"/>
        <v>2.3177566866</v>
      </c>
      <c r="AV25">
        <f ca="1" t="shared" si="26"/>
        <v>1.7995442148</v>
      </c>
      <c r="AW25">
        <f ca="1" t="shared" si="58"/>
        <v>4913212.44158893</v>
      </c>
      <c r="AX25">
        <f ca="1" t="shared" si="27"/>
        <v>0.7743</v>
      </c>
      <c r="AY25">
        <f ca="1">技能数计算!$AJ17</f>
        <v>12</v>
      </c>
      <c r="AZ25" s="170">
        <f ca="1" t="shared" si="59"/>
        <v>4881373.90805873</v>
      </c>
      <c r="BA25">
        <f ca="1" t="shared" si="28"/>
        <v>0.7643</v>
      </c>
      <c r="BB25">
        <f ca="1">技能数计算!$AJ17</f>
        <v>12</v>
      </c>
      <c r="BC25" s="170">
        <f ca="1" t="shared" si="60"/>
        <v>4849535.37452852</v>
      </c>
      <c r="BE25">
        <f ca="1" t="shared" si="29"/>
        <v>105849</v>
      </c>
      <c r="BF25">
        <f ca="1" t="shared" si="30"/>
        <v>651872.0875</v>
      </c>
      <c r="BI25">
        <f ca="1" t="shared" si="31"/>
        <v>0.7543</v>
      </c>
      <c r="BJ25">
        <f ca="1">技能数计算!$AJ17</f>
        <v>12</v>
      </c>
      <c r="BK25">
        <f ca="1" t="shared" si="32"/>
        <v>4823179.9744832</v>
      </c>
      <c r="BM25">
        <f ca="1" t="shared" si="33"/>
        <v>109230</v>
      </c>
      <c r="BN25">
        <f ca="1" t="shared" si="34"/>
        <v>671439.625</v>
      </c>
      <c r="BO25">
        <f ca="1" t="shared" si="35"/>
        <v>4870714.27595181</v>
      </c>
      <c r="BP25">
        <f ca="1" t="shared" si="36"/>
        <v>4644919.31886792</v>
      </c>
      <c r="BR25">
        <f ca="1" t="shared" si="37"/>
        <v>0.7543</v>
      </c>
      <c r="BS25">
        <f ca="1" t="shared" si="38"/>
        <v>4827659.68426675</v>
      </c>
      <c r="BT25">
        <f ca="1" t="shared" si="39"/>
        <v>0.196995876306796</v>
      </c>
      <c r="BU25">
        <f ca="1" t="shared" si="40"/>
        <v>2.3177566866</v>
      </c>
      <c r="BV25">
        <f ca="1" t="shared" si="61"/>
        <v>4879990.18454155</v>
      </c>
      <c r="BW25">
        <f ca="1" t="shared" si="41"/>
        <v>113027</v>
      </c>
      <c r="BX25">
        <f ca="1" t="shared" si="42"/>
        <v>693414.7625</v>
      </c>
      <c r="BY25">
        <f ca="1" t="shared" si="43"/>
        <v>0.7343</v>
      </c>
      <c r="BZ25">
        <f ca="1">技能数计算!$AJ17</f>
        <v>12</v>
      </c>
      <c r="CA25">
        <f ca="1" t="shared" si="44"/>
        <v>2.3216629366</v>
      </c>
      <c r="CB25">
        <f ca="1" t="shared" si="62"/>
        <v>5029114.53183926</v>
      </c>
      <c r="CC25">
        <f ca="1" t="shared" si="45"/>
        <v>114847</v>
      </c>
      <c r="CD25">
        <f ca="1" t="shared" si="46"/>
        <v>703948.0125</v>
      </c>
      <c r="CE25">
        <f ca="1" t="shared" si="47"/>
        <v>4963573.50563902</v>
      </c>
      <c r="CF25">
        <f ca="1" t="shared" si="48"/>
        <v>2.2689285616</v>
      </c>
      <c r="CG25">
        <f ca="1" t="shared" si="49"/>
        <v>0.7343</v>
      </c>
      <c r="CH25">
        <f ca="1" t="shared" si="63"/>
        <v>4667391.15248384</v>
      </c>
      <c r="CJ25">
        <f ca="1" t="shared" si="50"/>
        <v>671439.625</v>
      </c>
      <c r="CK25">
        <f ca="1" t="shared" si="51"/>
        <v>4848650.2057436</v>
      </c>
      <c r="CL25">
        <f ca="1" t="shared" si="64"/>
        <v>2.2915848116</v>
      </c>
      <c r="CM25">
        <f ca="1">IF(G25="恒定伤害",0,(IF(D25="轻剑",$CM$8,$CM$9)+IFERROR(INDEX(技能数据库!$T$2:$W$27,MATCH(E25,技能数据库!$T$2:$T$27,0),4),0)+COUNTIF(G25,"*造化2*")*154+COUNTIF(G25,"*造化1*")*102+COUNTIF(G25,"*碧归*")*307)/1024)</f>
        <v>0.296985334429785</v>
      </c>
      <c r="CN25">
        <f ca="1" t="shared" si="65"/>
        <v>4938111.58669564</v>
      </c>
      <c r="CO25">
        <f ca="1" t="shared" si="66"/>
        <v>2.3156473116</v>
      </c>
      <c r="CP25">
        <f ca="1" t="shared" si="67"/>
        <v>4982892.67692324</v>
      </c>
      <c r="CQ25">
        <f ca="1" t="shared" si="52"/>
        <v>1.8815754648</v>
      </c>
      <c r="CR25">
        <f ca="1">IF(G25="恒定伤害",0,(IF(D25="轻剑",$CR$8,$CR$9)+IFERROR(INDEX(技能数据库!$T$2:$W$27,MATCH(E25,技能数据库!$T$2:$T$27,0),4),0)+COUNTIF(G25,"*造化2*")*154+COUNTIF(G25,"*造化1*")*102+COUNTIF(G25,"*碧归*")*307)/1024)</f>
        <v>0.287219709429785</v>
      </c>
      <c r="CS25">
        <f ca="1" t="shared" si="68"/>
        <v>4724830.00552064</v>
      </c>
      <c r="CV25" t="s">
        <v>2684</v>
      </c>
      <c r="CW25">
        <f ca="1">CK6</f>
        <v>14710486.7286805</v>
      </c>
      <c r="CX25" s="164">
        <f ca="1" t="shared" si="69"/>
        <v>0.103251273837351</v>
      </c>
      <c r="CY25">
        <f ca="1" t="shared" si="70"/>
        <v>5</v>
      </c>
      <c r="CZ25">
        <v>16</v>
      </c>
      <c r="DA25" t="str">
        <f ca="1" t="shared" si="71"/>
        <v>霸刀阵</v>
      </c>
      <c r="DB25" s="164">
        <f ca="1" t="shared" si="72"/>
        <v>0.0726983798937471</v>
      </c>
    </row>
    <row r="26" spans="4:106">
      <c r="D26" t="s">
        <v>1825</v>
      </c>
      <c r="E26" t="s">
        <v>2768</v>
      </c>
      <c r="G26" t="s">
        <v>2948</v>
      </c>
      <c r="H26">
        <f ca="1">INDEX(技能数据库!$B$2:$I$100,MATCH(阵眼收益计算!$E26,技能数据库!$B$2:$B$100,0),MATCH(H$9,技能数据库!$B$2:$I$2,0))</f>
        <v>210</v>
      </c>
      <c r="I26">
        <f ca="1">INDEX(技能数据库!$B$2:$I$100,MATCH(阵眼收益计算!$E26,技能数据库!$B$2:$B$100,0),MATCH(I$9,技能数据库!$B$2:$I$2,0))</f>
        <v>5.7875</v>
      </c>
      <c r="J26">
        <f ca="1">INDEX(技能数据库!$B$2:$I$100,MATCH(阵眼收益计算!$E26,技能数据库!$B$2:$B$100,0),MATCH(J$9,技能数据库!$B$2:$I$2,0))</f>
        <v>2</v>
      </c>
      <c r="K26">
        <f ca="1">INDEX(技能数据库!$B$2:$I$100,MATCH(阵眼收益计算!$E26,技能数据库!$B$2:$B$100,0),MATCH(K$9,技能数据库!$B$2:$I$2,0))</f>
        <v>0</v>
      </c>
      <c r="L26">
        <f ca="1" t="shared" si="13"/>
        <v>91975</v>
      </c>
      <c r="M26">
        <f ca="1" t="shared" si="73"/>
        <v>19530.5</v>
      </c>
      <c r="N26">
        <f ca="1" t="shared" si="74"/>
        <v>92028</v>
      </c>
      <c r="O26">
        <f ca="1" t="shared" si="53"/>
        <v>571576.3125</v>
      </c>
      <c r="P26">
        <f ca="1">IF(G26="恒定伤害",0,(IF(D26="轻剑",$AZ$2,$AZ$3)+IFERROR(INDEX(技能数据库!$T$2:$W$27,MATCH(E26,技能数据库!$T$2:$T$27,0),4),0)+COUNTIF(G26,"*造化2*")*154+COUNTIF(G26,"*造化1*")*102+COUNTIF(G26,"*碧归*")*307)/1024)</f>
        <v>0.236438459429785</v>
      </c>
      <c r="Q26">
        <f ca="1" t="shared" si="14"/>
        <v>0.448284482196154</v>
      </c>
      <c r="R26">
        <f ca="1" t="shared" si="54"/>
        <v>0.32958230397716</v>
      </c>
      <c r="S26">
        <f ca="1" t="shared" si="75"/>
        <v>686192.669483516</v>
      </c>
      <c r="T26">
        <f t="shared" si="76"/>
        <v>0.8</v>
      </c>
      <c r="U26">
        <f ca="1" t="shared" si="15"/>
        <v>2.67001635480339</v>
      </c>
      <c r="V26">
        <f ca="1" t="shared" si="77"/>
        <v>2014670.65564056</v>
      </c>
      <c r="W26">
        <f ca="1">IF(G26="恒定伤害",0,MIN(1,IF(COUNTIF(F26,"*内会*")&gt;0,内会2,IF(D26="轻剑",$Y$2,$Y$3)+COUNTIF(G26,"*莺鸣*")*0.2+COUNTIF(G26,"*叠1*")*0.1+COUNTIF(G26,"*叠2*")*0.2+COUNTIF(G26,"*叠3*")*0.3)+IFERROR(INDEX(技能数据库!$T$2:$W$27,MATCH(E26,技能数据库!$T$2:$T$27,0),2),0)+IF((IF(D26="轻剑",$AO$2,$AO$3)+INT(COUNTIF(G26,"*大莺鸣*")*IF(D26="轻剑",$AM$2,$AM$3)*听晓无双率)/无双系数)&gt;0.9,特效裤子会心/会心系数,0)))</f>
        <v>0.9043</v>
      </c>
      <c r="X26">
        <f ca="1">IF(G26="恒定伤害",0,IF(COUNTIF(F26,"*内会*")&gt;0,内会效2,IF(D26="轻剑",$AB$2,$AB$3))+IFERROR(INDEX(技能数据库!$T$2:$W$27,MATCH(E26,技能数据库!$T$2:$T$27,0),3)/1024,0))+COUNTIF(G26,"*叠1*")*0.25+COUNTIF(G26,"*叠2*")*0.5+COUNTIF(G26,"*叠3*")*0.75</f>
        <v>2.1712723116</v>
      </c>
      <c r="Y26">
        <f ca="1" t="shared" si="78"/>
        <v>2.05918155137988</v>
      </c>
      <c r="Z26">
        <f t="shared" si="16"/>
        <v>0.150390625</v>
      </c>
      <c r="AA26">
        <f ca="1" t="shared" si="79"/>
        <v>0.0205078125</v>
      </c>
      <c r="AB26">
        <f ca="1" t="shared" si="80"/>
        <v>4870352.18544049</v>
      </c>
      <c r="AC26">
        <f ca="1">技能数计算!$AJ18</f>
        <v>0</v>
      </c>
      <c r="AD26" s="164">
        <f ca="1" t="shared" si="81"/>
        <v>0</v>
      </c>
      <c r="AE26" s="168"/>
      <c r="AF26" s="168">
        <f ca="1" t="shared" si="17"/>
        <v>0.9057</v>
      </c>
      <c r="AG26">
        <f ca="1">技能数计算!$AJ18</f>
        <v>0</v>
      </c>
      <c r="AH26">
        <f ca="1" t="shared" si="18"/>
        <v>96007</v>
      </c>
      <c r="AJ26">
        <f ca="1" t="shared" si="55"/>
        <v>2.3704910616</v>
      </c>
      <c r="AK26">
        <f ca="1" t="shared" si="56"/>
        <v>595388.5125</v>
      </c>
      <c r="AL26">
        <f ca="1" t="shared" si="19"/>
        <v>5523348.03726541</v>
      </c>
      <c r="AM26" s="169">
        <f ca="1" t="shared" si="20"/>
        <v>0.9272</v>
      </c>
      <c r="AN26">
        <f ca="1">技能数计算!$AJ18</f>
        <v>0</v>
      </c>
      <c r="AO26" s="170">
        <f ca="1" t="shared" si="21"/>
        <v>5595962.98800457</v>
      </c>
      <c r="AP26">
        <f ca="1" t="shared" si="22"/>
        <v>97084</v>
      </c>
      <c r="AQ26" s="170">
        <f ca="1" t="shared" si="57"/>
        <v>601144.65</v>
      </c>
      <c r="AR26">
        <f ca="1" t="shared" si="23"/>
        <v>5422814.17921362</v>
      </c>
      <c r="AS26">
        <f ca="1" t="shared" si="24"/>
        <v>0.9843</v>
      </c>
      <c r="AT26">
        <f ca="1">技能数计算!$AJ18</f>
        <v>0</v>
      </c>
      <c r="AU26">
        <f ca="1" t="shared" si="25"/>
        <v>2.3177566866</v>
      </c>
      <c r="AV26">
        <f ca="1" t="shared" si="26"/>
        <v>2.68954760480339</v>
      </c>
      <c r="AW26">
        <f ca="1" t="shared" si="58"/>
        <v>5461911.78024562</v>
      </c>
      <c r="AX26">
        <f ca="1" t="shared" si="27"/>
        <v>0.9743</v>
      </c>
      <c r="AY26">
        <f ca="1">技能数计算!$AJ18</f>
        <v>0</v>
      </c>
      <c r="AZ26" s="170">
        <f ca="1" t="shared" si="59"/>
        <v>5430578.48465913</v>
      </c>
      <c r="BA26">
        <f ca="1" t="shared" si="28"/>
        <v>0.9643</v>
      </c>
      <c r="BB26">
        <f ca="1">技能数计算!$AJ18</f>
        <v>0</v>
      </c>
      <c r="BC26" s="170">
        <f ca="1" t="shared" si="60"/>
        <v>5399245.18907263</v>
      </c>
      <c r="BE26">
        <f ca="1" t="shared" si="29"/>
        <v>91977</v>
      </c>
      <c r="BF26">
        <f ca="1" t="shared" si="30"/>
        <v>571587.8875</v>
      </c>
      <c r="BI26">
        <f ca="1" t="shared" si="31"/>
        <v>0.9543</v>
      </c>
      <c r="BJ26">
        <f ca="1">技能数计算!$AJ18</f>
        <v>0</v>
      </c>
      <c r="BK26">
        <f ca="1" t="shared" si="32"/>
        <v>5337007.19785348</v>
      </c>
      <c r="BM26">
        <f ca="1" t="shared" si="33"/>
        <v>95358</v>
      </c>
      <c r="BN26">
        <f ca="1" t="shared" si="34"/>
        <v>591155.425</v>
      </c>
      <c r="BO26">
        <f ca="1" t="shared" si="35"/>
        <v>5440080.78055361</v>
      </c>
      <c r="BP26">
        <f ca="1" t="shared" si="36"/>
        <v>5187891.31987374</v>
      </c>
      <c r="BR26">
        <f ca="1" t="shared" si="37"/>
        <v>0.9543</v>
      </c>
      <c r="BS26">
        <f ca="1" t="shared" si="38"/>
        <v>5363830.54170821</v>
      </c>
      <c r="BT26">
        <f ca="1" t="shared" si="39"/>
        <v>0.318170800459405</v>
      </c>
      <c r="BU26">
        <f ca="1" t="shared" si="40"/>
        <v>2.3177566866</v>
      </c>
      <c r="BV26">
        <f ca="1" t="shared" si="61"/>
        <v>5430382.07576043</v>
      </c>
      <c r="BW26">
        <f ca="1" t="shared" si="41"/>
        <v>99155</v>
      </c>
      <c r="BX26">
        <f ca="1" t="shared" si="42"/>
        <v>613130.5625</v>
      </c>
      <c r="BY26">
        <f ca="1" t="shared" si="43"/>
        <v>0.9343</v>
      </c>
      <c r="BZ26">
        <f ca="1">技能数计算!$AJ18</f>
        <v>0</v>
      </c>
      <c r="CA26">
        <f ca="1" t="shared" si="44"/>
        <v>2.3216629366</v>
      </c>
      <c r="CB26">
        <f ca="1" t="shared" si="62"/>
        <v>5670076.2825341</v>
      </c>
      <c r="CC26">
        <f ca="1" t="shared" si="45"/>
        <v>100975</v>
      </c>
      <c r="CD26">
        <f ca="1" t="shared" si="46"/>
        <v>623663.8125</v>
      </c>
      <c r="CE26">
        <f ca="1" t="shared" si="47"/>
        <v>5566575.18083561</v>
      </c>
      <c r="CF26">
        <f ca="1" t="shared" si="48"/>
        <v>2.2689285616</v>
      </c>
      <c r="CG26">
        <f ca="1" t="shared" si="49"/>
        <v>0.9343</v>
      </c>
      <c r="CH26">
        <f ca="1" t="shared" si="63"/>
        <v>5196770.90555525</v>
      </c>
      <c r="CJ26">
        <f ca="1" t="shared" si="50"/>
        <v>591155.425</v>
      </c>
      <c r="CK26">
        <f ca="1" t="shared" si="51"/>
        <v>5415437.51111096</v>
      </c>
      <c r="CL26">
        <f ca="1" t="shared" si="64"/>
        <v>2.2915848116</v>
      </c>
      <c r="CM26">
        <f ca="1">IF(G26="恒定伤害",0,(IF(D26="轻剑",$CM$8,$CM$9)+IFERROR(INDEX(技能数据库!$T$2:$W$27,MATCH(E26,技能数据库!$T$2:$T$27,0),4),0)+COUNTIF(G26,"*造化2*")*154+COUNTIF(G26,"*造化1*")*102+COUNTIF(G26,"*碧归*")*307)/1024)</f>
        <v>0.296985334429785</v>
      </c>
      <c r="CN26">
        <f ca="1" t="shared" si="65"/>
        <v>5504047.22581169</v>
      </c>
      <c r="CO26">
        <f ca="1" t="shared" si="66"/>
        <v>2.3156473116</v>
      </c>
      <c r="CP26">
        <f ca="1" t="shared" si="67"/>
        <v>5560121.09224366</v>
      </c>
      <c r="CQ26">
        <f ca="1" t="shared" si="52"/>
        <v>2.77157885480339</v>
      </c>
      <c r="CR26">
        <f ca="1">IF(G26="恒定伤害",0,(IF(D26="轻剑",$CR$8,$CR$9)+IFERROR(INDEX(技能数据库!$T$2:$W$27,MATCH(E26,技能数据库!$T$2:$T$27,0),4),0)+COUNTIF(G26,"*造化2*")*154+COUNTIF(G26,"*造化1*")*102+COUNTIF(G26,"*碧归*")*307)/1024)</f>
        <v>0.287219709429785</v>
      </c>
      <c r="CS26">
        <f ca="1" t="shared" si="68"/>
        <v>5210695.98519231</v>
      </c>
      <c r="CV26" t="s">
        <v>2659</v>
      </c>
      <c r="CW26">
        <f ca="1">AR6</f>
        <v>14540332.3061565</v>
      </c>
      <c r="CX26" s="164">
        <f ca="1" t="shared" si="69"/>
        <v>0.0904900996586133</v>
      </c>
      <c r="CY26">
        <f ca="1" t="shared" si="70"/>
        <v>9</v>
      </c>
      <c r="CZ26">
        <v>17</v>
      </c>
      <c r="DA26" t="str">
        <f ca="1" t="shared" si="71"/>
        <v>丐帮阵(0层)</v>
      </c>
      <c r="DB26" s="164">
        <f ca="1" t="shared" si="72"/>
        <v>0.0506581641081691</v>
      </c>
    </row>
    <row r="27" spans="4:106">
      <c r="D27" t="s">
        <v>1825</v>
      </c>
      <c r="E27" t="s">
        <v>2768</v>
      </c>
      <c r="G27" t="s">
        <v>3044</v>
      </c>
      <c r="H27">
        <f ca="1">INDEX(技能数据库!$B$2:$I$100,MATCH(阵眼收益计算!$E27,技能数据库!$B$2:$B$100,0),MATCH(H$9,技能数据库!$B$2:$I$2,0))</f>
        <v>210</v>
      </c>
      <c r="I27">
        <f ca="1">INDEX(技能数据库!$B$2:$I$100,MATCH(阵眼收益计算!$E27,技能数据库!$B$2:$B$100,0),MATCH(I$9,技能数据库!$B$2:$I$2,0))</f>
        <v>5.7875</v>
      </c>
      <c r="J27">
        <f ca="1">INDEX(技能数据库!$B$2:$I$100,MATCH(阵眼收益计算!$E27,技能数据库!$B$2:$B$100,0),MATCH(J$9,技能数据库!$B$2:$I$2,0))</f>
        <v>2</v>
      </c>
      <c r="K27">
        <f ca="1">INDEX(技能数据库!$B$2:$I$100,MATCH(阵眼收益计算!$E27,技能数据库!$B$2:$B$100,0),MATCH(K$9,技能数据库!$B$2:$I$2,0))</f>
        <v>0</v>
      </c>
      <c r="L27">
        <f ca="1" t="shared" si="13"/>
        <v>105847</v>
      </c>
      <c r="M27">
        <f ca="1" t="shared" si="73"/>
        <v>19530.5</v>
      </c>
      <c r="N27">
        <f ca="1" t="shared" si="74"/>
        <v>92028</v>
      </c>
      <c r="O27">
        <f ca="1" t="shared" si="53"/>
        <v>651860.5125</v>
      </c>
      <c r="P27">
        <f ca="1">IF(G27="恒定伤害",0,(IF(D27="轻剑",$AZ$2,$AZ$3)+IFERROR(INDEX(技能数据库!$T$2:$W$27,MATCH(E27,技能数据库!$T$2:$T$27,0),4),0)+COUNTIF(G27,"*造化2*")*154+COUNTIF(G27,"*造化1*")*102+COUNTIF(G27,"*碧归*")*307)/1024)</f>
        <v>0.236438459429785</v>
      </c>
      <c r="Q27">
        <f ca="1" t="shared" si="14"/>
        <v>0.448284482196154</v>
      </c>
      <c r="R27">
        <f ca="1" t="shared" si="54"/>
        <v>0.21277697966198</v>
      </c>
      <c r="S27">
        <f ca="1" t="shared" si="75"/>
        <v>918922.407955679</v>
      </c>
      <c r="T27">
        <f t="shared" si="76"/>
        <v>0.8</v>
      </c>
      <c r="U27">
        <f ca="1" t="shared" si="15"/>
        <v>2.67001635480339</v>
      </c>
      <c r="V27">
        <f ca="1" t="shared" si="77"/>
        <v>2697968.21279412</v>
      </c>
      <c r="W27">
        <f ca="1">IF(G27="恒定伤害",0,MIN(1,IF(COUNTIF(F27,"*内会*")&gt;0,内会2,IF(D27="轻剑",$Y$2,$Y$3)+COUNTIF(G27,"*莺鸣*")*0.2+COUNTIF(G27,"*叠1*")*0.1+COUNTIF(G27,"*叠2*")*0.2+COUNTIF(G27,"*叠3*")*0.3)+IFERROR(INDEX(技能数据库!$T$2:$W$27,MATCH(E27,技能数据库!$T$2:$T$27,0),2),0)+IF((IF(D27="轻剑",$AO$2,$AO$3)+INT(COUNTIF(G27,"*大莺鸣*")*IF(D27="轻剑",$AM$2,$AM$3)*听晓无双率)/无双系数)&gt;0.9,特效裤子会心/会心系数,0)))</f>
        <v>0.9043</v>
      </c>
      <c r="X27">
        <f ca="1">IF(G27="恒定伤害",0,IF(COUNTIF(F27,"*内会*")&gt;0,内会效2,IF(D27="轻剑",$AB$2,$AB$3))+IFERROR(INDEX(技能数据库!$T$2:$W$27,MATCH(E27,技能数据库!$T$2:$T$27,0),3)/1024,0))+COUNTIF(G27,"*叠1*")*0.25+COUNTIF(G27,"*叠2*")*0.5+COUNTIF(G27,"*叠3*")*0.75</f>
        <v>2.1712723116</v>
      </c>
      <c r="Y27">
        <f ca="1" t="shared" si="78"/>
        <v>2.05918155137988</v>
      </c>
      <c r="Z27">
        <f t="shared" si="16"/>
        <v>0.150390625</v>
      </c>
      <c r="AA27">
        <f ca="1" t="shared" si="79"/>
        <v>0.0205078125</v>
      </c>
      <c r="AB27">
        <f ca="1" t="shared" si="80"/>
        <v>6522185.32326465</v>
      </c>
      <c r="AC27">
        <f ca="1">技能数计算!$AJ19</f>
        <v>0</v>
      </c>
      <c r="AD27" s="164">
        <f ca="1" t="shared" si="81"/>
        <v>0</v>
      </c>
      <c r="AE27" s="168"/>
      <c r="AF27" s="168">
        <f ca="1" t="shared" si="17"/>
        <v>0.9057</v>
      </c>
      <c r="AG27">
        <f ca="1">技能数计算!$AJ19</f>
        <v>0</v>
      </c>
      <c r="AH27">
        <f ca="1" t="shared" si="18"/>
        <v>109879</v>
      </c>
      <c r="AJ27">
        <f ca="1" t="shared" si="55"/>
        <v>2.3704910616</v>
      </c>
      <c r="AK27">
        <f ca="1" t="shared" si="56"/>
        <v>675672.7125</v>
      </c>
      <c r="AL27">
        <f ca="1" t="shared" si="19"/>
        <v>7360217.61500052</v>
      </c>
      <c r="AM27" s="169">
        <f ca="1" t="shared" si="20"/>
        <v>0.9272</v>
      </c>
      <c r="AN27">
        <f ca="1">技能数计算!$AJ19</f>
        <v>0</v>
      </c>
      <c r="AO27" s="170">
        <f ca="1" t="shared" si="21"/>
        <v>7456981.72183152</v>
      </c>
      <c r="AP27">
        <f ca="1" t="shared" si="22"/>
        <v>110956</v>
      </c>
      <c r="AQ27" s="170">
        <f ca="1" t="shared" si="57"/>
        <v>681428.85</v>
      </c>
      <c r="AR27">
        <f ca="1" t="shared" si="23"/>
        <v>7218028.11553792</v>
      </c>
      <c r="AS27">
        <f ca="1" t="shared" si="24"/>
        <v>0.9843</v>
      </c>
      <c r="AT27">
        <f ca="1">技能数计算!$AJ19</f>
        <v>0</v>
      </c>
      <c r="AU27">
        <f ca="1" t="shared" si="25"/>
        <v>2.3177566866</v>
      </c>
      <c r="AV27">
        <f ca="1" t="shared" si="26"/>
        <v>2.68954760480339</v>
      </c>
      <c r="AW27">
        <f ca="1" t="shared" si="58"/>
        <v>7314378.8156795</v>
      </c>
      <c r="AX27">
        <f ca="1" t="shared" si="27"/>
        <v>0.9743</v>
      </c>
      <c r="AY27">
        <f ca="1">技能数计算!$AJ19</f>
        <v>0</v>
      </c>
      <c r="AZ27" s="170">
        <f ca="1" t="shared" si="59"/>
        <v>7272418.49067166</v>
      </c>
      <c r="BA27">
        <f ca="1" t="shared" si="28"/>
        <v>0.9643</v>
      </c>
      <c r="BB27">
        <f ca="1">技能数计算!$AJ19</f>
        <v>0</v>
      </c>
      <c r="BC27" s="170">
        <f ca="1" t="shared" si="60"/>
        <v>7230458.16566382</v>
      </c>
      <c r="BE27">
        <f ca="1" t="shared" si="29"/>
        <v>105849</v>
      </c>
      <c r="BF27">
        <f ca="1" t="shared" si="30"/>
        <v>651872.0875</v>
      </c>
      <c r="BI27">
        <f ca="1" t="shared" si="31"/>
        <v>0.9543</v>
      </c>
      <c r="BJ27">
        <f ca="1">技能数计算!$AJ19</f>
        <v>0</v>
      </c>
      <c r="BK27">
        <f ca="1" t="shared" si="32"/>
        <v>7147093.65436601</v>
      </c>
      <c r="BM27">
        <f ca="1" t="shared" si="33"/>
        <v>109230</v>
      </c>
      <c r="BN27">
        <f ca="1" t="shared" si="34"/>
        <v>671439.625</v>
      </c>
      <c r="BO27">
        <f ca="1" t="shared" si="35"/>
        <v>7255426.60188016</v>
      </c>
      <c r="BP27">
        <f ca="1" t="shared" si="36"/>
        <v>6919081.9416554</v>
      </c>
      <c r="BR27">
        <f ca="1" t="shared" si="37"/>
        <v>0.9543</v>
      </c>
      <c r="BS27">
        <f ca="1" t="shared" si="38"/>
        <v>7153731.78637369</v>
      </c>
      <c r="BT27">
        <f ca="1" t="shared" si="39"/>
        <v>0.196995876306796</v>
      </c>
      <c r="BU27">
        <f ca="1" t="shared" si="40"/>
        <v>2.3177566866</v>
      </c>
      <c r="BV27">
        <f ca="1" t="shared" si="61"/>
        <v>7293786.01881187</v>
      </c>
      <c r="BW27">
        <f ca="1" t="shared" si="41"/>
        <v>113027</v>
      </c>
      <c r="BX27">
        <f ca="1" t="shared" si="42"/>
        <v>693414.7625</v>
      </c>
      <c r="BY27">
        <f ca="1" t="shared" si="43"/>
        <v>0.9343</v>
      </c>
      <c r="BZ27">
        <f ca="1">技能数计算!$AJ19</f>
        <v>0</v>
      </c>
      <c r="CA27">
        <f ca="1" t="shared" si="44"/>
        <v>2.3216629366</v>
      </c>
      <c r="CB27">
        <f ca="1" t="shared" si="62"/>
        <v>7529763.51298734</v>
      </c>
      <c r="CC27">
        <f ca="1" t="shared" si="45"/>
        <v>114847</v>
      </c>
      <c r="CD27">
        <f ca="1" t="shared" si="46"/>
        <v>703948.0125</v>
      </c>
      <c r="CE27">
        <f ca="1" t="shared" si="47"/>
        <v>7377860.46002917</v>
      </c>
      <c r="CF27">
        <f ca="1" t="shared" si="48"/>
        <v>2.2689285616</v>
      </c>
      <c r="CG27">
        <f ca="1" t="shared" si="49"/>
        <v>0.9343</v>
      </c>
      <c r="CH27">
        <f ca="1" t="shared" si="63"/>
        <v>6959312.51746135</v>
      </c>
      <c r="CJ27">
        <f ca="1" t="shared" si="50"/>
        <v>671439.625</v>
      </c>
      <c r="CK27">
        <f ca="1" t="shared" si="51"/>
        <v>7222559.91480619</v>
      </c>
      <c r="CL27">
        <f ca="1" t="shared" si="64"/>
        <v>2.2915848116</v>
      </c>
      <c r="CM27">
        <f ca="1">IF(G27="恒定伤害",0,(IF(D27="轻剑",$CM$8,$CM$9)+IFERROR(INDEX(技能数据库!$T$2:$W$27,MATCH(E27,技能数据库!$T$2:$T$27,0),4),0)+COUNTIF(G27,"*造化2*")*154+COUNTIF(G27,"*造化1*")*102+COUNTIF(G27,"*碧归*")*307)/1024)</f>
        <v>0.296985334429785</v>
      </c>
      <c r="CN27">
        <f ca="1" t="shared" si="65"/>
        <v>7370804.95781391</v>
      </c>
      <c r="CO27">
        <f ca="1" t="shared" si="66"/>
        <v>2.3156473116</v>
      </c>
      <c r="CP27">
        <f ca="1" t="shared" si="67"/>
        <v>7445896.88848673</v>
      </c>
      <c r="CQ27">
        <f ca="1" t="shared" si="52"/>
        <v>2.77157885480339</v>
      </c>
      <c r="CR27">
        <f ca="1">IF(G27="恒定伤害",0,(IF(D27="轻剑",$CR$8,$CR$9)+IFERROR(INDEX(技能数据库!$T$2:$W$27,MATCH(E27,技能数据库!$T$2:$T$27,0),4),0)+COUNTIF(G27,"*造化2*")*154+COUNTIF(G27,"*造化1*")*102+COUNTIF(G27,"*碧归*")*307)/1024)</f>
        <v>0.287219709429785</v>
      </c>
      <c r="CS27">
        <f ca="1" t="shared" si="68"/>
        <v>6977960.43994744</v>
      </c>
      <c r="CV27" t="s">
        <v>3168</v>
      </c>
      <c r="CW27">
        <f ca="1">BP8</f>
        <v>14009222.8724421</v>
      </c>
      <c r="CX27" s="164">
        <f ca="1" t="shared" si="69"/>
        <v>0.0506581641081691</v>
      </c>
      <c r="CY27">
        <f ca="1" t="shared" si="70"/>
        <v>17</v>
      </c>
      <c r="CZ27">
        <v>18</v>
      </c>
      <c r="DA27" t="str">
        <f ca="1" t="shared" si="71"/>
        <v>苍云阵(5层)</v>
      </c>
      <c r="DB27" s="164">
        <f ca="1" t="shared" si="72"/>
        <v>0.0502649884267807</v>
      </c>
    </row>
    <row r="28" spans="4:106">
      <c r="D28" t="s">
        <v>1825</v>
      </c>
      <c r="E28" t="s">
        <v>2768</v>
      </c>
      <c r="G28" t="s">
        <v>3046</v>
      </c>
      <c r="H28">
        <f ca="1">INDEX(技能数据库!$B$2:$I$100,MATCH(阵眼收益计算!$E28,技能数据库!$B$2:$B$100,0),MATCH(H$9,技能数据库!$B$2:$I$2,0))</f>
        <v>210</v>
      </c>
      <c r="I28">
        <f ca="1">INDEX(技能数据库!$B$2:$I$100,MATCH(阵眼收益计算!$E28,技能数据库!$B$2:$B$100,0),MATCH(I$9,技能数据库!$B$2:$I$2,0))</f>
        <v>5.7875</v>
      </c>
      <c r="J28">
        <f ca="1">INDEX(技能数据库!$B$2:$I$100,MATCH(阵眼收益计算!$E28,技能数据库!$B$2:$B$100,0),MATCH(J$9,技能数据库!$B$2:$I$2,0))</f>
        <v>2</v>
      </c>
      <c r="K28">
        <f ca="1">INDEX(技能数据库!$B$2:$I$100,MATCH(阵眼收益计算!$E28,技能数据库!$B$2:$B$100,0),MATCH(K$9,技能数据库!$B$2:$I$2,0))</f>
        <v>0</v>
      </c>
      <c r="L28">
        <f ca="1" t="shared" si="13"/>
        <v>91975</v>
      </c>
      <c r="M28">
        <f ca="1" t="shared" si="73"/>
        <v>19530.5</v>
      </c>
      <c r="N28">
        <f ca="1" t="shared" si="74"/>
        <v>92028</v>
      </c>
      <c r="O28">
        <f ca="1" t="shared" si="53"/>
        <v>571576.3125</v>
      </c>
      <c r="P28">
        <f ca="1">IF(G28="恒定伤害",0,(IF(D28="轻剑",$AZ$2,$AZ$3)+IFERROR(INDEX(技能数据库!$T$2:$W$27,MATCH(E28,技能数据库!$T$2:$T$27,0),4),0)+COUNTIF(G28,"*造化2*")*154+COUNTIF(G28,"*造化1*")*102+COUNTIF(G28,"*碧归*")*307)/1024)</f>
        <v>0.386829084429785</v>
      </c>
      <c r="Q28">
        <f ca="1" t="shared" si="14"/>
        <v>0.448284482196154</v>
      </c>
      <c r="R28">
        <f ca="1" t="shared" si="54"/>
        <v>0.32958230397716</v>
      </c>
      <c r="S28">
        <f ca="1" t="shared" si="75"/>
        <v>769655.735232567</v>
      </c>
      <c r="T28">
        <f t="shared" si="76"/>
        <v>0.8</v>
      </c>
      <c r="U28">
        <f ca="1" t="shared" si="15"/>
        <v>1.7800129648</v>
      </c>
      <c r="V28">
        <f ca="1" t="shared" si="77"/>
        <v>1711722.33790337</v>
      </c>
      <c r="W28">
        <f ca="1">IF(G28="恒定伤害",0,MIN(1,IF(COUNTIF(F28,"*内会*")&gt;0,内会2,IF(D28="轻剑",$Y$2,$Y$3)+COUNTIF(G28,"*莺鸣*")*0.2+COUNTIF(G28,"*叠1*")*0.1+COUNTIF(G28,"*叠2*")*0.2+COUNTIF(G28,"*叠3*")*0.3)+IFERROR(INDEX(技能数据库!$T$2:$W$27,MATCH(E28,技能数据库!$T$2:$T$27,0),2),0)+IF((IF(D28="轻剑",$AO$2,$AO$3)+INT(COUNTIF(G28,"*大莺鸣*")*IF(D28="轻剑",$AM$2,$AM$3)*听晓无双率)/无双系数)&gt;0.9,特效裤子会心/会心系数,0)))</f>
        <v>0.7043</v>
      </c>
      <c r="X28">
        <f ca="1">IF(G28="恒定伤害",0,IF(COUNTIF(F28,"*内会*")&gt;0,内会效2,IF(D28="轻剑",$AB$2,$AB$3))+IFERROR(INDEX(技能数据库!$T$2:$W$27,MATCH(E28,技能数据库!$T$2:$T$27,0),3)/1024,0))+COUNTIF(G28,"*叠1*")*0.25+COUNTIF(G28,"*叠2*")*0.5+COUNTIF(G28,"*叠3*")*0.75</f>
        <v>2.1712723116</v>
      </c>
      <c r="Y28">
        <f ca="1" t="shared" si="78"/>
        <v>1.82492708905988</v>
      </c>
      <c r="Z28">
        <f t="shared" si="16"/>
        <v>0.150390625</v>
      </c>
      <c r="AA28">
        <f ca="1" t="shared" si="79"/>
        <v>0.0205078125</v>
      </c>
      <c r="AB28">
        <f ca="1" t="shared" si="80"/>
        <v>3667249.88566991</v>
      </c>
      <c r="AC28">
        <f ca="1">技能数计算!$AJ20</f>
        <v>0</v>
      </c>
      <c r="AD28" s="164">
        <f ca="1" t="shared" si="81"/>
        <v>0</v>
      </c>
      <c r="AE28" s="168"/>
      <c r="AF28" s="168">
        <f ca="1" t="shared" si="17"/>
        <v>0.7057</v>
      </c>
      <c r="AG28">
        <f ca="1">技能数计算!$AJ20</f>
        <v>0</v>
      </c>
      <c r="AH28">
        <f ca="1" t="shared" si="18"/>
        <v>96007</v>
      </c>
      <c r="AJ28">
        <f ca="1" t="shared" si="55"/>
        <v>2.3704910616</v>
      </c>
      <c r="AK28">
        <f ca="1" t="shared" si="56"/>
        <v>595388.5125</v>
      </c>
      <c r="AL28">
        <f ca="1" t="shared" si="19"/>
        <v>4118881.8832715</v>
      </c>
      <c r="AM28" s="169">
        <f ca="1" t="shared" si="20"/>
        <v>0.7272</v>
      </c>
      <c r="AN28">
        <f ca="1">技能数计算!$AJ20</f>
        <v>0</v>
      </c>
      <c r="AO28" s="170">
        <f ca="1" t="shared" si="21"/>
        <v>4180577.64128434</v>
      </c>
      <c r="AP28">
        <f ca="1" t="shared" si="22"/>
        <v>97084</v>
      </c>
      <c r="AQ28" s="170">
        <f ca="1" t="shared" si="57"/>
        <v>601144.65</v>
      </c>
      <c r="AR28">
        <f ca="1" t="shared" si="23"/>
        <v>4083239.55260983</v>
      </c>
      <c r="AS28">
        <f ca="1" t="shared" si="24"/>
        <v>0.7843</v>
      </c>
      <c r="AT28">
        <f ca="1">技能数计算!$AJ20</f>
        <v>0</v>
      </c>
      <c r="AU28">
        <f ca="1" t="shared" si="25"/>
        <v>2.3177566866</v>
      </c>
      <c r="AV28">
        <f ca="1" t="shared" si="26"/>
        <v>1.7995442148</v>
      </c>
      <c r="AW28">
        <f ca="1" t="shared" si="58"/>
        <v>4115126.69769102</v>
      </c>
      <c r="AX28">
        <f ca="1" t="shared" si="27"/>
        <v>0.7743</v>
      </c>
      <c r="AY28">
        <f ca="1">技能数计算!$AJ20</f>
        <v>0</v>
      </c>
      <c r="AZ28" s="170">
        <f ca="1" t="shared" si="59"/>
        <v>4088459.90872084</v>
      </c>
      <c r="BA28">
        <f ca="1" t="shared" si="28"/>
        <v>0.7643</v>
      </c>
      <c r="BB28">
        <f ca="1">技能数计算!$AJ20</f>
        <v>0</v>
      </c>
      <c r="BC28" s="170">
        <f ca="1" t="shared" si="60"/>
        <v>4061793.11975067</v>
      </c>
      <c r="BE28">
        <f ca="1" t="shared" si="29"/>
        <v>91977</v>
      </c>
      <c r="BF28">
        <f ca="1" t="shared" si="30"/>
        <v>571587.8875</v>
      </c>
      <c r="BI28">
        <f ca="1" t="shared" si="31"/>
        <v>0.7543</v>
      </c>
      <c r="BJ28">
        <f ca="1">技能数计算!$AJ20</f>
        <v>0</v>
      </c>
      <c r="BK28">
        <f ca="1" t="shared" si="32"/>
        <v>4039728.87793635</v>
      </c>
      <c r="BM28">
        <f ca="1" t="shared" si="33"/>
        <v>95358</v>
      </c>
      <c r="BN28">
        <f ca="1" t="shared" si="34"/>
        <v>591155.425</v>
      </c>
      <c r="BO28">
        <f ca="1" t="shared" si="35"/>
        <v>4096240.85916406</v>
      </c>
      <c r="BP28">
        <f ca="1" t="shared" si="36"/>
        <v>3906348.68388973</v>
      </c>
      <c r="BR28">
        <f ca="1" t="shared" si="37"/>
        <v>0.7543</v>
      </c>
      <c r="BS28">
        <f ca="1" t="shared" si="38"/>
        <v>4060032.21138816</v>
      </c>
      <c r="BT28">
        <f ca="1" t="shared" si="39"/>
        <v>0.318170800459405</v>
      </c>
      <c r="BU28">
        <f ca="1" t="shared" si="40"/>
        <v>2.3177566866</v>
      </c>
      <c r="BV28">
        <f ca="1" t="shared" si="61"/>
        <v>4075179.59717704</v>
      </c>
      <c r="BW28">
        <f ca="1" t="shared" si="41"/>
        <v>99155</v>
      </c>
      <c r="BX28">
        <f ca="1" t="shared" si="42"/>
        <v>613130.5625</v>
      </c>
      <c r="BY28">
        <f ca="1" t="shared" si="43"/>
        <v>0.7343</v>
      </c>
      <c r="BZ28">
        <f ca="1">技能数计算!$AJ20</f>
        <v>0</v>
      </c>
      <c r="CA28">
        <f ca="1" t="shared" si="44"/>
        <v>2.3216629366</v>
      </c>
      <c r="CB28">
        <f ca="1" t="shared" si="62"/>
        <v>4247657.85206784</v>
      </c>
      <c r="CC28">
        <f ca="1" t="shared" si="45"/>
        <v>100975</v>
      </c>
      <c r="CD28">
        <f ca="1" t="shared" si="46"/>
        <v>623663.8125</v>
      </c>
      <c r="CE28">
        <f ca="1" t="shared" si="47"/>
        <v>4200514.95610124</v>
      </c>
      <c r="CF28">
        <f ca="1" t="shared" si="48"/>
        <v>2.2689285616</v>
      </c>
      <c r="CG28">
        <f ca="1" t="shared" si="49"/>
        <v>0.7343</v>
      </c>
      <c r="CH28">
        <f ca="1" t="shared" si="63"/>
        <v>3909235.79399339</v>
      </c>
      <c r="CJ28">
        <f ca="1" t="shared" si="50"/>
        <v>591155.425</v>
      </c>
      <c r="CK28">
        <f ca="1" t="shared" si="51"/>
        <v>4077685.11132384</v>
      </c>
      <c r="CL28">
        <f ca="1" t="shared" si="64"/>
        <v>2.2915848116</v>
      </c>
      <c r="CM28">
        <f ca="1">IF(G28="恒定伤害",0,(IF(D28="轻剑",$CM$8,$CM$9)+IFERROR(INDEX(技能数据库!$T$2:$W$27,MATCH(E28,技能数据库!$T$2:$T$27,0),4),0)+COUNTIF(G28,"*造化2*")*154+COUNTIF(G28,"*造化1*")*102+COUNTIF(G28,"*碧归*")*307)/1024)</f>
        <v>0.447375959429785</v>
      </c>
      <c r="CN28">
        <f ca="1" t="shared" si="65"/>
        <v>4115043.41225414</v>
      </c>
      <c r="CO28">
        <f ca="1" t="shared" si="66"/>
        <v>2.3156473116</v>
      </c>
      <c r="CP28">
        <f ca="1" t="shared" si="67"/>
        <v>4152360.53785964</v>
      </c>
      <c r="CQ28">
        <f ca="1" t="shared" si="52"/>
        <v>1.8815754648</v>
      </c>
      <c r="CR28">
        <f ca="1">IF(G28="恒定伤害",0,(IF(D28="轻剑",$CR$8,$CR$9)+IFERROR(INDEX(技能数据库!$T$2:$W$27,MATCH(E28,技能数据库!$T$2:$T$27,0),4),0)+COUNTIF(G28,"*造化2*")*154+COUNTIF(G28,"*造化1*")*102+COUNTIF(G28,"*碧归*")*307)/1024)</f>
        <v>0.437610334429785</v>
      </c>
      <c r="CS28">
        <f ca="1" t="shared" si="68"/>
        <v>3940414.65074042</v>
      </c>
    </row>
    <row r="29" spans="4:106">
      <c r="D29" t="s">
        <v>1825</v>
      </c>
      <c r="E29" t="s">
        <v>2768</v>
      </c>
      <c r="G29" t="s">
        <v>3048</v>
      </c>
      <c r="H29">
        <f ca="1">INDEX(技能数据库!$B$2:$I$100,MATCH(阵眼收益计算!$E29,技能数据库!$B$2:$B$100,0),MATCH(H$9,技能数据库!$B$2:$I$2,0))</f>
        <v>210</v>
      </c>
      <c r="I29">
        <f ca="1">INDEX(技能数据库!$B$2:$I$100,MATCH(阵眼收益计算!$E29,技能数据库!$B$2:$B$100,0),MATCH(I$9,技能数据库!$B$2:$I$2,0))</f>
        <v>5.7875</v>
      </c>
      <c r="J29">
        <f ca="1">INDEX(技能数据库!$B$2:$I$100,MATCH(阵眼收益计算!$E29,技能数据库!$B$2:$B$100,0),MATCH(J$9,技能数据库!$B$2:$I$2,0))</f>
        <v>2</v>
      </c>
      <c r="K29">
        <f ca="1">INDEX(技能数据库!$B$2:$I$100,MATCH(阵眼收益计算!$E29,技能数据库!$B$2:$B$100,0),MATCH(K$9,技能数据库!$B$2:$I$2,0))</f>
        <v>0</v>
      </c>
      <c r="L29">
        <f ca="1" t="shared" si="13"/>
        <v>105847</v>
      </c>
      <c r="M29">
        <f ca="1" t="shared" si="73"/>
        <v>19530.5</v>
      </c>
      <c r="N29">
        <f ca="1" t="shared" si="74"/>
        <v>92028</v>
      </c>
      <c r="O29">
        <f ca="1" t="shared" si="53"/>
        <v>651860.5125</v>
      </c>
      <c r="P29">
        <f ca="1">IF(G29="恒定伤害",0,(IF(D29="轻剑",$AZ$2,$AZ$3)+IFERROR(INDEX(技能数据库!$T$2:$W$27,MATCH(E29,技能数据库!$T$2:$T$27,0),4),0)+COUNTIF(G29,"*造化2*")*154+COUNTIF(G29,"*造化1*")*102+COUNTIF(G29,"*碧归*")*307)/1024)</f>
        <v>0.386829084429785</v>
      </c>
      <c r="Q29">
        <f ca="1" t="shared" si="14"/>
        <v>0.448284482196154</v>
      </c>
      <c r="R29">
        <f ca="1" t="shared" si="54"/>
        <v>0.21277697966198</v>
      </c>
      <c r="S29">
        <f ca="1" t="shared" si="75"/>
        <v>1030692.88403962</v>
      </c>
      <c r="T29">
        <f t="shared" si="76"/>
        <v>0.8</v>
      </c>
      <c r="U29">
        <f ca="1" t="shared" si="15"/>
        <v>1.7800129648</v>
      </c>
      <c r="V29">
        <f ca="1" t="shared" si="77"/>
        <v>2292271.66428579</v>
      </c>
      <c r="W29">
        <f ca="1">IF(G29="恒定伤害",0,MIN(1,IF(COUNTIF(F29,"*内会*")&gt;0,内会2,IF(D29="轻剑",$Y$2,$Y$3)+COUNTIF(G29,"*莺鸣*")*0.2+COUNTIF(G29,"*叠1*")*0.1+COUNTIF(G29,"*叠2*")*0.2+COUNTIF(G29,"*叠3*")*0.3)+IFERROR(INDEX(技能数据库!$T$2:$W$27,MATCH(E29,技能数据库!$T$2:$T$27,0),2),0)+IF((IF(D29="轻剑",$AO$2,$AO$3)+INT(COUNTIF(G29,"*大莺鸣*")*IF(D29="轻剑",$AM$2,$AM$3)*听晓无双率)/无双系数)&gt;0.9,特效裤子会心/会心系数,0)))</f>
        <v>0.7043</v>
      </c>
      <c r="X29">
        <f ca="1">IF(G29="恒定伤害",0,IF(COUNTIF(F29,"*内会*")&gt;0,内会效2,IF(D29="轻剑",$AB$2,$AB$3))+IFERROR(INDEX(技能数据库!$T$2:$W$27,MATCH(E29,技能数据库!$T$2:$T$27,0),3)/1024,0))+COUNTIF(G29,"*叠1*")*0.25+COUNTIF(G29,"*叠2*")*0.5+COUNTIF(G29,"*叠3*")*0.75</f>
        <v>2.1712723116</v>
      </c>
      <c r="Y29">
        <f ca="1" t="shared" si="78"/>
        <v>1.82492708905988</v>
      </c>
      <c r="Z29">
        <f t="shared" si="16"/>
        <v>0.150390625</v>
      </c>
      <c r="AA29">
        <f ca="1" t="shared" si="79"/>
        <v>0.0205078125</v>
      </c>
      <c r="AB29">
        <f ca="1" t="shared" si="80"/>
        <v>4911037.73820763</v>
      </c>
      <c r="AC29">
        <f ca="1">技能数计算!$AJ21</f>
        <v>24</v>
      </c>
      <c r="AD29" s="164">
        <f ca="1" t="shared" si="81"/>
        <v>0.0422562534000221</v>
      </c>
      <c r="AE29" s="168"/>
      <c r="AF29" s="168">
        <f ca="1" t="shared" si="17"/>
        <v>0.7057</v>
      </c>
      <c r="AG29">
        <f ca="1">技能数计算!$AJ21</f>
        <v>24</v>
      </c>
      <c r="AH29">
        <f ca="1" t="shared" si="18"/>
        <v>109879</v>
      </c>
      <c r="AJ29">
        <f ca="1" t="shared" si="55"/>
        <v>2.3704910616</v>
      </c>
      <c r="AK29">
        <f ca="1" t="shared" si="56"/>
        <v>675672.7125</v>
      </c>
      <c r="AL29">
        <f ca="1" t="shared" si="19"/>
        <v>5488675.85146249</v>
      </c>
      <c r="AM29" s="169">
        <f ca="1" t="shared" si="20"/>
        <v>0.7272</v>
      </c>
      <c r="AN29">
        <f ca="1">技能数计算!$AJ21</f>
        <v>24</v>
      </c>
      <c r="AO29" s="170">
        <f ca="1" t="shared" si="21"/>
        <v>5570889.42950124</v>
      </c>
      <c r="AP29">
        <f ca="1" t="shared" si="22"/>
        <v>110956</v>
      </c>
      <c r="AQ29" s="170">
        <f ca="1" t="shared" si="57"/>
        <v>681428.85</v>
      </c>
      <c r="AR29">
        <f ca="1" t="shared" si="23"/>
        <v>5434989.45735371</v>
      </c>
      <c r="AS29">
        <f ca="1" t="shared" si="24"/>
        <v>0.7843</v>
      </c>
      <c r="AT29">
        <f ca="1">技能数计算!$AJ21</f>
        <v>24</v>
      </c>
      <c r="AU29">
        <f ca="1" t="shared" si="25"/>
        <v>2.3177566866</v>
      </c>
      <c r="AV29">
        <f ca="1" t="shared" si="26"/>
        <v>1.7995442148</v>
      </c>
      <c r="AW29">
        <f ca="1" t="shared" si="58"/>
        <v>5510816.86274961</v>
      </c>
      <c r="AX29">
        <f ca="1" t="shared" si="27"/>
        <v>0.7743</v>
      </c>
      <c r="AY29">
        <f ca="1">技能数计算!$AJ21</f>
        <v>24</v>
      </c>
      <c r="AZ29" s="170">
        <f ca="1" t="shared" si="59"/>
        <v>5475105.74104474</v>
      </c>
      <c r="BA29">
        <f ca="1" t="shared" si="28"/>
        <v>0.7643</v>
      </c>
      <c r="BB29">
        <f ca="1">技能数计算!$AJ21</f>
        <v>24</v>
      </c>
      <c r="BC29" s="170">
        <f ca="1" t="shared" si="60"/>
        <v>5439394.61933986</v>
      </c>
      <c r="BE29">
        <f ca="1" t="shared" si="29"/>
        <v>105849</v>
      </c>
      <c r="BF29">
        <f ca="1" t="shared" si="30"/>
        <v>651872.0875</v>
      </c>
      <c r="BI29">
        <f ca="1" t="shared" si="31"/>
        <v>0.7543</v>
      </c>
      <c r="BJ29">
        <f ca="1">技能数计算!$AJ21</f>
        <v>24</v>
      </c>
      <c r="BK29">
        <f ca="1" t="shared" si="32"/>
        <v>5409833.55624297</v>
      </c>
      <c r="BM29">
        <f ca="1" t="shared" si="33"/>
        <v>109230</v>
      </c>
      <c r="BN29">
        <f ca="1" t="shared" si="34"/>
        <v>671439.625</v>
      </c>
      <c r="BO29">
        <f ca="1" t="shared" si="35"/>
        <v>5463149.55533857</v>
      </c>
      <c r="BP29">
        <f ca="1" t="shared" si="36"/>
        <v>5209890.68004773</v>
      </c>
      <c r="BR29">
        <f ca="1" t="shared" si="37"/>
        <v>0.7543</v>
      </c>
      <c r="BS29">
        <f ca="1" t="shared" si="38"/>
        <v>5414858.14260248</v>
      </c>
      <c r="BT29">
        <f ca="1" t="shared" si="39"/>
        <v>0.196995876306796</v>
      </c>
      <c r="BU29">
        <f ca="1" t="shared" si="40"/>
        <v>2.3177566866</v>
      </c>
      <c r="BV29">
        <f ca="1" t="shared" si="61"/>
        <v>5473553.71230946</v>
      </c>
      <c r="BW29">
        <f ca="1" t="shared" si="41"/>
        <v>113027</v>
      </c>
      <c r="BX29">
        <f ca="1" t="shared" si="42"/>
        <v>693414.7625</v>
      </c>
      <c r="BY29">
        <f ca="1" t="shared" si="43"/>
        <v>0.7343</v>
      </c>
      <c r="BZ29">
        <f ca="1">技能数计算!$AJ21</f>
        <v>24</v>
      </c>
      <c r="CA29">
        <f ca="1" t="shared" si="44"/>
        <v>2.3216629366</v>
      </c>
      <c r="CB29">
        <f ca="1" t="shared" si="62"/>
        <v>5640816.36938052</v>
      </c>
      <c r="CC29">
        <f ca="1" t="shared" si="45"/>
        <v>114847</v>
      </c>
      <c r="CD29">
        <f ca="1" t="shared" si="46"/>
        <v>703948.0125</v>
      </c>
      <c r="CE29">
        <f ca="1" t="shared" si="47"/>
        <v>5567303.44953833</v>
      </c>
      <c r="CF29">
        <f ca="1" t="shared" si="48"/>
        <v>2.2689285616</v>
      </c>
      <c r="CG29">
        <f ca="1" t="shared" si="49"/>
        <v>0.7343</v>
      </c>
      <c r="CH29">
        <f ca="1" t="shared" si="63"/>
        <v>5235095.81031633</v>
      </c>
      <c r="CJ29">
        <f ca="1" t="shared" si="50"/>
        <v>671439.625</v>
      </c>
      <c r="CK29">
        <f ca="1" t="shared" si="51"/>
        <v>5438401.78560342</v>
      </c>
      <c r="CL29">
        <f ca="1" t="shared" si="64"/>
        <v>2.2915848116</v>
      </c>
      <c r="CM29">
        <f ca="1">IF(G29="恒定伤害",0,(IF(D29="轻剑",$CM$8,$CM$9)+IFERROR(INDEX(技能数据库!$T$2:$W$27,MATCH(E29,技能数据库!$T$2:$T$27,0),4),0)+COUNTIF(G29,"*造化2*")*154+COUNTIF(G29,"*造化1*")*102+COUNTIF(G29,"*碧归*")*307)/1024)</f>
        <v>0.447375959429785</v>
      </c>
      <c r="CN29">
        <f ca="1" t="shared" si="65"/>
        <v>5510705.33014718</v>
      </c>
      <c r="CO29">
        <f ca="1" t="shared" si="66"/>
        <v>2.3156473116</v>
      </c>
      <c r="CP29">
        <f ca="1" t="shared" si="67"/>
        <v>5560678.96648053</v>
      </c>
      <c r="CQ29">
        <f ca="1" t="shared" si="52"/>
        <v>1.8815754648</v>
      </c>
      <c r="CR29">
        <f ca="1">IF(G29="恒定伤害",0,(IF(D29="轻剑",$CR$8,$CR$9)+IFERROR(INDEX(技能数据库!$T$2:$W$27,MATCH(E29,技能数据库!$T$2:$T$27,0),4),0)+COUNTIF(G29,"*造化2*")*154+COUNTIF(G29,"*造化1*")*102+COUNTIF(G29,"*碧归*")*307)/1024)</f>
        <v>0.437610334429785</v>
      </c>
      <c r="CS29">
        <f ca="1" t="shared" si="68"/>
        <v>5276849.31686553</v>
      </c>
    </row>
    <row r="30" spans="4:106">
      <c r="D30" t="s">
        <v>1825</v>
      </c>
      <c r="E30" t="s">
        <v>2768</v>
      </c>
      <c r="G30" t="s">
        <v>3050</v>
      </c>
      <c r="H30">
        <f ca="1">INDEX(技能数据库!$B$2:$I$100,MATCH(阵眼收益计算!$E30,技能数据库!$B$2:$B$100,0),MATCH(H$9,技能数据库!$B$2:$I$2,0))</f>
        <v>210</v>
      </c>
      <c r="I30">
        <f ca="1">INDEX(技能数据库!$B$2:$I$100,MATCH(阵眼收益计算!$E30,技能数据库!$B$2:$B$100,0),MATCH(I$9,技能数据库!$B$2:$I$2,0))</f>
        <v>5.7875</v>
      </c>
      <c r="J30">
        <f ca="1">INDEX(技能数据库!$B$2:$I$100,MATCH(阵眼收益计算!$E30,技能数据库!$B$2:$B$100,0),MATCH(J$9,技能数据库!$B$2:$I$2,0))</f>
        <v>2</v>
      </c>
      <c r="K30">
        <f ca="1">INDEX(技能数据库!$B$2:$I$100,MATCH(阵眼收益计算!$E30,技能数据库!$B$2:$B$100,0),MATCH(K$9,技能数据库!$B$2:$I$2,0))</f>
        <v>0</v>
      </c>
      <c r="L30">
        <f ca="1" t="shared" si="13"/>
        <v>91975</v>
      </c>
      <c r="M30">
        <f ca="1" t="shared" si="73"/>
        <v>19530.5</v>
      </c>
      <c r="N30">
        <f ca="1" t="shared" si="74"/>
        <v>92028</v>
      </c>
      <c r="O30">
        <f ca="1" t="shared" si="53"/>
        <v>571576.3125</v>
      </c>
      <c r="P30">
        <f ca="1">IF(G30="恒定伤害",0,(IF(D30="轻剑",$AZ$2,$AZ$3)+IFERROR(INDEX(技能数据库!$T$2:$W$27,MATCH(E30,技能数据库!$T$2:$T$27,0),4),0)+COUNTIF(G30,"*造化2*")*154+COUNTIF(G30,"*造化1*")*102+COUNTIF(G30,"*碧归*")*307)/1024)</f>
        <v>0.386829084429785</v>
      </c>
      <c r="Q30">
        <f ca="1" t="shared" si="14"/>
        <v>0.448284482196154</v>
      </c>
      <c r="R30">
        <f ca="1" t="shared" si="54"/>
        <v>0.32958230397716</v>
      </c>
      <c r="S30">
        <f ca="1" t="shared" si="75"/>
        <v>769655.735232567</v>
      </c>
      <c r="T30">
        <f t="shared" si="76"/>
        <v>0.8</v>
      </c>
      <c r="U30">
        <f ca="1" t="shared" si="15"/>
        <v>2.67001635480339</v>
      </c>
      <c r="V30">
        <f ca="1" t="shared" si="77"/>
        <v>2259719.3086974</v>
      </c>
      <c r="W30">
        <f ca="1">IF(G30="恒定伤害",0,MIN(1,IF(COUNTIF(F30,"*内会*")&gt;0,内会2,IF(D30="轻剑",$Y$2,$Y$3)+COUNTIF(G30,"*莺鸣*")*0.2+COUNTIF(G30,"*叠1*")*0.1+COUNTIF(G30,"*叠2*")*0.2+COUNTIF(G30,"*叠3*")*0.3)+IFERROR(INDEX(技能数据库!$T$2:$W$27,MATCH(E30,技能数据库!$T$2:$T$27,0),2),0)+IF((IF(D30="轻剑",$AO$2,$AO$3)+INT(COUNTIF(G30,"*大莺鸣*")*IF(D30="轻剑",$AM$2,$AM$3)*听晓无双率)/无双系数)&gt;0.9,特效裤子会心/会心系数,0)))</f>
        <v>0.9043</v>
      </c>
      <c r="X30">
        <f ca="1">IF(G30="恒定伤害",0,IF(COUNTIF(F30,"*内会*")&gt;0,内会效2,IF(D30="轻剑",$AB$2,$AB$3))+IFERROR(INDEX(技能数据库!$T$2:$W$27,MATCH(E30,技能数据库!$T$2:$T$27,0),3)/1024,0))+COUNTIF(G30,"*叠1*")*0.25+COUNTIF(G30,"*叠2*")*0.5+COUNTIF(G30,"*叠3*")*0.75</f>
        <v>2.1712723116</v>
      </c>
      <c r="Y30">
        <f ca="1" t="shared" si="78"/>
        <v>2.05918155137988</v>
      </c>
      <c r="Z30">
        <f t="shared" si="16"/>
        <v>0.150390625</v>
      </c>
      <c r="AA30">
        <f ca="1" t="shared" si="79"/>
        <v>0.0205078125</v>
      </c>
      <c r="AB30">
        <f ca="1" t="shared" si="80"/>
        <v>5462743.4229925</v>
      </c>
      <c r="AC30">
        <f ca="1">技能数计算!$AJ22</f>
        <v>0</v>
      </c>
      <c r="AD30" s="164">
        <f ca="1" t="shared" si="81"/>
        <v>0</v>
      </c>
      <c r="AE30" s="168"/>
      <c r="AF30" s="168">
        <f ca="1" t="shared" si="17"/>
        <v>0.9057</v>
      </c>
      <c r="AG30">
        <f ca="1">技能数计算!$AJ22</f>
        <v>0</v>
      </c>
      <c r="AH30">
        <f ca="1" t="shared" si="18"/>
        <v>96007</v>
      </c>
      <c r="AJ30">
        <f ca="1" t="shared" si="55"/>
        <v>2.3704910616</v>
      </c>
      <c r="AK30">
        <f ca="1" t="shared" si="56"/>
        <v>595388.5125</v>
      </c>
      <c r="AL30">
        <f ca="1" t="shared" si="19"/>
        <v>6195164.54142038</v>
      </c>
      <c r="AM30" s="169">
        <f ca="1" t="shared" si="20"/>
        <v>0.9272</v>
      </c>
      <c r="AN30">
        <f ca="1">技能数计算!$AJ22</f>
        <v>0</v>
      </c>
      <c r="AO30" s="170">
        <f ca="1" t="shared" si="21"/>
        <v>6276611.80220516</v>
      </c>
      <c r="AP30">
        <f ca="1" t="shared" si="22"/>
        <v>97084</v>
      </c>
      <c r="AQ30" s="170">
        <f ca="1" t="shared" si="57"/>
        <v>601144.65</v>
      </c>
      <c r="AR30">
        <f ca="1" t="shared" si="23"/>
        <v>6082402.53757551</v>
      </c>
      <c r="AS30">
        <f ca="1" t="shared" si="24"/>
        <v>0.9843</v>
      </c>
      <c r="AT30">
        <f ca="1">技能数计算!$AJ22</f>
        <v>0</v>
      </c>
      <c r="AU30">
        <f ca="1" t="shared" si="25"/>
        <v>2.3177566866</v>
      </c>
      <c r="AV30">
        <f ca="1" t="shared" si="26"/>
        <v>2.68954760480339</v>
      </c>
      <c r="AW30">
        <f ca="1" t="shared" si="58"/>
        <v>6126255.662516</v>
      </c>
      <c r="AX30">
        <f ca="1" t="shared" si="27"/>
        <v>0.9743</v>
      </c>
      <c r="AY30">
        <f ca="1">技能数计算!$AJ22</f>
        <v>0</v>
      </c>
      <c r="AZ30" s="170">
        <f ca="1" t="shared" si="59"/>
        <v>6091111.23191456</v>
      </c>
      <c r="BA30">
        <f ca="1" t="shared" si="28"/>
        <v>0.9643</v>
      </c>
      <c r="BB30">
        <f ca="1">技能数计算!$AJ22</f>
        <v>0</v>
      </c>
      <c r="BC30" s="170">
        <f ca="1" t="shared" si="60"/>
        <v>6055966.80131312</v>
      </c>
      <c r="BE30">
        <f ca="1" t="shared" si="29"/>
        <v>91977</v>
      </c>
      <c r="BF30">
        <f ca="1" t="shared" si="30"/>
        <v>571587.8875</v>
      </c>
      <c r="BI30">
        <f ca="1" t="shared" si="31"/>
        <v>0.9543</v>
      </c>
      <c r="BJ30">
        <f ca="1">技能数计算!$AJ22</f>
        <v>0</v>
      </c>
      <c r="BK30">
        <f ca="1" t="shared" si="32"/>
        <v>5986158.67158298</v>
      </c>
      <c r="BM30">
        <f ca="1" t="shared" si="33"/>
        <v>95358</v>
      </c>
      <c r="BN30">
        <f ca="1" t="shared" si="34"/>
        <v>591155.425</v>
      </c>
      <c r="BO30">
        <f ca="1" t="shared" si="35"/>
        <v>6101769.31215692</v>
      </c>
      <c r="BP30">
        <f ca="1" t="shared" si="36"/>
        <v>5818905.51397096</v>
      </c>
      <c r="BR30">
        <f ca="1" t="shared" si="37"/>
        <v>0.9543</v>
      </c>
      <c r="BS30">
        <f ca="1" t="shared" si="38"/>
        <v>6016244.59548457</v>
      </c>
      <c r="BT30">
        <f ca="1" t="shared" si="39"/>
        <v>0.318170800459405</v>
      </c>
      <c r="BU30">
        <f ca="1" t="shared" si="40"/>
        <v>2.3177566866</v>
      </c>
      <c r="BV30">
        <f ca="1" t="shared" si="61"/>
        <v>6090890.9333861</v>
      </c>
      <c r="BW30">
        <f ca="1" t="shared" si="41"/>
        <v>99155</v>
      </c>
      <c r="BX30">
        <f ca="1" t="shared" si="42"/>
        <v>613130.5625</v>
      </c>
      <c r="BY30">
        <f ca="1" t="shared" si="43"/>
        <v>0.9343</v>
      </c>
      <c r="BZ30">
        <f ca="1">技能数计算!$AJ22</f>
        <v>0</v>
      </c>
      <c r="CA30">
        <f ca="1" t="shared" si="44"/>
        <v>2.3216629366</v>
      </c>
      <c r="CB30">
        <f ca="1" t="shared" si="62"/>
        <v>6359739.65350465</v>
      </c>
      <c r="CC30">
        <f ca="1" t="shared" si="45"/>
        <v>100975</v>
      </c>
      <c r="CD30">
        <f ca="1" t="shared" si="46"/>
        <v>623663.8125</v>
      </c>
      <c r="CE30">
        <f ca="1" t="shared" si="47"/>
        <v>6243649.49389235</v>
      </c>
      <c r="CF30">
        <f ca="1" t="shared" si="48"/>
        <v>2.2689285616</v>
      </c>
      <c r="CG30">
        <f ca="1" t="shared" si="49"/>
        <v>0.9343</v>
      </c>
      <c r="CH30">
        <f ca="1" t="shared" si="63"/>
        <v>5828865.14244004</v>
      </c>
      <c r="CJ30">
        <f ca="1" t="shared" si="50"/>
        <v>591155.425</v>
      </c>
      <c r="CK30">
        <f ca="1" t="shared" si="51"/>
        <v>6074128.6297292</v>
      </c>
      <c r="CL30">
        <f ca="1" t="shared" si="64"/>
        <v>2.2915848116</v>
      </c>
      <c r="CM30">
        <f ca="1">IF(G30="恒定伤害",0,(IF(D30="轻剑",$CM$8,$CM$9)+IFERROR(INDEX(技能数据库!$T$2:$W$27,MATCH(E30,技能数据库!$T$2:$T$27,0),4),0)+COUNTIF(G30,"*造化2*")*154+COUNTIF(G30,"*造化1*")*102+COUNTIF(G30,"*碧归*")*307)/1024)</f>
        <v>0.447375959429785</v>
      </c>
      <c r="CN30">
        <f ca="1" t="shared" si="65"/>
        <v>6142263.46492072</v>
      </c>
      <c r="CO30">
        <f ca="1" t="shared" si="66"/>
        <v>2.3156473116</v>
      </c>
      <c r="CP30">
        <f ca="1" t="shared" si="67"/>
        <v>6204839.31992188</v>
      </c>
      <c r="CQ30">
        <f ca="1" t="shared" si="52"/>
        <v>2.77157885480339</v>
      </c>
      <c r="CR30">
        <f ca="1">IF(G30="恒定伤害",0,(IF(D30="轻剑",$CR$8,$CR$9)+IFERROR(INDEX(技能数据库!$T$2:$W$27,MATCH(E30,技能数据库!$T$2:$T$27,0),4),0)+COUNTIF(G30,"*造化2*")*154+COUNTIF(G30,"*造化1*")*102+COUNTIF(G30,"*碧归*")*307)/1024)</f>
        <v>0.437610334429785</v>
      </c>
      <c r="CS30">
        <f ca="1" t="shared" si="68"/>
        <v>5819480.81046911</v>
      </c>
    </row>
    <row r="31" spans="4:106">
      <c r="D31" t="s">
        <v>1825</v>
      </c>
      <c r="E31" t="s">
        <v>2768</v>
      </c>
      <c r="G31" t="s">
        <v>3052</v>
      </c>
      <c r="H31">
        <f ca="1">INDEX(技能数据库!$B$2:$I$100,MATCH(阵眼收益计算!$E31,技能数据库!$B$2:$B$100,0),MATCH(H$9,技能数据库!$B$2:$I$2,0))</f>
        <v>210</v>
      </c>
      <c r="I31">
        <f ca="1">INDEX(技能数据库!$B$2:$I$100,MATCH(阵眼收益计算!$E31,技能数据库!$B$2:$B$100,0),MATCH(I$9,技能数据库!$B$2:$I$2,0))</f>
        <v>5.7875</v>
      </c>
      <c r="J31">
        <f ca="1">INDEX(技能数据库!$B$2:$I$100,MATCH(阵眼收益计算!$E31,技能数据库!$B$2:$B$100,0),MATCH(J$9,技能数据库!$B$2:$I$2,0))</f>
        <v>2</v>
      </c>
      <c r="K31">
        <f ca="1">INDEX(技能数据库!$B$2:$I$100,MATCH(阵眼收益计算!$E31,技能数据库!$B$2:$B$100,0),MATCH(K$9,技能数据库!$B$2:$I$2,0))</f>
        <v>0</v>
      </c>
      <c r="L31">
        <f ca="1" t="shared" si="13"/>
        <v>105847</v>
      </c>
      <c r="M31">
        <f ca="1" t="shared" si="73"/>
        <v>19530.5</v>
      </c>
      <c r="N31">
        <f ca="1" t="shared" si="74"/>
        <v>92028</v>
      </c>
      <c r="O31">
        <f ca="1" t="shared" si="53"/>
        <v>651860.5125</v>
      </c>
      <c r="P31">
        <f ca="1">IF(G31="恒定伤害",0,(IF(D31="轻剑",$AZ$2,$AZ$3)+IFERROR(INDEX(技能数据库!$T$2:$W$27,MATCH(E31,技能数据库!$T$2:$T$27,0),4),0)+COUNTIF(G31,"*造化2*")*154+COUNTIF(G31,"*造化1*")*102+COUNTIF(G31,"*碧归*")*307)/1024)</f>
        <v>0.386829084429785</v>
      </c>
      <c r="Q31">
        <f ca="1" t="shared" si="14"/>
        <v>0.448284482196154</v>
      </c>
      <c r="R31">
        <f ca="1" t="shared" si="54"/>
        <v>0.21277697966198</v>
      </c>
      <c r="S31">
        <f ca="1" t="shared" si="75"/>
        <v>1030692.88403962</v>
      </c>
      <c r="T31">
        <f t="shared" si="76"/>
        <v>0.8</v>
      </c>
      <c r="U31">
        <f ca="1" t="shared" si="15"/>
        <v>2.67001635480339</v>
      </c>
      <c r="V31">
        <f ca="1" t="shared" si="77"/>
        <v>3026127.7929639</v>
      </c>
      <c r="W31">
        <f ca="1">IF(G31="恒定伤害",0,MIN(1,IF(COUNTIF(F31,"*内会*")&gt;0,内会2,IF(D31="轻剑",$Y$2,$Y$3)+COUNTIF(G31,"*莺鸣*")*0.2+COUNTIF(G31,"*叠1*")*0.1+COUNTIF(G31,"*叠2*")*0.2+COUNTIF(G31,"*叠3*")*0.3)+IFERROR(INDEX(技能数据库!$T$2:$W$27,MATCH(E31,技能数据库!$T$2:$T$27,0),2),0)+IF((IF(D31="轻剑",$AO$2,$AO$3)+INT(COUNTIF(G31,"*大莺鸣*")*IF(D31="轻剑",$AM$2,$AM$3)*听晓无双率)/无双系数)&gt;0.9,特效裤子会心/会心系数,0)))</f>
        <v>0.9043</v>
      </c>
      <c r="X31">
        <f ca="1">IF(G31="恒定伤害",0,IF(COUNTIF(F31,"*内会*")&gt;0,内会效2,IF(D31="轻剑",$AB$2,$AB$3))+IFERROR(INDEX(技能数据库!$T$2:$W$27,MATCH(E31,技能数据库!$T$2:$T$27,0),3)/1024,0))+COUNTIF(G31,"*叠1*")*0.25+COUNTIF(G31,"*叠2*")*0.5+COUNTIF(G31,"*叠3*")*0.75</f>
        <v>2.1712723116</v>
      </c>
      <c r="Y31">
        <f ca="1" t="shared" si="78"/>
        <v>2.05918155137988</v>
      </c>
      <c r="Z31">
        <f t="shared" si="16"/>
        <v>0.150390625</v>
      </c>
      <c r="AA31">
        <f ca="1" t="shared" si="79"/>
        <v>0.0205078125</v>
      </c>
      <c r="AB31">
        <f ca="1" t="shared" si="80"/>
        <v>7315492.51914721</v>
      </c>
      <c r="AC31">
        <f ca="1">技能数计算!$AJ23</f>
        <v>0</v>
      </c>
      <c r="AD31" s="164">
        <f ca="1" t="shared" si="81"/>
        <v>0</v>
      </c>
      <c r="AE31" s="168"/>
      <c r="AF31" s="168">
        <f ca="1" t="shared" si="17"/>
        <v>0.9057</v>
      </c>
      <c r="AG31">
        <f ca="1">技能数计算!$AJ23</f>
        <v>0</v>
      </c>
      <c r="AH31">
        <f ca="1" t="shared" si="18"/>
        <v>109879</v>
      </c>
      <c r="AJ31">
        <f ca="1" t="shared" si="55"/>
        <v>2.3704910616</v>
      </c>
      <c r="AK31">
        <f ca="1" t="shared" si="56"/>
        <v>675672.7125</v>
      </c>
      <c r="AL31">
        <f ca="1" t="shared" si="19"/>
        <v>8255456.45104126</v>
      </c>
      <c r="AM31" s="169">
        <f ca="1" t="shared" si="20"/>
        <v>0.9272</v>
      </c>
      <c r="AN31">
        <f ca="1">技能数计算!$AJ23</f>
        <v>0</v>
      </c>
      <c r="AO31" s="170">
        <f ca="1" t="shared" si="21"/>
        <v>8363990.18085099</v>
      </c>
      <c r="AP31">
        <f ca="1" t="shared" si="22"/>
        <v>110956</v>
      </c>
      <c r="AQ31" s="170">
        <f ca="1" t="shared" si="57"/>
        <v>681428.85</v>
      </c>
      <c r="AR31">
        <f ca="1" t="shared" si="23"/>
        <v>8095972.14201534</v>
      </c>
      <c r="AS31">
        <f ca="1" t="shared" si="24"/>
        <v>0.9843</v>
      </c>
      <c r="AT31">
        <f ca="1">技能数计算!$AJ23</f>
        <v>0</v>
      </c>
      <c r="AU31">
        <f ca="1" t="shared" si="25"/>
        <v>2.3177566866</v>
      </c>
      <c r="AV31">
        <f ca="1" t="shared" si="26"/>
        <v>2.68954760480339</v>
      </c>
      <c r="AW31">
        <f ca="1" t="shared" si="58"/>
        <v>8204042.18160561</v>
      </c>
      <c r="AX31">
        <f ca="1" t="shared" si="27"/>
        <v>0.9743</v>
      </c>
      <c r="AY31">
        <f ca="1">技能数计算!$AJ23</f>
        <v>0</v>
      </c>
      <c r="AZ31" s="170">
        <f ca="1" t="shared" si="59"/>
        <v>8156978.13351717</v>
      </c>
      <c r="BA31">
        <f ca="1" t="shared" si="28"/>
        <v>0.9643</v>
      </c>
      <c r="BB31">
        <f ca="1">技能数计算!$AJ23</f>
        <v>0</v>
      </c>
      <c r="BC31" s="170">
        <f ca="1" t="shared" si="60"/>
        <v>8109914.08542873</v>
      </c>
      <c r="BE31">
        <f ca="1" t="shared" si="29"/>
        <v>105849</v>
      </c>
      <c r="BF31">
        <f ca="1" t="shared" si="30"/>
        <v>651872.0875</v>
      </c>
      <c r="BI31">
        <f ca="1" t="shared" si="31"/>
        <v>0.9543</v>
      </c>
      <c r="BJ31">
        <f ca="1">技能数计算!$AJ23</f>
        <v>0</v>
      </c>
      <c r="BK31">
        <f ca="1" t="shared" si="32"/>
        <v>8016409.77229827</v>
      </c>
      <c r="BM31">
        <f ca="1" t="shared" si="33"/>
        <v>109230</v>
      </c>
      <c r="BN31">
        <f ca="1" t="shared" si="34"/>
        <v>671439.625</v>
      </c>
      <c r="BO31">
        <f ca="1" t="shared" si="35"/>
        <v>8137919.48535257</v>
      </c>
      <c r="BP31">
        <f ca="1" t="shared" si="36"/>
        <v>7760664.5127052</v>
      </c>
      <c r="BR31">
        <f ca="1" t="shared" si="37"/>
        <v>0.9543</v>
      </c>
      <c r="BS31">
        <f ca="1" t="shared" si="38"/>
        <v>8023855.31434229</v>
      </c>
      <c r="BT31">
        <f ca="1" t="shared" si="39"/>
        <v>0.196995876306796</v>
      </c>
      <c r="BU31">
        <f ca="1" t="shared" si="40"/>
        <v>2.3177566866</v>
      </c>
      <c r="BV31">
        <f ca="1" t="shared" si="61"/>
        <v>8180944.63929934</v>
      </c>
      <c r="BW31">
        <f ca="1" t="shared" si="41"/>
        <v>113027</v>
      </c>
      <c r="BX31">
        <f ca="1" t="shared" si="42"/>
        <v>693414.7625</v>
      </c>
      <c r="BY31">
        <f ca="1" t="shared" si="43"/>
        <v>0.9343</v>
      </c>
      <c r="BZ31">
        <f ca="1">技能数计算!$AJ23</f>
        <v>0</v>
      </c>
      <c r="CA31">
        <f ca="1" t="shared" si="44"/>
        <v>2.3216629366</v>
      </c>
      <c r="CB31">
        <f ca="1" t="shared" si="62"/>
        <v>8445624.57520519</v>
      </c>
      <c r="CC31">
        <f ca="1" t="shared" si="45"/>
        <v>114847</v>
      </c>
      <c r="CD31">
        <f ca="1" t="shared" si="46"/>
        <v>703948.0125</v>
      </c>
      <c r="CE31">
        <f ca="1" t="shared" si="47"/>
        <v>8275245.23262697</v>
      </c>
      <c r="CF31">
        <f ca="1" t="shared" si="48"/>
        <v>2.2689285616</v>
      </c>
      <c r="CG31">
        <f ca="1" t="shared" si="49"/>
        <v>0.9343</v>
      </c>
      <c r="CH31">
        <f ca="1" t="shared" si="63"/>
        <v>7805788.41853774</v>
      </c>
      <c r="CJ31">
        <f ca="1" t="shared" si="50"/>
        <v>671439.625</v>
      </c>
      <c r="CK31">
        <f ca="1" t="shared" si="51"/>
        <v>8101055.15361378</v>
      </c>
      <c r="CL31">
        <f ca="1" t="shared" si="64"/>
        <v>2.2915848116</v>
      </c>
      <c r="CM31">
        <f ca="1">IF(G31="恒定伤害",0,(IF(D31="轻剑",$CM$8,$CM$9)+IFERROR(INDEX(技能数据库!$T$2:$W$27,MATCH(E31,技能数据库!$T$2:$T$27,0),4),0)+COUNTIF(G31,"*造化2*")*154+COUNTIF(G31,"*造化1*")*102+COUNTIF(G31,"*碧归*")*307)/1024)</f>
        <v>0.447375959429785</v>
      </c>
      <c r="CN31">
        <f ca="1" t="shared" si="65"/>
        <v>8225479.20503358</v>
      </c>
      <c r="CO31">
        <f ca="1" t="shared" si="66"/>
        <v>2.3156473116</v>
      </c>
      <c r="CP31">
        <f ca="1" t="shared" si="67"/>
        <v>8309278.34471374</v>
      </c>
      <c r="CQ31">
        <f ca="1" t="shared" si="52"/>
        <v>2.77157885480339</v>
      </c>
      <c r="CR31">
        <f ca="1">IF(G31="恒定伤害",0,(IF(D31="轻剑",$CR$8,$CR$9)+IFERROR(INDEX(技能数据库!$T$2:$W$27,MATCH(E31,技能数据库!$T$2:$T$27,0),4),0)+COUNTIF(G31,"*造化2*")*154+COUNTIF(G31,"*造化1*")*102+COUNTIF(G31,"*碧归*")*307)/1024)</f>
        <v>0.437610334429785</v>
      </c>
      <c r="CS31">
        <f ca="1" t="shared" si="68"/>
        <v>7793221.28788291</v>
      </c>
    </row>
    <row r="32" spans="4:106">
      <c r="D32" t="s">
        <v>1825</v>
      </c>
      <c r="E32" t="s">
        <v>2768</v>
      </c>
      <c r="G32" t="s">
        <v>3053</v>
      </c>
      <c r="H32">
        <f ca="1">INDEX(技能数据库!$B$2:$I$100,MATCH(阵眼收益计算!$E32,技能数据库!$B$2:$B$100,0),MATCH(H$9,技能数据库!$B$2:$I$2,0))</f>
        <v>210</v>
      </c>
      <c r="I32">
        <f ca="1">INDEX(技能数据库!$B$2:$I$100,MATCH(阵眼收益计算!$E32,技能数据库!$B$2:$B$100,0),MATCH(I$9,技能数据库!$B$2:$I$2,0))</f>
        <v>5.7875</v>
      </c>
      <c r="J32">
        <f ca="1">INDEX(技能数据库!$B$2:$I$100,MATCH(阵眼收益计算!$E32,技能数据库!$B$2:$B$100,0),MATCH(J$9,技能数据库!$B$2:$I$2,0))</f>
        <v>2</v>
      </c>
      <c r="K32">
        <f ca="1">INDEX(技能数据库!$B$2:$I$100,MATCH(阵眼收益计算!$E32,技能数据库!$B$2:$B$100,0),MATCH(K$9,技能数据库!$B$2:$I$2,0))</f>
        <v>0</v>
      </c>
      <c r="L32">
        <f ca="1" t="shared" si="13"/>
        <v>91975</v>
      </c>
      <c r="M32">
        <f ca="1" t="shared" si="73"/>
        <v>19530.5</v>
      </c>
      <c r="N32">
        <f ca="1" t="shared" si="74"/>
        <v>92028</v>
      </c>
      <c r="O32">
        <f ca="1" t="shared" si="53"/>
        <v>571576.3125</v>
      </c>
      <c r="P32">
        <f ca="1">IF(G32="恒定伤害",0,(IF(D32="轻剑",$AZ$2,$AZ$3)+IFERROR(INDEX(技能数据库!$T$2:$W$27,MATCH(E32,技能数据库!$T$2:$T$27,0),4),0)+COUNTIF(G32,"*造化2*")*154+COUNTIF(G32,"*造化1*")*102+COUNTIF(G32,"*碧归*")*307)/1024)</f>
        <v>0.336047834429785</v>
      </c>
      <c r="Q32">
        <f ca="1" t="shared" si="14"/>
        <v>0.448284482196154</v>
      </c>
      <c r="R32">
        <f ca="1" t="shared" si="54"/>
        <v>0.32958230397716</v>
      </c>
      <c r="S32">
        <f ca="1" t="shared" si="75"/>
        <v>741473.401343277</v>
      </c>
      <c r="T32">
        <f t="shared" si="76"/>
        <v>0.8</v>
      </c>
      <c r="U32">
        <f ca="1" t="shared" si="15"/>
        <v>1.7800129648</v>
      </c>
      <c r="V32">
        <f ca="1" t="shared" si="77"/>
        <v>1649044.53503093</v>
      </c>
      <c r="W32">
        <f ca="1">IF(G32="恒定伤害",0,MIN(1,IF(COUNTIF(F32,"*内会*")&gt;0,内会2,IF(D32="轻剑",$Y$2,$Y$3)+COUNTIF(G32,"*莺鸣*")*0.2+COUNTIF(G32,"*叠1*")*0.1+COUNTIF(G32,"*叠2*")*0.2+COUNTIF(G32,"*叠3*")*0.3)+IFERROR(INDEX(技能数据库!$T$2:$W$27,MATCH(E32,技能数据库!$T$2:$T$27,0),2),0)+IF((IF(D32="轻剑",$AO$2,$AO$3)+INT(COUNTIF(G32,"*大莺鸣*")*IF(D32="轻剑",$AM$2,$AM$3)*听晓无双率)/无双系数)&gt;0.9,特效裤子会心/会心系数,0)))</f>
        <v>0.7043</v>
      </c>
      <c r="X32">
        <f ca="1">IF(G32="恒定伤害",0,IF(COUNTIF(F32,"*内会*")&gt;0,内会效2,IF(D32="轻剑",$AB$2,$AB$3))+IFERROR(INDEX(技能数据库!$T$2:$W$27,MATCH(E32,技能数据库!$T$2:$T$27,0),3)/1024,0))+COUNTIF(G32,"*叠1*")*0.25+COUNTIF(G32,"*叠2*")*0.5+COUNTIF(G32,"*叠3*")*0.75</f>
        <v>2.1712723116</v>
      </c>
      <c r="Y32">
        <f ca="1" t="shared" si="78"/>
        <v>1.82492708905988</v>
      </c>
      <c r="Z32">
        <f t="shared" si="16"/>
        <v>0.150390625</v>
      </c>
      <c r="AA32">
        <f ca="1" t="shared" si="79"/>
        <v>0.0205078125</v>
      </c>
      <c r="AB32">
        <f ca="1" t="shared" si="80"/>
        <v>3532966.91212437</v>
      </c>
      <c r="AC32">
        <f ca="1">技能数计算!$AJ24</f>
        <v>0</v>
      </c>
      <c r="AD32" s="164">
        <f ca="1" t="shared" si="81"/>
        <v>0</v>
      </c>
      <c r="AE32" s="168"/>
      <c r="AF32" s="168">
        <f ca="1" t="shared" si="17"/>
        <v>0.7057</v>
      </c>
      <c r="AG32">
        <f ca="1">技能数计算!$AJ24</f>
        <v>0</v>
      </c>
      <c r="AH32">
        <f ca="1" t="shared" si="18"/>
        <v>96007</v>
      </c>
      <c r="AJ32">
        <f ca="1" t="shared" si="55"/>
        <v>2.3704910616</v>
      </c>
      <c r="AK32">
        <f ca="1" t="shared" si="56"/>
        <v>595388.5125</v>
      </c>
      <c r="AL32">
        <f ca="1" t="shared" si="19"/>
        <v>3968061.58898781</v>
      </c>
      <c r="AM32" s="169">
        <f ca="1" t="shared" si="20"/>
        <v>0.7272</v>
      </c>
      <c r="AN32">
        <f ca="1">技能数计算!$AJ24</f>
        <v>0</v>
      </c>
      <c r="AO32" s="170">
        <f ca="1" t="shared" si="21"/>
        <v>4027498.24546697</v>
      </c>
      <c r="AP32">
        <f ca="1" t="shared" si="22"/>
        <v>97084</v>
      </c>
      <c r="AQ32" s="170">
        <f ca="1" t="shared" si="57"/>
        <v>601144.65</v>
      </c>
      <c r="AR32">
        <f ca="1" t="shared" si="23"/>
        <v>3933724.36659379</v>
      </c>
      <c r="AS32">
        <f ca="1" t="shared" si="24"/>
        <v>0.7843</v>
      </c>
      <c r="AT32">
        <f ca="1">技能数计算!$AJ24</f>
        <v>0</v>
      </c>
      <c r="AU32">
        <f ca="1" t="shared" si="25"/>
        <v>2.3177566866</v>
      </c>
      <c r="AV32">
        <f ca="1" t="shared" si="26"/>
        <v>1.7995442148</v>
      </c>
      <c r="AW32">
        <f ca="1" t="shared" si="58"/>
        <v>3964443.90630505</v>
      </c>
      <c r="AX32">
        <f ca="1" t="shared" si="27"/>
        <v>0.7743</v>
      </c>
      <c r="AY32">
        <f ca="1">技能数计算!$AJ24</f>
        <v>0</v>
      </c>
      <c r="AZ32" s="170">
        <f ca="1" t="shared" si="59"/>
        <v>3938753.56994363</v>
      </c>
      <c r="BA32">
        <f ca="1" t="shared" si="28"/>
        <v>0.7643</v>
      </c>
      <c r="BB32">
        <f ca="1">技能数计算!$AJ24</f>
        <v>0</v>
      </c>
      <c r="BC32" s="170">
        <f ca="1" t="shared" si="60"/>
        <v>3913063.23358222</v>
      </c>
      <c r="BE32">
        <f ca="1" t="shared" si="29"/>
        <v>91977</v>
      </c>
      <c r="BF32">
        <f ca="1" t="shared" si="30"/>
        <v>571587.8875</v>
      </c>
      <c r="BI32">
        <f ca="1" t="shared" si="31"/>
        <v>0.7543</v>
      </c>
      <c r="BJ32">
        <f ca="1">技能数计算!$AJ24</f>
        <v>0</v>
      </c>
      <c r="BK32">
        <f ca="1" t="shared" si="32"/>
        <v>3891806.91380545</v>
      </c>
      <c r="BM32">
        <f ca="1" t="shared" si="33"/>
        <v>95358</v>
      </c>
      <c r="BN32">
        <f ca="1" t="shared" si="34"/>
        <v>591155.425</v>
      </c>
      <c r="BO32">
        <f ca="1" t="shared" si="35"/>
        <v>3946249.60684262</v>
      </c>
      <c r="BP32">
        <f ca="1" t="shared" si="36"/>
        <v>3763310.6763004</v>
      </c>
      <c r="BR32">
        <f ca="1" t="shared" si="37"/>
        <v>0.7543</v>
      </c>
      <c r="BS32">
        <f ca="1" t="shared" si="38"/>
        <v>3911366.80405765</v>
      </c>
      <c r="BT32">
        <f ca="1" t="shared" si="39"/>
        <v>0.318170800459405</v>
      </c>
      <c r="BU32">
        <f ca="1" t="shared" si="40"/>
        <v>2.3177566866</v>
      </c>
      <c r="BV32">
        <f ca="1" t="shared" si="61"/>
        <v>3925959.54097651</v>
      </c>
      <c r="BW32">
        <f ca="1" t="shared" si="41"/>
        <v>99155</v>
      </c>
      <c r="BX32">
        <f ca="1" t="shared" si="42"/>
        <v>613130.5625</v>
      </c>
      <c r="BY32">
        <f ca="1" t="shared" si="43"/>
        <v>0.7343</v>
      </c>
      <c r="BZ32">
        <f ca="1">技能数计算!$AJ24</f>
        <v>0</v>
      </c>
      <c r="CA32">
        <f ca="1" t="shared" si="44"/>
        <v>2.3216629366</v>
      </c>
      <c r="CB32">
        <f ca="1" t="shared" si="62"/>
        <v>4092122.19326024</v>
      </c>
      <c r="CC32">
        <f ca="1" t="shared" si="45"/>
        <v>100975</v>
      </c>
      <c r="CD32">
        <f ca="1" t="shared" si="46"/>
        <v>623663.8125</v>
      </c>
      <c r="CE32">
        <f ca="1" t="shared" si="47"/>
        <v>4046705.5195172</v>
      </c>
      <c r="CF32">
        <f ca="1" t="shared" si="48"/>
        <v>2.2689285616</v>
      </c>
      <c r="CG32">
        <f ca="1" t="shared" si="49"/>
        <v>0.7343</v>
      </c>
      <c r="CH32">
        <f ca="1" t="shared" si="63"/>
        <v>3766092.06965669</v>
      </c>
      <c r="CJ32">
        <f ca="1" t="shared" si="50"/>
        <v>591155.425</v>
      </c>
      <c r="CK32">
        <f ca="1" t="shared" si="51"/>
        <v>3928373.31120064</v>
      </c>
      <c r="CL32">
        <f ca="1" t="shared" si="64"/>
        <v>2.2915848116</v>
      </c>
      <c r="CM32">
        <f ca="1">IF(G32="恒定伤害",0,(IF(D32="轻剑",$CM$8,$CM$9)+IFERROR(INDEX(技能数据库!$T$2:$W$27,MATCH(E32,技能数据库!$T$2:$T$27,0),4),0)+COUNTIF(G32,"*造化2*")*154+COUNTIF(G32,"*造化1*")*102+COUNTIF(G32,"*碧归*")*307)/1024)</f>
        <v>0.396594709429785</v>
      </c>
      <c r="CN32">
        <f ca="1" t="shared" si="65"/>
        <v>3970666.93085891</v>
      </c>
      <c r="CO32">
        <f ca="1" t="shared" si="66"/>
        <v>2.3156473116</v>
      </c>
      <c r="CP32">
        <f ca="1" t="shared" si="67"/>
        <v>4006674.78345049</v>
      </c>
      <c r="CQ32">
        <f ca="1" t="shared" si="52"/>
        <v>1.8815754648</v>
      </c>
      <c r="CR32">
        <f ca="1">IF(G32="恒定伤害",0,(IF(D32="轻剑",$CR$8,$CR$9)+IFERROR(INDEX(技能数据库!$T$2:$W$27,MATCH(E32,技能数据库!$T$2:$T$27,0),4),0)+COUNTIF(G32,"*造化2*")*154+COUNTIF(G32,"*造化1*")*102+COUNTIF(G32,"*碧归*")*307)/1024)</f>
        <v>0.386829084429785</v>
      </c>
      <c r="CS32">
        <f ca="1" t="shared" si="68"/>
        <v>3801225.90349044</v>
      </c>
    </row>
    <row r="33" spans="4:97">
      <c r="D33" t="s">
        <v>1825</v>
      </c>
      <c r="E33" t="s">
        <v>2768</v>
      </c>
      <c r="G33" t="s">
        <v>3057</v>
      </c>
      <c r="H33">
        <f ca="1">INDEX(技能数据库!$B$2:$I$100,MATCH(阵眼收益计算!$E33,技能数据库!$B$2:$B$100,0),MATCH(H$9,技能数据库!$B$2:$I$2,0))</f>
        <v>210</v>
      </c>
      <c r="I33">
        <f ca="1">INDEX(技能数据库!$B$2:$I$100,MATCH(阵眼收益计算!$E33,技能数据库!$B$2:$B$100,0),MATCH(I$9,技能数据库!$B$2:$I$2,0))</f>
        <v>5.7875</v>
      </c>
      <c r="J33">
        <f ca="1">INDEX(技能数据库!$B$2:$I$100,MATCH(阵眼收益计算!$E33,技能数据库!$B$2:$B$100,0),MATCH(J$9,技能数据库!$B$2:$I$2,0))</f>
        <v>2</v>
      </c>
      <c r="K33">
        <f ca="1">INDEX(技能数据库!$B$2:$I$100,MATCH(阵眼收益计算!$E33,技能数据库!$B$2:$B$100,0),MATCH(K$9,技能数据库!$B$2:$I$2,0))</f>
        <v>0</v>
      </c>
      <c r="L33">
        <f ca="1" t="shared" si="13"/>
        <v>105847</v>
      </c>
      <c r="M33">
        <f ca="1" t="shared" si="73"/>
        <v>19530.5</v>
      </c>
      <c r="N33">
        <f ca="1" t="shared" si="74"/>
        <v>92028</v>
      </c>
      <c r="O33">
        <f ca="1" t="shared" si="53"/>
        <v>651860.5125</v>
      </c>
      <c r="P33">
        <f ca="1">IF(G33="恒定伤害",0,(IF(D33="轻剑",$AZ$2,$AZ$3)+IFERROR(INDEX(技能数据库!$T$2:$W$27,MATCH(E33,技能数据库!$T$2:$T$27,0),4),0)+COUNTIF(G33,"*造化2*")*154+COUNTIF(G33,"*造化1*")*102+COUNTIF(G33,"*碧归*")*307)/1024)</f>
        <v>0.336047834429785</v>
      </c>
      <c r="Q33">
        <f ca="1" t="shared" si="14"/>
        <v>0.448284482196154</v>
      </c>
      <c r="R33">
        <f ca="1" t="shared" si="54"/>
        <v>0.21277697966198</v>
      </c>
      <c r="S33">
        <f ca="1" t="shared" si="75"/>
        <v>992952.203803482</v>
      </c>
      <c r="T33">
        <f t="shared" si="76"/>
        <v>0.8</v>
      </c>
      <c r="U33">
        <f ca="1" t="shared" si="15"/>
        <v>1.7800129648</v>
      </c>
      <c r="V33">
        <f ca="1" t="shared" si="77"/>
        <v>2208336.00000033</v>
      </c>
      <c r="W33">
        <f ca="1">IF(G33="恒定伤害",0,MIN(1,IF(COUNTIF(F33,"*内会*")&gt;0,内会2,IF(D33="轻剑",$Y$2,$Y$3)+COUNTIF(G33,"*莺鸣*")*0.2+COUNTIF(G33,"*叠1*")*0.1+COUNTIF(G33,"*叠2*")*0.2+COUNTIF(G33,"*叠3*")*0.3)+IFERROR(INDEX(技能数据库!$T$2:$W$27,MATCH(E33,技能数据库!$T$2:$T$27,0),2),0)+IF((IF(D33="轻剑",$AO$2,$AO$3)+INT(COUNTIF(G33,"*大莺鸣*")*IF(D33="轻剑",$AM$2,$AM$3)*听晓无双率)/无双系数)&gt;0.9,特效裤子会心/会心系数,0)))</f>
        <v>0.7043</v>
      </c>
      <c r="X33">
        <f ca="1">IF(G33="恒定伤害",0,IF(COUNTIF(F33,"*内会*")&gt;0,内会效2,IF(D33="轻剑",$AB$2,$AB$3))+IFERROR(INDEX(技能数据库!$T$2:$W$27,MATCH(E33,技能数据库!$T$2:$T$27,0),3)/1024,0))+COUNTIF(G33,"*叠1*")*0.25+COUNTIF(G33,"*叠2*")*0.5+COUNTIF(G33,"*叠3*")*0.75</f>
        <v>2.1712723116</v>
      </c>
      <c r="Y33">
        <f ca="1" t="shared" si="78"/>
        <v>1.82492708905988</v>
      </c>
      <c r="Z33">
        <f t="shared" si="16"/>
        <v>0.150390625</v>
      </c>
      <c r="AA33">
        <f ca="1" t="shared" si="79"/>
        <v>0.0205078125</v>
      </c>
      <c r="AB33">
        <f ca="1" t="shared" si="80"/>
        <v>4731211.22754147</v>
      </c>
      <c r="AC33">
        <f ca="1">技能数计算!$AJ25</f>
        <v>12</v>
      </c>
      <c r="AD33" s="164">
        <f ca="1" t="shared" si="81"/>
        <v>0.0203544822069508</v>
      </c>
      <c r="AE33" s="168"/>
      <c r="AF33" s="168">
        <f ca="1" t="shared" si="17"/>
        <v>0.7057</v>
      </c>
      <c r="AG33">
        <f ca="1">技能数计算!$AJ25</f>
        <v>12</v>
      </c>
      <c r="AH33">
        <f ca="1" t="shared" si="18"/>
        <v>109879</v>
      </c>
      <c r="AJ33">
        <f ca="1" t="shared" si="55"/>
        <v>2.3704910616</v>
      </c>
      <c r="AK33">
        <f ca="1" t="shared" si="56"/>
        <v>675672.7125</v>
      </c>
      <c r="AL33">
        <f ca="1" t="shared" si="19"/>
        <v>5287698.07870639</v>
      </c>
      <c r="AM33" s="169">
        <f ca="1" t="shared" si="20"/>
        <v>0.7272</v>
      </c>
      <c r="AN33">
        <f ca="1">技能数计算!$AJ25</f>
        <v>12</v>
      </c>
      <c r="AO33" s="170">
        <f ca="1" t="shared" si="21"/>
        <v>5366901.25819881</v>
      </c>
      <c r="AP33">
        <f ca="1" t="shared" si="22"/>
        <v>110956</v>
      </c>
      <c r="AQ33" s="170">
        <f ca="1" t="shared" si="57"/>
        <v>681428.85</v>
      </c>
      <c r="AR33">
        <f ca="1" t="shared" si="23"/>
        <v>5235977.50881592</v>
      </c>
      <c r="AS33">
        <f ca="1" t="shared" si="24"/>
        <v>0.7843</v>
      </c>
      <c r="AT33">
        <f ca="1">技能数计算!$AJ25</f>
        <v>12</v>
      </c>
      <c r="AU33">
        <f ca="1" t="shared" si="25"/>
        <v>2.3177566866</v>
      </c>
      <c r="AV33">
        <f ca="1" t="shared" si="26"/>
        <v>1.7995442148</v>
      </c>
      <c r="AW33">
        <f ca="1" t="shared" si="58"/>
        <v>5309028.35690315</v>
      </c>
      <c r="AX33">
        <f ca="1" t="shared" si="27"/>
        <v>0.7743</v>
      </c>
      <c r="AY33">
        <f ca="1">技能数计算!$AJ25</f>
        <v>12</v>
      </c>
      <c r="AZ33" s="170">
        <f ca="1" t="shared" si="59"/>
        <v>5274624.86237414</v>
      </c>
      <c r="BA33">
        <f ca="1" t="shared" si="28"/>
        <v>0.7643</v>
      </c>
      <c r="BB33">
        <f ca="1">技能数计算!$AJ25</f>
        <v>12</v>
      </c>
      <c r="BC33" s="170">
        <f ca="1" t="shared" si="60"/>
        <v>5240221.36784512</v>
      </c>
      <c r="BE33">
        <f ca="1" t="shared" si="29"/>
        <v>105849</v>
      </c>
      <c r="BF33">
        <f ca="1" t="shared" si="30"/>
        <v>651872.0875</v>
      </c>
      <c r="BI33">
        <f ca="1" t="shared" si="31"/>
        <v>0.7543</v>
      </c>
      <c r="BJ33">
        <f ca="1">技能数计算!$AJ25</f>
        <v>12</v>
      </c>
      <c r="BK33">
        <f ca="1" t="shared" si="32"/>
        <v>5211742.73642798</v>
      </c>
      <c r="BM33">
        <f ca="1" t="shared" si="33"/>
        <v>109230</v>
      </c>
      <c r="BN33">
        <f ca="1" t="shared" si="34"/>
        <v>671439.625</v>
      </c>
      <c r="BO33">
        <f ca="1" t="shared" si="35"/>
        <v>5263106.4739872</v>
      </c>
      <c r="BP33">
        <f ca="1" t="shared" si="36"/>
        <v>5019121.12951948</v>
      </c>
      <c r="BR33">
        <f ca="1" t="shared" si="37"/>
        <v>0.7543</v>
      </c>
      <c r="BS33">
        <f ca="1" t="shared" si="38"/>
        <v>5216583.33848912</v>
      </c>
      <c r="BT33">
        <f ca="1" t="shared" si="39"/>
        <v>0.196995876306796</v>
      </c>
      <c r="BU33">
        <f ca="1" t="shared" si="40"/>
        <v>2.3177566866</v>
      </c>
      <c r="BV33">
        <f ca="1" t="shared" si="61"/>
        <v>5273129.66397225</v>
      </c>
      <c r="BW33">
        <f ca="1" t="shared" si="41"/>
        <v>113027</v>
      </c>
      <c r="BX33">
        <f ca="1" t="shared" si="42"/>
        <v>693414.7625</v>
      </c>
      <c r="BY33">
        <f ca="1" t="shared" si="43"/>
        <v>0.7343</v>
      </c>
      <c r="BZ33">
        <f ca="1">技能数计算!$AJ25</f>
        <v>12</v>
      </c>
      <c r="CA33">
        <f ca="1" t="shared" si="44"/>
        <v>2.3216629366</v>
      </c>
      <c r="CB33">
        <f ca="1" t="shared" si="62"/>
        <v>5434267.69696399</v>
      </c>
      <c r="CC33">
        <f ca="1" t="shared" si="45"/>
        <v>114847</v>
      </c>
      <c r="CD33">
        <f ca="1" t="shared" si="46"/>
        <v>703948.0125</v>
      </c>
      <c r="CE33">
        <f ca="1" t="shared" si="47"/>
        <v>5363446.58536453</v>
      </c>
      <c r="CF33">
        <f ca="1" t="shared" si="48"/>
        <v>2.2689285616</v>
      </c>
      <c r="CG33">
        <f ca="1" t="shared" si="49"/>
        <v>0.7343</v>
      </c>
      <c r="CH33">
        <f ca="1" t="shared" si="63"/>
        <v>5043403.32845081</v>
      </c>
      <c r="CJ33">
        <f ca="1" t="shared" si="50"/>
        <v>671439.625</v>
      </c>
      <c r="CK33">
        <f ca="1" t="shared" si="51"/>
        <v>5239264.8885079</v>
      </c>
      <c r="CL33">
        <f ca="1" t="shared" si="64"/>
        <v>2.2915848116</v>
      </c>
      <c r="CM33">
        <f ca="1">IF(G33="恒定伤害",0,(IF(D33="轻剑",$CM$8,$CM$9)+IFERROR(INDEX(技能数据库!$T$2:$W$27,MATCH(E33,技能数据库!$T$2:$T$27,0),4),0)+COUNTIF(G33,"*造化2*")*154+COUNTIF(G33,"*造化1*")*102+COUNTIF(G33,"*碧归*")*307)/1024)</f>
        <v>0.396594709429785</v>
      </c>
      <c r="CN33">
        <f ca="1" t="shared" si="65"/>
        <v>5317361.9882025</v>
      </c>
      <c r="CO33">
        <f ca="1" t="shared" si="66"/>
        <v>2.3156473116</v>
      </c>
      <c r="CP33">
        <f ca="1" t="shared" si="67"/>
        <v>5365582.29727937</v>
      </c>
      <c r="CQ33">
        <f ca="1" t="shared" si="52"/>
        <v>1.8815754648</v>
      </c>
      <c r="CR33">
        <f ca="1">IF(G33="恒定伤害",0,(IF(D33="轻剑",$CR$8,$CR$9)+IFERROR(INDEX(技能数据库!$T$2:$W$27,MATCH(E33,技能数据库!$T$2:$T$27,0),4),0)+COUNTIF(G33,"*造化2*")*154+COUNTIF(G33,"*造化1*")*102+COUNTIF(G33,"*碧归*")*307)/1024)</f>
        <v>0.386829084429785</v>
      </c>
      <c r="CS33">
        <f ca="1" t="shared" si="68"/>
        <v>5090453.18576206</v>
      </c>
    </row>
    <row r="34" spans="4:97">
      <c r="D34" t="s">
        <v>1825</v>
      </c>
      <c r="E34" s="161" t="s">
        <v>2772</v>
      </c>
      <c r="H34">
        <f ca="1">INDEX(技能数据库!$B$2:$I$100,MATCH(阵眼收益计算!$E34,技能数据库!$B$2:$B$100,0),MATCH(H$9,技能数据库!$B$2:$I$2,0))</f>
        <v>0</v>
      </c>
      <c r="I34">
        <f ca="1">INDEX(技能数据库!$B$2:$I$100,MATCH(阵眼收益计算!$E34,技能数据库!$B$2:$B$100,0),MATCH(I$9,技能数据库!$B$2:$I$2,0))</f>
        <v>0</v>
      </c>
      <c r="J34">
        <f ca="1">INDEX(技能数据库!$B$2:$I$100,MATCH(阵眼收益计算!$E34,技能数据库!$B$2:$B$100,0),MATCH(J$9,技能数据库!$B$2:$I$2,0))</f>
        <v>0</v>
      </c>
      <c r="K34">
        <f ca="1">INDEX(技能数据库!$B$2:$I$100,MATCH(阵眼收益计算!$E34,技能数据库!$B$2:$B$100,0),MATCH(K$9,技能数据库!$B$2:$I$2,0))</f>
        <v>0.207999229431152</v>
      </c>
      <c r="L34">
        <f ca="1" t="shared" si="13"/>
        <v>91975</v>
      </c>
      <c r="M34">
        <f ca="1" t="shared" si="73"/>
        <v>19530.5</v>
      </c>
      <c r="N34">
        <f ca="1" t="shared" si="74"/>
        <v>92028</v>
      </c>
      <c r="O34">
        <f ca="1" t="shared" si="53"/>
        <v>163355.720836693</v>
      </c>
      <c r="P34">
        <f ca="1">IF(G34="恒定伤害",0,(IF(D34="轻剑",$AZ$2,$AZ$3)+IFERROR(INDEX(技能数据库!$T$2:$W$27,MATCH(E34,技能数据库!$T$2:$T$27,0),4),0)+COUNTIF(G34,"*造化2*")*154+COUNTIF(G34,"*造化1*")*102+COUNTIF(G34,"*碧归*")*307)/1024)</f>
        <v>0.116321271929785</v>
      </c>
      <c r="Q34">
        <f ca="1" t="shared" si="14"/>
        <v>0.448284482196154</v>
      </c>
      <c r="R34">
        <f ca="1" t="shared" si="54"/>
        <v>0.32958230397716</v>
      </c>
      <c r="S34">
        <f ca="1" t="shared" si="75"/>
        <v>177060.992979356</v>
      </c>
      <c r="T34">
        <f t="shared" si="76"/>
        <v>0.8</v>
      </c>
      <c r="U34">
        <f ca="1" t="shared" si="15"/>
        <v>1.7800129648</v>
      </c>
      <c r="V34">
        <f ca="1" t="shared" si="77"/>
        <v>393785.484834378</v>
      </c>
      <c r="W34">
        <f ca="1">IF(G34="恒定伤害",0,MIN(1,IF(COUNTIF(F34,"*内会*")&gt;0,内会2,IF(D34="轻剑",$Y$2,$Y$3)+COUNTIF(G34,"*莺鸣*")*0.2+COUNTIF(G34,"*叠1*")*0.1+COUNTIF(G34,"*叠2*")*0.2+COUNTIF(G34,"*叠3*")*0.3)+IFERROR(INDEX(技能数据库!$T$2:$W$27,MATCH(E34,技能数据库!$T$2:$T$27,0),2),0)+IF((IF(D34="轻剑",$AO$2,$AO$3)+INT(COUNTIF(G34,"*大莺鸣*")*IF(D34="轻剑",$AM$2,$AM$3)*听晓无双率)/无双系数)&gt;0.9,特效裤子会心/会心系数,0)))</f>
        <v>0.7043</v>
      </c>
      <c r="X34">
        <f ca="1">IF(G34="恒定伤害",0,IF(COUNTIF(F34,"*内会*")&gt;0,内会效2,IF(D34="轻剑",$AB$2,$AB$3))+IFERROR(INDEX(技能数据库!$T$2:$W$27,MATCH(E34,技能数据库!$T$2:$T$27,0),3)/1024,0))+COUNTIF(G34,"*叠1*")*0.25+COUNTIF(G34,"*叠2*")*0.5+COUNTIF(G34,"*叠3*")*0.75</f>
        <v>2.1712723116</v>
      </c>
      <c r="Y34">
        <f ca="1" t="shared" si="78"/>
        <v>1.82492708905988</v>
      </c>
      <c r="Z34">
        <f t="shared" si="16"/>
        <v>0.150390625</v>
      </c>
      <c r="AA34">
        <f ca="1" t="shared" si="79"/>
        <v>0.0205078125</v>
      </c>
      <c r="AB34">
        <f ca="1" t="shared" si="80"/>
        <v>843658.893887067</v>
      </c>
      <c r="AC34">
        <f ca="1">技能数计算!$AJ26</f>
        <v>0</v>
      </c>
      <c r="AD34" s="164">
        <f ca="1" t="shared" si="81"/>
        <v>0</v>
      </c>
      <c r="AE34" s="168"/>
      <c r="AF34" s="168">
        <f ca="1" t="shared" si="17"/>
        <v>0.7057</v>
      </c>
      <c r="AG34">
        <f ca="1">技能数计算!$AJ26</f>
        <v>0</v>
      </c>
      <c r="AH34">
        <f ca="1" t="shared" si="18"/>
        <v>96007</v>
      </c>
      <c r="AJ34">
        <f ca="1" t="shared" si="55"/>
        <v>2.3704910616</v>
      </c>
      <c r="AK34">
        <f ca="1" t="shared" si="56"/>
        <v>163355.720836693</v>
      </c>
      <c r="AL34">
        <f ca="1" t="shared" si="19"/>
        <v>909660.830560523</v>
      </c>
      <c r="AM34" s="169">
        <f ca="1" t="shared" si="20"/>
        <v>0.7272</v>
      </c>
      <c r="AN34">
        <f ca="1">技能数计算!$AJ26</f>
        <v>0</v>
      </c>
      <c r="AO34" s="170">
        <f ca="1" t="shared" si="21"/>
        <v>923286.425094797</v>
      </c>
      <c r="AP34">
        <f ca="1" t="shared" si="22"/>
        <v>97084</v>
      </c>
      <c r="AQ34" s="170">
        <f ca="1" t="shared" si="57"/>
        <v>163355.720836693</v>
      </c>
      <c r="AR34">
        <f ca="1" t="shared" si="23"/>
        <v>893154.274375905</v>
      </c>
      <c r="AS34">
        <f ca="1" t="shared" si="24"/>
        <v>0.7843</v>
      </c>
      <c r="AT34">
        <f ca="1">技能数计算!$AJ26</f>
        <v>0</v>
      </c>
      <c r="AU34">
        <f ca="1" t="shared" si="25"/>
        <v>2.3177566866</v>
      </c>
      <c r="AV34">
        <f ca="1" t="shared" si="26"/>
        <v>1.7995442148</v>
      </c>
      <c r="AW34">
        <f ca="1" t="shared" si="58"/>
        <v>946693.93856834</v>
      </c>
      <c r="AX34">
        <f ca="1" t="shared" si="27"/>
        <v>0.7743</v>
      </c>
      <c r="AY34">
        <f ca="1">技能数计算!$AJ26</f>
        <v>0</v>
      </c>
      <c r="AZ34" s="170">
        <f ca="1" t="shared" si="59"/>
        <v>940559.18517343</v>
      </c>
      <c r="BA34">
        <f ca="1" t="shared" si="28"/>
        <v>0.7643</v>
      </c>
      <c r="BB34">
        <f ca="1">技能数计算!$AJ26</f>
        <v>0</v>
      </c>
      <c r="BC34" s="170">
        <f ca="1" t="shared" si="60"/>
        <v>934424.43177852</v>
      </c>
      <c r="BE34">
        <f ca="1" t="shared" si="29"/>
        <v>91977</v>
      </c>
      <c r="BF34">
        <f ca="1" t="shared" si="30"/>
        <v>163355.720836693</v>
      </c>
      <c r="BI34">
        <f ca="1" t="shared" si="31"/>
        <v>0.7543</v>
      </c>
      <c r="BJ34">
        <f ca="1">技能数计算!$AJ26</f>
        <v>0</v>
      </c>
      <c r="BK34">
        <f ca="1" t="shared" si="32"/>
        <v>929329.684600934</v>
      </c>
      <c r="BM34">
        <f ca="1" t="shared" si="33"/>
        <v>95358</v>
      </c>
      <c r="BN34">
        <f ca="1" t="shared" si="34"/>
        <v>163355.720836693</v>
      </c>
      <c r="BO34">
        <f ca="1" t="shared" si="35"/>
        <v>911138.532633634</v>
      </c>
      <c r="BP34">
        <f ca="1" t="shared" si="36"/>
        <v>868900.274707225</v>
      </c>
      <c r="BR34">
        <f ca="1" t="shared" si="37"/>
        <v>0.7543</v>
      </c>
      <c r="BS34">
        <f ca="1" t="shared" si="38"/>
        <v>903084.539878453</v>
      </c>
      <c r="BT34">
        <f ca="1" t="shared" si="39"/>
        <v>0.318170800459405</v>
      </c>
      <c r="BU34">
        <f ca="1" t="shared" si="40"/>
        <v>2.3177566866</v>
      </c>
      <c r="BV34">
        <f ca="1" t="shared" si="61"/>
        <v>937504.020323251</v>
      </c>
      <c r="BW34">
        <f ca="1" t="shared" si="41"/>
        <v>99155</v>
      </c>
      <c r="BX34">
        <f ca="1" t="shared" si="42"/>
        <v>163355.720836693</v>
      </c>
      <c r="BY34">
        <f ca="1" t="shared" si="43"/>
        <v>0.7343</v>
      </c>
      <c r="BZ34">
        <f ca="1">技能数计算!$AJ26</f>
        <v>0</v>
      </c>
      <c r="CA34">
        <f ca="1" t="shared" si="44"/>
        <v>2.3216629366</v>
      </c>
      <c r="CB34">
        <f ca="1" t="shared" si="62"/>
        <v>910955.516518476</v>
      </c>
      <c r="CC34">
        <f ca="1" t="shared" si="45"/>
        <v>100975</v>
      </c>
      <c r="CD34">
        <f ca="1" t="shared" si="46"/>
        <v>163355.720836693</v>
      </c>
      <c r="CE34">
        <f ca="1" t="shared" si="47"/>
        <v>885630.567759598</v>
      </c>
      <c r="CF34">
        <f ca="1" t="shared" si="48"/>
        <v>2.2689285616</v>
      </c>
      <c r="CG34">
        <f ca="1" t="shared" si="49"/>
        <v>0.7343</v>
      </c>
      <c r="CH34">
        <f ca="1" t="shared" si="63"/>
        <v>899328.283788799</v>
      </c>
      <c r="CJ34">
        <f ca="1" t="shared" si="50"/>
        <v>168089.820322409</v>
      </c>
      <c r="CK34">
        <f ca="1" t="shared" si="51"/>
        <v>933296.588616414</v>
      </c>
      <c r="CL34">
        <f ca="1" t="shared" si="64"/>
        <v>2.2915848116</v>
      </c>
      <c r="CM34">
        <f ca="1">IF(G34="恒定伤害",0,(IF(D34="轻剑",$CM$8,$CM$9)+IFERROR(INDEX(技能数据库!$T$2:$W$27,MATCH(E34,技能数据库!$T$2:$T$27,0),4),0)+COUNTIF(G34,"*造化2*")*154+COUNTIF(G34,"*造化1*")*102+COUNTIF(G34,"*碧归*")*307)/1024)</f>
        <v>0.176868146929785</v>
      </c>
      <c r="CN34">
        <f ca="1" t="shared" si="65"/>
        <v>956271.033942645</v>
      </c>
      <c r="CO34">
        <f ca="1" t="shared" si="66"/>
        <v>2.3156473116</v>
      </c>
      <c r="CP34">
        <f ca="1" t="shared" si="67"/>
        <v>964942.943983804</v>
      </c>
      <c r="CQ34">
        <f ca="1" t="shared" si="52"/>
        <v>1.8815754648</v>
      </c>
      <c r="CR34">
        <f ca="1">IF(G34="恒定伤害",0,(IF(D34="轻剑",$CR$8,$CR$9)+IFERROR(INDEX(技能数据库!$T$2:$W$27,MATCH(E34,技能数据库!$T$2:$T$27,0),4),0)+COUNTIF(G34,"*造化2*")*154+COUNTIF(G34,"*造化1*")*102+COUNTIF(G34,"*碧归*")*307)/1024)</f>
        <v>0.167102521929785</v>
      </c>
      <c r="CS34">
        <f ca="1" t="shared" si="68"/>
        <v>914260.322920746</v>
      </c>
    </row>
    <row r="35" spans="4:97">
      <c r="D35" t="s">
        <v>1825</v>
      </c>
      <c r="E35" s="161" t="s">
        <v>2772</v>
      </c>
      <c r="G35" t="s">
        <v>2750</v>
      </c>
      <c r="H35">
        <f ca="1">INDEX(技能数据库!$B$2:$I$100,MATCH(阵眼收益计算!$E35,技能数据库!$B$2:$B$100,0),MATCH(H$9,技能数据库!$B$2:$I$2,0))</f>
        <v>0</v>
      </c>
      <c r="I35">
        <f ca="1">INDEX(技能数据库!$B$2:$I$100,MATCH(阵眼收益计算!$E35,技能数据库!$B$2:$B$100,0),MATCH(I$9,技能数据库!$B$2:$I$2,0))</f>
        <v>0</v>
      </c>
      <c r="J35">
        <f ca="1">INDEX(技能数据库!$B$2:$I$100,MATCH(阵眼收益计算!$E35,技能数据库!$B$2:$B$100,0),MATCH(J$9,技能数据库!$B$2:$I$2,0))</f>
        <v>0</v>
      </c>
      <c r="K35">
        <f ca="1">INDEX(技能数据库!$B$2:$I$100,MATCH(阵眼收益计算!$E35,技能数据库!$B$2:$B$100,0),MATCH(K$9,技能数据库!$B$2:$I$2,0))</f>
        <v>0.207999229431152</v>
      </c>
      <c r="L35">
        <f ca="1" t="shared" si="13"/>
        <v>105847</v>
      </c>
      <c r="M35">
        <f ca="1" t="shared" si="73"/>
        <v>19530.5</v>
      </c>
      <c r="N35">
        <f ca="1" t="shared" si="74"/>
        <v>92028</v>
      </c>
      <c r="O35">
        <f ca="1" t="shared" si="53"/>
        <v>163355.720836693</v>
      </c>
      <c r="P35">
        <f ca="1">IF(G35="恒定伤害",0,(IF(D35="轻剑",$AZ$2,$AZ$3)+IFERROR(INDEX(技能数据库!$T$2:$W$27,MATCH(E35,技能数据库!$T$2:$T$27,0),4),0)+COUNTIF(G35,"*造化2*")*154+COUNTIF(G35,"*造化1*")*102+COUNTIF(G35,"*碧归*")*307)/1024)</f>
        <v>0.116321271929785</v>
      </c>
      <c r="Q35">
        <f ca="1" t="shared" si="14"/>
        <v>0.448284482196154</v>
      </c>
      <c r="R35">
        <f ca="1" t="shared" si="54"/>
        <v>0.21277697966198</v>
      </c>
      <c r="S35">
        <f ca="1" t="shared" si="75"/>
        <v>207909.920194751</v>
      </c>
      <c r="T35">
        <f t="shared" si="76"/>
        <v>0.8</v>
      </c>
      <c r="U35">
        <f ca="1" t="shared" si="15"/>
        <v>1.7800129648</v>
      </c>
      <c r="V35">
        <f ca="1" t="shared" si="77"/>
        <v>462393.818921554</v>
      </c>
      <c r="W35">
        <f ca="1">IF(G35="恒定伤害",0,MIN(1,IF(COUNTIF(F35,"*内会*")&gt;0,内会2,IF(D35="轻剑",$Y$2,$Y$3)+COUNTIF(G35,"*莺鸣*")*0.2+COUNTIF(G35,"*叠1*")*0.1+COUNTIF(G35,"*叠2*")*0.2+COUNTIF(G35,"*叠3*")*0.3)+IFERROR(INDEX(技能数据库!$T$2:$W$27,MATCH(E35,技能数据库!$T$2:$T$27,0),2),0)+IF((IF(D35="轻剑",$AO$2,$AO$3)+INT(COUNTIF(G35,"*大莺鸣*")*IF(D35="轻剑",$AM$2,$AM$3)*听晓无双率)/无双系数)&gt;0.9,特效裤子会心/会心系数,0)))</f>
        <v>0.7043</v>
      </c>
      <c r="X35">
        <f ca="1">IF(G35="恒定伤害",0,IF(COUNTIF(F35,"*内会*")&gt;0,内会效2,IF(D35="轻剑",$AB$2,$AB$3))+IFERROR(INDEX(技能数据库!$T$2:$W$27,MATCH(E35,技能数据库!$T$2:$T$27,0),3)/1024,0))+COUNTIF(G35,"*叠1*")*0.25+COUNTIF(G35,"*叠2*")*0.5+COUNTIF(G35,"*叠3*")*0.75</f>
        <v>2.1712723116</v>
      </c>
      <c r="Y35">
        <f ca="1" t="shared" si="78"/>
        <v>1.82492708905988</v>
      </c>
      <c r="Z35">
        <f t="shared" si="16"/>
        <v>0.150390625</v>
      </c>
      <c r="AA35">
        <f ca="1" t="shared" si="79"/>
        <v>0.0205078125</v>
      </c>
      <c r="AB35">
        <f ca="1" t="shared" si="80"/>
        <v>990647.631350983</v>
      </c>
      <c r="AC35">
        <f ca="1">技能数计算!$AJ27</f>
        <v>48</v>
      </c>
      <c r="AD35" s="164">
        <f ca="1" t="shared" si="81"/>
        <v>0.017047744111116</v>
      </c>
      <c r="AE35" s="168"/>
      <c r="AF35" s="168">
        <f ca="1" t="shared" si="17"/>
        <v>0.7057</v>
      </c>
      <c r="AG35">
        <f ca="1">技能数计算!$AJ27</f>
        <v>48</v>
      </c>
      <c r="AH35">
        <f ca="1" t="shared" si="18"/>
        <v>109879</v>
      </c>
      <c r="AJ35">
        <f ca="1" t="shared" si="55"/>
        <v>2.3704910616</v>
      </c>
      <c r="AK35">
        <f ca="1" t="shared" si="56"/>
        <v>163355.720836693</v>
      </c>
      <c r="AL35">
        <f ca="1" t="shared" si="19"/>
        <v>1068148.93277019</v>
      </c>
      <c r="AM35" s="169">
        <f ca="1" t="shared" si="20"/>
        <v>0.7272</v>
      </c>
      <c r="AN35">
        <f ca="1">技能数计算!$AJ27</f>
        <v>48</v>
      </c>
      <c r="AO35" s="170">
        <f ca="1" t="shared" si="21"/>
        <v>1084148.48312037</v>
      </c>
      <c r="AP35">
        <f ca="1" t="shared" si="22"/>
        <v>110956</v>
      </c>
      <c r="AQ35" s="170">
        <f ca="1" t="shared" si="57"/>
        <v>163355.720836693</v>
      </c>
      <c r="AR35">
        <f ca="1" t="shared" si="23"/>
        <v>1048766.47748579</v>
      </c>
      <c r="AS35">
        <f ca="1" t="shared" si="24"/>
        <v>0.7843</v>
      </c>
      <c r="AT35">
        <f ca="1">技能数计算!$AJ27</f>
        <v>48</v>
      </c>
      <c r="AU35">
        <f ca="1" t="shared" si="25"/>
        <v>2.3177566866</v>
      </c>
      <c r="AV35">
        <f ca="1" t="shared" si="26"/>
        <v>1.7995442148</v>
      </c>
      <c r="AW35">
        <f ca="1" t="shared" si="58"/>
        <v>1111634.23351831</v>
      </c>
      <c r="AX35">
        <f ca="1" t="shared" si="27"/>
        <v>0.7743</v>
      </c>
      <c r="AY35">
        <f ca="1">技能数计算!$AJ27</f>
        <v>48</v>
      </c>
      <c r="AZ35" s="170">
        <f ca="1" t="shared" si="59"/>
        <v>1104430.6362308</v>
      </c>
      <c r="BA35">
        <f ca="1" t="shared" si="28"/>
        <v>0.7643</v>
      </c>
      <c r="BB35">
        <f ca="1">技能数计算!$AJ27</f>
        <v>48</v>
      </c>
      <c r="BC35" s="170">
        <f ca="1" t="shared" si="60"/>
        <v>1097227.03894329</v>
      </c>
      <c r="BE35">
        <f ca="1" t="shared" si="29"/>
        <v>105849</v>
      </c>
      <c r="BF35">
        <f ca="1" t="shared" si="30"/>
        <v>163355.720836693</v>
      </c>
      <c r="BI35">
        <f ca="1" t="shared" si="31"/>
        <v>0.7543</v>
      </c>
      <c r="BJ35">
        <f ca="1">技能数计算!$AJ27</f>
        <v>48</v>
      </c>
      <c r="BK35">
        <f ca="1" t="shared" si="32"/>
        <v>1091244.64575052</v>
      </c>
      <c r="BM35">
        <f ca="1" t="shared" si="33"/>
        <v>109230</v>
      </c>
      <c r="BN35">
        <f ca="1" t="shared" si="34"/>
        <v>163355.720836693</v>
      </c>
      <c r="BO35">
        <f ca="1" t="shared" si="35"/>
        <v>1069884.09145716</v>
      </c>
      <c r="BP35">
        <f ca="1" t="shared" si="36"/>
        <v>1020286.75956109</v>
      </c>
      <c r="BR35">
        <f ca="1" t="shared" si="37"/>
        <v>0.7543</v>
      </c>
      <c r="BS35">
        <f ca="1" t="shared" si="38"/>
        <v>1060426.87017538</v>
      </c>
      <c r="BT35">
        <f ca="1" t="shared" si="39"/>
        <v>0.196995876306796</v>
      </c>
      <c r="BU35">
        <f ca="1" t="shared" si="40"/>
        <v>2.3177566866</v>
      </c>
      <c r="BV35">
        <f ca="1" t="shared" si="61"/>
        <v>1104117.5631753</v>
      </c>
      <c r="BW35">
        <f ca="1" t="shared" si="41"/>
        <v>113027</v>
      </c>
      <c r="BX35">
        <f ca="1" t="shared" si="42"/>
        <v>163355.720836693</v>
      </c>
      <c r="BY35">
        <f ca="1" t="shared" si="43"/>
        <v>0.7343</v>
      </c>
      <c r="BZ35">
        <f ca="1">技能数计算!$AJ27</f>
        <v>48</v>
      </c>
      <c r="CA35">
        <f ca="1" t="shared" si="44"/>
        <v>2.3216629366</v>
      </c>
      <c r="CB35">
        <f ca="1" t="shared" si="62"/>
        <v>1069669.18886763</v>
      </c>
      <c r="CC35">
        <f ca="1" t="shared" si="45"/>
        <v>114847</v>
      </c>
      <c r="CD35">
        <f ca="1" t="shared" si="46"/>
        <v>163355.720836693</v>
      </c>
      <c r="CE35">
        <f ca="1" t="shared" si="47"/>
        <v>1039931.93287015</v>
      </c>
      <c r="CF35">
        <f ca="1" t="shared" si="48"/>
        <v>2.2689285616</v>
      </c>
      <c r="CG35">
        <f ca="1" t="shared" si="49"/>
        <v>0.7343</v>
      </c>
      <c r="CH35">
        <f ca="1" t="shared" si="63"/>
        <v>1056016.17027649</v>
      </c>
      <c r="CJ35">
        <f ca="1" t="shared" si="50"/>
        <v>168089.820322409</v>
      </c>
      <c r="CK35">
        <f ca="1" t="shared" si="51"/>
        <v>1095902.69427607</v>
      </c>
      <c r="CL35">
        <f ca="1" t="shared" si="64"/>
        <v>2.2915848116</v>
      </c>
      <c r="CM35">
        <f ca="1">IF(G35="恒定伤害",0,(IF(D35="轻剑",$CM$8,$CM$9)+IFERROR(INDEX(技能数据库!$T$2:$W$27,MATCH(E35,技能数据库!$T$2:$T$27,0),4),0)+COUNTIF(G35,"*造化2*")*154+COUNTIF(G35,"*造化1*")*102+COUNTIF(G35,"*碧归*")*307)/1024)</f>
        <v>0.176868146929785</v>
      </c>
      <c r="CN35">
        <f ca="1" t="shared" si="65"/>
        <v>1122879.9240652</v>
      </c>
      <c r="CO35">
        <f ca="1" t="shared" si="66"/>
        <v>2.3156473116</v>
      </c>
      <c r="CP35">
        <f ca="1" t="shared" si="67"/>
        <v>1133062.72093228</v>
      </c>
      <c r="CQ35">
        <f ca="1" t="shared" si="52"/>
        <v>1.8815754648</v>
      </c>
      <c r="CR35">
        <f ca="1">IF(G35="恒定伤害",0,(IF(D35="轻剑",$CR$8,$CR$9)+IFERROR(INDEX(技能数据库!$T$2:$W$27,MATCH(E35,技能数据库!$T$2:$T$27,0),4),0)+COUNTIF(G35,"*造化2*")*154+COUNTIF(G35,"*造化1*")*102+COUNTIF(G35,"*碧归*")*307)/1024)</f>
        <v>0.167102521929785</v>
      </c>
      <c r="CS35">
        <f ca="1" t="shared" si="68"/>
        <v>1073549.78404443</v>
      </c>
    </row>
    <row r="36" spans="4:97">
      <c r="D36" t="s">
        <v>1825</v>
      </c>
      <c r="E36" s="161" t="s">
        <v>2772</v>
      </c>
      <c r="G36" t="s">
        <v>2948</v>
      </c>
      <c r="H36">
        <f ca="1">INDEX(技能数据库!$B$2:$I$100,MATCH(阵眼收益计算!$E36,技能数据库!$B$2:$B$100,0),MATCH(H$9,技能数据库!$B$2:$I$2,0))</f>
        <v>0</v>
      </c>
      <c r="I36">
        <f ca="1">INDEX(技能数据库!$B$2:$I$100,MATCH(阵眼收益计算!$E36,技能数据库!$B$2:$B$100,0),MATCH(I$9,技能数据库!$B$2:$I$2,0))</f>
        <v>0</v>
      </c>
      <c r="J36">
        <f ca="1">INDEX(技能数据库!$B$2:$I$100,MATCH(阵眼收益计算!$E36,技能数据库!$B$2:$B$100,0),MATCH(J$9,技能数据库!$B$2:$I$2,0))</f>
        <v>0</v>
      </c>
      <c r="K36">
        <f ca="1">INDEX(技能数据库!$B$2:$I$100,MATCH(阵眼收益计算!$E36,技能数据库!$B$2:$B$100,0),MATCH(K$9,技能数据库!$B$2:$I$2,0))</f>
        <v>0.207999229431152</v>
      </c>
      <c r="L36">
        <f ca="1" t="shared" si="13"/>
        <v>91975</v>
      </c>
      <c r="M36">
        <f ca="1" t="shared" si="73"/>
        <v>19530.5</v>
      </c>
      <c r="N36">
        <f ca="1" t="shared" si="74"/>
        <v>92028</v>
      </c>
      <c r="O36">
        <f ca="1" t="shared" si="53"/>
        <v>163355.720836693</v>
      </c>
      <c r="P36">
        <f ca="1">IF(G36="恒定伤害",0,(IF(D36="轻剑",$AZ$2,$AZ$3)+IFERROR(INDEX(技能数据库!$T$2:$W$27,MATCH(E36,技能数据库!$T$2:$T$27,0),4),0)+COUNTIF(G36,"*造化2*")*154+COUNTIF(G36,"*造化1*")*102+COUNTIF(G36,"*碧归*")*307)/1024)</f>
        <v>0.116321271929785</v>
      </c>
      <c r="Q36">
        <f ca="1" t="shared" si="14"/>
        <v>0.448284482196154</v>
      </c>
      <c r="R36">
        <f ca="1" t="shared" si="54"/>
        <v>0.32958230397716</v>
      </c>
      <c r="S36">
        <f ca="1" t="shared" si="75"/>
        <v>177060.992979356</v>
      </c>
      <c r="T36">
        <f t="shared" si="76"/>
        <v>0.8</v>
      </c>
      <c r="U36">
        <f ca="1" t="shared" si="15"/>
        <v>2.67001635480339</v>
      </c>
      <c r="V36">
        <f ca="1" t="shared" si="77"/>
        <v>519853.392025573</v>
      </c>
      <c r="W36">
        <f ca="1">IF(G36="恒定伤害",0,MIN(1,IF(COUNTIF(F36,"*内会*")&gt;0,内会2,IF(D36="轻剑",$Y$2,$Y$3)+COUNTIF(G36,"*莺鸣*")*0.2+COUNTIF(G36,"*叠1*")*0.1+COUNTIF(G36,"*叠2*")*0.2+COUNTIF(G36,"*叠3*")*0.3)+IFERROR(INDEX(技能数据库!$T$2:$W$27,MATCH(E36,技能数据库!$T$2:$T$27,0),2),0)+IF((IF(D36="轻剑",$AO$2,$AO$3)+INT(COUNTIF(G36,"*大莺鸣*")*IF(D36="轻剑",$AM$2,$AM$3)*听晓无双率)/无双系数)&gt;0.9,特效裤子会心/会心系数,0)))</f>
        <v>0.9043</v>
      </c>
      <c r="X36">
        <f ca="1">IF(G36="恒定伤害",0,IF(COUNTIF(F36,"*内会*")&gt;0,内会效2,IF(D36="轻剑",$AB$2,$AB$3))+IFERROR(INDEX(技能数据库!$T$2:$W$27,MATCH(E36,技能数据库!$T$2:$T$27,0),3)/1024,0))+COUNTIF(G36,"*叠1*")*0.25+COUNTIF(G36,"*叠2*")*0.5+COUNTIF(G36,"*叠3*")*0.75</f>
        <v>2.1712723116</v>
      </c>
      <c r="Y36">
        <f ca="1" t="shared" si="78"/>
        <v>2.05918155137988</v>
      </c>
      <c r="Z36">
        <f t="shared" si="16"/>
        <v>0.150390625</v>
      </c>
      <c r="AA36">
        <f ca="1" t="shared" si="79"/>
        <v>0.0205078125</v>
      </c>
      <c r="AB36">
        <f ca="1" t="shared" si="80"/>
        <v>1256716.12721008</v>
      </c>
      <c r="AC36">
        <f ca="1">技能数计算!$AJ28</f>
        <v>0</v>
      </c>
      <c r="AD36" s="164">
        <f ca="1" t="shared" si="81"/>
        <v>0</v>
      </c>
      <c r="AE36" s="168"/>
      <c r="AF36" s="168">
        <f ca="1" t="shared" si="17"/>
        <v>0.9057</v>
      </c>
      <c r="AG36">
        <f ca="1">技能数计算!$AJ28</f>
        <v>0</v>
      </c>
      <c r="AH36">
        <f ca="1" t="shared" si="18"/>
        <v>96007</v>
      </c>
      <c r="AJ36">
        <f ca="1" t="shared" si="55"/>
        <v>2.3704910616</v>
      </c>
      <c r="AK36">
        <f ca="1" t="shared" si="56"/>
        <v>163355.720836693</v>
      </c>
      <c r="AL36">
        <f ca="1" t="shared" si="19"/>
        <v>1368210.76251195</v>
      </c>
      <c r="AM36" s="169">
        <f ca="1" t="shared" si="20"/>
        <v>0.9272</v>
      </c>
      <c r="AN36">
        <f ca="1">技能数计算!$AJ28</f>
        <v>0</v>
      </c>
      <c r="AO36" s="170">
        <f ca="1" t="shared" si="21"/>
        <v>1386198.5040865</v>
      </c>
      <c r="AP36">
        <f ca="1" t="shared" si="22"/>
        <v>97084</v>
      </c>
      <c r="AQ36" s="170">
        <f ca="1" t="shared" si="57"/>
        <v>163355.720836693</v>
      </c>
      <c r="AR36">
        <f ca="1" t="shared" si="23"/>
        <v>1330444.55386855</v>
      </c>
      <c r="AS36">
        <f ca="1" t="shared" si="24"/>
        <v>0.9843</v>
      </c>
      <c r="AT36">
        <f ca="1">技能数计算!$AJ28</f>
        <v>0</v>
      </c>
      <c r="AU36">
        <f ca="1" t="shared" si="25"/>
        <v>2.3177566866</v>
      </c>
      <c r="AV36">
        <f ca="1" t="shared" si="26"/>
        <v>2.68954760480339</v>
      </c>
      <c r="AW36">
        <f ca="1" t="shared" si="58"/>
        <v>1409358.57578287</v>
      </c>
      <c r="AX36">
        <f ca="1" t="shared" si="27"/>
        <v>0.9743</v>
      </c>
      <c r="AY36">
        <f ca="1">技能数计算!$AJ28</f>
        <v>0</v>
      </c>
      <c r="AZ36" s="170">
        <f ca="1" t="shared" si="59"/>
        <v>1401273.52230359</v>
      </c>
      <c r="BA36">
        <f ca="1" t="shared" si="28"/>
        <v>0.9643</v>
      </c>
      <c r="BB36">
        <f ca="1">技能数计算!$AJ28</f>
        <v>0</v>
      </c>
      <c r="BC36" s="170">
        <f ca="1" t="shared" si="60"/>
        <v>1393188.46882432</v>
      </c>
      <c r="BE36">
        <f ca="1" t="shared" si="29"/>
        <v>91977</v>
      </c>
      <c r="BF36">
        <f ca="1" t="shared" si="30"/>
        <v>163355.720836693</v>
      </c>
      <c r="BI36">
        <f ca="1" t="shared" si="31"/>
        <v>0.9543</v>
      </c>
      <c r="BJ36">
        <f ca="1">技能数计算!$AJ28</f>
        <v>0</v>
      </c>
      <c r="BK36">
        <f ca="1" t="shared" si="32"/>
        <v>1377101.06750412</v>
      </c>
      <c r="BM36">
        <f ca="1" t="shared" si="33"/>
        <v>95358</v>
      </c>
      <c r="BN36">
        <f ca="1" t="shared" si="34"/>
        <v>163355.720836693</v>
      </c>
      <c r="BO36">
        <f ca="1" t="shared" si="35"/>
        <v>1357233.94416855</v>
      </c>
      <c r="BP36">
        <f ca="1" t="shared" si="36"/>
        <v>1294315.74309701</v>
      </c>
      <c r="BR36">
        <f ca="1" t="shared" si="37"/>
        <v>0.9543</v>
      </c>
      <c r="BS36">
        <f ca="1" t="shared" si="38"/>
        <v>1338210.43760925</v>
      </c>
      <c r="BT36">
        <f ca="1" t="shared" si="39"/>
        <v>0.318170800459405</v>
      </c>
      <c r="BU36">
        <f ca="1" t="shared" si="40"/>
        <v>2.3177566866</v>
      </c>
      <c r="BV36">
        <f ca="1" t="shared" si="61"/>
        <v>1401222.84214308</v>
      </c>
      <c r="BW36">
        <f ca="1" t="shared" si="41"/>
        <v>99155</v>
      </c>
      <c r="BX36">
        <f ca="1" t="shared" si="42"/>
        <v>163355.720836693</v>
      </c>
      <c r="BY36">
        <f ca="1" t="shared" si="43"/>
        <v>0.9343</v>
      </c>
      <c r="BZ36">
        <f ca="1">技能数计算!$AJ28</f>
        <v>0</v>
      </c>
      <c r="CA36">
        <f ca="1" t="shared" si="44"/>
        <v>2.3216629366</v>
      </c>
      <c r="CB36">
        <f ca="1" t="shared" si="62"/>
        <v>1363913.97865556</v>
      </c>
      <c r="CC36">
        <f ca="1" t="shared" si="45"/>
        <v>100975</v>
      </c>
      <c r="CD36">
        <f ca="1" t="shared" si="46"/>
        <v>163355.720836693</v>
      </c>
      <c r="CE36">
        <f ca="1" t="shared" si="47"/>
        <v>1316402.13258522</v>
      </c>
      <c r="CF36">
        <f ca="1" t="shared" si="48"/>
        <v>2.2689285616</v>
      </c>
      <c r="CG36">
        <f ca="1" t="shared" si="49"/>
        <v>0.9343</v>
      </c>
      <c r="CH36">
        <f ca="1" t="shared" si="63"/>
        <v>1340943.23321235</v>
      </c>
      <c r="CJ36">
        <f ca="1" t="shared" si="50"/>
        <v>168089.820322409</v>
      </c>
      <c r="CK36">
        <f ca="1" t="shared" si="51"/>
        <v>1390240.63265717</v>
      </c>
      <c r="CL36">
        <f ca="1" t="shared" si="64"/>
        <v>2.2915848116</v>
      </c>
      <c r="CM36">
        <f ca="1">IF(G36="恒定伤害",0,(IF(D36="轻剑",$CM$8,$CM$9)+IFERROR(INDEX(技能数据库!$T$2:$W$27,MATCH(E36,技能数据库!$T$2:$T$27,0),4),0)+COUNTIF(G36,"*造化2*")*154+COUNTIF(G36,"*造化1*")*102+COUNTIF(G36,"*碧归*")*307)/1024)</f>
        <v>0.176868146929785</v>
      </c>
      <c r="CN36">
        <f ca="1" t="shared" si="65"/>
        <v>1427364.92569112</v>
      </c>
      <c r="CO36">
        <f ca="1" t="shared" si="66"/>
        <v>2.3156473116</v>
      </c>
      <c r="CP36">
        <f ca="1" t="shared" si="67"/>
        <v>1441906.56512647</v>
      </c>
      <c r="CQ36">
        <f ca="1" t="shared" si="52"/>
        <v>2.77157885480339</v>
      </c>
      <c r="CR36">
        <f ca="1">IF(G36="恒定伤害",0,(IF(D36="轻剑",$CR$8,$CR$9)+IFERROR(INDEX(技能数据库!$T$2:$W$27,MATCH(E36,技能数据库!$T$2:$T$27,0),4),0)+COUNTIF(G36,"*造化2*")*154+COUNTIF(G36,"*造化1*")*102+COUNTIF(G36,"*碧归*")*307)/1024)</f>
        <v>0.167102521929785</v>
      </c>
      <c r="CS36">
        <f ca="1" t="shared" si="68"/>
        <v>1350243.78817869</v>
      </c>
    </row>
    <row r="37" spans="4:97">
      <c r="D37" t="s">
        <v>1825</v>
      </c>
      <c r="E37" s="161" t="s">
        <v>2772</v>
      </c>
      <c r="G37" t="s">
        <v>3044</v>
      </c>
      <c r="H37">
        <f ca="1">INDEX(技能数据库!$B$2:$I$100,MATCH(阵眼收益计算!$E37,技能数据库!$B$2:$B$100,0),MATCH(H$9,技能数据库!$B$2:$I$2,0))</f>
        <v>0</v>
      </c>
      <c r="I37">
        <f ca="1">INDEX(技能数据库!$B$2:$I$100,MATCH(阵眼收益计算!$E37,技能数据库!$B$2:$B$100,0),MATCH(I$9,技能数据库!$B$2:$I$2,0))</f>
        <v>0</v>
      </c>
      <c r="J37">
        <f ca="1">INDEX(技能数据库!$B$2:$I$100,MATCH(阵眼收益计算!$E37,技能数据库!$B$2:$B$100,0),MATCH(J$9,技能数据库!$B$2:$I$2,0))</f>
        <v>0</v>
      </c>
      <c r="K37">
        <f ca="1">INDEX(技能数据库!$B$2:$I$100,MATCH(阵眼收益计算!$E37,技能数据库!$B$2:$B$100,0),MATCH(K$9,技能数据库!$B$2:$I$2,0))</f>
        <v>0.207999229431152</v>
      </c>
      <c r="L37">
        <f ca="1" t="shared" si="13"/>
        <v>105847</v>
      </c>
      <c r="M37">
        <f ca="1" t="shared" si="73"/>
        <v>19530.5</v>
      </c>
      <c r="N37">
        <f ca="1" t="shared" si="74"/>
        <v>92028</v>
      </c>
      <c r="O37">
        <f ca="1" t="shared" si="53"/>
        <v>163355.720836693</v>
      </c>
      <c r="P37">
        <f ca="1">IF(G37="恒定伤害",0,(IF(D37="轻剑",$AZ$2,$AZ$3)+IFERROR(INDEX(技能数据库!$T$2:$W$27,MATCH(E37,技能数据库!$T$2:$T$27,0),4),0)+COUNTIF(G37,"*造化2*")*154+COUNTIF(G37,"*造化1*")*102+COUNTIF(G37,"*碧归*")*307)/1024)</f>
        <v>0.116321271929785</v>
      </c>
      <c r="Q37">
        <f ca="1" t="shared" si="14"/>
        <v>0.448284482196154</v>
      </c>
      <c r="R37">
        <f ca="1" t="shared" si="54"/>
        <v>0.21277697966198</v>
      </c>
      <c r="S37">
        <f ca="1" t="shared" si="75"/>
        <v>207909.920194751</v>
      </c>
      <c r="T37">
        <f t="shared" si="76"/>
        <v>0.8</v>
      </c>
      <c r="U37">
        <f ca="1" t="shared" si="15"/>
        <v>2.67001635480339</v>
      </c>
      <c r="V37">
        <f ca="1" t="shared" si="77"/>
        <v>610426.245952484</v>
      </c>
      <c r="W37">
        <f ca="1">IF(G37="恒定伤害",0,MIN(1,IF(COUNTIF(F37,"*内会*")&gt;0,内会2,IF(D37="轻剑",$Y$2,$Y$3)+COUNTIF(G37,"*莺鸣*")*0.2+COUNTIF(G37,"*叠1*")*0.1+COUNTIF(G37,"*叠2*")*0.2+COUNTIF(G37,"*叠3*")*0.3)+IFERROR(INDEX(技能数据库!$T$2:$W$27,MATCH(E37,技能数据库!$T$2:$T$27,0),2),0)+IF((IF(D37="轻剑",$AO$2,$AO$3)+INT(COUNTIF(G37,"*大莺鸣*")*IF(D37="轻剑",$AM$2,$AM$3)*听晓无双率)/无双系数)&gt;0.9,特效裤子会心/会心系数,0)))</f>
        <v>0.9043</v>
      </c>
      <c r="X37">
        <f ca="1">IF(G37="恒定伤害",0,IF(COUNTIF(F37,"*内会*")&gt;0,内会效2,IF(D37="轻剑",$AB$2,$AB$3))+IFERROR(INDEX(技能数据库!$T$2:$W$27,MATCH(E37,技能数据库!$T$2:$T$27,0),3)/1024,0))+COUNTIF(G37,"*叠1*")*0.25+COUNTIF(G37,"*叠2*")*0.5+COUNTIF(G37,"*叠3*")*0.75</f>
        <v>2.1712723116</v>
      </c>
      <c r="Y37">
        <f ca="1" t="shared" si="78"/>
        <v>2.05918155137988</v>
      </c>
      <c r="Z37">
        <f t="shared" si="16"/>
        <v>0.150390625</v>
      </c>
      <c r="AA37">
        <f ca="1" t="shared" si="79"/>
        <v>0.0205078125</v>
      </c>
      <c r="AB37">
        <f ca="1" t="shared" si="80"/>
        <v>1475670.87091942</v>
      </c>
      <c r="AC37">
        <f ca="1">技能数计算!$AJ29</f>
        <v>0</v>
      </c>
      <c r="AD37" s="164">
        <f ca="1" t="shared" si="81"/>
        <v>0</v>
      </c>
      <c r="AE37" s="168"/>
      <c r="AF37" s="168">
        <f ca="1" t="shared" si="17"/>
        <v>0.9057</v>
      </c>
      <c r="AG37">
        <f ca="1">技能数计算!$AJ29</f>
        <v>0</v>
      </c>
      <c r="AH37">
        <f ca="1" t="shared" si="18"/>
        <v>109879</v>
      </c>
      <c r="AJ37">
        <f ca="1" t="shared" si="55"/>
        <v>2.3704910616</v>
      </c>
      <c r="AK37">
        <f ca="1" t="shared" si="56"/>
        <v>163355.720836693</v>
      </c>
      <c r="AL37">
        <f ca="1" t="shared" si="19"/>
        <v>1606590.95861179</v>
      </c>
      <c r="AM37" s="169">
        <f ca="1" t="shared" si="20"/>
        <v>0.9272</v>
      </c>
      <c r="AN37">
        <f ca="1">技能数计算!$AJ29</f>
        <v>0</v>
      </c>
      <c r="AO37" s="170">
        <f ca="1" t="shared" si="21"/>
        <v>1627712.66279021</v>
      </c>
      <c r="AP37">
        <f ca="1" t="shared" si="22"/>
        <v>110956</v>
      </c>
      <c r="AQ37" s="170">
        <f ca="1" t="shared" si="57"/>
        <v>163355.720836693</v>
      </c>
      <c r="AR37">
        <f ca="1" t="shared" si="23"/>
        <v>1562244.83080022</v>
      </c>
      <c r="AS37">
        <f ca="1" t="shared" si="24"/>
        <v>0.9843</v>
      </c>
      <c r="AT37">
        <f ca="1">技能数计算!$AJ29</f>
        <v>0</v>
      </c>
      <c r="AU37">
        <f ca="1" t="shared" si="25"/>
        <v>2.3177566866</v>
      </c>
      <c r="AV37">
        <f ca="1" t="shared" si="26"/>
        <v>2.68954760480339</v>
      </c>
      <c r="AW37">
        <f ca="1" t="shared" si="58"/>
        <v>1654907.86020255</v>
      </c>
      <c r="AX37">
        <f ca="1" t="shared" si="27"/>
        <v>0.9743</v>
      </c>
      <c r="AY37">
        <f ca="1">技能数计算!$AJ29</f>
        <v>0</v>
      </c>
      <c r="AZ37" s="170">
        <f ca="1" t="shared" si="59"/>
        <v>1645414.16655856</v>
      </c>
      <c r="BA37">
        <f ca="1" t="shared" si="28"/>
        <v>0.9643</v>
      </c>
      <c r="BB37">
        <f ca="1">技能数计算!$AJ29</f>
        <v>0</v>
      </c>
      <c r="BC37" s="170">
        <f ca="1" t="shared" si="60"/>
        <v>1635920.47291457</v>
      </c>
      <c r="BE37">
        <f ca="1" t="shared" si="29"/>
        <v>105849</v>
      </c>
      <c r="BF37">
        <f ca="1" t="shared" si="30"/>
        <v>163355.720836693</v>
      </c>
      <c r="BI37">
        <f ca="1" t="shared" si="31"/>
        <v>0.9543</v>
      </c>
      <c r="BJ37">
        <f ca="1">技能数计算!$AJ29</f>
        <v>0</v>
      </c>
      <c r="BK37">
        <f ca="1" t="shared" si="32"/>
        <v>1617030.20087699</v>
      </c>
      <c r="BM37">
        <f ca="1" t="shared" si="33"/>
        <v>109230</v>
      </c>
      <c r="BN37">
        <f ca="1" t="shared" si="34"/>
        <v>163355.720836693</v>
      </c>
      <c r="BO37">
        <f ca="1" t="shared" si="35"/>
        <v>1593701.67460085</v>
      </c>
      <c r="BP37">
        <f ca="1" t="shared" si="36"/>
        <v>1519821.38090395</v>
      </c>
      <c r="BR37">
        <f ca="1" t="shared" si="37"/>
        <v>0.9543</v>
      </c>
      <c r="BS37">
        <f ca="1" t="shared" si="38"/>
        <v>1571363.7465004</v>
      </c>
      <c r="BT37">
        <f ca="1" t="shared" si="39"/>
        <v>0.196995876306796</v>
      </c>
      <c r="BU37">
        <f ca="1" t="shared" si="40"/>
        <v>2.3177566866</v>
      </c>
      <c r="BV37">
        <f ca="1" t="shared" si="61"/>
        <v>1650248.65642618</v>
      </c>
      <c r="BW37">
        <f ca="1" t="shared" si="41"/>
        <v>113027</v>
      </c>
      <c r="BX37">
        <f ca="1" t="shared" si="42"/>
        <v>163355.720836693</v>
      </c>
      <c r="BY37">
        <f ca="1" t="shared" si="43"/>
        <v>0.9343</v>
      </c>
      <c r="BZ37">
        <f ca="1">技能数计算!$AJ29</f>
        <v>0</v>
      </c>
      <c r="CA37">
        <f ca="1" t="shared" si="44"/>
        <v>2.3216629366</v>
      </c>
      <c r="CB37">
        <f ca="1" t="shared" si="62"/>
        <v>1601545.55604376</v>
      </c>
      <c r="CC37">
        <f ca="1" t="shared" si="45"/>
        <v>114847</v>
      </c>
      <c r="CD37">
        <f ca="1" t="shared" si="46"/>
        <v>163355.720836693</v>
      </c>
      <c r="CE37">
        <f ca="1" t="shared" si="47"/>
        <v>1545755.83094072</v>
      </c>
      <c r="CF37">
        <f ca="1" t="shared" si="48"/>
        <v>2.2689285616</v>
      </c>
      <c r="CG37">
        <f ca="1" t="shared" si="49"/>
        <v>0.9343</v>
      </c>
      <c r="CH37">
        <f ca="1" t="shared" si="63"/>
        <v>1574572.67075972</v>
      </c>
      <c r="CJ37">
        <f ca="1" t="shared" si="50"/>
        <v>168089.820322409</v>
      </c>
      <c r="CK37">
        <f ca="1" t="shared" si="51"/>
        <v>1632459.04207118</v>
      </c>
      <c r="CL37">
        <f ca="1" t="shared" si="64"/>
        <v>2.2915848116</v>
      </c>
      <c r="CM37">
        <f ca="1">IF(G37="恒定伤害",0,(IF(D37="轻剑",$CM$8,$CM$9)+IFERROR(INDEX(技能数据库!$T$2:$W$27,MATCH(E37,技能数据库!$T$2:$T$27,0),4),0)+COUNTIF(G37,"*造化2*")*154+COUNTIF(G37,"*造化1*")*102+COUNTIF(G37,"*碧归*")*307)/1024)</f>
        <v>0.176868146929785</v>
      </c>
      <c r="CN37">
        <f ca="1" t="shared" si="65"/>
        <v>1676051.41480161</v>
      </c>
      <c r="CO37">
        <f ca="1" t="shared" si="66"/>
        <v>2.3156473116</v>
      </c>
      <c r="CP37">
        <f ca="1" t="shared" si="67"/>
        <v>1693126.61043692</v>
      </c>
      <c r="CQ37">
        <f ca="1" t="shared" si="52"/>
        <v>2.77157885480339</v>
      </c>
      <c r="CR37">
        <f ca="1">IF(G37="恒定伤害",0,(IF(D37="轻剑",$CR$8,$CR$9)+IFERROR(INDEX(技能数据库!$T$2:$W$27,MATCH(E37,技能数据库!$T$2:$T$27,0),4),0)+COUNTIF(G37,"*造化2*")*154+COUNTIF(G37,"*造化1*")*102+COUNTIF(G37,"*碧归*")*307)/1024)</f>
        <v>0.167102521929785</v>
      </c>
      <c r="CS37">
        <f ca="1" t="shared" si="68"/>
        <v>1585493.63990307</v>
      </c>
    </row>
    <row r="38" spans="4:97">
      <c r="D38" t="s">
        <v>1825</v>
      </c>
      <c r="E38" t="s">
        <v>2776</v>
      </c>
      <c r="G38" t="s">
        <v>2750</v>
      </c>
      <c r="H38">
        <f ca="1">INDEX(技能数据库!$B$2:$I$100,MATCH(阵眼收益计算!$E38,技能数据库!$B$2:$B$100,0),MATCH(H$9,技能数据库!$B$2:$I$2,0))</f>
        <v>281.5</v>
      </c>
      <c r="I38">
        <f ca="1">INDEX(技能数据库!$B$2:$I$100,MATCH(阵眼收益计算!$E38,技能数据库!$B$2:$B$100,0),MATCH(I$9,技能数据库!$B$2:$I$2,0))</f>
        <v>7.06875</v>
      </c>
      <c r="J38">
        <f ca="1">INDEX(技能数据库!$B$2:$I$100,MATCH(阵眼收益计算!$E38,技能数据库!$B$2:$B$100,0),MATCH(J$9,技能数据库!$B$2:$I$2,0))</f>
        <v>2</v>
      </c>
      <c r="K38">
        <f ca="1">INDEX(技能数据库!$B$2:$I$100,MATCH(阵眼收益计算!$E38,技能数据库!$B$2:$B$100,0),MATCH(K$9,技能数据库!$B$2:$I$2,0))</f>
        <v>0</v>
      </c>
      <c r="L38">
        <f ca="1" t="shared" si="13"/>
        <v>105847</v>
      </c>
      <c r="M38">
        <f ca="1" t="shared" si="73"/>
        <v>19530.5</v>
      </c>
      <c r="N38">
        <f ca="1" t="shared" si="74"/>
        <v>92028</v>
      </c>
      <c r="O38">
        <f ca="1" t="shared" si="53"/>
        <v>787548.48125</v>
      </c>
      <c r="P38">
        <f ca="1">IF(G38="恒定伤害",0,(IF(D38="轻剑",$AZ$2,$AZ$3)+IFERROR(INDEX(技能数据库!$T$2:$W$27,MATCH(E38,技能数据库!$T$2:$T$27,0),4),0)+COUNTIF(G38,"*造化2*")*154+COUNTIF(G38,"*造化1*")*102+COUNTIF(G38,"*碧归*")*307)/1024)</f>
        <v>0.186633771929785</v>
      </c>
      <c r="Q38">
        <f ca="1" t="shared" si="14"/>
        <v>0.448284482196154</v>
      </c>
      <c r="R38">
        <f ca="1" t="shared" si="54"/>
        <v>0.21277697966198</v>
      </c>
      <c r="S38">
        <f ca="1" t="shared" si="75"/>
        <v>1065480.89170917</v>
      </c>
      <c r="T38">
        <f t="shared" si="76"/>
        <v>0.8</v>
      </c>
      <c r="U38">
        <f ca="1" t="shared" si="15"/>
        <v>1.7800129648</v>
      </c>
      <c r="V38">
        <f ca="1" t="shared" si="77"/>
        <v>2369640.55415852</v>
      </c>
      <c r="W38">
        <f ca="1">IF(G38="恒定伤害",0,MIN(1,IF(COUNTIF(F38,"*内会*")&gt;0,内会2,IF(D38="轻剑",$Y$2,$Y$3)+COUNTIF(G38,"*莺鸣*")*0.2+COUNTIF(G38,"*叠1*")*0.1+COUNTIF(G38,"*叠2*")*0.2+COUNTIF(G38,"*叠3*")*0.3)+IFERROR(INDEX(技能数据库!$T$2:$W$27,MATCH(E38,技能数据库!$T$2:$T$27,0),2),0)+IF((IF(D38="轻剑",$AO$2,$AO$3)+INT(COUNTIF(G38,"*大莺鸣*")*IF(D38="轻剑",$AM$2,$AM$3)*听晓无双率)/无双系数)&gt;0.9,特效裤子会心/会心系数,0)))</f>
        <v>0.7043</v>
      </c>
      <c r="X38">
        <f ca="1">IF(G38="恒定伤害",0,IF(COUNTIF(F38,"*内会*")&gt;0,内会效2,IF(D38="轻剑",$AB$2,$AB$3))+IFERROR(INDEX(技能数据库!$T$2:$W$27,MATCH(E38,技能数据库!$T$2:$T$27,0),3)/1024,0))+COUNTIF(G38,"*叠1*")*0.25+COUNTIF(G38,"*叠2*")*0.5+COUNTIF(G38,"*叠3*")*0.75</f>
        <v>2.1712723116</v>
      </c>
      <c r="Y38">
        <f ca="1" t="shared" si="78"/>
        <v>1.82492708905988</v>
      </c>
      <c r="Z38">
        <f t="shared" si="16"/>
        <v>0.150390625</v>
      </c>
      <c r="AA38">
        <f ca="1" t="shared" si="79"/>
        <v>0.0205078125</v>
      </c>
      <c r="AB38">
        <f ca="1" t="shared" si="80"/>
        <v>5076795.37673194</v>
      </c>
      <c r="AC38">
        <f ca="1">技能数计算!$AJ30</f>
        <v>8</v>
      </c>
      <c r="AD38" s="164">
        <f ca="1" t="shared" si="81"/>
        <v>0.0145608296613321</v>
      </c>
      <c r="AE38" s="168"/>
      <c r="AF38" s="168">
        <f ca="1" t="shared" si="17"/>
        <v>0.7057</v>
      </c>
      <c r="AG38">
        <f ca="1">技能数计算!$AJ30</f>
        <v>8</v>
      </c>
      <c r="AH38">
        <f ca="1" t="shared" si="18"/>
        <v>109879</v>
      </c>
      <c r="AJ38">
        <f ca="1" t="shared" si="55"/>
        <v>2.3704910616</v>
      </c>
      <c r="AK38">
        <f ca="1" t="shared" si="56"/>
        <v>816526.68125</v>
      </c>
      <c r="AL38">
        <f ca="1" t="shared" si="19"/>
        <v>5675385.24685809</v>
      </c>
      <c r="AM38" s="169">
        <f ca="1" t="shared" si="20"/>
        <v>0.7272</v>
      </c>
      <c r="AN38">
        <f ca="1">技能数计算!$AJ30</f>
        <v>8</v>
      </c>
      <c r="AO38" s="170">
        <f ca="1" t="shared" si="21"/>
        <v>5760395.50079179</v>
      </c>
      <c r="AP38">
        <f ca="1" t="shared" si="22"/>
        <v>110956</v>
      </c>
      <c r="AQ38" s="170">
        <f ca="1" t="shared" si="57"/>
        <v>823662.725</v>
      </c>
      <c r="AR38">
        <f ca="1" t="shared" si="23"/>
        <v>5621100.69287759</v>
      </c>
      <c r="AS38">
        <f ca="1" t="shared" si="24"/>
        <v>0.7843</v>
      </c>
      <c r="AT38">
        <f ca="1">技能数计算!$AJ30</f>
        <v>8</v>
      </c>
      <c r="AU38">
        <f ca="1" t="shared" si="25"/>
        <v>2.3177566866</v>
      </c>
      <c r="AV38">
        <f ca="1" t="shared" si="26"/>
        <v>1.7995442148</v>
      </c>
      <c r="AW38">
        <f ca="1" t="shared" si="58"/>
        <v>5696818.28204286</v>
      </c>
      <c r="AX38">
        <f ca="1" t="shared" si="27"/>
        <v>0.7743</v>
      </c>
      <c r="AY38">
        <f ca="1">技能数计算!$AJ30</f>
        <v>8</v>
      </c>
      <c r="AZ38" s="170">
        <f ca="1" t="shared" si="59"/>
        <v>5659901.83642919</v>
      </c>
      <c r="BA38">
        <f ca="1" t="shared" si="28"/>
        <v>0.7643</v>
      </c>
      <c r="BB38">
        <f ca="1">技能数计算!$AJ30</f>
        <v>8</v>
      </c>
      <c r="BC38" s="170">
        <f ca="1" t="shared" si="60"/>
        <v>5622985.39081552</v>
      </c>
      <c r="BE38">
        <f ca="1" t="shared" si="29"/>
        <v>105849</v>
      </c>
      <c r="BF38">
        <f ca="1" t="shared" si="30"/>
        <v>787562.61875</v>
      </c>
      <c r="BI38">
        <f ca="1" t="shared" si="31"/>
        <v>0.7543</v>
      </c>
      <c r="BJ38">
        <f ca="1">技能数计算!$AJ30</f>
        <v>8</v>
      </c>
      <c r="BK38">
        <f ca="1" t="shared" si="32"/>
        <v>5592427.66815593</v>
      </c>
      <c r="BM38">
        <f ca="1" t="shared" si="33"/>
        <v>109230</v>
      </c>
      <c r="BN38">
        <f ca="1" t="shared" si="34"/>
        <v>811462.0625</v>
      </c>
      <c r="BO38">
        <f ca="1" t="shared" si="35"/>
        <v>5649345.10835386</v>
      </c>
      <c r="BP38">
        <f ca="1" t="shared" si="36"/>
        <v>5387454.64136612</v>
      </c>
      <c r="BR38">
        <f ca="1" t="shared" si="37"/>
        <v>0.7543</v>
      </c>
      <c r="BS38">
        <f ca="1" t="shared" si="38"/>
        <v>5599407.8233587</v>
      </c>
      <c r="BT38">
        <f ca="1" t="shared" si="39"/>
        <v>0.196995876306796</v>
      </c>
      <c r="BU38">
        <f ca="1" t="shared" si="40"/>
        <v>2.3177566866</v>
      </c>
      <c r="BV38">
        <f ca="1" t="shared" si="61"/>
        <v>5658297.42352751</v>
      </c>
      <c r="BW38">
        <f ca="1" t="shared" si="41"/>
        <v>113027</v>
      </c>
      <c r="BX38">
        <f ca="1" t="shared" si="42"/>
        <v>838302.10625</v>
      </c>
      <c r="BY38">
        <f ca="1" t="shared" si="43"/>
        <v>0.7343</v>
      </c>
      <c r="BZ38">
        <f ca="1">技能数计算!$AJ30</f>
        <v>8</v>
      </c>
      <c r="CA38">
        <f ca="1" t="shared" si="44"/>
        <v>2.3216629366</v>
      </c>
      <c r="CB38">
        <f ca="1" t="shared" si="62"/>
        <v>5835031.42359819</v>
      </c>
      <c r="CC38">
        <f ca="1" t="shared" si="45"/>
        <v>114847</v>
      </c>
      <c r="CD38">
        <f ca="1" t="shared" si="46"/>
        <v>851167.23125</v>
      </c>
      <c r="CE38">
        <f ca="1" t="shared" si="47"/>
        <v>5759873.76175727</v>
      </c>
      <c r="CF38">
        <f ca="1" t="shared" si="48"/>
        <v>2.2689285616</v>
      </c>
      <c r="CG38">
        <f ca="1" t="shared" si="49"/>
        <v>0.7343</v>
      </c>
      <c r="CH38">
        <f ca="1" t="shared" si="63"/>
        <v>5411791.07621002</v>
      </c>
      <c r="CJ38">
        <f ca="1" t="shared" si="50"/>
        <v>811462.0625</v>
      </c>
      <c r="CK38">
        <f ca="1" t="shared" si="51"/>
        <v>5623753.88291152</v>
      </c>
      <c r="CL38">
        <f ca="1" t="shared" si="64"/>
        <v>2.2915848116</v>
      </c>
      <c r="CM38">
        <f ca="1">IF(G38="恒定伤害",0,(IF(D38="轻剑",$CM$8,$CM$9)+IFERROR(INDEX(技能数据库!$T$2:$W$27,MATCH(E38,技能数据库!$T$2:$T$27,0),4),0)+COUNTIF(G38,"*造化2*")*154+COUNTIF(G38,"*造化1*")*102+COUNTIF(G38,"*碧归*")*307)/1024)</f>
        <v>0.247180646929785</v>
      </c>
      <c r="CN38">
        <f ca="1" t="shared" si="65"/>
        <v>5736907.16000394</v>
      </c>
      <c r="CO38">
        <f ca="1" t="shared" si="66"/>
        <v>2.3156473116</v>
      </c>
      <c r="CP38">
        <f ca="1" t="shared" si="67"/>
        <v>5788932.09962897</v>
      </c>
      <c r="CQ38">
        <f ca="1" t="shared" si="52"/>
        <v>1.8815754648</v>
      </c>
      <c r="CR38">
        <f ca="1">IF(G38="恒定伤害",0,(IF(D38="轻剑",$CR$8,$CR$9)+IFERROR(INDEX(技能数据库!$T$2:$W$27,MATCH(E38,技能数据库!$T$2:$T$27,0),4),0)+COUNTIF(G38,"*造化2*")*154+COUNTIF(G38,"*造化1*")*102+COUNTIF(G38,"*碧归*")*307)/1024)</f>
        <v>0.237415021929785</v>
      </c>
      <c r="CS38">
        <f ca="1" t="shared" si="68"/>
        <v>5487461.86686334</v>
      </c>
    </row>
    <row r="39" spans="4:97">
      <c r="D39" t="s">
        <v>1825</v>
      </c>
      <c r="E39" t="s">
        <v>2776</v>
      </c>
      <c r="G39" t="s">
        <v>3044</v>
      </c>
      <c r="H39">
        <f ca="1">INDEX(技能数据库!$B$2:$I$100,MATCH(阵眼收益计算!$E39,技能数据库!$B$2:$B$100,0),MATCH(H$9,技能数据库!$B$2:$I$2,0))</f>
        <v>281.5</v>
      </c>
      <c r="I39">
        <f ca="1">INDEX(技能数据库!$B$2:$I$100,MATCH(阵眼收益计算!$E39,技能数据库!$B$2:$B$100,0),MATCH(I$9,技能数据库!$B$2:$I$2,0))</f>
        <v>7.06875</v>
      </c>
      <c r="J39">
        <f ca="1">INDEX(技能数据库!$B$2:$I$100,MATCH(阵眼收益计算!$E39,技能数据库!$B$2:$B$100,0),MATCH(J$9,技能数据库!$B$2:$I$2,0))</f>
        <v>2</v>
      </c>
      <c r="K39">
        <f ca="1">INDEX(技能数据库!$B$2:$I$100,MATCH(阵眼收益计算!$E39,技能数据库!$B$2:$B$100,0),MATCH(K$9,技能数据库!$B$2:$I$2,0))</f>
        <v>0</v>
      </c>
      <c r="L39">
        <f ca="1" t="shared" si="13"/>
        <v>105847</v>
      </c>
      <c r="M39">
        <f ca="1" t="shared" si="73"/>
        <v>19530.5</v>
      </c>
      <c r="N39">
        <f ca="1" t="shared" si="74"/>
        <v>92028</v>
      </c>
      <c r="O39">
        <f ca="1" t="shared" si="53"/>
        <v>787548.48125</v>
      </c>
      <c r="P39">
        <f ca="1">IF(G39="恒定伤害",0,(IF(D39="轻剑",$AZ$2,$AZ$3)+IFERROR(INDEX(技能数据库!$T$2:$W$27,MATCH(E39,技能数据库!$T$2:$T$27,0),4),0)+COUNTIF(G39,"*造化2*")*154+COUNTIF(G39,"*造化1*")*102+COUNTIF(G39,"*碧归*")*307)/1024)</f>
        <v>0.186633771929785</v>
      </c>
      <c r="Q39">
        <f ca="1" t="shared" si="14"/>
        <v>0.448284482196154</v>
      </c>
      <c r="R39">
        <f ca="1" t="shared" si="54"/>
        <v>0.21277697966198</v>
      </c>
      <c r="S39">
        <f ca="1" t="shared" si="75"/>
        <v>1065480.89170917</v>
      </c>
      <c r="T39">
        <f t="shared" si="76"/>
        <v>0.8</v>
      </c>
      <c r="U39">
        <f ca="1" t="shared" si="15"/>
        <v>2.67001635480339</v>
      </c>
      <c r="V39">
        <f ca="1" t="shared" si="77"/>
        <v>3128265.83864251</v>
      </c>
      <c r="W39">
        <f ca="1">IF(G39="恒定伤害",0,MIN(1,IF(COUNTIF(F39,"*内会*")&gt;0,内会2,IF(D39="轻剑",$Y$2,$Y$3)+COUNTIF(G39,"*莺鸣*")*0.2+COUNTIF(G39,"*叠1*")*0.1+COUNTIF(G39,"*叠2*")*0.2+COUNTIF(G39,"*叠3*")*0.3)+IFERROR(INDEX(技能数据库!$T$2:$W$27,MATCH(E39,技能数据库!$T$2:$T$27,0),2),0)+IF((IF(D39="轻剑",$AO$2,$AO$3)+INT(COUNTIF(G39,"*大莺鸣*")*IF(D39="轻剑",$AM$2,$AM$3)*听晓无双率)/无双系数)&gt;0.9,特效裤子会心/会心系数,0)))</f>
        <v>0.9043</v>
      </c>
      <c r="X39">
        <f ca="1">IF(G39="恒定伤害",0,IF(COUNTIF(F39,"*内会*")&gt;0,内会效2,IF(D39="轻剑",$AB$2,$AB$3))+IFERROR(INDEX(技能数据库!$T$2:$W$27,MATCH(E39,技能数据库!$T$2:$T$27,0),3)/1024,0))+COUNTIF(G39,"*叠1*")*0.25+COUNTIF(G39,"*叠2*")*0.5+COUNTIF(G39,"*叠3*")*0.75</f>
        <v>2.1712723116</v>
      </c>
      <c r="Y39">
        <f ca="1" t="shared" si="78"/>
        <v>2.05918155137988</v>
      </c>
      <c r="Z39">
        <f t="shared" si="16"/>
        <v>0.150390625</v>
      </c>
      <c r="AA39">
        <f ca="1" t="shared" si="79"/>
        <v>0.0205078125</v>
      </c>
      <c r="AB39">
        <f ca="1" t="shared" si="80"/>
        <v>7562405.45878563</v>
      </c>
      <c r="AC39">
        <f ca="1">技能数计算!$AJ31</f>
        <v>0</v>
      </c>
      <c r="AD39" s="164">
        <f ca="1" t="shared" si="81"/>
        <v>0</v>
      </c>
      <c r="AE39" s="168"/>
      <c r="AF39" s="168">
        <f ca="1" t="shared" si="17"/>
        <v>0.9057</v>
      </c>
      <c r="AG39">
        <f ca="1">技能数计算!$AJ31</f>
        <v>0</v>
      </c>
      <c r="AH39">
        <f ca="1" t="shared" si="18"/>
        <v>109879</v>
      </c>
      <c r="AJ39">
        <f ca="1" t="shared" si="55"/>
        <v>2.3704910616</v>
      </c>
      <c r="AK39">
        <f ca="1" t="shared" si="56"/>
        <v>816526.68125</v>
      </c>
      <c r="AL39">
        <f ca="1" t="shared" si="19"/>
        <v>8536283.98110537</v>
      </c>
      <c r="AM39" s="169">
        <f ca="1" t="shared" si="20"/>
        <v>0.9272</v>
      </c>
      <c r="AN39">
        <f ca="1">技能数计算!$AJ31</f>
        <v>0</v>
      </c>
      <c r="AO39" s="170">
        <f ca="1" t="shared" si="21"/>
        <v>8648509.72473066</v>
      </c>
      <c r="AP39">
        <f ca="1" t="shared" si="22"/>
        <v>110956</v>
      </c>
      <c r="AQ39" s="170">
        <f ca="1" t="shared" si="57"/>
        <v>823662.725</v>
      </c>
      <c r="AR39">
        <f ca="1" t="shared" si="23"/>
        <v>8373203.84410792</v>
      </c>
      <c r="AS39">
        <f ca="1" t="shared" si="24"/>
        <v>0.9843</v>
      </c>
      <c r="AT39">
        <f ca="1">技能数计算!$AJ31</f>
        <v>0</v>
      </c>
      <c r="AU39">
        <f ca="1" t="shared" si="25"/>
        <v>2.3177566866</v>
      </c>
      <c r="AV39">
        <f ca="1" t="shared" si="26"/>
        <v>2.68954760480339</v>
      </c>
      <c r="AW39">
        <f ca="1" t="shared" si="58"/>
        <v>8480945.50242453</v>
      </c>
      <c r="AX39">
        <f ca="1" t="shared" si="27"/>
        <v>0.9743</v>
      </c>
      <c r="AY39">
        <f ca="1">技能数计算!$AJ31</f>
        <v>0</v>
      </c>
      <c r="AZ39" s="170">
        <f ca="1" t="shared" si="59"/>
        <v>8432292.94577917</v>
      </c>
      <c r="BA39">
        <f ca="1" t="shared" si="28"/>
        <v>0.9643</v>
      </c>
      <c r="BB39">
        <f ca="1">技能数计算!$AJ31</f>
        <v>0</v>
      </c>
      <c r="BC39" s="170">
        <f ca="1" t="shared" si="60"/>
        <v>8383640.3891338</v>
      </c>
      <c r="BE39">
        <f ca="1" t="shared" si="29"/>
        <v>105849</v>
      </c>
      <c r="BF39">
        <f ca="1" t="shared" si="30"/>
        <v>787562.61875</v>
      </c>
      <c r="BI39">
        <f ca="1" t="shared" si="31"/>
        <v>0.9543</v>
      </c>
      <c r="BJ39">
        <f ca="1">技能数计算!$AJ31</f>
        <v>0</v>
      </c>
      <c r="BK39">
        <f ca="1" t="shared" si="32"/>
        <v>8286981.72389076</v>
      </c>
      <c r="BM39">
        <f ca="1" t="shared" si="33"/>
        <v>109230</v>
      </c>
      <c r="BN39">
        <f ca="1" t="shared" si="34"/>
        <v>811462.0625</v>
      </c>
      <c r="BO39">
        <f ca="1" t="shared" si="35"/>
        <v>8415276.78696414</v>
      </c>
      <c r="BP39">
        <f ca="1" t="shared" si="36"/>
        <v>8025164.17651126</v>
      </c>
      <c r="BR39">
        <f ca="1" t="shared" si="37"/>
        <v>0.9543</v>
      </c>
      <c r="BS39">
        <f ca="1" t="shared" si="38"/>
        <v>8297325.07064957</v>
      </c>
      <c r="BT39">
        <f ca="1" t="shared" si="39"/>
        <v>0.196995876306796</v>
      </c>
      <c r="BU39">
        <f ca="1" t="shared" si="40"/>
        <v>2.3177566866</v>
      </c>
      <c r="BV39">
        <f ca="1" t="shared" si="61"/>
        <v>8457068.37049332</v>
      </c>
      <c r="BW39">
        <f ca="1" t="shared" si="41"/>
        <v>113027</v>
      </c>
      <c r="BX39">
        <f ca="1" t="shared" si="42"/>
        <v>838302.10625</v>
      </c>
      <c r="BY39">
        <f ca="1" t="shared" si="43"/>
        <v>0.9343</v>
      </c>
      <c r="BZ39">
        <f ca="1">技能数计算!$AJ31</f>
        <v>0</v>
      </c>
      <c r="CA39">
        <f ca="1" t="shared" si="44"/>
        <v>2.3216629366</v>
      </c>
      <c r="CB39">
        <f ca="1" t="shared" si="62"/>
        <v>8736410.04442898</v>
      </c>
      <c r="CC39">
        <f ca="1" t="shared" si="45"/>
        <v>114847</v>
      </c>
      <c r="CD39">
        <f ca="1" t="shared" si="46"/>
        <v>851167.23125</v>
      </c>
      <c r="CE39">
        <f ca="1" t="shared" si="47"/>
        <v>8561481.9309818</v>
      </c>
      <c r="CF39">
        <f ca="1" t="shared" si="48"/>
        <v>2.2689285616</v>
      </c>
      <c r="CG39">
        <f ca="1" t="shared" si="49"/>
        <v>0.9343</v>
      </c>
      <c r="CH39">
        <f ca="1" t="shared" si="63"/>
        <v>8069249.85460266</v>
      </c>
      <c r="CJ39">
        <f ca="1" t="shared" si="50"/>
        <v>811462.0625</v>
      </c>
      <c r="CK39">
        <f ca="1" t="shared" si="51"/>
        <v>8377156.04176547</v>
      </c>
      <c r="CL39">
        <f ca="1" t="shared" si="64"/>
        <v>2.2915848116</v>
      </c>
      <c r="CM39">
        <f ca="1">IF(G39="恒定伤害",0,(IF(D39="轻剑",$CM$8,$CM$9)+IFERROR(INDEX(技能数据库!$T$2:$W$27,MATCH(E39,技能数据库!$T$2:$T$27,0),4),0)+COUNTIF(G39,"*造化2*")*154+COUNTIF(G39,"*造化1*")*102+COUNTIF(G39,"*碧归*")*307)/1024)</f>
        <v>0.247180646929785</v>
      </c>
      <c r="CN39">
        <f ca="1" t="shared" si="65"/>
        <v>8563116.28343959</v>
      </c>
      <c r="CO39">
        <f ca="1" t="shared" si="66"/>
        <v>2.3156473116</v>
      </c>
      <c r="CP39">
        <f ca="1" t="shared" si="67"/>
        <v>8650355.18583622</v>
      </c>
      <c r="CQ39">
        <f ca="1" t="shared" si="52"/>
        <v>2.77157885480339</v>
      </c>
      <c r="CR39">
        <f ca="1">IF(G39="恒定伤害",0,(IF(D39="轻剑",$CR$8,$CR$9)+IFERROR(INDEX(技能数据库!$T$2:$W$27,MATCH(E39,技能数据库!$T$2:$T$27,0),4),0)+COUNTIF(G39,"*造化2*")*154+COUNTIF(G39,"*造化1*")*102+COUNTIF(G39,"*碧归*")*307)/1024)</f>
        <v>0.237415021929785</v>
      </c>
      <c r="CS39">
        <f ca="1" t="shared" si="68"/>
        <v>8104268.67801631</v>
      </c>
    </row>
    <row r="40" spans="4:97">
      <c r="D40" t="s">
        <v>1825</v>
      </c>
      <c r="E40" t="s">
        <v>2780</v>
      </c>
      <c r="G40" t="s">
        <v>2750</v>
      </c>
      <c r="H40">
        <f ca="1">INDEX(技能数据库!$B$2:$I$100,MATCH(阵眼收益计算!$E40,技能数据库!$B$2:$B$100,0),MATCH(H$9,技能数据库!$B$2:$I$2,0))</f>
        <v>252.5</v>
      </c>
      <c r="I40">
        <f ca="1">INDEX(技能数据库!$B$2:$I$100,MATCH(阵眼收益计算!$E40,技能数据库!$B$2:$B$100,0),MATCH(I$9,技能数据库!$B$2:$I$2,0))</f>
        <v>2.11875</v>
      </c>
      <c r="J40">
        <f ca="1">INDEX(技能数据库!$B$2:$I$100,MATCH(阵眼收益计算!$E40,技能数据库!$B$2:$B$100,0),MATCH(J$9,技能数据库!$B$2:$I$2,0))</f>
        <v>2</v>
      </c>
      <c r="K40">
        <f ca="1">INDEX(技能数据库!$B$2:$I$100,MATCH(阵眼收益计算!$E40,技能数据库!$B$2:$B$100,0),MATCH(K$9,技能数据库!$B$2:$I$2,0))</f>
        <v>0</v>
      </c>
      <c r="L40">
        <f ca="1" t="shared" si="13"/>
        <v>105847</v>
      </c>
      <c r="M40">
        <f ca="1" t="shared" si="73"/>
        <v>19530.5</v>
      </c>
      <c r="N40">
        <f ca="1" t="shared" si="74"/>
        <v>92028</v>
      </c>
      <c r="O40">
        <f ca="1" t="shared" si="53"/>
        <v>263576.83125</v>
      </c>
      <c r="P40">
        <f ca="1">IF(G40="恒定伤害",0,(IF(D40="轻剑",$AZ$2,$AZ$3)+IFERROR(INDEX(技能数据库!$T$2:$W$27,MATCH(E40,技能数据库!$T$2:$T$27,0),4),0)+COUNTIF(G40,"*造化2*")*154+COUNTIF(G40,"*造化1*")*102+COUNTIF(G40,"*碧归*")*307)/1024)</f>
        <v>0.186633771929785</v>
      </c>
      <c r="Q40">
        <f ca="1" t="shared" si="14"/>
        <v>0.448284482196154</v>
      </c>
      <c r="R40">
        <f ca="1" t="shared" si="54"/>
        <v>0.21277697966198</v>
      </c>
      <c r="S40">
        <f ca="1" t="shared" si="75"/>
        <v>356595.287630271</v>
      </c>
      <c r="T40">
        <f t="shared" si="76"/>
        <v>0.8</v>
      </c>
      <c r="U40">
        <f ca="1" t="shared" si="15"/>
        <v>1.7800129648</v>
      </c>
      <c r="V40">
        <f ca="1" t="shared" si="77"/>
        <v>793071.61823899</v>
      </c>
      <c r="W40">
        <f ca="1">IF(G40="恒定伤害",0,MIN(1,IF(COUNTIF(F40,"*内会*")&gt;0,内会2,IF(D40="轻剑",$Y$2,$Y$3)+COUNTIF(G40,"*莺鸣*")*0.2+COUNTIF(G40,"*叠1*")*0.1+COUNTIF(G40,"*叠2*")*0.2+COUNTIF(G40,"*叠3*")*0.3)+IFERROR(INDEX(技能数据库!$T$2:$W$27,MATCH(E40,技能数据库!$T$2:$T$27,0),2),0)+IF((IF(D40="轻剑",$AO$2,$AO$3)+INT(COUNTIF(G40,"*大莺鸣*")*IF(D40="轻剑",$AM$2,$AM$3)*听晓无双率)/无双系数)&gt;0.9,特效裤子会心/会心系数,0)))</f>
        <v>0.7043</v>
      </c>
      <c r="X40">
        <f ca="1">IF(G40="恒定伤害",0,IF(COUNTIF(F40,"*内会*")&gt;0,内会效2,IF(D40="轻剑",$AB$2,$AB$3))+IFERROR(INDEX(技能数据库!$T$2:$W$27,MATCH(E40,技能数据库!$T$2:$T$27,0),3)/1024,0))+COUNTIF(G40,"*叠1*")*0.25+COUNTIF(G40,"*叠2*")*0.5+COUNTIF(G40,"*叠3*")*0.75</f>
        <v>2.1712723116</v>
      </c>
      <c r="Y40">
        <f ca="1" t="shared" si="78"/>
        <v>1.82492708905988</v>
      </c>
      <c r="Z40">
        <f t="shared" si="16"/>
        <v>0.150390625</v>
      </c>
      <c r="AA40">
        <f ca="1" t="shared" si="79"/>
        <v>0.0205078125</v>
      </c>
      <c r="AB40">
        <f ca="1" t="shared" si="80"/>
        <v>1699102.55706388</v>
      </c>
      <c r="AC40">
        <f ca="1">技能数计算!$AJ32</f>
        <v>8</v>
      </c>
      <c r="AD40" s="164">
        <f ca="1" t="shared" si="81"/>
        <v>0.0048732204224601</v>
      </c>
      <c r="AE40" s="168"/>
      <c r="AF40" s="168">
        <f ca="1" t="shared" si="17"/>
        <v>0.7057</v>
      </c>
      <c r="AG40">
        <f ca="1">技能数计算!$AJ32</f>
        <v>8</v>
      </c>
      <c r="AH40">
        <f ca="1" t="shared" si="18"/>
        <v>109879</v>
      </c>
      <c r="AJ40">
        <f ca="1" t="shared" si="55"/>
        <v>2.3704910616</v>
      </c>
      <c r="AK40">
        <f ca="1" t="shared" si="56"/>
        <v>272596.63125</v>
      </c>
      <c r="AL40">
        <f ca="1" t="shared" si="19"/>
        <v>1894721.79521564</v>
      </c>
      <c r="AM40" s="169">
        <f ca="1" t="shared" si="20"/>
        <v>0.7272</v>
      </c>
      <c r="AN40">
        <f ca="1">技能数计算!$AJ32</f>
        <v>8</v>
      </c>
      <c r="AO40" s="170">
        <f ca="1" t="shared" si="21"/>
        <v>1923102.38506796</v>
      </c>
      <c r="AP40">
        <f ca="1" t="shared" si="22"/>
        <v>110956</v>
      </c>
      <c r="AQ40" s="170">
        <f ca="1" t="shared" si="57"/>
        <v>274401.525</v>
      </c>
      <c r="AR40">
        <f ca="1" t="shared" si="23"/>
        <v>1872658.01339276</v>
      </c>
      <c r="AS40">
        <f ca="1" t="shared" si="24"/>
        <v>0.7843</v>
      </c>
      <c r="AT40">
        <f ca="1">技能数计算!$AJ32</f>
        <v>8</v>
      </c>
      <c r="AU40">
        <f ca="1" t="shared" si="25"/>
        <v>2.3177566866</v>
      </c>
      <c r="AV40">
        <f ca="1" t="shared" si="26"/>
        <v>1.7995442148</v>
      </c>
      <c r="AW40">
        <f ca="1" t="shared" si="58"/>
        <v>1906611.90610724</v>
      </c>
      <c r="AX40">
        <f ca="1" t="shared" si="27"/>
        <v>0.7743</v>
      </c>
      <c r="AY40">
        <f ca="1">技能数计算!$AJ32</f>
        <v>8</v>
      </c>
      <c r="AZ40" s="170">
        <f ca="1" t="shared" si="59"/>
        <v>1894256.70514181</v>
      </c>
      <c r="BA40">
        <f ca="1" t="shared" si="28"/>
        <v>0.7643</v>
      </c>
      <c r="BB40">
        <f ca="1">技能数计算!$AJ32</f>
        <v>8</v>
      </c>
      <c r="BC40" s="170">
        <f ca="1" t="shared" si="60"/>
        <v>1881901.50417638</v>
      </c>
      <c r="BE40">
        <f ca="1" t="shared" si="29"/>
        <v>105849</v>
      </c>
      <c r="BF40">
        <f ca="1" t="shared" si="30"/>
        <v>263581.06875</v>
      </c>
      <c r="BI40">
        <f ca="1" t="shared" si="31"/>
        <v>0.7543</v>
      </c>
      <c r="BJ40">
        <f ca="1">技能数计算!$AJ32</f>
        <v>8</v>
      </c>
      <c r="BK40">
        <f ca="1" t="shared" si="32"/>
        <v>1871670.93331474</v>
      </c>
      <c r="BM40">
        <f ca="1" t="shared" si="33"/>
        <v>109230</v>
      </c>
      <c r="BN40">
        <f ca="1" t="shared" si="34"/>
        <v>270744.5625</v>
      </c>
      <c r="BO40">
        <f ca="1" t="shared" si="35"/>
        <v>1884905.70349095</v>
      </c>
      <c r="BP40">
        <f ca="1" t="shared" si="36"/>
        <v>1797525.86999748</v>
      </c>
      <c r="BR40">
        <f ca="1" t="shared" si="37"/>
        <v>0.7543</v>
      </c>
      <c r="BS40">
        <f ca="1" t="shared" si="38"/>
        <v>1868244.1132537</v>
      </c>
      <c r="BT40">
        <f ca="1" t="shared" si="39"/>
        <v>0.196995876306796</v>
      </c>
      <c r="BU40">
        <f ca="1" t="shared" si="40"/>
        <v>2.3177566866</v>
      </c>
      <c r="BV40">
        <f ca="1" t="shared" si="61"/>
        <v>1893719.74001686</v>
      </c>
      <c r="BW40">
        <f ca="1" t="shared" si="41"/>
        <v>113027</v>
      </c>
      <c r="BX40">
        <f ca="1" t="shared" si="42"/>
        <v>278789.45625</v>
      </c>
      <c r="BY40">
        <f ca="1" t="shared" si="43"/>
        <v>0.7343</v>
      </c>
      <c r="BZ40">
        <f ca="1">技能数计算!$AJ32</f>
        <v>8</v>
      </c>
      <c r="CA40">
        <f ca="1" t="shared" si="44"/>
        <v>2.3216629366</v>
      </c>
      <c r="CB40">
        <f ca="1" t="shared" si="62"/>
        <v>1940523.85847337</v>
      </c>
      <c r="CC40">
        <f ca="1" t="shared" si="45"/>
        <v>114847</v>
      </c>
      <c r="CD40">
        <f ca="1" t="shared" si="46"/>
        <v>282645.58125</v>
      </c>
      <c r="CE40">
        <f ca="1" t="shared" si="47"/>
        <v>1912670.98585042</v>
      </c>
      <c r="CF40">
        <f ca="1" t="shared" si="48"/>
        <v>2.2689285616</v>
      </c>
      <c r="CG40">
        <f ca="1" t="shared" si="49"/>
        <v>0.7343</v>
      </c>
      <c r="CH40">
        <f ca="1" t="shared" si="63"/>
        <v>1811218.96266048</v>
      </c>
      <c r="CJ40">
        <f ca="1" t="shared" si="50"/>
        <v>270744.5625</v>
      </c>
      <c r="CK40">
        <f ca="1" t="shared" si="51"/>
        <v>1876367.18338457</v>
      </c>
      <c r="CL40">
        <f ca="1" t="shared" si="64"/>
        <v>2.2915848116</v>
      </c>
      <c r="CM40">
        <f ca="1">IF(G40="恒定伤害",0,(IF(D40="轻剑",$CM$8,$CM$9)+IFERROR(INDEX(技能数据库!$T$2:$W$27,MATCH(E40,技能数据库!$T$2:$T$27,0),4),0)+COUNTIF(G40,"*造化2*")*154+COUNTIF(G40,"*造化1*")*102+COUNTIF(G40,"*碧归*")*307)/1024)</f>
        <v>0.247180646929785</v>
      </c>
      <c r="CN40">
        <f ca="1" t="shared" si="65"/>
        <v>1920028.85715587</v>
      </c>
      <c r="CO40">
        <f ca="1" t="shared" si="66"/>
        <v>2.3156473116</v>
      </c>
      <c r="CP40">
        <f ca="1" t="shared" si="67"/>
        <v>1937440.57092182</v>
      </c>
      <c r="CQ40">
        <f ca="1" t="shared" si="52"/>
        <v>1.8815754648</v>
      </c>
      <c r="CR40">
        <f ca="1">IF(G40="恒定伤害",0,(IF(D40="轻剑",$CR$8,$CR$9)+IFERROR(INDEX(技能数据库!$T$2:$W$27,MATCH(E40,技能数据库!$T$2:$T$27,0),4),0)+COUNTIF(G40,"*造化2*")*154+COUNTIF(G40,"*造化1*")*102+COUNTIF(G40,"*碧归*")*307)/1024)</f>
        <v>0.237415021929785</v>
      </c>
      <c r="CS40">
        <f ca="1" t="shared" si="68"/>
        <v>1836544.47301754</v>
      </c>
    </row>
    <row r="41" spans="4:97">
      <c r="D41" t="s">
        <v>1825</v>
      </c>
      <c r="E41" t="s">
        <v>2780</v>
      </c>
      <c r="G41" t="s">
        <v>3044</v>
      </c>
      <c r="H41">
        <f ca="1">INDEX(技能数据库!$B$2:$I$100,MATCH(阵眼收益计算!$E41,技能数据库!$B$2:$B$100,0),MATCH(H$9,技能数据库!$B$2:$I$2,0))</f>
        <v>252.5</v>
      </c>
      <c r="I41">
        <f ca="1">INDEX(技能数据库!$B$2:$I$100,MATCH(阵眼收益计算!$E41,技能数据库!$B$2:$B$100,0),MATCH(I$9,技能数据库!$B$2:$I$2,0))</f>
        <v>2.11875</v>
      </c>
      <c r="J41">
        <f ca="1">INDEX(技能数据库!$B$2:$I$100,MATCH(阵眼收益计算!$E41,技能数据库!$B$2:$B$100,0),MATCH(J$9,技能数据库!$B$2:$I$2,0))</f>
        <v>2</v>
      </c>
      <c r="K41">
        <f ca="1">INDEX(技能数据库!$B$2:$I$100,MATCH(阵眼收益计算!$E41,技能数据库!$B$2:$B$100,0),MATCH(K$9,技能数据库!$B$2:$I$2,0))</f>
        <v>0</v>
      </c>
      <c r="L41">
        <f ca="1" t="shared" si="13"/>
        <v>105847</v>
      </c>
      <c r="M41">
        <f ca="1" t="shared" si="73"/>
        <v>19530.5</v>
      </c>
      <c r="N41">
        <f ca="1" t="shared" si="74"/>
        <v>92028</v>
      </c>
      <c r="O41">
        <f ca="1" t="shared" si="53"/>
        <v>263576.83125</v>
      </c>
      <c r="P41">
        <f ca="1">IF(G41="恒定伤害",0,(IF(D41="轻剑",$AZ$2,$AZ$3)+IFERROR(INDEX(技能数据库!$T$2:$W$27,MATCH(E41,技能数据库!$T$2:$T$27,0),4),0)+COUNTIF(G41,"*造化2*")*154+COUNTIF(G41,"*造化1*")*102+COUNTIF(G41,"*碧归*")*307)/1024)</f>
        <v>0.186633771929785</v>
      </c>
      <c r="Q41">
        <f ca="1" t="shared" si="14"/>
        <v>0.448284482196154</v>
      </c>
      <c r="R41">
        <f ca="1" t="shared" si="54"/>
        <v>0.21277697966198</v>
      </c>
      <c r="S41">
        <f ca="1" t="shared" si="75"/>
        <v>356595.287630271</v>
      </c>
      <c r="T41">
        <f t="shared" si="76"/>
        <v>0.8</v>
      </c>
      <c r="U41">
        <f ca="1" t="shared" si="15"/>
        <v>2.67001635480339</v>
      </c>
      <c r="V41">
        <f ca="1" t="shared" si="77"/>
        <v>1046968.43011913</v>
      </c>
      <c r="W41">
        <f ca="1">IF(G41="恒定伤害",0,MIN(1,IF(COUNTIF(F41,"*内会*")&gt;0,内会2,IF(D41="轻剑",$Y$2,$Y$3)+COUNTIF(G41,"*莺鸣*")*0.2+COUNTIF(G41,"*叠1*")*0.1+COUNTIF(G41,"*叠2*")*0.2+COUNTIF(G41,"*叠3*")*0.3)+IFERROR(INDEX(技能数据库!$T$2:$W$27,MATCH(E41,技能数据库!$T$2:$T$27,0),2),0)+IF((IF(D41="轻剑",$AO$2,$AO$3)+INT(COUNTIF(G41,"*大莺鸣*")*IF(D41="轻剑",$AM$2,$AM$3)*听晓无双率)/无双系数)&gt;0.9,特效裤子会心/会心系数,0)))</f>
        <v>0.9043</v>
      </c>
      <c r="X41">
        <f ca="1">IF(G41="恒定伤害",0,IF(COUNTIF(F41,"*内会*")&gt;0,内会效2,IF(D41="轻剑",$AB$2,$AB$3))+IFERROR(INDEX(技能数据库!$T$2:$W$27,MATCH(E41,技能数据库!$T$2:$T$27,0),3)/1024,0))+COUNTIF(G41,"*叠1*")*0.25+COUNTIF(G41,"*叠2*")*0.5+COUNTIF(G41,"*叠3*")*0.75</f>
        <v>2.1712723116</v>
      </c>
      <c r="Y41">
        <f ca="1" t="shared" si="78"/>
        <v>2.05918155137988</v>
      </c>
      <c r="Z41">
        <f t="shared" si="16"/>
        <v>0.150390625</v>
      </c>
      <c r="AA41">
        <f ca="1" t="shared" si="79"/>
        <v>0.0205078125</v>
      </c>
      <c r="AB41">
        <f ca="1" t="shared" si="80"/>
        <v>2530986.87244077</v>
      </c>
      <c r="AC41">
        <f ca="1">技能数计算!$AJ33</f>
        <v>0</v>
      </c>
      <c r="AD41" s="164">
        <f ca="1" t="shared" si="81"/>
        <v>0</v>
      </c>
      <c r="AE41" s="168"/>
      <c r="AF41" s="168">
        <f ca="1" t="shared" si="17"/>
        <v>0.9057</v>
      </c>
      <c r="AG41">
        <f ca="1">技能数计算!$AJ33</f>
        <v>0</v>
      </c>
      <c r="AH41">
        <f ca="1" t="shared" si="18"/>
        <v>109879</v>
      </c>
      <c r="AJ41">
        <f ca="1" t="shared" si="55"/>
        <v>2.3704910616</v>
      </c>
      <c r="AK41">
        <f ca="1" t="shared" si="56"/>
        <v>272596.63125</v>
      </c>
      <c r="AL41">
        <f ca="1" t="shared" si="19"/>
        <v>2849830.03014718</v>
      </c>
      <c r="AM41" s="169">
        <f ca="1" t="shared" si="20"/>
        <v>0.9272</v>
      </c>
      <c r="AN41">
        <f ca="1">技能数计算!$AJ33</f>
        <v>0</v>
      </c>
      <c r="AO41" s="170">
        <f ca="1" t="shared" si="21"/>
        <v>2887296.48452556</v>
      </c>
      <c r="AP41">
        <f ca="1" t="shared" si="22"/>
        <v>110956</v>
      </c>
      <c r="AQ41" s="170">
        <f ca="1" t="shared" si="57"/>
        <v>274401.525</v>
      </c>
      <c r="AR41">
        <f ca="1" t="shared" si="23"/>
        <v>2789515.45847735</v>
      </c>
      <c r="AS41">
        <f ca="1" t="shared" si="24"/>
        <v>0.9843</v>
      </c>
      <c r="AT41">
        <f ca="1">技能数计算!$AJ33</f>
        <v>0</v>
      </c>
      <c r="AU41">
        <f ca="1" t="shared" si="25"/>
        <v>2.3177566866</v>
      </c>
      <c r="AV41">
        <f ca="1" t="shared" si="26"/>
        <v>2.68954760480339</v>
      </c>
      <c r="AW41">
        <f ca="1" t="shared" si="58"/>
        <v>2838403.97734625</v>
      </c>
      <c r="AX41">
        <f ca="1" t="shared" si="27"/>
        <v>0.9743</v>
      </c>
      <c r="AY41">
        <f ca="1">技能数计算!$AJ33</f>
        <v>0</v>
      </c>
      <c r="AZ41" s="170">
        <f ca="1" t="shared" si="59"/>
        <v>2822120.93316788</v>
      </c>
      <c r="BA41">
        <f ca="1" t="shared" si="28"/>
        <v>0.9643</v>
      </c>
      <c r="BB41">
        <f ca="1">技能数计算!$AJ33</f>
        <v>0</v>
      </c>
      <c r="BC41" s="170">
        <f ca="1" t="shared" si="60"/>
        <v>2805837.88898952</v>
      </c>
      <c r="BE41">
        <f ca="1" t="shared" si="29"/>
        <v>105849</v>
      </c>
      <c r="BF41">
        <f ca="1" t="shared" si="30"/>
        <v>263581.06875</v>
      </c>
      <c r="BI41">
        <f ca="1" t="shared" si="31"/>
        <v>0.9543</v>
      </c>
      <c r="BJ41">
        <f ca="1">技能数计算!$AJ33</f>
        <v>0</v>
      </c>
      <c r="BK41">
        <f ca="1" t="shared" si="32"/>
        <v>2773482.95550352</v>
      </c>
      <c r="BM41">
        <f ca="1" t="shared" si="33"/>
        <v>109230</v>
      </c>
      <c r="BN41">
        <f ca="1" t="shared" si="34"/>
        <v>270744.5625</v>
      </c>
      <c r="BO41">
        <f ca="1" t="shared" si="35"/>
        <v>2807759.64434322</v>
      </c>
      <c r="BP41">
        <f ca="1" t="shared" si="36"/>
        <v>2677598.45391443</v>
      </c>
      <c r="BR41">
        <f ca="1" t="shared" si="37"/>
        <v>0.9543</v>
      </c>
      <c r="BS41">
        <f ca="1" t="shared" si="38"/>
        <v>2768405.01853197</v>
      </c>
      <c r="BT41">
        <f ca="1" t="shared" si="39"/>
        <v>0.196995876306796</v>
      </c>
      <c r="BU41">
        <f ca="1" t="shared" si="40"/>
        <v>2.3177566866</v>
      </c>
      <c r="BV41">
        <f ca="1" t="shared" si="61"/>
        <v>2830412.77563156</v>
      </c>
      <c r="BW41">
        <f ca="1" t="shared" si="41"/>
        <v>113027</v>
      </c>
      <c r="BX41">
        <f ca="1" t="shared" si="42"/>
        <v>278789.45625</v>
      </c>
      <c r="BY41">
        <f ca="1" t="shared" si="43"/>
        <v>0.9343</v>
      </c>
      <c r="BZ41">
        <f ca="1">技能数计算!$AJ33</f>
        <v>0</v>
      </c>
      <c r="CA41">
        <f ca="1" t="shared" si="44"/>
        <v>2.3216629366</v>
      </c>
      <c r="CB41">
        <f ca="1" t="shared" si="62"/>
        <v>2905419.16536356</v>
      </c>
      <c r="CC41">
        <f ca="1" t="shared" si="45"/>
        <v>114847</v>
      </c>
      <c r="CD41">
        <f ca="1" t="shared" si="46"/>
        <v>282645.58125</v>
      </c>
      <c r="CE41">
        <f ca="1" t="shared" si="47"/>
        <v>2842996.00348803</v>
      </c>
      <c r="CF41">
        <f ca="1" t="shared" si="48"/>
        <v>2.2689285616</v>
      </c>
      <c r="CG41">
        <f ca="1" t="shared" si="49"/>
        <v>0.9343</v>
      </c>
      <c r="CH41">
        <f ca="1" t="shared" si="63"/>
        <v>2700617.62275882</v>
      </c>
      <c r="CJ41">
        <f ca="1" t="shared" si="50"/>
        <v>270744.5625</v>
      </c>
      <c r="CK41">
        <f ca="1" t="shared" si="51"/>
        <v>2795040.64618181</v>
      </c>
      <c r="CL41">
        <f ca="1" t="shared" si="64"/>
        <v>2.2915848116</v>
      </c>
      <c r="CM41">
        <f ca="1">IF(G41="恒定伤害",0,(IF(D41="轻剑",$CM$8,$CM$9)+IFERROR(INDEX(技能数据库!$T$2:$W$27,MATCH(E41,技能数据库!$T$2:$T$27,0),4),0)+COUNTIF(G41,"*造化2*")*154+COUNTIF(G41,"*造化1*")*102+COUNTIF(G41,"*碧归*")*307)/1024)</f>
        <v>0.247180646929785</v>
      </c>
      <c r="CN41">
        <f ca="1" t="shared" si="65"/>
        <v>2865904.90534869</v>
      </c>
      <c r="CO41">
        <f ca="1" t="shared" si="66"/>
        <v>2.3156473116</v>
      </c>
      <c r="CP41">
        <f ca="1" t="shared" si="67"/>
        <v>2895102.03289433</v>
      </c>
      <c r="CQ41">
        <f ca="1" t="shared" si="52"/>
        <v>2.77157885480339</v>
      </c>
      <c r="CR41">
        <f ca="1">IF(G41="恒定伤害",0,(IF(D41="轻剑",$CR$8,$CR$9)+IFERROR(INDEX(技能数据库!$T$2:$W$27,MATCH(E41,技能数据库!$T$2:$T$27,0),4),0)+COUNTIF(G41,"*造化2*")*154+COUNTIF(G41,"*造化1*")*102+COUNTIF(G41,"*碧归*")*307)/1024)</f>
        <v>0.237415021929785</v>
      </c>
      <c r="CS41">
        <f ca="1" t="shared" si="68"/>
        <v>2712337.72727203</v>
      </c>
    </row>
    <row r="42" spans="4:97">
      <c r="D42" t="s">
        <v>1825</v>
      </c>
      <c r="E42" t="s">
        <v>2776</v>
      </c>
      <c r="G42" t="s">
        <v>3069</v>
      </c>
      <c r="H42">
        <f ca="1">INDEX(技能数据库!$B$2:$I$100,MATCH(阵眼收益计算!$E42,技能数据库!$B$2:$B$100,0),MATCH(H$9,技能数据库!$B$2:$I$2,0))</f>
        <v>281.5</v>
      </c>
      <c r="I42">
        <f ca="1">INDEX(技能数据库!$B$2:$I$100,MATCH(阵眼收益计算!$E42,技能数据库!$B$2:$B$100,0),MATCH(I$9,技能数据库!$B$2:$I$2,0))</f>
        <v>7.06875</v>
      </c>
      <c r="J42">
        <f ca="1">INDEX(技能数据库!$B$2:$I$100,MATCH(阵眼收益计算!$E42,技能数据库!$B$2:$B$100,0),MATCH(J$9,技能数据库!$B$2:$I$2,0))</f>
        <v>2</v>
      </c>
      <c r="K42">
        <f ca="1">INDEX(技能数据库!$B$2:$I$100,MATCH(阵眼收益计算!$E42,技能数据库!$B$2:$B$100,0),MATCH(K$9,技能数据库!$B$2:$I$2,0))</f>
        <v>0</v>
      </c>
      <c r="L42">
        <f ca="1" t="shared" si="13"/>
        <v>105847</v>
      </c>
      <c r="M42">
        <f ca="1" t="shared" si="73"/>
        <v>19530.5</v>
      </c>
      <c r="N42">
        <f ca="1" t="shared" si="74"/>
        <v>92028</v>
      </c>
      <c r="O42">
        <f ca="1" t="shared" si="53"/>
        <v>787548.48125</v>
      </c>
      <c r="P42">
        <f ca="1">IF(G42="恒定伤害",0,(IF(D42="轻剑",$AZ$2,$AZ$3)+IFERROR(INDEX(技能数据库!$T$2:$W$27,MATCH(E42,技能数据库!$T$2:$T$27,0),4),0)+COUNTIF(G42,"*造化2*")*154+COUNTIF(G42,"*造化1*")*102+COUNTIF(G42,"*碧归*")*307)/1024)</f>
        <v>0.337024396929785</v>
      </c>
      <c r="Q42">
        <f ca="1" t="shared" ref="Q42:Q73" si="82">IF(G42="恒定伤害",0,(IF(COUNTIF(F42,"*内破*")&gt;0,内破,IF(D42="轻剑",$AF$2,$AF$3)/破防系数))+IF((IF(D42="轻剑",$AO$2,$AO$3)+INT(COUNTIF(G42,"*大莺鸣*")*IF(D42="轻剑",$AM$2,$AM$3)*听晓无双率)/无双系数)&gt;0.9,(特效裤子破防+特效裤子破防*IF(D42="轻剑",$AD$2,$AD$3)/1024)/破防系数,0))</f>
        <v>0.448284482196154</v>
      </c>
      <c r="R42">
        <f ca="1" t="shared" si="54"/>
        <v>0.21277697966198</v>
      </c>
      <c r="S42">
        <f ca="1" t="shared" si="75"/>
        <v>1200516.94160105</v>
      </c>
      <c r="T42">
        <f t="shared" si="76"/>
        <v>0.8</v>
      </c>
      <c r="U42">
        <f ca="1" t="shared" ref="U42:U73" si="83">IF(G42="恒定伤害",0,(IF(D42="轻剑",$AO$2,$AO$3)+INT(COUNTIF(G42,"*大莺鸣*")*IF(D42="轻剑",$AM$2,$AM$3)*听晓无双率)/无双系数)+IF((IF(D42="轻剑",$AO$2,$AO$3)+INT(COUNTIF(G42,"*大莺鸣*")*IF(D42="轻剑",$AM$2,$AM$3)*听晓无双率)/无双系数)&lt;=0.9,特效裤子无双,0))</f>
        <v>1.7800129648</v>
      </c>
      <c r="V42">
        <f ca="1" t="shared" si="77"/>
        <v>2669962.12969036</v>
      </c>
      <c r="W42">
        <f ca="1">IF(G42="恒定伤害",0,MIN(1,IF(COUNTIF(F42,"*内会*")&gt;0,内会2,IF(D42="轻剑",$Y$2,$Y$3)+COUNTIF(G42,"*莺鸣*")*0.2+COUNTIF(G42,"*叠1*")*0.1+COUNTIF(G42,"*叠2*")*0.2+COUNTIF(G42,"*叠3*")*0.3)+IFERROR(INDEX(技能数据库!$T$2:$W$27,MATCH(E42,技能数据库!$T$2:$T$27,0),2),0)+IF((IF(D42="轻剑",$AO$2,$AO$3)+INT(COUNTIF(G42,"*大莺鸣*")*IF(D42="轻剑",$AM$2,$AM$3)*听晓无双率)/无双系数)&gt;0.9,特效裤子会心/会心系数,0)))</f>
        <v>0.7043</v>
      </c>
      <c r="X42">
        <f ca="1">IF(G42="恒定伤害",0,IF(COUNTIF(F42,"*内会*")&gt;0,内会效2,IF(D42="轻剑",$AB$2,$AB$3))+IFERROR(INDEX(技能数据库!$T$2:$W$27,MATCH(E42,技能数据库!$T$2:$T$27,0),3)/1024,0))+COUNTIF(G42,"*叠1*")*0.25+COUNTIF(G42,"*叠2*")*0.5+COUNTIF(G42,"*叠3*")*0.75</f>
        <v>2.1712723116</v>
      </c>
      <c r="Y42">
        <f ca="1" t="shared" si="78"/>
        <v>1.82492708905988</v>
      </c>
      <c r="Z42">
        <f t="shared" si="16"/>
        <v>0.150390625</v>
      </c>
      <c r="AA42">
        <f ca="1" t="shared" si="79"/>
        <v>0.0205078125</v>
      </c>
      <c r="AB42">
        <f ca="1" t="shared" si="80"/>
        <v>5720214.13639033</v>
      </c>
      <c r="AC42">
        <f ca="1">技能数计算!$AJ34</f>
        <v>12</v>
      </c>
      <c r="AD42" s="164">
        <f ca="1" t="shared" si="81"/>
        <v>0.0246093423564198</v>
      </c>
      <c r="AE42" s="168"/>
      <c r="AF42" s="168">
        <f ca="1" t="shared" si="17"/>
        <v>0.7057</v>
      </c>
      <c r="AG42">
        <f ca="1">技能数计算!$AJ34</f>
        <v>12</v>
      </c>
      <c r="AH42">
        <f ca="1" t="shared" si="18"/>
        <v>109879</v>
      </c>
      <c r="AJ42">
        <f ca="1" t="shared" si="55"/>
        <v>2.3704910616</v>
      </c>
      <c r="AK42">
        <f ca="1" t="shared" ref="AK42:AK73" si="84">H42+AH42*I42+J42*(238.5+M42)+IF(K42&gt;0,MAX(1,K42*N42*破招全局系数),0)</f>
        <v>816526.68125</v>
      </c>
      <c r="AL42">
        <f ca="1" t="shared" ref="AL42:AL73" si="85">IF(COUNTIF(G42,"*恒定伤害*")&gt;0,AB42,((AK42*(1+P42)*(1+IF(COUNTIF(F42,"*内破*")&gt;0,内破,IF(D42="轻剑",$AI$8,$AI$9)/破防系数)+IF((IF(D42="轻剑",$AO$2,$AO$3)+INT(COUNTIF(G42,"*大莺鸣*")*IF(D42="轻剑",$AM$2,$AM$3)*听晓无双率)/无双系数)&gt;0.9,(特效裤子破防+特效裤子破防*IF(D42="轻剑",$AD$2,$AD$3)/1024)/破防系数,0))*(1-R42))*T42*(1+U42))*(1+Z42)*(1+AA42)*(1+MIN(1,AF42)*(MIN(3+COUNTIF(G42,"*叠*")*0.75,AJ42)-1)))</f>
        <v>6394667.60219061</v>
      </c>
      <c r="AM42" s="169">
        <f ca="1" t="shared" si="20"/>
        <v>0.7272</v>
      </c>
      <c r="AN42">
        <f ca="1">技能数计算!$AJ34</f>
        <v>12</v>
      </c>
      <c r="AO42" s="170">
        <f ca="1" t="shared" ref="AO42:AO73" si="86">IF(COUNTIF(G42,"*恒定伤害*")&gt;0,AB42,((AK42*(1+P42)*(1+IF(COUNTIF(F42,"*内破*")&gt;0,内破,IF(D42="轻剑",$AI$8,$AI$9)/破防系数)+IF((IF(D42="轻剑",$AO$2,$AO$3)+INT(COUNTIF(G42,"*大莺鸣*")*IF(D42="轻剑",$AM$2,$AM$3)*听晓无双率)/无双系数)&gt;0.9,(特效裤子破防+特效裤子破防*IF(D42="轻剑",$AD$2,$AD$3)/1024)/破防系数,0))*(1-R42))*T42*(1+U42))*(1+Z42)*(1+AA42)*(1+MIN(1,AM42)*(MIN(3+COUNTIF(G42,"*叠*")*0.75,AJ42)-1)))</f>
        <v>6490451.81648422</v>
      </c>
      <c r="AP42">
        <f ca="1" t="shared" si="22"/>
        <v>110956</v>
      </c>
      <c r="AQ42" s="170">
        <f ca="1" t="shared" ref="AQ42:AQ73" si="87">H42+AP42*I42+J42*M42+IF(K42&gt;0,MAX(1,K42*N42*破招全局系数),0)</f>
        <v>823662.725</v>
      </c>
      <c r="AR42">
        <f ca="1" t="shared" ref="AR42:AR73" si="88">IF(COUNTIF(G42,"*恒定伤害*")&gt;0,AB42,((AQ42*(1+P42)*(1+IF(COUNTIF(F42,"*内破*")&gt;0,内破,IF(D42="轻剑",$AQ$8,$AQ$9)/破防系数)+IF((IF(D42="轻剑",$AO$2,$AO$3)+INT(COUNTIF(G42,"*大莺鸣*")*IF(D42="轻剑",$AM$2,$AM$3)*听晓无双率)/无双系数)&gt;0.9,(特效裤子破防+特效裤子破防*IF(D42="轻剑",$AD$2+200,$AD$3+200)/1024)/破防系数,0))*(1-R42))*T42*(1+U42))*Y42*(1+Z42)*(1+AA42))</f>
        <v>6333503.17659842</v>
      </c>
      <c r="AS42">
        <f ca="1" t="shared" si="24"/>
        <v>0.7843</v>
      </c>
      <c r="AT42">
        <f ca="1">技能数计算!$AJ34</f>
        <v>12</v>
      </c>
      <c r="AU42">
        <f ca="1" t="shared" si="25"/>
        <v>2.3177566866</v>
      </c>
      <c r="AV42">
        <f ca="1" t="shared" ref="AV42:AV73" si="89">IF(G42="恒定伤害",0,(IF(D42="轻剑",$AV$8,$AV$9)+INT(COUNTIF(G42,"*大莺鸣*")*IF(D42="轻剑",$AM$2,$AM$3)*听晓无双率)/无双系数))+IF((IF(G42="恒定伤害",0,(IF(D42="轻剑",$AV$8,$AV$9)+INT(COUNTIF(G42,"*大莺鸣*")*IF(D42="轻剑",$AM$2,$AM$3)*听晓无双率)/无双系数)))&lt;=0.9,特效裤子无双,0)</f>
        <v>1.7995442148</v>
      </c>
      <c r="AW42">
        <f ca="1" t="shared" si="58"/>
        <v>6418816.99994092</v>
      </c>
      <c r="AX42">
        <f ca="1" t="shared" si="27"/>
        <v>0.7743</v>
      </c>
      <c r="AY42">
        <f ca="1">技能数计算!$AJ34</f>
        <v>12</v>
      </c>
      <c r="AZ42" s="170">
        <f ca="1" t="shared" si="59"/>
        <v>6377221.86789514</v>
      </c>
      <c r="BA42">
        <f ca="1" t="shared" si="28"/>
        <v>0.7643</v>
      </c>
      <c r="BB42">
        <f ca="1">技能数计算!$AJ34</f>
        <v>12</v>
      </c>
      <c r="BC42" s="170">
        <f ca="1" t="shared" si="60"/>
        <v>6335626.73584935</v>
      </c>
      <c r="BE42">
        <f ca="1" t="shared" si="29"/>
        <v>105849</v>
      </c>
      <c r="BF42">
        <f ca="1" t="shared" ref="BF42:BF73" si="90">H42+BE42*I42+J42*M42+IF(K42&gt;0,MAX(1,K42*N42*破招全局系数),0)</f>
        <v>787562.61875</v>
      </c>
      <c r="BI42">
        <f ca="1" t="shared" si="31"/>
        <v>0.7543</v>
      </c>
      <c r="BJ42">
        <f ca="1">技能数计算!$AJ34</f>
        <v>12</v>
      </c>
      <c r="BK42">
        <f ca="1" t="shared" ref="BK42:BK73" si="91">IF(COUNTIF(G42,"*恒定伤害*")&gt;0,AB42,((BF42*(1+P42)*(1+IF(COUNTIF(F42,"*内破*")&gt;0,内破,IF(D42="轻剑",$BH$8,$BH$9)/破防系数)+IF((IF(D42="轻剑",$AO$2,$AO$3)+INT(COUNTIF(G42,"*大莺鸣*")*IF(D42="轻剑",$AM$2,$AM$3)*听晓无双率)/无双系数)&gt;0.9,(特效裤子破防+特效裤子破防*IF(D42="轻剑",$AD$2+204,$AD$3+204)/1024)/破防系数,0))*(1-R42))*T42*(1+AV42))*(1+MIN(1,BI42)*(MIN(3+COUNTIF(G42,"*叠*")*0.75,X42)-1))*(1+Z42)*(1+AA42))</f>
        <v>6301196.21341105</v>
      </c>
      <c r="BM42">
        <f ca="1" t="shared" si="33"/>
        <v>109230</v>
      </c>
      <c r="BN42">
        <f ca="1" t="shared" ref="BN42:BN73" si="92">H42+BM42*I42+J42*M42+IF(K42&gt;0,MAX(1,K42*N42*破招全局系数),0)</f>
        <v>811462.0625</v>
      </c>
      <c r="BO42">
        <f ca="1" t="shared" ref="BO42:BO73" si="93">IF(COUNTIF(G42,"*恒定伤害*")&gt;0,AB42,((BN42*(1+P42)*(1+IF(COUNTIF(F42,"*内破*")&gt;0,内破,IF(D42="轻剑",$BM$8,$BM$9)/破防系数)+IF((IF(D42="轻剑",$AO$2,$AO$3)+INT(COUNTIF(G42,"*大莺鸣*")*IF(D42="轻剑",$AM$2,$AM$3)*听晓无双率)/无双系数)&gt;0.9,(特效裤子破防+特效裤子破防*IF(D42="轻剑",$AD$2+102,$AD$3+102)/1024)/破防系数,0))*(1-R42))*T42*(1+U42))*Y42*(1+Z42)*(1+AA42))</f>
        <v>6365327.20981077</v>
      </c>
      <c r="BP42">
        <f ca="1" t="shared" ref="BP42:BP73" si="94">IF(COUNTIF(G42,"*恒定伤害*")&gt;0,AB42,((BN42*(1+P42)*(1+IF(COUNTIF(F42,"*内破*")&gt;0,内破,IF(D42="轻剑",$BQ$8,$BQ$9)/破防系数)+IF((IF(D42="轻剑",$AO$2,$AO$3)+INT(COUNTIF(G42,"*大莺鸣*")*IF(D42="轻剑",$AM$2,$AM$3)*听晓无双率)/无双系数)&gt;0.9,(特效裤子破防+特效裤子破防*IF(D42="轻剑",$AD$2+102,$AD$3+102)/1024)/破防系数,0))*(1-R42))*T42*(1+U42))*Y42*(1+Z42)*(1+AA42))</f>
        <v>6070245.48201156</v>
      </c>
      <c r="BR42">
        <f ca="1" t="shared" si="37"/>
        <v>0.7543</v>
      </c>
      <c r="BS42">
        <f ca="1" t="shared" ref="BS42:BS73" si="95">IF(COUNTIF(G42,"*恒定伤害*")&gt;0,AB42,((BN42*(1+P42)*(1+IF(COUNTIF(F42,"*内破*")&gt;0,内破,IF(D42="轻剑",$BQ$8,$BQ$9)/破防系数)+IF((IF(D42="轻剑",$AO$2,$AO$3)+INT(COUNTIF(G42,"*大莺鸣*")*IF(D42="轻剑",$AM$2,$AM$3)*听晓无双率)/无双系数)&gt;0.9,(特效裤子破防+特效裤子破防*IF(D42="轻剑",$AD$2+102,$AD$3+102)/1024)/破防系数,0))*(1-R42))*T42*(1+AV42))*(1+MIN(1,BR42)*(MIN(3+COUNTIF(G42,"*叠*")*0.75,X42)-1))*(1+Z42)*(1+AA42))</f>
        <v>6309061.01384167</v>
      </c>
      <c r="BT42">
        <f ca="1" t="shared" ref="BT42:BT73" si="96">IF(G42="恒定伤害",0,(($F$5-IF(D42="轻剑",$BB$2,$BB$3))*(1024-IF(D42="轻剑",$BD$2,$BD$3))/1024*(1024-IF(D42="轻剑",$BT$8,$BT$9)-COUNTIF(G42,"*雾锁*")*461*雾锁)/1024/(($F$5-IF(D42="轻剑",$BB$2,$BB$3))*(1024-IF(D42="轻剑",$BD$2,$BD$3))/1024*(1024-IF(D42="轻剑",$BT$8,$BT$9)-COUNTIF(G42,"*雾锁*")*461*雾锁)/1024+$F$7)))</f>
        <v>0.196995876306796</v>
      </c>
      <c r="BU42">
        <f ca="1" t="shared" si="40"/>
        <v>2.3177566866</v>
      </c>
      <c r="BV42">
        <f ca="1" t="shared" si="61"/>
        <v>6375414.11621722</v>
      </c>
      <c r="BW42">
        <f ca="1" t="shared" si="41"/>
        <v>113027</v>
      </c>
      <c r="BX42">
        <f ca="1" t="shared" ref="BX42:BX73" si="97">H42+BW42*I42+J42*M42+IF(K42&gt;0,MAX(1,K42*N42*破招全局系数),0)</f>
        <v>838302.10625</v>
      </c>
      <c r="BY42">
        <f ca="1" t="shared" si="43"/>
        <v>0.7343</v>
      </c>
      <c r="BZ42">
        <f ca="1">技能数计算!$AJ34</f>
        <v>12</v>
      </c>
      <c r="CA42">
        <f ca="1" t="shared" si="44"/>
        <v>2.3216629366</v>
      </c>
      <c r="CB42">
        <f ca="1" t="shared" si="62"/>
        <v>6574546.8861174</v>
      </c>
      <c r="CC42">
        <f ca="1" t="shared" si="45"/>
        <v>114847</v>
      </c>
      <c r="CD42">
        <f ca="1" t="shared" ref="CD42:CD73" si="98">H42+CC42*I42+J42*M42+IF(K42&gt;0,MAX(1,K42*N42*破招全局系数),0)</f>
        <v>851167.23125</v>
      </c>
      <c r="CE42">
        <f ca="1" t="shared" ref="CE42:CE73" si="99">IF(COUNTIF(G42,"*恒定伤害*")&gt;0,AB42,((CD42*(1+P42)*(1+IF(COUNTIF(F42,"*内破*")&gt;0,内破,IF(D42="轻剑",$BQ$8,$BQ$9)/破防系数)+IF((IF(D42="轻剑",$AO$2,$AO$3)+INT(COUNTIF(G42,"*大莺鸣*")*IF(D42="轻剑",$AM$2,$AM$3)*听晓无双率)/无双系数)&gt;0.9,(特效裤子破防+特效裤子破防*IF(D42="轻剑",$AD$2+102,$AD$3+102)/1024)/破防系数,0))*(1-R42))*T42*(1+U42))*(1+MIN(1,BY42)*(MIN(3+COUNTIF(G42,"*叠*")*0.75,X42)-1))*(1+Z42)*(1+AA42))</f>
        <v>6489863.95371267</v>
      </c>
      <c r="CF42">
        <f ca="1" t="shared" si="48"/>
        <v>2.2689285616</v>
      </c>
      <c r="CG42">
        <f ca="1" t="shared" si="49"/>
        <v>0.7343</v>
      </c>
      <c r="CH42">
        <f ca="1" t="shared" si="63"/>
        <v>6097666.24812347</v>
      </c>
      <c r="CJ42">
        <f ca="1" t="shared" ref="CJ42:CJ73" si="100">H42+BM42*I42+J42*M42+IF(K42&gt;0,MAX(1,K42*(N42+2667)*破招全局系数),0)</f>
        <v>811462.0625</v>
      </c>
      <c r="CK42">
        <f ca="1" t="shared" ref="CK42:CK73" si="101">IF(COUNTIF(G42,"*恒定伤害*")&gt;0,AB42,((CJ42*(1+P42)*(1+IF(COUNTIF(F42,"*内破*")&gt;0,内破,IF(D42="轻剑",$CI$8,$CI$9)/破防系数)+IF((IF(D42="轻剑",$AO$2,$AO$3)+INT(COUNTIF(G42,"*大莺鸣*")*IF(D42="轻剑",$AM$2,$AM$3)*听晓无双率)/无双系数)&gt;0.9,(特效裤子破防+特效裤子破防*IF(D42="轻剑",$AD$2+256,$AD$3+256)/1024)/破防系数,0))*(1-R42))*T42*(1+U42))*Y42*(1+Z42)*(1+AA42))</f>
        <v>6336492.62447102</v>
      </c>
      <c r="CL42">
        <f ca="1" t="shared" si="64"/>
        <v>2.2915848116</v>
      </c>
      <c r="CM42">
        <f ca="1">IF(G42="恒定伤害",0,(IF(D42="轻剑",$CM$8,$CM$9)+IFERROR(INDEX(技能数据库!$T$2:$W$27,MATCH(E42,技能数据库!$T$2:$T$27,0),4),0)+COUNTIF(G42,"*造化2*")*154+COUNTIF(G42,"*造化1*")*102+COUNTIF(G42,"*碧归*")*307)/1024)</f>
        <v>0.397571271929785</v>
      </c>
      <c r="CN42">
        <f ca="1" t="shared" si="65"/>
        <v>6428689.10473174</v>
      </c>
      <c r="CO42">
        <f ca="1" t="shared" si="66"/>
        <v>2.3156473116</v>
      </c>
      <c r="CP42">
        <f ca="1" t="shared" si="67"/>
        <v>6486987.44444926</v>
      </c>
      <c r="CQ42">
        <f ca="1" t="shared" ref="CQ42:CQ73" si="102">IF(G42="恒定伤害",0,(IF(D42="轻剑",$CQ$8,$CQ$9)+INT(COUNTIF(G42,"*大莺鸣*")*IF(D42="轻剑",$AM$2,$AM$3)*听晓无双率)/无双系数))+IF((IF(G42="恒定伤害",0,(IF(D42="轻剑",$CQ$8,$CQ$9)+INT(COUNTIF(G42,"*大莺鸣*")*IF(D42="轻剑",$AM$2,$AM$3)*听晓无双率)/无双系数)))&lt;=0.9,特效裤子无双,0)</f>
        <v>1.8815754648</v>
      </c>
      <c r="CR42">
        <f ca="1">IF(G42="恒定伤害",0,(IF(D42="轻剑",$CR$8,$CR$9)+IFERROR(INDEX(技能数据库!$T$2:$W$27,MATCH(E42,技能数据库!$T$2:$T$27,0),4),0)+COUNTIF(G42,"*造化2*")*154+COUNTIF(G42,"*造化1*")*102+COUNTIF(G42,"*碧归*")*307)/1024)</f>
        <v>0.387805646929785</v>
      </c>
      <c r="CS42">
        <f ca="1" t="shared" si="68"/>
        <v>6154386.71034409</v>
      </c>
    </row>
    <row r="43" spans="4:97">
      <c r="D43" t="s">
        <v>1825</v>
      </c>
      <c r="E43" t="s">
        <v>2776</v>
      </c>
      <c r="G43" t="s">
        <v>3070</v>
      </c>
      <c r="H43">
        <f ca="1">INDEX(技能数据库!$B$2:$I$100,MATCH(阵眼收益计算!$E43,技能数据库!$B$2:$B$100,0),MATCH(H$9,技能数据库!$B$2:$I$2,0))</f>
        <v>281.5</v>
      </c>
      <c r="I43">
        <f ca="1">INDEX(技能数据库!$B$2:$I$100,MATCH(阵眼收益计算!$E43,技能数据库!$B$2:$B$100,0),MATCH(I$9,技能数据库!$B$2:$I$2,0))</f>
        <v>7.06875</v>
      </c>
      <c r="J43">
        <f ca="1">INDEX(技能数据库!$B$2:$I$100,MATCH(阵眼收益计算!$E43,技能数据库!$B$2:$B$100,0),MATCH(J$9,技能数据库!$B$2:$I$2,0))</f>
        <v>2</v>
      </c>
      <c r="K43">
        <f ca="1">INDEX(技能数据库!$B$2:$I$100,MATCH(阵眼收益计算!$E43,技能数据库!$B$2:$B$100,0),MATCH(K$9,技能数据库!$B$2:$I$2,0))</f>
        <v>0</v>
      </c>
      <c r="L43">
        <f ca="1" t="shared" si="13"/>
        <v>105847</v>
      </c>
      <c r="M43">
        <f ca="1" t="shared" si="73"/>
        <v>19530.5</v>
      </c>
      <c r="N43">
        <f ca="1" t="shared" si="74"/>
        <v>92028</v>
      </c>
      <c r="O43">
        <f ca="1" t="shared" si="53"/>
        <v>787548.48125</v>
      </c>
      <c r="P43">
        <f ca="1">IF(G43="恒定伤害",0,(IF(D43="轻剑",$AZ$2,$AZ$3)+IFERROR(INDEX(技能数据库!$T$2:$W$27,MATCH(E43,技能数据库!$T$2:$T$27,0),4),0)+COUNTIF(G43,"*造化2*")*154+COUNTIF(G43,"*造化1*")*102+COUNTIF(G43,"*碧归*")*307)/1024)</f>
        <v>0.337024396929785</v>
      </c>
      <c r="Q43">
        <f ca="1" t="shared" si="82"/>
        <v>0.448284482196154</v>
      </c>
      <c r="R43">
        <f ca="1" t="shared" si="54"/>
        <v>0.21277697966198</v>
      </c>
      <c r="S43">
        <f ca="1" t="shared" si="75"/>
        <v>1200516.94160105</v>
      </c>
      <c r="T43">
        <f t="shared" si="76"/>
        <v>0.8</v>
      </c>
      <c r="U43">
        <f ca="1" t="shared" si="83"/>
        <v>2.67001635480339</v>
      </c>
      <c r="V43">
        <f ca="1" t="shared" si="77"/>
        <v>3524733.44791551</v>
      </c>
      <c r="W43">
        <f ca="1">IF(G43="恒定伤害",0,MIN(1,IF(COUNTIF(F43,"*内会*")&gt;0,内会2,IF(D43="轻剑",$Y$2,$Y$3)+COUNTIF(G43,"*莺鸣*")*0.2+COUNTIF(G43,"*叠1*")*0.1+COUNTIF(G43,"*叠2*")*0.2+COUNTIF(G43,"*叠3*")*0.3)+IFERROR(INDEX(技能数据库!$T$2:$W$27,MATCH(E43,技能数据库!$T$2:$T$27,0),2),0)+IF((IF(D43="轻剑",$AO$2,$AO$3)+INT(COUNTIF(G43,"*大莺鸣*")*IF(D43="轻剑",$AM$2,$AM$3)*听晓无双率)/无双系数)&gt;0.9,特效裤子会心/会心系数,0)))</f>
        <v>0.9043</v>
      </c>
      <c r="X43">
        <f ca="1">IF(G43="恒定伤害",0,IF(COUNTIF(F43,"*内会*")&gt;0,内会效2,IF(D43="轻剑",$AB$2,$AB$3))+IFERROR(INDEX(技能数据库!$T$2:$W$27,MATCH(E43,技能数据库!$T$2:$T$27,0),3)/1024,0))+COUNTIF(G43,"*叠1*")*0.25+COUNTIF(G43,"*叠2*")*0.5+COUNTIF(G43,"*叠3*")*0.75</f>
        <v>2.1712723116</v>
      </c>
      <c r="Y43">
        <f ca="1" t="shared" si="78"/>
        <v>2.05918155137988</v>
      </c>
      <c r="Z43">
        <f t="shared" si="16"/>
        <v>0.150390625</v>
      </c>
      <c r="AA43">
        <f ca="1" t="shared" si="79"/>
        <v>0.0205078125</v>
      </c>
      <c r="AB43">
        <f ca="1" t="shared" si="80"/>
        <v>8520843.44559651</v>
      </c>
      <c r="AC43">
        <f ca="1">技能数计算!$AJ35</f>
        <v>0</v>
      </c>
      <c r="AD43" s="164">
        <f ca="1" t="shared" si="81"/>
        <v>0</v>
      </c>
      <c r="AE43" s="168"/>
      <c r="AF43" s="168">
        <f ca="1" t="shared" si="17"/>
        <v>0.9057</v>
      </c>
      <c r="AG43">
        <f ca="1">技能数计算!$AJ35</f>
        <v>0</v>
      </c>
      <c r="AH43">
        <f ca="1" t="shared" si="18"/>
        <v>109879</v>
      </c>
      <c r="AJ43">
        <f ca="1" t="shared" si="55"/>
        <v>2.3704910616</v>
      </c>
      <c r="AK43">
        <f ca="1" t="shared" si="84"/>
        <v>816526.68125</v>
      </c>
      <c r="AL43">
        <f ca="1" t="shared" si="85"/>
        <v>9618148.59128594</v>
      </c>
      <c r="AM43" s="169">
        <f ca="1" t="shared" si="20"/>
        <v>0.9272</v>
      </c>
      <c r="AN43">
        <f ca="1">技能数计算!$AJ35</f>
        <v>0</v>
      </c>
      <c r="AO43" s="170">
        <f ca="1" t="shared" si="86"/>
        <v>9744597.50984874</v>
      </c>
      <c r="AP43">
        <f ca="1" t="shared" si="22"/>
        <v>110956</v>
      </c>
      <c r="AQ43" s="170">
        <f ca="1" t="shared" si="87"/>
        <v>823662.725</v>
      </c>
      <c r="AR43">
        <f ca="1" t="shared" si="88"/>
        <v>9434400.13664215</v>
      </c>
      <c r="AS43">
        <f ca="1" t="shared" si="24"/>
        <v>0.9843</v>
      </c>
      <c r="AT43">
        <f ca="1">技能数计算!$AJ35</f>
        <v>0</v>
      </c>
      <c r="AU43">
        <f ca="1" t="shared" si="25"/>
        <v>2.3177566866</v>
      </c>
      <c r="AV43">
        <f ca="1" t="shared" si="89"/>
        <v>2.68954760480339</v>
      </c>
      <c r="AW43">
        <f ca="1" t="shared" si="58"/>
        <v>9555796.6695427</v>
      </c>
      <c r="AX43">
        <f ca="1" t="shared" si="27"/>
        <v>0.9743</v>
      </c>
      <c r="AY43">
        <f ca="1">技能数计算!$AJ35</f>
        <v>0</v>
      </c>
      <c r="AZ43" s="170">
        <f ca="1" t="shared" si="59"/>
        <v>9500978.02477914</v>
      </c>
      <c r="BA43">
        <f ca="1" t="shared" si="28"/>
        <v>0.9643</v>
      </c>
      <c r="BB43">
        <f ca="1">技能数计算!$AJ35</f>
        <v>0</v>
      </c>
      <c r="BC43" s="170">
        <f ca="1" t="shared" si="60"/>
        <v>9446159.38001558</v>
      </c>
      <c r="BE43">
        <f ca="1" t="shared" si="29"/>
        <v>105849</v>
      </c>
      <c r="BF43">
        <f ca="1" t="shared" si="90"/>
        <v>787562.61875</v>
      </c>
      <c r="BI43">
        <f ca="1" t="shared" si="31"/>
        <v>0.9543</v>
      </c>
      <c r="BJ43">
        <f ca="1">技能数计算!$AJ35</f>
        <v>0</v>
      </c>
      <c r="BK43">
        <f ca="1" t="shared" si="91"/>
        <v>9337250.46754257</v>
      </c>
      <c r="BM43">
        <f ca="1" t="shared" si="33"/>
        <v>109230</v>
      </c>
      <c r="BN43">
        <f ca="1" t="shared" si="92"/>
        <v>811462.0625</v>
      </c>
      <c r="BO43">
        <f ca="1" t="shared" si="93"/>
        <v>9481805.28588033</v>
      </c>
      <c r="BP43">
        <f ca="1" t="shared" si="94"/>
        <v>9042250.90097755</v>
      </c>
      <c r="BR43">
        <f ca="1" t="shared" si="37"/>
        <v>0.9543</v>
      </c>
      <c r="BS43">
        <f ca="1" t="shared" si="95"/>
        <v>9348904.70096283</v>
      </c>
      <c r="BT43">
        <f ca="1" t="shared" si="96"/>
        <v>0.196995876306796</v>
      </c>
      <c r="BU43">
        <f ca="1" t="shared" si="40"/>
        <v>2.3177566866</v>
      </c>
      <c r="BV43">
        <f ca="1" t="shared" si="61"/>
        <v>9528893.41710212</v>
      </c>
      <c r="BW43">
        <f ca="1" t="shared" si="41"/>
        <v>113027</v>
      </c>
      <c r="BX43">
        <f ca="1" t="shared" si="97"/>
        <v>838302.10625</v>
      </c>
      <c r="BY43">
        <f ca="1" t="shared" si="43"/>
        <v>0.9343</v>
      </c>
      <c r="BZ43">
        <f ca="1">技能数计算!$AJ35</f>
        <v>0</v>
      </c>
      <c r="CA43">
        <f ca="1" t="shared" si="44"/>
        <v>2.3216629366</v>
      </c>
      <c r="CB43">
        <f ca="1" t="shared" si="62"/>
        <v>9843638.06870916</v>
      </c>
      <c r="CC43">
        <f ca="1" t="shared" si="45"/>
        <v>114847</v>
      </c>
      <c r="CD43">
        <f ca="1" t="shared" si="98"/>
        <v>851167.23125</v>
      </c>
      <c r="CE43">
        <f ca="1" t="shared" si="99"/>
        <v>9646540.05842126</v>
      </c>
      <c r="CF43">
        <f ca="1" t="shared" si="48"/>
        <v>2.2689285616</v>
      </c>
      <c r="CG43">
        <f ca="1" t="shared" si="49"/>
        <v>0.9343</v>
      </c>
      <c r="CH43">
        <f ca="1" t="shared" si="63"/>
        <v>9091923.87385066</v>
      </c>
      <c r="CJ43">
        <f ca="1" t="shared" si="100"/>
        <v>811462.0625</v>
      </c>
      <c r="CK43">
        <f ca="1" t="shared" si="101"/>
        <v>9438853.22470911</v>
      </c>
      <c r="CL43">
        <f ca="1" t="shared" si="64"/>
        <v>2.2915848116</v>
      </c>
      <c r="CM43">
        <f ca="1">IF(G43="恒定伤害",0,(IF(D43="轻剑",$CM$8,$CM$9)+IFERROR(INDEX(技能数据库!$T$2:$W$27,MATCH(E43,技能数据库!$T$2:$T$27,0),4),0)+COUNTIF(G43,"*造化2*")*154+COUNTIF(G43,"*造化1*")*102+COUNTIF(G43,"*碧归*")*307)/1024)</f>
        <v>0.397571271929785</v>
      </c>
      <c r="CN43">
        <f ca="1" t="shared" si="65"/>
        <v>9595695.17486514</v>
      </c>
      <c r="CO43">
        <f ca="1" t="shared" si="66"/>
        <v>2.3156473116</v>
      </c>
      <c r="CP43">
        <f ca="1" t="shared" si="67"/>
        <v>9693453.73460895</v>
      </c>
      <c r="CQ43">
        <f ca="1" t="shared" si="102"/>
        <v>2.77157885480339</v>
      </c>
      <c r="CR43">
        <f ca="1">IF(G43="恒定伤害",0,(IF(D43="轻剑",$CR$8,$CR$9)+IFERROR(INDEX(技能数据库!$T$2:$W$27,MATCH(E43,技能数据库!$T$2:$T$27,0),4),0)+COUNTIF(G43,"*造化2*")*154+COUNTIF(G43,"*造化1*")*102+COUNTIF(G43,"*碧归*")*307)/1024)</f>
        <v>0.387805646929785</v>
      </c>
      <c r="CS43">
        <f ca="1" t="shared" si="68"/>
        <v>9089230.07742945</v>
      </c>
    </row>
    <row r="44" spans="4:97">
      <c r="D44" t="s">
        <v>1825</v>
      </c>
      <c r="E44" t="s">
        <v>2780</v>
      </c>
      <c r="G44" t="s">
        <v>3157</v>
      </c>
      <c r="H44">
        <f ca="1">INDEX(技能数据库!$B$2:$I$100,MATCH(阵眼收益计算!$E44,技能数据库!$B$2:$B$100,0),MATCH(H$9,技能数据库!$B$2:$I$2,0))</f>
        <v>252.5</v>
      </c>
      <c r="I44">
        <f ca="1">INDEX(技能数据库!$B$2:$I$100,MATCH(阵眼收益计算!$E44,技能数据库!$B$2:$B$100,0),MATCH(I$9,技能数据库!$B$2:$I$2,0))</f>
        <v>2.11875</v>
      </c>
      <c r="J44">
        <f ca="1">INDEX(技能数据库!$B$2:$I$100,MATCH(阵眼收益计算!$E44,技能数据库!$B$2:$B$100,0),MATCH(J$9,技能数据库!$B$2:$I$2,0))</f>
        <v>2</v>
      </c>
      <c r="K44">
        <f ca="1">INDEX(技能数据库!$B$2:$I$100,MATCH(阵眼收益计算!$E44,技能数据库!$B$2:$B$100,0),MATCH(K$9,技能数据库!$B$2:$I$2,0))</f>
        <v>0</v>
      </c>
      <c r="L44">
        <f ca="1" t="shared" si="13"/>
        <v>105847</v>
      </c>
      <c r="M44">
        <f ca="1" t="shared" si="73"/>
        <v>19530.5</v>
      </c>
      <c r="N44">
        <f ca="1" t="shared" si="74"/>
        <v>92028</v>
      </c>
      <c r="O44">
        <f ca="1" t="shared" si="53"/>
        <v>263576.83125</v>
      </c>
      <c r="P44">
        <f ca="1">IF(G44="恒定伤害",0,(IF(D44="轻剑",$AZ$2,$AZ$3)+IFERROR(INDEX(技能数据库!$T$2:$W$27,MATCH(E44,技能数据库!$T$2:$T$27,0),4),0)+COUNTIF(G44,"*造化2*")*154+COUNTIF(G44,"*造化1*")*102+COUNTIF(G44,"*碧归*")*307)/1024)</f>
        <v>0.337024396929785</v>
      </c>
      <c r="Q44">
        <f ca="1" t="shared" si="82"/>
        <v>0.448284482196154</v>
      </c>
      <c r="R44">
        <f ca="1" t="shared" si="54"/>
        <v>0.21277697966198</v>
      </c>
      <c r="S44">
        <f ca="1" t="shared" si="75"/>
        <v>401789.170905274</v>
      </c>
      <c r="T44">
        <f t="shared" si="76"/>
        <v>0.8</v>
      </c>
      <c r="U44">
        <f ca="1" t="shared" si="83"/>
        <v>1.7800129648</v>
      </c>
      <c r="V44">
        <f ca="1" t="shared" si="77"/>
        <v>893583.283386323</v>
      </c>
      <c r="W44">
        <f ca="1">IF(G44="恒定伤害",0,MIN(1,IF(COUNTIF(F44,"*内会*")&gt;0,内会2,IF(D44="轻剑",$Y$2,$Y$3)+COUNTIF(G44,"*莺鸣*")*0.2+COUNTIF(G44,"*叠1*")*0.1+COUNTIF(G44,"*叠2*")*0.2+COUNTIF(G44,"*叠3*")*0.3)+IFERROR(INDEX(技能数据库!$T$2:$W$27,MATCH(E44,技能数据库!$T$2:$T$27,0),2),0)+IF((IF(D44="轻剑",$AO$2,$AO$3)+INT(COUNTIF(G44,"*大莺鸣*")*IF(D44="轻剑",$AM$2,$AM$3)*听晓无双率)/无双系数)&gt;0.9,特效裤子会心/会心系数,0)))</f>
        <v>0.7043</v>
      </c>
      <c r="X44">
        <f ca="1">IF(G44="恒定伤害",0,IF(COUNTIF(F44,"*内会*")&gt;0,内会效2,IF(D44="轻剑",$AB$2,$AB$3))+IFERROR(INDEX(技能数据库!$T$2:$W$27,MATCH(E44,技能数据库!$T$2:$T$27,0),3)/1024,0))+COUNTIF(G44,"*叠1*")*0.25+COUNTIF(G44,"*叠2*")*0.5+COUNTIF(G44,"*叠3*")*0.75</f>
        <v>2.1712723116</v>
      </c>
      <c r="Y44">
        <f ca="1" t="shared" si="78"/>
        <v>1.82492708905988</v>
      </c>
      <c r="Z44">
        <f t="shared" si="16"/>
        <v>0.150390625</v>
      </c>
      <c r="AA44">
        <f ca="1" t="shared" si="79"/>
        <v>0.0205078125</v>
      </c>
      <c r="AB44">
        <f ca="1" t="shared" si="80"/>
        <v>1914442.03377571</v>
      </c>
      <c r="AC44">
        <f ca="1">技能数计算!$AJ36</f>
        <v>12</v>
      </c>
      <c r="AD44" s="164">
        <f ca="1" t="shared" si="81"/>
        <v>0.00823625799792824</v>
      </c>
      <c r="AE44" s="168"/>
      <c r="AF44" s="168">
        <f ca="1" t="shared" si="17"/>
        <v>0.7057</v>
      </c>
      <c r="AG44">
        <f ca="1">技能数计算!$AJ36</f>
        <v>12</v>
      </c>
      <c r="AH44">
        <f ca="1" t="shared" si="18"/>
        <v>109879</v>
      </c>
      <c r="AJ44">
        <f ca="1" t="shared" si="55"/>
        <v>2.3704910616</v>
      </c>
      <c r="AK44">
        <f ca="1" t="shared" si="84"/>
        <v>272596.63125</v>
      </c>
      <c r="AL44">
        <f ca="1" t="shared" si="85"/>
        <v>2134853.50368724</v>
      </c>
      <c r="AM44" s="169">
        <f ca="1" t="shared" si="20"/>
        <v>0.7272</v>
      </c>
      <c r="AN44">
        <f ca="1">技能数计算!$AJ36</f>
        <v>12</v>
      </c>
      <c r="AO44" s="170">
        <f ca="1" t="shared" si="86"/>
        <v>2166830.96963286</v>
      </c>
      <c r="AP44">
        <f ca="1" t="shared" si="22"/>
        <v>110956</v>
      </c>
      <c r="AQ44" s="170">
        <f ca="1" t="shared" si="87"/>
        <v>274401.525</v>
      </c>
      <c r="AR44">
        <f ca="1" t="shared" si="88"/>
        <v>2109993.42024486</v>
      </c>
      <c r="AS44">
        <f ca="1" t="shared" si="24"/>
        <v>0.7843</v>
      </c>
      <c r="AT44">
        <f ca="1">技能数计算!$AJ36</f>
        <v>12</v>
      </c>
      <c r="AU44">
        <f ca="1" t="shared" si="25"/>
        <v>2.3177566866</v>
      </c>
      <c r="AV44">
        <f ca="1" t="shared" si="89"/>
        <v>1.7995442148</v>
      </c>
      <c r="AW44">
        <f ca="1" t="shared" si="58"/>
        <v>2148250.5337738</v>
      </c>
      <c r="AX44">
        <f ca="1" t="shared" si="27"/>
        <v>0.7743</v>
      </c>
      <c r="AY44">
        <f ca="1">技能数计算!$AJ36</f>
        <v>12</v>
      </c>
      <c r="AZ44" s="170">
        <f ca="1" t="shared" si="59"/>
        <v>2134329.46940625</v>
      </c>
      <c r="BA44">
        <f ca="1" t="shared" si="28"/>
        <v>0.7643</v>
      </c>
      <c r="BB44">
        <f ca="1">技能数计算!$AJ36</f>
        <v>12</v>
      </c>
      <c r="BC44" s="170">
        <f ca="1" t="shared" si="60"/>
        <v>2120408.40503869</v>
      </c>
      <c r="BE44">
        <f ca="1" t="shared" si="29"/>
        <v>105849</v>
      </c>
      <c r="BF44">
        <f ca="1" t="shared" si="90"/>
        <v>263581.06875</v>
      </c>
      <c r="BI44">
        <f ca="1" t="shared" si="31"/>
        <v>0.7543</v>
      </c>
      <c r="BJ44">
        <f ca="1">技能数计算!$AJ36</f>
        <v>12</v>
      </c>
      <c r="BK44">
        <f ca="1" t="shared" si="91"/>
        <v>2108881.24041545</v>
      </c>
      <c r="BM44">
        <f ca="1" t="shared" si="33"/>
        <v>109230</v>
      </c>
      <c r="BN44">
        <f ca="1" t="shared" si="92"/>
        <v>270744.5625</v>
      </c>
      <c r="BO44">
        <f ca="1" t="shared" si="93"/>
        <v>2123793.3481204</v>
      </c>
      <c r="BP44">
        <f ca="1" t="shared" si="94"/>
        <v>2025339.24042176</v>
      </c>
      <c r="BR44">
        <f ca="1" t="shared" si="37"/>
        <v>0.7543</v>
      </c>
      <c r="BS44">
        <f ca="1" t="shared" si="95"/>
        <v>2105020.11482314</v>
      </c>
      <c r="BT44">
        <f ca="1" t="shared" si="96"/>
        <v>0.196995876306796</v>
      </c>
      <c r="BU44">
        <f ca="1" t="shared" si="40"/>
        <v>2.3177566866</v>
      </c>
      <c r="BV44">
        <f ca="1" t="shared" si="61"/>
        <v>2133724.45083241</v>
      </c>
      <c r="BW44">
        <f ca="1" t="shared" si="41"/>
        <v>113027</v>
      </c>
      <c r="BX44">
        <f ca="1" t="shared" si="97"/>
        <v>278789.45625</v>
      </c>
      <c r="BY44">
        <f ca="1" t="shared" si="43"/>
        <v>0.7343</v>
      </c>
      <c r="BZ44">
        <f ca="1">技能数计算!$AJ36</f>
        <v>12</v>
      </c>
      <c r="CA44">
        <f ca="1" t="shared" si="44"/>
        <v>2.3216629366</v>
      </c>
      <c r="CB44">
        <f ca="1" t="shared" si="62"/>
        <v>2186460.39155267</v>
      </c>
      <c r="CC44">
        <f ca="1" t="shared" si="45"/>
        <v>114847</v>
      </c>
      <c r="CD44">
        <f ca="1" t="shared" si="98"/>
        <v>282645.58125</v>
      </c>
      <c r="CE44">
        <f ca="1" t="shared" si="99"/>
        <v>2155077.52423304</v>
      </c>
      <c r="CF44">
        <f ca="1" t="shared" si="48"/>
        <v>2.2689285616</v>
      </c>
      <c r="CG44">
        <f ca="1" t="shared" si="49"/>
        <v>0.7343</v>
      </c>
      <c r="CH44">
        <f ca="1" t="shared" si="63"/>
        <v>2040767.75711573</v>
      </c>
      <c r="CJ44">
        <f ca="1" t="shared" si="100"/>
        <v>270744.5625</v>
      </c>
      <c r="CK44">
        <f ca="1" t="shared" si="101"/>
        <v>2114172.68000361</v>
      </c>
      <c r="CL44">
        <f ca="1" t="shared" si="64"/>
        <v>2.2915848116</v>
      </c>
      <c r="CM44">
        <f ca="1">IF(G44="恒定伤害",0,(IF(D44="轻剑",$CM$8,$CM$9)+IFERROR(INDEX(技能数据库!$T$2:$W$27,MATCH(E44,技能数据库!$T$2:$T$27,0),4),0)+COUNTIF(G44,"*造化2*")*154+COUNTIF(G44,"*造化1*")*102+COUNTIF(G44,"*碧归*")*307)/1024)</f>
        <v>0.397571271929785</v>
      </c>
      <c r="CN44">
        <f ca="1" t="shared" si="65"/>
        <v>2151554.53112823</v>
      </c>
      <c r="CO44">
        <f ca="1" t="shared" si="66"/>
        <v>2.3156473116</v>
      </c>
      <c r="CP44">
        <f ca="1" t="shared" si="67"/>
        <v>2171065.82727788</v>
      </c>
      <c r="CQ44">
        <f ca="1" t="shared" si="102"/>
        <v>1.8815754648</v>
      </c>
      <c r="CR44">
        <f ca="1">IF(G44="恒定伤害",0,(IF(D44="轻剑",$CR$8,$CR$9)+IFERROR(INDEX(技能数据库!$T$2:$W$27,MATCH(E44,技能数据库!$T$2:$T$27,0),4),0)+COUNTIF(G44,"*造化2*")*154+COUNTIF(G44,"*造化1*")*102+COUNTIF(G44,"*碧归*")*307)/1024)</f>
        <v>0.387805646929785</v>
      </c>
      <c r="CS44">
        <f ca="1" t="shared" si="68"/>
        <v>2059750.96901326</v>
      </c>
    </row>
    <row r="45" spans="4:97">
      <c r="D45" t="s">
        <v>1825</v>
      </c>
      <c r="E45" t="s">
        <v>2780</v>
      </c>
      <c r="G45" t="s">
        <v>3070</v>
      </c>
      <c r="H45">
        <f ca="1">INDEX(技能数据库!$B$2:$I$100,MATCH(阵眼收益计算!$E45,技能数据库!$B$2:$B$100,0),MATCH(H$9,技能数据库!$B$2:$I$2,0))</f>
        <v>252.5</v>
      </c>
      <c r="I45">
        <f ca="1">INDEX(技能数据库!$B$2:$I$100,MATCH(阵眼收益计算!$E45,技能数据库!$B$2:$B$100,0),MATCH(I$9,技能数据库!$B$2:$I$2,0))</f>
        <v>2.11875</v>
      </c>
      <c r="J45">
        <f ca="1">INDEX(技能数据库!$B$2:$I$100,MATCH(阵眼收益计算!$E45,技能数据库!$B$2:$B$100,0),MATCH(J$9,技能数据库!$B$2:$I$2,0))</f>
        <v>2</v>
      </c>
      <c r="K45">
        <f ca="1">INDEX(技能数据库!$B$2:$I$100,MATCH(阵眼收益计算!$E45,技能数据库!$B$2:$B$100,0),MATCH(K$9,技能数据库!$B$2:$I$2,0))</f>
        <v>0</v>
      </c>
      <c r="L45">
        <f ca="1" t="shared" si="13"/>
        <v>105847</v>
      </c>
      <c r="M45">
        <f ca="1" t="shared" si="73"/>
        <v>19530.5</v>
      </c>
      <c r="N45">
        <f ca="1" t="shared" si="74"/>
        <v>92028</v>
      </c>
      <c r="O45">
        <f ca="1" t="shared" si="53"/>
        <v>263576.83125</v>
      </c>
      <c r="P45">
        <f ca="1">IF(G45="恒定伤害",0,(IF(D45="轻剑",$AZ$2,$AZ$3)+IFERROR(INDEX(技能数据库!$T$2:$W$27,MATCH(E45,技能数据库!$T$2:$T$27,0),4),0)+COUNTIF(G45,"*造化2*")*154+COUNTIF(G45,"*造化1*")*102+COUNTIF(G45,"*碧归*")*307)/1024)</f>
        <v>0.337024396929785</v>
      </c>
      <c r="Q45">
        <f ca="1" t="shared" si="82"/>
        <v>0.448284482196154</v>
      </c>
      <c r="R45">
        <f ca="1" t="shared" si="54"/>
        <v>0.21277697966198</v>
      </c>
      <c r="S45">
        <f ca="1" t="shared" si="75"/>
        <v>401789.170905274</v>
      </c>
      <c r="T45">
        <f t="shared" si="76"/>
        <v>0.8</v>
      </c>
      <c r="U45">
        <f ca="1" t="shared" si="83"/>
        <v>2.67001635480339</v>
      </c>
      <c r="V45">
        <f ca="1" t="shared" si="77"/>
        <v>1179658.2627242</v>
      </c>
      <c r="W45">
        <f ca="1">IF(G45="恒定伤害",0,MIN(1,IF(COUNTIF(F45,"*内会*")&gt;0,内会2,IF(D45="轻剑",$Y$2,$Y$3)+COUNTIF(G45,"*莺鸣*")*0.2+COUNTIF(G45,"*叠1*")*0.1+COUNTIF(G45,"*叠2*")*0.2+COUNTIF(G45,"*叠3*")*0.3)+IFERROR(INDEX(技能数据库!$T$2:$W$27,MATCH(E45,技能数据库!$T$2:$T$27,0),2),0)+IF((IF(D45="轻剑",$AO$2,$AO$3)+INT(COUNTIF(G45,"*大莺鸣*")*IF(D45="轻剑",$AM$2,$AM$3)*听晓无双率)/无双系数)&gt;0.9,特效裤子会心/会心系数,0)))</f>
        <v>0.9043</v>
      </c>
      <c r="X45">
        <f ca="1">IF(G45="恒定伤害",0,IF(COUNTIF(F45,"*内会*")&gt;0,内会效2,IF(D45="轻剑",$AB$2,$AB$3))+IFERROR(INDEX(技能数据库!$T$2:$W$27,MATCH(E45,技能数据库!$T$2:$T$27,0),3)/1024,0))+COUNTIF(G45,"*叠1*")*0.25+COUNTIF(G45,"*叠2*")*0.5+COUNTIF(G45,"*叠3*")*0.75</f>
        <v>2.1712723116</v>
      </c>
      <c r="Y45">
        <f ca="1" t="shared" si="78"/>
        <v>2.05918155137988</v>
      </c>
      <c r="Z45">
        <f t="shared" si="16"/>
        <v>0.150390625</v>
      </c>
      <c r="AA45">
        <f ca="1" t="shared" si="79"/>
        <v>0.0205078125</v>
      </c>
      <c r="AB45">
        <f ca="1" t="shared" si="80"/>
        <v>2851757.02631407</v>
      </c>
      <c r="AC45">
        <f ca="1">技能数计算!$AJ37</f>
        <v>0</v>
      </c>
      <c r="AD45" s="164">
        <f ca="1" t="shared" si="81"/>
        <v>0</v>
      </c>
      <c r="AE45" s="168"/>
      <c r="AF45" s="168">
        <f ca="1" t="shared" si="17"/>
        <v>0.9057</v>
      </c>
      <c r="AG45">
        <f ca="1">技能数计算!$AJ37</f>
        <v>0</v>
      </c>
      <c r="AH45">
        <f ca="1" t="shared" si="18"/>
        <v>109879</v>
      </c>
      <c r="AJ45">
        <f ca="1" t="shared" si="55"/>
        <v>2.3704910616</v>
      </c>
      <c r="AK45">
        <f ca="1" t="shared" si="84"/>
        <v>272596.63125</v>
      </c>
      <c r="AL45">
        <f ca="1" t="shared" si="85"/>
        <v>3211009.46858555</v>
      </c>
      <c r="AM45" s="169">
        <f ca="1" t="shared" si="20"/>
        <v>0.9272</v>
      </c>
      <c r="AN45">
        <f ca="1">技能数计算!$AJ37</f>
        <v>0</v>
      </c>
      <c r="AO45" s="170">
        <f ca="1" t="shared" si="86"/>
        <v>3253224.31595912</v>
      </c>
      <c r="AP45">
        <f ca="1" t="shared" si="22"/>
        <v>110956</v>
      </c>
      <c r="AQ45" s="170">
        <f ca="1" t="shared" si="87"/>
        <v>274401.525</v>
      </c>
      <c r="AR45">
        <f ca="1" t="shared" si="88"/>
        <v>3143050.79783089</v>
      </c>
      <c r="AS45">
        <f ca="1" t="shared" si="24"/>
        <v>0.9843</v>
      </c>
      <c r="AT45">
        <f ca="1">技能数计算!$AJ37</f>
        <v>0</v>
      </c>
      <c r="AU45">
        <f ca="1" t="shared" si="25"/>
        <v>2.3177566866</v>
      </c>
      <c r="AV45">
        <f ca="1" t="shared" si="89"/>
        <v>2.68954760480339</v>
      </c>
      <c r="AW45">
        <f ca="1" t="shared" si="58"/>
        <v>3198135.31000618</v>
      </c>
      <c r="AX45">
        <f ca="1" t="shared" si="27"/>
        <v>0.9743</v>
      </c>
      <c r="AY45">
        <f ca="1">技能数计算!$AJ37</f>
        <v>0</v>
      </c>
      <c r="AZ45" s="170">
        <f ca="1" t="shared" si="59"/>
        <v>3179788.59863006</v>
      </c>
      <c r="BA45">
        <f ca="1" t="shared" si="28"/>
        <v>0.9643</v>
      </c>
      <c r="BB45">
        <f ca="1">技能数计算!$AJ37</f>
        <v>0</v>
      </c>
      <c r="BC45" s="170">
        <f ca="1" t="shared" si="60"/>
        <v>3161441.88725394</v>
      </c>
      <c r="BE45">
        <f ca="1" t="shared" si="29"/>
        <v>105849</v>
      </c>
      <c r="BF45">
        <f ca="1" t="shared" si="90"/>
        <v>263581.06875</v>
      </c>
      <c r="BI45">
        <f ca="1" t="shared" si="31"/>
        <v>0.9543</v>
      </c>
      <c r="BJ45">
        <f ca="1">技能数计算!$AJ37</f>
        <v>0</v>
      </c>
      <c r="BK45">
        <f ca="1" t="shared" si="91"/>
        <v>3124986.38054653</v>
      </c>
      <c r="BM45">
        <f ca="1" t="shared" si="33"/>
        <v>109230</v>
      </c>
      <c r="BN45">
        <f ca="1" t="shared" si="92"/>
        <v>270744.5625</v>
      </c>
      <c r="BO45">
        <f ca="1" t="shared" si="93"/>
        <v>3163607.20047323</v>
      </c>
      <c r="BP45">
        <f ca="1" t="shared" si="94"/>
        <v>3016949.74705043</v>
      </c>
      <c r="BR45">
        <f ca="1" t="shared" si="37"/>
        <v>0.9543</v>
      </c>
      <c r="BS45">
        <f ca="1" t="shared" si="95"/>
        <v>3119264.8801328</v>
      </c>
      <c r="BT45">
        <f ca="1" t="shared" si="96"/>
        <v>0.196995876306796</v>
      </c>
      <c r="BU45">
        <f ca="1" t="shared" si="40"/>
        <v>2.3177566866</v>
      </c>
      <c r="BV45">
        <f ca="1" t="shared" si="61"/>
        <v>3189131.32587387</v>
      </c>
      <c r="BW45">
        <f ca="1" t="shared" si="41"/>
        <v>113027</v>
      </c>
      <c r="BX45">
        <f ca="1" t="shared" si="97"/>
        <v>278789.45625</v>
      </c>
      <c r="BY45">
        <f ca="1" t="shared" si="43"/>
        <v>0.9343</v>
      </c>
      <c r="BZ45">
        <f ca="1">技能数计算!$AJ37</f>
        <v>0</v>
      </c>
      <c r="CA45">
        <f ca="1" t="shared" si="44"/>
        <v>2.3216629366</v>
      </c>
      <c r="CB45">
        <f ca="1" t="shared" si="62"/>
        <v>3273643.8143683</v>
      </c>
      <c r="CC45">
        <f ca="1" t="shared" si="45"/>
        <v>114847</v>
      </c>
      <c r="CD45">
        <f ca="1" t="shared" si="98"/>
        <v>282645.58125</v>
      </c>
      <c r="CE45">
        <f ca="1" t="shared" si="99"/>
        <v>3203309.31661896</v>
      </c>
      <c r="CF45">
        <f ca="1" t="shared" si="48"/>
        <v>2.2689285616</v>
      </c>
      <c r="CG45">
        <f ca="1" t="shared" si="49"/>
        <v>0.9343</v>
      </c>
      <c r="CH45">
        <f ca="1" t="shared" si="63"/>
        <v>3042886.30057692</v>
      </c>
      <c r="CJ45">
        <f ca="1" t="shared" si="100"/>
        <v>270744.5625</v>
      </c>
      <c r="CK45">
        <f ca="1" t="shared" si="101"/>
        <v>3149276.23227682</v>
      </c>
      <c r="CL45">
        <f ca="1" t="shared" si="64"/>
        <v>2.2915848116</v>
      </c>
      <c r="CM45">
        <f ca="1">IF(G45="恒定伤害",0,(IF(D45="轻剑",$CM$8,$CM$9)+IFERROR(INDEX(技能数据库!$T$2:$W$27,MATCH(E45,技能数据库!$T$2:$T$27,0),4),0)+COUNTIF(G45,"*造化2*")*154+COUNTIF(G45,"*造化1*")*102+COUNTIF(G45,"*碧归*")*307)/1024)</f>
        <v>0.397571271929785</v>
      </c>
      <c r="CN45">
        <f ca="1" t="shared" si="65"/>
        <v>3211488.54711459</v>
      </c>
      <c r="CO45">
        <f ca="1" t="shared" si="66"/>
        <v>2.3156473116</v>
      </c>
      <c r="CP45">
        <f ca="1" t="shared" si="67"/>
        <v>3244206.39499101</v>
      </c>
      <c r="CQ45">
        <f ca="1" t="shared" si="102"/>
        <v>2.77157885480339</v>
      </c>
      <c r="CR45">
        <f ca="1">IF(G45="恒定伤害",0,(IF(D45="轻剑",$CR$8,$CR$9)+IFERROR(INDEX(技能数据库!$T$2:$W$27,MATCH(E45,技能数据库!$T$2:$T$27,0),4),0)+COUNTIF(G45,"*造化2*")*154+COUNTIF(G45,"*造化1*")*102+COUNTIF(G45,"*碧归*")*307)/1024)</f>
        <v>0.387805646929785</v>
      </c>
      <c r="CS45">
        <f ca="1" t="shared" si="68"/>
        <v>3041984.74042965</v>
      </c>
    </row>
    <row r="46" spans="4:97">
      <c r="D46" t="s">
        <v>1825</v>
      </c>
      <c r="E46" t="s">
        <v>2776</v>
      </c>
      <c r="G46" t="s">
        <v>3057</v>
      </c>
      <c r="H46">
        <f ca="1">INDEX(技能数据库!$B$2:$I$100,MATCH(阵眼收益计算!$E46,技能数据库!$B$2:$B$100,0),MATCH(H$9,技能数据库!$B$2:$I$2,0))</f>
        <v>281.5</v>
      </c>
      <c r="I46">
        <f ca="1">INDEX(技能数据库!$B$2:$I$100,MATCH(阵眼收益计算!$E46,技能数据库!$B$2:$B$100,0),MATCH(I$9,技能数据库!$B$2:$I$2,0))</f>
        <v>7.06875</v>
      </c>
      <c r="J46">
        <f ca="1">INDEX(技能数据库!$B$2:$I$100,MATCH(阵眼收益计算!$E46,技能数据库!$B$2:$B$100,0),MATCH(J$9,技能数据库!$B$2:$I$2,0))</f>
        <v>2</v>
      </c>
      <c r="K46">
        <f ca="1">INDEX(技能数据库!$B$2:$I$100,MATCH(阵眼收益计算!$E46,技能数据库!$B$2:$B$100,0),MATCH(K$9,技能数据库!$B$2:$I$2,0))</f>
        <v>0</v>
      </c>
      <c r="L46">
        <f ca="1" t="shared" si="13"/>
        <v>105847</v>
      </c>
      <c r="M46">
        <f ca="1" t="shared" si="73"/>
        <v>19530.5</v>
      </c>
      <c r="N46">
        <f ca="1" t="shared" si="74"/>
        <v>92028</v>
      </c>
      <c r="O46">
        <f ca="1" t="shared" si="53"/>
        <v>787548.48125</v>
      </c>
      <c r="P46">
        <f ca="1">IF(G46="恒定伤害",0,(IF(D46="轻剑",$AZ$2,$AZ$3)+IFERROR(INDEX(技能数据库!$T$2:$W$27,MATCH(E46,技能数据库!$T$2:$T$27,0),4),0)+COUNTIF(G46,"*造化2*")*154+COUNTIF(G46,"*造化1*")*102+COUNTIF(G46,"*碧归*")*307)/1024)</f>
        <v>0.286243146929785</v>
      </c>
      <c r="Q46">
        <f ca="1" t="shared" si="82"/>
        <v>0.448284482196154</v>
      </c>
      <c r="R46">
        <f ca="1" t="shared" si="54"/>
        <v>0.21277697966198</v>
      </c>
      <c r="S46">
        <f ca="1" t="shared" si="75"/>
        <v>1154920.35332587</v>
      </c>
      <c r="T46">
        <f t="shared" si="76"/>
        <v>0.8</v>
      </c>
      <c r="U46">
        <f ca="1" t="shared" si="83"/>
        <v>1.7800129648</v>
      </c>
      <c r="V46">
        <f ca="1" t="shared" si="77"/>
        <v>2568554.84444584</v>
      </c>
      <c r="W46">
        <f ca="1">IF(G46="恒定伤害",0,MIN(1,IF(COUNTIF(F46,"*内会*")&gt;0,内会2,IF(D46="轻剑",$Y$2,$Y$3)+COUNTIF(G46,"*莺鸣*")*0.2+COUNTIF(G46,"*叠1*")*0.1+COUNTIF(G46,"*叠2*")*0.2+COUNTIF(G46,"*叠3*")*0.3)+IFERROR(INDEX(技能数据库!$T$2:$W$27,MATCH(E46,技能数据库!$T$2:$T$27,0),2),0)+IF((IF(D46="轻剑",$AO$2,$AO$3)+INT(COUNTIF(G46,"*大莺鸣*")*IF(D46="轻剑",$AM$2,$AM$3)*听晓无双率)/无双系数)&gt;0.9,特效裤子会心/会心系数,0)))</f>
        <v>0.7043</v>
      </c>
      <c r="X46">
        <f ca="1">IF(G46="恒定伤害",0,IF(COUNTIF(F46,"*内会*")&gt;0,内会效2,IF(D46="轻剑",$AB$2,$AB$3))+IFERROR(INDEX(技能数据库!$T$2:$W$27,MATCH(E46,技能数据库!$T$2:$T$27,0),3)/1024,0))+COUNTIF(G46,"*叠1*")*0.25+COUNTIF(G46,"*叠2*")*0.5+COUNTIF(G46,"*叠3*")*0.75</f>
        <v>2.1712723116</v>
      </c>
      <c r="Y46">
        <f ca="1" t="shared" si="78"/>
        <v>1.82492708905988</v>
      </c>
      <c r="Z46">
        <f t="shared" si="16"/>
        <v>0.150390625</v>
      </c>
      <c r="AA46">
        <f ca="1" t="shared" si="79"/>
        <v>0.0205078125</v>
      </c>
      <c r="AB46">
        <f ca="1" t="shared" si="80"/>
        <v>5502955.85390828</v>
      </c>
      <c r="AC46">
        <f ca="1">技能数计算!$AJ38</f>
        <v>8</v>
      </c>
      <c r="AD46" s="164">
        <f ca="1" t="shared" si="81"/>
        <v>0.0157831066404274</v>
      </c>
      <c r="AE46" s="168"/>
      <c r="AF46" s="168">
        <f ca="1" t="shared" si="17"/>
        <v>0.7057</v>
      </c>
      <c r="AG46">
        <f ca="1">技能数计算!$AJ38</f>
        <v>8</v>
      </c>
      <c r="AH46">
        <f ca="1" t="shared" si="18"/>
        <v>109879</v>
      </c>
      <c r="AJ46">
        <f ca="1" t="shared" si="55"/>
        <v>2.3704910616</v>
      </c>
      <c r="AK46">
        <f ca="1" t="shared" si="84"/>
        <v>816526.68125</v>
      </c>
      <c r="AL46">
        <f ca="1" t="shared" si="85"/>
        <v>6151793.04064976</v>
      </c>
      <c r="AM46" s="169">
        <f ca="1" t="shared" si="20"/>
        <v>0.7272</v>
      </c>
      <c r="AN46">
        <f ca="1">技能数计算!$AJ38</f>
        <v>8</v>
      </c>
      <c r="AO46" s="170">
        <f ca="1" t="shared" si="86"/>
        <v>6243939.29430236</v>
      </c>
      <c r="AP46">
        <f ca="1" t="shared" si="22"/>
        <v>110956</v>
      </c>
      <c r="AQ46" s="170">
        <f ca="1" t="shared" si="87"/>
        <v>823662.725</v>
      </c>
      <c r="AR46">
        <f ca="1" t="shared" si="88"/>
        <v>6092951.68858879</v>
      </c>
      <c r="AS46">
        <f ca="1" t="shared" si="24"/>
        <v>0.7843</v>
      </c>
      <c r="AT46">
        <f ca="1">技能数计算!$AJ38</f>
        <v>8</v>
      </c>
      <c r="AU46">
        <f ca="1" t="shared" si="25"/>
        <v>2.3177566866</v>
      </c>
      <c r="AV46">
        <f ca="1" t="shared" si="89"/>
        <v>1.7995442148</v>
      </c>
      <c r="AW46">
        <f ca="1" t="shared" si="58"/>
        <v>6175025.22506625</v>
      </c>
      <c r="AX46">
        <f ca="1" t="shared" si="27"/>
        <v>0.7743</v>
      </c>
      <c r="AY46">
        <f ca="1">技能数计算!$AJ38</f>
        <v>8</v>
      </c>
      <c r="AZ46" s="170">
        <f ca="1" t="shared" si="59"/>
        <v>6135009.90921832</v>
      </c>
      <c r="BA46">
        <f ca="1" t="shared" si="28"/>
        <v>0.7643</v>
      </c>
      <c r="BB46">
        <f ca="1">技能数计算!$AJ38</f>
        <v>8</v>
      </c>
      <c r="BC46" s="170">
        <f ca="1" t="shared" si="60"/>
        <v>6094994.5933704</v>
      </c>
      <c r="BE46">
        <f ca="1" t="shared" si="29"/>
        <v>105849</v>
      </c>
      <c r="BF46">
        <f ca="1" t="shared" si="90"/>
        <v>787562.61875</v>
      </c>
      <c r="BI46">
        <f ca="1" t="shared" si="31"/>
        <v>0.7543</v>
      </c>
      <c r="BJ46">
        <f ca="1">技能数计算!$AJ38</f>
        <v>8</v>
      </c>
      <c r="BK46">
        <f ca="1" t="shared" si="91"/>
        <v>6061871.76955867</v>
      </c>
      <c r="BM46">
        <f ca="1" t="shared" si="33"/>
        <v>109230</v>
      </c>
      <c r="BN46">
        <f ca="1" t="shared" si="92"/>
        <v>811462.0625</v>
      </c>
      <c r="BO46">
        <f ca="1" t="shared" si="93"/>
        <v>6123567.01970844</v>
      </c>
      <c r="BP46">
        <f ca="1" t="shared" si="94"/>
        <v>5839692.73062479</v>
      </c>
      <c r="BR46">
        <f ca="1" t="shared" si="37"/>
        <v>0.7543</v>
      </c>
      <c r="BS46">
        <f ca="1" t="shared" si="95"/>
        <v>6069437.85861365</v>
      </c>
      <c r="BT46">
        <f ca="1" t="shared" si="96"/>
        <v>0.196995876306796</v>
      </c>
      <c r="BU46">
        <f ca="1" t="shared" si="40"/>
        <v>2.3177566866</v>
      </c>
      <c r="BV46">
        <f ca="1" t="shared" si="61"/>
        <v>6133270.81738693</v>
      </c>
      <c r="BW46">
        <f ca="1" t="shared" si="41"/>
        <v>113027</v>
      </c>
      <c r="BX46">
        <f ca="1" t="shared" si="97"/>
        <v>838302.10625</v>
      </c>
      <c r="BY46">
        <f ca="1" t="shared" si="43"/>
        <v>0.7343</v>
      </c>
      <c r="BZ46">
        <f ca="1">技能数计算!$AJ38</f>
        <v>8</v>
      </c>
      <c r="CA46">
        <f ca="1" t="shared" si="44"/>
        <v>2.3216629366</v>
      </c>
      <c r="CB46">
        <f ca="1" t="shared" si="62"/>
        <v>6324840.36630572</v>
      </c>
      <c r="CC46">
        <f ca="1" t="shared" si="45"/>
        <v>114847</v>
      </c>
      <c r="CD46">
        <f ca="1" t="shared" si="98"/>
        <v>851167.23125</v>
      </c>
      <c r="CE46">
        <f ca="1" t="shared" si="99"/>
        <v>6243373.75902643</v>
      </c>
      <c r="CF46">
        <f ca="1" t="shared" si="48"/>
        <v>2.2689285616</v>
      </c>
      <c r="CG46">
        <f ca="1" t="shared" si="49"/>
        <v>0.7343</v>
      </c>
      <c r="CH46">
        <f ca="1" t="shared" si="63"/>
        <v>5866072.03423061</v>
      </c>
      <c r="CJ46">
        <f ca="1" t="shared" si="100"/>
        <v>811462.0625</v>
      </c>
      <c r="CK46">
        <f ca="1" t="shared" si="101"/>
        <v>6095827.59485352</v>
      </c>
      <c r="CL46">
        <f ca="1" t="shared" si="64"/>
        <v>2.2915848116</v>
      </c>
      <c r="CM46">
        <f ca="1">IF(G46="恒定伤害",0,(IF(D46="轻剑",$CM$8,$CM$9)+IFERROR(INDEX(技能数据库!$T$2:$W$27,MATCH(E46,技能数据库!$T$2:$T$27,0),4),0)+COUNTIF(G46,"*造化2*")*154+COUNTIF(G46,"*造化1*")*102+COUNTIF(G46,"*碧归*")*307)/1024)</f>
        <v>0.346790021929785</v>
      </c>
      <c r="CN46">
        <f ca="1" t="shared" si="65"/>
        <v>6195100.39612235</v>
      </c>
      <c r="CO46">
        <f ca="1" t="shared" si="66"/>
        <v>2.3156473116</v>
      </c>
      <c r="CP46">
        <f ca="1" t="shared" si="67"/>
        <v>6251280.44489955</v>
      </c>
      <c r="CQ46">
        <f ca="1" t="shared" si="102"/>
        <v>1.8815754648</v>
      </c>
      <c r="CR46">
        <f ca="1">IF(G46="恒定伤害",0,(IF(D46="轻剑",$CR$8,$CR$9)+IFERROR(INDEX(技能数据库!$T$2:$W$27,MATCH(E46,技能数据库!$T$2:$T$27,0),4),0)+COUNTIF(G46,"*造化2*")*154+COUNTIF(G46,"*造化1*")*102+COUNTIF(G46,"*碧归*")*307)/1024)</f>
        <v>0.337024396929785</v>
      </c>
      <c r="CS46">
        <f ca="1" t="shared" si="68"/>
        <v>5929191.30864929</v>
      </c>
    </row>
    <row r="47" spans="4:97">
      <c r="D47" t="s">
        <v>1825</v>
      </c>
      <c r="E47" t="s">
        <v>2780</v>
      </c>
      <c r="G47" t="s">
        <v>3057</v>
      </c>
      <c r="H47">
        <f ca="1">INDEX(技能数据库!$B$2:$I$100,MATCH(阵眼收益计算!$E47,技能数据库!$B$2:$B$100,0),MATCH(H$9,技能数据库!$B$2:$I$2,0))</f>
        <v>252.5</v>
      </c>
      <c r="I47">
        <f ca="1">INDEX(技能数据库!$B$2:$I$100,MATCH(阵眼收益计算!$E47,技能数据库!$B$2:$B$100,0),MATCH(I$9,技能数据库!$B$2:$I$2,0))</f>
        <v>2.11875</v>
      </c>
      <c r="J47">
        <f ca="1">INDEX(技能数据库!$B$2:$I$100,MATCH(阵眼收益计算!$E47,技能数据库!$B$2:$B$100,0),MATCH(J$9,技能数据库!$B$2:$I$2,0))</f>
        <v>2</v>
      </c>
      <c r="K47">
        <f ca="1">INDEX(技能数据库!$B$2:$I$100,MATCH(阵眼收益计算!$E47,技能数据库!$B$2:$B$100,0),MATCH(K$9,技能数据库!$B$2:$I$2,0))</f>
        <v>0</v>
      </c>
      <c r="L47">
        <f ca="1" t="shared" si="13"/>
        <v>105847</v>
      </c>
      <c r="M47">
        <f ca="1" t="shared" si="73"/>
        <v>19530.5</v>
      </c>
      <c r="N47">
        <f ca="1" t="shared" si="74"/>
        <v>92028</v>
      </c>
      <c r="O47">
        <f ca="1" t="shared" si="53"/>
        <v>263576.83125</v>
      </c>
      <c r="P47">
        <f ca="1">IF(G47="恒定伤害",0,(IF(D47="轻剑",$AZ$2,$AZ$3)+IFERROR(INDEX(技能数据库!$T$2:$W$27,MATCH(E47,技能数据库!$T$2:$T$27,0),4),0)+COUNTIF(G47,"*造化2*")*154+COUNTIF(G47,"*造化1*")*102+COUNTIF(G47,"*碧归*")*307)/1024)</f>
        <v>0.286243146929785</v>
      </c>
      <c r="Q47">
        <f ca="1" t="shared" si="82"/>
        <v>0.448284482196154</v>
      </c>
      <c r="R47">
        <f ca="1" t="shared" si="54"/>
        <v>0.21277697966198</v>
      </c>
      <c r="S47">
        <f ca="1" t="shared" si="75"/>
        <v>386528.898630597</v>
      </c>
      <c r="T47">
        <f t="shared" si="76"/>
        <v>0.8</v>
      </c>
      <c r="U47">
        <f ca="1" t="shared" si="83"/>
        <v>1.7800129648</v>
      </c>
      <c r="V47">
        <f ca="1" t="shared" si="77"/>
        <v>859644.279570341</v>
      </c>
      <c r="W47">
        <f ca="1">IF(G47="恒定伤害",0,MIN(1,IF(COUNTIF(F47,"*内会*")&gt;0,内会2,IF(D47="轻剑",$Y$2,$Y$3)+COUNTIF(G47,"*莺鸣*")*0.2+COUNTIF(G47,"*叠1*")*0.1+COUNTIF(G47,"*叠2*")*0.2+COUNTIF(G47,"*叠3*")*0.3)+IFERROR(INDEX(技能数据库!$T$2:$W$27,MATCH(E47,技能数据库!$T$2:$T$27,0),2),0)+IF((IF(D47="轻剑",$AO$2,$AO$3)+INT(COUNTIF(G47,"*大莺鸣*")*IF(D47="轻剑",$AM$2,$AM$3)*听晓无双率)/无双系数)&gt;0.9,特效裤子会心/会心系数,0)))</f>
        <v>0.7043</v>
      </c>
      <c r="X47">
        <f ca="1">IF(G47="恒定伤害",0,IF(COUNTIF(F47,"*内会*")&gt;0,内会效2,IF(D47="轻剑",$AB$2,$AB$3))+IFERROR(INDEX(技能数据库!$T$2:$W$27,MATCH(E47,技能数据库!$T$2:$T$27,0),3)/1024,0))+COUNTIF(G47,"*叠1*")*0.25+COUNTIF(G47,"*叠2*")*0.5+COUNTIF(G47,"*叠3*")*0.75</f>
        <v>2.1712723116</v>
      </c>
      <c r="Y47">
        <f ca="1" t="shared" si="78"/>
        <v>1.82492708905988</v>
      </c>
      <c r="Z47">
        <f t="shared" si="16"/>
        <v>0.150390625</v>
      </c>
      <c r="AA47">
        <f ca="1" t="shared" si="79"/>
        <v>0.0205078125</v>
      </c>
      <c r="AB47">
        <f ca="1" t="shared" si="80"/>
        <v>1841730.00267821</v>
      </c>
      <c r="AC47">
        <f ca="1">技能数计算!$AJ39</f>
        <v>8</v>
      </c>
      <c r="AD47" s="164">
        <f ca="1" t="shared" si="81"/>
        <v>0.00528229224563016</v>
      </c>
      <c r="AE47" s="168"/>
      <c r="AF47" s="168">
        <f ca="1" t="shared" si="17"/>
        <v>0.7057</v>
      </c>
      <c r="AG47">
        <f ca="1">技能数计算!$AJ39</f>
        <v>8</v>
      </c>
      <c r="AH47">
        <f ca="1" t="shared" si="18"/>
        <v>109879</v>
      </c>
      <c r="AJ47">
        <f ca="1" t="shared" si="55"/>
        <v>2.3704910616</v>
      </c>
      <c r="AK47">
        <f ca="1" t="shared" si="84"/>
        <v>272596.63125</v>
      </c>
      <c r="AL47">
        <f ca="1" t="shared" si="85"/>
        <v>2053770.06965787</v>
      </c>
      <c r="AM47" s="169">
        <f ca="1" t="shared" si="20"/>
        <v>0.7272</v>
      </c>
      <c r="AN47">
        <f ca="1">技能数计算!$AJ39</f>
        <v>8</v>
      </c>
      <c r="AO47" s="170">
        <f ca="1" t="shared" si="86"/>
        <v>2084533.00601354</v>
      </c>
      <c r="AP47">
        <f ca="1" t="shared" si="22"/>
        <v>110956</v>
      </c>
      <c r="AQ47" s="170">
        <f ca="1" t="shared" si="87"/>
        <v>274401.525</v>
      </c>
      <c r="AR47">
        <f ca="1" t="shared" si="88"/>
        <v>2029854.19195714</v>
      </c>
      <c r="AS47">
        <f ca="1" t="shared" si="24"/>
        <v>0.7843</v>
      </c>
      <c r="AT47">
        <f ca="1">技能数计算!$AJ39</f>
        <v>8</v>
      </c>
      <c r="AU47">
        <f ca="1" t="shared" si="25"/>
        <v>2.3177566866</v>
      </c>
      <c r="AV47">
        <f ca="1" t="shared" si="89"/>
        <v>1.7995442148</v>
      </c>
      <c r="AW47">
        <f ca="1" t="shared" si="58"/>
        <v>2066658.26988639</v>
      </c>
      <c r="AX47">
        <f ca="1" t="shared" si="27"/>
        <v>0.7743</v>
      </c>
      <c r="AY47">
        <f ca="1">技能数计算!$AJ39</f>
        <v>8</v>
      </c>
      <c r="AZ47" s="170">
        <f ca="1" t="shared" si="59"/>
        <v>2053265.93861566</v>
      </c>
      <c r="BA47">
        <f ca="1" t="shared" si="28"/>
        <v>0.7643</v>
      </c>
      <c r="BB47">
        <f ca="1">技能数计算!$AJ39</f>
        <v>8</v>
      </c>
      <c r="BC47" s="170">
        <f ca="1" t="shared" si="60"/>
        <v>2039873.60734492</v>
      </c>
      <c r="BE47">
        <f ca="1" t="shared" si="29"/>
        <v>105849</v>
      </c>
      <c r="BF47">
        <f ca="1" t="shared" si="90"/>
        <v>263581.06875</v>
      </c>
      <c r="BI47">
        <f ca="1" t="shared" si="31"/>
        <v>0.7543</v>
      </c>
      <c r="BJ47">
        <f ca="1">技能数计算!$AJ39</f>
        <v>8</v>
      </c>
      <c r="BK47">
        <f ca="1" t="shared" si="91"/>
        <v>2028784.25360222</v>
      </c>
      <c r="BM47">
        <f ca="1" t="shared" si="33"/>
        <v>109230</v>
      </c>
      <c r="BN47">
        <f ca="1" t="shared" si="92"/>
        <v>270744.5625</v>
      </c>
      <c r="BO47">
        <f ca="1" t="shared" si="93"/>
        <v>2043129.98759617</v>
      </c>
      <c r="BP47">
        <f ca="1" t="shared" si="94"/>
        <v>1948415.24521356</v>
      </c>
      <c r="BR47">
        <f ca="1" t="shared" si="37"/>
        <v>0.7543</v>
      </c>
      <c r="BS47">
        <f ca="1" t="shared" si="95"/>
        <v>2025069.77663086</v>
      </c>
      <c r="BT47">
        <f ca="1" t="shared" si="96"/>
        <v>0.196995876306796</v>
      </c>
      <c r="BU47">
        <f ca="1" t="shared" si="40"/>
        <v>2.3177566866</v>
      </c>
      <c r="BV47">
        <f ca="1" t="shared" si="61"/>
        <v>2052683.89912846</v>
      </c>
      <c r="BW47">
        <f ca="1" t="shared" si="41"/>
        <v>113027</v>
      </c>
      <c r="BX47">
        <f ca="1" t="shared" si="97"/>
        <v>278789.45625</v>
      </c>
      <c r="BY47">
        <f ca="1" t="shared" si="43"/>
        <v>0.7343</v>
      </c>
      <c r="BZ47">
        <f ca="1">技能数计算!$AJ39</f>
        <v>8</v>
      </c>
      <c r="CA47">
        <f ca="1" t="shared" si="44"/>
        <v>2.3216629366</v>
      </c>
      <c r="CB47">
        <f ca="1" t="shared" si="62"/>
        <v>2103416.88687654</v>
      </c>
      <c r="CC47">
        <f ca="1" t="shared" si="45"/>
        <v>114847</v>
      </c>
      <c r="CD47">
        <f ca="1" t="shared" si="98"/>
        <v>282645.58125</v>
      </c>
      <c r="CE47">
        <f ca="1" t="shared" si="99"/>
        <v>2073225.96581813</v>
      </c>
      <c r="CF47">
        <f ca="1" t="shared" si="48"/>
        <v>2.2689285616</v>
      </c>
      <c r="CG47">
        <f ca="1" t="shared" si="49"/>
        <v>0.7343</v>
      </c>
      <c r="CH47">
        <f ca="1" t="shared" si="63"/>
        <v>1963257.7745724</v>
      </c>
      <c r="CJ47">
        <f ca="1" t="shared" si="100"/>
        <v>270744.5625</v>
      </c>
      <c r="CK47">
        <f ca="1" t="shared" si="101"/>
        <v>2033874.72010627</v>
      </c>
      <c r="CL47">
        <f ca="1" t="shared" si="64"/>
        <v>2.2915848116</v>
      </c>
      <c r="CM47">
        <f ca="1">IF(G47="恒定伤害",0,(IF(D47="轻剑",$CM$8,$CM$9)+IFERROR(INDEX(技能数据库!$T$2:$W$27,MATCH(E47,技能数据库!$T$2:$T$27,0),4),0)+COUNTIF(G47,"*造化2*")*154+COUNTIF(G47,"*造化1*")*102+COUNTIF(G47,"*碧归*")*307)/1024)</f>
        <v>0.346790021929785</v>
      </c>
      <c r="CN47">
        <f ca="1" t="shared" si="65"/>
        <v>2073377.03082587</v>
      </c>
      <c r="CO47">
        <f ca="1" t="shared" si="66"/>
        <v>2.3156473116</v>
      </c>
      <c r="CP47">
        <f ca="1" t="shared" si="67"/>
        <v>2092179.37707973</v>
      </c>
      <c r="CQ47">
        <f ca="1" t="shared" si="102"/>
        <v>1.8815754648</v>
      </c>
      <c r="CR47">
        <f ca="1">IF(G47="恒定伤害",0,(IF(D47="轻剑",$CR$8,$CR$9)+IFERROR(INDEX(技能数据库!$T$2:$W$27,MATCH(E47,技能数据库!$T$2:$T$27,0),4),0)+COUNTIF(G47,"*造化2*")*154+COUNTIF(G47,"*造化1*")*102+COUNTIF(G47,"*碧归*")*307)/1024)</f>
        <v>0.337024396929785</v>
      </c>
      <c r="CS47">
        <f ca="1" t="shared" si="68"/>
        <v>1984382.54179392</v>
      </c>
    </row>
    <row r="48" spans="4:97">
      <c r="D48" t="s">
        <v>1825</v>
      </c>
      <c r="E48" s="161" t="s">
        <v>2783</v>
      </c>
      <c r="G48" t="s">
        <v>2750</v>
      </c>
      <c r="H48">
        <f ca="1">INDEX(技能数据库!$B$2:$I$100,MATCH(阵眼收益计算!$E48,技能数据库!$B$2:$B$100,0),MATCH(H$9,技能数据库!$B$2:$I$2,0))</f>
        <v>0</v>
      </c>
      <c r="I48">
        <f ca="1">INDEX(技能数据库!$B$2:$I$100,MATCH(阵眼收益计算!$E48,技能数据库!$B$2:$B$100,0),MATCH(I$9,技能数据库!$B$2:$I$2,0))</f>
        <v>0</v>
      </c>
      <c r="J48">
        <f ca="1">INDEX(技能数据库!$B$2:$I$100,MATCH(阵眼收益计算!$E48,技能数据库!$B$2:$B$100,0),MATCH(J$9,技能数据库!$B$2:$I$2,0))</f>
        <v>0</v>
      </c>
      <c r="K48">
        <f ca="1">INDEX(技能数据库!$B$2:$I$100,MATCH(阵眼收益计算!$E48,技能数据库!$B$2:$B$100,0),MATCH(K$9,技能数据库!$B$2:$I$2,0))</f>
        <v>1.28127956390381</v>
      </c>
      <c r="L48">
        <f ca="1" t="shared" si="13"/>
        <v>105847</v>
      </c>
      <c r="M48">
        <f ca="1" t="shared" si="73"/>
        <v>19530.5</v>
      </c>
      <c r="N48">
        <f ca="1" t="shared" si="74"/>
        <v>92028</v>
      </c>
      <c r="O48">
        <f ca="1" t="shared" si="53"/>
        <v>1006274.62576302</v>
      </c>
      <c r="P48">
        <f ca="1">IF(G48="恒定伤害",0,(IF(D48="轻剑",$AZ$2,$AZ$3)+IFERROR(INDEX(技能数据库!$T$2:$W$27,MATCH(E48,技能数据库!$T$2:$T$27,0),4),0)+COUNTIF(G48,"*造化2*")*154+COUNTIF(G48,"*造化1*")*102+COUNTIF(G48,"*碧归*")*307)/1024)</f>
        <v>0.116321271929785</v>
      </c>
      <c r="Q48">
        <f ca="1" t="shared" si="82"/>
        <v>0.448284482196154</v>
      </c>
      <c r="R48">
        <f ca="1" t="shared" si="54"/>
        <v>0.21277697966198</v>
      </c>
      <c r="S48">
        <f ca="1" t="shared" si="75"/>
        <v>1280729.41715672</v>
      </c>
      <c r="T48">
        <f t="shared" si="76"/>
        <v>0.8</v>
      </c>
      <c r="U48">
        <f ca="1" t="shared" si="83"/>
        <v>1.7800129648</v>
      </c>
      <c r="V48">
        <f ca="1" t="shared" si="77"/>
        <v>2848355.50727714</v>
      </c>
      <c r="W48">
        <f ca="1">IF(G48="恒定伤害",0,MIN(1,IF(COUNTIF(F48,"*内会*")&gt;0,内会2,IF(D48="轻剑",$Y$2,$Y$3)+COUNTIF(G48,"*莺鸣*")*0.2+COUNTIF(G48,"*叠1*")*0.1+COUNTIF(G48,"*叠2*")*0.2+COUNTIF(G48,"*叠3*")*0.3)+IFERROR(INDEX(技能数据库!$T$2:$W$27,MATCH(E48,技能数据库!$T$2:$T$27,0),2),0)+IF((IF(D48="轻剑",$AO$2,$AO$3)+INT(COUNTIF(G48,"*大莺鸣*")*IF(D48="轻剑",$AM$2,$AM$3)*听晓无双率)/无双系数)&gt;0.9,特效裤子会心/会心系数,0)))</f>
        <v>0.7043</v>
      </c>
      <c r="X48">
        <f ca="1">IF(G48="恒定伤害",0,IF(COUNTIF(F48,"*内会*")&gt;0,内会效2,IF(D48="轻剑",$AB$2,$AB$3))+IFERROR(INDEX(技能数据库!$T$2:$W$27,MATCH(E48,技能数据库!$T$2:$T$27,0),3)/1024,0))+COUNTIF(G48,"*叠1*")*0.25+COUNTIF(G48,"*叠2*")*0.5+COUNTIF(G48,"*叠3*")*0.75</f>
        <v>2.1712723116</v>
      </c>
      <c r="Y48">
        <f ca="1" t="shared" si="78"/>
        <v>1.82492708905988</v>
      </c>
      <c r="Z48">
        <f t="shared" si="16"/>
        <v>0.150390625</v>
      </c>
      <c r="AA48">
        <f ca="1" t="shared" si="79"/>
        <v>0.0205078125</v>
      </c>
      <c r="AB48">
        <f ca="1" t="shared" si="80"/>
        <v>6102409.9394554</v>
      </c>
      <c r="AC48">
        <f ca="1">技能数计算!$AJ40</f>
        <v>28</v>
      </c>
      <c r="AD48" s="164">
        <f ca="1" t="shared" si="81"/>
        <v>0.061258433264313</v>
      </c>
      <c r="AE48" s="168"/>
      <c r="AF48" s="168">
        <f ca="1" t="shared" si="17"/>
        <v>0.7057</v>
      </c>
      <c r="AG48">
        <f ca="1">技能数计算!$AJ40</f>
        <v>28</v>
      </c>
      <c r="AH48">
        <f ca="1" t="shared" si="18"/>
        <v>109879</v>
      </c>
      <c r="AJ48">
        <f ca="1" t="shared" si="55"/>
        <v>2.3704910616</v>
      </c>
      <c r="AK48">
        <f ca="1" t="shared" si="84"/>
        <v>1006274.62576302</v>
      </c>
      <c r="AL48">
        <f ca="1" t="shared" si="85"/>
        <v>6579819.56234656</v>
      </c>
      <c r="AM48" s="169">
        <f ca="1" t="shared" si="20"/>
        <v>0.7272</v>
      </c>
      <c r="AN48">
        <f ca="1">技能数计算!$AJ40</f>
        <v>28</v>
      </c>
      <c r="AO48" s="170">
        <f ca="1" t="shared" si="86"/>
        <v>6678377.12408083</v>
      </c>
      <c r="AP48">
        <f ca="1" t="shared" si="22"/>
        <v>110956</v>
      </c>
      <c r="AQ48" s="170">
        <f ca="1" t="shared" si="87"/>
        <v>1006274.62576302</v>
      </c>
      <c r="AR48">
        <f ca="1" t="shared" si="88"/>
        <v>6460423.23610968</v>
      </c>
      <c r="AS48">
        <f ca="1" t="shared" si="24"/>
        <v>0.7843</v>
      </c>
      <c r="AT48">
        <f ca="1">技能数计算!$AJ40</f>
        <v>28</v>
      </c>
      <c r="AU48">
        <f ca="1" t="shared" si="25"/>
        <v>2.3177566866</v>
      </c>
      <c r="AV48">
        <f ca="1" t="shared" si="89"/>
        <v>1.7995442148</v>
      </c>
      <c r="AW48">
        <f ca="1" t="shared" si="58"/>
        <v>6847689.91615105</v>
      </c>
      <c r="AX48">
        <f ca="1" t="shared" si="27"/>
        <v>0.7743</v>
      </c>
      <c r="AY48">
        <f ca="1">技能数计算!$AJ40</f>
        <v>28</v>
      </c>
      <c r="AZ48" s="170">
        <f ca="1" t="shared" si="59"/>
        <v>6803315.60757152</v>
      </c>
      <c r="BA48">
        <f ca="1" t="shared" si="28"/>
        <v>0.7643</v>
      </c>
      <c r="BB48">
        <f ca="1">技能数计算!$AJ40</f>
        <v>28</v>
      </c>
      <c r="BC48" s="170">
        <f ca="1" t="shared" si="60"/>
        <v>6758941.298992</v>
      </c>
      <c r="BE48">
        <f ca="1" t="shared" si="29"/>
        <v>105849</v>
      </c>
      <c r="BF48">
        <f ca="1" t="shared" si="90"/>
        <v>1006274.62576302</v>
      </c>
      <c r="BI48">
        <f ca="1" t="shared" si="31"/>
        <v>0.7543</v>
      </c>
      <c r="BJ48">
        <f ca="1">技能数计算!$AJ40</f>
        <v>28</v>
      </c>
      <c r="BK48">
        <f ca="1" t="shared" si="91"/>
        <v>6722089.63294452</v>
      </c>
      <c r="BM48">
        <f ca="1" t="shared" si="33"/>
        <v>109230</v>
      </c>
      <c r="BN48">
        <f ca="1" t="shared" si="92"/>
        <v>1006274.62576302</v>
      </c>
      <c r="BO48">
        <f ca="1" t="shared" si="93"/>
        <v>6590508.17581801</v>
      </c>
      <c r="BP48">
        <f ca="1" t="shared" si="94"/>
        <v>6284987.58347551</v>
      </c>
      <c r="BR48">
        <f ca="1" t="shared" si="37"/>
        <v>0.7543</v>
      </c>
      <c r="BS48">
        <f ca="1" t="shared" si="95"/>
        <v>6532251.4967293</v>
      </c>
      <c r="BT48">
        <f ca="1" t="shared" si="96"/>
        <v>0.196995876306796</v>
      </c>
      <c r="BU48">
        <f ca="1" t="shared" si="40"/>
        <v>2.3177566866</v>
      </c>
      <c r="BV48">
        <f ca="1" t="shared" si="61"/>
        <v>6801387.07106146</v>
      </c>
      <c r="BW48">
        <f ca="1" t="shared" si="41"/>
        <v>113027</v>
      </c>
      <c r="BX48">
        <f ca="1" t="shared" si="97"/>
        <v>1006274.62576302</v>
      </c>
      <c r="BY48">
        <f ca="1" t="shared" si="43"/>
        <v>0.7343</v>
      </c>
      <c r="BZ48">
        <f ca="1">技能数计算!$AJ40</f>
        <v>28</v>
      </c>
      <c r="CA48">
        <f ca="1" t="shared" si="44"/>
        <v>2.3216629366</v>
      </c>
      <c r="CB48">
        <f ca="1" t="shared" si="62"/>
        <v>6589184.37141281</v>
      </c>
      <c r="CC48">
        <f ca="1" t="shared" si="45"/>
        <v>114847</v>
      </c>
      <c r="CD48">
        <f ca="1" t="shared" si="98"/>
        <v>1006274.62576302</v>
      </c>
      <c r="CE48">
        <f ca="1" t="shared" si="99"/>
        <v>6406002.2581889</v>
      </c>
      <c r="CF48">
        <f ca="1" t="shared" si="48"/>
        <v>2.2689285616</v>
      </c>
      <c r="CG48">
        <f ca="1" t="shared" si="49"/>
        <v>0.7343</v>
      </c>
      <c r="CH48">
        <f ca="1" t="shared" si="63"/>
        <v>6505081.49394413</v>
      </c>
      <c r="CJ48">
        <f ca="1" t="shared" si="100"/>
        <v>1035436.77670524</v>
      </c>
      <c r="CK48">
        <f ca="1" t="shared" si="101"/>
        <v>6750783.30839598</v>
      </c>
      <c r="CL48">
        <f ca="1" t="shared" si="64"/>
        <v>2.2915848116</v>
      </c>
      <c r="CM48">
        <f ca="1">IF(G48="恒定伤害",0,(IF(D48="轻剑",$CM$8,$CM$9)+IFERROR(INDEX(技能数据库!$T$2:$W$27,MATCH(E48,技能数据库!$T$2:$T$27,0),4),0)+COUNTIF(G48,"*造化2*")*154+COUNTIF(G48,"*造化1*")*102+COUNTIF(G48,"*碧归*")*307)/1024)</f>
        <v>0.176868146929785</v>
      </c>
      <c r="CN48">
        <f ca="1" t="shared" si="65"/>
        <v>6916963.60297725</v>
      </c>
      <c r="CO48">
        <f ca="1" t="shared" si="66"/>
        <v>2.3156473116</v>
      </c>
      <c r="CP48">
        <f ca="1" t="shared" si="67"/>
        <v>6979689.84270835</v>
      </c>
      <c r="CQ48">
        <f ca="1" t="shared" si="102"/>
        <v>1.8815754648</v>
      </c>
      <c r="CR48">
        <f ca="1">IF(G48="恒定伤害",0,(IF(D48="轻剑",$CR$8,$CR$9)+IFERROR(INDEX(技能数据库!$T$2:$W$27,MATCH(E48,技能数据库!$T$2:$T$27,0),4),0)+COUNTIF(G48,"*造化2*")*154+COUNTIF(G48,"*造化1*")*102+COUNTIF(G48,"*碧归*")*307)/1024)</f>
        <v>0.167102521929785</v>
      </c>
      <c r="CS48">
        <f ca="1" t="shared" si="68"/>
        <v>6613088.91812394</v>
      </c>
    </row>
    <row r="49" spans="4:97">
      <c r="D49" t="s">
        <v>1825</v>
      </c>
      <c r="E49" s="161" t="s">
        <v>2783</v>
      </c>
      <c r="G49" t="s">
        <v>3044</v>
      </c>
      <c r="H49">
        <f ca="1">INDEX(技能数据库!$B$2:$I$100,MATCH(阵眼收益计算!$E49,技能数据库!$B$2:$B$100,0),MATCH(H$9,技能数据库!$B$2:$I$2,0))</f>
        <v>0</v>
      </c>
      <c r="I49">
        <f ca="1">INDEX(技能数据库!$B$2:$I$100,MATCH(阵眼收益计算!$E49,技能数据库!$B$2:$B$100,0),MATCH(I$9,技能数据库!$B$2:$I$2,0))</f>
        <v>0</v>
      </c>
      <c r="J49">
        <f ca="1">INDEX(技能数据库!$B$2:$I$100,MATCH(阵眼收益计算!$E49,技能数据库!$B$2:$B$100,0),MATCH(J$9,技能数据库!$B$2:$I$2,0))</f>
        <v>0</v>
      </c>
      <c r="K49">
        <f ca="1">INDEX(技能数据库!$B$2:$I$100,MATCH(阵眼收益计算!$E49,技能数据库!$B$2:$B$100,0),MATCH(K$9,技能数据库!$B$2:$I$2,0))</f>
        <v>1.28127956390381</v>
      </c>
      <c r="L49">
        <f ca="1" t="shared" si="13"/>
        <v>105847</v>
      </c>
      <c r="M49">
        <f ca="1" t="shared" si="73"/>
        <v>19530.5</v>
      </c>
      <c r="N49">
        <f ca="1" t="shared" si="74"/>
        <v>92028</v>
      </c>
      <c r="O49">
        <f ca="1" t="shared" si="53"/>
        <v>1006274.62576302</v>
      </c>
      <c r="P49">
        <f ca="1">IF(G49="恒定伤害",0,(IF(D49="轻剑",$AZ$2,$AZ$3)+IFERROR(INDEX(技能数据库!$T$2:$W$27,MATCH(E49,技能数据库!$T$2:$T$27,0),4),0)+COUNTIF(G49,"*造化2*")*154+COUNTIF(G49,"*造化1*")*102+COUNTIF(G49,"*碧归*")*307)/1024)</f>
        <v>0.116321271929785</v>
      </c>
      <c r="Q49">
        <f ca="1" t="shared" si="82"/>
        <v>0.448284482196154</v>
      </c>
      <c r="R49">
        <f ca="1" t="shared" si="54"/>
        <v>0.21277697966198</v>
      </c>
      <c r="S49">
        <f ca="1" t="shared" si="75"/>
        <v>1280729.41715672</v>
      </c>
      <c r="T49">
        <f t="shared" si="76"/>
        <v>0.8</v>
      </c>
      <c r="U49">
        <f ca="1" t="shared" si="83"/>
        <v>2.67001635480339</v>
      </c>
      <c r="V49">
        <f ca="1" t="shared" si="77"/>
        <v>3760238.32563438</v>
      </c>
      <c r="W49">
        <f ca="1">IF(G49="恒定伤害",0,MIN(1,IF(COUNTIF(F49,"*内会*")&gt;0,内会2,IF(D49="轻剑",$Y$2,$Y$3)+COUNTIF(G49,"*莺鸣*")*0.2+COUNTIF(G49,"*叠1*")*0.1+COUNTIF(G49,"*叠2*")*0.2+COUNTIF(G49,"*叠3*")*0.3)+IFERROR(INDEX(技能数据库!$T$2:$W$27,MATCH(E49,技能数据库!$T$2:$T$27,0),2),0)+IF((IF(D49="轻剑",$AO$2,$AO$3)+INT(COUNTIF(G49,"*大莺鸣*")*IF(D49="轻剑",$AM$2,$AM$3)*听晓无双率)/无双系数)&gt;0.9,特效裤子会心/会心系数,0)))</f>
        <v>0.9043</v>
      </c>
      <c r="X49">
        <f ca="1">IF(G49="恒定伤害",0,IF(COUNTIF(F49,"*内会*")&gt;0,内会效2,IF(D49="轻剑",$AB$2,$AB$3))+IFERROR(INDEX(技能数据库!$T$2:$W$27,MATCH(E49,技能数据库!$T$2:$T$27,0),3)/1024,0))+COUNTIF(G49,"*叠1*")*0.25+COUNTIF(G49,"*叠2*")*0.5+COUNTIF(G49,"*叠3*")*0.75</f>
        <v>2.1712723116</v>
      </c>
      <c r="Y49">
        <f ca="1" t="shared" si="78"/>
        <v>2.05918155137988</v>
      </c>
      <c r="Z49">
        <f t="shared" si="16"/>
        <v>0.150390625</v>
      </c>
      <c r="AA49">
        <f ca="1" t="shared" si="79"/>
        <v>0.0205078125</v>
      </c>
      <c r="AB49">
        <f ca="1" t="shared" si="80"/>
        <v>9090163.14689296</v>
      </c>
      <c r="AC49">
        <f ca="1">技能数计算!$AJ41</f>
        <v>0</v>
      </c>
      <c r="AD49" s="164">
        <f ca="1" t="shared" si="81"/>
        <v>0</v>
      </c>
      <c r="AE49" s="168"/>
      <c r="AF49" s="168">
        <f ca="1" t="shared" si="17"/>
        <v>0.9057</v>
      </c>
      <c r="AG49">
        <f ca="1">技能数计算!$AJ41</f>
        <v>0</v>
      </c>
      <c r="AH49">
        <f ca="1" t="shared" si="18"/>
        <v>109879</v>
      </c>
      <c r="AJ49">
        <f ca="1" t="shared" si="55"/>
        <v>2.3704910616</v>
      </c>
      <c r="AK49">
        <f ca="1" t="shared" si="84"/>
        <v>1006274.62576302</v>
      </c>
      <c r="AL49">
        <f ca="1" t="shared" si="85"/>
        <v>9896633.6002859</v>
      </c>
      <c r="AM49" s="169">
        <f ca="1" t="shared" si="20"/>
        <v>0.9272</v>
      </c>
      <c r="AN49">
        <f ca="1">技能数计算!$AJ41</f>
        <v>0</v>
      </c>
      <c r="AO49" s="170">
        <f ca="1" t="shared" si="86"/>
        <v>10026743.7357544</v>
      </c>
      <c r="AP49">
        <f ca="1" t="shared" si="22"/>
        <v>110956</v>
      </c>
      <c r="AQ49" s="170">
        <f ca="1" t="shared" si="87"/>
        <v>1006274.62576302</v>
      </c>
      <c r="AR49">
        <f ca="1" t="shared" si="88"/>
        <v>9623460.53393064</v>
      </c>
      <c r="AS49">
        <f ca="1" t="shared" si="24"/>
        <v>0.9843</v>
      </c>
      <c r="AT49">
        <f ca="1">技能数计算!$AJ41</f>
        <v>0</v>
      </c>
      <c r="AU49">
        <f ca="1" t="shared" si="25"/>
        <v>2.3177566866</v>
      </c>
      <c r="AV49">
        <f ca="1" t="shared" si="89"/>
        <v>2.68954760480339</v>
      </c>
      <c r="AW49">
        <f ca="1" t="shared" si="58"/>
        <v>10194266.7154118</v>
      </c>
      <c r="AX49">
        <f ca="1" t="shared" si="27"/>
        <v>0.9743</v>
      </c>
      <c r="AY49">
        <f ca="1">技能数计算!$AJ41</f>
        <v>0</v>
      </c>
      <c r="AZ49" s="170">
        <f ca="1" t="shared" si="59"/>
        <v>10135785.3658161</v>
      </c>
      <c r="BA49">
        <f ca="1" t="shared" si="28"/>
        <v>0.9643</v>
      </c>
      <c r="BB49">
        <f ca="1">技能数计算!$AJ41</f>
        <v>0</v>
      </c>
      <c r="BC49" s="170">
        <f ca="1" t="shared" si="60"/>
        <v>10077304.0162204</v>
      </c>
      <c r="BE49">
        <f ca="1" t="shared" si="29"/>
        <v>105849</v>
      </c>
      <c r="BF49">
        <f ca="1" t="shared" si="90"/>
        <v>1006274.62576302</v>
      </c>
      <c r="BI49">
        <f ca="1" t="shared" si="31"/>
        <v>0.9543</v>
      </c>
      <c r="BJ49">
        <f ca="1">技能数计算!$AJ41</f>
        <v>0</v>
      </c>
      <c r="BK49">
        <f ca="1" t="shared" si="91"/>
        <v>9960939.548984</v>
      </c>
      <c r="BM49">
        <f ca="1" t="shared" si="33"/>
        <v>109230</v>
      </c>
      <c r="BN49">
        <f ca="1" t="shared" si="92"/>
        <v>1006274.62576302</v>
      </c>
      <c r="BO49">
        <f ca="1" t="shared" si="93"/>
        <v>9817235.34365901</v>
      </c>
      <c r="BP49">
        <f ca="1" t="shared" si="94"/>
        <v>9362131.20337954</v>
      </c>
      <c r="BR49">
        <f ca="1" t="shared" si="37"/>
        <v>0.9543</v>
      </c>
      <c r="BS49">
        <f ca="1" t="shared" si="95"/>
        <v>9679633.2436256</v>
      </c>
      <c r="BT49">
        <f ca="1" t="shared" si="96"/>
        <v>0.196995876306796</v>
      </c>
      <c r="BU49">
        <f ca="1" t="shared" si="40"/>
        <v>2.3177566866</v>
      </c>
      <c r="BV49">
        <f ca="1" t="shared" si="61"/>
        <v>10165565.9235914</v>
      </c>
      <c r="BW49">
        <f ca="1" t="shared" si="41"/>
        <v>113027</v>
      </c>
      <c r="BX49">
        <f ca="1" t="shared" si="97"/>
        <v>1006274.62576302</v>
      </c>
      <c r="BY49">
        <f ca="1" t="shared" si="43"/>
        <v>0.9343</v>
      </c>
      <c r="BZ49">
        <f ca="1">技能数计算!$AJ41</f>
        <v>0</v>
      </c>
      <c r="CA49">
        <f ca="1" t="shared" si="44"/>
        <v>2.3216629366</v>
      </c>
      <c r="CB49">
        <f ca="1" t="shared" si="62"/>
        <v>9865553.8159051</v>
      </c>
      <c r="CC49">
        <f ca="1" t="shared" si="45"/>
        <v>114847</v>
      </c>
      <c r="CD49">
        <f ca="1" t="shared" si="98"/>
        <v>1006274.62576302</v>
      </c>
      <c r="CE49">
        <f ca="1" t="shared" si="99"/>
        <v>9521887.95307561</v>
      </c>
      <c r="CF49">
        <f ca="1" t="shared" si="48"/>
        <v>2.2689285616</v>
      </c>
      <c r="CG49">
        <f ca="1" t="shared" si="49"/>
        <v>0.9343</v>
      </c>
      <c r="CH49">
        <f ca="1" t="shared" si="63"/>
        <v>9699400.28356521</v>
      </c>
      <c r="CJ49">
        <f ca="1" t="shared" si="100"/>
        <v>1035436.77670524</v>
      </c>
      <c r="CK49">
        <f ca="1" t="shared" si="101"/>
        <v>10055981.5304899</v>
      </c>
      <c r="CL49">
        <f ca="1" t="shared" si="64"/>
        <v>2.2915848116</v>
      </c>
      <c r="CM49">
        <f ca="1">IF(G49="恒定伤害",0,(IF(D49="轻剑",$CM$8,$CM$9)+IFERROR(INDEX(技能数据库!$T$2:$W$27,MATCH(E49,技能数据库!$T$2:$T$27,0),4),0)+COUNTIF(G49,"*造化2*")*154+COUNTIF(G49,"*造化1*")*102+COUNTIF(G49,"*碧归*")*307)/1024)</f>
        <v>0.176868146929785</v>
      </c>
      <c r="CN49">
        <f ca="1" t="shared" si="65"/>
        <v>10324511.4499243</v>
      </c>
      <c r="CO49">
        <f ca="1" t="shared" si="66"/>
        <v>2.3156473116</v>
      </c>
      <c r="CP49">
        <f ca="1" t="shared" si="67"/>
        <v>10429695.0089068</v>
      </c>
      <c r="CQ49">
        <f ca="1" t="shared" si="102"/>
        <v>2.77157885480339</v>
      </c>
      <c r="CR49">
        <f ca="1">IF(G49="恒定伤害",0,(IF(D49="轻剑",$CR$8,$CR$9)+IFERROR(INDEX(技能数据库!$T$2:$W$27,MATCH(E49,技能数据库!$T$2:$T$27,0),4),0)+COUNTIF(G49,"*造化2*")*154+COUNTIF(G49,"*造化1*")*102+COUNTIF(G49,"*碧归*")*307)/1024)</f>
        <v>0.167102521929785</v>
      </c>
      <c r="CS49">
        <f ca="1" t="shared" si="68"/>
        <v>9766673.67981608</v>
      </c>
    </row>
    <row r="50" spans="4:97">
      <c r="D50" t="s">
        <v>1825</v>
      </c>
      <c r="E50" t="s">
        <v>2786</v>
      </c>
      <c r="G50" t="s">
        <v>2750</v>
      </c>
      <c r="H50">
        <f ca="1">INDEX(技能数据库!$B$2:$I$100,MATCH(阵眼收益计算!$E50,技能数据库!$B$2:$B$100,0),MATCH(H$9,技能数据库!$B$2:$I$2,0))</f>
        <v>0</v>
      </c>
      <c r="I50">
        <f ca="1">INDEX(技能数据库!$B$2:$I$100,MATCH(阵眼收益计算!$E50,技能数据库!$B$2:$B$100,0),MATCH(I$9,技能数据库!$B$2:$I$2,0))</f>
        <v>0</v>
      </c>
      <c r="J50">
        <f ca="1">INDEX(技能数据库!$B$2:$I$100,MATCH(阵眼收益计算!$E50,技能数据库!$B$2:$B$100,0),MATCH(J$9,技能数据库!$B$2:$I$2,0))</f>
        <v>0</v>
      </c>
      <c r="K50">
        <f ca="1">INDEX(技能数据库!$B$2:$I$100,MATCH(阵眼收益计算!$E50,技能数据库!$B$2:$B$100,0),MATCH(K$9,技能数据库!$B$2:$I$2,0))</f>
        <v>0</v>
      </c>
      <c r="L50">
        <f ca="1" t="shared" si="13"/>
        <v>105847</v>
      </c>
      <c r="M50">
        <f ca="1" t="shared" si="73"/>
        <v>19530.5</v>
      </c>
      <c r="N50">
        <f ca="1" t="shared" si="74"/>
        <v>92028</v>
      </c>
      <c r="O50">
        <f ca="1" t="shared" si="53"/>
        <v>0</v>
      </c>
      <c r="P50">
        <f ca="1">IF(G50="恒定伤害",0,(IF(D50="轻剑",$AZ$2,$AZ$3)+IFERROR(INDEX(技能数据库!$T$2:$W$27,MATCH(E50,技能数据库!$T$2:$T$27,0),4),0)+COUNTIF(G50,"*造化2*")*154+COUNTIF(G50,"*造化1*")*102+COUNTIF(G50,"*碧归*")*307)/1024)</f>
        <v>0.116321271929785</v>
      </c>
      <c r="Q50">
        <f ca="1" t="shared" si="82"/>
        <v>0.448284482196154</v>
      </c>
      <c r="R50">
        <f ca="1" t="shared" si="54"/>
        <v>0.21277697966198</v>
      </c>
      <c r="S50">
        <f ca="1" t="shared" si="75"/>
        <v>0</v>
      </c>
      <c r="T50">
        <f t="shared" si="76"/>
        <v>0.8</v>
      </c>
      <c r="U50">
        <f ca="1" t="shared" si="83"/>
        <v>1.7800129648</v>
      </c>
      <c r="V50">
        <f ca="1" t="shared" si="77"/>
        <v>0</v>
      </c>
      <c r="W50">
        <f ca="1">IF(G50="恒定伤害",0,MIN(1,IF(COUNTIF(F50,"*内会*")&gt;0,内会2,IF(D50="轻剑",$Y$2,$Y$3)+COUNTIF(G50,"*莺鸣*")*0.2+COUNTIF(G50,"*叠1*")*0.1+COUNTIF(G50,"*叠2*")*0.2+COUNTIF(G50,"*叠3*")*0.3)+IFERROR(INDEX(技能数据库!$T$2:$W$27,MATCH(E50,技能数据库!$T$2:$T$27,0),2),0)+IF((IF(D50="轻剑",$AO$2,$AO$3)+INT(COUNTIF(G50,"*大莺鸣*")*IF(D50="轻剑",$AM$2,$AM$3)*听晓无双率)/无双系数)&gt;0.9,特效裤子会心/会心系数,0)))</f>
        <v>0.7043</v>
      </c>
      <c r="X50">
        <f ca="1">IF(G50="恒定伤害",0,IF(COUNTIF(F50,"*内会*")&gt;0,内会效2,IF(D50="轻剑",$AB$2,$AB$3))+IFERROR(INDEX(技能数据库!$T$2:$W$27,MATCH(E50,技能数据库!$T$2:$T$27,0),3)/1024,0))+COUNTIF(G50,"*叠1*")*0.25+COUNTIF(G50,"*叠2*")*0.5+COUNTIF(G50,"*叠3*")*0.75</f>
        <v>2.1712723116</v>
      </c>
      <c r="Y50">
        <f ca="1" t="shared" si="78"/>
        <v>1.82492708905988</v>
      </c>
      <c r="Z50">
        <f t="shared" si="16"/>
        <v>0.150390625</v>
      </c>
      <c r="AA50">
        <f ca="1" t="shared" si="79"/>
        <v>0.0205078125</v>
      </c>
      <c r="AB50">
        <f ca="1" t="shared" si="80"/>
        <v>0</v>
      </c>
      <c r="AC50">
        <f ca="1">技能数计算!$AJ42</f>
        <v>28</v>
      </c>
      <c r="AD50" s="164">
        <f ca="1" t="shared" si="81"/>
        <v>0</v>
      </c>
      <c r="AE50" s="168"/>
      <c r="AF50" s="168">
        <f ca="1" t="shared" si="17"/>
        <v>0.7057</v>
      </c>
      <c r="AG50">
        <f ca="1">技能数计算!$AJ42</f>
        <v>28</v>
      </c>
      <c r="AH50">
        <f ca="1" t="shared" si="18"/>
        <v>109879</v>
      </c>
      <c r="AJ50">
        <f ca="1" t="shared" si="55"/>
        <v>2.3704910616</v>
      </c>
      <c r="AK50">
        <f ca="1" t="shared" si="84"/>
        <v>0</v>
      </c>
      <c r="AL50">
        <f ca="1" t="shared" si="85"/>
        <v>0</v>
      </c>
      <c r="AM50" s="169">
        <f ca="1" t="shared" si="20"/>
        <v>0.7272</v>
      </c>
      <c r="AN50">
        <f ca="1">技能数计算!$AJ42</f>
        <v>28</v>
      </c>
      <c r="AO50" s="170">
        <f ca="1" t="shared" si="86"/>
        <v>0</v>
      </c>
      <c r="AP50">
        <f ca="1" t="shared" si="22"/>
        <v>110956</v>
      </c>
      <c r="AQ50" s="170">
        <f ca="1" t="shared" si="87"/>
        <v>0</v>
      </c>
      <c r="AR50">
        <f ca="1" t="shared" si="88"/>
        <v>0</v>
      </c>
      <c r="AS50">
        <f ca="1" t="shared" si="24"/>
        <v>0.7843</v>
      </c>
      <c r="AT50">
        <f ca="1">技能数计算!$AJ42</f>
        <v>28</v>
      </c>
      <c r="AU50">
        <f ca="1" t="shared" si="25"/>
        <v>2.3177566866</v>
      </c>
      <c r="AV50">
        <f ca="1" t="shared" si="89"/>
        <v>1.7995442148</v>
      </c>
      <c r="AW50">
        <f ca="1" t="shared" si="58"/>
        <v>0</v>
      </c>
      <c r="AX50">
        <f ca="1" t="shared" si="27"/>
        <v>0.7743</v>
      </c>
      <c r="AY50">
        <f ca="1">技能数计算!$AJ42</f>
        <v>28</v>
      </c>
      <c r="AZ50" s="170">
        <f ca="1" t="shared" si="59"/>
        <v>0</v>
      </c>
      <c r="BA50">
        <f ca="1" t="shared" si="28"/>
        <v>0.7643</v>
      </c>
      <c r="BB50">
        <f ca="1">技能数计算!$AJ42</f>
        <v>28</v>
      </c>
      <c r="BC50" s="170">
        <f ca="1" t="shared" si="60"/>
        <v>0</v>
      </c>
      <c r="BE50">
        <f ca="1" t="shared" si="29"/>
        <v>105849</v>
      </c>
      <c r="BF50">
        <f ca="1" t="shared" si="90"/>
        <v>0</v>
      </c>
      <c r="BI50">
        <f ca="1" t="shared" si="31"/>
        <v>0.7543</v>
      </c>
      <c r="BJ50">
        <f ca="1">技能数计算!$AJ42</f>
        <v>28</v>
      </c>
      <c r="BK50">
        <f ca="1" t="shared" si="91"/>
        <v>0</v>
      </c>
      <c r="BM50">
        <f ca="1" t="shared" si="33"/>
        <v>109230</v>
      </c>
      <c r="BN50">
        <f ca="1" t="shared" si="92"/>
        <v>0</v>
      </c>
      <c r="BO50">
        <f ca="1" t="shared" si="93"/>
        <v>0</v>
      </c>
      <c r="BP50">
        <f ca="1" t="shared" si="94"/>
        <v>0</v>
      </c>
      <c r="BR50">
        <f ca="1" t="shared" si="37"/>
        <v>0.7543</v>
      </c>
      <c r="BS50">
        <f ca="1" t="shared" si="95"/>
        <v>0</v>
      </c>
      <c r="BT50">
        <f ca="1" t="shared" si="96"/>
        <v>0.196995876306796</v>
      </c>
      <c r="BU50">
        <f ca="1" t="shared" si="40"/>
        <v>2.3177566866</v>
      </c>
      <c r="BV50">
        <f ca="1" t="shared" si="61"/>
        <v>0</v>
      </c>
      <c r="BW50">
        <f ca="1" t="shared" si="41"/>
        <v>113027</v>
      </c>
      <c r="BX50">
        <f ca="1" t="shared" si="97"/>
        <v>0</v>
      </c>
      <c r="BY50">
        <f ca="1" t="shared" si="43"/>
        <v>0.7343</v>
      </c>
      <c r="BZ50">
        <f ca="1">技能数计算!$AJ42</f>
        <v>28</v>
      </c>
      <c r="CA50">
        <f ca="1" t="shared" si="44"/>
        <v>2.3216629366</v>
      </c>
      <c r="CB50">
        <f ca="1" t="shared" si="62"/>
        <v>0</v>
      </c>
      <c r="CC50">
        <f ca="1" t="shared" si="45"/>
        <v>114847</v>
      </c>
      <c r="CD50">
        <f ca="1" t="shared" si="98"/>
        <v>0</v>
      </c>
      <c r="CE50">
        <f ca="1" t="shared" si="99"/>
        <v>0</v>
      </c>
      <c r="CF50">
        <f ca="1" t="shared" si="48"/>
        <v>2.2689285616</v>
      </c>
      <c r="CG50">
        <f ca="1" t="shared" si="49"/>
        <v>0.7343</v>
      </c>
      <c r="CH50">
        <f ca="1" t="shared" si="63"/>
        <v>0</v>
      </c>
      <c r="CJ50">
        <f ca="1" t="shared" si="100"/>
        <v>0</v>
      </c>
      <c r="CK50">
        <f ca="1" t="shared" si="101"/>
        <v>0</v>
      </c>
      <c r="CL50">
        <f ca="1" t="shared" si="64"/>
        <v>2.2915848116</v>
      </c>
      <c r="CM50">
        <f ca="1">IF(G50="恒定伤害",0,(IF(D50="轻剑",$CM$8,$CM$9)+IFERROR(INDEX(技能数据库!$T$2:$W$27,MATCH(E50,技能数据库!$T$2:$T$27,0),4),0)+COUNTIF(G50,"*造化2*")*154+COUNTIF(G50,"*造化1*")*102+COUNTIF(G50,"*碧归*")*307)/1024)</f>
        <v>0.176868146929785</v>
      </c>
      <c r="CN50">
        <f ca="1" t="shared" si="65"/>
        <v>0</v>
      </c>
      <c r="CO50">
        <f ca="1" t="shared" si="66"/>
        <v>2.3156473116</v>
      </c>
      <c r="CP50">
        <f ca="1" t="shared" si="67"/>
        <v>0</v>
      </c>
      <c r="CQ50">
        <f ca="1" t="shared" si="102"/>
        <v>1.8815754648</v>
      </c>
      <c r="CR50">
        <f ca="1">IF(G50="恒定伤害",0,(IF(D50="轻剑",$CR$8,$CR$9)+IFERROR(INDEX(技能数据库!$T$2:$W$27,MATCH(E50,技能数据库!$T$2:$T$27,0),4),0)+COUNTIF(G50,"*造化2*")*154+COUNTIF(G50,"*造化1*")*102+COUNTIF(G50,"*碧归*")*307)/1024)</f>
        <v>0.167102521929785</v>
      </c>
      <c r="CS50">
        <f ca="1" t="shared" si="68"/>
        <v>0</v>
      </c>
    </row>
    <row r="51" spans="4:97">
      <c r="D51" t="s">
        <v>1825</v>
      </c>
      <c r="E51" t="s">
        <v>2786</v>
      </c>
      <c r="G51" t="s">
        <v>3044</v>
      </c>
      <c r="H51">
        <f ca="1">INDEX(技能数据库!$B$2:$I$100,MATCH(阵眼收益计算!$E51,技能数据库!$B$2:$B$100,0),MATCH(H$9,技能数据库!$B$2:$I$2,0))</f>
        <v>0</v>
      </c>
      <c r="I51">
        <f ca="1">INDEX(技能数据库!$B$2:$I$100,MATCH(阵眼收益计算!$E51,技能数据库!$B$2:$B$100,0),MATCH(I$9,技能数据库!$B$2:$I$2,0))</f>
        <v>0</v>
      </c>
      <c r="J51">
        <f ca="1">INDEX(技能数据库!$B$2:$I$100,MATCH(阵眼收益计算!$E51,技能数据库!$B$2:$B$100,0),MATCH(J$9,技能数据库!$B$2:$I$2,0))</f>
        <v>0</v>
      </c>
      <c r="K51">
        <f ca="1">INDEX(技能数据库!$B$2:$I$100,MATCH(阵眼收益计算!$E51,技能数据库!$B$2:$B$100,0),MATCH(K$9,技能数据库!$B$2:$I$2,0))</f>
        <v>0</v>
      </c>
      <c r="L51">
        <f ca="1" t="shared" si="13"/>
        <v>105847</v>
      </c>
      <c r="M51">
        <f ca="1" t="shared" si="73"/>
        <v>19530.5</v>
      </c>
      <c r="N51">
        <f ca="1" t="shared" si="74"/>
        <v>92028</v>
      </c>
      <c r="O51">
        <f ca="1" t="shared" si="53"/>
        <v>0</v>
      </c>
      <c r="P51">
        <f ca="1">IF(G51="恒定伤害",0,(IF(D51="轻剑",$AZ$2,$AZ$3)+IFERROR(INDEX(技能数据库!$T$2:$W$27,MATCH(E51,技能数据库!$T$2:$T$27,0),4),0)+COUNTIF(G51,"*造化2*")*154+COUNTIF(G51,"*造化1*")*102+COUNTIF(G51,"*碧归*")*307)/1024)</f>
        <v>0.116321271929785</v>
      </c>
      <c r="Q51">
        <f ca="1" t="shared" si="82"/>
        <v>0.448284482196154</v>
      </c>
      <c r="R51">
        <f ca="1" t="shared" si="54"/>
        <v>0.21277697966198</v>
      </c>
      <c r="S51">
        <f ca="1" t="shared" si="75"/>
        <v>0</v>
      </c>
      <c r="T51">
        <f t="shared" si="76"/>
        <v>0.8</v>
      </c>
      <c r="U51">
        <f ca="1" t="shared" si="83"/>
        <v>2.67001635480339</v>
      </c>
      <c r="V51">
        <f ca="1" t="shared" si="77"/>
        <v>0</v>
      </c>
      <c r="W51">
        <f ca="1">IF(G51="恒定伤害",0,MIN(1,IF(COUNTIF(F51,"*内会*")&gt;0,内会2,IF(D51="轻剑",$Y$2,$Y$3)+COUNTIF(G51,"*莺鸣*")*0.2+COUNTIF(G51,"*叠1*")*0.1+COUNTIF(G51,"*叠2*")*0.2+COUNTIF(G51,"*叠3*")*0.3)+IFERROR(INDEX(技能数据库!$T$2:$W$27,MATCH(E51,技能数据库!$T$2:$T$27,0),2),0)+IF((IF(D51="轻剑",$AO$2,$AO$3)+INT(COUNTIF(G51,"*大莺鸣*")*IF(D51="轻剑",$AM$2,$AM$3)*听晓无双率)/无双系数)&gt;0.9,特效裤子会心/会心系数,0)))</f>
        <v>0.9043</v>
      </c>
      <c r="X51">
        <f ca="1">IF(G51="恒定伤害",0,IF(COUNTIF(F51,"*内会*")&gt;0,内会效2,IF(D51="轻剑",$AB$2,$AB$3))+IFERROR(INDEX(技能数据库!$T$2:$W$27,MATCH(E51,技能数据库!$T$2:$T$27,0),3)/1024,0))+COUNTIF(G51,"*叠1*")*0.25+COUNTIF(G51,"*叠2*")*0.5+COUNTIF(G51,"*叠3*")*0.75</f>
        <v>2.1712723116</v>
      </c>
      <c r="Y51">
        <f ca="1" t="shared" si="78"/>
        <v>2.05918155137988</v>
      </c>
      <c r="Z51">
        <f t="shared" si="16"/>
        <v>0.150390625</v>
      </c>
      <c r="AA51">
        <f ca="1" t="shared" si="79"/>
        <v>0.0205078125</v>
      </c>
      <c r="AB51">
        <f ca="1" t="shared" si="80"/>
        <v>0</v>
      </c>
      <c r="AC51">
        <f ca="1">技能数计算!$AJ43</f>
        <v>0</v>
      </c>
      <c r="AD51" s="164">
        <f ca="1" t="shared" si="81"/>
        <v>0</v>
      </c>
      <c r="AE51" s="168"/>
      <c r="AF51" s="168">
        <f ca="1" t="shared" si="17"/>
        <v>0.9057</v>
      </c>
      <c r="AG51">
        <f ca="1">技能数计算!$AJ43</f>
        <v>0</v>
      </c>
      <c r="AH51">
        <f ca="1" t="shared" si="18"/>
        <v>109879</v>
      </c>
      <c r="AJ51">
        <f ca="1" t="shared" si="55"/>
        <v>2.3704910616</v>
      </c>
      <c r="AK51">
        <f ca="1" t="shared" si="84"/>
        <v>0</v>
      </c>
      <c r="AL51">
        <f ca="1" t="shared" si="85"/>
        <v>0</v>
      </c>
      <c r="AM51" s="169">
        <f ca="1" t="shared" si="20"/>
        <v>0.9272</v>
      </c>
      <c r="AN51">
        <f ca="1">技能数计算!$AJ43</f>
        <v>0</v>
      </c>
      <c r="AO51" s="170">
        <f ca="1" t="shared" si="86"/>
        <v>0</v>
      </c>
      <c r="AP51">
        <f ca="1" t="shared" si="22"/>
        <v>110956</v>
      </c>
      <c r="AQ51" s="170">
        <f ca="1" t="shared" si="87"/>
        <v>0</v>
      </c>
      <c r="AR51">
        <f ca="1" t="shared" si="88"/>
        <v>0</v>
      </c>
      <c r="AS51">
        <f ca="1" t="shared" si="24"/>
        <v>0.9843</v>
      </c>
      <c r="AT51">
        <f ca="1">技能数计算!$AJ43</f>
        <v>0</v>
      </c>
      <c r="AU51">
        <f ca="1" t="shared" si="25"/>
        <v>2.3177566866</v>
      </c>
      <c r="AV51">
        <f ca="1" t="shared" si="89"/>
        <v>2.68954760480339</v>
      </c>
      <c r="AW51">
        <f ca="1" t="shared" si="58"/>
        <v>0</v>
      </c>
      <c r="AX51">
        <f ca="1" t="shared" si="27"/>
        <v>0.9743</v>
      </c>
      <c r="AY51">
        <f ca="1">技能数计算!$AJ43</f>
        <v>0</v>
      </c>
      <c r="AZ51" s="170">
        <f ca="1" t="shared" si="59"/>
        <v>0</v>
      </c>
      <c r="BA51">
        <f ca="1" t="shared" si="28"/>
        <v>0.9643</v>
      </c>
      <c r="BB51">
        <f ca="1">技能数计算!$AJ43</f>
        <v>0</v>
      </c>
      <c r="BC51" s="170">
        <f ca="1" t="shared" si="60"/>
        <v>0</v>
      </c>
      <c r="BE51">
        <f ca="1" t="shared" si="29"/>
        <v>105849</v>
      </c>
      <c r="BF51">
        <f ca="1" t="shared" si="90"/>
        <v>0</v>
      </c>
      <c r="BI51">
        <f ca="1" t="shared" si="31"/>
        <v>0.9543</v>
      </c>
      <c r="BJ51">
        <f ca="1">技能数计算!$AJ43</f>
        <v>0</v>
      </c>
      <c r="BK51">
        <f ca="1" t="shared" si="91"/>
        <v>0</v>
      </c>
      <c r="BM51">
        <f ca="1" t="shared" si="33"/>
        <v>109230</v>
      </c>
      <c r="BN51">
        <f ca="1" t="shared" si="92"/>
        <v>0</v>
      </c>
      <c r="BO51">
        <f ca="1" t="shared" si="93"/>
        <v>0</v>
      </c>
      <c r="BP51">
        <f ca="1" t="shared" si="94"/>
        <v>0</v>
      </c>
      <c r="BR51">
        <f ca="1" t="shared" si="37"/>
        <v>0.9543</v>
      </c>
      <c r="BS51">
        <f ca="1" t="shared" si="95"/>
        <v>0</v>
      </c>
      <c r="BT51">
        <f ca="1" t="shared" si="96"/>
        <v>0.196995876306796</v>
      </c>
      <c r="BU51">
        <f ca="1" t="shared" si="40"/>
        <v>2.3177566866</v>
      </c>
      <c r="BV51">
        <f ca="1" t="shared" si="61"/>
        <v>0</v>
      </c>
      <c r="BW51">
        <f ca="1" t="shared" si="41"/>
        <v>113027</v>
      </c>
      <c r="BX51">
        <f ca="1" t="shared" si="97"/>
        <v>0</v>
      </c>
      <c r="BY51">
        <f ca="1" t="shared" si="43"/>
        <v>0.9343</v>
      </c>
      <c r="BZ51">
        <f ca="1">技能数计算!$AJ43</f>
        <v>0</v>
      </c>
      <c r="CA51">
        <f ca="1" t="shared" si="44"/>
        <v>2.3216629366</v>
      </c>
      <c r="CB51">
        <f ca="1" t="shared" si="62"/>
        <v>0</v>
      </c>
      <c r="CC51">
        <f ca="1" t="shared" si="45"/>
        <v>114847</v>
      </c>
      <c r="CD51">
        <f ca="1" t="shared" si="98"/>
        <v>0</v>
      </c>
      <c r="CE51">
        <f ca="1" t="shared" si="99"/>
        <v>0</v>
      </c>
      <c r="CF51">
        <f ca="1" t="shared" si="48"/>
        <v>2.2689285616</v>
      </c>
      <c r="CG51">
        <f ca="1" t="shared" si="49"/>
        <v>0.9343</v>
      </c>
      <c r="CH51">
        <f ca="1" t="shared" si="63"/>
        <v>0</v>
      </c>
      <c r="CJ51">
        <f ca="1" t="shared" si="100"/>
        <v>0</v>
      </c>
      <c r="CK51">
        <f ca="1" t="shared" si="101"/>
        <v>0</v>
      </c>
      <c r="CL51">
        <f ca="1" t="shared" si="64"/>
        <v>2.2915848116</v>
      </c>
      <c r="CM51">
        <f ca="1">IF(G51="恒定伤害",0,(IF(D51="轻剑",$CM$8,$CM$9)+IFERROR(INDEX(技能数据库!$T$2:$W$27,MATCH(E51,技能数据库!$T$2:$T$27,0),4),0)+COUNTIF(G51,"*造化2*")*154+COUNTIF(G51,"*造化1*")*102+COUNTIF(G51,"*碧归*")*307)/1024)</f>
        <v>0.176868146929785</v>
      </c>
      <c r="CN51">
        <f ca="1" t="shared" si="65"/>
        <v>0</v>
      </c>
      <c r="CO51">
        <f ca="1" t="shared" si="66"/>
        <v>2.3156473116</v>
      </c>
      <c r="CP51">
        <f ca="1" t="shared" si="67"/>
        <v>0</v>
      </c>
      <c r="CQ51">
        <f ca="1" t="shared" si="102"/>
        <v>2.77157885480339</v>
      </c>
      <c r="CR51">
        <f ca="1">IF(G51="恒定伤害",0,(IF(D51="轻剑",$CR$8,$CR$9)+IFERROR(INDEX(技能数据库!$T$2:$W$27,MATCH(E51,技能数据库!$T$2:$T$27,0),4),0)+COUNTIF(G51,"*造化2*")*154+COUNTIF(G51,"*造化1*")*102+COUNTIF(G51,"*碧归*")*307)/1024)</f>
        <v>0.167102521929785</v>
      </c>
      <c r="CS51">
        <f ca="1" t="shared" si="68"/>
        <v>0</v>
      </c>
    </row>
    <row r="52" spans="4:97">
      <c r="D52" t="s">
        <v>1825</v>
      </c>
      <c r="E52" t="s">
        <v>2723</v>
      </c>
      <c r="H52">
        <f ca="1">INDEX(技能数据库!$B$2:$I$100,MATCH(阵眼收益计算!$E52,技能数据库!$B$2:$B$100,0),MATCH(H$9,技能数据库!$B$2:$I$2,0))</f>
        <v>143</v>
      </c>
      <c r="I52">
        <f ca="1">INDEX(技能数据库!$B$2:$I$100,MATCH(阵眼收益计算!$E52,技能数据库!$B$2:$B$100,0),MATCH(I$9,技能数据库!$B$2:$I$2,0))</f>
        <v>2.53125</v>
      </c>
      <c r="J52">
        <f ca="1">INDEX(技能数据库!$B$2:$I$100,MATCH(阵眼收益计算!$E52,技能数据库!$B$2:$B$100,0),MATCH(J$9,技能数据库!$B$2:$I$2,0))</f>
        <v>2</v>
      </c>
      <c r="K52">
        <f ca="1">INDEX(技能数据库!$B$2:$I$100,MATCH(阵眼收益计算!$E52,技能数据库!$B$2:$B$100,0),MATCH(K$9,技能数据库!$B$2:$I$2,0))</f>
        <v>0</v>
      </c>
      <c r="L52">
        <f ca="1" t="shared" si="13"/>
        <v>91975</v>
      </c>
      <c r="M52">
        <f ca="1" t="shared" si="73"/>
        <v>19530.5</v>
      </c>
      <c r="N52">
        <f ca="1" t="shared" si="74"/>
        <v>92028</v>
      </c>
      <c r="O52">
        <f ca="1" t="shared" si="53"/>
        <v>272015.71875</v>
      </c>
      <c r="P52">
        <f ca="1">IF(G52="恒定伤害",0,(IF(D52="轻剑",$AZ$2,$AZ$3)+IFERROR(INDEX(技能数据库!$T$2:$W$27,MATCH(E52,技能数据库!$T$2:$T$27,0),4),0)+COUNTIF(G52,"*造化2*")*154+COUNTIF(G52,"*造化1*")*102+COUNTIF(G52,"*碧归*")*307)/1024)</f>
        <v>0.116321271929785</v>
      </c>
      <c r="Q52">
        <f ca="1" t="shared" si="82"/>
        <v>0.448284482196154</v>
      </c>
      <c r="R52">
        <f ca="1" t="shared" si="54"/>
        <v>0.32958230397716</v>
      </c>
      <c r="S52">
        <f ca="1" t="shared" si="75"/>
        <v>294837.383234453</v>
      </c>
      <c r="T52">
        <f t="shared" si="76"/>
        <v>0.8</v>
      </c>
      <c r="U52">
        <f ca="1" t="shared" si="83"/>
        <v>1.7800129648</v>
      </c>
      <c r="V52">
        <f ca="1" t="shared" si="77"/>
        <v>655721.398319588</v>
      </c>
      <c r="W52">
        <f ca="1">IF(G52="恒定伤害",0,MIN(1,IF(COUNTIF(F52,"*内会*")&gt;0,内会2,IF(D52="轻剑",$Y$2,$Y$3)+COUNTIF(G52,"*莺鸣*")*0.2+COUNTIF(G52,"*叠1*")*0.1+COUNTIF(G52,"*叠2*")*0.2+COUNTIF(G52,"*叠3*")*0.3)+IFERROR(INDEX(技能数据库!$T$2:$W$27,MATCH(E52,技能数据库!$T$2:$T$27,0),2),0)+IF((IF(D52="轻剑",$AO$2,$AO$3)+INT(COUNTIF(G52,"*大莺鸣*")*IF(D52="轻剑",$AM$2,$AM$3)*听晓无双率)/无双系数)&gt;0.9,特效裤子会心/会心系数,0)))</f>
        <v>0.7043</v>
      </c>
      <c r="X52">
        <f ca="1">IF(G52="恒定伤害",0,IF(COUNTIF(F52,"*内会*")&gt;0,内会效2,IF(D52="轻剑",$AB$2,$AB$3))+IFERROR(INDEX(技能数据库!$T$2:$W$27,MATCH(E52,技能数据库!$T$2:$T$27,0),3)/1024,0))+COUNTIF(G52,"*叠1*")*0.25+COUNTIF(G52,"*叠2*")*0.5+COUNTIF(G52,"*叠3*")*0.75</f>
        <v>2.1712723116</v>
      </c>
      <c r="Y52">
        <f ca="1" t="shared" si="78"/>
        <v>1.82492708905988</v>
      </c>
      <c r="Z52">
        <f t="shared" si="16"/>
        <v>0.150390625</v>
      </c>
      <c r="AA52">
        <f ca="1" t="shared" si="79"/>
        <v>0.0205078125</v>
      </c>
      <c r="AB52">
        <f ca="1" t="shared" si="80"/>
        <v>1404838.95651222</v>
      </c>
      <c r="AC52">
        <f ca="1">($AC$24+$AC$28+$AC$32+$AC$137)*MIN(1,0.3+$Y$3)</f>
        <v>0</v>
      </c>
      <c r="AD52" s="164">
        <f ca="1" t="shared" si="81"/>
        <v>0</v>
      </c>
      <c r="AE52" s="168"/>
      <c r="AF52" s="168">
        <f ca="1" t="shared" si="17"/>
        <v>0.7057</v>
      </c>
      <c r="AG52">
        <f ca="1">($AC$24+$AC$28+$AC$32+$AC$137)*MIN(1,0.3+$AF$9)</f>
        <v>0</v>
      </c>
      <c r="AH52">
        <f ca="1" t="shared" si="18"/>
        <v>96007</v>
      </c>
      <c r="AJ52">
        <f ca="1" t="shared" si="55"/>
        <v>2.3704910616</v>
      </c>
      <c r="AK52">
        <f ca="1" t="shared" si="84"/>
        <v>282698.71875</v>
      </c>
      <c r="AL52">
        <f ca="1" t="shared" si="85"/>
        <v>1574232.90705322</v>
      </c>
      <c r="AM52" s="169">
        <f ca="1" t="shared" si="20"/>
        <v>0.7272</v>
      </c>
      <c r="AN52">
        <f ca="1">($AC$24+$AC$28+$AC$32+$AC$137)*MIN(1,0.3+$AN$9)</f>
        <v>0</v>
      </c>
      <c r="AO52" s="170">
        <f ca="1" t="shared" si="86"/>
        <v>1597812.96961434</v>
      </c>
      <c r="AP52">
        <f ca="1" t="shared" si="22"/>
        <v>97084</v>
      </c>
      <c r="AQ52" s="170">
        <f ca="1" t="shared" si="87"/>
        <v>284947.875</v>
      </c>
      <c r="AR52">
        <f ca="1" t="shared" si="88"/>
        <v>1557964.49139977</v>
      </c>
      <c r="AS52">
        <f ca="1" t="shared" si="24"/>
        <v>0.7843</v>
      </c>
      <c r="AT52">
        <f ca="1">($AC$24+$AC$28+$AC$32+$AC$137)*MIN(1,0.3+AS$9)</f>
        <v>0</v>
      </c>
      <c r="AU52">
        <f ca="1" t="shared" si="25"/>
        <v>2.3177566866</v>
      </c>
      <c r="AV52">
        <f ca="1" t="shared" si="89"/>
        <v>1.7995442148</v>
      </c>
      <c r="AW52">
        <f ca="1" t="shared" si="58"/>
        <v>1576410.2464056</v>
      </c>
      <c r="AX52">
        <f ca="1" t="shared" si="27"/>
        <v>0.7743</v>
      </c>
      <c r="AY52">
        <f ca="1">($AC$24+$AC$28+$AC$32+$AC$137)*MIN(1,0.3+AX$9)</f>
        <v>0</v>
      </c>
      <c r="AZ52" s="170">
        <f ca="1" t="shared" si="59"/>
        <v>1566194.81381761</v>
      </c>
      <c r="BA52">
        <f ca="1" t="shared" si="28"/>
        <v>0.7643</v>
      </c>
      <c r="BB52">
        <f ca="1">($AC$24+$AC$28+$AC$32+$AC$137)*MIN(1,0.3+BA$9)</f>
        <v>0</v>
      </c>
      <c r="BC52" s="170">
        <f ca="1" t="shared" si="60"/>
        <v>1555979.38122961</v>
      </c>
      <c r="BE52">
        <f ca="1" t="shared" si="29"/>
        <v>91977</v>
      </c>
      <c r="BF52">
        <f ca="1" t="shared" si="90"/>
        <v>272020.78125</v>
      </c>
      <c r="BI52">
        <f ca="1" t="shared" si="31"/>
        <v>0.7543</v>
      </c>
      <c r="BJ52">
        <f ca="1">($AC$24+$AC$28+$AC$32+$AC$137)*MIN(1,0.3+BI$9)</f>
        <v>0</v>
      </c>
      <c r="BK52">
        <f ca="1" t="shared" si="91"/>
        <v>1547524.54061088</v>
      </c>
      <c r="BM52">
        <f ca="1" t="shared" si="33"/>
        <v>95358</v>
      </c>
      <c r="BN52">
        <f ca="1" t="shared" si="92"/>
        <v>280578.9375</v>
      </c>
      <c r="BO52">
        <f ca="1" t="shared" si="93"/>
        <v>1564966.81041997</v>
      </c>
      <c r="BP52">
        <f ca="1" t="shared" si="94"/>
        <v>1492418.59802715</v>
      </c>
      <c r="BR52">
        <f ca="1" t="shared" si="37"/>
        <v>0.7543</v>
      </c>
      <c r="BS52">
        <f ca="1" t="shared" si="95"/>
        <v>1551133.31430299</v>
      </c>
      <c r="BT52">
        <f ca="1" t="shared" si="96"/>
        <v>0.318170800459405</v>
      </c>
      <c r="BU52">
        <f ca="1" t="shared" si="40"/>
        <v>2.3177566866</v>
      </c>
      <c r="BV52">
        <f ca="1" t="shared" si="61"/>
        <v>1561107.43237566</v>
      </c>
      <c r="BW52">
        <f ca="1" t="shared" si="41"/>
        <v>99155</v>
      </c>
      <c r="BX52">
        <f ca="1" t="shared" si="97"/>
        <v>290190.09375</v>
      </c>
      <c r="BY52">
        <f ca="1" t="shared" si="43"/>
        <v>0.7343</v>
      </c>
      <c r="BZ52">
        <f ca="1">($AC$24+$AC$28+$AC$32+$AC$137)*MIN(1,0.3+BY$9)</f>
        <v>0</v>
      </c>
      <c r="CA52">
        <f ca="1" t="shared" si="44"/>
        <v>2.3216629366</v>
      </c>
      <c r="CB52">
        <f ca="1" t="shared" si="62"/>
        <v>1618249.2133523</v>
      </c>
      <c r="CC52">
        <f ca="1" t="shared" si="45"/>
        <v>100975</v>
      </c>
      <c r="CD52">
        <f ca="1" t="shared" si="98"/>
        <v>294796.96875</v>
      </c>
      <c r="CE52">
        <f ca="1" t="shared" si="99"/>
        <v>1598237.30366244</v>
      </c>
      <c r="CF52">
        <f ca="1" t="shared" si="48"/>
        <v>2.2689285616</v>
      </c>
      <c r="CG52">
        <f ca="1" t="shared" si="49"/>
        <v>0.7343</v>
      </c>
      <c r="CH52">
        <f ca="1" t="shared" si="63"/>
        <v>1497538.18387281</v>
      </c>
      <c r="CJ52">
        <f ca="1" t="shared" si="100"/>
        <v>280578.9375</v>
      </c>
      <c r="CK52">
        <f ca="1" t="shared" si="101"/>
        <v>1557877.596062</v>
      </c>
      <c r="CL52">
        <f ca="1" t="shared" si="64"/>
        <v>2.2915848116</v>
      </c>
      <c r="CM52">
        <f ca="1">IF(G52="恒定伤害",0,(IF(D52="轻剑",$CM$8,$CM$9)+IFERROR(INDEX(技能数据库!$T$2:$W$27,MATCH(E52,技能数据库!$T$2:$T$27,0),4),0)+COUNTIF(G52,"*造化2*")*154+COUNTIF(G52,"*造化1*")*102+COUNTIF(G52,"*碧归*")*307)/1024)</f>
        <v>0.176868146929785</v>
      </c>
      <c r="CN52">
        <f ca="1" t="shared" si="65"/>
        <v>1592357.77777111</v>
      </c>
      <c r="CO52">
        <f ca="1" t="shared" si="66"/>
        <v>2.3156473116</v>
      </c>
      <c r="CP52">
        <f ca="1" t="shared" si="67"/>
        <v>1606798.01794574</v>
      </c>
      <c r="CQ52">
        <f ca="1" t="shared" si="102"/>
        <v>1.8815754648</v>
      </c>
      <c r="CR52">
        <f ca="1">IF(G52="恒定伤害",0,(IF(D52="轻剑",$CR$8,$CR$9)+IFERROR(INDEX(技能数据库!$T$2:$W$27,MATCH(E52,技能数据库!$T$2:$T$27,0),4),0)+COUNTIF(G52,"*造化2*")*154+COUNTIF(G52,"*造化1*")*102+COUNTIF(G52,"*碧归*")*307)/1024)</f>
        <v>0.167102521929785</v>
      </c>
      <c r="CS52">
        <f ca="1" t="shared" si="68"/>
        <v>1522402.62899953</v>
      </c>
    </row>
    <row r="53" spans="4:97">
      <c r="D53" t="s">
        <v>1825</v>
      </c>
      <c r="E53" t="s">
        <v>2723</v>
      </c>
      <c r="G53" t="s">
        <v>2750</v>
      </c>
      <c r="H53">
        <f ca="1">INDEX(技能数据库!$B$2:$I$100,MATCH(阵眼收益计算!$E53,技能数据库!$B$2:$B$100,0),MATCH(H$9,技能数据库!$B$2:$I$2,0))</f>
        <v>143</v>
      </c>
      <c r="I53">
        <f ca="1">INDEX(技能数据库!$B$2:$I$100,MATCH(阵眼收益计算!$E53,技能数据库!$B$2:$B$100,0),MATCH(I$9,技能数据库!$B$2:$I$2,0))</f>
        <v>2.53125</v>
      </c>
      <c r="J53">
        <f ca="1">INDEX(技能数据库!$B$2:$I$100,MATCH(阵眼收益计算!$E53,技能数据库!$B$2:$B$100,0),MATCH(J$9,技能数据库!$B$2:$I$2,0))</f>
        <v>2</v>
      </c>
      <c r="K53">
        <f ca="1">INDEX(技能数据库!$B$2:$I$100,MATCH(阵眼收益计算!$E53,技能数据库!$B$2:$B$100,0),MATCH(K$9,技能数据库!$B$2:$I$2,0))</f>
        <v>0</v>
      </c>
      <c r="L53">
        <f ca="1" t="shared" si="13"/>
        <v>105847</v>
      </c>
      <c r="M53">
        <f ca="1" t="shared" si="73"/>
        <v>19530.5</v>
      </c>
      <c r="N53">
        <f ca="1" t="shared" si="74"/>
        <v>92028</v>
      </c>
      <c r="O53">
        <f ca="1" t="shared" si="53"/>
        <v>307129.21875</v>
      </c>
      <c r="P53">
        <f ca="1">IF(G53="恒定伤害",0,(IF(D53="轻剑",$AZ$2,$AZ$3)+IFERROR(INDEX(技能数据库!$T$2:$W$27,MATCH(E53,技能数据库!$T$2:$T$27,0),4),0)+COUNTIF(G53,"*造化2*")*154+COUNTIF(G53,"*造化1*")*102+COUNTIF(G53,"*碧归*")*307)/1024)</f>
        <v>0.116321271929785</v>
      </c>
      <c r="Q53">
        <f ca="1" t="shared" si="82"/>
        <v>0.448284482196154</v>
      </c>
      <c r="R53">
        <f ca="1" t="shared" si="54"/>
        <v>0.21277697966198</v>
      </c>
      <c r="S53">
        <f ca="1" t="shared" si="75"/>
        <v>390896.694849304</v>
      </c>
      <c r="T53">
        <f t="shared" si="76"/>
        <v>0.8</v>
      </c>
      <c r="U53">
        <f ca="1" t="shared" si="83"/>
        <v>1.7800129648</v>
      </c>
      <c r="V53">
        <f ca="1" t="shared" si="77"/>
        <v>869358.303662828</v>
      </c>
      <c r="W53">
        <f ca="1">IF(G53="恒定伤害",0,MIN(1,IF(COUNTIF(F53,"*内会*")&gt;0,内会2,IF(D53="轻剑",$Y$2,$Y$3)+COUNTIF(G53,"*莺鸣*")*0.2+COUNTIF(G53,"*叠1*")*0.1+COUNTIF(G53,"*叠2*")*0.2+COUNTIF(G53,"*叠3*")*0.3)+IFERROR(INDEX(技能数据库!$T$2:$W$27,MATCH(E53,技能数据库!$T$2:$T$27,0),2),0)+IF((IF(D53="轻剑",$AO$2,$AO$3)+INT(COUNTIF(G53,"*大莺鸣*")*IF(D53="轻剑",$AM$2,$AM$3)*听晓无双率)/无双系数)&gt;0.9,特效裤子会心/会心系数,0)))</f>
        <v>0.7043</v>
      </c>
      <c r="X53">
        <f ca="1">IF(G53="恒定伤害",0,IF(COUNTIF(F53,"*内会*")&gt;0,内会效2,IF(D53="轻剑",$AB$2,$AB$3))+IFERROR(INDEX(技能数据库!$T$2:$W$27,MATCH(E53,技能数据库!$T$2:$T$27,0),3)/1024,0))+COUNTIF(G53,"*叠1*")*0.25+COUNTIF(G53,"*叠2*")*0.5+COUNTIF(G53,"*叠3*")*0.75</f>
        <v>2.1712723116</v>
      </c>
      <c r="Y53">
        <f ca="1" t="shared" si="78"/>
        <v>1.82492708905988</v>
      </c>
      <c r="Z53">
        <f t="shared" si="16"/>
        <v>0.150390625</v>
      </c>
      <c r="AA53">
        <f ca="1" t="shared" si="79"/>
        <v>0.0205078125</v>
      </c>
      <c r="AB53">
        <f ca="1" t="shared" si="80"/>
        <v>1862541.64540421</v>
      </c>
      <c r="AC53">
        <f ca="1">($AC$25+$AC$29+$AC$33+$AC$38+$AC$42+$AC$46+$AC$78+$AC$92+$AC$95+$AC$98+$AC$99+$AC$107)*MIN(1,0.3+$Y$3)</f>
        <v>76</v>
      </c>
      <c r="AD53" s="164">
        <f ca="1" t="shared" si="81"/>
        <v>0.0507488329589909</v>
      </c>
      <c r="AE53" s="168"/>
      <c r="AF53" s="168">
        <f ca="1" t="shared" si="17"/>
        <v>0.7057</v>
      </c>
      <c r="AG53">
        <f ca="1">($AC$25+$AC$29+$AC$33+$AC$38+$AC$42+$AC$46+$AC$78+$AC$92+$AC$95+$AC$98+$AC$99+$AC$107)*MIN(1,0.3+$AF$9)</f>
        <v>76</v>
      </c>
      <c r="AH53">
        <f ca="1" t="shared" si="18"/>
        <v>109879</v>
      </c>
      <c r="AJ53">
        <f ca="1" t="shared" si="55"/>
        <v>2.3704910616</v>
      </c>
      <c r="AK53">
        <f ca="1" t="shared" si="84"/>
        <v>317812.21875</v>
      </c>
      <c r="AL53">
        <f ca="1" t="shared" si="85"/>
        <v>2078107.70593402</v>
      </c>
      <c r="AM53" s="169">
        <f ca="1" t="shared" si="20"/>
        <v>0.7272</v>
      </c>
      <c r="AN53">
        <f ca="1">($AC$25+$AC$29+$AC$33+$AC$38+$AC$42+$AC$46+$AC$78+$AC$92+$AC$95+$AC$98+$AC$99+$AC$107)*MIN(1,0.3+$AN$9)</f>
        <v>76</v>
      </c>
      <c r="AO53" s="170">
        <f ca="1" t="shared" si="86"/>
        <v>2109235.18998999</v>
      </c>
      <c r="AP53">
        <f ca="1" t="shared" si="22"/>
        <v>110956</v>
      </c>
      <c r="AQ53" s="170">
        <f ca="1" t="shared" si="87"/>
        <v>320061.375</v>
      </c>
      <c r="AR53">
        <f ca="1" t="shared" si="88"/>
        <v>2054838.60080773</v>
      </c>
      <c r="AS53">
        <f ca="1" t="shared" si="24"/>
        <v>0.7843</v>
      </c>
      <c r="AT53">
        <f ca="1">($AC$25+$AC$29+$AC$33+$AC$38+$AC$42+$AC$46+$AC$78+$AC$92+$AC$95+$AC$98+$AC$99+$AC$107)*MIN(1,0.3+AS$9)</f>
        <v>76</v>
      </c>
      <c r="AU53">
        <f ca="1" t="shared" si="25"/>
        <v>2.3177566866</v>
      </c>
      <c r="AV53">
        <f ca="1" t="shared" si="89"/>
        <v>1.7995442148</v>
      </c>
      <c r="AW53">
        <f ca="1" t="shared" si="58"/>
        <v>2090011.6134748</v>
      </c>
      <c r="AX53">
        <f ca="1" t="shared" si="27"/>
        <v>0.7743</v>
      </c>
      <c r="AY53">
        <f ca="1">($AC$25+$AC$29+$AC$33+$AC$38+$AC$42+$AC$46+$AC$78+$AC$92+$AC$95+$AC$98+$AC$99+$AC$107)*MIN(1,0.3+AX$9)</f>
        <v>76</v>
      </c>
      <c r="AZ53" s="170">
        <f ca="1" t="shared" si="59"/>
        <v>2076467.94817938</v>
      </c>
      <c r="BA53">
        <f ca="1" t="shared" si="28"/>
        <v>0.7643</v>
      </c>
      <c r="BB53">
        <f ca="1">($AC$25+$AC$29+$AC$33+$AC$38+$AC$42+$AC$46+$AC$78+$AC$92+$AC$95+$AC$98+$AC$99+$AC$107)*MIN(1,0.3+BA$9)</f>
        <v>76</v>
      </c>
      <c r="BC53" s="170">
        <f ca="1" t="shared" si="60"/>
        <v>2062924.28288397</v>
      </c>
      <c r="BE53">
        <f ca="1" t="shared" si="29"/>
        <v>105849</v>
      </c>
      <c r="BF53">
        <f ca="1" t="shared" si="90"/>
        <v>307134.28125</v>
      </c>
      <c r="BI53">
        <f ca="1" t="shared" si="31"/>
        <v>0.7543</v>
      </c>
      <c r="BJ53">
        <f ca="1">($AC$25+$AC$29+$AC$33+$AC$38+$AC$42+$AC$46+$AC$78+$AC$92+$AC$95+$AC$98+$AC$99+$AC$107)*MIN(1,0.3+BI$9)</f>
        <v>76</v>
      </c>
      <c r="BK53">
        <f ca="1" t="shared" si="91"/>
        <v>2051710.45264804</v>
      </c>
      <c r="BM53">
        <f ca="1" t="shared" si="33"/>
        <v>109230</v>
      </c>
      <c r="BN53">
        <f ca="1" t="shared" si="92"/>
        <v>315692.4375</v>
      </c>
      <c r="BO53">
        <f ca="1" t="shared" si="93"/>
        <v>2067600.17307406</v>
      </c>
      <c r="BP53">
        <f ca="1" t="shared" si="94"/>
        <v>1971751.04994834</v>
      </c>
      <c r="BR53">
        <f ca="1" t="shared" si="37"/>
        <v>0.7543</v>
      </c>
      <c r="BS53">
        <f ca="1" t="shared" si="95"/>
        <v>2049323.65834209</v>
      </c>
      <c r="BT53">
        <f ca="1" t="shared" si="96"/>
        <v>0.196995876306796</v>
      </c>
      <c r="BU53">
        <f ca="1" t="shared" si="40"/>
        <v>2.3177566866</v>
      </c>
      <c r="BV53">
        <f ca="1" t="shared" si="61"/>
        <v>2075879.33161637</v>
      </c>
      <c r="BW53">
        <f ca="1" t="shared" si="41"/>
        <v>113027</v>
      </c>
      <c r="BX53">
        <f ca="1" t="shared" si="97"/>
        <v>325303.59375</v>
      </c>
      <c r="BY53">
        <f ca="1" t="shared" si="43"/>
        <v>0.7343</v>
      </c>
      <c r="BZ53">
        <f ca="1">($AC$25+$AC$29+$AC$33+$AC$38+$AC$42+$AC$46+$AC$78+$AC$92+$AC$95+$AC$98+$AC$99+$AC$107)*MIN(1,0.3+BY$9)</f>
        <v>76</v>
      </c>
      <c r="CA53">
        <f ca="1" t="shared" si="44"/>
        <v>2.3216629366</v>
      </c>
      <c r="CB53">
        <f ca="1" t="shared" si="62"/>
        <v>2130119.65225357</v>
      </c>
      <c r="CC53">
        <f ca="1" t="shared" si="45"/>
        <v>114847</v>
      </c>
      <c r="CD53">
        <f ca="1" t="shared" si="98"/>
        <v>329910.46875</v>
      </c>
      <c r="CE53">
        <f ca="1" t="shared" si="99"/>
        <v>2100229.0564667</v>
      </c>
      <c r="CF53">
        <f ca="1" t="shared" si="48"/>
        <v>2.2689285616</v>
      </c>
      <c r="CG53">
        <f ca="1" t="shared" si="49"/>
        <v>0.7343</v>
      </c>
      <c r="CH53">
        <f ca="1" t="shared" si="63"/>
        <v>1985442.68730338</v>
      </c>
      <c r="CJ53">
        <f ca="1" t="shared" si="100"/>
        <v>315692.4375</v>
      </c>
      <c r="CK53">
        <f ca="1" t="shared" si="101"/>
        <v>2058234.05697761</v>
      </c>
      <c r="CL53">
        <f ca="1" t="shared" si="64"/>
        <v>2.2915848116</v>
      </c>
      <c r="CM53">
        <f ca="1">IF(G53="恒定伤害",0,(IF(D53="轻剑",$CM$8,$CM$9)+IFERROR(INDEX(技能数据库!$T$2:$W$27,MATCH(E53,技能数据库!$T$2:$T$27,0),4),0)+COUNTIF(G53,"*造化2*")*154+COUNTIF(G53,"*造化1*")*102+COUNTIF(G53,"*碧归*")*307)/1024)</f>
        <v>0.176868146929785</v>
      </c>
      <c r="CN53">
        <f ca="1" t="shared" si="65"/>
        <v>2111154.92045099</v>
      </c>
      <c r="CO53">
        <f ca="1" t="shared" si="66"/>
        <v>2.3156473116</v>
      </c>
      <c r="CP53">
        <f ca="1" t="shared" si="67"/>
        <v>2130299.85416044</v>
      </c>
      <c r="CQ53">
        <f ca="1" t="shared" si="102"/>
        <v>1.8815754648</v>
      </c>
      <c r="CR53">
        <f ca="1">IF(G53="恒定伤害",0,(IF(D53="轻剑",$CR$8,$CR$9)+IFERROR(INDEX(技能数据库!$T$2:$W$27,MATCH(E53,技能数据库!$T$2:$T$27,0),4),0)+COUNTIF(G53,"*造化2*")*154+COUNTIF(G53,"*造化1*")*102+COUNTIF(G53,"*碧归*")*307)/1024)</f>
        <v>0.167102521929785</v>
      </c>
      <c r="CS53">
        <f ca="1" t="shared" si="68"/>
        <v>2018408.07762354</v>
      </c>
    </row>
    <row r="54" spans="4:97">
      <c r="D54" t="s">
        <v>1825</v>
      </c>
      <c r="E54" t="s">
        <v>2723</v>
      </c>
      <c r="G54" t="s">
        <v>2948</v>
      </c>
      <c r="H54">
        <f ca="1">INDEX(技能数据库!$B$2:$I$100,MATCH(阵眼收益计算!$E54,技能数据库!$B$2:$B$100,0),MATCH(H$9,技能数据库!$B$2:$I$2,0))</f>
        <v>143</v>
      </c>
      <c r="I54">
        <f ca="1">INDEX(技能数据库!$B$2:$I$100,MATCH(阵眼收益计算!$E54,技能数据库!$B$2:$B$100,0),MATCH(I$9,技能数据库!$B$2:$I$2,0))</f>
        <v>2.53125</v>
      </c>
      <c r="J54">
        <f ca="1">INDEX(技能数据库!$B$2:$I$100,MATCH(阵眼收益计算!$E54,技能数据库!$B$2:$B$100,0),MATCH(J$9,技能数据库!$B$2:$I$2,0))</f>
        <v>2</v>
      </c>
      <c r="K54">
        <f ca="1">INDEX(技能数据库!$B$2:$I$100,MATCH(阵眼收益计算!$E54,技能数据库!$B$2:$B$100,0),MATCH(K$9,技能数据库!$B$2:$I$2,0))</f>
        <v>0</v>
      </c>
      <c r="L54">
        <f ca="1" t="shared" si="13"/>
        <v>91975</v>
      </c>
      <c r="M54">
        <f ca="1" t="shared" si="73"/>
        <v>19530.5</v>
      </c>
      <c r="N54">
        <f ca="1" t="shared" si="74"/>
        <v>92028</v>
      </c>
      <c r="O54">
        <f ca="1" t="shared" si="53"/>
        <v>272015.71875</v>
      </c>
      <c r="P54">
        <f ca="1">IF(G54="恒定伤害",0,(IF(D54="轻剑",$AZ$2,$AZ$3)+IFERROR(INDEX(技能数据库!$T$2:$W$27,MATCH(E54,技能数据库!$T$2:$T$27,0),4),0)+COUNTIF(G54,"*造化2*")*154+COUNTIF(G54,"*造化1*")*102+COUNTIF(G54,"*碧归*")*307)/1024)</f>
        <v>0.116321271929785</v>
      </c>
      <c r="Q54">
        <f ca="1" t="shared" si="82"/>
        <v>0.448284482196154</v>
      </c>
      <c r="R54">
        <f ca="1" t="shared" si="54"/>
        <v>0.32958230397716</v>
      </c>
      <c r="S54">
        <f ca="1" t="shared" si="75"/>
        <v>294837.383234453</v>
      </c>
      <c r="T54">
        <f t="shared" si="76"/>
        <v>0.8</v>
      </c>
      <c r="U54">
        <f ca="1" t="shared" si="83"/>
        <v>2.67001635480339</v>
      </c>
      <c r="V54">
        <f ca="1" t="shared" si="77"/>
        <v>865646.414782301</v>
      </c>
      <c r="W54">
        <f ca="1">IF(G54="恒定伤害",0,MIN(1,IF(COUNTIF(F54,"*内会*")&gt;0,内会2,IF(D54="轻剑",$Y$2,$Y$3)+COUNTIF(G54,"*莺鸣*")*0.2+COUNTIF(G54,"*叠1*")*0.1+COUNTIF(G54,"*叠2*")*0.2+COUNTIF(G54,"*叠3*")*0.3)+IFERROR(INDEX(技能数据库!$T$2:$W$27,MATCH(E54,技能数据库!$T$2:$T$27,0),2),0)+IF((IF(D54="轻剑",$AO$2,$AO$3)+INT(COUNTIF(G54,"*大莺鸣*")*IF(D54="轻剑",$AM$2,$AM$3)*听晓无双率)/无双系数)&gt;0.9,特效裤子会心/会心系数,0)))</f>
        <v>0.9043</v>
      </c>
      <c r="X54">
        <f ca="1">IF(G54="恒定伤害",0,IF(COUNTIF(F54,"*内会*")&gt;0,内会效2,IF(D54="轻剑",$AB$2,$AB$3))+IFERROR(INDEX(技能数据库!$T$2:$W$27,MATCH(E54,技能数据库!$T$2:$T$27,0),3)/1024,0))+COUNTIF(G54,"*叠1*")*0.25+COUNTIF(G54,"*叠2*")*0.5+COUNTIF(G54,"*叠3*")*0.75</f>
        <v>2.1712723116</v>
      </c>
      <c r="Y54">
        <f ca="1" t="shared" si="78"/>
        <v>2.05918155137988</v>
      </c>
      <c r="Z54">
        <f t="shared" si="16"/>
        <v>0.150390625</v>
      </c>
      <c r="AA54">
        <f ca="1" t="shared" si="79"/>
        <v>0.0205078125</v>
      </c>
      <c r="AB54">
        <f ca="1" t="shared" si="80"/>
        <v>2092651.17166917</v>
      </c>
      <c r="AC54">
        <f ca="1">($AC$26+$AC$30+$AC$103+$AC$108+$AC$112)*MIN(1,0.3+$Y$3+0.2)</f>
        <v>0</v>
      </c>
      <c r="AD54" s="164">
        <f ca="1" t="shared" si="81"/>
        <v>0</v>
      </c>
      <c r="AE54" s="168"/>
      <c r="AF54" s="168">
        <f ca="1" t="shared" si="17"/>
        <v>0.9057</v>
      </c>
      <c r="AG54">
        <f ca="1">($AC$26+$AC$30+$AC$103+$AC$108+$AC$112)*MIN(1,0.3+$AF$9+0.2)</f>
        <v>0</v>
      </c>
      <c r="AH54">
        <f ca="1" t="shared" si="18"/>
        <v>96007</v>
      </c>
      <c r="AJ54">
        <f ca="1" t="shared" si="55"/>
        <v>2.3704910616</v>
      </c>
      <c r="AK54">
        <f ca="1" t="shared" si="84"/>
        <v>282698.71875</v>
      </c>
      <c r="AL54">
        <f ca="1" t="shared" si="85"/>
        <v>2367786.24930293</v>
      </c>
      <c r="AM54" s="169">
        <f ca="1" t="shared" si="20"/>
        <v>0.9272</v>
      </c>
      <c r="AN54">
        <f ca="1">($AC$26+$AC$30+$AC$103+$AC$108+$AC$112)*MIN(1,0.3+$AN$9+0.2)</f>
        <v>0</v>
      </c>
      <c r="AO54" s="170">
        <f ca="1" t="shared" si="86"/>
        <v>2398915.31824697</v>
      </c>
      <c r="AP54">
        <f ca="1" t="shared" si="22"/>
        <v>97084</v>
      </c>
      <c r="AQ54" s="170">
        <f ca="1" t="shared" si="87"/>
        <v>284947.875</v>
      </c>
      <c r="AR54">
        <f ca="1" t="shared" si="88"/>
        <v>2320747.30219679</v>
      </c>
      <c r="AS54">
        <f ca="1" t="shared" si="24"/>
        <v>0.9843</v>
      </c>
      <c r="AT54">
        <f ca="1">($AC$26+$AC$30+$AC$103+$AC$108+$AC$112)*MIN(1,0.3+AS$9+0.2)</f>
        <v>0</v>
      </c>
      <c r="AU54">
        <f ca="1" t="shared" si="25"/>
        <v>2.3177566866</v>
      </c>
      <c r="AV54">
        <f ca="1" t="shared" si="89"/>
        <v>2.68954760480339</v>
      </c>
      <c r="AW54">
        <f ca="1" t="shared" si="58"/>
        <v>2346827.42670094</v>
      </c>
      <c r="AX54">
        <f ca="1" t="shared" si="27"/>
        <v>0.9743</v>
      </c>
      <c r="AY54">
        <f ca="1">($AC$26+$AC$30+$AC$103+$AC$108+$AC$112)*MIN(1,0.3+AX$9+0.2)</f>
        <v>0</v>
      </c>
      <c r="AZ54" s="170">
        <f ca="1" t="shared" si="59"/>
        <v>2333364.40488553</v>
      </c>
      <c r="BA54">
        <f ca="1" t="shared" si="28"/>
        <v>0.9643</v>
      </c>
      <c r="BB54">
        <f ca="1">($AC$26+$AC$30+$AC$103+$AC$108+$AC$112)*MIN(1,0.3+BA$9+0.2)</f>
        <v>0</v>
      </c>
      <c r="BC54" s="170">
        <f ca="1" t="shared" si="60"/>
        <v>2319901.38307012</v>
      </c>
      <c r="BE54">
        <f ca="1" t="shared" si="29"/>
        <v>91977</v>
      </c>
      <c r="BF54">
        <f ca="1" t="shared" si="90"/>
        <v>272020.78125</v>
      </c>
      <c r="BI54">
        <f ca="1" t="shared" si="31"/>
        <v>0.9543</v>
      </c>
      <c r="BJ54">
        <f ca="1">($AC$26+$AC$30+$AC$103+$AC$108+$AC$112)*MIN(1,0.3+BI$9+0.2)</f>
        <v>0</v>
      </c>
      <c r="BK54">
        <f ca="1" t="shared" si="91"/>
        <v>2293155.73598533</v>
      </c>
      <c r="BM54">
        <f ca="1" t="shared" si="33"/>
        <v>95358</v>
      </c>
      <c r="BN54">
        <f ca="1" t="shared" si="92"/>
        <v>280578.9375</v>
      </c>
      <c r="BO54">
        <f ca="1" t="shared" si="93"/>
        <v>2331177.97187184</v>
      </c>
      <c r="BP54">
        <f ca="1" t="shared" si="94"/>
        <v>2223109.99656223</v>
      </c>
      <c r="BR54">
        <f ca="1" t="shared" si="37"/>
        <v>0.9543</v>
      </c>
      <c r="BS54">
        <f ca="1" t="shared" si="95"/>
        <v>2298503.29582994</v>
      </c>
      <c r="BT54">
        <f ca="1" t="shared" si="96"/>
        <v>0.318170800459405</v>
      </c>
      <c r="BU54">
        <f ca="1" t="shared" si="40"/>
        <v>2.3177566866</v>
      </c>
      <c r="BV54">
        <f ca="1" t="shared" si="61"/>
        <v>2333280.01359383</v>
      </c>
      <c r="BW54">
        <f ca="1" t="shared" si="41"/>
        <v>99155</v>
      </c>
      <c r="BX54">
        <f ca="1" t="shared" si="97"/>
        <v>290190.09375</v>
      </c>
      <c r="BY54">
        <f ca="1" t="shared" si="43"/>
        <v>0.9343</v>
      </c>
      <c r="BZ54">
        <f ca="1">($AC$26+$AC$30+$AC$103+$AC$108+$AC$112)*MIN(1,0.3+BY$9+0.2)</f>
        <v>0</v>
      </c>
      <c r="CA54">
        <f ca="1" t="shared" si="44"/>
        <v>2.3216629366</v>
      </c>
      <c r="CB54">
        <f ca="1" t="shared" si="62"/>
        <v>2422898.46542117</v>
      </c>
      <c r="CC54">
        <f ca="1" t="shared" si="45"/>
        <v>100975</v>
      </c>
      <c r="CD54">
        <f ca="1" t="shared" si="98"/>
        <v>294796.96875</v>
      </c>
      <c r="CE54">
        <f ca="1" t="shared" si="99"/>
        <v>2375621.47413322</v>
      </c>
      <c r="CF54">
        <f ca="1" t="shared" si="48"/>
        <v>2.2689285616</v>
      </c>
      <c r="CG54">
        <f ca="1" t="shared" si="49"/>
        <v>0.9343</v>
      </c>
      <c r="CH54">
        <f ca="1" t="shared" si="63"/>
        <v>2232903.96881696</v>
      </c>
      <c r="CJ54">
        <f ca="1" t="shared" si="100"/>
        <v>280578.9375</v>
      </c>
      <c r="CK54">
        <f ca="1" t="shared" si="101"/>
        <v>2320617.86271226</v>
      </c>
      <c r="CL54">
        <f ca="1" t="shared" si="64"/>
        <v>2.2915848116</v>
      </c>
      <c r="CM54">
        <f ca="1">IF(G54="恒定伤害",0,(IF(D54="轻剑",$CM$8,$CM$9)+IFERROR(INDEX(技能数据库!$T$2:$W$27,MATCH(E54,技能数据库!$T$2:$T$27,0),4),0)+COUNTIF(G54,"*造化2*")*154+COUNTIF(G54,"*造化1*")*102+COUNTIF(G54,"*碧归*")*307)/1024)</f>
        <v>0.176868146929785</v>
      </c>
      <c r="CN54">
        <f ca="1" t="shared" si="65"/>
        <v>2376811.13457031</v>
      </c>
      <c r="CO54">
        <f ca="1" t="shared" si="66"/>
        <v>2.3156473116</v>
      </c>
      <c r="CP54">
        <f ca="1" t="shared" si="67"/>
        <v>2401025.49622566</v>
      </c>
      <c r="CQ54">
        <f ca="1" t="shared" si="102"/>
        <v>2.77157885480339</v>
      </c>
      <c r="CR54">
        <f ca="1">IF(G54="恒定伤害",0,(IF(D54="轻剑",$CR$8,$CR$9)+IFERROR(INDEX(技能数据库!$T$2:$W$27,MATCH(E54,技能数据库!$T$2:$T$27,0),4),0)+COUNTIF(G54,"*造化2*")*154+COUNTIF(G54,"*造化1*")*102+COUNTIF(G54,"*碧归*")*307)/1024)</f>
        <v>0.167102521929785</v>
      </c>
      <c r="CS54">
        <f ca="1" t="shared" si="68"/>
        <v>2248391.0122519</v>
      </c>
    </row>
    <row r="55" spans="4:97">
      <c r="D55" t="s">
        <v>1825</v>
      </c>
      <c r="E55" t="s">
        <v>2723</v>
      </c>
      <c r="G55" t="s">
        <v>3044</v>
      </c>
      <c r="H55">
        <f ca="1">INDEX(技能数据库!$B$2:$I$100,MATCH(阵眼收益计算!$E55,技能数据库!$B$2:$B$100,0),MATCH(H$9,技能数据库!$B$2:$I$2,0))</f>
        <v>143</v>
      </c>
      <c r="I55">
        <f ca="1">INDEX(技能数据库!$B$2:$I$100,MATCH(阵眼收益计算!$E55,技能数据库!$B$2:$B$100,0),MATCH(I$9,技能数据库!$B$2:$I$2,0))</f>
        <v>2.53125</v>
      </c>
      <c r="J55">
        <f ca="1">INDEX(技能数据库!$B$2:$I$100,MATCH(阵眼收益计算!$E55,技能数据库!$B$2:$B$100,0),MATCH(J$9,技能数据库!$B$2:$I$2,0))</f>
        <v>2</v>
      </c>
      <c r="K55">
        <f ca="1">INDEX(技能数据库!$B$2:$I$100,MATCH(阵眼收益计算!$E55,技能数据库!$B$2:$B$100,0),MATCH(K$9,技能数据库!$B$2:$I$2,0))</f>
        <v>0</v>
      </c>
      <c r="L55">
        <f ca="1" t="shared" si="13"/>
        <v>105847</v>
      </c>
      <c r="M55">
        <f ca="1" t="shared" si="73"/>
        <v>19530.5</v>
      </c>
      <c r="N55">
        <f ca="1" t="shared" si="74"/>
        <v>92028</v>
      </c>
      <c r="O55">
        <f ca="1" t="shared" si="53"/>
        <v>307129.21875</v>
      </c>
      <c r="P55">
        <f ca="1">IF(G55="恒定伤害",0,(IF(D55="轻剑",$AZ$2,$AZ$3)+IFERROR(INDEX(技能数据库!$T$2:$W$27,MATCH(E55,技能数据库!$T$2:$T$27,0),4),0)+COUNTIF(G55,"*造化2*")*154+COUNTIF(G55,"*造化1*")*102+COUNTIF(G55,"*碧归*")*307)/1024)</f>
        <v>0.116321271929785</v>
      </c>
      <c r="Q55">
        <f ca="1" t="shared" si="82"/>
        <v>0.448284482196154</v>
      </c>
      <c r="R55">
        <f ca="1" t="shared" si="54"/>
        <v>0.21277697966198</v>
      </c>
      <c r="S55">
        <f ca="1" t="shared" si="75"/>
        <v>390896.694849304</v>
      </c>
      <c r="T55">
        <f t="shared" si="76"/>
        <v>0.8</v>
      </c>
      <c r="U55">
        <f ca="1" t="shared" si="83"/>
        <v>2.67001635480339</v>
      </c>
      <c r="V55">
        <f ca="1" t="shared" si="77"/>
        <v>1147677.81050843</v>
      </c>
      <c r="W55">
        <f ca="1">IF(G55="恒定伤害",0,MIN(1,IF(COUNTIF(F55,"*内会*")&gt;0,内会2,IF(D55="轻剑",$Y$2,$Y$3)+COUNTIF(G55,"*莺鸣*")*0.2+COUNTIF(G55,"*叠1*")*0.1+COUNTIF(G55,"*叠2*")*0.2+COUNTIF(G55,"*叠3*")*0.3)+IFERROR(INDEX(技能数据库!$T$2:$W$27,MATCH(E55,技能数据库!$T$2:$T$27,0),2),0)+IF((IF(D55="轻剑",$AO$2,$AO$3)+INT(COUNTIF(G55,"*大莺鸣*")*IF(D55="轻剑",$AM$2,$AM$3)*听晓无双率)/无双系数)&gt;0.9,特效裤子会心/会心系数,0)))</f>
        <v>0.9043</v>
      </c>
      <c r="X55">
        <f ca="1">IF(G55="恒定伤害",0,IF(COUNTIF(F55,"*内会*")&gt;0,内会效2,IF(D55="轻剑",$AB$2,$AB$3))+IFERROR(INDEX(技能数据库!$T$2:$W$27,MATCH(E55,技能数据库!$T$2:$T$27,0),3)/1024,0))+COUNTIF(G55,"*叠1*")*0.25+COUNTIF(G55,"*叠2*")*0.5+COUNTIF(G55,"*叠3*")*0.75</f>
        <v>2.1712723116</v>
      </c>
      <c r="Y55">
        <f ca="1" t="shared" si="78"/>
        <v>2.05918155137988</v>
      </c>
      <c r="Z55">
        <f t="shared" si="16"/>
        <v>0.150390625</v>
      </c>
      <c r="AA55">
        <f ca="1" t="shared" si="79"/>
        <v>0.0205078125</v>
      </c>
      <c r="AB55">
        <f ca="1" t="shared" si="80"/>
        <v>2774446.09467153</v>
      </c>
      <c r="AC55">
        <f ca="1">($AC$27+$AC$31+$AC$72+AC74+$AC$77+$AC$79+$AC$39+$AC$43)*MIN(1,0.3+$Y$3+0.2)</f>
        <v>0</v>
      </c>
      <c r="AD55" s="164">
        <f ca="1" t="shared" si="81"/>
        <v>0</v>
      </c>
      <c r="AE55" s="168"/>
      <c r="AF55" s="168">
        <f ca="1" t="shared" si="17"/>
        <v>0.9057</v>
      </c>
      <c r="AG55">
        <f ca="1">($AC$27+$AC$31+$AC$72+AG74+$AC$77+$AC$79+$AC$39+$AC$43)*MIN(1,0.3+$AF$9+0.2)</f>
        <v>0</v>
      </c>
      <c r="AH55">
        <f ca="1" t="shared" si="18"/>
        <v>109879</v>
      </c>
      <c r="AJ55">
        <f ca="1" t="shared" si="55"/>
        <v>2.3704910616</v>
      </c>
      <c r="AK55">
        <f ca="1" t="shared" si="84"/>
        <v>317812.21875</v>
      </c>
      <c r="AL55">
        <f ca="1" t="shared" si="85"/>
        <v>3125658.74378251</v>
      </c>
      <c r="AM55" s="169">
        <f ca="1" t="shared" si="20"/>
        <v>0.9272</v>
      </c>
      <c r="AN55">
        <f ca="1">($AC$27+$AC$31+$AC$72+AN74+$AC$77+$AC$79+$AC$39+$AC$43)*MIN(1,0.3+$AN$9+0.2)</f>
        <v>0</v>
      </c>
      <c r="AO55" s="170">
        <f ca="1" t="shared" si="86"/>
        <v>3166751.49299473</v>
      </c>
      <c r="AP55">
        <f ca="1" t="shared" si="22"/>
        <v>110956</v>
      </c>
      <c r="AQ55" s="170">
        <f ca="1" t="shared" si="87"/>
        <v>320061.375</v>
      </c>
      <c r="AR55">
        <f ca="1" t="shared" si="88"/>
        <v>3060892.05857948</v>
      </c>
      <c r="AS55">
        <f ca="1" t="shared" si="24"/>
        <v>0.9843</v>
      </c>
      <c r="AT55">
        <f ca="1">($AC$27+$AC$31+$AC$72+AT74+$AC$77+$AC$79+$AC$39+$AC$43)*MIN(1,0.3+AS$9+0.2)</f>
        <v>0</v>
      </c>
      <c r="AU55">
        <f ca="1" t="shared" si="25"/>
        <v>2.3177566866</v>
      </c>
      <c r="AV55">
        <f ca="1" t="shared" si="89"/>
        <v>2.68954760480339</v>
      </c>
      <c r="AW55">
        <f ca="1" t="shared" si="58"/>
        <v>3111434.08754789</v>
      </c>
      <c r="AX55">
        <f ca="1" t="shared" si="27"/>
        <v>0.9743</v>
      </c>
      <c r="AY55">
        <f ca="1">($AC$27+$AC$31+$AC$72+AY74+$AC$77+$AC$79+$AC$39+$AC$43)*MIN(1,0.3+AX$9+0.2)</f>
        <v>0</v>
      </c>
      <c r="AZ55" s="170">
        <f ca="1" t="shared" si="59"/>
        <v>3093584.75422185</v>
      </c>
      <c r="BA55">
        <f ca="1" t="shared" si="28"/>
        <v>0.9643</v>
      </c>
      <c r="BB55">
        <f ca="1">($AC$27+$AC$31+$AC$72+BB74+$AC$77+$AC$79+$AC$39+$AC$43)*MIN(1,0.3+BA$9+0.2)</f>
        <v>0</v>
      </c>
      <c r="BC55" s="170">
        <f ca="1" t="shared" si="60"/>
        <v>3075735.42089581</v>
      </c>
      <c r="BE55">
        <f ca="1" t="shared" si="29"/>
        <v>105849</v>
      </c>
      <c r="BF55">
        <f ca="1" t="shared" si="90"/>
        <v>307134.28125</v>
      </c>
      <c r="BI55">
        <f ca="1" t="shared" si="31"/>
        <v>0.9543</v>
      </c>
      <c r="BJ55">
        <f ca="1">($AC$27+$AC$31+$AC$72+BJ74+$AC$77+$AC$79+$AC$39+$AC$43)*MIN(1,0.3+BI$9+0.2)</f>
        <v>0</v>
      </c>
      <c r="BK55">
        <f ca="1" t="shared" si="91"/>
        <v>3040269.45589739</v>
      </c>
      <c r="BM55">
        <f ca="1" t="shared" si="33"/>
        <v>109230</v>
      </c>
      <c r="BN55">
        <f ca="1" t="shared" si="92"/>
        <v>315692.4375</v>
      </c>
      <c r="BO55">
        <f ca="1" t="shared" si="93"/>
        <v>3079901.72444309</v>
      </c>
      <c r="BP55">
        <f ca="1" t="shared" si="94"/>
        <v>2937124.66171807</v>
      </c>
      <c r="BR55">
        <f ca="1" t="shared" si="37"/>
        <v>0.9543</v>
      </c>
      <c r="BS55">
        <f ca="1" t="shared" si="95"/>
        <v>3036732.65185346</v>
      </c>
      <c r="BT55">
        <f ca="1" t="shared" si="96"/>
        <v>0.196995876306796</v>
      </c>
      <c r="BU55">
        <f ca="1" t="shared" si="40"/>
        <v>2.3177566866</v>
      </c>
      <c r="BV55">
        <f ca="1" t="shared" si="61"/>
        <v>3102674.20078969</v>
      </c>
      <c r="BW55">
        <f ca="1" t="shared" si="41"/>
        <v>113027</v>
      </c>
      <c r="BX55">
        <f ca="1" t="shared" si="97"/>
        <v>325303.59375</v>
      </c>
      <c r="BY55">
        <f ca="1" t="shared" si="43"/>
        <v>0.9343</v>
      </c>
      <c r="BZ55">
        <f ca="1">($AC$27+$AC$31+$AC$72+BZ74+$AC$77+$AC$79+$AC$39+$AC$43)*MIN(1,0.3+BY$9+0.2)</f>
        <v>0</v>
      </c>
      <c r="CA55">
        <f ca="1" t="shared" si="44"/>
        <v>2.3216629366</v>
      </c>
      <c r="CB55">
        <f ca="1" t="shared" si="62"/>
        <v>3189288.51874254</v>
      </c>
      <c r="CC55">
        <f ca="1" t="shared" si="45"/>
        <v>114847</v>
      </c>
      <c r="CD55">
        <f ca="1" t="shared" si="98"/>
        <v>329910.46875</v>
      </c>
      <c r="CE55">
        <f ca="1" t="shared" si="99"/>
        <v>3121782.50107634</v>
      </c>
      <c r="CF55">
        <f ca="1" t="shared" si="48"/>
        <v>2.2689285616</v>
      </c>
      <c r="CG55">
        <f ca="1" t="shared" si="49"/>
        <v>0.9343</v>
      </c>
      <c r="CH55">
        <f ca="1" t="shared" si="63"/>
        <v>2960393.8678033</v>
      </c>
      <c r="CJ55">
        <f ca="1" t="shared" si="100"/>
        <v>315692.4375</v>
      </c>
      <c r="CK55">
        <f ca="1" t="shared" si="101"/>
        <v>3065949.93749102</v>
      </c>
      <c r="CL55">
        <f ca="1" t="shared" si="64"/>
        <v>2.2915848116</v>
      </c>
      <c r="CM55">
        <f ca="1">IF(G55="恒定伤害",0,(IF(D55="轻剑",$CM$8,$CM$9)+IFERROR(INDEX(技能数据库!$T$2:$W$27,MATCH(E55,技能数据库!$T$2:$T$27,0),4),0)+COUNTIF(G55,"*造化2*")*154+COUNTIF(G55,"*造化1*")*102+COUNTIF(G55,"*碧归*")*307)/1024)</f>
        <v>0.176868146929785</v>
      </c>
      <c r="CN55">
        <f ca="1" t="shared" si="65"/>
        <v>3151186.61884797</v>
      </c>
      <c r="CO55">
        <f ca="1" t="shared" si="66"/>
        <v>2.3156473116</v>
      </c>
      <c r="CP55">
        <f ca="1" t="shared" si="67"/>
        <v>3183290.12565271</v>
      </c>
      <c r="CQ55">
        <f ca="1" t="shared" si="102"/>
        <v>2.77157885480339</v>
      </c>
      <c r="CR55">
        <f ca="1">IF(G55="恒定伤害",0,(IF(D55="轻剑",$CR$8,$CR$9)+IFERROR(INDEX(技能数据库!$T$2:$W$27,MATCH(E55,技能数据库!$T$2:$T$27,0),4),0)+COUNTIF(G55,"*造化2*")*154+COUNTIF(G55,"*造化1*")*102+COUNTIF(G55,"*碧归*")*307)/1024)</f>
        <v>0.167102521929785</v>
      </c>
      <c r="CS55">
        <f ca="1" t="shared" si="68"/>
        <v>2980926.65786299</v>
      </c>
    </row>
    <row r="56" spans="4:97">
      <c r="D56" t="s">
        <v>1825</v>
      </c>
      <c r="E56" t="s">
        <v>2789</v>
      </c>
      <c r="G56" t="s">
        <v>3044</v>
      </c>
      <c r="H56">
        <f ca="1">INDEX(技能数据库!$B$2:$I$100,MATCH(阵眼收益计算!$E56,技能数据库!$B$2:$B$100,0),MATCH(H$9,技能数据库!$B$2:$I$2,0))</f>
        <v>131</v>
      </c>
      <c r="I56">
        <f ca="1">INDEX(技能数据库!$B$2:$I$100,MATCH(阵眼收益计算!$E56,技能数据库!$B$2:$B$100,0),MATCH(I$9,技能数据库!$B$2:$I$2,0))</f>
        <v>3.425</v>
      </c>
      <c r="J56">
        <f ca="1">INDEX(技能数据库!$B$2:$I$100,MATCH(阵眼收益计算!$E56,技能数据库!$B$2:$B$100,0),MATCH(J$9,技能数据库!$B$2:$I$2,0))</f>
        <v>0</v>
      </c>
      <c r="K56">
        <f ca="1">INDEX(技能数据库!$B$2:$I$100,MATCH(阵眼收益计算!$E56,技能数据库!$B$2:$B$100,0),MATCH(K$9,技能数据库!$B$2:$I$2,0))</f>
        <v>0</v>
      </c>
      <c r="L56">
        <f ca="1" t="shared" si="13"/>
        <v>105847</v>
      </c>
      <c r="M56">
        <f ca="1" t="shared" si="73"/>
        <v>19530.5</v>
      </c>
      <c r="N56">
        <f ca="1" t="shared" si="74"/>
        <v>92028</v>
      </c>
      <c r="O56">
        <f ca="1" t="shared" si="53"/>
        <v>362656.975</v>
      </c>
      <c r="P56">
        <f ca="1">IF(G56="恒定伤害",0,(IF(D56="轻剑",$AZ$2,$AZ$3)+IFERROR(INDEX(技能数据库!$T$2:$W$27,MATCH(E56,技能数据库!$T$2:$T$27,0),4),0)+COUNTIF(G56,"*造化2*")*154+COUNTIF(G56,"*造化1*")*102+COUNTIF(G56,"*碧归*")*307)/1024)</f>
        <v>0.612353986773535</v>
      </c>
      <c r="Q56">
        <f ca="1" t="shared" si="82"/>
        <v>0.448284482196154</v>
      </c>
      <c r="R56">
        <f ca="1" t="shared" si="54"/>
        <v>0.21277697966198</v>
      </c>
      <c r="S56">
        <f ca="1" t="shared" si="75"/>
        <v>666665.672558413</v>
      </c>
      <c r="T56">
        <f t="shared" si="76"/>
        <v>0.8</v>
      </c>
      <c r="U56">
        <f ca="1" t="shared" si="83"/>
        <v>2.67001635480339</v>
      </c>
      <c r="V56">
        <f ca="1" t="shared" si="77"/>
        <v>1957339.1371803</v>
      </c>
      <c r="W56">
        <f ca="1">IF(G56="恒定伤害",0,MIN(1,IF(COUNTIF(F56,"*内会*")&gt;0,内会2,IF(D56="轻剑",$Y$2,$Y$3)+COUNTIF(G56,"*莺鸣*")*0.2+COUNTIF(G56,"*叠1*")*0.1+COUNTIF(G56,"*叠2*")*0.2+COUNTIF(G56,"*叠3*")*0.3)+IFERROR(INDEX(技能数据库!$T$2:$W$27,MATCH(E56,技能数据库!$T$2:$T$27,0),2),0)+IF((IF(D56="轻剑",$AO$2,$AO$3)+INT(COUNTIF(G56,"*大莺鸣*")*IF(D56="轻剑",$AM$2,$AM$3)*听晓无双率)/无双系数)&gt;0.9,特效裤子会心/会心系数,0)))</f>
        <v>0.9343</v>
      </c>
      <c r="X56">
        <f ca="1">IF(G56="恒定伤害",0,IF(COUNTIF(F56,"*内会*")&gt;0,内会效2,IF(D56="轻剑",$AB$2,$AB$3))+IFERROR(INDEX(技能数据库!$T$2:$W$27,MATCH(E56,技能数据库!$T$2:$T$27,0),3)/1024,0))+COUNTIF(G56,"*叠1*")*0.25+COUNTIF(G56,"*叠2*")*0.5+COUNTIF(G56,"*叠3*")*0.75</f>
        <v>2.1712723116</v>
      </c>
      <c r="Y56">
        <f ca="1" t="shared" si="78"/>
        <v>2.09431972072788</v>
      </c>
      <c r="Z56">
        <f t="shared" si="16"/>
        <v>0.150390625</v>
      </c>
      <c r="AA56">
        <f ca="1" t="shared" si="79"/>
        <v>0.0205078125</v>
      </c>
      <c r="AB56">
        <f ca="1" t="shared" si="80"/>
        <v>4812499.85859701</v>
      </c>
      <c r="AC56">
        <f ca="1">技能数计算!$AJ48</f>
        <v>0</v>
      </c>
      <c r="AD56" s="164">
        <f ca="1" t="shared" si="81"/>
        <v>0</v>
      </c>
      <c r="AE56" s="168"/>
      <c r="AF56" s="168">
        <f ca="1" t="shared" si="17"/>
        <v>0.9357</v>
      </c>
      <c r="AG56">
        <f ca="1">技能数计算!$AJ48</f>
        <v>0</v>
      </c>
      <c r="AH56">
        <f ca="1" t="shared" si="18"/>
        <v>109879</v>
      </c>
      <c r="AJ56">
        <f ca="1" t="shared" si="55"/>
        <v>2.3704910616</v>
      </c>
      <c r="AK56">
        <f ca="1" t="shared" si="84"/>
        <v>376466.575</v>
      </c>
      <c r="AL56">
        <f ca="1" t="shared" si="85"/>
        <v>5445820.4762878</v>
      </c>
      <c r="AM56" s="169">
        <f ca="1" t="shared" si="20"/>
        <v>0.9572</v>
      </c>
      <c r="AN56">
        <f ca="1">技能数计算!$AJ48</f>
        <v>0</v>
      </c>
      <c r="AO56" s="170">
        <f ca="1" t="shared" si="86"/>
        <v>5516126.44971225</v>
      </c>
      <c r="AP56">
        <f ca="1" t="shared" si="22"/>
        <v>110956</v>
      </c>
      <c r="AQ56" s="170">
        <f ca="1" t="shared" si="87"/>
        <v>380155.3</v>
      </c>
      <c r="AR56">
        <f ca="1" t="shared" si="88"/>
        <v>5340664.99171193</v>
      </c>
      <c r="AS56">
        <f ca="1" t="shared" si="24"/>
        <v>1.0143</v>
      </c>
      <c r="AT56">
        <f ca="1">技能数计算!$AJ48</f>
        <v>0</v>
      </c>
      <c r="AU56">
        <f ca="1" t="shared" si="25"/>
        <v>2.3177566866</v>
      </c>
      <c r="AV56">
        <f ca="1" t="shared" si="89"/>
        <v>2.68954760480339</v>
      </c>
      <c r="AW56">
        <f ca="1" t="shared" si="58"/>
        <v>5354275.44036767</v>
      </c>
      <c r="AX56">
        <f ca="1" t="shared" si="27"/>
        <v>1.0043</v>
      </c>
      <c r="AY56">
        <f ca="1">技能数计算!$AJ48</f>
        <v>0</v>
      </c>
      <c r="AZ56" s="170">
        <f ca="1" t="shared" si="59"/>
        <v>5354275.44036767</v>
      </c>
      <c r="BA56">
        <f ca="1" t="shared" si="28"/>
        <v>0.9943</v>
      </c>
      <c r="BB56">
        <f ca="1">技能数计算!$AJ48</f>
        <v>0</v>
      </c>
      <c r="BC56" s="170">
        <f ca="1" t="shared" si="60"/>
        <v>5336923.7036068</v>
      </c>
      <c r="BE56">
        <f ca="1" t="shared" si="29"/>
        <v>105849</v>
      </c>
      <c r="BF56">
        <f ca="1" t="shared" si="90"/>
        <v>362663.825</v>
      </c>
      <c r="BI56">
        <f ca="1" t="shared" si="31"/>
        <v>0.9843</v>
      </c>
      <c r="BJ56">
        <f ca="1">技能数计算!$AJ48</f>
        <v>0</v>
      </c>
      <c r="BK56">
        <f ca="1" t="shared" si="91"/>
        <v>5271157.7413458</v>
      </c>
      <c r="BM56">
        <f ca="1" t="shared" si="33"/>
        <v>109230</v>
      </c>
      <c r="BN56">
        <f ca="1" t="shared" si="92"/>
        <v>374243.75</v>
      </c>
      <c r="BO56">
        <f ca="1" t="shared" si="93"/>
        <v>5363481.36047173</v>
      </c>
      <c r="BP56">
        <f ca="1" t="shared" si="94"/>
        <v>5114842.87030463</v>
      </c>
      <c r="BR56">
        <f ca="1" t="shared" si="37"/>
        <v>0.9843</v>
      </c>
      <c r="BS56">
        <f ca="1" t="shared" si="95"/>
        <v>5285851.15099888</v>
      </c>
      <c r="BT56">
        <f ca="1" t="shared" si="96"/>
        <v>0.196995876306796</v>
      </c>
      <c r="BU56">
        <f ca="1" t="shared" si="40"/>
        <v>2.3177566866</v>
      </c>
      <c r="BV56">
        <f ca="1" t="shared" si="61"/>
        <v>5384204.81127777</v>
      </c>
      <c r="BW56">
        <f ca="1" t="shared" si="41"/>
        <v>113027</v>
      </c>
      <c r="BX56">
        <f ca="1" t="shared" si="97"/>
        <v>387248.475</v>
      </c>
      <c r="BY56">
        <f ca="1" t="shared" si="43"/>
        <v>0.9643</v>
      </c>
      <c r="BZ56">
        <f ca="1">技能数计算!$AJ48</f>
        <v>0</v>
      </c>
      <c r="CA56">
        <f ca="1" t="shared" si="44"/>
        <v>2.3216629366</v>
      </c>
      <c r="CB56">
        <f ca="1" t="shared" si="62"/>
        <v>5580890.08515621</v>
      </c>
      <c r="CC56">
        <f ca="1" t="shared" si="45"/>
        <v>114847</v>
      </c>
      <c r="CD56">
        <f ca="1" t="shared" si="98"/>
        <v>393481.975</v>
      </c>
      <c r="CE56">
        <f ca="1" t="shared" si="99"/>
        <v>5468001.90372297</v>
      </c>
      <c r="CF56">
        <f ca="1" t="shared" si="48"/>
        <v>2.2689285616</v>
      </c>
      <c r="CG56">
        <f ca="1" t="shared" si="49"/>
        <v>0.9643</v>
      </c>
      <c r="CH56">
        <f ca="1" t="shared" si="63"/>
        <v>5136827.28255324</v>
      </c>
      <c r="CJ56">
        <f ca="1" t="shared" si="100"/>
        <v>374243.75</v>
      </c>
      <c r="CK56">
        <f ca="1" t="shared" si="101"/>
        <v>5339185.08222725</v>
      </c>
      <c r="CL56">
        <f ca="1" t="shared" si="64"/>
        <v>2.2915848116</v>
      </c>
      <c r="CM56">
        <f ca="1">IF(G56="恒定伤害",0,(IF(D56="轻剑",$CM$8,$CM$9)+IFERROR(INDEX(技能数据库!$T$2:$W$27,MATCH(E56,技能数据库!$T$2:$T$27,0),4),0)+COUNTIF(G56,"*造化2*")*154+COUNTIF(G56,"*造化1*")*102+COUNTIF(G56,"*碧归*")*307)/1024)</f>
        <v>0.672900861773535</v>
      </c>
      <c r="CN56">
        <f ca="1" t="shared" si="65"/>
        <v>5382089.86246327</v>
      </c>
      <c r="CO56">
        <f ca="1" t="shared" si="66"/>
        <v>2.3156473116</v>
      </c>
      <c r="CP56">
        <f ca="1" t="shared" si="67"/>
        <v>5437705.32953773</v>
      </c>
      <c r="CQ56">
        <f ca="1" t="shared" si="102"/>
        <v>2.77157885480339</v>
      </c>
      <c r="CR56">
        <f ca="1">IF(G56="恒定伤害",0,(IF(D56="轻剑",$CR$8,$CR$9)+IFERROR(INDEX(技能数据库!$T$2:$W$27,MATCH(E56,技能数据库!$T$2:$T$27,0),4),0)+COUNTIF(G56,"*造化2*")*154+COUNTIF(G56,"*造化1*")*102+COUNTIF(G56,"*碧归*")*307)/1024)</f>
        <v>0.663135236773535</v>
      </c>
      <c r="CS56">
        <f ca="1" t="shared" si="68"/>
        <v>5101443.62355623</v>
      </c>
    </row>
    <row r="57" spans="4:97">
      <c r="D57" t="s">
        <v>1825</v>
      </c>
      <c r="E57" t="s">
        <v>2794</v>
      </c>
      <c r="G57" t="s">
        <v>2750</v>
      </c>
      <c r="H57">
        <f ca="1">INDEX(技能数据库!$B$2:$I$100,MATCH(阵眼收益计算!$E57,技能数据库!$B$2:$B$100,0),MATCH(H$9,技能数据库!$B$2:$I$2,0))</f>
        <v>231.5</v>
      </c>
      <c r="I57">
        <f ca="1">INDEX(技能数据库!$B$2:$I$100,MATCH(阵眼收益计算!$E57,技能数据库!$B$2:$B$100,0),MATCH(I$9,技能数据库!$B$2:$I$2,0))</f>
        <v>2.71875</v>
      </c>
      <c r="J57">
        <f ca="1">INDEX(技能数据库!$B$2:$I$100,MATCH(阵眼收益计算!$E57,技能数据库!$B$2:$B$100,0),MATCH(J$9,技能数据库!$B$2:$I$2,0))</f>
        <v>2</v>
      </c>
      <c r="K57">
        <f ca="1">INDEX(技能数据库!$B$2:$I$100,MATCH(阵眼收益计算!$E57,技能数据库!$B$2:$B$100,0),MATCH(K$9,技能数据库!$B$2:$I$2,0))</f>
        <v>0</v>
      </c>
      <c r="L57">
        <f ca="1" t="shared" si="13"/>
        <v>105847</v>
      </c>
      <c r="M57">
        <f ca="1" t="shared" si="73"/>
        <v>19530.5</v>
      </c>
      <c r="N57">
        <f ca="1" t="shared" si="74"/>
        <v>92028</v>
      </c>
      <c r="O57">
        <f ca="1" t="shared" si="53"/>
        <v>327064.03125</v>
      </c>
      <c r="P57">
        <f ca="1">IF(G57="恒定伤害",0,(IF(D57="轻剑",$AZ$2,$AZ$3)+IFERROR(INDEX(技能数据库!$T$2:$W$27,MATCH(E57,技能数据库!$T$2:$T$27,0),4),0)+COUNTIF(G57,"*造化2*")*154+COUNTIF(G57,"*造化1*")*102+COUNTIF(G57,"*碧归*")*307)/1024)</f>
        <v>0.236438459429785</v>
      </c>
      <c r="Q57">
        <f ca="1" t="shared" si="82"/>
        <v>0.448284482196154</v>
      </c>
      <c r="R57">
        <f ca="1" t="shared" si="54"/>
        <v>0.21277697966198</v>
      </c>
      <c r="S57">
        <f ca="1" t="shared" si="75"/>
        <v>461059.477278801</v>
      </c>
      <c r="T57">
        <f t="shared" si="76"/>
        <v>0.8</v>
      </c>
      <c r="U57">
        <f ca="1" t="shared" si="83"/>
        <v>1.7800129648</v>
      </c>
      <c r="V57">
        <f ca="1" t="shared" si="77"/>
        <v>1025401.05950318</v>
      </c>
      <c r="W57">
        <f ca="1">IF(G57="恒定伤害",0,MIN(1,IF(COUNTIF(F57,"*内会*")&gt;0,内会2,IF(D57="轻剑",$Y$2,$Y$3)+COUNTIF(G57,"*莺鸣*")*0.2+COUNTIF(G57,"*叠1*")*0.1+COUNTIF(G57,"*叠2*")*0.2+COUNTIF(G57,"*叠3*")*0.3)+IFERROR(INDEX(技能数据库!$T$2:$W$27,MATCH(E57,技能数据库!$T$2:$T$27,0),2),0)+IF((IF(D57="轻剑",$AO$2,$AO$3)+INT(COUNTIF(G57,"*大莺鸣*")*IF(D57="轻剑",$AM$2,$AM$3)*听晓无双率)/无双系数)&gt;0.9,特效裤子会心/会心系数,0)))</f>
        <v>0.7043</v>
      </c>
      <c r="X57">
        <f ca="1">IF(G57="恒定伤害",0,IF(COUNTIF(F57,"*内会*")&gt;0,内会效2,IF(D57="轻剑",$AB$2,$AB$3))+IFERROR(INDEX(技能数据库!$T$2:$W$27,MATCH(E57,技能数据库!$T$2:$T$27,0),3)/1024,0))+COUNTIF(G57,"*叠1*")*0.25+COUNTIF(G57,"*叠2*")*0.5+COUNTIF(G57,"*叠3*")*0.75</f>
        <v>2.1712723116</v>
      </c>
      <c r="Y57">
        <f ca="1" t="shared" si="78"/>
        <v>1.82492708905988</v>
      </c>
      <c r="Z57">
        <f t="shared" si="16"/>
        <v>0.150390625</v>
      </c>
      <c r="AA57">
        <f ca="1" t="shared" si="79"/>
        <v>0.0205078125</v>
      </c>
      <c r="AB57">
        <f ca="1" t="shared" si="80"/>
        <v>2196852.74589267</v>
      </c>
      <c r="AC57">
        <f ca="1">技能数计算!$AJ49</f>
        <v>8</v>
      </c>
      <c r="AD57" s="164">
        <f ca="1" t="shared" si="81"/>
        <v>0.00630082488070743</v>
      </c>
      <c r="AE57" s="168"/>
      <c r="AF57" s="168">
        <f ca="1" t="shared" si="17"/>
        <v>0.7057</v>
      </c>
      <c r="AG57">
        <f ca="1">技能数计算!$AJ49</f>
        <v>8</v>
      </c>
      <c r="AH57">
        <f ca="1" t="shared" si="18"/>
        <v>109879</v>
      </c>
      <c r="AJ57">
        <f ca="1" t="shared" si="55"/>
        <v>2.3704910616</v>
      </c>
      <c r="AK57">
        <f ca="1" t="shared" si="84"/>
        <v>338503.03125</v>
      </c>
      <c r="AL57">
        <f ca="1" t="shared" si="85"/>
        <v>2451564.53144108</v>
      </c>
      <c r="AM57" s="169">
        <f ca="1" t="shared" si="20"/>
        <v>0.7272</v>
      </c>
      <c r="AN57">
        <f ca="1">技能数计算!$AJ49</f>
        <v>8</v>
      </c>
      <c r="AO57" s="170">
        <f ca="1" t="shared" si="86"/>
        <v>2488285.93699994</v>
      </c>
      <c r="AP57">
        <f ca="1" t="shared" si="22"/>
        <v>110956</v>
      </c>
      <c r="AQ57" s="170">
        <f ca="1" t="shared" si="87"/>
        <v>340954.125</v>
      </c>
      <c r="AR57">
        <f ca="1" t="shared" si="88"/>
        <v>2424508.45394699</v>
      </c>
      <c r="AS57">
        <f ca="1" t="shared" si="24"/>
        <v>0.7843</v>
      </c>
      <c r="AT57">
        <f ca="1">技能数计算!$AJ49</f>
        <v>8</v>
      </c>
      <c r="AU57">
        <f ca="1" t="shared" si="25"/>
        <v>2.3177566866</v>
      </c>
      <c r="AV57">
        <f ca="1" t="shared" si="89"/>
        <v>1.7995442148</v>
      </c>
      <c r="AW57">
        <f ca="1" t="shared" si="58"/>
        <v>2465151.7260508</v>
      </c>
      <c r="AX57">
        <f ca="1" t="shared" si="27"/>
        <v>0.7743</v>
      </c>
      <c r="AY57">
        <f ca="1">技能数计算!$AJ49</f>
        <v>8</v>
      </c>
      <c r="AZ57" s="170">
        <f ca="1" t="shared" si="59"/>
        <v>2449177.08281686</v>
      </c>
      <c r="BA57">
        <f ca="1" t="shared" si="28"/>
        <v>0.7643</v>
      </c>
      <c r="BB57">
        <f ca="1">技能数计算!$AJ49</f>
        <v>8</v>
      </c>
      <c r="BC57" s="170">
        <f ca="1" t="shared" si="60"/>
        <v>2433202.43958293</v>
      </c>
      <c r="BE57">
        <f ca="1" t="shared" si="29"/>
        <v>105849</v>
      </c>
      <c r="BF57">
        <f ca="1" t="shared" si="90"/>
        <v>327069.46875</v>
      </c>
      <c r="BI57">
        <f ca="1" t="shared" si="31"/>
        <v>0.7543</v>
      </c>
      <c r="BJ57">
        <f ca="1">技能数计算!$AJ49</f>
        <v>8</v>
      </c>
      <c r="BK57">
        <f ca="1" t="shared" si="91"/>
        <v>2419976.16125857</v>
      </c>
      <c r="BM57">
        <f ca="1" t="shared" si="33"/>
        <v>109230</v>
      </c>
      <c r="BN57">
        <f ca="1" t="shared" si="92"/>
        <v>336261.5625</v>
      </c>
      <c r="BO57">
        <f ca="1" t="shared" si="93"/>
        <v>2439287.06608969</v>
      </c>
      <c r="BP57">
        <f ca="1" t="shared" si="94"/>
        <v>2326207.40524356</v>
      </c>
      <c r="BR57">
        <f ca="1" t="shared" si="37"/>
        <v>0.7543</v>
      </c>
      <c r="BS57">
        <f ca="1" t="shared" si="95"/>
        <v>2417725.03171792</v>
      </c>
      <c r="BT57">
        <f ca="1" t="shared" si="96"/>
        <v>0.196995876306796</v>
      </c>
      <c r="BU57">
        <f ca="1" t="shared" si="40"/>
        <v>2.3177566866</v>
      </c>
      <c r="BV57">
        <f ca="1" t="shared" si="61"/>
        <v>2448482.81436067</v>
      </c>
      <c r="BW57">
        <f ca="1" t="shared" si="41"/>
        <v>113027</v>
      </c>
      <c r="BX57">
        <f ca="1" t="shared" si="97"/>
        <v>346584.65625</v>
      </c>
      <c r="BY57">
        <f ca="1" t="shared" si="43"/>
        <v>0.7343</v>
      </c>
      <c r="BZ57">
        <f ca="1">技能数计算!$AJ49</f>
        <v>8</v>
      </c>
      <c r="CA57">
        <f ca="1" t="shared" si="44"/>
        <v>2.3216629366</v>
      </c>
      <c r="CB57">
        <f ca="1" t="shared" si="62"/>
        <v>2513667.18091669</v>
      </c>
      <c r="CC57">
        <f ca="1" t="shared" si="45"/>
        <v>114847</v>
      </c>
      <c r="CD57">
        <f ca="1" t="shared" si="98"/>
        <v>351532.78125</v>
      </c>
      <c r="CE57">
        <f ca="1" t="shared" si="99"/>
        <v>2478675.65273664</v>
      </c>
      <c r="CF57">
        <f ca="1" t="shared" si="48"/>
        <v>2.2689285616</v>
      </c>
      <c r="CG57">
        <f ca="1" t="shared" si="49"/>
        <v>0.7343</v>
      </c>
      <c r="CH57">
        <f ca="1" t="shared" si="63"/>
        <v>2341813.52678875</v>
      </c>
      <c r="CJ57">
        <f ca="1" t="shared" si="100"/>
        <v>336261.5625</v>
      </c>
      <c r="CK57">
        <f ca="1" t="shared" si="101"/>
        <v>2428237.22862542</v>
      </c>
      <c r="CL57">
        <f ca="1" t="shared" si="64"/>
        <v>2.2915848116</v>
      </c>
      <c r="CM57">
        <f ca="1">IF(G57="恒定伤害",0,(IF(D57="轻剑",$CM$8,$CM$9)+IFERROR(INDEX(技能数据库!$T$2:$W$27,MATCH(E57,技能数据库!$T$2:$T$27,0),4),0)+COUNTIF(G57,"*造化2*")*154+COUNTIF(G57,"*造化1*")*102+COUNTIF(G57,"*碧归*")*307)/1024)</f>
        <v>0.296985334429785</v>
      </c>
      <c r="CN57">
        <f ca="1" t="shared" si="65"/>
        <v>2477644.60545846</v>
      </c>
      <c r="CO57">
        <f ca="1" t="shared" si="66"/>
        <v>2.3156473116</v>
      </c>
      <c r="CP57">
        <f ca="1" t="shared" si="67"/>
        <v>2500113.03791104</v>
      </c>
      <c r="CQ57">
        <f ca="1" t="shared" si="102"/>
        <v>1.8815754648</v>
      </c>
      <c r="CR57">
        <f ca="1">IF(G57="恒定伤害",0,(IF(D57="轻剑",$CR$8,$CR$9)+IFERROR(INDEX(技能数据库!$T$2:$W$27,MATCH(E57,技能数据库!$T$2:$T$27,0),4),0)+COUNTIF(G57,"*造化2*")*154+COUNTIF(G57,"*造化1*")*102+COUNTIF(G57,"*碧归*")*307)/1024)</f>
        <v>0.287219709429785</v>
      </c>
      <c r="CS57">
        <f ca="1" t="shared" si="68"/>
        <v>2370632.85617648</v>
      </c>
    </row>
    <row r="58" spans="4:97">
      <c r="D58" t="s">
        <v>1825</v>
      </c>
      <c r="E58" t="s">
        <v>2794</v>
      </c>
      <c r="G58" t="s">
        <v>3044</v>
      </c>
      <c r="H58">
        <f ca="1">INDEX(技能数据库!$B$2:$I$100,MATCH(阵眼收益计算!$E58,技能数据库!$B$2:$B$100,0),MATCH(H$9,技能数据库!$B$2:$I$2,0))</f>
        <v>231.5</v>
      </c>
      <c r="I58">
        <f ca="1">INDEX(技能数据库!$B$2:$I$100,MATCH(阵眼收益计算!$E58,技能数据库!$B$2:$B$100,0),MATCH(I$9,技能数据库!$B$2:$I$2,0))</f>
        <v>2.71875</v>
      </c>
      <c r="J58">
        <f ca="1">INDEX(技能数据库!$B$2:$I$100,MATCH(阵眼收益计算!$E58,技能数据库!$B$2:$B$100,0),MATCH(J$9,技能数据库!$B$2:$I$2,0))</f>
        <v>2</v>
      </c>
      <c r="K58">
        <f ca="1">INDEX(技能数据库!$B$2:$I$100,MATCH(阵眼收益计算!$E58,技能数据库!$B$2:$B$100,0),MATCH(K$9,技能数据库!$B$2:$I$2,0))</f>
        <v>0</v>
      </c>
      <c r="L58">
        <f ca="1" t="shared" si="13"/>
        <v>105847</v>
      </c>
      <c r="M58">
        <f ca="1" t="shared" si="73"/>
        <v>19530.5</v>
      </c>
      <c r="N58">
        <f ca="1" t="shared" si="74"/>
        <v>92028</v>
      </c>
      <c r="O58">
        <f ca="1" t="shared" si="53"/>
        <v>327064.03125</v>
      </c>
      <c r="P58">
        <f ca="1">IF(G58="恒定伤害",0,(IF(D58="轻剑",$AZ$2,$AZ$3)+IFERROR(INDEX(技能数据库!$T$2:$W$27,MATCH(E58,技能数据库!$T$2:$T$27,0),4),0)+COUNTIF(G58,"*造化2*")*154+COUNTIF(G58,"*造化1*")*102+COUNTIF(G58,"*碧归*")*307)/1024)</f>
        <v>0.236438459429785</v>
      </c>
      <c r="Q58">
        <f ca="1" t="shared" si="82"/>
        <v>0.448284482196154</v>
      </c>
      <c r="R58">
        <f ca="1" t="shared" si="54"/>
        <v>0.21277697966198</v>
      </c>
      <c r="S58">
        <f ca="1" t="shared" si="75"/>
        <v>461059.477278801</v>
      </c>
      <c r="T58">
        <f t="shared" si="76"/>
        <v>0.8</v>
      </c>
      <c r="U58">
        <f ca="1" t="shared" si="83"/>
        <v>2.67001635480339</v>
      </c>
      <c r="V58">
        <f ca="1" t="shared" si="77"/>
        <v>1353676.65772024</v>
      </c>
      <c r="W58">
        <f ca="1">IF(G58="恒定伤害",0,MIN(1,IF(COUNTIF(F58,"*内会*")&gt;0,内会2,IF(D58="轻剑",$Y$2,$Y$3)+COUNTIF(G58,"*莺鸣*")*0.2+COUNTIF(G58,"*叠1*")*0.1+COUNTIF(G58,"*叠2*")*0.2+COUNTIF(G58,"*叠3*")*0.3)+IFERROR(INDEX(技能数据库!$T$2:$W$27,MATCH(E58,技能数据库!$T$2:$T$27,0),2),0)+IF((IF(D58="轻剑",$AO$2,$AO$3)+INT(COUNTIF(G58,"*大莺鸣*")*IF(D58="轻剑",$AM$2,$AM$3)*听晓无双率)/无双系数)&gt;0.9,特效裤子会心/会心系数,0)))</f>
        <v>0.9043</v>
      </c>
      <c r="X58">
        <f ca="1">IF(G58="恒定伤害",0,IF(COUNTIF(F58,"*内会*")&gt;0,内会效2,IF(D58="轻剑",$AB$2,$AB$3))+IFERROR(INDEX(技能数据库!$T$2:$W$27,MATCH(E58,技能数据库!$T$2:$T$27,0),3)/1024,0))+COUNTIF(G58,"*叠1*")*0.25+COUNTIF(G58,"*叠2*")*0.5+COUNTIF(G58,"*叠3*")*0.75</f>
        <v>2.1712723116</v>
      </c>
      <c r="Y58">
        <f ca="1" t="shared" si="78"/>
        <v>2.05918155137988</v>
      </c>
      <c r="Z58">
        <f t="shared" si="16"/>
        <v>0.150390625</v>
      </c>
      <c r="AA58">
        <f ca="1" t="shared" si="79"/>
        <v>0.0205078125</v>
      </c>
      <c r="AB58">
        <f ca="1" t="shared" si="80"/>
        <v>3272436.63863827</v>
      </c>
      <c r="AC58">
        <f ca="1">技能数计算!$AJ50</f>
        <v>0</v>
      </c>
      <c r="AD58" s="164">
        <f ca="1" t="shared" si="81"/>
        <v>0</v>
      </c>
      <c r="AE58" s="168"/>
      <c r="AF58" s="168">
        <f ca="1" t="shared" si="17"/>
        <v>0.9057</v>
      </c>
      <c r="AG58">
        <f ca="1">技能数计算!$AJ50</f>
        <v>0</v>
      </c>
      <c r="AH58">
        <f ca="1" t="shared" si="18"/>
        <v>109879</v>
      </c>
      <c r="AJ58">
        <f ca="1" t="shared" si="55"/>
        <v>2.3704910616</v>
      </c>
      <c r="AK58">
        <f ca="1" t="shared" si="84"/>
        <v>338503.03125</v>
      </c>
      <c r="AL58">
        <f ca="1" t="shared" si="85"/>
        <v>3687371.01150481</v>
      </c>
      <c r="AM58" s="169">
        <f ca="1" t="shared" si="20"/>
        <v>0.9272</v>
      </c>
      <c r="AN58">
        <f ca="1">技能数计算!$AJ50</f>
        <v>0</v>
      </c>
      <c r="AO58" s="170">
        <f ca="1" t="shared" si="86"/>
        <v>3735848.54045118</v>
      </c>
      <c r="AP58">
        <f ca="1" t="shared" si="22"/>
        <v>110956</v>
      </c>
      <c r="AQ58" s="170">
        <f ca="1" t="shared" si="87"/>
        <v>340954.125</v>
      </c>
      <c r="AR58">
        <f ca="1" t="shared" si="88"/>
        <v>3611553.07756434</v>
      </c>
      <c r="AS58">
        <f ca="1" t="shared" si="24"/>
        <v>0.9843</v>
      </c>
      <c r="AT58">
        <f ca="1">技能数计算!$AJ50</f>
        <v>0</v>
      </c>
      <c r="AU58">
        <f ca="1" t="shared" si="25"/>
        <v>2.3177566866</v>
      </c>
      <c r="AV58">
        <f ca="1" t="shared" si="89"/>
        <v>2.68954760480339</v>
      </c>
      <c r="AW58">
        <f ca="1" t="shared" si="58"/>
        <v>3669911.23970826</v>
      </c>
      <c r="AX58">
        <f ca="1" t="shared" si="27"/>
        <v>0.9743</v>
      </c>
      <c r="AY58">
        <f ca="1">技能数计算!$AJ50</f>
        <v>0</v>
      </c>
      <c r="AZ58" s="170">
        <f ca="1" t="shared" si="59"/>
        <v>3648858.09599659</v>
      </c>
      <c r="BA58">
        <f ca="1" t="shared" si="28"/>
        <v>0.9643</v>
      </c>
      <c r="BB58">
        <f ca="1">技能数计算!$AJ50</f>
        <v>0</v>
      </c>
      <c r="BC58" s="170">
        <f ca="1" t="shared" si="60"/>
        <v>3627804.95228492</v>
      </c>
      <c r="BE58">
        <f ca="1" t="shared" si="29"/>
        <v>105849</v>
      </c>
      <c r="BF58">
        <f ca="1" t="shared" si="90"/>
        <v>327069.46875</v>
      </c>
      <c r="BI58">
        <f ca="1" t="shared" si="31"/>
        <v>0.9543</v>
      </c>
      <c r="BJ58">
        <f ca="1">技能数计算!$AJ50</f>
        <v>0</v>
      </c>
      <c r="BK58">
        <f ca="1" t="shared" si="91"/>
        <v>3585973.64339517</v>
      </c>
      <c r="BM58">
        <f ca="1" t="shared" si="33"/>
        <v>109230</v>
      </c>
      <c r="BN58">
        <f ca="1" t="shared" si="92"/>
        <v>336261.5625</v>
      </c>
      <c r="BO58">
        <f ca="1" t="shared" si="93"/>
        <v>3633567.33042422</v>
      </c>
      <c r="BP58">
        <f ca="1" t="shared" si="94"/>
        <v>3465123.62115444</v>
      </c>
      <c r="BR58">
        <f ca="1" t="shared" si="37"/>
        <v>0.9543</v>
      </c>
      <c r="BS58">
        <f ca="1" t="shared" si="95"/>
        <v>3582637.87036985</v>
      </c>
      <c r="BT58">
        <f ca="1" t="shared" si="96"/>
        <v>0.196995876306796</v>
      </c>
      <c r="BU58">
        <f ca="1" t="shared" si="40"/>
        <v>2.3177566866</v>
      </c>
      <c r="BV58">
        <f ca="1" t="shared" si="61"/>
        <v>3659579.02441207</v>
      </c>
      <c r="BW58">
        <f ca="1" t="shared" si="41"/>
        <v>113027</v>
      </c>
      <c r="BX58">
        <f ca="1" t="shared" si="97"/>
        <v>346584.65625</v>
      </c>
      <c r="BY58">
        <f ca="1" t="shared" si="43"/>
        <v>0.9343</v>
      </c>
      <c r="BZ58">
        <f ca="1">技能数计算!$AJ50</f>
        <v>0</v>
      </c>
      <c r="CA58">
        <f ca="1" t="shared" si="44"/>
        <v>2.3216629366</v>
      </c>
      <c r="CB58">
        <f ca="1" t="shared" si="62"/>
        <v>3763549.09056686</v>
      </c>
      <c r="CC58">
        <f ca="1" t="shared" si="45"/>
        <v>114847</v>
      </c>
      <c r="CD58">
        <f ca="1" t="shared" si="98"/>
        <v>351532.78125</v>
      </c>
      <c r="CE58">
        <f ca="1" t="shared" si="99"/>
        <v>3684305.88784205</v>
      </c>
      <c r="CF58">
        <f ca="1" t="shared" si="48"/>
        <v>2.2689285616</v>
      </c>
      <c r="CG58">
        <f ca="1" t="shared" si="49"/>
        <v>0.9343</v>
      </c>
      <c r="CH58">
        <f ca="1" t="shared" si="63"/>
        <v>3491760.5270491</v>
      </c>
      <c r="CJ58">
        <f ca="1" t="shared" si="100"/>
        <v>336261.5625</v>
      </c>
      <c r="CK58">
        <f ca="1" t="shared" si="101"/>
        <v>3617107.46845273</v>
      </c>
      <c r="CL58">
        <f ca="1" t="shared" si="64"/>
        <v>2.2915848116</v>
      </c>
      <c r="CM58">
        <f ca="1">IF(G58="恒定伤害",0,(IF(D58="轻剑",$CM$8,$CM$9)+IFERROR(INDEX(技能数据库!$T$2:$W$27,MATCH(E58,技能数据库!$T$2:$T$27,0),4),0)+COUNTIF(G58,"*造化2*")*154+COUNTIF(G58,"*造化1*")*102+COUNTIF(G58,"*碧归*")*307)/1024)</f>
        <v>0.296985334429785</v>
      </c>
      <c r="CN58">
        <f ca="1" t="shared" si="65"/>
        <v>3698222.45224603</v>
      </c>
      <c r="CO58">
        <f ca="1" t="shared" si="66"/>
        <v>2.3156473116</v>
      </c>
      <c r="CP58">
        <f ca="1" t="shared" si="67"/>
        <v>3735899.0242875</v>
      </c>
      <c r="CQ58">
        <f ca="1" t="shared" si="102"/>
        <v>2.77157885480339</v>
      </c>
      <c r="CR58">
        <f ca="1">IF(G58="恒定伤害",0,(IF(D58="轻剑",$CR$8,$CR$9)+IFERROR(INDEX(技能数据库!$T$2:$W$27,MATCH(E58,技能数据库!$T$2:$T$27,0),4),0)+COUNTIF(G58,"*造化2*")*154+COUNTIF(G58,"*造化1*")*102+COUNTIF(G58,"*碧归*")*307)/1024)</f>
        <v>0.287219709429785</v>
      </c>
      <c r="CS58">
        <f ca="1" t="shared" si="68"/>
        <v>3501116.92245239</v>
      </c>
    </row>
    <row r="59" spans="4:97">
      <c r="D59" t="s">
        <v>1825</v>
      </c>
      <c r="E59" t="s">
        <v>2798</v>
      </c>
      <c r="G59" t="s">
        <v>2750</v>
      </c>
      <c r="H59">
        <f ca="1">INDEX(技能数据库!$B$2:$I$100,MATCH(阵眼收益计算!$E59,技能数据库!$B$2:$B$100,0),MATCH(H$9,技能数据库!$B$2:$I$2,0))</f>
        <v>1504.5</v>
      </c>
      <c r="I59">
        <f ca="1">INDEX(技能数据库!$B$2:$I$100,MATCH(阵眼收益计算!$E59,技能数据库!$B$2:$B$100,0),MATCH(I$9,技能数据库!$B$2:$I$2,0))</f>
        <v>2.85625</v>
      </c>
      <c r="J59">
        <f ca="1">INDEX(技能数据库!$B$2:$I$100,MATCH(阵眼收益计算!$E59,技能数据库!$B$2:$B$100,0),MATCH(J$9,技能数据库!$B$2:$I$2,0))</f>
        <v>0</v>
      </c>
      <c r="K59">
        <f ca="1">INDEX(技能数据库!$B$2:$I$100,MATCH(阵眼收益计算!$E59,技能数据库!$B$2:$B$100,0),MATCH(K$9,技能数据库!$B$2:$I$2,0))</f>
        <v>0</v>
      </c>
      <c r="L59">
        <f ca="1" t="shared" si="13"/>
        <v>105847</v>
      </c>
      <c r="M59">
        <f ca="1" t="shared" si="73"/>
        <v>19530.5</v>
      </c>
      <c r="N59">
        <f ca="1" t="shared" si="74"/>
        <v>92028</v>
      </c>
      <c r="O59">
        <f ca="1" t="shared" si="53"/>
        <v>303829.99375</v>
      </c>
      <c r="P59">
        <f ca="1">IF(G59="恒定伤害",0,(IF(D59="轻剑",$AZ$2,$AZ$3)+IFERROR(INDEX(技能数据库!$T$2:$W$27,MATCH(E59,技能数据库!$T$2:$T$27,0),4),0)+COUNTIF(G59,"*造化2*")*154+COUNTIF(G59,"*造化1*")*102+COUNTIF(G59,"*碧归*")*307)/1024)</f>
        <v>0.116321271929785</v>
      </c>
      <c r="Q59">
        <f ca="1" t="shared" si="82"/>
        <v>0.448284482196154</v>
      </c>
      <c r="R59">
        <f ca="1" t="shared" si="54"/>
        <v>0.21277697966198</v>
      </c>
      <c r="S59">
        <f ca="1" t="shared" si="75"/>
        <v>386697.627911573</v>
      </c>
      <c r="T59">
        <f t="shared" si="76"/>
        <v>0.8</v>
      </c>
      <c r="U59">
        <f ca="1" t="shared" si="83"/>
        <v>1.7800129648</v>
      </c>
      <c r="V59">
        <f ca="1" t="shared" si="77"/>
        <v>860019.535241264</v>
      </c>
      <c r="W59">
        <f ca="1">IF(G59="恒定伤害",0,MIN(1,IF(COUNTIF(F59,"*内会*")&gt;0,内会2,IF(D59="轻剑",$Y$2,$Y$3)+COUNTIF(G59,"*莺鸣*")*0.2+COUNTIF(G59,"*叠1*")*0.1+COUNTIF(G59,"*叠2*")*0.2+COUNTIF(G59,"*叠3*")*0.3)+IFERROR(INDEX(技能数据库!$T$2:$W$27,MATCH(E59,技能数据库!$T$2:$T$27,0),2),0)+IF((IF(D59="轻剑",$AO$2,$AO$3)+INT(COUNTIF(G59,"*大莺鸣*")*IF(D59="轻剑",$AM$2,$AM$3)*听晓无双率)/无双系数)&gt;0.9,特效裤子会心/会心系数,0)))</f>
        <v>0.7043</v>
      </c>
      <c r="X59">
        <f ca="1">IF(G59="恒定伤害",0,IF(COUNTIF(F59,"*内会*")&gt;0,内会效2,IF(D59="轻剑",$AB$2,$AB$3))+IFERROR(INDEX(技能数据库!$T$2:$W$27,MATCH(E59,技能数据库!$T$2:$T$27,0),3)/1024,0))+COUNTIF(G59,"*叠1*")*0.25+COUNTIF(G59,"*叠2*")*0.5+COUNTIF(G59,"*叠3*")*0.75</f>
        <v>2.1712723116</v>
      </c>
      <c r="Y59">
        <f ca="1" t="shared" si="78"/>
        <v>1.82492708905988</v>
      </c>
      <c r="Z59">
        <f t="shared" si="16"/>
        <v>0.150390625</v>
      </c>
      <c r="AA59">
        <f ca="1" t="shared" si="79"/>
        <v>0.0205078125</v>
      </c>
      <c r="AB59">
        <f ca="1" t="shared" si="80"/>
        <v>1842533.96269311</v>
      </c>
      <c r="AC59">
        <f ca="1">技能数计算!$AJ51</f>
        <v>8</v>
      </c>
      <c r="AD59" s="164">
        <f ca="1" t="shared" si="81"/>
        <v>0.00528459809488404</v>
      </c>
      <c r="AE59" s="168"/>
      <c r="AF59" s="168">
        <f ca="1" t="shared" si="17"/>
        <v>0.7057</v>
      </c>
      <c r="AG59">
        <f ca="1">技能数计算!$AJ51</f>
        <v>8</v>
      </c>
      <c r="AH59">
        <f ca="1" t="shared" si="18"/>
        <v>109879</v>
      </c>
      <c r="AJ59">
        <f ca="1" t="shared" si="55"/>
        <v>2.3704910616</v>
      </c>
      <c r="AK59">
        <f ca="1" t="shared" si="84"/>
        <v>315346.39375</v>
      </c>
      <c r="AL59">
        <f ca="1" t="shared" si="85"/>
        <v>2061984.1913815</v>
      </c>
      <c r="AM59" s="169">
        <f ca="1" t="shared" si="20"/>
        <v>0.7272</v>
      </c>
      <c r="AN59">
        <f ca="1">技能数计算!$AJ51</f>
        <v>8</v>
      </c>
      <c r="AO59" s="170">
        <f ca="1" t="shared" si="86"/>
        <v>2092870.16512463</v>
      </c>
      <c r="AP59">
        <f ca="1" t="shared" si="22"/>
        <v>110956</v>
      </c>
      <c r="AQ59" s="170">
        <f ca="1" t="shared" si="87"/>
        <v>318422.575</v>
      </c>
      <c r="AR59">
        <f ca="1" t="shared" si="88"/>
        <v>2044317.27658045</v>
      </c>
      <c r="AS59">
        <f ca="1" t="shared" si="24"/>
        <v>0.7843</v>
      </c>
      <c r="AT59">
        <f ca="1">技能数计算!$AJ51</f>
        <v>8</v>
      </c>
      <c r="AU59">
        <f ca="1" t="shared" si="25"/>
        <v>2.3177566866</v>
      </c>
      <c r="AV59">
        <f ca="1" t="shared" si="89"/>
        <v>1.7995442148</v>
      </c>
      <c r="AW59">
        <f ca="1" t="shared" si="58"/>
        <v>2067560.4165697</v>
      </c>
      <c r="AX59">
        <f ca="1" t="shared" si="27"/>
        <v>0.7743</v>
      </c>
      <c r="AY59">
        <f ca="1">技能数计算!$AJ51</f>
        <v>8</v>
      </c>
      <c r="AZ59" s="170">
        <f ca="1" t="shared" si="59"/>
        <v>2054162.23922009</v>
      </c>
      <c r="BA59">
        <f ca="1" t="shared" si="28"/>
        <v>0.7643</v>
      </c>
      <c r="BB59">
        <f ca="1">技能数计算!$AJ51</f>
        <v>8</v>
      </c>
      <c r="BC59" s="170">
        <f ca="1" t="shared" si="60"/>
        <v>2040764.06187049</v>
      </c>
      <c r="BE59">
        <f ca="1" t="shared" si="29"/>
        <v>105849</v>
      </c>
      <c r="BF59">
        <f ca="1" t="shared" si="90"/>
        <v>303835.70625</v>
      </c>
      <c r="BI59">
        <f ca="1" t="shared" si="31"/>
        <v>0.7543</v>
      </c>
      <c r="BJ59">
        <f ca="1">技能数计算!$AJ51</f>
        <v>8</v>
      </c>
      <c r="BK59">
        <f ca="1" t="shared" si="91"/>
        <v>2029675.39756139</v>
      </c>
      <c r="BM59">
        <f ca="1" t="shared" si="33"/>
        <v>109230</v>
      </c>
      <c r="BN59">
        <f ca="1" t="shared" si="92"/>
        <v>313492.6875</v>
      </c>
      <c r="BO59">
        <f ca="1" t="shared" si="93"/>
        <v>2053193.10169555</v>
      </c>
      <c r="BP59">
        <f ca="1" t="shared" si="94"/>
        <v>1958011.85680684</v>
      </c>
      <c r="BR59">
        <f ca="1" t="shared" si="37"/>
        <v>0.7543</v>
      </c>
      <c r="BS59">
        <f ca="1" t="shared" si="95"/>
        <v>2035043.93801322</v>
      </c>
      <c r="BT59">
        <f ca="1" t="shared" si="96"/>
        <v>0.196995876306796</v>
      </c>
      <c r="BU59">
        <f ca="1" t="shared" si="40"/>
        <v>2.3177566866</v>
      </c>
      <c r="BV59">
        <f ca="1" t="shared" si="61"/>
        <v>2053579.94565848</v>
      </c>
      <c r="BW59">
        <f ca="1" t="shared" si="41"/>
        <v>113027</v>
      </c>
      <c r="BX59">
        <f ca="1" t="shared" si="97"/>
        <v>324337.86875</v>
      </c>
      <c r="BY59">
        <f ca="1" t="shared" si="43"/>
        <v>0.7343</v>
      </c>
      <c r="BZ59">
        <f ca="1">技能数计算!$AJ51</f>
        <v>8</v>
      </c>
      <c r="CA59">
        <f ca="1" t="shared" si="44"/>
        <v>2.3216629366</v>
      </c>
      <c r="CB59">
        <f ca="1" t="shared" si="62"/>
        <v>2123795.99078565</v>
      </c>
      <c r="CC59">
        <f ca="1" t="shared" si="45"/>
        <v>114847</v>
      </c>
      <c r="CD59">
        <f ca="1" t="shared" si="98"/>
        <v>329536.24375</v>
      </c>
      <c r="CE59">
        <f ca="1" t="shared" si="99"/>
        <v>2097846.7185505</v>
      </c>
      <c r="CF59">
        <f ca="1" t="shared" si="48"/>
        <v>2.2689285616</v>
      </c>
      <c r="CG59">
        <f ca="1" t="shared" si="49"/>
        <v>0.7343</v>
      </c>
      <c r="CH59">
        <f ca="1" t="shared" si="63"/>
        <v>1964114.78442043</v>
      </c>
      <c r="CJ59">
        <f ca="1" t="shared" si="100"/>
        <v>313492.6875</v>
      </c>
      <c r="CK59">
        <f ca="1" t="shared" si="101"/>
        <v>2043892.24884723</v>
      </c>
      <c r="CL59">
        <f ca="1" t="shared" si="64"/>
        <v>2.2915848116</v>
      </c>
      <c r="CM59">
        <f ca="1">IF(G59="恒定伤害",0,(IF(D59="轻剑",$CM$8,$CM$9)+IFERROR(INDEX(技能数据库!$T$2:$W$27,MATCH(E59,技能数据库!$T$2:$T$27,0),4),0)+COUNTIF(G59,"*造化2*")*154+COUNTIF(G59,"*造化1*")*102+COUNTIF(G59,"*碧归*")*307)/1024)</f>
        <v>0.176868146929785</v>
      </c>
      <c r="CN59">
        <f ca="1" t="shared" si="65"/>
        <v>2088476.59918683</v>
      </c>
      <c r="CO59">
        <f ca="1" t="shared" si="66"/>
        <v>2.3156473116</v>
      </c>
      <c r="CP59">
        <f ca="1" t="shared" si="67"/>
        <v>2107415.87534219</v>
      </c>
      <c r="CQ59">
        <f ca="1" t="shared" si="102"/>
        <v>1.8815754648</v>
      </c>
      <c r="CR59">
        <f ca="1">IF(G59="恒定伤害",0,(IF(D59="轻剑",$CR$8,$CR$9)+IFERROR(INDEX(技能数据库!$T$2:$W$27,MATCH(E59,技能数据库!$T$2:$T$27,0),4),0)+COUNTIF(G59,"*造化2*")*154+COUNTIF(G59,"*造化1*")*102+COUNTIF(G59,"*碧归*")*307)/1024)</f>
        <v>0.167102521929785</v>
      </c>
      <c r="CS59">
        <f ca="1" t="shared" si="68"/>
        <v>1996726.05590968</v>
      </c>
    </row>
    <row r="60" spans="4:97">
      <c r="D60" t="s">
        <v>1825</v>
      </c>
      <c r="E60" t="s">
        <v>2798</v>
      </c>
      <c r="G60" t="s">
        <v>3044</v>
      </c>
      <c r="H60">
        <f ca="1">INDEX(技能数据库!$B$2:$I$100,MATCH(阵眼收益计算!$E60,技能数据库!$B$2:$B$100,0),MATCH(H$9,技能数据库!$B$2:$I$2,0))</f>
        <v>1504.5</v>
      </c>
      <c r="I60">
        <f ca="1">INDEX(技能数据库!$B$2:$I$100,MATCH(阵眼收益计算!$E60,技能数据库!$B$2:$B$100,0),MATCH(I$9,技能数据库!$B$2:$I$2,0))</f>
        <v>2.85625</v>
      </c>
      <c r="J60">
        <f ca="1">INDEX(技能数据库!$B$2:$I$100,MATCH(阵眼收益计算!$E60,技能数据库!$B$2:$B$100,0),MATCH(J$9,技能数据库!$B$2:$I$2,0))</f>
        <v>0</v>
      </c>
      <c r="K60">
        <f ca="1">INDEX(技能数据库!$B$2:$I$100,MATCH(阵眼收益计算!$E60,技能数据库!$B$2:$B$100,0),MATCH(K$9,技能数据库!$B$2:$I$2,0))</f>
        <v>0</v>
      </c>
      <c r="L60">
        <f ca="1" t="shared" si="13"/>
        <v>105847</v>
      </c>
      <c r="M60">
        <f ca="1" t="shared" si="73"/>
        <v>19530.5</v>
      </c>
      <c r="N60">
        <f ca="1" t="shared" si="74"/>
        <v>92028</v>
      </c>
      <c r="O60">
        <f ca="1" t="shared" si="53"/>
        <v>303829.99375</v>
      </c>
      <c r="P60">
        <f ca="1">IF(G60="恒定伤害",0,(IF(D60="轻剑",$AZ$2,$AZ$3)+IFERROR(INDEX(技能数据库!$T$2:$W$27,MATCH(E60,技能数据库!$T$2:$T$27,0),4),0)+COUNTIF(G60,"*造化2*")*154+COUNTIF(G60,"*造化1*")*102+COUNTIF(G60,"*碧归*")*307)/1024)</f>
        <v>0.116321271929785</v>
      </c>
      <c r="Q60">
        <f ca="1" t="shared" si="82"/>
        <v>0.448284482196154</v>
      </c>
      <c r="R60">
        <f ca="1" t="shared" si="54"/>
        <v>0.21277697966198</v>
      </c>
      <c r="S60">
        <f ca="1" t="shared" si="75"/>
        <v>386697.627911573</v>
      </c>
      <c r="T60">
        <f t="shared" si="76"/>
        <v>0.8</v>
      </c>
      <c r="U60">
        <f ca="1" t="shared" si="83"/>
        <v>2.67001635480339</v>
      </c>
      <c r="V60">
        <f ca="1" t="shared" si="77"/>
        <v>1135349.29503932</v>
      </c>
      <c r="W60">
        <f ca="1">IF(G60="恒定伤害",0,MIN(1,IF(COUNTIF(F60,"*内会*")&gt;0,内会2,IF(D60="轻剑",$Y$2,$Y$3)+COUNTIF(G60,"*莺鸣*")*0.2+COUNTIF(G60,"*叠1*")*0.1+COUNTIF(G60,"*叠2*")*0.2+COUNTIF(G60,"*叠3*")*0.3)+IFERROR(INDEX(技能数据库!$T$2:$W$27,MATCH(E60,技能数据库!$T$2:$T$27,0),2),0)+IF((IF(D60="轻剑",$AO$2,$AO$3)+INT(COUNTIF(G60,"*大莺鸣*")*IF(D60="轻剑",$AM$2,$AM$3)*听晓无双率)/无双系数)&gt;0.9,特效裤子会心/会心系数,0)))</f>
        <v>0.9043</v>
      </c>
      <c r="X60">
        <f ca="1">IF(G60="恒定伤害",0,IF(COUNTIF(F60,"*内会*")&gt;0,内会效2,IF(D60="轻剑",$AB$2,$AB$3))+IFERROR(INDEX(技能数据库!$T$2:$W$27,MATCH(E60,技能数据库!$T$2:$T$27,0),3)/1024,0))+COUNTIF(G60,"*叠1*")*0.25+COUNTIF(G60,"*叠2*")*0.5+COUNTIF(G60,"*叠3*")*0.75</f>
        <v>2.1712723116</v>
      </c>
      <c r="Y60">
        <f ca="1" t="shared" si="78"/>
        <v>2.05918155137988</v>
      </c>
      <c r="Z60">
        <f t="shared" si="16"/>
        <v>0.150390625</v>
      </c>
      <c r="AA60">
        <f ca="1" t="shared" si="79"/>
        <v>0.0205078125</v>
      </c>
      <c r="AB60">
        <f ca="1" t="shared" si="80"/>
        <v>2744642.60689545</v>
      </c>
      <c r="AC60">
        <f ca="1">技能数计算!$AJ52</f>
        <v>0</v>
      </c>
      <c r="AD60" s="164">
        <f ca="1" t="shared" si="81"/>
        <v>0</v>
      </c>
      <c r="AE60" s="168"/>
      <c r="AF60" s="168">
        <f ca="1" t="shared" si="17"/>
        <v>0.9057</v>
      </c>
      <c r="AG60">
        <f ca="1">技能数计算!$AJ52</f>
        <v>0</v>
      </c>
      <c r="AH60">
        <f ca="1" t="shared" si="18"/>
        <v>109879</v>
      </c>
      <c r="AJ60">
        <f ca="1" t="shared" si="55"/>
        <v>2.3704910616</v>
      </c>
      <c r="AK60">
        <f ca="1" t="shared" si="84"/>
        <v>315346.39375</v>
      </c>
      <c r="AL60">
        <f ca="1" t="shared" si="85"/>
        <v>3101407.54443529</v>
      </c>
      <c r="AM60" s="169">
        <f ca="1" t="shared" si="20"/>
        <v>0.9272</v>
      </c>
      <c r="AN60">
        <f ca="1">技能数计算!$AJ52</f>
        <v>0</v>
      </c>
      <c r="AO60" s="170">
        <f ca="1" t="shared" si="86"/>
        <v>3142181.46535097</v>
      </c>
      <c r="AP60">
        <f ca="1" t="shared" si="22"/>
        <v>110956</v>
      </c>
      <c r="AQ60" s="170">
        <f ca="1" t="shared" si="87"/>
        <v>318422.575</v>
      </c>
      <c r="AR60">
        <f ca="1" t="shared" si="88"/>
        <v>3045219.47107779</v>
      </c>
      <c r="AS60">
        <f ca="1" t="shared" si="24"/>
        <v>0.9843</v>
      </c>
      <c r="AT60">
        <f ca="1">技能数计算!$AJ52</f>
        <v>0</v>
      </c>
      <c r="AU60">
        <f ca="1" t="shared" si="25"/>
        <v>2.3177566866</v>
      </c>
      <c r="AV60">
        <f ca="1" t="shared" si="89"/>
        <v>2.68954760480339</v>
      </c>
      <c r="AW60">
        <f ca="1" t="shared" si="58"/>
        <v>3078010.62764632</v>
      </c>
      <c r="AX60">
        <f ca="1" t="shared" si="27"/>
        <v>0.9743</v>
      </c>
      <c r="AY60">
        <f ca="1">技能数计算!$AJ52</f>
        <v>0</v>
      </c>
      <c r="AZ60" s="170">
        <f ca="1" t="shared" si="59"/>
        <v>3060353.03435394</v>
      </c>
      <c r="BA60">
        <f ca="1" t="shared" si="28"/>
        <v>0.9643</v>
      </c>
      <c r="BB60">
        <f ca="1">技能数计算!$AJ52</f>
        <v>0</v>
      </c>
      <c r="BC60" s="170">
        <f ca="1" t="shared" si="60"/>
        <v>3042695.44106157</v>
      </c>
      <c r="BE60">
        <f ca="1" t="shared" si="29"/>
        <v>105849</v>
      </c>
      <c r="BF60">
        <f ca="1" t="shared" si="90"/>
        <v>303835.70625</v>
      </c>
      <c r="BI60">
        <f ca="1" t="shared" si="31"/>
        <v>0.9543</v>
      </c>
      <c r="BJ60">
        <f ca="1">技能数计算!$AJ52</f>
        <v>0</v>
      </c>
      <c r="BK60">
        <f ca="1" t="shared" si="91"/>
        <v>3007617.42897395</v>
      </c>
      <c r="BM60">
        <f ca="1" t="shared" si="33"/>
        <v>109230</v>
      </c>
      <c r="BN60">
        <f ca="1" t="shared" si="92"/>
        <v>313492.6875</v>
      </c>
      <c r="BO60">
        <f ca="1" t="shared" si="93"/>
        <v>3058440.91951537</v>
      </c>
      <c r="BP60">
        <f ca="1" t="shared" si="94"/>
        <v>2916658.72966794</v>
      </c>
      <c r="BR60">
        <f ca="1" t="shared" si="37"/>
        <v>0.9543</v>
      </c>
      <c r="BS60">
        <f ca="1" t="shared" si="95"/>
        <v>3015572.64972033</v>
      </c>
      <c r="BT60">
        <f ca="1" t="shared" si="96"/>
        <v>0.196995876306796</v>
      </c>
      <c r="BU60">
        <f ca="1" t="shared" si="40"/>
        <v>2.3177566866</v>
      </c>
      <c r="BV60">
        <f ca="1" t="shared" si="61"/>
        <v>3069344.84081619</v>
      </c>
      <c r="BW60">
        <f ca="1" t="shared" si="41"/>
        <v>113027</v>
      </c>
      <c r="BX60">
        <f ca="1" t="shared" si="97"/>
        <v>324337.86875</v>
      </c>
      <c r="BY60">
        <f ca="1" t="shared" si="43"/>
        <v>0.9343</v>
      </c>
      <c r="BZ60">
        <f ca="1">技能数计算!$AJ52</f>
        <v>0</v>
      </c>
      <c r="CA60">
        <f ca="1" t="shared" si="44"/>
        <v>2.3216629366</v>
      </c>
      <c r="CB60">
        <f ca="1" t="shared" si="62"/>
        <v>3179820.51496411</v>
      </c>
      <c r="CC60">
        <f ca="1" t="shared" si="45"/>
        <v>114847</v>
      </c>
      <c r="CD60">
        <f ca="1" t="shared" si="98"/>
        <v>329536.24375</v>
      </c>
      <c r="CE60">
        <f ca="1" t="shared" si="99"/>
        <v>3118241.39169327</v>
      </c>
      <c r="CF60">
        <f ca="1" t="shared" si="48"/>
        <v>2.2689285616</v>
      </c>
      <c r="CG60">
        <f ca="1" t="shared" si="49"/>
        <v>0.9343</v>
      </c>
      <c r="CH60">
        <f ca="1" t="shared" si="63"/>
        <v>2928592.90305545</v>
      </c>
      <c r="CJ60">
        <f ca="1" t="shared" si="100"/>
        <v>313492.6875</v>
      </c>
      <c r="CK60">
        <f ca="1" t="shared" si="101"/>
        <v>3044586.34883997</v>
      </c>
      <c r="CL60">
        <f ca="1" t="shared" si="64"/>
        <v>2.2915848116</v>
      </c>
      <c r="CM60">
        <f ca="1">IF(G60="恒定伤害",0,(IF(D60="轻剑",$CM$8,$CM$9)+IFERROR(INDEX(技能数据库!$T$2:$W$27,MATCH(E60,技能数据库!$T$2:$T$27,0),4),0)+COUNTIF(G60,"*造化2*")*154+COUNTIF(G60,"*造化1*")*102+COUNTIF(G60,"*碧归*")*307)/1024)</f>
        <v>0.176868146929785</v>
      </c>
      <c r="CN60">
        <f ca="1" t="shared" si="65"/>
        <v>3117336.13169835</v>
      </c>
      <c r="CO60">
        <f ca="1" t="shared" si="66"/>
        <v>2.3156473116</v>
      </c>
      <c r="CP60">
        <f ca="1" t="shared" si="67"/>
        <v>3149094.7781454</v>
      </c>
      <c r="CQ60">
        <f ca="1" t="shared" si="102"/>
        <v>2.77157885480339</v>
      </c>
      <c r="CR60">
        <f ca="1">IF(G60="恒定伤害",0,(IF(D60="轻剑",$CR$8,$CR$9)+IFERROR(INDEX(技能数据库!$T$2:$W$27,MATCH(E60,技能数据库!$T$2:$T$27,0),4),0)+COUNTIF(G60,"*造化2*")*154+COUNTIF(G60,"*造化1*")*102+COUNTIF(G60,"*碧归*")*307)/1024)</f>
        <v>0.167102521929785</v>
      </c>
      <c r="CS60">
        <f ca="1" t="shared" si="68"/>
        <v>2948905.12701413</v>
      </c>
    </row>
    <row r="61" spans="4:97">
      <c r="D61" t="s">
        <v>1825</v>
      </c>
      <c r="E61" t="s">
        <v>2801</v>
      </c>
      <c r="H61">
        <f ca="1">INDEX(技能数据库!$B$2:$I$100,MATCH(阵眼收益计算!$E61,技能数据库!$B$2:$B$100,0),MATCH(H$9,技能数据库!$B$2:$I$2,0))</f>
        <v>291</v>
      </c>
      <c r="I61">
        <f ca="1">INDEX(技能数据库!$B$2:$I$100,MATCH(阵眼收益计算!$E61,技能数据库!$B$2:$B$100,0),MATCH(I$9,技能数据库!$B$2:$I$2,0))</f>
        <v>1.8875</v>
      </c>
      <c r="J61">
        <f ca="1">INDEX(技能数据库!$B$2:$I$100,MATCH(阵眼收益计算!$E61,技能数据库!$B$2:$B$100,0),MATCH(J$9,技能数据库!$B$2:$I$2,0))</f>
        <v>2</v>
      </c>
      <c r="K61">
        <f ca="1">INDEX(技能数据库!$B$2:$I$100,MATCH(阵眼收益计算!$E61,技能数据库!$B$2:$B$100,0),MATCH(K$9,技能数据库!$B$2:$I$2,0))</f>
        <v>0</v>
      </c>
      <c r="L61">
        <f ca="1" t="shared" si="13"/>
        <v>91975</v>
      </c>
      <c r="M61">
        <f ca="1" t="shared" si="73"/>
        <v>19530.5</v>
      </c>
      <c r="N61">
        <f ca="1" t="shared" si="74"/>
        <v>92028</v>
      </c>
      <c r="O61">
        <f ca="1" t="shared" si="53"/>
        <v>212954.8125</v>
      </c>
      <c r="P61">
        <f ca="1">IF(G61="恒定伤害",0,(IF(D61="轻剑",$AZ$2,$AZ$3)+IFERROR(INDEX(技能数据库!$T$2:$W$27,MATCH(E61,技能数据库!$T$2:$T$27,0),4),0)+COUNTIF(G61,"*造化2*")*154+COUNTIF(G61,"*造化1*")*102+COUNTIF(G61,"*碧归*")*307)/1024)</f>
        <v>0.116321271929785</v>
      </c>
      <c r="Q61">
        <f ca="1" t="shared" si="82"/>
        <v>0.448284482196154</v>
      </c>
      <c r="R61">
        <f ca="1" t="shared" si="54"/>
        <v>0.32958230397716</v>
      </c>
      <c r="S61">
        <f ca="1" t="shared" si="75"/>
        <v>230821.365593173</v>
      </c>
      <c r="T61">
        <f t="shared" si="76"/>
        <v>0.8</v>
      </c>
      <c r="U61">
        <f ca="1" t="shared" si="83"/>
        <v>1.7800129648</v>
      </c>
      <c r="V61">
        <f ca="1" t="shared" si="77"/>
        <v>513349.11112149</v>
      </c>
      <c r="W61">
        <f ca="1">IF(G61="恒定伤害",0,MIN(1,IF(COUNTIF(F61,"*内会*")&gt;0,内会2,IF(D61="轻剑",$Y$2,$Y$3)+COUNTIF(G61,"*莺鸣*")*0.2+COUNTIF(G61,"*叠1*")*0.1+COUNTIF(G61,"*叠2*")*0.2+COUNTIF(G61,"*叠3*")*0.3)+IFERROR(INDEX(技能数据库!$T$2:$W$27,MATCH(E61,技能数据库!$T$2:$T$27,0),2),0)+IF((IF(D61="轻剑",$AO$2,$AO$3)+INT(COUNTIF(G61,"*大莺鸣*")*IF(D61="轻剑",$AM$2,$AM$3)*听晓无双率)/无双系数)&gt;0.9,特效裤子会心/会心系数,0)))</f>
        <v>0.7043</v>
      </c>
      <c r="X61">
        <f ca="1">IF(G61="恒定伤害",0,IF(COUNTIF(F61,"*内会*")&gt;0,内会效2,IF(D61="轻剑",$AB$2,$AB$3))+IFERROR(INDEX(技能数据库!$T$2:$W$27,MATCH(E61,技能数据库!$T$2:$T$27,0),3)/1024,0))+COUNTIF(G61,"*叠1*")*0.25+COUNTIF(G61,"*叠2*")*0.5+COUNTIF(G61,"*叠3*")*0.75</f>
        <v>2.1712723116</v>
      </c>
      <c r="Y61">
        <f ca="1" t="shared" si="78"/>
        <v>1.82492708905988</v>
      </c>
      <c r="Z61">
        <f t="shared" si="16"/>
        <v>0.150390625</v>
      </c>
      <c r="AA61">
        <f ca="1" t="shared" si="79"/>
        <v>0.0205078125</v>
      </c>
      <c r="AB61">
        <f ca="1" t="shared" si="80"/>
        <v>1099815.91487258</v>
      </c>
      <c r="AC61">
        <f ca="1">技能数计算!$AJ53</f>
        <v>0</v>
      </c>
      <c r="AD61" s="164">
        <f ca="1" t="shared" si="81"/>
        <v>0</v>
      </c>
      <c r="AE61" s="168"/>
      <c r="AF61" s="168">
        <f ca="1" t="shared" si="17"/>
        <v>0.7057</v>
      </c>
      <c r="AG61">
        <f ca="1">技能数计算!$AJ53</f>
        <v>0</v>
      </c>
      <c r="AH61">
        <f ca="1" t="shared" si="18"/>
        <v>96007</v>
      </c>
      <c r="AJ61">
        <f ca="1" t="shared" si="55"/>
        <v>2.3704910616</v>
      </c>
      <c r="AK61">
        <f ca="1" t="shared" si="84"/>
        <v>221042.2125</v>
      </c>
      <c r="AL61">
        <f ca="1" t="shared" si="85"/>
        <v>1230893.17950915</v>
      </c>
      <c r="AM61" s="169">
        <f ca="1" t="shared" si="20"/>
        <v>0.7272</v>
      </c>
      <c r="AN61">
        <f ca="1">技能数计算!$AJ53</f>
        <v>0</v>
      </c>
      <c r="AO61" s="170">
        <f ca="1" t="shared" si="86"/>
        <v>1249330.43745798</v>
      </c>
      <c r="AP61">
        <f ca="1" t="shared" si="22"/>
        <v>97084</v>
      </c>
      <c r="AQ61" s="170">
        <f ca="1" t="shared" si="87"/>
        <v>222598.05</v>
      </c>
      <c r="AR61">
        <f ca="1" t="shared" si="88"/>
        <v>1217064.20079402</v>
      </c>
      <c r="AS61">
        <f ca="1" t="shared" si="24"/>
        <v>0.7843</v>
      </c>
      <c r="AT61">
        <f ca="1">技能数计算!$AJ53</f>
        <v>0</v>
      </c>
      <c r="AU61">
        <f ca="1" t="shared" si="25"/>
        <v>2.3177566866</v>
      </c>
      <c r="AV61">
        <f ca="1" t="shared" si="89"/>
        <v>1.7995442148</v>
      </c>
      <c r="AW61">
        <f ca="1" t="shared" si="58"/>
        <v>1234135.10803365</v>
      </c>
      <c r="AX61">
        <f ca="1" t="shared" si="27"/>
        <v>0.7743</v>
      </c>
      <c r="AY61">
        <f ca="1">技能数计算!$AJ53</f>
        <v>0</v>
      </c>
      <c r="AZ61" s="170">
        <f ca="1" t="shared" si="59"/>
        <v>1226137.68221805</v>
      </c>
      <c r="BA61">
        <f ca="1" t="shared" si="28"/>
        <v>0.7643</v>
      </c>
      <c r="BB61">
        <f ca="1">技能数计算!$AJ53</f>
        <v>0</v>
      </c>
      <c r="BC61" s="170">
        <f ca="1" t="shared" si="60"/>
        <v>1218140.25640244</v>
      </c>
      <c r="BE61">
        <f ca="1" t="shared" si="29"/>
        <v>91977</v>
      </c>
      <c r="BF61">
        <f ca="1" t="shared" si="90"/>
        <v>212958.5875</v>
      </c>
      <c r="BI61">
        <f ca="1" t="shared" si="31"/>
        <v>0.7543</v>
      </c>
      <c r="BJ61">
        <f ca="1">技能数计算!$AJ53</f>
        <v>0</v>
      </c>
      <c r="BK61">
        <f ca="1" t="shared" si="91"/>
        <v>1211520.08598637</v>
      </c>
      <c r="BM61">
        <f ca="1" t="shared" si="33"/>
        <v>95358</v>
      </c>
      <c r="BN61">
        <f ca="1" t="shared" si="92"/>
        <v>219340.225</v>
      </c>
      <c r="BO61">
        <f ca="1" t="shared" si="93"/>
        <v>1223399.64422685</v>
      </c>
      <c r="BP61">
        <f ca="1" t="shared" si="94"/>
        <v>1166685.68924729</v>
      </c>
      <c r="BR61">
        <f ca="1" t="shared" si="37"/>
        <v>0.7543</v>
      </c>
      <c r="BS61">
        <f ca="1" t="shared" si="95"/>
        <v>1212585.42496339</v>
      </c>
      <c r="BT61">
        <f ca="1" t="shared" si="96"/>
        <v>0.318170800459405</v>
      </c>
      <c r="BU61">
        <f ca="1" t="shared" si="40"/>
        <v>2.3177566866</v>
      </c>
      <c r="BV61">
        <f ca="1" t="shared" si="61"/>
        <v>1222154.88899541</v>
      </c>
      <c r="BW61">
        <f ca="1" t="shared" si="41"/>
        <v>99155</v>
      </c>
      <c r="BX61">
        <f ca="1" t="shared" si="97"/>
        <v>226507.0625</v>
      </c>
      <c r="BY61">
        <f ca="1" t="shared" si="43"/>
        <v>0.7343</v>
      </c>
      <c r="BZ61">
        <f ca="1">技能数计算!$AJ53</f>
        <v>0</v>
      </c>
      <c r="CA61">
        <f ca="1" t="shared" si="44"/>
        <v>2.3216629366</v>
      </c>
      <c r="CB61">
        <f ca="1" t="shared" si="62"/>
        <v>1263119.87763836</v>
      </c>
      <c r="CC61">
        <f ca="1" t="shared" si="45"/>
        <v>100975</v>
      </c>
      <c r="CD61">
        <f ca="1" t="shared" si="98"/>
        <v>229942.3125</v>
      </c>
      <c r="CE61">
        <f ca="1" t="shared" si="99"/>
        <v>1246628.76652427</v>
      </c>
      <c r="CF61">
        <f ca="1" t="shared" si="48"/>
        <v>2.2689285616</v>
      </c>
      <c r="CG61">
        <f ca="1" t="shared" si="49"/>
        <v>0.7343</v>
      </c>
      <c r="CH61">
        <f ca="1" t="shared" si="63"/>
        <v>1172387.99516333</v>
      </c>
      <c r="CJ61">
        <f ca="1" t="shared" si="100"/>
        <v>219340.225</v>
      </c>
      <c r="CK61">
        <f ca="1" t="shared" si="101"/>
        <v>1217857.71051578</v>
      </c>
      <c r="CL61">
        <f ca="1" t="shared" si="64"/>
        <v>2.2915848116</v>
      </c>
      <c r="CM61">
        <f ca="1">IF(G61="恒定伤害",0,(IF(D61="轻剑",$CM$8,$CM$9)+IFERROR(INDEX(技能数据库!$T$2:$W$27,MATCH(E61,技能数据库!$T$2:$T$27,0),4),0)+COUNTIF(G61,"*造化2*")*154+COUNTIF(G61,"*造化1*")*102+COUNTIF(G61,"*碧归*")*307)/1024)</f>
        <v>0.176868146929785</v>
      </c>
      <c r="CN61">
        <f ca="1" t="shared" si="65"/>
        <v>1246620.06135689</v>
      </c>
      <c r="CO61">
        <f ca="1" t="shared" si="66"/>
        <v>2.3156473116</v>
      </c>
      <c r="CP61">
        <f ca="1" t="shared" si="67"/>
        <v>1257924.99128143</v>
      </c>
      <c r="CQ61">
        <f ca="1" t="shared" si="102"/>
        <v>1.8815754648</v>
      </c>
      <c r="CR61">
        <f ca="1">IF(G61="恒定伤害",0,(IF(D61="轻剑",$CR$8,$CR$9)+IFERROR(INDEX(技能数据库!$T$2:$W$27,MATCH(E61,技能数据库!$T$2:$T$27,0),4),0)+COUNTIF(G61,"*造化2*")*154+COUNTIF(G61,"*造化1*")*102+COUNTIF(G61,"*碧归*")*307)/1024)</f>
        <v>0.167102521929785</v>
      </c>
      <c r="CS61">
        <f ca="1" t="shared" si="68"/>
        <v>1191853.7939569</v>
      </c>
    </row>
    <row r="62" spans="4:97">
      <c r="D62" t="s">
        <v>1825</v>
      </c>
      <c r="E62" t="s">
        <v>2801</v>
      </c>
      <c r="G62" t="s">
        <v>2750</v>
      </c>
      <c r="H62">
        <f ca="1">INDEX(技能数据库!$B$2:$I$100,MATCH(阵眼收益计算!$E62,技能数据库!$B$2:$B$100,0),MATCH(H$9,技能数据库!$B$2:$I$2,0))</f>
        <v>291</v>
      </c>
      <c r="I62">
        <f ca="1">INDEX(技能数据库!$B$2:$I$100,MATCH(阵眼收益计算!$E62,技能数据库!$B$2:$B$100,0),MATCH(I$9,技能数据库!$B$2:$I$2,0))</f>
        <v>1.8875</v>
      </c>
      <c r="J62">
        <f ca="1">INDEX(技能数据库!$B$2:$I$100,MATCH(阵眼收益计算!$E62,技能数据库!$B$2:$B$100,0),MATCH(J$9,技能数据库!$B$2:$I$2,0))</f>
        <v>2</v>
      </c>
      <c r="K62">
        <f ca="1">INDEX(技能数据库!$B$2:$I$100,MATCH(阵眼收益计算!$E62,技能数据库!$B$2:$B$100,0),MATCH(K$9,技能数据库!$B$2:$I$2,0))</f>
        <v>0</v>
      </c>
      <c r="L62">
        <f ca="1" t="shared" si="13"/>
        <v>105847</v>
      </c>
      <c r="M62">
        <f ca="1" t="shared" si="73"/>
        <v>19530.5</v>
      </c>
      <c r="N62">
        <f ca="1" t="shared" si="74"/>
        <v>92028</v>
      </c>
      <c r="O62">
        <f ca="1" t="shared" si="53"/>
        <v>239138.2125</v>
      </c>
      <c r="P62">
        <f ca="1">IF(G62="恒定伤害",0,(IF(D62="轻剑",$AZ$2,$AZ$3)+IFERROR(INDEX(技能数据库!$T$2:$W$27,MATCH(E62,技能数据库!$T$2:$T$27,0),4),0)+COUNTIF(G62,"*造化2*")*154+COUNTIF(G62,"*造化1*")*102+COUNTIF(G62,"*碧归*")*307)/1024)</f>
        <v>0.116321271929785</v>
      </c>
      <c r="Q62">
        <f ca="1" t="shared" si="82"/>
        <v>0.448284482196154</v>
      </c>
      <c r="R62">
        <f ca="1" t="shared" si="54"/>
        <v>0.21277697966198</v>
      </c>
      <c r="S62">
        <f ca="1" t="shared" si="75"/>
        <v>304361.588450856</v>
      </c>
      <c r="T62">
        <f t="shared" si="76"/>
        <v>0.8</v>
      </c>
      <c r="U62">
        <f ca="1" t="shared" si="83"/>
        <v>1.7800129648</v>
      </c>
      <c r="V62">
        <f ca="1" t="shared" si="77"/>
        <v>676903.329504402</v>
      </c>
      <c r="W62">
        <f ca="1">IF(G62="恒定伤害",0,MIN(1,IF(COUNTIF(F62,"*内会*")&gt;0,内会2,IF(D62="轻剑",$Y$2,$Y$3)+COUNTIF(G62,"*莺鸣*")*0.2+COUNTIF(G62,"*叠1*")*0.1+COUNTIF(G62,"*叠2*")*0.2+COUNTIF(G62,"*叠3*")*0.3)+IFERROR(INDEX(技能数据库!$T$2:$W$27,MATCH(E62,技能数据库!$T$2:$T$27,0),2),0)+IF((IF(D62="轻剑",$AO$2,$AO$3)+INT(COUNTIF(G62,"*大莺鸣*")*IF(D62="轻剑",$AM$2,$AM$3)*听晓无双率)/无双系数)&gt;0.9,特效裤子会心/会心系数,0)))</f>
        <v>0.7043</v>
      </c>
      <c r="X62">
        <f ca="1">IF(G62="恒定伤害",0,IF(COUNTIF(F62,"*内会*")&gt;0,内会效2,IF(D62="轻剑",$AB$2,$AB$3))+IFERROR(INDEX(技能数据库!$T$2:$W$27,MATCH(E62,技能数据库!$T$2:$T$27,0),3)/1024,0))+COUNTIF(G62,"*叠1*")*0.25+COUNTIF(G62,"*叠2*")*0.5+COUNTIF(G62,"*叠3*")*0.75</f>
        <v>2.1712723116</v>
      </c>
      <c r="Y62">
        <f ca="1" t="shared" si="78"/>
        <v>1.82492708905988</v>
      </c>
      <c r="Z62">
        <f t="shared" si="16"/>
        <v>0.150390625</v>
      </c>
      <c r="AA62">
        <f ca="1" t="shared" si="79"/>
        <v>0.0205078125</v>
      </c>
      <c r="AB62">
        <f ca="1" t="shared" si="80"/>
        <v>1450219.81823008</v>
      </c>
      <c r="AC62">
        <f ca="1">技能数计算!$AJ54</f>
        <v>28</v>
      </c>
      <c r="AD62" s="164">
        <f ca="1" t="shared" si="81"/>
        <v>0.0145578869389361</v>
      </c>
      <c r="AE62" s="168"/>
      <c r="AF62" s="168">
        <f ca="1" t="shared" si="17"/>
        <v>0.7057</v>
      </c>
      <c r="AG62">
        <f ca="1">技能数计算!$AJ54</f>
        <v>28</v>
      </c>
      <c r="AH62">
        <f ca="1" t="shared" si="18"/>
        <v>109879</v>
      </c>
      <c r="AJ62">
        <f ca="1" t="shared" si="55"/>
        <v>2.3704910616</v>
      </c>
      <c r="AK62">
        <f ca="1" t="shared" si="84"/>
        <v>247225.6125</v>
      </c>
      <c r="AL62">
        <f ca="1" t="shared" si="85"/>
        <v>1616556.63354041</v>
      </c>
      <c r="AM62" s="169">
        <f ca="1" t="shared" si="20"/>
        <v>0.7272</v>
      </c>
      <c r="AN62">
        <f ca="1">技能数计算!$AJ54</f>
        <v>28</v>
      </c>
      <c r="AO62" s="170">
        <f ca="1" t="shared" si="86"/>
        <v>1640770.65319512</v>
      </c>
      <c r="AP62">
        <f ca="1" t="shared" si="22"/>
        <v>110956</v>
      </c>
      <c r="AQ62" s="170">
        <f ca="1" t="shared" si="87"/>
        <v>248781.45</v>
      </c>
      <c r="AR62">
        <f ca="1" t="shared" si="88"/>
        <v>1597211.55551781</v>
      </c>
      <c r="AS62">
        <f ca="1" t="shared" si="24"/>
        <v>0.7843</v>
      </c>
      <c r="AT62">
        <f ca="1">技能数计算!$AJ54</f>
        <v>28</v>
      </c>
      <c r="AU62">
        <f ca="1" t="shared" si="25"/>
        <v>2.3177566866</v>
      </c>
      <c r="AV62">
        <f ca="1" t="shared" si="89"/>
        <v>1.7995442148</v>
      </c>
      <c r="AW62">
        <f ca="1" t="shared" si="58"/>
        <v>1627333.41811232</v>
      </c>
      <c r="AX62">
        <f ca="1" t="shared" si="27"/>
        <v>0.7743</v>
      </c>
      <c r="AY62">
        <f ca="1">技能数计算!$AJ54</f>
        <v>28</v>
      </c>
      <c r="AZ62" s="170">
        <f ca="1" t="shared" si="59"/>
        <v>1616787.99386833</v>
      </c>
      <c r="BA62">
        <f ca="1" t="shared" si="28"/>
        <v>0.7643</v>
      </c>
      <c r="BB62">
        <f ca="1">技能数计算!$AJ54</f>
        <v>28</v>
      </c>
      <c r="BC62" s="170">
        <f ca="1" t="shared" si="60"/>
        <v>1606242.56962434</v>
      </c>
      <c r="BE62">
        <f ca="1" t="shared" si="29"/>
        <v>105849</v>
      </c>
      <c r="BF62">
        <f ca="1" t="shared" si="90"/>
        <v>239141.9875</v>
      </c>
      <c r="BI62">
        <f ca="1" t="shared" si="31"/>
        <v>0.7543</v>
      </c>
      <c r="BJ62">
        <f ca="1">技能数计算!$AJ54</f>
        <v>28</v>
      </c>
      <c r="BK62">
        <f ca="1" t="shared" si="91"/>
        <v>1597510.09696439</v>
      </c>
      <c r="BM62">
        <f ca="1" t="shared" si="33"/>
        <v>109230</v>
      </c>
      <c r="BN62">
        <f ca="1" t="shared" si="92"/>
        <v>245523.625</v>
      </c>
      <c r="BO62">
        <f ca="1" t="shared" si="93"/>
        <v>1608035.63608891</v>
      </c>
      <c r="BP62">
        <f ca="1" t="shared" si="94"/>
        <v>1533490.85335905</v>
      </c>
      <c r="BR62">
        <f ca="1" t="shared" si="37"/>
        <v>0.7543</v>
      </c>
      <c r="BS62">
        <f ca="1" t="shared" si="95"/>
        <v>1593821.43385811</v>
      </c>
      <c r="BT62">
        <f ca="1" t="shared" si="96"/>
        <v>0.196995876306796</v>
      </c>
      <c r="BU62">
        <f ca="1" t="shared" si="40"/>
        <v>2.3177566866</v>
      </c>
      <c r="BV62">
        <f ca="1" t="shared" si="61"/>
        <v>1616329.68282485</v>
      </c>
      <c r="BW62">
        <f ca="1" t="shared" si="41"/>
        <v>113027</v>
      </c>
      <c r="BX62">
        <f ca="1" t="shared" si="97"/>
        <v>252690.4625</v>
      </c>
      <c r="BY62">
        <f ca="1" t="shared" si="43"/>
        <v>0.7343</v>
      </c>
      <c r="BZ62">
        <f ca="1">技能数计算!$AJ54</f>
        <v>28</v>
      </c>
      <c r="CA62">
        <f ca="1" t="shared" si="44"/>
        <v>2.3216629366</v>
      </c>
      <c r="CB62">
        <f ca="1" t="shared" si="62"/>
        <v>1654641.78831653</v>
      </c>
      <c r="CC62">
        <f ca="1" t="shared" si="45"/>
        <v>114847</v>
      </c>
      <c r="CD62">
        <f ca="1" t="shared" si="98"/>
        <v>256125.7125</v>
      </c>
      <c r="CE62">
        <f ca="1" t="shared" si="99"/>
        <v>1630511.04603887</v>
      </c>
      <c r="CF62">
        <f ca="1" t="shared" si="48"/>
        <v>2.2689285616</v>
      </c>
      <c r="CG62">
        <f ca="1" t="shared" si="49"/>
        <v>0.7343</v>
      </c>
      <c r="CH62">
        <f ca="1" t="shared" si="63"/>
        <v>1545913.53175487</v>
      </c>
      <c r="CJ62">
        <f ca="1" t="shared" si="100"/>
        <v>245523.625</v>
      </c>
      <c r="CK62">
        <f ca="1" t="shared" si="101"/>
        <v>1600751.32229799</v>
      </c>
      <c r="CL62">
        <f ca="1" t="shared" si="64"/>
        <v>2.2915848116</v>
      </c>
      <c r="CM62">
        <f ca="1">IF(G62="恒定伤害",0,(IF(D62="轻剑",$CM$8,$CM$9)+IFERROR(INDEX(技能数据库!$T$2:$W$27,MATCH(E62,技能数据库!$T$2:$T$27,0),4),0)+COUNTIF(G62,"*造化2*")*154+COUNTIF(G62,"*造化1*")*102+COUNTIF(G62,"*碧归*")*307)/1024)</f>
        <v>0.176868146929785</v>
      </c>
      <c r="CN62">
        <f ca="1" t="shared" si="65"/>
        <v>1643796.10654426</v>
      </c>
      <c r="CO62">
        <f ca="1" t="shared" si="66"/>
        <v>2.3156473116</v>
      </c>
      <c r="CP62">
        <f ca="1" t="shared" si="67"/>
        <v>1658702.81338362</v>
      </c>
      <c r="CQ62">
        <f ca="1" t="shared" si="102"/>
        <v>1.8815754648</v>
      </c>
      <c r="CR62">
        <f ca="1">IF(G62="恒定伤害",0,(IF(D62="轻剑",$CR$8,$CR$9)+IFERROR(INDEX(技能数据库!$T$2:$W$27,MATCH(E62,技能数据库!$T$2:$T$27,0),4),0)+COUNTIF(G62,"*造化2*")*154+COUNTIF(G62,"*造化1*")*102+COUNTIF(G62,"*碧归*")*307)/1024)</f>
        <v>0.167102521929785</v>
      </c>
      <c r="CS62">
        <f ca="1" t="shared" si="68"/>
        <v>1571581.17922785</v>
      </c>
    </row>
    <row r="63" spans="4:97">
      <c r="D63" t="s">
        <v>1825</v>
      </c>
      <c r="E63" t="s">
        <v>2801</v>
      </c>
      <c r="G63" t="s">
        <v>2948</v>
      </c>
      <c r="H63">
        <f ca="1">INDEX(技能数据库!$B$2:$I$100,MATCH(阵眼收益计算!$E63,技能数据库!$B$2:$B$100,0),MATCH(H$9,技能数据库!$B$2:$I$2,0))</f>
        <v>291</v>
      </c>
      <c r="I63">
        <f ca="1">INDEX(技能数据库!$B$2:$I$100,MATCH(阵眼收益计算!$E63,技能数据库!$B$2:$B$100,0),MATCH(I$9,技能数据库!$B$2:$I$2,0))</f>
        <v>1.8875</v>
      </c>
      <c r="J63">
        <f ca="1">INDEX(技能数据库!$B$2:$I$100,MATCH(阵眼收益计算!$E63,技能数据库!$B$2:$B$100,0),MATCH(J$9,技能数据库!$B$2:$I$2,0))</f>
        <v>2</v>
      </c>
      <c r="K63">
        <f ca="1">INDEX(技能数据库!$B$2:$I$100,MATCH(阵眼收益计算!$E63,技能数据库!$B$2:$B$100,0),MATCH(K$9,技能数据库!$B$2:$I$2,0))</f>
        <v>0</v>
      </c>
      <c r="L63">
        <f ca="1" t="shared" si="13"/>
        <v>91975</v>
      </c>
      <c r="M63">
        <f ca="1" t="shared" si="73"/>
        <v>19530.5</v>
      </c>
      <c r="N63">
        <f ca="1" t="shared" si="74"/>
        <v>92028</v>
      </c>
      <c r="O63">
        <f ca="1" t="shared" si="53"/>
        <v>212954.8125</v>
      </c>
      <c r="P63">
        <f ca="1">IF(G63="恒定伤害",0,(IF(D63="轻剑",$AZ$2,$AZ$3)+IFERROR(INDEX(技能数据库!$T$2:$W$27,MATCH(E63,技能数据库!$T$2:$T$27,0),4),0)+COUNTIF(G63,"*造化2*")*154+COUNTIF(G63,"*造化1*")*102+COUNTIF(G63,"*碧归*")*307)/1024)</f>
        <v>0.116321271929785</v>
      </c>
      <c r="Q63">
        <f ca="1" t="shared" si="82"/>
        <v>0.448284482196154</v>
      </c>
      <c r="R63">
        <f ca="1" t="shared" si="54"/>
        <v>0.32958230397716</v>
      </c>
      <c r="S63">
        <f ca="1" t="shared" si="75"/>
        <v>230821.365593173</v>
      </c>
      <c r="T63">
        <f t="shared" si="76"/>
        <v>0.8</v>
      </c>
      <c r="U63">
        <f ca="1" t="shared" si="83"/>
        <v>2.67001635480339</v>
      </c>
      <c r="V63">
        <f ca="1" t="shared" si="77"/>
        <v>677694.549411999</v>
      </c>
      <c r="W63">
        <f ca="1">IF(G63="恒定伤害",0,MIN(1,IF(COUNTIF(F63,"*内会*")&gt;0,内会2,IF(D63="轻剑",$Y$2,$Y$3)+COUNTIF(G63,"*莺鸣*")*0.2+COUNTIF(G63,"*叠1*")*0.1+COUNTIF(G63,"*叠2*")*0.2+COUNTIF(G63,"*叠3*")*0.3)+IFERROR(INDEX(技能数据库!$T$2:$W$27,MATCH(E63,技能数据库!$T$2:$T$27,0),2),0)+IF((IF(D63="轻剑",$AO$2,$AO$3)+INT(COUNTIF(G63,"*大莺鸣*")*IF(D63="轻剑",$AM$2,$AM$3)*听晓无双率)/无双系数)&gt;0.9,特效裤子会心/会心系数,0)))</f>
        <v>0.9043</v>
      </c>
      <c r="X63">
        <f ca="1">IF(G63="恒定伤害",0,IF(COUNTIF(F63,"*内会*")&gt;0,内会效2,IF(D63="轻剑",$AB$2,$AB$3))+IFERROR(INDEX(技能数据库!$T$2:$W$27,MATCH(E63,技能数据库!$T$2:$T$27,0),3)/1024,0))+COUNTIF(G63,"*叠1*")*0.25+COUNTIF(G63,"*叠2*")*0.5+COUNTIF(G63,"*叠3*")*0.75</f>
        <v>2.1712723116</v>
      </c>
      <c r="Y63">
        <f ca="1" t="shared" si="78"/>
        <v>2.05918155137988</v>
      </c>
      <c r="Z63">
        <f t="shared" si="16"/>
        <v>0.150390625</v>
      </c>
      <c r="AA63">
        <f ca="1" t="shared" si="79"/>
        <v>0.0205078125</v>
      </c>
      <c r="AB63">
        <f ca="1" t="shared" si="80"/>
        <v>1638288.18400118</v>
      </c>
      <c r="AC63">
        <f ca="1">技能数计算!$AJ55</f>
        <v>0</v>
      </c>
      <c r="AD63" s="164">
        <f ca="1" t="shared" si="81"/>
        <v>0</v>
      </c>
      <c r="AE63" s="168"/>
      <c r="AF63" s="168">
        <f ca="1" t="shared" si="17"/>
        <v>0.9057</v>
      </c>
      <c r="AG63">
        <f ca="1">技能数计算!$AJ55</f>
        <v>0</v>
      </c>
      <c r="AH63">
        <f ca="1" t="shared" si="18"/>
        <v>96007</v>
      </c>
      <c r="AJ63">
        <f ca="1" t="shared" si="55"/>
        <v>2.3704910616</v>
      </c>
      <c r="AK63">
        <f ca="1" t="shared" si="84"/>
        <v>221042.2125</v>
      </c>
      <c r="AL63">
        <f ca="1" t="shared" si="85"/>
        <v>1851372.77447599</v>
      </c>
      <c r="AM63" s="169">
        <f ca="1" t="shared" si="20"/>
        <v>0.9272</v>
      </c>
      <c r="AN63">
        <f ca="1">技能数计算!$AJ55</f>
        <v>0</v>
      </c>
      <c r="AO63" s="170">
        <f ca="1" t="shared" si="86"/>
        <v>1875712.60276698</v>
      </c>
      <c r="AP63">
        <f ca="1" t="shared" si="22"/>
        <v>97084</v>
      </c>
      <c r="AQ63" s="170">
        <f ca="1" t="shared" si="87"/>
        <v>222598.05</v>
      </c>
      <c r="AR63">
        <f ca="1" t="shared" si="88"/>
        <v>1812941.48626926</v>
      </c>
      <c r="AS63">
        <f ca="1" t="shared" si="24"/>
        <v>0.9843</v>
      </c>
      <c r="AT63">
        <f ca="1">技能数计算!$AJ55</f>
        <v>0</v>
      </c>
      <c r="AU63">
        <f ca="1" t="shared" si="25"/>
        <v>2.3177566866</v>
      </c>
      <c r="AV63">
        <f ca="1" t="shared" si="89"/>
        <v>2.68954760480339</v>
      </c>
      <c r="AW63">
        <f ca="1" t="shared" si="58"/>
        <v>1837276.89311321</v>
      </c>
      <c r="AX63">
        <f ca="1" t="shared" si="27"/>
        <v>0.9743</v>
      </c>
      <c r="AY63">
        <f ca="1">技能数计算!$AJ55</f>
        <v>0</v>
      </c>
      <c r="AZ63" s="170">
        <f ca="1" t="shared" si="59"/>
        <v>1826737.0048319</v>
      </c>
      <c r="BA63">
        <f ca="1" t="shared" si="28"/>
        <v>0.9643</v>
      </c>
      <c r="BB63">
        <f ca="1">技能数计算!$AJ55</f>
        <v>0</v>
      </c>
      <c r="BC63" s="170">
        <f ca="1" t="shared" si="60"/>
        <v>1816197.1165506</v>
      </c>
      <c r="BE63">
        <f ca="1" t="shared" si="29"/>
        <v>91977</v>
      </c>
      <c r="BF63">
        <f ca="1" t="shared" si="90"/>
        <v>212958.5875</v>
      </c>
      <c r="BI63">
        <f ca="1" t="shared" si="31"/>
        <v>0.9543</v>
      </c>
      <c r="BJ63">
        <f ca="1">技能数计算!$AJ55</f>
        <v>0</v>
      </c>
      <c r="BK63">
        <f ca="1" t="shared" si="91"/>
        <v>1795256.98076774</v>
      </c>
      <c r="BM63">
        <f ca="1" t="shared" si="33"/>
        <v>95358</v>
      </c>
      <c r="BN63">
        <f ca="1" t="shared" si="92"/>
        <v>219340.225</v>
      </c>
      <c r="BO63">
        <f ca="1" t="shared" si="93"/>
        <v>1822378.77661581</v>
      </c>
      <c r="BP63">
        <f ca="1" t="shared" si="94"/>
        <v>1737897.54566203</v>
      </c>
      <c r="BR63">
        <f ca="1" t="shared" si="37"/>
        <v>0.9543</v>
      </c>
      <c r="BS63">
        <f ca="1" t="shared" si="95"/>
        <v>1796835.62338168</v>
      </c>
      <c r="BT63">
        <f ca="1" t="shared" si="96"/>
        <v>0.318170800459405</v>
      </c>
      <c r="BU63">
        <f ca="1" t="shared" si="40"/>
        <v>2.3177566866</v>
      </c>
      <c r="BV63">
        <f ca="1" t="shared" si="61"/>
        <v>1826670.93684221</v>
      </c>
      <c r="BW63">
        <f ca="1" t="shared" si="41"/>
        <v>99155</v>
      </c>
      <c r="BX63">
        <f ca="1" t="shared" si="97"/>
        <v>226507.0625</v>
      </c>
      <c r="BY63">
        <f ca="1" t="shared" si="43"/>
        <v>0.9343</v>
      </c>
      <c r="BZ63">
        <f ca="1">技能数计算!$AJ55</f>
        <v>0</v>
      </c>
      <c r="CA63">
        <f ca="1" t="shared" si="44"/>
        <v>2.3216629366</v>
      </c>
      <c r="CB63">
        <f ca="1" t="shared" si="62"/>
        <v>1891186.5909906</v>
      </c>
      <c r="CC63">
        <f ca="1" t="shared" si="45"/>
        <v>100975</v>
      </c>
      <c r="CD63">
        <f ca="1" t="shared" si="98"/>
        <v>229942.3125</v>
      </c>
      <c r="CE63">
        <f ca="1" t="shared" si="99"/>
        <v>1852990.20442134</v>
      </c>
      <c r="CF63">
        <f ca="1" t="shared" si="48"/>
        <v>2.2689285616</v>
      </c>
      <c r="CG63">
        <f ca="1" t="shared" si="49"/>
        <v>0.9343</v>
      </c>
      <c r="CH63">
        <f ca="1" t="shared" si="63"/>
        <v>1748088.8538171</v>
      </c>
      <c r="CJ63">
        <f ca="1" t="shared" si="100"/>
        <v>219340.225</v>
      </c>
      <c r="CK63">
        <f ca="1" t="shared" si="101"/>
        <v>1814123.50008035</v>
      </c>
      <c r="CL63">
        <f ca="1" t="shared" si="64"/>
        <v>2.2915848116</v>
      </c>
      <c r="CM63">
        <f ca="1">IF(G63="恒定伤害",0,(IF(D63="轻剑",$CM$8,$CM$9)+IFERROR(INDEX(技能数据库!$T$2:$W$27,MATCH(E63,技能数据库!$T$2:$T$27,0),4),0)+COUNTIF(G63,"*造化2*")*154+COUNTIF(G63,"*造化1*")*102+COUNTIF(G63,"*碧归*")*307)/1024)</f>
        <v>0.176868146929785</v>
      </c>
      <c r="CN63">
        <f ca="1" t="shared" si="65"/>
        <v>1860750.44426208</v>
      </c>
      <c r="CO63">
        <f ca="1" t="shared" si="66"/>
        <v>2.3156473116</v>
      </c>
      <c r="CP63">
        <f ca="1" t="shared" si="67"/>
        <v>1879707.3077471</v>
      </c>
      <c r="CQ63">
        <f ca="1" t="shared" si="102"/>
        <v>2.77157885480339</v>
      </c>
      <c r="CR63">
        <f ca="1">IF(G63="恒定伤害",0,(IF(D63="轻剑",$CR$8,$CR$9)+IFERROR(INDEX(技能数据库!$T$2:$W$27,MATCH(E63,技能数据库!$T$2:$T$27,0),4),0)+COUNTIF(G63,"*造化2*")*154+COUNTIF(G63,"*造化1*")*102+COUNTIF(G63,"*碧归*")*307)/1024)</f>
        <v>0.167102521929785</v>
      </c>
      <c r="CS63">
        <f ca="1" t="shared" si="68"/>
        <v>1760213.30179393</v>
      </c>
    </row>
    <row r="64" spans="4:97">
      <c r="D64" t="s">
        <v>1825</v>
      </c>
      <c r="E64" t="s">
        <v>2801</v>
      </c>
      <c r="G64" t="s">
        <v>3044</v>
      </c>
      <c r="H64">
        <f ca="1">INDEX(技能数据库!$B$2:$I$100,MATCH(阵眼收益计算!$E64,技能数据库!$B$2:$B$100,0),MATCH(H$9,技能数据库!$B$2:$I$2,0))</f>
        <v>291</v>
      </c>
      <c r="I64">
        <f ca="1">INDEX(技能数据库!$B$2:$I$100,MATCH(阵眼收益计算!$E64,技能数据库!$B$2:$B$100,0),MATCH(I$9,技能数据库!$B$2:$I$2,0))</f>
        <v>1.8875</v>
      </c>
      <c r="J64">
        <f ca="1">INDEX(技能数据库!$B$2:$I$100,MATCH(阵眼收益计算!$E64,技能数据库!$B$2:$B$100,0),MATCH(J$9,技能数据库!$B$2:$I$2,0))</f>
        <v>2</v>
      </c>
      <c r="K64">
        <f ca="1">INDEX(技能数据库!$B$2:$I$100,MATCH(阵眼收益计算!$E64,技能数据库!$B$2:$B$100,0),MATCH(K$9,技能数据库!$B$2:$I$2,0))</f>
        <v>0</v>
      </c>
      <c r="L64">
        <f ca="1" t="shared" si="13"/>
        <v>105847</v>
      </c>
      <c r="M64">
        <f ca="1" t="shared" si="73"/>
        <v>19530.5</v>
      </c>
      <c r="N64">
        <f ca="1" t="shared" si="74"/>
        <v>92028</v>
      </c>
      <c r="O64">
        <f ca="1" t="shared" si="53"/>
        <v>239138.2125</v>
      </c>
      <c r="P64">
        <f ca="1">IF(G64="恒定伤害",0,(IF(D64="轻剑",$AZ$2,$AZ$3)+IFERROR(INDEX(技能数据库!$T$2:$W$27,MATCH(E64,技能数据库!$T$2:$T$27,0),4),0)+COUNTIF(G64,"*造化2*")*154+COUNTIF(G64,"*造化1*")*102+COUNTIF(G64,"*碧归*")*307)/1024)</f>
        <v>0.116321271929785</v>
      </c>
      <c r="Q64">
        <f ca="1" t="shared" si="82"/>
        <v>0.448284482196154</v>
      </c>
      <c r="R64">
        <f ca="1" t="shared" si="54"/>
        <v>0.21277697966198</v>
      </c>
      <c r="S64">
        <f ca="1" t="shared" si="75"/>
        <v>304361.588450856</v>
      </c>
      <c r="T64">
        <f t="shared" si="76"/>
        <v>0.8</v>
      </c>
      <c r="U64">
        <f ca="1" t="shared" si="83"/>
        <v>2.67001635480339</v>
      </c>
      <c r="V64">
        <f ca="1" t="shared" si="77"/>
        <v>893609.605910865</v>
      </c>
      <c r="W64">
        <f ca="1">IF(G64="恒定伤害",0,MIN(1,IF(COUNTIF(F64,"*内会*")&gt;0,内会2,IF(D64="轻剑",$Y$2,$Y$3)+COUNTIF(G64,"*莺鸣*")*0.2+COUNTIF(G64,"*叠1*")*0.1+COUNTIF(G64,"*叠2*")*0.2+COUNTIF(G64,"*叠3*")*0.3)+IFERROR(INDEX(技能数据库!$T$2:$W$27,MATCH(E64,技能数据库!$T$2:$T$27,0),2),0)+IF((IF(D64="轻剑",$AO$2,$AO$3)+INT(COUNTIF(G64,"*大莺鸣*")*IF(D64="轻剑",$AM$2,$AM$3)*听晓无双率)/无双系数)&gt;0.9,特效裤子会心/会心系数,0)))</f>
        <v>0.9043</v>
      </c>
      <c r="X64">
        <f ca="1">IF(G64="恒定伤害",0,IF(COUNTIF(F64,"*内会*")&gt;0,内会效2,IF(D64="轻剑",$AB$2,$AB$3))+IFERROR(INDEX(技能数据库!$T$2:$W$27,MATCH(E64,技能数据库!$T$2:$T$27,0),3)/1024,0))+COUNTIF(G64,"*叠1*")*0.25+COUNTIF(G64,"*叠2*")*0.5+COUNTIF(G64,"*叠3*")*0.75</f>
        <v>2.1712723116</v>
      </c>
      <c r="Y64">
        <f ca="1" t="shared" si="78"/>
        <v>2.05918155137988</v>
      </c>
      <c r="Z64">
        <f t="shared" si="16"/>
        <v>0.150390625</v>
      </c>
      <c r="AA64">
        <f ca="1" t="shared" si="79"/>
        <v>0.0205078125</v>
      </c>
      <c r="AB64">
        <f ca="1" t="shared" si="80"/>
        <v>2160250.60219822</v>
      </c>
      <c r="AC64">
        <f ca="1">技能数计算!$AJ56</f>
        <v>0</v>
      </c>
      <c r="AD64" s="164">
        <f ca="1" t="shared" si="81"/>
        <v>0</v>
      </c>
      <c r="AE64" s="168"/>
      <c r="AF64" s="168">
        <f ca="1" t="shared" si="17"/>
        <v>0.9057</v>
      </c>
      <c r="AG64">
        <f ca="1">技能数计算!$AJ56</f>
        <v>0</v>
      </c>
      <c r="AH64">
        <f ca="1" t="shared" si="18"/>
        <v>109879</v>
      </c>
      <c r="AJ64">
        <f ca="1" t="shared" si="55"/>
        <v>2.3704910616</v>
      </c>
      <c r="AK64">
        <f ca="1" t="shared" si="84"/>
        <v>247225.6125</v>
      </c>
      <c r="AL64">
        <f ca="1" t="shared" si="85"/>
        <v>2431444.89672838</v>
      </c>
      <c r="AM64" s="169">
        <f ca="1" t="shared" si="20"/>
        <v>0.9272</v>
      </c>
      <c r="AN64">
        <f ca="1">技能数计算!$AJ56</f>
        <v>0</v>
      </c>
      <c r="AO64" s="170">
        <f ca="1" t="shared" si="86"/>
        <v>2463410.88007936</v>
      </c>
      <c r="AP64">
        <f ca="1" t="shared" si="22"/>
        <v>110956</v>
      </c>
      <c r="AQ64" s="170">
        <f ca="1" t="shared" si="87"/>
        <v>248781.45</v>
      </c>
      <c r="AR64">
        <f ca="1" t="shared" si="88"/>
        <v>2379209.81445164</v>
      </c>
      <c r="AS64">
        <f ca="1" t="shared" si="24"/>
        <v>0.9843</v>
      </c>
      <c r="AT64">
        <f ca="1">技能数计算!$AJ56</f>
        <v>0</v>
      </c>
      <c r="AU64">
        <f ca="1" t="shared" si="25"/>
        <v>2.3177566866</v>
      </c>
      <c r="AV64">
        <f ca="1" t="shared" si="89"/>
        <v>2.68954760480339</v>
      </c>
      <c r="AW64">
        <f ca="1" t="shared" si="58"/>
        <v>2422637.57592347</v>
      </c>
      <c r="AX64">
        <f ca="1" t="shared" si="27"/>
        <v>0.9743</v>
      </c>
      <c r="AY64">
        <f ca="1">技能数计算!$AJ56</f>
        <v>0</v>
      </c>
      <c r="AZ64" s="170">
        <f ca="1" t="shared" si="59"/>
        <v>2408739.65477068</v>
      </c>
      <c r="BA64">
        <f ca="1" t="shared" si="28"/>
        <v>0.9643</v>
      </c>
      <c r="BB64">
        <f ca="1">技能数计算!$AJ56</f>
        <v>0</v>
      </c>
      <c r="BC64" s="170">
        <f ca="1" t="shared" si="60"/>
        <v>2394841.73361789</v>
      </c>
      <c r="BE64">
        <f ca="1" t="shared" si="29"/>
        <v>105849</v>
      </c>
      <c r="BF64">
        <f ca="1" t="shared" si="90"/>
        <v>239141.9875</v>
      </c>
      <c r="BI64">
        <f ca="1" t="shared" si="31"/>
        <v>0.9543</v>
      </c>
      <c r="BJ64">
        <f ca="1">技能数计算!$AJ56</f>
        <v>0</v>
      </c>
      <c r="BK64">
        <f ca="1" t="shared" si="91"/>
        <v>2367225.42745738</v>
      </c>
      <c r="BM64">
        <f ca="1" t="shared" si="33"/>
        <v>109230</v>
      </c>
      <c r="BN64">
        <f ca="1" t="shared" si="92"/>
        <v>245523.625</v>
      </c>
      <c r="BO64">
        <f ca="1" t="shared" si="93"/>
        <v>2395333.388463</v>
      </c>
      <c r="BP64">
        <f ca="1" t="shared" si="94"/>
        <v>2284291.31762752</v>
      </c>
      <c r="BR64">
        <f ca="1" t="shared" si="37"/>
        <v>0.9543</v>
      </c>
      <c r="BS64">
        <f ca="1" t="shared" si="95"/>
        <v>2361759.48573024</v>
      </c>
      <c r="BT64">
        <f ca="1" t="shared" si="96"/>
        <v>0.196995876306796</v>
      </c>
      <c r="BU64">
        <f ca="1" t="shared" si="40"/>
        <v>2.3177566866</v>
      </c>
      <c r="BV64">
        <f ca="1" t="shared" si="61"/>
        <v>2415816.91695269</v>
      </c>
      <c r="BW64">
        <f ca="1" t="shared" si="41"/>
        <v>113027</v>
      </c>
      <c r="BX64">
        <f ca="1" t="shared" si="97"/>
        <v>252690.4625</v>
      </c>
      <c r="BY64">
        <f ca="1" t="shared" si="43"/>
        <v>0.9343</v>
      </c>
      <c r="BZ64">
        <f ca="1">技能数计算!$AJ56</f>
        <v>0</v>
      </c>
      <c r="CA64">
        <f ca="1" t="shared" si="44"/>
        <v>2.3216629366</v>
      </c>
      <c r="CB64">
        <f ca="1" t="shared" si="62"/>
        <v>2477386.68225823</v>
      </c>
      <c r="CC64">
        <f ca="1" t="shared" si="45"/>
        <v>114847</v>
      </c>
      <c r="CD64">
        <f ca="1" t="shared" si="98"/>
        <v>256125.7125</v>
      </c>
      <c r="CE64">
        <f ca="1" t="shared" si="99"/>
        <v>2423593.19601982</v>
      </c>
      <c r="CF64">
        <f ca="1" t="shared" si="48"/>
        <v>2.2689285616</v>
      </c>
      <c r="CG64">
        <f ca="1" t="shared" si="49"/>
        <v>0.9343</v>
      </c>
      <c r="CH64">
        <f ca="1" t="shared" si="63"/>
        <v>2305034.02028545</v>
      </c>
      <c r="CJ64">
        <f ca="1" t="shared" si="100"/>
        <v>245523.625</v>
      </c>
      <c r="CK64">
        <f ca="1" t="shared" si="101"/>
        <v>2384482.65876283</v>
      </c>
      <c r="CL64">
        <f ca="1" t="shared" si="64"/>
        <v>2.2915848116</v>
      </c>
      <c r="CM64">
        <f ca="1">IF(G64="恒定伤害",0,(IF(D64="轻剑",$CM$8,$CM$9)+IFERROR(INDEX(技能数据库!$T$2:$W$27,MATCH(E64,技能数据库!$T$2:$T$27,0),4),0)+COUNTIF(G64,"*造化2*")*154+COUNTIF(G64,"*造化1*")*102+COUNTIF(G64,"*碧归*")*307)/1024)</f>
        <v>0.176868146929785</v>
      </c>
      <c r="CN64">
        <f ca="1" t="shared" si="65"/>
        <v>2453589.85495489</v>
      </c>
      <c r="CO64">
        <f ca="1" t="shared" si="66"/>
        <v>2.3156473116</v>
      </c>
      <c r="CP64">
        <f ca="1" t="shared" si="67"/>
        <v>2478586.41914867</v>
      </c>
      <c r="CQ64">
        <f ca="1" t="shared" si="102"/>
        <v>2.77157885480339</v>
      </c>
      <c r="CR64">
        <f ca="1">IF(G64="恒定伤害",0,(IF(D64="轻剑",$CR$8,$CR$9)+IFERROR(INDEX(技能数据库!$T$2:$W$27,MATCH(E64,技能数据库!$T$2:$T$27,0),4),0)+COUNTIF(G64,"*造化2*")*154+COUNTIF(G64,"*造化1*")*102+COUNTIF(G64,"*碧归*")*307)/1024)</f>
        <v>0.167102521929785</v>
      </c>
      <c r="CS64">
        <f ca="1" t="shared" si="68"/>
        <v>2321021.34553082</v>
      </c>
    </row>
    <row r="65" spans="4:97">
      <c r="D65" t="s">
        <v>1825</v>
      </c>
      <c r="E65" t="s">
        <v>2792</v>
      </c>
      <c r="H65">
        <f ca="1">INDEX(技能数据库!$B$2:$I$100,MATCH(阵眼收益计算!$E65,技能数据库!$B$2:$B$100,0),MATCH(H$9,技能数据库!$B$2:$I$2,0))</f>
        <v>0</v>
      </c>
      <c r="I65">
        <f ca="1">INDEX(技能数据库!$B$2:$I$100,MATCH(阵眼收益计算!$E65,技能数据库!$B$2:$B$100,0),MATCH(I$9,技能数据库!$B$2:$I$2,0))</f>
        <v>0.16875</v>
      </c>
      <c r="J65">
        <f ca="1">INDEX(技能数据库!$B$2:$I$100,MATCH(阵眼收益计算!$E65,技能数据库!$B$2:$B$100,0),MATCH(J$9,技能数据库!$B$2:$I$2,0))</f>
        <v>1</v>
      </c>
      <c r="K65">
        <f ca="1">INDEX(技能数据库!$B$2:$I$100,MATCH(阵眼收益计算!$E65,技能数据库!$B$2:$B$100,0),MATCH(K$9,技能数据库!$B$2:$I$2,0))</f>
        <v>0</v>
      </c>
      <c r="L65">
        <f ca="1" t="shared" si="13"/>
        <v>91975</v>
      </c>
      <c r="M65">
        <f ca="1" t="shared" si="73"/>
        <v>19530.5</v>
      </c>
      <c r="N65">
        <f ca="1" t="shared" si="74"/>
        <v>92028</v>
      </c>
      <c r="O65">
        <f ca="1" t="shared" si="53"/>
        <v>35051.28125</v>
      </c>
      <c r="P65">
        <f ca="1">IF(G65="恒定伤害",0,(IF(D65="轻剑",$AZ$2,$AZ$3)+IFERROR(INDEX(技能数据库!$T$2:$W$27,MATCH(E65,技能数据库!$T$2:$T$27,0),4),0)+COUNTIF(G65,"*造化2*")*154+COUNTIF(G65,"*造化1*")*102+COUNTIF(G65,"*碧归*")*307)/1024)</f>
        <v>0.316516584429785</v>
      </c>
      <c r="Q65">
        <f ca="1" t="shared" si="82"/>
        <v>0.448284482196154</v>
      </c>
      <c r="R65">
        <f ca="1" t="shared" si="54"/>
        <v>0.32958230397716</v>
      </c>
      <c r="S65">
        <f ca="1" t="shared" si="75"/>
        <v>44805.319503863</v>
      </c>
      <c r="T65">
        <f t="shared" si="76"/>
        <v>0.8</v>
      </c>
      <c r="U65">
        <f ca="1" t="shared" si="83"/>
        <v>1.7800129648</v>
      </c>
      <c r="V65">
        <f ca="1" t="shared" si="77"/>
        <v>99647.4952901964</v>
      </c>
      <c r="W65">
        <f ca="1">IF(G65="恒定伤害",0,MIN(1,IF(COUNTIF(F65,"*内会*")&gt;0,内会2,IF(D65="轻剑",$Y$2,$Y$3)+COUNTIF(G65,"*莺鸣*")*0.2+COUNTIF(G65,"*叠1*")*0.1+COUNTIF(G65,"*叠2*")*0.2+COUNTIF(G65,"*叠3*")*0.3)+IFERROR(INDEX(技能数据库!$T$2:$W$27,MATCH(E65,技能数据库!$T$2:$T$27,0),2),0)+IF((IF(D65="轻剑",$AO$2,$AO$3)+INT(COUNTIF(G65,"*大莺鸣*")*IF(D65="轻剑",$AM$2,$AM$3)*听晓无双率)/无双系数)&gt;0.9,特效裤子会心/会心系数,0)))</f>
        <v>0.7043</v>
      </c>
      <c r="X65">
        <f ca="1">IF(G65="恒定伤害",0,IF(COUNTIF(F65,"*内会*")&gt;0,内会效2,IF(D65="轻剑",$AB$2,$AB$3))+IFERROR(INDEX(技能数据库!$T$2:$W$27,MATCH(E65,技能数据库!$T$2:$T$27,0),3)/1024,0))+COUNTIF(G65,"*叠1*")*0.25+COUNTIF(G65,"*叠2*")*0.5+COUNTIF(G65,"*叠3*")*0.75</f>
        <v>2.1712723116</v>
      </c>
      <c r="Y65">
        <f ca="1" t="shared" si="78"/>
        <v>1.82492708905988</v>
      </c>
      <c r="Z65">
        <f t="shared" si="16"/>
        <v>0.150390625</v>
      </c>
      <c r="AA65">
        <f ca="1" t="shared" si="79"/>
        <v>0.0205078125</v>
      </c>
      <c r="AB65">
        <f ca="1" t="shared" si="80"/>
        <v>213488.050963844</v>
      </c>
      <c r="AC65">
        <f ca="1">技能数计算!$AJ57</f>
        <v>0</v>
      </c>
      <c r="AD65" s="164">
        <f ca="1" t="shared" si="81"/>
        <v>0</v>
      </c>
      <c r="AE65" s="168"/>
      <c r="AF65" s="168">
        <f ca="1" t="shared" si="17"/>
        <v>0.7057</v>
      </c>
      <c r="AG65">
        <f ca="1">技能数计算!$AJ57</f>
        <v>0</v>
      </c>
      <c r="AH65">
        <f ca="1" t="shared" si="18"/>
        <v>96007</v>
      </c>
      <c r="AJ65">
        <f ca="1" t="shared" si="55"/>
        <v>2.3704910616</v>
      </c>
      <c r="AK65">
        <f ca="1" t="shared" si="84"/>
        <v>35970.18125</v>
      </c>
      <c r="AL65">
        <f ca="1" t="shared" si="85"/>
        <v>236224.482563443</v>
      </c>
      <c r="AM65" s="169">
        <f ca="1" t="shared" si="20"/>
        <v>0.7272</v>
      </c>
      <c r="AN65">
        <f ca="1">技能数计算!$AJ57</f>
        <v>0</v>
      </c>
      <c r="AO65" s="170">
        <f ca="1" t="shared" si="86"/>
        <v>239762.833243547</v>
      </c>
      <c r="AP65">
        <f ca="1" t="shared" si="22"/>
        <v>97084</v>
      </c>
      <c r="AQ65" s="170">
        <f ca="1" t="shared" si="87"/>
        <v>35913.425</v>
      </c>
      <c r="AR65">
        <f ca="1" t="shared" si="88"/>
        <v>231572.023988884</v>
      </c>
      <c r="AS65">
        <f ca="1" t="shared" si="24"/>
        <v>0.7843</v>
      </c>
      <c r="AT65">
        <f ca="1">技能数计算!$AJ57</f>
        <v>0</v>
      </c>
      <c r="AU65">
        <f ca="1" t="shared" si="25"/>
        <v>2.3177566866</v>
      </c>
      <c r="AV65">
        <f ca="1" t="shared" si="89"/>
        <v>1.7995442148</v>
      </c>
      <c r="AW65">
        <f ca="1" t="shared" si="58"/>
        <v>239561.089521679</v>
      </c>
      <c r="AX65">
        <f ca="1" t="shared" si="27"/>
        <v>0.7743</v>
      </c>
      <c r="AY65">
        <f ca="1">技能数计算!$AJ57</f>
        <v>0</v>
      </c>
      <c r="AZ65" s="170">
        <f ca="1" t="shared" si="59"/>
        <v>238008.688954444</v>
      </c>
      <c r="BA65">
        <f ca="1" t="shared" si="28"/>
        <v>0.7643</v>
      </c>
      <c r="BB65">
        <f ca="1">技能数计算!$AJ57</f>
        <v>0</v>
      </c>
      <c r="BC65" s="170">
        <f ca="1" t="shared" si="60"/>
        <v>236456.288387209</v>
      </c>
      <c r="BE65">
        <f ca="1" t="shared" si="29"/>
        <v>91977</v>
      </c>
      <c r="BF65">
        <f ca="1" t="shared" si="90"/>
        <v>35051.61875</v>
      </c>
      <c r="BI65">
        <f ca="1" t="shared" si="31"/>
        <v>0.7543</v>
      </c>
      <c r="BJ65">
        <f ca="1">技能数计算!$AJ57</f>
        <v>0</v>
      </c>
      <c r="BK65">
        <f ca="1" t="shared" si="91"/>
        <v>235169.325964883</v>
      </c>
      <c r="BM65">
        <f ca="1" t="shared" si="33"/>
        <v>95358</v>
      </c>
      <c r="BN65">
        <f ca="1" t="shared" si="92"/>
        <v>35622.1625</v>
      </c>
      <c r="BO65">
        <f ca="1" t="shared" si="93"/>
        <v>234318.986164029</v>
      </c>
      <c r="BP65">
        <f ca="1" t="shared" si="94"/>
        <v>223456.504312841</v>
      </c>
      <c r="BR65">
        <f ca="1" t="shared" si="37"/>
        <v>0.7543</v>
      </c>
      <c r="BS65">
        <f ca="1" t="shared" si="95"/>
        <v>232247.727678767</v>
      </c>
      <c r="BT65">
        <f ca="1" t="shared" si="96"/>
        <v>0.318170800459405</v>
      </c>
      <c r="BU65">
        <f ca="1" t="shared" si="40"/>
        <v>2.3177566866</v>
      </c>
      <c r="BV65">
        <f ca="1" t="shared" si="61"/>
        <v>237235.57888121</v>
      </c>
      <c r="BW65">
        <f ca="1" t="shared" si="41"/>
        <v>99155</v>
      </c>
      <c r="BX65">
        <f ca="1" t="shared" si="97"/>
        <v>36262.90625</v>
      </c>
      <c r="BY65">
        <f ca="1" t="shared" si="43"/>
        <v>0.7343</v>
      </c>
      <c r="BZ65">
        <f ca="1">技能数计算!$AJ57</f>
        <v>0</v>
      </c>
      <c r="CA65">
        <f ca="1" t="shared" si="44"/>
        <v>2.3216629366</v>
      </c>
      <c r="CB65">
        <f ca="1" t="shared" si="62"/>
        <v>238485.820669692</v>
      </c>
      <c r="CC65">
        <f ca="1" t="shared" si="45"/>
        <v>100975</v>
      </c>
      <c r="CD65">
        <f ca="1" t="shared" si="98"/>
        <v>36570.03125</v>
      </c>
      <c r="CE65">
        <f ca="1" t="shared" si="99"/>
        <v>233819.493217093</v>
      </c>
      <c r="CF65">
        <f ca="1" t="shared" si="48"/>
        <v>2.2689285616</v>
      </c>
      <c r="CG65">
        <f ca="1" t="shared" si="49"/>
        <v>0.7343</v>
      </c>
      <c r="CH65">
        <f ca="1" t="shared" si="63"/>
        <v>227575.201155208</v>
      </c>
      <c r="CJ65">
        <f ca="1" t="shared" si="100"/>
        <v>35622.1625</v>
      </c>
      <c r="CK65">
        <f ca="1" t="shared" si="101"/>
        <v>233257.533927471</v>
      </c>
      <c r="CL65">
        <f ca="1" t="shared" si="64"/>
        <v>2.2915848116</v>
      </c>
      <c r="CM65">
        <f ca="1">IF(G65="恒定伤害",0,(IF(D65="轻剑",$CM$8,$CM$9)+IFERROR(INDEX(技能数据库!$T$2:$W$27,MATCH(E65,技能数据库!$T$2:$T$27,0),4),0)+COUNTIF(G65,"*造化2*")*154+COUNTIF(G65,"*造化1*")*102+COUNTIF(G65,"*碧归*")*307)/1024)</f>
        <v>0.377063459429785</v>
      </c>
      <c r="CN65">
        <f ca="1" t="shared" si="65"/>
        <v>240091.450900541</v>
      </c>
      <c r="CO65">
        <f ca="1" t="shared" si="66"/>
        <v>2.3156473116</v>
      </c>
      <c r="CP65">
        <f ca="1" t="shared" si="67"/>
        <v>242268.71172928</v>
      </c>
      <c r="CQ65">
        <f ca="1" t="shared" si="102"/>
        <v>1.8815754648</v>
      </c>
      <c r="CR65">
        <f ca="1">IF(G65="恒定伤害",0,(IF(D65="轻剑",$CR$8,$CR$9)+IFERROR(INDEX(技能数据库!$T$2:$W$27,MATCH(E65,技能数据库!$T$2:$T$27,0),4),0)+COUNTIF(G65,"*造化2*")*154+COUNTIF(G65,"*造化1*")*102+COUNTIF(G65,"*碧归*")*307)/1024)</f>
        <v>0.367297834429785</v>
      </c>
      <c r="CS65">
        <f ca="1" t="shared" si="68"/>
        <v>229823.026940472</v>
      </c>
    </row>
    <row r="66" spans="4:97">
      <c r="D66" t="s">
        <v>1825</v>
      </c>
      <c r="E66" t="s">
        <v>2792</v>
      </c>
      <c r="G66" t="s">
        <v>2750</v>
      </c>
      <c r="H66">
        <f ca="1">INDEX(技能数据库!$B$2:$I$100,MATCH(阵眼收益计算!$E66,技能数据库!$B$2:$B$100,0),MATCH(H$9,技能数据库!$B$2:$I$2,0))</f>
        <v>0</v>
      </c>
      <c r="I66">
        <f ca="1">INDEX(技能数据库!$B$2:$I$100,MATCH(阵眼收益计算!$E66,技能数据库!$B$2:$B$100,0),MATCH(I$9,技能数据库!$B$2:$I$2,0))</f>
        <v>0.16875</v>
      </c>
      <c r="J66">
        <f ca="1">INDEX(技能数据库!$B$2:$I$100,MATCH(阵眼收益计算!$E66,技能数据库!$B$2:$B$100,0),MATCH(J$9,技能数据库!$B$2:$I$2,0))</f>
        <v>1</v>
      </c>
      <c r="K66">
        <f ca="1">INDEX(技能数据库!$B$2:$I$100,MATCH(阵眼收益计算!$E66,技能数据库!$B$2:$B$100,0),MATCH(K$9,技能数据库!$B$2:$I$2,0))</f>
        <v>0</v>
      </c>
      <c r="L66">
        <f ca="1" t="shared" si="13"/>
        <v>105847</v>
      </c>
      <c r="M66">
        <f ca="1" t="shared" si="73"/>
        <v>19530.5</v>
      </c>
      <c r="N66">
        <f ca="1" t="shared" si="74"/>
        <v>92028</v>
      </c>
      <c r="O66">
        <f ca="1" t="shared" si="53"/>
        <v>37392.18125</v>
      </c>
      <c r="P66">
        <f ca="1">IF(G66="恒定伤害",0,(IF(D66="轻剑",$AZ$2,$AZ$3)+IFERROR(INDEX(技能数据库!$T$2:$W$27,MATCH(E66,技能数据库!$T$2:$T$27,0),4),0)+COUNTIF(G66,"*造化2*")*154+COUNTIF(G66,"*造化1*")*102+COUNTIF(G66,"*碧归*")*307)/1024)</f>
        <v>0.316516584429785</v>
      </c>
      <c r="Q66">
        <f ca="1" t="shared" si="82"/>
        <v>0.448284482196154</v>
      </c>
      <c r="R66">
        <f ca="1" t="shared" si="54"/>
        <v>0.21277697966198</v>
      </c>
      <c r="S66">
        <f ca="1" t="shared" si="75"/>
        <v>56125.3157697066</v>
      </c>
      <c r="T66">
        <f t="shared" si="76"/>
        <v>0.8</v>
      </c>
      <c r="U66">
        <f ca="1" t="shared" si="83"/>
        <v>1.7800129648</v>
      </c>
      <c r="V66">
        <f ca="1" t="shared" si="77"/>
        <v>124823.284394623</v>
      </c>
      <c r="W66">
        <f ca="1">IF(G66="恒定伤害",0,MIN(1,IF(COUNTIF(F66,"*内会*")&gt;0,内会2,IF(D66="轻剑",$Y$2,$Y$3)+COUNTIF(G66,"*莺鸣*")*0.2+COUNTIF(G66,"*叠1*")*0.1+COUNTIF(G66,"*叠2*")*0.2+COUNTIF(G66,"*叠3*")*0.3)+IFERROR(INDEX(技能数据库!$T$2:$W$27,MATCH(E66,技能数据库!$T$2:$T$27,0),2),0)+IF((IF(D66="轻剑",$AO$2,$AO$3)+INT(COUNTIF(G66,"*大莺鸣*")*IF(D66="轻剑",$AM$2,$AM$3)*听晓无双率)/无双系数)&gt;0.9,特效裤子会心/会心系数,0)))</f>
        <v>0.7043</v>
      </c>
      <c r="X66">
        <f ca="1">IF(G66="恒定伤害",0,IF(COUNTIF(F66,"*内会*")&gt;0,内会效2,IF(D66="轻剑",$AB$2,$AB$3))+IFERROR(INDEX(技能数据库!$T$2:$W$27,MATCH(E66,技能数据库!$T$2:$T$27,0),3)/1024,0))+COUNTIF(G66,"*叠1*")*0.25+COUNTIF(G66,"*叠2*")*0.5+COUNTIF(G66,"*叠3*")*0.75</f>
        <v>2.1712723116</v>
      </c>
      <c r="Y66">
        <f ca="1" t="shared" si="78"/>
        <v>1.82492708905988</v>
      </c>
      <c r="Z66">
        <f t="shared" si="16"/>
        <v>0.150390625</v>
      </c>
      <c r="AA66">
        <f ca="1" t="shared" si="79"/>
        <v>0.0205078125</v>
      </c>
      <c r="AB66">
        <f ca="1" t="shared" si="80"/>
        <v>267425.48443097</v>
      </c>
      <c r="AC66">
        <f ca="1">技能数计算!$AJ58</f>
        <v>46</v>
      </c>
      <c r="AD66" s="164">
        <f ca="1" t="shared" si="81"/>
        <v>0.0044102894961132</v>
      </c>
      <c r="AE66" s="168"/>
      <c r="AF66" s="168">
        <f ca="1" t="shared" si="17"/>
        <v>0.7057</v>
      </c>
      <c r="AG66">
        <f ca="1">技能数计算!$AJ58</f>
        <v>46</v>
      </c>
      <c r="AH66">
        <f ca="1" t="shared" si="18"/>
        <v>109879</v>
      </c>
      <c r="AJ66">
        <f ca="1" t="shared" si="55"/>
        <v>2.3704910616</v>
      </c>
      <c r="AK66">
        <f ca="1" t="shared" si="84"/>
        <v>38311.08125</v>
      </c>
      <c r="AL66">
        <f ca="1" t="shared" si="85"/>
        <v>295433.0007173</v>
      </c>
      <c r="AM66" s="169">
        <f ca="1" t="shared" si="20"/>
        <v>0.7272</v>
      </c>
      <c r="AN66">
        <f ca="1">技能数计算!$AJ58</f>
        <v>46</v>
      </c>
      <c r="AO66" s="170">
        <f ca="1" t="shared" si="86"/>
        <v>299858.221793751</v>
      </c>
      <c r="AP66">
        <f ca="1" t="shared" si="22"/>
        <v>110956</v>
      </c>
      <c r="AQ66" s="170">
        <f ca="1" t="shared" si="87"/>
        <v>38254.325</v>
      </c>
      <c r="AR66">
        <f ca="1" t="shared" si="88"/>
        <v>289642.392351004</v>
      </c>
      <c r="AS66">
        <f ca="1" t="shared" si="24"/>
        <v>0.7843</v>
      </c>
      <c r="AT66">
        <f ca="1">技能数计算!$AJ58</f>
        <v>46</v>
      </c>
      <c r="AU66">
        <f ca="1" t="shared" si="25"/>
        <v>2.3177566866</v>
      </c>
      <c r="AV66">
        <f ca="1" t="shared" si="89"/>
        <v>1.7995442148</v>
      </c>
      <c r="AW66">
        <f ca="1" t="shared" si="58"/>
        <v>300085.836780607</v>
      </c>
      <c r="AX66">
        <f ca="1" t="shared" si="27"/>
        <v>0.7743</v>
      </c>
      <c r="AY66">
        <f ca="1">技能数计算!$AJ58</f>
        <v>46</v>
      </c>
      <c r="AZ66" s="170">
        <f ca="1" t="shared" si="59"/>
        <v>298141.224555944</v>
      </c>
      <c r="BA66">
        <f ca="1" t="shared" si="28"/>
        <v>0.7643</v>
      </c>
      <c r="BB66">
        <f ca="1">技能数计算!$AJ58</f>
        <v>46</v>
      </c>
      <c r="BC66" s="170">
        <f ca="1" t="shared" si="60"/>
        <v>296196.612331281</v>
      </c>
      <c r="BE66">
        <f ca="1" t="shared" si="29"/>
        <v>105849</v>
      </c>
      <c r="BF66">
        <f ca="1" t="shared" si="90"/>
        <v>37392.51875</v>
      </c>
      <c r="BI66">
        <f ca="1" t="shared" si="31"/>
        <v>0.7543</v>
      </c>
      <c r="BJ66">
        <f ca="1">技能数计算!$AJ58</f>
        <v>46</v>
      </c>
      <c r="BK66">
        <f ca="1" t="shared" si="91"/>
        <v>294584.323224431</v>
      </c>
      <c r="BM66">
        <f ca="1" t="shared" si="33"/>
        <v>109230</v>
      </c>
      <c r="BN66">
        <f ca="1" t="shared" si="92"/>
        <v>37963.0625</v>
      </c>
      <c r="BO66">
        <f ca="1" t="shared" si="93"/>
        <v>293224.838198569</v>
      </c>
      <c r="BP66">
        <f ca="1" t="shared" si="94"/>
        <v>279631.618394264</v>
      </c>
      <c r="BR66">
        <f ca="1" t="shared" si="37"/>
        <v>0.7543</v>
      </c>
      <c r="BS66">
        <f ca="1" t="shared" si="95"/>
        <v>290632.882488317</v>
      </c>
      <c r="BT66">
        <f ca="1" t="shared" si="96"/>
        <v>0.196995876306796</v>
      </c>
      <c r="BU66">
        <f ca="1" t="shared" si="40"/>
        <v>2.3177566866</v>
      </c>
      <c r="BV66">
        <f ca="1" t="shared" si="61"/>
        <v>298056.710435201</v>
      </c>
      <c r="BW66">
        <f ca="1" t="shared" si="41"/>
        <v>113027</v>
      </c>
      <c r="BX66">
        <f ca="1" t="shared" si="97"/>
        <v>38603.80625</v>
      </c>
      <c r="BY66">
        <f ca="1" t="shared" si="43"/>
        <v>0.7343</v>
      </c>
      <c r="BZ66">
        <f ca="1">技能数计算!$AJ58</f>
        <v>46</v>
      </c>
      <c r="CA66">
        <f ca="1" t="shared" si="44"/>
        <v>2.3216629366</v>
      </c>
      <c r="CB66">
        <f ca="1" t="shared" si="62"/>
        <v>298114.018796185</v>
      </c>
      <c r="CC66">
        <f ca="1" t="shared" si="45"/>
        <v>114847</v>
      </c>
      <c r="CD66">
        <f ca="1" t="shared" si="98"/>
        <v>38910.93125</v>
      </c>
      <c r="CE66">
        <f ca="1" t="shared" si="99"/>
        <v>292132.129503355</v>
      </c>
      <c r="CF66">
        <f ca="1" t="shared" si="48"/>
        <v>2.2689285616</v>
      </c>
      <c r="CG66">
        <f ca="1" t="shared" si="49"/>
        <v>0.7343</v>
      </c>
      <c r="CH66">
        <f ca="1" t="shared" si="63"/>
        <v>285071.731830622</v>
      </c>
      <c r="CJ66">
        <f ca="1" t="shared" si="100"/>
        <v>37963.0625</v>
      </c>
      <c r="CK66">
        <f ca="1" t="shared" si="101"/>
        <v>291896.54566276</v>
      </c>
      <c r="CL66">
        <f ca="1" t="shared" si="64"/>
        <v>2.2915848116</v>
      </c>
      <c r="CM66">
        <f ca="1">IF(G66="恒定伤害",0,(IF(D66="轻剑",$CM$8,$CM$9)+IFERROR(INDEX(技能数据库!$T$2:$W$27,MATCH(E66,技能数据库!$T$2:$T$27,0),4),0)+COUNTIF(G66,"*造化2*")*154+COUNTIF(G66,"*造化1*")*102+COUNTIF(G66,"*碧归*")*307)/1024)</f>
        <v>0.377063459429785</v>
      </c>
      <c r="CN66">
        <f ca="1" t="shared" si="65"/>
        <v>300750.193160392</v>
      </c>
      <c r="CO66">
        <f ca="1" t="shared" si="66"/>
        <v>2.3156473116</v>
      </c>
      <c r="CP66">
        <f ca="1" t="shared" si="67"/>
        <v>303477.53564738</v>
      </c>
      <c r="CQ66">
        <f ca="1" t="shared" si="102"/>
        <v>1.8815754648</v>
      </c>
      <c r="CR66">
        <f ca="1">IF(G66="恒定伤害",0,(IF(D66="轻剑",$CR$8,$CR$9)+IFERROR(INDEX(技能数据库!$T$2:$W$27,MATCH(E66,技能数据库!$T$2:$T$27,0),4),0)+COUNTIF(G66,"*造化2*")*154+COUNTIF(G66,"*造化1*")*102+COUNTIF(G66,"*碧归*")*307)/1024)</f>
        <v>0.367297834429785</v>
      </c>
      <c r="CS66">
        <f ca="1" t="shared" si="68"/>
        <v>287887.467403768</v>
      </c>
    </row>
    <row r="67" spans="4:97">
      <c r="D67" t="s">
        <v>1825</v>
      </c>
      <c r="E67" t="s">
        <v>2792</v>
      </c>
      <c r="G67" t="s">
        <v>2948</v>
      </c>
      <c r="H67">
        <f ca="1">INDEX(技能数据库!$B$2:$I$100,MATCH(阵眼收益计算!$E67,技能数据库!$B$2:$B$100,0),MATCH(H$9,技能数据库!$B$2:$I$2,0))</f>
        <v>0</v>
      </c>
      <c r="I67">
        <f ca="1">INDEX(技能数据库!$B$2:$I$100,MATCH(阵眼收益计算!$E67,技能数据库!$B$2:$B$100,0),MATCH(I$9,技能数据库!$B$2:$I$2,0))</f>
        <v>0.16875</v>
      </c>
      <c r="J67">
        <f ca="1">INDEX(技能数据库!$B$2:$I$100,MATCH(阵眼收益计算!$E67,技能数据库!$B$2:$B$100,0),MATCH(J$9,技能数据库!$B$2:$I$2,0))</f>
        <v>1</v>
      </c>
      <c r="K67">
        <f ca="1">INDEX(技能数据库!$B$2:$I$100,MATCH(阵眼收益计算!$E67,技能数据库!$B$2:$B$100,0),MATCH(K$9,技能数据库!$B$2:$I$2,0))</f>
        <v>0</v>
      </c>
      <c r="L67">
        <f ca="1" t="shared" si="13"/>
        <v>91975</v>
      </c>
      <c r="M67">
        <f ca="1" t="shared" si="73"/>
        <v>19530.5</v>
      </c>
      <c r="N67">
        <f ca="1" t="shared" si="74"/>
        <v>92028</v>
      </c>
      <c r="O67">
        <f ca="1" t="shared" si="53"/>
        <v>35051.28125</v>
      </c>
      <c r="P67">
        <f ca="1">IF(G67="恒定伤害",0,(IF(D67="轻剑",$AZ$2,$AZ$3)+IFERROR(INDEX(技能数据库!$T$2:$W$27,MATCH(E67,技能数据库!$T$2:$T$27,0),4),0)+COUNTIF(G67,"*造化2*")*154+COUNTIF(G67,"*造化1*")*102+COUNTIF(G67,"*碧归*")*307)/1024)</f>
        <v>0.316516584429785</v>
      </c>
      <c r="Q67">
        <f ca="1" t="shared" si="82"/>
        <v>0.448284482196154</v>
      </c>
      <c r="R67">
        <f ca="1" t="shared" si="54"/>
        <v>0.32958230397716</v>
      </c>
      <c r="S67">
        <f ca="1" t="shared" si="75"/>
        <v>44805.319503863</v>
      </c>
      <c r="T67">
        <f t="shared" si="76"/>
        <v>0.8</v>
      </c>
      <c r="U67">
        <f ca="1" t="shared" si="83"/>
        <v>2.67001635480339</v>
      </c>
      <c r="V67">
        <f ca="1" t="shared" si="77"/>
        <v>131549.004289095</v>
      </c>
      <c r="W67">
        <f ca="1">IF(G67="恒定伤害",0,MIN(1,IF(COUNTIF(F67,"*内会*")&gt;0,内会2,IF(D67="轻剑",$Y$2,$Y$3)+COUNTIF(G67,"*莺鸣*")*0.2+COUNTIF(G67,"*叠1*")*0.1+COUNTIF(G67,"*叠2*")*0.2+COUNTIF(G67,"*叠3*")*0.3)+IFERROR(INDEX(技能数据库!$T$2:$W$27,MATCH(E67,技能数据库!$T$2:$T$27,0),2),0)+IF((IF(D67="轻剑",$AO$2,$AO$3)+INT(COUNTIF(G67,"*大莺鸣*")*IF(D67="轻剑",$AM$2,$AM$3)*听晓无双率)/无双系数)&gt;0.9,特效裤子会心/会心系数,0)))</f>
        <v>0.9043</v>
      </c>
      <c r="X67">
        <f ca="1">IF(G67="恒定伤害",0,IF(COUNTIF(F67,"*内会*")&gt;0,内会效2,IF(D67="轻剑",$AB$2,$AB$3))+IFERROR(INDEX(技能数据库!$T$2:$W$27,MATCH(E67,技能数据库!$T$2:$T$27,0),3)/1024,0))+COUNTIF(G67,"*叠1*")*0.25+COUNTIF(G67,"*叠2*")*0.5+COUNTIF(G67,"*叠3*")*0.75</f>
        <v>2.1712723116</v>
      </c>
      <c r="Y67">
        <f ca="1" t="shared" si="78"/>
        <v>2.05918155137988</v>
      </c>
      <c r="Z67">
        <f t="shared" si="16"/>
        <v>0.150390625</v>
      </c>
      <c r="AA67">
        <f ca="1" t="shared" si="79"/>
        <v>0.0205078125</v>
      </c>
      <c r="AB67">
        <f ca="1" t="shared" si="80"/>
        <v>318012.266043657</v>
      </c>
      <c r="AC67">
        <f ca="1">技能数计算!$AJ59</f>
        <v>0</v>
      </c>
      <c r="AD67" s="164">
        <f ca="1" t="shared" si="81"/>
        <v>0</v>
      </c>
      <c r="AE67" s="168"/>
      <c r="AF67" s="168">
        <f ca="1" t="shared" si="17"/>
        <v>0.9057</v>
      </c>
      <c r="AG67">
        <f ca="1">技能数计算!$AJ59</f>
        <v>0</v>
      </c>
      <c r="AH67">
        <f ca="1" t="shared" si="18"/>
        <v>96007</v>
      </c>
      <c r="AJ67">
        <f ca="1" t="shared" si="55"/>
        <v>2.3704910616</v>
      </c>
      <c r="AK67">
        <f ca="1" t="shared" si="84"/>
        <v>35970.18125</v>
      </c>
      <c r="AL67">
        <f ca="1" t="shared" si="85"/>
        <v>355302.623300779</v>
      </c>
      <c r="AM67" s="169">
        <f ca="1" t="shared" si="20"/>
        <v>0.9272</v>
      </c>
      <c r="AN67">
        <f ca="1">技能数计算!$AJ59</f>
        <v>0</v>
      </c>
      <c r="AO67" s="170">
        <f ca="1" t="shared" si="86"/>
        <v>359973.754345647</v>
      </c>
      <c r="AP67">
        <f ca="1" t="shared" si="22"/>
        <v>97084</v>
      </c>
      <c r="AQ67" s="170">
        <f ca="1" t="shared" si="87"/>
        <v>35913.425</v>
      </c>
      <c r="AR67">
        <f ca="1" t="shared" si="88"/>
        <v>344950.191678376</v>
      </c>
      <c r="AS67">
        <f ca="1" t="shared" si="24"/>
        <v>0.9843</v>
      </c>
      <c r="AT67">
        <f ca="1">技能数计算!$AJ59</f>
        <v>0</v>
      </c>
      <c r="AU67">
        <f ca="1" t="shared" si="25"/>
        <v>2.3177566866</v>
      </c>
      <c r="AV67">
        <f ca="1" t="shared" si="89"/>
        <v>2.68954760480339</v>
      </c>
      <c r="AW67">
        <f ca="1" t="shared" si="58"/>
        <v>356638.468026795</v>
      </c>
      <c r="AX67">
        <f ca="1" t="shared" si="27"/>
        <v>0.9743</v>
      </c>
      <c r="AY67">
        <f ca="1">技能数计算!$AJ59</f>
        <v>0</v>
      </c>
      <c r="AZ67" s="170">
        <f ca="1" t="shared" si="59"/>
        <v>354592.543635154</v>
      </c>
      <c r="BA67">
        <f ca="1" t="shared" si="28"/>
        <v>0.9643</v>
      </c>
      <c r="BB67">
        <f ca="1">技能数计算!$AJ59</f>
        <v>0</v>
      </c>
      <c r="BC67" s="170">
        <f ca="1" t="shared" si="60"/>
        <v>352546.619243513</v>
      </c>
      <c r="BE67">
        <f ca="1" t="shared" si="29"/>
        <v>91977</v>
      </c>
      <c r="BF67">
        <f ca="1" t="shared" si="90"/>
        <v>35051.61875</v>
      </c>
      <c r="BI67">
        <f ca="1" t="shared" si="31"/>
        <v>0.9543</v>
      </c>
      <c r="BJ67">
        <f ca="1">技能数计算!$AJ59</f>
        <v>0</v>
      </c>
      <c r="BK67">
        <f ca="1" t="shared" si="91"/>
        <v>348479.054523617</v>
      </c>
      <c r="BM67">
        <f ca="1" t="shared" si="33"/>
        <v>95358</v>
      </c>
      <c r="BN67">
        <f ca="1" t="shared" si="92"/>
        <v>35622.1625</v>
      </c>
      <c r="BO67">
        <f ca="1" t="shared" si="93"/>
        <v>349042.07252187</v>
      </c>
      <c r="BP67">
        <f ca="1" t="shared" si="94"/>
        <v>332861.295879999</v>
      </c>
      <c r="BR67">
        <f ca="1" t="shared" si="37"/>
        <v>0.9543</v>
      </c>
      <c r="BS67">
        <f ca="1" t="shared" si="95"/>
        <v>344149.766236268</v>
      </c>
      <c r="BT67">
        <f ca="1" t="shared" si="96"/>
        <v>0.318170800459405</v>
      </c>
      <c r="BU67">
        <f ca="1" t="shared" si="40"/>
        <v>2.3177566866</v>
      </c>
      <c r="BV67">
        <f ca="1" t="shared" si="61"/>
        <v>354579.719010452</v>
      </c>
      <c r="BW67">
        <f ca="1" t="shared" si="41"/>
        <v>99155</v>
      </c>
      <c r="BX67">
        <f ca="1" t="shared" si="97"/>
        <v>36262.90625</v>
      </c>
      <c r="BY67">
        <f ca="1" t="shared" si="43"/>
        <v>0.9343</v>
      </c>
      <c r="BZ67">
        <f ca="1">技能数计算!$AJ59</f>
        <v>0</v>
      </c>
      <c r="CA67">
        <f ca="1" t="shared" si="44"/>
        <v>2.3216629366</v>
      </c>
      <c r="CB67">
        <f ca="1" t="shared" si="62"/>
        <v>357069.185733327</v>
      </c>
      <c r="CC67">
        <f ca="1" t="shared" si="45"/>
        <v>100975</v>
      </c>
      <c r="CD67">
        <f ca="1" t="shared" si="98"/>
        <v>36570.03125</v>
      </c>
      <c r="CE67">
        <f ca="1" t="shared" si="99"/>
        <v>347549.520890667</v>
      </c>
      <c r="CF67">
        <f ca="1" t="shared" si="48"/>
        <v>2.2689285616</v>
      </c>
      <c r="CG67">
        <f ca="1" t="shared" si="49"/>
        <v>0.9343</v>
      </c>
      <c r="CH67">
        <f ca="1" t="shared" si="63"/>
        <v>339325.95197649</v>
      </c>
      <c r="CJ67">
        <f ca="1" t="shared" si="100"/>
        <v>35622.1625</v>
      </c>
      <c r="CK67">
        <f ca="1" t="shared" si="101"/>
        <v>347460.930956707</v>
      </c>
      <c r="CL67">
        <f ca="1" t="shared" si="64"/>
        <v>2.2915848116</v>
      </c>
      <c r="CM67">
        <f ca="1">IF(G67="恒定伤害",0,(IF(D67="轻剑",$CM$8,$CM$9)+IFERROR(INDEX(技能数据库!$T$2:$W$27,MATCH(E67,技能数据库!$T$2:$T$27,0),4),0)+COUNTIF(G67,"*造化2*")*154+COUNTIF(G67,"*造化1*")*102+COUNTIF(G67,"*碧归*")*307)/1024)</f>
        <v>0.377063459429785</v>
      </c>
      <c r="CN67">
        <f ca="1" t="shared" si="65"/>
        <v>358369.231953833</v>
      </c>
      <c r="CO67">
        <f ca="1" t="shared" si="66"/>
        <v>2.3156473116</v>
      </c>
      <c r="CP67">
        <f ca="1" t="shared" si="67"/>
        <v>362020.208702664</v>
      </c>
      <c r="CQ67">
        <f ca="1" t="shared" si="102"/>
        <v>2.77157885480339</v>
      </c>
      <c r="CR67">
        <f ca="1">IF(G67="恒定伤害",0,(IF(D67="轻剑",$CR$8,$CR$9)+IFERROR(INDEX(技能数据库!$T$2:$W$27,MATCH(E67,技能数据库!$T$2:$T$27,0),4),0)+COUNTIF(G67,"*造化2*")*154+COUNTIF(G67,"*造化1*")*102+COUNTIF(G67,"*碧归*")*307)/1024)</f>
        <v>0.367297834429785</v>
      </c>
      <c r="CS67">
        <f ca="1" t="shared" si="68"/>
        <v>339418.770263857</v>
      </c>
    </row>
    <row r="68" spans="4:97">
      <c r="D68" t="s">
        <v>1825</v>
      </c>
      <c r="E68" t="s">
        <v>2792</v>
      </c>
      <c r="G68" t="s">
        <v>3044</v>
      </c>
      <c r="H68">
        <f ca="1">INDEX(技能数据库!$B$2:$I$100,MATCH(阵眼收益计算!$E68,技能数据库!$B$2:$B$100,0),MATCH(H$9,技能数据库!$B$2:$I$2,0))</f>
        <v>0</v>
      </c>
      <c r="I68">
        <f ca="1">INDEX(技能数据库!$B$2:$I$100,MATCH(阵眼收益计算!$E68,技能数据库!$B$2:$B$100,0),MATCH(I$9,技能数据库!$B$2:$I$2,0))</f>
        <v>0.16875</v>
      </c>
      <c r="J68">
        <f ca="1">INDEX(技能数据库!$B$2:$I$100,MATCH(阵眼收益计算!$E68,技能数据库!$B$2:$B$100,0),MATCH(J$9,技能数据库!$B$2:$I$2,0))</f>
        <v>1</v>
      </c>
      <c r="K68">
        <f ca="1">INDEX(技能数据库!$B$2:$I$100,MATCH(阵眼收益计算!$E68,技能数据库!$B$2:$B$100,0),MATCH(K$9,技能数据库!$B$2:$I$2,0))</f>
        <v>0</v>
      </c>
      <c r="L68">
        <f ca="1" t="shared" si="13"/>
        <v>105847</v>
      </c>
      <c r="M68">
        <f ca="1" t="shared" si="73"/>
        <v>19530.5</v>
      </c>
      <c r="N68">
        <f ca="1" t="shared" si="74"/>
        <v>92028</v>
      </c>
      <c r="O68">
        <f ca="1" t="shared" si="53"/>
        <v>37392.18125</v>
      </c>
      <c r="P68">
        <f ca="1">IF(G68="恒定伤害",0,(IF(D68="轻剑",$AZ$2,$AZ$3)+IFERROR(INDEX(技能数据库!$T$2:$W$27,MATCH(E68,技能数据库!$T$2:$T$27,0),4),0)+COUNTIF(G68,"*造化2*")*154+COUNTIF(G68,"*造化1*")*102+COUNTIF(G68,"*碧归*")*307)/1024)</f>
        <v>0.316516584429785</v>
      </c>
      <c r="Q68">
        <f ca="1" t="shared" si="82"/>
        <v>0.448284482196154</v>
      </c>
      <c r="R68">
        <f ca="1" t="shared" si="54"/>
        <v>0.21277697966198</v>
      </c>
      <c r="S68">
        <f ca="1" t="shared" si="75"/>
        <v>56125.3157697066</v>
      </c>
      <c r="T68">
        <f t="shared" si="76"/>
        <v>0.8</v>
      </c>
      <c r="U68">
        <f ca="1" t="shared" si="83"/>
        <v>2.67001635480339</v>
      </c>
      <c r="V68">
        <f ca="1" t="shared" si="77"/>
        <v>164784.661434662</v>
      </c>
      <c r="W68">
        <f ca="1">IF(G68="恒定伤害",0,MIN(1,IF(COUNTIF(F68,"*内会*")&gt;0,内会2,IF(D68="轻剑",$Y$2,$Y$3)+COUNTIF(G68,"*莺鸣*")*0.2+COUNTIF(G68,"*叠1*")*0.1+COUNTIF(G68,"*叠2*")*0.2+COUNTIF(G68,"*叠3*")*0.3)+IFERROR(INDEX(技能数据库!$T$2:$W$27,MATCH(E68,技能数据库!$T$2:$T$27,0),2),0)+IF((IF(D68="轻剑",$AO$2,$AO$3)+INT(COUNTIF(G68,"*大莺鸣*")*IF(D68="轻剑",$AM$2,$AM$3)*听晓无双率)/无双系数)&gt;0.9,特效裤子会心/会心系数,0)))</f>
        <v>0.9043</v>
      </c>
      <c r="X68">
        <f ca="1">IF(G68="恒定伤害",0,IF(COUNTIF(F68,"*内会*")&gt;0,内会效2,IF(D68="轻剑",$AB$2,$AB$3))+IFERROR(INDEX(技能数据库!$T$2:$W$27,MATCH(E68,技能数据库!$T$2:$T$27,0),3)/1024,0))+COUNTIF(G68,"*叠1*")*0.25+COUNTIF(G68,"*叠2*")*0.5+COUNTIF(G68,"*叠3*")*0.75</f>
        <v>2.1712723116</v>
      </c>
      <c r="Y68">
        <f ca="1" t="shared" si="78"/>
        <v>2.05918155137988</v>
      </c>
      <c r="Z68">
        <f t="shared" si="16"/>
        <v>0.150390625</v>
      </c>
      <c r="AA68">
        <f ca="1" t="shared" si="79"/>
        <v>0.0205078125</v>
      </c>
      <c r="AB68">
        <f ca="1" t="shared" si="80"/>
        <v>398357.584500682</v>
      </c>
      <c r="AC68">
        <f ca="1">技能数计算!$AJ60</f>
        <v>0</v>
      </c>
      <c r="AD68" s="164">
        <f ca="1" t="shared" si="81"/>
        <v>0</v>
      </c>
      <c r="AE68" s="168"/>
      <c r="AF68" s="168">
        <f ca="1" t="shared" si="17"/>
        <v>0.9057</v>
      </c>
      <c r="AG68">
        <f ca="1">技能数计算!$AJ60</f>
        <v>0</v>
      </c>
      <c r="AH68">
        <f ca="1" t="shared" si="18"/>
        <v>109879</v>
      </c>
      <c r="AJ68">
        <f ca="1" t="shared" si="55"/>
        <v>2.3704910616</v>
      </c>
      <c r="AK68">
        <f ca="1" t="shared" si="84"/>
        <v>38311.08125</v>
      </c>
      <c r="AL68">
        <f ca="1" t="shared" si="85"/>
        <v>444357.498534414</v>
      </c>
      <c r="AM68" s="169">
        <f ca="1" t="shared" si="20"/>
        <v>0.9272</v>
      </c>
      <c r="AN68">
        <f ca="1">技能数计算!$AJ60</f>
        <v>0</v>
      </c>
      <c r="AO68" s="170">
        <f ca="1" t="shared" si="86"/>
        <v>450199.425867066</v>
      </c>
      <c r="AP68">
        <f ca="1" t="shared" si="22"/>
        <v>110956</v>
      </c>
      <c r="AQ68" s="170">
        <f ca="1" t="shared" si="87"/>
        <v>38254.325</v>
      </c>
      <c r="AR68">
        <f ca="1" t="shared" si="88"/>
        <v>431451.93896331</v>
      </c>
      <c r="AS68">
        <f ca="1" t="shared" si="24"/>
        <v>0.9843</v>
      </c>
      <c r="AT68">
        <f ca="1">技能数计算!$AJ60</f>
        <v>0</v>
      </c>
      <c r="AU68">
        <f ca="1" t="shared" si="25"/>
        <v>2.3177566866</v>
      </c>
      <c r="AV68">
        <f ca="1" t="shared" si="89"/>
        <v>2.68954760480339</v>
      </c>
      <c r="AW68">
        <f ca="1" t="shared" si="58"/>
        <v>446742.638045523</v>
      </c>
      <c r="AX68">
        <f ca="1" t="shared" si="27"/>
        <v>0.9743</v>
      </c>
      <c r="AY68">
        <f ca="1">技能数计算!$AJ60</f>
        <v>0</v>
      </c>
      <c r="AZ68" s="170">
        <f ca="1" t="shared" si="59"/>
        <v>444179.813947998</v>
      </c>
      <c r="BA68">
        <f ca="1" t="shared" si="28"/>
        <v>0.9643</v>
      </c>
      <c r="BB68">
        <f ca="1">技能数计算!$AJ60</f>
        <v>0</v>
      </c>
      <c r="BC68" s="170">
        <f ca="1" t="shared" si="60"/>
        <v>441616.989850473</v>
      </c>
      <c r="BE68">
        <f ca="1" t="shared" si="29"/>
        <v>105849</v>
      </c>
      <c r="BF68">
        <f ca="1" t="shared" si="90"/>
        <v>37392.51875</v>
      </c>
      <c r="BI68">
        <f ca="1" t="shared" si="31"/>
        <v>0.9543</v>
      </c>
      <c r="BJ68">
        <f ca="1">技能数计算!$AJ60</f>
        <v>0</v>
      </c>
      <c r="BK68">
        <f ca="1" t="shared" si="91"/>
        <v>436521.497918732</v>
      </c>
      <c r="BM68">
        <f ca="1" t="shared" si="33"/>
        <v>109230</v>
      </c>
      <c r="BN68">
        <f ca="1" t="shared" si="92"/>
        <v>37963.0625</v>
      </c>
      <c r="BO68">
        <f ca="1" t="shared" si="93"/>
        <v>436788.358106298</v>
      </c>
      <c r="BP68">
        <f ca="1" t="shared" si="94"/>
        <v>416539.868257428</v>
      </c>
      <c r="BR68">
        <f ca="1" t="shared" si="37"/>
        <v>0.9543</v>
      </c>
      <c r="BS68">
        <f ca="1" t="shared" si="95"/>
        <v>430666.166548123</v>
      </c>
      <c r="BT68">
        <f ca="1" t="shared" si="96"/>
        <v>0.196995876306796</v>
      </c>
      <c r="BU68">
        <f ca="1" t="shared" si="40"/>
        <v>2.3177566866</v>
      </c>
      <c r="BV68">
        <f ca="1" t="shared" si="61"/>
        <v>445484.88525076</v>
      </c>
      <c r="BW68">
        <f ca="1" t="shared" si="41"/>
        <v>113027</v>
      </c>
      <c r="BX68">
        <f ca="1" t="shared" si="97"/>
        <v>38603.80625</v>
      </c>
      <c r="BY68">
        <f ca="1" t="shared" si="43"/>
        <v>0.9343</v>
      </c>
      <c r="BZ68">
        <f ca="1">技能数计算!$AJ60</f>
        <v>0</v>
      </c>
      <c r="CA68">
        <f ca="1" t="shared" si="44"/>
        <v>2.3216629366</v>
      </c>
      <c r="CB68">
        <f ca="1" t="shared" si="62"/>
        <v>446346.577957251</v>
      </c>
      <c r="CC68">
        <f ca="1" t="shared" si="45"/>
        <v>114847</v>
      </c>
      <c r="CD68">
        <f ca="1" t="shared" si="98"/>
        <v>38910.93125</v>
      </c>
      <c r="CE68">
        <f ca="1" t="shared" si="99"/>
        <v>434225.479872176</v>
      </c>
      <c r="CF68">
        <f ca="1" t="shared" si="48"/>
        <v>2.2689285616</v>
      </c>
      <c r="CG68">
        <f ca="1" t="shared" si="49"/>
        <v>0.9343</v>
      </c>
      <c r="CH68">
        <f ca="1" t="shared" si="63"/>
        <v>425056.140976626</v>
      </c>
      <c r="CJ68">
        <f ca="1" t="shared" si="100"/>
        <v>37963.0625</v>
      </c>
      <c r="CK68">
        <f ca="1" t="shared" si="101"/>
        <v>434809.730649753</v>
      </c>
      <c r="CL68">
        <f ca="1" t="shared" si="64"/>
        <v>2.2915848116</v>
      </c>
      <c r="CM68">
        <f ca="1">IF(G68="恒定伤害",0,(IF(D68="轻剑",$CM$8,$CM$9)+IFERROR(INDEX(技能数据库!$T$2:$W$27,MATCH(E68,技能数据库!$T$2:$T$27,0),4),0)+COUNTIF(G68,"*造化2*")*154+COUNTIF(G68,"*造化1*")*102+COUNTIF(G68,"*碧归*")*307)/1024)</f>
        <v>0.377063459429785</v>
      </c>
      <c r="CN68">
        <f ca="1" t="shared" si="65"/>
        <v>448910.676863312</v>
      </c>
      <c r="CO68">
        <f ca="1" t="shared" si="66"/>
        <v>2.3156473116</v>
      </c>
      <c r="CP68">
        <f ca="1" t="shared" si="67"/>
        <v>453484.067370623</v>
      </c>
      <c r="CQ68">
        <f ca="1" t="shared" si="102"/>
        <v>2.77157885480339</v>
      </c>
      <c r="CR68">
        <f ca="1">IF(G68="恒定伤害",0,(IF(D68="轻剑",$CR$8,$CR$9)+IFERROR(INDEX(技能数据库!$T$2:$W$27,MATCH(E68,技能数据库!$T$2:$T$27,0),4),0)+COUNTIF(G68,"*造化2*")*154+COUNTIF(G68,"*造化1*")*102+COUNTIF(G68,"*碧归*")*307)/1024)</f>
        <v>0.367297834429785</v>
      </c>
      <c r="CS68">
        <f ca="1" t="shared" si="68"/>
        <v>425172.409664036</v>
      </c>
    </row>
    <row r="69" spans="4:97">
      <c r="D69" t="s">
        <v>1028</v>
      </c>
      <c r="E69" t="s">
        <v>2723</v>
      </c>
      <c r="H69">
        <f ca="1">INDEX(技能数据库!$B$2:$I$100,MATCH(阵眼收益计算!$E69,技能数据库!$B$2:$B$100,0),MATCH(H$9,技能数据库!$B$2:$I$2,0))</f>
        <v>143</v>
      </c>
      <c r="I69">
        <f ca="1">INDEX(技能数据库!$B$2:$I$100,MATCH(阵眼收益计算!$E69,技能数据库!$B$2:$B$100,0),MATCH(I$9,技能数据库!$B$2:$I$2,0))</f>
        <v>2.53125</v>
      </c>
      <c r="J69">
        <f ca="1">INDEX(技能数据库!$B$2:$I$100,MATCH(阵眼收益计算!$E69,技能数据库!$B$2:$B$100,0),MATCH(J$9,技能数据库!$B$2:$I$2,0))</f>
        <v>2</v>
      </c>
      <c r="K69">
        <f ca="1">INDEX(技能数据库!$B$2:$I$100,MATCH(阵眼收益计算!$E69,技能数据库!$B$2:$B$100,0),MATCH(K$9,技能数据库!$B$2:$I$2,0))</f>
        <v>0</v>
      </c>
      <c r="L69">
        <f ca="1" t="shared" si="13"/>
        <v>91975</v>
      </c>
      <c r="M69">
        <f ca="1" t="shared" si="73"/>
        <v>12694.5</v>
      </c>
      <c r="N69">
        <f ca="1" t="shared" si="74"/>
        <v>92028</v>
      </c>
      <c r="O69">
        <f ca="1" t="shared" si="53"/>
        <v>258343.71875</v>
      </c>
      <c r="P69">
        <f ca="1">IF(G69="恒定伤害",0,(IF(D69="轻剑",$AZ$2,$AZ$3)+IFERROR(INDEX(技能数据库!$T$2:$W$27,MATCH(E69,技能数据库!$T$2:$T$27,0),4),0)+COUNTIF(G69,"*造化2*")*154+COUNTIF(G69,"*造化1*")*102+COUNTIF(G69,"*碧归*")*307)/1024)</f>
        <v>0.0167118969297852</v>
      </c>
      <c r="Q69">
        <f ca="1" t="shared" si="82"/>
        <v>0.448284482196154</v>
      </c>
      <c r="R69">
        <f ca="1" t="shared" si="54"/>
        <v>0.32958230397716</v>
      </c>
      <c r="S69">
        <f ca="1" t="shared" si="75"/>
        <v>255032.283105671</v>
      </c>
      <c r="T69">
        <f t="shared" si="76"/>
        <v>0.8</v>
      </c>
      <c r="U69">
        <f ca="1" t="shared" si="83"/>
        <v>1.7800129648</v>
      </c>
      <c r="V69">
        <f ca="1" t="shared" si="77"/>
        <v>567194.442781048</v>
      </c>
      <c r="W69">
        <f ca="1">IF(G69="恒定伤害",0,MIN(1,IF(COUNTIF(F69,"*内会*")&gt;0,内会2,IF(D69="轻剑",$Y$2,$Y$3)+COUNTIF(G69,"*莺鸣*")*0.2+COUNTIF(G69,"*叠1*")*0.1+COUNTIF(G69,"*叠2*")*0.2+COUNTIF(G69,"*叠3*")*0.3)+IFERROR(INDEX(技能数据库!$T$2:$W$27,MATCH(E69,技能数据库!$T$2:$T$27,0),2),0)+IF((IF(D69="轻剑",$AO$2,$AO$3)+INT(COUNTIF(G69,"*大莺鸣*")*IF(D69="轻剑",$AM$2,$AM$3)*听晓无双率)/无双系数)&gt;0.9,特效裤子会心/会心系数,0)))</f>
        <v>0.7043</v>
      </c>
      <c r="X69">
        <f ca="1">IF(G69="恒定伤害",0,IF(COUNTIF(F69,"*内会*")&gt;0,内会效2,IF(D69="轻剑",$AB$2,$AB$3))+IFERROR(INDEX(技能数据库!$T$2:$W$27,MATCH(E69,技能数据库!$T$2:$T$27,0),3)/1024,0))+COUNTIF(G69,"*叠1*")*0.25+COUNTIF(G69,"*叠2*")*0.5+COUNTIF(G69,"*叠3*")*0.75</f>
        <v>2.1712723116</v>
      </c>
      <c r="Y69">
        <f ca="1" t="shared" si="78"/>
        <v>1.82492708905988</v>
      </c>
      <c r="Z69">
        <f t="shared" si="16"/>
        <v>0.150390625</v>
      </c>
      <c r="AA69">
        <f ca="1" t="shared" si="79"/>
        <v>0.0205078125</v>
      </c>
      <c r="AB69">
        <f ca="1" t="shared" si="80"/>
        <v>1215175.91339561</v>
      </c>
      <c r="AC69" s="171">
        <f ca="1">$AC$10*MIN(1,0.3+$Y$2)</f>
        <v>0</v>
      </c>
      <c r="AD69" s="164">
        <f ca="1" t="shared" si="81"/>
        <v>0</v>
      </c>
      <c r="AE69" s="168"/>
      <c r="AF69" s="168">
        <f ca="1" t="shared" si="17"/>
        <v>0.7057</v>
      </c>
      <c r="AG69" s="171">
        <f ca="1">$AC$10*MIN(1,0.3+$AF$8)</f>
        <v>0</v>
      </c>
      <c r="AH69">
        <f ca="1" t="shared" si="18"/>
        <v>96007</v>
      </c>
      <c r="AJ69">
        <f ca="1" t="shared" si="55"/>
        <v>2.3704910616</v>
      </c>
      <c r="AK69">
        <f ca="1" t="shared" si="84"/>
        <v>269026.71875</v>
      </c>
      <c r="AL69">
        <f ca="1" t="shared" si="85"/>
        <v>1364423.73592252</v>
      </c>
      <c r="AM69" s="169">
        <f ca="1" t="shared" si="20"/>
        <v>0.7272</v>
      </c>
      <c r="AN69" s="171">
        <f ca="1">$AC$10*MIN(1,0.3+$AN$8)</f>
        <v>0</v>
      </c>
      <c r="AO69" s="170">
        <f ca="1" t="shared" si="86"/>
        <v>1384861.11650882</v>
      </c>
      <c r="AP69">
        <f ca="1" t="shared" si="22"/>
        <v>97084</v>
      </c>
      <c r="AQ69" s="170">
        <f ca="1" t="shared" si="87"/>
        <v>271275.875</v>
      </c>
      <c r="AR69">
        <f ca="1" t="shared" si="88"/>
        <v>1350865.18964671</v>
      </c>
      <c r="AS69">
        <f ca="1" t="shared" si="24"/>
        <v>0.7843</v>
      </c>
      <c r="AT69" s="171">
        <f ca="1">$AC$10*MIN(1,0.3+AS$8)</f>
        <v>0</v>
      </c>
      <c r="AU69">
        <f ca="1" t="shared" si="25"/>
        <v>2.3177566866</v>
      </c>
      <c r="AV69">
        <f ca="1" t="shared" si="89"/>
        <v>1.7995442148</v>
      </c>
      <c r="AW69">
        <f ca="1" t="shared" si="58"/>
        <v>1363583.88424679</v>
      </c>
      <c r="AX69">
        <f ca="1" t="shared" si="27"/>
        <v>0.7743</v>
      </c>
      <c r="AY69" s="171">
        <f ca="1">$AC$10*MIN(1,0.3+AX$8)</f>
        <v>0</v>
      </c>
      <c r="AZ69" s="170">
        <f ca="1" t="shared" si="59"/>
        <v>1354747.60620345</v>
      </c>
      <c r="BA69">
        <f ca="1" t="shared" si="28"/>
        <v>0.7643</v>
      </c>
      <c r="BB69" s="171">
        <f ca="1">$AC$10*MIN(1,0.3+BA$8)</f>
        <v>0</v>
      </c>
      <c r="BC69" s="170">
        <f ca="1" t="shared" si="60"/>
        <v>1345911.32816012</v>
      </c>
      <c r="BE69">
        <f ca="1" t="shared" si="29"/>
        <v>91977</v>
      </c>
      <c r="BF69">
        <f ca="1" t="shared" si="90"/>
        <v>258348.78125</v>
      </c>
      <c r="BI69">
        <f ca="1" t="shared" si="31"/>
        <v>0.7543</v>
      </c>
      <c r="BJ69" s="171">
        <f ca="1">$AC$10*MIN(1,0.3+BI$8)</f>
        <v>0</v>
      </c>
      <c r="BK69">
        <f ca="1" t="shared" si="91"/>
        <v>1338599.26830875</v>
      </c>
      <c r="BM69">
        <f ca="1" t="shared" si="33"/>
        <v>95358</v>
      </c>
      <c r="BN69">
        <f ca="1" t="shared" si="92"/>
        <v>266906.9375</v>
      </c>
      <c r="BO69">
        <f ca="1" t="shared" si="93"/>
        <v>1355871.81315565</v>
      </c>
      <c r="BP69">
        <f ca="1" t="shared" si="94"/>
        <v>1293016.75730188</v>
      </c>
      <c r="BR69">
        <f ca="1" t="shared" si="37"/>
        <v>0.7543</v>
      </c>
      <c r="BS69">
        <f ca="1" t="shared" si="95"/>
        <v>1343886.60852541</v>
      </c>
      <c r="BT69">
        <f ca="1" t="shared" si="96"/>
        <v>0.318170800459405</v>
      </c>
      <c r="BU69">
        <f ca="1" t="shared" si="40"/>
        <v>2.3177566866</v>
      </c>
      <c r="BV69">
        <f ca="1" t="shared" si="61"/>
        <v>1350347.05668719</v>
      </c>
      <c r="BW69">
        <f ca="1" t="shared" si="41"/>
        <v>99155</v>
      </c>
      <c r="BX69">
        <f ca="1" t="shared" si="97"/>
        <v>276518.09375</v>
      </c>
      <c r="BY69">
        <f ca="1" t="shared" si="43"/>
        <v>0.7343</v>
      </c>
      <c r="BZ69" s="171">
        <f ca="1">$AC$10*MIN(1,0.3+BY$8)</f>
        <v>0</v>
      </c>
      <c r="CA69">
        <f ca="1" t="shared" si="44"/>
        <v>2.3216629366</v>
      </c>
      <c r="CB69">
        <f ca="1" t="shared" si="62"/>
        <v>1404413.776634</v>
      </c>
      <c r="CC69">
        <f ca="1" t="shared" si="45"/>
        <v>100975</v>
      </c>
      <c r="CD69">
        <f ca="1" t="shared" si="98"/>
        <v>281124.96875</v>
      </c>
      <c r="CE69">
        <f ca="1" t="shared" si="99"/>
        <v>1388117.96425076</v>
      </c>
      <c r="CF69">
        <f ca="1" t="shared" si="48"/>
        <v>2.2689285616</v>
      </c>
      <c r="CG69">
        <f ca="1" t="shared" si="49"/>
        <v>0.7343</v>
      </c>
      <c r="CH69">
        <f ca="1" t="shared" si="63"/>
        <v>1295360.09945964</v>
      </c>
      <c r="CJ69">
        <f ca="1" t="shared" si="100"/>
        <v>266906.9375</v>
      </c>
      <c r="CK69">
        <f ca="1" t="shared" si="101"/>
        <v>1349729.78773928</v>
      </c>
      <c r="CL69">
        <f ca="1" t="shared" si="64"/>
        <v>2.2915848116</v>
      </c>
      <c r="CM69">
        <f ca="1">IF(G69="恒定伤害",0,(IF(D69="轻剑",$CM$8,$CM$9)+IFERROR(INDEX(技能数据库!$T$2:$W$27,MATCH(E69,技能数据库!$T$2:$T$27,0),4),0)+COUNTIF(G69,"*造化2*")*154+COUNTIF(G69,"*造化1*")*102+COUNTIF(G69,"*碧归*")*307)/1024)</f>
        <v>0.0772587719297852</v>
      </c>
      <c r="CN69">
        <f ca="1" t="shared" si="65"/>
        <v>1384320.94551992</v>
      </c>
      <c r="CO69">
        <f ca="1" t="shared" si="66"/>
        <v>2.3156473116</v>
      </c>
      <c r="CP69">
        <f ca="1" t="shared" si="67"/>
        <v>1396874.61104103</v>
      </c>
      <c r="CQ69">
        <f ca="1" t="shared" si="102"/>
        <v>1.8815754648</v>
      </c>
      <c r="CR69">
        <f ca="1">IF(G69="恒定伤害",0,(IF(D69="轻剑",$CR$8,$CR$9)+IFERROR(INDEX(技能数据库!$T$2:$W$27,MATCH(E69,技能数据库!$T$2:$T$27,0),4),0)+COUNTIF(G69,"*造化2*")*154+COUNTIF(G69,"*造化1*")*102+COUNTIF(G69,"*碧归*")*307)/1024)</f>
        <v>0.0674931469297852</v>
      </c>
      <c r="CS69">
        <f ca="1" t="shared" si="68"/>
        <v>1322481.23722368</v>
      </c>
    </row>
    <row r="70" spans="4:97">
      <c r="D70" t="s">
        <v>1028</v>
      </c>
      <c r="E70" t="s">
        <v>2723</v>
      </c>
      <c r="G70" t="s">
        <v>2949</v>
      </c>
      <c r="H70">
        <f ca="1">INDEX(技能数据库!$B$2:$I$100,MATCH(阵眼收益计算!$E70,技能数据库!$B$2:$B$100,0),MATCH(H$9,技能数据库!$B$2:$I$2,0))</f>
        <v>143</v>
      </c>
      <c r="I70">
        <f ca="1">INDEX(技能数据库!$B$2:$I$100,MATCH(阵眼收益计算!$E70,技能数据库!$B$2:$B$100,0),MATCH(I$9,技能数据库!$B$2:$I$2,0))</f>
        <v>2.53125</v>
      </c>
      <c r="J70">
        <f ca="1">INDEX(技能数据库!$B$2:$I$100,MATCH(阵眼收益计算!$E70,技能数据库!$B$2:$B$100,0),MATCH(J$9,技能数据库!$B$2:$I$2,0))</f>
        <v>2</v>
      </c>
      <c r="K70">
        <f ca="1">INDEX(技能数据库!$B$2:$I$100,MATCH(阵眼收益计算!$E70,技能数据库!$B$2:$B$100,0),MATCH(K$9,技能数据库!$B$2:$I$2,0))</f>
        <v>0</v>
      </c>
      <c r="L70">
        <f ca="1" t="shared" si="13"/>
        <v>91975</v>
      </c>
      <c r="M70">
        <f ca="1" t="shared" ref="M70:M82" si="103">IF(D70="轻剑",$AU$2+$AV$2,$AU$3+$AV$3)/2</f>
        <v>12694.5</v>
      </c>
      <c r="N70">
        <f ca="1" t="shared" ref="N70:N82" si="104">IF(D70="轻剑",$AJ$2,$AJ$3)</f>
        <v>92028</v>
      </c>
      <c r="O70">
        <f ca="1" t="shared" si="53"/>
        <v>258343.71875</v>
      </c>
      <c r="P70">
        <f ca="1">IF(G70="恒定伤害",0,(IF(D70="轻剑",$AZ$2,$AZ$3)+IFERROR(INDEX(技能数据库!$T$2:$W$27,MATCH(E70,技能数据库!$T$2:$T$27,0),4),0)+COUNTIF(G70,"*造化2*")*154+COUNTIF(G70,"*造化1*")*102+COUNTIF(G70,"*碧归*")*307)/1024)</f>
        <v>0.0167118969297852</v>
      </c>
      <c r="Q70">
        <f ca="1" t="shared" si="82"/>
        <v>0.448284482196154</v>
      </c>
      <c r="R70">
        <f ca="1" t="shared" si="54"/>
        <v>0.32958230397716</v>
      </c>
      <c r="S70">
        <f ca="1" t="shared" ref="S70:S82" si="105">O70*(1+P70)*(1+Q70)*(1-R70)</f>
        <v>255032.283105671</v>
      </c>
      <c r="T70">
        <f t="shared" si="76"/>
        <v>0.8</v>
      </c>
      <c r="U70">
        <f ca="1" t="shared" si="83"/>
        <v>1.7800129648</v>
      </c>
      <c r="V70">
        <f ca="1" t="shared" ref="V70:V82" si="106">S70*T70*(1+U70)</f>
        <v>567194.442781048</v>
      </c>
      <c r="W70">
        <f ca="1">IF(G70="恒定伤害",0,MIN(1,IF(COUNTIF(F70,"*内会*")&gt;0,内会2,IF(D70="轻剑",$Y$2,$Y$3)+COUNTIF(G70,"*莺鸣*")*0.2+COUNTIF(G70,"*叠1*")*0.1+COUNTIF(G70,"*叠2*")*0.2+COUNTIF(G70,"*叠3*")*0.3)+IFERROR(INDEX(技能数据库!$T$2:$W$27,MATCH(E70,技能数据库!$T$2:$T$27,0),2),0)+IF((IF(D70="轻剑",$AO$2,$AO$3)+INT(COUNTIF(G70,"*大莺鸣*")*IF(D70="轻剑",$AM$2,$AM$3)*听晓无双率)/无双系数)&gt;0.9,特效裤子会心/会心系数,0)))</f>
        <v>0.9043</v>
      </c>
      <c r="X70">
        <f ca="1">IF(G70="恒定伤害",0,IF(COUNTIF(F70,"*内会*")&gt;0,内会效2,IF(D70="轻剑",$AB$2,$AB$3))+IFERROR(INDEX(技能数据库!$T$2:$W$27,MATCH(E70,技能数据库!$T$2:$T$27,0),3)/1024,0))+COUNTIF(G70,"*叠1*")*0.25+COUNTIF(G70,"*叠2*")*0.5+COUNTIF(G70,"*叠3*")*0.75</f>
        <v>2.1712723116</v>
      </c>
      <c r="Y70">
        <f ca="1" t="shared" ref="Y70:Y82" si="107">1+W70*(X70-1)</f>
        <v>2.05918155137988</v>
      </c>
      <c r="Z70">
        <f t="shared" si="16"/>
        <v>0.150390625</v>
      </c>
      <c r="AA70">
        <f ca="1" t="shared" ref="AA70:AA82" si="108">IF(D70="轻剑",$BA$2,$BA$3)/1024</f>
        <v>0.0205078125</v>
      </c>
      <c r="AB70">
        <f ca="1" t="shared" ref="AB70:AB82" si="109">V70*Y70*(1+Z70)*(1+AA70)</f>
        <v>1371160.43569417</v>
      </c>
      <c r="AC70" s="171">
        <f ca="1">$AC$12*MIN(1,0.3+$Y$2+0.2)</f>
        <v>0</v>
      </c>
      <c r="AD70" s="164">
        <f ca="1" t="shared" si="81"/>
        <v>0</v>
      </c>
      <c r="AE70" s="168"/>
      <c r="AF70" s="168">
        <f ca="1" t="shared" si="17"/>
        <v>0.9057</v>
      </c>
      <c r="AG70" s="171">
        <f ca="1">$AC$12*MIN(1,0.3+$AF$8+0.2)</f>
        <v>0</v>
      </c>
      <c r="AH70">
        <f ca="1" t="shared" si="18"/>
        <v>96007</v>
      </c>
      <c r="AJ70">
        <f ca="1" t="shared" si="55"/>
        <v>2.3704910616</v>
      </c>
      <c r="AK70">
        <f ca="1" t="shared" si="84"/>
        <v>269026.71875</v>
      </c>
      <c r="AL70">
        <f ca="1" t="shared" si="85"/>
        <v>1554538.90416721</v>
      </c>
      <c r="AM70" s="169">
        <f ca="1" t="shared" si="20"/>
        <v>0.9272</v>
      </c>
      <c r="AN70" s="171">
        <f ca="1">$AC$12*MIN(1,0.3+$AN$8+0.2)</f>
        <v>0</v>
      </c>
      <c r="AO70" s="170">
        <f ca="1" t="shared" si="86"/>
        <v>1574976.28475351</v>
      </c>
      <c r="AP70">
        <f ca="1" t="shared" si="22"/>
        <v>97084</v>
      </c>
      <c r="AQ70" s="170">
        <f ca="1" t="shared" si="87"/>
        <v>271275.875</v>
      </c>
      <c r="AR70">
        <f ca="1" t="shared" si="88"/>
        <v>1524267.29462095</v>
      </c>
      <c r="AS70">
        <f ca="1" t="shared" si="24"/>
        <v>0.9843</v>
      </c>
      <c r="AT70" s="171">
        <f ca="1">$AC$12*MIN(1,0.3+AS$8+0.2)</f>
        <v>0</v>
      </c>
      <c r="AU70">
        <f ca="1" t="shared" si="25"/>
        <v>2.3177566866</v>
      </c>
      <c r="AV70">
        <f ca="1" t="shared" si="89"/>
        <v>1.7995442148</v>
      </c>
      <c r="AW70">
        <f ca="1" t="shared" si="58"/>
        <v>1540309.44511344</v>
      </c>
      <c r="AX70">
        <f ca="1" t="shared" si="27"/>
        <v>0.9743</v>
      </c>
      <c r="AY70" s="171">
        <f ca="1">$AC$12*MIN(1,0.3+AX$8+0.2)</f>
        <v>0</v>
      </c>
      <c r="AZ70" s="170">
        <f ca="1" t="shared" si="59"/>
        <v>1531473.16707011</v>
      </c>
      <c r="BA70">
        <f ca="1" t="shared" si="28"/>
        <v>0.9643</v>
      </c>
      <c r="BB70" s="171">
        <f ca="1">$AC$12*MIN(1,0.3+BA$8+0.2)</f>
        <v>0</v>
      </c>
      <c r="BC70" s="170">
        <f ca="1" t="shared" si="60"/>
        <v>1522636.88902677</v>
      </c>
      <c r="BE70">
        <f ca="1" t="shared" si="29"/>
        <v>91977</v>
      </c>
      <c r="BF70">
        <f ca="1" t="shared" si="90"/>
        <v>258348.78125</v>
      </c>
      <c r="BI70">
        <f ca="1" t="shared" si="31"/>
        <v>0.9543</v>
      </c>
      <c r="BJ70" s="171">
        <f ca="1">$AC$12*MIN(1,0.3+BI$8+0.2)</f>
        <v>0</v>
      </c>
      <c r="BK70">
        <f ca="1" t="shared" si="91"/>
        <v>1505084.21622335</v>
      </c>
      <c r="BM70">
        <f ca="1" t="shared" si="33"/>
        <v>95358</v>
      </c>
      <c r="BN70">
        <f ca="1" t="shared" si="92"/>
        <v>266906.9375</v>
      </c>
      <c r="BO70">
        <f ca="1" t="shared" si="93"/>
        <v>1529916.58703714</v>
      </c>
      <c r="BP70">
        <f ca="1" t="shared" si="94"/>
        <v>1458993.22127586</v>
      </c>
      <c r="BR70">
        <f ca="1" t="shared" si="37"/>
        <v>0.9543</v>
      </c>
      <c r="BS70">
        <f ca="1" t="shared" si="95"/>
        <v>1511029.15620226</v>
      </c>
      <c r="BT70">
        <f ca="1" t="shared" si="96"/>
        <v>0.318170800459405</v>
      </c>
      <c r="BU70">
        <f ca="1" t="shared" si="40"/>
        <v>2.3177566866</v>
      </c>
      <c r="BV70">
        <f ca="1" t="shared" si="61"/>
        <v>1528826.82185581</v>
      </c>
      <c r="BW70">
        <f ca="1" t="shared" si="41"/>
        <v>99155</v>
      </c>
      <c r="BX70">
        <f ca="1" t="shared" si="97"/>
        <v>276518.09375</v>
      </c>
      <c r="BY70">
        <f ca="1" t="shared" si="43"/>
        <v>0.9343</v>
      </c>
      <c r="BZ70" s="171">
        <f ca="1">$AC$12*MIN(1,0.3+BY$8+0.2)</f>
        <v>0</v>
      </c>
      <c r="CA70">
        <f ca="1" t="shared" si="44"/>
        <v>2.3216629366</v>
      </c>
      <c r="CB70">
        <f ca="1" t="shared" si="62"/>
        <v>1592809.04415854</v>
      </c>
      <c r="CC70">
        <f ca="1" t="shared" si="45"/>
        <v>100975</v>
      </c>
      <c r="CD70">
        <f ca="1" t="shared" si="98"/>
        <v>281124.96875</v>
      </c>
      <c r="CE70">
        <f ca="1" t="shared" si="99"/>
        <v>1562935.93146048</v>
      </c>
      <c r="CF70">
        <f ca="1" t="shared" si="48"/>
        <v>2.2689285616</v>
      </c>
      <c r="CG70">
        <f ca="1" t="shared" si="49"/>
        <v>0.9343</v>
      </c>
      <c r="CH70">
        <f ca="1" t="shared" si="63"/>
        <v>1465537.27558696</v>
      </c>
      <c r="CJ70">
        <f ca="1" t="shared" si="100"/>
        <v>266906.9375</v>
      </c>
      <c r="CK70">
        <f ca="1" t="shared" si="101"/>
        <v>1522986.1482808</v>
      </c>
      <c r="CL70">
        <f ca="1" t="shared" si="64"/>
        <v>2.2915848116</v>
      </c>
      <c r="CM70">
        <f ca="1">IF(G70="恒定伤害",0,(IF(D70="轻剑",$CM$8,$CM$9)+IFERROR(INDEX(技能数据库!$T$2:$W$27,MATCH(E70,技能数据库!$T$2:$T$27,0),4),0)+COUNTIF(G70,"*造化2*")*154+COUNTIF(G70,"*造化1*")*102+COUNTIF(G70,"*碧归*")*307)/1024)</f>
        <v>0.0772587719297852</v>
      </c>
      <c r="CN70">
        <f ca="1" t="shared" si="65"/>
        <v>1567851.84921407</v>
      </c>
      <c r="CO70">
        <f ca="1" t="shared" si="66"/>
        <v>2.3156473116</v>
      </c>
      <c r="CP70">
        <f ca="1" t="shared" si="67"/>
        <v>1583824.7345421</v>
      </c>
      <c r="CQ70">
        <f ca="1" t="shared" si="102"/>
        <v>1.8815754648</v>
      </c>
      <c r="CR70">
        <f ca="1">IF(G70="恒定伤害",0,(IF(D70="轻剑",$CR$8,$CR$9)+IFERROR(INDEX(技能数据库!$T$2:$W$27,MATCH(E70,技能数据库!$T$2:$T$27,0),4),0)+COUNTIF(G70,"*造化2*")*154+COUNTIF(G70,"*造化1*")*102+COUNTIF(G70,"*碧归*")*307)/1024)</f>
        <v>0.0674931469297852</v>
      </c>
      <c r="CS70">
        <f ca="1" t="shared" si="68"/>
        <v>1492239.87197205</v>
      </c>
    </row>
    <row r="71" spans="4:97">
      <c r="D71" t="s">
        <v>1028</v>
      </c>
      <c r="E71" t="s">
        <v>2723</v>
      </c>
      <c r="G71" t="s">
        <v>3014</v>
      </c>
      <c r="H71">
        <f ca="1">INDEX(技能数据库!$B$2:$I$100,MATCH(阵眼收益计算!$E71,技能数据库!$B$2:$B$100,0),MATCH(H$9,技能数据库!$B$2:$I$2,0))</f>
        <v>143</v>
      </c>
      <c r="I71">
        <f ca="1">INDEX(技能数据库!$B$2:$I$100,MATCH(阵眼收益计算!$E71,技能数据库!$B$2:$B$100,0),MATCH(I$9,技能数据库!$B$2:$I$2,0))</f>
        <v>2.53125</v>
      </c>
      <c r="J71">
        <f ca="1">INDEX(技能数据库!$B$2:$I$100,MATCH(阵眼收益计算!$E71,技能数据库!$B$2:$B$100,0),MATCH(J$9,技能数据库!$B$2:$I$2,0))</f>
        <v>2</v>
      </c>
      <c r="K71">
        <f ca="1">INDEX(技能数据库!$B$2:$I$100,MATCH(阵眼收益计算!$E71,技能数据库!$B$2:$B$100,0),MATCH(K$9,技能数据库!$B$2:$I$2,0))</f>
        <v>0</v>
      </c>
      <c r="L71">
        <f ca="1" t="shared" si="13"/>
        <v>105847</v>
      </c>
      <c r="M71">
        <f ca="1" t="shared" si="103"/>
        <v>12694.5</v>
      </c>
      <c r="N71">
        <f ca="1" t="shared" si="104"/>
        <v>92028</v>
      </c>
      <c r="O71">
        <f ca="1" t="shared" si="53"/>
        <v>293457.21875</v>
      </c>
      <c r="P71">
        <f ca="1">IF(G71="恒定伤害",0,(IF(D71="轻剑",$AZ$2,$AZ$3)+IFERROR(INDEX(技能数据库!$T$2:$W$27,MATCH(E71,技能数据库!$T$2:$T$27,0),4),0)+COUNTIF(G71,"*造化2*")*154+COUNTIF(G71,"*造化1*")*102+COUNTIF(G71,"*碧归*")*307)/1024)</f>
        <v>0.0167118969297852</v>
      </c>
      <c r="Q71">
        <f ca="1" t="shared" si="82"/>
        <v>0.448284482196154</v>
      </c>
      <c r="R71">
        <f ca="1" t="shared" si="54"/>
        <v>0.21277697966198</v>
      </c>
      <c r="S71">
        <f ca="1" t="shared" si="105"/>
        <v>340168.711881267</v>
      </c>
      <c r="T71">
        <f t="shared" si="76"/>
        <v>0.8</v>
      </c>
      <c r="U71">
        <f ca="1" t="shared" si="83"/>
        <v>1.7800129648</v>
      </c>
      <c r="V71">
        <f ca="1" t="shared" si="106"/>
        <v>756538.743399391</v>
      </c>
      <c r="W71">
        <f ca="1">IF(G71="恒定伤害",0,MIN(1,IF(COUNTIF(F71,"*内会*")&gt;0,内会2,IF(D71="轻剑",$Y$2,$Y$3)+COUNTIF(G71,"*莺鸣*")*0.2+COUNTIF(G71,"*叠1*")*0.1+COUNTIF(G71,"*叠2*")*0.2+COUNTIF(G71,"*叠3*")*0.3)+IFERROR(INDEX(技能数据库!$T$2:$W$27,MATCH(E71,技能数据库!$T$2:$T$27,0),2),0)+IF((IF(D71="轻剑",$AO$2,$AO$3)+INT(COUNTIF(G71,"*大莺鸣*")*IF(D71="轻剑",$AM$2,$AM$3)*听晓无双率)/无双系数)&gt;0.9,特效裤子会心/会心系数,0)))</f>
        <v>0.9043</v>
      </c>
      <c r="X71">
        <f ca="1">IF(G71="恒定伤害",0,IF(COUNTIF(F71,"*内会*")&gt;0,内会效2,IF(D71="轻剑",$AB$2,$AB$3))+IFERROR(INDEX(技能数据库!$T$2:$W$27,MATCH(E71,技能数据库!$T$2:$T$27,0),3)/1024,0))+COUNTIF(G71,"*叠1*")*0.25+COUNTIF(G71,"*叠2*")*0.5+COUNTIF(G71,"*叠3*")*0.75</f>
        <v>2.1712723116</v>
      </c>
      <c r="Y71">
        <f ca="1" t="shared" si="107"/>
        <v>2.05918155137988</v>
      </c>
      <c r="Z71">
        <f t="shared" si="16"/>
        <v>0.150390625</v>
      </c>
      <c r="AA71">
        <f ca="1" t="shared" si="108"/>
        <v>0.0205078125</v>
      </c>
      <c r="AB71">
        <f ca="1" t="shared" si="109"/>
        <v>1828889.55669735</v>
      </c>
      <c r="AC71" s="171">
        <f ca="1">$AC$13*MIN(1,0.3+$Y$2+0.2)</f>
        <v>0</v>
      </c>
      <c r="AD71" s="164">
        <f ca="1" t="shared" si="81"/>
        <v>0</v>
      </c>
      <c r="AE71" s="168"/>
      <c r="AF71" s="168">
        <f ca="1" t="shared" si="17"/>
        <v>0.9057</v>
      </c>
      <c r="AG71" s="171">
        <f ca="1">$AC$13*MIN(1,0.3+$AF$8+0.2)</f>
        <v>0</v>
      </c>
      <c r="AH71">
        <f ca="1" t="shared" si="18"/>
        <v>109879</v>
      </c>
      <c r="AJ71">
        <f ca="1" t="shared" si="55"/>
        <v>2.3704910616</v>
      </c>
      <c r="AK71">
        <f ca="1" t="shared" si="84"/>
        <v>304140.21875</v>
      </c>
      <c r="AL71">
        <f ca="1" t="shared" si="85"/>
        <v>2063632.46127388</v>
      </c>
      <c r="AM71" s="169">
        <f ca="1" t="shared" si="20"/>
        <v>0.9272</v>
      </c>
      <c r="AN71" s="171">
        <f ca="1">$AC$13*MIN(1,0.3+$AN$8+0.2)</f>
        <v>0</v>
      </c>
      <c r="AO71" s="170">
        <f ca="1" t="shared" si="86"/>
        <v>2090762.84822543</v>
      </c>
      <c r="AP71">
        <f ca="1" t="shared" si="22"/>
        <v>110956</v>
      </c>
      <c r="AQ71" s="170">
        <f ca="1" t="shared" si="87"/>
        <v>306389.375</v>
      </c>
      <c r="AR71">
        <f ca="1" t="shared" si="88"/>
        <v>2021510.37822775</v>
      </c>
      <c r="AS71">
        <f ca="1" t="shared" si="24"/>
        <v>0.9843</v>
      </c>
      <c r="AT71" s="171">
        <f ca="1">$AC$13*MIN(1,0.3+AS$8+0.2)</f>
        <v>0</v>
      </c>
      <c r="AU71">
        <f ca="1" t="shared" si="25"/>
        <v>2.3177566866</v>
      </c>
      <c r="AV71">
        <f ca="1" t="shared" si="89"/>
        <v>1.7995442148</v>
      </c>
      <c r="AW71">
        <f ca="1" t="shared" si="58"/>
        <v>2054504.91781735</v>
      </c>
      <c r="AX71">
        <f ca="1" t="shared" si="27"/>
        <v>0.9743</v>
      </c>
      <c r="AY71" s="171">
        <f ca="1">$AC$13*MIN(1,0.3+AX$8+0.2)</f>
        <v>0</v>
      </c>
      <c r="AZ71" s="170">
        <f ca="1" t="shared" si="59"/>
        <v>2042718.85966337</v>
      </c>
      <c r="BA71">
        <f ca="1" t="shared" si="28"/>
        <v>0.9643</v>
      </c>
      <c r="BB71" s="171">
        <f ca="1">$AC$13*MIN(1,0.3+BA$8+0.2)</f>
        <v>0</v>
      </c>
      <c r="BC71" s="170">
        <f ca="1" t="shared" si="60"/>
        <v>2030932.8015094</v>
      </c>
      <c r="BE71">
        <f ca="1" t="shared" si="29"/>
        <v>105849</v>
      </c>
      <c r="BF71">
        <f ca="1" t="shared" si="90"/>
        <v>293462.28125</v>
      </c>
      <c r="BI71">
        <f ca="1" t="shared" si="31"/>
        <v>0.9543</v>
      </c>
      <c r="BJ71" s="171">
        <f ca="1">$AC$13*MIN(1,0.3+BI$8+0.2)</f>
        <v>0</v>
      </c>
      <c r="BK71">
        <f ca="1" t="shared" si="91"/>
        <v>2007515.88161119</v>
      </c>
      <c r="BM71">
        <f ca="1" t="shared" si="33"/>
        <v>109230</v>
      </c>
      <c r="BN71">
        <f ca="1" t="shared" si="92"/>
        <v>302020.4375</v>
      </c>
      <c r="BO71">
        <f ca="1" t="shared" si="93"/>
        <v>2032808.83493658</v>
      </c>
      <c r="BP71">
        <f ca="1" t="shared" si="94"/>
        <v>1938572.55712606</v>
      </c>
      <c r="BR71">
        <f ca="1" t="shared" si="37"/>
        <v>0.9543</v>
      </c>
      <c r="BS71">
        <f ca="1" t="shared" si="95"/>
        <v>2007712.99860426</v>
      </c>
      <c r="BT71">
        <f ca="1" t="shared" si="96"/>
        <v>0.196995876306796</v>
      </c>
      <c r="BU71">
        <f ca="1" t="shared" si="40"/>
        <v>2.3177566866</v>
      </c>
      <c r="BV71">
        <f ca="1" t="shared" si="61"/>
        <v>2045254.53010482</v>
      </c>
      <c r="BW71">
        <f ca="1" t="shared" si="41"/>
        <v>113027</v>
      </c>
      <c r="BX71">
        <f ca="1" t="shared" si="97"/>
        <v>311631.59375</v>
      </c>
      <c r="BY71">
        <f ca="1" t="shared" si="43"/>
        <v>0.9343</v>
      </c>
      <c r="BZ71" s="171">
        <f ca="1">$AC$13*MIN(1,0.3+BY$8+0.2)</f>
        <v>0</v>
      </c>
      <c r="CA71">
        <f ca="1" t="shared" si="44"/>
        <v>2.3216629366</v>
      </c>
      <c r="CB71">
        <f ca="1" t="shared" si="62"/>
        <v>2107822.10989055</v>
      </c>
      <c r="CC71">
        <f ca="1" t="shared" si="45"/>
        <v>114847</v>
      </c>
      <c r="CD71">
        <f ca="1" t="shared" si="98"/>
        <v>316238.46875</v>
      </c>
      <c r="CE71">
        <f ca="1" t="shared" si="99"/>
        <v>2064470.92152705</v>
      </c>
      <c r="CF71">
        <f ca="1" t="shared" si="48"/>
        <v>2.2689285616</v>
      </c>
      <c r="CG71">
        <f ca="1" t="shared" si="49"/>
        <v>0.9343</v>
      </c>
      <c r="CH71">
        <f ca="1" t="shared" si="63"/>
        <v>1954771.84762462</v>
      </c>
      <c r="CJ71">
        <f ca="1" t="shared" si="100"/>
        <v>302020.4375</v>
      </c>
      <c r="CK71">
        <f ca="1" t="shared" si="101"/>
        <v>2023600.32170571</v>
      </c>
      <c r="CL71">
        <f ca="1" t="shared" si="64"/>
        <v>2.2915848116</v>
      </c>
      <c r="CM71">
        <f ca="1">IF(G71="恒定伤害",0,(IF(D71="轻剑",$CM$8,$CM$9)+IFERROR(INDEX(技能数据库!$T$2:$W$27,MATCH(E71,技能数据库!$T$2:$T$27,0),4),0)+COUNTIF(G71,"*造化2*")*154+COUNTIF(G71,"*造化1*")*102+COUNTIF(G71,"*碧归*")*307)/1024)</f>
        <v>0.0772587719297852</v>
      </c>
      <c r="CN71">
        <f ca="1" t="shared" si="65"/>
        <v>2091241.69486742</v>
      </c>
      <c r="CO71">
        <f ca="1" t="shared" si="66"/>
        <v>2.3156473116</v>
      </c>
      <c r="CP71">
        <f ca="1" t="shared" si="67"/>
        <v>2112546.74598055</v>
      </c>
      <c r="CQ71">
        <f ca="1" t="shared" si="102"/>
        <v>1.8815754648</v>
      </c>
      <c r="CR71">
        <f ca="1">IF(G71="恒定伤害",0,(IF(D71="轻剑",$CR$8,$CR$9)+IFERROR(INDEX(技能数据库!$T$2:$W$27,MATCH(E71,技能数据库!$T$2:$T$27,0),4),0)+COUNTIF(G71,"*造化2*")*154+COUNTIF(G71,"*造化1*")*102+COUNTIF(G71,"*碧归*")*307)/1024)</f>
        <v>0.0674931469297852</v>
      </c>
      <c r="CS71">
        <f ca="1" t="shared" si="68"/>
        <v>1990388.4672368</v>
      </c>
    </row>
    <row r="72" spans="4:97">
      <c r="D72" t="s">
        <v>1825</v>
      </c>
      <c r="E72" t="s">
        <v>2768</v>
      </c>
      <c r="G72" t="s">
        <v>3090</v>
      </c>
      <c r="H72">
        <f ca="1">INDEX(技能数据库!$B$2:$I$100,MATCH(阵眼收益计算!$E72,技能数据库!$B$2:$B$100,0),MATCH(H$9,技能数据库!$B$2:$I$2,0))</f>
        <v>210</v>
      </c>
      <c r="I72">
        <f ca="1">INDEX(技能数据库!$B$2:$I$100,MATCH(阵眼收益计算!$E72,技能数据库!$B$2:$B$100,0),MATCH(I$9,技能数据库!$B$2:$I$2,0))</f>
        <v>5.7875</v>
      </c>
      <c r="J72">
        <f ca="1">INDEX(技能数据库!$B$2:$I$100,MATCH(阵眼收益计算!$E72,技能数据库!$B$2:$B$100,0),MATCH(J$9,技能数据库!$B$2:$I$2,0))</f>
        <v>2</v>
      </c>
      <c r="K72">
        <f ca="1">INDEX(技能数据库!$B$2:$I$100,MATCH(阵眼收益计算!$E72,技能数据库!$B$2:$B$100,0),MATCH(K$9,技能数据库!$B$2:$I$2,0))</f>
        <v>0</v>
      </c>
      <c r="L72">
        <f ca="1" t="shared" si="13"/>
        <v>105847</v>
      </c>
      <c r="M72">
        <f ca="1" t="shared" si="103"/>
        <v>19530.5</v>
      </c>
      <c r="N72">
        <f ca="1" t="shared" si="104"/>
        <v>92028</v>
      </c>
      <c r="O72">
        <f ca="1" t="shared" si="53"/>
        <v>651860.5125</v>
      </c>
      <c r="P72">
        <f ca="1">IF(G72="恒定伤害",0,(IF(D72="轻剑",$AZ$2,$AZ$3)+IFERROR(INDEX(技能数据库!$T$2:$W$27,MATCH(E72,技能数据库!$T$2:$T$27,0),4),0)+COUNTIF(G72,"*造化2*")*154+COUNTIF(G72,"*造化1*")*102+COUNTIF(G72,"*碧归*")*307)/1024)</f>
        <v>0.686633771929785</v>
      </c>
      <c r="Q72">
        <f ca="1" t="shared" si="82"/>
        <v>0.448284482196154</v>
      </c>
      <c r="R72">
        <f ca="1" t="shared" si="54"/>
        <v>0.21277697966198</v>
      </c>
      <c r="S72">
        <f ca="1" t="shared" si="105"/>
        <v>1253508.05389526</v>
      </c>
      <c r="T72">
        <f t="shared" si="76"/>
        <v>0.8</v>
      </c>
      <c r="U72">
        <f ca="1" t="shared" si="83"/>
        <v>2.67001635480339</v>
      </c>
      <c r="V72">
        <f ca="1" t="shared" si="106"/>
        <v>3680316.04693871</v>
      </c>
      <c r="W72">
        <f ca="1">IF(G72="恒定伤害",0,MIN(1,IF(COUNTIF(F72,"*内会*")&gt;0,内会2,IF(D72="轻剑",$Y$2,$Y$3)+COUNTIF(G72,"*莺鸣*")*0.2+COUNTIF(G72,"*叠1*")*0.1+COUNTIF(G72,"*叠2*")*0.2+COUNTIF(G72,"*叠3*")*0.3)+IFERROR(INDEX(技能数据库!$T$2:$W$27,MATCH(E72,技能数据库!$T$2:$T$27,0),2),0)+IF((IF(D72="轻剑",$AO$2,$AO$3)+INT(COUNTIF(G72,"*大莺鸣*")*IF(D72="轻剑",$AM$2,$AM$3)*听晓无双率)/无双系数)&gt;0.9,特效裤子会心/会心系数,0)))</f>
        <v>0.9043</v>
      </c>
      <c r="X72">
        <f ca="1">IF(G72="恒定伤害",0,IF(COUNTIF(F72,"*内会*")&gt;0,内会效2,IF(D72="轻剑",$AB$2,$AB$3))+IFERROR(INDEX(技能数据库!$T$2:$W$27,MATCH(E72,技能数据库!$T$2:$T$27,0),3)/1024,0))+COUNTIF(G72,"*叠1*")*0.25+COUNTIF(G72,"*叠2*")*0.5+COUNTIF(G72,"*叠3*")*0.75</f>
        <v>2.1712723116</v>
      </c>
      <c r="Y72">
        <f ca="1" t="shared" si="107"/>
        <v>2.05918155137988</v>
      </c>
      <c r="Z72">
        <f t="shared" si="16"/>
        <v>0.150390625</v>
      </c>
      <c r="AA72">
        <f ca="1" t="shared" si="108"/>
        <v>0.0205078125</v>
      </c>
      <c r="AB72">
        <f ca="1" t="shared" si="109"/>
        <v>8896955.56548452</v>
      </c>
      <c r="AC72">
        <f ca="1">技能数计算!$AJ64</f>
        <v>0</v>
      </c>
      <c r="AD72" s="164">
        <f ca="1" t="shared" si="81"/>
        <v>0</v>
      </c>
      <c r="AE72" s="168"/>
      <c r="AF72" s="168">
        <f ca="1" t="shared" si="17"/>
        <v>0.9057</v>
      </c>
      <c r="AG72">
        <f ca="1">技能数计算!$AJ64</f>
        <v>0</v>
      </c>
      <c r="AH72">
        <f ca="1" t="shared" si="18"/>
        <v>109879</v>
      </c>
      <c r="AJ72">
        <f ca="1" t="shared" si="55"/>
        <v>2.3704910616</v>
      </c>
      <c r="AK72">
        <f ca="1" t="shared" si="84"/>
        <v>675672.7125</v>
      </c>
      <c r="AL72">
        <f ca="1" t="shared" si="85"/>
        <v>10040120.8839277</v>
      </c>
      <c r="AM72" s="169">
        <f ca="1" t="shared" si="20"/>
        <v>0.9272</v>
      </c>
      <c r="AN72">
        <f ca="1">技能数计算!$AJ64</f>
        <v>0</v>
      </c>
      <c r="AO72" s="170">
        <f ca="1" t="shared" si="86"/>
        <v>10172117.4335716</v>
      </c>
      <c r="AP72">
        <f ca="1" t="shared" si="22"/>
        <v>110956</v>
      </c>
      <c r="AQ72" s="170">
        <f ca="1" t="shared" si="87"/>
        <v>681428.85</v>
      </c>
      <c r="AR72">
        <f ca="1" t="shared" si="88"/>
        <v>9846159.25973331</v>
      </c>
      <c r="AS72">
        <f ca="1" t="shared" si="24"/>
        <v>0.9843</v>
      </c>
      <c r="AT72">
        <f ca="1">技能数计算!$AJ64</f>
        <v>0</v>
      </c>
      <c r="AU72">
        <f ca="1" t="shared" si="25"/>
        <v>2.3177566866</v>
      </c>
      <c r="AV72">
        <f ca="1" t="shared" si="89"/>
        <v>2.68954760480339</v>
      </c>
      <c r="AW72">
        <f ca="1" t="shared" si="58"/>
        <v>9977591.87861416</v>
      </c>
      <c r="AX72">
        <f ca="1" t="shared" si="27"/>
        <v>0.9743</v>
      </c>
      <c r="AY72">
        <f ca="1">技能数计算!$AJ64</f>
        <v>0</v>
      </c>
      <c r="AZ72" s="170">
        <f ca="1" t="shared" si="59"/>
        <v>9920353.52542348</v>
      </c>
      <c r="BA72">
        <f ca="1" t="shared" si="28"/>
        <v>0.9643</v>
      </c>
      <c r="BB72">
        <f ca="1">技能数计算!$AJ64</f>
        <v>0</v>
      </c>
      <c r="BC72" s="170">
        <f ca="1" t="shared" si="60"/>
        <v>9863115.17223281</v>
      </c>
      <c r="BE72">
        <f ca="1" t="shared" si="29"/>
        <v>105849</v>
      </c>
      <c r="BF72">
        <f ca="1" t="shared" si="90"/>
        <v>651872.0875</v>
      </c>
      <c r="BI72">
        <f ca="1" t="shared" si="31"/>
        <v>0.9543</v>
      </c>
      <c r="BJ72">
        <f ca="1">技能数计算!$AJ64</f>
        <v>0</v>
      </c>
      <c r="BK72">
        <f ca="1" t="shared" si="91"/>
        <v>9749397.09830607</v>
      </c>
      <c r="BM72">
        <f ca="1" t="shared" si="33"/>
        <v>109230</v>
      </c>
      <c r="BN72">
        <f ca="1" t="shared" si="92"/>
        <v>671439.625</v>
      </c>
      <c r="BO72">
        <f ca="1" t="shared" si="93"/>
        <v>9897174.7790281</v>
      </c>
      <c r="BP72">
        <f ca="1" t="shared" si="94"/>
        <v>9438364.83291486</v>
      </c>
      <c r="BR72">
        <f ca="1" t="shared" si="37"/>
        <v>0.9543</v>
      </c>
      <c r="BS72">
        <f ca="1" t="shared" si="95"/>
        <v>9758452.21750047</v>
      </c>
      <c r="BT72">
        <f ca="1" t="shared" si="96"/>
        <v>0.196995876306796</v>
      </c>
      <c r="BU72">
        <f ca="1" t="shared" si="40"/>
        <v>2.3177566866</v>
      </c>
      <c r="BV72">
        <f ca="1" t="shared" si="61"/>
        <v>9949501.11001137</v>
      </c>
      <c r="BW72">
        <f ca="1" t="shared" si="41"/>
        <v>113027</v>
      </c>
      <c r="BX72">
        <f ca="1" t="shared" si="97"/>
        <v>693414.7625</v>
      </c>
      <c r="BY72">
        <f ca="1" t="shared" si="43"/>
        <v>0.9343</v>
      </c>
      <c r="BZ72">
        <f ca="1">技能数计算!$AJ64</f>
        <v>0</v>
      </c>
      <c r="CA72">
        <f ca="1" t="shared" si="44"/>
        <v>2.3216629366</v>
      </c>
      <c r="CB72">
        <f ca="1" t="shared" si="62"/>
        <v>10271399.5498862</v>
      </c>
      <c r="CC72">
        <f ca="1" t="shared" si="45"/>
        <v>114847</v>
      </c>
      <c r="CD72">
        <f ca="1" t="shared" si="98"/>
        <v>703948.0125</v>
      </c>
      <c r="CE72">
        <f ca="1" t="shared" si="99"/>
        <v>10064187.6039745</v>
      </c>
      <c r="CF72">
        <f ca="1" t="shared" si="48"/>
        <v>2.2689285616</v>
      </c>
      <c r="CG72">
        <f ca="1" t="shared" si="49"/>
        <v>0.9343</v>
      </c>
      <c r="CH72">
        <f ca="1" t="shared" si="63"/>
        <v>9493243.62393029</v>
      </c>
      <c r="CJ72">
        <f ca="1" t="shared" si="100"/>
        <v>671439.625</v>
      </c>
      <c r="CK72">
        <f ca="1" t="shared" si="101"/>
        <v>9852341.11669123</v>
      </c>
      <c r="CL72">
        <f ca="1" t="shared" si="64"/>
        <v>2.2915848116</v>
      </c>
      <c r="CM72">
        <f ca="1">IF(G72="恒定伤害",0,(IF(D72="轻剑",$CM$8,$CM$9)+IFERROR(INDEX(技能数据库!$T$2:$W$27,MATCH(E72,技能数据库!$T$2:$T$27,0),4),0)+COUNTIF(G72,"*造化2*")*154+COUNTIF(G72,"*造化1*")*102+COUNTIF(G72,"*碧归*")*307)/1024)</f>
        <v>0.747180646929785</v>
      </c>
      <c r="CN72">
        <f ca="1" t="shared" si="65"/>
        <v>9929277.86669877</v>
      </c>
      <c r="CO72">
        <f ca="1" t="shared" si="66"/>
        <v>2.3156473116</v>
      </c>
      <c r="CP72">
        <f ca="1" t="shared" si="67"/>
        <v>10030434.8840754</v>
      </c>
      <c r="CQ72">
        <f ca="1" t="shared" si="102"/>
        <v>2.77157885480339</v>
      </c>
      <c r="CR72">
        <f ca="1">IF(G72="恒定伤害",0,(IF(D72="轻剑",$CR$8,$CR$9)+IFERROR(INDEX(技能数据库!$T$2:$W$27,MATCH(E72,技能数据库!$T$2:$T$27,0),4),0)+COUNTIF(G72,"*造化2*")*154+COUNTIF(G72,"*造化1*")*102+COUNTIF(G72,"*碧归*")*307)/1024)</f>
        <v>0.737415021929785</v>
      </c>
      <c r="CS72">
        <f ca="1" t="shared" si="68"/>
        <v>9418449.08214387</v>
      </c>
    </row>
    <row r="73" spans="4:97">
      <c r="D73" t="s">
        <v>1825</v>
      </c>
      <c r="E73" t="s">
        <v>2794</v>
      </c>
      <c r="G73" t="s">
        <v>3092</v>
      </c>
      <c r="H73">
        <f ca="1">INDEX(技能数据库!$B$2:$I$100,MATCH(阵眼收益计算!$E73,技能数据库!$B$2:$B$100,0),MATCH(H$9,技能数据库!$B$2:$I$2,0))</f>
        <v>231.5</v>
      </c>
      <c r="I73">
        <f ca="1">INDEX(技能数据库!$B$2:$I$100,MATCH(阵眼收益计算!$E73,技能数据库!$B$2:$B$100,0),MATCH(I$9,技能数据库!$B$2:$I$2,0))</f>
        <v>2.71875</v>
      </c>
      <c r="J73">
        <f ca="1">INDEX(技能数据库!$B$2:$I$100,MATCH(阵眼收益计算!$E73,技能数据库!$B$2:$B$100,0),MATCH(J$9,技能数据库!$B$2:$I$2,0))</f>
        <v>2</v>
      </c>
      <c r="K73">
        <f ca="1">INDEX(技能数据库!$B$2:$I$100,MATCH(阵眼收益计算!$E73,技能数据库!$B$2:$B$100,0),MATCH(K$9,技能数据库!$B$2:$I$2,0))</f>
        <v>0</v>
      </c>
      <c r="L73">
        <f ca="1" t="shared" si="13"/>
        <v>105847</v>
      </c>
      <c r="M73">
        <f ca="1" t="shared" si="103"/>
        <v>19530.5</v>
      </c>
      <c r="N73">
        <f ca="1" t="shared" si="104"/>
        <v>92028</v>
      </c>
      <c r="O73">
        <f ca="1" t="shared" si="53"/>
        <v>327064.03125</v>
      </c>
      <c r="P73">
        <f ca="1">IF(G73="恒定伤害",0,(IF(D73="轻剑",$AZ$2,$AZ$3)+IFERROR(INDEX(技能数据库!$T$2:$W$27,MATCH(E73,技能数据库!$T$2:$T$27,0),4),0)+COUNTIF(G73,"*造化2*")*154+COUNTIF(G73,"*造化1*")*102+COUNTIF(G73,"*碧归*")*307)/1024)</f>
        <v>0.536243146929785</v>
      </c>
      <c r="Q73">
        <f ca="1" t="shared" si="82"/>
        <v>0.448284482196154</v>
      </c>
      <c r="R73">
        <f ca="1" t="shared" si="54"/>
        <v>0.21277697966198</v>
      </c>
      <c r="S73">
        <f ca="1" t="shared" si="105"/>
        <v>572854.602584295</v>
      </c>
      <c r="T73">
        <f t="shared" si="76"/>
        <v>0.8</v>
      </c>
      <c r="U73">
        <f ca="1" t="shared" si="83"/>
        <v>2.67001635480339</v>
      </c>
      <c r="V73">
        <f ca="1" t="shared" si="106"/>
        <v>1681908.60832701</v>
      </c>
      <c r="W73">
        <f ca="1">IF(G73="恒定伤害",0,MIN(1,IF(COUNTIF(F73,"*内会*")&gt;0,内会2,IF(D73="轻剑",$Y$2,$Y$3)+COUNTIF(G73,"*莺鸣*")*0.2+COUNTIF(G73,"*叠1*")*0.1+COUNTIF(G73,"*叠2*")*0.2+COUNTIF(G73,"*叠3*")*0.3)+IFERROR(INDEX(技能数据库!$T$2:$W$27,MATCH(E73,技能数据库!$T$2:$T$27,0),2),0)+IF((IF(D73="轻剑",$AO$2,$AO$3)+INT(COUNTIF(G73,"*大莺鸣*")*IF(D73="轻剑",$AM$2,$AM$3)*听晓无双率)/无双系数)&gt;0.9,特效裤子会心/会心系数,0)))</f>
        <v>0.9043</v>
      </c>
      <c r="X73">
        <f ca="1">IF(G73="恒定伤害",0,IF(COUNTIF(F73,"*内会*")&gt;0,内会效2,IF(D73="轻剑",$AB$2,$AB$3))+IFERROR(INDEX(技能数据库!$T$2:$W$27,MATCH(E73,技能数据库!$T$2:$T$27,0),3)/1024,0))+COUNTIF(G73,"*叠1*")*0.25+COUNTIF(G73,"*叠2*")*0.5+COUNTIF(G73,"*叠3*")*0.75</f>
        <v>2.1712723116</v>
      </c>
      <c r="Y73">
        <f ca="1" t="shared" si="107"/>
        <v>2.05918155137988</v>
      </c>
      <c r="Z73">
        <f t="shared" si="16"/>
        <v>0.150390625</v>
      </c>
      <c r="AA73">
        <f ca="1" t="shared" si="108"/>
        <v>0.0205078125</v>
      </c>
      <c r="AB73">
        <f ca="1" t="shared" si="109"/>
        <v>4065918.7859527</v>
      </c>
      <c r="AC73">
        <f ca="1">技能数计算!$AJ65</f>
        <v>0</v>
      </c>
      <c r="AD73" s="164">
        <f ca="1" t="shared" si="81"/>
        <v>0</v>
      </c>
      <c r="AE73" s="168"/>
      <c r="AF73" s="168">
        <f ca="1" t="shared" si="17"/>
        <v>0.9057</v>
      </c>
      <c r="AG73">
        <f ca="1">技能数计算!$AJ65</f>
        <v>0</v>
      </c>
      <c r="AH73">
        <f ca="1" t="shared" si="18"/>
        <v>109879</v>
      </c>
      <c r="AJ73">
        <f ca="1" t="shared" si="55"/>
        <v>2.3704910616</v>
      </c>
      <c r="AK73">
        <f ca="1" t="shared" si="84"/>
        <v>338503.03125</v>
      </c>
      <c r="AL73">
        <f ca="1" t="shared" si="85"/>
        <v>4581464.12658842</v>
      </c>
      <c r="AM73" s="169">
        <f ca="1" t="shared" si="20"/>
        <v>0.9272</v>
      </c>
      <c r="AN73">
        <f ca="1">技能数计算!$AJ65</f>
        <v>0</v>
      </c>
      <c r="AO73" s="170">
        <f ca="1" t="shared" si="86"/>
        <v>4641696.21582503</v>
      </c>
      <c r="AP73">
        <f ca="1" t="shared" si="22"/>
        <v>110956</v>
      </c>
      <c r="AQ73" s="170">
        <f ca="1" t="shared" si="87"/>
        <v>340954.125</v>
      </c>
      <c r="AR73">
        <f ca="1" t="shared" si="88"/>
        <v>4487262.28375337</v>
      </c>
      <c r="AS73">
        <f ca="1" t="shared" si="24"/>
        <v>0.9843</v>
      </c>
      <c r="AT73">
        <f ca="1">技能数计算!$AJ65</f>
        <v>0</v>
      </c>
      <c r="AU73">
        <f ca="1" t="shared" si="25"/>
        <v>2.3177566866</v>
      </c>
      <c r="AV73">
        <f ca="1" t="shared" si="89"/>
        <v>2.68954760480339</v>
      </c>
      <c r="AW73">
        <f ca="1" t="shared" si="58"/>
        <v>4559770.8069049</v>
      </c>
      <c r="AX73">
        <f ca="1" t="shared" si="27"/>
        <v>0.9743</v>
      </c>
      <c r="AY73">
        <f ca="1">技能数计算!$AJ65</f>
        <v>0</v>
      </c>
      <c r="AZ73" s="170">
        <f ca="1" t="shared" si="59"/>
        <v>4533612.81456674</v>
      </c>
      <c r="BA73">
        <f ca="1" t="shared" si="28"/>
        <v>0.9643</v>
      </c>
      <c r="BB73">
        <f ca="1">技能数计算!$AJ65</f>
        <v>0</v>
      </c>
      <c r="BC73" s="170">
        <f ca="1" t="shared" si="60"/>
        <v>4507454.82222857</v>
      </c>
      <c r="BE73">
        <f ca="1" t="shared" si="29"/>
        <v>105849</v>
      </c>
      <c r="BF73">
        <f ca="1" t="shared" si="90"/>
        <v>327069.46875</v>
      </c>
      <c r="BI73">
        <f ca="1" t="shared" si="31"/>
        <v>0.9543</v>
      </c>
      <c r="BJ73">
        <f ca="1">技能数计算!$AJ65</f>
        <v>0</v>
      </c>
      <c r="BK73">
        <f ca="1" t="shared" si="91"/>
        <v>4455480.49134385</v>
      </c>
      <c r="BM73">
        <f ca="1" t="shared" si="33"/>
        <v>109230</v>
      </c>
      <c r="BN73">
        <f ca="1" t="shared" si="92"/>
        <v>336261.5625</v>
      </c>
      <c r="BO73">
        <f ca="1" t="shared" si="93"/>
        <v>4514614.4296146</v>
      </c>
      <c r="BP73">
        <f ca="1" t="shared" si="94"/>
        <v>4305327.43111047</v>
      </c>
      <c r="BR73">
        <f ca="1" t="shared" si="37"/>
        <v>0.9543</v>
      </c>
      <c r="BS73">
        <f ca="1" t="shared" si="95"/>
        <v>4451335.87871816</v>
      </c>
      <c r="BT73">
        <f ca="1" t="shared" si="96"/>
        <v>0.196995876306796</v>
      </c>
      <c r="BU73">
        <f ca="1" t="shared" si="40"/>
        <v>2.3177566866</v>
      </c>
      <c r="BV73">
        <f ca="1" t="shared" si="61"/>
        <v>4546933.29378783</v>
      </c>
      <c r="BW73">
        <f ca="1" t="shared" si="41"/>
        <v>113027</v>
      </c>
      <c r="BX73">
        <f ca="1" t="shared" si="97"/>
        <v>346584.65625</v>
      </c>
      <c r="BY73">
        <f ca="1" t="shared" si="43"/>
        <v>0.9343</v>
      </c>
      <c r="BZ73">
        <f ca="1">技能数计算!$AJ65</f>
        <v>0</v>
      </c>
      <c r="CA73">
        <f ca="1" t="shared" si="44"/>
        <v>2.3216629366</v>
      </c>
      <c r="CB73">
        <f ca="1" t="shared" si="62"/>
        <v>4676113.44052138</v>
      </c>
      <c r="CC73">
        <f ca="1" t="shared" si="45"/>
        <v>114847</v>
      </c>
      <c r="CD73">
        <f ca="1" t="shared" si="98"/>
        <v>351532.78125</v>
      </c>
      <c r="CE73">
        <f ca="1" t="shared" si="99"/>
        <v>4577655.78887012</v>
      </c>
      <c r="CF73">
        <f ca="1" t="shared" si="48"/>
        <v>2.2689285616</v>
      </c>
      <c r="CG73">
        <f ca="1" t="shared" si="49"/>
        <v>0.9343</v>
      </c>
      <c r="CH73">
        <f ca="1" t="shared" si="63"/>
        <v>4338423.10507952</v>
      </c>
      <c r="CJ73">
        <f ca="1" t="shared" si="100"/>
        <v>336261.5625</v>
      </c>
      <c r="CK73">
        <f ca="1" t="shared" si="101"/>
        <v>4494163.47230228</v>
      </c>
      <c r="CL73">
        <f ca="1" t="shared" si="64"/>
        <v>2.2915848116</v>
      </c>
      <c r="CM73">
        <f ca="1">IF(G73="恒定伤害",0,(IF(D73="轻剑",$CM$8,$CM$9)+IFERROR(INDEX(技能数据库!$T$2:$W$27,MATCH(E73,技能数据库!$T$2:$T$27,0),4),0)+COUNTIF(G73,"*造化2*")*154+COUNTIF(G73,"*造化1*")*102+COUNTIF(G73,"*碧归*")*307)/1024)</f>
        <v>0.596790021929785</v>
      </c>
      <c r="CN73">
        <f ca="1" t="shared" si="65"/>
        <v>4553085.1844361</v>
      </c>
      <c r="CO73">
        <f ca="1" t="shared" si="66"/>
        <v>2.3156473116</v>
      </c>
      <c r="CP73">
        <f ca="1" t="shared" si="67"/>
        <v>4599470.885723</v>
      </c>
      <c r="CQ73">
        <f ca="1" t="shared" si="102"/>
        <v>2.77157885480339</v>
      </c>
      <c r="CR73">
        <f ca="1">IF(G73="恒定伤害",0,(IF(D73="轻剑",$CR$8,$CR$9)+IFERROR(INDEX(技能数据库!$T$2:$W$27,MATCH(E73,技能数据库!$T$2:$T$27,0),4),0)+COUNTIF(G73,"*造化2*")*154+COUNTIF(G73,"*造化1*")*102+COUNTIF(G73,"*碧归*")*307)/1024)</f>
        <v>0.587024396929785</v>
      </c>
      <c r="CS73">
        <f ca="1" t="shared" si="68"/>
        <v>4316557.56335259</v>
      </c>
    </row>
    <row r="74" spans="4:97">
      <c r="D74" t="s">
        <v>1825</v>
      </c>
      <c r="E74" t="s">
        <v>2776</v>
      </c>
      <c r="G74" t="s">
        <v>3093</v>
      </c>
      <c r="H74">
        <f ca="1">INDEX(技能数据库!$B$2:$I$100,MATCH(阵眼收益计算!$E74,技能数据库!$B$2:$B$100,0),MATCH(H$9,技能数据库!$B$2:$I$2,0))</f>
        <v>281.5</v>
      </c>
      <c r="I74">
        <f ca="1">INDEX(技能数据库!$B$2:$I$100,MATCH(阵眼收益计算!$E74,技能数据库!$B$2:$B$100,0),MATCH(I$9,技能数据库!$B$2:$I$2,0))</f>
        <v>7.06875</v>
      </c>
      <c r="J74">
        <f ca="1">INDEX(技能数据库!$B$2:$I$100,MATCH(阵眼收益计算!$E74,技能数据库!$B$2:$B$100,0),MATCH(J$9,技能数据库!$B$2:$I$2,0))</f>
        <v>2</v>
      </c>
      <c r="K74">
        <f ca="1">INDEX(技能数据库!$B$2:$I$100,MATCH(阵眼收益计算!$E74,技能数据库!$B$2:$B$100,0),MATCH(K$9,技能数据库!$B$2:$I$2,0))</f>
        <v>0</v>
      </c>
      <c r="L74">
        <f ca="1" t="shared" ref="L74:L137" si="110">IF(D74="轻剑",$V$2,$V$3)+INT(残雪*(COUNTIF(G74,"*莺鸣*")+COUNTIF(G74,"*叠1*")+COUNTIF(G74,"*叠2*")*2+COUNTIF(G74,"*叠3*")*3)*IF(D74="轻剑",$U$2,$U$3)*154/1024+COUNTIF(G74,"*雾锁*")*205/1024*IF(D74="轻剑",$U$2,$U$3))</f>
        <v>105847</v>
      </c>
      <c r="M74">
        <f ca="1" t="shared" si="103"/>
        <v>19530.5</v>
      </c>
      <c r="N74">
        <f ca="1" t="shared" si="104"/>
        <v>92028</v>
      </c>
      <c r="O74">
        <f ca="1" t="shared" ref="O74:O94" si="111">H74+I74*L74+J74*M74+IF(K74&gt;0,MAX(1,K74*N74*破招全局系数),0)</f>
        <v>787548.48125</v>
      </c>
      <c r="P74">
        <f ca="1">IF(G74="恒定伤害",0,(IF(D74="轻剑",$AZ$2,$AZ$3)+IFERROR(INDEX(技能数据库!$T$2:$W$27,MATCH(E74,技能数据库!$T$2:$T$27,0),4),0)+COUNTIF(G74,"*造化2*")*154+COUNTIF(G74,"*造化1*")*102+COUNTIF(G74,"*碧归*")*307)/1024)</f>
        <v>0.636829084429785</v>
      </c>
      <c r="Q74">
        <f ca="1" t="shared" ref="Q74:Q105" si="112">IF(G74="恒定伤害",0,(IF(COUNTIF(F74,"*内破*")&gt;0,内破,IF(D74="轻剑",$AF$2,$AF$3)/破防系数))+IF((IF(D74="轻剑",$AO$2,$AO$3)+INT(COUNTIF(G74,"*大莺鸣*")*IF(D74="轻剑",$AM$2,$AM$3)*听晓无双率)/无双系数)&gt;0.9,(特效裤子破防+特效裤子破防*IF(D74="轻剑",$AD$2,$AD$3)/1024)/破防系数,0))</f>
        <v>0.448284482196154</v>
      </c>
      <c r="R74">
        <f ca="1" t="shared" ref="R74:R94" si="113">IF(G74="恒定伤害",0,(($F$5-IF(D74="轻剑",$BB$2,$BB$3))*(1024-IF(D74="轻剑",$BD$2,$BD$3))/1024*(1024-IF(D74="轻剑",$BC$2,$BC$3)-COUNTIF(G74,"*雾锁*")*461*雾锁)/1024/(($F$5-IF(D74="轻剑",$BB$2,$BB$3))*(1024-IF(D74="轻剑",$BD$2,$BD$3))/1024*(1024-IF(D74="轻剑",$BC$2,$BC$3)-COUNTIF(G74,"*雾锁*")*461*雾锁)/1024+$F$7)))</f>
        <v>0.21277697966198</v>
      </c>
      <c r="S74">
        <f ca="1" t="shared" si="105"/>
        <v>1469712.18391797</v>
      </c>
      <c r="T74">
        <f t="shared" si="76"/>
        <v>0.8</v>
      </c>
      <c r="U74">
        <f ca="1" t="shared" ref="U74:U105" si="114">IF(G74="恒定伤害",0,(IF(D74="轻剑",$AO$2,$AO$3)+INT(COUNTIF(G74,"*大莺鸣*")*IF(D74="轻剑",$AM$2,$AM$3)*听晓无双率)/无双系数)+IF((IF(D74="轻剑",$AO$2,$AO$3)+INT(COUNTIF(G74,"*大莺鸣*")*IF(D74="轻剑",$AM$2,$AM$3)*听晓无双率)/无双系数)&lt;=0.9,特效裤子无双,0))</f>
        <v>2.67001635480339</v>
      </c>
      <c r="V74">
        <f ca="1" t="shared" si="106"/>
        <v>4315094.20146622</v>
      </c>
      <c r="W74">
        <f ca="1">IF(G74="恒定伤害",0,MIN(1,IF(COUNTIF(F74,"*内会*")&gt;0,内会2,IF(D74="轻剑",$Y$2,$Y$3)+COUNTIF(G74,"*莺鸣*")*0.2+COUNTIF(G74,"*叠1*")*0.1+COUNTIF(G74,"*叠2*")*0.2+COUNTIF(G74,"*叠3*")*0.3)+IFERROR(INDEX(技能数据库!$T$2:$W$27,MATCH(E74,技能数据库!$T$2:$T$27,0),2),0)+IF((IF(D74="轻剑",$AO$2,$AO$3)+INT(COUNTIF(G74,"*大莺鸣*")*IF(D74="轻剑",$AM$2,$AM$3)*听晓无双率)/无双系数)&gt;0.9,特效裤子会心/会心系数,0)))</f>
        <v>0.9043</v>
      </c>
      <c r="X74">
        <f ca="1">IF(G74="恒定伤害",0,IF(COUNTIF(F74,"*内会*")&gt;0,内会效2,IF(D74="轻剑",$AB$2,$AB$3))+IFERROR(INDEX(技能数据库!$T$2:$W$27,MATCH(E74,技能数据库!$T$2:$T$27,0),3)/1024,0))+COUNTIF(G74,"*叠1*")*0.25+COUNTIF(G74,"*叠2*")*0.5+COUNTIF(G74,"*叠3*")*0.75</f>
        <v>2.1712723116</v>
      </c>
      <c r="Y74">
        <f ca="1" t="shared" si="107"/>
        <v>2.05918155137988</v>
      </c>
      <c r="Z74">
        <f t="shared" ref="Z74:Z94" si="115">IF(G74="恒定伤害",0,非侠士伤害/1024)</f>
        <v>0.150390625</v>
      </c>
      <c r="AA74">
        <f ca="1" t="shared" si="108"/>
        <v>0.0205078125</v>
      </c>
      <c r="AB74">
        <f ca="1" t="shared" si="109"/>
        <v>10431495.7959273</v>
      </c>
      <c r="AC74">
        <f ca="1">技能数计算!$AJ66</f>
        <v>0</v>
      </c>
      <c r="AD74" s="164">
        <f ca="1" t="shared" si="81"/>
        <v>0</v>
      </c>
      <c r="AE74" s="168"/>
      <c r="AF74" s="168">
        <f ca="1" t="shared" ref="AF74:AF137" si="116">W74+IF(COUNTIF(F74,"*内会*")&gt;0,0,IF(D74="轻剑",$AF$8-$Y$2,$AF$9-$Y$3))</f>
        <v>0.9057</v>
      </c>
      <c r="AG74">
        <f ca="1">技能数计算!$AJ66</f>
        <v>0</v>
      </c>
      <c r="AH74">
        <f ca="1" t="shared" ref="AH74:AH137" si="117">IF(D74="轻剑",$AH$8,$AH$9)+INT(残雪*(COUNTIF(G74,"*莺鸣*")+COUNTIF(G74,"*叠1*")+COUNTIF(G74,"*叠2*")*2+COUNTIF(G74,"*叠3*")*3)*IF(D74="轻剑",$U$2,$U$3)*154/1024+COUNTIF(G74,"*雾锁*")*205/1024*IF(D74="轻剑",$U$2,$U$3))</f>
        <v>109879</v>
      </c>
      <c r="AJ74">
        <f ca="1" t="shared" ref="AJ74:AJ137" si="118">X74+IF(COUNTIF(F74,"*内会*")&gt;0,0,IF(D74="轻剑",$AJ$8-$AB$2,$AJ$9-$AB$3))</f>
        <v>2.3704910616</v>
      </c>
      <c r="AK74">
        <f ca="1" t="shared" ref="AK74:AK94" si="119">H74+AH74*I74+J74*(238.5+M74)+IF(K74&gt;0,MAX(1,K74*N74*破招全局系数),0)</f>
        <v>816526.68125</v>
      </c>
      <c r="AL74">
        <f ca="1" t="shared" ref="AL74:AL105" si="120">IF(COUNTIF(G74,"*恒定伤害*")&gt;0,AB74,((AK74*(1+P74)*(1+IF(COUNTIF(F74,"*内破*")&gt;0,内破,IF(D74="轻剑",$AI$8,$AI$9)/破防系数)+IF((IF(D74="轻剑",$AO$2,$AO$3)+INT(COUNTIF(G74,"*大莺鸣*")*IF(D74="轻剑",$AM$2,$AM$3)*听晓无双率)/无双系数)&gt;0.9,(特效裤子破防+特效裤子破防*IF(D74="轻剑",$AD$2,$AD$3)/1024)/破防系数,0))*(1-R74))*T74*(1+U74))*(1+Z74)*(1+AA74)*(1+MIN(1,AF74)*(MIN(3+COUNTIF(G74,"*叠*")*0.75,AJ74)-1)))</f>
        <v>11774852.7167758</v>
      </c>
      <c r="AM74" s="169">
        <f ca="1" t="shared" ref="AM74:AM137" si="121">W74+IF(COUNTIF(F74,"*内会*")&gt;0,0,IF(D74="轻剑",$AN$8-$Y$2,$AN$9-$Y$3))</f>
        <v>0.9272</v>
      </c>
      <c r="AN74">
        <f ca="1">技能数计算!$AJ66</f>
        <v>0</v>
      </c>
      <c r="AO74" s="170">
        <f ca="1" t="shared" ref="AO74:AO105" si="122">IF(COUNTIF(G74,"*恒定伤害*")&gt;0,AB74,((AK74*(1+P74)*(1+IF(COUNTIF(F74,"*内破*")&gt;0,内破,IF(D74="轻剑",$AI$8,$AI$9)/破防系数)+IF((IF(D74="轻剑",$AO$2,$AO$3)+INT(COUNTIF(G74,"*大莺鸣*")*IF(D74="轻剑",$AM$2,$AM$3)*听晓无双率)/无双系数)&gt;0.9,(特效裤子破防+特效裤子破防*IF(D74="轻剑",$AD$2,$AD$3)/1024)/破防系数,0))*(1-R74))*T74*(1+U74))*(1+Z74)*(1+AA74)*(1+MIN(1,AM74)*(MIN(3+COUNTIF(G74,"*叠*")*0.75,AJ74)-1)))</f>
        <v>11929655.6269348</v>
      </c>
      <c r="AP74">
        <f ca="1" t="shared" ref="AP74:AP137" si="123">IF(D74="轻剑",$AP$8,$AP$9)+INT(残雪*(COUNTIF(G74,"*莺鸣*")+COUNTIF(G74,"*叠1*")+COUNTIF(G74,"*叠2*")*2+COUNTIF(G74,"*叠3*")*3)*IF(D74="轻剑",$U$2,$U$3)*154/1024+COUNTIF(G74,"*雾锁*")*205/1024*IF(D74="轻剑",$U$2,$U$3))</f>
        <v>110956</v>
      </c>
      <c r="AQ74" s="170">
        <f ca="1" t="shared" ref="AQ74:AQ94" si="124">H74+AP74*I74+J74*M74+IF(K74&gt;0,MAX(1,K74*N74*破招全局系数),0)</f>
        <v>823662.725</v>
      </c>
      <c r="AR74">
        <f ca="1" t="shared" ref="AR74:AR105" si="125">IF(COUNTIF(G74,"*恒定伤害*")&gt;0,AB74,((AQ74*(1+P74)*(1+IF(COUNTIF(F74,"*内破*")&gt;0,内破,IF(D74="轻剑",$AQ$8,$AQ$9)/破防系数)+IF((IF(D74="轻剑",$AO$2,$AO$3)+INT(COUNTIF(G74,"*大莺鸣*")*IF(D74="轻剑",$AM$2,$AM$3)*听晓无双率)/无双系数)&gt;0.9,(特效裤子破防+特效裤子破防*IF(D74="轻剑",$AD$2+200,$AD$3+200)/1024)/破防系数,0))*(1-R74))*T74*(1+U74))*Y74*(1+Z74)*(1+AA74))</f>
        <v>11549901.8366941</v>
      </c>
      <c r="AS74">
        <f ca="1" t="shared" ref="AS74:AS137" si="126">W74+IF(COUNTIF(F74,"*内会*")&gt;0,0,IF(D74="轻剑",$AS$8-$Y$2,$AS$9-$Y$3))</f>
        <v>0.9843</v>
      </c>
      <c r="AT74">
        <f ca="1">技能数计算!$AJ66</f>
        <v>0</v>
      </c>
      <c r="AU74">
        <f ca="1" t="shared" ref="AU74:AU137" si="127">X74+IF(COUNTIF(F74,"*内会*")&gt;0,0,IF(D74="轻剑",$AU$8-$AB$2,$AU$9-$AB$3))</f>
        <v>2.3177566866</v>
      </c>
      <c r="AV74">
        <f ca="1" t="shared" ref="AV74:AV105" si="128">IF(G74="恒定伤害",0,(IF(D74="轻剑",$AV$8,$AV$9)+INT(COUNTIF(G74,"*大莺鸣*")*IF(D74="轻剑",$AM$2,$AM$3)*听晓无双率)/无双系数))+IF((IF(G74="恒定伤害",0,(IF(D74="轻剑",$AV$8,$AV$9)+INT(COUNTIF(G74,"*大莺鸣*")*IF(D74="轻剑",$AM$2,$AM$3)*听晓无双率)/无双系数)))&lt;=0.9,特效裤子无双,0)</f>
        <v>2.68954760480339</v>
      </c>
      <c r="AW74">
        <f ca="1" t="shared" si="58"/>
        <v>11698519.4507458</v>
      </c>
      <c r="AX74">
        <f ca="1" t="shared" ref="AX74:AX137" si="129">$W74+IF(COUNTIF(F74,"*内会*")&gt;0,0,IF(I74="轻剑",AX$8-$Y$2,AX$9-$Y$3))</f>
        <v>0.9743</v>
      </c>
      <c r="AY74">
        <f ca="1">技能数计算!$AJ66</f>
        <v>0</v>
      </c>
      <c r="AZ74" s="170">
        <f ca="1" t="shared" si="59"/>
        <v>11631408.6692791</v>
      </c>
      <c r="BA74">
        <f ca="1" t="shared" ref="BA74:BA137" si="130">$W74+IF(COUNTIF(F74,"*内会*")&gt;0,0,IF(L74="轻剑",BA$8-$Y$2,BA$9-$Y$3))</f>
        <v>0.9643</v>
      </c>
      <c r="BB74">
        <f ca="1">技能数计算!$AJ66</f>
        <v>0</v>
      </c>
      <c r="BC74" s="170">
        <f ca="1" t="shared" si="60"/>
        <v>11564297.8878124</v>
      </c>
      <c r="BE74">
        <f ca="1" t="shared" ref="BE74:BE137" si="131">IF(D74="轻剑",$BF$8,$BF$9)+INT(残雪*(COUNTIF(G74,"*莺鸣*")+COUNTIF(G74,"*叠1*")+COUNTIF(G74,"*叠2*")*2+COUNTIF(G74,"*叠3*")*3)*IF(D74="轻剑",$BE$8,$BE$9)*154/1024+COUNTIF(G74,"*雾锁*")*205/1024*IF(D74="轻剑",$BE$8,$BE$9))</f>
        <v>105849</v>
      </c>
      <c r="BF74">
        <f ca="1" t="shared" ref="BF74:BF94" si="132">H74+BE74*I74+J74*M74+IF(K74&gt;0,MAX(1,K74*N74*破招全局系数),0)</f>
        <v>787562.61875</v>
      </c>
      <c r="BI74">
        <f ca="1" t="shared" ref="BI74:BI137" si="133">$W74+IF(COUNTIF(F74,"*内会*")&gt;0,0,IF(T74="轻剑",BI$8-$Y$2,BI$9-$Y$3))</f>
        <v>0.9543</v>
      </c>
      <c r="BJ74">
        <f ca="1">技能数计算!$AJ66</f>
        <v>0</v>
      </c>
      <c r="BK74">
        <f ca="1" t="shared" ref="BK74:BK105" si="134">IF(COUNTIF(G74,"*恒定伤害*")&gt;0,AB74,((BF74*(1+P74)*(1+IF(COUNTIF(F74,"*内破*")&gt;0,内破,IF(D74="轻剑",$BH$8,$BH$9)/破防系数)+IF((IF(D74="轻剑",$AO$2,$AO$3)+INT(COUNTIF(G74,"*大莺鸣*")*IF(D74="轻剑",$AM$2,$AM$3)*听晓无双率)/无双系数)&gt;0.9,(特效裤子破防+特效裤子破防*IF(D74="轻剑",$AD$2+204,$AD$3+204)/1024)/破防系数,0))*(1-R74))*T74*(1+AV74))*(1+MIN(1,BI74)*(MIN(3+COUNTIF(G74,"*叠*")*0.75,X74)-1))*(1+Z74)*(1+AA74))</f>
        <v>11430968.0279394</v>
      </c>
      <c r="BM74">
        <f ca="1" t="shared" ref="BM74:BM137" si="135">IF(D74="轻剑",$BN$8,$BN$9)+INT(残雪*(COUNTIF(G74,"*莺鸣*")+COUNTIF(G74,"*叠1*")+COUNTIF(G74,"*叠2*")*2+COUNTIF(G74,"*叠3*")*3)*IF(D74="轻剑",$U$2,$U$3)*154/1024+COUNTIF(G74,"*雾锁*")*205/1024*IF(D74="轻剑",$U$2,$U$3))</f>
        <v>109230</v>
      </c>
      <c r="BN74">
        <f ca="1" t="shared" ref="BN74:BN94" si="136">H74+BM74*I74+J74*M74+IF(K74&gt;0,MAX(1,K74*N74*破招全局系数),0)</f>
        <v>811462.0625</v>
      </c>
      <c r="BO74">
        <f ca="1" t="shared" ref="BO74:BO105" si="137">IF(COUNTIF(G74,"*恒定伤害*")&gt;0,AB74,((BN74*(1+P74)*(1+IF(COUNTIF(F74,"*内破*")&gt;0,内破,IF(D74="轻剑",$BM$8,$BM$9)/破防系数)+IF((IF(D74="轻剑",$AO$2,$AO$3)+INT(COUNTIF(G74,"*大莺鸣*")*IF(D74="轻剑",$AM$2,$AM$3)*听晓无双率)/无双系数)&gt;0.9,(特效裤子破防+特效裤子破防*IF(D74="轻剑",$AD$2+102,$AD$3+102)/1024)/破防系数,0))*(1-R74))*T74*(1+U74))*Y74*(1+Z74)*(1+AA74))</f>
        <v>11607936.7739795</v>
      </c>
      <c r="BP74">
        <f ca="1" t="shared" ref="BP74:BP105" si="138">IF(COUNTIF(G74,"*恒定伤害*")&gt;0,AB74,((BN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U74))*Y74*(1+Z74)*(1+AA74))</f>
        <v>11069819.8906603</v>
      </c>
      <c r="BR74">
        <f ca="1" t="shared" ref="BR74:BR137" si="139">$W74+IF(T74="轻剑",BI$8-$Y$2,BI$9-$Y$3)</f>
        <v>0.9543</v>
      </c>
      <c r="BS74">
        <f ca="1" t="shared" ref="BS74:BS105" si="140">IF(COUNTIF(G74,"*恒定伤害*")&gt;0,AB74,((BN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AV74))*(1+MIN(1,BR74)*(MIN(3+COUNTIF(G74,"*叠*")*0.75,X74)-1))*(1+Z74)*(1+AA74))</f>
        <v>11445235.5224315</v>
      </c>
      <c r="BT74">
        <f ca="1" t="shared" ref="BT74:BT94" si="141">IF(G74="恒定伤害",0,(($F$5-IF(D74="轻剑",$BB$2,$BB$3))*(1024-IF(D74="轻剑",$BD$2,$BD$3))/1024*(1024-IF(D74="轻剑",$BT$8,$BT$9)-COUNTIF(G74,"*雾锁*")*461*雾锁)/1024/(($F$5-IF(D74="轻剑",$BB$2,$BB$3))*(1024-IF(D74="轻剑",$BD$2,$BD$3))/1024*(1024-IF(D74="轻剑",$BT$8,$BT$9)-COUNTIF(G74,"*雾锁*")*461*雾锁)/1024+$F$7)))</f>
        <v>0.196995876306796</v>
      </c>
      <c r="BU74">
        <f ca="1" t="shared" ref="BU74:BU137" si="142">X74+IF(D74="轻剑",$AU$8-$AB$2,$AU$9-$AB$3)</f>
        <v>2.3177566866</v>
      </c>
      <c r="BV74">
        <f ca="1" t="shared" si="61"/>
        <v>11665583.6074197</v>
      </c>
      <c r="BW74">
        <f ca="1" t="shared" ref="BW74:BW137" si="143">IF(D74="轻剑",$BW$8,$BW$9)+INT(残雪*(COUNTIF(G74,"*莺鸣*")+COUNTIF(G74,"*叠1*")+COUNTIF(G74,"*叠2*")*2+COUNTIF(G74,"*叠3*")*3)*IF(D74="轻剑",$U$2,$U$3)*154/1024+COUNTIF(G74,"*雾锁*")*205/1024*IF(D74="轻剑",$U$2,$U$3))</f>
        <v>113027</v>
      </c>
      <c r="BX74">
        <f ca="1" t="shared" ref="BX74:BX94" si="144">H74+BW74*I74+J74*M74+IF(K74&gt;0,MAX(1,K74*N74*破招全局系数),0)</f>
        <v>838302.10625</v>
      </c>
      <c r="BY74">
        <f ca="1" t="shared" ref="BY74:BY137" si="145">$W74+IF(COUNTIF(F74,"*内会*")&gt;0,0,IF(AI74="轻剑",BY$8-$Y$2,BY$9-$Y$3))</f>
        <v>0.9343</v>
      </c>
      <c r="BZ74">
        <f ca="1">技能数计算!$AJ66</f>
        <v>0</v>
      </c>
      <c r="CA74">
        <f ca="1" t="shared" ref="CA74:CA137" si="146">X74+IF(COUNTIF(F74,"*内会*")&gt;0,0,IF(D74="轻剑",$CA$8-$AB$2,$CA$9-$AB$3))</f>
        <v>2.3216629366</v>
      </c>
      <c r="CB74">
        <f ca="1" t="shared" si="62"/>
        <v>12050904.3249041</v>
      </c>
      <c r="CC74">
        <f ca="1" t="shared" ref="CC74:CC137" si="147">IF(D74="轻剑",$CC$8,$CC$9)+INT(残雪*(COUNTIF(G74,"*莺鸣*")+COUNTIF(G74,"*叠1*")+COUNTIF(G74,"*叠2*")*2+COUNTIF(G74,"*叠3*")*3)*IF(D74="轻剑",$U$2,$U$3)*154/1024+COUNTIF(G74,"*雾锁*")*205/1024*IF(D74="轻剑",$U$2,$U$3))</f>
        <v>114847</v>
      </c>
      <c r="CD74">
        <f ca="1" t="shared" ref="CD74:CD94" si="148">H74+CC74*I74+J74*M74+IF(K74&gt;0,MAX(1,K74*N74*破招全局系数),0)</f>
        <v>851167.23125</v>
      </c>
      <c r="CE74">
        <f ca="1" t="shared" ref="CE74:CE105" si="149">IF(COUNTIF(G74,"*恒定伤害*")&gt;0,AB74,((CD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U74))*(1+MIN(1,BY74)*(MIN(3+COUNTIF(G74,"*叠*")*0.75,X74)-1))*(1+Z74)*(1+AA74))</f>
        <v>11809610.4813038</v>
      </c>
      <c r="CF74">
        <f ca="1" t="shared" ref="CF74:CF137" si="150">X74+IF(COUNTIF(F74,"*内会*")&gt;0,0,IF(D74="轻剑",$CF$8-$AB$2,$CF$9-$AB$3))</f>
        <v>2.2689285616</v>
      </c>
      <c r="CG74">
        <f ca="1" t="shared" ref="CG74:CG137" si="151">$W74+IF(AI74="轻剑",BY$8-$Y$2,BY$9-$Y$3)</f>
        <v>0.9343</v>
      </c>
      <c r="CH74">
        <f ca="1" t="shared" si="63"/>
        <v>11130631.1719619</v>
      </c>
      <c r="CJ74">
        <f ca="1" t="shared" ref="CJ74:CJ94" si="152">H74+BM74*I74+J74*M74+IF(K74&gt;0,MAX(1,K74*(N74+2667)*破招全局系数),0)</f>
        <v>811462.0625</v>
      </c>
      <c r="CK74">
        <f ca="1" t="shared" ref="CK74:CK105" si="153">IF(COUNTIF(G74,"*恒定伤害*")&gt;0,AB74,((CJ74*(1+P74)*(1+IF(COUNTIF(F74,"*内破*")&gt;0,内破,IF(D74="轻剑",$CI$8,$CI$9)/破防系数)+IF((IF(D74="轻剑",$AO$2,$AO$3)+INT(COUNTIF(G74,"*大莺鸣*")*IF(D74="轻剑",$AM$2,$AM$3)*听晓无双率)/无双系数)&gt;0.9,(特效裤子破防+特效裤子破防*IF(D74="轻剑",$AD$2+256,$AD$3+256)/1024)/破防系数,0))*(1-R74))*T74*(1+U74))*Y74*(1+Z74)*(1+AA74))</f>
        <v>11555353.4530448</v>
      </c>
      <c r="CL74">
        <f ca="1" t="shared" si="64"/>
        <v>2.2915848116</v>
      </c>
      <c r="CM74">
        <f ca="1">IF(G74="恒定伤害",0,(IF(D74="轻剑",$CM$8,$CM$9)+IFERROR(INDEX(技能数据库!$T$2:$W$27,MATCH(E74,技能数据库!$T$2:$T$27,0),4),0)+COUNTIF(G74,"*造化2*")*154+COUNTIF(G74,"*造化1*")*102+COUNTIF(G74,"*碧归*")*307)/1024)</f>
        <v>0.697375959429785</v>
      </c>
      <c r="CN74">
        <f ca="1" t="shared" si="65"/>
        <v>11654147.8999797</v>
      </c>
      <c r="CO74">
        <f ca="1" t="shared" si="66"/>
        <v>2.3156473116</v>
      </c>
      <c r="CP74">
        <f ca="1" t="shared" si="67"/>
        <v>11772877.4649546</v>
      </c>
      <c r="CQ74">
        <f ca="1" t="shared" ref="CQ74:CQ105" si="154">IF(G74="恒定伤害",0,(IF(D74="轻剑",$CQ$8,$CQ$9)+INT(COUNTIF(G74,"*大莺鸣*")*IF(D74="轻剑",$AM$2,$AM$3)*听晓无双率)/无双系数))+IF((IF(G74="恒定伤害",0,(IF(D74="轻剑",$CQ$8,$CQ$9)+INT(COUNTIF(G74,"*大莺鸣*")*IF(D74="轻剑",$AM$2,$AM$3)*听晓无双率)/无双系数)))&lt;=0.9,特效裤子无双,0)</f>
        <v>2.77157885480339</v>
      </c>
      <c r="CR74">
        <f ca="1">IF(G74="恒定伤害",0,(IF(D74="轻剑",$CR$8,$CR$9)+IFERROR(INDEX(技能数据库!$T$2:$W$27,MATCH(E74,技能数据库!$T$2:$T$27,0),4),0)+COUNTIF(G74,"*造化2*")*154+COUNTIF(G74,"*造化1*")*102+COUNTIF(G74,"*碧归*")*307)/1024)</f>
        <v>0.687610334429785</v>
      </c>
      <c r="CS74">
        <f ca="1" t="shared" si="68"/>
        <v>11052757.0230128</v>
      </c>
    </row>
    <row r="75" spans="4:97">
      <c r="D75" t="s">
        <v>1825</v>
      </c>
      <c r="E75" t="s">
        <v>2780</v>
      </c>
      <c r="G75" t="s">
        <v>3093</v>
      </c>
      <c r="H75">
        <f ca="1">INDEX(技能数据库!$B$2:$I$100,MATCH(阵眼收益计算!$E75,技能数据库!$B$2:$B$100,0),MATCH(H$9,技能数据库!$B$2:$I$2,0))</f>
        <v>252.5</v>
      </c>
      <c r="I75">
        <f ca="1">INDEX(技能数据库!$B$2:$I$100,MATCH(阵眼收益计算!$E75,技能数据库!$B$2:$B$100,0),MATCH(I$9,技能数据库!$B$2:$I$2,0))</f>
        <v>2.11875</v>
      </c>
      <c r="J75">
        <f ca="1">INDEX(技能数据库!$B$2:$I$100,MATCH(阵眼收益计算!$E75,技能数据库!$B$2:$B$100,0),MATCH(J$9,技能数据库!$B$2:$I$2,0))</f>
        <v>2</v>
      </c>
      <c r="K75">
        <f ca="1">INDEX(技能数据库!$B$2:$I$100,MATCH(阵眼收益计算!$E75,技能数据库!$B$2:$B$100,0),MATCH(K$9,技能数据库!$B$2:$I$2,0))</f>
        <v>0</v>
      </c>
      <c r="L75">
        <f ca="1" t="shared" si="110"/>
        <v>105847</v>
      </c>
      <c r="M75">
        <f ca="1" t="shared" si="103"/>
        <v>19530.5</v>
      </c>
      <c r="N75">
        <f ca="1" t="shared" si="104"/>
        <v>92028</v>
      </c>
      <c r="O75">
        <f ca="1" t="shared" si="111"/>
        <v>263576.83125</v>
      </c>
      <c r="P75">
        <f ca="1">IF(G75="恒定伤害",0,(IF(D75="轻剑",$AZ$2,$AZ$3)+IFERROR(INDEX(技能数据库!$T$2:$W$27,MATCH(E75,技能数据库!$T$2:$T$27,0),4),0)+COUNTIF(G75,"*造化2*")*154+COUNTIF(G75,"*造化1*")*102+COUNTIF(G75,"*碧归*")*307)/1024)</f>
        <v>0.636829084429785</v>
      </c>
      <c r="Q75">
        <f ca="1" t="shared" si="112"/>
        <v>0.448284482196154</v>
      </c>
      <c r="R75">
        <f ca="1" t="shared" si="113"/>
        <v>0.21277697966198</v>
      </c>
      <c r="S75">
        <f ca="1" t="shared" si="105"/>
        <v>491883.470680767</v>
      </c>
      <c r="T75">
        <f t="shared" si="76"/>
        <v>0.8</v>
      </c>
      <c r="U75">
        <f ca="1" t="shared" si="114"/>
        <v>2.67001635480339</v>
      </c>
      <c r="V75">
        <f ca="1" t="shared" si="106"/>
        <v>1444176.30564469</v>
      </c>
      <c r="W75">
        <f ca="1">IF(G75="恒定伤害",0,MIN(1,IF(COUNTIF(F75,"*内会*")&gt;0,内会2,IF(D75="轻剑",$Y$2,$Y$3)+COUNTIF(G75,"*莺鸣*")*0.2+COUNTIF(G75,"*叠1*")*0.1+COUNTIF(G75,"*叠2*")*0.2+COUNTIF(G75,"*叠3*")*0.3)+IFERROR(INDEX(技能数据库!$T$2:$W$27,MATCH(E75,技能数据库!$T$2:$T$27,0),2),0)+IF((IF(D75="轻剑",$AO$2,$AO$3)+INT(COUNTIF(G75,"*大莺鸣*")*IF(D75="轻剑",$AM$2,$AM$3)*听晓无双率)/无双系数)&gt;0.9,特效裤子会心/会心系数,0)))</f>
        <v>0.9043</v>
      </c>
      <c r="X75">
        <f ca="1">IF(G75="恒定伤害",0,IF(COUNTIF(F75,"*内会*")&gt;0,内会效2,IF(D75="轻剑",$AB$2,$AB$3))+IFERROR(INDEX(技能数据库!$T$2:$W$27,MATCH(E75,技能数据库!$T$2:$T$27,0),3)/1024,0))+COUNTIF(G75,"*叠1*")*0.25+COUNTIF(G75,"*叠2*")*0.5+COUNTIF(G75,"*叠3*")*0.75</f>
        <v>2.1712723116</v>
      </c>
      <c r="Y75">
        <f ca="1" t="shared" si="107"/>
        <v>2.05918155137988</v>
      </c>
      <c r="Z75">
        <f t="shared" si="115"/>
        <v>0.150390625</v>
      </c>
      <c r="AA75">
        <f ca="1" t="shared" si="108"/>
        <v>0.0205078125</v>
      </c>
      <c r="AB75">
        <f ca="1" t="shared" si="109"/>
        <v>3491214.41098355</v>
      </c>
      <c r="AC75">
        <f ca="1">技能数计算!$AJ67</f>
        <v>0</v>
      </c>
      <c r="AD75" s="164">
        <f ca="1" t="shared" si="81"/>
        <v>0</v>
      </c>
      <c r="AE75" s="168"/>
      <c r="AF75" s="168">
        <f ca="1" t="shared" si="116"/>
        <v>0.9057</v>
      </c>
      <c r="AG75">
        <f ca="1">技能数计算!$AJ67</f>
        <v>0</v>
      </c>
      <c r="AH75">
        <f ca="1" t="shared" si="117"/>
        <v>109879</v>
      </c>
      <c r="AJ75">
        <f ca="1" t="shared" si="118"/>
        <v>2.3704910616</v>
      </c>
      <c r="AK75">
        <f ca="1" t="shared" si="119"/>
        <v>272596.63125</v>
      </c>
      <c r="AL75">
        <f ca="1" t="shared" si="120"/>
        <v>3931023.02443346</v>
      </c>
      <c r="AM75" s="169">
        <f ca="1" t="shared" si="121"/>
        <v>0.9272</v>
      </c>
      <c r="AN75">
        <f ca="1">技能数计算!$AJ67</f>
        <v>0</v>
      </c>
      <c r="AO75" s="170">
        <f ca="1" t="shared" si="122"/>
        <v>3982703.82407669</v>
      </c>
      <c r="AP75">
        <f ca="1" t="shared" si="123"/>
        <v>110956</v>
      </c>
      <c r="AQ75" s="170">
        <f ca="1" t="shared" si="124"/>
        <v>274401.525</v>
      </c>
      <c r="AR75">
        <f ca="1" t="shared" si="125"/>
        <v>3847825.7925162</v>
      </c>
      <c r="AS75">
        <f ca="1" t="shared" si="126"/>
        <v>0.9843</v>
      </c>
      <c r="AT75">
        <f ca="1">技能数计算!$AJ67</f>
        <v>0</v>
      </c>
      <c r="AU75">
        <f ca="1" t="shared" si="127"/>
        <v>2.3177566866</v>
      </c>
      <c r="AV75">
        <f ca="1" t="shared" si="128"/>
        <v>2.68954760480339</v>
      </c>
      <c r="AW75">
        <f ca="1" t="shared" ref="AW75:AW138" si="155">IF(COUNTIF(G75,"*恒定伤害*")&gt;0,AB75,((O75*(1+P75)*(1+Q75)*(1-R75))*T75*(1+AV75))*(1+MIN(1,AS75)*(MIN(3+COUNTIF(G75,"*叠*")*0.75,AU75)-1))*(1+Z75)*(1+AA75))</f>
        <v>3915262.05758151</v>
      </c>
      <c r="AX75">
        <f ca="1" t="shared" si="129"/>
        <v>0.9743</v>
      </c>
      <c r="AY75">
        <f ca="1">技能数计算!$AJ67</f>
        <v>0</v>
      </c>
      <c r="AZ75" s="170">
        <f ca="1" t="shared" ref="AZ75:AZ138" si="156">IF(COUNTIF(G75,"*恒定伤害*")&gt;0,AB75,((O75*(1+P75)*(1+Q75)*(1-R75))*T75*(1+AV75))*(1+MIN(1,AX75)*(MIN(3+COUNTIF(G75,"*叠*")*0.75,AU75)-1))*(1+Z75)*(1+AA75))</f>
        <v>3892801.41224621</v>
      </c>
      <c r="BA75">
        <f ca="1" t="shared" si="130"/>
        <v>0.9643</v>
      </c>
      <c r="BB75">
        <f ca="1">技能数计算!$AJ67</f>
        <v>0</v>
      </c>
      <c r="BC75" s="170">
        <f ca="1" t="shared" ref="BC75:BC138" si="157">IF(COUNTIF(G75,"*恒定伤害*")&gt;0,AB75,((O75*(1+P75)*(1+Q75)*(1-R75))*T75*(1+AV75))*(1+MIN(1,BA75)*(MIN(3+COUNTIF(G75,"*叠*")*0.75,AU75)-1))*(1+Z75)*(1+AA75))</f>
        <v>3870340.76691092</v>
      </c>
      <c r="BE75">
        <f ca="1" t="shared" si="131"/>
        <v>105849</v>
      </c>
      <c r="BF75">
        <f ca="1" t="shared" si="132"/>
        <v>263581.06875</v>
      </c>
      <c r="BI75">
        <f ca="1" t="shared" si="133"/>
        <v>0.9543</v>
      </c>
      <c r="BJ75">
        <f ca="1">技能数计算!$AJ67</f>
        <v>0</v>
      </c>
      <c r="BK75">
        <f ca="1" t="shared" si="134"/>
        <v>3825710.74085954</v>
      </c>
      <c r="BM75">
        <f ca="1" t="shared" si="135"/>
        <v>109230</v>
      </c>
      <c r="BN75">
        <f ca="1" t="shared" si="136"/>
        <v>270744.5625</v>
      </c>
      <c r="BO75">
        <f ca="1" t="shared" si="137"/>
        <v>3872991.61431683</v>
      </c>
      <c r="BP75">
        <f ca="1" t="shared" si="138"/>
        <v>3693448.75349688</v>
      </c>
      <c r="BR75">
        <f ca="1" t="shared" si="139"/>
        <v>0.9543</v>
      </c>
      <c r="BS75">
        <f ca="1" t="shared" si="140"/>
        <v>3818706.29254485</v>
      </c>
      <c r="BT75">
        <f ca="1" t="shared" si="141"/>
        <v>0.196995876306796</v>
      </c>
      <c r="BU75">
        <f ca="1" t="shared" si="142"/>
        <v>2.3177566866</v>
      </c>
      <c r="BV75">
        <f ca="1" t="shared" ref="BV75:BV138" si="158">IF(COUNTIF(G75,"*恒定伤害*")&gt;0,AB75,((O75*(1+P75)*(1+Q75)*(1-BT75))*T75*(1+U75))*(1+MIN(1,BR75)*(MIN(3+COUNTIF(G75,"*叠*")*0.75,BU75)-1))*(1+Z75)*(1+AA75))</f>
        <v>3904239.08512314</v>
      </c>
      <c r="BW75">
        <f ca="1" t="shared" si="143"/>
        <v>113027</v>
      </c>
      <c r="BX75">
        <f ca="1" t="shared" si="144"/>
        <v>278789.45625</v>
      </c>
      <c r="BY75">
        <f ca="1" t="shared" si="145"/>
        <v>0.9343</v>
      </c>
      <c r="BZ75">
        <f ca="1">技能数计算!$AJ67</f>
        <v>0</v>
      </c>
      <c r="CA75">
        <f ca="1" t="shared" si="146"/>
        <v>2.3216629366</v>
      </c>
      <c r="CB75">
        <f ca="1" t="shared" ref="CB75:CB138" si="159">IF(COUNTIF(G75,"*恒定伤害*")&gt;0,AB75,((BX75*(1+P75)*(1+Q75)*(1-R75))*T75*(1+U75))*(1+MIN(1,BY75)*(MIN(3+COUNTIF(G75,"*叠*")*0.75,CA75)-1))*(1+Z75)*(1+AA75))</f>
        <v>4007702.04322837</v>
      </c>
      <c r="CC75">
        <f ca="1" t="shared" si="147"/>
        <v>114847</v>
      </c>
      <c r="CD75">
        <f ca="1" t="shared" si="148"/>
        <v>282645.58125</v>
      </c>
      <c r="CE75">
        <f ca="1" t="shared" si="149"/>
        <v>3921596.24604229</v>
      </c>
      <c r="CF75">
        <f ca="1" t="shared" si="150"/>
        <v>2.2689285616</v>
      </c>
      <c r="CG75">
        <f ca="1" t="shared" si="151"/>
        <v>0.9343</v>
      </c>
      <c r="CH75">
        <f ca="1" t="shared" ref="CH75:CH138" si="160">IF(COUNTIF(G75,"*恒定伤害*")&gt;0,AB75,((O75*(1+P75)*(1+Q75)*(1-R75))*T75*(1+AV75))*(1+MIN(1,BY75)*(MIN(3+COUNTIF(G75,"*叠*")*0.75,CF75)-1))*(1+Z75)*(1+AA75))</f>
        <v>3725201.13233118</v>
      </c>
      <c r="CJ75">
        <f ca="1" t="shared" si="152"/>
        <v>270744.5625</v>
      </c>
      <c r="CK75">
        <f ca="1" t="shared" si="153"/>
        <v>3855447.17338832</v>
      </c>
      <c r="CL75">
        <f ca="1" t="shared" ref="CL75:CL94" si="161">X75+IF(D75="轻剑",$CL$8-$AB$2,$CL$9-$AB$3)</f>
        <v>2.2915848116</v>
      </c>
      <c r="CM75">
        <f ca="1">IF(G75="恒定伤害",0,(IF(D75="轻剑",$CM$8,$CM$9)+IFERROR(INDEX(技能数据库!$T$2:$W$27,MATCH(E75,技能数据库!$T$2:$T$27,0),4),0)+COUNTIF(G75,"*造化2*")*154+COUNTIF(G75,"*造化1*")*102+COUNTIF(G75,"*碧归*")*307)/1024)</f>
        <v>0.697375959429785</v>
      </c>
      <c r="CN75">
        <f ca="1" t="shared" ref="CN75:CN138" si="162">IF(COUNTIF(G75,"*恒定伤害*")&gt;0,AB75,((O75*(1+CM75)*(1+Q75)*(1-R75))*T75*(1+AV75))*(1+MIN(1,CG75)*(MIN(3+COUNTIF(G75,"*叠*")*0.75,CL75)-1))*(1+Z75)*(1+AA75))</f>
        <v>3900411.78102455</v>
      </c>
      <c r="CO75">
        <f ca="1" t="shared" ref="CO75:CO94" si="163">X75+IF(D75="轻剑",$CO$8-$AB$2,$CO$9-$AB$3)</f>
        <v>2.3156473116</v>
      </c>
      <c r="CP75">
        <f ca="1" t="shared" ref="CP75:CP138" si="164">IF(COUNTIF(G75,"*恒定伤害*")&gt;0,AB75,((O75*(1+CM75)*(1+Q75)*(1-R75))*T75*(1+AV75))*(1+MIN(1,CG75)*(MIN(3+COUNTIF(G75,"*叠*")*0.75,CO75)-1))*(1+Z75)*(1+AA75))</f>
        <v>3940148.20774218</v>
      </c>
      <c r="CQ75">
        <f ca="1" t="shared" si="154"/>
        <v>2.77157885480339</v>
      </c>
      <c r="CR75">
        <f ca="1">IF(G75="恒定伤害",0,(IF(D75="轻剑",$CR$8,$CR$9)+IFERROR(INDEX(技能数据库!$T$2:$W$27,MATCH(E75,技能数据库!$T$2:$T$27,0),4),0)+COUNTIF(G75,"*造化2*")*154+COUNTIF(G75,"*造化1*")*102+COUNTIF(G75,"*碧归*")*307)/1024)</f>
        <v>0.687610334429785</v>
      </c>
      <c r="CS75">
        <f ca="1" t="shared" ref="CS75:CS94" si="165">IF(COUNTIF(G75,"*恒定伤害*")&gt;0,AB75,((O75*(1+CR75)*(1+Q75)*(1-R75))*T75*(1+CQ75))*Y75*(1+Z75)*(1+AA75))</f>
        <v>3699138.20172438</v>
      </c>
    </row>
    <row r="76" spans="4:97">
      <c r="D76" t="s">
        <v>1028</v>
      </c>
      <c r="E76" t="s">
        <v>2723</v>
      </c>
      <c r="G76" t="s">
        <v>2750</v>
      </c>
      <c r="H76">
        <f ca="1">INDEX(技能数据库!$B$2:$I$100,MATCH(阵眼收益计算!$E76,技能数据库!$B$2:$B$100,0),MATCH(H$9,技能数据库!$B$2:$I$2,0))</f>
        <v>143</v>
      </c>
      <c r="I76">
        <f ca="1">INDEX(技能数据库!$B$2:$I$100,MATCH(阵眼收益计算!$E76,技能数据库!$B$2:$B$100,0),MATCH(I$9,技能数据库!$B$2:$I$2,0))</f>
        <v>2.53125</v>
      </c>
      <c r="J76">
        <f ca="1">INDEX(技能数据库!$B$2:$I$100,MATCH(阵眼收益计算!$E76,技能数据库!$B$2:$B$100,0),MATCH(J$9,技能数据库!$B$2:$I$2,0))</f>
        <v>2</v>
      </c>
      <c r="K76">
        <f ca="1">INDEX(技能数据库!$B$2:$I$100,MATCH(阵眼收益计算!$E76,技能数据库!$B$2:$B$100,0),MATCH(K$9,技能数据库!$B$2:$I$2,0))</f>
        <v>0</v>
      </c>
      <c r="L76">
        <f ca="1" t="shared" si="110"/>
        <v>105847</v>
      </c>
      <c r="M76">
        <f ca="1" t="shared" si="103"/>
        <v>12694.5</v>
      </c>
      <c r="N76">
        <f ca="1" t="shared" si="104"/>
        <v>92028</v>
      </c>
      <c r="O76">
        <f ca="1" t="shared" si="111"/>
        <v>293457.21875</v>
      </c>
      <c r="P76">
        <f ca="1">IF(G76="恒定伤害",0,(IF(D76="轻剑",$AZ$2,$AZ$3)+IFERROR(INDEX(技能数据库!$T$2:$W$27,MATCH(E76,技能数据库!$T$2:$T$27,0),4),0)+COUNTIF(G76,"*造化2*")*154+COUNTIF(G76,"*造化1*")*102+COUNTIF(G76,"*碧归*")*307)/1024)</f>
        <v>0.0167118969297852</v>
      </c>
      <c r="Q76">
        <f ca="1" t="shared" si="112"/>
        <v>0.448284482196154</v>
      </c>
      <c r="R76">
        <f ca="1" t="shared" si="113"/>
        <v>0.21277697966198</v>
      </c>
      <c r="S76">
        <f ca="1" t="shared" si="105"/>
        <v>340168.711881267</v>
      </c>
      <c r="T76">
        <f t="shared" si="76"/>
        <v>0.8</v>
      </c>
      <c r="U76">
        <f ca="1" t="shared" si="114"/>
        <v>1.7800129648</v>
      </c>
      <c r="V76">
        <f ca="1" t="shared" si="106"/>
        <v>756538.743399391</v>
      </c>
      <c r="W76">
        <f ca="1">IF(G76="恒定伤害",0,MIN(1,IF(COUNTIF(F76,"*内会*")&gt;0,内会2,IF(D76="轻剑",$Y$2,$Y$3)+COUNTIF(G76,"*莺鸣*")*0.2+COUNTIF(G76,"*叠1*")*0.1+COUNTIF(G76,"*叠2*")*0.2+COUNTIF(G76,"*叠3*")*0.3)+IFERROR(INDEX(技能数据库!$T$2:$W$27,MATCH(E76,技能数据库!$T$2:$T$27,0),2),0)+IF((IF(D76="轻剑",$AO$2,$AO$3)+INT(COUNTIF(G76,"*大莺鸣*")*IF(D76="轻剑",$AM$2,$AM$3)*听晓无双率)/无双系数)&gt;0.9,特效裤子会心/会心系数,0)))</f>
        <v>0.7043</v>
      </c>
      <c r="X76">
        <f ca="1">IF(G76="恒定伤害",0,IF(COUNTIF(F76,"*内会*")&gt;0,内会效2,IF(D76="轻剑",$AB$2,$AB$3))+IFERROR(INDEX(技能数据库!$T$2:$W$27,MATCH(E76,技能数据库!$T$2:$T$27,0),3)/1024,0))+COUNTIF(G76,"*叠1*")*0.25+COUNTIF(G76,"*叠2*")*0.5+COUNTIF(G76,"*叠3*")*0.75</f>
        <v>2.1712723116</v>
      </c>
      <c r="Y76">
        <f ca="1" t="shared" si="107"/>
        <v>1.82492708905988</v>
      </c>
      <c r="Z76">
        <f t="shared" si="115"/>
        <v>0.150390625</v>
      </c>
      <c r="AA76">
        <f ca="1" t="shared" si="108"/>
        <v>0.0205078125</v>
      </c>
      <c r="AB76">
        <f ca="1" t="shared" si="109"/>
        <v>1620833.33190274</v>
      </c>
      <c r="AC76">
        <f ca="1">$AC$11*MIN(1,0.3+$Y$2)</f>
        <v>4</v>
      </c>
      <c r="AD76" s="164">
        <f ca="1" t="shared" ref="AD76:AD91" si="166">IFERROR(AB76*AC76/$AD$7,0)</f>
        <v>0.0023243676673884</v>
      </c>
      <c r="AE76" s="168"/>
      <c r="AF76" s="168">
        <f ca="1" t="shared" si="116"/>
        <v>0.7057</v>
      </c>
      <c r="AG76">
        <f ca="1">$AC$11*MIN(1,0.3+$AF$8)</f>
        <v>4</v>
      </c>
      <c r="AH76">
        <f ca="1" t="shared" si="117"/>
        <v>109879</v>
      </c>
      <c r="AJ76">
        <f ca="1" t="shared" si="118"/>
        <v>2.3704910616</v>
      </c>
      <c r="AK76">
        <f ca="1" t="shared" si="119"/>
        <v>304140.21875</v>
      </c>
      <c r="AL76">
        <f ca="1" t="shared" si="120"/>
        <v>1811256.76870125</v>
      </c>
      <c r="AM76" s="169">
        <f ca="1" t="shared" si="121"/>
        <v>0.7272</v>
      </c>
      <c r="AN76">
        <f ca="1">$AC$11*MIN(1,0.3+$AN$8)</f>
        <v>4</v>
      </c>
      <c r="AO76" s="170">
        <f ca="1" t="shared" si="122"/>
        <v>1838387.15565281</v>
      </c>
      <c r="AP76">
        <f ca="1" t="shared" si="123"/>
        <v>110956</v>
      </c>
      <c r="AQ76" s="170">
        <f ca="1" t="shared" si="124"/>
        <v>306389.375</v>
      </c>
      <c r="AR76">
        <f ca="1" t="shared" si="125"/>
        <v>1791541.42458755</v>
      </c>
      <c r="AS76">
        <f ca="1" t="shared" si="126"/>
        <v>0.7843</v>
      </c>
      <c r="AT76">
        <f ca="1">$AC$11*MIN(1,0.3+AS$8)</f>
        <v>4</v>
      </c>
      <c r="AU76">
        <f ca="1" t="shared" si="127"/>
        <v>2.3177566866</v>
      </c>
      <c r="AV76">
        <f ca="1" t="shared" si="128"/>
        <v>1.7995442148</v>
      </c>
      <c r="AW76">
        <f ca="1" t="shared" si="155"/>
        <v>1818783.75473779</v>
      </c>
      <c r="AX76">
        <f ca="1" t="shared" si="129"/>
        <v>0.7743</v>
      </c>
      <c r="AY76">
        <f ca="1">$AC$11*MIN(1,0.3+AX$8)</f>
        <v>4</v>
      </c>
      <c r="AZ76" s="170">
        <f ca="1" t="shared" si="156"/>
        <v>1806997.69658382</v>
      </c>
      <c r="BA76">
        <f ca="1" t="shared" si="130"/>
        <v>0.7643</v>
      </c>
      <c r="BB76">
        <f ca="1">$AC$11*MIN(1,0.3+BA$8)</f>
        <v>4</v>
      </c>
      <c r="BC76" s="170">
        <f ca="1" t="shared" si="157"/>
        <v>1795211.63842984</v>
      </c>
      <c r="BE76">
        <f ca="1" t="shared" si="131"/>
        <v>105849</v>
      </c>
      <c r="BF76">
        <f ca="1" t="shared" si="132"/>
        <v>293462.28125</v>
      </c>
      <c r="BI76">
        <f ca="1" t="shared" si="133"/>
        <v>0.7543</v>
      </c>
      <c r="BJ76">
        <f ca="1">$AC$11*MIN(1,0.3+BI$8)</f>
        <v>4</v>
      </c>
      <c r="BK76">
        <f ca="1" t="shared" si="134"/>
        <v>1785454.43588928</v>
      </c>
      <c r="BM76">
        <f ca="1" t="shared" si="135"/>
        <v>109230</v>
      </c>
      <c r="BN76">
        <f ca="1" t="shared" si="136"/>
        <v>302020.4375</v>
      </c>
      <c r="BO76">
        <f ca="1" t="shared" si="137"/>
        <v>1801554.55805735</v>
      </c>
      <c r="BP76">
        <f ca="1" t="shared" si="138"/>
        <v>1718038.68932137</v>
      </c>
      <c r="BR76">
        <f ca="1" t="shared" si="139"/>
        <v>0.7543</v>
      </c>
      <c r="BS76">
        <f ca="1" t="shared" si="140"/>
        <v>1785629.74877866</v>
      </c>
      <c r="BT76">
        <f ca="1" t="shared" si="141"/>
        <v>0.196995876306796</v>
      </c>
      <c r="BU76">
        <f ca="1" t="shared" si="142"/>
        <v>2.3177566866</v>
      </c>
      <c r="BV76">
        <f ca="1" t="shared" si="158"/>
        <v>1806485.46677816</v>
      </c>
      <c r="BW76">
        <f ca="1" t="shared" si="143"/>
        <v>113027</v>
      </c>
      <c r="BX76">
        <f ca="1" t="shared" si="144"/>
        <v>311631.59375</v>
      </c>
      <c r="BY76">
        <f ca="1" t="shared" si="145"/>
        <v>0.7343</v>
      </c>
      <c r="BZ76">
        <f ca="1">$AC$11*MIN(1,0.3+BY$8)</f>
        <v>4</v>
      </c>
      <c r="CA76">
        <f ca="1" t="shared" si="146"/>
        <v>2.3216629366</v>
      </c>
      <c r="CB76">
        <f ca="1" t="shared" si="159"/>
        <v>1858511.80383516</v>
      </c>
      <c r="CC76">
        <f ca="1" t="shared" si="147"/>
        <v>114847</v>
      </c>
      <c r="CD76">
        <f ca="1" t="shared" si="148"/>
        <v>316238.46875</v>
      </c>
      <c r="CE76">
        <f ca="1" t="shared" si="149"/>
        <v>1833555.11583072</v>
      </c>
      <c r="CF76">
        <f ca="1" t="shared" si="150"/>
        <v>2.2689285616</v>
      </c>
      <c r="CG76">
        <f ca="1" t="shared" si="151"/>
        <v>0.7343</v>
      </c>
      <c r="CH76">
        <f ca="1" t="shared" si="160"/>
        <v>1727785.09092906</v>
      </c>
      <c r="CJ76">
        <f ca="1" t="shared" si="152"/>
        <v>302020.4375</v>
      </c>
      <c r="CK76">
        <f ca="1" t="shared" si="153"/>
        <v>1793393.614097</v>
      </c>
      <c r="CL76">
        <f ca="1" t="shared" si="161"/>
        <v>2.2915848116</v>
      </c>
      <c r="CM76">
        <f ca="1">IF(G76="恒定伤害",0,(IF(D76="轻剑",$CM$8,$CM$9)+IFERROR(INDEX(技能数据库!$T$2:$W$27,MATCH(E76,技能数据库!$T$2:$T$27,0),4),0)+COUNTIF(G76,"*造化2*")*154+COUNTIF(G76,"*造化1*")*102+COUNTIF(G76,"*碧归*")*307)/1024)</f>
        <v>0.0772587719297852</v>
      </c>
      <c r="CN76">
        <f ca="1" t="shared" si="162"/>
        <v>1846443.38800297</v>
      </c>
      <c r="CO76">
        <f ca="1" t="shared" si="163"/>
        <v>2.3156473116</v>
      </c>
      <c r="CP76">
        <f ca="1" t="shared" si="164"/>
        <v>1863187.79454516</v>
      </c>
      <c r="CQ76">
        <f ca="1" t="shared" si="154"/>
        <v>1.8815754648</v>
      </c>
      <c r="CR76">
        <f ca="1">IF(G76="恒定伤害",0,(IF(D76="轻剑",$CR$8,$CR$9)+IFERROR(INDEX(技能数据库!$T$2:$W$27,MATCH(E76,技能数据库!$T$2:$T$27,0),4),0)+COUNTIF(G76,"*造化2*")*154+COUNTIF(G76,"*造化1*")*102+COUNTIF(G76,"*碧归*")*307)/1024)</f>
        <v>0.0674931469297852</v>
      </c>
      <c r="CS76">
        <f ca="1" t="shared" si="165"/>
        <v>1763959.97195039</v>
      </c>
    </row>
    <row r="77" spans="4:97">
      <c r="D77" t="s">
        <v>1825</v>
      </c>
      <c r="E77" t="s">
        <v>2808</v>
      </c>
      <c r="G77" t="s">
        <v>3093</v>
      </c>
      <c r="H77">
        <f ca="1">INDEX(技能数据库!$B$2:$I$100,MATCH(阵眼收益计算!$E77,技能数据库!$B$2:$B$100,0),MATCH(H$9,技能数据库!$B$2:$I$2,0))</f>
        <v>535</v>
      </c>
      <c r="I77">
        <f ca="1">INDEX(技能数据库!$B$2:$I$100,MATCH(阵眼收益计算!$E77,技能数据库!$B$2:$B$100,0),MATCH(I$9,技能数据库!$B$2:$I$2,0))</f>
        <v>7.06875</v>
      </c>
      <c r="J77">
        <f ca="1">INDEX(技能数据库!$B$2:$I$100,MATCH(阵眼收益计算!$E77,技能数据库!$B$2:$B$100,0),MATCH(J$9,技能数据库!$B$2:$I$2,0))</f>
        <v>2</v>
      </c>
      <c r="K77">
        <f ca="1">INDEX(技能数据库!$B$2:$I$100,MATCH(阵眼收益计算!$E77,技能数据库!$B$2:$B$100,0),MATCH(K$9,技能数据库!$B$2:$I$2,0))</f>
        <v>0</v>
      </c>
      <c r="L77">
        <f ca="1" t="shared" si="110"/>
        <v>105847</v>
      </c>
      <c r="M77">
        <f ca="1" t="shared" si="103"/>
        <v>19530.5</v>
      </c>
      <c r="N77">
        <f ca="1" t="shared" si="104"/>
        <v>92028</v>
      </c>
      <c r="O77">
        <f ca="1" t="shared" si="111"/>
        <v>787801.98125</v>
      </c>
      <c r="P77">
        <f ca="1">IF(G77="恒定伤害",0,(IF(D77="轻剑",$AZ$2,$AZ$3)+IFERROR(INDEX(技能数据库!$T$2:$W$27,MATCH(E77,技能数据库!$T$2:$T$27,0),4),0)+COUNTIF(G77,"*造化2*")*154+COUNTIF(G77,"*造化1*")*102+COUNTIF(G77,"*碧归*")*307)/1024)</f>
        <v>0.636829084429785</v>
      </c>
      <c r="Q77">
        <f ca="1" t="shared" si="112"/>
        <v>0.448284482196154</v>
      </c>
      <c r="R77">
        <f ca="1" t="shared" si="113"/>
        <v>0.21277697966198</v>
      </c>
      <c r="S77">
        <f ca="1" t="shared" si="105"/>
        <v>1470185.26214426</v>
      </c>
      <c r="T77">
        <f t="shared" si="76"/>
        <v>0.8</v>
      </c>
      <c r="U77">
        <f ca="1" t="shared" si="114"/>
        <v>2.67001635480339</v>
      </c>
      <c r="V77">
        <f ca="1" t="shared" si="106"/>
        <v>4316483.16532827</v>
      </c>
      <c r="W77">
        <f ca="1">IF(G77="恒定伤害",0,MIN(1,IF(COUNTIF(F77,"*内会*")&gt;0,内会2,IF(D77="轻剑",$Y$2,$Y$3)+COUNTIF(G77,"*莺鸣*")*0.2+COUNTIF(G77,"*叠1*")*0.1+COUNTIF(G77,"*叠2*")*0.2+COUNTIF(G77,"*叠3*")*0.3)+IFERROR(INDEX(技能数据库!$T$2:$W$27,MATCH(E77,技能数据库!$T$2:$T$27,0),2),0)+IF((IF(D77="轻剑",$AO$2,$AO$3)+INT(COUNTIF(G77,"*大莺鸣*")*IF(D77="轻剑",$AM$2,$AM$3)*听晓无双率)/无双系数)&gt;0.9,特效裤子会心/会心系数,0)))</f>
        <v>0.9043</v>
      </c>
      <c r="X77">
        <f ca="1">IF(G77="恒定伤害",0,IF(COUNTIF(F77,"*内会*")&gt;0,内会效2,IF(D77="轻剑",$AB$2,$AB$3))+IFERROR(INDEX(技能数据库!$T$2:$W$27,MATCH(E77,技能数据库!$T$2:$T$27,0),3)/1024,0))+COUNTIF(G77,"*叠1*")*0.25+COUNTIF(G77,"*叠2*")*0.5+COUNTIF(G77,"*叠3*")*0.75</f>
        <v>2.1712723116</v>
      </c>
      <c r="Y77">
        <f ca="1" t="shared" si="107"/>
        <v>2.05918155137988</v>
      </c>
      <c r="Z77">
        <f t="shared" si="115"/>
        <v>0.150390625</v>
      </c>
      <c r="AA77">
        <f ca="1" t="shared" si="108"/>
        <v>0.0205078125</v>
      </c>
      <c r="AB77">
        <f ca="1" t="shared" si="109"/>
        <v>10434853.5373835</v>
      </c>
      <c r="AC77">
        <f ca="1">技能数计算!$AJ69</f>
        <v>0</v>
      </c>
      <c r="AD77" s="164">
        <f ca="1" t="shared" si="166"/>
        <v>0</v>
      </c>
      <c r="AE77" s="168"/>
      <c r="AF77" s="168">
        <f ca="1" t="shared" si="116"/>
        <v>0.9057</v>
      </c>
      <c r="AG77">
        <f ca="1">技能数计算!$AJ69</f>
        <v>0</v>
      </c>
      <c r="AH77">
        <f ca="1" t="shared" si="117"/>
        <v>109879</v>
      </c>
      <c r="AJ77">
        <f ca="1" t="shared" si="118"/>
        <v>2.3704910616</v>
      </c>
      <c r="AK77">
        <f ca="1" t="shared" si="119"/>
        <v>816780.18125</v>
      </c>
      <c r="AL77">
        <f ca="1" t="shared" si="120"/>
        <v>11778508.3537957</v>
      </c>
      <c r="AM77" s="169">
        <f ca="1" t="shared" si="121"/>
        <v>0.9272</v>
      </c>
      <c r="AN77">
        <f ca="1">技能数计算!$AJ69</f>
        <v>0</v>
      </c>
      <c r="AO77" s="170">
        <f ca="1" t="shared" si="122"/>
        <v>11933359.3242797</v>
      </c>
      <c r="AP77">
        <f ca="1" t="shared" si="123"/>
        <v>110956</v>
      </c>
      <c r="AQ77" s="170">
        <f ca="1" t="shared" si="124"/>
        <v>823916.225</v>
      </c>
      <c r="AR77">
        <f ca="1" t="shared" si="125"/>
        <v>11553456.5685361</v>
      </c>
      <c r="AS77">
        <f ca="1" t="shared" si="126"/>
        <v>0.9843</v>
      </c>
      <c r="AT77">
        <f ca="1">技能数计算!$AJ69</f>
        <v>0</v>
      </c>
      <c r="AU77">
        <f ca="1" t="shared" si="127"/>
        <v>2.3177566866</v>
      </c>
      <c r="AV77">
        <f ca="1" t="shared" si="128"/>
        <v>2.68954760480339</v>
      </c>
      <c r="AW77">
        <f ca="1" t="shared" si="155"/>
        <v>11702285.0280421</v>
      </c>
      <c r="AX77">
        <f ca="1" t="shared" si="129"/>
        <v>0.9743</v>
      </c>
      <c r="AY77">
        <f ca="1">技能数计算!$AJ69</f>
        <v>0</v>
      </c>
      <c r="AZ77" s="170">
        <f ca="1" t="shared" si="156"/>
        <v>11635152.6446252</v>
      </c>
      <c r="BA77">
        <f ca="1" t="shared" si="130"/>
        <v>0.9643</v>
      </c>
      <c r="BB77">
        <f ca="1">技能数计算!$AJ69</f>
        <v>0</v>
      </c>
      <c r="BC77" s="170">
        <f ca="1" t="shared" si="157"/>
        <v>11568020.2612082</v>
      </c>
      <c r="BE77">
        <f ca="1" t="shared" si="131"/>
        <v>105849</v>
      </c>
      <c r="BF77">
        <f ca="1" t="shared" si="132"/>
        <v>787816.11875</v>
      </c>
      <c r="BI77">
        <f ca="1" t="shared" si="133"/>
        <v>0.9543</v>
      </c>
      <c r="BJ77">
        <f ca="1">技能数计算!$AJ69</f>
        <v>0</v>
      </c>
      <c r="BK77">
        <f ca="1" t="shared" si="134"/>
        <v>11434647.4184108</v>
      </c>
      <c r="BM77">
        <f ca="1" t="shared" si="135"/>
        <v>109230</v>
      </c>
      <c r="BN77">
        <f ca="1" t="shared" si="136"/>
        <v>811715.5625</v>
      </c>
      <c r="BO77">
        <f ca="1" t="shared" si="137"/>
        <v>11611563.0827229</v>
      </c>
      <c r="BP77">
        <f ca="1" t="shared" si="138"/>
        <v>11073278.0921857</v>
      </c>
      <c r="BR77">
        <f ca="1" t="shared" si="139"/>
        <v>0.9543</v>
      </c>
      <c r="BS77">
        <f ca="1" t="shared" si="140"/>
        <v>11448811.003454</v>
      </c>
      <c r="BT77">
        <f ca="1" t="shared" si="141"/>
        <v>0.196995876306796</v>
      </c>
      <c r="BU77">
        <f ca="1" t="shared" si="142"/>
        <v>2.3177566866</v>
      </c>
      <c r="BV77">
        <f ca="1" t="shared" si="158"/>
        <v>11669338.5831639</v>
      </c>
      <c r="BW77">
        <f ca="1" t="shared" si="143"/>
        <v>113027</v>
      </c>
      <c r="BX77">
        <f ca="1" t="shared" si="144"/>
        <v>838555.60625</v>
      </c>
      <c r="BY77">
        <f ca="1" t="shared" si="145"/>
        <v>0.9343</v>
      </c>
      <c r="BZ77">
        <f ca="1">技能数计算!$AJ69</f>
        <v>0</v>
      </c>
      <c r="CA77">
        <f ca="1" t="shared" si="146"/>
        <v>2.3216629366</v>
      </c>
      <c r="CB77">
        <f ca="1" t="shared" si="159"/>
        <v>12054548.4816151</v>
      </c>
      <c r="CC77">
        <f ca="1" t="shared" si="147"/>
        <v>114847</v>
      </c>
      <c r="CD77">
        <f ca="1" t="shared" si="148"/>
        <v>851420.73125</v>
      </c>
      <c r="CE77">
        <f ca="1" t="shared" si="149"/>
        <v>11813127.694076</v>
      </c>
      <c r="CF77">
        <f ca="1" t="shared" si="150"/>
        <v>2.2689285616</v>
      </c>
      <c r="CG77">
        <f ca="1" t="shared" si="151"/>
        <v>0.9343</v>
      </c>
      <c r="CH77">
        <f ca="1" t="shared" si="160"/>
        <v>11134213.9545706</v>
      </c>
      <c r="CJ77">
        <f ca="1" t="shared" si="152"/>
        <v>811715.5625</v>
      </c>
      <c r="CK77">
        <f ca="1" t="shared" si="153"/>
        <v>11558963.3348073</v>
      </c>
      <c r="CL77">
        <f ca="1" t="shared" si="161"/>
        <v>2.2915848116</v>
      </c>
      <c r="CM77">
        <f ca="1">IF(G77="恒定伤害",0,(IF(D77="轻剑",$CM$8,$CM$9)+IFERROR(INDEX(技能数据库!$T$2:$W$27,MATCH(E77,技能数据库!$T$2:$T$27,0),4),0)+COUNTIF(G77,"*造化2*")*154+COUNTIF(G77,"*造化1*")*102+COUNTIF(G77,"*碧归*")*307)/1024)</f>
        <v>0.697375959429785</v>
      </c>
      <c r="CN77">
        <f ca="1" t="shared" si="162"/>
        <v>11657899.1947418</v>
      </c>
      <c r="CO77">
        <f ca="1" t="shared" si="163"/>
        <v>2.3156473116</v>
      </c>
      <c r="CP77">
        <f ca="1" t="shared" si="164"/>
        <v>11776666.9769763</v>
      </c>
      <c r="CQ77">
        <f ca="1" t="shared" si="154"/>
        <v>2.77157885480339</v>
      </c>
      <c r="CR77">
        <f ca="1">IF(G77="恒定伤害",0,(IF(D77="轻剑",$CR$8,$CR$9)+IFERROR(INDEX(技能数据库!$T$2:$W$27,MATCH(E77,技能数据库!$T$2:$T$27,0),4),0)+COUNTIF(G77,"*造化2*")*154+COUNTIF(G77,"*造化1*")*102+COUNTIF(G77,"*碧归*")*307)/1024)</f>
        <v>0.687610334429785</v>
      </c>
      <c r="CS77">
        <f ca="1" t="shared" si="165"/>
        <v>11056314.7391052</v>
      </c>
    </row>
    <row r="78" spans="4:97">
      <c r="D78" t="s">
        <v>1825</v>
      </c>
      <c r="E78" t="s">
        <v>2808</v>
      </c>
      <c r="G78" t="s">
        <v>3057</v>
      </c>
      <c r="H78">
        <f ca="1">INDEX(技能数据库!$B$2:$I$100,MATCH(阵眼收益计算!$E78,技能数据库!$B$2:$B$100,0),MATCH(H$9,技能数据库!$B$2:$I$2,0))</f>
        <v>535</v>
      </c>
      <c r="I78">
        <f ca="1">INDEX(技能数据库!$B$2:$I$100,MATCH(阵眼收益计算!$E78,技能数据库!$B$2:$B$100,0),MATCH(I$9,技能数据库!$B$2:$I$2,0))</f>
        <v>7.06875</v>
      </c>
      <c r="J78">
        <f ca="1">INDEX(技能数据库!$B$2:$I$100,MATCH(阵眼收益计算!$E78,技能数据库!$B$2:$B$100,0),MATCH(J$9,技能数据库!$B$2:$I$2,0))</f>
        <v>2</v>
      </c>
      <c r="K78">
        <f ca="1">INDEX(技能数据库!$B$2:$I$100,MATCH(阵眼收益计算!$E78,技能数据库!$B$2:$B$100,0),MATCH(K$9,技能数据库!$B$2:$I$2,0))</f>
        <v>0</v>
      </c>
      <c r="L78">
        <f ca="1" t="shared" si="110"/>
        <v>105847</v>
      </c>
      <c r="M78">
        <f ca="1" t="shared" si="103"/>
        <v>19530.5</v>
      </c>
      <c r="N78">
        <f ca="1" t="shared" si="104"/>
        <v>92028</v>
      </c>
      <c r="O78">
        <f ca="1" t="shared" si="111"/>
        <v>787801.98125</v>
      </c>
      <c r="P78">
        <f ca="1">IF(G78="恒定伤害",0,(IF(D78="轻剑",$AZ$2,$AZ$3)+IFERROR(INDEX(技能数据库!$T$2:$W$27,MATCH(E78,技能数据库!$T$2:$T$27,0),4),0)+COUNTIF(G78,"*造化2*")*154+COUNTIF(G78,"*造化1*")*102+COUNTIF(G78,"*碧归*")*307)/1024)</f>
        <v>0.286243146929785</v>
      </c>
      <c r="Q78">
        <f ca="1" t="shared" si="112"/>
        <v>0.448284482196154</v>
      </c>
      <c r="R78">
        <f ca="1" t="shared" si="113"/>
        <v>0.21277697966198</v>
      </c>
      <c r="S78">
        <f ca="1" t="shared" si="105"/>
        <v>1155292.1048009</v>
      </c>
      <c r="T78">
        <f t="shared" si="76"/>
        <v>0.8</v>
      </c>
      <c r="U78">
        <f ca="1" t="shared" si="114"/>
        <v>1.7800129648</v>
      </c>
      <c r="V78">
        <f ca="1" t="shared" si="106"/>
        <v>2569381.62358207</v>
      </c>
      <c r="W78">
        <f ca="1">IF(G78="恒定伤害",0,MIN(1,IF(COUNTIF(F78,"*内会*")&gt;0,内会2,IF(D78="轻剑",$Y$2,$Y$3)+COUNTIF(G78,"*莺鸣*")*0.2+COUNTIF(G78,"*叠1*")*0.1+COUNTIF(G78,"*叠2*")*0.2+COUNTIF(G78,"*叠3*")*0.3)+IFERROR(INDEX(技能数据库!$T$2:$W$27,MATCH(E78,技能数据库!$T$2:$T$27,0),2),0)+IF((IF(D78="轻剑",$AO$2,$AO$3)+INT(COUNTIF(G78,"*大莺鸣*")*IF(D78="轻剑",$AM$2,$AM$3)*听晓无双率)/无双系数)&gt;0.9,特效裤子会心/会心系数,0)))</f>
        <v>0.7043</v>
      </c>
      <c r="X78">
        <f ca="1">IF(G78="恒定伤害",0,IF(COUNTIF(F78,"*内会*")&gt;0,内会效2,IF(D78="轻剑",$AB$2,$AB$3))+IFERROR(INDEX(技能数据库!$T$2:$W$27,MATCH(E78,技能数据库!$T$2:$T$27,0),3)/1024,0))+COUNTIF(G78,"*叠1*")*0.25+COUNTIF(G78,"*叠2*")*0.5+COUNTIF(G78,"*叠3*")*0.75</f>
        <v>2.1712723116</v>
      </c>
      <c r="Y78">
        <f ca="1" t="shared" si="107"/>
        <v>1.82492708905988</v>
      </c>
      <c r="Z78">
        <f t="shared" si="115"/>
        <v>0.150390625</v>
      </c>
      <c r="AA78">
        <f ca="1" t="shared" si="108"/>
        <v>0.0205078125</v>
      </c>
      <c r="AB78">
        <f ca="1" t="shared" si="109"/>
        <v>5504727.17255364</v>
      </c>
      <c r="AC78">
        <f ca="1">技能数计算!$AJ70</f>
        <v>0</v>
      </c>
      <c r="AD78" s="164">
        <f ca="1" t="shared" si="166"/>
        <v>0</v>
      </c>
      <c r="AE78" s="168"/>
      <c r="AF78" s="168">
        <f ca="1" t="shared" si="116"/>
        <v>0.7057</v>
      </c>
      <c r="AG78">
        <f ca="1">技能数计算!$AJ70</f>
        <v>0</v>
      </c>
      <c r="AH78">
        <f ca="1" t="shared" si="117"/>
        <v>109879</v>
      </c>
      <c r="AJ78">
        <f ca="1" t="shared" si="118"/>
        <v>2.3704910616</v>
      </c>
      <c r="AK78">
        <f ca="1" t="shared" si="119"/>
        <v>816780.18125</v>
      </c>
      <c r="AL78">
        <f ca="1" t="shared" si="120"/>
        <v>6153702.93480462</v>
      </c>
      <c r="AM78" s="169">
        <f ca="1" t="shared" si="121"/>
        <v>0.7272</v>
      </c>
      <c r="AN78">
        <f ca="1">技能数计算!$AJ70</f>
        <v>0</v>
      </c>
      <c r="AO78" s="170">
        <f ca="1" t="shared" si="122"/>
        <v>6245877.79631026</v>
      </c>
      <c r="AP78">
        <f ca="1" t="shared" si="123"/>
        <v>110956</v>
      </c>
      <c r="AQ78" s="170">
        <f ca="1" t="shared" si="124"/>
        <v>823916.225</v>
      </c>
      <c r="AR78">
        <f ca="1" t="shared" si="125"/>
        <v>6094826.92611767</v>
      </c>
      <c r="AS78">
        <f ca="1" t="shared" si="126"/>
        <v>0.7843</v>
      </c>
      <c r="AT78">
        <f ca="1">技能数计算!$AJ70</f>
        <v>0</v>
      </c>
      <c r="AU78">
        <f ca="1" t="shared" si="127"/>
        <v>2.3177566866</v>
      </c>
      <c r="AV78">
        <f ca="1" t="shared" si="128"/>
        <v>1.7995442148</v>
      </c>
      <c r="AW78">
        <f ca="1" t="shared" si="155"/>
        <v>6177012.87272455</v>
      </c>
      <c r="AX78">
        <f ca="1" t="shared" si="129"/>
        <v>0.7743</v>
      </c>
      <c r="AY78">
        <f ca="1">技能数计算!$AJ70</f>
        <v>0</v>
      </c>
      <c r="AZ78" s="170">
        <f ca="1" t="shared" si="156"/>
        <v>6136984.67654886</v>
      </c>
      <c r="BA78">
        <f ca="1" t="shared" si="130"/>
        <v>0.7643</v>
      </c>
      <c r="BB78">
        <f ca="1">技能数计算!$AJ70</f>
        <v>0</v>
      </c>
      <c r="BC78" s="170">
        <f ca="1" t="shared" si="157"/>
        <v>6096956.48037317</v>
      </c>
      <c r="BE78">
        <f ca="1" t="shared" si="131"/>
        <v>105849</v>
      </c>
      <c r="BF78">
        <f ca="1" t="shared" si="132"/>
        <v>787816.11875</v>
      </c>
      <c r="BI78">
        <f ca="1" t="shared" si="133"/>
        <v>0.7543</v>
      </c>
      <c r="BJ78">
        <f ca="1">技能数计算!$AJ70</f>
        <v>0</v>
      </c>
      <c r="BK78">
        <f ca="1" t="shared" si="134"/>
        <v>6063822.95979675</v>
      </c>
      <c r="BM78">
        <f ca="1" t="shared" si="135"/>
        <v>109230</v>
      </c>
      <c r="BN78">
        <f ca="1" t="shared" si="136"/>
        <v>811715.5625</v>
      </c>
      <c r="BO78">
        <f ca="1" t="shared" si="137"/>
        <v>6125480.01639828</v>
      </c>
      <c r="BP78">
        <f ca="1" t="shared" si="138"/>
        <v>5841517.04524851</v>
      </c>
      <c r="BR78">
        <f ca="1" t="shared" si="139"/>
        <v>0.7543</v>
      </c>
      <c r="BS78">
        <f ca="1" t="shared" si="140"/>
        <v>6071333.94540349</v>
      </c>
      <c r="BT78">
        <f ca="1" t="shared" si="141"/>
        <v>0.196995876306796</v>
      </c>
      <c r="BU78">
        <f ca="1" t="shared" si="142"/>
        <v>2.3177566866</v>
      </c>
      <c r="BV78">
        <f ca="1" t="shared" si="158"/>
        <v>6135245.02492998</v>
      </c>
      <c r="BW78">
        <f ca="1" t="shared" si="143"/>
        <v>113027</v>
      </c>
      <c r="BX78">
        <f ca="1" t="shared" si="144"/>
        <v>838555.60625</v>
      </c>
      <c r="BY78">
        <f ca="1" t="shared" si="145"/>
        <v>0.7343</v>
      </c>
      <c r="BZ78">
        <f ca="1">技能数计算!$AJ70</f>
        <v>0</v>
      </c>
      <c r="CA78">
        <f ca="1" t="shared" si="146"/>
        <v>2.3216629366</v>
      </c>
      <c r="CB78">
        <f ca="1" t="shared" si="159"/>
        <v>6326752.97874091</v>
      </c>
      <c r="CC78">
        <f ca="1" t="shared" si="147"/>
        <v>114847</v>
      </c>
      <c r="CD78">
        <f ca="1" t="shared" si="148"/>
        <v>851420.73125</v>
      </c>
      <c r="CE78">
        <f ca="1" t="shared" si="149"/>
        <v>6245233.20002675</v>
      </c>
      <c r="CF78">
        <f ca="1" t="shared" si="150"/>
        <v>2.2689285616</v>
      </c>
      <c r="CG78">
        <f ca="1" t="shared" si="151"/>
        <v>0.7343</v>
      </c>
      <c r="CH78">
        <f ca="1" t="shared" si="160"/>
        <v>5867960.2345079</v>
      </c>
      <c r="CJ78">
        <f ca="1" t="shared" si="152"/>
        <v>811715.5625</v>
      </c>
      <c r="CK78">
        <f ca="1" t="shared" si="153"/>
        <v>6097731.92577263</v>
      </c>
      <c r="CL78">
        <f ca="1" t="shared" si="161"/>
        <v>2.2915848116</v>
      </c>
      <c r="CM78">
        <f ca="1">IF(G78="恒定伤害",0,(IF(D78="轻剑",$CM$8,$CM$9)+IFERROR(INDEX(技能数据库!$T$2:$W$27,MATCH(E78,技能数据库!$T$2:$T$27,0),4),0)+COUNTIF(G78,"*造化2*")*154+COUNTIF(G78,"*造化1*")*102+COUNTIF(G78,"*碧归*")*307)/1024)</f>
        <v>0.346790021929785</v>
      </c>
      <c r="CN78">
        <f ca="1" t="shared" si="162"/>
        <v>6197094.50567599</v>
      </c>
      <c r="CO78">
        <f ca="1" t="shared" si="163"/>
        <v>2.3156473116</v>
      </c>
      <c r="CP78">
        <f ca="1" t="shared" si="164"/>
        <v>6253292.63796514</v>
      </c>
      <c r="CQ78">
        <f ca="1" t="shared" si="154"/>
        <v>1.8815754648</v>
      </c>
      <c r="CR78">
        <f ca="1">IF(G78="恒定伤害",0,(IF(D78="轻剑",$CR$8,$CR$9)+IFERROR(INDEX(技能数据库!$T$2:$W$27,MATCH(E78,技能数据库!$T$2:$T$27,0),4),0)+COUNTIF(G78,"*造化2*")*154+COUNTIF(G78,"*造化1*")*102+COUNTIF(G78,"*碧归*")*307)/1024)</f>
        <v>0.337024396929785</v>
      </c>
      <c r="CS78">
        <f ca="1" t="shared" si="165"/>
        <v>5931099.82607079</v>
      </c>
    </row>
    <row r="79" spans="4:97">
      <c r="D79" t="s">
        <v>1825</v>
      </c>
      <c r="E79" t="s">
        <v>2808</v>
      </c>
      <c r="G79" t="s">
        <v>3070</v>
      </c>
      <c r="H79">
        <f ca="1">INDEX(技能数据库!$B$2:$I$100,MATCH(阵眼收益计算!$E79,技能数据库!$B$2:$B$100,0),MATCH(H$9,技能数据库!$B$2:$I$2,0))</f>
        <v>535</v>
      </c>
      <c r="I79">
        <f ca="1">INDEX(技能数据库!$B$2:$I$100,MATCH(阵眼收益计算!$E79,技能数据库!$B$2:$B$100,0),MATCH(I$9,技能数据库!$B$2:$I$2,0))</f>
        <v>7.06875</v>
      </c>
      <c r="J79">
        <f ca="1">INDEX(技能数据库!$B$2:$I$100,MATCH(阵眼收益计算!$E79,技能数据库!$B$2:$B$100,0),MATCH(J$9,技能数据库!$B$2:$I$2,0))</f>
        <v>2</v>
      </c>
      <c r="K79">
        <f ca="1">INDEX(技能数据库!$B$2:$I$100,MATCH(阵眼收益计算!$E79,技能数据库!$B$2:$B$100,0),MATCH(K$9,技能数据库!$B$2:$I$2,0))</f>
        <v>0</v>
      </c>
      <c r="L79">
        <f ca="1" t="shared" si="110"/>
        <v>105847</v>
      </c>
      <c r="M79">
        <f ca="1" t="shared" si="103"/>
        <v>19530.5</v>
      </c>
      <c r="N79">
        <f ca="1" t="shared" si="104"/>
        <v>92028</v>
      </c>
      <c r="O79">
        <f ca="1" t="shared" si="111"/>
        <v>787801.98125</v>
      </c>
      <c r="P79">
        <f ca="1">IF(G79="恒定伤害",0,(IF(D79="轻剑",$AZ$2,$AZ$3)+IFERROR(INDEX(技能数据库!$T$2:$W$27,MATCH(E79,技能数据库!$T$2:$T$27,0),4),0)+COUNTIF(G79,"*造化2*")*154+COUNTIF(G79,"*造化1*")*102+COUNTIF(G79,"*碧归*")*307)/1024)</f>
        <v>0.337024396929785</v>
      </c>
      <c r="Q79">
        <f ca="1" t="shared" si="112"/>
        <v>0.448284482196154</v>
      </c>
      <c r="R79">
        <f ca="1" t="shared" si="113"/>
        <v>0.21277697966198</v>
      </c>
      <c r="S79">
        <f ca="1" t="shared" si="105"/>
        <v>1200903.36993142</v>
      </c>
      <c r="T79">
        <f t="shared" si="76"/>
        <v>0.8</v>
      </c>
      <c r="U79">
        <f ca="1" t="shared" si="114"/>
        <v>2.67001635480339</v>
      </c>
      <c r="V79">
        <f ca="1" t="shared" si="106"/>
        <v>3525868.00654945</v>
      </c>
      <c r="W79">
        <f ca="1">IF(G79="恒定伤害",0,MIN(1,IF(COUNTIF(F79,"*内会*")&gt;0,内会2,IF(D79="轻剑",$Y$2,$Y$3)+COUNTIF(G79,"*莺鸣*")*0.2+COUNTIF(G79,"*叠1*")*0.1+COUNTIF(G79,"*叠2*")*0.2+COUNTIF(G79,"*叠3*")*0.3)+IFERROR(INDEX(技能数据库!$T$2:$W$27,MATCH(E79,技能数据库!$T$2:$T$27,0),2),0)+IF((IF(D79="轻剑",$AO$2,$AO$3)+INT(COUNTIF(G79,"*大莺鸣*")*IF(D79="轻剑",$AM$2,$AM$3)*听晓无双率)/无双系数)&gt;0.9,特效裤子会心/会心系数,0)))</f>
        <v>0.9043</v>
      </c>
      <c r="X79">
        <f ca="1">IF(G79="恒定伤害",0,IF(COUNTIF(F79,"*内会*")&gt;0,内会效2,IF(D79="轻剑",$AB$2,$AB$3))+IFERROR(INDEX(技能数据库!$T$2:$W$27,MATCH(E79,技能数据库!$T$2:$T$27,0),3)/1024,0))+COUNTIF(G79,"*叠1*")*0.25+COUNTIF(G79,"*叠2*")*0.5+COUNTIF(G79,"*叠3*")*0.75</f>
        <v>2.1712723116</v>
      </c>
      <c r="Y79">
        <f ca="1" t="shared" si="107"/>
        <v>2.05918155137988</v>
      </c>
      <c r="Z79">
        <f t="shared" si="115"/>
        <v>0.150390625</v>
      </c>
      <c r="AA79">
        <f ca="1" t="shared" si="108"/>
        <v>0.0205078125</v>
      </c>
      <c r="AB79">
        <f ca="1" t="shared" si="109"/>
        <v>8523586.17682498</v>
      </c>
      <c r="AC79">
        <f ca="1">技能数计算!$AJ71</f>
        <v>0</v>
      </c>
      <c r="AD79" s="164">
        <f ca="1" t="shared" si="166"/>
        <v>0</v>
      </c>
      <c r="AE79" s="168"/>
      <c r="AF79" s="168">
        <f ca="1" t="shared" si="116"/>
        <v>0.9057</v>
      </c>
      <c r="AG79">
        <f ca="1">技能数计算!$AJ71</f>
        <v>0</v>
      </c>
      <c r="AH79">
        <f ca="1" t="shared" si="117"/>
        <v>109879</v>
      </c>
      <c r="AJ79">
        <f ca="1" t="shared" si="118"/>
        <v>2.3704910616</v>
      </c>
      <c r="AK79">
        <f ca="1" t="shared" si="119"/>
        <v>816780.18125</v>
      </c>
      <c r="AL79">
        <f ca="1" t="shared" si="120"/>
        <v>9621134.65496748</v>
      </c>
      <c r="AM79" s="169">
        <f ca="1" t="shared" si="121"/>
        <v>0.9272</v>
      </c>
      <c r="AN79">
        <f ca="1">技能数计算!$AJ71</f>
        <v>0</v>
      </c>
      <c r="AO79" s="170">
        <f ca="1" t="shared" si="122"/>
        <v>9747622.83103599</v>
      </c>
      <c r="AP79">
        <f ca="1" t="shared" si="123"/>
        <v>110956</v>
      </c>
      <c r="AQ79" s="170">
        <f ca="1" t="shared" si="124"/>
        <v>823916.225</v>
      </c>
      <c r="AR79">
        <f ca="1" t="shared" si="125"/>
        <v>9437303.77712756</v>
      </c>
      <c r="AS79">
        <f ca="1" t="shared" si="126"/>
        <v>0.9843</v>
      </c>
      <c r="AT79">
        <f ca="1">技能数计算!$AJ71</f>
        <v>0</v>
      </c>
      <c r="AU79">
        <f ca="1" t="shared" si="127"/>
        <v>2.3177566866</v>
      </c>
      <c r="AV79">
        <f ca="1" t="shared" si="128"/>
        <v>2.68954760480339</v>
      </c>
      <c r="AW79">
        <f ca="1" t="shared" si="155"/>
        <v>9558872.5366333</v>
      </c>
      <c r="AX79">
        <f ca="1" t="shared" si="129"/>
        <v>0.9743</v>
      </c>
      <c r="AY79">
        <f ca="1">技能数计算!$AJ71</f>
        <v>0</v>
      </c>
      <c r="AZ79" s="170">
        <f ca="1" t="shared" si="156"/>
        <v>9504036.24657326</v>
      </c>
      <c r="BA79">
        <f ca="1" t="shared" si="130"/>
        <v>0.9643</v>
      </c>
      <c r="BB79">
        <f ca="1">技能数计算!$AJ71</f>
        <v>0</v>
      </c>
      <c r="BC79" s="170">
        <f ca="1" t="shared" si="157"/>
        <v>9449199.95651321</v>
      </c>
      <c r="BE79">
        <f ca="1" t="shared" si="131"/>
        <v>105849</v>
      </c>
      <c r="BF79">
        <f ca="1" t="shared" si="132"/>
        <v>787816.11875</v>
      </c>
      <c r="BI79">
        <f ca="1" t="shared" si="133"/>
        <v>0.9543</v>
      </c>
      <c r="BJ79">
        <f ca="1">技能数计算!$AJ71</f>
        <v>0</v>
      </c>
      <c r="BK79">
        <f ca="1" t="shared" si="134"/>
        <v>9340255.93394889</v>
      </c>
      <c r="BM79">
        <f ca="1" t="shared" si="135"/>
        <v>109230</v>
      </c>
      <c r="BN79">
        <f ca="1" t="shared" si="136"/>
        <v>811715.5625</v>
      </c>
      <c r="BO79">
        <f ca="1" t="shared" si="137"/>
        <v>9484767.39310758</v>
      </c>
      <c r="BP79">
        <f ca="1" t="shared" si="138"/>
        <v>9045075.69182031</v>
      </c>
      <c r="BR79">
        <f ca="1" t="shared" si="139"/>
        <v>0.9543</v>
      </c>
      <c r="BS79">
        <f ca="1" t="shared" si="140"/>
        <v>9351825.29016992</v>
      </c>
      <c r="BT79">
        <f ca="1" t="shared" si="141"/>
        <v>0.196995876306796</v>
      </c>
      <c r="BU79">
        <f ca="1" t="shared" si="142"/>
        <v>2.3177566866</v>
      </c>
      <c r="BV79">
        <f ca="1" t="shared" si="158"/>
        <v>9531960.62444078</v>
      </c>
      <c r="BW79">
        <f ca="1" t="shared" si="143"/>
        <v>113027</v>
      </c>
      <c r="BX79">
        <f ca="1" t="shared" si="144"/>
        <v>838555.60625</v>
      </c>
      <c r="BY79">
        <f ca="1" t="shared" si="145"/>
        <v>0.9343</v>
      </c>
      <c r="BZ79">
        <f ca="1">技能数计算!$AJ71</f>
        <v>0</v>
      </c>
      <c r="CA79">
        <f ca="1" t="shared" si="146"/>
        <v>2.3216629366</v>
      </c>
      <c r="CB79">
        <f ca="1" t="shared" si="159"/>
        <v>9846614.75483676</v>
      </c>
      <c r="CC79">
        <f ca="1" t="shared" si="147"/>
        <v>114847</v>
      </c>
      <c r="CD79">
        <f ca="1" t="shared" si="148"/>
        <v>851420.73125</v>
      </c>
      <c r="CE79">
        <f ca="1" t="shared" si="149"/>
        <v>9649413.05190014</v>
      </c>
      <c r="CF79">
        <f ca="1" t="shared" si="150"/>
        <v>2.2689285616</v>
      </c>
      <c r="CG79">
        <f ca="1" t="shared" si="151"/>
        <v>0.9343</v>
      </c>
      <c r="CH79">
        <f ca="1" t="shared" si="160"/>
        <v>9094850.42727168</v>
      </c>
      <c r="CJ79">
        <f ca="1" t="shared" si="152"/>
        <v>811715.5625</v>
      </c>
      <c r="CK79">
        <f ca="1" t="shared" si="153"/>
        <v>9441801.91375206</v>
      </c>
      <c r="CL79">
        <f ca="1" t="shared" si="161"/>
        <v>2.2915848116</v>
      </c>
      <c r="CM79">
        <f ca="1">IF(G79="恒定伤害",0,(IF(D79="轻剑",$CM$8,$CM$9)+IFERROR(INDEX(技能数据库!$T$2:$W$27,MATCH(E79,技能数据库!$T$2:$T$27,0),4),0)+COUNTIF(G79,"*造化2*")*154+COUNTIF(G79,"*造化1*")*102+COUNTIF(G79,"*碧归*")*307)/1024)</f>
        <v>0.397571271929785</v>
      </c>
      <c r="CN79">
        <f ca="1" t="shared" si="162"/>
        <v>9598783.88468395</v>
      </c>
      <c r="CO79">
        <f ca="1" t="shared" si="163"/>
        <v>2.3156473116</v>
      </c>
      <c r="CP79">
        <f ca="1" t="shared" si="164"/>
        <v>9696573.91143645</v>
      </c>
      <c r="CQ79">
        <f ca="1" t="shared" si="154"/>
        <v>2.77157885480339</v>
      </c>
      <c r="CR79">
        <f ca="1">IF(G79="恒定伤害",0,(IF(D79="轻剑",$CR$8,$CR$9)+IFERROR(INDEX(技能数据库!$T$2:$W$27,MATCH(E79,技能数据库!$T$2:$T$27,0),4),0)+COUNTIF(G79,"*造化2*")*154+COUNTIF(G79,"*造化1*")*102+COUNTIF(G79,"*碧归*")*307)/1024)</f>
        <v>0.387805646929785</v>
      </c>
      <c r="CS79">
        <f ca="1" t="shared" si="165"/>
        <v>9092155.76375795</v>
      </c>
    </row>
    <row r="80" spans="4:97">
      <c r="D80" t="s">
        <v>1825</v>
      </c>
      <c r="E80" t="s">
        <v>2810</v>
      </c>
      <c r="G80" t="s">
        <v>3098</v>
      </c>
      <c r="H80">
        <f ca="1">INDEX(技能数据库!$B$2:$I$100,MATCH(阵眼收益计算!$E80,技能数据库!$B$2:$B$100,0),MATCH(H$9,技能数据库!$B$2:$I$2,0))</f>
        <v>2415000</v>
      </c>
      <c r="I80">
        <f ca="1">INDEX(技能数据库!$B$2:$I$100,MATCH(阵眼收益计算!$E80,技能数据库!$B$2:$B$100,0),MATCH(I$9,技能数据库!$B$2:$I$2,0))</f>
        <v>0</v>
      </c>
      <c r="J80">
        <f ca="1">INDEX(技能数据库!$B$2:$I$100,MATCH(阵眼收益计算!$E80,技能数据库!$B$2:$B$100,0),MATCH(J$9,技能数据库!$B$2:$I$2,0))</f>
        <v>0</v>
      </c>
      <c r="K80">
        <f ca="1">INDEX(技能数据库!$B$2:$I$100,MATCH(阵眼收益计算!$E80,技能数据库!$B$2:$B$100,0),MATCH(K$9,技能数据库!$B$2:$I$2,0))</f>
        <v>0</v>
      </c>
      <c r="L80">
        <f ca="1" t="shared" si="110"/>
        <v>91975</v>
      </c>
      <c r="M80">
        <f ca="1" t="shared" si="103"/>
        <v>19530.5</v>
      </c>
      <c r="N80">
        <f ca="1" t="shared" si="104"/>
        <v>92028</v>
      </c>
      <c r="O80">
        <f ca="1" t="shared" si="111"/>
        <v>2415000</v>
      </c>
      <c r="P80">
        <f ca="1">IF(G80="恒定伤害",0,(IF(D80="轻剑",$AZ$2,$AZ$3)+IFERROR(INDEX(技能数据库!$T$2:$W$27,MATCH(E80,技能数据库!$T$2:$T$27,0),4),0)+COUNTIF(G80,"*造化2*")*154+COUNTIF(G80,"*造化1*")*102+COUNTIF(G80,"*碧归*")*307)/1024)</f>
        <v>0</v>
      </c>
      <c r="Q80">
        <f ca="1" t="shared" si="112"/>
        <v>0</v>
      </c>
      <c r="R80">
        <f ca="1" t="shared" si="113"/>
        <v>0</v>
      </c>
      <c r="S80">
        <f ca="1" t="shared" si="105"/>
        <v>2415000</v>
      </c>
      <c r="T80">
        <f>1-($F$6-130)*0.05</f>
        <v>0.8</v>
      </c>
      <c r="U80">
        <f ca="1" t="shared" si="114"/>
        <v>0</v>
      </c>
      <c r="V80">
        <f ca="1" t="shared" si="106"/>
        <v>1932000</v>
      </c>
      <c r="W80">
        <f ca="1">IF(G80="恒定伤害",0,MIN(1,IF(COUNTIF(F80,"*内会*")&gt;0,内会2,IF(D80="轻剑",$Y$2,$Y$3)+COUNTIF(G80,"*莺鸣*")*0.2+COUNTIF(G80,"*叠1*")*0.1+COUNTIF(G80,"*叠2*")*0.2+COUNTIF(G80,"*叠3*")*0.3)+IFERROR(INDEX(技能数据库!$T$2:$W$27,MATCH(E80,技能数据库!$T$2:$T$27,0),2),0)+IF((IF(D80="轻剑",$AO$2,$AO$3)+INT(COUNTIF(G80,"*大莺鸣*")*IF(D80="轻剑",$AM$2,$AM$3)*听晓无双率)/无双系数)&gt;0.9,特效裤子会心/会心系数,0)))</f>
        <v>0</v>
      </c>
      <c r="X80">
        <f ca="1">IF(G80="恒定伤害",0,IF(COUNTIF(F80,"*内会*")&gt;0,内会效2,IF(D80="轻剑",$AB$2,$AB$3))+IFERROR(INDEX(技能数据库!$T$2:$W$27,MATCH(E80,技能数据库!$T$2:$T$27,0),3)/1024,0))+COUNTIF(G80,"*叠1*")*0.25+COUNTIF(G80,"*叠2*")*0.5+COUNTIF(G80,"*叠3*")*0.75</f>
        <v>0</v>
      </c>
      <c r="Y80">
        <f ca="1" t="shared" si="107"/>
        <v>1</v>
      </c>
      <c r="Z80">
        <f t="shared" si="115"/>
        <v>0</v>
      </c>
      <c r="AA80">
        <f ca="1" t="shared" si="108"/>
        <v>0.0205078125</v>
      </c>
      <c r="AB80">
        <f ca="1" t="shared" si="109"/>
        <v>1971621.09375</v>
      </c>
      <c r="AC80" s="171">
        <f>技能数计算!$AJ72</f>
        <v>13.210200927357</v>
      </c>
      <c r="AD80" s="164">
        <f ca="1" t="shared" si="166"/>
        <v>0.00933768790334444</v>
      </c>
      <c r="AE80" s="168"/>
      <c r="AF80" s="168">
        <f ca="1" t="shared" si="116"/>
        <v>0.00139999999999996</v>
      </c>
      <c r="AG80" s="171">
        <f>技能数计算!$AJ72</f>
        <v>13.210200927357</v>
      </c>
      <c r="AH80">
        <f ca="1" t="shared" si="117"/>
        <v>96007</v>
      </c>
      <c r="AJ80">
        <f ca="1" t="shared" si="118"/>
        <v>0.19921875</v>
      </c>
      <c r="AK80">
        <f ca="1" t="shared" si="119"/>
        <v>2415000</v>
      </c>
      <c r="AL80">
        <f ca="1" t="shared" si="120"/>
        <v>1971621.09375</v>
      </c>
      <c r="AM80" s="169">
        <f ca="1" t="shared" si="121"/>
        <v>0.0228999999999999</v>
      </c>
      <c r="AN80" s="171">
        <f>技能数计算!$AJ72</f>
        <v>13.210200927357</v>
      </c>
      <c r="AO80" s="170">
        <f ca="1" t="shared" si="122"/>
        <v>1971621.09375</v>
      </c>
      <c r="AP80">
        <f ca="1" t="shared" si="123"/>
        <v>97084</v>
      </c>
      <c r="AQ80" s="170">
        <f ca="1" t="shared" si="124"/>
        <v>2415000</v>
      </c>
      <c r="AR80">
        <f ca="1" t="shared" si="125"/>
        <v>1971621.09375</v>
      </c>
      <c r="AS80">
        <f ca="1" t="shared" si="126"/>
        <v>0.08</v>
      </c>
      <c r="AT80" s="171">
        <f>技能数计算!$AJ72</f>
        <v>13.210200927357</v>
      </c>
      <c r="AU80">
        <f ca="1" t="shared" si="127"/>
        <v>0.146484375</v>
      </c>
      <c r="AV80">
        <f ca="1" t="shared" si="128"/>
        <v>0</v>
      </c>
      <c r="AW80">
        <f ca="1" t="shared" si="155"/>
        <v>1971621.09375</v>
      </c>
      <c r="AX80">
        <f ca="1" t="shared" si="129"/>
        <v>0.07</v>
      </c>
      <c r="AY80" s="171">
        <f>技能数计算!$AJ72</f>
        <v>13.210200927357</v>
      </c>
      <c r="AZ80" s="170">
        <f ca="1" t="shared" si="156"/>
        <v>1971621.09375</v>
      </c>
      <c r="BA80">
        <f ca="1" t="shared" si="130"/>
        <v>0.0599999999999999</v>
      </c>
      <c r="BB80" s="171">
        <f>技能数计算!$AJ72</f>
        <v>13.210200927357</v>
      </c>
      <c r="BC80" s="170">
        <f ca="1" t="shared" si="157"/>
        <v>1971621.09375</v>
      </c>
      <c r="BE80">
        <f ca="1" t="shared" si="131"/>
        <v>91977</v>
      </c>
      <c r="BF80">
        <f ca="1" t="shared" si="132"/>
        <v>2415000</v>
      </c>
      <c r="BI80">
        <f ca="1" t="shared" si="133"/>
        <v>0.05</v>
      </c>
      <c r="BJ80" s="171">
        <f>技能数计算!$AJ72</f>
        <v>13.210200927357</v>
      </c>
      <c r="BK80">
        <f ca="1" t="shared" si="134"/>
        <v>1971621.09375</v>
      </c>
      <c r="BM80">
        <f ca="1" t="shared" si="135"/>
        <v>95358</v>
      </c>
      <c r="BN80">
        <f ca="1" t="shared" si="136"/>
        <v>2415000</v>
      </c>
      <c r="BO80">
        <f ca="1" t="shared" si="137"/>
        <v>1971621.09375</v>
      </c>
      <c r="BP80">
        <f ca="1" t="shared" si="138"/>
        <v>1971621.09375</v>
      </c>
      <c r="BR80">
        <f ca="1" t="shared" si="139"/>
        <v>0.05</v>
      </c>
      <c r="BS80">
        <f ca="1" t="shared" si="140"/>
        <v>1971621.09375</v>
      </c>
      <c r="BT80">
        <f ca="1" t="shared" si="141"/>
        <v>0</v>
      </c>
      <c r="BU80">
        <f ca="1" t="shared" si="142"/>
        <v>0.146484375</v>
      </c>
      <c r="BV80">
        <f ca="1" t="shared" si="158"/>
        <v>1971621.09375</v>
      </c>
      <c r="BW80">
        <f ca="1" t="shared" si="143"/>
        <v>99155</v>
      </c>
      <c r="BX80">
        <f ca="1" t="shared" si="144"/>
        <v>2415000</v>
      </c>
      <c r="BY80">
        <f ca="1" t="shared" si="145"/>
        <v>0.03</v>
      </c>
      <c r="BZ80" s="171">
        <f>技能数计算!$AJ72</f>
        <v>13.210200927357</v>
      </c>
      <c r="CA80">
        <f ca="1" t="shared" si="146"/>
        <v>0.150390625</v>
      </c>
      <c r="CB80">
        <f ca="1" t="shared" si="159"/>
        <v>1971621.09375</v>
      </c>
      <c r="CC80">
        <f ca="1" t="shared" si="147"/>
        <v>100975</v>
      </c>
      <c r="CD80">
        <f ca="1" t="shared" si="148"/>
        <v>2415000</v>
      </c>
      <c r="CE80">
        <f ca="1" t="shared" si="149"/>
        <v>1971621.09375</v>
      </c>
      <c r="CF80">
        <f ca="1" t="shared" si="150"/>
        <v>0.09765625</v>
      </c>
      <c r="CG80">
        <f ca="1" t="shared" si="151"/>
        <v>0.03</v>
      </c>
      <c r="CH80">
        <f ca="1" t="shared" si="160"/>
        <v>1971621.09375</v>
      </c>
      <c r="CJ80">
        <f ca="1" t="shared" si="152"/>
        <v>2415000</v>
      </c>
      <c r="CK80">
        <f ca="1" t="shared" si="153"/>
        <v>1971621.09375</v>
      </c>
      <c r="CL80">
        <f ca="1" t="shared" si="161"/>
        <v>0.1203125</v>
      </c>
      <c r="CM80">
        <f ca="1">IF(G80="恒定伤害",0,(IF(D80="轻剑",$CM$8,$CM$9)+IFERROR(INDEX(技能数据库!$T$2:$W$27,MATCH(E80,技能数据库!$T$2:$T$27,0),4),0)+COUNTIF(G80,"*造化2*")*154+COUNTIF(G80,"*造化1*")*102+COUNTIF(G80,"*碧归*")*307)/1024)</f>
        <v>0</v>
      </c>
      <c r="CN80">
        <f ca="1" t="shared" si="162"/>
        <v>1971621.09375</v>
      </c>
      <c r="CO80">
        <f ca="1" t="shared" si="163"/>
        <v>0.144375</v>
      </c>
      <c r="CP80">
        <f ca="1" t="shared" si="164"/>
        <v>1971621.09375</v>
      </c>
      <c r="CQ80">
        <f ca="1" t="shared" si="154"/>
        <v>0</v>
      </c>
      <c r="CR80">
        <f ca="1">IF(G80="恒定伤害",0,(IF(D80="轻剑",$CR$8,$CR$9)+IFERROR(INDEX(技能数据库!$T$2:$W$27,MATCH(E80,技能数据库!$T$2:$T$27,0),4),0)+COUNTIF(G80,"*造化2*")*154+COUNTIF(G80,"*造化1*")*102+COUNTIF(G80,"*碧归*")*307)/1024)</f>
        <v>0</v>
      </c>
      <c r="CS80">
        <f ca="1" t="shared" si="165"/>
        <v>1971621.09375</v>
      </c>
    </row>
    <row r="81" spans="4:97">
      <c r="D81" t="s">
        <v>1825</v>
      </c>
      <c r="E81" t="s">
        <v>2815</v>
      </c>
      <c r="G81" t="s">
        <v>3098</v>
      </c>
      <c r="H81">
        <f ca="1">INDEX(技能数据库!$B$2:$I$100,MATCH(阵眼收益计算!$E81,技能数据库!$B$2:$B$100,0),MATCH(H$9,技能数据库!$B$2:$I$2,0))</f>
        <v>1610000</v>
      </c>
      <c r="I81">
        <f ca="1">INDEX(技能数据库!$B$2:$I$100,MATCH(阵眼收益计算!$E81,技能数据库!$B$2:$B$100,0),MATCH(I$9,技能数据库!$B$2:$I$2,0))</f>
        <v>0</v>
      </c>
      <c r="J81">
        <f ca="1">INDEX(技能数据库!$B$2:$I$100,MATCH(阵眼收益计算!$E81,技能数据库!$B$2:$B$100,0),MATCH(J$9,技能数据库!$B$2:$I$2,0))</f>
        <v>0</v>
      </c>
      <c r="K81">
        <f ca="1">INDEX(技能数据库!$B$2:$I$100,MATCH(阵眼收益计算!$E81,技能数据库!$B$2:$B$100,0),MATCH(K$9,技能数据库!$B$2:$I$2,0))</f>
        <v>0</v>
      </c>
      <c r="L81">
        <f ca="1" t="shared" si="110"/>
        <v>91975</v>
      </c>
      <c r="M81">
        <f ca="1" t="shared" si="103"/>
        <v>19530.5</v>
      </c>
      <c r="N81">
        <f ca="1" t="shared" si="104"/>
        <v>92028</v>
      </c>
      <c r="O81">
        <f ca="1" t="shared" si="111"/>
        <v>1610000</v>
      </c>
      <c r="P81">
        <f ca="1">IF(G81="恒定伤害",0,(IF(D81="轻剑",$AZ$2,$AZ$3)+IFERROR(INDEX(技能数据库!$T$2:$W$27,MATCH(E81,技能数据库!$T$2:$T$27,0),4),0)+COUNTIF(G81,"*造化2*")*154+COUNTIF(G81,"*造化1*")*102+COUNTIF(G81,"*碧归*")*307)/1024)</f>
        <v>0</v>
      </c>
      <c r="Q81">
        <f ca="1" t="shared" si="112"/>
        <v>0</v>
      </c>
      <c r="R81">
        <f ca="1" t="shared" si="113"/>
        <v>0</v>
      </c>
      <c r="S81">
        <f ca="1" t="shared" si="105"/>
        <v>1610000</v>
      </c>
      <c r="T81">
        <f>1-($F$6-130)*0.05</f>
        <v>0.8</v>
      </c>
      <c r="U81">
        <f ca="1" t="shared" si="114"/>
        <v>0</v>
      </c>
      <c r="V81">
        <f ca="1" t="shared" si="106"/>
        <v>1288000</v>
      </c>
      <c r="W81">
        <f ca="1">IF(G81="恒定伤害",0,MIN(1,IF(COUNTIF(F81,"*内会*")&gt;0,内会2,IF(D81="轻剑",$Y$2,$Y$3)+COUNTIF(G81,"*莺鸣*")*0.2+COUNTIF(G81,"*叠1*")*0.1+COUNTIF(G81,"*叠2*")*0.2+COUNTIF(G81,"*叠3*")*0.3)+IFERROR(INDEX(技能数据库!$T$2:$W$27,MATCH(E81,技能数据库!$T$2:$T$27,0),2),0)+IF((IF(D81="轻剑",$AO$2,$AO$3)+INT(COUNTIF(G81,"*大莺鸣*")*IF(D81="轻剑",$AM$2,$AM$3)*听晓无双率)/无双系数)&gt;0.9,特效裤子会心/会心系数,0)))</f>
        <v>0</v>
      </c>
      <c r="X81">
        <f ca="1">IF(G81="恒定伤害",0,IF(COUNTIF(F81,"*内会*")&gt;0,内会效2,IF(D81="轻剑",$AB$2,$AB$3))+IFERROR(INDEX(技能数据库!$T$2:$W$27,MATCH(E81,技能数据库!$T$2:$T$27,0),3)/1024,0))+COUNTIF(G81,"*叠1*")*0.25+COUNTIF(G81,"*叠2*")*0.5+COUNTIF(G81,"*叠3*")*0.75</f>
        <v>0</v>
      </c>
      <c r="Y81">
        <f ca="1" t="shared" si="107"/>
        <v>1</v>
      </c>
      <c r="Z81">
        <f t="shared" si="115"/>
        <v>0</v>
      </c>
      <c r="AA81">
        <f ca="1" t="shared" si="108"/>
        <v>0.0205078125</v>
      </c>
      <c r="AB81">
        <f ca="1" t="shared" si="109"/>
        <v>1314414.0625</v>
      </c>
      <c r="AC81" s="171">
        <f ca="1">技能数计算!AS1/(1/(407/240*(Y3+0.13+0.2*23/51))+10)</f>
        <v>19.7408496240608</v>
      </c>
      <c r="AD81" s="164">
        <f ca="1" t="shared" si="166"/>
        <v>0.00930260353343536</v>
      </c>
      <c r="AE81" s="168"/>
      <c r="AF81" s="168">
        <f ca="1" t="shared" si="116"/>
        <v>0.00139999999999996</v>
      </c>
      <c r="AG81" s="171">
        <f ca="1">技能数计算!$AS$1/(1/(407/240*($AF$9+0.13+0.2*23/51))+10)</f>
        <v>19.7426395263015</v>
      </c>
      <c r="AH81">
        <f ca="1" t="shared" si="117"/>
        <v>96007</v>
      </c>
      <c r="AJ81">
        <f ca="1" t="shared" si="118"/>
        <v>0.19921875</v>
      </c>
      <c r="AK81">
        <f ca="1" t="shared" si="119"/>
        <v>1610000</v>
      </c>
      <c r="AL81">
        <f ca="1" t="shared" si="120"/>
        <v>1314414.0625</v>
      </c>
      <c r="AM81" s="169">
        <f ca="1" t="shared" si="121"/>
        <v>0.0228999999999999</v>
      </c>
      <c r="AN81" s="171">
        <f ca="1">技能数计算!$AS$1/(1/(407/240*($AN$9+0.13+0.2*23/51))+10)</f>
        <v>19.7695018211507</v>
      </c>
      <c r="AO81" s="170">
        <f ca="1" t="shared" si="122"/>
        <v>1314414.0625</v>
      </c>
      <c r="AP81">
        <f ca="1" t="shared" si="123"/>
        <v>97084</v>
      </c>
      <c r="AQ81" s="170">
        <f ca="1" t="shared" si="124"/>
        <v>1610000</v>
      </c>
      <c r="AR81">
        <f ca="1" t="shared" si="125"/>
        <v>1314414.0625</v>
      </c>
      <c r="AS81">
        <f ca="1" t="shared" si="126"/>
        <v>0.08</v>
      </c>
      <c r="AT81" s="171">
        <f ca="1">技能数计算!$AS$1/(1/(407/240*(AS$9+0.13+0.2*23/51))+10)</f>
        <v>19.8355702888511</v>
      </c>
      <c r="AU81">
        <f ca="1" t="shared" si="127"/>
        <v>0.146484375</v>
      </c>
      <c r="AV81">
        <f ca="1" t="shared" si="128"/>
        <v>0</v>
      </c>
      <c r="AW81">
        <f ca="1" t="shared" si="155"/>
        <v>1314414.0625</v>
      </c>
      <c r="AX81">
        <f ca="1" t="shared" si="129"/>
        <v>0.07</v>
      </c>
      <c r="AY81" s="171">
        <f ca="1">技能数计算!$AS$1/(1/(407/240*(AX$9+0.13+0.2*23/51))+10)</f>
        <v>19.8245169490191</v>
      </c>
      <c r="AZ81" s="170">
        <f ca="1" t="shared" si="156"/>
        <v>1314414.0625</v>
      </c>
      <c r="BA81">
        <f ca="1" t="shared" si="130"/>
        <v>0.0599999999999999</v>
      </c>
      <c r="BB81" s="171">
        <f ca="1">技能数计算!$AS$1/(1/(407/240*(BA$9+0.13+0.2*23/51))+10)</f>
        <v>19.8132517506395</v>
      </c>
      <c r="BC81" s="170">
        <f ca="1" t="shared" si="157"/>
        <v>1314414.0625</v>
      </c>
      <c r="BE81">
        <f ca="1" t="shared" si="131"/>
        <v>91977</v>
      </c>
      <c r="BF81">
        <f ca="1" t="shared" si="132"/>
        <v>1610000</v>
      </c>
      <c r="BI81">
        <f ca="1" t="shared" si="133"/>
        <v>0.05</v>
      </c>
      <c r="BJ81" s="171">
        <f ca="1">技能数计算!$AS$1/(1/(407/240*(BI$9+0.13+0.2*23/51))+10)</f>
        <v>19.8017685437587</v>
      </c>
      <c r="BK81">
        <f ca="1" t="shared" si="134"/>
        <v>1314414.0625</v>
      </c>
      <c r="BM81">
        <f ca="1" t="shared" si="135"/>
        <v>95358</v>
      </c>
      <c r="BN81">
        <f ca="1" t="shared" si="136"/>
        <v>1610000</v>
      </c>
      <c r="BO81">
        <f ca="1" t="shared" si="137"/>
        <v>1314414.0625</v>
      </c>
      <c r="BP81">
        <f ca="1" t="shared" si="138"/>
        <v>1314414.0625</v>
      </c>
      <c r="BR81">
        <f ca="1" t="shared" si="139"/>
        <v>0.05</v>
      </c>
      <c r="BS81">
        <f ca="1" t="shared" si="140"/>
        <v>1314414.0625</v>
      </c>
      <c r="BT81">
        <f ca="1" t="shared" si="141"/>
        <v>0</v>
      </c>
      <c r="BU81">
        <f ca="1" t="shared" si="142"/>
        <v>0.146484375</v>
      </c>
      <c r="BV81">
        <f ca="1" t="shared" si="158"/>
        <v>1314414.0625</v>
      </c>
      <c r="BW81">
        <f ca="1" t="shared" si="143"/>
        <v>99155</v>
      </c>
      <c r="BX81">
        <f ca="1" t="shared" si="144"/>
        <v>1610000</v>
      </c>
      <c r="BY81">
        <f ca="1" t="shared" si="145"/>
        <v>0.03</v>
      </c>
      <c r="BZ81" s="171">
        <f ca="1">技能数计算!$AS$1/(1/(407/240*(BY$9+0.13+0.2*23/51))+10)</f>
        <v>19.7781222910296</v>
      </c>
      <c r="CA81">
        <f ca="1" t="shared" si="146"/>
        <v>0.150390625</v>
      </c>
      <c r="CB81">
        <f ca="1" t="shared" si="159"/>
        <v>1314414.0625</v>
      </c>
      <c r="CC81">
        <f ca="1" t="shared" si="147"/>
        <v>100975</v>
      </c>
      <c r="CD81">
        <f ca="1" t="shared" si="148"/>
        <v>1610000</v>
      </c>
      <c r="CE81">
        <f ca="1" t="shared" si="149"/>
        <v>1314414.0625</v>
      </c>
      <c r="CF81">
        <f ca="1" t="shared" si="150"/>
        <v>0.09765625</v>
      </c>
      <c r="CG81">
        <f ca="1" t="shared" si="151"/>
        <v>0.03</v>
      </c>
      <c r="CH81">
        <f ca="1" t="shared" si="160"/>
        <v>1314414.0625</v>
      </c>
      <c r="CJ81">
        <f ca="1" t="shared" si="152"/>
        <v>1610000</v>
      </c>
      <c r="CK81">
        <f ca="1" t="shared" si="153"/>
        <v>1314414.0625</v>
      </c>
      <c r="CL81">
        <f ca="1" t="shared" si="161"/>
        <v>0.1203125</v>
      </c>
      <c r="CM81">
        <f ca="1">IF(G81="恒定伤害",0,(IF(D81="轻剑",$CM$8,$CM$9)+IFERROR(INDEX(技能数据库!$T$2:$W$27,MATCH(E81,技能数据库!$T$2:$T$27,0),4),0)+COUNTIF(G81,"*造化2*")*154+COUNTIF(G81,"*造化1*")*102+COUNTIF(G81,"*碧归*")*307)/1024)</f>
        <v>0</v>
      </c>
      <c r="CN81">
        <f ca="1" t="shared" si="162"/>
        <v>1314414.0625</v>
      </c>
      <c r="CO81">
        <f ca="1" t="shared" si="163"/>
        <v>0.144375</v>
      </c>
      <c r="CP81">
        <f ca="1" t="shared" si="164"/>
        <v>1314414.0625</v>
      </c>
      <c r="CQ81">
        <f ca="1" t="shared" si="154"/>
        <v>0</v>
      </c>
      <c r="CR81">
        <f ca="1">IF(G81="恒定伤害",0,(IF(D81="轻剑",$CR$8,$CR$9)+IFERROR(INDEX(技能数据库!$T$2:$W$27,MATCH(E81,技能数据库!$T$2:$T$27,0),4),0)+COUNTIF(G81,"*造化2*")*154+COUNTIF(G81,"*造化1*")*102+COUNTIF(G81,"*碧归*")*307)/1024)</f>
        <v>0</v>
      </c>
      <c r="CS81">
        <f ca="1" t="shared" si="165"/>
        <v>1314414.0625</v>
      </c>
    </row>
    <row r="82" spans="4:97">
      <c r="D82" t="s">
        <v>1825</v>
      </c>
      <c r="E82" t="s">
        <v>2832</v>
      </c>
      <c r="G82" t="s">
        <v>3098</v>
      </c>
      <c r="H82">
        <f ca="1">INDEX(技能数据库!$B$2:$I$100,MATCH(阵眼收益计算!$E82,技能数据库!$B$2:$B$100,0),MATCH(H$9,技能数据库!$B$2:$I$2,0))</f>
        <v>468495.625</v>
      </c>
      <c r="I82">
        <f ca="1">INDEX(技能数据库!$B$2:$I$100,MATCH(阵眼收益计算!$E82,技能数据库!$B$2:$B$100,0),MATCH(I$9,技能数据库!$B$2:$I$2,0))</f>
        <v>0</v>
      </c>
      <c r="J82">
        <f ca="1">INDEX(技能数据库!$B$2:$I$100,MATCH(阵眼收益计算!$E82,技能数据库!$B$2:$B$100,0),MATCH(J$9,技能数据库!$B$2:$I$2,0))</f>
        <v>0</v>
      </c>
      <c r="K82">
        <f ca="1">INDEX(技能数据库!$B$2:$I$100,MATCH(阵眼收益计算!$E82,技能数据库!$B$2:$B$100,0),MATCH(K$9,技能数据库!$B$2:$I$2,0))</f>
        <v>0</v>
      </c>
      <c r="L82">
        <f ca="1" t="shared" si="110"/>
        <v>91975</v>
      </c>
      <c r="M82">
        <f ca="1" t="shared" si="103"/>
        <v>19530.5</v>
      </c>
      <c r="N82">
        <f ca="1" t="shared" si="104"/>
        <v>92028</v>
      </c>
      <c r="O82">
        <f ca="1" t="shared" si="111"/>
        <v>468495.625</v>
      </c>
      <c r="P82">
        <f ca="1">IF(G82="恒定伤害",0,(IF(D82="轻剑",$AZ$2,$AZ$3)+IFERROR(INDEX(技能数据库!$T$2:$W$27,MATCH(E82,技能数据库!$T$2:$T$27,0),4),0)+COUNTIF(G82,"*造化2*")*154+COUNTIF(G82,"*造化1*")*102+COUNTIF(G82,"*碧归*")*307)/1024)</f>
        <v>0</v>
      </c>
      <c r="Q82">
        <f ca="1" t="shared" si="112"/>
        <v>0</v>
      </c>
      <c r="R82">
        <f ca="1" t="shared" si="113"/>
        <v>0</v>
      </c>
      <c r="S82">
        <f ca="1" t="shared" si="105"/>
        <v>468495.625</v>
      </c>
      <c r="T82">
        <f>1-($F$6-130)*0.05</f>
        <v>0.8</v>
      </c>
      <c r="U82">
        <f ca="1" t="shared" si="114"/>
        <v>0</v>
      </c>
      <c r="V82">
        <f ca="1" t="shared" si="106"/>
        <v>374796.5</v>
      </c>
      <c r="W82">
        <f ca="1">IF(G82="恒定伤害",0,MIN(1,IF(COUNTIF(F82,"*内会*")&gt;0,内会2,IF(D82="轻剑",$Y$2,$Y$3)+COUNTIF(G82,"*莺鸣*")*0.2+COUNTIF(G82,"*叠1*")*0.1+COUNTIF(G82,"*叠2*")*0.2+COUNTIF(G82,"*叠3*")*0.3)+IFERROR(INDEX(技能数据库!$T$2:$W$27,MATCH(E82,技能数据库!$T$2:$T$27,0),2),0)+IF((IF(D82="轻剑",$AO$2,$AO$3)+INT(COUNTIF(G82,"*大莺鸣*")*IF(D82="轻剑",$AM$2,$AM$3)*听晓无双率)/无双系数)&gt;0.9,特效裤子会心/会心系数,0)))</f>
        <v>0</v>
      </c>
      <c r="X82">
        <f ca="1">IF(G82="恒定伤害",0,IF(COUNTIF(F82,"*内会*")&gt;0,内会效2,IF(D82="轻剑",$AB$2,$AB$3))+IFERROR(INDEX(技能数据库!$T$2:$W$27,MATCH(E82,技能数据库!$T$2:$T$27,0),3)/1024,0))+COUNTIF(G82,"*叠1*")*0.25+COUNTIF(G82,"*叠2*")*0.5+COUNTIF(G82,"*叠3*")*0.75</f>
        <v>0</v>
      </c>
      <c r="Y82">
        <f ca="1" t="shared" si="107"/>
        <v>1</v>
      </c>
      <c r="Z82">
        <f t="shared" si="115"/>
        <v>0</v>
      </c>
      <c r="AA82">
        <f ca="1" t="shared" si="108"/>
        <v>0.0205078125</v>
      </c>
      <c r="AB82">
        <f ca="1" t="shared" si="109"/>
        <v>382482.756347656</v>
      </c>
      <c r="AC82" s="171">
        <f>技能数计算!$AJ74</f>
        <v>48</v>
      </c>
      <c r="AD82" s="164">
        <f ca="1" t="shared" si="166"/>
        <v>0.00658202568781897</v>
      </c>
      <c r="AE82" s="168"/>
      <c r="AF82" s="168">
        <f ca="1" t="shared" si="116"/>
        <v>0.00139999999999996</v>
      </c>
      <c r="AG82" s="171">
        <f>技能数计算!$AJ74</f>
        <v>48</v>
      </c>
      <c r="AH82">
        <f ca="1" t="shared" si="117"/>
        <v>96007</v>
      </c>
      <c r="AJ82">
        <f ca="1" t="shared" si="118"/>
        <v>0.19921875</v>
      </c>
      <c r="AK82">
        <f ca="1" t="shared" si="119"/>
        <v>468495.625</v>
      </c>
      <c r="AL82">
        <f ca="1" t="shared" si="120"/>
        <v>382482.756347656</v>
      </c>
      <c r="AM82" s="169">
        <f ca="1" t="shared" si="121"/>
        <v>0.0228999999999999</v>
      </c>
      <c r="AN82" s="171">
        <f>技能数计算!$AJ74</f>
        <v>48</v>
      </c>
      <c r="AO82" s="170">
        <f ca="1" t="shared" si="122"/>
        <v>382482.756347656</v>
      </c>
      <c r="AP82">
        <f ca="1" t="shared" si="123"/>
        <v>97084</v>
      </c>
      <c r="AQ82" s="170">
        <f ca="1" t="shared" si="124"/>
        <v>468495.625</v>
      </c>
      <c r="AR82">
        <f ca="1" t="shared" si="125"/>
        <v>382482.756347656</v>
      </c>
      <c r="AS82">
        <f ca="1" t="shared" si="126"/>
        <v>0.08</v>
      </c>
      <c r="AT82" s="171">
        <f>技能数计算!$AJ74</f>
        <v>48</v>
      </c>
      <c r="AU82">
        <f ca="1" t="shared" si="127"/>
        <v>0.146484375</v>
      </c>
      <c r="AV82">
        <f ca="1" t="shared" si="128"/>
        <v>0</v>
      </c>
      <c r="AW82">
        <f ca="1" t="shared" si="155"/>
        <v>382482.756347656</v>
      </c>
      <c r="AX82">
        <f ca="1" t="shared" si="129"/>
        <v>0.07</v>
      </c>
      <c r="AY82" s="171">
        <f>技能数计算!$AJ74</f>
        <v>48</v>
      </c>
      <c r="AZ82" s="170">
        <f ca="1" t="shared" si="156"/>
        <v>382482.756347656</v>
      </c>
      <c r="BA82">
        <f ca="1" t="shared" si="130"/>
        <v>0.0599999999999999</v>
      </c>
      <c r="BB82" s="171">
        <f>技能数计算!$AJ74</f>
        <v>48</v>
      </c>
      <c r="BC82" s="170">
        <f ca="1" t="shared" si="157"/>
        <v>382482.756347656</v>
      </c>
      <c r="BE82">
        <f ca="1" t="shared" si="131"/>
        <v>91977</v>
      </c>
      <c r="BF82">
        <f ca="1" t="shared" si="132"/>
        <v>468495.625</v>
      </c>
      <c r="BI82">
        <f ca="1" t="shared" si="133"/>
        <v>0.05</v>
      </c>
      <c r="BJ82" s="171">
        <f>技能数计算!$AJ74</f>
        <v>48</v>
      </c>
      <c r="BK82">
        <f ca="1" t="shared" si="134"/>
        <v>382482.756347656</v>
      </c>
      <c r="BM82">
        <f ca="1" t="shared" si="135"/>
        <v>95358</v>
      </c>
      <c r="BN82">
        <f ca="1" t="shared" si="136"/>
        <v>468495.625</v>
      </c>
      <c r="BO82">
        <f ca="1" t="shared" si="137"/>
        <v>382482.756347656</v>
      </c>
      <c r="BP82">
        <f ca="1" t="shared" si="138"/>
        <v>382482.756347656</v>
      </c>
      <c r="BR82">
        <f ca="1" t="shared" si="139"/>
        <v>0.05</v>
      </c>
      <c r="BS82">
        <f ca="1" t="shared" si="140"/>
        <v>382482.756347656</v>
      </c>
      <c r="BT82">
        <f ca="1" t="shared" si="141"/>
        <v>0</v>
      </c>
      <c r="BU82">
        <f ca="1" t="shared" si="142"/>
        <v>0.146484375</v>
      </c>
      <c r="BV82">
        <f ca="1" t="shared" si="158"/>
        <v>382482.756347656</v>
      </c>
      <c r="BW82">
        <f ca="1" t="shared" si="143"/>
        <v>99155</v>
      </c>
      <c r="BX82">
        <f ca="1" t="shared" si="144"/>
        <v>468495.625</v>
      </c>
      <c r="BY82">
        <f ca="1" t="shared" si="145"/>
        <v>0.03</v>
      </c>
      <c r="BZ82" s="171">
        <f>技能数计算!$AJ74</f>
        <v>48</v>
      </c>
      <c r="CA82">
        <f ca="1" t="shared" si="146"/>
        <v>0.150390625</v>
      </c>
      <c r="CB82">
        <f ca="1" t="shared" si="159"/>
        <v>382482.756347656</v>
      </c>
      <c r="CC82">
        <f ca="1" t="shared" si="147"/>
        <v>100975</v>
      </c>
      <c r="CD82">
        <f ca="1" t="shared" si="148"/>
        <v>468495.625</v>
      </c>
      <c r="CE82">
        <f ca="1" t="shared" si="149"/>
        <v>382482.756347656</v>
      </c>
      <c r="CF82">
        <f ca="1" t="shared" si="150"/>
        <v>0.09765625</v>
      </c>
      <c r="CG82">
        <f ca="1" t="shared" si="151"/>
        <v>0.03</v>
      </c>
      <c r="CH82">
        <f ca="1" t="shared" si="160"/>
        <v>382482.756347656</v>
      </c>
      <c r="CJ82">
        <f ca="1" t="shared" si="152"/>
        <v>468495.625</v>
      </c>
      <c r="CK82">
        <f ca="1" t="shared" si="153"/>
        <v>382482.756347656</v>
      </c>
      <c r="CL82">
        <f ca="1" t="shared" si="161"/>
        <v>0.1203125</v>
      </c>
      <c r="CM82">
        <f ca="1">IF(G82="恒定伤害",0,(IF(D82="轻剑",$CM$8,$CM$9)+IFERROR(INDEX(技能数据库!$T$2:$W$27,MATCH(E82,技能数据库!$T$2:$T$27,0),4),0)+COUNTIF(G82,"*造化2*")*154+COUNTIF(G82,"*造化1*")*102+COUNTIF(G82,"*碧归*")*307)/1024)</f>
        <v>0</v>
      </c>
      <c r="CN82">
        <f ca="1" t="shared" si="162"/>
        <v>382482.756347656</v>
      </c>
      <c r="CO82">
        <f ca="1" t="shared" si="163"/>
        <v>0.144375</v>
      </c>
      <c r="CP82">
        <f ca="1" t="shared" si="164"/>
        <v>382482.756347656</v>
      </c>
      <c r="CQ82">
        <f ca="1" t="shared" si="154"/>
        <v>0</v>
      </c>
      <c r="CR82">
        <f ca="1">IF(G82="恒定伤害",0,(IF(D82="轻剑",$CR$8,$CR$9)+IFERROR(INDEX(技能数据库!$T$2:$W$27,MATCH(E82,技能数据库!$T$2:$T$27,0),4),0)+COUNTIF(G82,"*造化2*")*154+COUNTIF(G82,"*造化1*")*102+COUNTIF(G82,"*碧归*")*307)/1024)</f>
        <v>0</v>
      </c>
      <c r="CS82">
        <f ca="1" t="shared" si="165"/>
        <v>382482.756347656</v>
      </c>
    </row>
    <row r="83" spans="4:97">
      <c r="D83" t="s">
        <v>1825</v>
      </c>
      <c r="E83" t="s">
        <v>2902</v>
      </c>
      <c r="G83" t="s">
        <v>2750</v>
      </c>
      <c r="H83">
        <f ca="1">INDEX(技能数据库!$B$2:$I$100,MATCH(阵眼收益计算!$E83,技能数据库!$B$2:$B$100,0),MATCH(H$9,技能数据库!$B$2:$I$2,0))</f>
        <v>317.5</v>
      </c>
      <c r="I83">
        <f ca="1">INDEX(技能数据库!$B$2:$I$100,MATCH(阵眼收益计算!$E83,技能数据库!$B$2:$B$100,0),MATCH(I$9,技能数据库!$B$2:$I$2,0))</f>
        <v>2.25</v>
      </c>
      <c r="J83">
        <f ca="1">INDEX(技能数据库!$B$2:$I$100,MATCH(阵眼收益计算!$E83,技能数据库!$B$2:$B$100,0),MATCH(J$9,技能数据库!$B$2:$I$2,0))</f>
        <v>1</v>
      </c>
      <c r="K83">
        <f ca="1">INDEX(技能数据库!$B$2:$I$100,MATCH(阵眼收益计算!$E83,技能数据库!$B$2:$B$100,0),MATCH(K$9,技能数据库!$B$2:$I$2,0))</f>
        <v>0</v>
      </c>
      <c r="L83">
        <f ca="1" t="shared" si="110"/>
        <v>105847</v>
      </c>
      <c r="M83">
        <f ca="1" t="shared" ref="M83:M91" si="167">IF(D83="轻剑",$AU$2+$AV$2,$AU$3+$AV$3)/2</f>
        <v>19530.5</v>
      </c>
      <c r="N83">
        <f ca="1" t="shared" ref="N83:N91" si="168">IF(D83="轻剑",$AJ$2,$AJ$3)</f>
        <v>92028</v>
      </c>
      <c r="O83">
        <f ca="1" t="shared" si="111"/>
        <v>258003.75</v>
      </c>
      <c r="P83">
        <f ca="1">IF(G83="恒定伤害",0,(IF(D83="轻剑",$AZ$2,$AZ$3)+IFERROR(INDEX(技能数据库!$T$2:$W$27,MATCH(E83,技能数据库!$T$2:$T$27,0),4),0)+COUNTIF(G83,"*造化2*")*154+COUNTIF(G83,"*造化1*")*102+COUNTIF(G83,"*碧归*")*307)/1024)</f>
        <v>0.116321271929785</v>
      </c>
      <c r="Q83">
        <f ca="1" t="shared" si="112"/>
        <v>0.448284482196154</v>
      </c>
      <c r="R83">
        <f ca="1" t="shared" si="113"/>
        <v>0.21277697966198</v>
      </c>
      <c r="S83">
        <f ca="1" t="shared" ref="S83:S91" si="169">O83*(1+P83)*(1+Q83)*(1-R83)</f>
        <v>328372.577328174</v>
      </c>
      <c r="T83">
        <f t="shared" ref="T83:T91" si="170">1-($F$6-130)*0.05</f>
        <v>0.8</v>
      </c>
      <c r="U83">
        <f ca="1" t="shared" si="114"/>
        <v>1.7800129648</v>
      </c>
      <c r="V83">
        <f ca="1" t="shared" ref="V83:V91" si="171">S83*T83*(1+U83)</f>
        <v>730304.017805692</v>
      </c>
      <c r="W83">
        <f ca="1">IF(G83="恒定伤害",0,MIN(1,IF(COUNTIF(F83,"*内会*")&gt;0,内会2,IF(D83="轻剑",$Y$2,$Y$3)+COUNTIF(G83,"*莺鸣*")*0.2+COUNTIF(G83,"*叠1*")*0.1+COUNTIF(G83,"*叠2*")*0.2+COUNTIF(G83,"*叠3*")*0.3)+IFERROR(INDEX(技能数据库!$T$2:$W$27,MATCH(E83,技能数据库!$T$2:$T$27,0),2),0)+IF((IF(D83="轻剑",$AO$2,$AO$3)+INT(COUNTIF(G83,"*大莺鸣*")*IF(D83="轻剑",$AM$2,$AM$3)*听晓无双率)/无双系数)&gt;0.9,特效裤子会心/会心系数,0)))</f>
        <v>0.7043</v>
      </c>
      <c r="X83">
        <f ca="1">IF(G83="恒定伤害",0,IF(COUNTIF(F83,"*内会*")&gt;0,内会效2,IF(D83="轻剑",$AB$2,$AB$3))+IFERROR(INDEX(技能数据库!$T$2:$W$27,MATCH(E83,技能数据库!$T$2:$T$27,0),3)/1024,0))+COUNTIF(G83,"*叠1*")*0.25+COUNTIF(G83,"*叠2*")*0.5+COUNTIF(G83,"*叠3*")*0.75</f>
        <v>2.1712723116</v>
      </c>
      <c r="Y83">
        <f ca="1" t="shared" ref="Y83:Y91" si="172">1+W83*(X83-1)</f>
        <v>1.82492708905988</v>
      </c>
      <c r="Z83">
        <f t="shared" si="115"/>
        <v>0.150390625</v>
      </c>
      <c r="AA83">
        <f ca="1" t="shared" ref="AA83:AA91" si="173">IF(D83="轻剑",$BA$2,$BA$3)/1024</f>
        <v>0.0205078125</v>
      </c>
      <c r="AB83">
        <f ca="1" t="shared" ref="AB83:AB91" si="174">V83*Y83*(1+Z83)*(1+AA83)</f>
        <v>1564627.19828886</v>
      </c>
      <c r="AC83">
        <f ca="1">技能数计算!$AJ75</f>
        <v>0</v>
      </c>
      <c r="AD83" s="164">
        <f ca="1" t="shared" si="166"/>
        <v>0</v>
      </c>
      <c r="AE83" s="168"/>
      <c r="AF83" s="168">
        <f ca="1" t="shared" si="116"/>
        <v>0.7057</v>
      </c>
      <c r="AG83">
        <f ca="1">技能数计算!$AJ75</f>
        <v>0</v>
      </c>
      <c r="AH83">
        <f ca="1" t="shared" si="117"/>
        <v>109879</v>
      </c>
      <c r="AJ83">
        <f ca="1" t="shared" si="118"/>
        <v>2.3704910616</v>
      </c>
      <c r="AK83">
        <f ca="1" t="shared" si="119"/>
        <v>267314.25</v>
      </c>
      <c r="AL83">
        <f ca="1" t="shared" si="120"/>
        <v>1747912.03754174</v>
      </c>
      <c r="AM83" s="169">
        <f ca="1" t="shared" si="121"/>
        <v>0.7272</v>
      </c>
      <c r="AN83">
        <f ca="1">技能数计算!$AJ75</f>
        <v>0</v>
      </c>
      <c r="AO83" s="170">
        <f ca="1" t="shared" si="122"/>
        <v>1774093.59874016</v>
      </c>
      <c r="AP83">
        <f ca="1" t="shared" si="123"/>
        <v>110956</v>
      </c>
      <c r="AQ83" s="170">
        <f ca="1" t="shared" si="124"/>
        <v>269499</v>
      </c>
      <c r="AR83">
        <f ca="1" t="shared" si="125"/>
        <v>1730221.11174484</v>
      </c>
      <c r="AS83">
        <f ca="1" t="shared" si="126"/>
        <v>0.7843</v>
      </c>
      <c r="AT83">
        <f ca="1">技能数计算!$AJ75</f>
        <v>0</v>
      </c>
      <c r="AU83">
        <f ca="1" t="shared" si="127"/>
        <v>2.3177566866</v>
      </c>
      <c r="AV83">
        <f ca="1" t="shared" si="128"/>
        <v>1.7995442148</v>
      </c>
      <c r="AW83">
        <f ca="1" t="shared" si="155"/>
        <v>1755713.2337154</v>
      </c>
      <c r="AX83">
        <f ca="1" t="shared" si="129"/>
        <v>0.7743</v>
      </c>
      <c r="AY83">
        <f ca="1">技能数计算!$AJ75</f>
        <v>0</v>
      </c>
      <c r="AZ83" s="170">
        <f ca="1" t="shared" si="156"/>
        <v>1744335.88430794</v>
      </c>
      <c r="BA83">
        <f ca="1" t="shared" si="130"/>
        <v>0.7643</v>
      </c>
      <c r="BB83">
        <f ca="1">技能数计算!$AJ75</f>
        <v>0</v>
      </c>
      <c r="BC83" s="170">
        <f ca="1" t="shared" si="157"/>
        <v>1732958.53490047</v>
      </c>
      <c r="BE83">
        <f ca="1" t="shared" si="131"/>
        <v>105849</v>
      </c>
      <c r="BF83">
        <f ca="1" t="shared" si="132"/>
        <v>258008.25</v>
      </c>
      <c r="BI83">
        <f ca="1" t="shared" si="133"/>
        <v>0.7543</v>
      </c>
      <c r="BJ83">
        <f ca="1">技能数计算!$AJ75</f>
        <v>0</v>
      </c>
      <c r="BK83">
        <f ca="1" t="shared" si="134"/>
        <v>1723540.01396394</v>
      </c>
      <c r="BM83">
        <f ca="1" t="shared" si="135"/>
        <v>109230</v>
      </c>
      <c r="BN83">
        <f ca="1" t="shared" si="136"/>
        <v>265615.5</v>
      </c>
      <c r="BO83">
        <f ca="1" t="shared" si="137"/>
        <v>1739625.62461178</v>
      </c>
      <c r="BP83">
        <f ca="1" t="shared" si="138"/>
        <v>1658980.6368344</v>
      </c>
      <c r="BR83">
        <f ca="1" t="shared" si="139"/>
        <v>0.7543</v>
      </c>
      <c r="BS83">
        <f ca="1" t="shared" si="140"/>
        <v>1724248.23503212</v>
      </c>
      <c r="BT83">
        <f ca="1" t="shared" si="141"/>
        <v>0.196995876306796</v>
      </c>
      <c r="BU83">
        <f ca="1" t="shared" si="142"/>
        <v>2.3177566866</v>
      </c>
      <c r="BV83">
        <f ca="1" t="shared" si="158"/>
        <v>1743841.41725206</v>
      </c>
      <c r="BW83">
        <f ca="1" t="shared" si="143"/>
        <v>113027</v>
      </c>
      <c r="BX83">
        <f ca="1" t="shared" si="144"/>
        <v>274158.75</v>
      </c>
      <c r="BY83">
        <f ca="1" t="shared" si="145"/>
        <v>0.7343</v>
      </c>
      <c r="BZ83">
        <f ca="1">技能数计算!$AJ75</f>
        <v>0</v>
      </c>
      <c r="CA83">
        <f ca="1" t="shared" si="146"/>
        <v>2.3216629366</v>
      </c>
      <c r="CB83">
        <f ca="1" t="shared" si="159"/>
        <v>1795218.2282409</v>
      </c>
      <c r="CC83">
        <f ca="1" t="shared" si="147"/>
        <v>114847</v>
      </c>
      <c r="CD83">
        <f ca="1" t="shared" si="148"/>
        <v>278253.75</v>
      </c>
      <c r="CE83">
        <f ca="1" t="shared" si="149"/>
        <v>1771379.40798013</v>
      </c>
      <c r="CF83">
        <f ca="1" t="shared" si="150"/>
        <v>2.2689285616</v>
      </c>
      <c r="CG83">
        <f ca="1" t="shared" si="151"/>
        <v>0.7343</v>
      </c>
      <c r="CH83">
        <f ca="1" t="shared" si="160"/>
        <v>1667870.15842774</v>
      </c>
      <c r="CJ83">
        <f ca="1" t="shared" si="152"/>
        <v>265615.5</v>
      </c>
      <c r="CK83">
        <f ca="1" t="shared" si="153"/>
        <v>1731745.21534472</v>
      </c>
      <c r="CL83">
        <f ca="1" t="shared" si="161"/>
        <v>2.2915848116</v>
      </c>
      <c r="CM83">
        <f ca="1">IF(G83="恒定伤害",0,(IF(D83="轻剑",$CM$8,$CM$9)+IFERROR(INDEX(技能数据库!$T$2:$W$27,MATCH(E83,技能数据库!$T$2:$T$27,0),4),0)+COUNTIF(G83,"*造化2*")*154+COUNTIF(G83,"*造化1*")*102+COUNTIF(G83,"*碧归*")*307)/1024)</f>
        <v>0.176868146929785</v>
      </c>
      <c r="CN83">
        <f ca="1" t="shared" si="162"/>
        <v>1773474.65839998</v>
      </c>
      <c r="CO83">
        <f ca="1" t="shared" si="163"/>
        <v>2.3156473116</v>
      </c>
      <c r="CP83">
        <f ca="1" t="shared" si="164"/>
        <v>1789557.35059919</v>
      </c>
      <c r="CQ83">
        <f ca="1" t="shared" si="154"/>
        <v>1.8815754648</v>
      </c>
      <c r="CR83">
        <f ca="1">IF(G83="恒定伤害",0,(IF(D83="轻剑",$CR$8,$CR$9)+IFERROR(INDEX(技能数据库!$T$2:$W$27,MATCH(E83,技能数据库!$T$2:$T$27,0),4),0)+COUNTIF(G83,"*造化2*")*154+COUNTIF(G83,"*造化1*")*102+COUNTIF(G83,"*碧归*")*307)/1024)</f>
        <v>0.167102521929785</v>
      </c>
      <c r="CS83">
        <f ca="1" t="shared" si="165"/>
        <v>1695562.71844345</v>
      </c>
    </row>
    <row r="84" spans="4:97">
      <c r="D84" t="s">
        <v>1825</v>
      </c>
      <c r="E84" t="s">
        <v>2902</v>
      </c>
      <c r="G84" t="s">
        <v>3044</v>
      </c>
      <c r="H84">
        <f ca="1">INDEX(技能数据库!$B$2:$I$100,MATCH(阵眼收益计算!$E84,技能数据库!$B$2:$B$100,0),MATCH(H$9,技能数据库!$B$2:$I$2,0))</f>
        <v>317.5</v>
      </c>
      <c r="I84">
        <f ca="1">INDEX(技能数据库!$B$2:$I$100,MATCH(阵眼收益计算!$E84,技能数据库!$B$2:$B$100,0),MATCH(I$9,技能数据库!$B$2:$I$2,0))</f>
        <v>2.25</v>
      </c>
      <c r="J84">
        <f ca="1">INDEX(技能数据库!$B$2:$I$100,MATCH(阵眼收益计算!$E84,技能数据库!$B$2:$B$100,0),MATCH(J$9,技能数据库!$B$2:$I$2,0))</f>
        <v>1</v>
      </c>
      <c r="K84">
        <f ca="1">INDEX(技能数据库!$B$2:$I$100,MATCH(阵眼收益计算!$E84,技能数据库!$B$2:$B$100,0),MATCH(K$9,技能数据库!$B$2:$I$2,0))</f>
        <v>0</v>
      </c>
      <c r="L84">
        <f ca="1" t="shared" si="110"/>
        <v>105847</v>
      </c>
      <c r="M84">
        <f ca="1" t="shared" si="167"/>
        <v>19530.5</v>
      </c>
      <c r="N84">
        <f ca="1" t="shared" si="168"/>
        <v>92028</v>
      </c>
      <c r="O84">
        <f ca="1" t="shared" si="111"/>
        <v>258003.75</v>
      </c>
      <c r="P84">
        <f ca="1">IF(G84="恒定伤害",0,(IF(D84="轻剑",$AZ$2,$AZ$3)+IFERROR(INDEX(技能数据库!$T$2:$W$27,MATCH(E84,技能数据库!$T$2:$T$27,0),4),0)+COUNTIF(G84,"*造化2*")*154+COUNTIF(G84,"*造化1*")*102+COUNTIF(G84,"*碧归*")*307)/1024)</f>
        <v>0.116321271929785</v>
      </c>
      <c r="Q84">
        <f ca="1" t="shared" si="112"/>
        <v>0.448284482196154</v>
      </c>
      <c r="R84">
        <f ca="1" t="shared" si="113"/>
        <v>0.21277697966198</v>
      </c>
      <c r="S84">
        <f ca="1" t="shared" si="169"/>
        <v>328372.577328174</v>
      </c>
      <c r="T84">
        <f t="shared" si="170"/>
        <v>0.8</v>
      </c>
      <c r="U84">
        <f ca="1" t="shared" si="114"/>
        <v>2.67001635480339</v>
      </c>
      <c r="V84">
        <f ca="1" t="shared" si="171"/>
        <v>964106.183410673</v>
      </c>
      <c r="W84">
        <f ca="1">IF(G84="恒定伤害",0,MIN(1,IF(COUNTIF(F84,"*内会*")&gt;0,内会2,IF(D84="轻剑",$Y$2,$Y$3)+COUNTIF(G84,"*莺鸣*")*0.2+COUNTIF(G84,"*叠1*")*0.1+COUNTIF(G84,"*叠2*")*0.2+COUNTIF(G84,"*叠3*")*0.3)+IFERROR(INDEX(技能数据库!$T$2:$W$27,MATCH(E84,技能数据库!$T$2:$T$27,0),2),0)+IF((IF(D84="轻剑",$AO$2,$AO$3)+INT(COUNTIF(G84,"*大莺鸣*")*IF(D84="轻剑",$AM$2,$AM$3)*听晓无双率)/无双系数)&gt;0.9,特效裤子会心/会心系数,0)))</f>
        <v>0.9043</v>
      </c>
      <c r="X84">
        <f ca="1">IF(G84="恒定伤害",0,IF(COUNTIF(F84,"*内会*")&gt;0,内会效2,IF(D84="轻剑",$AB$2,$AB$3))+IFERROR(INDEX(技能数据库!$T$2:$W$27,MATCH(E84,技能数据库!$T$2:$T$27,0),3)/1024,0))+COUNTIF(G84,"*叠1*")*0.25+COUNTIF(G84,"*叠2*")*0.5+COUNTIF(G84,"*叠3*")*0.75</f>
        <v>2.1712723116</v>
      </c>
      <c r="Y84">
        <f ca="1" t="shared" si="172"/>
        <v>2.05918155137988</v>
      </c>
      <c r="Z84">
        <f t="shared" si="115"/>
        <v>0.150390625</v>
      </c>
      <c r="AA84">
        <f ca="1" t="shared" si="173"/>
        <v>0.0205078125</v>
      </c>
      <c r="AB84">
        <f ca="1" t="shared" si="174"/>
        <v>2330672.0849011</v>
      </c>
      <c r="AC84">
        <f ca="1">技能数计算!$AJ76</f>
        <v>0</v>
      </c>
      <c r="AD84" s="164">
        <f ca="1" t="shared" si="166"/>
        <v>0</v>
      </c>
      <c r="AE84" s="168"/>
      <c r="AF84" s="168">
        <f ca="1" t="shared" si="116"/>
        <v>0.9057</v>
      </c>
      <c r="AG84">
        <f ca="1">技能数计算!$AJ76</f>
        <v>0</v>
      </c>
      <c r="AH84">
        <f ca="1" t="shared" si="117"/>
        <v>109879</v>
      </c>
      <c r="AJ84">
        <f ca="1" t="shared" si="118"/>
        <v>2.3704910616</v>
      </c>
      <c r="AK84">
        <f ca="1" t="shared" si="119"/>
        <v>267314.25</v>
      </c>
      <c r="AL84">
        <f ca="1" t="shared" si="120"/>
        <v>2629015.10249175</v>
      </c>
      <c r="AM84" s="169">
        <f ca="1" t="shared" si="121"/>
        <v>0.9272</v>
      </c>
      <c r="AN84">
        <f ca="1">技能数计算!$AJ76</f>
        <v>0</v>
      </c>
      <c r="AO84" s="170">
        <f ca="1" t="shared" si="122"/>
        <v>2663578.52324162</v>
      </c>
      <c r="AP84">
        <f ca="1" t="shared" si="123"/>
        <v>110956</v>
      </c>
      <c r="AQ84" s="170">
        <f ca="1" t="shared" si="124"/>
        <v>269499</v>
      </c>
      <c r="AR84">
        <f ca="1" t="shared" si="125"/>
        <v>2577341.13932089</v>
      </c>
      <c r="AS84">
        <f ca="1" t="shared" si="126"/>
        <v>0.9843</v>
      </c>
      <c r="AT84">
        <f ca="1">技能数计算!$AJ76</f>
        <v>0</v>
      </c>
      <c r="AU84">
        <f ca="1" t="shared" si="127"/>
        <v>2.3177566866</v>
      </c>
      <c r="AV84">
        <f ca="1" t="shared" si="128"/>
        <v>2.68954760480339</v>
      </c>
      <c r="AW84">
        <f ca="1" t="shared" si="155"/>
        <v>2613758.6835026</v>
      </c>
      <c r="AX84">
        <f ca="1" t="shared" si="129"/>
        <v>0.9743</v>
      </c>
      <c r="AY84">
        <f ca="1">技能数计算!$AJ76</f>
        <v>0</v>
      </c>
      <c r="AZ84" s="170">
        <f ca="1" t="shared" si="156"/>
        <v>2598764.35977183</v>
      </c>
      <c r="BA84">
        <f ca="1" t="shared" si="130"/>
        <v>0.9643</v>
      </c>
      <c r="BB84">
        <f ca="1">技能数计算!$AJ76</f>
        <v>0</v>
      </c>
      <c r="BC84" s="170">
        <f ca="1" t="shared" si="157"/>
        <v>2583770.03604105</v>
      </c>
      <c r="BE84">
        <f ca="1" t="shared" si="131"/>
        <v>105849</v>
      </c>
      <c r="BF84">
        <f ca="1" t="shared" si="132"/>
        <v>258008.25</v>
      </c>
      <c r="BI84">
        <f ca="1" t="shared" si="133"/>
        <v>0.9543</v>
      </c>
      <c r="BJ84">
        <f ca="1">技能数计算!$AJ76</f>
        <v>0</v>
      </c>
      <c r="BK84">
        <f ca="1" t="shared" si="134"/>
        <v>2553979.31696867</v>
      </c>
      <c r="BM84">
        <f ca="1" t="shared" si="135"/>
        <v>109230</v>
      </c>
      <c r="BN84">
        <f ca="1" t="shared" si="136"/>
        <v>265615.5</v>
      </c>
      <c r="BO84">
        <f ca="1" t="shared" si="137"/>
        <v>2591350.12218598</v>
      </c>
      <c r="BP84">
        <f ca="1" t="shared" si="138"/>
        <v>2471221.17261544</v>
      </c>
      <c r="BR84">
        <f ca="1" t="shared" si="139"/>
        <v>0.9543</v>
      </c>
      <c r="BS84">
        <f ca="1" t="shared" si="140"/>
        <v>2555028.77444881</v>
      </c>
      <c r="BT84">
        <f ca="1" t="shared" si="141"/>
        <v>0.196995876306796</v>
      </c>
      <c r="BU84">
        <f ca="1" t="shared" si="142"/>
        <v>2.3177566866</v>
      </c>
      <c r="BV84">
        <f ca="1" t="shared" si="158"/>
        <v>2606399.94491567</v>
      </c>
      <c r="BW84">
        <f ca="1" t="shared" si="143"/>
        <v>113027</v>
      </c>
      <c r="BX84">
        <f ca="1" t="shared" si="144"/>
        <v>274158.75</v>
      </c>
      <c r="BY84">
        <f ca="1" t="shared" si="145"/>
        <v>0.9343</v>
      </c>
      <c r="BZ84">
        <f ca="1">技能数计算!$AJ76</f>
        <v>0</v>
      </c>
      <c r="CA84">
        <f ca="1" t="shared" si="146"/>
        <v>2.3216629366</v>
      </c>
      <c r="CB84">
        <f ca="1" t="shared" si="159"/>
        <v>2687862.57049398</v>
      </c>
      <c r="CC84">
        <f ca="1" t="shared" si="147"/>
        <v>114847</v>
      </c>
      <c r="CD84">
        <f ca="1" t="shared" si="148"/>
        <v>278253.75</v>
      </c>
      <c r="CE84">
        <f ca="1" t="shared" si="149"/>
        <v>2632980.06547078</v>
      </c>
      <c r="CF84">
        <f ca="1" t="shared" si="150"/>
        <v>2.2689285616</v>
      </c>
      <c r="CG84">
        <f ca="1" t="shared" si="151"/>
        <v>0.9343</v>
      </c>
      <c r="CH84">
        <f ca="1" t="shared" si="160"/>
        <v>2486877.420777</v>
      </c>
      <c r="CJ84">
        <f ca="1" t="shared" si="152"/>
        <v>265615.5</v>
      </c>
      <c r="CK84">
        <f ca="1" t="shared" si="153"/>
        <v>2579611.44736527</v>
      </c>
      <c r="CL84">
        <f ca="1" t="shared" si="161"/>
        <v>2.2915848116</v>
      </c>
      <c r="CM84">
        <f ca="1">IF(G84="恒定伤害",0,(IF(D84="轻剑",$CM$8,$CM$9)+IFERROR(INDEX(技能数据库!$T$2:$W$27,MATCH(E84,技能数据库!$T$2:$T$27,0),4),0)+COUNTIF(G84,"*造化2*")*154+COUNTIF(G84,"*造化1*")*102+COUNTIF(G84,"*碧归*")*307)/1024)</f>
        <v>0.176868146929785</v>
      </c>
      <c r="CN84">
        <f ca="1" t="shared" si="162"/>
        <v>2647152.77797904</v>
      </c>
      <c r="CO84">
        <f ca="1" t="shared" si="163"/>
        <v>2.3156473116</v>
      </c>
      <c r="CP84">
        <f ca="1" t="shared" si="164"/>
        <v>2674121.31316917</v>
      </c>
      <c r="CQ84">
        <f ca="1" t="shared" si="154"/>
        <v>2.77157885480339</v>
      </c>
      <c r="CR84">
        <f ca="1">IF(G84="恒定伤害",0,(IF(D84="轻剑",$CR$8,$CR$9)+IFERROR(INDEX(技能数据库!$T$2:$W$27,MATCH(E84,技能数据库!$T$2:$T$27,0),4),0)+COUNTIF(G84,"*造化2*")*154+COUNTIF(G84,"*造化1*")*102+COUNTIF(G84,"*碧归*")*307)/1024)</f>
        <v>0.167102521929785</v>
      </c>
      <c r="CS84">
        <f ca="1" t="shared" si="165"/>
        <v>2504125.98102446</v>
      </c>
    </row>
    <row r="85" spans="4:97">
      <c r="D85" t="s">
        <v>1825</v>
      </c>
      <c r="E85" t="s">
        <v>2906</v>
      </c>
      <c r="G85" t="s">
        <v>2750</v>
      </c>
      <c r="H85">
        <f ca="1">INDEX(技能数据库!$B$2:$I$100,MATCH(阵眼收益计算!$E85,技能数据库!$B$2:$B$100,0),MATCH(H$9,技能数据库!$B$2:$I$2,0))</f>
        <v>317.5</v>
      </c>
      <c r="I85">
        <f ca="1">INDEX(技能数据库!$B$2:$I$100,MATCH(阵眼收益计算!$E85,技能数据库!$B$2:$B$100,0),MATCH(I$9,技能数据库!$B$2:$I$2,0))</f>
        <v>1.6875</v>
      </c>
      <c r="J85">
        <f ca="1">INDEX(技能数据库!$B$2:$I$100,MATCH(阵眼收益计算!$E85,技能数据库!$B$2:$B$100,0),MATCH(J$9,技能数据库!$B$2:$I$2,0))</f>
        <v>1</v>
      </c>
      <c r="K85">
        <f ca="1">INDEX(技能数据库!$B$2:$I$100,MATCH(阵眼收益计算!$E85,技能数据库!$B$2:$B$100,0),MATCH(K$9,技能数据库!$B$2:$I$2,0))</f>
        <v>0</v>
      </c>
      <c r="L85">
        <f ca="1" t="shared" si="110"/>
        <v>105847</v>
      </c>
      <c r="M85">
        <f ca="1" t="shared" si="167"/>
        <v>19530.5</v>
      </c>
      <c r="N85">
        <f ca="1" t="shared" si="168"/>
        <v>92028</v>
      </c>
      <c r="O85">
        <f ca="1" t="shared" si="111"/>
        <v>198464.8125</v>
      </c>
      <c r="P85">
        <f ca="1">IF(G85="恒定伤害",0,(IF(D85="轻剑",$AZ$2,$AZ$3)+IFERROR(INDEX(技能数据库!$T$2:$W$27,MATCH(E85,技能数据库!$T$2:$T$27,0),4),0)+COUNTIF(G85,"*造化2*")*154+COUNTIF(G85,"*造化1*")*102+COUNTIF(G85,"*碧归*")*307)/1024)</f>
        <v>0.116321271929785</v>
      </c>
      <c r="Q85">
        <f ca="1" t="shared" si="112"/>
        <v>0.448284482196154</v>
      </c>
      <c r="R85">
        <f ca="1" t="shared" si="113"/>
        <v>0.21277697966198</v>
      </c>
      <c r="S85">
        <f ca="1" t="shared" si="169"/>
        <v>252594.785888104</v>
      </c>
      <c r="T85">
        <f t="shared" si="170"/>
        <v>0.8</v>
      </c>
      <c r="U85">
        <f ca="1" t="shared" si="114"/>
        <v>1.7800129648</v>
      </c>
      <c r="V85">
        <f ca="1" t="shared" si="171"/>
        <v>561773.423687847</v>
      </c>
      <c r="W85">
        <f ca="1">IF(G85="恒定伤害",0,MIN(1,IF(COUNTIF(F85,"*内会*")&gt;0,内会2,IF(D85="轻剑",$Y$2,$Y$3)+COUNTIF(G85,"*莺鸣*")*0.2+COUNTIF(G85,"*叠1*")*0.1+COUNTIF(G85,"*叠2*")*0.2+COUNTIF(G85,"*叠3*")*0.3)+IFERROR(INDEX(技能数据库!$T$2:$W$27,MATCH(E85,技能数据库!$T$2:$T$27,0),2),0)+IF((IF(D85="轻剑",$AO$2,$AO$3)+INT(COUNTIF(G85,"*大莺鸣*")*IF(D85="轻剑",$AM$2,$AM$3)*听晓无双率)/无双系数)&gt;0.9,特效裤子会心/会心系数,0)))</f>
        <v>0.7043</v>
      </c>
      <c r="X85">
        <f ca="1">IF(G85="恒定伤害",0,IF(COUNTIF(F85,"*内会*")&gt;0,内会效2,IF(D85="轻剑",$AB$2,$AB$3))+IFERROR(INDEX(技能数据库!$T$2:$W$27,MATCH(E85,技能数据库!$T$2:$T$27,0),3)/1024,0))+COUNTIF(G85,"*叠1*")*0.25+COUNTIF(G85,"*叠2*")*0.5+COUNTIF(G85,"*叠3*")*0.75</f>
        <v>2.1712723116</v>
      </c>
      <c r="Y85">
        <f ca="1" t="shared" si="172"/>
        <v>1.82492708905988</v>
      </c>
      <c r="Z85">
        <f t="shared" si="115"/>
        <v>0.150390625</v>
      </c>
      <c r="AA85">
        <f ca="1" t="shared" si="173"/>
        <v>0.0205078125</v>
      </c>
      <c r="AB85">
        <f ca="1" t="shared" si="174"/>
        <v>1203561.74490021</v>
      </c>
      <c r="AC85">
        <f ca="1">技能数计算!$AJ77</f>
        <v>0</v>
      </c>
      <c r="AD85" s="164">
        <f ca="1" t="shared" si="166"/>
        <v>0</v>
      </c>
      <c r="AE85" s="168"/>
      <c r="AF85" s="168">
        <f ca="1" t="shared" si="116"/>
        <v>0.7057</v>
      </c>
      <c r="AG85">
        <f ca="1">技能数计算!$AJ77</f>
        <v>0</v>
      </c>
      <c r="AH85">
        <f ca="1" t="shared" si="117"/>
        <v>109879</v>
      </c>
      <c r="AJ85">
        <f ca="1" t="shared" si="118"/>
        <v>2.3704910616</v>
      </c>
      <c r="AK85">
        <f ca="1" t="shared" si="119"/>
        <v>205507.3125</v>
      </c>
      <c r="AL85">
        <f ca="1" t="shared" si="120"/>
        <v>1343769.38499015</v>
      </c>
      <c r="AM85" s="169">
        <f ca="1" t="shared" si="121"/>
        <v>0.7272</v>
      </c>
      <c r="AN85">
        <f ca="1">技能数计算!$AJ77</f>
        <v>0</v>
      </c>
      <c r="AO85" s="170">
        <f ca="1" t="shared" si="122"/>
        <v>1363897.38893659</v>
      </c>
      <c r="AP85">
        <f ca="1" t="shared" si="123"/>
        <v>110956</v>
      </c>
      <c r="AQ85" s="170">
        <f ca="1" t="shared" si="124"/>
        <v>207086.25</v>
      </c>
      <c r="AR85">
        <f ca="1" t="shared" si="125"/>
        <v>1329522.56484095</v>
      </c>
      <c r="AS85">
        <f ca="1" t="shared" si="126"/>
        <v>0.7843</v>
      </c>
      <c r="AT85">
        <f ca="1">技能数计算!$AJ77</f>
        <v>0</v>
      </c>
      <c r="AU85">
        <f ca="1" t="shared" si="127"/>
        <v>2.3177566866</v>
      </c>
      <c r="AV85">
        <f ca="1" t="shared" si="128"/>
        <v>1.7995442148</v>
      </c>
      <c r="AW85">
        <f ca="1" t="shared" si="155"/>
        <v>1350551.29134013</v>
      </c>
      <c r="AX85">
        <f ca="1" t="shared" si="129"/>
        <v>0.7743</v>
      </c>
      <c r="AY85">
        <f ca="1">技能数计算!$AJ77</f>
        <v>0</v>
      </c>
      <c r="AZ85" s="170">
        <f ca="1" t="shared" si="156"/>
        <v>1341799.46693099</v>
      </c>
      <c r="BA85">
        <f ca="1" t="shared" si="130"/>
        <v>0.7643</v>
      </c>
      <c r="BB85">
        <f ca="1">技能数计算!$AJ77</f>
        <v>0</v>
      </c>
      <c r="BC85" s="170">
        <f ca="1" t="shared" si="157"/>
        <v>1333047.64252185</v>
      </c>
      <c r="BE85">
        <f ca="1" t="shared" si="131"/>
        <v>105849</v>
      </c>
      <c r="BF85">
        <f ca="1" t="shared" si="132"/>
        <v>198468.1875</v>
      </c>
      <c r="BI85">
        <f ca="1" t="shared" si="133"/>
        <v>0.7543</v>
      </c>
      <c r="BJ85">
        <f ca="1">技能数计算!$AJ77</f>
        <v>0</v>
      </c>
      <c r="BK85">
        <f ca="1" t="shared" si="134"/>
        <v>1325802.03406344</v>
      </c>
      <c r="BM85">
        <f ca="1" t="shared" si="135"/>
        <v>109230</v>
      </c>
      <c r="BN85">
        <f ca="1" t="shared" si="136"/>
        <v>204173.625</v>
      </c>
      <c r="BO85">
        <f ca="1" t="shared" si="137"/>
        <v>1337217.40606206</v>
      </c>
      <c r="BP85">
        <f ca="1" t="shared" si="138"/>
        <v>1275227.12502579</v>
      </c>
      <c r="BR85">
        <f ca="1" t="shared" si="139"/>
        <v>0.7543</v>
      </c>
      <c r="BS85">
        <f ca="1" t="shared" si="140"/>
        <v>1325397.09672952</v>
      </c>
      <c r="BT85">
        <f ca="1" t="shared" si="141"/>
        <v>0.196995876306796</v>
      </c>
      <c r="BU85">
        <f ca="1" t="shared" si="142"/>
        <v>2.3177566866</v>
      </c>
      <c r="BV85">
        <f ca="1" t="shared" si="158"/>
        <v>1341419.1069109</v>
      </c>
      <c r="BW85">
        <f ca="1" t="shared" si="143"/>
        <v>113027</v>
      </c>
      <c r="BX85">
        <f ca="1" t="shared" si="144"/>
        <v>210581.0625</v>
      </c>
      <c r="BY85">
        <f ca="1" t="shared" si="145"/>
        <v>0.7343</v>
      </c>
      <c r="BZ85">
        <f ca="1">技能数计算!$AJ77</f>
        <v>0</v>
      </c>
      <c r="CA85">
        <f ca="1" t="shared" si="146"/>
        <v>2.3216629366</v>
      </c>
      <c r="CB85">
        <f ca="1" t="shared" si="159"/>
        <v>1378905.33102568</v>
      </c>
      <c r="CC85">
        <f ca="1" t="shared" si="147"/>
        <v>114847</v>
      </c>
      <c r="CD85">
        <f ca="1" t="shared" si="148"/>
        <v>213652.3125</v>
      </c>
      <c r="CE85">
        <f ca="1" t="shared" si="149"/>
        <v>1360122.9339401</v>
      </c>
      <c r="CF85">
        <f ca="1" t="shared" si="150"/>
        <v>2.2689285616</v>
      </c>
      <c r="CG85">
        <f ca="1" t="shared" si="151"/>
        <v>0.7343</v>
      </c>
      <c r="CH85">
        <f ca="1" t="shared" si="160"/>
        <v>1282979.56237732</v>
      </c>
      <c r="CJ85">
        <f ca="1" t="shared" si="152"/>
        <v>204173.625</v>
      </c>
      <c r="CK85">
        <f ca="1" t="shared" si="153"/>
        <v>1331159.88409312</v>
      </c>
      <c r="CL85">
        <f ca="1" t="shared" si="161"/>
        <v>2.2915848116</v>
      </c>
      <c r="CM85">
        <f ca="1">IF(G85="恒定伤害",0,(IF(D85="轻剑",$CM$8,$CM$9)+IFERROR(INDEX(技能数据库!$T$2:$W$27,MATCH(E85,技能数据库!$T$2:$T$27,0),4),0)+COUNTIF(G85,"*造化2*")*154+COUNTIF(G85,"*造化1*")*102+COUNTIF(G85,"*碧归*")*307)/1024)</f>
        <v>0.176868146929785</v>
      </c>
      <c r="CN85">
        <f ca="1" t="shared" si="162"/>
        <v>1364213.95252144</v>
      </c>
      <c r="CO85">
        <f ca="1" t="shared" si="163"/>
        <v>2.3156473116</v>
      </c>
      <c r="CP85">
        <f ca="1" t="shared" si="164"/>
        <v>1376585.27848787</v>
      </c>
      <c r="CQ85">
        <f ca="1" t="shared" si="154"/>
        <v>1.8815754648</v>
      </c>
      <c r="CR85">
        <f ca="1">IF(G85="恒定伤害",0,(IF(D85="轻剑",$CR$8,$CR$9)+IFERROR(INDEX(技能数据库!$T$2:$W$27,MATCH(E85,技能数据库!$T$2:$T$27,0),4),0)+COUNTIF(G85,"*造化2*")*154+COUNTIF(G85,"*造化1*")*102+COUNTIF(G85,"*碧归*")*307)/1024)</f>
        <v>0.167102521929785</v>
      </c>
      <c r="CS85">
        <f ca="1" t="shared" si="165"/>
        <v>1304281.57341849</v>
      </c>
    </row>
    <row r="86" spans="4:97">
      <c r="D86" t="s">
        <v>1825</v>
      </c>
      <c r="E86" t="s">
        <v>2906</v>
      </c>
      <c r="G86" t="s">
        <v>3044</v>
      </c>
      <c r="H86">
        <f ca="1">INDEX(技能数据库!$B$2:$I$100,MATCH(阵眼收益计算!$E86,技能数据库!$B$2:$B$100,0),MATCH(H$9,技能数据库!$B$2:$I$2,0))</f>
        <v>317.5</v>
      </c>
      <c r="I86">
        <f ca="1">INDEX(技能数据库!$B$2:$I$100,MATCH(阵眼收益计算!$E86,技能数据库!$B$2:$B$100,0),MATCH(I$9,技能数据库!$B$2:$I$2,0))</f>
        <v>1.6875</v>
      </c>
      <c r="J86">
        <f ca="1">INDEX(技能数据库!$B$2:$I$100,MATCH(阵眼收益计算!$E86,技能数据库!$B$2:$B$100,0),MATCH(J$9,技能数据库!$B$2:$I$2,0))</f>
        <v>1</v>
      </c>
      <c r="K86">
        <f ca="1">INDEX(技能数据库!$B$2:$I$100,MATCH(阵眼收益计算!$E86,技能数据库!$B$2:$B$100,0),MATCH(K$9,技能数据库!$B$2:$I$2,0))</f>
        <v>0</v>
      </c>
      <c r="L86">
        <f ca="1" t="shared" si="110"/>
        <v>105847</v>
      </c>
      <c r="M86">
        <f ca="1" t="shared" si="167"/>
        <v>19530.5</v>
      </c>
      <c r="N86">
        <f ca="1" t="shared" si="168"/>
        <v>92028</v>
      </c>
      <c r="O86">
        <f ca="1" t="shared" si="111"/>
        <v>198464.8125</v>
      </c>
      <c r="P86">
        <f ca="1">IF(G86="恒定伤害",0,(IF(D86="轻剑",$AZ$2,$AZ$3)+IFERROR(INDEX(技能数据库!$T$2:$W$27,MATCH(E86,技能数据库!$T$2:$T$27,0),4),0)+COUNTIF(G86,"*造化2*")*154+COUNTIF(G86,"*造化1*")*102+COUNTIF(G86,"*碧归*")*307)/1024)</f>
        <v>0.116321271929785</v>
      </c>
      <c r="Q86">
        <f ca="1" t="shared" si="112"/>
        <v>0.448284482196154</v>
      </c>
      <c r="R86">
        <f ca="1" t="shared" si="113"/>
        <v>0.21277697966198</v>
      </c>
      <c r="S86">
        <f ca="1" t="shared" si="169"/>
        <v>252594.785888104</v>
      </c>
      <c r="T86">
        <f t="shared" si="170"/>
        <v>0.8</v>
      </c>
      <c r="U86">
        <f ca="1" t="shared" si="114"/>
        <v>2.67001635480339</v>
      </c>
      <c r="V86">
        <f ca="1" t="shared" si="171"/>
        <v>741621.596277921</v>
      </c>
      <c r="W86">
        <f ca="1">IF(G86="恒定伤害",0,MIN(1,IF(COUNTIF(F86,"*内会*")&gt;0,内会2,IF(D86="轻剑",$Y$2,$Y$3)+COUNTIF(G86,"*莺鸣*")*0.2+COUNTIF(G86,"*叠1*")*0.1+COUNTIF(G86,"*叠2*")*0.2+COUNTIF(G86,"*叠3*")*0.3)+IFERROR(INDEX(技能数据库!$T$2:$W$27,MATCH(E86,技能数据库!$T$2:$T$27,0),2),0)+IF((IF(D86="轻剑",$AO$2,$AO$3)+INT(COUNTIF(G86,"*大莺鸣*")*IF(D86="轻剑",$AM$2,$AM$3)*听晓无双率)/无双系数)&gt;0.9,特效裤子会心/会心系数,0)))</f>
        <v>0.9043</v>
      </c>
      <c r="X86">
        <f ca="1">IF(G86="恒定伤害",0,IF(COUNTIF(F86,"*内会*")&gt;0,内会效2,IF(D86="轻剑",$AB$2,$AB$3))+IFERROR(INDEX(技能数据库!$T$2:$W$27,MATCH(E86,技能数据库!$T$2:$T$27,0),3)/1024,0))+COUNTIF(G86,"*叠1*")*0.25+COUNTIF(G86,"*叠2*")*0.5+COUNTIF(G86,"*叠3*")*0.75</f>
        <v>2.1712723116</v>
      </c>
      <c r="Y86">
        <f ca="1" t="shared" si="172"/>
        <v>2.05918155137988</v>
      </c>
      <c r="Z86">
        <f t="shared" si="115"/>
        <v>0.150390625</v>
      </c>
      <c r="AA86">
        <f ca="1" t="shared" si="173"/>
        <v>0.0205078125</v>
      </c>
      <c r="AB86">
        <f ca="1" t="shared" si="174"/>
        <v>1792828.19853929</v>
      </c>
      <c r="AC86">
        <f ca="1">技能数计算!$AJ78</f>
        <v>0</v>
      </c>
      <c r="AD86" s="164">
        <f ca="1" t="shared" si="166"/>
        <v>0</v>
      </c>
      <c r="AE86" s="168"/>
      <c r="AF86" s="168">
        <f ca="1" t="shared" si="116"/>
        <v>0.9057</v>
      </c>
      <c r="AG86">
        <f ca="1">技能数计算!$AJ78</f>
        <v>0</v>
      </c>
      <c r="AH86">
        <f ca="1" t="shared" si="117"/>
        <v>109879</v>
      </c>
      <c r="AJ86">
        <f ca="1" t="shared" si="118"/>
        <v>2.3704910616</v>
      </c>
      <c r="AK86">
        <f ca="1" t="shared" si="119"/>
        <v>205507.3125</v>
      </c>
      <c r="AL86">
        <f ca="1" t="shared" si="120"/>
        <v>2021148.62277261</v>
      </c>
      <c r="AM86" s="169">
        <f ca="1" t="shared" si="121"/>
        <v>0.9272</v>
      </c>
      <c r="AN86">
        <f ca="1">技能数计算!$AJ78</f>
        <v>0</v>
      </c>
      <c r="AO86" s="170">
        <f ca="1" t="shared" si="122"/>
        <v>2047720.47859066</v>
      </c>
      <c r="AP86">
        <f ca="1" t="shared" si="123"/>
        <v>110956</v>
      </c>
      <c r="AQ86" s="170">
        <f ca="1" t="shared" si="124"/>
        <v>207086.25</v>
      </c>
      <c r="AR86">
        <f ca="1" t="shared" si="125"/>
        <v>1980459.71047273</v>
      </c>
      <c r="AS86">
        <f ca="1" t="shared" si="126"/>
        <v>0.9843</v>
      </c>
      <c r="AT86">
        <f ca="1">技能数计算!$AJ78</f>
        <v>0</v>
      </c>
      <c r="AU86">
        <f ca="1" t="shared" si="127"/>
        <v>2.3177566866</v>
      </c>
      <c r="AV86">
        <f ca="1" t="shared" si="128"/>
        <v>2.68954760480339</v>
      </c>
      <c r="AW86">
        <f ca="1" t="shared" si="155"/>
        <v>2010587.54782282</v>
      </c>
      <c r="AX86">
        <f ca="1" t="shared" si="129"/>
        <v>0.9743</v>
      </c>
      <c r="AY86">
        <f ca="1">技能数计算!$AJ78</f>
        <v>0</v>
      </c>
      <c r="AZ86" s="170">
        <f ca="1" t="shared" si="156"/>
        <v>1999053.43001332</v>
      </c>
      <c r="BA86">
        <f ca="1" t="shared" si="130"/>
        <v>0.9643</v>
      </c>
      <c r="BB86">
        <f ca="1">技能数计算!$AJ78</f>
        <v>0</v>
      </c>
      <c r="BC86" s="170">
        <f ca="1" t="shared" si="157"/>
        <v>1987519.31220382</v>
      </c>
      <c r="BE86">
        <f ca="1" t="shared" si="131"/>
        <v>105849</v>
      </c>
      <c r="BF86">
        <f ca="1" t="shared" si="132"/>
        <v>198468.1875</v>
      </c>
      <c r="BI86">
        <f ca="1" t="shared" si="133"/>
        <v>0.9543</v>
      </c>
      <c r="BJ86">
        <f ca="1">技能数计算!$AJ78</f>
        <v>0</v>
      </c>
      <c r="BK86">
        <f ca="1" t="shared" si="134"/>
        <v>1964602.47279403</v>
      </c>
      <c r="BM86">
        <f ca="1" t="shared" si="135"/>
        <v>109230</v>
      </c>
      <c r="BN86">
        <f ca="1" t="shared" si="136"/>
        <v>204173.625</v>
      </c>
      <c r="BO86">
        <f ca="1" t="shared" si="137"/>
        <v>1991921.96272772</v>
      </c>
      <c r="BP86">
        <f ca="1" t="shared" si="138"/>
        <v>1899581.10497936</v>
      </c>
      <c r="BR86">
        <f ca="1" t="shared" si="139"/>
        <v>0.9543</v>
      </c>
      <c r="BS86">
        <f ca="1" t="shared" si="140"/>
        <v>1964002.4277895</v>
      </c>
      <c r="BT86">
        <f ca="1" t="shared" si="141"/>
        <v>0.196995876306796</v>
      </c>
      <c r="BU86">
        <f ca="1" t="shared" si="142"/>
        <v>2.3177566866</v>
      </c>
      <c r="BV86">
        <f ca="1" t="shared" si="158"/>
        <v>2004926.96857197</v>
      </c>
      <c r="BW86">
        <f ca="1" t="shared" si="143"/>
        <v>113027</v>
      </c>
      <c r="BX86">
        <f ca="1" t="shared" si="144"/>
        <v>210581.0625</v>
      </c>
      <c r="BY86">
        <f ca="1" t="shared" si="145"/>
        <v>0.9343</v>
      </c>
      <c r="BZ86">
        <f ca="1">技能数计算!$AJ78</f>
        <v>0</v>
      </c>
      <c r="CA86">
        <f ca="1" t="shared" si="146"/>
        <v>2.3216629366</v>
      </c>
      <c r="CB86">
        <f ca="1" t="shared" si="159"/>
        <v>2064544.56021777</v>
      </c>
      <c r="CC86">
        <f ca="1" t="shared" si="147"/>
        <v>114847</v>
      </c>
      <c r="CD86">
        <f ca="1" t="shared" si="148"/>
        <v>213652.3125</v>
      </c>
      <c r="CE86">
        <f ca="1" t="shared" si="149"/>
        <v>2021688.04465073</v>
      </c>
      <c r="CF86">
        <f ca="1" t="shared" si="150"/>
        <v>2.2689285616</v>
      </c>
      <c r="CG86">
        <f ca="1" t="shared" si="151"/>
        <v>0.9343</v>
      </c>
      <c r="CH86">
        <f ca="1" t="shared" si="160"/>
        <v>1912986.38498468</v>
      </c>
      <c r="CJ86">
        <f ca="1" t="shared" si="152"/>
        <v>204173.625</v>
      </c>
      <c r="CK86">
        <f ca="1" t="shared" si="153"/>
        <v>1982898.66479955</v>
      </c>
      <c r="CL86">
        <f ca="1" t="shared" si="161"/>
        <v>2.2915848116</v>
      </c>
      <c r="CM86">
        <f ca="1">IF(G86="恒定伤害",0,(IF(D86="轻剑",$CM$8,$CM$9)+IFERROR(INDEX(技能数据库!$T$2:$W$27,MATCH(E86,技能数据库!$T$2:$T$27,0),4),0)+COUNTIF(G86,"*造化2*")*154+COUNTIF(G86,"*造化1*")*102+COUNTIF(G86,"*碧归*")*307)/1024)</f>
        <v>0.176868146929785</v>
      </c>
      <c r="CN86">
        <f ca="1" t="shared" si="162"/>
        <v>2036275.36320873</v>
      </c>
      <c r="CO86">
        <f ca="1" t="shared" si="163"/>
        <v>2.3156473116</v>
      </c>
      <c r="CP86">
        <f ca="1" t="shared" si="164"/>
        <v>2057020.43098355</v>
      </c>
      <c r="CQ86">
        <f ca="1" t="shared" si="154"/>
        <v>2.77157885480339</v>
      </c>
      <c r="CR86">
        <f ca="1">IF(G86="恒定伤害",0,(IF(D86="轻剑",$CR$8,$CR$9)+IFERROR(INDEX(技能数据库!$T$2:$W$27,MATCH(E86,技能数据库!$T$2:$T$27,0),4),0)+COUNTIF(G86,"*造化2*")*154+COUNTIF(G86,"*造化1*")*102+COUNTIF(G86,"*碧归*")*307)/1024)</f>
        <v>0.167102521929785</v>
      </c>
      <c r="CS86">
        <f ca="1" t="shared" si="165"/>
        <v>1926254.53428641</v>
      </c>
    </row>
    <row r="87" spans="4:97">
      <c r="D87" t="s">
        <v>1825</v>
      </c>
      <c r="E87" t="s">
        <v>2827</v>
      </c>
      <c r="G87" t="s">
        <v>2750</v>
      </c>
      <c r="H87">
        <f ca="1">INDEX(技能数据库!$B$2:$I$100,MATCH(阵眼收益计算!$E87,技能数据库!$B$2:$B$100,0),MATCH(H$9,技能数据库!$B$2:$I$2,0))</f>
        <v>1</v>
      </c>
      <c r="I87">
        <f ca="1">INDEX(技能数据库!$B$2:$I$100,MATCH(阵眼收益计算!$E87,技能数据库!$B$2:$B$100,0),MATCH(I$9,技能数据库!$B$2:$I$2,0))</f>
        <v>0.375</v>
      </c>
      <c r="J87">
        <f ca="1">INDEX(技能数据库!$B$2:$I$100,MATCH(阵眼收益计算!$E87,技能数据库!$B$2:$B$100,0),MATCH(J$9,技能数据库!$B$2:$I$2,0))</f>
        <v>0</v>
      </c>
      <c r="K87">
        <f ca="1">INDEX(技能数据库!$B$2:$I$100,MATCH(阵眼收益计算!$E87,技能数据库!$B$2:$B$100,0),MATCH(K$9,技能数据库!$B$2:$I$2,0))</f>
        <v>0</v>
      </c>
      <c r="L87">
        <f ca="1" t="shared" si="110"/>
        <v>105847</v>
      </c>
      <c r="M87">
        <f ca="1" t="shared" si="167"/>
        <v>19530.5</v>
      </c>
      <c r="N87">
        <f ca="1" t="shared" si="168"/>
        <v>92028</v>
      </c>
      <c r="O87">
        <f ca="1" t="shared" si="111"/>
        <v>39693.625</v>
      </c>
      <c r="P87">
        <f ca="1">IF(G87="恒定伤害",0,(IF(D87="轻剑",$AZ$2,$AZ$3)+IFERROR(INDEX(技能数据库!$T$2:$W$27,MATCH(E87,技能数据库!$T$2:$T$27,0),4),0)+COUNTIF(G87,"*造化2*")*154+COUNTIF(G87,"*造化1*")*102+COUNTIF(G87,"*碧归*")*307)/1024)</f>
        <v>0.116321271929785</v>
      </c>
      <c r="Q87">
        <f ca="1" t="shared" si="112"/>
        <v>0.448284482196154</v>
      </c>
      <c r="R87">
        <f ca="1" t="shared" si="113"/>
        <v>0.21277697966198</v>
      </c>
      <c r="S87">
        <f ca="1" t="shared" si="169"/>
        <v>50519.8003701421</v>
      </c>
      <c r="T87">
        <f t="shared" si="170"/>
        <v>0.8</v>
      </c>
      <c r="U87">
        <f ca="1" t="shared" si="114"/>
        <v>1.7800129648</v>
      </c>
      <c r="V87">
        <f ca="1" t="shared" si="171"/>
        <v>112356.560006482</v>
      </c>
      <c r="W87">
        <f ca="1">IF(G87="恒定伤害",0,MIN(1,IF(COUNTIF(F87,"*内会*")&gt;0,内会2,IF(D87="轻剑",$Y$2,$Y$3)+COUNTIF(G87,"*莺鸣*")*0.2+COUNTIF(G87,"*叠1*")*0.1+COUNTIF(G87,"*叠2*")*0.2+COUNTIF(G87,"*叠3*")*0.3)+IFERROR(INDEX(技能数据库!$T$2:$W$27,MATCH(E87,技能数据库!$T$2:$T$27,0),2),0)+IF((IF(D87="轻剑",$AO$2,$AO$3)+INT(COUNTIF(G87,"*大莺鸣*")*IF(D87="轻剑",$AM$2,$AM$3)*听晓无双率)/无双系数)&gt;0.9,特效裤子会心/会心系数,0)))</f>
        <v>0.7043</v>
      </c>
      <c r="X87">
        <f ca="1">IF(G87="恒定伤害",0,IF(COUNTIF(F87,"*内会*")&gt;0,内会效2,IF(D87="轻剑",$AB$2,$AB$3))+IFERROR(INDEX(技能数据库!$T$2:$W$27,MATCH(E87,技能数据库!$T$2:$T$27,0),3)/1024,0))+COUNTIF(G87,"*叠1*")*0.25+COUNTIF(G87,"*叠2*")*0.5+COUNTIF(G87,"*叠3*")*0.75</f>
        <v>2.1712723116</v>
      </c>
      <c r="Y87">
        <f ca="1" t="shared" si="172"/>
        <v>1.82492708905988</v>
      </c>
      <c r="Z87">
        <f t="shared" si="115"/>
        <v>0.150390625</v>
      </c>
      <c r="AA87">
        <f ca="1" t="shared" si="173"/>
        <v>0.0205078125</v>
      </c>
      <c r="AB87">
        <f ca="1" t="shared" si="174"/>
        <v>240716.366617456</v>
      </c>
      <c r="AC87">
        <f ca="1">技能数计算!$AJ79</f>
        <v>23.0849609375</v>
      </c>
      <c r="AD87" s="164">
        <f ca="1" t="shared" si="166"/>
        <v>0.00199223808733289</v>
      </c>
      <c r="AE87" s="168"/>
      <c r="AF87" s="168">
        <f ca="1" t="shared" si="116"/>
        <v>0.7057</v>
      </c>
      <c r="AG87">
        <f ca="1">技能数计算!$AJ79</f>
        <v>23.0849609375</v>
      </c>
      <c r="AH87">
        <f ca="1" t="shared" si="117"/>
        <v>109879</v>
      </c>
      <c r="AJ87">
        <f ca="1" t="shared" si="118"/>
        <v>2.3704910616</v>
      </c>
      <c r="AK87">
        <f ca="1" t="shared" si="119"/>
        <v>41205.625</v>
      </c>
      <c r="AL87">
        <f ca="1" t="shared" si="120"/>
        <v>269434.973825492</v>
      </c>
      <c r="AM87" s="169">
        <f ca="1" t="shared" si="121"/>
        <v>0.7272</v>
      </c>
      <c r="AN87">
        <f ca="1">技能数计算!$AJ79</f>
        <v>23.0849609375</v>
      </c>
      <c r="AO87" s="170">
        <f ca="1" t="shared" si="122"/>
        <v>273470.776603145</v>
      </c>
      <c r="AP87">
        <f ca="1" t="shared" si="123"/>
        <v>110956</v>
      </c>
      <c r="AQ87" s="170">
        <f ca="1" t="shared" si="124"/>
        <v>41609.5</v>
      </c>
      <c r="AR87">
        <f ca="1" t="shared" si="125"/>
        <v>267138.784741862</v>
      </c>
      <c r="AS87">
        <f ca="1" t="shared" si="126"/>
        <v>0.7843</v>
      </c>
      <c r="AT87">
        <f ca="1">技能数计算!$AJ79</f>
        <v>23.0849609375</v>
      </c>
      <c r="AU87">
        <f ca="1" t="shared" si="127"/>
        <v>2.3177566866</v>
      </c>
      <c r="AV87">
        <f ca="1" t="shared" si="128"/>
        <v>1.7995442148</v>
      </c>
      <c r="AW87">
        <f ca="1" t="shared" si="155"/>
        <v>270114.766574659</v>
      </c>
      <c r="AX87">
        <f ca="1" t="shared" si="129"/>
        <v>0.7743</v>
      </c>
      <c r="AY87">
        <f ca="1">技能数计算!$AJ79</f>
        <v>23.0849609375</v>
      </c>
      <c r="AZ87" s="170">
        <f ca="1" t="shared" si="156"/>
        <v>268364.372478162</v>
      </c>
      <c r="BA87">
        <f ca="1" t="shared" si="130"/>
        <v>0.7643</v>
      </c>
      <c r="BB87">
        <f ca="1">技能数计算!$AJ79</f>
        <v>23.0849609375</v>
      </c>
      <c r="BC87" s="170">
        <f ca="1" t="shared" si="157"/>
        <v>266613.978381665</v>
      </c>
      <c r="BE87">
        <f ca="1" t="shared" si="131"/>
        <v>105849</v>
      </c>
      <c r="BF87">
        <f ca="1" t="shared" si="132"/>
        <v>39694.375</v>
      </c>
      <c r="BI87">
        <f ca="1" t="shared" si="133"/>
        <v>0.7543</v>
      </c>
      <c r="BJ87">
        <f ca="1">技能数计算!$AJ79</f>
        <v>23.0849609375</v>
      </c>
      <c r="BK87">
        <f ca="1" t="shared" si="134"/>
        <v>265165.333441042</v>
      </c>
      <c r="BM87">
        <f ca="1" t="shared" si="135"/>
        <v>109230</v>
      </c>
      <c r="BN87">
        <f ca="1" t="shared" si="136"/>
        <v>40962.25</v>
      </c>
      <c r="BO87">
        <f ca="1" t="shared" si="137"/>
        <v>268278.695112876</v>
      </c>
      <c r="BP87">
        <f ca="1" t="shared" si="138"/>
        <v>255841.920336614</v>
      </c>
      <c r="BR87">
        <f ca="1" t="shared" si="139"/>
        <v>0.7543</v>
      </c>
      <c r="BS87">
        <f ca="1" t="shared" si="140"/>
        <v>265907.25038804</v>
      </c>
      <c r="BT87">
        <f ca="1" t="shared" si="141"/>
        <v>0.196995876306796</v>
      </c>
      <c r="BU87">
        <f ca="1" t="shared" si="142"/>
        <v>2.3177566866</v>
      </c>
      <c r="BV87">
        <f ca="1" t="shared" si="158"/>
        <v>268288.299204456</v>
      </c>
      <c r="BW87">
        <f ca="1" t="shared" si="143"/>
        <v>113027</v>
      </c>
      <c r="BX87">
        <f ca="1" t="shared" si="144"/>
        <v>42386.125</v>
      </c>
      <c r="BY87">
        <f ca="1" t="shared" si="145"/>
        <v>0.7343</v>
      </c>
      <c r="BZ87">
        <f ca="1">技能数计算!$AJ79</f>
        <v>23.0849609375</v>
      </c>
      <c r="CA87">
        <f ca="1" t="shared" si="146"/>
        <v>2.3216629366</v>
      </c>
      <c r="CB87">
        <f ca="1" t="shared" si="159"/>
        <v>277548.479574325</v>
      </c>
      <c r="CC87">
        <f ca="1" t="shared" si="147"/>
        <v>114847</v>
      </c>
      <c r="CD87">
        <f ca="1" t="shared" si="148"/>
        <v>43068.625</v>
      </c>
      <c r="CE87">
        <f ca="1" t="shared" si="149"/>
        <v>274177.348750981</v>
      </c>
      <c r="CF87">
        <f ca="1" t="shared" si="150"/>
        <v>2.2689285616</v>
      </c>
      <c r="CG87">
        <f ca="1" t="shared" si="151"/>
        <v>0.7343</v>
      </c>
      <c r="CH87">
        <f ca="1" t="shared" si="160"/>
        <v>256600.195219338</v>
      </c>
      <c r="CJ87">
        <f ca="1" t="shared" si="152"/>
        <v>40962.25</v>
      </c>
      <c r="CK87">
        <f ca="1" t="shared" si="153"/>
        <v>267063.40724564</v>
      </c>
      <c r="CL87">
        <f ca="1" t="shared" si="161"/>
        <v>2.2915848116</v>
      </c>
      <c r="CM87">
        <f ca="1">IF(G87="恒定伤害",0,(IF(D87="轻剑",$CM$8,$CM$9)+IFERROR(INDEX(技能数据库!$T$2:$W$27,MATCH(E87,技能数据库!$T$2:$T$27,0),4),0)+COUNTIF(G87,"*造化2*")*154+COUNTIF(G87,"*造化1*")*102+COUNTIF(G87,"*碧归*")*307)/1024)</f>
        <v>0.176868146929785</v>
      </c>
      <c r="CN87">
        <f ca="1" t="shared" si="162"/>
        <v>272847.344418567</v>
      </c>
      <c r="CO87">
        <f ca="1" t="shared" si="163"/>
        <v>2.3156473116</v>
      </c>
      <c r="CP87">
        <f ca="1" t="shared" si="164"/>
        <v>275321.650908863</v>
      </c>
      <c r="CQ87">
        <f ca="1" t="shared" si="154"/>
        <v>1.8815754648</v>
      </c>
      <c r="CR87">
        <f ca="1">IF(G87="恒定伤害",0,(IF(D87="轻剑",$CR$8,$CR$9)+IFERROR(INDEX(技能数据库!$T$2:$W$27,MATCH(E87,技能数据库!$T$2:$T$27,0),4),0)+COUNTIF(G87,"*造化2*")*154+COUNTIF(G87,"*造化1*")*102+COUNTIF(G87,"*碧归*")*307)/1024)</f>
        <v>0.167102521929785</v>
      </c>
      <c r="CS87">
        <f ca="1" t="shared" si="165"/>
        <v>260860.66853631</v>
      </c>
    </row>
    <row r="88" spans="4:97">
      <c r="D88" t="s">
        <v>1825</v>
      </c>
      <c r="E88" t="s">
        <v>2827</v>
      </c>
      <c r="G88" t="s">
        <v>3044</v>
      </c>
      <c r="H88">
        <f ca="1">INDEX(技能数据库!$B$2:$I$100,MATCH(阵眼收益计算!$E88,技能数据库!$B$2:$B$100,0),MATCH(H$9,技能数据库!$B$2:$I$2,0))</f>
        <v>1</v>
      </c>
      <c r="I88">
        <f ca="1">INDEX(技能数据库!$B$2:$I$100,MATCH(阵眼收益计算!$E88,技能数据库!$B$2:$B$100,0),MATCH(I$9,技能数据库!$B$2:$I$2,0))</f>
        <v>0.375</v>
      </c>
      <c r="J88">
        <f ca="1">INDEX(技能数据库!$B$2:$I$100,MATCH(阵眼收益计算!$E88,技能数据库!$B$2:$B$100,0),MATCH(J$9,技能数据库!$B$2:$I$2,0))</f>
        <v>0</v>
      </c>
      <c r="K88">
        <f ca="1">INDEX(技能数据库!$B$2:$I$100,MATCH(阵眼收益计算!$E88,技能数据库!$B$2:$B$100,0),MATCH(K$9,技能数据库!$B$2:$I$2,0))</f>
        <v>0</v>
      </c>
      <c r="L88">
        <f ca="1" t="shared" si="110"/>
        <v>105847</v>
      </c>
      <c r="M88">
        <f ca="1" t="shared" si="167"/>
        <v>19530.5</v>
      </c>
      <c r="N88">
        <f ca="1" t="shared" si="168"/>
        <v>92028</v>
      </c>
      <c r="O88">
        <f ca="1" t="shared" si="111"/>
        <v>39693.625</v>
      </c>
      <c r="P88">
        <f ca="1">IF(G88="恒定伤害",0,(IF(D88="轻剑",$AZ$2,$AZ$3)+IFERROR(INDEX(技能数据库!$T$2:$W$27,MATCH(E88,技能数据库!$T$2:$T$27,0),4),0)+COUNTIF(G88,"*造化2*")*154+COUNTIF(G88,"*造化1*")*102+COUNTIF(G88,"*碧归*")*307)/1024)</f>
        <v>0.116321271929785</v>
      </c>
      <c r="Q88">
        <f ca="1" t="shared" si="112"/>
        <v>0.448284482196154</v>
      </c>
      <c r="R88">
        <f ca="1" t="shared" si="113"/>
        <v>0.21277697966198</v>
      </c>
      <c r="S88">
        <f ca="1" t="shared" si="169"/>
        <v>50519.8003701421</v>
      </c>
      <c r="T88">
        <f t="shared" si="170"/>
        <v>0.8</v>
      </c>
      <c r="U88">
        <f ca="1" t="shared" si="114"/>
        <v>2.67001635480339</v>
      </c>
      <c r="V88">
        <f ca="1" t="shared" si="171"/>
        <v>148326.794879859</v>
      </c>
      <c r="W88">
        <f ca="1">IF(G88="恒定伤害",0,MIN(1,IF(COUNTIF(F88,"*内会*")&gt;0,内会2,IF(D88="轻剑",$Y$2,$Y$3)+COUNTIF(G88,"*莺鸣*")*0.2+COUNTIF(G88,"*叠1*")*0.1+COUNTIF(G88,"*叠2*")*0.2+COUNTIF(G88,"*叠3*")*0.3)+IFERROR(INDEX(技能数据库!$T$2:$W$27,MATCH(E88,技能数据库!$T$2:$T$27,0),2),0)+IF((IF(D88="轻剑",$AO$2,$AO$3)+INT(COUNTIF(G88,"*大莺鸣*")*IF(D88="轻剑",$AM$2,$AM$3)*听晓无双率)/无双系数)&gt;0.9,特效裤子会心/会心系数,0)))</f>
        <v>0.9043</v>
      </c>
      <c r="X88">
        <f ca="1">IF(G88="恒定伤害",0,IF(COUNTIF(F88,"*内会*")&gt;0,内会效2,IF(D88="轻剑",$AB$2,$AB$3))+IFERROR(INDEX(技能数据库!$T$2:$W$27,MATCH(E88,技能数据库!$T$2:$T$27,0),3)/1024,0))+COUNTIF(G88,"*叠1*")*0.25+COUNTIF(G88,"*叠2*")*0.5+COUNTIF(G88,"*叠3*")*0.75</f>
        <v>2.1712723116</v>
      </c>
      <c r="Y88">
        <f ca="1" t="shared" si="172"/>
        <v>2.05918155137988</v>
      </c>
      <c r="Z88">
        <f t="shared" si="115"/>
        <v>0.150390625</v>
      </c>
      <c r="AA88">
        <f ca="1" t="shared" si="173"/>
        <v>0.0205078125</v>
      </c>
      <c r="AB88">
        <f ca="1" t="shared" si="174"/>
        <v>358571.624389307</v>
      </c>
      <c r="AC88">
        <f ca="1">技能数计算!$AJ80</f>
        <v>0</v>
      </c>
      <c r="AD88" s="164">
        <f ca="1" t="shared" si="166"/>
        <v>0</v>
      </c>
      <c r="AE88" s="168"/>
      <c r="AF88" s="168">
        <f ca="1" t="shared" si="116"/>
        <v>0.9057</v>
      </c>
      <c r="AG88">
        <f ca="1">技能数计算!$AJ80</f>
        <v>0</v>
      </c>
      <c r="AH88">
        <f ca="1" t="shared" si="117"/>
        <v>109879</v>
      </c>
      <c r="AJ88">
        <f ca="1" t="shared" si="118"/>
        <v>2.3704910616</v>
      </c>
      <c r="AK88">
        <f ca="1" t="shared" si="119"/>
        <v>41205.625</v>
      </c>
      <c r="AL88">
        <f ca="1" t="shared" si="120"/>
        <v>405254.154735902</v>
      </c>
      <c r="AM88" s="169">
        <f ca="1" t="shared" si="121"/>
        <v>0.9272</v>
      </c>
      <c r="AN88">
        <f ca="1">技能数计算!$AJ80</f>
        <v>0</v>
      </c>
      <c r="AO88" s="170">
        <f ca="1" t="shared" si="122"/>
        <v>410581.993989276</v>
      </c>
      <c r="AP88">
        <f ca="1" t="shared" si="123"/>
        <v>110956</v>
      </c>
      <c r="AQ88" s="170">
        <f ca="1" t="shared" si="124"/>
        <v>41609.5</v>
      </c>
      <c r="AR88">
        <f ca="1" t="shared" si="125"/>
        <v>397930.516018882</v>
      </c>
      <c r="AS88">
        <f ca="1" t="shared" si="126"/>
        <v>0.9843</v>
      </c>
      <c r="AT88">
        <f ca="1">技能数计算!$AJ80</f>
        <v>0</v>
      </c>
      <c r="AU88">
        <f ca="1" t="shared" si="127"/>
        <v>2.3177566866</v>
      </c>
      <c r="AV88">
        <f ca="1" t="shared" si="128"/>
        <v>2.68954760480339</v>
      </c>
      <c r="AW88">
        <f ca="1" t="shared" si="155"/>
        <v>402124.221153553</v>
      </c>
      <c r="AX88">
        <f ca="1" t="shared" si="129"/>
        <v>0.9743</v>
      </c>
      <c r="AY88">
        <f ca="1">技能数计算!$AJ80</f>
        <v>0</v>
      </c>
      <c r="AZ88" s="170">
        <f ca="1" t="shared" si="156"/>
        <v>399817.359089346</v>
      </c>
      <c r="BA88">
        <f ca="1" t="shared" si="130"/>
        <v>0.9643</v>
      </c>
      <c r="BB88">
        <f ca="1">技能数计算!$AJ80</f>
        <v>0</v>
      </c>
      <c r="BC88" s="170">
        <f ca="1" t="shared" si="157"/>
        <v>397510.49702514</v>
      </c>
      <c r="BE88">
        <f ca="1" t="shared" si="131"/>
        <v>105849</v>
      </c>
      <c r="BF88">
        <f ca="1" t="shared" si="132"/>
        <v>39694.375</v>
      </c>
      <c r="BI88">
        <f ca="1" t="shared" si="133"/>
        <v>0.9543</v>
      </c>
      <c r="BJ88">
        <f ca="1">技能数计算!$AJ80</f>
        <v>0</v>
      </c>
      <c r="BK88">
        <f ca="1" t="shared" si="134"/>
        <v>392927.794944535</v>
      </c>
      <c r="BM88">
        <f ca="1" t="shared" si="135"/>
        <v>109230</v>
      </c>
      <c r="BN88">
        <f ca="1" t="shared" si="136"/>
        <v>40962.25</v>
      </c>
      <c r="BO88">
        <f ca="1" t="shared" si="137"/>
        <v>399628.528992143</v>
      </c>
      <c r="BP88">
        <f ca="1" t="shared" si="138"/>
        <v>381102.682177684</v>
      </c>
      <c r="BR88">
        <f ca="1" t="shared" si="139"/>
        <v>0.9543</v>
      </c>
      <c r="BS88">
        <f ca="1" t="shared" si="140"/>
        <v>394027.18371543</v>
      </c>
      <c r="BT88">
        <f ca="1" t="shared" si="141"/>
        <v>0.196995876306796</v>
      </c>
      <c r="BU88">
        <f ca="1" t="shared" si="142"/>
        <v>2.3177566866</v>
      </c>
      <c r="BV88">
        <f ca="1" t="shared" si="158"/>
        <v>400992.086407672</v>
      </c>
      <c r="BW88">
        <f ca="1" t="shared" si="143"/>
        <v>113027</v>
      </c>
      <c r="BX88">
        <f ca="1" t="shared" si="144"/>
        <v>42386.125</v>
      </c>
      <c r="BY88">
        <f ca="1" t="shared" si="145"/>
        <v>0.9343</v>
      </c>
      <c r="BZ88">
        <f ca="1">技能数计算!$AJ80</f>
        <v>0</v>
      </c>
      <c r="CA88">
        <f ca="1" t="shared" si="146"/>
        <v>2.3216629366</v>
      </c>
      <c r="CB88">
        <f ca="1" t="shared" si="159"/>
        <v>415555.144221293</v>
      </c>
      <c r="CC88">
        <f ca="1" t="shared" si="147"/>
        <v>114847</v>
      </c>
      <c r="CD88">
        <f ca="1" t="shared" si="148"/>
        <v>43068.625</v>
      </c>
      <c r="CE88">
        <f ca="1" t="shared" si="149"/>
        <v>407537.47639425</v>
      </c>
      <c r="CF88">
        <f ca="1" t="shared" si="150"/>
        <v>2.2689285616</v>
      </c>
      <c r="CG88">
        <f ca="1" t="shared" si="151"/>
        <v>0.9343</v>
      </c>
      <c r="CH88">
        <f ca="1" t="shared" si="160"/>
        <v>382603.662781217</v>
      </c>
      <c r="CJ88">
        <f ca="1" t="shared" si="152"/>
        <v>40962.25</v>
      </c>
      <c r="CK88">
        <f ca="1" t="shared" si="153"/>
        <v>397818.233536214</v>
      </c>
      <c r="CL88">
        <f ca="1" t="shared" si="161"/>
        <v>2.2915848116</v>
      </c>
      <c r="CM88">
        <f ca="1">IF(G88="恒定伤害",0,(IF(D88="轻剑",$CM$8,$CM$9)+IFERROR(INDEX(技能数据库!$T$2:$W$27,MATCH(E88,技能数据库!$T$2:$T$27,0),4),0)+COUNTIF(G88,"*造化2*")*154+COUNTIF(G88,"*造化1*")*102+COUNTIF(G88,"*碧归*")*307)/1024)</f>
        <v>0.176868146929785</v>
      </c>
      <c r="CN88">
        <f ca="1" t="shared" si="162"/>
        <v>407261.86997983</v>
      </c>
      <c r="CO88">
        <f ca="1" t="shared" si="163"/>
        <v>2.3156473116</v>
      </c>
      <c r="CP88">
        <f ca="1" t="shared" si="164"/>
        <v>411410.952784386</v>
      </c>
      <c r="CQ88">
        <f ca="1" t="shared" si="154"/>
        <v>2.77157885480339</v>
      </c>
      <c r="CR88">
        <f ca="1">IF(G88="恒定伤害",0,(IF(D88="轻剑",$CR$8,$CR$9)+IFERROR(INDEX(技能数据库!$T$2:$W$27,MATCH(E88,技能数据库!$T$2:$T$27,0),4),0)+COUNTIF(G88,"*造化2*")*154+COUNTIF(G88,"*造化1*")*102+COUNTIF(G88,"*碧归*")*307)/1024)</f>
        <v>0.167102521929785</v>
      </c>
      <c r="CS88">
        <f ca="1" t="shared" si="165"/>
        <v>385257.336932281</v>
      </c>
    </row>
    <row r="89" spans="4:97">
      <c r="D89" t="s">
        <v>1028</v>
      </c>
      <c r="E89" t="s">
        <v>2915</v>
      </c>
      <c r="G89" t="s">
        <v>3014</v>
      </c>
      <c r="H89">
        <f ca="1">INDEX(技能数据库!$B$2:$I$100,MATCH(阵眼收益计算!$E89,技能数据库!$B$2:$B$100,0),MATCH(H$9,技能数据库!$B$2:$I$2,0))</f>
        <v>115.5</v>
      </c>
      <c r="I89">
        <f ca="1">INDEX(技能数据库!$B$2:$I$100,MATCH(阵眼收益计算!$E89,技能数据库!$B$2:$B$100,0),MATCH(I$9,技能数据库!$B$2:$I$2,0))</f>
        <v>0.49375</v>
      </c>
      <c r="J89">
        <f ca="1">INDEX(技能数据库!$B$2:$I$100,MATCH(阵眼收益计算!$E89,技能数据库!$B$2:$B$100,0),MATCH(J$9,技能数据库!$B$2:$I$2,0))</f>
        <v>1</v>
      </c>
      <c r="K89">
        <f ca="1">INDEX(技能数据库!$B$2:$I$100,MATCH(阵眼收益计算!$E89,技能数据库!$B$2:$B$100,0),MATCH(K$9,技能数据库!$B$2:$I$2,0))</f>
        <v>0</v>
      </c>
      <c r="L89">
        <f ca="1" t="shared" si="110"/>
        <v>105847</v>
      </c>
      <c r="M89">
        <f ca="1" t="shared" si="167"/>
        <v>12694.5</v>
      </c>
      <c r="N89">
        <f ca="1" t="shared" si="168"/>
        <v>92028</v>
      </c>
      <c r="O89">
        <f ca="1" t="shared" si="111"/>
        <v>65071.95625</v>
      </c>
      <c r="P89">
        <f ca="1">IF(G89="恒定伤害",0,(IF(D89="轻剑",$AZ$2,$AZ$3)+IFERROR(INDEX(技能数据库!$T$2:$W$27,MATCH(E89,技能数据库!$T$2:$T$27,0),4),0)+COUNTIF(G89,"*造化2*")*154+COUNTIF(G89,"*造化1*")*102+COUNTIF(G89,"*碧归*")*307)/1024)</f>
        <v>0.0167118969297852</v>
      </c>
      <c r="Q89">
        <f ca="1" t="shared" si="112"/>
        <v>0.448284482196154</v>
      </c>
      <c r="R89">
        <f ca="1" t="shared" si="113"/>
        <v>0.21277697966198</v>
      </c>
      <c r="S89">
        <f ca="1" t="shared" si="169"/>
        <v>75429.8825274908</v>
      </c>
      <c r="T89">
        <f t="shared" si="170"/>
        <v>0.8</v>
      </c>
      <c r="U89">
        <f ca="1" t="shared" si="114"/>
        <v>1.7800129648</v>
      </c>
      <c r="V89">
        <f ca="1" t="shared" si="171"/>
        <v>167756.841087812</v>
      </c>
      <c r="W89">
        <f ca="1">IF(G89="恒定伤害",0,MIN(1,IF(COUNTIF(F89,"*内会*")&gt;0,内会2,IF(D89="轻剑",$Y$2,$Y$3)+COUNTIF(G89,"*莺鸣*")*0.2+COUNTIF(G89,"*叠1*")*0.1+COUNTIF(G89,"*叠2*")*0.2+COUNTIF(G89,"*叠3*")*0.3)+IFERROR(INDEX(技能数据库!$T$2:$W$27,MATCH(E89,技能数据库!$T$2:$T$27,0),2),0)+IF((IF(D89="轻剑",$AO$2,$AO$3)+INT(COUNTIF(G89,"*大莺鸣*")*IF(D89="轻剑",$AM$2,$AM$3)*听晓无双率)/无双系数)&gt;0.9,特效裤子会心/会心系数,0)))</f>
        <v>0.9043</v>
      </c>
      <c r="X89">
        <f ca="1">IF(G89="恒定伤害",0,IF(COUNTIF(F89,"*内会*")&gt;0,内会效2,IF(D89="轻剑",$AB$2,$AB$3))+IFERROR(INDEX(技能数据库!$T$2:$W$27,MATCH(E89,技能数据库!$T$2:$T$27,0),3)/1024,0))+COUNTIF(G89,"*叠1*")*0.25+COUNTIF(G89,"*叠2*")*0.5+COUNTIF(G89,"*叠3*")*0.75</f>
        <v>2.1712723116</v>
      </c>
      <c r="Y89">
        <f ca="1" t="shared" si="172"/>
        <v>2.05918155137988</v>
      </c>
      <c r="Z89">
        <f t="shared" si="115"/>
        <v>0.150390625</v>
      </c>
      <c r="AA89">
        <f ca="1" t="shared" si="173"/>
        <v>0.0205078125</v>
      </c>
      <c r="AB89">
        <f ca="1" t="shared" si="174"/>
        <v>405542.660447817</v>
      </c>
      <c r="AC89">
        <f ca="1">技能数计算!$AJ81</f>
        <v>0</v>
      </c>
      <c r="AD89" s="164">
        <f ca="1" t="shared" si="166"/>
        <v>0</v>
      </c>
      <c r="AE89" s="168"/>
      <c r="AF89" s="168">
        <f ca="1" t="shared" si="116"/>
        <v>0.9057</v>
      </c>
      <c r="AG89">
        <f ca="1">技能数计算!$AJ81</f>
        <v>0</v>
      </c>
      <c r="AH89">
        <f ca="1" t="shared" si="117"/>
        <v>109879</v>
      </c>
      <c r="AJ89">
        <f ca="1" t="shared" si="118"/>
        <v>2.3704910616</v>
      </c>
      <c r="AK89">
        <f ca="1" t="shared" si="119"/>
        <v>67301.25625</v>
      </c>
      <c r="AL89">
        <f ca="1" t="shared" si="120"/>
        <v>456648.113336742</v>
      </c>
      <c r="AM89" s="169">
        <f ca="1" t="shared" si="121"/>
        <v>0.9272</v>
      </c>
      <c r="AN89">
        <f ca="1">技能数计算!$AJ81</f>
        <v>0</v>
      </c>
      <c r="AO89" s="170">
        <f ca="1" t="shared" si="122"/>
        <v>462651.624256451</v>
      </c>
      <c r="AP89">
        <f ca="1" t="shared" si="123"/>
        <v>110956</v>
      </c>
      <c r="AQ89" s="170">
        <f ca="1" t="shared" si="124"/>
        <v>67594.525</v>
      </c>
      <c r="AR89">
        <f ca="1" t="shared" si="125"/>
        <v>445978.369187493</v>
      </c>
      <c r="AS89">
        <f ca="1" t="shared" si="126"/>
        <v>0.9843</v>
      </c>
      <c r="AT89">
        <f ca="1">技能数计算!$AJ81</f>
        <v>0</v>
      </c>
      <c r="AU89">
        <f ca="1" t="shared" si="127"/>
        <v>2.3177566866</v>
      </c>
      <c r="AV89">
        <f ca="1" t="shared" si="128"/>
        <v>1.7995442148</v>
      </c>
      <c r="AW89">
        <f ca="1" t="shared" si="155"/>
        <v>455571.189208037</v>
      </c>
      <c r="AX89">
        <f ca="1" t="shared" si="129"/>
        <v>0.9743</v>
      </c>
      <c r="AY89">
        <f ca="1">技能数计算!$AJ81</f>
        <v>0</v>
      </c>
      <c r="AZ89" s="170">
        <f ca="1" t="shared" si="156"/>
        <v>452957.718447895</v>
      </c>
      <c r="BA89">
        <f ca="1" t="shared" si="130"/>
        <v>0.9643</v>
      </c>
      <c r="BB89">
        <f ca="1">技能数计算!$AJ81</f>
        <v>0</v>
      </c>
      <c r="BC89" s="170">
        <f ca="1" t="shared" si="157"/>
        <v>450344.247687754</v>
      </c>
      <c r="BE89">
        <f ca="1" t="shared" si="131"/>
        <v>105849</v>
      </c>
      <c r="BF89">
        <f ca="1" t="shared" si="132"/>
        <v>65072.94375</v>
      </c>
      <c r="BI89">
        <f ca="1" t="shared" si="133"/>
        <v>0.9543</v>
      </c>
      <c r="BJ89">
        <f ca="1">技能数计算!$AJ81</f>
        <v>0</v>
      </c>
      <c r="BK89">
        <f ca="1" t="shared" si="134"/>
        <v>445150.795819068</v>
      </c>
      <c r="BM89">
        <f ca="1" t="shared" si="135"/>
        <v>109230</v>
      </c>
      <c r="BN89">
        <f ca="1" t="shared" si="136"/>
        <v>66742.3125</v>
      </c>
      <c r="BO89">
        <f ca="1" t="shared" si="137"/>
        <v>449222.455397901</v>
      </c>
      <c r="BP89">
        <f ca="1" t="shared" si="138"/>
        <v>428397.549790423</v>
      </c>
      <c r="BR89">
        <f ca="1" t="shared" si="139"/>
        <v>0.9543</v>
      </c>
      <c r="BS89">
        <f ca="1" t="shared" si="140"/>
        <v>443676.624907735</v>
      </c>
      <c r="BT89">
        <f ca="1" t="shared" si="141"/>
        <v>0.196995876306796</v>
      </c>
      <c r="BU89">
        <f ca="1" t="shared" si="142"/>
        <v>2.3177566866</v>
      </c>
      <c r="BV89">
        <f ca="1" t="shared" si="158"/>
        <v>453519.984514251</v>
      </c>
      <c r="BW89">
        <f ca="1" t="shared" si="143"/>
        <v>113027</v>
      </c>
      <c r="BX89">
        <f ca="1" t="shared" si="144"/>
        <v>68617.08125</v>
      </c>
      <c r="BY89">
        <f ca="1" t="shared" si="145"/>
        <v>0.9343</v>
      </c>
      <c r="BZ89">
        <f ca="1">技能数计算!$AJ81</f>
        <v>0</v>
      </c>
      <c r="CA89">
        <f ca="1" t="shared" si="146"/>
        <v>2.3216629366</v>
      </c>
      <c r="CB89">
        <f ca="1" t="shared" si="159"/>
        <v>464114.049652278</v>
      </c>
      <c r="CC89">
        <f ca="1" t="shared" si="147"/>
        <v>114847</v>
      </c>
      <c r="CD89">
        <f ca="1" t="shared" si="148"/>
        <v>69515.70625</v>
      </c>
      <c r="CE89">
        <f ca="1" t="shared" si="149"/>
        <v>453813.081975155</v>
      </c>
      <c r="CF89">
        <f ca="1" t="shared" si="150"/>
        <v>2.2689285616</v>
      </c>
      <c r="CG89">
        <f ca="1" t="shared" si="151"/>
        <v>0.9343</v>
      </c>
      <c r="CH89">
        <f ca="1" t="shared" si="160"/>
        <v>433456.122460306</v>
      </c>
      <c r="CJ89">
        <f ca="1" t="shared" si="152"/>
        <v>66742.3125</v>
      </c>
      <c r="CK89">
        <f ca="1" t="shared" si="153"/>
        <v>447187.502158303</v>
      </c>
      <c r="CL89">
        <f ca="1" t="shared" si="161"/>
        <v>2.2915848116</v>
      </c>
      <c r="CM89">
        <f ca="1">IF(G89="恒定伤害",0,(IF(D89="轻剑",$CM$8,$CM$9)+IFERROR(INDEX(技能数据库!$T$2:$W$27,MATCH(E89,技能数据库!$T$2:$T$27,0),4),0)+COUNTIF(G89,"*造化2*")*154+COUNTIF(G89,"*造化1*")*102+COUNTIF(G89,"*碧归*")*307)/1024)</f>
        <v>0.0772587719297852</v>
      </c>
      <c r="CN89">
        <f ca="1" t="shared" si="162"/>
        <v>463717.29636175</v>
      </c>
      <c r="CO89">
        <f ca="1" t="shared" si="163"/>
        <v>2.3156473116</v>
      </c>
      <c r="CP89">
        <f ca="1" t="shared" si="164"/>
        <v>468441.533031894</v>
      </c>
      <c r="CQ89">
        <f ca="1" t="shared" si="154"/>
        <v>1.8815754648</v>
      </c>
      <c r="CR89">
        <f ca="1">IF(G89="恒定伤害",0,(IF(D89="轻剑",$CR$8,$CR$9)+IFERROR(INDEX(技能数据库!$T$2:$W$27,MATCH(E89,技能数据库!$T$2:$T$27,0),4),0)+COUNTIF(G89,"*造化2*")*154+COUNTIF(G89,"*造化1*")*102+COUNTIF(G89,"*碧归*")*307)/1024)</f>
        <v>0.0674931469297852</v>
      </c>
      <c r="CS89">
        <f ca="1" t="shared" si="165"/>
        <v>441353.843031124</v>
      </c>
    </row>
    <row r="90" spans="4:97">
      <c r="D90" t="s">
        <v>1825</v>
      </c>
      <c r="E90" t="s">
        <v>2917</v>
      </c>
      <c r="G90" t="s">
        <v>3098</v>
      </c>
      <c r="H90">
        <f ca="1">INDEX(技能数据库!$B$2:$I$100,MATCH(阵眼收益计算!$E90,技能数据库!$B$2:$B$100,0),MATCH(H$9,技能数据库!$B$2:$I$2,0))</f>
        <v>898344</v>
      </c>
      <c r="I90">
        <f ca="1">INDEX(技能数据库!$B$2:$I$100,MATCH(阵眼收益计算!$E90,技能数据库!$B$2:$B$100,0),MATCH(I$9,技能数据库!$B$2:$I$2,0))</f>
        <v>0</v>
      </c>
      <c r="J90">
        <f ca="1">INDEX(技能数据库!$B$2:$I$100,MATCH(阵眼收益计算!$E90,技能数据库!$B$2:$B$100,0),MATCH(J$9,技能数据库!$B$2:$I$2,0))</f>
        <v>0</v>
      </c>
      <c r="K90">
        <f ca="1">INDEX(技能数据库!$B$2:$I$100,MATCH(阵眼收益计算!$E90,技能数据库!$B$2:$B$100,0),MATCH(K$9,技能数据库!$B$2:$I$2,0))</f>
        <v>0</v>
      </c>
      <c r="L90">
        <f ca="1" t="shared" si="110"/>
        <v>91975</v>
      </c>
      <c r="M90">
        <f ca="1" t="shared" si="167"/>
        <v>19530.5</v>
      </c>
      <c r="N90">
        <f ca="1" t="shared" si="168"/>
        <v>92028</v>
      </c>
      <c r="O90">
        <f ca="1" t="shared" si="111"/>
        <v>898344</v>
      </c>
      <c r="P90">
        <f ca="1">IF(G90="恒定伤害",0,(IF(D90="轻剑",$AZ$2,$AZ$3)+IFERROR(INDEX(技能数据库!$T$2:$W$27,MATCH(E90,技能数据库!$T$2:$T$27,0),4),0)+COUNTIF(G90,"*造化2*")*154+COUNTIF(G90,"*造化1*")*102+COUNTIF(G90,"*碧归*")*307)/1024)</f>
        <v>0</v>
      </c>
      <c r="Q90">
        <f ca="1" t="shared" si="112"/>
        <v>0</v>
      </c>
      <c r="R90">
        <f ca="1" t="shared" si="113"/>
        <v>0</v>
      </c>
      <c r="S90">
        <f ca="1" t="shared" si="169"/>
        <v>898344</v>
      </c>
      <c r="T90">
        <f t="shared" si="170"/>
        <v>0.8</v>
      </c>
      <c r="U90">
        <f ca="1" t="shared" si="114"/>
        <v>0</v>
      </c>
      <c r="V90">
        <f ca="1" t="shared" si="171"/>
        <v>718675.2</v>
      </c>
      <c r="W90">
        <f ca="1">IF(G90="恒定伤害",0,MIN(1,IF(COUNTIF(F90,"*内会*")&gt;0,内会2,IF(D90="轻剑",$Y$2,$Y$3)+COUNTIF(G90,"*莺鸣*")*0.2+COUNTIF(G90,"*叠1*")*0.1+COUNTIF(G90,"*叠2*")*0.2+COUNTIF(G90,"*叠3*")*0.3)+IFERROR(INDEX(技能数据库!$T$2:$W$27,MATCH(E90,技能数据库!$T$2:$T$27,0),2),0)+IF((IF(D90="轻剑",$AO$2,$AO$3)+INT(COUNTIF(G90,"*大莺鸣*")*IF(D90="轻剑",$AM$2,$AM$3)*听晓无双率)/无双系数)&gt;0.9,特效裤子会心/会心系数,0)))</f>
        <v>0</v>
      </c>
      <c r="X90">
        <f ca="1">IF(G90="恒定伤害",0,IF(COUNTIF(F90,"*内会*")&gt;0,内会效2,IF(D90="轻剑",$AB$2,$AB$3))+IFERROR(INDEX(技能数据库!$T$2:$W$27,MATCH(E90,技能数据库!$T$2:$T$27,0),3)/1024,0))+COUNTIF(G90,"*叠1*")*0.25+COUNTIF(G90,"*叠2*")*0.5+COUNTIF(G90,"*叠3*")*0.75</f>
        <v>0</v>
      </c>
      <c r="Y90">
        <f ca="1" t="shared" si="172"/>
        <v>1</v>
      </c>
      <c r="Z90">
        <f t="shared" si="115"/>
        <v>0</v>
      </c>
      <c r="AA90">
        <f ca="1" t="shared" si="173"/>
        <v>0.0205078125</v>
      </c>
      <c r="AB90">
        <f ca="1" t="shared" si="174"/>
        <v>733413.65625</v>
      </c>
      <c r="AC90" s="171">
        <f>技能数计算!$AJ82</f>
        <v>19.830626450116</v>
      </c>
      <c r="AD90" s="164">
        <f ca="1" t="shared" si="166"/>
        <v>0.005214250617027</v>
      </c>
      <c r="AE90" s="168"/>
      <c r="AF90" s="168">
        <f ca="1" t="shared" si="116"/>
        <v>0.00139999999999996</v>
      </c>
      <c r="AG90" s="171">
        <f>技能数计算!$AJ82</f>
        <v>19.830626450116</v>
      </c>
      <c r="AH90">
        <f ca="1" t="shared" si="117"/>
        <v>96007</v>
      </c>
      <c r="AJ90">
        <f ca="1" t="shared" si="118"/>
        <v>0.19921875</v>
      </c>
      <c r="AK90">
        <f ca="1" t="shared" si="119"/>
        <v>898344</v>
      </c>
      <c r="AL90">
        <f ca="1" t="shared" si="120"/>
        <v>733413.65625</v>
      </c>
      <c r="AM90" s="169">
        <f ca="1" t="shared" si="121"/>
        <v>0.0228999999999999</v>
      </c>
      <c r="AN90" s="171">
        <f>技能数计算!$AJ82</f>
        <v>19.830626450116</v>
      </c>
      <c r="AO90" s="170">
        <f ca="1" t="shared" si="122"/>
        <v>733413.65625</v>
      </c>
      <c r="AP90">
        <f ca="1" t="shared" si="123"/>
        <v>97084</v>
      </c>
      <c r="AQ90" s="170">
        <f ca="1" t="shared" si="124"/>
        <v>898344</v>
      </c>
      <c r="AR90">
        <f ca="1" t="shared" si="125"/>
        <v>733413.65625</v>
      </c>
      <c r="AS90">
        <f ca="1" t="shared" si="126"/>
        <v>0.08</v>
      </c>
      <c r="AT90" s="171">
        <f>技能数计算!$AJ82</f>
        <v>19.830626450116</v>
      </c>
      <c r="AU90">
        <f ca="1" t="shared" si="127"/>
        <v>0.146484375</v>
      </c>
      <c r="AV90">
        <f ca="1" t="shared" si="128"/>
        <v>0</v>
      </c>
      <c r="AW90">
        <f ca="1" t="shared" si="155"/>
        <v>733413.65625</v>
      </c>
      <c r="AX90">
        <f ca="1" t="shared" si="129"/>
        <v>0.07</v>
      </c>
      <c r="AY90" s="171">
        <f>技能数计算!$AJ82</f>
        <v>19.830626450116</v>
      </c>
      <c r="AZ90" s="170">
        <f ca="1" t="shared" si="156"/>
        <v>733413.65625</v>
      </c>
      <c r="BA90">
        <f ca="1" t="shared" si="130"/>
        <v>0.0599999999999999</v>
      </c>
      <c r="BB90" s="171">
        <f>技能数计算!$AJ82</f>
        <v>19.830626450116</v>
      </c>
      <c r="BC90" s="170">
        <f ca="1" t="shared" si="157"/>
        <v>733413.65625</v>
      </c>
      <c r="BE90">
        <f ca="1" t="shared" si="131"/>
        <v>91977</v>
      </c>
      <c r="BF90">
        <f ca="1" t="shared" si="132"/>
        <v>898344</v>
      </c>
      <c r="BI90">
        <f ca="1" t="shared" si="133"/>
        <v>0.05</v>
      </c>
      <c r="BJ90" s="171">
        <f>技能数计算!$AJ82</f>
        <v>19.830626450116</v>
      </c>
      <c r="BK90">
        <f ca="1" t="shared" si="134"/>
        <v>733413.65625</v>
      </c>
      <c r="BM90">
        <f ca="1" t="shared" si="135"/>
        <v>95358</v>
      </c>
      <c r="BN90">
        <f ca="1" t="shared" si="136"/>
        <v>898344</v>
      </c>
      <c r="BO90">
        <f ca="1" t="shared" si="137"/>
        <v>733413.65625</v>
      </c>
      <c r="BP90">
        <f ca="1" t="shared" si="138"/>
        <v>733413.65625</v>
      </c>
      <c r="BR90">
        <f ca="1" t="shared" si="139"/>
        <v>0.05</v>
      </c>
      <c r="BS90">
        <f ca="1" t="shared" si="140"/>
        <v>733413.65625</v>
      </c>
      <c r="BT90">
        <f ca="1" t="shared" si="141"/>
        <v>0</v>
      </c>
      <c r="BU90">
        <f ca="1" t="shared" si="142"/>
        <v>0.146484375</v>
      </c>
      <c r="BV90">
        <f ca="1" t="shared" si="158"/>
        <v>733413.65625</v>
      </c>
      <c r="BW90">
        <f ca="1" t="shared" si="143"/>
        <v>99155</v>
      </c>
      <c r="BX90">
        <f ca="1" t="shared" si="144"/>
        <v>898344</v>
      </c>
      <c r="BY90">
        <f ca="1" t="shared" si="145"/>
        <v>0.03</v>
      </c>
      <c r="BZ90" s="171">
        <f>技能数计算!$AJ82</f>
        <v>19.830626450116</v>
      </c>
      <c r="CA90">
        <f ca="1" t="shared" si="146"/>
        <v>0.150390625</v>
      </c>
      <c r="CB90">
        <f ca="1" t="shared" si="159"/>
        <v>733413.65625</v>
      </c>
      <c r="CC90">
        <f ca="1" t="shared" si="147"/>
        <v>100975</v>
      </c>
      <c r="CD90">
        <f ca="1" t="shared" si="148"/>
        <v>898344</v>
      </c>
      <c r="CE90">
        <f ca="1" t="shared" si="149"/>
        <v>733413.65625</v>
      </c>
      <c r="CF90">
        <f ca="1" t="shared" si="150"/>
        <v>0.09765625</v>
      </c>
      <c r="CG90">
        <f ca="1" t="shared" si="151"/>
        <v>0.03</v>
      </c>
      <c r="CH90">
        <f ca="1" t="shared" si="160"/>
        <v>733413.65625</v>
      </c>
      <c r="CJ90">
        <f ca="1" t="shared" si="152"/>
        <v>898344</v>
      </c>
      <c r="CK90">
        <f ca="1" t="shared" si="153"/>
        <v>733413.65625</v>
      </c>
      <c r="CL90">
        <f ca="1" t="shared" si="161"/>
        <v>0.1203125</v>
      </c>
      <c r="CM90">
        <f ca="1">IF(G90="恒定伤害",0,(IF(D90="轻剑",$CM$8,$CM$9)+IFERROR(INDEX(技能数据库!$T$2:$W$27,MATCH(E90,技能数据库!$T$2:$T$27,0),4),0)+COUNTIF(G90,"*造化2*")*154+COUNTIF(G90,"*造化1*")*102+COUNTIF(G90,"*碧归*")*307)/1024)</f>
        <v>0</v>
      </c>
      <c r="CN90">
        <f ca="1" t="shared" si="162"/>
        <v>733413.65625</v>
      </c>
      <c r="CO90">
        <f ca="1" t="shared" si="163"/>
        <v>0.144375</v>
      </c>
      <c r="CP90">
        <f ca="1" t="shared" si="164"/>
        <v>733413.65625</v>
      </c>
      <c r="CQ90">
        <f ca="1" t="shared" si="154"/>
        <v>0</v>
      </c>
      <c r="CR90">
        <f ca="1">IF(G90="恒定伤害",0,(IF(D90="轻剑",$CR$8,$CR$9)+IFERROR(INDEX(技能数据库!$T$2:$W$27,MATCH(E90,技能数据库!$T$2:$T$27,0),4),0)+COUNTIF(G90,"*造化2*")*154+COUNTIF(G90,"*造化1*")*102+COUNTIF(G90,"*碧归*")*307)/1024)</f>
        <v>0</v>
      </c>
      <c r="CS90">
        <f ca="1" t="shared" si="165"/>
        <v>733413.65625</v>
      </c>
    </row>
    <row r="91" spans="4:97">
      <c r="D91" t="s">
        <v>1028</v>
      </c>
      <c r="E91" t="s">
        <v>2773</v>
      </c>
      <c r="H91">
        <f ca="1">INDEX(技能数据库!$B$2:$I$100,MATCH(阵眼收益计算!$E91,技能数据库!$B$2:$B$100,0),MATCH(H$9,技能数据库!$B$2:$I$2,0))</f>
        <v>138.5</v>
      </c>
      <c r="I91">
        <f ca="1">INDEX(技能数据库!$B$2:$I$100,MATCH(阵眼收益计算!$E91,技能数据库!$B$2:$B$100,0),MATCH(I$9,技能数据库!$B$2:$I$2,0))</f>
        <v>2.01875</v>
      </c>
      <c r="J91">
        <f ca="1">INDEX(技能数据库!$B$2:$I$100,MATCH(阵眼收益计算!$E91,技能数据库!$B$2:$B$100,0),MATCH(J$9,技能数据库!$B$2:$I$2,0))</f>
        <v>0</v>
      </c>
      <c r="K91">
        <f ca="1">INDEX(技能数据库!$B$2:$I$100,MATCH(阵眼收益计算!$E91,技能数据库!$B$2:$B$100,0),MATCH(K$9,技能数据库!$B$2:$I$2,0))</f>
        <v>0</v>
      </c>
      <c r="L91">
        <f ca="1" t="shared" si="110"/>
        <v>91975</v>
      </c>
      <c r="M91">
        <f ca="1" t="shared" si="167"/>
        <v>12694.5</v>
      </c>
      <c r="N91">
        <f ca="1" t="shared" si="168"/>
        <v>92028</v>
      </c>
      <c r="O91">
        <f ca="1" t="shared" si="111"/>
        <v>185813.03125</v>
      </c>
      <c r="P91">
        <f ca="1">IF(G91="恒定伤害",0,(IF(D91="轻剑",$AZ$2,$AZ$3)+IFERROR(INDEX(技能数据库!$T$2:$W$27,MATCH(E91,技能数据库!$T$2:$T$27,0),4),0)+COUNTIF(G91,"*造化2*")*154+COUNTIF(G91,"*造化1*")*102+COUNTIF(G91,"*碧归*")*307)/1024)</f>
        <v>0.186633771929785</v>
      </c>
      <c r="Q91">
        <f ca="1" t="shared" si="112"/>
        <v>0.448284482196154</v>
      </c>
      <c r="R91">
        <f ca="1" t="shared" si="113"/>
        <v>0.32958230397716</v>
      </c>
      <c r="S91">
        <f ca="1" t="shared" si="169"/>
        <v>214087.947810068</v>
      </c>
      <c r="T91">
        <f t="shared" si="170"/>
        <v>0.8</v>
      </c>
      <c r="U91">
        <f ca="1" t="shared" si="114"/>
        <v>1.7800129648</v>
      </c>
      <c r="V91">
        <f ca="1" t="shared" si="171"/>
        <v>476133.816415531</v>
      </c>
      <c r="W91">
        <f ca="1">IF(G91="恒定伤害",0,MIN(1,IF(COUNTIF(F91,"*内会*")&gt;0,内会2,IF(D91="轻剑",$Y$2,$Y$3)+COUNTIF(G91,"*莺鸣*")*0.2+COUNTIF(G91,"*叠1*")*0.1+COUNTIF(G91,"*叠2*")*0.2+COUNTIF(G91,"*叠3*")*0.3)+IFERROR(INDEX(技能数据库!$T$2:$W$27,MATCH(E91,技能数据库!$T$2:$T$27,0),2),0)+IF((IF(D91="轻剑",$AO$2,$AO$3)+INT(COUNTIF(G91,"*大莺鸣*")*IF(D91="轻剑",$AM$2,$AM$3)*听晓无双率)/无双系数)&gt;0.9,特效裤子会心/会心系数,0)))</f>
        <v>0.7043</v>
      </c>
      <c r="X91">
        <f ca="1">IF(G91="恒定伤害",0,IF(COUNTIF(F91,"*内会*")&gt;0,内会效2,IF(D91="轻剑",$AB$2,$AB$3))+IFERROR(INDEX(技能数据库!$T$2:$W$27,MATCH(E91,技能数据库!$T$2:$T$27,0),3)/1024,0))+COUNTIF(G91,"*叠1*")*0.25+COUNTIF(G91,"*叠2*")*0.5+COUNTIF(G91,"*叠3*")*0.75</f>
        <v>2.1712723116</v>
      </c>
      <c r="Y91">
        <f ca="1" t="shared" si="172"/>
        <v>1.82492708905988</v>
      </c>
      <c r="Z91">
        <f t="shared" si="115"/>
        <v>0.150390625</v>
      </c>
      <c r="AA91">
        <f ca="1" t="shared" si="173"/>
        <v>0.0205078125</v>
      </c>
      <c r="AB91">
        <f ca="1" t="shared" si="174"/>
        <v>1020084.65108434</v>
      </c>
      <c r="AC91">
        <f ca="1">技能数计算!$AJ83</f>
        <v>0</v>
      </c>
      <c r="AD91" s="164">
        <f ca="1" t="shared" si="166"/>
        <v>0</v>
      </c>
      <c r="AE91" s="168"/>
      <c r="AF91" s="168">
        <f ca="1" t="shared" si="116"/>
        <v>0.7057</v>
      </c>
      <c r="AG91">
        <f ca="1">技能数计算!$AJ83</f>
        <v>0</v>
      </c>
      <c r="AH91">
        <f ca="1" t="shared" si="117"/>
        <v>96007</v>
      </c>
      <c r="AJ91">
        <f ca="1" t="shared" si="118"/>
        <v>2.3704910616</v>
      </c>
      <c r="AK91">
        <f ca="1" t="shared" si="119"/>
        <v>193952.63125</v>
      </c>
      <c r="AL91">
        <f ca="1" t="shared" si="120"/>
        <v>1148069.88714929</v>
      </c>
      <c r="AM91" s="169">
        <f ca="1" t="shared" si="121"/>
        <v>0.7272</v>
      </c>
      <c r="AN91">
        <f ca="1">技能数计算!$AJ83</f>
        <v>0</v>
      </c>
      <c r="AO91" s="170">
        <f ca="1" t="shared" si="122"/>
        <v>1165266.55458156</v>
      </c>
      <c r="AP91">
        <f ca="1" t="shared" si="123"/>
        <v>97084</v>
      </c>
      <c r="AQ91" s="170">
        <f ca="1" t="shared" si="124"/>
        <v>196126.825</v>
      </c>
      <c r="AR91">
        <f ca="1" t="shared" si="125"/>
        <v>1139873.43973349</v>
      </c>
      <c r="AS91">
        <f ca="1" t="shared" si="126"/>
        <v>0.7843</v>
      </c>
      <c r="AT91">
        <f ca="1">技能数计算!$AJ83</f>
        <v>0</v>
      </c>
      <c r="AU91">
        <f ca="1" t="shared" si="127"/>
        <v>2.3177566866</v>
      </c>
      <c r="AV91">
        <f ca="1" t="shared" si="128"/>
        <v>1.7995442148</v>
      </c>
      <c r="AW91">
        <f ca="1" t="shared" si="155"/>
        <v>1144666.36102033</v>
      </c>
      <c r="AX91">
        <f ca="1" t="shared" si="129"/>
        <v>0.7743</v>
      </c>
      <c r="AY91">
        <f ca="1">技能数计算!$AJ83</f>
        <v>0</v>
      </c>
      <c r="AZ91" s="170">
        <f ca="1" t="shared" si="156"/>
        <v>1137248.70938212</v>
      </c>
      <c r="BA91">
        <f ca="1" t="shared" si="130"/>
        <v>0.7643</v>
      </c>
      <c r="BB91">
        <f ca="1">技能数计算!$AJ83</f>
        <v>0</v>
      </c>
      <c r="BC91" s="170">
        <f ca="1" t="shared" si="157"/>
        <v>1129831.0577439</v>
      </c>
      <c r="BE91">
        <f ca="1" t="shared" si="131"/>
        <v>91977</v>
      </c>
      <c r="BF91">
        <f ca="1" t="shared" si="132"/>
        <v>185817.06875</v>
      </c>
      <c r="BI91">
        <f ca="1" t="shared" si="133"/>
        <v>0.7543</v>
      </c>
      <c r="BJ91">
        <f ca="1">技能数计算!$AJ83</f>
        <v>0</v>
      </c>
      <c r="BK91">
        <f ca="1" t="shared" si="134"/>
        <v>1123695.31424344</v>
      </c>
      <c r="BM91">
        <f ca="1" t="shared" si="135"/>
        <v>95358</v>
      </c>
      <c r="BN91">
        <f ca="1" t="shared" si="136"/>
        <v>192642.4625</v>
      </c>
      <c r="BO91">
        <f ca="1" t="shared" si="137"/>
        <v>1142166.95264432</v>
      </c>
      <c r="BP91">
        <f ca="1" t="shared" si="138"/>
        <v>1089218.75584118</v>
      </c>
      <c r="BR91">
        <f ca="1" t="shared" si="139"/>
        <v>0.7543</v>
      </c>
      <c r="BS91">
        <f ca="1" t="shared" si="140"/>
        <v>1132070.78830451</v>
      </c>
      <c r="BT91">
        <f ca="1" t="shared" si="141"/>
        <v>0.318170800459405</v>
      </c>
      <c r="BU91">
        <f ca="1" t="shared" si="142"/>
        <v>2.3177566866</v>
      </c>
      <c r="BV91">
        <f ca="1" t="shared" si="158"/>
        <v>1133554.64914903</v>
      </c>
      <c r="BW91">
        <f ca="1" t="shared" si="143"/>
        <v>99155</v>
      </c>
      <c r="BX91">
        <f ca="1" t="shared" si="144"/>
        <v>200307.65625</v>
      </c>
      <c r="BY91">
        <f ca="1" t="shared" si="145"/>
        <v>0.7343</v>
      </c>
      <c r="BZ91">
        <f ca="1">技能数计算!$AJ83</f>
        <v>0</v>
      </c>
      <c r="CA91">
        <f ca="1" t="shared" si="146"/>
        <v>2.3216629366</v>
      </c>
      <c r="CB91">
        <f ca="1" t="shared" si="159"/>
        <v>1187374.92989498</v>
      </c>
      <c r="CC91">
        <f ca="1" t="shared" si="147"/>
        <v>100975</v>
      </c>
      <c r="CD91">
        <f ca="1" t="shared" si="148"/>
        <v>203981.78125</v>
      </c>
      <c r="CE91">
        <f ca="1" t="shared" si="149"/>
        <v>1175539.24713286</v>
      </c>
      <c r="CF91">
        <f ca="1" t="shared" si="150"/>
        <v>2.2689285616</v>
      </c>
      <c r="CG91">
        <f ca="1" t="shared" si="151"/>
        <v>0.7343</v>
      </c>
      <c r="CH91">
        <f ca="1" t="shared" si="160"/>
        <v>1087395.61121936</v>
      </c>
      <c r="CJ91">
        <f ca="1" t="shared" si="152"/>
        <v>192642.4625</v>
      </c>
      <c r="CK91">
        <f ca="1" t="shared" si="153"/>
        <v>1136992.9985988</v>
      </c>
      <c r="CL91">
        <f ca="1" t="shared" si="161"/>
        <v>2.2915848116</v>
      </c>
      <c r="CM91">
        <f ca="1">IF(G91="恒定伤害",0,(IF(D91="轻剑",$CM$8,$CM$9)+IFERROR(INDEX(技能数据库!$T$2:$W$27,MATCH(E91,技能数据库!$T$2:$T$27,0),4),0)+COUNTIF(G91,"*造化2*")*154+COUNTIF(G91,"*造化1*")*102+COUNTIF(G91,"*碧归*")*307)/1024)</f>
        <v>0.247180646929785</v>
      </c>
      <c r="CN91">
        <f ca="1" t="shared" si="162"/>
        <v>1152721.45208717</v>
      </c>
      <c r="CO91">
        <f ca="1" t="shared" si="163"/>
        <v>2.3156473116</v>
      </c>
      <c r="CP91">
        <f ca="1" t="shared" si="164"/>
        <v>1163174.86579542</v>
      </c>
      <c r="CQ91">
        <f ca="1" t="shared" si="154"/>
        <v>1.8815754648</v>
      </c>
      <c r="CR91">
        <f ca="1">IF(G91="恒定伤害",0,(IF(D91="轻剑",$CR$8,$CR$9)+IFERROR(INDEX(技能数据库!$T$2:$W$27,MATCH(E91,技能数据库!$T$2:$T$27,0),4),0)+COUNTIF(G91,"*造化2*")*154+COUNTIF(G91,"*造化1*")*102+COUNTIF(G91,"*碧归*")*307)/1024)</f>
        <v>0.237415021929785</v>
      </c>
      <c r="CS91">
        <f ca="1" t="shared" si="165"/>
        <v>1102600.20513202</v>
      </c>
    </row>
    <row r="92" spans="4:97">
      <c r="D92" t="s">
        <v>1825</v>
      </c>
      <c r="E92" t="s">
        <v>2808</v>
      </c>
      <c r="G92" t="s">
        <v>2750</v>
      </c>
      <c r="H92">
        <f ca="1">INDEX(技能数据库!$B$2:$I$100,MATCH(阵眼收益计算!$E92,技能数据库!$B$2:$B$100,0),MATCH(H$9,技能数据库!$B$2:$I$2,0))</f>
        <v>535</v>
      </c>
      <c r="I92">
        <f ca="1">INDEX(技能数据库!$B$2:$I$100,MATCH(阵眼收益计算!$E92,技能数据库!$B$2:$B$100,0),MATCH(I$9,技能数据库!$B$2:$I$2,0))</f>
        <v>7.06875</v>
      </c>
      <c r="J92">
        <f ca="1">INDEX(技能数据库!$B$2:$I$100,MATCH(阵眼收益计算!$E92,技能数据库!$B$2:$B$100,0),MATCH(J$9,技能数据库!$B$2:$I$2,0))</f>
        <v>2</v>
      </c>
      <c r="K92">
        <f ca="1">INDEX(技能数据库!$B$2:$I$100,MATCH(阵眼收益计算!$E92,技能数据库!$B$2:$B$100,0),MATCH(K$9,技能数据库!$B$2:$I$2,0))</f>
        <v>0</v>
      </c>
      <c r="L92">
        <f ca="1" t="shared" si="110"/>
        <v>105847</v>
      </c>
      <c r="M92">
        <f ca="1" t="shared" ref="M92:M95" si="175">IF(D92="轻剑",$AU$2+$AV$2,$AU$3+$AV$3)/2</f>
        <v>19530.5</v>
      </c>
      <c r="N92">
        <f ca="1" t="shared" ref="N92:N95" si="176">IF(D92="轻剑",$AJ$2,$AJ$3)</f>
        <v>92028</v>
      </c>
      <c r="O92">
        <f ca="1" t="shared" si="111"/>
        <v>787801.98125</v>
      </c>
      <c r="P92">
        <f ca="1">IF(G92="恒定伤害",0,(IF(D92="轻剑",$AZ$2,$AZ$3)+IFERROR(INDEX(技能数据库!$T$2:$W$27,MATCH(E92,技能数据库!$T$2:$T$27,0),4),0)+COUNTIF(G92,"*造化2*")*154+COUNTIF(G92,"*造化1*")*102+COUNTIF(G92,"*碧归*")*307)/1024)</f>
        <v>0.186633771929785</v>
      </c>
      <c r="Q92">
        <f ca="1" t="shared" si="112"/>
        <v>0.448284482196154</v>
      </c>
      <c r="R92">
        <f ca="1" t="shared" si="113"/>
        <v>0.21277697966198</v>
      </c>
      <c r="S92">
        <f ca="1" t="shared" ref="S92:S95" si="177">O92*(1+P92)*(1+Q92)*(1-R92)</f>
        <v>1065823.85396797</v>
      </c>
      <c r="T92">
        <f t="shared" ref="T92:T155" si="178">1-($F$6-130)*0.05</f>
        <v>0.8</v>
      </c>
      <c r="U92">
        <f ca="1" t="shared" si="114"/>
        <v>1.7800129648</v>
      </c>
      <c r="V92">
        <f ca="1" t="shared" ref="V92:V95" si="179">S92*T92*(1+U92)</f>
        <v>2370403.30577925</v>
      </c>
      <c r="W92">
        <f ca="1">IF(G92="恒定伤害",0,MIN(1,IF(COUNTIF(F92,"*内会*")&gt;0,内会2,IF(D92="轻剑",$Y$2,$Y$3)+COUNTIF(G92,"*莺鸣*")*0.2+COUNTIF(G92,"*叠1*")*0.1+COUNTIF(G92,"*叠2*")*0.2+COUNTIF(G92,"*叠3*")*0.3)+IFERROR(INDEX(技能数据库!$T$2:$W$27,MATCH(E92,技能数据库!$T$2:$T$27,0),2),0)+IF((IF(D92="轻剑",$AO$2,$AO$3)+INT(COUNTIF(G92,"*大莺鸣*")*IF(D92="轻剑",$AM$2,$AM$3)*听晓无双率)/无双系数)&gt;0.9,特效裤子会心/会心系数,0)))</f>
        <v>0.7043</v>
      </c>
      <c r="X92">
        <f ca="1">IF(G92="恒定伤害",0,IF(COUNTIF(F92,"*内会*")&gt;0,内会效2,IF(D92="轻剑",$AB$2,$AB$3))+IFERROR(INDEX(技能数据库!$T$2:$W$27,MATCH(E92,技能数据库!$T$2:$T$27,0),3)/1024,0))+COUNTIF(G92,"*叠1*")*0.25+COUNTIF(G92,"*叠2*")*0.5+COUNTIF(G92,"*叠3*")*0.75</f>
        <v>2.1712723116</v>
      </c>
      <c r="Y92">
        <f ca="1" t="shared" ref="Y92:Y95" si="180">1+W92*(X92-1)</f>
        <v>1.82492708905988</v>
      </c>
      <c r="Z92">
        <f t="shared" si="115"/>
        <v>0.150390625</v>
      </c>
      <c r="AA92">
        <f ca="1" t="shared" ref="AA92:AA95" si="181">IF(D92="轻剑",$BA$2,$BA$3)/1024</f>
        <v>0.0205078125</v>
      </c>
      <c r="AB92">
        <f ca="1" t="shared" ref="AB92:AB95" si="182">V92*Y92*(1+Z92)*(1+AA92)</f>
        <v>5078429.52073531</v>
      </c>
      <c r="AC92">
        <f ca="1">技能数计算!$AJ84</f>
        <v>0</v>
      </c>
      <c r="AD92" s="164">
        <f ca="1" t="shared" ref="AD92:AD95" si="183">IFERROR(AB92*AC92/$AD$7,0)</f>
        <v>0</v>
      </c>
      <c r="AE92" s="168"/>
      <c r="AF92" s="168">
        <f ca="1" t="shared" si="116"/>
        <v>0.7057</v>
      </c>
      <c r="AG92">
        <f ca="1">技能数计算!$AJ84</f>
        <v>0</v>
      </c>
      <c r="AH92">
        <f ca="1" t="shared" si="117"/>
        <v>109879</v>
      </c>
      <c r="AJ92">
        <f ca="1" t="shared" si="118"/>
        <v>2.3704910616</v>
      </c>
      <c r="AK92">
        <f ca="1" t="shared" si="119"/>
        <v>816780.18125</v>
      </c>
      <c r="AL92">
        <f ca="1" t="shared" si="120"/>
        <v>5677147.234792</v>
      </c>
      <c r="AM92" s="169">
        <f ca="1" t="shared" si="121"/>
        <v>0.7272</v>
      </c>
      <c r="AN92">
        <f ca="1">技能数计算!$AJ84</f>
        <v>0</v>
      </c>
      <c r="AO92" s="170">
        <f ca="1" t="shared" si="122"/>
        <v>5762183.88112642</v>
      </c>
      <c r="AP92">
        <f ca="1" t="shared" si="123"/>
        <v>110956</v>
      </c>
      <c r="AQ92" s="170">
        <f ca="1" t="shared" si="124"/>
        <v>823916.225</v>
      </c>
      <c r="AR92">
        <f ca="1" t="shared" si="125"/>
        <v>5622830.70806754</v>
      </c>
      <c r="AS92">
        <f ca="1" t="shared" si="126"/>
        <v>0.7843</v>
      </c>
      <c r="AT92">
        <f ca="1">技能数计算!$AJ84</f>
        <v>0</v>
      </c>
      <c r="AU92">
        <f ca="1" t="shared" si="127"/>
        <v>2.3177566866</v>
      </c>
      <c r="AV92">
        <f ca="1" t="shared" si="128"/>
        <v>1.7995442148</v>
      </c>
      <c r="AW92">
        <f ca="1" t="shared" si="155"/>
        <v>5698652.00208534</v>
      </c>
      <c r="AX92">
        <f ca="1" t="shared" si="129"/>
        <v>0.7743</v>
      </c>
      <c r="AY92">
        <f ca="1">技能数计算!$AJ84</f>
        <v>0</v>
      </c>
      <c r="AZ92" s="170">
        <f ca="1" t="shared" si="156"/>
        <v>5661723.67362359</v>
      </c>
      <c r="BA92">
        <f ca="1" t="shared" si="130"/>
        <v>0.7643</v>
      </c>
      <c r="BB92">
        <f ca="1">技能数计算!$AJ84</f>
        <v>0</v>
      </c>
      <c r="BC92" s="170">
        <f ca="1" t="shared" si="157"/>
        <v>5624795.34516183</v>
      </c>
      <c r="BE92">
        <f ca="1" t="shared" si="131"/>
        <v>105849</v>
      </c>
      <c r="BF92">
        <f ca="1" t="shared" si="132"/>
        <v>787816.11875</v>
      </c>
      <c r="BI92">
        <f ca="1" t="shared" si="133"/>
        <v>0.7543</v>
      </c>
      <c r="BJ92">
        <f ca="1">技能数计算!$AJ84</f>
        <v>0</v>
      </c>
      <c r="BK92">
        <f ca="1" t="shared" si="134"/>
        <v>5594227.75411751</v>
      </c>
      <c r="BM92">
        <f ca="1" t="shared" si="135"/>
        <v>109230</v>
      </c>
      <c r="BN92">
        <f ca="1" t="shared" si="136"/>
        <v>811715.5625</v>
      </c>
      <c r="BO92">
        <f ca="1" t="shared" si="137"/>
        <v>5651109.95855592</v>
      </c>
      <c r="BP92">
        <f ca="1" t="shared" si="138"/>
        <v>5389137.67722781</v>
      </c>
      <c r="BR92">
        <f ca="1" t="shared" si="139"/>
        <v>0.7543</v>
      </c>
      <c r="BS92">
        <f ca="1" t="shared" si="140"/>
        <v>5601157.07319898</v>
      </c>
      <c r="BT92">
        <f ca="1" t="shared" si="141"/>
        <v>0.196995876306796</v>
      </c>
      <c r="BU92">
        <f ca="1" t="shared" si="142"/>
        <v>2.3177566866</v>
      </c>
      <c r="BV92">
        <f ca="1" t="shared" si="158"/>
        <v>5660118.74428556</v>
      </c>
      <c r="BW92">
        <f ca="1" t="shared" si="143"/>
        <v>113027</v>
      </c>
      <c r="BX92">
        <f ca="1" t="shared" si="144"/>
        <v>838555.60625</v>
      </c>
      <c r="BY92">
        <f ca="1" t="shared" si="145"/>
        <v>0.7343</v>
      </c>
      <c r="BZ92">
        <f ca="1">技能数计算!$AJ84</f>
        <v>0</v>
      </c>
      <c r="CA92">
        <f ca="1" t="shared" si="146"/>
        <v>2.3216629366</v>
      </c>
      <c r="CB92">
        <f ca="1" t="shared" si="159"/>
        <v>5836795.91930308</v>
      </c>
      <c r="CC92">
        <f ca="1" t="shared" si="147"/>
        <v>114847</v>
      </c>
      <c r="CD92">
        <f ca="1" t="shared" si="148"/>
        <v>851420.73125</v>
      </c>
      <c r="CE92">
        <f ca="1" t="shared" si="149"/>
        <v>5761589.20373506</v>
      </c>
      <c r="CF92">
        <f ca="1" t="shared" si="150"/>
        <v>2.2689285616</v>
      </c>
      <c r="CG92">
        <f ca="1" t="shared" si="151"/>
        <v>0.7343</v>
      </c>
      <c r="CH92">
        <f ca="1" t="shared" si="160"/>
        <v>5413533.05028588</v>
      </c>
      <c r="CJ92">
        <f ca="1" t="shared" si="152"/>
        <v>811715.5625</v>
      </c>
      <c r="CK92">
        <f ca="1" t="shared" si="153"/>
        <v>5625510.73843835</v>
      </c>
      <c r="CL92">
        <f ca="1" t="shared" si="161"/>
        <v>2.2915848116</v>
      </c>
      <c r="CM92">
        <f ca="1">IF(G92="恒定伤害",0,(IF(D92="轻剑",$CM$8,$CM$9)+IFERROR(INDEX(技能数据库!$T$2:$W$27,MATCH(E92,技能数据库!$T$2:$T$27,0),4),0)+COUNTIF(G92,"*造化2*")*154+COUNTIF(G92,"*造化1*")*102+COUNTIF(G92,"*碧归*")*307)/1024)</f>
        <v>0.247180646929785</v>
      </c>
      <c r="CN92">
        <f ca="1" t="shared" si="162"/>
        <v>5738753.78405272</v>
      </c>
      <c r="CO92">
        <f ca="1" t="shared" si="163"/>
        <v>2.3156473116</v>
      </c>
      <c r="CP92">
        <f ca="1" t="shared" si="164"/>
        <v>5790795.46972262</v>
      </c>
      <c r="CQ92">
        <f ca="1" t="shared" si="154"/>
        <v>1.8815754648</v>
      </c>
      <c r="CR92">
        <f ca="1">IF(G92="恒定伤害",0,(IF(D92="轻剑",$CR$8,$CR$9)+IFERROR(INDEX(技能数据库!$T$2:$W$27,MATCH(E92,技能数据库!$T$2:$T$27,0),4),0)+COUNTIF(G92,"*造化2*")*154+COUNTIF(G92,"*造化1*")*102+COUNTIF(G92,"*碧归*")*307)/1024)</f>
        <v>0.237415021929785</v>
      </c>
      <c r="CS92">
        <f ca="1" t="shared" si="165"/>
        <v>5489228.19822753</v>
      </c>
    </row>
    <row r="93" spans="4:97">
      <c r="D93" t="s">
        <v>1028</v>
      </c>
      <c r="E93" t="s">
        <v>2920</v>
      </c>
      <c r="G93" t="s">
        <v>2750</v>
      </c>
      <c r="H93">
        <f ca="1">INDEX(技能数据库!$B$2:$I$100,MATCH(阵眼收益计算!$E93,技能数据库!$B$2:$B$100,0),MATCH(H$9,技能数据库!$B$2:$I$2,0))</f>
        <v>1</v>
      </c>
      <c r="I93">
        <f ca="1">INDEX(技能数据库!$B$2:$I$100,MATCH(阵眼收益计算!$E93,技能数据库!$B$2:$B$100,0),MATCH(I$9,技能数据库!$B$2:$I$2,0))</f>
        <v>0.3125</v>
      </c>
      <c r="J93">
        <f ca="1">INDEX(技能数据库!$B$2:$I$100,MATCH(阵眼收益计算!$E93,技能数据库!$B$2:$B$100,0),MATCH(J$9,技能数据库!$B$2:$I$2,0))</f>
        <v>0</v>
      </c>
      <c r="K93">
        <f ca="1">INDEX(技能数据库!$B$2:$I$100,MATCH(阵眼收益计算!$E93,技能数据库!$B$2:$B$100,0),MATCH(K$9,技能数据库!$B$2:$I$2,0))</f>
        <v>0</v>
      </c>
      <c r="L93">
        <f ca="1" t="shared" si="110"/>
        <v>105847</v>
      </c>
      <c r="M93">
        <f ca="1" t="shared" si="175"/>
        <v>12694.5</v>
      </c>
      <c r="N93">
        <f ca="1" t="shared" si="176"/>
        <v>92028</v>
      </c>
      <c r="O93">
        <f ca="1" t="shared" si="111"/>
        <v>33078.1875</v>
      </c>
      <c r="P93">
        <f ca="1">IF(G93="恒定伤害",0,(IF(D93="轻剑",$AZ$2,$AZ$3)+IFERROR(INDEX(技能数据库!$T$2:$W$27,MATCH(E93,技能数据库!$T$2:$T$27,0),4),0)+COUNTIF(G93,"*造化2*")*154+COUNTIF(G93,"*造化1*")*102+COUNTIF(G93,"*碧归*")*307)/1024)</f>
        <v>0.0167118969297852</v>
      </c>
      <c r="Q93">
        <f ca="1" t="shared" si="112"/>
        <v>0.448284482196154</v>
      </c>
      <c r="R93">
        <f ca="1" t="shared" si="113"/>
        <v>0.21277697966198</v>
      </c>
      <c r="S93">
        <f ca="1" t="shared" si="177"/>
        <v>38343.4576296039</v>
      </c>
      <c r="T93">
        <f t="shared" si="178"/>
        <v>0.8</v>
      </c>
      <c r="U93">
        <f ca="1" t="shared" si="114"/>
        <v>1.7800129648</v>
      </c>
      <c r="V93">
        <f ca="1" t="shared" si="179"/>
        <v>85276.2474604467</v>
      </c>
      <c r="W93">
        <f ca="1">IF(G93="恒定伤害",0,MIN(1,IF(COUNTIF(F93,"*内会*")&gt;0,内会2,IF(D93="轻剑",$Y$2,$Y$3)+COUNTIF(G93,"*莺鸣*")*0.2+COUNTIF(G93,"*叠1*")*0.1+COUNTIF(G93,"*叠2*")*0.2+COUNTIF(G93,"*叠3*")*0.3)+IFERROR(INDEX(技能数据库!$T$2:$W$27,MATCH(E93,技能数据库!$T$2:$T$27,0),2),0)+IF((IF(D93="轻剑",$AO$2,$AO$3)+INT(COUNTIF(G93,"*大莺鸣*")*IF(D93="轻剑",$AM$2,$AM$3)*听晓无双率)/无双系数)&gt;0.9,特效裤子会心/会心系数,0)))</f>
        <v>0.7043</v>
      </c>
      <c r="X93">
        <f ca="1">IF(G93="恒定伤害",0,IF(COUNTIF(F93,"*内会*")&gt;0,内会效2,IF(D93="轻剑",$AB$2,$AB$3))+IFERROR(INDEX(技能数据库!$T$2:$W$27,MATCH(E93,技能数据库!$T$2:$T$27,0),3)/1024,0))+COUNTIF(G93,"*叠1*")*0.25+COUNTIF(G93,"*叠2*")*0.5+COUNTIF(G93,"*叠3*")*0.75</f>
        <v>2.1712723116</v>
      </c>
      <c r="Y93">
        <f ca="1" t="shared" si="180"/>
        <v>1.82492708905988</v>
      </c>
      <c r="Z93">
        <f t="shared" si="115"/>
        <v>0.150390625</v>
      </c>
      <c r="AA93">
        <f ca="1" t="shared" si="181"/>
        <v>0.0205078125</v>
      </c>
      <c r="AB93">
        <f ca="1" t="shared" si="182"/>
        <v>182698.619878229</v>
      </c>
      <c r="AC93">
        <f ca="1">技能数计算!$AJ85</f>
        <v>0.80078125</v>
      </c>
      <c r="AD93" s="164">
        <f ca="1" t="shared" si="183"/>
        <v>5.24512252283895e-5</v>
      </c>
      <c r="AE93" s="168"/>
      <c r="AF93" s="168">
        <f ca="1" t="shared" si="116"/>
        <v>0.7057</v>
      </c>
      <c r="AG93">
        <f ca="1">技能数计算!$AJ85</f>
        <v>0.80078125</v>
      </c>
      <c r="AH93">
        <f ca="1" t="shared" si="117"/>
        <v>109879</v>
      </c>
      <c r="AJ93">
        <f ca="1" t="shared" si="118"/>
        <v>2.3704910616</v>
      </c>
      <c r="AK93">
        <f ca="1" t="shared" si="119"/>
        <v>34338.1875</v>
      </c>
      <c r="AL93">
        <f ca="1" t="shared" si="120"/>
        <v>204495.396202209</v>
      </c>
      <c r="AM93" s="169">
        <f ca="1" t="shared" si="121"/>
        <v>0.7272</v>
      </c>
      <c r="AN93">
        <f ca="1">技能数计算!$AJ85</f>
        <v>0.80078125</v>
      </c>
      <c r="AO93" s="170">
        <f ca="1" t="shared" si="122"/>
        <v>207558.484398565</v>
      </c>
      <c r="AP93">
        <f ca="1" t="shared" si="123"/>
        <v>110956</v>
      </c>
      <c r="AQ93" s="170">
        <f ca="1" t="shared" si="124"/>
        <v>34674.75</v>
      </c>
      <c r="AR93">
        <f ca="1" t="shared" si="125"/>
        <v>202752.62812954</v>
      </c>
      <c r="AS93">
        <f ca="1" t="shared" si="126"/>
        <v>0.7843</v>
      </c>
      <c r="AT93">
        <f ca="1">技能数计算!$AJ85</f>
        <v>0.80078125</v>
      </c>
      <c r="AU93">
        <f ca="1" t="shared" si="127"/>
        <v>2.3177566866</v>
      </c>
      <c r="AV93">
        <f ca="1" t="shared" si="128"/>
        <v>1.7995442148</v>
      </c>
      <c r="AW93">
        <f ca="1" t="shared" si="155"/>
        <v>205011.382297682</v>
      </c>
      <c r="AX93">
        <f ca="1" t="shared" si="129"/>
        <v>0.7743</v>
      </c>
      <c r="AY93">
        <f ca="1">技能数计算!$AJ85</f>
        <v>0.80078125</v>
      </c>
      <c r="AZ93" s="170">
        <f ca="1" t="shared" si="156"/>
        <v>203682.87028096</v>
      </c>
      <c r="BA93">
        <f ca="1" t="shared" si="130"/>
        <v>0.7643</v>
      </c>
      <c r="BB93">
        <f ca="1">技能数计算!$AJ85</f>
        <v>0.80078125</v>
      </c>
      <c r="BC93" s="170">
        <f ca="1" t="shared" si="157"/>
        <v>202354.358264238</v>
      </c>
      <c r="BE93">
        <f ca="1" t="shared" si="131"/>
        <v>105849</v>
      </c>
      <c r="BF93">
        <f ca="1" t="shared" si="132"/>
        <v>33078.8125</v>
      </c>
      <c r="BI93">
        <f ca="1" t="shared" si="133"/>
        <v>0.7543</v>
      </c>
      <c r="BJ93">
        <f ca="1">技能数计算!$AJ85</f>
        <v>0.80078125</v>
      </c>
      <c r="BK93">
        <f ca="1" t="shared" si="134"/>
        <v>201254.867441589</v>
      </c>
      <c r="BM93">
        <f ca="1" t="shared" si="135"/>
        <v>109230</v>
      </c>
      <c r="BN93">
        <f ca="1" t="shared" si="136"/>
        <v>34135.375</v>
      </c>
      <c r="BO93">
        <f ca="1" t="shared" si="137"/>
        <v>203617.811202749</v>
      </c>
      <c r="BP93">
        <f ca="1" t="shared" si="138"/>
        <v>194178.564238698</v>
      </c>
      <c r="BR93">
        <f ca="1" t="shared" si="139"/>
        <v>0.7543</v>
      </c>
      <c r="BS93">
        <f ca="1" t="shared" si="140"/>
        <v>201817.935204187</v>
      </c>
      <c r="BT93">
        <f ca="1" t="shared" si="141"/>
        <v>0.196995876306796</v>
      </c>
      <c r="BU93">
        <f ca="1" t="shared" si="142"/>
        <v>2.3177566866</v>
      </c>
      <c r="BV93">
        <f ca="1" t="shared" si="158"/>
        <v>203625.132278717</v>
      </c>
      <c r="BW93">
        <f ca="1" t="shared" si="143"/>
        <v>113027</v>
      </c>
      <c r="BX93">
        <f ca="1" t="shared" si="144"/>
        <v>35321.9375</v>
      </c>
      <c r="BY93">
        <f ca="1" t="shared" si="145"/>
        <v>0.7343</v>
      </c>
      <c r="BZ93">
        <f ca="1">技能数计算!$AJ85</f>
        <v>0.80078125</v>
      </c>
      <c r="CA93">
        <f ca="1" t="shared" si="146"/>
        <v>2.3216629366</v>
      </c>
      <c r="CB93">
        <f ca="1" t="shared" si="159"/>
        <v>210653.345471579</v>
      </c>
      <c r="CC93">
        <f ca="1" t="shared" si="147"/>
        <v>114847</v>
      </c>
      <c r="CD93">
        <f ca="1" t="shared" si="148"/>
        <v>35890.6875</v>
      </c>
      <c r="CE93">
        <f ca="1" t="shared" si="149"/>
        <v>208094.713892415</v>
      </c>
      <c r="CF93">
        <f ca="1" t="shared" si="150"/>
        <v>2.2689285616</v>
      </c>
      <c r="CG93">
        <f ca="1" t="shared" si="151"/>
        <v>0.7343</v>
      </c>
      <c r="CH93">
        <f ca="1" t="shared" si="160"/>
        <v>194754.109102849</v>
      </c>
      <c r="CJ93">
        <f ca="1" t="shared" si="152"/>
        <v>34135.375</v>
      </c>
      <c r="CK93">
        <f ca="1" t="shared" si="153"/>
        <v>202695.433615503</v>
      </c>
      <c r="CL93">
        <f ca="1" t="shared" si="161"/>
        <v>2.2915848116</v>
      </c>
      <c r="CM93">
        <f ca="1">IF(G93="恒定伤害",0,(IF(D93="轻剑",$CM$8,$CM$9)+IFERROR(INDEX(技能数据库!$T$2:$W$27,MATCH(E93,技能数据库!$T$2:$T$27,0),4),0)+COUNTIF(G93,"*造化2*")*154+COUNTIF(G93,"*造化1*")*102+COUNTIF(G93,"*碧归*")*307)/1024)</f>
        <v>0.0772587719297852</v>
      </c>
      <c r="CN93">
        <f ca="1" t="shared" si="162"/>
        <v>208129.146921855</v>
      </c>
      <c r="CO93">
        <f ca="1" t="shared" si="163"/>
        <v>2.3156473116</v>
      </c>
      <c r="CP93">
        <f ca="1" t="shared" si="164"/>
        <v>210016.558727698</v>
      </c>
      <c r="CQ93">
        <f ca="1" t="shared" si="154"/>
        <v>1.8815754648</v>
      </c>
      <c r="CR93">
        <f ca="1">IF(G93="恒定伤害",0,(IF(D93="轻剑",$CR$8,$CR$9)+IFERROR(INDEX(技能数据库!$T$2:$W$27,MATCH(E93,技能数据库!$T$2:$T$27,0),4),0)+COUNTIF(G93,"*造化2*")*154+COUNTIF(G93,"*造化1*")*102+COUNTIF(G93,"*碧归*")*307)/1024)</f>
        <v>0.0674931469297852</v>
      </c>
      <c r="CS93">
        <f ca="1" t="shared" si="165"/>
        <v>198831.703453094</v>
      </c>
    </row>
    <row r="94" spans="4:97">
      <c r="D94" t="s">
        <v>1028</v>
      </c>
      <c r="E94" t="s">
        <v>2920</v>
      </c>
      <c r="G94" t="s">
        <v>3014</v>
      </c>
      <c r="H94">
        <f ca="1">INDEX(技能数据库!$B$2:$I$100,MATCH(阵眼收益计算!$E94,技能数据库!$B$2:$B$100,0),MATCH(H$9,技能数据库!$B$2:$I$2,0))</f>
        <v>1</v>
      </c>
      <c r="I94">
        <f ca="1">INDEX(技能数据库!$B$2:$I$100,MATCH(阵眼收益计算!$E94,技能数据库!$B$2:$B$100,0),MATCH(I$9,技能数据库!$B$2:$I$2,0))</f>
        <v>0.3125</v>
      </c>
      <c r="J94">
        <f ca="1">INDEX(技能数据库!$B$2:$I$100,MATCH(阵眼收益计算!$E94,技能数据库!$B$2:$B$100,0),MATCH(J$9,技能数据库!$B$2:$I$2,0))</f>
        <v>0</v>
      </c>
      <c r="K94">
        <f ca="1">INDEX(技能数据库!$B$2:$I$100,MATCH(阵眼收益计算!$E94,技能数据库!$B$2:$B$100,0),MATCH(K$9,技能数据库!$B$2:$I$2,0))</f>
        <v>0</v>
      </c>
      <c r="L94">
        <f ca="1" t="shared" si="110"/>
        <v>105847</v>
      </c>
      <c r="M94">
        <f ca="1" t="shared" si="175"/>
        <v>12694.5</v>
      </c>
      <c r="N94">
        <f ca="1" t="shared" si="176"/>
        <v>92028</v>
      </c>
      <c r="O94">
        <f ca="1" t="shared" si="111"/>
        <v>33078.1875</v>
      </c>
      <c r="P94">
        <f ca="1">IF(G94="恒定伤害",0,(IF(D94="轻剑",$AZ$2,$AZ$3)+IFERROR(INDEX(技能数据库!$T$2:$W$27,MATCH(E94,技能数据库!$T$2:$T$27,0),4),0)+COUNTIF(G94,"*造化2*")*154+COUNTIF(G94,"*造化1*")*102+COUNTIF(G94,"*碧归*")*307)/1024)</f>
        <v>0.0167118969297852</v>
      </c>
      <c r="Q94">
        <f ca="1" t="shared" si="112"/>
        <v>0.448284482196154</v>
      </c>
      <c r="R94">
        <f ca="1" t="shared" si="113"/>
        <v>0.21277697966198</v>
      </c>
      <c r="S94">
        <f ca="1" t="shared" si="177"/>
        <v>38343.4576296039</v>
      </c>
      <c r="T94">
        <f t="shared" si="178"/>
        <v>0.8</v>
      </c>
      <c r="U94">
        <f ca="1" t="shared" si="114"/>
        <v>1.7800129648</v>
      </c>
      <c r="V94">
        <f ca="1" t="shared" si="179"/>
        <v>85276.2474604467</v>
      </c>
      <c r="W94">
        <f ca="1">IF(G94="恒定伤害",0,MIN(1,IF(COUNTIF(F94,"*内会*")&gt;0,内会2,IF(D94="轻剑",$Y$2,$Y$3)+COUNTIF(G94,"*莺鸣*")*0.2+COUNTIF(G94,"*叠1*")*0.1+COUNTIF(G94,"*叠2*")*0.2+COUNTIF(G94,"*叠3*")*0.3)+IFERROR(INDEX(技能数据库!$T$2:$W$27,MATCH(E94,技能数据库!$T$2:$T$27,0),2),0)+IF((IF(D94="轻剑",$AO$2,$AO$3)+INT(COUNTIF(G94,"*大莺鸣*")*IF(D94="轻剑",$AM$2,$AM$3)*听晓无双率)/无双系数)&gt;0.9,特效裤子会心/会心系数,0)))</f>
        <v>0.9043</v>
      </c>
      <c r="X94">
        <f ca="1">IF(G94="恒定伤害",0,IF(COUNTIF(F94,"*内会*")&gt;0,内会效2,IF(D94="轻剑",$AB$2,$AB$3))+IFERROR(INDEX(技能数据库!$T$2:$W$27,MATCH(E94,技能数据库!$T$2:$T$27,0),3)/1024,0))+COUNTIF(G94,"*叠1*")*0.25+COUNTIF(G94,"*叠2*")*0.5+COUNTIF(G94,"*叠3*")*0.75</f>
        <v>2.1712723116</v>
      </c>
      <c r="Y94">
        <f ca="1" t="shared" si="180"/>
        <v>2.05918155137988</v>
      </c>
      <c r="Z94">
        <f t="shared" si="115"/>
        <v>0.150390625</v>
      </c>
      <c r="AA94">
        <f ca="1" t="shared" si="181"/>
        <v>0.0205078125</v>
      </c>
      <c r="AB94">
        <f ca="1" t="shared" si="182"/>
        <v>206150.497612275</v>
      </c>
      <c r="AC94">
        <f ca="1">技能数计算!$AJ86</f>
        <v>0</v>
      </c>
      <c r="AD94" s="164">
        <f ca="1" t="shared" si="183"/>
        <v>0</v>
      </c>
      <c r="AE94" s="168"/>
      <c r="AF94" s="168">
        <f ca="1" t="shared" si="116"/>
        <v>0.9057</v>
      </c>
      <c r="AG94">
        <f ca="1">技能数计算!$AJ86</f>
        <v>0</v>
      </c>
      <c r="AH94">
        <f ca="1" t="shared" si="117"/>
        <v>109879</v>
      </c>
      <c r="AJ94">
        <f ca="1" t="shared" si="118"/>
        <v>2.3704910616</v>
      </c>
      <c r="AK94">
        <f ca="1" t="shared" si="119"/>
        <v>34338.1875</v>
      </c>
      <c r="AL94">
        <f ca="1" t="shared" si="120"/>
        <v>232989.239889237</v>
      </c>
      <c r="AM94" s="169">
        <f ca="1" t="shared" si="121"/>
        <v>0.9272</v>
      </c>
      <c r="AN94">
        <f ca="1">技能数计算!$AJ86</f>
        <v>0</v>
      </c>
      <c r="AO94" s="170">
        <f ca="1" t="shared" si="122"/>
        <v>236052.328085593</v>
      </c>
      <c r="AP94">
        <f ca="1" t="shared" si="123"/>
        <v>110956</v>
      </c>
      <c r="AQ94" s="170">
        <f ca="1" t="shared" si="124"/>
        <v>34674.75</v>
      </c>
      <c r="AR94">
        <f ca="1" t="shared" si="125"/>
        <v>228778.71332011</v>
      </c>
      <c r="AS94">
        <f ca="1" t="shared" si="126"/>
        <v>0.9843</v>
      </c>
      <c r="AT94">
        <f ca="1">技能数计算!$AJ86</f>
        <v>0</v>
      </c>
      <c r="AU94">
        <f ca="1" t="shared" si="127"/>
        <v>2.3177566866</v>
      </c>
      <c r="AV94">
        <f ca="1" t="shared" si="128"/>
        <v>1.7995442148</v>
      </c>
      <c r="AW94">
        <f ca="1" t="shared" si="155"/>
        <v>231581.622632122</v>
      </c>
      <c r="AX94">
        <f ca="1" t="shared" si="129"/>
        <v>0.9743</v>
      </c>
      <c r="AY94">
        <f ca="1">技能数计算!$AJ86</f>
        <v>0</v>
      </c>
      <c r="AZ94" s="170">
        <f ca="1" t="shared" si="156"/>
        <v>230253.1106154</v>
      </c>
      <c r="BA94">
        <f ca="1" t="shared" si="130"/>
        <v>0.9643</v>
      </c>
      <c r="BB94">
        <f ca="1">技能数计算!$AJ86</f>
        <v>0</v>
      </c>
      <c r="BC94" s="170">
        <f ca="1" t="shared" si="157"/>
        <v>228924.598598678</v>
      </c>
      <c r="BE94">
        <f ca="1" t="shared" si="131"/>
        <v>105849</v>
      </c>
      <c r="BF94">
        <f ca="1" t="shared" si="132"/>
        <v>33078.8125</v>
      </c>
      <c r="BI94">
        <f ca="1" t="shared" si="133"/>
        <v>0.9543</v>
      </c>
      <c r="BJ94">
        <f ca="1">技能数计算!$AJ86</f>
        <v>0</v>
      </c>
      <c r="BK94">
        <f ca="1" t="shared" si="134"/>
        <v>226285.440008617</v>
      </c>
      <c r="BM94">
        <f ca="1" t="shared" si="135"/>
        <v>109230</v>
      </c>
      <c r="BN94">
        <f ca="1" t="shared" si="136"/>
        <v>34135.375</v>
      </c>
      <c r="BO94">
        <f ca="1" t="shared" si="137"/>
        <v>229754.954526457</v>
      </c>
      <c r="BP94">
        <f ca="1" t="shared" si="138"/>
        <v>219104.050540311</v>
      </c>
      <c r="BR94">
        <f ca="1" t="shared" si="139"/>
        <v>0.9543</v>
      </c>
      <c r="BS94">
        <f ca="1" t="shared" si="140"/>
        <v>226918.537920901</v>
      </c>
      <c r="BT94">
        <f ca="1" t="shared" si="141"/>
        <v>0.196995876306796</v>
      </c>
      <c r="BU94">
        <f ca="1" t="shared" si="142"/>
        <v>2.3177566866</v>
      </c>
      <c r="BV94">
        <f ca="1" t="shared" si="158"/>
        <v>230538.928707241</v>
      </c>
      <c r="BW94">
        <f ca="1" t="shared" si="143"/>
        <v>113027</v>
      </c>
      <c r="BX94">
        <f ca="1" t="shared" si="144"/>
        <v>35321.9375</v>
      </c>
      <c r="BY94">
        <f ca="1" t="shared" si="145"/>
        <v>0.9343</v>
      </c>
      <c r="BZ94">
        <f ca="1">技能数计算!$AJ86</f>
        <v>0</v>
      </c>
      <c r="CA94">
        <f ca="1" t="shared" si="146"/>
        <v>2.3216629366</v>
      </c>
      <c r="CB94">
        <f ca="1" t="shared" si="159"/>
        <v>238911.465717433</v>
      </c>
      <c r="CC94">
        <f ca="1" t="shared" si="147"/>
        <v>114847</v>
      </c>
      <c r="CD94">
        <f ca="1" t="shared" si="148"/>
        <v>35890.6875</v>
      </c>
      <c r="CE94">
        <f ca="1" t="shared" si="149"/>
        <v>234301.920921391</v>
      </c>
      <c r="CF94">
        <f ca="1" t="shared" si="150"/>
        <v>2.2689285616</v>
      </c>
      <c r="CG94">
        <f ca="1" t="shared" si="151"/>
        <v>0.9343</v>
      </c>
      <c r="CH94">
        <f ca="1" t="shared" si="160"/>
        <v>220339.816382345</v>
      </c>
      <c r="CJ94">
        <f ca="1" t="shared" si="152"/>
        <v>34135.375</v>
      </c>
      <c r="CK94">
        <f ca="1" t="shared" si="153"/>
        <v>228714.177104471</v>
      </c>
      <c r="CL94">
        <f ca="1" t="shared" si="161"/>
        <v>2.2915848116</v>
      </c>
      <c r="CM94">
        <f ca="1">IF(G94="恒定伤害",0,(IF(D94="轻剑",$CM$8,$CM$9)+IFERROR(INDEX(技能数据库!$T$2:$W$27,MATCH(E94,技能数据库!$T$2:$T$27,0),4),0)+COUNTIF(G94,"*造化2*")*154+COUNTIF(G94,"*造化1*")*102+COUNTIF(G94,"*碧归*")*307)/1024)</f>
        <v>0.0772587719297852</v>
      </c>
      <c r="CN94">
        <f ca="1" t="shared" si="162"/>
        <v>235722.553308777</v>
      </c>
      <c r="CO94">
        <f ca="1" t="shared" si="163"/>
        <v>2.3156473116</v>
      </c>
      <c r="CP94">
        <f ca="1" t="shared" si="164"/>
        <v>238124.03614985</v>
      </c>
      <c r="CQ94">
        <f ca="1" t="shared" si="154"/>
        <v>1.8815754648</v>
      </c>
      <c r="CR94">
        <f ca="1">IF(G94="恒定伤害",0,(IF(D94="轻剑",$CR$8,$CR$9)+IFERROR(INDEX(技能数据库!$T$2:$W$27,MATCH(E94,技能数据库!$T$2:$T$27,0),4),0)+COUNTIF(G94,"*造化2*")*154+COUNTIF(G94,"*造化1*")*102+COUNTIF(G94,"*碧归*")*307)/1024)</f>
        <v>0.0674931469297852</v>
      </c>
      <c r="CS94">
        <f ca="1" t="shared" si="165"/>
        <v>224354.484096658</v>
      </c>
    </row>
    <row r="95" spans="4:97">
      <c r="D95" t="s">
        <v>1825</v>
      </c>
      <c r="E95" t="s">
        <v>2808</v>
      </c>
      <c r="G95" t="s">
        <v>3069</v>
      </c>
      <c r="H95">
        <f ca="1">INDEX(技能数据库!$B$2:$I$100,MATCH(阵眼收益计算!$E95,技能数据库!$B$2:$B$100,0),MATCH(H$9,技能数据库!$B$2:$I$2,0))</f>
        <v>535</v>
      </c>
      <c r="I95">
        <f ca="1">INDEX(技能数据库!$B$2:$I$100,MATCH(阵眼收益计算!$E95,技能数据库!$B$2:$B$100,0),MATCH(I$9,技能数据库!$B$2:$I$2,0))</f>
        <v>7.06875</v>
      </c>
      <c r="J95">
        <f ca="1">INDEX(技能数据库!$B$2:$I$100,MATCH(阵眼收益计算!$E95,技能数据库!$B$2:$B$100,0),MATCH(J$9,技能数据库!$B$2:$I$2,0))</f>
        <v>2</v>
      </c>
      <c r="K95">
        <f ca="1">INDEX(技能数据库!$B$2:$I$100,MATCH(阵眼收益计算!$E95,技能数据库!$B$2:$B$100,0),MATCH(K$9,技能数据库!$B$2:$I$2,0))</f>
        <v>0</v>
      </c>
      <c r="L95">
        <f ca="1" t="shared" si="110"/>
        <v>105847</v>
      </c>
      <c r="M95">
        <f ca="1" t="shared" si="175"/>
        <v>19530.5</v>
      </c>
      <c r="N95">
        <f ca="1" t="shared" si="176"/>
        <v>92028</v>
      </c>
      <c r="O95">
        <f ca="1" t="shared" ref="O95" si="184">H95+I95*L95+J95*M95+IF(K95&gt;0,MAX(1,K95*N95*破招全局系数),0)</f>
        <v>787801.98125</v>
      </c>
      <c r="P95">
        <f ca="1">IF(G95="恒定伤害",0,(IF(D95="轻剑",$AZ$2,$AZ$3)+IFERROR(INDEX(技能数据库!$T$2:$W$27,MATCH(E95,技能数据库!$T$2:$T$27,0),4),0)+COUNTIF(G95,"*造化2*")*154+COUNTIF(G95,"*造化1*")*102+COUNTIF(G95,"*碧归*")*307)/1024)</f>
        <v>0.337024396929785</v>
      </c>
      <c r="Q95">
        <f ca="1" t="shared" si="112"/>
        <v>0.448284482196154</v>
      </c>
      <c r="R95">
        <f ca="1" t="shared" ref="R95" si="185">IF(G95="恒定伤害",0,(($F$5-IF(D95="轻剑",$BB$2,$BB$3))*(1024-IF(D95="轻剑",$BD$2,$BD$3))/1024*(1024-IF(D95="轻剑",$BC$2,$BC$3)-COUNTIF(G95,"*雾锁*")*461*雾锁)/1024/(($F$5-IF(D95="轻剑",$BB$2,$BB$3))*(1024-IF(D95="轻剑",$BD$2,$BD$3))/1024*(1024-IF(D95="轻剑",$BC$2,$BC$3)-COUNTIF(G95,"*雾锁*")*461*雾锁)/1024+$F$7)))</f>
        <v>0.21277697966198</v>
      </c>
      <c r="S95">
        <f ca="1" t="shared" si="177"/>
        <v>1200903.36993142</v>
      </c>
      <c r="T95">
        <f t="shared" si="178"/>
        <v>0.8</v>
      </c>
      <c r="U95">
        <f ca="1" t="shared" si="114"/>
        <v>1.7800129648</v>
      </c>
      <c r="V95">
        <f ca="1" t="shared" si="179"/>
        <v>2670821.55030508</v>
      </c>
      <c r="W95">
        <f ca="1">IF(G95="恒定伤害",0,MIN(1,IF(COUNTIF(F95,"*内会*")&gt;0,内会2,IF(D95="轻剑",$Y$2,$Y$3)+COUNTIF(G95,"*莺鸣*")*0.2+COUNTIF(G95,"*叠1*")*0.1+COUNTIF(G95,"*叠2*")*0.2+COUNTIF(G95,"*叠3*")*0.3)+IFERROR(INDEX(技能数据库!$T$2:$W$27,MATCH(E95,技能数据库!$T$2:$T$27,0),2),0)+IF((IF(D95="轻剑",$AO$2,$AO$3)+INT(COUNTIF(G95,"*大莺鸣*")*IF(D95="轻剑",$AM$2,$AM$3)*听晓无双率)/无双系数)&gt;0.9,特效裤子会心/会心系数,0)))</f>
        <v>0.7043</v>
      </c>
      <c r="X95">
        <f ca="1">IF(G95="恒定伤害",0,IF(COUNTIF(F95,"*内会*")&gt;0,内会效2,IF(D95="轻剑",$AB$2,$AB$3))+IFERROR(INDEX(技能数据库!$T$2:$W$27,MATCH(E95,技能数据库!$T$2:$T$27,0),3)/1024,0))+COUNTIF(G95,"*叠1*")*0.25+COUNTIF(G95,"*叠2*")*0.5+COUNTIF(G95,"*叠3*")*0.75</f>
        <v>2.1712723116</v>
      </c>
      <c r="Y95">
        <f ca="1" t="shared" si="180"/>
        <v>1.82492708905988</v>
      </c>
      <c r="Z95">
        <f t="shared" ref="Z95" si="186">IF(G95="恒定伤害",0,非侠士伤害/1024)</f>
        <v>0.150390625</v>
      </c>
      <c r="AA95">
        <f ca="1" t="shared" si="181"/>
        <v>0.0205078125</v>
      </c>
      <c r="AB95">
        <f ca="1" t="shared" si="182"/>
        <v>5722055.38720612</v>
      </c>
      <c r="AC95">
        <f ca="1">技能数计算!$AJ87</f>
        <v>0</v>
      </c>
      <c r="AD95" s="164">
        <f ca="1" t="shared" si="183"/>
        <v>0</v>
      </c>
      <c r="AE95" s="168"/>
      <c r="AF95" s="168">
        <f ca="1" t="shared" si="116"/>
        <v>0.7057</v>
      </c>
      <c r="AG95">
        <f ca="1">技能数计算!$AJ87</f>
        <v>0</v>
      </c>
      <c r="AH95">
        <f ca="1" t="shared" si="117"/>
        <v>109879</v>
      </c>
      <c r="AJ95">
        <f ca="1" t="shared" si="118"/>
        <v>2.3704910616</v>
      </c>
      <c r="AK95">
        <f ca="1" t="shared" ref="AK95" si="187">H95+AH95*I95+J95*(238.5+M95)+IF(K95&gt;0,MAX(1,K95*N95*破招全局系数),0)</f>
        <v>816780.18125</v>
      </c>
      <c r="AL95">
        <f ca="1" t="shared" si="120"/>
        <v>6396652.89951694</v>
      </c>
      <c r="AM95" s="169">
        <f ca="1" t="shared" si="121"/>
        <v>0.7272</v>
      </c>
      <c r="AN95">
        <f ca="1">技能数计算!$AJ87</f>
        <v>0</v>
      </c>
      <c r="AO95" s="170">
        <f ca="1" t="shared" si="122"/>
        <v>6492466.85110986</v>
      </c>
      <c r="AP95">
        <f ca="1" t="shared" si="123"/>
        <v>110956</v>
      </c>
      <c r="AQ95" s="170">
        <f ca="1" t="shared" ref="AQ95" si="188">H95+AP95*I95+J95*M95+IF(K95&gt;0,MAX(1,K95*N95*破招全局系数),0)</f>
        <v>823916.225</v>
      </c>
      <c r="AR95">
        <f ca="1" t="shared" si="125"/>
        <v>6335452.44904518</v>
      </c>
      <c r="AS95">
        <f ca="1" t="shared" si="126"/>
        <v>0.7843</v>
      </c>
      <c r="AT95">
        <f ca="1">技能数计算!$AJ87</f>
        <v>0</v>
      </c>
      <c r="AU95">
        <f ca="1" t="shared" si="127"/>
        <v>2.3177566866</v>
      </c>
      <c r="AV95">
        <f ca="1" t="shared" si="128"/>
        <v>1.7995442148</v>
      </c>
      <c r="AW95">
        <f ca="1" t="shared" si="155"/>
        <v>6420883.1205014</v>
      </c>
      <c r="AX95">
        <f ca="1" t="shared" si="129"/>
        <v>0.7743</v>
      </c>
      <c r="AY95">
        <f ca="1">技能数计算!$AJ87</f>
        <v>0</v>
      </c>
      <c r="AZ95" s="170">
        <f ca="1" t="shared" si="156"/>
        <v>6379274.59960881</v>
      </c>
      <c r="BA95">
        <f ca="1" t="shared" si="130"/>
        <v>0.7643</v>
      </c>
      <c r="BB95">
        <f ca="1">技能数计算!$AJ87</f>
        <v>0</v>
      </c>
      <c r="BC95" s="170">
        <f ca="1" t="shared" si="157"/>
        <v>6337666.07871621</v>
      </c>
      <c r="BE95">
        <f ca="1" t="shared" si="131"/>
        <v>105849</v>
      </c>
      <c r="BF95">
        <f ca="1" t="shared" ref="BF95" si="189">H95+BE95*I95+J95*M95+IF(K95&gt;0,MAX(1,K95*N95*破招全局系数),0)</f>
        <v>787816.11875</v>
      </c>
      <c r="BI95">
        <f ca="1" t="shared" si="133"/>
        <v>0.7543</v>
      </c>
      <c r="BJ95">
        <f ca="1">技能数计算!$AJ87</f>
        <v>0</v>
      </c>
      <c r="BK95">
        <f ca="1" t="shared" si="134"/>
        <v>6303224.43720185</v>
      </c>
      <c r="BM95">
        <f ca="1" t="shared" si="135"/>
        <v>109230</v>
      </c>
      <c r="BN95">
        <f ca="1" t="shared" ref="BN95" si="190">H95+BM95*I95+J95*M95+IF(K95&gt;0,MAX(1,K95*N95*破招全局系数),0)</f>
        <v>811715.5625</v>
      </c>
      <c r="BO95">
        <f ca="1" t="shared" si="137"/>
        <v>6367315.73216106</v>
      </c>
      <c r="BP95">
        <f ca="1" t="shared" si="138"/>
        <v>6072141.8211022</v>
      </c>
      <c r="BR95">
        <f ca="1" t="shared" si="139"/>
        <v>0.7543</v>
      </c>
      <c r="BS95">
        <f ca="1" t="shared" si="140"/>
        <v>6311031.95868422</v>
      </c>
      <c r="BT95">
        <f ca="1" t="shared" ref="BT95" si="191">IF(G95="恒定伤害",0,(($F$5-IF(D95="轻剑",$BB$2,$BB$3))*(1024-IF(D95="轻剑",$BD$2,$BD$3))/1024*(1024-IF(D95="轻剑",$BT$8,$BT$9)-COUNTIF(G95,"*雾锁*")*461*雾锁)/1024/(($F$5-IF(D95="轻剑",$BB$2,$BB$3))*(1024-IF(D95="轻剑",$BD$2,$BD$3))/1024*(1024-IF(D95="轻剑",$BT$8,$BT$9)-COUNTIF(G95,"*雾锁*")*461*雾锁)/1024+$F$7)))</f>
        <v>0.196995876306796</v>
      </c>
      <c r="BU95">
        <f ca="1" t="shared" si="142"/>
        <v>2.3177566866</v>
      </c>
      <c r="BV95">
        <f ca="1" t="shared" si="158"/>
        <v>6377466.26604283</v>
      </c>
      <c r="BW95">
        <f ca="1" t="shared" si="143"/>
        <v>113027</v>
      </c>
      <c r="BX95">
        <f ca="1" t="shared" ref="BX95" si="192">H95+BW95*I95+J95*M95+IF(K95&gt;0,MAX(1,K95*N95*破招全局系数),0)</f>
        <v>838555.60625</v>
      </c>
      <c r="BY95">
        <f ca="1" t="shared" si="145"/>
        <v>0.7343</v>
      </c>
      <c r="BZ95">
        <f ca="1">技能数计算!$AJ87</f>
        <v>0</v>
      </c>
      <c r="CA95">
        <f ca="1" t="shared" si="146"/>
        <v>2.3216629366</v>
      </c>
      <c r="CB95">
        <f ca="1" t="shared" si="159"/>
        <v>6576535.00904254</v>
      </c>
      <c r="CC95">
        <f ca="1" t="shared" si="147"/>
        <v>114847</v>
      </c>
      <c r="CD95">
        <f ca="1" t="shared" ref="CD95" si="193">H95+CC95*I95+J95*M95+IF(K95&gt;0,MAX(1,K95*N95*破招全局系数),0)</f>
        <v>851420.73125</v>
      </c>
      <c r="CE95">
        <f ca="1" t="shared" si="149"/>
        <v>6491796.80597937</v>
      </c>
      <c r="CF95">
        <f ca="1" t="shared" si="150"/>
        <v>2.2689285616</v>
      </c>
      <c r="CG95">
        <f ca="1" t="shared" si="151"/>
        <v>0.7343</v>
      </c>
      <c r="CH95">
        <f ca="1" t="shared" si="160"/>
        <v>6099628.99509169</v>
      </c>
      <c r="CJ95">
        <f ca="1" t="shared" ref="CJ95" si="194">H95+BM95*I95+J95*M95+IF(K95&gt;0,MAX(1,K95*(N95+2667)*破招全局系数),0)</f>
        <v>811715.5625</v>
      </c>
      <c r="CK95">
        <f ca="1" t="shared" si="153"/>
        <v>6338472.13892343</v>
      </c>
      <c r="CL95">
        <f ca="1" t="shared" ref="CL95" si="195">X95+IF(D95="轻剑",$CL$8-$AB$2,$CL$9-$AB$3)</f>
        <v>2.2915848116</v>
      </c>
      <c r="CM95">
        <f ca="1">IF(G95="恒定伤害",0,(IF(D95="轻剑",$CM$8,$CM$9)+IFERROR(INDEX(技能数据库!$T$2:$W$27,MATCH(E95,技能数据库!$T$2:$T$27,0),4),0)+COUNTIF(G95,"*造化2*")*154+COUNTIF(G95,"*造化1*")*102+COUNTIF(G95,"*碧归*")*307)/1024)</f>
        <v>0.397571271929785</v>
      </c>
      <c r="CN95">
        <f ca="1" t="shared" si="162"/>
        <v>6430758.40297413</v>
      </c>
      <c r="CO95">
        <f ca="1" t="shared" ref="CO95" si="196">X95+IF(D95="轻剑",$CO$8-$AB$2,$CO$9-$AB$3)</f>
        <v>2.3156473116</v>
      </c>
      <c r="CP95">
        <f ca="1" t="shared" si="164"/>
        <v>6489075.50804956</v>
      </c>
      <c r="CQ95">
        <f ca="1" t="shared" si="154"/>
        <v>1.8815754648</v>
      </c>
      <c r="CR95">
        <f ca="1">IF(G95="恒定伤害",0,(IF(D95="轻剑",$CR$8,$CR$9)+IFERROR(INDEX(技能数据库!$T$2:$W$27,MATCH(E95,技能数据库!$T$2:$T$27,0),4),0)+COUNTIF(G95,"*造化2*")*154+COUNTIF(G95,"*造化1*")*102+COUNTIF(G95,"*碧归*")*307)/1024)</f>
        <v>0.387805646929785</v>
      </c>
      <c r="CS95">
        <f ca="1" t="shared" ref="CS95" si="197">IF(COUNTIF(G95,"*恒定伤害*")&gt;0,AB95,((O95*(1+CR95)*(1+Q95)*(1-R95))*T95*(1+CQ95))*Y95*(1+Z95)*(1+AA95))</f>
        <v>6156367.7147752</v>
      </c>
    </row>
    <row r="96" spans="4:97">
      <c r="D96" t="s">
        <v>1825</v>
      </c>
      <c r="E96" t="s">
        <v>2820</v>
      </c>
      <c r="G96" t="s">
        <v>2750</v>
      </c>
      <c r="H96">
        <f ca="1">INDEX(技能数据库!$B$2:$I$100,MATCH(阵眼收益计算!$E96,技能数据库!$B$2:$B$100,0),MATCH(H$9,技能数据库!$B$2:$I$2,0))</f>
        <v>31590</v>
      </c>
      <c r="I96">
        <f ca="1">INDEX(技能数据库!$B$2:$I$100,MATCH(阵眼收益计算!$E96,技能数据库!$B$2:$B$100,0),MATCH(I$9,技能数据库!$B$2:$I$2,0))</f>
        <v>0</v>
      </c>
      <c r="J96">
        <f ca="1">INDEX(技能数据库!$B$2:$I$100,MATCH(阵眼收益计算!$E96,技能数据库!$B$2:$B$100,0),MATCH(J$9,技能数据库!$B$2:$I$2,0))</f>
        <v>0</v>
      </c>
      <c r="K96">
        <f ca="1">INDEX(技能数据库!$B$2:$I$100,MATCH(阵眼收益计算!$E96,技能数据库!$B$2:$B$100,0),MATCH(K$9,技能数据库!$B$2:$I$2,0))</f>
        <v>0</v>
      </c>
      <c r="L96">
        <f ca="1" t="shared" si="110"/>
        <v>105847</v>
      </c>
      <c r="M96">
        <f ca="1" t="shared" ref="M96" si="198">IF(D96="轻剑",$AU$2+$AV$2,$AU$3+$AV$3)/2</f>
        <v>19530.5</v>
      </c>
      <c r="N96">
        <f ca="1" t="shared" ref="N96" si="199">IF(D96="轻剑",$AJ$2,$AJ$3)</f>
        <v>92028</v>
      </c>
      <c r="O96">
        <f ca="1" t="shared" ref="O96" si="200">H96+I96*L96+J96*M96+IF(K96&gt;0,MAX(1,K96*N96*破招全局系数),0)</f>
        <v>31590</v>
      </c>
      <c r="P96">
        <f ca="1">IF(G96="恒定伤害",0,(IF(D96="轻剑",$AZ$2,$AZ$3)+IFERROR(INDEX(技能数据库!$T$2:$W$27,MATCH(E96,技能数据库!$T$2:$T$27,0),4),0)+COUNTIF(G96,"*造化2*")*154+COUNTIF(G96,"*造化1*")*102+COUNTIF(G96,"*碧归*")*307)/1024)</f>
        <v>0.116321271929785</v>
      </c>
      <c r="Q96">
        <f ca="1" t="shared" si="112"/>
        <v>0.448284482196154</v>
      </c>
      <c r="R96">
        <f ca="1" t="shared" ref="R96" si="201">IF(G96="恒定伤害",0,(($F$5-IF(D96="轻剑",$BB$2,$BB$3))*(1024-IF(D96="轻剑",$BD$2,$BD$3))/1024*(1024-IF(D96="轻剑",$BC$2,$BC$3)-COUNTIF(G96,"*雾锁*")*461*雾锁)/1024/(($F$5-IF(D96="轻剑",$BB$2,$BB$3))*(1024-IF(D96="轻剑",$BD$2,$BD$3))/1024*(1024-IF(D96="轻剑",$BC$2,$BC$3)-COUNTIF(G96,"*雾锁*")*461*雾锁)/1024+$F$7)))</f>
        <v>0.21277697966198</v>
      </c>
      <c r="S96">
        <f ca="1" t="shared" ref="S96" si="202">O96*(1+P96)*(1+Q96)*(1-R96)</f>
        <v>40205.9649047621</v>
      </c>
      <c r="T96">
        <f t="shared" si="178"/>
        <v>0.8</v>
      </c>
      <c r="U96">
        <f ca="1" t="shared" si="114"/>
        <v>1.7800129648</v>
      </c>
      <c r="V96">
        <f ca="1" t="shared" ref="V96" si="203">S96*T96*(1+U96)</f>
        <v>89418.4829580261</v>
      </c>
      <c r="W96">
        <f ca="1">IF(G96="恒定伤害",0,MIN(1,IF(COUNTIF(F96,"*内会*")&gt;0,内会2,IF(D96="轻剑",$Y$2,$Y$3)+COUNTIF(G96,"*莺鸣*")*0.2+COUNTIF(G96,"*叠1*")*0.1+COUNTIF(G96,"*叠2*")*0.2+COUNTIF(G96,"*叠3*")*0.3)+IFERROR(INDEX(技能数据库!$T$2:$W$27,MATCH(E96,技能数据库!$T$2:$T$27,0),2),0)+IF((IF(D96="轻剑",$AO$2,$AO$3)+INT(COUNTIF(G96,"*大莺鸣*")*IF(D96="轻剑",$AM$2,$AM$3)*听晓无双率)/无双系数)&gt;0.9,特效裤子会心/会心系数,0)))</f>
        <v>0.7043</v>
      </c>
      <c r="X96">
        <f ca="1">IF(G96="恒定伤害",0,IF(COUNTIF(F96,"*内会*")&gt;0,内会效2,IF(D96="轻剑",$AB$2,$AB$3))+IFERROR(INDEX(技能数据库!$T$2:$W$27,MATCH(E96,技能数据库!$T$2:$T$27,0),3)/1024,0))+COUNTIF(G96,"*叠1*")*0.25+COUNTIF(G96,"*叠2*")*0.5+COUNTIF(G96,"*叠3*")*0.75</f>
        <v>2.1712723116</v>
      </c>
      <c r="Y96">
        <f ca="1" t="shared" ref="Y96" si="204">1+W96*(X96-1)</f>
        <v>1.82492708905988</v>
      </c>
      <c r="Z96">
        <f t="shared" ref="Z96" si="205">IF(G96="恒定伤害",0,非侠士伤害/1024)</f>
        <v>0.150390625</v>
      </c>
      <c r="AA96">
        <f ca="1" t="shared" ref="AA96" si="206">IF(D96="轻剑",$BA$2,$BA$3)/1024</f>
        <v>0.0205078125</v>
      </c>
      <c r="AB96">
        <f ca="1" t="shared" ref="AB96" si="207">V96*Y96*(1+Z96)*(1+AA96)</f>
        <v>191573.080600359</v>
      </c>
      <c r="AC96">
        <f ca="1">技能数计算!$AJ88</f>
        <v>0</v>
      </c>
      <c r="AD96" s="164">
        <f ca="1" t="shared" ref="AD96" si="208">IFERROR(AB96*AC96/$AD$7,0)</f>
        <v>0</v>
      </c>
      <c r="AE96" s="168"/>
      <c r="AF96" s="168">
        <f ca="1" t="shared" si="116"/>
        <v>0.7057</v>
      </c>
      <c r="AG96">
        <f ca="1">技能数计算!$AJ88</f>
        <v>0</v>
      </c>
      <c r="AH96">
        <f ca="1" t="shared" si="117"/>
        <v>109879</v>
      </c>
      <c r="AJ96">
        <f ca="1" t="shared" si="118"/>
        <v>2.3704910616</v>
      </c>
      <c r="AK96">
        <f ca="1" t="shared" ref="AK96" si="209">H96+AH96*I96+J96*(238.5+M96)+IF(K96&gt;0,MAX(1,K96*N96*破招全局系数),0)</f>
        <v>31590</v>
      </c>
      <c r="AL96">
        <f ca="1" t="shared" si="120"/>
        <v>206560.410699929</v>
      </c>
      <c r="AM96" s="169">
        <f ca="1" t="shared" si="121"/>
        <v>0.7272</v>
      </c>
      <c r="AN96">
        <f ca="1">技能数计算!$AJ88</f>
        <v>0</v>
      </c>
      <c r="AO96" s="170">
        <f ca="1" t="shared" si="122"/>
        <v>209654.43026027</v>
      </c>
      <c r="AP96">
        <f ca="1" t="shared" si="123"/>
        <v>110956</v>
      </c>
      <c r="AQ96" s="170">
        <f ca="1" t="shared" ref="AQ96" si="210">H96+AP96*I96+J96*M96+IF(K96&gt;0,MAX(1,K96*N96*破招全局系数),0)</f>
        <v>31590</v>
      </c>
      <c r="AR96">
        <f ca="1" t="shared" si="125"/>
        <v>202812.199377436</v>
      </c>
      <c r="AS96">
        <f ca="1" t="shared" si="126"/>
        <v>0.7843</v>
      </c>
      <c r="AT96">
        <f ca="1">技能数计算!$AJ88</f>
        <v>0</v>
      </c>
      <c r="AU96">
        <f ca="1" t="shared" si="127"/>
        <v>2.3177566866</v>
      </c>
      <c r="AV96">
        <f ca="1" t="shared" si="128"/>
        <v>1.7995442148</v>
      </c>
      <c r="AW96">
        <f ca="1" t="shared" si="155"/>
        <v>214969.670220179</v>
      </c>
      <c r="AX96">
        <f ca="1" t="shared" si="129"/>
        <v>0.7743</v>
      </c>
      <c r="AY96">
        <f ca="1">技能数计算!$AJ88</f>
        <v>0</v>
      </c>
      <c r="AZ96" s="170">
        <f ca="1" t="shared" si="156"/>
        <v>213576.626639294</v>
      </c>
      <c r="BA96">
        <f ca="1" t="shared" si="130"/>
        <v>0.7643</v>
      </c>
      <c r="BB96">
        <f ca="1">技能数计算!$AJ88</f>
        <v>0</v>
      </c>
      <c r="BC96" s="170">
        <f ca="1" t="shared" si="157"/>
        <v>212183.583058408</v>
      </c>
      <c r="BE96">
        <f ca="1" t="shared" si="131"/>
        <v>105849</v>
      </c>
      <c r="BF96">
        <f ca="1" t="shared" ref="BF96" si="211">H96+BE96*I96+J96*M96+IF(K96&gt;0,MAX(1,K96*N96*破招全局系数),0)</f>
        <v>31590</v>
      </c>
      <c r="BI96">
        <f ca="1" t="shared" si="133"/>
        <v>0.7543</v>
      </c>
      <c r="BJ96">
        <f ca="1">技能数计算!$AJ88</f>
        <v>0</v>
      </c>
      <c r="BK96">
        <f ca="1" t="shared" si="134"/>
        <v>211026.69794908</v>
      </c>
      <c r="BM96">
        <f ca="1" t="shared" si="135"/>
        <v>109230</v>
      </c>
      <c r="BN96">
        <f ca="1" t="shared" ref="BN96" si="212">H96+BM96*I96+J96*M96+IF(K96&gt;0,MAX(1,K96*N96*破招全局系数),0)</f>
        <v>31590</v>
      </c>
      <c r="BO96">
        <f ca="1" t="shared" si="137"/>
        <v>206895.958562231</v>
      </c>
      <c r="BP96">
        <f ca="1" t="shared" si="138"/>
        <v>197304.744330051</v>
      </c>
      <c r="BR96">
        <f ca="1" t="shared" si="139"/>
        <v>0.7543</v>
      </c>
      <c r="BS96">
        <f ca="1" t="shared" si="140"/>
        <v>205067.105438744</v>
      </c>
      <c r="BT96">
        <f ca="1" t="shared" ref="BT96" si="213">IF(G96="恒定伤害",0,(($F$5-IF(D96="轻剑",$BB$2,$BB$3))*(1024-IF(D96="轻剑",$BD$2,$BD$3))/1024*(1024-IF(D96="轻剑",$BT$8,$BT$9)-COUNTIF(G96,"*雾锁*")*461*雾锁)/1024/(($F$5-IF(D96="轻剑",$BB$2,$BB$3))*(1024-IF(D96="轻剑",$BD$2,$BD$3))/1024*(1024-IF(D96="轻剑",$BT$8,$BT$9)-COUNTIF(G96,"*雾锁*")*461*雾锁)/1024+$F$7)))</f>
        <v>0.196995876306796</v>
      </c>
      <c r="BU96">
        <f ca="1" t="shared" si="142"/>
        <v>2.3177566866</v>
      </c>
      <c r="BV96">
        <f ca="1" t="shared" si="158"/>
        <v>213516.084053013</v>
      </c>
      <c r="BW96">
        <f ca="1" t="shared" si="143"/>
        <v>113027</v>
      </c>
      <c r="BX96">
        <f ca="1" t="shared" ref="BX96" si="214">H96+BW96*I96+J96*M96+IF(K96&gt;0,MAX(1,K96*N96*破招全局系数),0)</f>
        <v>31590</v>
      </c>
      <c r="BY96">
        <f ca="1" t="shared" si="145"/>
        <v>0.7343</v>
      </c>
      <c r="BZ96">
        <f ca="1">技能数计算!$AJ88</f>
        <v>0</v>
      </c>
      <c r="CA96">
        <f ca="1" t="shared" si="146"/>
        <v>2.3216629366</v>
      </c>
      <c r="CB96">
        <f ca="1" t="shared" si="159"/>
        <v>206854.400343341</v>
      </c>
      <c r="CC96">
        <f ca="1" t="shared" si="147"/>
        <v>114847</v>
      </c>
      <c r="CD96">
        <f ca="1" t="shared" ref="CD96" si="215">H96+CC96*I96+J96*M96+IF(K96&gt;0,MAX(1,K96*N96*破招全局系数),0)</f>
        <v>31590</v>
      </c>
      <c r="CE96">
        <f ca="1" t="shared" si="149"/>
        <v>201103.760499516</v>
      </c>
      <c r="CF96">
        <f ca="1" t="shared" si="150"/>
        <v>2.2689285616</v>
      </c>
      <c r="CG96">
        <f ca="1" t="shared" si="151"/>
        <v>0.7343</v>
      </c>
      <c r="CH96">
        <f ca="1" t="shared" si="160"/>
        <v>204214.156983115</v>
      </c>
      <c r="CJ96">
        <f ca="1" t="shared" ref="CJ96" si="216">H96+BM96*I96+J96*M96+IF(K96&gt;0,MAX(1,K96*(N96+2667)*破招全局系数),0)</f>
        <v>31590</v>
      </c>
      <c r="CK96">
        <f ca="1" t="shared" si="153"/>
        <v>205958.73114611</v>
      </c>
      <c r="CL96">
        <f ca="1" t="shared" ref="CL96" si="217">X96+IF(D96="轻剑",$CL$8-$AB$2,$CL$9-$AB$3)</f>
        <v>2.2915848116</v>
      </c>
      <c r="CM96">
        <f ca="1">IF(G96="恒定伤害",0,(IF(D96="轻剑",$CM$8,$CM$9)+IFERROR(INDEX(技能数据库!$T$2:$W$27,MATCH(E96,技能数据库!$T$2:$T$27,0),4),0)+COUNTIF(G96,"*造化2*")*154+COUNTIF(G96,"*造化1*")*102+COUNTIF(G96,"*碧归*")*307)/1024)</f>
        <v>0.176868146929785</v>
      </c>
      <c r="CN96">
        <f ca="1" t="shared" si="162"/>
        <v>217144.380493909</v>
      </c>
      <c r="CO96">
        <f ca="1" t="shared" ref="CO96" si="218">X96+IF(D96="轻剑",$CO$8-$AB$2,$CO$9-$AB$3)</f>
        <v>2.3156473116</v>
      </c>
      <c r="CP96">
        <f ca="1" t="shared" si="164"/>
        <v>219113.546626467</v>
      </c>
      <c r="CQ96">
        <f ca="1" t="shared" si="154"/>
        <v>1.8815754648</v>
      </c>
      <c r="CR96">
        <f ca="1">IF(G96="恒定伤害",0,(IF(D96="轻剑",$CR$8,$CR$9)+IFERROR(INDEX(技能数据库!$T$2:$W$27,MATCH(E96,技能数据库!$T$2:$T$27,0),4),0)+COUNTIF(G96,"*造化2*")*154+COUNTIF(G96,"*造化1*")*102+COUNTIF(G96,"*碧归*")*307)/1024)</f>
        <v>0.167102521929785</v>
      </c>
      <c r="CS96">
        <f ca="1" t="shared" ref="CS96" si="219">IF(COUNTIF(G96,"*恒定伤害*")&gt;0,AB96,((O96*(1+CR96)*(1+Q96)*(1-R96))*T96*(1+CQ96))*Y96*(1+Z96)*(1+AA96))</f>
        <v>207604.836269351</v>
      </c>
    </row>
    <row r="97" spans="4:97">
      <c r="D97" t="s">
        <v>1825</v>
      </c>
      <c r="E97" t="s">
        <v>2820</v>
      </c>
      <c r="G97" t="s">
        <v>3044</v>
      </c>
      <c r="H97">
        <f ca="1">INDEX(技能数据库!$B$2:$I$100,MATCH(阵眼收益计算!$E97,技能数据库!$B$2:$B$100,0),MATCH(H$9,技能数据库!$B$2:$I$2,0))</f>
        <v>31590</v>
      </c>
      <c r="I97">
        <f ca="1">INDEX(技能数据库!$B$2:$I$100,MATCH(阵眼收益计算!$E97,技能数据库!$B$2:$B$100,0),MATCH(I$9,技能数据库!$B$2:$I$2,0))</f>
        <v>0</v>
      </c>
      <c r="J97">
        <f ca="1">INDEX(技能数据库!$B$2:$I$100,MATCH(阵眼收益计算!$E97,技能数据库!$B$2:$B$100,0),MATCH(J$9,技能数据库!$B$2:$I$2,0))</f>
        <v>0</v>
      </c>
      <c r="K97">
        <f ca="1">INDEX(技能数据库!$B$2:$I$100,MATCH(阵眼收益计算!$E97,技能数据库!$B$2:$B$100,0),MATCH(K$9,技能数据库!$B$2:$I$2,0))</f>
        <v>0</v>
      </c>
      <c r="L97">
        <f ca="1" t="shared" si="110"/>
        <v>105847</v>
      </c>
      <c r="M97">
        <f ca="1" t="shared" ref="M97" si="220">IF(D97="轻剑",$AU$2+$AV$2,$AU$3+$AV$3)/2</f>
        <v>19530.5</v>
      </c>
      <c r="N97">
        <f ca="1" t="shared" ref="N97" si="221">IF(D97="轻剑",$AJ$2,$AJ$3)</f>
        <v>92028</v>
      </c>
      <c r="O97">
        <f ca="1" t="shared" ref="O97" si="222">H97+I97*L97+J97*M97+IF(K97&gt;0,MAX(1,K97*N97*破招全局系数),0)</f>
        <v>31590</v>
      </c>
      <c r="P97">
        <f ca="1">IF(G97="恒定伤害",0,(IF(D97="轻剑",$AZ$2,$AZ$3)+IFERROR(INDEX(技能数据库!$T$2:$W$27,MATCH(E97,技能数据库!$T$2:$T$27,0),4),0)+COUNTIF(G97,"*造化2*")*154+COUNTIF(G97,"*造化1*")*102+COUNTIF(G97,"*碧归*")*307)/1024)</f>
        <v>0.116321271929785</v>
      </c>
      <c r="Q97">
        <f ca="1" t="shared" si="112"/>
        <v>0.448284482196154</v>
      </c>
      <c r="R97">
        <f ca="1" t="shared" ref="R97" si="223">IF(G97="恒定伤害",0,(($F$5-IF(D97="轻剑",$BB$2,$BB$3))*(1024-IF(D97="轻剑",$BD$2,$BD$3))/1024*(1024-IF(D97="轻剑",$BC$2,$BC$3)-COUNTIF(G97,"*雾锁*")*461*雾锁)/1024/(($F$5-IF(D97="轻剑",$BB$2,$BB$3))*(1024-IF(D97="轻剑",$BD$2,$BD$3))/1024*(1024-IF(D97="轻剑",$BC$2,$BC$3)-COUNTIF(G97,"*雾锁*")*461*雾锁)/1024+$F$7)))</f>
        <v>0.21277697966198</v>
      </c>
      <c r="S97">
        <f ca="1" t="shared" ref="S97" si="224">O97*(1+P97)*(1+Q97)*(1-R97)</f>
        <v>40205.9649047621</v>
      </c>
      <c r="T97">
        <f t="shared" si="178"/>
        <v>0.8</v>
      </c>
      <c r="U97">
        <f ca="1" t="shared" si="114"/>
        <v>2.67001635480339</v>
      </c>
      <c r="V97">
        <f ca="1" t="shared" ref="V97" si="225">S97*T97*(1+U97)</f>
        <v>118045.239008903</v>
      </c>
      <c r="W97">
        <f ca="1">IF(G97="恒定伤害",0,MIN(1,IF(COUNTIF(F97,"*内会*")&gt;0,内会2,IF(D97="轻剑",$Y$2,$Y$3)+COUNTIF(G97,"*莺鸣*")*0.2+COUNTIF(G97,"*叠1*")*0.1+COUNTIF(G97,"*叠2*")*0.2+COUNTIF(G97,"*叠3*")*0.3)+IFERROR(INDEX(技能数据库!$T$2:$W$27,MATCH(E97,技能数据库!$T$2:$T$27,0),2),0)+IF((IF(D97="轻剑",$AO$2,$AO$3)+INT(COUNTIF(G97,"*大莺鸣*")*IF(D97="轻剑",$AM$2,$AM$3)*听晓无双率)/无双系数)&gt;0.9,特效裤子会心/会心系数,0)))</f>
        <v>0.9043</v>
      </c>
      <c r="X97">
        <f ca="1">IF(G97="恒定伤害",0,IF(COUNTIF(F97,"*内会*")&gt;0,内会效2,IF(D97="轻剑",$AB$2,$AB$3))+IFERROR(INDEX(技能数据库!$T$2:$W$27,MATCH(E97,技能数据库!$T$2:$T$27,0),3)/1024,0))+COUNTIF(G97,"*叠1*")*0.25+COUNTIF(G97,"*叠2*")*0.5+COUNTIF(G97,"*叠3*")*0.75</f>
        <v>2.1712723116</v>
      </c>
      <c r="Y97">
        <f ca="1" t="shared" ref="Y97" si="226">1+W97*(X97-1)</f>
        <v>2.05918155137988</v>
      </c>
      <c r="Z97">
        <f t="shared" ref="Z97" si="227">IF(G97="恒定伤害",0,非侠士伤害/1024)</f>
        <v>0.150390625</v>
      </c>
      <c r="AA97">
        <f ca="1" t="shared" ref="AA97" si="228">IF(D97="轻剑",$BA$2,$BA$3)/1024</f>
        <v>0.0205078125</v>
      </c>
      <c r="AB97">
        <f ca="1" t="shared" ref="AB97" si="229">V97*Y97*(1+Z97)*(1+AA97)</f>
        <v>285367.678423379</v>
      </c>
      <c r="AC97">
        <f ca="1">技能数计算!$AJ89</f>
        <v>0</v>
      </c>
      <c r="AD97" s="164">
        <f ca="1" t="shared" ref="AD97" si="230">IFERROR(AB97*AC97/$AD$7,0)</f>
        <v>0</v>
      </c>
      <c r="AE97" s="168"/>
      <c r="AF97" s="168">
        <f ca="1" t="shared" si="116"/>
        <v>0.9057</v>
      </c>
      <c r="AG97">
        <f ca="1">技能数计算!$AJ89</f>
        <v>0</v>
      </c>
      <c r="AH97">
        <f ca="1" t="shared" si="117"/>
        <v>109879</v>
      </c>
      <c r="AJ97">
        <f ca="1" t="shared" si="118"/>
        <v>2.3704910616</v>
      </c>
      <c r="AK97">
        <f ca="1" t="shared" ref="AK97" si="231">H97+AH97*I97+J97*(238.5+M97)+IF(K97&gt;0,MAX(1,K97*N97*破招全局系数),0)</f>
        <v>31590</v>
      </c>
      <c r="AL97">
        <f ca="1" t="shared" si="120"/>
        <v>310685.221935286</v>
      </c>
      <c r="AM97" s="169">
        <f ca="1" t="shared" si="121"/>
        <v>0.9272</v>
      </c>
      <c r="AN97">
        <f ca="1">技能数计算!$AJ89</f>
        <v>0</v>
      </c>
      <c r="AO97" s="170">
        <f ca="1" t="shared" si="122"/>
        <v>314769.772091098</v>
      </c>
      <c r="AP97">
        <f ca="1" t="shared" si="123"/>
        <v>110956</v>
      </c>
      <c r="AQ97" s="170">
        <f ca="1" t="shared" ref="AQ97" si="232">H97+AP97*I97+J97*M97+IF(K97&gt;0,MAX(1,K97*N97*破招全局系数),0)</f>
        <v>31590</v>
      </c>
      <c r="AR97">
        <f ca="1" t="shared" si="125"/>
        <v>302109.494250988</v>
      </c>
      <c r="AS97">
        <f ca="1" t="shared" si="126"/>
        <v>0.9843</v>
      </c>
      <c r="AT97">
        <f ca="1">技能数计算!$AJ89</f>
        <v>0</v>
      </c>
      <c r="AU97">
        <f ca="1" t="shared" si="127"/>
        <v>2.3177566866</v>
      </c>
      <c r="AV97">
        <f ca="1" t="shared" si="128"/>
        <v>2.68954760480339</v>
      </c>
      <c r="AW97">
        <f ca="1" t="shared" si="155"/>
        <v>320028.824433161</v>
      </c>
      <c r="AX97">
        <f ca="1" t="shared" si="129"/>
        <v>0.9743</v>
      </c>
      <c r="AY97">
        <f ca="1">技能数计算!$AJ89</f>
        <v>0</v>
      </c>
      <c r="AZ97" s="170">
        <f ca="1" t="shared" si="156"/>
        <v>318192.918223832</v>
      </c>
      <c r="BA97">
        <f ca="1" t="shared" si="130"/>
        <v>0.9643</v>
      </c>
      <c r="BB97">
        <f ca="1">技能数计算!$AJ89</f>
        <v>0</v>
      </c>
      <c r="BC97" s="170">
        <f ca="1" t="shared" si="157"/>
        <v>316357.012014503</v>
      </c>
      <c r="BE97">
        <f ca="1" t="shared" si="131"/>
        <v>105849</v>
      </c>
      <c r="BF97">
        <f ca="1" t="shared" ref="BF97" si="233">H97+BE97*I97+J97*M97+IF(K97&gt;0,MAX(1,K97*N97*破招全局系数),0)</f>
        <v>31590</v>
      </c>
      <c r="BI97">
        <f ca="1" t="shared" si="133"/>
        <v>0.9543</v>
      </c>
      <c r="BJ97">
        <f ca="1">技能数计算!$AJ89</f>
        <v>0</v>
      </c>
      <c r="BK97">
        <f ca="1" t="shared" si="134"/>
        <v>312703.9799039</v>
      </c>
      <c r="BM97">
        <f ca="1" t="shared" si="135"/>
        <v>109230</v>
      </c>
      <c r="BN97">
        <f ca="1" t="shared" ref="BN97" si="234">H97+BM97*I97+J97*M97+IF(K97&gt;0,MAX(1,K97*N97*破招全局系数),0)</f>
        <v>31590</v>
      </c>
      <c r="BO97">
        <f ca="1" t="shared" si="137"/>
        <v>308192.670833799</v>
      </c>
      <c r="BP97">
        <f ca="1" t="shared" si="138"/>
        <v>293905.577208114</v>
      </c>
      <c r="BR97">
        <f ca="1" t="shared" si="139"/>
        <v>0.9543</v>
      </c>
      <c r="BS97">
        <f ca="1" t="shared" si="140"/>
        <v>303872.925280483</v>
      </c>
      <c r="BT97">
        <f ca="1" t="shared" ref="BT97" si="235">IF(G97="恒定伤害",0,(($F$5-IF(D97="轻剑",$BB$2,$BB$3))*(1024-IF(D97="轻剑",$BD$2,$BD$3))/1024*(1024-IF(D97="轻剑",$BT$8,$BT$9)-COUNTIF(G97,"*雾锁*")*461*雾锁)/1024/(($F$5-IF(D97="轻剑",$BB$2,$BB$3))*(1024-IF(D97="轻剑",$BD$2,$BD$3))/1024*(1024-IF(D97="轻剑",$BT$8,$BT$9)-COUNTIF(G97,"*雾锁*")*461*雾锁)/1024+$F$7)))</f>
        <v>0.196995876306796</v>
      </c>
      <c r="BU97">
        <f ca="1" t="shared" si="142"/>
        <v>2.3177566866</v>
      </c>
      <c r="BV97">
        <f ca="1" t="shared" si="158"/>
        <v>319127.819885897</v>
      </c>
      <c r="BW97">
        <f ca="1" t="shared" si="143"/>
        <v>113027</v>
      </c>
      <c r="BX97">
        <f ca="1" t="shared" ref="BX97" si="236">H97+BW97*I97+J97*M97+IF(K97&gt;0,MAX(1,K97*N97*破招全局系数),0)</f>
        <v>31590</v>
      </c>
      <c r="BY97">
        <f ca="1" t="shared" si="145"/>
        <v>0.9343</v>
      </c>
      <c r="BZ97">
        <f ca="1">技能数计算!$AJ89</f>
        <v>0</v>
      </c>
      <c r="CA97">
        <f ca="1" t="shared" si="146"/>
        <v>2.3216629366</v>
      </c>
      <c r="CB97">
        <f ca="1" t="shared" si="159"/>
        <v>309709.5336257</v>
      </c>
      <c r="CC97">
        <f ca="1" t="shared" si="147"/>
        <v>114847</v>
      </c>
      <c r="CD97">
        <f ca="1" t="shared" ref="CD97" si="237">H97+CC97*I97+J97*M97+IF(K97&gt;0,MAX(1,K97*N97*破招全局系数),0)</f>
        <v>31590</v>
      </c>
      <c r="CE97">
        <f ca="1" t="shared" si="149"/>
        <v>298920.824133446</v>
      </c>
      <c r="CF97">
        <f ca="1" t="shared" si="150"/>
        <v>2.2689285616</v>
      </c>
      <c r="CG97">
        <f ca="1" t="shared" si="151"/>
        <v>0.9343</v>
      </c>
      <c r="CH97">
        <f ca="1" t="shared" si="160"/>
        <v>304493.472371411</v>
      </c>
      <c r="CJ97">
        <f ca="1" t="shared" ref="CJ97" si="238">H97+BM97*I97+J97*M97+IF(K97&gt;0,MAX(1,K97*(N97+2667)*破招全局系数),0)</f>
        <v>31590</v>
      </c>
      <c r="CK97">
        <f ca="1" t="shared" si="153"/>
        <v>306796.574831924</v>
      </c>
      <c r="CL97">
        <f ca="1" t="shared" ref="CL97" si="239">X97+IF(D97="轻剑",$CL$8-$AB$2,$CL$9-$AB$3)</f>
        <v>2.2915848116</v>
      </c>
      <c r="CM97">
        <f ca="1">IF(G97="恒定伤害",0,(IF(D97="轻剑",$CM$8,$CM$9)+IFERROR(INDEX(技能数据库!$T$2:$W$27,MATCH(E97,技能数据库!$T$2:$T$27,0),4),0)+COUNTIF(G97,"*造化2*")*154+COUNTIF(G97,"*造化1*")*102+COUNTIF(G97,"*碧归*")*307)/1024)</f>
        <v>0.176868146929785</v>
      </c>
      <c r="CN97">
        <f ca="1" t="shared" si="162"/>
        <v>324117.600059526</v>
      </c>
      <c r="CO97">
        <f ca="1" t="shared" ref="CO97" si="240">X97+IF(D97="轻剑",$CO$8-$AB$2,$CO$9-$AB$3)</f>
        <v>2.3156473116</v>
      </c>
      <c r="CP97">
        <f ca="1" t="shared" si="164"/>
        <v>327419.629687608</v>
      </c>
      <c r="CQ97">
        <f ca="1" t="shared" si="154"/>
        <v>2.77157885480339</v>
      </c>
      <c r="CR97">
        <f ca="1">IF(G97="恒定伤害",0,(IF(D97="轻剑",$CR$8,$CR$9)+IFERROR(INDEX(技能数据库!$T$2:$W$27,MATCH(E97,技能数据库!$T$2:$T$27,0),4),0)+COUNTIF(G97,"*造化2*")*154+COUNTIF(G97,"*造化1*")*102+COUNTIF(G97,"*碧归*")*307)/1024)</f>
        <v>0.167102521929785</v>
      </c>
      <c r="CS97">
        <f ca="1" t="shared" ref="CS97" si="241">IF(COUNTIF(G97,"*恒定伤害*")&gt;0,AB97,((O97*(1+CR97)*(1+Q97)*(1-R97))*T97*(1+CQ97))*Y97*(1+Z97)*(1+AA97))</f>
        <v>306605.387482014</v>
      </c>
    </row>
    <row r="98" spans="4:97">
      <c r="D98" t="s">
        <v>1825</v>
      </c>
      <c r="E98" t="s">
        <v>2768</v>
      </c>
      <c r="G98" t="s">
        <v>3100</v>
      </c>
      <c r="H98">
        <f ca="1">INDEX(技能数据库!$B$2:$I$100,MATCH(阵眼收益计算!$E98,技能数据库!$B$2:$B$100,0),MATCH(H$9,技能数据库!$B$2:$I$2,0))</f>
        <v>210</v>
      </c>
      <c r="I98">
        <f ca="1">INDEX(技能数据库!$B$2:$I$100,MATCH(阵眼收益计算!$E98,技能数据库!$B$2:$B$100,0),MATCH(I$9,技能数据库!$B$2:$I$2,0))</f>
        <v>5.7875</v>
      </c>
      <c r="J98">
        <f ca="1">INDEX(技能数据库!$B$2:$I$100,MATCH(阵眼收益计算!$E98,技能数据库!$B$2:$B$100,0),MATCH(J$9,技能数据库!$B$2:$I$2,0))</f>
        <v>2</v>
      </c>
      <c r="K98">
        <f ca="1">INDEX(技能数据库!$B$2:$I$100,MATCH(阵眼收益计算!$E98,技能数据库!$B$2:$B$100,0),MATCH(K$9,技能数据库!$B$2:$I$2,0))</f>
        <v>0</v>
      </c>
      <c r="L98">
        <f ca="1" t="shared" si="110"/>
        <v>105847</v>
      </c>
      <c r="M98">
        <f ca="1" t="shared" ref="M98" si="242">IF(D98="轻剑",$AU$2+$AV$2,$AU$3+$AV$3)/2</f>
        <v>19530.5</v>
      </c>
      <c r="N98">
        <f ca="1" t="shared" ref="N98" si="243">IF(D98="轻剑",$AJ$2,$AJ$3)</f>
        <v>92028</v>
      </c>
      <c r="O98">
        <f ca="1" t="shared" ref="O98" si="244">H98+I98*L98+J98*M98+IF(K98&gt;0,MAX(1,K98*N98*破招全局系数),0)</f>
        <v>651860.5125</v>
      </c>
      <c r="P98">
        <f ca="1">IF(G98="恒定伤害",0,(IF(D98="轻剑",$AZ$2,$AZ$3)+IFERROR(INDEX(技能数据库!$T$2:$W$27,MATCH(E98,技能数据库!$T$2:$T$27,0),4),0)+COUNTIF(G98,"*造化2*")*154+COUNTIF(G98,"*造化1*")*102+COUNTIF(G98,"*碧归*")*307)/1024)</f>
        <v>0.686633771929785</v>
      </c>
      <c r="Q98">
        <f ca="1" t="shared" si="112"/>
        <v>0.448284482196154</v>
      </c>
      <c r="R98">
        <f ca="1" t="shared" ref="R98" si="245">IF(G98="恒定伤害",0,(($F$5-IF(D98="轻剑",$BB$2,$BB$3))*(1024-IF(D98="轻剑",$BD$2,$BD$3))/1024*(1024-IF(D98="轻剑",$BC$2,$BC$3)-COUNTIF(G98,"*雾锁*")*461*雾锁)/1024/(($F$5-IF(D98="轻剑",$BB$2,$BB$3))*(1024-IF(D98="轻剑",$BD$2,$BD$3))/1024*(1024-IF(D98="轻剑",$BC$2,$BC$3)-COUNTIF(G98,"*雾锁*")*461*雾锁)/1024+$F$7)))</f>
        <v>0.21277697966198</v>
      </c>
      <c r="S98">
        <f ca="1" t="shared" ref="S98" si="246">O98*(1+P98)*(1+Q98)*(1-R98)</f>
        <v>1253508.05389526</v>
      </c>
      <c r="T98">
        <f t="shared" si="178"/>
        <v>0.8</v>
      </c>
      <c r="U98">
        <f ca="1" t="shared" si="114"/>
        <v>1.7800129648</v>
      </c>
      <c r="V98">
        <f ca="1" t="shared" ref="V98" si="247">S98*T98*(1+U98)</f>
        <v>2787814.91304804</v>
      </c>
      <c r="W98">
        <f ca="1">IF(G98="恒定伤害",0,MIN(1,IF(COUNTIF(F98,"*内会*")&gt;0,内会2,IF(D98="轻剑",$Y$2,$Y$3)+COUNTIF(G98,"*莺鸣*")*0.2+COUNTIF(G98,"*叠1*")*0.1+COUNTIF(G98,"*叠2*")*0.2+COUNTIF(G98,"*叠3*")*0.3)+IFERROR(INDEX(技能数据库!$T$2:$W$27,MATCH(E98,技能数据库!$T$2:$T$27,0),2),0)+IF((IF(D98="轻剑",$AO$2,$AO$3)+INT(COUNTIF(G98,"*大莺鸣*")*IF(D98="轻剑",$AM$2,$AM$3)*听晓无双率)/无双系数)&gt;0.9,特效裤子会心/会心系数,0)))</f>
        <v>0.7043</v>
      </c>
      <c r="X98">
        <f ca="1">IF(G98="恒定伤害",0,IF(COUNTIF(F98,"*内会*")&gt;0,内会效2,IF(D98="轻剑",$AB$2,$AB$3))+IFERROR(INDEX(技能数据库!$T$2:$W$27,MATCH(E98,技能数据库!$T$2:$T$27,0),3)/1024,0))+COUNTIF(G98,"*叠1*")*0.25+COUNTIF(G98,"*叠2*")*0.5+COUNTIF(G98,"*叠3*")*0.75</f>
        <v>2.1712723116</v>
      </c>
      <c r="Y98">
        <f ca="1" t="shared" ref="Y98" si="248">1+W98*(X98-1)</f>
        <v>1.82492708905988</v>
      </c>
      <c r="Z98">
        <f t="shared" ref="Z98" si="249">IF(G98="恒定伤害",0,非侠士伤害/1024)</f>
        <v>0.150390625</v>
      </c>
      <c r="AA98">
        <f ca="1" t="shared" ref="AA98" si="250">IF(D98="轻剑",$BA$2,$BA$3)/1024</f>
        <v>0.0205078125</v>
      </c>
      <c r="AB98">
        <f ca="1" t="shared" ref="AB98" si="251">V98*Y98*(1+Z98)*(1+AA98)</f>
        <v>5972705.79156362</v>
      </c>
      <c r="AC98">
        <f ca="1">技能数计算!$AJ90</f>
        <v>0</v>
      </c>
      <c r="AD98" s="164">
        <f ca="1" t="shared" ref="AD98" si="252">IFERROR(AB98*AC98/$AD$7,0)</f>
        <v>0</v>
      </c>
      <c r="AE98" s="168"/>
      <c r="AF98" s="168">
        <f ca="1" t="shared" si="116"/>
        <v>0.7057</v>
      </c>
      <c r="AG98">
        <f ca="1">技能数计算!$AJ90</f>
        <v>0</v>
      </c>
      <c r="AH98">
        <f ca="1" t="shared" si="117"/>
        <v>109879</v>
      </c>
      <c r="AJ98">
        <f ca="1" t="shared" si="118"/>
        <v>2.3704910616</v>
      </c>
      <c r="AK98">
        <f ca="1" t="shared" ref="AK98" si="253">H98+AH98*I98+J98*(238.5+M98)+IF(K98&gt;0,MAX(1,K98*N98*破招全局系数),0)</f>
        <v>675672.7125</v>
      </c>
      <c r="AL98">
        <f ca="1" t="shared" si="120"/>
        <v>6675217.70215715</v>
      </c>
      <c r="AM98" s="169">
        <f ca="1" t="shared" si="121"/>
        <v>0.7272</v>
      </c>
      <c r="AN98">
        <f ca="1">技能数计算!$AJ90</f>
        <v>0</v>
      </c>
      <c r="AO98" s="170">
        <f ca="1" t="shared" si="122"/>
        <v>6775204.21007522</v>
      </c>
      <c r="AP98">
        <f ca="1" t="shared" si="123"/>
        <v>110956</v>
      </c>
      <c r="AQ98" s="170">
        <f ca="1" t="shared" ref="AQ98" si="254">H98+AP98*I98+J98*M98+IF(K98&gt;0,MAX(1,K98*N98*破招全局系数),0)</f>
        <v>681428.85</v>
      </c>
      <c r="AR98">
        <f ca="1" t="shared" si="125"/>
        <v>6609925.38429793</v>
      </c>
      <c r="AS98">
        <f ca="1" t="shared" si="126"/>
        <v>0.7843</v>
      </c>
      <c r="AT98">
        <f ca="1">技能数计算!$AJ90</f>
        <v>0</v>
      </c>
      <c r="AU98">
        <f ca="1" t="shared" si="127"/>
        <v>2.3177566866</v>
      </c>
      <c r="AV98">
        <f ca="1" t="shared" si="128"/>
        <v>1.7995442148</v>
      </c>
      <c r="AW98">
        <f ca="1" t="shared" si="155"/>
        <v>6702145.15688161</v>
      </c>
      <c r="AX98">
        <f ca="1" t="shared" si="129"/>
        <v>0.7743</v>
      </c>
      <c r="AY98">
        <f ca="1">技能数计算!$AJ90</f>
        <v>0</v>
      </c>
      <c r="AZ98" s="170">
        <f ca="1" t="shared" si="156"/>
        <v>6658714.00550386</v>
      </c>
      <c r="BA98">
        <f ca="1" t="shared" si="130"/>
        <v>0.7643</v>
      </c>
      <c r="BB98">
        <f ca="1">技能数计算!$AJ90</f>
        <v>0</v>
      </c>
      <c r="BC98" s="170">
        <f ca="1" t="shared" si="157"/>
        <v>6615282.85412611</v>
      </c>
      <c r="BE98">
        <f ca="1" t="shared" si="131"/>
        <v>105849</v>
      </c>
      <c r="BF98">
        <f ca="1" t="shared" ref="BF98" si="255">H98+BE98*I98+J98*M98+IF(K98&gt;0,MAX(1,K98*N98*破招全局系数),0)</f>
        <v>651872.0875</v>
      </c>
      <c r="BI98">
        <f ca="1" t="shared" si="133"/>
        <v>0.7543</v>
      </c>
      <c r="BJ98">
        <f ca="1">技能数计算!$AJ90</f>
        <v>0</v>
      </c>
      <c r="BK98">
        <f ca="1" t="shared" si="134"/>
        <v>6579331.2809199</v>
      </c>
      <c r="BM98">
        <f ca="1" t="shared" si="135"/>
        <v>109230</v>
      </c>
      <c r="BN98">
        <f ca="1" t="shared" ref="BN98" si="256">H98+BM98*I98+J98*M98+IF(K98&gt;0,MAX(1,K98*N98*破招全局系数),0)</f>
        <v>671439.625</v>
      </c>
      <c r="BO98">
        <f ca="1" t="shared" si="137"/>
        <v>6644173.1317784</v>
      </c>
      <c r="BP98">
        <f ca="1" t="shared" si="138"/>
        <v>6336164.7572049</v>
      </c>
      <c r="BR98">
        <f ca="1" t="shared" si="139"/>
        <v>0.7543</v>
      </c>
      <c r="BS98">
        <f ca="1" t="shared" si="140"/>
        <v>6585442.08227177</v>
      </c>
      <c r="BT98">
        <f ca="1" t="shared" ref="BT98" si="257">IF(G98="恒定伤害",0,(($F$5-IF(D98="轻剑",$BB$2,$BB$3))*(1024-IF(D98="轻剑",$BD$2,$BD$3))/1024*(1024-IF(D98="轻剑",$BT$8,$BT$9)-COUNTIF(G98,"*雾锁*")*461*雾锁)/1024/(($F$5-IF(D98="轻剑",$BB$2,$BB$3))*(1024-IF(D98="轻剑",$BD$2,$BD$3))/1024*(1024-IF(D98="轻剑",$BT$8,$BT$9)-COUNTIF(G98,"*雾锁*")*461*雾锁)/1024+$F$7)))</f>
        <v>0.196995876306796</v>
      </c>
      <c r="BU98">
        <f ca="1" t="shared" si="142"/>
        <v>2.3177566866</v>
      </c>
      <c r="BV98">
        <f ca="1" t="shared" si="158"/>
        <v>6656826.45922343</v>
      </c>
      <c r="BW98">
        <f ca="1" t="shared" si="143"/>
        <v>113027</v>
      </c>
      <c r="BX98">
        <f ca="1" t="shared" ref="BX98" si="258">H98+BW98*I98+J98*M98+IF(K98&gt;0,MAX(1,K98*N98*破招全局系数),0)</f>
        <v>693414.7625</v>
      </c>
      <c r="BY98">
        <f ca="1" t="shared" si="145"/>
        <v>0.7343</v>
      </c>
      <c r="BZ98">
        <f ca="1">技能数计算!$AJ90</f>
        <v>0</v>
      </c>
      <c r="CA98">
        <f ca="1" t="shared" si="146"/>
        <v>2.3216629366</v>
      </c>
      <c r="CB98">
        <f ca="1" t="shared" si="159"/>
        <v>6860247.95460889</v>
      </c>
      <c r="CC98">
        <f ca="1" t="shared" si="147"/>
        <v>114847</v>
      </c>
      <c r="CD98">
        <f ca="1" t="shared" ref="CD98" si="259">H98+CC98*I98+J98*M98+IF(K98&gt;0,MAX(1,K98*N98*破招全局系数),0)</f>
        <v>703948.0125</v>
      </c>
      <c r="CE98">
        <f ca="1" t="shared" si="149"/>
        <v>6770843.01302591</v>
      </c>
      <c r="CF98">
        <f ca="1" t="shared" si="150"/>
        <v>2.2689285616</v>
      </c>
      <c r="CG98">
        <f ca="1" t="shared" si="151"/>
        <v>0.7343</v>
      </c>
      <c r="CH98">
        <f ca="1" t="shared" si="160"/>
        <v>6366818.73209928</v>
      </c>
      <c r="CJ98">
        <f ca="1" t="shared" ref="CJ98" si="260">H98+BM98*I98+J98*M98+IF(K98&gt;0,MAX(1,K98*(N98+2667)*破招全局系数),0)</f>
        <v>671439.625</v>
      </c>
      <c r="CK98">
        <f ca="1" t="shared" si="153"/>
        <v>6614075.38960969</v>
      </c>
      <c r="CL98">
        <f ca="1" t="shared" ref="CL98" si="261">X98+IF(D98="轻剑",$CL$8-$AB$2,$CL$9-$AB$3)</f>
        <v>2.2915848116</v>
      </c>
      <c r="CM98">
        <f ca="1">IF(G98="恒定伤害",0,(IF(D98="轻剑",$CM$8,$CM$9)+IFERROR(INDEX(技能数据库!$T$2:$W$27,MATCH(E98,技能数据库!$T$2:$T$27,0),4),0)+COUNTIF(G98,"*造化2*")*154+COUNTIF(G98,"*造化1*")*102+COUNTIF(G98,"*碧归*")*307)/1024)</f>
        <v>0.747180646929785</v>
      </c>
      <c r="CN98">
        <f ca="1" t="shared" si="162"/>
        <v>6652174.67585902</v>
      </c>
      <c r="CO98">
        <f ca="1" t="shared" ref="CO98" si="262">X98+IF(D98="轻剑",$CO$8-$AB$2,$CO$9-$AB$3)</f>
        <v>2.3156473116</v>
      </c>
      <c r="CP98">
        <f ca="1" t="shared" si="164"/>
        <v>6712499.68657202</v>
      </c>
      <c r="CQ98">
        <f ca="1" t="shared" si="154"/>
        <v>1.8815754648</v>
      </c>
      <c r="CR98">
        <f ca="1">IF(G98="恒定伤害",0,(IF(D98="轻剑",$CR$8,$CR$9)+IFERROR(INDEX(技能数据库!$T$2:$W$27,MATCH(E98,技能数据库!$T$2:$T$27,0),4),0)+COUNTIF(G98,"*造化2*")*154+COUNTIF(G98,"*造化1*")*102+COUNTIF(G98,"*碧归*")*307)/1024)</f>
        <v>0.737415021929785</v>
      </c>
      <c r="CS98">
        <f ca="1" t="shared" ref="CS98" si="263">IF(COUNTIF(G98,"*恒定伤害*")&gt;0,AB98,((O98*(1+CR98)*(1+Q98)*(1-R98))*T98*(1+CQ98))*Y98*(1+Z98)*(1+AA98))</f>
        <v>6377303.39857255</v>
      </c>
    </row>
    <row r="99" spans="4:97">
      <c r="D99" t="s">
        <v>1825</v>
      </c>
      <c r="E99" t="s">
        <v>2776</v>
      </c>
      <c r="G99" t="s">
        <v>3100</v>
      </c>
      <c r="H99">
        <f ca="1">INDEX(技能数据库!$B$2:$I$100,MATCH(阵眼收益计算!$E99,技能数据库!$B$2:$B$100,0),MATCH(H$9,技能数据库!$B$2:$I$2,0))</f>
        <v>281.5</v>
      </c>
      <c r="I99">
        <f ca="1">INDEX(技能数据库!$B$2:$I$100,MATCH(阵眼收益计算!$E99,技能数据库!$B$2:$B$100,0),MATCH(I$9,技能数据库!$B$2:$I$2,0))</f>
        <v>7.06875</v>
      </c>
      <c r="J99">
        <f ca="1">INDEX(技能数据库!$B$2:$I$100,MATCH(阵眼收益计算!$E99,技能数据库!$B$2:$B$100,0),MATCH(J$9,技能数据库!$B$2:$I$2,0))</f>
        <v>2</v>
      </c>
      <c r="K99">
        <f ca="1">INDEX(技能数据库!$B$2:$I$100,MATCH(阵眼收益计算!$E99,技能数据库!$B$2:$B$100,0),MATCH(K$9,技能数据库!$B$2:$I$2,0))</f>
        <v>0</v>
      </c>
      <c r="L99">
        <f ca="1" t="shared" si="110"/>
        <v>105847</v>
      </c>
      <c r="M99">
        <f ca="1" t="shared" ref="M99:M104" si="264">IF(D99="轻剑",$AU$2+$AV$2,$AU$3+$AV$3)/2</f>
        <v>19530.5</v>
      </c>
      <c r="N99">
        <f ca="1" t="shared" ref="N99:N104" si="265">IF(D99="轻剑",$AJ$2,$AJ$3)</f>
        <v>92028</v>
      </c>
      <c r="O99">
        <f ca="1" t="shared" ref="O99:O104" si="266">H99+I99*L99+J99*M99+IF(K99&gt;0,MAX(1,K99*N99*破招全局系数),0)</f>
        <v>787548.48125</v>
      </c>
      <c r="P99">
        <f ca="1">IF(G99="恒定伤害",0,(IF(D99="轻剑",$AZ$2,$AZ$3)+IFERROR(INDEX(技能数据库!$T$2:$W$27,MATCH(E99,技能数据库!$T$2:$T$27,0),4),0)+COUNTIF(G99,"*造化2*")*154+COUNTIF(G99,"*造化1*")*102+COUNTIF(G99,"*碧归*")*307)/1024)</f>
        <v>0.636829084429785</v>
      </c>
      <c r="Q99">
        <f ca="1" t="shared" si="112"/>
        <v>0.448284482196154</v>
      </c>
      <c r="R99">
        <f ca="1" t="shared" ref="R99:R104" si="267">IF(G99="恒定伤害",0,(($F$5-IF(D99="轻剑",$BB$2,$BB$3))*(1024-IF(D99="轻剑",$BD$2,$BD$3))/1024*(1024-IF(D99="轻剑",$BC$2,$BC$3)-COUNTIF(G99,"*雾锁*")*461*雾锁)/1024/(($F$5-IF(D99="轻剑",$BB$2,$BB$3))*(1024-IF(D99="轻剑",$BD$2,$BD$3))/1024*(1024-IF(D99="轻剑",$BC$2,$BC$3)-COUNTIF(G99,"*雾锁*")*461*雾锁)/1024+$F$7)))</f>
        <v>0.21277697966198</v>
      </c>
      <c r="S99">
        <f ca="1" t="shared" ref="S99:S104" si="268">O99*(1+P99)*(1+Q99)*(1-R99)</f>
        <v>1469712.18391797</v>
      </c>
      <c r="T99">
        <f t="shared" si="178"/>
        <v>0.8</v>
      </c>
      <c r="U99">
        <f ca="1" t="shared" si="114"/>
        <v>1.7800129648</v>
      </c>
      <c r="V99">
        <f ca="1" t="shared" ref="V99:V104" si="269">S99*T99*(1+U99)</f>
        <v>3268655.14065319</v>
      </c>
      <c r="W99">
        <f ca="1">IF(G99="恒定伤害",0,MIN(1,IF(COUNTIF(F99,"*内会*")&gt;0,内会2,IF(D99="轻剑",$Y$2,$Y$3)+COUNTIF(G99,"*莺鸣*")*0.2+COUNTIF(G99,"*叠1*")*0.1+COUNTIF(G99,"*叠2*")*0.2+COUNTIF(G99,"*叠3*")*0.3)+IFERROR(INDEX(技能数据库!$T$2:$W$27,MATCH(E99,技能数据库!$T$2:$T$27,0),2),0)+IF((IF(D99="轻剑",$AO$2,$AO$3)+INT(COUNTIF(G99,"*大莺鸣*")*IF(D99="轻剑",$AM$2,$AM$3)*听晓无双率)/无双系数)&gt;0.9,特效裤子会心/会心系数,0)))</f>
        <v>0.7043</v>
      </c>
      <c r="X99">
        <f ca="1">IF(G99="恒定伤害",0,IF(COUNTIF(F99,"*内会*")&gt;0,内会效2,IF(D99="轻剑",$AB$2,$AB$3))+IFERROR(INDEX(技能数据库!$T$2:$W$27,MATCH(E99,技能数据库!$T$2:$T$27,0),3)/1024,0))+COUNTIF(G99,"*叠1*")*0.25+COUNTIF(G99,"*叠2*")*0.5+COUNTIF(G99,"*叠3*")*0.75</f>
        <v>2.1712723116</v>
      </c>
      <c r="Y99">
        <f ca="1" t="shared" ref="Y99:Y104" si="270">1+W99*(X99-1)</f>
        <v>1.82492708905988</v>
      </c>
      <c r="Z99">
        <f t="shared" ref="Z99:Z104" si="271">IF(G99="恒定伤害",0,非侠士伤害/1024)</f>
        <v>0.150390625</v>
      </c>
      <c r="AA99">
        <f ca="1" t="shared" ref="AA99:AA104" si="272">IF(D99="轻剑",$BA$2,$BA$3)/1024</f>
        <v>0.0205078125</v>
      </c>
      <c r="AB99">
        <f ca="1" t="shared" ref="AB99:AB104" si="273">V99*Y99*(1+Z99)*(1+AA99)</f>
        <v>7002873.61181324</v>
      </c>
      <c r="AC99">
        <f ca="1">技能数计算!$AJ91</f>
        <v>0</v>
      </c>
      <c r="AD99" s="164">
        <f ca="1" t="shared" ref="AD99:AD104" si="274">IFERROR(AB99*AC99/$AD$7,0)</f>
        <v>0</v>
      </c>
      <c r="AE99" s="168"/>
      <c r="AF99" s="168">
        <f ca="1" t="shared" si="116"/>
        <v>0.7057</v>
      </c>
      <c r="AG99">
        <f ca="1">技能数计算!$AJ91</f>
        <v>0</v>
      </c>
      <c r="AH99">
        <f ca="1" t="shared" si="117"/>
        <v>109879</v>
      </c>
      <c r="AJ99">
        <f ca="1" t="shared" si="118"/>
        <v>2.3704910616</v>
      </c>
      <c r="AK99">
        <f ca="1" t="shared" ref="AK99:AK104" si="275">H99+AH99*I99+J99*(238.5+M99)+IF(K99&gt;0,MAX(1,K99*N99*破招全局系数),0)</f>
        <v>816526.68125</v>
      </c>
      <c r="AL99">
        <f ca="1" t="shared" si="120"/>
        <v>7828561.64821064</v>
      </c>
      <c r="AM99" s="169">
        <f ca="1" t="shared" si="121"/>
        <v>0.7272</v>
      </c>
      <c r="AN99">
        <f ca="1">技能数计算!$AJ91</f>
        <v>0</v>
      </c>
      <c r="AO99" s="170">
        <f ca="1" t="shared" si="122"/>
        <v>7945823.82244249</v>
      </c>
      <c r="AP99">
        <f ca="1" t="shared" si="123"/>
        <v>110956</v>
      </c>
      <c r="AQ99" s="170">
        <f ca="1" t="shared" ref="AQ99:AQ104" si="276">H99+AP99*I99+J99*M99+IF(K99&gt;0,MAX(1,K99*N99*破招全局系数),0)</f>
        <v>823662.725</v>
      </c>
      <c r="AR99">
        <f ca="1" t="shared" si="125"/>
        <v>7753682.15388605</v>
      </c>
      <c r="AS99">
        <f ca="1" t="shared" si="126"/>
        <v>0.7843</v>
      </c>
      <c r="AT99">
        <f ca="1">技能数计算!$AJ91</f>
        <v>0</v>
      </c>
      <c r="AU99">
        <f ca="1" t="shared" si="127"/>
        <v>2.3177566866</v>
      </c>
      <c r="AV99">
        <f ca="1" t="shared" si="128"/>
        <v>1.7995442148</v>
      </c>
      <c r="AW99">
        <f ca="1" t="shared" si="155"/>
        <v>7858126.13237408</v>
      </c>
      <c r="AX99">
        <f ca="1" t="shared" si="129"/>
        <v>0.7743</v>
      </c>
      <c r="AY99">
        <f ca="1">技能数计算!$AJ91</f>
        <v>0</v>
      </c>
      <c r="AZ99" s="170">
        <f ca="1" t="shared" si="156"/>
        <v>7807204.00854479</v>
      </c>
      <c r="BA99">
        <f ca="1" t="shared" si="130"/>
        <v>0.7643</v>
      </c>
      <c r="BB99">
        <f ca="1">技能数计算!$AJ91</f>
        <v>0</v>
      </c>
      <c r="BC99" s="170">
        <f ca="1" t="shared" si="157"/>
        <v>7756281.88471551</v>
      </c>
      <c r="BE99">
        <f ca="1" t="shared" si="131"/>
        <v>105849</v>
      </c>
      <c r="BF99">
        <f ca="1" t="shared" ref="BF99:BF104" si="277">H99+BE99*I99+J99*M99+IF(K99&gt;0,MAX(1,K99*N99*破招全局系数),0)</f>
        <v>787562.61875</v>
      </c>
      <c r="BI99">
        <f ca="1" t="shared" si="133"/>
        <v>0.7543</v>
      </c>
      <c r="BJ99">
        <f ca="1">技能数计算!$AJ91</f>
        <v>0</v>
      </c>
      <c r="BK99">
        <f ca="1" t="shared" si="134"/>
        <v>7714130.91077027</v>
      </c>
      <c r="BM99">
        <f ca="1" t="shared" si="135"/>
        <v>109230</v>
      </c>
      <c r="BN99">
        <f ca="1" t="shared" ref="BN99:BN104" si="278">H99+BM99*I99+J99*M99+IF(K99&gt;0,MAX(1,K99*N99*破招全局系数),0)</f>
        <v>811462.0625</v>
      </c>
      <c r="BO99">
        <f ca="1" t="shared" si="137"/>
        <v>7792642.17829955</v>
      </c>
      <c r="BP99">
        <f ca="1" t="shared" si="138"/>
        <v>7431393.45654499</v>
      </c>
      <c r="BR99">
        <f ca="1" t="shared" si="139"/>
        <v>0.7543</v>
      </c>
      <c r="BS99">
        <f ca="1" t="shared" si="140"/>
        <v>7723759.25720705</v>
      </c>
      <c r="BT99">
        <f ca="1" t="shared" ref="BT99:BT104" si="279">IF(G99="恒定伤害",0,(($F$5-IF(D99="轻剑",$BB$2,$BB$3))*(1024-IF(D99="轻剑",$BD$2,$BD$3))/1024*(1024-IF(D99="轻剑",$BT$8,$BT$9)-COUNTIF(G99,"*雾锁*")*461*雾锁)/1024/(($F$5-IF(D99="轻剑",$BB$2,$BB$3))*(1024-IF(D99="轻剑",$BD$2,$BD$3))/1024*(1024-IF(D99="轻剑",$BT$8,$BT$9)-COUNTIF(G99,"*雾锁*")*461*雾锁)/1024+$F$7)))</f>
        <v>0.196995876306796</v>
      </c>
      <c r="BU99">
        <f ca="1" t="shared" si="142"/>
        <v>2.3177566866</v>
      </c>
      <c r="BV99">
        <f ca="1" t="shared" si="158"/>
        <v>7804990.89969604</v>
      </c>
      <c r="BW99">
        <f ca="1" t="shared" si="143"/>
        <v>113027</v>
      </c>
      <c r="BX99">
        <f ca="1" t="shared" ref="BX99:BX104" si="280">H99+BW99*I99+J99*M99+IF(K99&gt;0,MAX(1,K99*N99*破招全局系数),0)</f>
        <v>838302.10625</v>
      </c>
      <c r="BY99">
        <f ca="1" t="shared" si="145"/>
        <v>0.7343</v>
      </c>
      <c r="BZ99">
        <f ca="1">技能数计算!$AJ91</f>
        <v>0</v>
      </c>
      <c r="CA99">
        <f ca="1" t="shared" si="146"/>
        <v>2.3216629366</v>
      </c>
      <c r="CB99">
        <f ca="1" t="shared" si="159"/>
        <v>8048775.76269791</v>
      </c>
      <c r="CC99">
        <f ca="1" t="shared" si="147"/>
        <v>114847</v>
      </c>
      <c r="CD99">
        <f ca="1" t="shared" ref="CD99:CD104" si="281">H99+CC99*I99+J99*M99+IF(K99&gt;0,MAX(1,K99*N99*破招全局系数),0)</f>
        <v>851167.23125</v>
      </c>
      <c r="CE99">
        <f ca="1" t="shared" si="149"/>
        <v>7945104.1415718</v>
      </c>
      <c r="CF99">
        <f ca="1" t="shared" si="150"/>
        <v>2.2689285616</v>
      </c>
      <c r="CG99">
        <f ca="1" t="shared" si="151"/>
        <v>0.7343</v>
      </c>
      <c r="CH99">
        <f ca="1" t="shared" si="160"/>
        <v>7464962.85706781</v>
      </c>
      <c r="CJ99">
        <f ca="1" t="shared" ref="CJ99:CJ104" si="282">H99+BM99*I99+J99*M99+IF(K99&gt;0,MAX(1,K99*(N99+2667)*破招全局系数),0)</f>
        <v>811462.0625</v>
      </c>
      <c r="CK99">
        <f ca="1" t="shared" si="153"/>
        <v>7757341.93394353</v>
      </c>
      <c r="CL99">
        <f ca="1" t="shared" ref="CL99:CL104" si="283">X99+IF(D99="轻剑",$CL$8-$AB$2,$CL$9-$AB$3)</f>
        <v>2.2915848116</v>
      </c>
      <c r="CM99">
        <f ca="1">IF(G99="恒定伤害",0,(IF(D99="轻剑",$CM$8,$CM$9)+IFERROR(INDEX(技能数据库!$T$2:$W$27,MATCH(E99,技能数据库!$T$2:$T$27,0),4),0)+COUNTIF(G99,"*造化2*")*154+COUNTIF(G99,"*造化1*")*102+COUNTIF(G99,"*碧归*")*307)/1024)</f>
        <v>0.697375959429785</v>
      </c>
      <c r="CN99">
        <f ca="1" t="shared" si="162"/>
        <v>7807760.90363717</v>
      </c>
      <c r="CO99">
        <f ca="1" t="shared" ref="CO99:CO104" si="284">X99+IF(D99="轻剑",$CO$8-$AB$2,$CO$9-$AB$3)</f>
        <v>2.3156473116</v>
      </c>
      <c r="CP99">
        <f ca="1" t="shared" si="164"/>
        <v>7878565.30717542</v>
      </c>
      <c r="CQ99">
        <f ca="1" t="shared" si="154"/>
        <v>1.8815754648</v>
      </c>
      <c r="CR99">
        <f ca="1">IF(G99="恒定伤害",0,(IF(D99="轻剑",$CR$8,$CR$9)+IFERROR(INDEX(技能数据库!$T$2:$W$27,MATCH(E99,技能数据库!$T$2:$T$27,0),4),0)+COUNTIF(G99,"*造化2*")*154+COUNTIF(G99,"*造化1*")*102+COUNTIF(G99,"*碧归*")*307)/1024)</f>
        <v>0.687610334429785</v>
      </c>
      <c r="CS99">
        <f ca="1" t="shared" ref="CS99:CS104" si="285">IF(COUNTIF(G99,"*恒定伤害*")&gt;0,AB99,((O99*(1+CR99)*(1+Q99)*(1-R99))*T99*(1+CQ99))*Y99*(1+Z99)*(1+AA99))</f>
        <v>7483905.71650375</v>
      </c>
    </row>
    <row r="100" spans="4:97">
      <c r="D100" t="s">
        <v>1825</v>
      </c>
      <c r="E100" t="s">
        <v>2780</v>
      </c>
      <c r="G100" t="s">
        <v>3100</v>
      </c>
      <c r="H100">
        <f ca="1">INDEX(技能数据库!$B$2:$I$100,MATCH(阵眼收益计算!$E100,技能数据库!$B$2:$B$100,0),MATCH(H$9,技能数据库!$B$2:$I$2,0))</f>
        <v>252.5</v>
      </c>
      <c r="I100">
        <f ca="1">INDEX(技能数据库!$B$2:$I$100,MATCH(阵眼收益计算!$E100,技能数据库!$B$2:$B$100,0),MATCH(I$9,技能数据库!$B$2:$I$2,0))</f>
        <v>2.11875</v>
      </c>
      <c r="J100">
        <f ca="1">INDEX(技能数据库!$B$2:$I$100,MATCH(阵眼收益计算!$E100,技能数据库!$B$2:$B$100,0),MATCH(J$9,技能数据库!$B$2:$I$2,0))</f>
        <v>2</v>
      </c>
      <c r="K100">
        <f ca="1">INDEX(技能数据库!$B$2:$I$100,MATCH(阵眼收益计算!$E100,技能数据库!$B$2:$B$100,0),MATCH(K$9,技能数据库!$B$2:$I$2,0))</f>
        <v>0</v>
      </c>
      <c r="L100">
        <f ca="1" t="shared" si="110"/>
        <v>105847</v>
      </c>
      <c r="M100">
        <f ca="1" t="shared" si="264"/>
        <v>19530.5</v>
      </c>
      <c r="N100">
        <f ca="1" t="shared" si="265"/>
        <v>92028</v>
      </c>
      <c r="O100">
        <f ca="1" t="shared" si="266"/>
        <v>263576.83125</v>
      </c>
      <c r="P100">
        <f ca="1">IF(G100="恒定伤害",0,(IF(D100="轻剑",$AZ$2,$AZ$3)+IFERROR(INDEX(技能数据库!$T$2:$W$27,MATCH(E100,技能数据库!$T$2:$T$27,0),4),0)+COUNTIF(G100,"*造化2*")*154+COUNTIF(G100,"*造化1*")*102+COUNTIF(G100,"*碧归*")*307)/1024)</f>
        <v>0.636829084429785</v>
      </c>
      <c r="Q100">
        <f ca="1" t="shared" si="112"/>
        <v>0.448284482196154</v>
      </c>
      <c r="R100">
        <f ca="1" t="shared" si="267"/>
        <v>0.21277697966198</v>
      </c>
      <c r="S100">
        <f ca="1" t="shared" si="268"/>
        <v>491883.470680767</v>
      </c>
      <c r="T100">
        <f t="shared" si="178"/>
        <v>0.8</v>
      </c>
      <c r="U100">
        <f ca="1" t="shared" si="114"/>
        <v>1.7800129648</v>
      </c>
      <c r="V100">
        <f ca="1" t="shared" si="269"/>
        <v>1093953.94053068</v>
      </c>
      <c r="W100">
        <f ca="1">IF(G100="恒定伤害",0,MIN(1,IF(COUNTIF(F100,"*内会*")&gt;0,内会2,IF(D100="轻剑",$Y$2,$Y$3)+COUNTIF(G100,"*莺鸣*")*0.2+COUNTIF(G100,"*叠1*")*0.1+COUNTIF(G100,"*叠2*")*0.2+COUNTIF(G100,"*叠3*")*0.3)+IFERROR(INDEX(技能数据库!$T$2:$W$27,MATCH(E100,技能数据库!$T$2:$T$27,0),2),0)+IF((IF(D100="轻剑",$AO$2,$AO$3)+INT(COUNTIF(G100,"*大莺鸣*")*IF(D100="轻剑",$AM$2,$AM$3)*听晓无双率)/无双系数)&gt;0.9,特效裤子会心/会心系数,0)))</f>
        <v>0.7043</v>
      </c>
      <c r="X100">
        <f ca="1">IF(G100="恒定伤害",0,IF(COUNTIF(F100,"*内会*")&gt;0,内会效2,IF(D100="轻剑",$AB$2,$AB$3))+IFERROR(INDEX(技能数据库!$T$2:$W$27,MATCH(E100,技能数据库!$T$2:$T$27,0),3)/1024,0))+COUNTIF(G100,"*叠1*")*0.25+COUNTIF(G100,"*叠2*")*0.5+COUNTIF(G100,"*叠3*")*0.75</f>
        <v>2.1712723116</v>
      </c>
      <c r="Y100">
        <f ca="1" t="shared" si="270"/>
        <v>1.82492708905988</v>
      </c>
      <c r="Z100">
        <f t="shared" si="271"/>
        <v>0.150390625</v>
      </c>
      <c r="AA100">
        <f ca="1" t="shared" si="272"/>
        <v>0.0205078125</v>
      </c>
      <c r="AB100">
        <f ca="1" t="shared" si="273"/>
        <v>2343722.67890901</v>
      </c>
      <c r="AC100">
        <f ca="1">技能数计算!$AJ92</f>
        <v>0</v>
      </c>
      <c r="AD100" s="164">
        <f ca="1" t="shared" si="274"/>
        <v>0</v>
      </c>
      <c r="AE100" s="168"/>
      <c r="AF100" s="168">
        <f ca="1" t="shared" si="116"/>
        <v>0.7057</v>
      </c>
      <c r="AG100">
        <f ca="1">技能数计算!$AJ92</f>
        <v>0</v>
      </c>
      <c r="AH100">
        <f ca="1" t="shared" si="117"/>
        <v>109879</v>
      </c>
      <c r="AJ100">
        <f ca="1" t="shared" si="118"/>
        <v>2.3704910616</v>
      </c>
      <c r="AK100">
        <f ca="1" t="shared" si="275"/>
        <v>272596.63125</v>
      </c>
      <c r="AL100">
        <f ca="1" t="shared" si="120"/>
        <v>2613557.62382219</v>
      </c>
      <c r="AM100" s="169">
        <f ca="1" t="shared" si="121"/>
        <v>0.7272</v>
      </c>
      <c r="AN100">
        <f ca="1">技能数计算!$AJ92</f>
        <v>0</v>
      </c>
      <c r="AO100" s="170">
        <f ca="1" t="shared" si="122"/>
        <v>2652705.48561615</v>
      </c>
      <c r="AP100">
        <f ca="1" t="shared" si="123"/>
        <v>110956</v>
      </c>
      <c r="AQ100" s="170">
        <f ca="1" t="shared" si="276"/>
        <v>274401.525</v>
      </c>
      <c r="AR100">
        <f ca="1" t="shared" si="125"/>
        <v>2583123.09494352</v>
      </c>
      <c r="AS100">
        <f ca="1" t="shared" si="126"/>
        <v>0.7843</v>
      </c>
      <c r="AT100">
        <f ca="1">技能数计算!$AJ92</f>
        <v>0</v>
      </c>
      <c r="AU100">
        <f ca="1" t="shared" si="127"/>
        <v>2.3177566866</v>
      </c>
      <c r="AV100">
        <f ca="1" t="shared" si="128"/>
        <v>1.7995442148</v>
      </c>
      <c r="AW100">
        <f ca="1" t="shared" si="155"/>
        <v>2629958.70710909</v>
      </c>
      <c r="AX100">
        <f ca="1" t="shared" si="129"/>
        <v>0.7743</v>
      </c>
      <c r="AY100">
        <f ca="1">技能数计算!$AJ92</f>
        <v>0</v>
      </c>
      <c r="AZ100" s="170">
        <f ca="1" t="shared" si="156"/>
        <v>2612916.08388145</v>
      </c>
      <c r="BA100">
        <f ca="1" t="shared" si="130"/>
        <v>0.7643</v>
      </c>
      <c r="BB100">
        <f ca="1">技能数计算!$AJ92</f>
        <v>0</v>
      </c>
      <c r="BC100" s="170">
        <f ca="1" t="shared" si="157"/>
        <v>2595873.46065381</v>
      </c>
      <c r="BE100">
        <f ca="1" t="shared" si="131"/>
        <v>105849</v>
      </c>
      <c r="BF100">
        <f ca="1" t="shared" si="277"/>
        <v>263581.06875</v>
      </c>
      <c r="BI100">
        <f ca="1" t="shared" si="133"/>
        <v>0.7543</v>
      </c>
      <c r="BJ100">
        <f ca="1">技能数计算!$AJ92</f>
        <v>0</v>
      </c>
      <c r="BK100">
        <f ca="1" t="shared" si="134"/>
        <v>2581761.52794738</v>
      </c>
      <c r="BM100">
        <f ca="1" t="shared" si="135"/>
        <v>109230</v>
      </c>
      <c r="BN100">
        <f ca="1" t="shared" si="278"/>
        <v>270744.5625</v>
      </c>
      <c r="BO100">
        <f ca="1" t="shared" si="137"/>
        <v>2600017.41890769</v>
      </c>
      <c r="BP100">
        <f ca="1" t="shared" si="138"/>
        <v>2479486.67367014</v>
      </c>
      <c r="BR100">
        <f ca="1" t="shared" si="139"/>
        <v>0.7543</v>
      </c>
      <c r="BS100">
        <f ca="1" t="shared" si="140"/>
        <v>2577034.61145831</v>
      </c>
      <c r="BT100">
        <f ca="1" t="shared" si="279"/>
        <v>0.196995876306796</v>
      </c>
      <c r="BU100">
        <f ca="1" t="shared" si="142"/>
        <v>2.3177566866</v>
      </c>
      <c r="BV100">
        <f ca="1" t="shared" si="158"/>
        <v>2612175.40031535</v>
      </c>
      <c r="BW100">
        <f ca="1" t="shared" si="143"/>
        <v>113027</v>
      </c>
      <c r="BX100">
        <f ca="1" t="shared" si="280"/>
        <v>278789.45625</v>
      </c>
      <c r="BY100">
        <f ca="1" t="shared" si="145"/>
        <v>0.7343</v>
      </c>
      <c r="BZ100">
        <f ca="1">技能数计算!$AJ92</f>
        <v>0</v>
      </c>
      <c r="CA100">
        <f ca="1" t="shared" si="146"/>
        <v>2.3216629366</v>
      </c>
      <c r="CB100">
        <f ca="1" t="shared" si="159"/>
        <v>2676736.46723672</v>
      </c>
      <c r="CC100">
        <f ca="1" t="shared" si="147"/>
        <v>114847</v>
      </c>
      <c r="CD100">
        <f ca="1" t="shared" si="281"/>
        <v>282645.58125</v>
      </c>
      <c r="CE100">
        <f ca="1" t="shared" si="149"/>
        <v>2638316.53256722</v>
      </c>
      <c r="CF100">
        <f ca="1" t="shared" si="150"/>
        <v>2.2689285616</v>
      </c>
      <c r="CG100">
        <f ca="1" t="shared" si="151"/>
        <v>0.7343</v>
      </c>
      <c r="CH100">
        <f ca="1" t="shared" si="160"/>
        <v>2498374.76943884</v>
      </c>
      <c r="CJ100">
        <f ca="1" t="shared" si="282"/>
        <v>270744.5625</v>
      </c>
      <c r="CK100">
        <f ca="1" t="shared" si="153"/>
        <v>2588239.48170522</v>
      </c>
      <c r="CL100">
        <f ca="1" t="shared" si="283"/>
        <v>2.2915848116</v>
      </c>
      <c r="CM100">
        <f ca="1">IF(G100="恒定伤害",0,(IF(D100="轻剑",$CM$8,$CM$9)+IFERROR(INDEX(技能数据库!$T$2:$W$27,MATCH(E100,技能数据库!$T$2:$T$27,0),4),0)+COUNTIF(G100,"*造化2*")*154+COUNTIF(G100,"*造化1*")*102+COUNTIF(G100,"*碧归*")*307)/1024)</f>
        <v>0.697375959429785</v>
      </c>
      <c r="CN100">
        <f ca="1" t="shared" si="162"/>
        <v>2613102.4656056</v>
      </c>
      <c r="CO100">
        <f ca="1" t="shared" si="284"/>
        <v>2.3156473116</v>
      </c>
      <c r="CP100">
        <f ca="1" t="shared" si="164"/>
        <v>2636799.29287081</v>
      </c>
      <c r="CQ100">
        <f ca="1" t="shared" si="154"/>
        <v>1.8815754648</v>
      </c>
      <c r="CR100">
        <f ca="1">IF(G100="恒定伤害",0,(IF(D100="轻剑",$CR$8,$CR$9)+IFERROR(INDEX(技能数据库!$T$2:$W$27,MATCH(E100,技能数据库!$T$2:$T$27,0),4),0)+COUNTIF(G100,"*造化2*")*154+COUNTIF(G100,"*造化1*")*102+COUNTIF(G100,"*碧归*")*307)/1024)</f>
        <v>0.687610334429785</v>
      </c>
      <c r="CS100">
        <f ca="1" t="shared" si="285"/>
        <v>2504714.56817354</v>
      </c>
    </row>
    <row r="101" spans="4:97">
      <c r="D101" t="s">
        <v>1825</v>
      </c>
      <c r="E101" t="s">
        <v>2794</v>
      </c>
      <c r="G101" t="s">
        <v>2948</v>
      </c>
      <c r="H101">
        <f ca="1">INDEX(技能数据库!$B$2:$I$100,MATCH(阵眼收益计算!$E101,技能数据库!$B$2:$B$100,0),MATCH(H$9,技能数据库!$B$2:$I$2,0))</f>
        <v>231.5</v>
      </c>
      <c r="I101">
        <f ca="1">INDEX(技能数据库!$B$2:$I$100,MATCH(阵眼收益计算!$E101,技能数据库!$B$2:$B$100,0),MATCH(I$9,技能数据库!$B$2:$I$2,0))</f>
        <v>2.71875</v>
      </c>
      <c r="J101">
        <f ca="1">INDEX(技能数据库!$B$2:$I$100,MATCH(阵眼收益计算!$E101,技能数据库!$B$2:$B$100,0),MATCH(J$9,技能数据库!$B$2:$I$2,0))</f>
        <v>2</v>
      </c>
      <c r="K101">
        <f ca="1">INDEX(技能数据库!$B$2:$I$100,MATCH(阵眼收益计算!$E101,技能数据库!$B$2:$B$100,0),MATCH(K$9,技能数据库!$B$2:$I$2,0))</f>
        <v>0</v>
      </c>
      <c r="L101">
        <f ca="1" t="shared" si="110"/>
        <v>91975</v>
      </c>
      <c r="M101">
        <f ca="1" t="shared" si="264"/>
        <v>19530.5</v>
      </c>
      <c r="N101">
        <f ca="1" t="shared" si="265"/>
        <v>92028</v>
      </c>
      <c r="O101">
        <f ca="1" t="shared" si="266"/>
        <v>289349.53125</v>
      </c>
      <c r="P101">
        <f ca="1">IF(G101="恒定伤害",0,(IF(D101="轻剑",$AZ$2,$AZ$3)+IFERROR(INDEX(技能数据库!$T$2:$W$27,MATCH(E101,技能数据库!$T$2:$T$27,0),4),0)+COUNTIF(G101,"*造化2*")*154+COUNTIF(G101,"*造化1*")*102+COUNTIF(G101,"*碧归*")*307)/1024)</f>
        <v>0.236438459429785</v>
      </c>
      <c r="Q101">
        <f ca="1" t="shared" si="112"/>
        <v>0.448284482196154</v>
      </c>
      <c r="R101">
        <f ca="1" t="shared" si="267"/>
        <v>0.32958230397716</v>
      </c>
      <c r="S101">
        <f ca="1" t="shared" si="268"/>
        <v>347371.86079985</v>
      </c>
      <c r="T101">
        <f t="shared" si="178"/>
        <v>0.8</v>
      </c>
      <c r="U101">
        <f ca="1" t="shared" si="114"/>
        <v>2.67001635480339</v>
      </c>
      <c r="V101">
        <f ca="1" t="shared" si="269"/>
        <v>1019888.32826715</v>
      </c>
      <c r="W101">
        <f ca="1">IF(G101="恒定伤害",0,MIN(1,IF(COUNTIF(F101,"*内会*")&gt;0,内会2,IF(D101="轻剑",$Y$2,$Y$3)+COUNTIF(G101,"*莺鸣*")*0.2+COUNTIF(G101,"*叠1*")*0.1+COUNTIF(G101,"*叠2*")*0.2+COUNTIF(G101,"*叠3*")*0.3)+IFERROR(INDEX(技能数据库!$T$2:$W$27,MATCH(E101,技能数据库!$T$2:$T$27,0),2),0)+IF((IF(D101="轻剑",$AO$2,$AO$3)+INT(COUNTIF(G101,"*大莺鸣*")*IF(D101="轻剑",$AM$2,$AM$3)*听晓无双率)/无双系数)&gt;0.9,特效裤子会心/会心系数,0)))</f>
        <v>0.9043</v>
      </c>
      <c r="X101">
        <f ca="1">IF(G101="恒定伤害",0,IF(COUNTIF(F101,"*内会*")&gt;0,内会效2,IF(D101="轻剑",$AB$2,$AB$3))+IFERROR(INDEX(技能数据库!$T$2:$W$27,MATCH(E101,技能数据库!$T$2:$T$27,0),3)/1024,0))+COUNTIF(G101,"*叠1*")*0.25+COUNTIF(G101,"*叠2*")*0.5+COUNTIF(G101,"*叠3*")*0.75</f>
        <v>2.1712723116</v>
      </c>
      <c r="Y101">
        <f ca="1" t="shared" si="270"/>
        <v>2.05918155137988</v>
      </c>
      <c r="Z101">
        <f t="shared" si="271"/>
        <v>0.150390625</v>
      </c>
      <c r="AA101">
        <f ca="1" t="shared" si="272"/>
        <v>0.0205078125</v>
      </c>
      <c r="AB101">
        <f ca="1" t="shared" si="273"/>
        <v>2465522.26021371</v>
      </c>
      <c r="AC101">
        <f ca="1">技能数计算!$AJ93</f>
        <v>0</v>
      </c>
      <c r="AD101" s="164">
        <f ca="1" t="shared" si="274"/>
        <v>0</v>
      </c>
      <c r="AE101" s="168"/>
      <c r="AF101" s="168">
        <f ca="1" t="shared" si="116"/>
        <v>0.9057</v>
      </c>
      <c r="AG101">
        <f ca="1">技能数计算!$AJ93</f>
        <v>0</v>
      </c>
      <c r="AH101">
        <f ca="1" t="shared" si="117"/>
        <v>96007</v>
      </c>
      <c r="AJ101">
        <f ca="1" t="shared" si="118"/>
        <v>2.3704910616</v>
      </c>
      <c r="AK101">
        <f ca="1" t="shared" si="275"/>
        <v>300788.53125</v>
      </c>
      <c r="AL101">
        <f ca="1" t="shared" si="120"/>
        <v>2790379.23781177</v>
      </c>
      <c r="AM101" s="169">
        <f ca="1" t="shared" si="121"/>
        <v>0.9272</v>
      </c>
      <c r="AN101">
        <f ca="1">技能数计算!$AJ93</f>
        <v>0</v>
      </c>
      <c r="AO101" s="170">
        <f ca="1" t="shared" si="122"/>
        <v>2827064.09806867</v>
      </c>
      <c r="AP101">
        <f ca="1" t="shared" si="123"/>
        <v>97084</v>
      </c>
      <c r="AQ101" s="170">
        <f ca="1" t="shared" si="276"/>
        <v>303239.625</v>
      </c>
      <c r="AR101">
        <f ca="1" t="shared" si="125"/>
        <v>2735468.30725254</v>
      </c>
      <c r="AS101">
        <f ca="1" t="shared" si="126"/>
        <v>0.9843</v>
      </c>
      <c r="AT101">
        <f ca="1">技能数计算!$AJ93</f>
        <v>0</v>
      </c>
      <c r="AU101">
        <f ca="1" t="shared" si="127"/>
        <v>2.3177566866</v>
      </c>
      <c r="AV101">
        <f ca="1" t="shared" si="128"/>
        <v>2.68954760480339</v>
      </c>
      <c r="AW101">
        <f ca="1" t="shared" si="155"/>
        <v>2764987.94435769</v>
      </c>
      <c r="AX101">
        <f ca="1" t="shared" si="129"/>
        <v>0.9743</v>
      </c>
      <c r="AY101">
        <f ca="1">技能数计算!$AJ93</f>
        <v>0</v>
      </c>
      <c r="AZ101" s="170">
        <f ca="1" t="shared" si="156"/>
        <v>2749126.06521365</v>
      </c>
      <c r="BA101">
        <f ca="1" t="shared" si="130"/>
        <v>0.9643</v>
      </c>
      <c r="BB101">
        <f ca="1">技能数计算!$AJ93</f>
        <v>0</v>
      </c>
      <c r="BC101" s="170">
        <f ca="1" t="shared" si="157"/>
        <v>2733264.18606961</v>
      </c>
      <c r="BE101">
        <f ca="1" t="shared" si="131"/>
        <v>91977</v>
      </c>
      <c r="BF101">
        <f ca="1" t="shared" si="277"/>
        <v>289354.96875</v>
      </c>
      <c r="BI101">
        <f ca="1" t="shared" si="133"/>
        <v>0.9543</v>
      </c>
      <c r="BJ101">
        <f ca="1">技能数计算!$AJ93</f>
        <v>0</v>
      </c>
      <c r="BK101">
        <f ca="1" t="shared" si="134"/>
        <v>2701753.45686173</v>
      </c>
      <c r="BM101">
        <f ca="1" t="shared" si="135"/>
        <v>95358</v>
      </c>
      <c r="BN101">
        <f ca="1" t="shared" si="278"/>
        <v>298547.0625</v>
      </c>
      <c r="BO101">
        <f ca="1" t="shared" si="137"/>
        <v>2747365.69794143</v>
      </c>
      <c r="BP101">
        <f ca="1" t="shared" si="138"/>
        <v>2620004.23005093</v>
      </c>
      <c r="BR101">
        <f ca="1" t="shared" si="139"/>
        <v>0.9543</v>
      </c>
      <c r="BS101">
        <f ca="1" t="shared" si="140"/>
        <v>2708857.57662593</v>
      </c>
      <c r="BT101">
        <f ca="1" t="shared" si="279"/>
        <v>0.318170800459405</v>
      </c>
      <c r="BU101">
        <f ca="1" t="shared" si="142"/>
        <v>2.3177566866</v>
      </c>
      <c r="BV101">
        <f ca="1" t="shared" si="158"/>
        <v>2749026.63698066</v>
      </c>
      <c r="BW101">
        <f ca="1" t="shared" si="143"/>
        <v>99155</v>
      </c>
      <c r="BX101">
        <f ca="1" t="shared" si="280"/>
        <v>308870.15625</v>
      </c>
      <c r="BY101">
        <f ca="1" t="shared" si="145"/>
        <v>0.9343</v>
      </c>
      <c r="BZ101">
        <f ca="1">技能数计算!$AJ93</f>
        <v>0</v>
      </c>
      <c r="CA101">
        <f ca="1" t="shared" si="146"/>
        <v>2.3216629366</v>
      </c>
      <c r="CB101">
        <f ca="1" t="shared" si="159"/>
        <v>2856353.04199295</v>
      </c>
      <c r="CC101">
        <f ca="1" t="shared" si="147"/>
        <v>100975</v>
      </c>
      <c r="CD101">
        <f ca="1" t="shared" si="281"/>
        <v>313818.28125</v>
      </c>
      <c r="CE101">
        <f ca="1" t="shared" si="149"/>
        <v>2801017.18375513</v>
      </c>
      <c r="CF101">
        <f ca="1" t="shared" si="150"/>
        <v>2.2689285616</v>
      </c>
      <c r="CG101">
        <f ca="1" t="shared" si="151"/>
        <v>0.9343</v>
      </c>
      <c r="CH101">
        <f ca="1" t="shared" si="160"/>
        <v>2630765.46849735</v>
      </c>
      <c r="CJ101">
        <f ca="1" t="shared" si="282"/>
        <v>298547.0625</v>
      </c>
      <c r="CK101">
        <f ca="1" t="shared" si="153"/>
        <v>2734920.28106566</v>
      </c>
      <c r="CL101">
        <f ca="1" t="shared" si="283"/>
        <v>2.2915848116</v>
      </c>
      <c r="CM101">
        <f ca="1">IF(G101="恒定伤害",0,(IF(D101="轻剑",$CM$8,$CM$9)+IFERROR(INDEX(技能数据库!$T$2:$W$27,MATCH(E101,技能数据库!$T$2:$T$27,0),4),0)+COUNTIF(G101,"*造化2*")*154+COUNTIF(G101,"*造化1*")*102+COUNTIF(G101,"*碧归*")*307)/1024)</f>
        <v>0.296985334429785</v>
      </c>
      <c r="CN101">
        <f ca="1" t="shared" si="162"/>
        <v>2786318.20447681</v>
      </c>
      <c r="CO101">
        <f ca="1" t="shared" si="284"/>
        <v>2.3156473116</v>
      </c>
      <c r="CP101">
        <f ca="1" t="shared" si="164"/>
        <v>2814704.52247607</v>
      </c>
      <c r="CQ101">
        <f ca="1" t="shared" si="154"/>
        <v>2.77157885480339</v>
      </c>
      <c r="CR101">
        <f ca="1">IF(G101="恒定伤害",0,(IF(D101="轻剑",$CR$8,$CR$9)+IFERROR(INDEX(技能数据库!$T$2:$W$27,MATCH(E101,技能数据库!$T$2:$T$27,0),4),0)+COUNTIF(G101,"*造化2*")*154+COUNTIF(G101,"*造化1*")*102+COUNTIF(G101,"*碧归*")*307)/1024)</f>
        <v>0.287219709429785</v>
      </c>
      <c r="CS101">
        <f ca="1" t="shared" si="285"/>
        <v>2637814.7726366</v>
      </c>
    </row>
    <row r="102" spans="4:97">
      <c r="D102" t="s">
        <v>1825</v>
      </c>
      <c r="E102" t="s">
        <v>2798</v>
      </c>
      <c r="G102" t="s">
        <v>2948</v>
      </c>
      <c r="H102">
        <f ca="1">INDEX(技能数据库!$B$2:$I$100,MATCH(阵眼收益计算!$E102,技能数据库!$B$2:$B$100,0),MATCH(H$9,技能数据库!$B$2:$I$2,0))</f>
        <v>1504.5</v>
      </c>
      <c r="I102">
        <f ca="1">INDEX(技能数据库!$B$2:$I$100,MATCH(阵眼收益计算!$E102,技能数据库!$B$2:$B$100,0),MATCH(I$9,技能数据库!$B$2:$I$2,0))</f>
        <v>2.85625</v>
      </c>
      <c r="J102">
        <f ca="1">INDEX(技能数据库!$B$2:$I$100,MATCH(阵眼收益计算!$E102,技能数据库!$B$2:$B$100,0),MATCH(J$9,技能数据库!$B$2:$I$2,0))</f>
        <v>0</v>
      </c>
      <c r="K102">
        <f ca="1">INDEX(技能数据库!$B$2:$I$100,MATCH(阵眼收益计算!$E102,技能数据库!$B$2:$B$100,0),MATCH(K$9,技能数据库!$B$2:$I$2,0))</f>
        <v>0</v>
      </c>
      <c r="L102">
        <f ca="1" t="shared" si="110"/>
        <v>91975</v>
      </c>
      <c r="M102">
        <f ca="1" t="shared" si="264"/>
        <v>19530.5</v>
      </c>
      <c r="N102">
        <f ca="1" t="shared" si="265"/>
        <v>92028</v>
      </c>
      <c r="O102">
        <f ca="1" t="shared" si="266"/>
        <v>264208.09375</v>
      </c>
      <c r="P102">
        <f ca="1">IF(G102="恒定伤害",0,(IF(D102="轻剑",$AZ$2,$AZ$3)+IFERROR(INDEX(技能数据库!$T$2:$W$27,MATCH(E102,技能数据库!$T$2:$T$27,0),4),0)+COUNTIF(G102,"*造化2*")*154+COUNTIF(G102,"*造化1*")*102+COUNTIF(G102,"*碧归*")*307)/1024)</f>
        <v>0.116321271929785</v>
      </c>
      <c r="Q102">
        <f ca="1" t="shared" si="112"/>
        <v>0.448284482196154</v>
      </c>
      <c r="R102">
        <f ca="1" t="shared" si="267"/>
        <v>0.32958230397716</v>
      </c>
      <c r="S102">
        <f ca="1" t="shared" si="268"/>
        <v>286374.711537191</v>
      </c>
      <c r="T102">
        <f t="shared" si="178"/>
        <v>0.8</v>
      </c>
      <c r="U102">
        <f ca="1" t="shared" si="114"/>
        <v>2.67001635480339</v>
      </c>
      <c r="V102">
        <f ca="1" t="shared" si="269"/>
        <v>840799.899954876</v>
      </c>
      <c r="W102">
        <f ca="1">IF(G102="恒定伤害",0,MIN(1,IF(COUNTIF(F102,"*内会*")&gt;0,内会2,IF(D102="轻剑",$Y$2,$Y$3)+COUNTIF(G102,"*莺鸣*")*0.2+COUNTIF(G102,"*叠1*")*0.1+COUNTIF(G102,"*叠2*")*0.2+COUNTIF(G102,"*叠3*")*0.3)+IFERROR(INDEX(技能数据库!$T$2:$W$27,MATCH(E102,技能数据库!$T$2:$T$27,0),2),0)+IF((IF(D102="轻剑",$AO$2,$AO$3)+INT(COUNTIF(G102,"*大莺鸣*")*IF(D102="轻剑",$AM$2,$AM$3)*听晓无双率)/无双系数)&gt;0.9,特效裤子会心/会心系数,0)))</f>
        <v>0.9043</v>
      </c>
      <c r="X102">
        <f ca="1">IF(G102="恒定伤害",0,IF(COUNTIF(F102,"*内会*")&gt;0,内会效2,IF(D102="轻剑",$AB$2,$AB$3))+IFERROR(INDEX(技能数据库!$T$2:$W$27,MATCH(E102,技能数据库!$T$2:$T$27,0),3)/1024,0))+COUNTIF(G102,"*叠1*")*0.25+COUNTIF(G102,"*叠2*")*0.5+COUNTIF(G102,"*叠3*")*0.75</f>
        <v>2.1712723116</v>
      </c>
      <c r="Y102">
        <f ca="1" t="shared" si="270"/>
        <v>2.05918155137988</v>
      </c>
      <c r="Z102">
        <f t="shared" si="271"/>
        <v>0.150390625</v>
      </c>
      <c r="AA102">
        <f ca="1" t="shared" si="272"/>
        <v>0.0205078125</v>
      </c>
      <c r="AB102">
        <f ca="1" t="shared" si="273"/>
        <v>2032586.1295485</v>
      </c>
      <c r="AC102">
        <f ca="1">技能数计算!$AJ94</f>
        <v>0</v>
      </c>
      <c r="AD102" s="164">
        <f ca="1" t="shared" si="274"/>
        <v>0</v>
      </c>
      <c r="AE102" s="168"/>
      <c r="AF102" s="168">
        <f ca="1" t="shared" si="116"/>
        <v>0.9057</v>
      </c>
      <c r="AG102">
        <f ca="1">技能数计算!$AJ94</f>
        <v>0</v>
      </c>
      <c r="AH102">
        <f ca="1" t="shared" si="117"/>
        <v>96007</v>
      </c>
      <c r="AJ102">
        <f ca="1" t="shared" si="118"/>
        <v>2.3704910616</v>
      </c>
      <c r="AK102">
        <f ca="1" t="shared" si="275"/>
        <v>275724.49375</v>
      </c>
      <c r="AL102">
        <f ca="1" t="shared" si="120"/>
        <v>2309372.56378089</v>
      </c>
      <c r="AM102" s="169">
        <f ca="1" t="shared" si="121"/>
        <v>0.9272</v>
      </c>
      <c r="AN102">
        <f ca="1">技能数计算!$AJ94</f>
        <v>0</v>
      </c>
      <c r="AO102" s="170">
        <f ca="1" t="shared" si="122"/>
        <v>2339733.67335174</v>
      </c>
      <c r="AP102">
        <f ca="1" t="shared" si="123"/>
        <v>97084</v>
      </c>
      <c r="AQ102" s="170">
        <f ca="1" t="shared" si="276"/>
        <v>278800.675</v>
      </c>
      <c r="AR102">
        <f ca="1" t="shared" si="125"/>
        <v>2270681.66188955</v>
      </c>
      <c r="AS102">
        <f ca="1" t="shared" si="126"/>
        <v>0.9843</v>
      </c>
      <c r="AT102">
        <f ca="1">技能数计算!$AJ94</f>
        <v>0</v>
      </c>
      <c r="AU102">
        <f ca="1" t="shared" si="127"/>
        <v>2.3177566866</v>
      </c>
      <c r="AV102">
        <f ca="1" t="shared" si="128"/>
        <v>2.68954760480339</v>
      </c>
      <c r="AW102">
        <f ca="1" t="shared" si="155"/>
        <v>2279466.80294142</v>
      </c>
      <c r="AX102">
        <f ca="1" t="shared" si="129"/>
        <v>0.9743</v>
      </c>
      <c r="AY102">
        <f ca="1">技能数计算!$AJ94</f>
        <v>0</v>
      </c>
      <c r="AZ102" s="170">
        <f ca="1" t="shared" si="156"/>
        <v>2266390.20815377</v>
      </c>
      <c r="BA102">
        <f ca="1" t="shared" si="130"/>
        <v>0.9643</v>
      </c>
      <c r="BB102">
        <f ca="1">技能数计算!$AJ94</f>
        <v>0</v>
      </c>
      <c r="BC102" s="170">
        <f ca="1" t="shared" si="157"/>
        <v>2253313.61336612</v>
      </c>
      <c r="BE102">
        <f ca="1" t="shared" si="131"/>
        <v>91977</v>
      </c>
      <c r="BF102">
        <f ca="1" t="shared" si="277"/>
        <v>264213.80625</v>
      </c>
      <c r="BI102">
        <f ca="1" t="shared" si="133"/>
        <v>0.9543</v>
      </c>
      <c r="BJ102">
        <f ca="1">技能数计算!$AJ94</f>
        <v>0</v>
      </c>
      <c r="BK102">
        <f ca="1" t="shared" si="134"/>
        <v>2227342.34695057</v>
      </c>
      <c r="BM102">
        <f ca="1" t="shared" si="135"/>
        <v>95358</v>
      </c>
      <c r="BN102">
        <f ca="1" t="shared" si="278"/>
        <v>273870.7875</v>
      </c>
      <c r="BO102">
        <f ca="1" t="shared" si="137"/>
        <v>2275443.59761215</v>
      </c>
      <c r="BP102">
        <f ca="1" t="shared" si="138"/>
        <v>2169959.33794076</v>
      </c>
      <c r="BR102">
        <f ca="1" t="shared" si="139"/>
        <v>0.9543</v>
      </c>
      <c r="BS102">
        <f ca="1" t="shared" si="140"/>
        <v>2243550.11573273</v>
      </c>
      <c r="BT102">
        <f ca="1" t="shared" si="279"/>
        <v>0.318170800459405</v>
      </c>
      <c r="BU102">
        <f ca="1" t="shared" si="142"/>
        <v>2.3177566866</v>
      </c>
      <c r="BV102">
        <f ca="1" t="shared" si="158"/>
        <v>2266308.23913222</v>
      </c>
      <c r="BW102">
        <f ca="1" t="shared" si="143"/>
        <v>99155</v>
      </c>
      <c r="BX102">
        <f ca="1" t="shared" si="280"/>
        <v>284715.96875</v>
      </c>
      <c r="BY102">
        <f ca="1" t="shared" si="145"/>
        <v>0.9343</v>
      </c>
      <c r="BZ102">
        <f ca="1">技能数计算!$AJ94</f>
        <v>0</v>
      </c>
      <c r="CA102">
        <f ca="1" t="shared" si="146"/>
        <v>2.3216629366</v>
      </c>
      <c r="CB102">
        <f ca="1" t="shared" si="159"/>
        <v>2377193.08350882</v>
      </c>
      <c r="CC102">
        <f ca="1" t="shared" si="147"/>
        <v>100975</v>
      </c>
      <c r="CD102">
        <f ca="1" t="shared" si="281"/>
        <v>289914.34375</v>
      </c>
      <c r="CE102">
        <f ca="1" t="shared" si="149"/>
        <v>2336274.83889025</v>
      </c>
      <c r="CF102">
        <f ca="1" t="shared" si="150"/>
        <v>2.2689285616</v>
      </c>
      <c r="CG102">
        <f ca="1" t="shared" si="151"/>
        <v>0.9343</v>
      </c>
      <c r="CH102">
        <f ca="1" t="shared" si="160"/>
        <v>2168813.27240557</v>
      </c>
      <c r="CJ102">
        <f ca="1" t="shared" si="282"/>
        <v>273870.7875</v>
      </c>
      <c r="CK102">
        <f ca="1" t="shared" si="153"/>
        <v>2265135.96213035</v>
      </c>
      <c r="CL102">
        <f ca="1" t="shared" si="283"/>
        <v>2.2915848116</v>
      </c>
      <c r="CM102">
        <f ca="1">IF(G102="恒定伤害",0,(IF(D102="轻剑",$CM$8,$CM$9)+IFERROR(INDEX(技能数据库!$T$2:$W$27,MATCH(E102,技能数据库!$T$2:$T$27,0),4),0)+COUNTIF(G102,"*造化2*")*154+COUNTIF(G102,"*造化1*")*102+COUNTIF(G102,"*碧归*")*307)/1024)</f>
        <v>0.176868146929785</v>
      </c>
      <c r="CN102">
        <f ca="1" t="shared" si="162"/>
        <v>2308589.8930927</v>
      </c>
      <c r="CO102">
        <f ca="1" t="shared" si="284"/>
        <v>2.3156473116</v>
      </c>
      <c r="CP102">
        <f ca="1" t="shared" si="164"/>
        <v>2332109.23367982</v>
      </c>
      <c r="CQ102">
        <f ca="1" t="shared" si="154"/>
        <v>2.77157885480339</v>
      </c>
      <c r="CR102">
        <f ca="1">IF(G102="恒定伤害",0,(IF(D102="轻剑",$CR$8,$CR$9)+IFERROR(INDEX(技能数据库!$T$2:$W$27,MATCH(E102,技能数据库!$T$2:$T$27,0),4),0)+COUNTIF(G102,"*造化2*")*154+COUNTIF(G102,"*造化1*")*102+COUNTIF(G102,"*碧归*")*307)/1024)</f>
        <v>0.167102521929785</v>
      </c>
      <c r="CS102">
        <f ca="1" t="shared" si="285"/>
        <v>2183855.79363401</v>
      </c>
    </row>
    <row r="103" spans="4:97">
      <c r="D103" t="s">
        <v>1825</v>
      </c>
      <c r="E103" t="s">
        <v>2776</v>
      </c>
      <c r="G103" t="s">
        <v>3101</v>
      </c>
      <c r="H103">
        <f ca="1">INDEX(技能数据库!$B$2:$I$100,MATCH(阵眼收益计算!$E103,技能数据库!$B$2:$B$100,0),MATCH(H$9,技能数据库!$B$2:$I$2,0))</f>
        <v>281.5</v>
      </c>
      <c r="I103">
        <f ca="1">INDEX(技能数据库!$B$2:$I$100,MATCH(阵眼收益计算!$E103,技能数据库!$B$2:$B$100,0),MATCH(I$9,技能数据库!$B$2:$I$2,0))</f>
        <v>7.06875</v>
      </c>
      <c r="J103">
        <f ca="1">INDEX(技能数据库!$B$2:$I$100,MATCH(阵眼收益计算!$E103,技能数据库!$B$2:$B$100,0),MATCH(J$9,技能数据库!$B$2:$I$2,0))</f>
        <v>2</v>
      </c>
      <c r="K103">
        <f ca="1">INDEX(技能数据库!$B$2:$I$100,MATCH(阵眼收益计算!$E103,技能数据库!$B$2:$B$100,0),MATCH(K$9,技能数据库!$B$2:$I$2,0))</f>
        <v>0</v>
      </c>
      <c r="L103">
        <f ca="1" t="shared" si="110"/>
        <v>91975</v>
      </c>
      <c r="M103">
        <f ca="1" t="shared" si="264"/>
        <v>19530.5</v>
      </c>
      <c r="N103">
        <f ca="1" t="shared" si="265"/>
        <v>92028</v>
      </c>
      <c r="O103">
        <f ca="1" t="shared" si="266"/>
        <v>689490.78125</v>
      </c>
      <c r="P103">
        <f ca="1">IF(G103="恒定伤害",0,(IF(D103="轻剑",$AZ$2,$AZ$3)+IFERROR(INDEX(技能数据库!$T$2:$W$27,MATCH(E103,技能数据库!$T$2:$T$27,0),4),0)+COUNTIF(G103,"*造化2*")*154+COUNTIF(G103,"*造化1*")*102+COUNTIF(G103,"*碧归*")*307)/1024)</f>
        <v>0.337024396929785</v>
      </c>
      <c r="Q103">
        <f ca="1" t="shared" si="112"/>
        <v>0.448284482196154</v>
      </c>
      <c r="R103">
        <f ca="1" t="shared" si="267"/>
        <v>0.32958230397716</v>
      </c>
      <c r="S103">
        <f ca="1" t="shared" si="268"/>
        <v>895090.901234674</v>
      </c>
      <c r="T103">
        <f t="shared" si="178"/>
        <v>0.8</v>
      </c>
      <c r="U103">
        <f ca="1" t="shared" si="114"/>
        <v>2.67001635480339</v>
      </c>
      <c r="V103">
        <f ca="1" t="shared" si="269"/>
        <v>2627998.59725357</v>
      </c>
      <c r="W103">
        <f ca="1">IF(G103="恒定伤害",0,MIN(1,IF(COUNTIF(F103,"*内会*")&gt;0,内会2,IF(D103="轻剑",$Y$2,$Y$3)+COUNTIF(G103,"*莺鸣*")*0.2+COUNTIF(G103,"*叠1*")*0.1+COUNTIF(G103,"*叠2*")*0.2+COUNTIF(G103,"*叠3*")*0.3)+IFERROR(INDEX(技能数据库!$T$2:$W$27,MATCH(E103,技能数据库!$T$2:$T$27,0),2),0)+IF((IF(D103="轻剑",$AO$2,$AO$3)+INT(COUNTIF(G103,"*大莺鸣*")*IF(D103="轻剑",$AM$2,$AM$3)*听晓无双率)/无双系数)&gt;0.9,特效裤子会心/会心系数,0)))</f>
        <v>0.9043</v>
      </c>
      <c r="X103">
        <f ca="1">IF(G103="恒定伤害",0,IF(COUNTIF(F103,"*内会*")&gt;0,内会效2,IF(D103="轻剑",$AB$2,$AB$3))+IFERROR(INDEX(技能数据库!$T$2:$W$27,MATCH(E103,技能数据库!$T$2:$T$27,0),3)/1024,0))+COUNTIF(G103,"*叠1*")*0.25+COUNTIF(G103,"*叠2*")*0.5+COUNTIF(G103,"*叠3*")*0.75</f>
        <v>2.1712723116</v>
      </c>
      <c r="Y103">
        <f ca="1" t="shared" si="270"/>
        <v>2.05918155137988</v>
      </c>
      <c r="Z103">
        <f t="shared" si="271"/>
        <v>0.150390625</v>
      </c>
      <c r="AA103">
        <f ca="1" t="shared" si="272"/>
        <v>0.0205078125</v>
      </c>
      <c r="AB103">
        <f ca="1" t="shared" si="273"/>
        <v>6353037.74124756</v>
      </c>
      <c r="AC103">
        <f ca="1">技能数计算!$AJ95</f>
        <v>0</v>
      </c>
      <c r="AD103" s="164">
        <f ca="1" t="shared" si="274"/>
        <v>0</v>
      </c>
      <c r="AE103" s="168"/>
      <c r="AF103" s="168">
        <f ca="1" t="shared" si="116"/>
        <v>0.9057</v>
      </c>
      <c r="AG103">
        <f ca="1">技能数计算!$AJ95</f>
        <v>0</v>
      </c>
      <c r="AH103">
        <f ca="1" t="shared" si="117"/>
        <v>96007</v>
      </c>
      <c r="AJ103">
        <f ca="1" t="shared" si="118"/>
        <v>2.3704910616</v>
      </c>
      <c r="AK103">
        <f ca="1" t="shared" si="275"/>
        <v>718468.98125</v>
      </c>
      <c r="AL103">
        <f ca="1" t="shared" si="120"/>
        <v>7207369.84447526</v>
      </c>
      <c r="AM103" s="169">
        <f ca="1" t="shared" si="121"/>
        <v>0.9272</v>
      </c>
      <c r="AN103">
        <f ca="1">技能数计算!$AJ95</f>
        <v>0</v>
      </c>
      <c r="AO103" s="170">
        <f ca="1" t="shared" si="122"/>
        <v>7302124.47566714</v>
      </c>
      <c r="AP103">
        <f ca="1" t="shared" si="123"/>
        <v>97084</v>
      </c>
      <c r="AQ103" s="170">
        <f ca="1" t="shared" si="276"/>
        <v>725605.025</v>
      </c>
      <c r="AR103">
        <f ca="1" t="shared" si="125"/>
        <v>7078037.26609152</v>
      </c>
      <c r="AS103">
        <f ca="1" t="shared" si="126"/>
        <v>0.9843</v>
      </c>
      <c r="AT103">
        <f ca="1">技能数计算!$AJ95</f>
        <v>0</v>
      </c>
      <c r="AU103">
        <f ca="1" t="shared" si="127"/>
        <v>2.3177566866</v>
      </c>
      <c r="AV103">
        <f ca="1" t="shared" si="128"/>
        <v>2.68954760480339</v>
      </c>
      <c r="AW103">
        <f ca="1" t="shared" si="155"/>
        <v>7124686.33849458</v>
      </c>
      <c r="AX103">
        <f ca="1" t="shared" si="129"/>
        <v>0.9743</v>
      </c>
      <c r="AY103">
        <f ca="1">技能数计算!$AJ95</f>
        <v>0</v>
      </c>
      <c r="AZ103" s="170">
        <f ca="1" t="shared" si="156"/>
        <v>7083814.22045479</v>
      </c>
      <c r="BA103">
        <f ca="1" t="shared" si="130"/>
        <v>0.9643</v>
      </c>
      <c r="BB103">
        <f ca="1">技能数计算!$AJ95</f>
        <v>0</v>
      </c>
      <c r="BC103" s="170">
        <f ca="1" t="shared" si="157"/>
        <v>7042942.10241501</v>
      </c>
      <c r="BE103">
        <f ca="1" t="shared" si="131"/>
        <v>91977</v>
      </c>
      <c r="BF103">
        <f ca="1" t="shared" si="277"/>
        <v>689504.91875</v>
      </c>
      <c r="BI103">
        <f ca="1" t="shared" si="133"/>
        <v>0.9543</v>
      </c>
      <c r="BJ103">
        <f ca="1">技能数计算!$AJ95</f>
        <v>0</v>
      </c>
      <c r="BK103">
        <f ca="1" t="shared" si="134"/>
        <v>6961758.70836431</v>
      </c>
      <c r="BM103">
        <f ca="1" t="shared" si="135"/>
        <v>95358</v>
      </c>
      <c r="BN103">
        <f ca="1" t="shared" si="278"/>
        <v>713404.3625</v>
      </c>
      <c r="BO103">
        <f ca="1" t="shared" si="137"/>
        <v>7099148.43072255</v>
      </c>
      <c r="BP103">
        <f ca="1" t="shared" si="138"/>
        <v>6770048.46212832</v>
      </c>
      <c r="BR103">
        <f ca="1" t="shared" si="139"/>
        <v>0.9543</v>
      </c>
      <c r="BS103">
        <f ca="1" t="shared" si="140"/>
        <v>6999644.06943134</v>
      </c>
      <c r="BT103">
        <f ca="1" t="shared" si="279"/>
        <v>0.318170800459405</v>
      </c>
      <c r="BU103">
        <f ca="1" t="shared" si="142"/>
        <v>2.3177566866</v>
      </c>
      <c r="BV103">
        <f ca="1" t="shared" si="158"/>
        <v>7083558.01862408</v>
      </c>
      <c r="BW103">
        <f ca="1" t="shared" si="143"/>
        <v>99155</v>
      </c>
      <c r="BX103">
        <f ca="1" t="shared" si="280"/>
        <v>740244.40625</v>
      </c>
      <c r="BY103">
        <f ca="1" t="shared" si="145"/>
        <v>0.9343</v>
      </c>
      <c r="BZ103">
        <f ca="1">技能数计算!$AJ95</f>
        <v>0</v>
      </c>
      <c r="CA103">
        <f ca="1" t="shared" si="146"/>
        <v>2.3216629366</v>
      </c>
      <c r="CB103">
        <f ca="1" t="shared" si="159"/>
        <v>7402491.1673214</v>
      </c>
      <c r="CC103">
        <f ca="1" t="shared" si="147"/>
        <v>100975</v>
      </c>
      <c r="CD103">
        <f ca="1" t="shared" si="281"/>
        <v>753109.53125</v>
      </c>
      <c r="CE103">
        <f ca="1" t="shared" si="149"/>
        <v>7268796.39904038</v>
      </c>
      <c r="CF103">
        <f ca="1" t="shared" si="150"/>
        <v>2.2689285616</v>
      </c>
      <c r="CG103">
        <f ca="1" t="shared" si="151"/>
        <v>0.9343</v>
      </c>
      <c r="CH103">
        <f ca="1" t="shared" si="160"/>
        <v>6778828.39649794</v>
      </c>
      <c r="CJ103">
        <f ca="1" t="shared" si="282"/>
        <v>713404.3625</v>
      </c>
      <c r="CK103">
        <f ca="1" t="shared" si="153"/>
        <v>7066989.67524651</v>
      </c>
      <c r="CL103">
        <f ca="1" t="shared" si="283"/>
        <v>2.2915848116</v>
      </c>
      <c r="CM103">
        <f ca="1">IF(G103="恒定伤害",0,(IF(D103="轻剑",$CM$8,$CM$9)+IFERROR(INDEX(技能数据库!$T$2:$W$27,MATCH(E103,技能数据库!$T$2:$T$27,0),4),0)+COUNTIF(G103,"*造化2*")*154+COUNTIF(G103,"*造化1*")*102+COUNTIF(G103,"*碧归*")*307)/1024)</f>
        <v>0.397571271929785</v>
      </c>
      <c r="CN103">
        <f ca="1" t="shared" si="162"/>
        <v>7154434.18115255</v>
      </c>
      <c r="CO103">
        <f ca="1" t="shared" si="284"/>
        <v>2.3156473116</v>
      </c>
      <c r="CP103">
        <f ca="1" t="shared" si="164"/>
        <v>7227321.78007956</v>
      </c>
      <c r="CQ103">
        <f ca="1" t="shared" si="154"/>
        <v>2.77157885480339</v>
      </c>
      <c r="CR103">
        <f ca="1">IF(G103="恒定伤害",0,(IF(D103="轻剑",$CR$8,$CR$9)+IFERROR(INDEX(技能数据库!$T$2:$W$27,MATCH(E103,技能数据库!$T$2:$T$27,0),4),0)+COUNTIF(G103,"*造化2*")*154+COUNTIF(G103,"*造化1*")*102+COUNTIF(G103,"*碧归*")*307)/1024)</f>
        <v>0.387805646929785</v>
      </c>
      <c r="CS103">
        <f ca="1" t="shared" si="285"/>
        <v>6776819.93449057</v>
      </c>
    </row>
    <row r="104" spans="4:97">
      <c r="D104" t="s">
        <v>1825</v>
      </c>
      <c r="E104" t="s">
        <v>2780</v>
      </c>
      <c r="G104" t="s">
        <v>3101</v>
      </c>
      <c r="H104">
        <f ca="1">INDEX(技能数据库!$B$2:$I$100,MATCH(阵眼收益计算!$E104,技能数据库!$B$2:$B$100,0),MATCH(H$9,技能数据库!$B$2:$I$2,0))</f>
        <v>252.5</v>
      </c>
      <c r="I104">
        <f ca="1">INDEX(技能数据库!$B$2:$I$100,MATCH(阵眼收益计算!$E104,技能数据库!$B$2:$B$100,0),MATCH(I$9,技能数据库!$B$2:$I$2,0))</f>
        <v>2.11875</v>
      </c>
      <c r="J104">
        <f ca="1">INDEX(技能数据库!$B$2:$I$100,MATCH(阵眼收益计算!$E104,技能数据库!$B$2:$B$100,0),MATCH(J$9,技能数据库!$B$2:$I$2,0))</f>
        <v>2</v>
      </c>
      <c r="K104">
        <f ca="1">INDEX(技能数据库!$B$2:$I$100,MATCH(阵眼收益计算!$E104,技能数据库!$B$2:$B$100,0),MATCH(K$9,技能数据库!$B$2:$I$2,0))</f>
        <v>0</v>
      </c>
      <c r="L104">
        <f ca="1" t="shared" si="110"/>
        <v>91975</v>
      </c>
      <c r="M104">
        <f ca="1" t="shared" si="264"/>
        <v>19530.5</v>
      </c>
      <c r="N104">
        <f ca="1" t="shared" si="265"/>
        <v>92028</v>
      </c>
      <c r="O104">
        <f ca="1" t="shared" si="266"/>
        <v>234185.53125</v>
      </c>
      <c r="P104">
        <f ca="1">IF(G104="恒定伤害",0,(IF(D104="轻剑",$AZ$2,$AZ$3)+IFERROR(INDEX(技能数据库!$T$2:$W$27,MATCH(E104,技能数据库!$T$2:$T$27,0),4),0)+COUNTIF(G104,"*造化2*")*154+COUNTIF(G104,"*造化1*")*102+COUNTIF(G104,"*碧归*")*307)/1024)</f>
        <v>0.337024396929785</v>
      </c>
      <c r="Q104">
        <f ca="1" t="shared" si="112"/>
        <v>0.448284482196154</v>
      </c>
      <c r="R104">
        <f ca="1" t="shared" si="267"/>
        <v>0.32958230397716</v>
      </c>
      <c r="S104">
        <f ca="1" t="shared" si="268"/>
        <v>304017.608245119</v>
      </c>
      <c r="T104">
        <f t="shared" si="178"/>
        <v>0.8</v>
      </c>
      <c r="U104">
        <f ca="1" t="shared" si="114"/>
        <v>2.67001635480339</v>
      </c>
      <c r="V104">
        <f ca="1" t="shared" si="269"/>
        <v>892599.675526237</v>
      </c>
      <c r="W104">
        <f ca="1">IF(G104="恒定伤害",0,MIN(1,IF(COUNTIF(F104,"*内会*")&gt;0,内会2,IF(D104="轻剑",$Y$2,$Y$3)+COUNTIF(G104,"*莺鸣*")*0.2+COUNTIF(G104,"*叠1*")*0.1+COUNTIF(G104,"*叠2*")*0.2+COUNTIF(G104,"*叠3*")*0.3)+IFERROR(INDEX(技能数据库!$T$2:$W$27,MATCH(E104,技能数据库!$T$2:$T$27,0),2),0)+IF((IF(D104="轻剑",$AO$2,$AO$3)+INT(COUNTIF(G104,"*大莺鸣*")*IF(D104="轻剑",$AM$2,$AM$3)*听晓无双率)/无双系数)&gt;0.9,特效裤子会心/会心系数,0)))</f>
        <v>0.9043</v>
      </c>
      <c r="X104">
        <f ca="1">IF(G104="恒定伤害",0,IF(COUNTIF(F104,"*内会*")&gt;0,内会效2,IF(D104="轻剑",$AB$2,$AB$3))+IFERROR(INDEX(技能数据库!$T$2:$W$27,MATCH(E104,技能数据库!$T$2:$T$27,0),3)/1024,0))+COUNTIF(G104,"*叠1*")*0.25+COUNTIF(G104,"*叠2*")*0.5+COUNTIF(G104,"*叠3*")*0.75</f>
        <v>2.1712723116</v>
      </c>
      <c r="Y104">
        <f ca="1" t="shared" si="270"/>
        <v>2.05918155137988</v>
      </c>
      <c r="Z104">
        <f t="shared" si="271"/>
        <v>0.150390625</v>
      </c>
      <c r="AA104">
        <f ca="1" t="shared" si="272"/>
        <v>0.0205078125</v>
      </c>
      <c r="AB104">
        <f ca="1" t="shared" si="273"/>
        <v>2157809.15270266</v>
      </c>
      <c r="AC104">
        <f ca="1">技能数计算!$AJ96</f>
        <v>0</v>
      </c>
      <c r="AD104" s="164">
        <f ca="1" t="shared" si="274"/>
        <v>0</v>
      </c>
      <c r="AE104" s="168"/>
      <c r="AF104" s="168">
        <f ca="1" t="shared" si="116"/>
        <v>0.9057</v>
      </c>
      <c r="AG104">
        <f ca="1">技能数计算!$AJ96</f>
        <v>0</v>
      </c>
      <c r="AH104">
        <f ca="1" t="shared" si="117"/>
        <v>96007</v>
      </c>
      <c r="AJ104">
        <f ca="1" t="shared" si="118"/>
        <v>2.3704910616</v>
      </c>
      <c r="AK104">
        <f ca="1" t="shared" si="275"/>
        <v>243205.33125</v>
      </c>
      <c r="AL104">
        <f ca="1" t="shared" si="120"/>
        <v>2439730.61636872</v>
      </c>
      <c r="AM104" s="169">
        <f ca="1" t="shared" si="121"/>
        <v>0.9272</v>
      </c>
      <c r="AN104">
        <f ca="1">技能数计算!$AJ96</f>
        <v>0</v>
      </c>
      <c r="AO104" s="170">
        <f ca="1" t="shared" si="122"/>
        <v>2471805.53131689</v>
      </c>
      <c r="AP104">
        <f ca="1" t="shared" si="123"/>
        <v>97084</v>
      </c>
      <c r="AQ104" s="170">
        <f ca="1" t="shared" si="276"/>
        <v>245010.225</v>
      </c>
      <c r="AR104">
        <f ca="1" t="shared" si="125"/>
        <v>2389993.78914647</v>
      </c>
      <c r="AS104">
        <f ca="1" t="shared" si="126"/>
        <v>0.9843</v>
      </c>
      <c r="AT104">
        <f ca="1">技能数计算!$AJ96</f>
        <v>0</v>
      </c>
      <c r="AU104">
        <f ca="1" t="shared" si="127"/>
        <v>2.3177566866</v>
      </c>
      <c r="AV104">
        <f ca="1" t="shared" si="128"/>
        <v>2.68954760480339</v>
      </c>
      <c r="AW104">
        <f ca="1" t="shared" si="155"/>
        <v>2419899.58465448</v>
      </c>
      <c r="AX104">
        <f ca="1" t="shared" si="129"/>
        <v>0.9743</v>
      </c>
      <c r="AY104">
        <f ca="1">技能数计算!$AJ96</f>
        <v>0</v>
      </c>
      <c r="AZ104" s="170">
        <f ca="1" t="shared" si="156"/>
        <v>2406017.37050927</v>
      </c>
      <c r="BA104">
        <f ca="1" t="shared" si="130"/>
        <v>0.9643</v>
      </c>
      <c r="BB104">
        <f ca="1">技能数计算!$AJ96</f>
        <v>0</v>
      </c>
      <c r="BC104" s="170">
        <f ca="1" t="shared" si="157"/>
        <v>2392135.15636407</v>
      </c>
      <c r="BE104">
        <f ca="1" t="shared" si="131"/>
        <v>91977</v>
      </c>
      <c r="BF104">
        <f ca="1" t="shared" si="277"/>
        <v>234189.76875</v>
      </c>
      <c r="BI104">
        <f ca="1" t="shared" si="133"/>
        <v>0.9543</v>
      </c>
      <c r="BJ104">
        <f ca="1">技能数计算!$AJ96</f>
        <v>0</v>
      </c>
      <c r="BK104">
        <f ca="1" t="shared" si="134"/>
        <v>2364555.52044622</v>
      </c>
      <c r="BM104">
        <f ca="1" t="shared" si="135"/>
        <v>95358</v>
      </c>
      <c r="BN104">
        <f ca="1" t="shared" si="278"/>
        <v>241353.2625</v>
      </c>
      <c r="BO104">
        <f ca="1" t="shared" si="137"/>
        <v>2401727.16174923</v>
      </c>
      <c r="BP104">
        <f ca="1" t="shared" si="138"/>
        <v>2290388.69049217</v>
      </c>
      <c r="BR104">
        <f ca="1" t="shared" si="139"/>
        <v>0.9543</v>
      </c>
      <c r="BS104">
        <f ca="1" t="shared" si="140"/>
        <v>2368063.64146116</v>
      </c>
      <c r="BT104">
        <f ca="1" t="shared" si="279"/>
        <v>0.318170800459405</v>
      </c>
      <c r="BU104">
        <f ca="1" t="shared" si="142"/>
        <v>2.3177566866</v>
      </c>
      <c r="BV104">
        <f ca="1" t="shared" si="158"/>
        <v>2405930.35156216</v>
      </c>
      <c r="BW104">
        <f ca="1" t="shared" si="143"/>
        <v>99155</v>
      </c>
      <c r="BX104">
        <f ca="1" t="shared" si="280"/>
        <v>249398.15625</v>
      </c>
      <c r="BY104">
        <f ca="1" t="shared" si="145"/>
        <v>0.9343</v>
      </c>
      <c r="BZ104">
        <f ca="1">技能数计算!$AJ96</f>
        <v>0</v>
      </c>
      <c r="CA104">
        <f ca="1" t="shared" si="146"/>
        <v>2.3216629366</v>
      </c>
      <c r="CB104">
        <f ca="1" t="shared" si="159"/>
        <v>2493997.43273895</v>
      </c>
      <c r="CC104">
        <f ca="1" t="shared" si="147"/>
        <v>100975</v>
      </c>
      <c r="CD104">
        <f ca="1" t="shared" si="281"/>
        <v>253254.28125</v>
      </c>
      <c r="CE104">
        <f ca="1" t="shared" si="149"/>
        <v>2444337.41867021</v>
      </c>
      <c r="CF104">
        <f ca="1" t="shared" si="150"/>
        <v>2.2689285616</v>
      </c>
      <c r="CG104">
        <f ca="1" t="shared" si="151"/>
        <v>0.9343</v>
      </c>
      <c r="CH104">
        <f ca="1" t="shared" si="160"/>
        <v>2302428.94097644</v>
      </c>
      <c r="CJ104">
        <f ca="1" t="shared" si="282"/>
        <v>241353.2625</v>
      </c>
      <c r="CK104">
        <f ca="1" t="shared" si="153"/>
        <v>2390847.46860454</v>
      </c>
      <c r="CL104">
        <f ca="1" t="shared" si="283"/>
        <v>2.2915848116</v>
      </c>
      <c r="CM104">
        <f ca="1">IF(G104="恒定伤害",0,(IF(D104="轻剑",$CM$8,$CM$9)+IFERROR(INDEX(技能数据库!$T$2:$W$27,MATCH(E104,技能数据库!$T$2:$T$27,0),4),0)+COUNTIF(G104,"*造化2*")*154+COUNTIF(G104,"*造化1*")*102+COUNTIF(G104,"*碧归*")*307)/1024)</f>
        <v>0.397571271929785</v>
      </c>
      <c r="CN104">
        <f ca="1" t="shared" si="162"/>
        <v>2430003.43886957</v>
      </c>
      <c r="CO104">
        <f ca="1" t="shared" si="284"/>
        <v>2.3156473116</v>
      </c>
      <c r="CP104">
        <f ca="1" t="shared" si="164"/>
        <v>2454759.71051299</v>
      </c>
      <c r="CQ104">
        <f ca="1" t="shared" si="154"/>
        <v>2.77157885480339</v>
      </c>
      <c r="CR104">
        <f ca="1">IF(G104="恒定伤害",0,(IF(D104="轻剑",$CR$8,$CR$9)+IFERROR(INDEX(技能数据库!$T$2:$W$27,MATCH(E104,技能数据库!$T$2:$T$27,0),4),0)+COUNTIF(G104,"*造化2*")*154+COUNTIF(G104,"*造化1*")*102+COUNTIF(G104,"*碧归*")*307)/1024)</f>
        <v>0.387805646929785</v>
      </c>
      <c r="CS104">
        <f ca="1" t="shared" si="285"/>
        <v>2301746.76689235</v>
      </c>
    </row>
    <row r="105" spans="4:97">
      <c r="D105" t="s">
        <v>1825</v>
      </c>
      <c r="E105" s="161" t="s">
        <v>2783</v>
      </c>
      <c r="G105" t="s">
        <v>2948</v>
      </c>
      <c r="H105">
        <f ca="1">INDEX(技能数据库!$B$2:$I$100,MATCH(阵眼收益计算!$E105,技能数据库!$B$2:$B$100,0),MATCH(H$9,技能数据库!$B$2:$I$2,0))</f>
        <v>0</v>
      </c>
      <c r="I105">
        <f ca="1">INDEX(技能数据库!$B$2:$I$100,MATCH(阵眼收益计算!$E105,技能数据库!$B$2:$B$100,0),MATCH(I$9,技能数据库!$B$2:$I$2,0))</f>
        <v>0</v>
      </c>
      <c r="J105">
        <f ca="1">INDEX(技能数据库!$B$2:$I$100,MATCH(阵眼收益计算!$E105,技能数据库!$B$2:$B$100,0),MATCH(J$9,技能数据库!$B$2:$I$2,0))</f>
        <v>0</v>
      </c>
      <c r="K105">
        <f ca="1">INDEX(技能数据库!$B$2:$I$100,MATCH(阵眼收益计算!$E105,技能数据库!$B$2:$B$100,0),MATCH(K$9,技能数据库!$B$2:$I$2,0))</f>
        <v>1.28127956390381</v>
      </c>
      <c r="L105">
        <f ca="1" t="shared" si="110"/>
        <v>91975</v>
      </c>
      <c r="M105">
        <f ca="1" t="shared" ref="M105:M107" si="286">IF(D105="轻剑",$AU$2+$AV$2,$AU$3+$AV$3)/2</f>
        <v>19530.5</v>
      </c>
      <c r="N105">
        <f ca="1" t="shared" ref="N105:N107" si="287">IF(D105="轻剑",$AJ$2,$AJ$3)</f>
        <v>92028</v>
      </c>
      <c r="O105">
        <f ca="1" t="shared" ref="O105:O107" si="288">H105+I105*L105+J105*M105+IF(K105&gt;0,MAX(1,K105*N105*破招全局系数),0)</f>
        <v>1006274.62576302</v>
      </c>
      <c r="P105">
        <f ca="1">IF(G105="恒定伤害",0,(IF(D105="轻剑",$AZ$2,$AZ$3)+IFERROR(INDEX(技能数据库!$T$2:$W$27,MATCH(E105,技能数据库!$T$2:$T$27,0),4),0)+COUNTIF(G105,"*造化2*")*154+COUNTIF(G105,"*造化1*")*102+COUNTIF(G105,"*碧归*")*307)/1024)</f>
        <v>0.116321271929785</v>
      </c>
      <c r="Q105">
        <f ca="1" t="shared" si="112"/>
        <v>0.448284482196154</v>
      </c>
      <c r="R105">
        <f ca="1" t="shared" ref="R105:R107" si="289">IF(G105="恒定伤害",0,(($F$5-IF(D105="轻剑",$BB$2,$BB$3))*(1024-IF(D105="轻剑",$BD$2,$BD$3))/1024*(1024-IF(D105="轻剑",$BC$2,$BC$3)-COUNTIF(G105,"*雾锁*")*461*雾锁)/1024/(($F$5-IF(D105="轻剑",$BB$2,$BB$3))*(1024-IF(D105="轻剑",$BD$2,$BD$3))/1024*(1024-IF(D105="轻剑",$BC$2,$BC$3)-COUNTIF(G105,"*雾锁*")*461*雾锁)/1024+$F$7)))</f>
        <v>0.32958230397716</v>
      </c>
      <c r="S105">
        <f ca="1" t="shared" ref="S105:S107" si="290">O105*(1+P105)*(1+Q105)*(1-R105)</f>
        <v>1090699.38619199</v>
      </c>
      <c r="T105">
        <f t="shared" si="178"/>
        <v>0.8</v>
      </c>
      <c r="U105">
        <f ca="1" t="shared" si="114"/>
        <v>2.67001635480339</v>
      </c>
      <c r="V105">
        <f ca="1" t="shared" ref="V105:V107" si="291">S105*T105*(1+U105)</f>
        <v>3202307.6683989</v>
      </c>
      <c r="W105">
        <f ca="1">IF(G105="恒定伤害",0,MIN(1,IF(COUNTIF(F105,"*内会*")&gt;0,内会2,IF(D105="轻剑",$Y$2,$Y$3)+COUNTIF(G105,"*莺鸣*")*0.2+COUNTIF(G105,"*叠1*")*0.1+COUNTIF(G105,"*叠2*")*0.2+COUNTIF(G105,"*叠3*")*0.3)+IFERROR(INDEX(技能数据库!$T$2:$W$27,MATCH(E105,技能数据库!$T$2:$T$27,0),2),0)+IF((IF(D105="轻剑",$AO$2,$AO$3)+INT(COUNTIF(G105,"*大莺鸣*")*IF(D105="轻剑",$AM$2,$AM$3)*听晓无双率)/无双系数)&gt;0.9,特效裤子会心/会心系数,0)))</f>
        <v>0.9043</v>
      </c>
      <c r="X105">
        <f ca="1">IF(G105="恒定伤害",0,IF(COUNTIF(F105,"*内会*")&gt;0,内会效2,IF(D105="轻剑",$AB$2,$AB$3))+IFERROR(INDEX(技能数据库!$T$2:$W$27,MATCH(E105,技能数据库!$T$2:$T$27,0),3)/1024,0))+COUNTIF(G105,"*叠1*")*0.25+COUNTIF(G105,"*叠2*")*0.5+COUNTIF(G105,"*叠3*")*0.75</f>
        <v>2.1712723116</v>
      </c>
      <c r="Y105">
        <f ca="1" t="shared" ref="Y105:Y107" si="292">1+W105*(X105-1)</f>
        <v>2.05918155137988</v>
      </c>
      <c r="Z105">
        <f t="shared" ref="Z105:Z107" si="293">IF(G105="恒定伤害",0,非侠士伤害/1024)</f>
        <v>0.150390625</v>
      </c>
      <c r="AA105">
        <f ca="1" t="shared" ref="AA105:AA107" si="294">IF(D105="轻剑",$BA$2,$BA$3)/1024</f>
        <v>0.0205078125</v>
      </c>
      <c r="AB105">
        <f ca="1" t="shared" ref="AB105:AB107" si="295">V105*Y105*(1+Z105)*(1+AA105)</f>
        <v>7741397.38799173</v>
      </c>
      <c r="AC105">
        <f ca="1">技能数计算!$AJ97</f>
        <v>0</v>
      </c>
      <c r="AD105" s="164">
        <f ca="1" t="shared" ref="AD105:AD107" si="296">IFERROR(AB105*AC105/$AD$7,0)</f>
        <v>0</v>
      </c>
      <c r="AE105" s="168"/>
      <c r="AF105" s="168">
        <f ca="1" t="shared" si="116"/>
        <v>0.9057</v>
      </c>
      <c r="AG105">
        <f ca="1">技能数计算!$AJ97</f>
        <v>0</v>
      </c>
      <c r="AH105">
        <f ca="1" t="shared" si="117"/>
        <v>96007</v>
      </c>
      <c r="AJ105">
        <f ca="1" t="shared" si="118"/>
        <v>2.3704910616</v>
      </c>
      <c r="AK105">
        <f ca="1" t="shared" ref="AK105:AK107" si="297">H105+AH105*I105+J105*(238.5+M105)+IF(K105&gt;0,MAX(1,K105*N105*破招全局系数),0)</f>
        <v>1006274.62576302</v>
      </c>
      <c r="AL105">
        <f ca="1" t="shared" si="120"/>
        <v>8428206.65208317</v>
      </c>
      <c r="AM105" s="169">
        <f ca="1" t="shared" si="121"/>
        <v>0.9272</v>
      </c>
      <c r="AN105">
        <f ca="1">技能数计算!$AJ97</f>
        <v>0</v>
      </c>
      <c r="AO105" s="170">
        <f ca="1" t="shared" si="122"/>
        <v>8539011.51296307</v>
      </c>
      <c r="AP105">
        <f ca="1" t="shared" si="123"/>
        <v>97084</v>
      </c>
      <c r="AQ105" s="170">
        <f ca="1" t="shared" ref="AQ105:AQ107" si="298">H105+AP105*I105+J105*M105+IF(K105&gt;0,MAX(1,K105*N105*破招全局系数),0)</f>
        <v>1006274.62576302</v>
      </c>
      <c r="AR105">
        <f ca="1" t="shared" si="125"/>
        <v>8195566.02416714</v>
      </c>
      <c r="AS105">
        <f ca="1" t="shared" si="126"/>
        <v>0.9843</v>
      </c>
      <c r="AT105">
        <f ca="1">技能数计算!$AJ97</f>
        <v>0</v>
      </c>
      <c r="AU105">
        <f ca="1" t="shared" si="127"/>
        <v>2.3177566866</v>
      </c>
      <c r="AV105">
        <f ca="1" t="shared" si="128"/>
        <v>2.68954760480339</v>
      </c>
      <c r="AW105">
        <f ca="1" t="shared" si="155"/>
        <v>8681678.03458561</v>
      </c>
      <c r="AX105">
        <f ca="1" t="shared" si="129"/>
        <v>0.9743</v>
      </c>
      <c r="AY105">
        <f ca="1">技能数计算!$AJ97</f>
        <v>0</v>
      </c>
      <c r="AZ105" s="170">
        <f ca="1" t="shared" si="156"/>
        <v>8631873.93759739</v>
      </c>
      <c r="BA105">
        <f ca="1" t="shared" si="130"/>
        <v>0.9643</v>
      </c>
      <c r="BB105">
        <f ca="1">技能数计算!$AJ97</f>
        <v>0</v>
      </c>
      <c r="BC105" s="170">
        <f ca="1" t="shared" si="157"/>
        <v>8582069.84060918</v>
      </c>
      <c r="BE105">
        <f ca="1" t="shared" si="131"/>
        <v>91977</v>
      </c>
      <c r="BF105">
        <f ca="1" t="shared" ref="BF105:BF107" si="299">H105+BE105*I105+J105*M105+IF(K105&gt;0,MAX(1,K105*N105*破招全局系数),0)</f>
        <v>1006274.62576302</v>
      </c>
      <c r="BI105">
        <f ca="1" t="shared" si="133"/>
        <v>0.9543</v>
      </c>
      <c r="BJ105">
        <f ca="1">技能数计算!$AJ97</f>
        <v>0</v>
      </c>
      <c r="BK105">
        <f ca="1" t="shared" si="134"/>
        <v>8482971.11507897</v>
      </c>
      <c r="BM105">
        <f ca="1" t="shared" si="135"/>
        <v>95358</v>
      </c>
      <c r="BN105">
        <f ca="1" t="shared" ref="BN105:BN107" si="300">H105+BM105*I105+J105*M105+IF(K105&gt;0,MAX(1,K105*N105*破招全局系数),0)</f>
        <v>1006274.62576302</v>
      </c>
      <c r="BO105">
        <f ca="1" t="shared" si="137"/>
        <v>8360589.22360251</v>
      </c>
      <c r="BP105">
        <f ca="1" t="shared" si="138"/>
        <v>7973011.8010754</v>
      </c>
      <c r="BR105">
        <f ca="1" t="shared" si="139"/>
        <v>0.9543</v>
      </c>
      <c r="BS105">
        <f ca="1" t="shared" si="140"/>
        <v>8243404.0289512</v>
      </c>
      <c r="BT105">
        <f ca="1" t="shared" ref="BT105:BT107" si="301">IF(G105="恒定伤害",0,(($F$5-IF(D105="轻剑",$BB$2,$BB$3))*(1024-IF(D105="轻剑",$BD$2,$BD$3))/1024*(1024-IF(D105="轻剑",$BT$8,$BT$9)-COUNTIF(G105,"*雾锁*")*461*雾锁)/1024/(($F$5-IF(D105="轻剑",$BB$2,$BB$3))*(1024-IF(D105="轻剑",$BD$2,$BD$3))/1024*(1024-IF(D105="轻剑",$BT$8,$BT$9)-COUNTIF(G105,"*雾锁*")*461*雾锁)/1024+$F$7)))</f>
        <v>0.318170800459405</v>
      </c>
      <c r="BU105">
        <f ca="1" t="shared" si="142"/>
        <v>2.3177566866</v>
      </c>
      <c r="BV105">
        <f ca="1" t="shared" si="158"/>
        <v>8631561.74675832</v>
      </c>
      <c r="BW105">
        <f ca="1" t="shared" si="143"/>
        <v>99155</v>
      </c>
      <c r="BX105">
        <f ca="1" t="shared" ref="BX105:BX107" si="302">H105+BW105*I105+J105*M105+IF(K105&gt;0,MAX(1,K105*N105*破招全局系数),0)</f>
        <v>1006274.62576302</v>
      </c>
      <c r="BY105">
        <f ca="1" t="shared" si="145"/>
        <v>0.9343</v>
      </c>
      <c r="BZ105">
        <f ca="1">技能数计算!$AJ97</f>
        <v>0</v>
      </c>
      <c r="CA105">
        <f ca="1" t="shared" si="146"/>
        <v>2.3216629366</v>
      </c>
      <c r="CB105">
        <f ca="1" t="shared" si="159"/>
        <v>8401738.37448057</v>
      </c>
      <c r="CC105">
        <f ca="1" t="shared" si="147"/>
        <v>100975</v>
      </c>
      <c r="CD105">
        <f ca="1" t="shared" ref="CD105:CD107" si="303">H105+CC105*I105+J105*M105+IF(K105&gt;0,MAX(1,K105*N105*破招全局系数),0)</f>
        <v>1006274.62576302</v>
      </c>
      <c r="CE105">
        <f ca="1" t="shared" si="149"/>
        <v>8109064.41804454</v>
      </c>
      <c r="CF105">
        <f ca="1" t="shared" si="150"/>
        <v>2.2689285616</v>
      </c>
      <c r="CG105">
        <f ca="1" t="shared" si="151"/>
        <v>0.9343</v>
      </c>
      <c r="CH105">
        <f ca="1" t="shared" si="160"/>
        <v>8260238.10650119</v>
      </c>
      <c r="CJ105">
        <f ca="1" t="shared" ref="CJ105:CJ107" si="304">H105+BM105*I105+J105*M105+IF(K105&gt;0,MAX(1,K105*(N105+2667)*破招全局系数),0)</f>
        <v>1035436.77670524</v>
      </c>
      <c r="CK105">
        <f ca="1" t="shared" si="153"/>
        <v>8563911.10872809</v>
      </c>
      <c r="CL105">
        <f ca="1" t="shared" ref="CL105:CL107" si="305">X105+IF(D105="轻剑",$CL$8-$AB$2,$CL$9-$AB$3)</f>
        <v>2.2915848116</v>
      </c>
      <c r="CM105">
        <f ca="1">IF(G105="恒定伤害",0,(IF(D105="轻剑",$CM$8,$CM$9)+IFERROR(INDEX(技能数据库!$T$2:$W$27,MATCH(E105,技能数据库!$T$2:$T$27,0),4),0)+COUNTIF(G105,"*造化2*")*154+COUNTIF(G105,"*造化1*")*102+COUNTIF(G105,"*碧归*")*307)/1024)</f>
        <v>0.176868146929785</v>
      </c>
      <c r="CN105">
        <f ca="1" t="shared" si="162"/>
        <v>8792597.52318679</v>
      </c>
      <c r="CO105">
        <f ca="1" t="shared" ref="CO105:CO107" si="306">X105+IF(D105="轻剑",$CO$8-$AB$2,$CO$9-$AB$3)</f>
        <v>2.3156473116</v>
      </c>
      <c r="CP105">
        <f ca="1" t="shared" si="164"/>
        <v>8882174.3234717</v>
      </c>
      <c r="CQ105">
        <f ca="1" t="shared" si="154"/>
        <v>2.77157885480339</v>
      </c>
      <c r="CR105">
        <f ca="1">IF(G105="恒定伤害",0,(IF(D105="轻剑",$CR$8,$CR$9)+IFERROR(INDEX(技能数据库!$T$2:$W$27,MATCH(E105,技能数据库!$T$2:$T$27,0),4),0)+COUNTIF(G105,"*造化2*")*154+COUNTIF(G105,"*造化1*")*102+COUNTIF(G105,"*碧归*")*307)/1024)</f>
        <v>0.167102521929785</v>
      </c>
      <c r="CS105">
        <f ca="1" t="shared" ref="CS105:CS107" si="307">IF(COUNTIF(G105,"*恒定伤害*")&gt;0,AB105,((O105*(1+CR105)*(1+Q105)*(1-R105))*T105*(1+CQ105))*Y105*(1+Z105)*(1+AA105))</f>
        <v>8317529.71783996</v>
      </c>
    </row>
    <row r="106" spans="4:97">
      <c r="D106" t="s">
        <v>1825</v>
      </c>
      <c r="E106" t="s">
        <v>2786</v>
      </c>
      <c r="G106" t="s">
        <v>2948</v>
      </c>
      <c r="H106">
        <f ca="1">INDEX(技能数据库!$B$2:$I$100,MATCH(阵眼收益计算!$E106,技能数据库!$B$2:$B$100,0),MATCH(H$9,技能数据库!$B$2:$I$2,0))</f>
        <v>0</v>
      </c>
      <c r="I106">
        <f ca="1">INDEX(技能数据库!$B$2:$I$100,MATCH(阵眼收益计算!$E106,技能数据库!$B$2:$B$100,0),MATCH(I$9,技能数据库!$B$2:$I$2,0))</f>
        <v>0</v>
      </c>
      <c r="J106">
        <f ca="1">INDEX(技能数据库!$B$2:$I$100,MATCH(阵眼收益计算!$E106,技能数据库!$B$2:$B$100,0),MATCH(J$9,技能数据库!$B$2:$I$2,0))</f>
        <v>0</v>
      </c>
      <c r="K106">
        <f ca="1">INDEX(技能数据库!$B$2:$I$100,MATCH(阵眼收益计算!$E106,技能数据库!$B$2:$B$100,0),MATCH(K$9,技能数据库!$B$2:$I$2,0))</f>
        <v>0</v>
      </c>
      <c r="L106">
        <f ca="1" t="shared" si="110"/>
        <v>91975</v>
      </c>
      <c r="M106">
        <f ca="1" t="shared" si="286"/>
        <v>19530.5</v>
      </c>
      <c r="N106">
        <f ca="1" t="shared" si="287"/>
        <v>92028</v>
      </c>
      <c r="O106">
        <f ca="1" t="shared" si="288"/>
        <v>0</v>
      </c>
      <c r="P106">
        <f ca="1">IF(G106="恒定伤害",0,(IF(D106="轻剑",$AZ$2,$AZ$3)+IFERROR(INDEX(技能数据库!$T$2:$W$27,MATCH(E106,技能数据库!$T$2:$T$27,0),4),0)+COUNTIF(G106,"*造化2*")*154+COUNTIF(G106,"*造化1*")*102+COUNTIF(G106,"*碧归*")*307)/1024)</f>
        <v>0.116321271929785</v>
      </c>
      <c r="Q106">
        <f ca="1" t="shared" ref="Q106:Q142" si="308">IF(G106="恒定伤害",0,(IF(COUNTIF(F106,"*内破*")&gt;0,内破,IF(D106="轻剑",$AF$2,$AF$3)/破防系数))+IF((IF(D106="轻剑",$AO$2,$AO$3)+INT(COUNTIF(G106,"*大莺鸣*")*IF(D106="轻剑",$AM$2,$AM$3)*听晓无双率)/无双系数)&gt;0.9,(特效裤子破防+特效裤子破防*IF(D106="轻剑",$AD$2,$AD$3)/1024)/破防系数,0))</f>
        <v>0.448284482196154</v>
      </c>
      <c r="R106">
        <f ca="1" t="shared" si="289"/>
        <v>0.32958230397716</v>
      </c>
      <c r="S106">
        <f ca="1" t="shared" si="290"/>
        <v>0</v>
      </c>
      <c r="T106">
        <f t="shared" si="178"/>
        <v>0.8</v>
      </c>
      <c r="U106">
        <f ca="1" t="shared" ref="U106:U142" si="309">IF(G106="恒定伤害",0,(IF(D106="轻剑",$AO$2,$AO$3)+INT(COUNTIF(G106,"*大莺鸣*")*IF(D106="轻剑",$AM$2,$AM$3)*听晓无双率)/无双系数)+IF((IF(D106="轻剑",$AO$2,$AO$3)+INT(COUNTIF(G106,"*大莺鸣*")*IF(D106="轻剑",$AM$2,$AM$3)*听晓无双率)/无双系数)&lt;=0.9,特效裤子无双,0))</f>
        <v>2.67001635480339</v>
      </c>
      <c r="V106">
        <f ca="1" t="shared" si="291"/>
        <v>0</v>
      </c>
      <c r="W106">
        <f ca="1">IF(G106="恒定伤害",0,MIN(1,IF(COUNTIF(F106,"*内会*")&gt;0,内会2,IF(D106="轻剑",$Y$2,$Y$3)+COUNTIF(G106,"*莺鸣*")*0.2+COUNTIF(G106,"*叠1*")*0.1+COUNTIF(G106,"*叠2*")*0.2+COUNTIF(G106,"*叠3*")*0.3)+IFERROR(INDEX(技能数据库!$T$2:$W$27,MATCH(E106,技能数据库!$T$2:$T$27,0),2),0)+IF((IF(D106="轻剑",$AO$2,$AO$3)+INT(COUNTIF(G106,"*大莺鸣*")*IF(D106="轻剑",$AM$2,$AM$3)*听晓无双率)/无双系数)&gt;0.9,特效裤子会心/会心系数,0)))</f>
        <v>0.9043</v>
      </c>
      <c r="X106">
        <f ca="1">IF(G106="恒定伤害",0,IF(COUNTIF(F106,"*内会*")&gt;0,内会效2,IF(D106="轻剑",$AB$2,$AB$3))+IFERROR(INDEX(技能数据库!$T$2:$W$27,MATCH(E106,技能数据库!$T$2:$T$27,0),3)/1024,0))+COUNTIF(G106,"*叠1*")*0.25+COUNTIF(G106,"*叠2*")*0.5+COUNTIF(G106,"*叠3*")*0.75</f>
        <v>2.1712723116</v>
      </c>
      <c r="Y106">
        <f ca="1" t="shared" si="292"/>
        <v>2.05918155137988</v>
      </c>
      <c r="Z106">
        <f t="shared" si="293"/>
        <v>0.150390625</v>
      </c>
      <c r="AA106">
        <f ca="1" t="shared" si="294"/>
        <v>0.0205078125</v>
      </c>
      <c r="AB106">
        <f ca="1" t="shared" si="295"/>
        <v>0</v>
      </c>
      <c r="AC106">
        <f ca="1">技能数计算!$AJ98</f>
        <v>0</v>
      </c>
      <c r="AD106" s="164">
        <f ca="1" t="shared" si="296"/>
        <v>0</v>
      </c>
      <c r="AE106" s="168"/>
      <c r="AF106" s="168">
        <f ca="1" t="shared" si="116"/>
        <v>0.9057</v>
      </c>
      <c r="AG106">
        <f ca="1">技能数计算!$AJ98</f>
        <v>0</v>
      </c>
      <c r="AH106">
        <f ca="1" t="shared" si="117"/>
        <v>96007</v>
      </c>
      <c r="AJ106">
        <f ca="1" t="shared" si="118"/>
        <v>2.3704910616</v>
      </c>
      <c r="AK106">
        <f ca="1" t="shared" si="297"/>
        <v>0</v>
      </c>
      <c r="AL106">
        <f ca="1" t="shared" ref="AL106:AL137" si="310">IF(COUNTIF(G106,"*恒定伤害*")&gt;0,AB106,((AK106*(1+P106)*(1+IF(COUNTIF(F106,"*内破*")&gt;0,内破,IF(D106="轻剑",$AI$8,$AI$9)/破防系数)+IF((IF(D106="轻剑",$AO$2,$AO$3)+INT(COUNTIF(G106,"*大莺鸣*")*IF(D106="轻剑",$AM$2,$AM$3)*听晓无双率)/无双系数)&gt;0.9,(特效裤子破防+特效裤子破防*IF(D106="轻剑",$AD$2,$AD$3)/1024)/破防系数,0))*(1-R106))*T106*(1+U106))*(1+Z106)*(1+AA106)*(1+MIN(1,AF106)*(MIN(3+COUNTIF(G106,"*叠*")*0.75,AJ106)-1)))</f>
        <v>0</v>
      </c>
      <c r="AM106" s="169">
        <f ca="1" t="shared" si="121"/>
        <v>0.9272</v>
      </c>
      <c r="AN106">
        <f ca="1">技能数计算!$AJ98</f>
        <v>0</v>
      </c>
      <c r="AO106" s="170">
        <f ca="1" t="shared" ref="AO106:AO137" si="311">IF(COUNTIF(G106,"*恒定伤害*")&gt;0,AB106,((AK106*(1+P106)*(1+IF(COUNTIF(F106,"*内破*")&gt;0,内破,IF(D106="轻剑",$AI$8,$AI$9)/破防系数)+IF((IF(D106="轻剑",$AO$2,$AO$3)+INT(COUNTIF(G106,"*大莺鸣*")*IF(D106="轻剑",$AM$2,$AM$3)*听晓无双率)/无双系数)&gt;0.9,(特效裤子破防+特效裤子破防*IF(D106="轻剑",$AD$2,$AD$3)/1024)/破防系数,0))*(1-R106))*T106*(1+U106))*(1+Z106)*(1+AA106)*(1+MIN(1,AM106)*(MIN(3+COUNTIF(G106,"*叠*")*0.75,AJ106)-1)))</f>
        <v>0</v>
      </c>
      <c r="AP106">
        <f ca="1" t="shared" si="123"/>
        <v>97084</v>
      </c>
      <c r="AQ106" s="170">
        <f ca="1" t="shared" si="298"/>
        <v>0</v>
      </c>
      <c r="AR106">
        <f ca="1" t="shared" ref="AR106:AR137" si="312">IF(COUNTIF(G106,"*恒定伤害*")&gt;0,AB106,((AQ106*(1+P106)*(1+IF(COUNTIF(F106,"*内破*")&gt;0,内破,IF(D106="轻剑",$AQ$8,$AQ$9)/破防系数)+IF((IF(D106="轻剑",$AO$2,$AO$3)+INT(COUNTIF(G106,"*大莺鸣*")*IF(D106="轻剑",$AM$2,$AM$3)*听晓无双率)/无双系数)&gt;0.9,(特效裤子破防+特效裤子破防*IF(D106="轻剑",$AD$2+200,$AD$3+200)/1024)/破防系数,0))*(1-R106))*T106*(1+U106))*Y106*(1+Z106)*(1+AA106))</f>
        <v>0</v>
      </c>
      <c r="AS106">
        <f ca="1" t="shared" si="126"/>
        <v>0.9843</v>
      </c>
      <c r="AT106">
        <f ca="1">技能数计算!$AJ98</f>
        <v>0</v>
      </c>
      <c r="AU106">
        <f ca="1" t="shared" si="127"/>
        <v>2.3177566866</v>
      </c>
      <c r="AV106">
        <f ca="1" t="shared" ref="AV106:AV142" si="313">IF(G106="恒定伤害",0,(IF(D106="轻剑",$AV$8,$AV$9)+INT(COUNTIF(G106,"*大莺鸣*")*IF(D106="轻剑",$AM$2,$AM$3)*听晓无双率)/无双系数))+IF((IF(G106="恒定伤害",0,(IF(D106="轻剑",$AV$8,$AV$9)+INT(COUNTIF(G106,"*大莺鸣*")*IF(D106="轻剑",$AM$2,$AM$3)*听晓无双率)/无双系数)))&lt;=0.9,特效裤子无双,0)</f>
        <v>2.68954760480339</v>
      </c>
      <c r="AW106">
        <f ca="1" t="shared" si="155"/>
        <v>0</v>
      </c>
      <c r="AX106">
        <f ca="1" t="shared" si="129"/>
        <v>0.9743</v>
      </c>
      <c r="AY106">
        <f ca="1">技能数计算!$AJ98</f>
        <v>0</v>
      </c>
      <c r="AZ106" s="170">
        <f ca="1" t="shared" si="156"/>
        <v>0</v>
      </c>
      <c r="BA106">
        <f ca="1" t="shared" si="130"/>
        <v>0.9643</v>
      </c>
      <c r="BB106">
        <f ca="1">技能数计算!$AJ98</f>
        <v>0</v>
      </c>
      <c r="BC106" s="170">
        <f ca="1" t="shared" si="157"/>
        <v>0</v>
      </c>
      <c r="BE106">
        <f ca="1" t="shared" si="131"/>
        <v>91977</v>
      </c>
      <c r="BF106">
        <f ca="1" t="shared" si="299"/>
        <v>0</v>
      </c>
      <c r="BI106">
        <f ca="1" t="shared" si="133"/>
        <v>0.9543</v>
      </c>
      <c r="BJ106">
        <f ca="1">技能数计算!$AJ98</f>
        <v>0</v>
      </c>
      <c r="BK106">
        <f ca="1" t="shared" ref="BK106:BK137" si="314">IF(COUNTIF(G106,"*恒定伤害*")&gt;0,AB106,((BF106*(1+P106)*(1+IF(COUNTIF(F106,"*内破*")&gt;0,内破,IF(D106="轻剑",$BH$8,$BH$9)/破防系数)+IF((IF(D106="轻剑",$AO$2,$AO$3)+INT(COUNTIF(G106,"*大莺鸣*")*IF(D106="轻剑",$AM$2,$AM$3)*听晓无双率)/无双系数)&gt;0.9,(特效裤子破防+特效裤子破防*IF(D106="轻剑",$AD$2+204,$AD$3+204)/1024)/破防系数,0))*(1-R106))*T106*(1+AV106))*(1+MIN(1,BI106)*(MIN(3+COUNTIF(G106,"*叠*")*0.75,X106)-1))*(1+Z106)*(1+AA106))</f>
        <v>0</v>
      </c>
      <c r="BM106">
        <f ca="1" t="shared" si="135"/>
        <v>95358</v>
      </c>
      <c r="BN106">
        <f ca="1" t="shared" si="300"/>
        <v>0</v>
      </c>
      <c r="BO106">
        <f ca="1" t="shared" ref="BO106:BO137" si="315">IF(COUNTIF(G106,"*恒定伤害*")&gt;0,AB106,((BN106*(1+P106)*(1+IF(COUNTIF(F106,"*内破*")&gt;0,内破,IF(D106="轻剑",$BM$8,$BM$9)/破防系数)+IF((IF(D106="轻剑",$AO$2,$AO$3)+INT(COUNTIF(G106,"*大莺鸣*")*IF(D106="轻剑",$AM$2,$AM$3)*听晓无双率)/无双系数)&gt;0.9,(特效裤子破防+特效裤子破防*IF(D106="轻剑",$AD$2+102,$AD$3+102)/1024)/破防系数,0))*(1-R106))*T106*(1+U106))*Y106*(1+Z106)*(1+AA106))</f>
        <v>0</v>
      </c>
      <c r="BP106">
        <f ca="1" t="shared" ref="BP106:BP142" si="316">IF(COUNTIF(G106,"*恒定伤害*")&gt;0,AB106,((BN106*(1+P106)*(1+IF(COUNTIF(F106,"*内破*")&gt;0,内破,IF(D106="轻剑",$BQ$8,$BQ$9)/破防系数)+IF((IF(D106="轻剑",$AO$2,$AO$3)+INT(COUNTIF(G106,"*大莺鸣*")*IF(D106="轻剑",$AM$2,$AM$3)*听晓无双率)/无双系数)&gt;0.9,(特效裤子破防+特效裤子破防*IF(D106="轻剑",$AD$2+102,$AD$3+102)/1024)/破防系数,0))*(1-R106))*T106*(1+U106))*Y106*(1+Z106)*(1+AA106))</f>
        <v>0</v>
      </c>
      <c r="BR106">
        <f ca="1" t="shared" si="139"/>
        <v>0.9543</v>
      </c>
      <c r="BS106">
        <f ca="1" t="shared" ref="BS106:BS137" si="317">IF(COUNTIF(G106,"*恒定伤害*")&gt;0,AB106,((BN106*(1+P106)*(1+IF(COUNTIF(F106,"*内破*")&gt;0,内破,IF(D106="轻剑",$BQ$8,$BQ$9)/破防系数)+IF((IF(D106="轻剑",$AO$2,$AO$3)+INT(COUNTIF(G106,"*大莺鸣*")*IF(D106="轻剑",$AM$2,$AM$3)*听晓无双率)/无双系数)&gt;0.9,(特效裤子破防+特效裤子破防*IF(D106="轻剑",$AD$2+102,$AD$3+102)/1024)/破防系数,0))*(1-R106))*T106*(1+AV106))*(1+MIN(1,BR106)*(MIN(3+COUNTIF(G106,"*叠*")*0.75,X106)-1))*(1+Z106)*(1+AA106))</f>
        <v>0</v>
      </c>
      <c r="BT106">
        <f ca="1" t="shared" si="301"/>
        <v>0.318170800459405</v>
      </c>
      <c r="BU106">
        <f ca="1" t="shared" si="142"/>
        <v>2.3177566866</v>
      </c>
      <c r="BV106">
        <f ca="1" t="shared" si="158"/>
        <v>0</v>
      </c>
      <c r="BW106">
        <f ca="1" t="shared" si="143"/>
        <v>99155</v>
      </c>
      <c r="BX106">
        <f ca="1" t="shared" si="302"/>
        <v>0</v>
      </c>
      <c r="BY106">
        <f ca="1" t="shared" si="145"/>
        <v>0.9343</v>
      </c>
      <c r="BZ106">
        <f ca="1">技能数计算!$AJ98</f>
        <v>0</v>
      </c>
      <c r="CA106">
        <f ca="1" t="shared" si="146"/>
        <v>2.3216629366</v>
      </c>
      <c r="CB106">
        <f ca="1" t="shared" si="159"/>
        <v>0</v>
      </c>
      <c r="CC106">
        <f ca="1" t="shared" si="147"/>
        <v>100975</v>
      </c>
      <c r="CD106">
        <f ca="1" t="shared" si="303"/>
        <v>0</v>
      </c>
      <c r="CE106">
        <f ca="1" t="shared" ref="CE106:CE137" si="318">IF(COUNTIF(G106,"*恒定伤害*")&gt;0,AB106,((CD106*(1+P106)*(1+IF(COUNTIF(F106,"*内破*")&gt;0,内破,IF(D106="轻剑",$BQ$8,$BQ$9)/破防系数)+IF((IF(D106="轻剑",$AO$2,$AO$3)+INT(COUNTIF(G106,"*大莺鸣*")*IF(D106="轻剑",$AM$2,$AM$3)*听晓无双率)/无双系数)&gt;0.9,(特效裤子破防+特效裤子破防*IF(D106="轻剑",$AD$2+102,$AD$3+102)/1024)/破防系数,0))*(1-R106))*T106*(1+U106))*(1+MIN(1,BY106)*(MIN(3+COUNTIF(G106,"*叠*")*0.75,X106)-1))*(1+Z106)*(1+AA106))</f>
        <v>0</v>
      </c>
      <c r="CF106">
        <f ca="1" t="shared" si="150"/>
        <v>2.2689285616</v>
      </c>
      <c r="CG106">
        <f ca="1" t="shared" si="151"/>
        <v>0.9343</v>
      </c>
      <c r="CH106">
        <f ca="1" t="shared" si="160"/>
        <v>0</v>
      </c>
      <c r="CJ106">
        <f ca="1" t="shared" si="304"/>
        <v>0</v>
      </c>
      <c r="CK106">
        <f ca="1" t="shared" ref="CK106:CK137" si="319">IF(COUNTIF(G106,"*恒定伤害*")&gt;0,AB106,((CJ106*(1+P106)*(1+IF(COUNTIF(F106,"*内破*")&gt;0,内破,IF(D106="轻剑",$CI$8,$CI$9)/破防系数)+IF((IF(D106="轻剑",$AO$2,$AO$3)+INT(COUNTIF(G106,"*大莺鸣*")*IF(D106="轻剑",$AM$2,$AM$3)*听晓无双率)/无双系数)&gt;0.9,(特效裤子破防+特效裤子破防*IF(D106="轻剑",$AD$2+256,$AD$3+256)/1024)/破防系数,0))*(1-R106))*T106*(1+U106))*Y106*(1+Z106)*(1+AA106))</f>
        <v>0</v>
      </c>
      <c r="CL106">
        <f ca="1" t="shared" si="305"/>
        <v>2.2915848116</v>
      </c>
      <c r="CM106">
        <f ca="1">IF(G106="恒定伤害",0,(IF(D106="轻剑",$CM$8,$CM$9)+IFERROR(INDEX(技能数据库!$T$2:$W$27,MATCH(E106,技能数据库!$T$2:$T$27,0),4),0)+COUNTIF(G106,"*造化2*")*154+COUNTIF(G106,"*造化1*")*102+COUNTIF(G106,"*碧归*")*307)/1024)</f>
        <v>0.176868146929785</v>
      </c>
      <c r="CN106">
        <f ca="1" t="shared" si="162"/>
        <v>0</v>
      </c>
      <c r="CO106">
        <f ca="1" t="shared" si="306"/>
        <v>2.3156473116</v>
      </c>
      <c r="CP106">
        <f ca="1" t="shared" si="164"/>
        <v>0</v>
      </c>
      <c r="CQ106">
        <f ca="1" t="shared" ref="CQ106:CQ142" si="320">IF(G106="恒定伤害",0,(IF(D106="轻剑",$CQ$8,$CQ$9)+INT(COUNTIF(G106,"*大莺鸣*")*IF(D106="轻剑",$AM$2,$AM$3)*听晓无双率)/无双系数))+IF((IF(G106="恒定伤害",0,(IF(D106="轻剑",$CQ$8,$CQ$9)+INT(COUNTIF(G106,"*大莺鸣*")*IF(D106="轻剑",$AM$2,$AM$3)*听晓无双率)/无双系数)))&lt;=0.9,特效裤子无双,0)</f>
        <v>2.77157885480339</v>
      </c>
      <c r="CR106">
        <f ca="1">IF(G106="恒定伤害",0,(IF(D106="轻剑",$CR$8,$CR$9)+IFERROR(INDEX(技能数据库!$T$2:$W$27,MATCH(E106,技能数据库!$T$2:$T$27,0),4),0)+COUNTIF(G106,"*造化2*")*154+COUNTIF(G106,"*造化1*")*102+COUNTIF(G106,"*碧归*")*307)/1024)</f>
        <v>0.167102521929785</v>
      </c>
      <c r="CS106">
        <f ca="1" t="shared" si="307"/>
        <v>0</v>
      </c>
    </row>
    <row r="107" spans="4:97">
      <c r="D107" t="s">
        <v>1825</v>
      </c>
      <c r="E107" t="s">
        <v>2718</v>
      </c>
      <c r="G107" t="s">
        <v>2750</v>
      </c>
      <c r="H107">
        <f ca="1">INDEX(技能数据库!$B$2:$I$100,MATCH(阵眼收益计算!$E107,技能数据库!$B$2:$B$100,0),MATCH(H$9,技能数据库!$B$2:$I$2,0))</f>
        <v>145.5</v>
      </c>
      <c r="I107">
        <f ca="1">INDEX(技能数据库!$B$2:$I$100,MATCH(阵眼收益计算!$E107,技能数据库!$B$2:$B$100,0),MATCH(I$9,技能数据库!$B$2:$I$2,0))</f>
        <v>5.1625</v>
      </c>
      <c r="J107">
        <f ca="1">INDEX(技能数据库!$B$2:$I$100,MATCH(阵眼收益计算!$E107,技能数据库!$B$2:$B$100,0),MATCH(J$9,技能数据库!$B$2:$I$2,0))</f>
        <v>1</v>
      </c>
      <c r="K107">
        <f ca="1">INDEX(技能数据库!$B$2:$I$100,MATCH(阵眼收益计算!$E107,技能数据库!$B$2:$B$100,0),MATCH(K$9,技能数据库!$B$2:$I$2,0))</f>
        <v>0</v>
      </c>
      <c r="L107">
        <f ca="1" t="shared" si="110"/>
        <v>105847</v>
      </c>
      <c r="M107">
        <f ca="1" t="shared" si="286"/>
        <v>19530.5</v>
      </c>
      <c r="N107">
        <f ca="1" t="shared" si="287"/>
        <v>92028</v>
      </c>
      <c r="O107">
        <f ca="1" t="shared" si="288"/>
        <v>566111.1375</v>
      </c>
      <c r="P107">
        <f ca="1">IF(G107="恒定伤害",0,(IF(D107="轻剑",$AZ$2,$AZ$3)+IFERROR(INDEX(技能数据库!$T$2:$W$27,MATCH(E107,技能数据库!$T$2:$T$27,0),4),0)+COUNTIF(G107,"*造化2*")*154+COUNTIF(G107,"*造化1*")*102+COUNTIF(G107,"*碧归*")*307)/1024)</f>
        <v>0.116321271929785</v>
      </c>
      <c r="Q107">
        <f ca="1" t="shared" si="308"/>
        <v>0.448284482196154</v>
      </c>
      <c r="R107">
        <f ca="1" t="shared" si="289"/>
        <v>0.21277697966198</v>
      </c>
      <c r="S107">
        <f ca="1" t="shared" si="290"/>
        <v>720514.230025957</v>
      </c>
      <c r="T107">
        <f t="shared" si="178"/>
        <v>0.8</v>
      </c>
      <c r="U107">
        <f ca="1" t="shared" si="309"/>
        <v>1.7800129648</v>
      </c>
      <c r="V107">
        <f ca="1" t="shared" si="291"/>
        <v>1602431.12063604</v>
      </c>
      <c r="W107">
        <f ca="1">IF(G107="恒定伤害",0,MIN(1,IF(COUNTIF(F107,"*内会*")&gt;0,内会2,IF(D107="轻剑",$Y$2,$Y$3)+COUNTIF(G107,"*莺鸣*")*0.2+COUNTIF(G107,"*叠1*")*0.1+COUNTIF(G107,"*叠2*")*0.2+COUNTIF(G107,"*叠3*")*0.3)+IFERROR(INDEX(技能数据库!$T$2:$W$27,MATCH(E107,技能数据库!$T$2:$T$27,0),2),0)+IF((IF(D107="轻剑",$AO$2,$AO$3)+INT(COUNTIF(G107,"*大莺鸣*")*IF(D107="轻剑",$AM$2,$AM$3)*听晓无双率)/无双系数)&gt;0.9,特效裤子会心/会心系数,0)))</f>
        <v>0.7043</v>
      </c>
      <c r="X107">
        <f ca="1">IF(G107="恒定伤害",0,IF(COUNTIF(F107,"*内会*")&gt;0,内会效2,IF(D107="轻剑",$AB$2,$AB$3))+IFERROR(INDEX(技能数据库!$T$2:$W$27,MATCH(E107,技能数据库!$T$2:$T$27,0),3)/1024,0))+COUNTIF(G107,"*叠1*")*0.25+COUNTIF(G107,"*叠2*")*0.5+COUNTIF(G107,"*叠3*")*0.75</f>
        <v>2.1712723116</v>
      </c>
      <c r="Y107">
        <f ca="1" t="shared" si="292"/>
        <v>1.82492708905988</v>
      </c>
      <c r="Z107">
        <f t="shared" si="293"/>
        <v>0.150390625</v>
      </c>
      <c r="AA107">
        <f ca="1" t="shared" si="294"/>
        <v>0.0205078125</v>
      </c>
      <c r="AB107">
        <f ca="1" t="shared" si="295"/>
        <v>3433100.80952987</v>
      </c>
      <c r="AC107">
        <f ca="1">技能数计算!$AJ99</f>
        <v>0</v>
      </c>
      <c r="AD107" s="164">
        <f ca="1" t="shared" si="296"/>
        <v>0</v>
      </c>
      <c r="AE107" s="168"/>
      <c r="AF107" s="168">
        <f ca="1" t="shared" si="116"/>
        <v>0.7057</v>
      </c>
      <c r="AG107">
        <f ca="1">技能数计算!$AJ99</f>
        <v>0</v>
      </c>
      <c r="AH107">
        <f ca="1" t="shared" si="117"/>
        <v>109879</v>
      </c>
      <c r="AJ107">
        <f ca="1" t="shared" si="118"/>
        <v>2.3704910616</v>
      </c>
      <c r="AK107">
        <f ca="1" t="shared" si="297"/>
        <v>587164.8375</v>
      </c>
      <c r="AL107">
        <f ca="1" t="shared" si="310"/>
        <v>3839348.21090716</v>
      </c>
      <c r="AM107" s="169">
        <f ca="1" t="shared" si="121"/>
        <v>0.7272</v>
      </c>
      <c r="AN107">
        <f ca="1">技能数计算!$AJ99</f>
        <v>0</v>
      </c>
      <c r="AO107" s="170">
        <f ca="1" t="shared" si="311"/>
        <v>3896856.9001243</v>
      </c>
      <c r="AP107">
        <f ca="1" t="shared" si="123"/>
        <v>110956</v>
      </c>
      <c r="AQ107" s="170">
        <f ca="1" t="shared" si="298"/>
        <v>592486.35</v>
      </c>
      <c r="AR107">
        <f ca="1" t="shared" si="312"/>
        <v>3803844.87953812</v>
      </c>
      <c r="AS107">
        <f ca="1" t="shared" si="126"/>
        <v>0.7843</v>
      </c>
      <c r="AT107">
        <f ca="1">技能数计算!$AJ99</f>
        <v>0</v>
      </c>
      <c r="AU107">
        <f ca="1" t="shared" si="127"/>
        <v>2.3177566866</v>
      </c>
      <c r="AV107">
        <f ca="1" t="shared" si="313"/>
        <v>1.7995442148</v>
      </c>
      <c r="AW107">
        <f ca="1" t="shared" si="155"/>
        <v>3852381.27687071</v>
      </c>
      <c r="AX107">
        <f ca="1" t="shared" si="129"/>
        <v>0.7743</v>
      </c>
      <c r="AY107">
        <f ca="1">技能数计算!$AJ99</f>
        <v>0</v>
      </c>
      <c r="AZ107" s="170">
        <f ca="1" t="shared" si="156"/>
        <v>3827417.12726127</v>
      </c>
      <c r="BA107">
        <f ca="1" t="shared" si="130"/>
        <v>0.7643</v>
      </c>
      <c r="BB107">
        <f ca="1">技能数计算!$AJ99</f>
        <v>0</v>
      </c>
      <c r="BC107" s="170">
        <f ca="1" t="shared" si="157"/>
        <v>3802452.97765183</v>
      </c>
      <c r="BE107">
        <f ca="1" t="shared" si="131"/>
        <v>105849</v>
      </c>
      <c r="BF107">
        <f ca="1" t="shared" si="299"/>
        <v>566121.4625</v>
      </c>
      <c r="BI107">
        <f ca="1" t="shared" si="133"/>
        <v>0.7543</v>
      </c>
      <c r="BJ107">
        <f ca="1">技能数计算!$AJ99</f>
        <v>0</v>
      </c>
      <c r="BK107">
        <f ca="1" t="shared" si="314"/>
        <v>3781789.89773596</v>
      </c>
      <c r="BM107">
        <f ca="1" t="shared" si="135"/>
        <v>109230</v>
      </c>
      <c r="BN107">
        <f ca="1" t="shared" si="300"/>
        <v>583575.875</v>
      </c>
      <c r="BO107">
        <f ca="1" t="shared" si="315"/>
        <v>3822079.45716738</v>
      </c>
      <c r="BP107">
        <f ca="1" t="shared" si="316"/>
        <v>3644896.76524409</v>
      </c>
      <c r="BR107">
        <f ca="1" t="shared" si="139"/>
        <v>0.7543</v>
      </c>
      <c r="BS107">
        <f ca="1" t="shared" si="317"/>
        <v>3788294.25419855</v>
      </c>
      <c r="BT107">
        <f ca="1" t="shared" si="301"/>
        <v>0.196995876306796</v>
      </c>
      <c r="BU107">
        <f ca="1" t="shared" si="142"/>
        <v>2.3177566866</v>
      </c>
      <c r="BV107">
        <f ca="1" t="shared" si="158"/>
        <v>3826332.16897108</v>
      </c>
      <c r="BW107">
        <f ca="1" t="shared" si="143"/>
        <v>113027</v>
      </c>
      <c r="BX107">
        <f ca="1" t="shared" si="302"/>
        <v>603177.8875</v>
      </c>
      <c r="BY107">
        <f ca="1" t="shared" si="145"/>
        <v>0.7343</v>
      </c>
      <c r="BZ107">
        <f ca="1">技能数计算!$AJ99</f>
        <v>0</v>
      </c>
      <c r="CA107">
        <f ca="1" t="shared" si="146"/>
        <v>2.3216629366</v>
      </c>
      <c r="CB107">
        <f ca="1" t="shared" si="159"/>
        <v>3949667.62327243</v>
      </c>
      <c r="CC107">
        <f ca="1" t="shared" si="147"/>
        <v>114847</v>
      </c>
      <c r="CD107">
        <f ca="1" t="shared" si="303"/>
        <v>612573.6375</v>
      </c>
      <c r="CE107">
        <f ca="1" t="shared" si="318"/>
        <v>3899679.07831964</v>
      </c>
      <c r="CF107">
        <f ca="1" t="shared" si="150"/>
        <v>2.2689285616</v>
      </c>
      <c r="CG107">
        <f ca="1" t="shared" si="151"/>
        <v>0.7343</v>
      </c>
      <c r="CH107">
        <f ca="1" t="shared" si="160"/>
        <v>3659636.23625561</v>
      </c>
      <c r="CJ107">
        <f ca="1" t="shared" si="304"/>
        <v>583575.875</v>
      </c>
      <c r="CK107">
        <f ca="1" t="shared" si="319"/>
        <v>3804765.64553596</v>
      </c>
      <c r="CL107">
        <f ca="1" t="shared" si="305"/>
        <v>2.2915848116</v>
      </c>
      <c r="CM107">
        <f ca="1">IF(G107="恒定伤害",0,(IF(D107="轻剑",$CM$8,$CM$9)+IFERROR(INDEX(技能数据库!$T$2:$W$27,MATCH(E107,技能数据库!$T$2:$T$27,0),4),0)+COUNTIF(G107,"*造化2*")*154+COUNTIF(G107,"*造化1*")*102+COUNTIF(G107,"*碧归*")*307)/1024)</f>
        <v>0.176868146929785</v>
      </c>
      <c r="CN107">
        <f ca="1" t="shared" si="162"/>
        <v>3891353.34736117</v>
      </c>
      <c r="CO107">
        <f ca="1" t="shared" si="306"/>
        <v>2.3156473116</v>
      </c>
      <c r="CP107">
        <f ca="1" t="shared" si="164"/>
        <v>3926641.9475267</v>
      </c>
      <c r="CQ107">
        <f ca="1" t="shared" si="320"/>
        <v>1.8815754648</v>
      </c>
      <c r="CR107">
        <f ca="1">IF(G107="恒定伤害",0,(IF(D107="轻剑",$CR$8,$CR$9)+IFERROR(INDEX(技能数据库!$T$2:$W$27,MATCH(E107,技能数据库!$T$2:$T$27,0),4),0)+COUNTIF(G107,"*造化2*")*154+COUNTIF(G107,"*造化1*")*102+COUNTIF(G107,"*碧归*")*307)/1024)</f>
        <v>0.167102521929785</v>
      </c>
      <c r="CS107">
        <f ca="1" t="shared" si="307"/>
        <v>3720399.17730116</v>
      </c>
    </row>
    <row r="108" spans="4:97">
      <c r="D108" t="s">
        <v>1825</v>
      </c>
      <c r="E108" t="s">
        <v>2776</v>
      </c>
      <c r="G108" t="s">
        <v>3102</v>
      </c>
      <c r="H108">
        <f ca="1">INDEX(技能数据库!$B$2:$I$100,MATCH(阵眼收益计算!$E108,技能数据库!$B$2:$B$100,0),MATCH(H$9,技能数据库!$B$2:$I$2,0))</f>
        <v>281.5</v>
      </c>
      <c r="I108">
        <f ca="1">INDEX(技能数据库!$B$2:$I$100,MATCH(阵眼收益计算!$E108,技能数据库!$B$2:$B$100,0),MATCH(I$9,技能数据库!$B$2:$I$2,0))</f>
        <v>7.06875</v>
      </c>
      <c r="J108">
        <f ca="1">INDEX(技能数据库!$B$2:$I$100,MATCH(阵眼收益计算!$E108,技能数据库!$B$2:$B$100,0),MATCH(J$9,技能数据库!$B$2:$I$2,0))</f>
        <v>2</v>
      </c>
      <c r="K108">
        <f ca="1">INDEX(技能数据库!$B$2:$I$100,MATCH(阵眼收益计算!$E108,技能数据库!$B$2:$B$100,0),MATCH(K$9,技能数据库!$B$2:$I$2,0))</f>
        <v>0</v>
      </c>
      <c r="L108">
        <f ca="1" t="shared" si="110"/>
        <v>91975</v>
      </c>
      <c r="M108">
        <f ca="1" t="shared" ref="M108:M110" si="321">IF(D108="轻剑",$AU$2+$AV$2,$AU$3+$AV$3)/2</f>
        <v>19530.5</v>
      </c>
      <c r="N108">
        <f ca="1" t="shared" ref="N108:N110" si="322">IF(D108="轻剑",$AJ$2,$AJ$3)</f>
        <v>92028</v>
      </c>
      <c r="O108">
        <f ca="1" t="shared" ref="O108:O110" si="323">H108+I108*L108+J108*M108+IF(K108&gt;0,MAX(1,K108*N108*破招全局系数),0)</f>
        <v>689490.78125</v>
      </c>
      <c r="P108">
        <f ca="1">IF(G108="恒定伤害",0,(IF(D108="轻剑",$AZ$2,$AZ$3)+IFERROR(INDEX(技能数据库!$T$2:$W$27,MATCH(E108,技能数据库!$T$2:$T$27,0),4),0)+COUNTIF(G108,"*造化2*")*154+COUNTIF(G108,"*造化1*")*102+COUNTIF(G108,"*碧归*")*307)/1024)</f>
        <v>0.636829084429785</v>
      </c>
      <c r="Q108">
        <f ca="1" t="shared" si="308"/>
        <v>0.448284482196154</v>
      </c>
      <c r="R108">
        <f ca="1" t="shared" ref="R108:R110" si="324">IF(G108="恒定伤害",0,(($F$5-IF(D108="轻剑",$BB$2,$BB$3))*(1024-IF(D108="轻剑",$BD$2,$BD$3))/1024*(1024-IF(D108="轻剑",$BC$2,$BC$3)-COUNTIF(G108,"*雾锁*")*461*雾锁)/1024/(($F$5-IF(D108="轻剑",$BB$2,$BB$3))*(1024-IF(D108="轻剑",$BD$2,$BD$3))/1024*(1024-IF(D108="轻剑",$BC$2,$BC$3)-COUNTIF(G108,"*雾锁*")*461*雾锁)/1024+$F$7)))</f>
        <v>0.32958230397716</v>
      </c>
      <c r="S108">
        <f ca="1" t="shared" ref="S108:S110" si="325">O108*(1+P108)*(1+Q108)*(1-R108)</f>
        <v>1095799.61570912</v>
      </c>
      <c r="T108">
        <f t="shared" si="178"/>
        <v>0.8</v>
      </c>
      <c r="U108">
        <f ca="1" t="shared" si="309"/>
        <v>2.67001635480339</v>
      </c>
      <c r="V108">
        <f ca="1" t="shared" ref="V108:V110" si="326">S108*T108*(1+U108)</f>
        <v>3217282.00899181</v>
      </c>
      <c r="W108">
        <f ca="1">IF(G108="恒定伤害",0,MIN(1,IF(COUNTIF(F108,"*内会*")&gt;0,内会2,IF(D108="轻剑",$Y$2,$Y$3)+COUNTIF(G108,"*莺鸣*")*0.2+COUNTIF(G108,"*叠1*")*0.1+COUNTIF(G108,"*叠2*")*0.2+COUNTIF(G108,"*叠3*")*0.3)+IFERROR(INDEX(技能数据库!$T$2:$W$27,MATCH(E108,技能数据库!$T$2:$T$27,0),2),0)+IF((IF(D108="轻剑",$AO$2,$AO$3)+INT(COUNTIF(G108,"*大莺鸣*")*IF(D108="轻剑",$AM$2,$AM$3)*听晓无双率)/无双系数)&gt;0.9,特效裤子会心/会心系数,0)))</f>
        <v>0.9043</v>
      </c>
      <c r="X108">
        <f ca="1">IF(G108="恒定伤害",0,IF(COUNTIF(F108,"*内会*")&gt;0,内会效2,IF(D108="轻剑",$AB$2,$AB$3))+IFERROR(INDEX(技能数据库!$T$2:$W$27,MATCH(E108,技能数据库!$T$2:$T$27,0),3)/1024,0))+COUNTIF(G108,"*叠1*")*0.25+COUNTIF(G108,"*叠2*")*0.5+COUNTIF(G108,"*叠3*")*0.75</f>
        <v>2.1712723116</v>
      </c>
      <c r="Y108">
        <f ca="1" t="shared" ref="Y108:Y110" si="327">1+W108*(X108-1)</f>
        <v>2.05918155137988</v>
      </c>
      <c r="Z108">
        <f t="shared" ref="Z108:Z110" si="328">IF(G108="恒定伤害",0,非侠士伤害/1024)</f>
        <v>0.150390625</v>
      </c>
      <c r="AA108">
        <f ca="1" t="shared" ref="AA108:AA110" si="329">IF(D108="轻剑",$BA$2,$BA$3)/1024</f>
        <v>0.0205078125</v>
      </c>
      <c r="AB108">
        <f ca="1" t="shared" ref="AB108:AB110" si="330">V108*Y108*(1+Z108)*(1+AA108)</f>
        <v>7777597.00812716</v>
      </c>
      <c r="AC108">
        <f ca="1">技能数计算!$AJ100</f>
        <v>0</v>
      </c>
      <c r="AD108" s="164">
        <f ca="1" t="shared" ref="AD108:AD110" si="331">IFERROR(AB108*AC108/$AD$7,0)</f>
        <v>0</v>
      </c>
      <c r="AE108" s="168"/>
      <c r="AF108" s="168">
        <f ca="1" t="shared" si="116"/>
        <v>0.9057</v>
      </c>
      <c r="AG108">
        <f ca="1">技能数计算!$AJ100</f>
        <v>0</v>
      </c>
      <c r="AH108">
        <f ca="1" t="shared" si="117"/>
        <v>96007</v>
      </c>
      <c r="AJ108">
        <f ca="1" t="shared" si="118"/>
        <v>2.3704910616</v>
      </c>
      <c r="AK108">
        <f ca="1" t="shared" ref="AK108:AK110" si="332">H108+AH108*I108+J108*(238.5+M108)+IF(K108&gt;0,MAX(1,K108*N108*破招全局系数),0)</f>
        <v>718468.98125</v>
      </c>
      <c r="AL108">
        <f ca="1" t="shared" si="310"/>
        <v>8823498.36754612</v>
      </c>
      <c r="AM108" s="169">
        <f ca="1" t="shared" si="121"/>
        <v>0.9272</v>
      </c>
      <c r="AN108">
        <f ca="1">技能数计算!$AJ100</f>
        <v>0</v>
      </c>
      <c r="AO108" s="170">
        <f ca="1" t="shared" si="311"/>
        <v>8939500.09240277</v>
      </c>
      <c r="AP108">
        <f ca="1" t="shared" si="123"/>
        <v>97084</v>
      </c>
      <c r="AQ108" s="170">
        <f ca="1" t="shared" ref="AQ108:AQ110" si="333">H108+AP108*I108+J108*M108+IF(K108&gt;0,MAX(1,K108*N108*破招全局系数),0)</f>
        <v>725605.025</v>
      </c>
      <c r="AR108">
        <f ca="1" t="shared" si="312"/>
        <v>8665165.18652943</v>
      </c>
      <c r="AS108">
        <f ca="1" t="shared" si="126"/>
        <v>0.9843</v>
      </c>
      <c r="AT108">
        <f ca="1">技能数计算!$AJ100</f>
        <v>0</v>
      </c>
      <c r="AU108">
        <f ca="1" t="shared" si="127"/>
        <v>2.3177566866</v>
      </c>
      <c r="AV108">
        <f ca="1" t="shared" si="313"/>
        <v>2.68954760480339</v>
      </c>
      <c r="AW108">
        <f ca="1" t="shared" si="155"/>
        <v>8722274.50977465</v>
      </c>
      <c r="AX108">
        <f ca="1" t="shared" si="129"/>
        <v>0.9743</v>
      </c>
      <c r="AY108">
        <f ca="1">技能数计算!$AJ100</f>
        <v>0</v>
      </c>
      <c r="AZ108" s="170">
        <f ca="1" t="shared" si="156"/>
        <v>8672237.52338652</v>
      </c>
      <c r="BA108">
        <f ca="1" t="shared" si="130"/>
        <v>0.9643</v>
      </c>
      <c r="BB108">
        <f ca="1">技能数计算!$AJ100</f>
        <v>0</v>
      </c>
      <c r="BC108" s="170">
        <f ca="1" t="shared" si="157"/>
        <v>8622200.5369984</v>
      </c>
      <c r="BE108">
        <f ca="1" t="shared" si="131"/>
        <v>91977</v>
      </c>
      <c r="BF108">
        <f ca="1" t="shared" ref="BF108:BF110" si="334">H108+BE108*I108+J108*M108+IF(K108&gt;0,MAX(1,K108*N108*破招全局系数),0)</f>
        <v>689504.91875</v>
      </c>
      <c r="BI108">
        <f ca="1" t="shared" si="133"/>
        <v>0.9543</v>
      </c>
      <c r="BJ108">
        <f ca="1">技能数计算!$AJ100</f>
        <v>0</v>
      </c>
      <c r="BK108">
        <f ca="1" t="shared" si="314"/>
        <v>8522813.16541411</v>
      </c>
      <c r="BM108">
        <f ca="1" t="shared" si="135"/>
        <v>95358</v>
      </c>
      <c r="BN108">
        <f ca="1" t="shared" ref="BN108:BN110" si="335">H108+BM108*I108+J108*M108+IF(K108&gt;0,MAX(1,K108*N108*破招全局系数),0)</f>
        <v>713404.3625</v>
      </c>
      <c r="BO108">
        <f ca="1" t="shared" si="315"/>
        <v>8691010.16613758</v>
      </c>
      <c r="BP108">
        <f ca="1" t="shared" si="316"/>
        <v>8288115.19913703</v>
      </c>
      <c r="BR108">
        <f ca="1" t="shared" si="139"/>
        <v>0.9543</v>
      </c>
      <c r="BS108">
        <f ca="1" t="shared" si="317"/>
        <v>8569193.66603252</v>
      </c>
      <c r="BT108">
        <f ca="1" t="shared" ref="BT108:BT110" si="336">IF(G108="恒定伤害",0,(($F$5-IF(D108="轻剑",$BB$2,$BB$3))*(1024-IF(D108="轻剑",$BD$2,$BD$3))/1024*(1024-IF(D108="轻剑",$BT$8,$BT$9)-COUNTIF(G108,"*雾锁*")*461*雾锁)/1024/(($F$5-IF(D108="轻剑",$BB$2,$BB$3))*(1024-IF(D108="轻剑",$BD$2,$BD$3))/1024*(1024-IF(D108="轻剑",$BT$8,$BT$9)-COUNTIF(G108,"*雾锁*")*461*雾锁)/1024+$F$7)))</f>
        <v>0.318170800459405</v>
      </c>
      <c r="BU108">
        <f ca="1" t="shared" si="142"/>
        <v>2.3177566866</v>
      </c>
      <c r="BV108">
        <f ca="1" t="shared" si="158"/>
        <v>8671923.87270897</v>
      </c>
      <c r="BW108">
        <f ca="1" t="shared" si="143"/>
        <v>99155</v>
      </c>
      <c r="BX108">
        <f ca="1" t="shared" ref="BX108:BX110" si="337">H108+BW108*I108+J108*M108+IF(K108&gt;0,MAX(1,K108*N108*破招全局系数),0)</f>
        <v>740244.40625</v>
      </c>
      <c r="BY108">
        <f ca="1" t="shared" si="145"/>
        <v>0.9343</v>
      </c>
      <c r="BZ108">
        <f ca="1">技能数计算!$AJ100</f>
        <v>0</v>
      </c>
      <c r="CA108">
        <f ca="1" t="shared" si="146"/>
        <v>2.3216629366</v>
      </c>
      <c r="CB108">
        <f ca="1" t="shared" si="159"/>
        <v>9062372.28559904</v>
      </c>
      <c r="CC108">
        <f ca="1" t="shared" si="147"/>
        <v>100975</v>
      </c>
      <c r="CD108">
        <f ca="1" t="shared" ref="CD108:CD110" si="338">H108+CC108*I108+J108*M108+IF(K108&gt;0,MAX(1,K108*N108*破招全局系数),0)</f>
        <v>753109.53125</v>
      </c>
      <c r="CE108">
        <f ca="1" t="shared" si="318"/>
        <v>8898698.76875</v>
      </c>
      <c r="CF108">
        <f ca="1" t="shared" si="150"/>
        <v>2.2689285616</v>
      </c>
      <c r="CG108">
        <f ca="1" t="shared" si="151"/>
        <v>0.9343</v>
      </c>
      <c r="CH108">
        <f ca="1" t="shared" si="160"/>
        <v>8298863.88253322</v>
      </c>
      <c r="CJ108">
        <f ca="1" t="shared" ref="CJ108:CJ110" si="339">H108+BM108*I108+J108*M108+IF(K108&gt;0,MAX(1,K108*(N108+2667)*破招全局系数),0)</f>
        <v>713404.3625</v>
      </c>
      <c r="CK108">
        <f ca="1" t="shared" si="319"/>
        <v>8651640.36375917</v>
      </c>
      <c r="CL108">
        <f ca="1" t="shared" ref="CL108:CL110" si="340">X108+IF(D108="轻剑",$CL$8-$AB$2,$CL$9-$AB$3)</f>
        <v>2.2915848116</v>
      </c>
      <c r="CM108">
        <f ca="1">IF(G108="恒定伤害",0,(IF(D108="轻剑",$CM$8,$CM$9)+IFERROR(INDEX(技能数据库!$T$2:$W$27,MATCH(E108,技能数据库!$T$2:$T$27,0),4),0)+COUNTIF(G108,"*造化2*")*154+COUNTIF(G108,"*造化1*")*102+COUNTIF(G108,"*碧归*")*307)/1024)</f>
        <v>0.697375959429785</v>
      </c>
      <c r="CN108">
        <f ca="1" t="shared" si="162"/>
        <v>8689191.61857326</v>
      </c>
      <c r="CO108">
        <f ca="1" t="shared" ref="CO108:CO110" si="341">X108+IF(D108="轻剑",$CO$8-$AB$2,$CO$9-$AB$3)</f>
        <v>2.3156473116</v>
      </c>
      <c r="CP108">
        <f ca="1" t="shared" si="164"/>
        <v>8777714.94517859</v>
      </c>
      <c r="CQ108">
        <f ca="1" t="shared" si="320"/>
        <v>2.77157885480339</v>
      </c>
      <c r="CR108">
        <f ca="1">IF(G108="恒定伤害",0,(IF(D108="轻剑",$CR$8,$CR$9)+IFERROR(INDEX(技能数据库!$T$2:$W$27,MATCH(E108,技能数据库!$T$2:$T$27,0),4),0)+COUNTIF(G108,"*造化2*")*154+COUNTIF(G108,"*造化1*")*102+COUNTIF(G108,"*碧归*")*307)/1024)</f>
        <v>0.687610334429785</v>
      </c>
      <c r="CS108">
        <f ca="1" t="shared" ref="CS108:CS110" si="342">IF(COUNTIF(G108,"*恒定伤害*")&gt;0,AB108,((O108*(1+CR108)*(1+Q108)*(1-R108))*T108*(1+CQ108))*Y108*(1+Z108)*(1+AA108))</f>
        <v>8240801.8596243</v>
      </c>
    </row>
    <row r="109" spans="4:97">
      <c r="D109" t="s">
        <v>1825</v>
      </c>
      <c r="E109" t="s">
        <v>2780</v>
      </c>
      <c r="G109" t="s">
        <v>3102</v>
      </c>
      <c r="H109">
        <f ca="1">INDEX(技能数据库!$B$2:$I$100,MATCH(阵眼收益计算!$E109,技能数据库!$B$2:$B$100,0),MATCH(H$9,技能数据库!$B$2:$I$2,0))</f>
        <v>252.5</v>
      </c>
      <c r="I109">
        <f ca="1">INDEX(技能数据库!$B$2:$I$100,MATCH(阵眼收益计算!$E109,技能数据库!$B$2:$B$100,0),MATCH(I$9,技能数据库!$B$2:$I$2,0))</f>
        <v>2.11875</v>
      </c>
      <c r="J109">
        <f ca="1">INDEX(技能数据库!$B$2:$I$100,MATCH(阵眼收益计算!$E109,技能数据库!$B$2:$B$100,0),MATCH(J$9,技能数据库!$B$2:$I$2,0))</f>
        <v>2</v>
      </c>
      <c r="K109">
        <f ca="1">INDEX(技能数据库!$B$2:$I$100,MATCH(阵眼收益计算!$E109,技能数据库!$B$2:$B$100,0),MATCH(K$9,技能数据库!$B$2:$I$2,0))</f>
        <v>0</v>
      </c>
      <c r="L109">
        <f ca="1" t="shared" si="110"/>
        <v>91975</v>
      </c>
      <c r="M109">
        <f ca="1" t="shared" si="321"/>
        <v>19530.5</v>
      </c>
      <c r="N109">
        <f ca="1" t="shared" si="322"/>
        <v>92028</v>
      </c>
      <c r="O109">
        <f ca="1" t="shared" si="323"/>
        <v>234185.53125</v>
      </c>
      <c r="P109">
        <f ca="1">IF(G109="恒定伤害",0,(IF(D109="轻剑",$AZ$2,$AZ$3)+IFERROR(INDEX(技能数据库!$T$2:$W$27,MATCH(E109,技能数据库!$T$2:$T$27,0),4),0)+COUNTIF(G109,"*造化2*")*154+COUNTIF(G109,"*造化1*")*102+COUNTIF(G109,"*碧归*")*307)/1024)</f>
        <v>0.636829084429785</v>
      </c>
      <c r="Q109">
        <f ca="1" t="shared" si="308"/>
        <v>0.448284482196154</v>
      </c>
      <c r="R109">
        <f ca="1" t="shared" si="324"/>
        <v>0.32958230397716</v>
      </c>
      <c r="S109">
        <f ca="1" t="shared" si="325"/>
        <v>372188.319448089</v>
      </c>
      <c r="T109">
        <f t="shared" si="178"/>
        <v>0.8</v>
      </c>
      <c r="U109">
        <f ca="1" t="shared" si="309"/>
        <v>2.67001635480339</v>
      </c>
      <c r="V109">
        <f ca="1" t="shared" si="326"/>
        <v>1092749.77555302</v>
      </c>
      <c r="W109">
        <f ca="1">IF(G109="恒定伤害",0,MIN(1,IF(COUNTIF(F109,"*内会*")&gt;0,内会2,IF(D109="轻剑",$Y$2,$Y$3)+COUNTIF(G109,"*莺鸣*")*0.2+COUNTIF(G109,"*叠1*")*0.1+COUNTIF(G109,"*叠2*")*0.2+COUNTIF(G109,"*叠3*")*0.3)+IFERROR(INDEX(技能数据库!$T$2:$W$27,MATCH(E109,技能数据库!$T$2:$T$27,0),2),0)+IF((IF(D109="轻剑",$AO$2,$AO$3)+INT(COUNTIF(G109,"*大莺鸣*")*IF(D109="轻剑",$AM$2,$AM$3)*听晓无双率)/无双系数)&gt;0.9,特效裤子会心/会心系数,0)))</f>
        <v>0.9043</v>
      </c>
      <c r="X109">
        <f ca="1">IF(G109="恒定伤害",0,IF(COUNTIF(F109,"*内会*")&gt;0,内会效2,IF(D109="轻剑",$AB$2,$AB$3))+IFERROR(INDEX(技能数据库!$T$2:$W$27,MATCH(E109,技能数据库!$T$2:$T$27,0),3)/1024,0))+COUNTIF(G109,"*叠1*")*0.25+COUNTIF(G109,"*叠2*")*0.5+COUNTIF(G109,"*叠3*")*0.75</f>
        <v>2.1712723116</v>
      </c>
      <c r="Y109">
        <f ca="1" t="shared" si="327"/>
        <v>2.05918155137988</v>
      </c>
      <c r="Z109">
        <f t="shared" si="328"/>
        <v>0.150390625</v>
      </c>
      <c r="AA109">
        <f ca="1" t="shared" si="329"/>
        <v>0.0205078125</v>
      </c>
      <c r="AB109">
        <f ca="1" t="shared" si="330"/>
        <v>2641660.68166219</v>
      </c>
      <c r="AC109">
        <f ca="1">技能数计算!$AJ101</f>
        <v>0</v>
      </c>
      <c r="AD109" s="164">
        <f ca="1" t="shared" si="331"/>
        <v>0</v>
      </c>
      <c r="AE109" s="168"/>
      <c r="AF109" s="168">
        <f ca="1" t="shared" si="116"/>
        <v>0.9057</v>
      </c>
      <c r="AG109">
        <f ca="1">技能数计算!$AJ101</f>
        <v>0</v>
      </c>
      <c r="AH109">
        <f ca="1" t="shared" si="117"/>
        <v>96007</v>
      </c>
      <c r="AJ109">
        <f ca="1" t="shared" si="118"/>
        <v>2.3704910616</v>
      </c>
      <c r="AK109">
        <f ca="1" t="shared" si="332"/>
        <v>243205.33125</v>
      </c>
      <c r="AL109">
        <f ca="1" t="shared" si="310"/>
        <v>2986798.17676943</v>
      </c>
      <c r="AM109" s="169">
        <f ca="1" t="shared" si="121"/>
        <v>0.9272</v>
      </c>
      <c r="AN109">
        <f ca="1">技能数计算!$AJ101</f>
        <v>0</v>
      </c>
      <c r="AO109" s="170">
        <f ca="1" t="shared" si="311"/>
        <v>3026065.33882596</v>
      </c>
      <c r="AP109">
        <f ca="1" t="shared" si="123"/>
        <v>97084</v>
      </c>
      <c r="AQ109" s="170">
        <f ca="1" t="shared" si="333"/>
        <v>245010.225</v>
      </c>
      <c r="AR109">
        <f ca="1" t="shared" si="312"/>
        <v>2925908.72288094</v>
      </c>
      <c r="AS109">
        <f ca="1" t="shared" si="126"/>
        <v>0.9843</v>
      </c>
      <c r="AT109">
        <f ca="1">技能数计算!$AJ101</f>
        <v>0</v>
      </c>
      <c r="AU109">
        <f ca="1" t="shared" si="127"/>
        <v>2.3177566866</v>
      </c>
      <c r="AV109">
        <f ca="1" t="shared" si="313"/>
        <v>2.68954760480339</v>
      </c>
      <c r="AW109">
        <f ca="1" t="shared" si="155"/>
        <v>2962520.37783124</v>
      </c>
      <c r="AX109">
        <f ca="1" t="shared" si="129"/>
        <v>0.9743</v>
      </c>
      <c r="AY109">
        <f ca="1">技能数计算!$AJ101</f>
        <v>0</v>
      </c>
      <c r="AZ109" s="170">
        <f ca="1" t="shared" si="156"/>
        <v>2945525.31631902</v>
      </c>
      <c r="BA109">
        <f ca="1" t="shared" si="130"/>
        <v>0.9643</v>
      </c>
      <c r="BB109">
        <f ca="1">技能数计算!$AJ101</f>
        <v>0</v>
      </c>
      <c r="BC109" s="170">
        <f ca="1" t="shared" si="157"/>
        <v>2928530.2548068</v>
      </c>
      <c r="BE109">
        <f ca="1" t="shared" si="131"/>
        <v>91977</v>
      </c>
      <c r="BF109">
        <f ca="1" t="shared" si="334"/>
        <v>234189.76875</v>
      </c>
      <c r="BI109">
        <f ca="1" t="shared" si="133"/>
        <v>0.9543</v>
      </c>
      <c r="BJ109">
        <f ca="1">技能数计算!$AJ101</f>
        <v>0</v>
      </c>
      <c r="BK109">
        <f ca="1" t="shared" si="314"/>
        <v>2894766.36066099</v>
      </c>
      <c r="BM109">
        <f ca="1" t="shared" si="135"/>
        <v>95358</v>
      </c>
      <c r="BN109">
        <f ca="1" t="shared" si="335"/>
        <v>241353.2625</v>
      </c>
      <c r="BO109">
        <f ca="1" t="shared" si="315"/>
        <v>2940273.10215386</v>
      </c>
      <c r="BP109">
        <f ca="1" t="shared" si="316"/>
        <v>2803968.89679457</v>
      </c>
      <c r="BR109">
        <f ca="1" t="shared" si="139"/>
        <v>0.9543</v>
      </c>
      <c r="BS109">
        <f ca="1" t="shared" si="317"/>
        <v>2899061.11737757</v>
      </c>
      <c r="BT109">
        <f ca="1" t="shared" si="336"/>
        <v>0.318170800459405</v>
      </c>
      <c r="BU109">
        <f ca="1" t="shared" si="142"/>
        <v>2.3177566866</v>
      </c>
      <c r="BV109">
        <f ca="1" t="shared" si="158"/>
        <v>2945418.78487213</v>
      </c>
      <c r="BW109">
        <f ca="1" t="shared" si="143"/>
        <v>99155</v>
      </c>
      <c r="BX109">
        <f ca="1" t="shared" si="337"/>
        <v>249398.15625</v>
      </c>
      <c r="BY109">
        <f ca="1" t="shared" si="145"/>
        <v>0.9343</v>
      </c>
      <c r="BZ109">
        <f ca="1">技能数计算!$AJ101</f>
        <v>0</v>
      </c>
      <c r="CA109">
        <f ca="1" t="shared" si="146"/>
        <v>2.3216629366</v>
      </c>
      <c r="CB109">
        <f ca="1" t="shared" si="159"/>
        <v>3053233.3918322</v>
      </c>
      <c r="CC109">
        <f ca="1" t="shared" si="147"/>
        <v>100975</v>
      </c>
      <c r="CD109">
        <f ca="1" t="shared" si="338"/>
        <v>253254.28125</v>
      </c>
      <c r="CE109">
        <f ca="1" t="shared" si="318"/>
        <v>2992437.97512361</v>
      </c>
      <c r="CF109">
        <f ca="1" t="shared" si="150"/>
        <v>2.2689285616</v>
      </c>
      <c r="CG109">
        <f ca="1" t="shared" si="151"/>
        <v>0.9343</v>
      </c>
      <c r="CH109">
        <f ca="1" t="shared" si="160"/>
        <v>2818708.96602721</v>
      </c>
      <c r="CJ109">
        <f ca="1" t="shared" si="339"/>
        <v>241353.2625</v>
      </c>
      <c r="CK109">
        <f ca="1" t="shared" si="319"/>
        <v>2926953.82525077</v>
      </c>
      <c r="CL109">
        <f ca="1" t="shared" si="340"/>
        <v>2.2915848116</v>
      </c>
      <c r="CM109">
        <f ca="1">IF(G109="恒定伤害",0,(IF(D109="轻剑",$CM$8,$CM$9)+IFERROR(INDEX(技能数据库!$T$2:$W$27,MATCH(E109,技能数据库!$T$2:$T$27,0),4),0)+COUNTIF(G109,"*造化2*")*154+COUNTIF(G109,"*造化1*")*102+COUNTIF(G109,"*碧归*")*307)/1024)</f>
        <v>0.697375959429785</v>
      </c>
      <c r="CN109">
        <f ca="1" t="shared" si="162"/>
        <v>2951283.77443934</v>
      </c>
      <c r="CO109">
        <f ca="1" t="shared" si="341"/>
        <v>2.3156473116</v>
      </c>
      <c r="CP109">
        <f ca="1" t="shared" si="164"/>
        <v>2981350.72070293</v>
      </c>
      <c r="CQ109">
        <f ca="1" t="shared" si="320"/>
        <v>2.77157885480339</v>
      </c>
      <c r="CR109">
        <f ca="1">IF(G109="恒定伤害",0,(IF(D109="轻剑",$CR$8,$CR$9)+IFERROR(INDEX(技能数据库!$T$2:$W$27,MATCH(E109,技能数据库!$T$2:$T$27,0),4),0)+COUNTIF(G109,"*造化2*")*154+COUNTIF(G109,"*造化1*")*102+COUNTIF(G109,"*碧归*")*307)/1024)</f>
        <v>0.687610334429785</v>
      </c>
      <c r="CS109">
        <f ca="1" t="shared" si="342"/>
        <v>2798988.20100737</v>
      </c>
    </row>
    <row r="110" spans="4:97">
      <c r="D110" t="s">
        <v>1825</v>
      </c>
      <c r="E110" t="s">
        <v>2794</v>
      </c>
      <c r="G110" t="s">
        <v>3103</v>
      </c>
      <c r="H110">
        <f ca="1">INDEX(技能数据库!$B$2:$I$100,MATCH(阵眼收益计算!$E110,技能数据库!$B$2:$B$100,0),MATCH(H$9,技能数据库!$B$2:$I$2,0))</f>
        <v>231.5</v>
      </c>
      <c r="I110">
        <f ca="1">INDEX(技能数据库!$B$2:$I$100,MATCH(阵眼收益计算!$E110,技能数据库!$B$2:$B$100,0),MATCH(I$9,技能数据库!$B$2:$I$2,0))</f>
        <v>2.71875</v>
      </c>
      <c r="J110">
        <f ca="1">INDEX(技能数据库!$B$2:$I$100,MATCH(阵眼收益计算!$E110,技能数据库!$B$2:$B$100,0),MATCH(J$9,技能数据库!$B$2:$I$2,0))</f>
        <v>2</v>
      </c>
      <c r="K110">
        <f ca="1">INDEX(技能数据库!$B$2:$I$100,MATCH(阵眼收益计算!$E110,技能数据库!$B$2:$B$100,0),MATCH(K$9,技能数据库!$B$2:$I$2,0))</f>
        <v>0</v>
      </c>
      <c r="L110">
        <f ca="1" t="shared" si="110"/>
        <v>91975</v>
      </c>
      <c r="M110">
        <f ca="1" t="shared" si="321"/>
        <v>19530.5</v>
      </c>
      <c r="N110">
        <f ca="1" t="shared" si="322"/>
        <v>92028</v>
      </c>
      <c r="O110">
        <f ca="1" t="shared" si="323"/>
        <v>289349.53125</v>
      </c>
      <c r="P110">
        <f ca="1">IF(G110="恒定伤害",0,(IF(D110="轻剑",$AZ$2,$AZ$3)+IFERROR(INDEX(技能数据库!$T$2:$W$27,MATCH(E110,技能数据库!$T$2:$T$27,0),4),0)+COUNTIF(G110,"*造化2*")*154+COUNTIF(G110,"*造化1*")*102+COUNTIF(G110,"*碧归*")*307)/1024)</f>
        <v>0.536243146929785</v>
      </c>
      <c r="Q110">
        <f ca="1" t="shared" si="308"/>
        <v>0.448284482196154</v>
      </c>
      <c r="R110">
        <f ca="1" t="shared" si="324"/>
        <v>0.32958230397716</v>
      </c>
      <c r="S110">
        <f ca="1" t="shared" si="325"/>
        <v>431600.648232927</v>
      </c>
      <c r="T110">
        <f t="shared" si="178"/>
        <v>0.8</v>
      </c>
      <c r="U110">
        <f ca="1" t="shared" si="309"/>
        <v>2.67001635480339</v>
      </c>
      <c r="V110">
        <f ca="1" t="shared" si="326"/>
        <v>1267185.15020687</v>
      </c>
      <c r="W110">
        <f ca="1">IF(G110="恒定伤害",0,MIN(1,IF(COUNTIF(F110,"*内会*")&gt;0,内会2,IF(D110="轻剑",$Y$2,$Y$3)+COUNTIF(G110,"*莺鸣*")*0.2+COUNTIF(G110,"*叠1*")*0.1+COUNTIF(G110,"*叠2*")*0.2+COUNTIF(G110,"*叠3*")*0.3)+IFERROR(INDEX(技能数据库!$T$2:$W$27,MATCH(E110,技能数据库!$T$2:$T$27,0),2),0)+IF((IF(D110="轻剑",$AO$2,$AO$3)+INT(COUNTIF(G110,"*大莺鸣*")*IF(D110="轻剑",$AM$2,$AM$3)*听晓无双率)/无双系数)&gt;0.9,特效裤子会心/会心系数,0)))</f>
        <v>0.9043</v>
      </c>
      <c r="X110">
        <f ca="1">IF(G110="恒定伤害",0,IF(COUNTIF(F110,"*内会*")&gt;0,内会效2,IF(D110="轻剑",$AB$2,$AB$3))+IFERROR(INDEX(技能数据库!$T$2:$W$27,MATCH(E110,技能数据库!$T$2:$T$27,0),3)/1024,0))+COUNTIF(G110,"*叠1*")*0.25+COUNTIF(G110,"*叠2*")*0.5+COUNTIF(G110,"*叠3*")*0.75</f>
        <v>2.1712723116</v>
      </c>
      <c r="Y110">
        <f ca="1" t="shared" si="327"/>
        <v>2.05918155137988</v>
      </c>
      <c r="Z110">
        <f t="shared" si="328"/>
        <v>0.150390625</v>
      </c>
      <c r="AA110">
        <f ca="1" t="shared" si="329"/>
        <v>0.0205078125</v>
      </c>
      <c r="AB110">
        <f ca="1" t="shared" si="330"/>
        <v>3063348.31868859</v>
      </c>
      <c r="AC110">
        <f ca="1">技能数计算!$AJ102</f>
        <v>0</v>
      </c>
      <c r="AD110" s="164">
        <f ca="1" t="shared" si="331"/>
        <v>0</v>
      </c>
      <c r="AE110" s="168"/>
      <c r="AF110" s="168">
        <f ca="1" t="shared" si="116"/>
        <v>0.9057</v>
      </c>
      <c r="AG110">
        <f ca="1">技能数计算!$AJ102</f>
        <v>0</v>
      </c>
      <c r="AH110">
        <f ca="1" t="shared" si="117"/>
        <v>96007</v>
      </c>
      <c r="AJ110">
        <f ca="1" t="shared" si="118"/>
        <v>2.3704910616</v>
      </c>
      <c r="AK110">
        <f ca="1" t="shared" si="332"/>
        <v>300788.53125</v>
      </c>
      <c r="AL110">
        <f ca="1" t="shared" si="310"/>
        <v>3466974.80067096</v>
      </c>
      <c r="AM110" s="169">
        <f ca="1" t="shared" si="121"/>
        <v>0.9272</v>
      </c>
      <c r="AN110">
        <f ca="1">技能数计算!$AJ102</f>
        <v>0</v>
      </c>
      <c r="AO110" s="170">
        <f ca="1" t="shared" si="311"/>
        <v>3512554.80082052</v>
      </c>
      <c r="AP110">
        <f ca="1" t="shared" si="123"/>
        <v>97084</v>
      </c>
      <c r="AQ110" s="170">
        <f ca="1" t="shared" si="333"/>
        <v>303239.625</v>
      </c>
      <c r="AR110">
        <f ca="1" t="shared" si="312"/>
        <v>3398749.37455306</v>
      </c>
      <c r="AS110">
        <f ca="1" t="shared" si="126"/>
        <v>0.9843</v>
      </c>
      <c r="AT110">
        <f ca="1">技能数计算!$AJ102</f>
        <v>0</v>
      </c>
      <c r="AU110">
        <f ca="1" t="shared" si="127"/>
        <v>2.3177566866</v>
      </c>
      <c r="AV110">
        <f ca="1" t="shared" si="313"/>
        <v>2.68954760480339</v>
      </c>
      <c r="AW110">
        <f ca="1" t="shared" si="155"/>
        <v>3435426.76828566</v>
      </c>
      <c r="AX110">
        <f ca="1" t="shared" si="129"/>
        <v>0.9743</v>
      </c>
      <c r="AY110">
        <f ca="1">技能数计算!$AJ102</f>
        <v>0</v>
      </c>
      <c r="AZ110" s="170">
        <f ca="1" t="shared" si="156"/>
        <v>3415718.78933482</v>
      </c>
      <c r="BA110">
        <f ca="1" t="shared" si="130"/>
        <v>0.9643</v>
      </c>
      <c r="BB110">
        <f ca="1">技能数计算!$AJ102</f>
        <v>0</v>
      </c>
      <c r="BC110" s="170">
        <f ca="1" t="shared" si="157"/>
        <v>3396010.81038398</v>
      </c>
      <c r="BE110">
        <f ca="1" t="shared" si="131"/>
        <v>91977</v>
      </c>
      <c r="BF110">
        <f ca="1" t="shared" si="334"/>
        <v>289354.96875</v>
      </c>
      <c r="BI110">
        <f ca="1" t="shared" si="133"/>
        <v>0.9543</v>
      </c>
      <c r="BJ110">
        <f ca="1">技能数计算!$AJ102</f>
        <v>0</v>
      </c>
      <c r="BK110">
        <f ca="1" t="shared" si="314"/>
        <v>3356859.53566328</v>
      </c>
      <c r="BM110">
        <f ca="1" t="shared" si="135"/>
        <v>95358</v>
      </c>
      <c r="BN110">
        <f ca="1" t="shared" si="335"/>
        <v>298547.0625</v>
      </c>
      <c r="BO110">
        <f ca="1" t="shared" si="315"/>
        <v>3413531.57804468</v>
      </c>
      <c r="BP110">
        <f ca="1" t="shared" si="316"/>
        <v>3255288.2132112</v>
      </c>
      <c r="BR110">
        <f ca="1" t="shared" si="139"/>
        <v>0.9543</v>
      </c>
      <c r="BS110">
        <f ca="1" t="shared" si="317"/>
        <v>3365686.22268476</v>
      </c>
      <c r="BT110">
        <f ca="1" t="shared" si="336"/>
        <v>0.318170800459405</v>
      </c>
      <c r="BU110">
        <f ca="1" t="shared" si="142"/>
        <v>2.3177566866</v>
      </c>
      <c r="BV110">
        <f ca="1" t="shared" si="158"/>
        <v>3415595.25229957</v>
      </c>
      <c r="BW110">
        <f ca="1" t="shared" si="143"/>
        <v>99155</v>
      </c>
      <c r="BX110">
        <f ca="1" t="shared" si="337"/>
        <v>308870.15625</v>
      </c>
      <c r="BY110">
        <f ca="1" t="shared" si="145"/>
        <v>0.9343</v>
      </c>
      <c r="BZ110">
        <f ca="1">技能数计算!$AJ102</f>
        <v>0</v>
      </c>
      <c r="CA110">
        <f ca="1" t="shared" si="146"/>
        <v>2.3216629366</v>
      </c>
      <c r="CB110">
        <f ca="1" t="shared" si="159"/>
        <v>3548945.56417905</v>
      </c>
      <c r="CC110">
        <f ca="1" t="shared" si="147"/>
        <v>100975</v>
      </c>
      <c r="CD110">
        <f ca="1" t="shared" si="338"/>
        <v>313818.28125</v>
      </c>
      <c r="CE110">
        <f ca="1" t="shared" si="318"/>
        <v>3480192.17629387</v>
      </c>
      <c r="CF110">
        <f ca="1" t="shared" si="150"/>
        <v>2.2689285616</v>
      </c>
      <c r="CG110">
        <f ca="1" t="shared" si="151"/>
        <v>0.9343</v>
      </c>
      <c r="CH110">
        <f ca="1" t="shared" si="160"/>
        <v>3268658.77661426</v>
      </c>
      <c r="CJ110">
        <f ca="1" t="shared" si="339"/>
        <v>298547.0625</v>
      </c>
      <c r="CK110">
        <f ca="1" t="shared" si="319"/>
        <v>3398068.46603916</v>
      </c>
      <c r="CL110">
        <f ca="1" t="shared" si="340"/>
        <v>2.2915848116</v>
      </c>
      <c r="CM110">
        <f ca="1">IF(G110="恒定伤害",0,(IF(D110="轻剑",$CM$8,$CM$9)+IFERROR(INDEX(技能数据库!$T$2:$W$27,MATCH(E110,技能数据库!$T$2:$T$27,0),4),0)+COUNTIF(G110,"*造化2*")*154+COUNTIF(G110,"*造化1*")*102+COUNTIF(G110,"*碧归*")*307)/1024)</f>
        <v>0.596790021929785</v>
      </c>
      <c r="CN110">
        <f ca="1" t="shared" si="162"/>
        <v>3430389.68037827</v>
      </c>
      <c r="CO110">
        <f ca="1" t="shared" si="341"/>
        <v>2.3156473116</v>
      </c>
      <c r="CP110">
        <f ca="1" t="shared" si="164"/>
        <v>3465337.63864524</v>
      </c>
      <c r="CQ110">
        <f ca="1" t="shared" si="320"/>
        <v>2.77157885480339</v>
      </c>
      <c r="CR110">
        <f ca="1">IF(G110="恒定伤害",0,(IF(D110="轻剑",$CR$8,$CR$9)+IFERROR(INDEX(技能数据库!$T$2:$W$27,MATCH(E110,技能数据库!$T$2:$T$27,0),4),0)+COUNTIF(G110,"*造化2*")*154+COUNTIF(G110,"*造化1*")*102+COUNTIF(G110,"*碧归*")*307)/1024)</f>
        <v>0.587024396929785</v>
      </c>
      <c r="CS110">
        <f ca="1" t="shared" si="342"/>
        <v>3252184.8198009</v>
      </c>
    </row>
    <row r="111" spans="4:97">
      <c r="D111" t="s">
        <v>1825</v>
      </c>
      <c r="E111" t="s">
        <v>2798</v>
      </c>
      <c r="G111" t="s">
        <v>3103</v>
      </c>
      <c r="H111">
        <f ca="1">INDEX(技能数据库!$B$2:$I$100,MATCH(阵眼收益计算!$E111,技能数据库!$B$2:$B$100,0),MATCH(H$9,技能数据库!$B$2:$I$2,0))</f>
        <v>1504.5</v>
      </c>
      <c r="I111">
        <f ca="1">INDEX(技能数据库!$B$2:$I$100,MATCH(阵眼收益计算!$E111,技能数据库!$B$2:$B$100,0),MATCH(I$9,技能数据库!$B$2:$I$2,0))</f>
        <v>2.85625</v>
      </c>
      <c r="J111">
        <f ca="1">INDEX(技能数据库!$B$2:$I$100,MATCH(阵眼收益计算!$E111,技能数据库!$B$2:$B$100,0),MATCH(J$9,技能数据库!$B$2:$I$2,0))</f>
        <v>0</v>
      </c>
      <c r="K111">
        <f ca="1">INDEX(技能数据库!$B$2:$I$100,MATCH(阵眼收益计算!$E111,技能数据库!$B$2:$B$100,0),MATCH(K$9,技能数据库!$B$2:$I$2,0))</f>
        <v>0</v>
      </c>
      <c r="L111">
        <f ca="1" t="shared" si="110"/>
        <v>91975</v>
      </c>
      <c r="M111">
        <f ca="1" t="shared" ref="M111:M114" si="343">IF(D111="轻剑",$AU$2+$AV$2,$AU$3+$AV$3)/2</f>
        <v>19530.5</v>
      </c>
      <c r="N111">
        <f ca="1" t="shared" ref="N111:N114" si="344">IF(D111="轻剑",$AJ$2,$AJ$3)</f>
        <v>92028</v>
      </c>
      <c r="O111">
        <f ca="1" t="shared" ref="O111:O124" si="345">H111+I111*L111+J111*M111+IF(K111&gt;0,MAX(1,K111*N111*破招全局系数),0)</f>
        <v>264208.09375</v>
      </c>
      <c r="P111">
        <f ca="1">IF(G111="恒定伤害",0,(IF(D111="轻剑",$AZ$2,$AZ$3)+IFERROR(INDEX(技能数据库!$T$2:$W$27,MATCH(E111,技能数据库!$T$2:$T$27,0),4),0)+COUNTIF(G111,"*造化2*")*154+COUNTIF(G111,"*造化1*")*102+COUNTIF(G111,"*碧归*")*307)/1024)</f>
        <v>0.416125959429785</v>
      </c>
      <c r="Q111">
        <f ca="1" t="shared" si="308"/>
        <v>0.448284482196154</v>
      </c>
      <c r="R111">
        <f ca="1" t="shared" ref="R111:R124" si="346">IF(G111="恒定伤害",0,(($F$5-IF(D111="轻剑",$BB$2,$BB$3))*(1024-IF(D111="轻剑",$BD$2,$BD$3))/1024*(1024-IF(D111="轻剑",$BC$2,$BC$3)-COUNTIF(G111,"*雾锁*")*461*雾锁)/1024/(($F$5-IF(D111="轻剑",$BB$2,$BB$3))*(1024-IF(D111="轻剑",$BD$2,$BD$3))/1024*(1024-IF(D111="轻剑",$BC$2,$BC$3)-COUNTIF(G111,"*雾锁*")*461*雾锁)/1024+$F$7)))</f>
        <v>0.32958230397716</v>
      </c>
      <c r="S111">
        <f ca="1" t="shared" ref="S111:S114" si="347">O111*(1+P111)*(1+Q111)*(1-R111)</f>
        <v>363284.90133577</v>
      </c>
      <c r="T111">
        <f t="shared" si="178"/>
        <v>0.8</v>
      </c>
      <c r="U111">
        <f ca="1" t="shared" si="309"/>
        <v>2.67001635480339</v>
      </c>
      <c r="V111">
        <f ca="1" t="shared" ref="V111:V114" si="348">S111*T111*(1+U111)</f>
        <v>1066609.22348433</v>
      </c>
      <c r="W111">
        <f ca="1">IF(G111="恒定伤害",0,MIN(1,IF(COUNTIF(F111,"*内会*")&gt;0,内会2,IF(D111="轻剑",$Y$2,$Y$3)+COUNTIF(G111,"*莺鸣*")*0.2+COUNTIF(G111,"*叠1*")*0.1+COUNTIF(G111,"*叠2*")*0.2+COUNTIF(G111,"*叠3*")*0.3)+IFERROR(INDEX(技能数据库!$T$2:$W$27,MATCH(E111,技能数据库!$T$2:$T$27,0),2),0)+IF((IF(D111="轻剑",$AO$2,$AO$3)+INT(COUNTIF(G111,"*大莺鸣*")*IF(D111="轻剑",$AM$2,$AM$3)*听晓无双率)/无双系数)&gt;0.9,特效裤子会心/会心系数,0)))</f>
        <v>0.9043</v>
      </c>
      <c r="X111">
        <f ca="1">IF(G111="恒定伤害",0,IF(COUNTIF(F111,"*内会*")&gt;0,内会效2,IF(D111="轻剑",$AB$2,$AB$3))+IFERROR(INDEX(技能数据库!$T$2:$W$27,MATCH(E111,技能数据库!$T$2:$T$27,0),3)/1024,0))+COUNTIF(G111,"*叠1*")*0.25+COUNTIF(G111,"*叠2*")*0.5+COUNTIF(G111,"*叠3*")*0.75</f>
        <v>2.1712723116</v>
      </c>
      <c r="Y111">
        <f ca="1" t="shared" ref="Y111:Y114" si="349">1+W111*(X111-1)</f>
        <v>2.05918155137988</v>
      </c>
      <c r="Z111">
        <f t="shared" ref="Z111:Z124" si="350">IF(G111="恒定伤害",0,非侠士伤害/1024)</f>
        <v>0.150390625</v>
      </c>
      <c r="AA111">
        <f ca="1" t="shared" ref="AA111:AA114" si="351">IF(D111="轻剑",$BA$2,$BA$3)/1024</f>
        <v>0.0205078125</v>
      </c>
      <c r="AB111">
        <f ca="1" t="shared" ref="AB111:AB114" si="352">V111*Y111*(1+Z111)*(1+AA111)</f>
        <v>2578467.37781378</v>
      </c>
      <c r="AC111">
        <f ca="1">技能数计算!$AJ103</f>
        <v>0</v>
      </c>
      <c r="AD111" s="164">
        <f ca="1" t="shared" ref="AD111:AD124" si="353">IFERROR(AB111*AC111/$AD$7,0)</f>
        <v>0</v>
      </c>
      <c r="AE111" s="168"/>
      <c r="AF111" s="168">
        <f ca="1" t="shared" si="116"/>
        <v>0.9057</v>
      </c>
      <c r="AG111">
        <f ca="1">技能数计算!$AJ103</f>
        <v>0</v>
      </c>
      <c r="AH111">
        <f ca="1" t="shared" si="117"/>
        <v>96007</v>
      </c>
      <c r="AJ111">
        <f ca="1" t="shared" si="118"/>
        <v>2.3704910616</v>
      </c>
      <c r="AK111">
        <f ca="1" t="shared" ref="AK111:AK124" si="354">H111+AH111*I111+J111*(238.5+M111)+IF(K111&gt;0,MAX(1,K111*N111*破招全局系数),0)</f>
        <v>275724.49375</v>
      </c>
      <c r="AL111">
        <f ca="1" t="shared" si="310"/>
        <v>2929588.92730904</v>
      </c>
      <c r="AM111" s="169">
        <f ca="1" t="shared" si="121"/>
        <v>0.9272</v>
      </c>
      <c r="AN111">
        <f ca="1">技能数计算!$AJ103</f>
        <v>0</v>
      </c>
      <c r="AO111" s="170">
        <f ca="1" t="shared" si="311"/>
        <v>2968103.96460295</v>
      </c>
      <c r="AP111">
        <f ca="1" t="shared" si="123"/>
        <v>97084</v>
      </c>
      <c r="AQ111" s="170">
        <f ca="1" t="shared" ref="AQ111:AQ124" si="355">H111+AP111*I111+J111*M111+IF(K111&gt;0,MAX(1,K111*N111*破招全局系数),0)</f>
        <v>278800.675</v>
      </c>
      <c r="AR111">
        <f ca="1" t="shared" si="312"/>
        <v>2880507.00802664</v>
      </c>
      <c r="AS111">
        <f ca="1" t="shared" si="126"/>
        <v>0.9843</v>
      </c>
      <c r="AT111">
        <f ca="1">技能数计算!$AJ103</f>
        <v>0</v>
      </c>
      <c r="AU111">
        <f ca="1" t="shared" si="127"/>
        <v>2.3177566866</v>
      </c>
      <c r="AV111">
        <f ca="1" t="shared" si="313"/>
        <v>2.68954760480339</v>
      </c>
      <c r="AW111">
        <f ca="1" t="shared" si="155"/>
        <v>2891651.52942351</v>
      </c>
      <c r="AX111">
        <f ca="1" t="shared" si="129"/>
        <v>0.9743</v>
      </c>
      <c r="AY111">
        <f ca="1">技能数计算!$AJ103</f>
        <v>0</v>
      </c>
      <c r="AZ111" s="170">
        <f ca="1" t="shared" si="156"/>
        <v>2875063.02053688</v>
      </c>
      <c r="BA111">
        <f ca="1" t="shared" si="130"/>
        <v>0.9643</v>
      </c>
      <c r="BB111">
        <f ca="1">技能数计算!$AJ103</f>
        <v>0</v>
      </c>
      <c r="BC111" s="170">
        <f ca="1" t="shared" si="157"/>
        <v>2858474.51165026</v>
      </c>
      <c r="BE111">
        <f ca="1" t="shared" si="131"/>
        <v>91977</v>
      </c>
      <c r="BF111">
        <f ca="1" t="shared" ref="BF111:BF124" si="356">H111+BE111*I111+J111*M111+IF(K111&gt;0,MAX(1,K111*N111*破招全局系数),0)</f>
        <v>264213.80625</v>
      </c>
      <c r="BI111">
        <f ca="1" t="shared" si="133"/>
        <v>0.9543</v>
      </c>
      <c r="BJ111">
        <f ca="1">技能数计算!$AJ103</f>
        <v>0</v>
      </c>
      <c r="BK111">
        <f ca="1" t="shared" si="314"/>
        <v>2825528.27520818</v>
      </c>
      <c r="BM111">
        <f ca="1" t="shared" si="135"/>
        <v>95358</v>
      </c>
      <c r="BN111">
        <f ca="1" t="shared" ref="BN111:BN124" si="357">H111+BM111*I111+J111*M111+IF(K111&gt;0,MAX(1,K111*N111*破招全局系数),0)</f>
        <v>273870.7875</v>
      </c>
      <c r="BO111">
        <f ca="1" t="shared" si="315"/>
        <v>2886547.83244115</v>
      </c>
      <c r="BP111">
        <f ca="1" t="shared" si="316"/>
        <v>2752734.20531779</v>
      </c>
      <c r="BR111">
        <f ca="1" t="shared" si="139"/>
        <v>0.9543</v>
      </c>
      <c r="BS111">
        <f ca="1" t="shared" si="317"/>
        <v>2846088.88145478</v>
      </c>
      <c r="BT111">
        <f ca="1" t="shared" ref="BT111:BT124" si="358">IF(G111="恒定伤害",0,(($F$5-IF(D111="轻剑",$BB$2,$BB$3))*(1024-IF(D111="轻剑",$BD$2,$BD$3))/1024*(1024-IF(D111="轻剑",$BT$8,$BT$9)-COUNTIF(G111,"*雾锁*")*461*雾锁)/1024/(($F$5-IF(D111="轻剑",$BB$2,$BB$3))*(1024-IF(D111="轻剑",$BD$2,$BD$3))/1024*(1024-IF(D111="轻剑",$BT$8,$BT$9)-COUNTIF(G111,"*雾锁*")*461*雾锁)/1024+$F$7)))</f>
        <v>0.318170800459405</v>
      </c>
      <c r="BU111">
        <f ca="1" t="shared" si="142"/>
        <v>2.3177566866</v>
      </c>
      <c r="BV111">
        <f ca="1" t="shared" si="158"/>
        <v>2874959.03751498</v>
      </c>
      <c r="BW111">
        <f ca="1" t="shared" si="143"/>
        <v>99155</v>
      </c>
      <c r="BX111">
        <f ca="1" t="shared" ref="BX111:BX124" si="359">H111+BW111*I111+J111*M111+IF(K111&gt;0,MAX(1,K111*N111*破招全局系数),0)</f>
        <v>284715.96875</v>
      </c>
      <c r="BY111">
        <f ca="1" t="shared" si="145"/>
        <v>0.9343</v>
      </c>
      <c r="BZ111">
        <f ca="1">技能数计算!$AJ103</f>
        <v>0</v>
      </c>
      <c r="CA111">
        <f ca="1" t="shared" si="146"/>
        <v>2.3216629366</v>
      </c>
      <c r="CB111">
        <f ca="1" t="shared" si="159"/>
        <v>3015623.65672229</v>
      </c>
      <c r="CC111">
        <f ca="1" t="shared" si="147"/>
        <v>100975</v>
      </c>
      <c r="CD111">
        <f ca="1" t="shared" ref="CD111:CD124" si="360">H111+CC111*I111+J111*M111+IF(K111&gt;0,MAX(1,K111*N111*破招全局系数),0)</f>
        <v>289914.34375</v>
      </c>
      <c r="CE111">
        <f ca="1" t="shared" si="318"/>
        <v>2963716.20868228</v>
      </c>
      <c r="CF111">
        <f ca="1" t="shared" si="150"/>
        <v>2.2689285616</v>
      </c>
      <c r="CG111">
        <f ca="1" t="shared" si="151"/>
        <v>0.9343</v>
      </c>
      <c r="CH111">
        <f ca="1" t="shared" si="160"/>
        <v>2751280.34683062</v>
      </c>
      <c r="CJ111">
        <f ca="1" t="shared" ref="CJ111:CJ124" si="361">H111+BM111*I111+J111*M111+IF(K111&gt;0,MAX(1,K111*(N111+2667)*破招全局系数),0)</f>
        <v>273870.7875</v>
      </c>
      <c r="CK111">
        <f ca="1" t="shared" si="319"/>
        <v>2873471.92808174</v>
      </c>
      <c r="CL111">
        <f ca="1" t="shared" ref="CL111:CL124" si="362">X111+IF(D111="轻剑",$CL$8-$AB$2,$CL$9-$AB$3)</f>
        <v>2.2915848116</v>
      </c>
      <c r="CM111">
        <f ca="1">IF(G111="恒定伤害",0,(IF(D111="轻剑",$CM$8,$CM$9)+IFERROR(INDEX(技能数据库!$T$2:$W$27,MATCH(E111,技能数据库!$T$2:$T$27,0),4),0)+COUNTIF(G111,"*造化2*")*154+COUNTIF(G111,"*造化1*")*102+COUNTIF(G111,"*碧归*")*307)/1024)</f>
        <v>0.476672834429785</v>
      </c>
      <c r="CN111">
        <f ca="1" t="shared" si="162"/>
        <v>2896698.3173626</v>
      </c>
      <c r="CO111">
        <f ca="1" t="shared" ref="CO111:CO124" si="363">X111+IF(D111="轻剑",$CO$8-$AB$2,$CO$9-$AB$3)</f>
        <v>2.3156473116</v>
      </c>
      <c r="CP111">
        <f ca="1" t="shared" si="164"/>
        <v>2926209.16054355</v>
      </c>
      <c r="CQ111">
        <f ca="1" t="shared" si="320"/>
        <v>2.77157885480339</v>
      </c>
      <c r="CR111">
        <f ca="1">IF(G111="恒定伤害",0,(IF(D111="轻剑",$CR$8,$CR$9)+IFERROR(INDEX(技能数据库!$T$2:$W$27,MATCH(E111,技能数据库!$T$2:$T$27,0),4),0)+COUNTIF(G111,"*造化2*")*154+COUNTIF(G111,"*造化1*")*102+COUNTIF(G111,"*碧归*")*307)/1024)</f>
        <v>0.466907209429785</v>
      </c>
      <c r="CS111">
        <f ca="1" t="shared" ref="CS111:CS124" si="364">IF(COUNTIF(G111,"*恒定伤害*")&gt;0,AB111,((O111*(1+CR111)*(1+Q111)*(1-R111))*T111*(1+CQ111))*Y111*(1+Z111)*(1+AA111))</f>
        <v>2744843.53160318</v>
      </c>
    </row>
    <row r="112" spans="4:97">
      <c r="D112" t="s">
        <v>1825</v>
      </c>
      <c r="E112" t="s">
        <v>2768</v>
      </c>
      <c r="G112" t="s">
        <v>3102</v>
      </c>
      <c r="H112">
        <f ca="1">INDEX(技能数据库!$B$2:$I$100,MATCH(阵眼收益计算!$E112,技能数据库!$B$2:$B$100,0),MATCH(H$9,技能数据库!$B$2:$I$2,0))</f>
        <v>210</v>
      </c>
      <c r="I112">
        <f ca="1">INDEX(技能数据库!$B$2:$I$100,MATCH(阵眼收益计算!$E112,技能数据库!$B$2:$B$100,0),MATCH(I$9,技能数据库!$B$2:$I$2,0))</f>
        <v>5.7875</v>
      </c>
      <c r="J112">
        <f ca="1">INDEX(技能数据库!$B$2:$I$100,MATCH(阵眼收益计算!$E112,技能数据库!$B$2:$B$100,0),MATCH(J$9,技能数据库!$B$2:$I$2,0))</f>
        <v>2</v>
      </c>
      <c r="K112">
        <f ca="1">INDEX(技能数据库!$B$2:$I$100,MATCH(阵眼收益计算!$E112,技能数据库!$B$2:$B$100,0),MATCH(K$9,技能数据库!$B$2:$I$2,0))</f>
        <v>0</v>
      </c>
      <c r="L112">
        <f ca="1" t="shared" si="110"/>
        <v>91975</v>
      </c>
      <c r="M112">
        <f ca="1" t="shared" si="343"/>
        <v>19530.5</v>
      </c>
      <c r="N112">
        <f ca="1" t="shared" si="344"/>
        <v>92028</v>
      </c>
      <c r="O112">
        <f ca="1" t="shared" si="345"/>
        <v>571576.3125</v>
      </c>
      <c r="P112">
        <f ca="1">IF(G112="恒定伤害",0,(IF(D112="轻剑",$AZ$2,$AZ$3)+IFERROR(INDEX(技能数据库!$T$2:$W$27,MATCH(E112,技能数据库!$T$2:$T$27,0),4),0)+COUNTIF(G112,"*造化2*")*154+COUNTIF(G112,"*造化1*")*102+COUNTIF(G112,"*碧归*")*307)/1024)</f>
        <v>0.686633771929785</v>
      </c>
      <c r="Q112">
        <f ca="1" t="shared" si="308"/>
        <v>0.448284482196154</v>
      </c>
      <c r="R112">
        <f ca="1" t="shared" si="346"/>
        <v>0.32958230397716</v>
      </c>
      <c r="S112">
        <f ca="1" t="shared" si="347"/>
        <v>936039.898771261</v>
      </c>
      <c r="T112">
        <f t="shared" si="178"/>
        <v>0.8</v>
      </c>
      <c r="U112">
        <f ca="1" t="shared" si="309"/>
        <v>2.67001635480339</v>
      </c>
      <c r="V112">
        <f ca="1" t="shared" si="348"/>
        <v>2748225.38979123</v>
      </c>
      <c r="W112">
        <f ca="1">IF(G112="恒定伤害",0,MIN(1,IF(COUNTIF(F112,"*内会*")&gt;0,内会2,IF(D112="轻剑",$Y$2,$Y$3)+COUNTIF(G112,"*莺鸣*")*0.2+COUNTIF(G112,"*叠1*")*0.1+COUNTIF(G112,"*叠2*")*0.2+COUNTIF(G112,"*叠3*")*0.3)+IFERROR(INDEX(技能数据库!$T$2:$W$27,MATCH(E112,技能数据库!$T$2:$T$27,0),2),0)+IF((IF(D112="轻剑",$AO$2,$AO$3)+INT(COUNTIF(G112,"*大莺鸣*")*IF(D112="轻剑",$AM$2,$AM$3)*听晓无双率)/无双系数)&gt;0.9,特效裤子会心/会心系数,0)))</f>
        <v>0.9043</v>
      </c>
      <c r="X112">
        <f ca="1">IF(G112="恒定伤害",0,IF(COUNTIF(F112,"*内会*")&gt;0,内会效2,IF(D112="轻剑",$AB$2,$AB$3))+IFERROR(INDEX(技能数据库!$T$2:$W$27,MATCH(E112,技能数据库!$T$2:$T$27,0),3)/1024,0))+COUNTIF(G112,"*叠1*")*0.25+COUNTIF(G112,"*叠2*")*0.5+COUNTIF(G112,"*叠3*")*0.75</f>
        <v>2.1712723116</v>
      </c>
      <c r="Y112">
        <f ca="1" t="shared" si="349"/>
        <v>2.05918155137988</v>
      </c>
      <c r="Z112">
        <f t="shared" si="350"/>
        <v>0.150390625</v>
      </c>
      <c r="AA112">
        <f ca="1" t="shared" si="351"/>
        <v>0.0205078125</v>
      </c>
      <c r="AB112">
        <f ca="1" t="shared" si="352"/>
        <v>6643679.20174877</v>
      </c>
      <c r="AC112">
        <f ca="1">技能数计算!$AJ104</f>
        <v>0</v>
      </c>
      <c r="AD112" s="164">
        <f ca="1" t="shared" si="353"/>
        <v>0</v>
      </c>
      <c r="AE112" s="168"/>
      <c r="AF112" s="168">
        <f ca="1" t="shared" si="116"/>
        <v>0.9057</v>
      </c>
      <c r="AG112">
        <f ca="1">技能数计算!$AJ104</f>
        <v>0</v>
      </c>
      <c r="AH112">
        <f ca="1" t="shared" si="117"/>
        <v>96007</v>
      </c>
      <c r="AJ112">
        <f ca="1" t="shared" si="118"/>
        <v>2.3704910616</v>
      </c>
      <c r="AK112">
        <f ca="1" t="shared" si="354"/>
        <v>595388.5125</v>
      </c>
      <c r="AL112">
        <f ca="1" t="shared" si="310"/>
        <v>7534435.10489814</v>
      </c>
      <c r="AM112" s="169">
        <f ca="1" t="shared" si="121"/>
        <v>0.9272</v>
      </c>
      <c r="AN112">
        <f ca="1">技能数计算!$AJ104</f>
        <v>0</v>
      </c>
      <c r="AO112" s="170">
        <f ca="1" t="shared" si="311"/>
        <v>7633489.63311151</v>
      </c>
      <c r="AP112">
        <f ca="1" t="shared" si="123"/>
        <v>97084</v>
      </c>
      <c r="AQ112" s="170">
        <f ca="1" t="shared" si="355"/>
        <v>601144.65</v>
      </c>
      <c r="AR112">
        <f ca="1" t="shared" si="312"/>
        <v>7397296.21301123</v>
      </c>
      <c r="AS112">
        <f ca="1" t="shared" si="126"/>
        <v>0.9843</v>
      </c>
      <c r="AT112">
        <f ca="1">技能数计算!$AJ104</f>
        <v>0</v>
      </c>
      <c r="AU112">
        <f ca="1" t="shared" si="127"/>
        <v>2.3177566866</v>
      </c>
      <c r="AV112">
        <f ca="1" t="shared" si="313"/>
        <v>2.68954760480339</v>
      </c>
      <c r="AW112">
        <f ca="1" t="shared" si="155"/>
        <v>7450629.50574334</v>
      </c>
      <c r="AX112">
        <f ca="1" t="shared" si="129"/>
        <v>0.9743</v>
      </c>
      <c r="AY112">
        <f ca="1">技能数计算!$AJ104</f>
        <v>0</v>
      </c>
      <c r="AZ112" s="170">
        <f ca="1" t="shared" si="156"/>
        <v>7407887.55274196</v>
      </c>
      <c r="BA112">
        <f ca="1" t="shared" si="130"/>
        <v>0.9643</v>
      </c>
      <c r="BB112">
        <f ca="1">技能数计算!$AJ104</f>
        <v>0</v>
      </c>
      <c r="BC112" s="170">
        <f ca="1" t="shared" si="157"/>
        <v>7365145.59974059</v>
      </c>
      <c r="BE112">
        <f ca="1" t="shared" si="131"/>
        <v>91977</v>
      </c>
      <c r="BF112">
        <f ca="1" t="shared" si="356"/>
        <v>571587.8875</v>
      </c>
      <c r="BI112">
        <f ca="1" t="shared" si="133"/>
        <v>0.9543</v>
      </c>
      <c r="BJ112">
        <f ca="1">技能数计算!$AJ104</f>
        <v>0</v>
      </c>
      <c r="BK112">
        <f ca="1" t="shared" si="314"/>
        <v>7280246.34973207</v>
      </c>
      <c r="BM112">
        <f ca="1" t="shared" si="135"/>
        <v>95358</v>
      </c>
      <c r="BN112">
        <f ca="1" t="shared" si="357"/>
        <v>591155.425</v>
      </c>
      <c r="BO112">
        <f ca="1" t="shared" si="315"/>
        <v>7420849.69658688</v>
      </c>
      <c r="BP112">
        <f ca="1" t="shared" si="316"/>
        <v>7076836.40739852</v>
      </c>
      <c r="BR112">
        <f ca="1" t="shared" si="139"/>
        <v>0.9543</v>
      </c>
      <c r="BS112">
        <f ca="1" t="shared" si="317"/>
        <v>7316836.24814264</v>
      </c>
      <c r="BT112">
        <f ca="1" t="shared" si="358"/>
        <v>0.318170800459405</v>
      </c>
      <c r="BU112">
        <f ca="1" t="shared" si="142"/>
        <v>2.3177566866</v>
      </c>
      <c r="BV112">
        <f ca="1" t="shared" si="158"/>
        <v>7407619.63008142</v>
      </c>
      <c r="BW112">
        <f ca="1" t="shared" si="143"/>
        <v>99155</v>
      </c>
      <c r="BX112">
        <f ca="1" t="shared" si="359"/>
        <v>613130.5625</v>
      </c>
      <c r="BY112">
        <f ca="1" t="shared" si="145"/>
        <v>0.9343</v>
      </c>
      <c r="BZ112">
        <f ca="1">技能数计算!$AJ104</f>
        <v>0</v>
      </c>
      <c r="CA112">
        <f ca="1" t="shared" si="146"/>
        <v>2.3216629366</v>
      </c>
      <c r="CB112">
        <f ca="1" t="shared" si="159"/>
        <v>7734588.06186802</v>
      </c>
      <c r="CC112">
        <f ca="1" t="shared" si="147"/>
        <v>100975</v>
      </c>
      <c r="CD112">
        <f ca="1" t="shared" si="360"/>
        <v>623663.8125</v>
      </c>
      <c r="CE112">
        <f ca="1" t="shared" si="318"/>
        <v>7593401.53355741</v>
      </c>
      <c r="CF112">
        <f ca="1" t="shared" si="150"/>
        <v>2.2689285616</v>
      </c>
      <c r="CG112">
        <f ca="1" t="shared" si="151"/>
        <v>0.9343</v>
      </c>
      <c r="CH112">
        <f ca="1" t="shared" si="160"/>
        <v>7088949.10817789</v>
      </c>
      <c r="CJ112">
        <f ca="1" t="shared" si="361"/>
        <v>591155.425</v>
      </c>
      <c r="CK112">
        <f ca="1" t="shared" si="319"/>
        <v>7387233.65190972</v>
      </c>
      <c r="CL112">
        <f ca="1" t="shared" si="362"/>
        <v>2.2915848116</v>
      </c>
      <c r="CM112">
        <f ca="1">IF(G112="恒定伤害",0,(IF(D112="轻剑",$CM$8,$CM$9)+IFERROR(INDEX(技能数据库!$T$2:$W$27,MATCH(E112,技能数据库!$T$2:$T$27,0),4),0)+COUNTIF(G112,"*造化2*")*154+COUNTIF(G112,"*造化1*")*102+COUNTIF(G112,"*碧归*")*307)/1024)</f>
        <v>0.747180646929785</v>
      </c>
      <c r="CN112">
        <f ca="1" t="shared" si="162"/>
        <v>7414551.68184585</v>
      </c>
      <c r="CO112">
        <f ca="1" t="shared" si="363"/>
        <v>2.3156473116</v>
      </c>
      <c r="CP112">
        <f ca="1" t="shared" si="164"/>
        <v>7490089.2932804</v>
      </c>
      <c r="CQ112">
        <f ca="1" t="shared" si="320"/>
        <v>2.77157885480339</v>
      </c>
      <c r="CR112">
        <f ca="1">IF(G112="恒定伤害",0,(IF(D112="轻剑",$CR$8,$CR$9)+IFERROR(INDEX(技能数据库!$T$2:$W$27,MATCH(E112,技能数据库!$T$2:$T$27,0),4),0)+COUNTIF(G112,"*造化2*")*154+COUNTIF(G112,"*造化1*")*102+COUNTIF(G112,"*碧归*")*307)/1024)</f>
        <v>0.737415021929785</v>
      </c>
      <c r="CS112">
        <f ca="1" t="shared" si="364"/>
        <v>7033097.31280662</v>
      </c>
    </row>
    <row r="113" spans="4:97">
      <c r="D113" t="s">
        <v>1825</v>
      </c>
      <c r="E113" t="s">
        <v>2902</v>
      </c>
      <c r="G113" t="s">
        <v>2948</v>
      </c>
      <c r="H113">
        <f ca="1">INDEX(技能数据库!$B$2:$I$100,MATCH(阵眼收益计算!$E113,技能数据库!$B$2:$B$100,0),MATCH(H$9,技能数据库!$B$2:$I$2,0))</f>
        <v>317.5</v>
      </c>
      <c r="I113">
        <f ca="1">INDEX(技能数据库!$B$2:$I$100,MATCH(阵眼收益计算!$E113,技能数据库!$B$2:$B$100,0),MATCH(I$9,技能数据库!$B$2:$I$2,0))</f>
        <v>2.25</v>
      </c>
      <c r="J113">
        <f ca="1">INDEX(技能数据库!$B$2:$I$100,MATCH(阵眼收益计算!$E113,技能数据库!$B$2:$B$100,0),MATCH(J$9,技能数据库!$B$2:$I$2,0))</f>
        <v>1</v>
      </c>
      <c r="K113">
        <f ca="1">INDEX(技能数据库!$B$2:$I$100,MATCH(阵眼收益计算!$E113,技能数据库!$B$2:$B$100,0),MATCH(K$9,技能数据库!$B$2:$I$2,0))</f>
        <v>0</v>
      </c>
      <c r="L113">
        <f ca="1" t="shared" si="110"/>
        <v>91975</v>
      </c>
      <c r="M113">
        <f ca="1" t="shared" si="343"/>
        <v>19530.5</v>
      </c>
      <c r="N113">
        <f ca="1" t="shared" si="344"/>
        <v>92028</v>
      </c>
      <c r="O113">
        <f ca="1" t="shared" si="345"/>
        <v>226791.75</v>
      </c>
      <c r="P113">
        <f ca="1">IF(G113="恒定伤害",0,(IF(D113="轻剑",$AZ$2,$AZ$3)+IFERROR(INDEX(技能数据库!$T$2:$W$27,MATCH(E113,技能数据库!$T$2:$T$27,0),4),0)+COUNTIF(G113,"*造化2*")*154+COUNTIF(G113,"*造化1*")*102+COUNTIF(G113,"*碧归*")*307)/1024)</f>
        <v>0.116321271929785</v>
      </c>
      <c r="Q113">
        <f ca="1" t="shared" si="308"/>
        <v>0.448284482196154</v>
      </c>
      <c r="R113">
        <f ca="1" t="shared" si="346"/>
        <v>0.32958230397716</v>
      </c>
      <c r="S113">
        <f ca="1" t="shared" si="347"/>
        <v>245819.199039071</v>
      </c>
      <c r="T113">
        <f t="shared" si="178"/>
        <v>0.8</v>
      </c>
      <c r="U113">
        <f ca="1" t="shared" si="309"/>
        <v>2.67001635480339</v>
      </c>
      <c r="V113">
        <f ca="1" t="shared" si="348"/>
        <v>721728.384638448</v>
      </c>
      <c r="W113">
        <f ca="1">IF(G113="恒定伤害",0,MIN(1,IF(COUNTIF(F113,"*内会*")&gt;0,内会2,IF(D113="轻剑",$Y$2,$Y$3)+COUNTIF(G113,"*莺鸣*")*0.2+COUNTIF(G113,"*叠1*")*0.1+COUNTIF(G113,"*叠2*")*0.2+COUNTIF(G113,"*叠3*")*0.3)+IFERROR(INDEX(技能数据库!$T$2:$W$27,MATCH(E113,技能数据库!$T$2:$T$27,0),2),0)+IF((IF(D113="轻剑",$AO$2,$AO$3)+INT(COUNTIF(G113,"*大莺鸣*")*IF(D113="轻剑",$AM$2,$AM$3)*听晓无双率)/无双系数)&gt;0.9,特效裤子会心/会心系数,0)))</f>
        <v>0.9043</v>
      </c>
      <c r="X113">
        <f ca="1">IF(G113="恒定伤害",0,IF(COUNTIF(F113,"*内会*")&gt;0,内会效2,IF(D113="轻剑",$AB$2,$AB$3))+IFERROR(INDEX(技能数据库!$T$2:$W$27,MATCH(E113,技能数据库!$T$2:$T$27,0),3)/1024,0))+COUNTIF(G113,"*叠1*")*0.25+COUNTIF(G113,"*叠2*")*0.5+COUNTIF(G113,"*叠3*")*0.75</f>
        <v>2.1712723116</v>
      </c>
      <c r="Y113">
        <f ca="1" t="shared" si="349"/>
        <v>2.05918155137988</v>
      </c>
      <c r="Z113">
        <f t="shared" si="350"/>
        <v>0.150390625</v>
      </c>
      <c r="AA113">
        <f ca="1" t="shared" si="351"/>
        <v>0.0205078125</v>
      </c>
      <c r="AB113">
        <f ca="1" t="shared" si="352"/>
        <v>1744737.4862869</v>
      </c>
      <c r="AC113">
        <f ca="1">技能数计算!$AJ105</f>
        <v>0</v>
      </c>
      <c r="AD113" s="164">
        <f ca="1" t="shared" si="353"/>
        <v>0</v>
      </c>
      <c r="AE113" s="168"/>
      <c r="AF113" s="168">
        <f ca="1" t="shared" si="116"/>
        <v>0.9057</v>
      </c>
      <c r="AG113">
        <f ca="1">技能数计算!$AJ105</f>
        <v>0</v>
      </c>
      <c r="AH113">
        <f ca="1" t="shared" si="117"/>
        <v>96007</v>
      </c>
      <c r="AJ113">
        <f ca="1" t="shared" si="118"/>
        <v>2.3704910616</v>
      </c>
      <c r="AK113">
        <f ca="1" t="shared" si="354"/>
        <v>236102.25</v>
      </c>
      <c r="AL113">
        <f ca="1" t="shared" si="310"/>
        <v>1977510.41621756</v>
      </c>
      <c r="AM113" s="169">
        <f ca="1" t="shared" si="121"/>
        <v>0.9272</v>
      </c>
      <c r="AN113">
        <f ca="1">技能数计算!$AJ105</f>
        <v>0</v>
      </c>
      <c r="AO113" s="170">
        <f ca="1" t="shared" si="311"/>
        <v>2003508.56453104</v>
      </c>
      <c r="AP113">
        <f ca="1" t="shared" si="123"/>
        <v>97084</v>
      </c>
      <c r="AQ113" s="170">
        <f ca="1" t="shared" si="355"/>
        <v>238287</v>
      </c>
      <c r="AR113">
        <f ca="1" t="shared" si="312"/>
        <v>1940719.55229906</v>
      </c>
      <c r="AS113">
        <f ca="1" t="shared" si="126"/>
        <v>0.9843</v>
      </c>
      <c r="AT113">
        <f ca="1">技能数计算!$AJ105</f>
        <v>0</v>
      </c>
      <c r="AU113">
        <f ca="1" t="shared" si="127"/>
        <v>2.3177566866</v>
      </c>
      <c r="AV113">
        <f ca="1" t="shared" si="313"/>
        <v>2.68954760480339</v>
      </c>
      <c r="AW113">
        <f ca="1" t="shared" si="155"/>
        <v>1956655.67230939</v>
      </c>
      <c r="AX113">
        <f ca="1" t="shared" si="129"/>
        <v>0.9743</v>
      </c>
      <c r="AY113">
        <f ca="1">技能数计算!$AJ105</f>
        <v>0</v>
      </c>
      <c r="AZ113" s="170">
        <f ca="1" t="shared" si="156"/>
        <v>1945430.94495968</v>
      </c>
      <c r="BA113">
        <f ca="1" t="shared" si="130"/>
        <v>0.9643</v>
      </c>
      <c r="BB113">
        <f ca="1">技能数计算!$AJ105</f>
        <v>0</v>
      </c>
      <c r="BC113" s="170">
        <f ca="1" t="shared" si="157"/>
        <v>1934206.21760996</v>
      </c>
      <c r="BE113">
        <f ca="1" t="shared" si="131"/>
        <v>91977</v>
      </c>
      <c r="BF113">
        <f ca="1" t="shared" si="356"/>
        <v>226796.25</v>
      </c>
      <c r="BI113">
        <f ca="1" t="shared" si="133"/>
        <v>0.9543</v>
      </c>
      <c r="BJ113">
        <f ca="1">技能数计算!$AJ105</f>
        <v>0</v>
      </c>
      <c r="BK113">
        <f ca="1" t="shared" si="314"/>
        <v>1911909.52102106</v>
      </c>
      <c r="BM113">
        <f ca="1" t="shared" si="135"/>
        <v>95358</v>
      </c>
      <c r="BN113">
        <f ca="1" t="shared" si="357"/>
        <v>234403.5</v>
      </c>
      <c r="BO113">
        <f ca="1" t="shared" si="315"/>
        <v>1947531.34571857</v>
      </c>
      <c r="BP113">
        <f ca="1" t="shared" si="316"/>
        <v>1857248.33347184</v>
      </c>
      <c r="BR113">
        <f ca="1" t="shared" si="139"/>
        <v>0.9543</v>
      </c>
      <c r="BS113">
        <f ca="1" t="shared" si="317"/>
        <v>1920234.00653185</v>
      </c>
      <c r="BT113">
        <f ca="1" t="shared" si="358"/>
        <v>0.318170800459405</v>
      </c>
      <c r="BU113">
        <f ca="1" t="shared" si="142"/>
        <v>2.3177566866</v>
      </c>
      <c r="BV113">
        <f ca="1" t="shared" si="158"/>
        <v>1945360.58414076</v>
      </c>
      <c r="BW113">
        <f ca="1" t="shared" si="143"/>
        <v>99155</v>
      </c>
      <c r="BX113">
        <f ca="1" t="shared" si="359"/>
        <v>242946.75</v>
      </c>
      <c r="BY113">
        <f ca="1" t="shared" si="145"/>
        <v>0.9343</v>
      </c>
      <c r="BZ113">
        <f ca="1">技能数计算!$AJ105</f>
        <v>0</v>
      </c>
      <c r="CA113">
        <f ca="1" t="shared" si="146"/>
        <v>2.3216629366</v>
      </c>
      <c r="CB113">
        <f ca="1" t="shared" si="159"/>
        <v>2028447.28483796</v>
      </c>
      <c r="CC113">
        <f ca="1" t="shared" si="147"/>
        <v>100975</v>
      </c>
      <c r="CD113">
        <f ca="1" t="shared" si="360"/>
        <v>247041.75</v>
      </c>
      <c r="CE113">
        <f ca="1" t="shared" si="318"/>
        <v>1990786.02740026</v>
      </c>
      <c r="CF113">
        <f ca="1" t="shared" si="150"/>
        <v>2.2689285616</v>
      </c>
      <c r="CG113">
        <f ca="1" t="shared" si="151"/>
        <v>0.9343</v>
      </c>
      <c r="CH113">
        <f ca="1" t="shared" si="160"/>
        <v>1861672.55700161</v>
      </c>
      <c r="CJ113">
        <f ca="1" t="shared" si="361"/>
        <v>234403.5</v>
      </c>
      <c r="CK113">
        <f ca="1" t="shared" si="319"/>
        <v>1938709.13486609</v>
      </c>
      <c r="CL113">
        <f ca="1" t="shared" si="362"/>
        <v>2.2915848116</v>
      </c>
      <c r="CM113">
        <f ca="1">IF(G113="恒定伤害",0,(IF(D113="轻剑",$CM$8,$CM$9)+IFERROR(INDEX(技能数据库!$T$2:$W$27,MATCH(E113,技能数据库!$T$2:$T$27,0),4),0)+COUNTIF(G113,"*造化2*")*154+COUNTIF(G113,"*造化1*")*102+COUNTIF(G113,"*碧归*")*307)/1024)</f>
        <v>0.176868146929785</v>
      </c>
      <c r="CN113">
        <f ca="1" t="shared" si="162"/>
        <v>1981654.43933076</v>
      </c>
      <c r="CO113">
        <f ca="1" t="shared" si="363"/>
        <v>2.3156473116</v>
      </c>
      <c r="CP113">
        <f ca="1" t="shared" si="164"/>
        <v>2001843.04269598</v>
      </c>
      <c r="CQ113">
        <f ca="1" t="shared" si="320"/>
        <v>2.77157885480339</v>
      </c>
      <c r="CR113">
        <f ca="1">IF(G113="恒定伤害",0,(IF(D113="轻剑",$CR$8,$CR$9)+IFERROR(INDEX(技能数据库!$T$2:$W$27,MATCH(E113,技能数据库!$T$2:$T$27,0),4),0)+COUNTIF(G113,"*造化2*")*154+COUNTIF(G113,"*造化1*")*102+COUNTIF(G113,"*碧归*")*307)/1024)</f>
        <v>0.167102521929785</v>
      </c>
      <c r="CS113">
        <f ca="1" t="shared" si="364"/>
        <v>1874584.80229051</v>
      </c>
    </row>
    <row r="114" spans="4:97">
      <c r="D114" t="s">
        <v>1825</v>
      </c>
      <c r="E114" t="s">
        <v>2922</v>
      </c>
      <c r="G114" t="s">
        <v>3098</v>
      </c>
      <c r="H114">
        <f ca="1">INDEX(技能数据库!$B$2:$I$100,MATCH(阵眼收益计算!$E114,技能数据库!$B$2:$B$100,0),MATCH(H$9,技能数据库!$B$2:$I$2,0))</f>
        <v>0</v>
      </c>
      <c r="I114">
        <f ca="1">INDEX(技能数据库!$B$2:$I$100,MATCH(阵眼收益计算!$E114,技能数据库!$B$2:$B$100,0),MATCH(I$9,技能数据库!$B$2:$I$2,0))</f>
        <v>0</v>
      </c>
      <c r="J114">
        <f ca="1">INDEX(技能数据库!$B$2:$I$100,MATCH(阵眼收益计算!$E114,技能数据库!$B$2:$B$100,0),MATCH(J$9,技能数据库!$B$2:$I$2,0))</f>
        <v>0</v>
      </c>
      <c r="K114">
        <f ca="1">INDEX(技能数据库!$B$2:$I$100,MATCH(阵眼收益计算!$E114,技能数据库!$B$2:$B$100,0),MATCH(K$9,技能数据库!$B$2:$I$2,0))</f>
        <v>0</v>
      </c>
      <c r="L114">
        <f ca="1" t="shared" si="110"/>
        <v>91975</v>
      </c>
      <c r="M114">
        <f ca="1" t="shared" si="343"/>
        <v>19530.5</v>
      </c>
      <c r="N114">
        <f ca="1" t="shared" si="344"/>
        <v>92028</v>
      </c>
      <c r="O114">
        <f ca="1" t="shared" si="345"/>
        <v>0</v>
      </c>
      <c r="P114">
        <f ca="1">IF(G114="恒定伤害",0,(IF(D114="轻剑",$AZ$2,$AZ$3)+IFERROR(INDEX(技能数据库!$T$2:$W$27,MATCH(E114,技能数据库!$T$2:$T$27,0),4),0)+COUNTIF(G114,"*造化2*")*154+COUNTIF(G114,"*造化1*")*102+COUNTIF(G114,"*碧归*")*307)/1024)</f>
        <v>0</v>
      </c>
      <c r="Q114">
        <f ca="1" t="shared" si="308"/>
        <v>0</v>
      </c>
      <c r="R114">
        <f ca="1" t="shared" si="346"/>
        <v>0</v>
      </c>
      <c r="S114">
        <f ca="1" t="shared" si="347"/>
        <v>0</v>
      </c>
      <c r="T114">
        <f t="shared" si="178"/>
        <v>0.8</v>
      </c>
      <c r="U114">
        <f ca="1" t="shared" si="309"/>
        <v>0</v>
      </c>
      <c r="V114">
        <f ca="1" t="shared" si="348"/>
        <v>0</v>
      </c>
      <c r="W114">
        <f ca="1">IF(G114="恒定伤害",0,MIN(1,IF(COUNTIF(F114,"*内会*")&gt;0,内会2,IF(D114="轻剑",$Y$2,$Y$3)+COUNTIF(G114,"*莺鸣*")*0.2+COUNTIF(G114,"*叠1*")*0.1+COUNTIF(G114,"*叠2*")*0.2+COUNTIF(G114,"*叠3*")*0.3)+IFERROR(INDEX(技能数据库!$T$2:$W$27,MATCH(E114,技能数据库!$T$2:$T$27,0),2),0)+IF((IF(D114="轻剑",$AO$2,$AO$3)+INT(COUNTIF(G114,"*大莺鸣*")*IF(D114="轻剑",$AM$2,$AM$3)*听晓无双率)/无双系数)&gt;0.9,特效裤子会心/会心系数,0)))</f>
        <v>0</v>
      </c>
      <c r="X114">
        <f ca="1">IF(G114="恒定伤害",0,IF(COUNTIF(F114,"*内会*")&gt;0,内会效2,IF(D114="轻剑",$AB$2,$AB$3))+IFERROR(INDEX(技能数据库!$T$2:$W$27,MATCH(E114,技能数据库!$T$2:$T$27,0),3)/1024,0))+COUNTIF(G114,"*叠1*")*0.25+COUNTIF(G114,"*叠2*")*0.5+COUNTIF(G114,"*叠3*")*0.75</f>
        <v>0</v>
      </c>
      <c r="Y114">
        <f ca="1" t="shared" si="349"/>
        <v>1</v>
      </c>
      <c r="Z114">
        <f t="shared" si="350"/>
        <v>0</v>
      </c>
      <c r="AA114">
        <f ca="1" t="shared" si="351"/>
        <v>0.0205078125</v>
      </c>
      <c r="AB114">
        <f ca="1" t="shared" si="352"/>
        <v>0</v>
      </c>
      <c r="AC114" s="171">
        <f>技能数计算!$AJ106</f>
        <v>19.830626450116</v>
      </c>
      <c r="AD114" s="164">
        <f ca="1" t="shared" si="353"/>
        <v>0</v>
      </c>
      <c r="AE114" s="168"/>
      <c r="AF114" s="168">
        <f ca="1" t="shared" si="116"/>
        <v>0.00139999999999996</v>
      </c>
      <c r="AG114" s="171">
        <f>技能数计算!$AJ106</f>
        <v>19.830626450116</v>
      </c>
      <c r="AH114">
        <f ca="1" t="shared" si="117"/>
        <v>96007</v>
      </c>
      <c r="AJ114">
        <f ca="1" t="shared" si="118"/>
        <v>0.19921875</v>
      </c>
      <c r="AK114">
        <f ca="1" t="shared" si="354"/>
        <v>0</v>
      </c>
      <c r="AL114">
        <f ca="1" t="shared" si="310"/>
        <v>0</v>
      </c>
      <c r="AM114" s="169">
        <f ca="1" t="shared" si="121"/>
        <v>0.0228999999999999</v>
      </c>
      <c r="AN114" s="171">
        <f>技能数计算!$AJ106</f>
        <v>19.830626450116</v>
      </c>
      <c r="AO114" s="170">
        <f ca="1" t="shared" si="311"/>
        <v>0</v>
      </c>
      <c r="AP114">
        <f ca="1" t="shared" si="123"/>
        <v>97084</v>
      </c>
      <c r="AQ114" s="170">
        <f ca="1" t="shared" si="355"/>
        <v>0</v>
      </c>
      <c r="AR114">
        <f ca="1" t="shared" si="312"/>
        <v>0</v>
      </c>
      <c r="AS114">
        <f ca="1" t="shared" si="126"/>
        <v>0.08</v>
      </c>
      <c r="AT114" s="171">
        <f>技能数计算!$AJ106</f>
        <v>19.830626450116</v>
      </c>
      <c r="AU114">
        <f ca="1" t="shared" si="127"/>
        <v>0.146484375</v>
      </c>
      <c r="AV114">
        <f ca="1" t="shared" si="313"/>
        <v>0</v>
      </c>
      <c r="AW114">
        <f ca="1" t="shared" si="155"/>
        <v>0</v>
      </c>
      <c r="AX114">
        <f ca="1" t="shared" si="129"/>
        <v>0.07</v>
      </c>
      <c r="AY114" s="171">
        <f>技能数计算!$AJ106</f>
        <v>19.830626450116</v>
      </c>
      <c r="AZ114" s="170">
        <f ca="1" t="shared" si="156"/>
        <v>0</v>
      </c>
      <c r="BA114">
        <f ca="1" t="shared" si="130"/>
        <v>0.0599999999999999</v>
      </c>
      <c r="BB114" s="171">
        <f>技能数计算!$AJ106</f>
        <v>19.830626450116</v>
      </c>
      <c r="BC114" s="170">
        <f ca="1" t="shared" si="157"/>
        <v>0</v>
      </c>
      <c r="BE114">
        <f ca="1" t="shared" si="131"/>
        <v>91977</v>
      </c>
      <c r="BF114">
        <f ca="1" t="shared" si="356"/>
        <v>0</v>
      </c>
      <c r="BI114">
        <f ca="1" t="shared" si="133"/>
        <v>0.05</v>
      </c>
      <c r="BJ114" s="171">
        <f>技能数计算!$AJ106</f>
        <v>19.830626450116</v>
      </c>
      <c r="BK114">
        <f ca="1" t="shared" si="314"/>
        <v>0</v>
      </c>
      <c r="BM114">
        <f ca="1" t="shared" si="135"/>
        <v>95358</v>
      </c>
      <c r="BN114">
        <f ca="1" t="shared" si="357"/>
        <v>0</v>
      </c>
      <c r="BO114">
        <f ca="1" t="shared" si="315"/>
        <v>0</v>
      </c>
      <c r="BP114">
        <f ca="1" t="shared" si="316"/>
        <v>0</v>
      </c>
      <c r="BR114">
        <f ca="1" t="shared" si="139"/>
        <v>0.05</v>
      </c>
      <c r="BS114">
        <f ca="1" t="shared" si="317"/>
        <v>0</v>
      </c>
      <c r="BT114">
        <f ca="1" t="shared" si="358"/>
        <v>0</v>
      </c>
      <c r="BU114">
        <f ca="1" t="shared" si="142"/>
        <v>0.146484375</v>
      </c>
      <c r="BV114">
        <f ca="1" t="shared" si="158"/>
        <v>0</v>
      </c>
      <c r="BW114">
        <f ca="1" t="shared" si="143"/>
        <v>99155</v>
      </c>
      <c r="BX114">
        <f ca="1" t="shared" si="359"/>
        <v>0</v>
      </c>
      <c r="BY114">
        <f ca="1" t="shared" si="145"/>
        <v>0.03</v>
      </c>
      <c r="BZ114" s="171">
        <f>技能数计算!$AJ106</f>
        <v>19.830626450116</v>
      </c>
      <c r="CA114">
        <f ca="1" t="shared" si="146"/>
        <v>0.150390625</v>
      </c>
      <c r="CB114">
        <f ca="1" t="shared" si="159"/>
        <v>0</v>
      </c>
      <c r="CC114">
        <f ca="1" t="shared" si="147"/>
        <v>100975</v>
      </c>
      <c r="CD114">
        <f ca="1" t="shared" si="360"/>
        <v>0</v>
      </c>
      <c r="CE114">
        <f ca="1" t="shared" si="318"/>
        <v>0</v>
      </c>
      <c r="CF114">
        <f ca="1" t="shared" si="150"/>
        <v>0.09765625</v>
      </c>
      <c r="CG114">
        <f ca="1" t="shared" si="151"/>
        <v>0.03</v>
      </c>
      <c r="CH114">
        <f ca="1" t="shared" si="160"/>
        <v>0</v>
      </c>
      <c r="CJ114">
        <f ca="1" t="shared" si="361"/>
        <v>0</v>
      </c>
      <c r="CK114">
        <f ca="1" t="shared" si="319"/>
        <v>0</v>
      </c>
      <c r="CL114">
        <f ca="1" t="shared" si="362"/>
        <v>0.1203125</v>
      </c>
      <c r="CM114">
        <f ca="1">IF(G114="恒定伤害",0,(IF(D114="轻剑",$CM$8,$CM$9)+IFERROR(INDEX(技能数据库!$T$2:$W$27,MATCH(E114,技能数据库!$T$2:$T$27,0),4),0)+COUNTIF(G114,"*造化2*")*154+COUNTIF(G114,"*造化1*")*102+COUNTIF(G114,"*碧归*")*307)/1024)</f>
        <v>0</v>
      </c>
      <c r="CN114">
        <f ca="1" t="shared" si="162"/>
        <v>0</v>
      </c>
      <c r="CO114">
        <f ca="1" t="shared" si="363"/>
        <v>0.144375</v>
      </c>
      <c r="CP114">
        <f ca="1" t="shared" si="164"/>
        <v>0</v>
      </c>
      <c r="CQ114">
        <f ca="1" t="shared" si="320"/>
        <v>0</v>
      </c>
      <c r="CR114">
        <f ca="1">IF(G114="恒定伤害",0,(IF(D114="轻剑",$CR$8,$CR$9)+IFERROR(INDEX(技能数据库!$T$2:$W$27,MATCH(E114,技能数据库!$T$2:$T$27,0),4),0)+COUNTIF(G114,"*造化2*")*154+COUNTIF(G114,"*造化1*")*102+COUNTIF(G114,"*碧归*")*307)/1024)</f>
        <v>0</v>
      </c>
      <c r="CS114">
        <f ca="1" t="shared" si="364"/>
        <v>0</v>
      </c>
    </row>
    <row r="115" spans="4:97">
      <c r="D115" t="s">
        <v>1825</v>
      </c>
      <c r="E115" s="161" t="s">
        <v>2844</v>
      </c>
      <c r="H115">
        <f ca="1">INDEX(技能数据库!$B$2:$I$100,MATCH(阵眼收益计算!$E115,技能数据库!$B$2:$B$100,0),MATCH(H$9,技能数据库!$B$2:$I$2,0))</f>
        <v>5241589</v>
      </c>
      <c r="I115">
        <f ca="1">INDEX(技能数据库!$B$2:$I$100,MATCH(阵眼收益计算!$E115,技能数据库!$B$2:$B$100,0),MATCH(I$9,技能数据库!$B$2:$I$2,0))</f>
        <v>0</v>
      </c>
      <c r="J115">
        <f ca="1">INDEX(技能数据库!$B$2:$I$100,MATCH(阵眼收益计算!$E115,技能数据库!$B$2:$B$100,0),MATCH(J$9,技能数据库!$B$2:$I$2,0))</f>
        <v>0</v>
      </c>
      <c r="K115">
        <f ca="1">INDEX(技能数据库!$B$2:$I$100,MATCH(阵眼收益计算!$E115,技能数据库!$B$2:$B$100,0),MATCH(K$9,技能数据库!$B$2:$I$2,0))</f>
        <v>0</v>
      </c>
      <c r="L115">
        <f ca="1" t="shared" si="110"/>
        <v>91975</v>
      </c>
      <c r="M115">
        <f ca="1" t="shared" ref="M115:M143" si="365">IF(D115="轻剑",$AU$2+$AV$2,$AU$3+$AV$3)/2</f>
        <v>19530.5</v>
      </c>
      <c r="N115">
        <f ca="1" t="shared" ref="N115:N143" si="366">IF(D115="轻剑",$AJ$2,$AJ$3)</f>
        <v>92028</v>
      </c>
      <c r="O115">
        <f ca="1" t="shared" si="345"/>
        <v>5241589</v>
      </c>
      <c r="P115">
        <f ca="1">IF(G115="恒定伤害",0,(IF(D115="轻剑",$AZ$2,$AZ$3)+IFERROR(INDEX(技能数据库!$T$2:$W$27,MATCH(E115,技能数据库!$T$2:$T$27,0),4),0)+COUNTIF(G115,"*造化2*")*154+COUNTIF(G115,"*造化1*")*102+COUNTIF(G115,"*碧归*")*307)/1024)</f>
        <v>0.116321271929785</v>
      </c>
      <c r="Q115">
        <f ca="1" t="shared" si="308"/>
        <v>0.448284482196154</v>
      </c>
      <c r="R115">
        <f ca="1" t="shared" si="346"/>
        <v>0.32958230397716</v>
      </c>
      <c r="S115">
        <f ca="1" t="shared" ref="S115:S143" si="367">O115*(1+P115)*(1+Q115)*(1-R115)</f>
        <v>5681349.56263623</v>
      </c>
      <c r="T115">
        <f t="shared" si="178"/>
        <v>0.8</v>
      </c>
      <c r="U115">
        <f ca="1" t="shared" si="309"/>
        <v>1.7800129648</v>
      </c>
      <c r="V115">
        <f ca="1" t="shared" ref="V115:V143" si="368">S115*T115*(1+U115)</f>
        <v>12635380.3533516</v>
      </c>
      <c r="W115">
        <f ca="1">IF(G115="恒定伤害",0,MIN(1,IF(COUNTIF(F115,"*内会*")&gt;0,内会2,IF(D115="轻剑",$Y$2,$Y$3)+COUNTIF(G115,"*莺鸣*")*0.2+COUNTIF(G115,"*叠1*")*0.1+COUNTIF(G115,"*叠2*")*0.2+COUNTIF(G115,"*叠3*")*0.3)+IFERROR(INDEX(技能数据库!$T$2:$W$27,MATCH(E115,技能数据库!$T$2:$T$27,0),2),0)+IF((IF(D115="轻剑",$AO$2,$AO$3)+INT(COUNTIF(G115,"*大莺鸣*")*IF(D115="轻剑",$AM$2,$AM$3)*听晓无双率)/无双系数)&gt;0.9,特效裤子会心/会心系数,0)))</f>
        <v>0.7043</v>
      </c>
      <c r="X115">
        <f ca="1">IF(G115="恒定伤害",0,IF(COUNTIF(F115,"*内会*")&gt;0,内会效2,IF(D115="轻剑",$AB$2,$AB$3))+IFERROR(INDEX(技能数据库!$T$2:$W$27,MATCH(E115,技能数据库!$T$2:$T$27,0),3)/1024,0))+COUNTIF(G115,"*叠1*")*0.25+COUNTIF(G115,"*叠2*")*0.5+COUNTIF(G115,"*叠3*")*0.75</f>
        <v>2.1712723116</v>
      </c>
      <c r="Y115">
        <f ca="1" t="shared" ref="Y115:Y143" si="369">1+W115*(X115-1)</f>
        <v>1.82492708905988</v>
      </c>
      <c r="Z115">
        <f t="shared" si="350"/>
        <v>0.150390625</v>
      </c>
      <c r="AA115">
        <f ca="1" t="shared" ref="AA115:AA143" si="370">IF(D115="轻剑",$BA$2,$BA$3)/1024</f>
        <v>0.0205078125</v>
      </c>
      <c r="AB115">
        <f ca="1" t="shared" ref="AB115:AB143" si="371">V115*Y115*(1+Z115)*(1+AA115)</f>
        <v>27070451.8660318</v>
      </c>
      <c r="AC115">
        <f ca="1">技能数计算!$AJ107</f>
        <v>0</v>
      </c>
      <c r="AD115" s="164">
        <f ca="1" t="shared" si="353"/>
        <v>0</v>
      </c>
      <c r="AE115" s="168"/>
      <c r="AF115" s="168">
        <f ca="1" t="shared" si="116"/>
        <v>0.7057</v>
      </c>
      <c r="AG115">
        <f ca="1">技能数计算!$AJ107</f>
        <v>0</v>
      </c>
      <c r="AH115">
        <f ca="1" t="shared" si="117"/>
        <v>96007</v>
      </c>
      <c r="AJ115">
        <f ca="1" t="shared" si="118"/>
        <v>2.3704910616</v>
      </c>
      <c r="AK115">
        <f ca="1" t="shared" si="354"/>
        <v>5241589</v>
      </c>
      <c r="AL115">
        <f ca="1" t="shared" si="310"/>
        <v>29188253.577991</v>
      </c>
      <c r="AM115" s="169">
        <f ca="1" t="shared" si="121"/>
        <v>0.7272</v>
      </c>
      <c r="AN115">
        <f ca="1">技能数计算!$AJ107</f>
        <v>0</v>
      </c>
      <c r="AO115" s="170">
        <f ca="1" t="shared" si="311"/>
        <v>29625457.5281404</v>
      </c>
      <c r="AP115">
        <f ca="1" t="shared" si="123"/>
        <v>97084</v>
      </c>
      <c r="AQ115" s="170">
        <f ca="1" t="shared" si="355"/>
        <v>5241589</v>
      </c>
      <c r="AR115">
        <f ca="1" t="shared" si="312"/>
        <v>28658608.3174392</v>
      </c>
      <c r="AS115">
        <f ca="1" t="shared" si="126"/>
        <v>0.7843</v>
      </c>
      <c r="AT115">
        <f ca="1">技能数计算!$AJ107</f>
        <v>0</v>
      </c>
      <c r="AU115">
        <f ca="1" t="shared" si="127"/>
        <v>2.3177566866</v>
      </c>
      <c r="AV115">
        <f ca="1" t="shared" si="313"/>
        <v>1.7995442148</v>
      </c>
      <c r="AW115">
        <f ca="1" t="shared" si="155"/>
        <v>30376533.5511402</v>
      </c>
      <c r="AX115">
        <f ca="1" t="shared" si="129"/>
        <v>0.7743</v>
      </c>
      <c r="AY115">
        <f ca="1">技能数计算!$AJ107</f>
        <v>0</v>
      </c>
      <c r="AZ115" s="170">
        <f ca="1" t="shared" si="156"/>
        <v>30179687.9448292</v>
      </c>
      <c r="BA115">
        <f ca="1" t="shared" si="130"/>
        <v>0.7643</v>
      </c>
      <c r="BB115">
        <f ca="1">技能数计算!$AJ107</f>
        <v>0</v>
      </c>
      <c r="BC115" s="170">
        <f ca="1" t="shared" si="157"/>
        <v>29982842.3385181</v>
      </c>
      <c r="BE115">
        <f ca="1" t="shared" si="131"/>
        <v>91977</v>
      </c>
      <c r="BF115">
        <f ca="1" t="shared" si="356"/>
        <v>5241589</v>
      </c>
      <c r="BI115">
        <f ca="1" t="shared" si="133"/>
        <v>0.7543</v>
      </c>
      <c r="BJ115">
        <f ca="1">技能数计算!$AJ107</f>
        <v>0</v>
      </c>
      <c r="BK115">
        <f ca="1" t="shared" si="314"/>
        <v>29819367.3734111</v>
      </c>
      <c r="BM115">
        <f ca="1" t="shared" si="135"/>
        <v>95358</v>
      </c>
      <c r="BN115">
        <f ca="1" t="shared" si="357"/>
        <v>5241589</v>
      </c>
      <c r="BO115">
        <f ca="1" t="shared" si="315"/>
        <v>29235668.5500044</v>
      </c>
      <c r="BP115">
        <f ca="1" t="shared" si="316"/>
        <v>27880371.1230624</v>
      </c>
      <c r="BR115">
        <f ca="1" t="shared" si="139"/>
        <v>0.7543</v>
      </c>
      <c r="BS115">
        <f ca="1" t="shared" si="317"/>
        <v>28977240.3810036</v>
      </c>
      <c r="BT115">
        <f ca="1" t="shared" si="358"/>
        <v>0.318170800459405</v>
      </c>
      <c r="BU115">
        <f ca="1" t="shared" si="142"/>
        <v>2.3177566866</v>
      </c>
      <c r="BV115">
        <f ca="1" t="shared" si="158"/>
        <v>30081656.9827676</v>
      </c>
      <c r="BW115">
        <f ca="1" t="shared" si="143"/>
        <v>99155</v>
      </c>
      <c r="BX115">
        <f ca="1" t="shared" si="359"/>
        <v>5241589</v>
      </c>
      <c r="BY115">
        <f ca="1" t="shared" si="145"/>
        <v>0.7343</v>
      </c>
      <c r="BZ115">
        <f ca="1">技能数计算!$AJ107</f>
        <v>0</v>
      </c>
      <c r="CA115">
        <f ca="1" t="shared" si="146"/>
        <v>2.3216629366</v>
      </c>
      <c r="CB115">
        <f ca="1" t="shared" si="159"/>
        <v>29229796.1186557</v>
      </c>
      <c r="CC115">
        <f ca="1" t="shared" si="147"/>
        <v>100975</v>
      </c>
      <c r="CD115">
        <f ca="1" t="shared" si="360"/>
        <v>5241589</v>
      </c>
      <c r="CE115">
        <f ca="1" t="shared" si="318"/>
        <v>28417195.4202522</v>
      </c>
      <c r="CF115">
        <f ca="1" t="shared" si="150"/>
        <v>2.2689285616</v>
      </c>
      <c r="CG115">
        <f ca="1" t="shared" si="151"/>
        <v>0.7343</v>
      </c>
      <c r="CH115">
        <f ca="1" t="shared" si="160"/>
        <v>28856713.530154</v>
      </c>
      <c r="CJ115">
        <f ca="1" t="shared" si="361"/>
        <v>5241589</v>
      </c>
      <c r="CK115">
        <f ca="1" t="shared" si="319"/>
        <v>29103232.5648644</v>
      </c>
      <c r="CL115">
        <f ca="1" t="shared" si="362"/>
        <v>2.2915848116</v>
      </c>
      <c r="CM115">
        <f ca="1">IF(G115="恒定伤害",0,(IF(D115="轻剑",$CM$8,$CM$9)+IFERROR(INDEX(技能数据库!$T$2:$W$27,MATCH(E115,技能数据库!$T$2:$T$27,0),4),0)+COUNTIF(G115,"*造化2*")*154+COUNTIF(G115,"*造化1*")*102+COUNTIF(G115,"*碧归*")*307)/1024)</f>
        <v>0.176868146929785</v>
      </c>
      <c r="CN115">
        <f ca="1" t="shared" si="162"/>
        <v>30683833.4578027</v>
      </c>
      <c r="CO115">
        <f ca="1" t="shared" si="363"/>
        <v>2.3156473116</v>
      </c>
      <c r="CP115">
        <f ca="1" t="shared" si="164"/>
        <v>30962088.716008</v>
      </c>
      <c r="CQ115">
        <f ca="1" t="shared" si="320"/>
        <v>1.8815754648</v>
      </c>
      <c r="CR115">
        <f ca="1">IF(G115="恒定伤害",0,(IF(D115="轻剑",$CR$8,$CR$9)+IFERROR(INDEX(技能数据库!$T$2:$W$27,MATCH(E115,技能数据库!$T$2:$T$27,0),4),0)+COUNTIF(G115,"*造化2*")*154+COUNTIF(G115,"*造化1*")*102+COUNTIF(G115,"*碧归*")*307)/1024)</f>
        <v>0.167102521929785</v>
      </c>
      <c r="CS115">
        <f ca="1" t="shared" si="364"/>
        <v>29335837.3200078</v>
      </c>
    </row>
    <row r="116" spans="4:97">
      <c r="D116" t="s">
        <v>1825</v>
      </c>
      <c r="E116" s="161" t="s">
        <v>2847</v>
      </c>
      <c r="H116">
        <f ca="1">INDEX(技能数据库!$B$2:$I$100,MATCH(阵眼收益计算!$E116,技能数据库!$B$2:$B$100,0),MATCH(H$9,技能数据库!$B$2:$I$2,0))</f>
        <v>4717430</v>
      </c>
      <c r="I116">
        <f ca="1">INDEX(技能数据库!$B$2:$I$100,MATCH(阵眼收益计算!$E116,技能数据库!$B$2:$B$100,0),MATCH(I$9,技能数据库!$B$2:$I$2,0))</f>
        <v>0</v>
      </c>
      <c r="J116">
        <f ca="1">INDEX(技能数据库!$B$2:$I$100,MATCH(阵眼收益计算!$E116,技能数据库!$B$2:$B$100,0),MATCH(J$9,技能数据库!$B$2:$I$2,0))</f>
        <v>0</v>
      </c>
      <c r="K116">
        <f ca="1">INDEX(技能数据库!$B$2:$I$100,MATCH(阵眼收益计算!$E116,技能数据库!$B$2:$B$100,0),MATCH(K$9,技能数据库!$B$2:$I$2,0))</f>
        <v>0</v>
      </c>
      <c r="L116">
        <f ca="1" t="shared" si="110"/>
        <v>91975</v>
      </c>
      <c r="M116">
        <f ca="1" t="shared" si="365"/>
        <v>19530.5</v>
      </c>
      <c r="N116">
        <f ca="1" t="shared" si="366"/>
        <v>92028</v>
      </c>
      <c r="O116">
        <f ca="1" t="shared" si="345"/>
        <v>4717430</v>
      </c>
      <c r="P116">
        <f ca="1">IF(G116="恒定伤害",0,(IF(D116="轻剑",$AZ$2,$AZ$3)+IFERROR(INDEX(技能数据库!$T$2:$W$27,MATCH(E116,技能数据库!$T$2:$T$27,0),4),0)+COUNTIF(G116,"*造化2*")*154+COUNTIF(G116,"*造化1*")*102+COUNTIF(G116,"*碧归*")*307)/1024)</f>
        <v>0.116321271929785</v>
      </c>
      <c r="Q116">
        <f ca="1" t="shared" si="308"/>
        <v>0.448284482196154</v>
      </c>
      <c r="R116">
        <f ca="1" t="shared" si="346"/>
        <v>0.32958230397716</v>
      </c>
      <c r="S116">
        <f ca="1" t="shared" si="367"/>
        <v>5113214.49798277</v>
      </c>
      <c r="T116">
        <f t="shared" si="178"/>
        <v>0.8</v>
      </c>
      <c r="U116">
        <f ca="1" t="shared" si="309"/>
        <v>1.7800129648</v>
      </c>
      <c r="V116">
        <f ca="1" t="shared" si="368"/>
        <v>11371842.0769564</v>
      </c>
      <c r="W116">
        <f ca="1">IF(G116="恒定伤害",0,MIN(1,IF(COUNTIF(F116,"*内会*")&gt;0,内会2,IF(D116="轻剑",$Y$2,$Y$3)+COUNTIF(G116,"*莺鸣*")*0.2+COUNTIF(G116,"*叠1*")*0.1+COUNTIF(G116,"*叠2*")*0.2+COUNTIF(G116,"*叠3*")*0.3)+IFERROR(INDEX(技能数据库!$T$2:$W$27,MATCH(E116,技能数据库!$T$2:$T$27,0),2),0)+IF((IF(D116="轻剑",$AO$2,$AO$3)+INT(COUNTIF(G116,"*大莺鸣*")*IF(D116="轻剑",$AM$2,$AM$3)*听晓无双率)/无双系数)&gt;0.9,特效裤子会心/会心系数,0)))</f>
        <v>0.7043</v>
      </c>
      <c r="X116">
        <f ca="1">IF(G116="恒定伤害",0,IF(COUNTIF(F116,"*内会*")&gt;0,内会效2,IF(D116="轻剑",$AB$2,$AB$3))+IFERROR(INDEX(技能数据库!$T$2:$W$27,MATCH(E116,技能数据库!$T$2:$T$27,0),3)/1024,0))+COUNTIF(G116,"*叠1*")*0.25+COUNTIF(G116,"*叠2*")*0.5+COUNTIF(G116,"*叠3*")*0.75</f>
        <v>2.1712723116</v>
      </c>
      <c r="Y116">
        <f ca="1" t="shared" si="369"/>
        <v>1.82492708905988</v>
      </c>
      <c r="Z116">
        <f t="shared" si="350"/>
        <v>0.150390625</v>
      </c>
      <c r="AA116">
        <f ca="1" t="shared" si="370"/>
        <v>0.0205078125</v>
      </c>
      <c r="AB116">
        <f ca="1" t="shared" si="371"/>
        <v>24363406.1629735</v>
      </c>
      <c r="AC116">
        <f ca="1">技能数计算!$AJ108</f>
        <v>0</v>
      </c>
      <c r="AD116" s="164">
        <f ca="1" t="shared" si="353"/>
        <v>0</v>
      </c>
      <c r="AE116" s="168"/>
      <c r="AF116" s="168">
        <f ca="1" t="shared" si="116"/>
        <v>0.7057</v>
      </c>
      <c r="AG116">
        <f ca="1">技能数计算!$AJ108</f>
        <v>0</v>
      </c>
      <c r="AH116">
        <f ca="1" t="shared" si="117"/>
        <v>96007</v>
      </c>
      <c r="AJ116">
        <f ca="1" t="shared" si="118"/>
        <v>2.3704910616</v>
      </c>
      <c r="AK116">
        <f ca="1" t="shared" si="354"/>
        <v>4717430</v>
      </c>
      <c r="AL116">
        <f ca="1" t="shared" si="310"/>
        <v>26269427.663333</v>
      </c>
      <c r="AM116" s="169">
        <f ca="1" t="shared" si="121"/>
        <v>0.7272</v>
      </c>
      <c r="AN116">
        <f ca="1">技能数计算!$AJ108</f>
        <v>0</v>
      </c>
      <c r="AO116" s="170">
        <f ca="1" t="shared" si="311"/>
        <v>26662911.2101265</v>
      </c>
      <c r="AP116">
        <f ca="1" t="shared" si="123"/>
        <v>97084</v>
      </c>
      <c r="AQ116" s="170">
        <f ca="1" t="shared" si="355"/>
        <v>4717430</v>
      </c>
      <c r="AR116">
        <f ca="1" t="shared" si="312"/>
        <v>25792746.9389411</v>
      </c>
      <c r="AS116">
        <f ca="1" t="shared" si="126"/>
        <v>0.7843</v>
      </c>
      <c r="AT116">
        <f ca="1">技能数计算!$AJ108</f>
        <v>0</v>
      </c>
      <c r="AU116">
        <f ca="1" t="shared" si="127"/>
        <v>2.3177566866</v>
      </c>
      <c r="AV116">
        <f ca="1" t="shared" si="313"/>
        <v>1.7995442148</v>
      </c>
      <c r="AW116">
        <f ca="1" t="shared" si="155"/>
        <v>27338879.616497</v>
      </c>
      <c r="AX116">
        <f ca="1" t="shared" si="129"/>
        <v>0.7743</v>
      </c>
      <c r="AY116">
        <f ca="1">技能数计算!$AJ108</f>
        <v>0</v>
      </c>
      <c r="AZ116" s="170">
        <f ca="1" t="shared" si="156"/>
        <v>27161718.5745726</v>
      </c>
      <c r="BA116">
        <f ca="1" t="shared" si="130"/>
        <v>0.7643</v>
      </c>
      <c r="BB116">
        <f ca="1">技能数计算!$AJ108</f>
        <v>0</v>
      </c>
      <c r="BC116" s="170">
        <f ca="1" t="shared" si="157"/>
        <v>26984557.5326481</v>
      </c>
      <c r="BE116">
        <f ca="1" t="shared" si="131"/>
        <v>91977</v>
      </c>
      <c r="BF116">
        <f ca="1" t="shared" si="356"/>
        <v>4717430</v>
      </c>
      <c r="BI116">
        <f ca="1" t="shared" si="133"/>
        <v>0.7543</v>
      </c>
      <c r="BJ116">
        <f ca="1">技能数计算!$AJ108</f>
        <v>0</v>
      </c>
      <c r="BK116">
        <f ca="1" t="shared" si="314"/>
        <v>26837430.0671706</v>
      </c>
      <c r="BM116">
        <f ca="1" t="shared" si="135"/>
        <v>95358</v>
      </c>
      <c r="BN116">
        <f ca="1" t="shared" si="357"/>
        <v>4717430</v>
      </c>
      <c r="BO116">
        <f ca="1" t="shared" si="315"/>
        <v>26312101.1372405</v>
      </c>
      <c r="BP116">
        <f ca="1" t="shared" si="316"/>
        <v>25092333.4788493</v>
      </c>
      <c r="BR116">
        <f ca="1" t="shared" si="139"/>
        <v>0.7543</v>
      </c>
      <c r="BS116">
        <f ca="1" t="shared" si="317"/>
        <v>26079515.7900701</v>
      </c>
      <c r="BT116">
        <f ca="1" t="shared" si="358"/>
        <v>0.318170800459405</v>
      </c>
      <c r="BU116">
        <f ca="1" t="shared" si="142"/>
        <v>2.3177566866</v>
      </c>
      <c r="BV116">
        <f ca="1" t="shared" si="158"/>
        <v>27073490.7105874</v>
      </c>
      <c r="BW116">
        <f ca="1" t="shared" si="143"/>
        <v>99155</v>
      </c>
      <c r="BX116">
        <f ca="1" t="shared" si="359"/>
        <v>4717430</v>
      </c>
      <c r="BY116">
        <f ca="1" t="shared" si="145"/>
        <v>0.7343</v>
      </c>
      <c r="BZ116">
        <f ca="1">技能数计算!$AJ108</f>
        <v>0</v>
      </c>
      <c r="CA116">
        <f ca="1" t="shared" si="146"/>
        <v>2.3216629366</v>
      </c>
      <c r="CB116">
        <f ca="1" t="shared" si="159"/>
        <v>26306815.9491387</v>
      </c>
      <c r="CC116">
        <f ca="1" t="shared" si="147"/>
        <v>100975</v>
      </c>
      <c r="CD116">
        <f ca="1" t="shared" si="360"/>
        <v>4717430</v>
      </c>
      <c r="CE116">
        <f ca="1" t="shared" si="318"/>
        <v>25575475.3360785</v>
      </c>
      <c r="CF116">
        <f ca="1" t="shared" si="150"/>
        <v>2.2689285616</v>
      </c>
      <c r="CG116">
        <f ca="1" t="shared" si="151"/>
        <v>0.7343</v>
      </c>
      <c r="CH116">
        <f ca="1" t="shared" si="160"/>
        <v>25971041.6266049</v>
      </c>
      <c r="CJ116">
        <f ca="1" t="shared" si="361"/>
        <v>4717430</v>
      </c>
      <c r="CK116">
        <f ca="1" t="shared" si="319"/>
        <v>26192908.7531411</v>
      </c>
      <c r="CL116">
        <f ca="1" t="shared" si="362"/>
        <v>2.2915848116</v>
      </c>
      <c r="CM116">
        <f ca="1">IF(G116="恒定伤害",0,(IF(D116="轻剑",$CM$8,$CM$9)+IFERROR(INDEX(技能数据库!$T$2:$W$27,MATCH(E116,技能数据库!$T$2:$T$27,0),4),0)+COUNTIF(G116,"*造化2*")*154+COUNTIF(G116,"*造化1*")*102+COUNTIF(G116,"*碧归*")*307)/1024)</f>
        <v>0.176868146929785</v>
      </c>
      <c r="CN116">
        <f ca="1" t="shared" si="162"/>
        <v>27615449.5266306</v>
      </c>
      <c r="CO116">
        <f ca="1" t="shared" si="363"/>
        <v>2.3156473116</v>
      </c>
      <c r="CP116">
        <f ca="1" t="shared" si="164"/>
        <v>27865879.2537068</v>
      </c>
      <c r="CQ116">
        <f ca="1" t="shared" si="320"/>
        <v>1.8815754648</v>
      </c>
      <c r="CR116">
        <f ca="1">IF(G116="恒定伤害",0,(IF(D116="轻剑",$CR$8,$CR$9)+IFERROR(INDEX(技能数据库!$T$2:$W$27,MATCH(E116,技能数据库!$T$2:$T$27,0),4),0)+COUNTIF(G116,"*造化2*")*154+COUNTIF(G116,"*造化1*")*102+COUNTIF(G116,"*碧归*")*307)/1024)</f>
        <v>0.167102521929785</v>
      </c>
      <c r="CS116">
        <f ca="1" t="shared" si="364"/>
        <v>26402253.0283325</v>
      </c>
    </row>
    <row r="117" spans="4:97">
      <c r="D117" t="s">
        <v>1825</v>
      </c>
      <c r="E117" s="161" t="s">
        <v>2850</v>
      </c>
      <c r="F117" t="s">
        <v>3160</v>
      </c>
      <c r="H117">
        <f ca="1">INDEX(技能数据库!$B$2:$I$100,MATCH(阵眼收益计算!$E117,技能数据库!$B$2:$B$100,0),MATCH(H$9,技能数据库!$B$2:$I$2,0))</f>
        <v>3667380</v>
      </c>
      <c r="I117">
        <f ca="1">INDEX(技能数据库!$B$2:$I$100,MATCH(阵眼收益计算!$E117,技能数据库!$B$2:$B$100,0),MATCH(I$9,技能数据库!$B$2:$I$2,0))</f>
        <v>0</v>
      </c>
      <c r="J117">
        <f ca="1">INDEX(技能数据库!$B$2:$I$100,MATCH(阵眼收益计算!$E117,技能数据库!$B$2:$B$100,0),MATCH(J$9,技能数据库!$B$2:$I$2,0))</f>
        <v>0</v>
      </c>
      <c r="K117">
        <f ca="1">INDEX(技能数据库!$B$2:$I$100,MATCH(阵眼收益计算!$E117,技能数据库!$B$2:$B$100,0),MATCH(K$9,技能数据库!$B$2:$I$2,0))</f>
        <v>0</v>
      </c>
      <c r="L117">
        <f ca="1" t="shared" si="110"/>
        <v>91975</v>
      </c>
      <c r="M117">
        <f ca="1" t="shared" si="365"/>
        <v>19530.5</v>
      </c>
      <c r="N117">
        <f ca="1" t="shared" si="366"/>
        <v>92028</v>
      </c>
      <c r="O117">
        <f ca="1" t="shared" si="345"/>
        <v>3667380</v>
      </c>
      <c r="P117">
        <f ca="1">IF(G117="恒定伤害",0,(IF(D117="轻剑",$AZ$2,$AZ$3)+IFERROR(INDEX(技能数据库!$T$2:$W$27,MATCH(E117,技能数据库!$T$2:$T$27,0),4),0)+COUNTIF(G117,"*造化2*")*154+COUNTIF(G117,"*造化1*")*102+COUNTIF(G117,"*碧归*")*307)/1024)</f>
        <v>0.116321271929785</v>
      </c>
      <c r="Q117">
        <f ca="1" t="shared" si="308"/>
        <v>0.0415122129107408</v>
      </c>
      <c r="R117">
        <f ca="1" t="shared" si="346"/>
        <v>0.32958230397716</v>
      </c>
      <c r="S117">
        <f ca="1" t="shared" si="367"/>
        <v>2858610.26452879</v>
      </c>
      <c r="T117">
        <f t="shared" si="178"/>
        <v>0.8</v>
      </c>
      <c r="U117">
        <f ca="1" t="shared" si="309"/>
        <v>1.7800129648</v>
      </c>
      <c r="V117">
        <f ca="1" t="shared" si="368"/>
        <v>6357578.87736031</v>
      </c>
      <c r="W117">
        <f ca="1">IF(G117="恒定伤害",0,MIN(1,IF(COUNTIF(F117,"*内会*")&gt;0,内会2,IF(D117="轻剑",$Y$2,$Y$3)+COUNTIF(G117,"*莺鸣*")*0.2+COUNTIF(G117,"*叠1*")*0.1+COUNTIF(G117,"*叠2*")*0.2+COUNTIF(G117,"*叠3*")*0.3)+IFERROR(INDEX(技能数据库!$T$2:$W$27,MATCH(E117,技能数据库!$T$2:$T$27,0),2),0)+IF((IF(D117="轻剑",$AO$2,$AO$3)+INT(COUNTIF(G117,"*大莺鸣*")*IF(D117="轻剑",$AM$2,$AM$3)*听晓无双率)/无双系数)&gt;0.9,特效裤子会心/会心系数,0)))</f>
        <v>0.0826138197194782</v>
      </c>
      <c r="X117">
        <f ca="1">IF(G117="恒定伤害",0,IF(COUNTIF(F117,"*内会*")&gt;0,内会效2,IF(D117="轻剑",$AB$2,$AB$3))+IFERROR(INDEX(技能数据库!$T$2:$W$27,MATCH(E117,技能数据库!$T$2:$T$27,0),3)/1024,0))+COUNTIF(G117,"*叠1*")*0.25+COUNTIF(G117,"*叠2*")*0.5+COUNTIF(G117,"*叠3*")*0.75</f>
        <v>1.79000318487951</v>
      </c>
      <c r="Y117">
        <f ca="1" t="shared" si="369"/>
        <v>1.06526518069345</v>
      </c>
      <c r="Z117">
        <f t="shared" si="350"/>
        <v>0.150390625</v>
      </c>
      <c r="AA117">
        <f ca="1" t="shared" si="370"/>
        <v>0.0205078125</v>
      </c>
      <c r="AB117">
        <f ca="1" t="shared" si="371"/>
        <v>7950805.99661781</v>
      </c>
      <c r="AC117">
        <f ca="1">技能数计算!$AJ109</f>
        <v>0</v>
      </c>
      <c r="AD117" s="164">
        <f ca="1" t="shared" si="353"/>
        <v>0</v>
      </c>
      <c r="AE117" s="168"/>
      <c r="AF117" s="168">
        <f ca="1" t="shared" si="116"/>
        <v>0.0826138197194782</v>
      </c>
      <c r="AG117">
        <f ca="1">技能数计算!$AJ109</f>
        <v>0</v>
      </c>
      <c r="AH117">
        <f ca="1" t="shared" si="117"/>
        <v>96007</v>
      </c>
      <c r="AJ117">
        <f ca="1" t="shared" si="118"/>
        <v>1.79000318487951</v>
      </c>
      <c r="AK117">
        <f ca="1" t="shared" si="354"/>
        <v>3667380</v>
      </c>
      <c r="AL117">
        <f ca="1" t="shared" si="310"/>
        <v>7950805.99661781</v>
      </c>
      <c r="AM117" s="169">
        <f ca="1" t="shared" si="121"/>
        <v>0.0826138197194782</v>
      </c>
      <c r="AN117">
        <f ca="1">技能数计算!$AJ109</f>
        <v>0</v>
      </c>
      <c r="AO117" s="170">
        <f ca="1" t="shared" si="311"/>
        <v>7950805.99661781</v>
      </c>
      <c r="AP117">
        <f ca="1" t="shared" si="123"/>
        <v>97084</v>
      </c>
      <c r="AQ117" s="170">
        <f ca="1" t="shared" si="355"/>
        <v>3667380</v>
      </c>
      <c r="AR117">
        <f ca="1" t="shared" si="312"/>
        <v>7950805.99661781</v>
      </c>
      <c r="AS117">
        <f ca="1" t="shared" si="126"/>
        <v>0.0826138197194782</v>
      </c>
      <c r="AT117">
        <f ca="1">技能数计算!$AJ109</f>
        <v>0</v>
      </c>
      <c r="AU117">
        <f ca="1" t="shared" si="127"/>
        <v>1.79000318487951</v>
      </c>
      <c r="AV117">
        <f ca="1" t="shared" si="313"/>
        <v>1.7995442148</v>
      </c>
      <c r="AW117">
        <f ca="1" t="shared" si="155"/>
        <v>8006665.15324322</v>
      </c>
      <c r="AX117">
        <f ca="1" t="shared" si="129"/>
        <v>0.0826138197194782</v>
      </c>
      <c r="AY117">
        <f ca="1">技能数计算!$AJ109</f>
        <v>0</v>
      </c>
      <c r="AZ117" s="170">
        <f ca="1" t="shared" si="156"/>
        <v>8006665.15324322</v>
      </c>
      <c r="BA117">
        <f ca="1" t="shared" si="130"/>
        <v>0.0826138197194782</v>
      </c>
      <c r="BB117">
        <f ca="1">技能数计算!$AJ109</f>
        <v>0</v>
      </c>
      <c r="BC117" s="170">
        <f ca="1" t="shared" si="157"/>
        <v>8006665.15324322</v>
      </c>
      <c r="BE117">
        <f ca="1" t="shared" si="131"/>
        <v>91977</v>
      </c>
      <c r="BF117">
        <f ca="1" t="shared" si="356"/>
        <v>3667380</v>
      </c>
      <c r="BI117">
        <f ca="1" t="shared" si="133"/>
        <v>0.0826138197194782</v>
      </c>
      <c r="BJ117">
        <f ca="1">技能数计算!$AJ109</f>
        <v>0</v>
      </c>
      <c r="BK117">
        <f ca="1" t="shared" si="314"/>
        <v>8006665.15324322</v>
      </c>
      <c r="BM117">
        <f ca="1" t="shared" si="135"/>
        <v>95358</v>
      </c>
      <c r="BN117">
        <f ca="1" t="shared" si="357"/>
        <v>3667380</v>
      </c>
      <c r="BO117">
        <f ca="1" t="shared" si="315"/>
        <v>7950805.99661781</v>
      </c>
      <c r="BP117">
        <f ca="1" t="shared" si="316"/>
        <v>7950805.99661781</v>
      </c>
      <c r="BR117">
        <f ca="1" t="shared" si="139"/>
        <v>0.132613819719478</v>
      </c>
      <c r="BS117">
        <f ca="1" t="shared" si="317"/>
        <v>8303553.24674161</v>
      </c>
      <c r="BT117">
        <f ca="1" t="shared" si="358"/>
        <v>0.318170800459405</v>
      </c>
      <c r="BU117">
        <f ca="1" t="shared" si="142"/>
        <v>1.93648755987951</v>
      </c>
      <c r="BV117">
        <f ca="1" t="shared" si="158"/>
        <v>8533431.95989395</v>
      </c>
      <c r="BW117">
        <f ca="1" t="shared" si="143"/>
        <v>99155</v>
      </c>
      <c r="BX117">
        <f ca="1" t="shared" si="359"/>
        <v>3667380</v>
      </c>
      <c r="BY117">
        <f ca="1" t="shared" si="145"/>
        <v>0.0826138197194782</v>
      </c>
      <c r="BZ117">
        <f ca="1">技能数计算!$AJ109</f>
        <v>0</v>
      </c>
      <c r="CA117">
        <f ca="1" t="shared" si="146"/>
        <v>1.79000318487951</v>
      </c>
      <c r="CB117">
        <f ca="1" t="shared" si="159"/>
        <v>7950805.99661781</v>
      </c>
      <c r="CC117">
        <f ca="1" t="shared" si="147"/>
        <v>100975</v>
      </c>
      <c r="CD117">
        <f ca="1" t="shared" si="360"/>
        <v>3667380</v>
      </c>
      <c r="CE117">
        <f ca="1" t="shared" si="318"/>
        <v>7950805.99661781</v>
      </c>
      <c r="CF117">
        <f ca="1" t="shared" si="150"/>
        <v>1.79000318487951</v>
      </c>
      <c r="CG117">
        <f ca="1" t="shared" si="151"/>
        <v>0.112613819719478</v>
      </c>
      <c r="CH117">
        <f ca="1" t="shared" si="160"/>
        <v>8006665.15324322</v>
      </c>
      <c r="CJ117">
        <f ca="1" t="shared" si="361"/>
        <v>3667380</v>
      </c>
      <c r="CK117">
        <f ca="1" t="shared" si="319"/>
        <v>7950805.99661781</v>
      </c>
      <c r="CL117">
        <f ca="1" t="shared" si="362"/>
        <v>1.91031568487951</v>
      </c>
      <c r="CM117">
        <f ca="1">IF(G117="恒定伤害",0,(IF(D117="轻剑",$CM$8,$CM$9)+IFERROR(INDEX(技能数据库!$T$2:$W$27,MATCH(E117,技能数据库!$T$2:$T$27,0),4),0)+COUNTIF(G117,"*造化2*")*154+COUNTIF(G117,"*造化1*")*102+COUNTIF(G117,"*碧归*")*307)/1024)</f>
        <v>0.176868146929785</v>
      </c>
      <c r="CN117">
        <f ca="1" t="shared" si="162"/>
        <v>8736082.06531081</v>
      </c>
      <c r="CO117">
        <f ca="1" t="shared" si="363"/>
        <v>1.93437818487951</v>
      </c>
      <c r="CP117">
        <f ca="1" t="shared" si="164"/>
        <v>8757553.69352306</v>
      </c>
      <c r="CQ117">
        <f ca="1" t="shared" si="320"/>
        <v>1.8815754648</v>
      </c>
      <c r="CR117">
        <f ca="1">IF(G117="恒定伤害",0,(IF(D117="轻剑",$CR$8,$CR$9)+IFERROR(INDEX(技能数据库!$T$2:$W$27,MATCH(E117,技能数据库!$T$2:$T$27,0),4),0)+COUNTIF(G117,"*造化2*")*154+COUNTIF(G117,"*造化1*")*102+COUNTIF(G117,"*碧归*")*307)/1024)</f>
        <v>0.167102521929785</v>
      </c>
      <c r="CS117">
        <f ca="1" t="shared" si="364"/>
        <v>8616167.63672861</v>
      </c>
    </row>
    <row r="118" spans="4:97">
      <c r="D118" t="s">
        <v>1825</v>
      </c>
      <c r="E118" s="161" t="s">
        <v>2853</v>
      </c>
      <c r="F118" t="s">
        <v>3160</v>
      </c>
      <c r="H118">
        <f ca="1">INDEX(技能数据库!$B$2:$I$100,MATCH(阵眼收益计算!$E118,技能数据库!$B$2:$B$100,0),MATCH(H$9,技能数据库!$B$2:$I$2,0))</f>
        <v>2444920</v>
      </c>
      <c r="I118">
        <f ca="1">INDEX(技能数据库!$B$2:$I$100,MATCH(阵眼收益计算!$E118,技能数据库!$B$2:$B$100,0),MATCH(I$9,技能数据库!$B$2:$I$2,0))</f>
        <v>0</v>
      </c>
      <c r="J118">
        <f ca="1">INDEX(技能数据库!$B$2:$I$100,MATCH(阵眼收益计算!$E118,技能数据库!$B$2:$B$100,0),MATCH(J$9,技能数据库!$B$2:$I$2,0))</f>
        <v>0</v>
      </c>
      <c r="K118">
        <f ca="1">INDEX(技能数据库!$B$2:$I$100,MATCH(阵眼收益计算!$E118,技能数据库!$B$2:$B$100,0),MATCH(K$9,技能数据库!$B$2:$I$2,0))</f>
        <v>0</v>
      </c>
      <c r="L118">
        <f ca="1" t="shared" si="110"/>
        <v>91975</v>
      </c>
      <c r="M118">
        <f ca="1" t="shared" si="365"/>
        <v>19530.5</v>
      </c>
      <c r="N118">
        <f ca="1" t="shared" si="366"/>
        <v>92028</v>
      </c>
      <c r="O118">
        <f ca="1" t="shared" si="345"/>
        <v>2444920</v>
      </c>
      <c r="P118">
        <f ca="1">IF(G118="恒定伤害",0,(IF(D118="轻剑",$AZ$2,$AZ$3)+IFERROR(INDEX(技能数据库!$T$2:$W$27,MATCH(E118,技能数据库!$T$2:$T$27,0),4),0)+COUNTIF(G118,"*造化2*")*154+COUNTIF(G118,"*造化1*")*102+COUNTIF(G118,"*碧归*")*307)/1024)</f>
        <v>0.116321271929785</v>
      </c>
      <c r="Q118">
        <f ca="1" t="shared" si="308"/>
        <v>0.0415122129107408</v>
      </c>
      <c r="R118">
        <f ca="1" t="shared" si="346"/>
        <v>0.32958230397716</v>
      </c>
      <c r="S118">
        <f ca="1" t="shared" si="367"/>
        <v>1905740.17635253</v>
      </c>
      <c r="T118">
        <f t="shared" si="178"/>
        <v>0.8</v>
      </c>
      <c r="U118">
        <f ca="1" t="shared" si="309"/>
        <v>1.7800129648</v>
      </c>
      <c r="V118">
        <f ca="1" t="shared" si="368"/>
        <v>4238385.91824021</v>
      </c>
      <c r="W118">
        <f ca="1">IF(G118="恒定伤害",0,MIN(1,IF(COUNTIF(F118,"*内会*")&gt;0,内会2,IF(D118="轻剑",$Y$2,$Y$3)+COUNTIF(G118,"*莺鸣*")*0.2+COUNTIF(G118,"*叠1*")*0.1+COUNTIF(G118,"*叠2*")*0.2+COUNTIF(G118,"*叠3*")*0.3)+IFERROR(INDEX(技能数据库!$T$2:$W$27,MATCH(E118,技能数据库!$T$2:$T$27,0),2),0)+IF((IF(D118="轻剑",$AO$2,$AO$3)+INT(COUNTIF(G118,"*大莺鸣*")*IF(D118="轻剑",$AM$2,$AM$3)*听晓无双率)/无双系数)&gt;0.9,特效裤子会心/会心系数,0)))</f>
        <v>0.0826138197194782</v>
      </c>
      <c r="X118">
        <f ca="1">IF(G118="恒定伤害",0,IF(COUNTIF(F118,"*内会*")&gt;0,内会效2,IF(D118="轻剑",$AB$2,$AB$3))+IFERROR(INDEX(技能数据库!$T$2:$W$27,MATCH(E118,技能数据库!$T$2:$T$27,0),3)/1024,0))+COUNTIF(G118,"*叠1*")*0.25+COUNTIF(G118,"*叠2*")*0.5+COUNTIF(G118,"*叠3*")*0.75</f>
        <v>1.79000318487951</v>
      </c>
      <c r="Y118">
        <f ca="1" t="shared" si="369"/>
        <v>1.06526518069345</v>
      </c>
      <c r="Z118">
        <f t="shared" si="350"/>
        <v>0.150390625</v>
      </c>
      <c r="AA118">
        <f ca="1" t="shared" si="370"/>
        <v>0.0205078125</v>
      </c>
      <c r="AB118">
        <f ca="1" t="shared" si="371"/>
        <v>5300537.33107854</v>
      </c>
      <c r="AC118">
        <f ca="1">技能数计算!$AJ110</f>
        <v>0</v>
      </c>
      <c r="AD118" s="164">
        <f ca="1" t="shared" si="353"/>
        <v>0</v>
      </c>
      <c r="AE118" s="168"/>
      <c r="AF118" s="168">
        <f ca="1" t="shared" si="116"/>
        <v>0.0826138197194782</v>
      </c>
      <c r="AG118">
        <f ca="1">技能数计算!$AJ110</f>
        <v>0</v>
      </c>
      <c r="AH118">
        <f ca="1" t="shared" si="117"/>
        <v>96007</v>
      </c>
      <c r="AJ118">
        <f ca="1" t="shared" si="118"/>
        <v>1.79000318487951</v>
      </c>
      <c r="AK118">
        <f ca="1" t="shared" si="354"/>
        <v>2444920</v>
      </c>
      <c r="AL118">
        <f ca="1" t="shared" si="310"/>
        <v>5300537.33107854</v>
      </c>
      <c r="AM118" s="169">
        <f ca="1" t="shared" si="121"/>
        <v>0.0826138197194782</v>
      </c>
      <c r="AN118">
        <f ca="1">技能数计算!$AJ110</f>
        <v>0</v>
      </c>
      <c r="AO118" s="170">
        <f ca="1" t="shared" si="311"/>
        <v>5300537.33107854</v>
      </c>
      <c r="AP118">
        <f ca="1" t="shared" si="123"/>
        <v>97084</v>
      </c>
      <c r="AQ118" s="170">
        <f ca="1" t="shared" si="355"/>
        <v>2444920</v>
      </c>
      <c r="AR118">
        <f ca="1" t="shared" si="312"/>
        <v>5300537.33107854</v>
      </c>
      <c r="AS118">
        <f ca="1" t="shared" si="126"/>
        <v>0.0826138197194782</v>
      </c>
      <c r="AT118">
        <f ca="1">技能数计算!$AJ110</f>
        <v>0</v>
      </c>
      <c r="AU118">
        <f ca="1" t="shared" si="127"/>
        <v>1.79000318487951</v>
      </c>
      <c r="AV118">
        <f ca="1" t="shared" si="313"/>
        <v>1.7995442148</v>
      </c>
      <c r="AW118">
        <f ca="1" t="shared" si="155"/>
        <v>5337776.76882881</v>
      </c>
      <c r="AX118">
        <f ca="1" t="shared" si="129"/>
        <v>0.0826138197194782</v>
      </c>
      <c r="AY118">
        <f ca="1">技能数计算!$AJ110</f>
        <v>0</v>
      </c>
      <c r="AZ118" s="170">
        <f ca="1" t="shared" si="156"/>
        <v>5337776.76882881</v>
      </c>
      <c r="BA118">
        <f ca="1" t="shared" si="130"/>
        <v>0.0826138197194782</v>
      </c>
      <c r="BB118">
        <f ca="1">技能数计算!$AJ110</f>
        <v>0</v>
      </c>
      <c r="BC118" s="170">
        <f ca="1" t="shared" si="157"/>
        <v>5337776.76882881</v>
      </c>
      <c r="BE118">
        <f ca="1" t="shared" si="131"/>
        <v>91977</v>
      </c>
      <c r="BF118">
        <f ca="1" t="shared" si="356"/>
        <v>2444920</v>
      </c>
      <c r="BI118">
        <f ca="1" t="shared" si="133"/>
        <v>0.0826138197194782</v>
      </c>
      <c r="BJ118">
        <f ca="1">技能数计算!$AJ110</f>
        <v>0</v>
      </c>
      <c r="BK118">
        <f ca="1" t="shared" si="314"/>
        <v>5337776.76882881</v>
      </c>
      <c r="BM118">
        <f ca="1" t="shared" si="135"/>
        <v>95358</v>
      </c>
      <c r="BN118">
        <f ca="1" t="shared" si="357"/>
        <v>2444920</v>
      </c>
      <c r="BO118">
        <f ca="1" t="shared" si="315"/>
        <v>5300537.33107854</v>
      </c>
      <c r="BP118">
        <f ca="1" t="shared" si="316"/>
        <v>5300537.33107854</v>
      </c>
      <c r="BR118">
        <f ca="1" t="shared" si="139"/>
        <v>0.132613819719478</v>
      </c>
      <c r="BS118">
        <f ca="1" t="shared" si="317"/>
        <v>5535702.16449441</v>
      </c>
      <c r="BT118">
        <f ca="1" t="shared" si="358"/>
        <v>0.318170800459405</v>
      </c>
      <c r="BU118">
        <f ca="1" t="shared" si="142"/>
        <v>1.93648755987951</v>
      </c>
      <c r="BV118">
        <f ca="1" t="shared" si="158"/>
        <v>5688954.6399293</v>
      </c>
      <c r="BW118">
        <f ca="1" t="shared" si="143"/>
        <v>99155</v>
      </c>
      <c r="BX118">
        <f ca="1" t="shared" si="359"/>
        <v>2444920</v>
      </c>
      <c r="BY118">
        <f ca="1" t="shared" si="145"/>
        <v>0.0826138197194782</v>
      </c>
      <c r="BZ118">
        <f ca="1">技能数计算!$AJ110</f>
        <v>0</v>
      </c>
      <c r="CA118">
        <f ca="1" t="shared" si="146"/>
        <v>1.79000318487951</v>
      </c>
      <c r="CB118">
        <f ca="1" t="shared" si="159"/>
        <v>5300537.33107854</v>
      </c>
      <c r="CC118">
        <f ca="1" t="shared" si="147"/>
        <v>100975</v>
      </c>
      <c r="CD118">
        <f ca="1" t="shared" si="360"/>
        <v>2444920</v>
      </c>
      <c r="CE118">
        <f ca="1" t="shared" si="318"/>
        <v>5300537.33107854</v>
      </c>
      <c r="CF118">
        <f ca="1" t="shared" si="150"/>
        <v>1.79000318487951</v>
      </c>
      <c r="CG118">
        <f ca="1" t="shared" si="151"/>
        <v>0.112613819719478</v>
      </c>
      <c r="CH118">
        <f ca="1" t="shared" si="160"/>
        <v>5337776.76882881</v>
      </c>
      <c r="CJ118">
        <f ca="1" t="shared" si="361"/>
        <v>2444920</v>
      </c>
      <c r="CK118">
        <f ca="1" t="shared" si="319"/>
        <v>5300537.33107854</v>
      </c>
      <c r="CL118">
        <f ca="1" t="shared" si="362"/>
        <v>1.91031568487951</v>
      </c>
      <c r="CM118">
        <f ca="1">IF(G118="恒定伤害",0,(IF(D118="轻剑",$CM$8,$CM$9)+IFERROR(INDEX(技能数据库!$T$2:$W$27,MATCH(E118,技能数据库!$T$2:$T$27,0),4),0)+COUNTIF(G118,"*造化2*")*154+COUNTIF(G118,"*造化1*")*102+COUNTIF(G118,"*碧归*")*307)/1024)</f>
        <v>0.176868146929785</v>
      </c>
      <c r="CN118">
        <f ca="1" t="shared" si="162"/>
        <v>5824054.7102072</v>
      </c>
      <c r="CO118">
        <f ca="1" t="shared" si="363"/>
        <v>1.93437818487951</v>
      </c>
      <c r="CP118">
        <f ca="1" t="shared" si="164"/>
        <v>5838369.12901537</v>
      </c>
      <c r="CQ118">
        <f ca="1" t="shared" si="320"/>
        <v>1.8815754648</v>
      </c>
      <c r="CR118">
        <f ca="1">IF(G118="恒定伤害",0,(IF(D118="轻剑",$CR$8,$CR$9)+IFERROR(INDEX(技能数据库!$T$2:$W$27,MATCH(E118,技能数据库!$T$2:$T$27,0),4),0)+COUNTIF(G118,"*造化2*")*154+COUNTIF(G118,"*造化1*")*102+COUNTIF(G118,"*碧归*")*307)/1024)</f>
        <v>0.167102521929785</v>
      </c>
      <c r="CS118">
        <f ca="1" t="shared" si="364"/>
        <v>5744111.75781907</v>
      </c>
    </row>
    <row r="119" spans="4:97">
      <c r="D119" t="s">
        <v>1825</v>
      </c>
      <c r="E119" s="161" t="s">
        <v>2855</v>
      </c>
      <c r="F119" t="s">
        <v>3160</v>
      </c>
      <c r="H119">
        <f ca="1">INDEX(技能数据库!$B$2:$I$100,MATCH(阵眼收益计算!$E119,技能数据库!$B$2:$B$100,0),MATCH(H$9,技能数据库!$B$2:$I$2,0))</f>
        <v>815</v>
      </c>
      <c r="I119">
        <f ca="1">INDEX(技能数据库!$B$2:$I$100,MATCH(阵眼收益计算!$E119,技能数据库!$B$2:$B$100,0),MATCH(I$9,技能数据库!$B$2:$I$2,0))</f>
        <v>0</v>
      </c>
      <c r="J119">
        <f ca="1">INDEX(技能数据库!$B$2:$I$100,MATCH(阵眼收益计算!$E119,技能数据库!$B$2:$B$100,0),MATCH(J$9,技能数据库!$B$2:$I$2,0))</f>
        <v>0</v>
      </c>
      <c r="K119">
        <f ca="1">INDEX(技能数据库!$B$2:$I$100,MATCH(阵眼收益计算!$E119,技能数据库!$B$2:$B$100,0),MATCH(K$9,技能数据库!$B$2:$I$2,0))</f>
        <v>0</v>
      </c>
      <c r="L119">
        <f ca="1" t="shared" si="110"/>
        <v>91975</v>
      </c>
      <c r="M119">
        <f ca="1" t="shared" si="365"/>
        <v>19530.5</v>
      </c>
      <c r="N119">
        <f ca="1" t="shared" si="366"/>
        <v>92028</v>
      </c>
      <c r="O119">
        <f ca="1" t="shared" si="345"/>
        <v>815</v>
      </c>
      <c r="P119">
        <f ca="1">IF(G119="恒定伤害",0,(IF(D119="轻剑",$AZ$2,$AZ$3)+IFERROR(INDEX(技能数据库!$T$2:$W$27,MATCH(E119,技能数据库!$T$2:$T$27,0),4),0)+COUNTIF(G119,"*造化2*")*154+COUNTIF(G119,"*造化1*")*102+COUNTIF(G119,"*碧归*")*307)/1024)</f>
        <v>0.116321271929785</v>
      </c>
      <c r="Q119">
        <f ca="1" t="shared" si="308"/>
        <v>0.0415122129107408</v>
      </c>
      <c r="R119">
        <f ca="1" t="shared" si="346"/>
        <v>0.32958230397716</v>
      </c>
      <c r="S119">
        <f ca="1" t="shared" si="367"/>
        <v>635.267511299883</v>
      </c>
      <c r="T119">
        <f t="shared" si="178"/>
        <v>0.8</v>
      </c>
      <c r="U119">
        <f ca="1" t="shared" si="309"/>
        <v>1.7800129648</v>
      </c>
      <c r="V119">
        <f ca="1" t="shared" si="368"/>
        <v>1412.84153402392</v>
      </c>
      <c r="W119">
        <f ca="1">IF(G119="恒定伤害",0,MIN(1,IF(COUNTIF(F119,"*内会*")&gt;0,内会2,IF(D119="轻剑",$Y$2,$Y$3)+COUNTIF(G119,"*莺鸣*")*0.2+COUNTIF(G119,"*叠1*")*0.1+COUNTIF(G119,"*叠2*")*0.2+COUNTIF(G119,"*叠3*")*0.3)+IFERROR(INDEX(技能数据库!$T$2:$W$27,MATCH(E119,技能数据库!$T$2:$T$27,0),2),0)+IF((IF(D119="轻剑",$AO$2,$AO$3)+INT(COUNTIF(G119,"*大莺鸣*")*IF(D119="轻剑",$AM$2,$AM$3)*听晓无双率)/无双系数)&gt;0.9,特效裤子会心/会心系数,0)))</f>
        <v>0.0826138197194782</v>
      </c>
      <c r="X119">
        <f ca="1">IF(G119="恒定伤害",0,IF(COUNTIF(F119,"*内会*")&gt;0,内会效2,IF(D119="轻剑",$AB$2,$AB$3))+IFERROR(INDEX(技能数据库!$T$2:$W$27,MATCH(E119,技能数据库!$T$2:$T$27,0),3)/1024,0))+COUNTIF(G119,"*叠1*")*0.25+COUNTIF(G119,"*叠2*")*0.5+COUNTIF(G119,"*叠3*")*0.75</f>
        <v>1.79000318487951</v>
      </c>
      <c r="Y119">
        <f ca="1" t="shared" si="369"/>
        <v>1.06526518069345</v>
      </c>
      <c r="Z119">
        <f t="shared" si="350"/>
        <v>0.150390625</v>
      </c>
      <c r="AA119">
        <f ca="1" t="shared" si="370"/>
        <v>0.0205078125</v>
      </c>
      <c r="AB119">
        <f ca="1" t="shared" si="371"/>
        <v>1766.90358982257</v>
      </c>
      <c r="AC119">
        <f ca="1">技能数计算!$AJ111</f>
        <v>0</v>
      </c>
      <c r="AD119" s="164">
        <f ca="1" t="shared" si="353"/>
        <v>0</v>
      </c>
      <c r="AE119" s="168"/>
      <c r="AF119" s="168">
        <f ca="1" t="shared" si="116"/>
        <v>0.0826138197194782</v>
      </c>
      <c r="AG119">
        <f ca="1">技能数计算!$AJ111</f>
        <v>0</v>
      </c>
      <c r="AH119">
        <f ca="1" t="shared" si="117"/>
        <v>96007</v>
      </c>
      <c r="AJ119">
        <f ca="1" t="shared" si="118"/>
        <v>1.79000318487951</v>
      </c>
      <c r="AK119">
        <f ca="1" t="shared" si="354"/>
        <v>815</v>
      </c>
      <c r="AL119">
        <f ca="1" t="shared" si="310"/>
        <v>1766.90358982257</v>
      </c>
      <c r="AM119" s="169">
        <f ca="1" t="shared" si="121"/>
        <v>0.0826138197194782</v>
      </c>
      <c r="AN119">
        <f ca="1">技能数计算!$AJ111</f>
        <v>0</v>
      </c>
      <c r="AO119" s="170">
        <f ca="1" t="shared" si="311"/>
        <v>1766.90358982257</v>
      </c>
      <c r="AP119">
        <f ca="1" t="shared" si="123"/>
        <v>97084</v>
      </c>
      <c r="AQ119" s="170">
        <f ca="1" t="shared" si="355"/>
        <v>815</v>
      </c>
      <c r="AR119">
        <f ca="1" t="shared" si="312"/>
        <v>1766.90358982257</v>
      </c>
      <c r="AS119">
        <f ca="1" t="shared" si="126"/>
        <v>0.0826138197194782</v>
      </c>
      <c r="AT119">
        <f ca="1">技能数计算!$AJ111</f>
        <v>0</v>
      </c>
      <c r="AU119">
        <f ca="1" t="shared" si="127"/>
        <v>1.79000318487951</v>
      </c>
      <c r="AV119">
        <f ca="1" t="shared" si="313"/>
        <v>1.7995442148</v>
      </c>
      <c r="AW119">
        <f ca="1" t="shared" si="155"/>
        <v>1779.31714190873</v>
      </c>
      <c r="AX119">
        <f ca="1" t="shared" si="129"/>
        <v>0.0826138197194782</v>
      </c>
      <c r="AY119">
        <f ca="1">技能数计算!$AJ111</f>
        <v>0</v>
      </c>
      <c r="AZ119" s="170">
        <f ca="1" t="shared" si="156"/>
        <v>1779.31714190873</v>
      </c>
      <c r="BA119">
        <f ca="1" t="shared" si="130"/>
        <v>0.0826138197194782</v>
      </c>
      <c r="BB119">
        <f ca="1">技能数计算!$AJ111</f>
        <v>0</v>
      </c>
      <c r="BC119" s="170">
        <f ca="1" t="shared" si="157"/>
        <v>1779.31714190873</v>
      </c>
      <c r="BE119">
        <f ca="1" t="shared" si="131"/>
        <v>91977</v>
      </c>
      <c r="BF119">
        <f ca="1" t="shared" si="356"/>
        <v>815</v>
      </c>
      <c r="BI119">
        <f ca="1" t="shared" si="133"/>
        <v>0.0826138197194782</v>
      </c>
      <c r="BJ119">
        <f ca="1">技能数计算!$AJ111</f>
        <v>0</v>
      </c>
      <c r="BK119">
        <f ca="1" t="shared" si="314"/>
        <v>1779.31714190873</v>
      </c>
      <c r="BM119">
        <f ca="1" t="shared" si="135"/>
        <v>95358</v>
      </c>
      <c r="BN119">
        <f ca="1" t="shared" si="357"/>
        <v>815</v>
      </c>
      <c r="BO119">
        <f ca="1" t="shared" si="315"/>
        <v>1766.90358982257</v>
      </c>
      <c r="BP119">
        <f ca="1" t="shared" si="316"/>
        <v>1766.90358982257</v>
      </c>
      <c r="BR119">
        <f ca="1" t="shared" si="139"/>
        <v>0.132613819719478</v>
      </c>
      <c r="BS119">
        <f ca="1" t="shared" si="317"/>
        <v>1845.29443256341</v>
      </c>
      <c r="BT119">
        <f ca="1" t="shared" si="358"/>
        <v>0.318170800459405</v>
      </c>
      <c r="BU119">
        <f ca="1" t="shared" si="142"/>
        <v>1.93648755987951</v>
      </c>
      <c r="BV119">
        <f ca="1" t="shared" si="158"/>
        <v>1896.38026256171</v>
      </c>
      <c r="BW119">
        <f ca="1" t="shared" si="143"/>
        <v>99155</v>
      </c>
      <c r="BX119">
        <f ca="1" t="shared" si="359"/>
        <v>815</v>
      </c>
      <c r="BY119">
        <f ca="1" t="shared" si="145"/>
        <v>0.0826138197194782</v>
      </c>
      <c r="BZ119">
        <f ca="1">技能数计算!$AJ111</f>
        <v>0</v>
      </c>
      <c r="CA119">
        <f ca="1" t="shared" si="146"/>
        <v>1.79000318487951</v>
      </c>
      <c r="CB119">
        <f ca="1" t="shared" si="159"/>
        <v>1766.90358982257</v>
      </c>
      <c r="CC119">
        <f ca="1" t="shared" si="147"/>
        <v>100975</v>
      </c>
      <c r="CD119">
        <f ca="1" t="shared" si="360"/>
        <v>815</v>
      </c>
      <c r="CE119">
        <f ca="1" t="shared" si="318"/>
        <v>1766.90358982257</v>
      </c>
      <c r="CF119">
        <f ca="1" t="shared" si="150"/>
        <v>1.79000318487951</v>
      </c>
      <c r="CG119">
        <f ca="1" t="shared" si="151"/>
        <v>0.112613819719478</v>
      </c>
      <c r="CH119">
        <f ca="1" t="shared" si="160"/>
        <v>1779.31714190873</v>
      </c>
      <c r="CJ119">
        <f ca="1" t="shared" si="361"/>
        <v>815</v>
      </c>
      <c r="CK119">
        <f ca="1" t="shared" si="319"/>
        <v>1766.90358982257</v>
      </c>
      <c r="CL119">
        <f ca="1" t="shared" si="362"/>
        <v>1.91031568487951</v>
      </c>
      <c r="CM119">
        <f ca="1">IF(G119="恒定伤害",0,(IF(D119="轻剑",$CM$8,$CM$9)+IFERROR(INDEX(技能数据库!$T$2:$W$27,MATCH(E119,技能数据库!$T$2:$T$27,0),4),0)+COUNTIF(G119,"*造化2*")*154+COUNTIF(G119,"*造化1*")*102+COUNTIF(G119,"*碧归*")*307)/1024)</f>
        <v>0.176868146929785</v>
      </c>
      <c r="CN119">
        <f ca="1" t="shared" si="162"/>
        <v>1941.41509285329</v>
      </c>
      <c r="CO119">
        <f ca="1" t="shared" si="363"/>
        <v>1.93437818487951</v>
      </c>
      <c r="CP119">
        <f ca="1" t="shared" si="164"/>
        <v>1946.18672191627</v>
      </c>
      <c r="CQ119">
        <f ca="1" t="shared" si="320"/>
        <v>1.8815754648</v>
      </c>
      <c r="CR119">
        <f ca="1">IF(G119="恒定伤害",0,(IF(D119="轻剑",$CR$8,$CR$9)+IFERROR(INDEX(技能数据库!$T$2:$W$27,MATCH(E119,技能数据库!$T$2:$T$27,0),4),0)+COUNTIF(G119,"*造化2*")*154+COUNTIF(G119,"*造化1*")*102+COUNTIF(G119,"*碧归*")*307)/1024)</f>
        <v>0.167102521929785</v>
      </c>
      <c r="CS119">
        <f ca="1" t="shared" si="364"/>
        <v>1914.76657012194</v>
      </c>
    </row>
    <row r="120" spans="4:97">
      <c r="D120" t="s">
        <v>1825</v>
      </c>
      <c r="E120" s="161" t="s">
        <v>2857</v>
      </c>
      <c r="F120" t="s">
        <v>3160</v>
      </c>
      <c r="H120">
        <f ca="1">INDEX(技能数据库!$B$2:$I$100,MATCH(阵眼收益计算!$E120,技能数据库!$B$2:$B$100,0),MATCH(H$9,技能数据库!$B$2:$I$2,0))</f>
        <v>469999</v>
      </c>
      <c r="I120">
        <f ca="1">INDEX(技能数据库!$B$2:$I$100,MATCH(阵眼收益计算!$E120,技能数据库!$B$2:$B$100,0),MATCH(I$9,技能数据库!$B$2:$I$2,0))</f>
        <v>0</v>
      </c>
      <c r="J120">
        <f ca="1">INDEX(技能数据库!$B$2:$I$100,MATCH(阵眼收益计算!$E120,技能数据库!$B$2:$B$100,0),MATCH(J$9,技能数据库!$B$2:$I$2,0))</f>
        <v>0</v>
      </c>
      <c r="K120">
        <f ca="1">INDEX(技能数据库!$B$2:$I$100,MATCH(阵眼收益计算!$E120,技能数据库!$B$2:$B$100,0),MATCH(K$9,技能数据库!$B$2:$I$2,0))</f>
        <v>0</v>
      </c>
      <c r="L120">
        <f ca="1" t="shared" si="110"/>
        <v>91975</v>
      </c>
      <c r="M120">
        <f ca="1" t="shared" si="365"/>
        <v>19530.5</v>
      </c>
      <c r="N120">
        <f ca="1" t="shared" si="366"/>
        <v>92028</v>
      </c>
      <c r="O120">
        <f ca="1" t="shared" si="345"/>
        <v>469999</v>
      </c>
      <c r="P120">
        <f ca="1">IF(G120="恒定伤害",0,(IF(D120="轻剑",$AZ$2,$AZ$3)+IFERROR(INDEX(技能数据库!$T$2:$W$27,MATCH(E120,技能数据库!$T$2:$T$27,0),4),0)+COUNTIF(G120,"*造化2*")*154+COUNTIF(G120,"*造化1*")*102+COUNTIF(G120,"*碧归*")*307)/1024)</f>
        <v>0.116321271929785</v>
      </c>
      <c r="Q120">
        <f ca="1" t="shared" si="308"/>
        <v>0.0415122129107408</v>
      </c>
      <c r="R120">
        <f ca="1" t="shared" si="346"/>
        <v>0.32958230397716</v>
      </c>
      <c r="S120">
        <f ca="1" t="shared" si="367"/>
        <v>366349.809869244</v>
      </c>
      <c r="T120">
        <f t="shared" si="178"/>
        <v>0.8</v>
      </c>
      <c r="U120">
        <f ca="1" t="shared" si="309"/>
        <v>1.7800129648</v>
      </c>
      <c r="V120">
        <f ca="1" t="shared" si="368"/>
        <v>814765.77687081</v>
      </c>
      <c r="W120">
        <f ca="1">IF(G120="恒定伤害",0,MIN(1,IF(COUNTIF(F120,"*内会*")&gt;0,内会2,IF(D120="轻剑",$Y$2,$Y$3)+COUNTIF(G120,"*莺鸣*")*0.2+COUNTIF(G120,"*叠1*")*0.1+COUNTIF(G120,"*叠2*")*0.2+COUNTIF(G120,"*叠3*")*0.3)+IFERROR(INDEX(技能数据库!$T$2:$W$27,MATCH(E120,技能数据库!$T$2:$T$27,0),2),0)+IF((IF(D120="轻剑",$AO$2,$AO$3)+INT(COUNTIF(G120,"*大莺鸣*")*IF(D120="轻剑",$AM$2,$AM$3)*听晓无双率)/无双系数)&gt;0.9,特效裤子会心/会心系数,0)))</f>
        <v>0.0826138197194782</v>
      </c>
      <c r="X120">
        <f ca="1">IF(G120="恒定伤害",0,IF(COUNTIF(F120,"*内会*")&gt;0,内会效2,IF(D120="轻剑",$AB$2,$AB$3))+IFERROR(INDEX(技能数据库!$T$2:$W$27,MATCH(E120,技能数据库!$T$2:$T$27,0),3)/1024,0))+COUNTIF(G120,"*叠1*")*0.25+COUNTIF(G120,"*叠2*")*0.5+COUNTIF(G120,"*叠3*")*0.75</f>
        <v>1.79000318487951</v>
      </c>
      <c r="Y120">
        <f ca="1" t="shared" si="369"/>
        <v>1.06526518069345</v>
      </c>
      <c r="Z120">
        <f t="shared" si="350"/>
        <v>0.150390625</v>
      </c>
      <c r="AA120">
        <f ca="1" t="shared" si="370"/>
        <v>0.0205078125</v>
      </c>
      <c r="AB120">
        <f ca="1" t="shared" si="371"/>
        <v>1018948.36848223</v>
      </c>
      <c r="AC120">
        <f>技能数计算!$AJ112</f>
        <v>0</v>
      </c>
      <c r="AD120" s="164">
        <f ca="1" t="shared" si="353"/>
        <v>0</v>
      </c>
      <c r="AE120" s="168"/>
      <c r="AF120" s="168">
        <f ca="1" t="shared" si="116"/>
        <v>0.0826138197194782</v>
      </c>
      <c r="AG120">
        <f>技能数计算!$AJ112</f>
        <v>0</v>
      </c>
      <c r="AH120">
        <f ca="1" t="shared" si="117"/>
        <v>96007</v>
      </c>
      <c r="AJ120">
        <f ca="1" t="shared" si="118"/>
        <v>1.79000318487951</v>
      </c>
      <c r="AK120">
        <f ca="1" t="shared" si="354"/>
        <v>469999</v>
      </c>
      <c r="AL120">
        <f ca="1" t="shared" si="310"/>
        <v>1018948.36848223</v>
      </c>
      <c r="AM120" s="169">
        <f ca="1" t="shared" si="121"/>
        <v>0.0826138197194782</v>
      </c>
      <c r="AN120">
        <f>技能数计算!$AJ112</f>
        <v>0</v>
      </c>
      <c r="AO120" s="170">
        <f ca="1" t="shared" si="311"/>
        <v>1018948.36848223</v>
      </c>
      <c r="AP120">
        <f ca="1" t="shared" si="123"/>
        <v>97084</v>
      </c>
      <c r="AQ120" s="170">
        <f ca="1" t="shared" si="355"/>
        <v>469999</v>
      </c>
      <c r="AR120">
        <f ca="1" t="shared" si="312"/>
        <v>1018948.36848223</v>
      </c>
      <c r="AS120">
        <f ca="1" t="shared" si="126"/>
        <v>0.0826138197194782</v>
      </c>
      <c r="AT120">
        <f>技能数计算!$AJ112</f>
        <v>0</v>
      </c>
      <c r="AU120">
        <f ca="1" t="shared" si="127"/>
        <v>1.79000318487951</v>
      </c>
      <c r="AV120">
        <f ca="1" t="shared" si="313"/>
        <v>1.7995442148</v>
      </c>
      <c r="AW120">
        <f ca="1" t="shared" si="155"/>
        <v>1026107.08880977</v>
      </c>
      <c r="AX120">
        <f ca="1" t="shared" si="129"/>
        <v>0.0826138197194782</v>
      </c>
      <c r="AY120">
        <f>技能数计算!$AJ112</f>
        <v>0</v>
      </c>
      <c r="AZ120" s="170">
        <f ca="1" t="shared" si="156"/>
        <v>1026107.08880977</v>
      </c>
      <c r="BA120">
        <f ca="1" t="shared" si="130"/>
        <v>0.0826138197194782</v>
      </c>
      <c r="BB120">
        <f>技能数计算!$AJ112</f>
        <v>0</v>
      </c>
      <c r="BC120" s="170">
        <f ca="1" t="shared" si="157"/>
        <v>1026107.08880977</v>
      </c>
      <c r="BE120">
        <f ca="1" t="shared" si="131"/>
        <v>91977</v>
      </c>
      <c r="BF120">
        <f ca="1" t="shared" si="356"/>
        <v>469999</v>
      </c>
      <c r="BI120">
        <f ca="1" t="shared" si="133"/>
        <v>0.0826138197194782</v>
      </c>
      <c r="BJ120">
        <f>技能数计算!$AJ112</f>
        <v>0</v>
      </c>
      <c r="BK120">
        <f ca="1" t="shared" si="314"/>
        <v>1026107.08880977</v>
      </c>
      <c r="BM120">
        <f ca="1" t="shared" si="135"/>
        <v>95358</v>
      </c>
      <c r="BN120">
        <f ca="1" t="shared" si="357"/>
        <v>469999</v>
      </c>
      <c r="BO120">
        <f ca="1" t="shared" si="315"/>
        <v>1018948.36848223</v>
      </c>
      <c r="BP120">
        <f ca="1" t="shared" si="316"/>
        <v>1018948.36848223</v>
      </c>
      <c r="BR120">
        <f ca="1" t="shared" si="139"/>
        <v>0.132613819719478</v>
      </c>
      <c r="BS120">
        <f ca="1" t="shared" si="317"/>
        <v>1064155.26136242</v>
      </c>
      <c r="BT120">
        <f ca="1" t="shared" si="358"/>
        <v>0.318170800459405</v>
      </c>
      <c r="BU120">
        <f ca="1" t="shared" si="142"/>
        <v>1.93648755987951</v>
      </c>
      <c r="BV120">
        <f ca="1" t="shared" si="158"/>
        <v>1093615.73867944</v>
      </c>
      <c r="BW120">
        <f ca="1" t="shared" si="143"/>
        <v>99155</v>
      </c>
      <c r="BX120">
        <f ca="1" t="shared" si="359"/>
        <v>469999</v>
      </c>
      <c r="BY120">
        <f ca="1" t="shared" si="145"/>
        <v>0.0826138197194782</v>
      </c>
      <c r="BZ120">
        <f>技能数计算!$AJ112</f>
        <v>0</v>
      </c>
      <c r="CA120">
        <f ca="1" t="shared" si="146"/>
        <v>1.79000318487951</v>
      </c>
      <c r="CB120">
        <f ca="1" t="shared" si="159"/>
        <v>1018948.36848223</v>
      </c>
      <c r="CC120">
        <f ca="1" t="shared" si="147"/>
        <v>100975</v>
      </c>
      <c r="CD120">
        <f ca="1" t="shared" si="360"/>
        <v>469999</v>
      </c>
      <c r="CE120">
        <f ca="1" t="shared" si="318"/>
        <v>1018948.36848223</v>
      </c>
      <c r="CF120">
        <f ca="1" t="shared" si="150"/>
        <v>1.79000318487951</v>
      </c>
      <c r="CG120">
        <f ca="1" t="shared" si="151"/>
        <v>0.112613819719478</v>
      </c>
      <c r="CH120">
        <f ca="1" t="shared" si="160"/>
        <v>1026107.08880977</v>
      </c>
      <c r="CJ120">
        <f ca="1" t="shared" si="361"/>
        <v>469999</v>
      </c>
      <c r="CK120">
        <f ca="1" t="shared" si="319"/>
        <v>1018948.36848223</v>
      </c>
      <c r="CL120">
        <f ca="1" t="shared" si="362"/>
        <v>1.91031568487951</v>
      </c>
      <c r="CM120">
        <f ca="1">IF(G120="恒定伤害",0,(IF(D120="轻剑",$CM$8,$CM$9)+IFERROR(INDEX(技能数据库!$T$2:$W$27,MATCH(E120,技能数据库!$T$2:$T$27,0),4),0)+COUNTIF(G120,"*造化2*")*154+COUNTIF(G120,"*造化1*")*102+COUNTIF(G120,"*碧归*")*307)/1024)</f>
        <v>0.176868146929785</v>
      </c>
      <c r="CN120">
        <f ca="1" t="shared" si="162"/>
        <v>1119586.6898478</v>
      </c>
      <c r="CO120">
        <f ca="1" t="shared" si="363"/>
        <v>1.93437818487951</v>
      </c>
      <c r="CP120">
        <f ca="1" t="shared" si="164"/>
        <v>1122338.42099868</v>
      </c>
      <c r="CQ120">
        <f ca="1" t="shared" si="320"/>
        <v>1.8815754648</v>
      </c>
      <c r="CR120">
        <f ca="1">IF(G120="恒定伤害",0,(IF(D120="轻剑",$CR$8,$CR$9)+IFERROR(INDEX(技能数据库!$T$2:$W$27,MATCH(E120,技能数据库!$T$2:$T$27,0),4),0)+COUNTIF(G120,"*造化2*")*154+COUNTIF(G120,"*造化1*")*102+COUNTIF(G120,"*碧归*")*307)/1024)</f>
        <v>0.167102521929785</v>
      </c>
      <c r="CS120">
        <f ca="1" t="shared" si="364"/>
        <v>1104218.86281073</v>
      </c>
    </row>
    <row r="121" spans="4:97">
      <c r="D121" t="s">
        <v>1825</v>
      </c>
      <c r="E121" s="161" t="s">
        <v>2844</v>
      </c>
      <c r="G121" t="s">
        <v>2750</v>
      </c>
      <c r="H121">
        <f ca="1">INDEX(技能数据库!$B$2:$I$100,MATCH(阵眼收益计算!$E121,技能数据库!$B$2:$B$100,0),MATCH(H$9,技能数据库!$B$2:$I$2,0))</f>
        <v>5241589</v>
      </c>
      <c r="I121">
        <f ca="1">INDEX(技能数据库!$B$2:$I$100,MATCH(阵眼收益计算!$E121,技能数据库!$B$2:$B$100,0),MATCH(I$9,技能数据库!$B$2:$I$2,0))</f>
        <v>0</v>
      </c>
      <c r="J121">
        <f ca="1">INDEX(技能数据库!$B$2:$I$100,MATCH(阵眼收益计算!$E121,技能数据库!$B$2:$B$100,0),MATCH(J$9,技能数据库!$B$2:$I$2,0))</f>
        <v>0</v>
      </c>
      <c r="K121">
        <f ca="1">INDEX(技能数据库!$B$2:$I$100,MATCH(阵眼收益计算!$E121,技能数据库!$B$2:$B$100,0),MATCH(K$9,技能数据库!$B$2:$I$2,0))</f>
        <v>0</v>
      </c>
      <c r="L121">
        <f ca="1" t="shared" si="110"/>
        <v>105847</v>
      </c>
      <c r="M121">
        <f ca="1" t="shared" si="365"/>
        <v>19530.5</v>
      </c>
      <c r="N121">
        <f ca="1" t="shared" si="366"/>
        <v>92028</v>
      </c>
      <c r="O121">
        <f ca="1" t="shared" si="345"/>
        <v>5241589</v>
      </c>
      <c r="P121">
        <f ca="1">IF(G121="恒定伤害",0,(IF(D121="轻剑",$AZ$2,$AZ$3)+IFERROR(INDEX(技能数据库!$T$2:$W$27,MATCH(E121,技能数据库!$T$2:$T$27,0),4),0)+COUNTIF(G121,"*造化2*")*154+COUNTIF(G121,"*造化1*")*102+COUNTIF(G121,"*碧归*")*307)/1024)</f>
        <v>0.116321271929785</v>
      </c>
      <c r="Q121">
        <f ca="1" t="shared" si="308"/>
        <v>0.448284482196154</v>
      </c>
      <c r="R121">
        <f ca="1" t="shared" si="346"/>
        <v>0.21277697966198</v>
      </c>
      <c r="S121">
        <f ca="1" t="shared" si="367"/>
        <v>6671197.95439023</v>
      </c>
      <c r="T121">
        <f t="shared" si="178"/>
        <v>0.8</v>
      </c>
      <c r="U121">
        <f ca="1" t="shared" si="309"/>
        <v>1.7800129648</v>
      </c>
      <c r="V121">
        <f ca="1" t="shared" si="368"/>
        <v>14836813.4431617</v>
      </c>
      <c r="W121">
        <f ca="1">IF(G121="恒定伤害",0,MIN(1,IF(COUNTIF(F121,"*内会*")&gt;0,内会2,IF(D121="轻剑",$Y$2,$Y$3)+COUNTIF(G121,"*莺鸣*")*0.2+COUNTIF(G121,"*叠1*")*0.1+COUNTIF(G121,"*叠2*")*0.2+COUNTIF(G121,"*叠3*")*0.3)+IFERROR(INDEX(技能数据库!$T$2:$W$27,MATCH(E121,技能数据库!$T$2:$T$27,0),2),0)+IF((IF(D121="轻剑",$AO$2,$AO$3)+INT(COUNTIF(G121,"*大莺鸣*")*IF(D121="轻剑",$AM$2,$AM$3)*听晓无双率)/无双系数)&gt;0.9,特效裤子会心/会心系数,0)))</f>
        <v>0.7043</v>
      </c>
      <c r="X121">
        <f ca="1">IF(G121="恒定伤害",0,IF(COUNTIF(F121,"*内会*")&gt;0,内会效2,IF(D121="轻剑",$AB$2,$AB$3))+IFERROR(INDEX(技能数据库!$T$2:$W$27,MATCH(E121,技能数据库!$T$2:$T$27,0),3)/1024,0))+COUNTIF(G121,"*叠1*")*0.25+COUNTIF(G121,"*叠2*")*0.5+COUNTIF(G121,"*叠3*")*0.75</f>
        <v>2.1712723116</v>
      </c>
      <c r="Y121">
        <f ca="1" t="shared" si="369"/>
        <v>1.82492708905988</v>
      </c>
      <c r="Z121">
        <f t="shared" si="350"/>
        <v>0.150390625</v>
      </c>
      <c r="AA121">
        <f ca="1" t="shared" si="370"/>
        <v>0.0205078125</v>
      </c>
      <c r="AB121">
        <f ca="1" t="shared" si="371"/>
        <v>31786874.0731547</v>
      </c>
      <c r="AC121">
        <f ca="1">技能数计算!$AJ113</f>
        <v>0</v>
      </c>
      <c r="AD121" s="164">
        <f ca="1" t="shared" si="353"/>
        <v>0</v>
      </c>
      <c r="AE121" s="168"/>
      <c r="AF121" s="168">
        <f ca="1" t="shared" si="116"/>
        <v>0.7057</v>
      </c>
      <c r="AG121">
        <f ca="1">技能数计算!$AJ113</f>
        <v>0</v>
      </c>
      <c r="AH121">
        <f ca="1" t="shared" si="117"/>
        <v>109879</v>
      </c>
      <c r="AJ121">
        <f ca="1" t="shared" si="118"/>
        <v>2.3704910616</v>
      </c>
      <c r="AK121">
        <f ca="1" t="shared" si="354"/>
        <v>5241589</v>
      </c>
      <c r="AL121">
        <f ca="1" t="shared" si="310"/>
        <v>34273655.4783233</v>
      </c>
      <c r="AM121" s="169">
        <f ca="1" t="shared" si="121"/>
        <v>0.7272</v>
      </c>
      <c r="AN121">
        <f ca="1">技能数计算!$AJ113</f>
        <v>0</v>
      </c>
      <c r="AO121" s="170">
        <f ca="1" t="shared" si="311"/>
        <v>34787032.4613327</v>
      </c>
      <c r="AP121">
        <f ca="1" t="shared" si="123"/>
        <v>110956</v>
      </c>
      <c r="AQ121" s="170">
        <f ca="1" t="shared" si="355"/>
        <v>5241589</v>
      </c>
      <c r="AR121">
        <f ca="1" t="shared" si="312"/>
        <v>33651731.3492426</v>
      </c>
      <c r="AS121">
        <f ca="1" t="shared" si="126"/>
        <v>0.7843</v>
      </c>
      <c r="AT121">
        <f ca="1">技能数计算!$AJ113</f>
        <v>0</v>
      </c>
      <c r="AU121">
        <f ca="1" t="shared" si="127"/>
        <v>2.3177566866</v>
      </c>
      <c r="AV121">
        <f ca="1" t="shared" si="313"/>
        <v>1.7995442148</v>
      </c>
      <c r="AW121">
        <f ca="1" t="shared" si="155"/>
        <v>35668966.7223716</v>
      </c>
      <c r="AX121">
        <f ca="1" t="shared" si="129"/>
        <v>0.7743</v>
      </c>
      <c r="AY121">
        <f ca="1">技能数计算!$AJ113</f>
        <v>0</v>
      </c>
      <c r="AZ121" s="170">
        <f ca="1" t="shared" si="156"/>
        <v>35437825.1614318</v>
      </c>
      <c r="BA121">
        <f ca="1" t="shared" si="130"/>
        <v>0.7643</v>
      </c>
      <c r="BB121">
        <f ca="1">技能数计算!$AJ113</f>
        <v>0</v>
      </c>
      <c r="BC121" s="170">
        <f ca="1" t="shared" si="157"/>
        <v>35206683.6004919</v>
      </c>
      <c r="BE121">
        <f ca="1" t="shared" si="131"/>
        <v>105849</v>
      </c>
      <c r="BF121">
        <f ca="1" t="shared" si="356"/>
        <v>5241589</v>
      </c>
      <c r="BI121">
        <f ca="1" t="shared" si="133"/>
        <v>0.7543</v>
      </c>
      <c r="BJ121">
        <f ca="1">技能数计算!$AJ113</f>
        <v>0</v>
      </c>
      <c r="BK121">
        <f ca="1" t="shared" si="314"/>
        <v>35014726.7703774</v>
      </c>
      <c r="BM121">
        <f ca="1" t="shared" si="135"/>
        <v>109230</v>
      </c>
      <c r="BN121">
        <f ca="1" t="shared" si="357"/>
        <v>5241589</v>
      </c>
      <c r="BO121">
        <f ca="1" t="shared" si="315"/>
        <v>34329331.4512265</v>
      </c>
      <c r="BP121">
        <f ca="1" t="shared" si="316"/>
        <v>32737903.6887689</v>
      </c>
      <c r="BR121">
        <f ca="1" t="shared" si="139"/>
        <v>0.7543</v>
      </c>
      <c r="BS121">
        <f ca="1" t="shared" si="317"/>
        <v>34025877.940157</v>
      </c>
      <c r="BT121">
        <f ca="1" t="shared" si="358"/>
        <v>0.196995876306796</v>
      </c>
      <c r="BU121">
        <f ca="1" t="shared" si="142"/>
        <v>2.3177566866</v>
      </c>
      <c r="BV121">
        <f ca="1" t="shared" si="158"/>
        <v>35427779.5978267</v>
      </c>
      <c r="BW121">
        <f ca="1" t="shared" si="143"/>
        <v>113027</v>
      </c>
      <c r="BX121">
        <f ca="1" t="shared" si="359"/>
        <v>5241589</v>
      </c>
      <c r="BY121">
        <f ca="1" t="shared" si="145"/>
        <v>0.7343</v>
      </c>
      <c r="BZ121">
        <f ca="1">技能数计算!$AJ113</f>
        <v>0</v>
      </c>
      <c r="CA121">
        <f ca="1" t="shared" si="146"/>
        <v>2.3216629366</v>
      </c>
      <c r="CB121">
        <f ca="1" t="shared" si="159"/>
        <v>34322435.8797485</v>
      </c>
      <c r="CC121">
        <f ca="1" t="shared" si="147"/>
        <v>114847</v>
      </c>
      <c r="CD121">
        <f ca="1" t="shared" si="360"/>
        <v>5241589</v>
      </c>
      <c r="CE121">
        <f ca="1" t="shared" si="318"/>
        <v>33368257.6414339</v>
      </c>
      <c r="CF121">
        <f ca="1" t="shared" si="150"/>
        <v>2.2689285616</v>
      </c>
      <c r="CG121">
        <f ca="1" t="shared" si="151"/>
        <v>0.7343</v>
      </c>
      <c r="CH121">
        <f ca="1" t="shared" si="160"/>
        <v>33884351.9748961</v>
      </c>
      <c r="CJ121">
        <f ca="1" t="shared" si="361"/>
        <v>5241589</v>
      </c>
      <c r="CK121">
        <f ca="1" t="shared" si="319"/>
        <v>34173821.4507569</v>
      </c>
      <c r="CL121">
        <f ca="1" t="shared" si="362"/>
        <v>2.2915848116</v>
      </c>
      <c r="CM121">
        <f ca="1">IF(G121="恒定伤害",0,(IF(D121="轻剑",$CM$8,$CM$9)+IFERROR(INDEX(技能数据库!$T$2:$W$27,MATCH(E121,技能数据库!$T$2:$T$27,0),4),0)+COUNTIF(G121,"*造化2*")*154+COUNTIF(G121,"*造化1*")*102+COUNTIF(G121,"*碧归*")*307)/1024)</f>
        <v>0.176868146929785</v>
      </c>
      <c r="CN121">
        <f ca="1" t="shared" si="162"/>
        <v>36029806.7809017</v>
      </c>
      <c r="CO121">
        <f ca="1" t="shared" si="363"/>
        <v>2.3156473116</v>
      </c>
      <c r="CP121">
        <f ca="1" t="shared" si="164"/>
        <v>36356541.8090622</v>
      </c>
      <c r="CQ121">
        <f ca="1" t="shared" si="320"/>
        <v>1.8815754648</v>
      </c>
      <c r="CR121">
        <f ca="1">IF(G121="恒定伤害",0,(IF(D121="轻剑",$CR$8,$CR$9)+IFERROR(INDEX(技能数据库!$T$2:$W$27,MATCH(E121,技能数据库!$T$2:$T$27,0),4),0)+COUNTIF(G121,"*造化2*")*154+COUNTIF(G121,"*造化1*")*102+COUNTIF(G121,"*碧归*")*307)/1024)</f>
        <v>0.167102521929785</v>
      </c>
      <c r="CS121">
        <f ca="1" t="shared" si="364"/>
        <v>34446952.3943094</v>
      </c>
    </row>
    <row r="122" spans="4:97">
      <c r="D122" t="s">
        <v>1825</v>
      </c>
      <c r="E122" s="161" t="s">
        <v>2847</v>
      </c>
      <c r="G122" t="s">
        <v>2750</v>
      </c>
      <c r="H122">
        <f ca="1">INDEX(技能数据库!$B$2:$I$100,MATCH(阵眼收益计算!$E122,技能数据库!$B$2:$B$100,0),MATCH(H$9,技能数据库!$B$2:$I$2,0))</f>
        <v>4717430</v>
      </c>
      <c r="I122">
        <f ca="1">INDEX(技能数据库!$B$2:$I$100,MATCH(阵眼收益计算!$E122,技能数据库!$B$2:$B$100,0),MATCH(I$9,技能数据库!$B$2:$I$2,0))</f>
        <v>0</v>
      </c>
      <c r="J122">
        <f ca="1">INDEX(技能数据库!$B$2:$I$100,MATCH(阵眼收益计算!$E122,技能数据库!$B$2:$B$100,0),MATCH(J$9,技能数据库!$B$2:$I$2,0))</f>
        <v>0</v>
      </c>
      <c r="K122">
        <f ca="1">INDEX(技能数据库!$B$2:$I$100,MATCH(阵眼收益计算!$E122,技能数据库!$B$2:$B$100,0),MATCH(K$9,技能数据库!$B$2:$I$2,0))</f>
        <v>0</v>
      </c>
      <c r="L122">
        <f ca="1" t="shared" si="110"/>
        <v>105847</v>
      </c>
      <c r="M122">
        <f ca="1" t="shared" si="365"/>
        <v>19530.5</v>
      </c>
      <c r="N122">
        <f ca="1" t="shared" si="366"/>
        <v>92028</v>
      </c>
      <c r="O122">
        <f ca="1" t="shared" si="345"/>
        <v>4717430</v>
      </c>
      <c r="P122">
        <f ca="1">IF(G122="恒定伤害",0,(IF(D122="轻剑",$AZ$2,$AZ$3)+IFERROR(INDEX(技能数据库!$T$2:$W$27,MATCH(E122,技能数据库!$T$2:$T$27,0),4),0)+COUNTIF(G122,"*造化2*")*154+COUNTIF(G122,"*造化1*")*102+COUNTIF(G122,"*碧归*")*307)/1024)</f>
        <v>0.116321271929785</v>
      </c>
      <c r="Q122">
        <f ca="1" t="shared" si="308"/>
        <v>0.448284482196154</v>
      </c>
      <c r="R122">
        <f ca="1" t="shared" si="346"/>
        <v>0.21277697966198</v>
      </c>
      <c r="S122">
        <f ca="1" t="shared" si="367"/>
        <v>6004078.03167686</v>
      </c>
      <c r="T122">
        <f t="shared" si="178"/>
        <v>0.8</v>
      </c>
      <c r="U122">
        <f ca="1" t="shared" si="309"/>
        <v>1.7800129648</v>
      </c>
      <c r="V122">
        <f ca="1" t="shared" si="368"/>
        <v>13353131.815786</v>
      </c>
      <c r="W122">
        <f ca="1">IF(G122="恒定伤害",0,MIN(1,IF(COUNTIF(F122,"*内会*")&gt;0,内会2,IF(D122="轻剑",$Y$2,$Y$3)+COUNTIF(G122,"*莺鸣*")*0.2+COUNTIF(G122,"*叠1*")*0.1+COUNTIF(G122,"*叠2*")*0.2+COUNTIF(G122,"*叠3*")*0.3)+IFERROR(INDEX(技能数据库!$T$2:$W$27,MATCH(E122,技能数据库!$T$2:$T$27,0),2),0)+IF((IF(D122="轻剑",$AO$2,$AO$3)+INT(COUNTIF(G122,"*大莺鸣*")*IF(D122="轻剑",$AM$2,$AM$3)*听晓无双率)/无双系数)&gt;0.9,特效裤子会心/会心系数,0)))</f>
        <v>0.7043</v>
      </c>
      <c r="X122">
        <f ca="1">IF(G122="恒定伤害",0,IF(COUNTIF(F122,"*内会*")&gt;0,内会效2,IF(D122="轻剑",$AB$2,$AB$3))+IFERROR(INDEX(技能数据库!$T$2:$W$27,MATCH(E122,技能数据库!$T$2:$T$27,0),3)/1024,0))+COUNTIF(G122,"*叠1*")*0.25+COUNTIF(G122,"*叠2*")*0.5+COUNTIF(G122,"*叠3*")*0.75</f>
        <v>2.1712723116</v>
      </c>
      <c r="Y122">
        <f ca="1" t="shared" si="369"/>
        <v>1.82492708905988</v>
      </c>
      <c r="Z122">
        <f t="shared" si="350"/>
        <v>0.150390625</v>
      </c>
      <c r="AA122">
        <f ca="1" t="shared" si="370"/>
        <v>0.0205078125</v>
      </c>
      <c r="AB122">
        <f ca="1" t="shared" si="371"/>
        <v>28608186.0594034</v>
      </c>
      <c r="AC122">
        <f ca="1">技能数计算!$AJ114</f>
        <v>0</v>
      </c>
      <c r="AD122" s="164">
        <f ca="1" t="shared" si="353"/>
        <v>0</v>
      </c>
      <c r="AE122" s="168"/>
      <c r="AF122" s="168">
        <f ca="1" t="shared" si="116"/>
        <v>0.7057</v>
      </c>
      <c r="AG122">
        <f ca="1">技能数计算!$AJ114</f>
        <v>0</v>
      </c>
      <c r="AH122">
        <f ca="1" t="shared" si="117"/>
        <v>109879</v>
      </c>
      <c r="AJ122">
        <f ca="1" t="shared" si="118"/>
        <v>2.3704910616</v>
      </c>
      <c r="AK122">
        <f ca="1" t="shared" si="354"/>
        <v>4717430</v>
      </c>
      <c r="AL122">
        <f ca="1" t="shared" si="310"/>
        <v>30846289.2766118</v>
      </c>
      <c r="AM122" s="169">
        <f ca="1" t="shared" si="121"/>
        <v>0.7272</v>
      </c>
      <c r="AN122">
        <f ca="1">技能数计算!$AJ114</f>
        <v>0</v>
      </c>
      <c r="AO122" s="170">
        <f ca="1" t="shared" si="311"/>
        <v>31308328.551526</v>
      </c>
      <c r="AP122">
        <f ca="1" t="shared" si="123"/>
        <v>110956</v>
      </c>
      <c r="AQ122" s="170">
        <f ca="1" t="shared" si="355"/>
        <v>4717430</v>
      </c>
      <c r="AR122">
        <f ca="1" t="shared" si="312"/>
        <v>30286557.5723044</v>
      </c>
      <c r="AS122">
        <f ca="1" t="shared" si="126"/>
        <v>0.7843</v>
      </c>
      <c r="AT122">
        <f ca="1">技能数计算!$AJ114</f>
        <v>0</v>
      </c>
      <c r="AU122">
        <f ca="1" t="shared" si="127"/>
        <v>2.3177566866</v>
      </c>
      <c r="AV122">
        <f ca="1" t="shared" si="313"/>
        <v>1.7995442148</v>
      </c>
      <c r="AW122">
        <f ca="1" t="shared" si="155"/>
        <v>32102069.3696354</v>
      </c>
      <c r="AX122">
        <f ca="1" t="shared" si="129"/>
        <v>0.7743</v>
      </c>
      <c r="AY122">
        <f ca="1">技能数计算!$AJ114</f>
        <v>0</v>
      </c>
      <c r="AZ122" s="170">
        <f ca="1" t="shared" si="156"/>
        <v>31894041.9691992</v>
      </c>
      <c r="BA122">
        <f ca="1" t="shared" si="130"/>
        <v>0.7643</v>
      </c>
      <c r="BB122">
        <f ca="1">技能数计算!$AJ114</f>
        <v>0</v>
      </c>
      <c r="BC122" s="170">
        <f ca="1" t="shared" si="157"/>
        <v>31686014.5687631</v>
      </c>
      <c r="BE122">
        <f ca="1" t="shared" si="131"/>
        <v>105849</v>
      </c>
      <c r="BF122">
        <f ca="1" t="shared" si="356"/>
        <v>4717430</v>
      </c>
      <c r="BI122">
        <f ca="1" t="shared" si="133"/>
        <v>0.7543</v>
      </c>
      <c r="BJ122">
        <f ca="1">技能数计算!$AJ114</f>
        <v>0</v>
      </c>
      <c r="BK122">
        <f ca="1" t="shared" si="314"/>
        <v>31513253.4253223</v>
      </c>
      <c r="BM122">
        <f ca="1" t="shared" si="135"/>
        <v>109230</v>
      </c>
      <c r="BN122">
        <f ca="1" t="shared" si="357"/>
        <v>4717430</v>
      </c>
      <c r="BO122">
        <f ca="1" t="shared" si="315"/>
        <v>30896397.6511625</v>
      </c>
      <c r="BP122">
        <f ca="1" t="shared" si="316"/>
        <v>29464112.6953122</v>
      </c>
      <c r="BR122">
        <f ca="1" t="shared" si="139"/>
        <v>0.7543</v>
      </c>
      <c r="BS122">
        <f ca="1" t="shared" si="317"/>
        <v>30623289.4969894</v>
      </c>
      <c r="BT122">
        <f ca="1" t="shared" si="358"/>
        <v>0.196995876306796</v>
      </c>
      <c r="BU122">
        <f ca="1" t="shared" si="142"/>
        <v>2.3177566866</v>
      </c>
      <c r="BV122">
        <f ca="1" t="shared" si="158"/>
        <v>31885000.9621463</v>
      </c>
      <c r="BW122">
        <f ca="1" t="shared" si="143"/>
        <v>113027</v>
      </c>
      <c r="BX122">
        <f ca="1" t="shared" si="359"/>
        <v>4717430</v>
      </c>
      <c r="BY122">
        <f ca="1" t="shared" si="145"/>
        <v>0.7343</v>
      </c>
      <c r="BZ122">
        <f ca="1">技能数计算!$AJ114</f>
        <v>0</v>
      </c>
      <c r="CA122">
        <f ca="1" t="shared" si="146"/>
        <v>2.3216629366</v>
      </c>
      <c r="CB122">
        <f ca="1" t="shared" si="159"/>
        <v>30890191.6369639</v>
      </c>
      <c r="CC122">
        <f ca="1" t="shared" si="147"/>
        <v>114847</v>
      </c>
      <c r="CD122">
        <f ca="1" t="shared" si="360"/>
        <v>4717430</v>
      </c>
      <c r="CE122">
        <f ca="1" t="shared" si="318"/>
        <v>30031431.2406848</v>
      </c>
      <c r="CF122">
        <f ca="1" t="shared" si="150"/>
        <v>2.2689285616</v>
      </c>
      <c r="CG122">
        <f ca="1" t="shared" si="151"/>
        <v>0.7343</v>
      </c>
      <c r="CH122">
        <f ca="1" t="shared" si="160"/>
        <v>30495916.1309546</v>
      </c>
      <c r="CJ122">
        <f ca="1" t="shared" si="361"/>
        <v>4717430</v>
      </c>
      <c r="CK122">
        <f ca="1" t="shared" si="319"/>
        <v>30756438.6537067</v>
      </c>
      <c r="CL122">
        <f ca="1" t="shared" si="362"/>
        <v>2.2915848116</v>
      </c>
      <c r="CM122">
        <f ca="1">IF(G122="恒定伤害",0,(IF(D122="轻剑",$CM$8,$CM$9)+IFERROR(INDEX(技能数据库!$T$2:$W$27,MATCH(E122,技能数据库!$T$2:$T$27,0),4),0)+COUNTIF(G122,"*造化2*")*154+COUNTIF(G122,"*造化1*")*102+COUNTIF(G122,"*碧归*")*307)/1024)</f>
        <v>0.176868146929785</v>
      </c>
      <c r="CN122">
        <f ca="1" t="shared" si="162"/>
        <v>32426825.4154283</v>
      </c>
      <c r="CO122">
        <f ca="1" t="shared" si="363"/>
        <v>2.3156473116</v>
      </c>
      <c r="CP122">
        <f ca="1" t="shared" si="164"/>
        <v>32720886.9345392</v>
      </c>
      <c r="CQ122">
        <f ca="1" t="shared" si="320"/>
        <v>1.8815754648</v>
      </c>
      <c r="CR122">
        <f ca="1">IF(G122="恒定伤害",0,(IF(D122="轻剑",$CR$8,$CR$9)+IFERROR(INDEX(技能数据库!$T$2:$W$27,MATCH(E122,技能数据库!$T$2:$T$27,0),4),0)+COUNTIF(G122,"*造化2*")*154+COUNTIF(G122,"*造化1*")*102+COUNTIF(G122,"*碧归*")*307)/1024)</f>
        <v>0.167102521929785</v>
      </c>
      <c r="CS122">
        <f ca="1" t="shared" si="364"/>
        <v>31002256.4976931</v>
      </c>
    </row>
    <row r="123" spans="4:97">
      <c r="D123" t="s">
        <v>1825</v>
      </c>
      <c r="E123" s="161" t="s">
        <v>2850</v>
      </c>
      <c r="F123" t="s">
        <v>3160</v>
      </c>
      <c r="G123" t="s">
        <v>2750</v>
      </c>
      <c r="H123">
        <f ca="1">INDEX(技能数据库!$B$2:$I$100,MATCH(阵眼收益计算!$E123,技能数据库!$B$2:$B$100,0),MATCH(H$9,技能数据库!$B$2:$I$2,0))</f>
        <v>3667380</v>
      </c>
      <c r="I123">
        <f ca="1">INDEX(技能数据库!$B$2:$I$100,MATCH(阵眼收益计算!$E123,技能数据库!$B$2:$B$100,0),MATCH(I$9,技能数据库!$B$2:$I$2,0))</f>
        <v>0</v>
      </c>
      <c r="J123">
        <f ca="1">INDEX(技能数据库!$B$2:$I$100,MATCH(阵眼收益计算!$E123,技能数据库!$B$2:$B$100,0),MATCH(J$9,技能数据库!$B$2:$I$2,0))</f>
        <v>0</v>
      </c>
      <c r="K123">
        <f ca="1">INDEX(技能数据库!$B$2:$I$100,MATCH(阵眼收益计算!$E123,技能数据库!$B$2:$B$100,0),MATCH(K$9,技能数据库!$B$2:$I$2,0))</f>
        <v>0</v>
      </c>
      <c r="L123">
        <f ca="1" t="shared" si="110"/>
        <v>105847</v>
      </c>
      <c r="M123">
        <f ca="1" t="shared" si="365"/>
        <v>19530.5</v>
      </c>
      <c r="N123">
        <f ca="1" t="shared" si="366"/>
        <v>92028</v>
      </c>
      <c r="O123">
        <f ca="1" t="shared" si="345"/>
        <v>3667380</v>
      </c>
      <c r="P123">
        <f ca="1">IF(G123="恒定伤害",0,(IF(D123="轻剑",$AZ$2,$AZ$3)+IFERROR(INDEX(技能数据库!$T$2:$W$27,MATCH(E123,技能数据库!$T$2:$T$27,0),4),0)+COUNTIF(G123,"*造化2*")*154+COUNTIF(G123,"*造化1*")*102+COUNTIF(G123,"*碧归*")*307)/1024)</f>
        <v>0.116321271929785</v>
      </c>
      <c r="Q123">
        <f ca="1" t="shared" si="308"/>
        <v>0.0415122129107408</v>
      </c>
      <c r="R123">
        <f ca="1" t="shared" si="346"/>
        <v>0.21277697966198</v>
      </c>
      <c r="S123">
        <f ca="1" t="shared" si="367"/>
        <v>3356659.31815582</v>
      </c>
      <c r="T123">
        <f t="shared" si="178"/>
        <v>0.8</v>
      </c>
      <c r="U123">
        <f ca="1" t="shared" si="309"/>
        <v>1.7800129648</v>
      </c>
      <c r="V123">
        <f ca="1" t="shared" si="368"/>
        <v>7465245.13831192</v>
      </c>
      <c r="W123">
        <f ca="1">IF(G123="恒定伤害",0,MIN(1,IF(COUNTIF(F123,"*内会*")&gt;0,内会2,IF(D123="轻剑",$Y$2,$Y$3)+COUNTIF(G123,"*莺鸣*")*0.2+COUNTIF(G123,"*叠1*")*0.1+COUNTIF(G123,"*叠2*")*0.2+COUNTIF(G123,"*叠3*")*0.3)+IFERROR(INDEX(技能数据库!$T$2:$W$27,MATCH(E123,技能数据库!$T$2:$T$27,0),2),0)+IF((IF(D123="轻剑",$AO$2,$AO$3)+INT(COUNTIF(G123,"*大莺鸣*")*IF(D123="轻剑",$AM$2,$AM$3)*听晓无双率)/无双系数)&gt;0.9,特效裤子会心/会心系数,0)))</f>
        <v>0.0826138197194782</v>
      </c>
      <c r="X123">
        <f ca="1">IF(G123="恒定伤害",0,IF(COUNTIF(F123,"*内会*")&gt;0,内会效2,IF(D123="轻剑",$AB$2,$AB$3))+IFERROR(INDEX(技能数据库!$T$2:$W$27,MATCH(E123,技能数据库!$T$2:$T$27,0),3)/1024,0))+COUNTIF(G123,"*叠1*")*0.25+COUNTIF(G123,"*叠2*")*0.5+COUNTIF(G123,"*叠3*")*0.75</f>
        <v>1.79000318487951</v>
      </c>
      <c r="Y123">
        <f ca="1" t="shared" si="369"/>
        <v>1.06526518069345</v>
      </c>
      <c r="Z123">
        <f t="shared" si="350"/>
        <v>0.150390625</v>
      </c>
      <c r="AA123">
        <f ca="1" t="shared" si="370"/>
        <v>0.0205078125</v>
      </c>
      <c r="AB123">
        <f ca="1" t="shared" si="371"/>
        <v>9336056.53297951</v>
      </c>
      <c r="AC123">
        <f ca="1">技能数计算!$AJ115</f>
        <v>0</v>
      </c>
      <c r="AD123" s="164">
        <f ca="1" t="shared" si="353"/>
        <v>0</v>
      </c>
      <c r="AE123" s="168"/>
      <c r="AF123" s="168">
        <f ca="1" t="shared" si="116"/>
        <v>0.0826138197194782</v>
      </c>
      <c r="AG123">
        <f ca="1">技能数计算!$AJ115</f>
        <v>0</v>
      </c>
      <c r="AH123">
        <f ca="1" t="shared" si="117"/>
        <v>109879</v>
      </c>
      <c r="AJ123">
        <f ca="1" t="shared" si="118"/>
        <v>1.79000318487951</v>
      </c>
      <c r="AK123">
        <f ca="1" t="shared" si="354"/>
        <v>3667380</v>
      </c>
      <c r="AL123">
        <f ca="1" t="shared" si="310"/>
        <v>9336056.53297951</v>
      </c>
      <c r="AM123" s="169">
        <f ca="1" t="shared" si="121"/>
        <v>0.0826138197194782</v>
      </c>
      <c r="AN123">
        <f ca="1">技能数计算!$AJ115</f>
        <v>0</v>
      </c>
      <c r="AO123" s="170">
        <f ca="1" t="shared" si="311"/>
        <v>9336056.53297951</v>
      </c>
      <c r="AP123">
        <f ca="1" t="shared" si="123"/>
        <v>110956</v>
      </c>
      <c r="AQ123" s="170">
        <f ca="1" t="shared" si="355"/>
        <v>3667380</v>
      </c>
      <c r="AR123">
        <f ca="1" t="shared" si="312"/>
        <v>9336056.53297951</v>
      </c>
      <c r="AS123">
        <f ca="1" t="shared" si="126"/>
        <v>0.0826138197194782</v>
      </c>
      <c r="AT123">
        <f ca="1">技能数计算!$AJ115</f>
        <v>0</v>
      </c>
      <c r="AU123">
        <f ca="1" t="shared" si="127"/>
        <v>1.79000318487951</v>
      </c>
      <c r="AV123">
        <f ca="1" t="shared" si="313"/>
        <v>1.7995442148</v>
      </c>
      <c r="AW123">
        <f ca="1" t="shared" si="155"/>
        <v>9401647.90124598</v>
      </c>
      <c r="AX123">
        <f ca="1" t="shared" si="129"/>
        <v>0.0826138197194782</v>
      </c>
      <c r="AY123">
        <f ca="1">技能数计算!$AJ115</f>
        <v>0</v>
      </c>
      <c r="AZ123" s="170">
        <f ca="1" t="shared" si="156"/>
        <v>9401647.90124598</v>
      </c>
      <c r="BA123">
        <f ca="1" t="shared" si="130"/>
        <v>0.0826138197194782</v>
      </c>
      <c r="BB123">
        <f ca="1">技能数计算!$AJ115</f>
        <v>0</v>
      </c>
      <c r="BC123" s="170">
        <f ca="1" t="shared" si="157"/>
        <v>9401647.90124598</v>
      </c>
      <c r="BE123">
        <f ca="1" t="shared" si="131"/>
        <v>105849</v>
      </c>
      <c r="BF123">
        <f ca="1" t="shared" si="356"/>
        <v>3667380</v>
      </c>
      <c r="BI123">
        <f ca="1" t="shared" si="133"/>
        <v>0.0826138197194782</v>
      </c>
      <c r="BJ123">
        <f ca="1">技能数计算!$AJ115</f>
        <v>0</v>
      </c>
      <c r="BK123">
        <f ca="1" t="shared" si="314"/>
        <v>9401647.90124598</v>
      </c>
      <c r="BM123">
        <f ca="1" t="shared" si="135"/>
        <v>109230</v>
      </c>
      <c r="BN123">
        <f ca="1" t="shared" si="357"/>
        <v>3667380</v>
      </c>
      <c r="BO123">
        <f ca="1" t="shared" si="315"/>
        <v>9336056.53297951</v>
      </c>
      <c r="BP123">
        <f ca="1" t="shared" si="316"/>
        <v>9336056.53297951</v>
      </c>
      <c r="BR123">
        <f ca="1" t="shared" si="139"/>
        <v>0.132613819719478</v>
      </c>
      <c r="BS123">
        <f ca="1" t="shared" si="317"/>
        <v>9750262.12048974</v>
      </c>
      <c r="BT123">
        <f ca="1" t="shared" si="358"/>
        <v>0.196995876306796</v>
      </c>
      <c r="BU123">
        <f ca="1" t="shared" si="142"/>
        <v>1.93648755987951</v>
      </c>
      <c r="BV123">
        <f ca="1" t="shared" si="158"/>
        <v>10049996.4766356</v>
      </c>
      <c r="BW123">
        <f ca="1" t="shared" si="143"/>
        <v>113027</v>
      </c>
      <c r="BX123">
        <f ca="1" t="shared" si="359"/>
        <v>3667380</v>
      </c>
      <c r="BY123">
        <f ca="1" t="shared" si="145"/>
        <v>0.0826138197194782</v>
      </c>
      <c r="BZ123">
        <f ca="1">技能数计算!$AJ115</f>
        <v>0</v>
      </c>
      <c r="CA123">
        <f ca="1" t="shared" si="146"/>
        <v>1.79000318487951</v>
      </c>
      <c r="CB123">
        <f ca="1" t="shared" si="159"/>
        <v>9336056.53297951</v>
      </c>
      <c r="CC123">
        <f ca="1" t="shared" si="147"/>
        <v>114847</v>
      </c>
      <c r="CD123">
        <f ca="1" t="shared" si="360"/>
        <v>3667380</v>
      </c>
      <c r="CE123">
        <f ca="1" t="shared" si="318"/>
        <v>9336056.53297951</v>
      </c>
      <c r="CF123">
        <f ca="1" t="shared" si="150"/>
        <v>1.79000318487951</v>
      </c>
      <c r="CG123">
        <f ca="1" t="shared" si="151"/>
        <v>0.112613819719478</v>
      </c>
      <c r="CH123">
        <f ca="1" t="shared" si="160"/>
        <v>9401647.90124598</v>
      </c>
      <c r="CJ123">
        <f ca="1" t="shared" si="361"/>
        <v>3667380</v>
      </c>
      <c r="CK123">
        <f ca="1" t="shared" si="319"/>
        <v>9336056.53297951</v>
      </c>
      <c r="CL123">
        <f ca="1" t="shared" si="362"/>
        <v>1.91031568487951</v>
      </c>
      <c r="CM123">
        <f ca="1">IF(G123="恒定伤害",0,(IF(D123="轻剑",$CM$8,$CM$9)+IFERROR(INDEX(技能数据库!$T$2:$W$27,MATCH(E123,技能数据库!$T$2:$T$27,0),4),0)+COUNTIF(G123,"*造化2*")*154+COUNTIF(G123,"*造化1*")*102+COUNTIF(G123,"*碧归*")*307)/1024)</f>
        <v>0.176868146929785</v>
      </c>
      <c r="CN123">
        <f ca="1" t="shared" si="162"/>
        <v>10258149.4345586</v>
      </c>
      <c r="CO123">
        <f ca="1" t="shared" si="363"/>
        <v>1.93437818487951</v>
      </c>
      <c r="CP123">
        <f ca="1" t="shared" si="164"/>
        <v>10283362.0148844</v>
      </c>
      <c r="CQ123">
        <f ca="1" t="shared" si="320"/>
        <v>1.8815754648</v>
      </c>
      <c r="CR123">
        <f ca="1">IF(G123="恒定伤害",0,(IF(D123="轻剑",$CR$8,$CR$9)+IFERROR(INDEX(技能数据库!$T$2:$W$27,MATCH(E123,技能数据库!$T$2:$T$27,0),4),0)+COUNTIF(G123,"*造化2*")*154+COUNTIF(G123,"*造化1*")*102+COUNTIF(G123,"*碧归*")*307)/1024)</f>
        <v>0.167102521929785</v>
      </c>
      <c r="CS123">
        <f ca="1" t="shared" si="364"/>
        <v>10117342.59248</v>
      </c>
    </row>
    <row r="124" spans="4:97">
      <c r="D124" t="s">
        <v>1825</v>
      </c>
      <c r="E124" s="161" t="s">
        <v>2853</v>
      </c>
      <c r="F124" t="s">
        <v>3160</v>
      </c>
      <c r="G124" t="s">
        <v>2750</v>
      </c>
      <c r="H124">
        <f ca="1">INDEX(技能数据库!$B$2:$I$100,MATCH(阵眼收益计算!$E124,技能数据库!$B$2:$B$100,0),MATCH(H$9,技能数据库!$B$2:$I$2,0))</f>
        <v>2444920</v>
      </c>
      <c r="I124">
        <f ca="1">INDEX(技能数据库!$B$2:$I$100,MATCH(阵眼收益计算!$E124,技能数据库!$B$2:$B$100,0),MATCH(I$9,技能数据库!$B$2:$I$2,0))</f>
        <v>0</v>
      </c>
      <c r="J124">
        <f ca="1">INDEX(技能数据库!$B$2:$I$100,MATCH(阵眼收益计算!$E124,技能数据库!$B$2:$B$100,0),MATCH(J$9,技能数据库!$B$2:$I$2,0))</f>
        <v>0</v>
      </c>
      <c r="K124">
        <f ca="1">INDEX(技能数据库!$B$2:$I$100,MATCH(阵眼收益计算!$E124,技能数据库!$B$2:$B$100,0),MATCH(K$9,技能数据库!$B$2:$I$2,0))</f>
        <v>0</v>
      </c>
      <c r="L124">
        <f ca="1" t="shared" si="110"/>
        <v>105847</v>
      </c>
      <c r="M124">
        <f ca="1" t="shared" si="365"/>
        <v>19530.5</v>
      </c>
      <c r="N124">
        <f ca="1" t="shared" si="366"/>
        <v>92028</v>
      </c>
      <c r="O124">
        <f ca="1" t="shared" si="345"/>
        <v>2444920</v>
      </c>
      <c r="P124">
        <f ca="1">IF(G124="恒定伤害",0,(IF(D124="轻剑",$AZ$2,$AZ$3)+IFERROR(INDEX(技能数据库!$T$2:$W$27,MATCH(E124,技能数据库!$T$2:$T$27,0),4),0)+COUNTIF(G124,"*造化2*")*154+COUNTIF(G124,"*造化1*")*102+COUNTIF(G124,"*碧归*")*307)/1024)</f>
        <v>0.116321271929785</v>
      </c>
      <c r="Q124">
        <f ca="1" t="shared" si="308"/>
        <v>0.0415122129107408</v>
      </c>
      <c r="R124">
        <f ca="1" t="shared" si="346"/>
        <v>0.21277697966198</v>
      </c>
      <c r="S124">
        <f ca="1" t="shared" si="367"/>
        <v>2237772.87877054</v>
      </c>
      <c r="T124">
        <f t="shared" si="178"/>
        <v>0.8</v>
      </c>
      <c r="U124">
        <f ca="1" t="shared" si="309"/>
        <v>1.7800129648</v>
      </c>
      <c r="V124">
        <f ca="1" t="shared" si="368"/>
        <v>4976830.09220794</v>
      </c>
      <c r="W124">
        <f ca="1">IF(G124="恒定伤害",0,MIN(1,IF(COUNTIF(F124,"*内会*")&gt;0,内会2,IF(D124="轻剑",$Y$2,$Y$3)+COUNTIF(G124,"*莺鸣*")*0.2+COUNTIF(G124,"*叠1*")*0.1+COUNTIF(G124,"*叠2*")*0.2+COUNTIF(G124,"*叠3*")*0.3)+IFERROR(INDEX(技能数据库!$T$2:$W$27,MATCH(E124,技能数据库!$T$2:$T$27,0),2),0)+IF((IF(D124="轻剑",$AO$2,$AO$3)+INT(COUNTIF(G124,"*大莺鸣*")*IF(D124="轻剑",$AM$2,$AM$3)*听晓无双率)/无双系数)&gt;0.9,特效裤子会心/会心系数,0)))</f>
        <v>0.0826138197194782</v>
      </c>
      <c r="X124">
        <f ca="1">IF(G124="恒定伤害",0,IF(COUNTIF(F124,"*内会*")&gt;0,内会效2,IF(D124="轻剑",$AB$2,$AB$3))+IFERROR(INDEX(技能数据库!$T$2:$W$27,MATCH(E124,技能数据库!$T$2:$T$27,0),3)/1024,0))+COUNTIF(G124,"*叠1*")*0.25+COUNTIF(G124,"*叠2*")*0.5+COUNTIF(G124,"*叠3*")*0.75</f>
        <v>1.79000318487951</v>
      </c>
      <c r="Y124">
        <f ca="1" t="shared" si="369"/>
        <v>1.06526518069345</v>
      </c>
      <c r="Z124">
        <f t="shared" si="350"/>
        <v>0.150390625</v>
      </c>
      <c r="AA124">
        <f ca="1" t="shared" si="370"/>
        <v>0.0205078125</v>
      </c>
      <c r="AB124">
        <f ca="1" t="shared" si="371"/>
        <v>6224037.68865301</v>
      </c>
      <c r="AC124">
        <f ca="1">技能数计算!$AJ116</f>
        <v>0</v>
      </c>
      <c r="AD124" s="164">
        <f ca="1" t="shared" si="353"/>
        <v>0</v>
      </c>
      <c r="AE124" s="168"/>
      <c r="AF124" s="168">
        <f ca="1" t="shared" si="116"/>
        <v>0.0826138197194782</v>
      </c>
      <c r="AG124">
        <f ca="1">技能数计算!$AJ116</f>
        <v>0</v>
      </c>
      <c r="AH124">
        <f ca="1" t="shared" si="117"/>
        <v>109879</v>
      </c>
      <c r="AJ124">
        <f ca="1" t="shared" si="118"/>
        <v>1.79000318487951</v>
      </c>
      <c r="AK124">
        <f ca="1" t="shared" si="354"/>
        <v>2444920</v>
      </c>
      <c r="AL124">
        <f ca="1" t="shared" si="310"/>
        <v>6224037.68865301</v>
      </c>
      <c r="AM124" s="169">
        <f ca="1" t="shared" si="121"/>
        <v>0.0826138197194782</v>
      </c>
      <c r="AN124">
        <f ca="1">技能数计算!$AJ116</f>
        <v>0</v>
      </c>
      <c r="AO124" s="170">
        <f ca="1" t="shared" si="311"/>
        <v>6224037.68865301</v>
      </c>
      <c r="AP124">
        <f ca="1" t="shared" si="123"/>
        <v>110956</v>
      </c>
      <c r="AQ124" s="170">
        <f ca="1" t="shared" si="355"/>
        <v>2444920</v>
      </c>
      <c r="AR124">
        <f ca="1" t="shared" si="312"/>
        <v>6224037.68865301</v>
      </c>
      <c r="AS124">
        <f ca="1" t="shared" si="126"/>
        <v>0.0826138197194782</v>
      </c>
      <c r="AT124">
        <f ca="1">技能数计算!$AJ116</f>
        <v>0</v>
      </c>
      <c r="AU124">
        <f ca="1" t="shared" si="127"/>
        <v>1.79000318487951</v>
      </c>
      <c r="AV124">
        <f ca="1" t="shared" si="313"/>
        <v>1.7995442148</v>
      </c>
      <c r="AW124">
        <f ca="1" t="shared" si="155"/>
        <v>6267765.26749732</v>
      </c>
      <c r="AX124">
        <f ca="1" t="shared" si="129"/>
        <v>0.0826138197194782</v>
      </c>
      <c r="AY124">
        <f ca="1">技能数计算!$AJ116</f>
        <v>0</v>
      </c>
      <c r="AZ124" s="170">
        <f ca="1" t="shared" si="156"/>
        <v>6267765.26749732</v>
      </c>
      <c r="BA124">
        <f ca="1" t="shared" si="130"/>
        <v>0.0826138197194782</v>
      </c>
      <c r="BB124">
        <f ca="1">技能数计算!$AJ116</f>
        <v>0</v>
      </c>
      <c r="BC124" s="170">
        <f ca="1" t="shared" si="157"/>
        <v>6267765.26749732</v>
      </c>
      <c r="BE124">
        <f ca="1" t="shared" si="131"/>
        <v>105849</v>
      </c>
      <c r="BF124">
        <f ca="1" t="shared" si="356"/>
        <v>2444920</v>
      </c>
      <c r="BI124">
        <f ca="1" t="shared" si="133"/>
        <v>0.0826138197194782</v>
      </c>
      <c r="BJ124">
        <f ca="1">技能数计算!$AJ116</f>
        <v>0</v>
      </c>
      <c r="BK124">
        <f ca="1" t="shared" si="314"/>
        <v>6267765.26749732</v>
      </c>
      <c r="BM124">
        <f ca="1" t="shared" si="135"/>
        <v>109230</v>
      </c>
      <c r="BN124">
        <f ca="1" t="shared" si="357"/>
        <v>2444920</v>
      </c>
      <c r="BO124">
        <f ca="1" t="shared" si="315"/>
        <v>6224037.68865301</v>
      </c>
      <c r="BP124">
        <f ca="1" t="shared" si="316"/>
        <v>6224037.68865301</v>
      </c>
      <c r="BR124">
        <f ca="1" t="shared" si="139"/>
        <v>0.132613819719478</v>
      </c>
      <c r="BS124">
        <f ca="1" t="shared" si="317"/>
        <v>6500174.74699316</v>
      </c>
      <c r="BT124">
        <f ca="1" t="shared" si="358"/>
        <v>0.196995876306796</v>
      </c>
      <c r="BU124">
        <f ca="1" t="shared" si="142"/>
        <v>1.93648755987951</v>
      </c>
      <c r="BV124">
        <f ca="1" t="shared" si="158"/>
        <v>6699997.65109037</v>
      </c>
      <c r="BW124">
        <f ca="1" t="shared" si="143"/>
        <v>113027</v>
      </c>
      <c r="BX124">
        <f ca="1" t="shared" si="359"/>
        <v>2444920</v>
      </c>
      <c r="BY124">
        <f ca="1" t="shared" si="145"/>
        <v>0.0826138197194782</v>
      </c>
      <c r="BZ124">
        <f ca="1">技能数计算!$AJ116</f>
        <v>0</v>
      </c>
      <c r="CA124">
        <f ca="1" t="shared" si="146"/>
        <v>1.79000318487951</v>
      </c>
      <c r="CB124">
        <f ca="1" t="shared" si="159"/>
        <v>6224037.68865301</v>
      </c>
      <c r="CC124">
        <f ca="1" t="shared" si="147"/>
        <v>114847</v>
      </c>
      <c r="CD124">
        <f ca="1" t="shared" si="360"/>
        <v>2444920</v>
      </c>
      <c r="CE124">
        <f ca="1" t="shared" si="318"/>
        <v>6224037.68865301</v>
      </c>
      <c r="CF124">
        <f ca="1" t="shared" si="150"/>
        <v>1.79000318487951</v>
      </c>
      <c r="CG124">
        <f ca="1" t="shared" si="151"/>
        <v>0.112613819719478</v>
      </c>
      <c r="CH124">
        <f ca="1" t="shared" si="160"/>
        <v>6267765.26749732</v>
      </c>
      <c r="CJ124">
        <f ca="1" t="shared" si="361"/>
        <v>2444920</v>
      </c>
      <c r="CK124">
        <f ca="1" t="shared" si="319"/>
        <v>6224037.68865301</v>
      </c>
      <c r="CL124">
        <f ca="1" t="shared" si="362"/>
        <v>1.91031568487951</v>
      </c>
      <c r="CM124">
        <f ca="1">IF(G124="恒定伤害",0,(IF(D124="轻剑",$CM$8,$CM$9)+IFERROR(INDEX(技能数据库!$T$2:$W$27,MATCH(E124,技能数据库!$T$2:$T$27,0),4),0)+COUNTIF(G124,"*造化2*")*154+COUNTIF(G124,"*造化1*")*102+COUNTIF(G124,"*碧归*")*307)/1024)</f>
        <v>0.176868146929785</v>
      </c>
      <c r="CN124">
        <f ca="1" t="shared" si="162"/>
        <v>6838766.28970574</v>
      </c>
      <c r="CO124">
        <f ca="1" t="shared" si="363"/>
        <v>1.93437818487951</v>
      </c>
      <c r="CP124">
        <f ca="1" t="shared" si="164"/>
        <v>6855574.67658961</v>
      </c>
      <c r="CQ124">
        <f ca="1" t="shared" si="320"/>
        <v>1.8815754648</v>
      </c>
      <c r="CR124">
        <f ca="1">IF(G124="恒定伤害",0,(IF(D124="轻剑",$CR$8,$CR$9)+IFERROR(INDEX(技能数据库!$T$2:$W$27,MATCH(E124,技能数据库!$T$2:$T$27,0),4),0)+COUNTIF(G124,"*造化2*")*154+COUNTIF(G124,"*造化1*")*102+COUNTIF(G124,"*碧归*")*307)/1024)</f>
        <v>0.167102521929785</v>
      </c>
      <c r="CS124">
        <f ca="1" t="shared" si="364"/>
        <v>6744895.06165334</v>
      </c>
    </row>
    <row r="125" spans="4:97">
      <c r="D125" t="s">
        <v>1825</v>
      </c>
      <c r="E125" s="161" t="s">
        <v>2855</v>
      </c>
      <c r="F125" t="s">
        <v>3160</v>
      </c>
      <c r="G125" t="s">
        <v>2750</v>
      </c>
      <c r="H125">
        <f ca="1">INDEX(技能数据库!$B$2:$I$100,MATCH(阵眼收益计算!$E125,技能数据库!$B$2:$B$100,0),MATCH(H$9,技能数据库!$B$2:$I$2,0))</f>
        <v>815</v>
      </c>
      <c r="I125">
        <f ca="1">INDEX(技能数据库!$B$2:$I$100,MATCH(阵眼收益计算!$E125,技能数据库!$B$2:$B$100,0),MATCH(I$9,技能数据库!$B$2:$I$2,0))</f>
        <v>0</v>
      </c>
      <c r="J125">
        <f ca="1">INDEX(技能数据库!$B$2:$I$100,MATCH(阵眼收益计算!$E125,技能数据库!$B$2:$B$100,0),MATCH(J$9,技能数据库!$B$2:$I$2,0))</f>
        <v>0</v>
      </c>
      <c r="K125">
        <f ca="1">INDEX(技能数据库!$B$2:$I$100,MATCH(阵眼收益计算!$E125,技能数据库!$B$2:$B$100,0),MATCH(K$9,技能数据库!$B$2:$I$2,0))</f>
        <v>0</v>
      </c>
      <c r="L125">
        <f ca="1" t="shared" si="110"/>
        <v>105847</v>
      </c>
      <c r="M125">
        <f ca="1" t="shared" si="365"/>
        <v>19530.5</v>
      </c>
      <c r="N125">
        <f ca="1" t="shared" si="366"/>
        <v>92028</v>
      </c>
      <c r="O125">
        <f ca="1" t="shared" ref="O125:O143" si="372">H125+I125*L125+J125*M125+IF(K125&gt;0,MAX(1,K125*N125*破招全局系数),0)</f>
        <v>815</v>
      </c>
      <c r="P125">
        <f ca="1">IF(G125="恒定伤害",0,(IF(D125="轻剑",$AZ$2,$AZ$3)+IFERROR(INDEX(技能数据库!$T$2:$W$27,MATCH(E125,技能数据库!$T$2:$T$27,0),4),0)+COUNTIF(G125,"*造化2*")*154+COUNTIF(G125,"*造化1*")*102+COUNTIF(G125,"*碧归*")*307)/1024)</f>
        <v>0.116321271929785</v>
      </c>
      <c r="Q125">
        <f ca="1" t="shared" si="308"/>
        <v>0.0415122129107408</v>
      </c>
      <c r="R125">
        <f ca="1" t="shared" ref="R125:R143" si="373">IF(G125="恒定伤害",0,(($F$5-IF(D125="轻剑",$BB$2,$BB$3))*(1024-IF(D125="轻剑",$BD$2,$BD$3))/1024*(1024-IF(D125="轻剑",$BC$2,$BC$3)-COUNTIF(G125,"*雾锁*")*461*雾锁)/1024/(($F$5-IF(D125="轻剑",$BB$2,$BB$3))*(1024-IF(D125="轻剑",$BD$2,$BD$3))/1024*(1024-IF(D125="轻剑",$BC$2,$BC$3)-COUNTIF(G125,"*雾锁*")*461*雾锁)/1024+$F$7)))</f>
        <v>0.21277697966198</v>
      </c>
      <c r="S125">
        <f ca="1" t="shared" si="367"/>
        <v>745.94870024295</v>
      </c>
      <c r="T125">
        <f t="shared" si="178"/>
        <v>0.8</v>
      </c>
      <c r="U125">
        <f ca="1" t="shared" si="309"/>
        <v>1.7800129648</v>
      </c>
      <c r="V125">
        <f ca="1" t="shared" si="368"/>
        <v>1658.99764620089</v>
      </c>
      <c r="W125">
        <f ca="1">IF(G125="恒定伤害",0,MIN(1,IF(COUNTIF(F125,"*内会*")&gt;0,内会2,IF(D125="轻剑",$Y$2,$Y$3)+COUNTIF(G125,"*莺鸣*")*0.2+COUNTIF(G125,"*叠1*")*0.1+COUNTIF(G125,"*叠2*")*0.2+COUNTIF(G125,"*叠3*")*0.3)+IFERROR(INDEX(技能数据库!$T$2:$W$27,MATCH(E125,技能数据库!$T$2:$T$27,0),2),0)+IF((IF(D125="轻剑",$AO$2,$AO$3)+INT(COUNTIF(G125,"*大莺鸣*")*IF(D125="轻剑",$AM$2,$AM$3)*听晓无双率)/无双系数)&gt;0.9,特效裤子会心/会心系数,0)))</f>
        <v>0.0826138197194782</v>
      </c>
      <c r="X125">
        <f ca="1">IF(G125="恒定伤害",0,IF(COUNTIF(F125,"*内会*")&gt;0,内会效2,IF(D125="轻剑",$AB$2,$AB$3))+IFERROR(INDEX(技能数据库!$T$2:$W$27,MATCH(E125,技能数据库!$T$2:$T$27,0),3)/1024,0))+COUNTIF(G125,"*叠1*")*0.25+COUNTIF(G125,"*叠2*")*0.5+COUNTIF(G125,"*叠3*")*0.75</f>
        <v>1.79000318487951</v>
      </c>
      <c r="Y125">
        <f ca="1" t="shared" si="369"/>
        <v>1.06526518069345</v>
      </c>
      <c r="Z125">
        <f t="shared" ref="Z125:Z143" si="374">IF(G125="恒定伤害",0,非侠士伤害/1024)</f>
        <v>0.150390625</v>
      </c>
      <c r="AA125">
        <f ca="1" t="shared" si="370"/>
        <v>0.0205078125</v>
      </c>
      <c r="AB125">
        <f ca="1" t="shared" si="371"/>
        <v>2074.74711493718</v>
      </c>
      <c r="AC125">
        <f ca="1">技能数计算!$AJ117</f>
        <v>0</v>
      </c>
      <c r="AD125" s="164">
        <f ca="1" t="shared" ref="AD125:AD143" si="375">IFERROR(AB125*AC125/$AD$7,0)</f>
        <v>0</v>
      </c>
      <c r="AE125" s="168"/>
      <c r="AF125" s="168">
        <f ca="1" t="shared" si="116"/>
        <v>0.0826138197194782</v>
      </c>
      <c r="AG125">
        <f ca="1">技能数计算!$AJ117</f>
        <v>0</v>
      </c>
      <c r="AH125">
        <f ca="1" t="shared" si="117"/>
        <v>109879</v>
      </c>
      <c r="AJ125">
        <f ca="1" t="shared" si="118"/>
        <v>1.79000318487951</v>
      </c>
      <c r="AK125">
        <f ca="1" t="shared" ref="AK125:AK143" si="376">H125+AH125*I125+J125*(238.5+M125)+IF(K125&gt;0,MAX(1,K125*N125*破招全局系数),0)</f>
        <v>815</v>
      </c>
      <c r="AL125">
        <f ca="1" t="shared" si="310"/>
        <v>2074.74711493718</v>
      </c>
      <c r="AM125" s="169">
        <f ca="1" t="shared" si="121"/>
        <v>0.0826138197194782</v>
      </c>
      <c r="AN125">
        <f ca="1">技能数计算!$AJ117</f>
        <v>0</v>
      </c>
      <c r="AO125" s="170">
        <f ca="1" t="shared" si="311"/>
        <v>2074.74711493718</v>
      </c>
      <c r="AP125">
        <f ca="1" t="shared" si="123"/>
        <v>110956</v>
      </c>
      <c r="AQ125" s="170">
        <f ca="1" t="shared" ref="AQ125:AQ143" si="377">H125+AP125*I125+J125*M125+IF(K125&gt;0,MAX(1,K125*N125*破招全局系数),0)</f>
        <v>815</v>
      </c>
      <c r="AR125">
        <f ca="1" t="shared" si="312"/>
        <v>2074.74711493718</v>
      </c>
      <c r="AS125">
        <f ca="1" t="shared" si="126"/>
        <v>0.0826138197194782</v>
      </c>
      <c r="AT125">
        <f ca="1">技能数计算!$AJ117</f>
        <v>0</v>
      </c>
      <c r="AU125">
        <f ca="1" t="shared" si="127"/>
        <v>1.79000318487951</v>
      </c>
      <c r="AV125">
        <f ca="1" t="shared" si="313"/>
        <v>1.7995442148</v>
      </c>
      <c r="AW125">
        <f ca="1" t="shared" si="155"/>
        <v>2089.32345148729</v>
      </c>
      <c r="AX125">
        <f ca="1" t="shared" si="129"/>
        <v>0.0826138197194782</v>
      </c>
      <c r="AY125">
        <f ca="1">技能数计算!$AJ117</f>
        <v>0</v>
      </c>
      <c r="AZ125" s="170">
        <f ca="1" t="shared" si="156"/>
        <v>2089.32345148729</v>
      </c>
      <c r="BA125">
        <f ca="1" t="shared" si="130"/>
        <v>0.0826138197194782</v>
      </c>
      <c r="BB125">
        <f ca="1">技能数计算!$AJ117</f>
        <v>0</v>
      </c>
      <c r="BC125" s="170">
        <f ca="1" t="shared" si="157"/>
        <v>2089.32345148729</v>
      </c>
      <c r="BE125">
        <f ca="1" t="shared" si="131"/>
        <v>105849</v>
      </c>
      <c r="BF125">
        <f ca="1" t="shared" ref="BF125:BF143" si="378">H125+BE125*I125+J125*M125+IF(K125&gt;0,MAX(1,K125*N125*破招全局系数),0)</f>
        <v>815</v>
      </c>
      <c r="BI125">
        <f ca="1" t="shared" si="133"/>
        <v>0.0826138197194782</v>
      </c>
      <c r="BJ125">
        <f ca="1">技能数计算!$AJ117</f>
        <v>0</v>
      </c>
      <c r="BK125">
        <f ca="1" t="shared" si="314"/>
        <v>2089.32345148729</v>
      </c>
      <c r="BM125">
        <f ca="1" t="shared" si="135"/>
        <v>109230</v>
      </c>
      <c r="BN125">
        <f ca="1" t="shared" ref="BN125:BN143" si="379">H125+BM125*I125+J125*M125+IF(K125&gt;0,MAX(1,K125*N125*破招全局系数),0)</f>
        <v>815</v>
      </c>
      <c r="BO125">
        <f ca="1" t="shared" si="315"/>
        <v>2074.74711493718</v>
      </c>
      <c r="BP125">
        <f ca="1" t="shared" si="316"/>
        <v>2074.74711493718</v>
      </c>
      <c r="BR125">
        <f ca="1" t="shared" si="139"/>
        <v>0.132613819719478</v>
      </c>
      <c r="BS125">
        <f ca="1" t="shared" si="317"/>
        <v>2166.7958128689</v>
      </c>
      <c r="BT125">
        <f ca="1" t="shared" ref="BT125:BT143" si="380">IF(G125="恒定伤害",0,(($F$5-IF(D125="轻剑",$BB$2,$BB$3))*(1024-IF(D125="轻剑",$BD$2,$BD$3))/1024*(1024-IF(D125="轻剑",$BT$8,$BT$9)-COUNTIF(G125,"*雾锁*")*461*雾锁)/1024/(($F$5-IF(D125="轻剑",$BB$2,$BB$3))*(1024-IF(D125="轻剑",$BD$2,$BD$3))/1024*(1024-IF(D125="轻剑",$BT$8,$BT$9)-COUNTIF(G125,"*雾锁*")*461*雾锁)/1024+$F$7)))</f>
        <v>0.196995876306796</v>
      </c>
      <c r="BU125">
        <f ca="1" t="shared" si="142"/>
        <v>1.93648755987951</v>
      </c>
      <c r="BV125">
        <f ca="1" t="shared" si="158"/>
        <v>2233.40562703019</v>
      </c>
      <c r="BW125">
        <f ca="1" t="shared" si="143"/>
        <v>113027</v>
      </c>
      <c r="BX125">
        <f ca="1" t="shared" ref="BX125:BX143" si="381">H125+BW125*I125+J125*M125+IF(K125&gt;0,MAX(1,K125*N125*破招全局系数),0)</f>
        <v>815</v>
      </c>
      <c r="BY125">
        <f ca="1" t="shared" si="145"/>
        <v>0.0826138197194782</v>
      </c>
      <c r="BZ125">
        <f ca="1">技能数计算!$AJ117</f>
        <v>0</v>
      </c>
      <c r="CA125">
        <f ca="1" t="shared" si="146"/>
        <v>1.79000318487951</v>
      </c>
      <c r="CB125">
        <f ca="1" t="shared" si="159"/>
        <v>2074.74711493718</v>
      </c>
      <c r="CC125">
        <f ca="1" t="shared" si="147"/>
        <v>114847</v>
      </c>
      <c r="CD125">
        <f ca="1" t="shared" ref="CD125:CD143" si="382">H125+CC125*I125+J125*M125+IF(K125&gt;0,MAX(1,K125*N125*破招全局系数),0)</f>
        <v>815</v>
      </c>
      <c r="CE125">
        <f ca="1" t="shared" si="318"/>
        <v>2074.74711493718</v>
      </c>
      <c r="CF125">
        <f ca="1" t="shared" si="150"/>
        <v>1.79000318487951</v>
      </c>
      <c r="CG125">
        <f ca="1" t="shared" si="151"/>
        <v>0.112613819719478</v>
      </c>
      <c r="CH125">
        <f ca="1" t="shared" si="160"/>
        <v>2089.32345148729</v>
      </c>
      <c r="CJ125">
        <f ca="1" t="shared" ref="CJ125:CJ143" si="383">H125+BM125*I125+J125*M125+IF(K125&gt;0,MAX(1,K125*(N125+2667)*破招全局系数),0)</f>
        <v>815</v>
      </c>
      <c r="CK125">
        <f ca="1" t="shared" si="319"/>
        <v>2074.74711493718</v>
      </c>
      <c r="CL125">
        <f ca="1" t="shared" ref="CL125:CL143" si="384">X125+IF(D125="轻剑",$CL$8-$AB$2,$CL$9-$AB$3)</f>
        <v>1.91031568487951</v>
      </c>
      <c r="CM125">
        <f ca="1">IF(G125="恒定伤害",0,(IF(D125="轻剑",$CM$8,$CM$9)+IFERROR(INDEX(技能数据库!$T$2:$W$27,MATCH(E125,技能数据库!$T$2:$T$27,0),4),0)+COUNTIF(G125,"*造化2*")*154+COUNTIF(G125,"*造化1*")*102+COUNTIF(G125,"*碧归*")*307)/1024)</f>
        <v>0.176868146929785</v>
      </c>
      <c r="CN125">
        <f ca="1" t="shared" si="162"/>
        <v>2279.66335344722</v>
      </c>
      <c r="CO125">
        <f ca="1" t="shared" ref="CO125:CO143" si="385">X125+IF(D125="轻剑",$CO$8-$AB$2,$CO$9-$AB$3)</f>
        <v>1.93437818487951</v>
      </c>
      <c r="CP125">
        <f ca="1" t="shared" si="164"/>
        <v>2285.26633240373</v>
      </c>
      <c r="CQ125">
        <f ca="1" t="shared" si="320"/>
        <v>1.8815754648</v>
      </c>
      <c r="CR125">
        <f ca="1">IF(G125="恒定伤害",0,(IF(D125="轻剑",$CR$8,$CR$9)+IFERROR(INDEX(技能数据库!$T$2:$W$27,MATCH(E125,技能数据库!$T$2:$T$27,0),4),0)+COUNTIF(G125,"*造化2*")*154+COUNTIF(G125,"*造化1*")*102+COUNTIF(G125,"*碧归*")*307)/1024)</f>
        <v>0.167102521929785</v>
      </c>
      <c r="CS125">
        <f ca="1" t="shared" ref="CS125:CS143" si="386">IF(COUNTIF(G125,"*恒定伤害*")&gt;0,AB125,((O125*(1+CR125)*(1+Q125)*(1-R125))*T125*(1+CQ125))*Y125*(1+Z125)*(1+AA125))</f>
        <v>2248.37192024584</v>
      </c>
    </row>
    <row r="126" spans="4:97">
      <c r="D126" t="s">
        <v>1825</v>
      </c>
      <c r="E126" s="161" t="s">
        <v>2857</v>
      </c>
      <c r="F126" t="s">
        <v>3160</v>
      </c>
      <c r="G126" t="s">
        <v>2750</v>
      </c>
      <c r="H126">
        <f ca="1">INDEX(技能数据库!$B$2:$I$100,MATCH(阵眼收益计算!$E126,技能数据库!$B$2:$B$100,0),MATCH(H$9,技能数据库!$B$2:$I$2,0))</f>
        <v>469999</v>
      </c>
      <c r="I126">
        <f ca="1">INDEX(技能数据库!$B$2:$I$100,MATCH(阵眼收益计算!$E126,技能数据库!$B$2:$B$100,0),MATCH(I$9,技能数据库!$B$2:$I$2,0))</f>
        <v>0</v>
      </c>
      <c r="J126">
        <f ca="1">INDEX(技能数据库!$B$2:$I$100,MATCH(阵眼收益计算!$E126,技能数据库!$B$2:$B$100,0),MATCH(J$9,技能数据库!$B$2:$I$2,0))</f>
        <v>0</v>
      </c>
      <c r="K126">
        <f ca="1">INDEX(技能数据库!$B$2:$I$100,MATCH(阵眼收益计算!$E126,技能数据库!$B$2:$B$100,0),MATCH(K$9,技能数据库!$B$2:$I$2,0))</f>
        <v>0</v>
      </c>
      <c r="L126">
        <f ca="1" t="shared" si="110"/>
        <v>105847</v>
      </c>
      <c r="M126">
        <f ca="1" t="shared" si="365"/>
        <v>19530.5</v>
      </c>
      <c r="N126">
        <f ca="1" t="shared" si="366"/>
        <v>92028</v>
      </c>
      <c r="O126">
        <f ca="1" t="shared" si="372"/>
        <v>469999</v>
      </c>
      <c r="P126">
        <f ca="1">IF(G126="恒定伤害",0,(IF(D126="轻剑",$AZ$2,$AZ$3)+IFERROR(INDEX(技能数据库!$T$2:$W$27,MATCH(E126,技能数据库!$T$2:$T$27,0),4),0)+COUNTIF(G126,"*造化2*")*154+COUNTIF(G126,"*造化1*")*102+COUNTIF(G126,"*碧归*")*307)/1024)</f>
        <v>0.116321271929785</v>
      </c>
      <c r="Q126">
        <f ca="1" t="shared" si="308"/>
        <v>0.0415122129107408</v>
      </c>
      <c r="R126">
        <f ca="1" t="shared" si="373"/>
        <v>0.21277697966198</v>
      </c>
      <c r="S126">
        <f ca="1" t="shared" si="367"/>
        <v>430178.089773603</v>
      </c>
      <c r="T126">
        <f t="shared" si="178"/>
        <v>0.8</v>
      </c>
      <c r="U126">
        <f ca="1" t="shared" si="309"/>
        <v>1.7800129648</v>
      </c>
      <c r="V126">
        <f ca="1" t="shared" si="368"/>
        <v>956720.533394811</v>
      </c>
      <c r="W126">
        <f ca="1">IF(G126="恒定伤害",0,MIN(1,IF(COUNTIF(F126,"*内会*")&gt;0,内会2,IF(D126="轻剑",$Y$2,$Y$3)+COUNTIF(G126,"*莺鸣*")*0.2+COUNTIF(G126,"*叠1*")*0.1+COUNTIF(G126,"*叠2*")*0.2+COUNTIF(G126,"*叠3*")*0.3)+IFERROR(INDEX(技能数据库!$T$2:$W$27,MATCH(E126,技能数据库!$T$2:$T$27,0),2),0)+IF((IF(D126="轻剑",$AO$2,$AO$3)+INT(COUNTIF(G126,"*大莺鸣*")*IF(D126="轻剑",$AM$2,$AM$3)*听晓无双率)/无双系数)&gt;0.9,特效裤子会心/会心系数,0)))</f>
        <v>0.0826138197194782</v>
      </c>
      <c r="X126">
        <f ca="1">IF(G126="恒定伤害",0,IF(COUNTIF(F126,"*内会*")&gt;0,内会效2,IF(D126="轻剑",$AB$2,$AB$3))+IFERROR(INDEX(技能数据库!$T$2:$W$27,MATCH(E126,技能数据库!$T$2:$T$27,0),3)/1024,0))+COUNTIF(G126,"*叠1*")*0.25+COUNTIF(G126,"*叠2*")*0.5+COUNTIF(G126,"*叠3*")*0.75</f>
        <v>1.79000318487951</v>
      </c>
      <c r="Y126">
        <f ca="1" t="shared" si="369"/>
        <v>1.06526518069345</v>
      </c>
      <c r="Z126">
        <f t="shared" si="374"/>
        <v>0.150390625</v>
      </c>
      <c r="AA126">
        <f ca="1" t="shared" si="370"/>
        <v>0.0205078125</v>
      </c>
      <c r="AB126">
        <f ca="1" t="shared" si="371"/>
        <v>1196477.38561148</v>
      </c>
      <c r="AC126">
        <f ca="1">技能数计算!$AJ118</f>
        <v>0</v>
      </c>
      <c r="AD126" s="164">
        <f ca="1" t="shared" si="375"/>
        <v>0</v>
      </c>
      <c r="AE126" s="168"/>
      <c r="AF126" s="168">
        <f ca="1" t="shared" si="116"/>
        <v>0.0826138197194782</v>
      </c>
      <c r="AG126">
        <f ca="1">技能数计算!$AJ118</f>
        <v>0</v>
      </c>
      <c r="AH126">
        <f ca="1" t="shared" si="117"/>
        <v>109879</v>
      </c>
      <c r="AJ126">
        <f ca="1" t="shared" si="118"/>
        <v>1.79000318487951</v>
      </c>
      <c r="AK126">
        <f ca="1" t="shared" si="376"/>
        <v>469999</v>
      </c>
      <c r="AL126">
        <f ca="1" t="shared" si="310"/>
        <v>1196477.38561148</v>
      </c>
      <c r="AM126" s="169">
        <f ca="1" t="shared" si="121"/>
        <v>0.0826138197194782</v>
      </c>
      <c r="AN126">
        <f ca="1">技能数计算!$AJ118</f>
        <v>0</v>
      </c>
      <c r="AO126" s="170">
        <f ca="1" t="shared" si="311"/>
        <v>1196477.38561148</v>
      </c>
      <c r="AP126">
        <f ca="1" t="shared" si="123"/>
        <v>110956</v>
      </c>
      <c r="AQ126" s="170">
        <f ca="1" t="shared" si="377"/>
        <v>469999</v>
      </c>
      <c r="AR126">
        <f ca="1" t="shared" si="312"/>
        <v>1196477.38561148</v>
      </c>
      <c r="AS126">
        <f ca="1" t="shared" si="126"/>
        <v>0.0826138197194782</v>
      </c>
      <c r="AT126">
        <f ca="1">技能数计算!$AJ118</f>
        <v>0</v>
      </c>
      <c r="AU126">
        <f ca="1" t="shared" si="127"/>
        <v>1.79000318487951</v>
      </c>
      <c r="AV126">
        <f ca="1" t="shared" si="313"/>
        <v>1.7995442148</v>
      </c>
      <c r="AW126">
        <f ca="1" t="shared" si="155"/>
        <v>1204883.35322157</v>
      </c>
      <c r="AX126">
        <f ca="1" t="shared" si="129"/>
        <v>0.0826138197194782</v>
      </c>
      <c r="AY126">
        <f ca="1">技能数计算!$AJ118</f>
        <v>0</v>
      </c>
      <c r="AZ126" s="170">
        <f ca="1" t="shared" si="156"/>
        <v>1204883.35322157</v>
      </c>
      <c r="BA126">
        <f ca="1" t="shared" si="130"/>
        <v>0.0826138197194782</v>
      </c>
      <c r="BB126">
        <f ca="1">技能数计算!$AJ118</f>
        <v>0</v>
      </c>
      <c r="BC126" s="170">
        <f ca="1" t="shared" si="157"/>
        <v>1204883.35322157</v>
      </c>
      <c r="BE126">
        <f ca="1" t="shared" si="131"/>
        <v>105849</v>
      </c>
      <c r="BF126">
        <f ca="1" t="shared" si="378"/>
        <v>469999</v>
      </c>
      <c r="BI126">
        <f ca="1" t="shared" si="133"/>
        <v>0.0826138197194782</v>
      </c>
      <c r="BJ126">
        <f ca="1">技能数计算!$AJ118</f>
        <v>0</v>
      </c>
      <c r="BK126">
        <f ca="1" t="shared" si="314"/>
        <v>1204883.35322157</v>
      </c>
      <c r="BM126">
        <f ca="1" t="shared" si="135"/>
        <v>109230</v>
      </c>
      <c r="BN126">
        <f ca="1" t="shared" si="379"/>
        <v>469999</v>
      </c>
      <c r="BO126">
        <f ca="1" t="shared" si="315"/>
        <v>1196477.38561148</v>
      </c>
      <c r="BP126">
        <f ca="1" t="shared" si="316"/>
        <v>1196477.38561148</v>
      </c>
      <c r="BR126">
        <f ca="1" t="shared" si="139"/>
        <v>0.132613819719478</v>
      </c>
      <c r="BS126">
        <f ca="1" t="shared" si="317"/>
        <v>1249560.57086205</v>
      </c>
      <c r="BT126">
        <f ca="1" t="shared" si="380"/>
        <v>0.196995876306796</v>
      </c>
      <c r="BU126">
        <f ca="1" t="shared" si="142"/>
        <v>1.93648755987951</v>
      </c>
      <c r="BV126">
        <f ca="1" t="shared" si="158"/>
        <v>1287973.51079578</v>
      </c>
      <c r="BW126">
        <f ca="1" t="shared" si="143"/>
        <v>113027</v>
      </c>
      <c r="BX126">
        <f ca="1" t="shared" si="381"/>
        <v>469999</v>
      </c>
      <c r="BY126">
        <f ca="1" t="shared" si="145"/>
        <v>0.0826138197194782</v>
      </c>
      <c r="BZ126">
        <f ca="1">技能数计算!$AJ118</f>
        <v>0</v>
      </c>
      <c r="CA126">
        <f ca="1" t="shared" si="146"/>
        <v>1.79000318487951</v>
      </c>
      <c r="CB126">
        <f ca="1" t="shared" si="159"/>
        <v>1196477.38561148</v>
      </c>
      <c r="CC126">
        <f ca="1" t="shared" si="147"/>
        <v>114847</v>
      </c>
      <c r="CD126">
        <f ca="1" t="shared" si="382"/>
        <v>469999</v>
      </c>
      <c r="CE126">
        <f ca="1" t="shared" si="318"/>
        <v>1196477.38561148</v>
      </c>
      <c r="CF126">
        <f ca="1" t="shared" si="150"/>
        <v>1.79000318487951</v>
      </c>
      <c r="CG126">
        <f ca="1" t="shared" si="151"/>
        <v>0.112613819719478</v>
      </c>
      <c r="CH126">
        <f ca="1" t="shared" si="160"/>
        <v>1204883.35322157</v>
      </c>
      <c r="CJ126">
        <f ca="1" t="shared" si="383"/>
        <v>469999</v>
      </c>
      <c r="CK126">
        <f ca="1" t="shared" si="319"/>
        <v>1196477.38561148</v>
      </c>
      <c r="CL126">
        <f ca="1" t="shared" si="384"/>
        <v>1.91031568487951</v>
      </c>
      <c r="CM126">
        <f ca="1">IF(G126="恒定伤害",0,(IF(D126="轻剑",$CM$8,$CM$9)+IFERROR(INDEX(技能数据库!$T$2:$W$27,MATCH(E126,技能数据库!$T$2:$T$27,0),4),0)+COUNTIF(G126,"*造化2*")*154+COUNTIF(G126,"*造化1*")*102+COUNTIF(G126,"*碧归*")*307)/1024)</f>
        <v>0.176868146929785</v>
      </c>
      <c r="CN126">
        <f ca="1" t="shared" si="162"/>
        <v>1314649.6889041</v>
      </c>
      <c r="CO126">
        <f ca="1" t="shared" si="385"/>
        <v>1.93437818487951</v>
      </c>
      <c r="CP126">
        <f ca="1" t="shared" si="164"/>
        <v>1317880.84780788</v>
      </c>
      <c r="CQ126">
        <f ca="1" t="shared" si="320"/>
        <v>1.8815754648</v>
      </c>
      <c r="CR126">
        <f ca="1">IF(G126="恒定伤害",0,(IF(D126="轻剑",$CR$8,$CR$9)+IFERROR(INDEX(技能数据库!$T$2:$W$27,MATCH(E126,技能数据库!$T$2:$T$27,0),4),0)+COUNTIF(G126,"*造化2*")*154+COUNTIF(G126,"*造化1*")*102+COUNTIF(G126,"*碧归*")*307)/1024)</f>
        <v>0.167102521929785</v>
      </c>
      <c r="CS126">
        <f ca="1" t="shared" si="386"/>
        <v>1296604.36091242</v>
      </c>
    </row>
    <row r="127" spans="4:97">
      <c r="D127" t="s">
        <v>1028</v>
      </c>
      <c r="E127" s="161" t="s">
        <v>2859</v>
      </c>
      <c r="F127" t="s">
        <v>3160</v>
      </c>
      <c r="G127" t="s">
        <v>2750</v>
      </c>
      <c r="H127">
        <f ca="1">INDEX(技能数据库!$B$2:$I$100,MATCH(阵眼收益计算!$E127,技能数据库!$B$2:$B$100,0),MATCH(H$9,技能数据库!$B$2:$I$2,0))</f>
        <v>1955936</v>
      </c>
      <c r="I127">
        <f ca="1">INDEX(技能数据库!$B$2:$I$100,MATCH(阵眼收益计算!$E127,技能数据库!$B$2:$B$100,0),MATCH(I$9,技能数据库!$B$2:$I$2,0))</f>
        <v>0</v>
      </c>
      <c r="J127">
        <f ca="1">INDEX(技能数据库!$B$2:$I$100,MATCH(阵眼收益计算!$E127,技能数据库!$B$2:$B$100,0),MATCH(J$9,技能数据库!$B$2:$I$2,0))</f>
        <v>0</v>
      </c>
      <c r="K127">
        <f ca="1">INDEX(技能数据库!$B$2:$I$100,MATCH(阵眼收益计算!$E127,技能数据库!$B$2:$B$100,0),MATCH(K$9,技能数据库!$B$2:$I$2,0))</f>
        <v>0</v>
      </c>
      <c r="L127">
        <f ca="1" t="shared" si="110"/>
        <v>105847</v>
      </c>
      <c r="M127">
        <f ca="1" t="shared" si="365"/>
        <v>12694.5</v>
      </c>
      <c r="N127">
        <f ca="1" t="shared" si="366"/>
        <v>92028</v>
      </c>
      <c r="O127">
        <f ca="1" t="shared" si="372"/>
        <v>1955936</v>
      </c>
      <c r="P127">
        <f ca="1">IF(G127="恒定伤害",0,(IF(D127="轻剑",$AZ$2,$AZ$3)+IFERROR(INDEX(技能数据库!$T$2:$W$27,MATCH(E127,技能数据库!$T$2:$T$27,0),4),0)+COUNTIF(G127,"*造化2*")*154+COUNTIF(G127,"*造化1*")*102+COUNTIF(G127,"*碧归*")*307)/1024)</f>
        <v>0.0167118969297852</v>
      </c>
      <c r="Q127">
        <f ca="1" t="shared" si="308"/>
        <v>0.0415122129107408</v>
      </c>
      <c r="R127">
        <f ca="1" t="shared" si="373"/>
        <v>0.21277697966198</v>
      </c>
      <c r="S127">
        <f ca="1" t="shared" si="367"/>
        <v>1630477.07908655</v>
      </c>
      <c r="T127">
        <f t="shared" si="178"/>
        <v>0.8</v>
      </c>
      <c r="U127">
        <f ca="1" t="shared" si="309"/>
        <v>1.7800129648</v>
      </c>
      <c r="V127">
        <f ca="1" t="shared" si="368"/>
        <v>3626197.93493588</v>
      </c>
      <c r="W127">
        <f ca="1">IF(G127="恒定伤害",0,MIN(1,IF(COUNTIF(F127,"*内会*")&gt;0,内会2,IF(D127="轻剑",$Y$2,$Y$3)+COUNTIF(G127,"*莺鸣*")*0.2+COUNTIF(G127,"*叠1*")*0.1+COUNTIF(G127,"*叠2*")*0.2+COUNTIF(G127,"*叠3*")*0.3)+IFERROR(INDEX(技能数据库!$T$2:$W$27,MATCH(E127,技能数据库!$T$2:$T$27,0),2),0)+IF((IF(D127="轻剑",$AO$2,$AO$3)+INT(COUNTIF(G127,"*大莺鸣*")*IF(D127="轻剑",$AM$2,$AM$3)*听晓无双率)/无双系数)&gt;0.9,特效裤子会心/会心系数,0)))</f>
        <v>0.0826138197194782</v>
      </c>
      <c r="X127">
        <f ca="1">IF(G127="恒定伤害",0,IF(COUNTIF(F127,"*内会*")&gt;0,内会效2,IF(D127="轻剑",$AB$2,$AB$3))+IFERROR(INDEX(技能数据库!$T$2:$W$27,MATCH(E127,技能数据库!$T$2:$T$27,0),3)/1024,0))+COUNTIF(G127,"*叠1*")*0.25+COUNTIF(G127,"*叠2*")*0.5+COUNTIF(G127,"*叠3*")*0.75</f>
        <v>1.79000318487951</v>
      </c>
      <c r="Y127">
        <f ca="1" t="shared" si="369"/>
        <v>1.06526518069345</v>
      </c>
      <c r="Z127">
        <f t="shared" si="374"/>
        <v>0.150390625</v>
      </c>
      <c r="AA127">
        <f ca="1" t="shared" si="370"/>
        <v>0.0205078125</v>
      </c>
      <c r="AB127">
        <f ca="1" t="shared" si="371"/>
        <v>4534933.32008522</v>
      </c>
      <c r="AC127">
        <f ca="1">技能数计算!$AJ119</f>
        <v>0</v>
      </c>
      <c r="AD127" s="164">
        <f ca="1" t="shared" si="375"/>
        <v>0</v>
      </c>
      <c r="AE127" s="168"/>
      <c r="AF127" s="168">
        <f ca="1" t="shared" si="116"/>
        <v>0.0826138197194782</v>
      </c>
      <c r="AG127">
        <f ca="1">技能数计算!$AJ119</f>
        <v>0</v>
      </c>
      <c r="AH127">
        <f ca="1" t="shared" si="117"/>
        <v>109879</v>
      </c>
      <c r="AJ127">
        <f ca="1" t="shared" si="118"/>
        <v>1.79000318487951</v>
      </c>
      <c r="AK127">
        <f ca="1" t="shared" si="376"/>
        <v>1955936</v>
      </c>
      <c r="AL127">
        <f ca="1" t="shared" si="310"/>
        <v>4534933.32008522</v>
      </c>
      <c r="AM127" s="169">
        <f ca="1" t="shared" si="121"/>
        <v>0.0826138197194782</v>
      </c>
      <c r="AN127">
        <f ca="1">技能数计算!$AJ119</f>
        <v>0</v>
      </c>
      <c r="AO127" s="170">
        <f ca="1" t="shared" si="311"/>
        <v>4534933.32008522</v>
      </c>
      <c r="AP127">
        <f ca="1" t="shared" si="123"/>
        <v>110956</v>
      </c>
      <c r="AQ127" s="170">
        <f ca="1" t="shared" si="377"/>
        <v>1955936</v>
      </c>
      <c r="AR127">
        <f ca="1" t="shared" si="312"/>
        <v>4534933.32008522</v>
      </c>
      <c r="AS127">
        <f ca="1" t="shared" si="126"/>
        <v>0.0826138197194782</v>
      </c>
      <c r="AT127">
        <f ca="1">技能数计算!$AJ119</f>
        <v>0</v>
      </c>
      <c r="AU127">
        <f ca="1" t="shared" si="127"/>
        <v>1.79000318487951</v>
      </c>
      <c r="AV127">
        <f ca="1" t="shared" si="313"/>
        <v>1.7995442148</v>
      </c>
      <c r="AW127">
        <f ca="1" t="shared" si="155"/>
        <v>4566793.93279797</v>
      </c>
      <c r="AX127">
        <f ca="1" t="shared" si="129"/>
        <v>0.0826138197194782</v>
      </c>
      <c r="AY127">
        <f ca="1">技能数计算!$AJ119</f>
        <v>0</v>
      </c>
      <c r="AZ127" s="170">
        <f ca="1" t="shared" si="156"/>
        <v>4566793.93279797</v>
      </c>
      <c r="BA127">
        <f ca="1" t="shared" si="130"/>
        <v>0.0826138197194782</v>
      </c>
      <c r="BB127">
        <f ca="1">技能数计算!$AJ119</f>
        <v>0</v>
      </c>
      <c r="BC127" s="170">
        <f ca="1" t="shared" si="157"/>
        <v>4566793.93279797</v>
      </c>
      <c r="BE127">
        <f ca="1" t="shared" si="131"/>
        <v>105849</v>
      </c>
      <c r="BF127">
        <f ca="1" t="shared" si="378"/>
        <v>1955936</v>
      </c>
      <c r="BI127">
        <f ca="1" t="shared" si="133"/>
        <v>0.0826138197194782</v>
      </c>
      <c r="BJ127">
        <f ca="1">技能数计算!$AJ119</f>
        <v>0</v>
      </c>
      <c r="BK127">
        <f ca="1" t="shared" si="314"/>
        <v>4566793.93279797</v>
      </c>
      <c r="BM127">
        <f ca="1" t="shared" si="135"/>
        <v>109230</v>
      </c>
      <c r="BN127">
        <f ca="1" t="shared" si="379"/>
        <v>1955936</v>
      </c>
      <c r="BO127">
        <f ca="1" t="shared" si="315"/>
        <v>4534933.32008522</v>
      </c>
      <c r="BP127">
        <f ca="1" t="shared" si="316"/>
        <v>4534933.32008522</v>
      </c>
      <c r="BR127">
        <f ca="1" t="shared" si="139"/>
        <v>0.132613819719478</v>
      </c>
      <c r="BS127">
        <f ca="1" t="shared" si="317"/>
        <v>4736131.19346251</v>
      </c>
      <c r="BT127">
        <f ca="1" t="shared" si="380"/>
        <v>0.196995876306796</v>
      </c>
      <c r="BU127">
        <f ca="1" t="shared" si="142"/>
        <v>1.93648755987951</v>
      </c>
      <c r="BV127">
        <f ca="1" t="shared" si="158"/>
        <v>4881725.35455808</v>
      </c>
      <c r="BW127">
        <f ca="1" t="shared" si="143"/>
        <v>113027</v>
      </c>
      <c r="BX127">
        <f ca="1" t="shared" si="381"/>
        <v>1955936</v>
      </c>
      <c r="BY127">
        <f ca="1" t="shared" si="145"/>
        <v>0.0826138197194782</v>
      </c>
      <c r="BZ127">
        <f ca="1">技能数计算!$AJ119</f>
        <v>0</v>
      </c>
      <c r="CA127">
        <f ca="1" t="shared" si="146"/>
        <v>1.79000318487951</v>
      </c>
      <c r="CB127">
        <f ca="1" t="shared" si="159"/>
        <v>4534933.32008522</v>
      </c>
      <c r="CC127">
        <f ca="1" t="shared" si="147"/>
        <v>114847</v>
      </c>
      <c r="CD127">
        <f ca="1" t="shared" si="382"/>
        <v>1955936</v>
      </c>
      <c r="CE127">
        <f ca="1" t="shared" si="318"/>
        <v>4534933.32008522</v>
      </c>
      <c r="CF127">
        <f ca="1" t="shared" si="150"/>
        <v>1.79000318487951</v>
      </c>
      <c r="CG127">
        <f ca="1" t="shared" si="151"/>
        <v>0.112613819719478</v>
      </c>
      <c r="CH127">
        <f ca="1" t="shared" si="160"/>
        <v>4566793.93279797</v>
      </c>
      <c r="CJ127">
        <f ca="1" t="shared" si="383"/>
        <v>1955936</v>
      </c>
      <c r="CK127">
        <f ca="1" t="shared" si="319"/>
        <v>4534933.32008522</v>
      </c>
      <c r="CL127">
        <f ca="1" t="shared" si="384"/>
        <v>1.91031568487951</v>
      </c>
      <c r="CM127">
        <f ca="1">IF(G127="恒定伤害",0,(IF(D127="轻剑",$CM$8,$CM$9)+IFERROR(INDEX(技能数据库!$T$2:$W$27,MATCH(E127,技能数据库!$T$2:$T$27,0),4),0)+COUNTIF(G127,"*造化2*")*154+COUNTIF(G127,"*造化1*")*102+COUNTIF(G127,"*碧归*")*307)/1024)</f>
        <v>0.0772587719297852</v>
      </c>
      <c r="CN127">
        <f ca="1" t="shared" si="162"/>
        <v>5007949.95190077</v>
      </c>
      <c r="CO127">
        <f ca="1" t="shared" si="385"/>
        <v>1.93437818487951</v>
      </c>
      <c r="CP127">
        <f ca="1" t="shared" si="164"/>
        <v>5020258.54042695</v>
      </c>
      <c r="CQ127">
        <f ca="1" t="shared" si="320"/>
        <v>1.8815754648</v>
      </c>
      <c r="CR127">
        <f ca="1">IF(G127="恒定伤害",0,(IF(D127="轻剑",$CR$8,$CR$9)+IFERROR(INDEX(技能数据库!$T$2:$W$27,MATCH(E127,技能数据库!$T$2:$T$27,0),4),0)+COUNTIF(G127,"*造化2*")*154+COUNTIF(G127,"*造化1*")*102+COUNTIF(G127,"*碧归*")*307)/1024)</f>
        <v>0.0674931469297852</v>
      </c>
      <c r="CS127">
        <f ca="1" t="shared" si="386"/>
        <v>4935387.67659944</v>
      </c>
    </row>
    <row r="128" spans="4:97">
      <c r="D128" t="s">
        <v>1028</v>
      </c>
      <c r="E128" s="161" t="s">
        <v>2859</v>
      </c>
      <c r="F128" t="s">
        <v>2503</v>
      </c>
      <c r="G128" t="s">
        <v>2750</v>
      </c>
      <c r="H128">
        <f ca="1">INDEX(技能数据库!$B$2:$I$100,MATCH(阵眼收益计算!$E128,技能数据库!$B$2:$B$100,0),MATCH(H$9,技能数据库!$B$2:$I$2,0))</f>
        <v>1955936</v>
      </c>
      <c r="I128">
        <f ca="1">INDEX(技能数据库!$B$2:$I$100,MATCH(阵眼收益计算!$E128,技能数据库!$B$2:$B$100,0),MATCH(I$9,技能数据库!$B$2:$I$2,0))</f>
        <v>0</v>
      </c>
      <c r="J128">
        <f ca="1">INDEX(技能数据库!$B$2:$I$100,MATCH(阵眼收益计算!$E128,技能数据库!$B$2:$B$100,0),MATCH(J$9,技能数据库!$B$2:$I$2,0))</f>
        <v>0</v>
      </c>
      <c r="K128">
        <f ca="1">INDEX(技能数据库!$B$2:$I$100,MATCH(阵眼收益计算!$E128,技能数据库!$B$2:$B$100,0),MATCH(K$9,技能数据库!$B$2:$I$2,0))</f>
        <v>0</v>
      </c>
      <c r="L128">
        <f ca="1" t="shared" si="110"/>
        <v>105847</v>
      </c>
      <c r="M128">
        <f ca="1" t="shared" si="365"/>
        <v>12694.5</v>
      </c>
      <c r="N128">
        <f ca="1" t="shared" si="366"/>
        <v>92028</v>
      </c>
      <c r="O128">
        <f ca="1" t="shared" si="372"/>
        <v>1955936</v>
      </c>
      <c r="P128">
        <f ca="1">IF(G128="恒定伤害",0,(IF(D128="轻剑",$AZ$2,$AZ$3)+IFERROR(INDEX(技能数据库!$T$2:$W$27,MATCH(E128,技能数据库!$T$2:$T$27,0),4),0)+COUNTIF(G128,"*造化2*")*154+COUNTIF(G128,"*造化1*")*102+COUNTIF(G128,"*碧归*")*307)/1024)</f>
        <v>0.0167118969297852</v>
      </c>
      <c r="Q128">
        <f ca="1" t="shared" si="308"/>
        <v>0.0415122129107408</v>
      </c>
      <c r="R128">
        <f ca="1" t="shared" si="373"/>
        <v>0.21277697966198</v>
      </c>
      <c r="S128">
        <f ca="1" t="shared" si="367"/>
        <v>1630477.07908655</v>
      </c>
      <c r="T128">
        <f t="shared" si="178"/>
        <v>0.8</v>
      </c>
      <c r="U128">
        <f ca="1" t="shared" si="309"/>
        <v>1.7800129648</v>
      </c>
      <c r="V128">
        <f ca="1" t="shared" si="368"/>
        <v>3626197.93493588</v>
      </c>
      <c r="W128">
        <f ca="1">IF(G128="恒定伤害",0,MIN(1,IF(COUNTIF(F128,"*内会*")&gt;0,内会2,IF(D128="轻剑",$Y$2,$Y$3)+COUNTIF(G128,"*莺鸣*")*0.2+COUNTIF(G128,"*叠1*")*0.1+COUNTIF(G128,"*叠2*")*0.2+COUNTIF(G128,"*叠3*")*0.3)+IFERROR(INDEX(技能数据库!$T$2:$W$27,MATCH(E128,技能数据库!$T$2:$T$27,0),2),0)+IF((IF(D128="轻剑",$AO$2,$AO$3)+INT(COUNTIF(G128,"*大莺鸣*")*IF(D128="轻剑",$AM$2,$AM$3)*听晓无双率)/无双系数)&gt;0.9,特效裤子会心/会心系数,0)))</f>
        <v>0.7043</v>
      </c>
      <c r="X128">
        <f ca="1">IF(G128="恒定伤害",0,IF(COUNTIF(F128,"*内会*")&gt;0,内会效2,IF(D128="轻剑",$AB$2,$AB$3))+IFERROR(INDEX(技能数据库!$T$2:$W$27,MATCH(E128,技能数据库!$T$2:$T$27,0),3)/1024,0))+COUNTIF(G128,"*叠1*")*0.25+COUNTIF(G128,"*叠2*")*0.5+COUNTIF(G128,"*叠3*")*0.75</f>
        <v>2.1712723116</v>
      </c>
      <c r="Y128">
        <f ca="1" t="shared" si="369"/>
        <v>1.82492708905988</v>
      </c>
      <c r="Z128">
        <f t="shared" si="374"/>
        <v>0.150390625</v>
      </c>
      <c r="AA128">
        <f ca="1" t="shared" si="370"/>
        <v>0.0205078125</v>
      </c>
      <c r="AB128">
        <f ca="1" t="shared" si="371"/>
        <v>7768884.98084247</v>
      </c>
      <c r="AC128">
        <f ca="1">技能数计算!$AJ120</f>
        <v>0</v>
      </c>
      <c r="AD128" s="164">
        <f ca="1" t="shared" si="375"/>
        <v>0</v>
      </c>
      <c r="AE128" s="168"/>
      <c r="AF128" s="168">
        <f ca="1" t="shared" si="116"/>
        <v>0.7057</v>
      </c>
      <c r="AG128">
        <f ca="1">技能数计算!$AJ120</f>
        <v>0</v>
      </c>
      <c r="AH128">
        <f ca="1" t="shared" si="117"/>
        <v>109879</v>
      </c>
      <c r="AJ128">
        <f ca="1" t="shared" si="118"/>
        <v>2.3704910616</v>
      </c>
      <c r="AK128">
        <f ca="1" t="shared" si="376"/>
        <v>1955936</v>
      </c>
      <c r="AL128">
        <f ca="1" t="shared" si="310"/>
        <v>8374364.78321288</v>
      </c>
      <c r="AM128" s="169">
        <f ca="1" t="shared" si="121"/>
        <v>0.7272</v>
      </c>
      <c r="AN128">
        <f ca="1">技能数计算!$AJ120</f>
        <v>0</v>
      </c>
      <c r="AO128" s="170">
        <f ca="1" t="shared" si="311"/>
        <v>8499802.41357435</v>
      </c>
      <c r="AP128">
        <f ca="1" t="shared" si="123"/>
        <v>110956</v>
      </c>
      <c r="AQ128" s="170">
        <f ca="1" t="shared" si="377"/>
        <v>1955936</v>
      </c>
      <c r="AR128">
        <f ca="1" t="shared" si="312"/>
        <v>7768884.98084247</v>
      </c>
      <c r="AS128">
        <f ca="1" t="shared" si="126"/>
        <v>0.7843</v>
      </c>
      <c r="AT128">
        <f ca="1">技能数计算!$AJ120</f>
        <v>0</v>
      </c>
      <c r="AU128">
        <f ca="1" t="shared" si="127"/>
        <v>2.3177566866</v>
      </c>
      <c r="AV128">
        <f ca="1" t="shared" si="313"/>
        <v>1.7995442148</v>
      </c>
      <c r="AW128">
        <f ca="1" t="shared" si="155"/>
        <v>8717689.54738561</v>
      </c>
      <c r="AX128">
        <f ca="1" t="shared" si="129"/>
        <v>0.7743</v>
      </c>
      <c r="AY128">
        <f ca="1">技能数计算!$AJ120</f>
        <v>0</v>
      </c>
      <c r="AZ128" s="170">
        <f ca="1" t="shared" si="156"/>
        <v>8661197.29221444</v>
      </c>
      <c r="BA128">
        <f ca="1" t="shared" si="130"/>
        <v>0.7643</v>
      </c>
      <c r="BB128">
        <f ca="1">技能数计算!$AJ120</f>
        <v>0</v>
      </c>
      <c r="BC128" s="170">
        <f ca="1" t="shared" si="157"/>
        <v>8604705.03704328</v>
      </c>
      <c r="BE128">
        <f ca="1" t="shared" si="131"/>
        <v>105849</v>
      </c>
      <c r="BF128">
        <f ca="1" t="shared" si="378"/>
        <v>1955936</v>
      </c>
      <c r="BI128">
        <f ca="1" t="shared" si="133"/>
        <v>0.7543</v>
      </c>
      <c r="BJ128">
        <f ca="1">技能数计算!$AJ120</f>
        <v>0</v>
      </c>
      <c r="BK128">
        <f ca="1" t="shared" si="314"/>
        <v>8074528.36938827</v>
      </c>
      <c r="BM128">
        <f ca="1" t="shared" si="135"/>
        <v>109230</v>
      </c>
      <c r="BN128">
        <f ca="1" t="shared" si="379"/>
        <v>1955936</v>
      </c>
      <c r="BO128">
        <f ca="1" t="shared" si="315"/>
        <v>7768884.98084247</v>
      </c>
      <c r="BP128">
        <f ca="1" t="shared" si="316"/>
        <v>7768884.98084247</v>
      </c>
      <c r="BR128">
        <f ca="1" t="shared" si="139"/>
        <v>0.7543</v>
      </c>
      <c r="BS128">
        <f ca="1" t="shared" si="317"/>
        <v>8074528.36938827</v>
      </c>
      <c r="BT128">
        <f ca="1" t="shared" si="380"/>
        <v>0.196995876306796</v>
      </c>
      <c r="BU128">
        <f ca="1" t="shared" si="142"/>
        <v>2.3177566866</v>
      </c>
      <c r="BV128">
        <f ca="1" t="shared" si="158"/>
        <v>8658742.10180988</v>
      </c>
      <c r="BW128">
        <f ca="1" t="shared" si="143"/>
        <v>113027</v>
      </c>
      <c r="BX128">
        <f ca="1" t="shared" si="381"/>
        <v>1955936</v>
      </c>
      <c r="BY128">
        <f ca="1" t="shared" si="145"/>
        <v>0.7343</v>
      </c>
      <c r="BZ128">
        <f ca="1">技能数计算!$AJ120</f>
        <v>0</v>
      </c>
      <c r="CA128">
        <f ca="1" t="shared" si="146"/>
        <v>2.3216629366</v>
      </c>
      <c r="CB128">
        <f ca="1" t="shared" si="159"/>
        <v>8388590.08276316</v>
      </c>
      <c r="CC128">
        <f ca="1" t="shared" si="147"/>
        <v>114847</v>
      </c>
      <c r="CD128">
        <f ca="1" t="shared" si="382"/>
        <v>1955936</v>
      </c>
      <c r="CE128">
        <f ca="1" t="shared" si="318"/>
        <v>7918471.44801613</v>
      </c>
      <c r="CF128">
        <f ca="1" t="shared" si="150"/>
        <v>2.2689285616</v>
      </c>
      <c r="CG128">
        <f ca="1" t="shared" si="151"/>
        <v>0.7343</v>
      </c>
      <c r="CH128">
        <f ca="1" t="shared" si="160"/>
        <v>8281519.99273405</v>
      </c>
      <c r="CJ128">
        <f ca="1" t="shared" si="383"/>
        <v>1955936</v>
      </c>
      <c r="CK128">
        <f ca="1" t="shared" si="319"/>
        <v>7768884.98084247</v>
      </c>
      <c r="CL128">
        <f ca="1" t="shared" si="384"/>
        <v>2.2915848116</v>
      </c>
      <c r="CM128">
        <f ca="1">IF(G128="恒定伤害",0,(IF(D128="轻剑",$CM$8,$CM$9)+IFERROR(INDEX(技能数据库!$T$2:$W$27,MATCH(E128,技能数据库!$T$2:$T$27,0),4),0)+COUNTIF(G128,"*造化2*")*154+COUNTIF(G128,"*造化1*")*102+COUNTIF(G128,"*碧归*")*307)/1024)</f>
        <v>0.0772587719297852</v>
      </c>
      <c r="CN128">
        <f ca="1" t="shared" si="162"/>
        <v>8850266.10860255</v>
      </c>
      <c r="CO128">
        <f ca="1" t="shared" si="385"/>
        <v>2.3156473116</v>
      </c>
      <c r="CP128">
        <f ca="1" t="shared" si="164"/>
        <v>8930524.43371116</v>
      </c>
      <c r="CQ128">
        <f ca="1" t="shared" si="320"/>
        <v>1.8815754648</v>
      </c>
      <c r="CR128">
        <f ca="1">IF(G128="恒定伤害",0,(IF(D128="轻剑",$CR$8,$CR$9)+IFERROR(INDEX(技能数据库!$T$2:$W$27,MATCH(E128,技能数据库!$T$2:$T$27,0),4),0)+COUNTIF(G128,"*造化2*")*154+COUNTIF(G128,"*造化1*")*102+COUNTIF(G128,"*碧归*")*307)/1024)</f>
        <v>0.0674931469297852</v>
      </c>
      <c r="CS128">
        <f ca="1" t="shared" si="386"/>
        <v>8454911.34909297</v>
      </c>
    </row>
    <row r="129" spans="4:97">
      <c r="D129" t="s">
        <v>1825</v>
      </c>
      <c r="E129" s="161" t="s">
        <v>2859</v>
      </c>
      <c r="F129" t="s">
        <v>3160</v>
      </c>
      <c r="G129" t="s">
        <v>3044</v>
      </c>
      <c r="H129">
        <f ca="1">INDEX(技能数据库!$B$2:$I$100,MATCH(阵眼收益计算!$E129,技能数据库!$B$2:$B$100,0),MATCH(H$9,技能数据库!$B$2:$I$2,0))</f>
        <v>1955936</v>
      </c>
      <c r="I129">
        <f ca="1">INDEX(技能数据库!$B$2:$I$100,MATCH(阵眼收益计算!$E129,技能数据库!$B$2:$B$100,0),MATCH(I$9,技能数据库!$B$2:$I$2,0))</f>
        <v>0</v>
      </c>
      <c r="J129">
        <f ca="1">INDEX(技能数据库!$B$2:$I$100,MATCH(阵眼收益计算!$E129,技能数据库!$B$2:$B$100,0),MATCH(J$9,技能数据库!$B$2:$I$2,0))</f>
        <v>0</v>
      </c>
      <c r="K129">
        <f ca="1">INDEX(技能数据库!$B$2:$I$100,MATCH(阵眼收益计算!$E129,技能数据库!$B$2:$B$100,0),MATCH(K$9,技能数据库!$B$2:$I$2,0))</f>
        <v>0</v>
      </c>
      <c r="L129">
        <f ca="1" t="shared" si="110"/>
        <v>105847</v>
      </c>
      <c r="M129">
        <f ca="1" t="shared" si="365"/>
        <v>19530.5</v>
      </c>
      <c r="N129">
        <f ca="1" t="shared" si="366"/>
        <v>92028</v>
      </c>
      <c r="O129">
        <f ca="1" t="shared" si="372"/>
        <v>1955936</v>
      </c>
      <c r="P129">
        <f ca="1">IF(G129="恒定伤害",0,(IF(D129="轻剑",$AZ$2,$AZ$3)+IFERROR(INDEX(技能数据库!$T$2:$W$27,MATCH(E129,技能数据库!$T$2:$T$27,0),4),0)+COUNTIF(G129,"*造化2*")*154+COUNTIF(G129,"*造化1*")*102+COUNTIF(G129,"*碧归*")*307)/1024)</f>
        <v>0.116321271929785</v>
      </c>
      <c r="Q129">
        <f ca="1" t="shared" si="308"/>
        <v>0.0415122129107408</v>
      </c>
      <c r="R129">
        <f ca="1" t="shared" si="373"/>
        <v>0.21277697966198</v>
      </c>
      <c r="S129">
        <f ca="1" t="shared" si="367"/>
        <v>1790218.30301643</v>
      </c>
      <c r="T129">
        <f t="shared" si="178"/>
        <v>0.8</v>
      </c>
      <c r="U129">
        <f ca="1" t="shared" si="309"/>
        <v>2.67001635480339</v>
      </c>
      <c r="V129">
        <f ca="1" t="shared" si="368"/>
        <v>5256104.36059095</v>
      </c>
      <c r="W129">
        <f ca="1">IF(G129="恒定伤害",0,MIN(1,IF(COUNTIF(F129,"*内会*")&gt;0,内会2,IF(D129="轻剑",$Y$2,$Y$3)+COUNTIF(G129,"*莺鸣*")*0.2+COUNTIF(G129,"*叠1*")*0.1+COUNTIF(G129,"*叠2*")*0.2+COUNTIF(G129,"*叠3*")*0.3)+IFERROR(INDEX(技能数据库!$T$2:$W$27,MATCH(E129,技能数据库!$T$2:$T$27,0),2),0)+IF((IF(D129="轻剑",$AO$2,$AO$3)+INT(COUNTIF(G129,"*大莺鸣*")*IF(D129="轻剑",$AM$2,$AM$3)*听晓无双率)/无双系数)&gt;0.9,特效裤子会心/会心系数,0)))</f>
        <v>0.0826138197194782</v>
      </c>
      <c r="X129">
        <f ca="1">IF(G129="恒定伤害",0,IF(COUNTIF(F129,"*内会*")&gt;0,内会效2,IF(D129="轻剑",$AB$2,$AB$3))+IFERROR(INDEX(技能数据库!$T$2:$W$27,MATCH(E129,技能数据库!$T$2:$T$27,0),3)/1024,0))+COUNTIF(G129,"*叠1*")*0.25+COUNTIF(G129,"*叠2*")*0.5+COUNTIF(G129,"*叠3*")*0.75</f>
        <v>1.79000318487951</v>
      </c>
      <c r="Y129">
        <f ca="1" t="shared" si="369"/>
        <v>1.06526518069345</v>
      </c>
      <c r="Z129">
        <f t="shared" si="374"/>
        <v>0.150390625</v>
      </c>
      <c r="AA129">
        <f ca="1" t="shared" si="370"/>
        <v>0.0205078125</v>
      </c>
      <c r="AB129">
        <f ca="1" t="shared" si="371"/>
        <v>6573298.87291732</v>
      </c>
      <c r="AC129">
        <f ca="1">技能数计算!$AJ121</f>
        <v>0</v>
      </c>
      <c r="AD129" s="164">
        <f ca="1" t="shared" si="375"/>
        <v>0</v>
      </c>
      <c r="AE129" s="168"/>
      <c r="AF129" s="168">
        <f ca="1" t="shared" si="116"/>
        <v>0.0826138197194782</v>
      </c>
      <c r="AG129">
        <f ca="1">技能数计算!$AJ121</f>
        <v>0</v>
      </c>
      <c r="AH129">
        <f ca="1" t="shared" si="117"/>
        <v>109879</v>
      </c>
      <c r="AJ129">
        <f ca="1" t="shared" si="118"/>
        <v>1.79000318487951</v>
      </c>
      <c r="AK129">
        <f ca="1" t="shared" si="376"/>
        <v>1955936</v>
      </c>
      <c r="AL129">
        <f ca="1" t="shared" si="310"/>
        <v>6573298.87291732</v>
      </c>
      <c r="AM129" s="169">
        <f ca="1" t="shared" si="121"/>
        <v>0.0826138197194782</v>
      </c>
      <c r="AN129">
        <f ca="1">技能数计算!$AJ121</f>
        <v>0</v>
      </c>
      <c r="AO129" s="170">
        <f ca="1" t="shared" si="311"/>
        <v>6573298.87291732</v>
      </c>
      <c r="AP129">
        <f ca="1" t="shared" si="123"/>
        <v>110956</v>
      </c>
      <c r="AQ129" s="170">
        <f ca="1" t="shared" si="377"/>
        <v>1955936</v>
      </c>
      <c r="AR129">
        <f ca="1" t="shared" si="312"/>
        <v>6573298.87291732</v>
      </c>
      <c r="AS129">
        <f ca="1" t="shared" si="126"/>
        <v>0.0826138197194782</v>
      </c>
      <c r="AT129">
        <f ca="1">技能数计算!$AJ121</f>
        <v>0</v>
      </c>
      <c r="AU129">
        <f ca="1" t="shared" si="127"/>
        <v>1.79000318487951</v>
      </c>
      <c r="AV129">
        <f ca="1" t="shared" si="313"/>
        <v>2.68954760480339</v>
      </c>
      <c r="AW129">
        <f ca="1" t="shared" si="155"/>
        <v>6608280.93599277</v>
      </c>
      <c r="AX129">
        <f ca="1" t="shared" si="129"/>
        <v>0.0826138197194782</v>
      </c>
      <c r="AY129">
        <f ca="1">技能数计算!$AJ121</f>
        <v>0</v>
      </c>
      <c r="AZ129" s="170">
        <f ca="1" t="shared" si="156"/>
        <v>6608280.93599277</v>
      </c>
      <c r="BA129">
        <f ca="1" t="shared" si="130"/>
        <v>0.0826138197194782</v>
      </c>
      <c r="BB129">
        <f ca="1">技能数计算!$AJ121</f>
        <v>0</v>
      </c>
      <c r="BC129" s="170">
        <f ca="1" t="shared" si="157"/>
        <v>6608280.93599277</v>
      </c>
      <c r="BE129">
        <f ca="1" t="shared" si="131"/>
        <v>105849</v>
      </c>
      <c r="BF129">
        <f ca="1" t="shared" si="378"/>
        <v>1955936</v>
      </c>
      <c r="BI129">
        <f ca="1" t="shared" si="133"/>
        <v>0.0826138197194782</v>
      </c>
      <c r="BJ129">
        <f ca="1">技能数计算!$AJ121</f>
        <v>0</v>
      </c>
      <c r="BK129">
        <f ca="1" t="shared" si="314"/>
        <v>6608280.93599277</v>
      </c>
      <c r="BM129">
        <f ca="1" t="shared" si="135"/>
        <v>109230</v>
      </c>
      <c r="BN129">
        <f ca="1" t="shared" si="379"/>
        <v>1955936</v>
      </c>
      <c r="BO129">
        <f ca="1" t="shared" si="315"/>
        <v>6573298.87291732</v>
      </c>
      <c r="BP129">
        <f ca="1" t="shared" si="316"/>
        <v>6573298.87291732</v>
      </c>
      <c r="BR129">
        <f ca="1" t="shared" si="139"/>
        <v>0.132613819719478</v>
      </c>
      <c r="BS129">
        <f ca="1" t="shared" si="317"/>
        <v>6853316.77686267</v>
      </c>
      <c r="BT129">
        <f ca="1" t="shared" si="380"/>
        <v>0.196995876306796</v>
      </c>
      <c r="BU129">
        <f ca="1" t="shared" si="142"/>
        <v>1.93648755987951</v>
      </c>
      <c r="BV129">
        <f ca="1" t="shared" si="158"/>
        <v>7075967.27583317</v>
      </c>
      <c r="BW129">
        <f ca="1" t="shared" si="143"/>
        <v>113027</v>
      </c>
      <c r="BX129">
        <f ca="1" t="shared" si="381"/>
        <v>1955936</v>
      </c>
      <c r="BY129">
        <f ca="1" t="shared" si="145"/>
        <v>0.0826138197194782</v>
      </c>
      <c r="BZ129">
        <f ca="1">技能数计算!$AJ121</f>
        <v>0</v>
      </c>
      <c r="CA129">
        <f ca="1" t="shared" si="146"/>
        <v>1.79000318487951</v>
      </c>
      <c r="CB129">
        <f ca="1" t="shared" si="159"/>
        <v>6573298.87291732</v>
      </c>
      <c r="CC129">
        <f ca="1" t="shared" si="147"/>
        <v>114847</v>
      </c>
      <c r="CD129">
        <f ca="1" t="shared" si="382"/>
        <v>1955936</v>
      </c>
      <c r="CE129">
        <f ca="1" t="shared" si="318"/>
        <v>6573298.87291732</v>
      </c>
      <c r="CF129">
        <f ca="1" t="shared" si="150"/>
        <v>1.79000318487951</v>
      </c>
      <c r="CG129">
        <f ca="1" t="shared" si="151"/>
        <v>0.112613819719478</v>
      </c>
      <c r="CH129">
        <f ca="1" t="shared" si="160"/>
        <v>6608280.93599277</v>
      </c>
      <c r="CJ129">
        <f ca="1" t="shared" si="383"/>
        <v>1955936</v>
      </c>
      <c r="CK129">
        <f ca="1" t="shared" si="319"/>
        <v>6573298.87291732</v>
      </c>
      <c r="CL129">
        <f ca="1" t="shared" si="384"/>
        <v>1.91031568487951</v>
      </c>
      <c r="CM129">
        <f ca="1">IF(G129="恒定伤害",0,(IF(D129="轻剑",$CM$8,$CM$9)+IFERROR(INDEX(技能数据库!$T$2:$W$27,MATCH(E129,技能数据库!$T$2:$T$27,0),4),0)+COUNTIF(G129,"*造化2*")*154+COUNTIF(G129,"*造化1*")*102+COUNTIF(G129,"*碧归*")*307)/1024)</f>
        <v>0.176868146929785</v>
      </c>
      <c r="CN129">
        <f ca="1" t="shared" si="162"/>
        <v>7210303.34883896</v>
      </c>
      <c r="CO129">
        <f ca="1" t="shared" si="385"/>
        <v>1.93437818487951</v>
      </c>
      <c r="CP129">
        <f ca="1" t="shared" si="164"/>
        <v>7228024.90315203</v>
      </c>
      <c r="CQ129">
        <f ca="1" t="shared" si="320"/>
        <v>2.77157885480339</v>
      </c>
      <c r="CR129">
        <f ca="1">IF(G129="恒定伤害",0,(IF(D129="轻剑",$CR$8,$CR$9)+IFERROR(INDEX(技能数据库!$T$2:$W$27,MATCH(E129,技能数据库!$T$2:$T$27,0),4),0)+COUNTIF(G129,"*造化2*")*154+COUNTIF(G129,"*造化1*")*102+COUNTIF(G129,"*碧归*")*307)/1024)</f>
        <v>0.167102521929785</v>
      </c>
      <c r="CS129">
        <f ca="1" t="shared" si="386"/>
        <v>7062498.66523351</v>
      </c>
    </row>
    <row r="130" spans="4:97">
      <c r="D130" t="s">
        <v>1825</v>
      </c>
      <c r="E130" s="161" t="s">
        <v>2859</v>
      </c>
      <c r="F130" t="s">
        <v>2503</v>
      </c>
      <c r="G130" t="s">
        <v>3044</v>
      </c>
      <c r="H130">
        <f ca="1">INDEX(技能数据库!$B$2:$I$100,MATCH(阵眼收益计算!$E130,技能数据库!$B$2:$B$100,0),MATCH(H$9,技能数据库!$B$2:$I$2,0))</f>
        <v>1955936</v>
      </c>
      <c r="I130">
        <f ca="1">INDEX(技能数据库!$B$2:$I$100,MATCH(阵眼收益计算!$E130,技能数据库!$B$2:$B$100,0),MATCH(I$9,技能数据库!$B$2:$I$2,0))</f>
        <v>0</v>
      </c>
      <c r="J130">
        <f ca="1">INDEX(技能数据库!$B$2:$I$100,MATCH(阵眼收益计算!$E130,技能数据库!$B$2:$B$100,0),MATCH(J$9,技能数据库!$B$2:$I$2,0))</f>
        <v>0</v>
      </c>
      <c r="K130">
        <f ca="1">INDEX(技能数据库!$B$2:$I$100,MATCH(阵眼收益计算!$E130,技能数据库!$B$2:$B$100,0),MATCH(K$9,技能数据库!$B$2:$I$2,0))</f>
        <v>0</v>
      </c>
      <c r="L130">
        <f ca="1" t="shared" si="110"/>
        <v>105847</v>
      </c>
      <c r="M130">
        <f ca="1" t="shared" si="365"/>
        <v>19530.5</v>
      </c>
      <c r="N130">
        <f ca="1" t="shared" si="366"/>
        <v>92028</v>
      </c>
      <c r="O130">
        <f ca="1" t="shared" si="372"/>
        <v>1955936</v>
      </c>
      <c r="P130">
        <f ca="1">IF(G130="恒定伤害",0,(IF(D130="轻剑",$AZ$2,$AZ$3)+IFERROR(INDEX(技能数据库!$T$2:$W$27,MATCH(E130,技能数据库!$T$2:$T$27,0),4),0)+COUNTIF(G130,"*造化2*")*154+COUNTIF(G130,"*造化1*")*102+COUNTIF(G130,"*碧归*")*307)/1024)</f>
        <v>0.116321271929785</v>
      </c>
      <c r="Q130">
        <f ca="1" t="shared" si="308"/>
        <v>0.0415122129107408</v>
      </c>
      <c r="R130">
        <f ca="1" t="shared" si="373"/>
        <v>0.21277697966198</v>
      </c>
      <c r="S130">
        <f ca="1" t="shared" si="367"/>
        <v>1790218.30301643</v>
      </c>
      <c r="T130">
        <f t="shared" si="178"/>
        <v>0.8</v>
      </c>
      <c r="U130">
        <f ca="1" t="shared" si="309"/>
        <v>2.67001635480339</v>
      </c>
      <c r="V130">
        <f ca="1" t="shared" si="368"/>
        <v>5256104.36059095</v>
      </c>
      <c r="W130">
        <f ca="1">IF(G130="恒定伤害",0,MIN(1,IF(COUNTIF(F130,"*内会*")&gt;0,内会2,IF(D130="轻剑",$Y$2,$Y$3)+COUNTIF(G130,"*莺鸣*")*0.2+COUNTIF(G130,"*叠1*")*0.1+COUNTIF(G130,"*叠2*")*0.2+COUNTIF(G130,"*叠3*")*0.3)+IFERROR(INDEX(技能数据库!$T$2:$W$27,MATCH(E130,技能数据库!$T$2:$T$27,0),2),0)+IF((IF(D130="轻剑",$AO$2,$AO$3)+INT(COUNTIF(G130,"*大莺鸣*")*IF(D130="轻剑",$AM$2,$AM$3)*听晓无双率)/无双系数)&gt;0.9,特效裤子会心/会心系数,0)))</f>
        <v>0.9043</v>
      </c>
      <c r="X130">
        <f ca="1">IF(G130="恒定伤害",0,IF(COUNTIF(F130,"*内会*")&gt;0,内会效2,IF(D130="轻剑",$AB$2,$AB$3))+IFERROR(INDEX(技能数据库!$T$2:$W$27,MATCH(E130,技能数据库!$T$2:$T$27,0),3)/1024,0))+COUNTIF(G130,"*叠1*")*0.25+COUNTIF(G130,"*叠2*")*0.5+COUNTIF(G130,"*叠3*")*0.75</f>
        <v>2.1712723116</v>
      </c>
      <c r="Y130">
        <f ca="1" t="shared" si="369"/>
        <v>2.05918155137988</v>
      </c>
      <c r="Z130">
        <f t="shared" si="374"/>
        <v>0.150390625</v>
      </c>
      <c r="AA130">
        <f ca="1" t="shared" si="370"/>
        <v>0.0205078125</v>
      </c>
      <c r="AB130">
        <f ca="1" t="shared" si="371"/>
        <v>12706334.5504321</v>
      </c>
      <c r="AC130">
        <f ca="1">技能数计算!$AJ122</f>
        <v>0</v>
      </c>
      <c r="AD130" s="164">
        <f ca="1" t="shared" si="375"/>
        <v>0</v>
      </c>
      <c r="AE130" s="168"/>
      <c r="AF130" s="168">
        <f ca="1" t="shared" si="116"/>
        <v>0.9057</v>
      </c>
      <c r="AG130">
        <f ca="1">技能数计算!$AJ122</f>
        <v>0</v>
      </c>
      <c r="AH130">
        <f ca="1" t="shared" si="117"/>
        <v>109879</v>
      </c>
      <c r="AJ130">
        <f ca="1" t="shared" si="118"/>
        <v>2.3704910616</v>
      </c>
      <c r="AK130">
        <f ca="1" t="shared" si="376"/>
        <v>1955936</v>
      </c>
      <c r="AL130">
        <f ca="1" t="shared" si="310"/>
        <v>13829824.7660061</v>
      </c>
      <c r="AM130" s="169">
        <f ca="1" t="shared" si="121"/>
        <v>0.9272</v>
      </c>
      <c r="AN130">
        <f ca="1">技能数计算!$AJ122</f>
        <v>0</v>
      </c>
      <c r="AO130" s="170">
        <f ca="1" t="shared" si="311"/>
        <v>14011644.2054727</v>
      </c>
      <c r="AP130">
        <f ca="1" t="shared" si="123"/>
        <v>110956</v>
      </c>
      <c r="AQ130" s="170">
        <f ca="1" t="shared" si="377"/>
        <v>1955936</v>
      </c>
      <c r="AR130">
        <f ca="1" t="shared" si="312"/>
        <v>12706334.5504321</v>
      </c>
      <c r="AS130">
        <f ca="1" t="shared" si="126"/>
        <v>0.9843</v>
      </c>
      <c r="AT130">
        <f ca="1">技能数计算!$AJ122</f>
        <v>0</v>
      </c>
      <c r="AU130">
        <f ca="1" t="shared" si="127"/>
        <v>2.3177566866</v>
      </c>
      <c r="AV130">
        <f ca="1" t="shared" si="313"/>
        <v>2.68954760480339</v>
      </c>
      <c r="AW130">
        <f ca="1" t="shared" si="155"/>
        <v>14249663.2116699</v>
      </c>
      <c r="AX130">
        <f ca="1" t="shared" si="129"/>
        <v>0.9743</v>
      </c>
      <c r="AY130">
        <f ca="1">技能数计算!$AJ122</f>
        <v>0</v>
      </c>
      <c r="AZ130" s="170">
        <f ca="1" t="shared" si="156"/>
        <v>14167917.3088828</v>
      </c>
      <c r="BA130">
        <f ca="1" t="shared" si="130"/>
        <v>0.9643</v>
      </c>
      <c r="BB130">
        <f ca="1">技能数计算!$AJ122</f>
        <v>0</v>
      </c>
      <c r="BC130" s="170">
        <f ca="1" t="shared" si="157"/>
        <v>14086171.4060958</v>
      </c>
      <c r="BE130">
        <f ca="1" t="shared" si="131"/>
        <v>105849</v>
      </c>
      <c r="BF130">
        <f ca="1" t="shared" si="378"/>
        <v>1955936</v>
      </c>
      <c r="BI130">
        <f ca="1" t="shared" si="133"/>
        <v>0.9543</v>
      </c>
      <c r="BJ130">
        <f ca="1">技能数计算!$AJ122</f>
        <v>0</v>
      </c>
      <c r="BK130">
        <f ca="1" t="shared" si="314"/>
        <v>13137250.0178799</v>
      </c>
      <c r="BM130">
        <f ca="1" t="shared" si="135"/>
        <v>109230</v>
      </c>
      <c r="BN130">
        <f ca="1" t="shared" si="379"/>
        <v>1955936</v>
      </c>
      <c r="BO130">
        <f ca="1" t="shared" si="315"/>
        <v>12706334.5504321</v>
      </c>
      <c r="BP130">
        <f ca="1" t="shared" si="316"/>
        <v>12706334.5504321</v>
      </c>
      <c r="BR130">
        <f ca="1" t="shared" si="139"/>
        <v>0.9543</v>
      </c>
      <c r="BS130">
        <f ca="1" t="shared" si="317"/>
        <v>13137250.0178799</v>
      </c>
      <c r="BT130">
        <f ca="1" t="shared" si="380"/>
        <v>0.196995876306796</v>
      </c>
      <c r="BU130">
        <f ca="1" t="shared" si="142"/>
        <v>2.3177566866</v>
      </c>
      <c r="BV130">
        <f ca="1" t="shared" si="158"/>
        <v>14209544.9149088</v>
      </c>
      <c r="BW130">
        <f ca="1" t="shared" si="143"/>
        <v>113027</v>
      </c>
      <c r="BX130">
        <f ca="1" t="shared" si="381"/>
        <v>1955936</v>
      </c>
      <c r="BY130">
        <f ca="1" t="shared" si="145"/>
        <v>0.9343</v>
      </c>
      <c r="BZ130">
        <f ca="1">技能数计算!$AJ122</f>
        <v>0</v>
      </c>
      <c r="CA130">
        <f ca="1" t="shared" si="146"/>
        <v>2.3216629366</v>
      </c>
      <c r="CB130">
        <f ca="1" t="shared" si="159"/>
        <v>13790184.5417405</v>
      </c>
      <c r="CC130">
        <f ca="1" t="shared" si="147"/>
        <v>114847</v>
      </c>
      <c r="CD130">
        <f ca="1" t="shared" si="382"/>
        <v>1955936</v>
      </c>
      <c r="CE130">
        <f ca="1" t="shared" si="318"/>
        <v>12923157.2657125</v>
      </c>
      <c r="CF130">
        <f ca="1" t="shared" si="150"/>
        <v>2.2689285616</v>
      </c>
      <c r="CG130">
        <f ca="1" t="shared" si="151"/>
        <v>0.9343</v>
      </c>
      <c r="CH130">
        <f ca="1" t="shared" si="160"/>
        <v>13557933.2240765</v>
      </c>
      <c r="CJ130">
        <f ca="1" t="shared" si="383"/>
        <v>1955936</v>
      </c>
      <c r="CK130">
        <f ca="1" t="shared" si="319"/>
        <v>12706334.5504321</v>
      </c>
      <c r="CL130">
        <f ca="1" t="shared" si="384"/>
        <v>2.2915848116</v>
      </c>
      <c r="CM130">
        <f ca="1">IF(G130="恒定伤害",0,(IF(D130="轻剑",$CM$8,$CM$9)+IFERROR(INDEX(技能数据库!$T$2:$W$27,MATCH(E130,技能数据库!$T$2:$T$27,0),4),0)+COUNTIF(G130,"*造化2*")*154+COUNTIF(G130,"*造化1*")*102+COUNTIF(G130,"*碧归*")*307)/1024)</f>
        <v>0.176868146929785</v>
      </c>
      <c r="CN130">
        <f ca="1" t="shared" si="162"/>
        <v>14431720.7989106</v>
      </c>
      <c r="CO130">
        <f ca="1" t="shared" si="385"/>
        <v>2.3156473116</v>
      </c>
      <c r="CP130">
        <f ca="1" t="shared" si="164"/>
        <v>14578747.5868834</v>
      </c>
      <c r="CQ130">
        <f ca="1" t="shared" si="320"/>
        <v>2.77157885480339</v>
      </c>
      <c r="CR130">
        <f ca="1">IF(G130="恒定伤害",0,(IF(D130="轻剑",$CR$8,$CR$9)+IFERROR(INDEX(技能数据库!$T$2:$W$27,MATCH(E130,技能数据库!$T$2:$T$27,0),4),0)+COUNTIF(G130,"*造化2*")*154+COUNTIF(G130,"*造化1*")*102+COUNTIF(G130,"*碧归*")*307)/1024)</f>
        <v>0.167102521929785</v>
      </c>
      <c r="CS130">
        <f ca="1" t="shared" si="386"/>
        <v>13651968.7507545</v>
      </c>
    </row>
    <row r="131" spans="4:97">
      <c r="D131" t="s">
        <v>1028</v>
      </c>
      <c r="E131" s="161" t="s">
        <v>2861</v>
      </c>
      <c r="F131" t="s">
        <v>3160</v>
      </c>
      <c r="G131" t="s">
        <v>2750</v>
      </c>
      <c r="H131">
        <f ca="1">INDEX(技能数据库!$B$2:$I$100,MATCH(阵眼收益计算!$E131,技能数据库!$B$2:$B$100,0),MATCH(H$9,技能数据库!$B$2:$I$2,0))</f>
        <v>1344706</v>
      </c>
      <c r="I131">
        <f ca="1">INDEX(技能数据库!$B$2:$I$100,MATCH(阵眼收益计算!$E131,技能数据库!$B$2:$B$100,0),MATCH(I$9,技能数据库!$B$2:$I$2,0))</f>
        <v>0</v>
      </c>
      <c r="J131">
        <f ca="1">INDEX(技能数据库!$B$2:$I$100,MATCH(阵眼收益计算!$E131,技能数据库!$B$2:$B$100,0),MATCH(J$9,技能数据库!$B$2:$I$2,0))</f>
        <v>0</v>
      </c>
      <c r="K131">
        <f ca="1">INDEX(技能数据库!$B$2:$I$100,MATCH(阵眼收益计算!$E131,技能数据库!$B$2:$B$100,0),MATCH(K$9,技能数据库!$B$2:$I$2,0))</f>
        <v>0</v>
      </c>
      <c r="L131">
        <f ca="1" t="shared" si="110"/>
        <v>105847</v>
      </c>
      <c r="M131">
        <f ca="1" t="shared" si="365"/>
        <v>12694.5</v>
      </c>
      <c r="N131">
        <f ca="1" t="shared" si="366"/>
        <v>92028</v>
      </c>
      <c r="O131">
        <f ca="1" t="shared" si="372"/>
        <v>1344706</v>
      </c>
      <c r="P131">
        <f ca="1">IF(G131="恒定伤害",0,(IF(D131="轻剑",$AZ$2,$AZ$3)+IFERROR(INDEX(技能数据库!$T$2:$W$27,MATCH(E131,技能数据库!$T$2:$T$27,0),4),0)+COUNTIF(G131,"*造化2*")*154+COUNTIF(G131,"*造化1*")*102+COUNTIF(G131,"*碧归*")*307)/1024)</f>
        <v>0.0167118969297852</v>
      </c>
      <c r="Q131">
        <f ca="1" t="shared" si="308"/>
        <v>0.0415122129107408</v>
      </c>
      <c r="R131">
        <f ca="1" t="shared" si="373"/>
        <v>0.21277697966198</v>
      </c>
      <c r="S131">
        <f ca="1" t="shared" si="367"/>
        <v>1120952.991872</v>
      </c>
      <c r="T131">
        <f t="shared" si="178"/>
        <v>0.8</v>
      </c>
      <c r="U131">
        <f ca="1" t="shared" si="309"/>
        <v>1.7800129648</v>
      </c>
      <c r="V131">
        <f ca="1" t="shared" si="368"/>
        <v>2493011.08026842</v>
      </c>
      <c r="W131">
        <f ca="1">IF(G131="恒定伤害",0,MIN(1,IF(COUNTIF(F131,"*内会*")&gt;0,内会2,IF(D131="轻剑",$Y$2,$Y$3)+COUNTIF(G131,"*莺鸣*")*0.2+COUNTIF(G131,"*叠1*")*0.1+COUNTIF(G131,"*叠2*")*0.2+COUNTIF(G131,"*叠3*")*0.3)+IFERROR(INDEX(技能数据库!$T$2:$W$27,MATCH(E131,技能数据库!$T$2:$T$27,0),2),0)+IF((IF(D131="轻剑",$AO$2,$AO$3)+INT(COUNTIF(G131,"*大莺鸣*")*IF(D131="轻剑",$AM$2,$AM$3)*听晓无双率)/无双系数)&gt;0.9,特效裤子会心/会心系数,0)))</f>
        <v>0.0826138197194782</v>
      </c>
      <c r="X131">
        <f ca="1">IF(G131="恒定伤害",0,IF(COUNTIF(F131,"*内会*")&gt;0,内会效2,IF(D131="轻剑",$AB$2,$AB$3))+IFERROR(INDEX(技能数据库!$T$2:$W$27,MATCH(E131,技能数据库!$T$2:$T$27,0),3)/1024,0))+COUNTIF(G131,"*叠1*")*0.25+COUNTIF(G131,"*叠2*")*0.5+COUNTIF(G131,"*叠3*")*0.75</f>
        <v>1.79000318487951</v>
      </c>
      <c r="Y131">
        <f ca="1" t="shared" si="369"/>
        <v>1.06526518069345</v>
      </c>
      <c r="Z131">
        <f t="shared" si="374"/>
        <v>0.150390625</v>
      </c>
      <c r="AA131">
        <f ca="1" t="shared" si="370"/>
        <v>0.0205078125</v>
      </c>
      <c r="AB131">
        <f ca="1" t="shared" si="371"/>
        <v>3117766.65755859</v>
      </c>
      <c r="AC131">
        <f ca="1">技能数计算!$AJ123</f>
        <v>0</v>
      </c>
      <c r="AD131" s="164">
        <f ca="1" t="shared" si="375"/>
        <v>0</v>
      </c>
      <c r="AE131" s="168"/>
      <c r="AF131" s="168">
        <f ca="1" t="shared" si="116"/>
        <v>0.0826138197194782</v>
      </c>
      <c r="AG131">
        <f ca="1">技能数计算!$AJ123</f>
        <v>0</v>
      </c>
      <c r="AH131">
        <f ca="1" t="shared" si="117"/>
        <v>109879</v>
      </c>
      <c r="AJ131">
        <f ca="1" t="shared" si="118"/>
        <v>1.79000318487951</v>
      </c>
      <c r="AK131">
        <f ca="1" t="shared" si="376"/>
        <v>1344706</v>
      </c>
      <c r="AL131">
        <f ca="1" t="shared" si="310"/>
        <v>3117766.65755859</v>
      </c>
      <c r="AM131" s="169">
        <f ca="1" t="shared" si="121"/>
        <v>0.0826138197194782</v>
      </c>
      <c r="AN131">
        <f ca="1">技能数计算!$AJ123</f>
        <v>0</v>
      </c>
      <c r="AO131" s="170">
        <f ca="1" t="shared" si="311"/>
        <v>3117766.65755859</v>
      </c>
      <c r="AP131">
        <f ca="1" t="shared" si="123"/>
        <v>110956</v>
      </c>
      <c r="AQ131" s="170">
        <f ca="1" t="shared" si="377"/>
        <v>1344706</v>
      </c>
      <c r="AR131">
        <f ca="1" t="shared" si="312"/>
        <v>3117766.65755859</v>
      </c>
      <c r="AS131">
        <f ca="1" t="shared" si="126"/>
        <v>0.0826138197194782</v>
      </c>
      <c r="AT131">
        <f ca="1">技能数计算!$AJ123</f>
        <v>0</v>
      </c>
      <c r="AU131">
        <f ca="1" t="shared" si="127"/>
        <v>1.79000318487951</v>
      </c>
      <c r="AV131">
        <f ca="1" t="shared" si="313"/>
        <v>1.7995442148</v>
      </c>
      <c r="AW131">
        <f ca="1" t="shared" si="155"/>
        <v>3139670.82879861</v>
      </c>
      <c r="AX131">
        <f ca="1" t="shared" si="129"/>
        <v>0.0826138197194782</v>
      </c>
      <c r="AY131">
        <f ca="1">技能数计算!$AJ123</f>
        <v>0</v>
      </c>
      <c r="AZ131" s="170">
        <f ca="1" t="shared" si="156"/>
        <v>3139670.82879861</v>
      </c>
      <c r="BA131">
        <f ca="1" t="shared" si="130"/>
        <v>0.0826138197194782</v>
      </c>
      <c r="BB131">
        <f ca="1">技能数计算!$AJ123</f>
        <v>0</v>
      </c>
      <c r="BC131" s="170">
        <f ca="1" t="shared" si="157"/>
        <v>3139670.82879861</v>
      </c>
      <c r="BE131">
        <f ca="1" t="shared" si="131"/>
        <v>105849</v>
      </c>
      <c r="BF131">
        <f ca="1" t="shared" si="378"/>
        <v>1344706</v>
      </c>
      <c r="BI131">
        <f ca="1" t="shared" si="133"/>
        <v>0.0826138197194782</v>
      </c>
      <c r="BJ131">
        <f ca="1">技能数计算!$AJ123</f>
        <v>0</v>
      </c>
      <c r="BK131">
        <f ca="1" t="shared" si="314"/>
        <v>3139670.82879861</v>
      </c>
      <c r="BM131">
        <f ca="1" t="shared" si="135"/>
        <v>109230</v>
      </c>
      <c r="BN131">
        <f ca="1" t="shared" si="379"/>
        <v>1344706</v>
      </c>
      <c r="BO131">
        <f ca="1" t="shared" si="315"/>
        <v>3117766.65755859</v>
      </c>
      <c r="BP131">
        <f ca="1" t="shared" si="316"/>
        <v>3117766.65755859</v>
      </c>
      <c r="BR131">
        <f ca="1" t="shared" si="139"/>
        <v>0.132613819719478</v>
      </c>
      <c r="BS131">
        <f ca="1" t="shared" si="317"/>
        <v>3256090.19550547</v>
      </c>
      <c r="BT131">
        <f ca="1" t="shared" si="380"/>
        <v>0.196995876306796</v>
      </c>
      <c r="BU131">
        <f ca="1" t="shared" si="142"/>
        <v>1.93648755987951</v>
      </c>
      <c r="BV131">
        <f ca="1" t="shared" si="158"/>
        <v>3356186.18125868</v>
      </c>
      <c r="BW131">
        <f ca="1" t="shared" si="143"/>
        <v>113027</v>
      </c>
      <c r="BX131">
        <f ca="1" t="shared" si="381"/>
        <v>1344706</v>
      </c>
      <c r="BY131">
        <f ca="1" t="shared" si="145"/>
        <v>0.0826138197194782</v>
      </c>
      <c r="BZ131">
        <f ca="1">技能数计算!$AJ123</f>
        <v>0</v>
      </c>
      <c r="CA131">
        <f ca="1" t="shared" si="146"/>
        <v>1.79000318487951</v>
      </c>
      <c r="CB131">
        <f ca="1" t="shared" si="159"/>
        <v>3117766.65755859</v>
      </c>
      <c r="CC131">
        <f ca="1" t="shared" si="147"/>
        <v>114847</v>
      </c>
      <c r="CD131">
        <f ca="1" t="shared" si="382"/>
        <v>1344706</v>
      </c>
      <c r="CE131">
        <f ca="1" t="shared" si="318"/>
        <v>3117766.65755859</v>
      </c>
      <c r="CF131">
        <f ca="1" t="shared" si="150"/>
        <v>1.79000318487951</v>
      </c>
      <c r="CG131">
        <f ca="1" t="shared" si="151"/>
        <v>0.112613819719478</v>
      </c>
      <c r="CH131">
        <f ca="1" t="shared" si="160"/>
        <v>3139670.82879861</v>
      </c>
      <c r="CJ131">
        <f ca="1" t="shared" si="383"/>
        <v>1344706</v>
      </c>
      <c r="CK131">
        <f ca="1" t="shared" si="319"/>
        <v>3117766.65755859</v>
      </c>
      <c r="CL131">
        <f ca="1" t="shared" si="384"/>
        <v>1.91031568487951</v>
      </c>
      <c r="CM131">
        <f ca="1">IF(G131="恒定伤害",0,(IF(D131="轻剑",$CM$8,$CM$9)+IFERROR(INDEX(技能数据库!$T$2:$W$27,MATCH(E131,技能数据库!$T$2:$T$27,0),4),0)+COUNTIF(G131,"*造化2*")*154+COUNTIF(G131,"*造化1*")*102+COUNTIF(G131,"*碧归*")*307)/1024)</f>
        <v>0.0772587719297852</v>
      </c>
      <c r="CN131">
        <f ca="1" t="shared" si="162"/>
        <v>3442965.59193178</v>
      </c>
      <c r="CO131">
        <f ca="1" t="shared" si="385"/>
        <v>1.93437818487951</v>
      </c>
      <c r="CP131">
        <f ca="1" t="shared" si="164"/>
        <v>3451427.74654353</v>
      </c>
      <c r="CQ131">
        <f ca="1" t="shared" si="320"/>
        <v>1.8815754648</v>
      </c>
      <c r="CR131">
        <f ca="1">IF(G131="恒定伤害",0,(IF(D131="轻剑",$CR$8,$CR$9)+IFERROR(INDEX(技能数据库!$T$2:$W$27,MATCH(E131,技能数据库!$T$2:$T$27,0),4),0)+COUNTIF(G131,"*造化2*")*154+COUNTIF(G131,"*造化1*")*102+COUNTIF(G131,"*碧归*")*307)/1024)</f>
        <v>0.0674931469297852</v>
      </c>
      <c r="CS131">
        <f ca="1" t="shared" si="386"/>
        <v>3393079.02766212</v>
      </c>
    </row>
    <row r="132" spans="4:97">
      <c r="D132" t="s">
        <v>1825</v>
      </c>
      <c r="E132" s="161" t="s">
        <v>2861</v>
      </c>
      <c r="F132" t="s">
        <v>3160</v>
      </c>
      <c r="G132" t="s">
        <v>3044</v>
      </c>
      <c r="H132">
        <f ca="1">INDEX(技能数据库!$B$2:$I$100,MATCH(阵眼收益计算!$E132,技能数据库!$B$2:$B$100,0),MATCH(H$9,技能数据库!$B$2:$I$2,0))</f>
        <v>1344706</v>
      </c>
      <c r="I132">
        <f ca="1">INDEX(技能数据库!$B$2:$I$100,MATCH(阵眼收益计算!$E132,技能数据库!$B$2:$B$100,0),MATCH(I$9,技能数据库!$B$2:$I$2,0))</f>
        <v>0</v>
      </c>
      <c r="J132">
        <f ca="1">INDEX(技能数据库!$B$2:$I$100,MATCH(阵眼收益计算!$E132,技能数据库!$B$2:$B$100,0),MATCH(J$9,技能数据库!$B$2:$I$2,0))</f>
        <v>0</v>
      </c>
      <c r="K132">
        <f ca="1">INDEX(技能数据库!$B$2:$I$100,MATCH(阵眼收益计算!$E132,技能数据库!$B$2:$B$100,0),MATCH(K$9,技能数据库!$B$2:$I$2,0))</f>
        <v>0</v>
      </c>
      <c r="L132">
        <f ca="1" t="shared" si="110"/>
        <v>105847</v>
      </c>
      <c r="M132">
        <f ca="1" t="shared" si="365"/>
        <v>19530.5</v>
      </c>
      <c r="N132">
        <f ca="1" t="shared" si="366"/>
        <v>92028</v>
      </c>
      <c r="O132">
        <f ca="1" t="shared" si="372"/>
        <v>1344706</v>
      </c>
      <c r="P132">
        <f ca="1">IF(G132="恒定伤害",0,(IF(D132="轻剑",$AZ$2,$AZ$3)+IFERROR(INDEX(技能数据库!$T$2:$W$27,MATCH(E132,技能数据库!$T$2:$T$27,0),4),0)+COUNTIF(G132,"*造化2*")*154+COUNTIF(G132,"*造化1*")*102+COUNTIF(G132,"*碧归*")*307)/1024)</f>
        <v>0.116321271929785</v>
      </c>
      <c r="Q132">
        <f ca="1" t="shared" si="308"/>
        <v>0.0415122129107408</v>
      </c>
      <c r="R132">
        <f ca="1" t="shared" si="373"/>
        <v>0.21277697966198</v>
      </c>
      <c r="S132">
        <f ca="1" t="shared" si="367"/>
        <v>1230775.0833238</v>
      </c>
      <c r="T132">
        <f t="shared" si="178"/>
        <v>0.8</v>
      </c>
      <c r="U132">
        <f ca="1" t="shared" si="309"/>
        <v>2.67001635480339</v>
      </c>
      <c r="V132">
        <f ca="1" t="shared" si="368"/>
        <v>3613571.74790628</v>
      </c>
      <c r="W132">
        <f ca="1">IF(G132="恒定伤害",0,MIN(1,IF(COUNTIF(F132,"*内会*")&gt;0,内会2,IF(D132="轻剑",$Y$2,$Y$3)+COUNTIF(G132,"*莺鸣*")*0.2+COUNTIF(G132,"*叠1*")*0.1+COUNTIF(G132,"*叠2*")*0.2+COUNTIF(G132,"*叠3*")*0.3)+IFERROR(INDEX(技能数据库!$T$2:$W$27,MATCH(E132,技能数据库!$T$2:$T$27,0),2),0)+IF((IF(D132="轻剑",$AO$2,$AO$3)+INT(COUNTIF(G132,"*大莺鸣*")*IF(D132="轻剑",$AM$2,$AM$3)*听晓无双率)/无双系数)&gt;0.9,特效裤子会心/会心系数,0)))</f>
        <v>0.0826138197194782</v>
      </c>
      <c r="X132">
        <f ca="1">IF(G132="恒定伤害",0,IF(COUNTIF(F132,"*内会*")&gt;0,内会效2,IF(D132="轻剑",$AB$2,$AB$3))+IFERROR(INDEX(技能数据库!$T$2:$W$27,MATCH(E132,技能数据库!$T$2:$T$27,0),3)/1024,0))+COUNTIF(G132,"*叠1*")*0.25+COUNTIF(G132,"*叠2*")*0.5+COUNTIF(G132,"*叠3*")*0.75</f>
        <v>1.79000318487951</v>
      </c>
      <c r="Y132">
        <f ca="1" t="shared" si="369"/>
        <v>1.06526518069345</v>
      </c>
      <c r="Z132">
        <f t="shared" si="374"/>
        <v>0.150390625</v>
      </c>
      <c r="AA132">
        <f ca="1" t="shared" si="370"/>
        <v>0.0205078125</v>
      </c>
      <c r="AB132">
        <f ca="1" t="shared" si="371"/>
        <v>4519142.97513066</v>
      </c>
      <c r="AC132">
        <f ca="1">技能数计算!$AJ124</f>
        <v>0</v>
      </c>
      <c r="AD132" s="164">
        <f ca="1" t="shared" si="375"/>
        <v>0</v>
      </c>
      <c r="AE132" s="168"/>
      <c r="AF132" s="168">
        <f ca="1" t="shared" si="116"/>
        <v>0.0826138197194782</v>
      </c>
      <c r="AG132">
        <f ca="1">技能数计算!$AJ124</f>
        <v>0</v>
      </c>
      <c r="AH132">
        <f ca="1" t="shared" si="117"/>
        <v>109879</v>
      </c>
      <c r="AJ132">
        <f ca="1" t="shared" si="118"/>
        <v>1.79000318487951</v>
      </c>
      <c r="AK132">
        <f ca="1" t="shared" si="376"/>
        <v>1344706</v>
      </c>
      <c r="AL132">
        <f ca="1" t="shared" si="310"/>
        <v>4519142.97513066</v>
      </c>
      <c r="AM132" s="169">
        <f ca="1" t="shared" si="121"/>
        <v>0.0826138197194782</v>
      </c>
      <c r="AN132">
        <f ca="1">技能数计算!$AJ124</f>
        <v>0</v>
      </c>
      <c r="AO132" s="170">
        <f ca="1" t="shared" si="311"/>
        <v>4519142.97513066</v>
      </c>
      <c r="AP132">
        <f ca="1" t="shared" si="123"/>
        <v>110956</v>
      </c>
      <c r="AQ132" s="170">
        <f ca="1" t="shared" si="377"/>
        <v>1344706</v>
      </c>
      <c r="AR132">
        <f ca="1" t="shared" si="312"/>
        <v>4519142.97513066</v>
      </c>
      <c r="AS132">
        <f ca="1" t="shared" si="126"/>
        <v>0.0826138197194782</v>
      </c>
      <c r="AT132">
        <f ca="1">技能数计算!$AJ124</f>
        <v>0</v>
      </c>
      <c r="AU132">
        <f ca="1" t="shared" si="127"/>
        <v>1.79000318487951</v>
      </c>
      <c r="AV132">
        <f ca="1" t="shared" si="313"/>
        <v>2.68954760480339</v>
      </c>
      <c r="AW132">
        <f ca="1" t="shared" si="155"/>
        <v>4543193.14349503</v>
      </c>
      <c r="AX132">
        <f ca="1" t="shared" si="129"/>
        <v>0.0826138197194782</v>
      </c>
      <c r="AY132">
        <f ca="1">技能数计算!$AJ124</f>
        <v>0</v>
      </c>
      <c r="AZ132" s="170">
        <f ca="1" t="shared" si="156"/>
        <v>4543193.14349503</v>
      </c>
      <c r="BA132">
        <f ca="1" t="shared" si="130"/>
        <v>0.0826138197194782</v>
      </c>
      <c r="BB132">
        <f ca="1">技能数计算!$AJ124</f>
        <v>0</v>
      </c>
      <c r="BC132" s="170">
        <f ca="1" t="shared" si="157"/>
        <v>4543193.14349503</v>
      </c>
      <c r="BE132">
        <f ca="1" t="shared" si="131"/>
        <v>105849</v>
      </c>
      <c r="BF132">
        <f ca="1" t="shared" si="378"/>
        <v>1344706</v>
      </c>
      <c r="BI132">
        <f ca="1" t="shared" si="133"/>
        <v>0.0826138197194782</v>
      </c>
      <c r="BJ132">
        <f ca="1">技能数计算!$AJ124</f>
        <v>0</v>
      </c>
      <c r="BK132">
        <f ca="1" t="shared" si="314"/>
        <v>4543193.14349503</v>
      </c>
      <c r="BM132">
        <f ca="1" t="shared" si="135"/>
        <v>109230</v>
      </c>
      <c r="BN132">
        <f ca="1" t="shared" si="379"/>
        <v>1344706</v>
      </c>
      <c r="BO132">
        <f ca="1" t="shared" si="315"/>
        <v>4519142.97513066</v>
      </c>
      <c r="BP132">
        <f ca="1" t="shared" si="316"/>
        <v>4519142.97513066</v>
      </c>
      <c r="BR132">
        <f ca="1" t="shared" si="139"/>
        <v>0.132613819719478</v>
      </c>
      <c r="BS132">
        <f ca="1" t="shared" si="317"/>
        <v>4711655.28409308</v>
      </c>
      <c r="BT132">
        <f ca="1" t="shared" si="380"/>
        <v>0.196995876306796</v>
      </c>
      <c r="BU132">
        <f ca="1" t="shared" si="142"/>
        <v>1.93648755987951</v>
      </c>
      <c r="BV132">
        <f ca="1" t="shared" si="158"/>
        <v>4864727.5021353</v>
      </c>
      <c r="BW132">
        <f ca="1" t="shared" si="143"/>
        <v>113027</v>
      </c>
      <c r="BX132">
        <f ca="1" t="shared" si="381"/>
        <v>1344706</v>
      </c>
      <c r="BY132">
        <f ca="1" t="shared" si="145"/>
        <v>0.0826138197194782</v>
      </c>
      <c r="BZ132">
        <f ca="1">技能数计算!$AJ124</f>
        <v>0</v>
      </c>
      <c r="CA132">
        <f ca="1" t="shared" si="146"/>
        <v>1.79000318487951</v>
      </c>
      <c r="CB132">
        <f ca="1" t="shared" si="159"/>
        <v>4519142.97513066</v>
      </c>
      <c r="CC132">
        <f ca="1" t="shared" si="147"/>
        <v>114847</v>
      </c>
      <c r="CD132">
        <f ca="1" t="shared" si="382"/>
        <v>1344706</v>
      </c>
      <c r="CE132">
        <f ca="1" t="shared" si="318"/>
        <v>4519142.97513066</v>
      </c>
      <c r="CF132">
        <f ca="1" t="shared" si="150"/>
        <v>1.79000318487951</v>
      </c>
      <c r="CG132">
        <f ca="1" t="shared" si="151"/>
        <v>0.112613819719478</v>
      </c>
      <c r="CH132">
        <f ca="1" t="shared" si="160"/>
        <v>4543193.14349503</v>
      </c>
      <c r="CJ132">
        <f ca="1" t="shared" si="383"/>
        <v>1344706</v>
      </c>
      <c r="CK132">
        <f ca="1" t="shared" si="319"/>
        <v>4519142.97513066</v>
      </c>
      <c r="CL132">
        <f ca="1" t="shared" si="384"/>
        <v>1.91031568487951</v>
      </c>
      <c r="CM132">
        <f ca="1">IF(G132="恒定伤害",0,(IF(D132="轻剑",$CM$8,$CM$9)+IFERROR(INDEX(技能数据库!$T$2:$W$27,MATCH(E132,技能数据库!$T$2:$T$27,0),4),0)+COUNTIF(G132,"*造化2*")*154+COUNTIF(G132,"*造化1*")*102+COUNTIF(G132,"*碧归*")*307)/1024)</f>
        <v>0.176868146929785</v>
      </c>
      <c r="CN132">
        <f ca="1" t="shared" si="162"/>
        <v>4957083.55232678</v>
      </c>
      <c r="CO132">
        <f ca="1" t="shared" si="385"/>
        <v>1.93437818487951</v>
      </c>
      <c r="CP132">
        <f ca="1" t="shared" si="164"/>
        <v>4969267.12091702</v>
      </c>
      <c r="CQ132">
        <f ca="1" t="shared" si="320"/>
        <v>2.77157885480339</v>
      </c>
      <c r="CR132">
        <f ca="1">IF(G132="恒定伤害",0,(IF(D132="轻剑",$CR$8,$CR$9)+IFERROR(INDEX(技能数据库!$T$2:$W$27,MATCH(E132,技能数据库!$T$2:$T$27,0),4),0)+COUNTIF(G132,"*造化2*")*154+COUNTIF(G132,"*造化1*")*102+COUNTIF(G132,"*碧归*")*307)/1024)</f>
        <v>0.167102521929785</v>
      </c>
      <c r="CS132">
        <f ca="1" t="shared" si="386"/>
        <v>4855467.83234804</v>
      </c>
    </row>
    <row r="133" spans="4:97">
      <c r="D133" t="s">
        <v>1825</v>
      </c>
      <c r="E133" s="161" t="s">
        <v>2869</v>
      </c>
      <c r="G133" t="s">
        <v>3044</v>
      </c>
      <c r="H133">
        <f ca="1">INDEX(技能数据库!$B$2:$I$100,MATCH(阵眼收益计算!$E133,技能数据库!$B$2:$B$100,0),MATCH(H$9,技能数据库!$B$2:$I$2,0))</f>
        <v>1544889</v>
      </c>
      <c r="I133">
        <f ca="1">INDEX(技能数据库!$B$2:$I$100,MATCH(阵眼收益计算!$E133,技能数据库!$B$2:$B$100,0),MATCH(I$9,技能数据库!$B$2:$I$2,0))</f>
        <v>0</v>
      </c>
      <c r="J133">
        <f ca="1">INDEX(技能数据库!$B$2:$I$100,MATCH(阵眼收益计算!$E133,技能数据库!$B$2:$B$100,0),MATCH(J$9,技能数据库!$B$2:$I$2,0))</f>
        <v>0</v>
      </c>
      <c r="K133">
        <f ca="1">INDEX(技能数据库!$B$2:$I$100,MATCH(阵眼收益计算!$E133,技能数据库!$B$2:$B$100,0),MATCH(K$9,技能数据库!$B$2:$I$2,0))</f>
        <v>0</v>
      </c>
      <c r="L133">
        <f ca="1" t="shared" si="110"/>
        <v>105847</v>
      </c>
      <c r="M133">
        <f ca="1" t="shared" si="365"/>
        <v>19530.5</v>
      </c>
      <c r="N133">
        <f ca="1" t="shared" si="366"/>
        <v>92028</v>
      </c>
      <c r="O133">
        <f ca="1" t="shared" si="372"/>
        <v>1544889</v>
      </c>
      <c r="P133">
        <f ca="1">IF(G133="恒定伤害",0,(IF(D133="轻剑",$AZ$2,$AZ$3)+IFERROR(INDEX(技能数据库!$T$2:$W$27,MATCH(E133,技能数据库!$T$2:$T$27,0),4),0)+COUNTIF(G133,"*造化2*")*154+COUNTIF(G133,"*造化1*")*102+COUNTIF(G133,"*碧归*")*307)/1024)</f>
        <v>0.116321271929785</v>
      </c>
      <c r="Q133">
        <f ca="1" t="shared" si="308"/>
        <v>0.448284482196154</v>
      </c>
      <c r="R133">
        <f ca="1" t="shared" si="373"/>
        <v>0.21277697966198</v>
      </c>
      <c r="S133">
        <f ca="1" t="shared" si="367"/>
        <v>1966247.322436</v>
      </c>
      <c r="T133">
        <f t="shared" si="178"/>
        <v>0.8</v>
      </c>
      <c r="U133">
        <f ca="1" t="shared" si="309"/>
        <v>2.67001635480339</v>
      </c>
      <c r="V133">
        <f ca="1" t="shared" si="368"/>
        <v>5772927.86474278</v>
      </c>
      <c r="W133">
        <f ca="1">IF(G133="恒定伤害",0,MIN(1,IF(COUNTIF(F133,"*内会*")&gt;0,内会2,IF(D133="轻剑",$Y$2,$Y$3)+COUNTIF(G133,"*莺鸣*")*0.2+COUNTIF(G133,"*叠1*")*0.1+COUNTIF(G133,"*叠2*")*0.2+COUNTIF(G133,"*叠3*")*0.3)+IFERROR(INDEX(技能数据库!$T$2:$W$27,MATCH(E133,技能数据库!$T$2:$T$27,0),2),0)+IF((IF(D133="轻剑",$AO$2,$AO$3)+INT(COUNTIF(G133,"*大莺鸣*")*IF(D133="轻剑",$AM$2,$AM$3)*听晓无双率)/无双系数)&gt;0.9,特效裤子会心/会心系数,0)))</f>
        <v>0.9043</v>
      </c>
      <c r="X133">
        <f ca="1">IF(G133="恒定伤害",0,IF(COUNTIF(F133,"*内会*")&gt;0,内会效2,IF(D133="轻剑",$AB$2,$AB$3))+IFERROR(INDEX(技能数据库!$T$2:$W$27,MATCH(E133,技能数据库!$T$2:$T$27,0),3)/1024,0))+COUNTIF(G133,"*叠1*")*0.25+COUNTIF(G133,"*叠2*")*0.5+COUNTIF(G133,"*叠3*")*0.75</f>
        <v>2.1712723116</v>
      </c>
      <c r="Y133">
        <f ca="1" t="shared" si="369"/>
        <v>2.05918155137988</v>
      </c>
      <c r="Z133">
        <f t="shared" si="374"/>
        <v>0.150390625</v>
      </c>
      <c r="AA133">
        <f ca="1" t="shared" si="370"/>
        <v>0.0205078125</v>
      </c>
      <c r="AB133">
        <f ca="1" t="shared" si="371"/>
        <v>13955726.0953408</v>
      </c>
      <c r="AC133">
        <f ca="1">技能数计算!$AJ125</f>
        <v>0</v>
      </c>
      <c r="AD133" s="164">
        <f ca="1" t="shared" si="375"/>
        <v>0</v>
      </c>
      <c r="AE133" s="168"/>
      <c r="AF133" s="168">
        <f ca="1" t="shared" si="116"/>
        <v>0.9057</v>
      </c>
      <c r="AG133">
        <f ca="1">技能数计算!$AJ125</f>
        <v>0</v>
      </c>
      <c r="AH133">
        <f ca="1" t="shared" si="117"/>
        <v>109879</v>
      </c>
      <c r="AJ133">
        <f ca="1" t="shared" si="118"/>
        <v>2.3704910616</v>
      </c>
      <c r="AK133">
        <f ca="1" t="shared" si="376"/>
        <v>1544889</v>
      </c>
      <c r="AL133">
        <f ca="1" t="shared" si="310"/>
        <v>15193864.5720285</v>
      </c>
      <c r="AM133" s="169">
        <f ca="1" t="shared" si="121"/>
        <v>0.9272</v>
      </c>
      <c r="AN133">
        <f ca="1">技能数计算!$AJ125</f>
        <v>0</v>
      </c>
      <c r="AO133" s="170">
        <f ca="1" t="shared" si="311"/>
        <v>15393616.9178868</v>
      </c>
      <c r="AP133">
        <f ca="1" t="shared" si="123"/>
        <v>110956</v>
      </c>
      <c r="AQ133" s="170">
        <f ca="1" t="shared" si="377"/>
        <v>1544889</v>
      </c>
      <c r="AR133">
        <f ca="1" t="shared" si="312"/>
        <v>14774474.0254484</v>
      </c>
      <c r="AS133">
        <f ca="1" t="shared" si="126"/>
        <v>0.9843</v>
      </c>
      <c r="AT133">
        <f ca="1">技能数计算!$AJ125</f>
        <v>0</v>
      </c>
      <c r="AU133">
        <f ca="1" t="shared" si="127"/>
        <v>2.3177566866</v>
      </c>
      <c r="AV133">
        <f ca="1" t="shared" si="313"/>
        <v>2.68954760480339</v>
      </c>
      <c r="AW133">
        <f ca="1" t="shared" si="155"/>
        <v>15650807.5514315</v>
      </c>
      <c r="AX133">
        <f ca="1" t="shared" si="129"/>
        <v>0.9743</v>
      </c>
      <c r="AY133">
        <f ca="1">技能数计算!$AJ125</f>
        <v>0</v>
      </c>
      <c r="AZ133" s="170">
        <f ca="1" t="shared" si="156"/>
        <v>15561023.7176922</v>
      </c>
      <c r="BA133">
        <f ca="1" t="shared" si="130"/>
        <v>0.9643</v>
      </c>
      <c r="BB133">
        <f ca="1">技能数计算!$AJ125</f>
        <v>0</v>
      </c>
      <c r="BC133" s="170">
        <f ca="1" t="shared" si="157"/>
        <v>15471239.8839529</v>
      </c>
      <c r="BE133">
        <f ca="1" t="shared" si="131"/>
        <v>105849</v>
      </c>
      <c r="BF133">
        <f ca="1" t="shared" si="378"/>
        <v>1544889</v>
      </c>
      <c r="BI133">
        <f ca="1" t="shared" si="133"/>
        <v>0.9543</v>
      </c>
      <c r="BJ133">
        <f ca="1">技能数计算!$AJ125</f>
        <v>0</v>
      </c>
      <c r="BK133">
        <f ca="1" t="shared" si="314"/>
        <v>15292590.6555795</v>
      </c>
      <c r="BM133">
        <f ca="1" t="shared" si="135"/>
        <v>109230</v>
      </c>
      <c r="BN133">
        <f ca="1" t="shared" si="379"/>
        <v>1544889</v>
      </c>
      <c r="BO133">
        <f ca="1" t="shared" si="315"/>
        <v>15071967.9345286</v>
      </c>
      <c r="BP133">
        <f ca="1" t="shared" si="316"/>
        <v>14373266.6434779</v>
      </c>
      <c r="BR133">
        <f ca="1" t="shared" si="139"/>
        <v>0.9543</v>
      </c>
      <c r="BS133">
        <f ca="1" t="shared" si="317"/>
        <v>14860713.5062881</v>
      </c>
      <c r="BT133">
        <f ca="1" t="shared" si="380"/>
        <v>0.196995876306796</v>
      </c>
      <c r="BU133">
        <f ca="1" t="shared" si="142"/>
        <v>2.3177566866</v>
      </c>
      <c r="BV133">
        <f ca="1" t="shared" si="158"/>
        <v>15606744.4930581</v>
      </c>
      <c r="BW133">
        <f ca="1" t="shared" si="143"/>
        <v>113027</v>
      </c>
      <c r="BX133">
        <f ca="1" t="shared" si="381"/>
        <v>1544889</v>
      </c>
      <c r="BY133">
        <f ca="1" t="shared" si="145"/>
        <v>0.9343</v>
      </c>
      <c r="BZ133">
        <f ca="1">技能数计算!$AJ125</f>
        <v>0</v>
      </c>
      <c r="CA133">
        <f ca="1" t="shared" si="146"/>
        <v>2.3216629366</v>
      </c>
      <c r="CB133">
        <f ca="1" t="shared" si="159"/>
        <v>15146149.1514237</v>
      </c>
      <c r="CC133">
        <f ca="1" t="shared" si="147"/>
        <v>114847</v>
      </c>
      <c r="CD133">
        <f ca="1" t="shared" si="382"/>
        <v>1544889</v>
      </c>
      <c r="CE133">
        <f ca="1" t="shared" si="318"/>
        <v>14618534.1270876</v>
      </c>
      <c r="CF133">
        <f ca="1" t="shared" si="150"/>
        <v>2.2689285616</v>
      </c>
      <c r="CG133">
        <f ca="1" t="shared" si="151"/>
        <v>0.9343</v>
      </c>
      <c r="CH133">
        <f ca="1" t="shared" si="160"/>
        <v>14891060.9698764</v>
      </c>
      <c r="CJ133">
        <f ca="1" t="shared" si="383"/>
        <v>1544889</v>
      </c>
      <c r="CK133">
        <f ca="1" t="shared" si="319"/>
        <v>15003692.7412319</v>
      </c>
      <c r="CL133">
        <f ca="1" t="shared" si="384"/>
        <v>2.2915848116</v>
      </c>
      <c r="CM133">
        <f ca="1">IF(G133="恒定伤害",0,(IF(D133="轻剑",$CM$8,$CM$9)+IFERROR(INDEX(技能数据库!$T$2:$W$27,MATCH(E133,技能数据库!$T$2:$T$27,0),4),0)+COUNTIF(G133,"*造化2*")*154+COUNTIF(G133,"*造化1*")*102+COUNTIF(G133,"*碧归*")*307)/1024)</f>
        <v>0.176868146929785</v>
      </c>
      <c r="CN133">
        <f ca="1" t="shared" si="162"/>
        <v>15850766.5412587</v>
      </c>
      <c r="CO133">
        <f ca="1" t="shared" si="385"/>
        <v>2.3156473116</v>
      </c>
      <c r="CP133">
        <f ca="1" t="shared" si="164"/>
        <v>16012250.2148926</v>
      </c>
      <c r="CQ133">
        <f ca="1" t="shared" si="320"/>
        <v>2.77157885480339</v>
      </c>
      <c r="CR133">
        <f ca="1">IF(G133="恒定伤害",0,(IF(D133="轻剑",$CR$8,$CR$9)+IFERROR(INDEX(技能数据库!$T$2:$W$27,MATCH(E133,技能数据库!$T$2:$T$27,0),4),0)+COUNTIF(G133,"*造化2*")*154+COUNTIF(G133,"*造化1*")*102+COUNTIF(G133,"*碧归*")*307)/1024)</f>
        <v>0.167102521929785</v>
      </c>
      <c r="CS133">
        <f ca="1" t="shared" si="386"/>
        <v>14994342.8446249</v>
      </c>
    </row>
    <row r="134" spans="4:97">
      <c r="D134" t="s">
        <v>1825</v>
      </c>
      <c r="E134" s="161" t="s">
        <v>2871</v>
      </c>
      <c r="F134" t="s">
        <v>2503</v>
      </c>
      <c r="G134" t="s">
        <v>3044</v>
      </c>
      <c r="H134">
        <f ca="1">INDEX(技能数据库!$B$2:$I$100,MATCH(阵眼收益计算!$E134,技能数据库!$B$2:$B$100,0),MATCH(H$9,技能数据库!$B$2:$I$2,0))</f>
        <v>2607915</v>
      </c>
      <c r="I134">
        <f ca="1">INDEX(技能数据库!$B$2:$I$100,MATCH(阵眼收益计算!$E134,技能数据库!$B$2:$B$100,0),MATCH(I$9,技能数据库!$B$2:$I$2,0))</f>
        <v>0</v>
      </c>
      <c r="J134">
        <f ca="1">INDEX(技能数据库!$B$2:$I$100,MATCH(阵眼收益计算!$E134,技能数据库!$B$2:$B$100,0),MATCH(J$9,技能数据库!$B$2:$I$2,0))</f>
        <v>0</v>
      </c>
      <c r="K134">
        <f ca="1">INDEX(技能数据库!$B$2:$I$100,MATCH(阵眼收益计算!$E134,技能数据库!$B$2:$B$100,0),MATCH(K$9,技能数据库!$B$2:$I$2,0))</f>
        <v>0</v>
      </c>
      <c r="L134">
        <f ca="1" t="shared" si="110"/>
        <v>105847</v>
      </c>
      <c r="M134">
        <f ca="1" t="shared" si="365"/>
        <v>19530.5</v>
      </c>
      <c r="N134">
        <f ca="1" t="shared" si="366"/>
        <v>92028</v>
      </c>
      <c r="O134">
        <f ca="1" t="shared" si="372"/>
        <v>2607915</v>
      </c>
      <c r="P134">
        <f ca="1">IF(G134="恒定伤害",0,(IF(D134="轻剑",$AZ$2,$AZ$3)+IFERROR(INDEX(技能数据库!$T$2:$W$27,MATCH(E134,技能数据库!$T$2:$T$27,0),4),0)+COUNTIF(G134,"*造化2*")*154+COUNTIF(G134,"*造化1*")*102+COUNTIF(G134,"*碧归*")*307)/1024)</f>
        <v>0.116321271929785</v>
      </c>
      <c r="Q134">
        <f ca="1" t="shared" si="308"/>
        <v>0.0415122129107408</v>
      </c>
      <c r="R134">
        <f ca="1" t="shared" si="373"/>
        <v>0.21277697966198</v>
      </c>
      <c r="S134">
        <f ca="1" t="shared" si="367"/>
        <v>2386958.04244674</v>
      </c>
      <c r="T134">
        <f t="shared" si="178"/>
        <v>0.8</v>
      </c>
      <c r="U134">
        <f ca="1" t="shared" si="309"/>
        <v>2.67001635480339</v>
      </c>
      <c r="V134">
        <f ca="1" t="shared" si="368"/>
        <v>7008140.04320721</v>
      </c>
      <c r="W134">
        <f ca="1">IF(G134="恒定伤害",0,MIN(1,IF(COUNTIF(F134,"*内会*")&gt;0,内会2,IF(D134="轻剑",$Y$2,$Y$3)+COUNTIF(G134,"*莺鸣*")*0.2+COUNTIF(G134,"*叠1*")*0.1+COUNTIF(G134,"*叠2*")*0.2+COUNTIF(G134,"*叠3*")*0.3)+IFERROR(INDEX(技能数据库!$T$2:$W$27,MATCH(E134,技能数据库!$T$2:$T$27,0),2),0)+IF((IF(D134="轻剑",$AO$2,$AO$3)+INT(COUNTIF(G134,"*大莺鸣*")*IF(D134="轻剑",$AM$2,$AM$3)*听晓无双率)/无双系数)&gt;0.9,特效裤子会心/会心系数,0)))</f>
        <v>0.9043</v>
      </c>
      <c r="X134">
        <f ca="1">IF(G134="恒定伤害",0,IF(COUNTIF(F134,"*内会*")&gt;0,内会效2,IF(D134="轻剑",$AB$2,$AB$3))+IFERROR(INDEX(技能数据库!$T$2:$W$27,MATCH(E134,技能数据库!$T$2:$T$27,0),3)/1024,0))+COUNTIF(G134,"*叠1*")*0.25+COUNTIF(G134,"*叠2*")*0.5+COUNTIF(G134,"*叠3*")*0.75</f>
        <v>2.1712723116</v>
      </c>
      <c r="Y134">
        <f ca="1" t="shared" si="369"/>
        <v>2.05918155137988</v>
      </c>
      <c r="Z134">
        <f t="shared" si="374"/>
        <v>0.150390625</v>
      </c>
      <c r="AA134">
        <f ca="1" t="shared" si="370"/>
        <v>0.0205078125</v>
      </c>
      <c r="AB134">
        <f ca="1" t="shared" si="371"/>
        <v>16941781.5660074</v>
      </c>
      <c r="AC134">
        <f ca="1">技能数计算!$AJ126</f>
        <v>0</v>
      </c>
      <c r="AD134" s="164">
        <f ca="1" t="shared" si="375"/>
        <v>0</v>
      </c>
      <c r="AE134" s="168"/>
      <c r="AF134" s="168">
        <f ca="1" t="shared" si="116"/>
        <v>0.9057</v>
      </c>
      <c r="AG134">
        <f ca="1">技能数计算!$AJ126</f>
        <v>0</v>
      </c>
      <c r="AH134">
        <f ca="1" t="shared" si="117"/>
        <v>109879</v>
      </c>
      <c r="AJ134">
        <f ca="1" t="shared" si="118"/>
        <v>2.3704910616</v>
      </c>
      <c r="AK134">
        <f ca="1" t="shared" si="376"/>
        <v>2607915</v>
      </c>
      <c r="AL134">
        <f ca="1" t="shared" si="310"/>
        <v>18439768.7115727</v>
      </c>
      <c r="AM134" s="169">
        <f ca="1" t="shared" si="121"/>
        <v>0.9272</v>
      </c>
      <c r="AN134">
        <f ca="1">技能数计算!$AJ126</f>
        <v>0</v>
      </c>
      <c r="AO134" s="170">
        <f ca="1" t="shared" si="311"/>
        <v>18682194.6618475</v>
      </c>
      <c r="AP134">
        <f ca="1" t="shared" si="123"/>
        <v>110956</v>
      </c>
      <c r="AQ134" s="170">
        <f ca="1" t="shared" si="377"/>
        <v>2607915</v>
      </c>
      <c r="AR134">
        <f ca="1" t="shared" si="312"/>
        <v>16941781.5660074</v>
      </c>
      <c r="AS134">
        <f ca="1" t="shared" si="126"/>
        <v>0.9843</v>
      </c>
      <c r="AT134">
        <f ca="1">技能数计算!$AJ126</f>
        <v>0</v>
      </c>
      <c r="AU134">
        <f ca="1" t="shared" si="127"/>
        <v>2.3177566866</v>
      </c>
      <c r="AV134">
        <f ca="1" t="shared" si="313"/>
        <v>2.68954760480339</v>
      </c>
      <c r="AW134">
        <f ca="1" t="shared" si="155"/>
        <v>18999553.3773406</v>
      </c>
      <c r="AX134">
        <f ca="1" t="shared" si="129"/>
        <v>0.9743</v>
      </c>
      <c r="AY134">
        <f ca="1">技能数计算!$AJ126</f>
        <v>0</v>
      </c>
      <c r="AZ134" s="170">
        <f ca="1" t="shared" si="156"/>
        <v>18890558.82636</v>
      </c>
      <c r="BA134">
        <f ca="1" t="shared" si="130"/>
        <v>0.9643</v>
      </c>
      <c r="BB134">
        <f ca="1">技能数计算!$AJ126</f>
        <v>0</v>
      </c>
      <c r="BC134" s="170">
        <f ca="1" t="shared" si="157"/>
        <v>18781564.2753794</v>
      </c>
      <c r="BE134">
        <f ca="1" t="shared" si="131"/>
        <v>105849</v>
      </c>
      <c r="BF134">
        <f ca="1" t="shared" si="378"/>
        <v>2607915</v>
      </c>
      <c r="BI134">
        <f ca="1" t="shared" si="133"/>
        <v>0.9543</v>
      </c>
      <c r="BJ134">
        <f ca="1">技能数计算!$AJ126</f>
        <v>0</v>
      </c>
      <c r="BK134">
        <f ca="1" t="shared" si="314"/>
        <v>17516335.5960416</v>
      </c>
      <c r="BM134">
        <f ca="1" t="shared" si="135"/>
        <v>109230</v>
      </c>
      <c r="BN134">
        <f ca="1" t="shared" si="379"/>
        <v>2607915</v>
      </c>
      <c r="BO134">
        <f ca="1" t="shared" si="315"/>
        <v>16941781.5660074</v>
      </c>
      <c r="BP134">
        <f ca="1" t="shared" si="316"/>
        <v>16941781.5660074</v>
      </c>
      <c r="BR134">
        <f ca="1" t="shared" si="139"/>
        <v>0.9543</v>
      </c>
      <c r="BS134">
        <f ca="1" t="shared" si="317"/>
        <v>17516335.5960416</v>
      </c>
      <c r="BT134">
        <f ca="1" t="shared" si="380"/>
        <v>0.196995876306796</v>
      </c>
      <c r="BU134">
        <f ca="1" t="shared" si="142"/>
        <v>2.3177566866</v>
      </c>
      <c r="BV134">
        <f ca="1" t="shared" si="158"/>
        <v>18946062.3081555</v>
      </c>
      <c r="BW134">
        <f ca="1" t="shared" si="143"/>
        <v>113027</v>
      </c>
      <c r="BX134">
        <f ca="1" t="shared" si="381"/>
        <v>2607915</v>
      </c>
      <c r="BY134">
        <f ca="1" t="shared" si="145"/>
        <v>0.9343</v>
      </c>
      <c r="BZ134">
        <f ca="1">技能数计算!$AJ126</f>
        <v>0</v>
      </c>
      <c r="CA134">
        <f ca="1" t="shared" si="146"/>
        <v>2.3216629366</v>
      </c>
      <c r="CB134">
        <f ca="1" t="shared" si="159"/>
        <v>18386915.0724631</v>
      </c>
      <c r="CC134">
        <f ca="1" t="shared" si="147"/>
        <v>114847</v>
      </c>
      <c r="CD134">
        <f ca="1" t="shared" si="382"/>
        <v>2607915</v>
      </c>
      <c r="CE134">
        <f ca="1" t="shared" si="318"/>
        <v>17230878.5566658</v>
      </c>
      <c r="CF134">
        <f ca="1" t="shared" si="150"/>
        <v>2.2689285616</v>
      </c>
      <c r="CG134">
        <f ca="1" t="shared" si="151"/>
        <v>0.9343</v>
      </c>
      <c r="CH134">
        <f ca="1" t="shared" si="160"/>
        <v>18077246.6093305</v>
      </c>
      <c r="CJ134">
        <f ca="1" t="shared" si="383"/>
        <v>2607915</v>
      </c>
      <c r="CK134">
        <f ca="1" t="shared" si="319"/>
        <v>16941781.5660074</v>
      </c>
      <c r="CL134">
        <f ca="1" t="shared" si="384"/>
        <v>2.2915848116</v>
      </c>
      <c r="CM134">
        <f ca="1">IF(G134="恒定伤害",0,(IF(D134="轻剑",$CM$8,$CM$9)+IFERROR(INDEX(技能数据库!$T$2:$W$27,MATCH(E134,技能数据库!$T$2:$T$27,0),4),0)+COUNTIF(G134,"*造化2*")*154+COUNTIF(G134,"*造化1*")*102+COUNTIF(G134,"*碧归*")*307)/1024)</f>
        <v>0.176868146929785</v>
      </c>
      <c r="CN134">
        <f ca="1" t="shared" si="162"/>
        <v>19242296.8580214</v>
      </c>
      <c r="CO134">
        <f ca="1" t="shared" si="385"/>
        <v>2.3156473116</v>
      </c>
      <c r="CP134">
        <f ca="1" t="shared" si="164"/>
        <v>19438332.6003749</v>
      </c>
      <c r="CQ134">
        <f ca="1" t="shared" si="320"/>
        <v>2.77157885480339</v>
      </c>
      <c r="CR134">
        <f ca="1">IF(G134="恒定伤害",0,(IF(D134="轻剑",$CR$8,$CR$9)+IFERROR(INDEX(技能数据库!$T$2:$W$27,MATCH(E134,技能数据库!$T$2:$T$27,0),4),0)+COUNTIF(G134,"*造化2*")*154+COUNTIF(G134,"*造化1*")*102+COUNTIF(G134,"*碧归*")*307)/1024)</f>
        <v>0.167102521929785</v>
      </c>
      <c r="CS134">
        <f ca="1" t="shared" si="386"/>
        <v>18202627.3275936</v>
      </c>
    </row>
    <row r="135" spans="4:97">
      <c r="D135" t="s">
        <v>1825</v>
      </c>
      <c r="E135" s="161" t="s">
        <v>2885</v>
      </c>
      <c r="F135" t="s">
        <v>2503</v>
      </c>
      <c r="G135" t="s">
        <v>3044</v>
      </c>
      <c r="H135">
        <f ca="1">INDEX(技能数据库!$B$2:$I$100,MATCH(阵眼收益计算!$E135,技能数据库!$B$2:$B$100,0),MATCH(H$9,技能数据库!$B$2:$I$2,0))</f>
        <v>2133748</v>
      </c>
      <c r="I135">
        <f ca="1">INDEX(技能数据库!$B$2:$I$100,MATCH(阵眼收益计算!$E135,技能数据库!$B$2:$B$100,0),MATCH(I$9,技能数据库!$B$2:$I$2,0))</f>
        <v>0</v>
      </c>
      <c r="J135">
        <f ca="1">INDEX(技能数据库!$B$2:$I$100,MATCH(阵眼收益计算!$E135,技能数据库!$B$2:$B$100,0),MATCH(J$9,技能数据库!$B$2:$I$2,0))</f>
        <v>0</v>
      </c>
      <c r="K135">
        <f ca="1">INDEX(技能数据库!$B$2:$I$100,MATCH(阵眼收益计算!$E135,技能数据库!$B$2:$B$100,0),MATCH(K$9,技能数据库!$B$2:$I$2,0))</f>
        <v>0</v>
      </c>
      <c r="L135">
        <f ca="1" t="shared" si="110"/>
        <v>105847</v>
      </c>
      <c r="M135">
        <f ca="1" t="shared" si="365"/>
        <v>19530.5</v>
      </c>
      <c r="N135">
        <f ca="1" t="shared" si="366"/>
        <v>92028</v>
      </c>
      <c r="O135">
        <f ca="1" t="shared" si="372"/>
        <v>2133748</v>
      </c>
      <c r="P135">
        <f ca="1">IF(G135="恒定伤害",0,(IF(D135="轻剑",$AZ$2,$AZ$3)+IFERROR(INDEX(技能数据库!$T$2:$W$27,MATCH(E135,技能数据库!$T$2:$T$27,0),4),0)+COUNTIF(G135,"*造化2*")*154+COUNTIF(G135,"*造化1*")*102+COUNTIF(G135,"*碧归*")*307)/1024)</f>
        <v>0.116321271929785</v>
      </c>
      <c r="Q135">
        <f ca="1" t="shared" si="308"/>
        <v>0.0415122129107408</v>
      </c>
      <c r="R135">
        <f ca="1" t="shared" si="373"/>
        <v>0.21277697966198</v>
      </c>
      <c r="S135">
        <f ca="1" t="shared" si="367"/>
        <v>1952965.08864539</v>
      </c>
      <c r="T135">
        <f t="shared" si="178"/>
        <v>0.8</v>
      </c>
      <c r="U135">
        <f ca="1" t="shared" si="309"/>
        <v>2.67001635480339</v>
      </c>
      <c r="V135">
        <f ca="1" t="shared" si="368"/>
        <v>5733931.05255091</v>
      </c>
      <c r="W135">
        <f ca="1">IF(G135="恒定伤害",0,MIN(1,IF(COUNTIF(F135,"*内会*")&gt;0,内会2,IF(D135="轻剑",$Y$2,$Y$3)+COUNTIF(G135,"*莺鸣*")*0.2+COUNTIF(G135,"*叠1*")*0.1+COUNTIF(G135,"*叠2*")*0.2+COUNTIF(G135,"*叠3*")*0.3)+IFERROR(INDEX(技能数据库!$T$2:$W$27,MATCH(E135,技能数据库!$T$2:$T$27,0),2),0)+IF((IF(D135="轻剑",$AO$2,$AO$3)+INT(COUNTIF(G135,"*大莺鸣*")*IF(D135="轻剑",$AM$2,$AM$3)*听晓无双率)/无双系数)&gt;0.9,特效裤子会心/会心系数,0)))</f>
        <v>0.9043</v>
      </c>
      <c r="X135">
        <f ca="1">IF(G135="恒定伤害",0,IF(COUNTIF(F135,"*内会*")&gt;0,内会效2,IF(D135="轻剑",$AB$2,$AB$3))+IFERROR(INDEX(技能数据库!$T$2:$W$27,MATCH(E135,技能数据库!$T$2:$T$27,0),3)/1024,0))+COUNTIF(G135,"*叠1*")*0.25+COUNTIF(G135,"*叠2*")*0.5+COUNTIF(G135,"*叠3*")*0.75</f>
        <v>2.1712723116</v>
      </c>
      <c r="Y135">
        <f ca="1" t="shared" si="369"/>
        <v>2.05918155137988</v>
      </c>
      <c r="Z135">
        <f t="shared" si="374"/>
        <v>0.150390625</v>
      </c>
      <c r="AA135">
        <f ca="1" t="shared" si="370"/>
        <v>0.0205078125</v>
      </c>
      <c r="AB135">
        <f ca="1" t="shared" si="371"/>
        <v>13861453.5109101</v>
      </c>
      <c r="AC135">
        <f ca="1">技能数计算!$AJ127</f>
        <v>0</v>
      </c>
      <c r="AD135" s="164">
        <f ca="1" t="shared" si="375"/>
        <v>0</v>
      </c>
      <c r="AE135" s="168"/>
      <c r="AF135" s="168">
        <f ca="1" t="shared" si="116"/>
        <v>0.9057</v>
      </c>
      <c r="AG135">
        <f ca="1">技能数计算!$AJ127</f>
        <v>0</v>
      </c>
      <c r="AH135">
        <f ca="1" t="shared" si="117"/>
        <v>109879</v>
      </c>
      <c r="AJ135">
        <f ca="1" t="shared" si="118"/>
        <v>2.3704910616</v>
      </c>
      <c r="AK135">
        <f ca="1" t="shared" si="376"/>
        <v>2133748</v>
      </c>
      <c r="AL135">
        <f ca="1" t="shared" si="310"/>
        <v>15087078.9917543</v>
      </c>
      <c r="AM135" s="169">
        <f ca="1" t="shared" si="121"/>
        <v>0.9272</v>
      </c>
      <c r="AN135">
        <f ca="1">技能数计算!$AJ127</f>
        <v>0</v>
      </c>
      <c r="AO135" s="170">
        <f ca="1" t="shared" si="311"/>
        <v>15285427.4373696</v>
      </c>
      <c r="AP135">
        <f ca="1" t="shared" si="123"/>
        <v>110956</v>
      </c>
      <c r="AQ135" s="170">
        <f ca="1" t="shared" si="377"/>
        <v>2133748</v>
      </c>
      <c r="AR135">
        <f ca="1" t="shared" si="312"/>
        <v>13861453.5109101</v>
      </c>
      <c r="AS135">
        <f ca="1" t="shared" si="126"/>
        <v>0.9843</v>
      </c>
      <c r="AT135">
        <f ca="1">技能数计算!$AJ127</f>
        <v>0</v>
      </c>
      <c r="AU135">
        <f ca="1" t="shared" si="127"/>
        <v>2.3177566866</v>
      </c>
      <c r="AV135">
        <f ca="1" t="shared" si="313"/>
        <v>2.68954760480339</v>
      </c>
      <c r="AW135">
        <f ca="1" t="shared" si="155"/>
        <v>15545084.4907881</v>
      </c>
      <c r="AX135">
        <f ca="1" t="shared" si="129"/>
        <v>0.9743</v>
      </c>
      <c r="AY135">
        <f ca="1">技能数计算!$AJ127</f>
        <v>0</v>
      </c>
      <c r="AZ135" s="170">
        <f ca="1" t="shared" si="156"/>
        <v>15455907.1574909</v>
      </c>
      <c r="BA135">
        <f ca="1" t="shared" si="130"/>
        <v>0.9643</v>
      </c>
      <c r="BB135">
        <f ca="1">技能数计算!$AJ127</f>
        <v>0</v>
      </c>
      <c r="BC135" s="170">
        <f ca="1" t="shared" si="157"/>
        <v>15366729.8241937</v>
      </c>
      <c r="BE135">
        <f ca="1" t="shared" si="131"/>
        <v>105849</v>
      </c>
      <c r="BF135">
        <f ca="1" t="shared" si="378"/>
        <v>2133748</v>
      </c>
      <c r="BI135">
        <f ca="1" t="shared" si="133"/>
        <v>0.9543</v>
      </c>
      <c r="BJ135">
        <f ca="1">技能数计算!$AJ127</f>
        <v>0</v>
      </c>
      <c r="BK135">
        <f ca="1" t="shared" si="314"/>
        <v>14331543.0316488</v>
      </c>
      <c r="BM135">
        <f ca="1" t="shared" si="135"/>
        <v>109230</v>
      </c>
      <c r="BN135">
        <f ca="1" t="shared" si="379"/>
        <v>2133748</v>
      </c>
      <c r="BO135">
        <f ca="1" t="shared" si="315"/>
        <v>13861453.5109101</v>
      </c>
      <c r="BP135">
        <f ca="1" t="shared" si="316"/>
        <v>13861453.5109101</v>
      </c>
      <c r="BR135">
        <f ca="1" t="shared" si="139"/>
        <v>0.9543</v>
      </c>
      <c r="BS135">
        <f ca="1" t="shared" si="317"/>
        <v>14331543.0316488</v>
      </c>
      <c r="BT135">
        <f ca="1" t="shared" si="380"/>
        <v>0.196995876306796</v>
      </c>
      <c r="BU135">
        <f ca="1" t="shared" si="142"/>
        <v>2.3177566866</v>
      </c>
      <c r="BV135">
        <f ca="1" t="shared" si="158"/>
        <v>15501319.0835983</v>
      </c>
      <c r="BW135">
        <f ca="1" t="shared" si="143"/>
        <v>113027</v>
      </c>
      <c r="BX135">
        <f ca="1" t="shared" si="381"/>
        <v>2133748</v>
      </c>
      <c r="BY135">
        <f ca="1" t="shared" si="145"/>
        <v>0.9343</v>
      </c>
      <c r="BZ135">
        <f ca="1">技能数计算!$AJ127</f>
        <v>0</v>
      </c>
      <c r="CA135">
        <f ca="1" t="shared" si="146"/>
        <v>2.3216629366</v>
      </c>
      <c r="CB135">
        <f ca="1" t="shared" si="159"/>
        <v>15043835.118107</v>
      </c>
      <c r="CC135">
        <f ca="1" t="shared" si="147"/>
        <v>114847</v>
      </c>
      <c r="CD135">
        <f ca="1" t="shared" si="382"/>
        <v>2133748</v>
      </c>
      <c r="CE135">
        <f ca="1" t="shared" si="318"/>
        <v>14097987.3418146</v>
      </c>
      <c r="CF135">
        <f ca="1" t="shared" si="150"/>
        <v>2.2689285616</v>
      </c>
      <c r="CG135">
        <f ca="1" t="shared" si="151"/>
        <v>0.9343</v>
      </c>
      <c r="CH135">
        <f ca="1" t="shared" si="160"/>
        <v>14790470.0874706</v>
      </c>
      <c r="CJ135">
        <f ca="1" t="shared" si="383"/>
        <v>2133748</v>
      </c>
      <c r="CK135">
        <f ca="1" t="shared" si="319"/>
        <v>13861453.5109101</v>
      </c>
      <c r="CL135">
        <f ca="1" t="shared" si="384"/>
        <v>2.2915848116</v>
      </c>
      <c r="CM135">
        <f ca="1">IF(G135="恒定伤害",0,(IF(D135="轻剑",$CM$8,$CM$9)+IFERROR(INDEX(技能数据库!$T$2:$W$27,MATCH(E135,技能数据库!$T$2:$T$27,0),4),0)+COUNTIF(G135,"*造化2*")*154+COUNTIF(G135,"*造化1*")*102+COUNTIF(G135,"*碧归*")*307)/1024)</f>
        <v>0.176868146929785</v>
      </c>
      <c r="CN135">
        <f ca="1" t="shared" si="162"/>
        <v>15743692.7339309</v>
      </c>
      <c r="CO135">
        <f ca="1" t="shared" si="385"/>
        <v>2.3156473116</v>
      </c>
      <c r="CP135">
        <f ca="1" t="shared" si="164"/>
        <v>15904085.5662032</v>
      </c>
      <c r="CQ135">
        <f ca="1" t="shared" si="320"/>
        <v>2.77157885480339</v>
      </c>
      <c r="CR135">
        <f ca="1">IF(G135="恒定伤害",0,(IF(D135="轻剑",$CR$8,$CR$9)+IFERROR(INDEX(技能数据库!$T$2:$W$27,MATCH(E135,技能数据库!$T$2:$T$27,0),4),0)+COUNTIF(G135,"*造化2*")*154+COUNTIF(G135,"*造化1*")*102+COUNTIF(G135,"*碧归*")*307)/1024)</f>
        <v>0.167102521929785</v>
      </c>
      <c r="CS135">
        <f ca="1" t="shared" si="386"/>
        <v>14893054.2809095</v>
      </c>
    </row>
    <row r="136" spans="4:97">
      <c r="D136" t="s">
        <v>1825</v>
      </c>
      <c r="E136" s="161" t="s">
        <v>2897</v>
      </c>
      <c r="F136" t="s">
        <v>3160</v>
      </c>
      <c r="G136" t="s">
        <v>3044</v>
      </c>
      <c r="H136">
        <f ca="1">INDEX(技能数据库!$B$2:$I$100,MATCH(阵眼收益计算!$E136,技能数据库!$B$2:$B$100,0),MATCH(H$9,技能数据库!$B$2:$I$2,0))</f>
        <v>4978746</v>
      </c>
      <c r="I136">
        <f ca="1">INDEX(技能数据库!$B$2:$I$100,MATCH(阵眼收益计算!$E136,技能数据库!$B$2:$B$100,0),MATCH(I$9,技能数据库!$B$2:$I$2,0))</f>
        <v>0</v>
      </c>
      <c r="J136">
        <f ca="1">INDEX(技能数据库!$B$2:$I$100,MATCH(阵眼收益计算!$E136,技能数据库!$B$2:$B$100,0),MATCH(J$9,技能数据库!$B$2:$I$2,0))</f>
        <v>0</v>
      </c>
      <c r="K136">
        <f ca="1">INDEX(技能数据库!$B$2:$I$100,MATCH(阵眼收益计算!$E136,技能数据库!$B$2:$B$100,0),MATCH(K$9,技能数据库!$B$2:$I$2,0))</f>
        <v>0</v>
      </c>
      <c r="L136">
        <f ca="1" t="shared" si="110"/>
        <v>105847</v>
      </c>
      <c r="M136">
        <f ca="1" t="shared" si="365"/>
        <v>19530.5</v>
      </c>
      <c r="N136">
        <f ca="1" t="shared" si="366"/>
        <v>92028</v>
      </c>
      <c r="O136">
        <f ca="1" t="shared" si="372"/>
        <v>4978746</v>
      </c>
      <c r="P136">
        <f ca="1">IF(G136="恒定伤害",0,(IF(D136="轻剑",$AZ$2,$AZ$3)+IFERROR(INDEX(技能数据库!$T$2:$W$27,MATCH(E136,技能数据库!$T$2:$T$27,0),4),0)+COUNTIF(G136,"*造化2*")*154+COUNTIF(G136,"*造化1*")*102+COUNTIF(G136,"*碧归*")*307)/1024)</f>
        <v>0.116321271929785</v>
      </c>
      <c r="Q136">
        <f ca="1" t="shared" si="308"/>
        <v>0.0415122129107408</v>
      </c>
      <c r="R136">
        <f ca="1" t="shared" si="373"/>
        <v>0.21277697966198</v>
      </c>
      <c r="S136">
        <f ca="1" t="shared" si="367"/>
        <v>4556919.15035556</v>
      </c>
      <c r="T136">
        <f t="shared" si="178"/>
        <v>0.8</v>
      </c>
      <c r="U136">
        <f ca="1" t="shared" si="309"/>
        <v>2.67001635480339</v>
      </c>
      <c r="V136">
        <f ca="1" t="shared" si="368"/>
        <v>13379174.2474574</v>
      </c>
      <c r="W136">
        <f ca="1">IF(G136="恒定伤害",0,MIN(1,IF(COUNTIF(F136,"*内会*")&gt;0,内会2,IF(D136="轻剑",$Y$2,$Y$3)+COUNTIF(G136,"*莺鸣*")*0.2+COUNTIF(G136,"*叠1*")*0.1+COUNTIF(G136,"*叠2*")*0.2+COUNTIF(G136,"*叠3*")*0.3)+IFERROR(INDEX(技能数据库!$T$2:$W$27,MATCH(E136,技能数据库!$T$2:$T$27,0),2),0)+IF((IF(D136="轻剑",$AO$2,$AO$3)+INT(COUNTIF(G136,"*大莺鸣*")*IF(D136="轻剑",$AM$2,$AM$3)*听晓无双率)/无双系数)&gt;0.9,特效裤子会心/会心系数,0)))</f>
        <v>0.0826138197194782</v>
      </c>
      <c r="X136">
        <f ca="1">IF(G136="恒定伤害",0,IF(COUNTIF(F136,"*内会*")&gt;0,内会效2,IF(D136="轻剑",$AB$2,$AB$3))+IFERROR(INDEX(技能数据库!$T$2:$W$27,MATCH(E136,技能数据库!$T$2:$T$27,0),3)/1024,0))+COUNTIF(G136,"*叠1*")*0.25+COUNTIF(G136,"*叠2*")*0.5+COUNTIF(G136,"*叠3*")*0.75</f>
        <v>1.79000318487951</v>
      </c>
      <c r="Y136">
        <f ca="1" t="shared" si="369"/>
        <v>1.06526518069345</v>
      </c>
      <c r="Z136">
        <f t="shared" si="374"/>
        <v>0.150390625</v>
      </c>
      <c r="AA136">
        <f ca="1" t="shared" si="370"/>
        <v>0.0205078125</v>
      </c>
      <c r="AB136">
        <f ca="1" t="shared" si="371"/>
        <v>16732032.8836637</v>
      </c>
      <c r="AC136">
        <f ca="1">技能数计算!$AJ128</f>
        <v>0</v>
      </c>
      <c r="AD136" s="164">
        <f ca="1" t="shared" si="375"/>
        <v>0</v>
      </c>
      <c r="AE136" s="168"/>
      <c r="AF136" s="168">
        <f ca="1" t="shared" si="116"/>
        <v>0.0826138197194782</v>
      </c>
      <c r="AG136">
        <f ca="1">技能数计算!$AJ128</f>
        <v>0</v>
      </c>
      <c r="AH136">
        <f ca="1" t="shared" si="117"/>
        <v>109879</v>
      </c>
      <c r="AJ136">
        <f ca="1" t="shared" si="118"/>
        <v>1.79000318487951</v>
      </c>
      <c r="AK136">
        <f ca="1" t="shared" si="376"/>
        <v>4978746</v>
      </c>
      <c r="AL136">
        <f ca="1" t="shared" si="310"/>
        <v>16732032.8836637</v>
      </c>
      <c r="AM136" s="169">
        <f ca="1" t="shared" si="121"/>
        <v>0.0826138197194782</v>
      </c>
      <c r="AN136">
        <f ca="1">技能数计算!$AJ128</f>
        <v>0</v>
      </c>
      <c r="AO136" s="170">
        <f ca="1" t="shared" si="311"/>
        <v>16732032.8836637</v>
      </c>
      <c r="AP136">
        <f ca="1" t="shared" si="123"/>
        <v>110956</v>
      </c>
      <c r="AQ136" s="170">
        <f ca="1" t="shared" si="377"/>
        <v>4978746</v>
      </c>
      <c r="AR136">
        <f ca="1" t="shared" si="312"/>
        <v>16732032.8836637</v>
      </c>
      <c r="AS136">
        <f ca="1" t="shared" si="126"/>
        <v>0.0826138197194782</v>
      </c>
      <c r="AT136">
        <f ca="1">技能数计算!$AJ128</f>
        <v>0</v>
      </c>
      <c r="AU136">
        <f ca="1" t="shared" si="127"/>
        <v>1.79000318487951</v>
      </c>
      <c r="AV136">
        <f ca="1" t="shared" si="313"/>
        <v>2.68954760480339</v>
      </c>
      <c r="AW136">
        <f ca="1" t="shared" si="155"/>
        <v>16821078.1318766</v>
      </c>
      <c r="AX136">
        <f ca="1" t="shared" si="129"/>
        <v>0.0826138197194782</v>
      </c>
      <c r="AY136">
        <f ca="1">技能数计算!$AJ128</f>
        <v>0</v>
      </c>
      <c r="AZ136" s="170">
        <f ca="1" t="shared" si="156"/>
        <v>16821078.1318766</v>
      </c>
      <c r="BA136">
        <f ca="1" t="shared" si="130"/>
        <v>0.0826138197194782</v>
      </c>
      <c r="BB136">
        <f ca="1">技能数计算!$AJ128</f>
        <v>0</v>
      </c>
      <c r="BC136" s="170">
        <f ca="1" t="shared" si="157"/>
        <v>16821078.1318766</v>
      </c>
      <c r="BE136">
        <f ca="1" t="shared" si="131"/>
        <v>105849</v>
      </c>
      <c r="BF136">
        <f ca="1" t="shared" si="378"/>
        <v>4978746</v>
      </c>
      <c r="BI136">
        <f ca="1" t="shared" si="133"/>
        <v>0.0826138197194782</v>
      </c>
      <c r="BJ136">
        <f ca="1">技能数计算!$AJ128</f>
        <v>0</v>
      </c>
      <c r="BK136">
        <f ca="1" t="shared" si="314"/>
        <v>16821078.1318766</v>
      </c>
      <c r="BM136">
        <f ca="1" t="shared" si="135"/>
        <v>109230</v>
      </c>
      <c r="BN136">
        <f ca="1" t="shared" si="379"/>
        <v>4978746</v>
      </c>
      <c r="BO136">
        <f ca="1" t="shared" si="315"/>
        <v>16732032.8836637</v>
      </c>
      <c r="BP136">
        <f ca="1" t="shared" si="316"/>
        <v>16732032.8836637</v>
      </c>
      <c r="BR136">
        <f ca="1" t="shared" si="139"/>
        <v>0.132613819719478</v>
      </c>
      <c r="BS136">
        <f ca="1" t="shared" si="317"/>
        <v>17444805.7040404</v>
      </c>
      <c r="BT136">
        <f ca="1" t="shared" si="380"/>
        <v>0.196995876306796</v>
      </c>
      <c r="BU136">
        <f ca="1" t="shared" si="142"/>
        <v>1.93648755987951</v>
      </c>
      <c r="BV136">
        <f ca="1" t="shared" si="158"/>
        <v>18011552.4079956</v>
      </c>
      <c r="BW136">
        <f ca="1" t="shared" si="143"/>
        <v>113027</v>
      </c>
      <c r="BX136">
        <f ca="1" t="shared" si="381"/>
        <v>4978746</v>
      </c>
      <c r="BY136">
        <f ca="1" t="shared" si="145"/>
        <v>0.0826138197194782</v>
      </c>
      <c r="BZ136">
        <f ca="1">技能数计算!$AJ128</f>
        <v>0</v>
      </c>
      <c r="CA136">
        <f ca="1" t="shared" si="146"/>
        <v>1.79000318487951</v>
      </c>
      <c r="CB136">
        <f ca="1" t="shared" si="159"/>
        <v>16732032.8836637</v>
      </c>
      <c r="CC136">
        <f ca="1" t="shared" si="147"/>
        <v>114847</v>
      </c>
      <c r="CD136">
        <f ca="1" t="shared" si="382"/>
        <v>4978746</v>
      </c>
      <c r="CE136">
        <f ca="1" t="shared" si="318"/>
        <v>16732032.8836637</v>
      </c>
      <c r="CF136">
        <f ca="1" t="shared" si="150"/>
        <v>1.79000318487951</v>
      </c>
      <c r="CG136">
        <f ca="1" t="shared" si="151"/>
        <v>0.112613819719478</v>
      </c>
      <c r="CH136">
        <f ca="1" t="shared" si="160"/>
        <v>16821078.1318766</v>
      </c>
      <c r="CJ136">
        <f ca="1" t="shared" si="383"/>
        <v>4978746</v>
      </c>
      <c r="CK136">
        <f ca="1" t="shared" si="319"/>
        <v>16732032.8836637</v>
      </c>
      <c r="CL136">
        <f ca="1" t="shared" si="384"/>
        <v>1.91031568487951</v>
      </c>
      <c r="CM136">
        <f ca="1">IF(G136="恒定伤害",0,(IF(D136="轻剑",$CM$8,$CM$9)+IFERROR(INDEX(技能数据库!$T$2:$W$27,MATCH(E136,技能数据库!$T$2:$T$27,0),4),0)+COUNTIF(G136,"*造化2*")*154+COUNTIF(G136,"*造化1*")*102+COUNTIF(G136,"*碧归*")*307)/1024)</f>
        <v>0.176868146929785</v>
      </c>
      <c r="CN136">
        <f ca="1" t="shared" si="162"/>
        <v>18353498.7631592</v>
      </c>
      <c r="CO136">
        <f ca="1" t="shared" si="385"/>
        <v>1.93437818487951</v>
      </c>
      <c r="CP136">
        <f ca="1" t="shared" si="164"/>
        <v>18398608.1724906</v>
      </c>
      <c r="CQ136">
        <f ca="1" t="shared" si="320"/>
        <v>2.77157885480339</v>
      </c>
      <c r="CR136">
        <f ca="1">IF(G136="恒定伤害",0,(IF(D136="轻剑",$CR$8,$CR$9)+IFERROR(INDEX(技能数据库!$T$2:$W$27,MATCH(E136,技能数据库!$T$2:$T$27,0),4),0)+COUNTIF(G136,"*造化2*")*154+COUNTIF(G136,"*造化1*")*102+COUNTIF(G136,"*碧归*")*307)/1024)</f>
        <v>0.167102521929785</v>
      </c>
      <c r="CS136">
        <f ca="1" t="shared" si="386"/>
        <v>17977268.6731757</v>
      </c>
    </row>
    <row r="137" spans="4:97">
      <c r="D137" t="s">
        <v>1825</v>
      </c>
      <c r="E137" t="s">
        <v>2776</v>
      </c>
      <c r="G137" t="s">
        <v>3046</v>
      </c>
      <c r="H137">
        <f ca="1">INDEX(技能数据库!$B$2:$I$100,MATCH(阵眼收益计算!$E137,技能数据库!$B$2:$B$100,0),MATCH(H$9,技能数据库!$B$2:$I$2,0))</f>
        <v>281.5</v>
      </c>
      <c r="I137">
        <f ca="1">INDEX(技能数据库!$B$2:$I$100,MATCH(阵眼收益计算!$E137,技能数据库!$B$2:$B$100,0),MATCH(I$9,技能数据库!$B$2:$I$2,0))</f>
        <v>7.06875</v>
      </c>
      <c r="J137">
        <f ca="1">INDEX(技能数据库!$B$2:$I$100,MATCH(阵眼收益计算!$E137,技能数据库!$B$2:$B$100,0),MATCH(J$9,技能数据库!$B$2:$I$2,0))</f>
        <v>2</v>
      </c>
      <c r="K137">
        <f ca="1">INDEX(技能数据库!$B$2:$I$100,MATCH(阵眼收益计算!$E137,技能数据库!$B$2:$B$100,0),MATCH(K$9,技能数据库!$B$2:$I$2,0))</f>
        <v>0</v>
      </c>
      <c r="L137">
        <f ca="1" t="shared" si="110"/>
        <v>91975</v>
      </c>
      <c r="M137">
        <f ca="1" t="shared" si="365"/>
        <v>19530.5</v>
      </c>
      <c r="N137">
        <f ca="1" t="shared" si="366"/>
        <v>92028</v>
      </c>
      <c r="O137">
        <f ca="1" t="shared" si="372"/>
        <v>689490.78125</v>
      </c>
      <c r="P137">
        <f ca="1">IF(G137="恒定伤害",0,(IF(D137="轻剑",$AZ$2,$AZ$3)+IFERROR(INDEX(技能数据库!$T$2:$W$27,MATCH(E137,技能数据库!$T$2:$T$27,0),4),0)+COUNTIF(G137,"*造化2*")*154+COUNTIF(G137,"*造化1*")*102+COUNTIF(G137,"*碧归*")*307)/1024)</f>
        <v>0.337024396929785</v>
      </c>
      <c r="Q137">
        <f ca="1" t="shared" si="308"/>
        <v>0.448284482196154</v>
      </c>
      <c r="R137">
        <f ca="1" t="shared" si="373"/>
        <v>0.32958230397716</v>
      </c>
      <c r="S137">
        <f ca="1" t="shared" si="367"/>
        <v>895090.901234674</v>
      </c>
      <c r="T137">
        <f t="shared" si="178"/>
        <v>0.8</v>
      </c>
      <c r="U137">
        <f ca="1" t="shared" si="309"/>
        <v>1.7800129648</v>
      </c>
      <c r="V137">
        <f ca="1" t="shared" si="368"/>
        <v>1990691.44808553</v>
      </c>
      <c r="W137">
        <f ca="1">IF(G137="恒定伤害",0,MIN(1,IF(COUNTIF(F137,"*内会*")&gt;0,内会2,IF(D137="轻剑",$Y$2,$Y$3)+COUNTIF(G137,"*莺鸣*")*0.2+COUNTIF(G137,"*叠1*")*0.1+COUNTIF(G137,"*叠2*")*0.2+COUNTIF(G137,"*叠3*")*0.3)+IFERROR(INDEX(技能数据库!$T$2:$W$27,MATCH(E137,技能数据库!$T$2:$T$27,0),2),0)+IF((IF(D137="轻剑",$AO$2,$AO$3)+INT(COUNTIF(G137,"*大莺鸣*")*IF(D137="轻剑",$AM$2,$AM$3)*听晓无双率)/无双系数)&gt;0.9,特效裤子会心/会心系数,0)))</f>
        <v>0.7043</v>
      </c>
      <c r="X137">
        <f ca="1">IF(G137="恒定伤害",0,IF(COUNTIF(F137,"*内会*")&gt;0,内会效2,IF(D137="轻剑",$AB$2,$AB$3))+IFERROR(INDEX(技能数据库!$T$2:$W$27,MATCH(E137,技能数据库!$T$2:$T$27,0),3)/1024,0))+COUNTIF(G137,"*叠1*")*0.25+COUNTIF(G137,"*叠2*")*0.5+COUNTIF(G137,"*叠3*")*0.75</f>
        <v>2.1712723116</v>
      </c>
      <c r="Y137">
        <f ca="1" t="shared" si="369"/>
        <v>1.82492708905988</v>
      </c>
      <c r="Z137">
        <f t="shared" si="374"/>
        <v>0.150390625</v>
      </c>
      <c r="AA137">
        <f ca="1" t="shared" si="370"/>
        <v>0.0205078125</v>
      </c>
      <c r="AB137">
        <f ca="1" t="shared" si="371"/>
        <v>4264922.42564158</v>
      </c>
      <c r="AC137">
        <f ca="1">技能数计算!$AJ129</f>
        <v>0</v>
      </c>
      <c r="AD137" s="164">
        <f ca="1" t="shared" si="375"/>
        <v>0</v>
      </c>
      <c r="AE137" s="168"/>
      <c r="AF137" s="168">
        <f ca="1" t="shared" si="116"/>
        <v>0.7057</v>
      </c>
      <c r="AG137">
        <f ca="1">技能数计算!$AJ129</f>
        <v>0</v>
      </c>
      <c r="AH137">
        <f ca="1" t="shared" si="117"/>
        <v>96007</v>
      </c>
      <c r="AJ137">
        <f ca="1" t="shared" si="118"/>
        <v>2.3704910616</v>
      </c>
      <c r="AK137">
        <f ca="1" t="shared" si="376"/>
        <v>718468.98125</v>
      </c>
      <c r="AL137">
        <f ca="1" t="shared" si="310"/>
        <v>4791850.94761668</v>
      </c>
      <c r="AM137" s="169">
        <f ca="1" t="shared" si="121"/>
        <v>0.7272</v>
      </c>
      <c r="AN137">
        <f ca="1">技能数计算!$AJ129</f>
        <v>0</v>
      </c>
      <c r="AO137" s="170">
        <f ca="1" t="shared" si="311"/>
        <v>4863626.95015234</v>
      </c>
      <c r="AP137">
        <f ca="1" t="shared" si="123"/>
        <v>97084</v>
      </c>
      <c r="AQ137" s="170">
        <f ca="1" t="shared" si="377"/>
        <v>725605.025</v>
      </c>
      <c r="AR137">
        <f ca="1" t="shared" si="312"/>
        <v>4751629.23552105</v>
      </c>
      <c r="AS137">
        <f ca="1" t="shared" si="126"/>
        <v>0.7843</v>
      </c>
      <c r="AT137">
        <f ca="1">技能数计算!$AJ129</f>
        <v>0</v>
      </c>
      <c r="AU137">
        <f ca="1" t="shared" si="127"/>
        <v>2.3177566866</v>
      </c>
      <c r="AV137">
        <f ca="1" t="shared" si="313"/>
        <v>1.7995442148</v>
      </c>
      <c r="AW137">
        <f ca="1" t="shared" si="155"/>
        <v>4785792.26518477</v>
      </c>
      <c r="AX137">
        <f ca="1" t="shared" si="129"/>
        <v>0.7743</v>
      </c>
      <c r="AY137">
        <f ca="1">技能数计算!$AJ129</f>
        <v>0</v>
      </c>
      <c r="AZ137" s="170">
        <f ca="1" t="shared" si="156"/>
        <v>4754779.43817695</v>
      </c>
      <c r="BA137">
        <f ca="1" t="shared" si="130"/>
        <v>0.7643</v>
      </c>
      <c r="BB137">
        <f ca="1">技能数计算!$AJ129</f>
        <v>0</v>
      </c>
      <c r="BC137" s="170">
        <f ca="1" t="shared" si="157"/>
        <v>4723766.61116912</v>
      </c>
      <c r="BE137">
        <f ca="1" t="shared" si="131"/>
        <v>91977</v>
      </c>
      <c r="BF137">
        <f ca="1" t="shared" si="378"/>
        <v>689504.91875</v>
      </c>
      <c r="BI137">
        <f ca="1" t="shared" si="133"/>
        <v>0.7543</v>
      </c>
      <c r="BJ137">
        <f ca="1">技能数计算!$AJ129</f>
        <v>0</v>
      </c>
      <c r="BK137">
        <f ca="1" t="shared" si="314"/>
        <v>4698107.62432849</v>
      </c>
      <c r="BM137">
        <f ca="1" t="shared" si="135"/>
        <v>95358</v>
      </c>
      <c r="BN137">
        <f ca="1" t="shared" si="379"/>
        <v>713404.3625</v>
      </c>
      <c r="BO137">
        <f ca="1" t="shared" si="315"/>
        <v>4765801.58631345</v>
      </c>
      <c r="BP137">
        <f ca="1" t="shared" si="316"/>
        <v>4544870.13690263</v>
      </c>
      <c r="BR137">
        <f ca="1" t="shared" si="139"/>
        <v>0.7543</v>
      </c>
      <c r="BS137">
        <f ca="1" t="shared" si="317"/>
        <v>4723674.36847112</v>
      </c>
      <c r="BT137">
        <f ca="1" t="shared" si="380"/>
        <v>0.318170800459405</v>
      </c>
      <c r="BU137">
        <f ca="1" t="shared" si="142"/>
        <v>2.3177566866</v>
      </c>
      <c r="BV137">
        <f ca="1" t="shared" si="158"/>
        <v>4739334.75884271</v>
      </c>
      <c r="BW137">
        <f ca="1" t="shared" si="143"/>
        <v>99155</v>
      </c>
      <c r="BX137">
        <f ca="1" t="shared" si="381"/>
        <v>740244.40625</v>
      </c>
      <c r="BY137">
        <f ca="1" t="shared" si="145"/>
        <v>0.7343</v>
      </c>
      <c r="BZ137">
        <f ca="1">技能数计算!$AJ129</f>
        <v>0</v>
      </c>
      <c r="CA137">
        <f ca="1" t="shared" si="146"/>
        <v>2.3216629366</v>
      </c>
      <c r="CB137">
        <f ca="1" t="shared" si="159"/>
        <v>4944109.57756867</v>
      </c>
      <c r="CC137">
        <f ca="1" t="shared" si="147"/>
        <v>100975</v>
      </c>
      <c r="CD137">
        <f ca="1" t="shared" si="382"/>
        <v>753109.53125</v>
      </c>
      <c r="CE137">
        <f ca="1" t="shared" si="318"/>
        <v>4890198.91601725</v>
      </c>
      <c r="CF137">
        <f ca="1" t="shared" si="150"/>
        <v>2.2689285616</v>
      </c>
      <c r="CG137">
        <f ca="1" t="shared" si="151"/>
        <v>0.7343</v>
      </c>
      <c r="CH137">
        <f ca="1" t="shared" si="160"/>
        <v>4546346.15166878</v>
      </c>
      <c r="CJ137">
        <f ca="1" t="shared" si="383"/>
        <v>713404.3625</v>
      </c>
      <c r="CK137">
        <f ca="1" t="shared" si="319"/>
        <v>4744212.76487138</v>
      </c>
      <c r="CL137">
        <f ca="1" t="shared" si="384"/>
        <v>2.2915848116</v>
      </c>
      <c r="CM137">
        <f ca="1">IF(G137="恒定伤害",0,(IF(D137="轻剑",$CM$8,$CM$9)+IFERROR(INDEX(技能数据库!$T$2:$W$27,MATCH(E137,技能数据库!$T$2:$T$27,0),4),0)+COUNTIF(G137,"*造化2*")*154+COUNTIF(G137,"*造化1*")*102+COUNTIF(G137,"*碧归*")*307)/1024)</f>
        <v>0.397571271929785</v>
      </c>
      <c r="CN137">
        <f ca="1" t="shared" si="162"/>
        <v>4793152.78703006</v>
      </c>
      <c r="CO137">
        <f ca="1" t="shared" si="385"/>
        <v>2.3156473116</v>
      </c>
      <c r="CP137">
        <f ca="1" t="shared" si="164"/>
        <v>4836619.32351113</v>
      </c>
      <c r="CQ137">
        <f ca="1" t="shared" si="320"/>
        <v>1.8815754648</v>
      </c>
      <c r="CR137">
        <f ca="1">IF(G137="恒定伤害",0,(IF(D137="轻剑",$CR$8,$CR$9)+IFERROR(INDEX(技能数据库!$T$2:$W$27,MATCH(E137,技能数据库!$T$2:$T$27,0),4),0)+COUNTIF(G137,"*造化2*")*154+COUNTIF(G137,"*造化1*")*102+COUNTIF(G137,"*碧归*")*307)/1024)</f>
        <v>0.387805646929785</v>
      </c>
      <c r="CS137">
        <f ca="1" t="shared" si="386"/>
        <v>4588636.24178595</v>
      </c>
    </row>
    <row r="138" spans="4:97">
      <c r="D138" t="s">
        <v>1825</v>
      </c>
      <c r="E138" t="s">
        <v>2780</v>
      </c>
      <c r="G138" t="s">
        <v>3046</v>
      </c>
      <c r="H138">
        <f ca="1">INDEX(技能数据库!$B$2:$I$100,MATCH(阵眼收益计算!$E138,技能数据库!$B$2:$B$100,0),MATCH(H$9,技能数据库!$B$2:$I$2,0))</f>
        <v>252.5</v>
      </c>
      <c r="I138">
        <f ca="1">INDEX(技能数据库!$B$2:$I$100,MATCH(阵眼收益计算!$E138,技能数据库!$B$2:$B$100,0),MATCH(I$9,技能数据库!$B$2:$I$2,0))</f>
        <v>2.11875</v>
      </c>
      <c r="J138">
        <f ca="1">INDEX(技能数据库!$B$2:$I$100,MATCH(阵眼收益计算!$E138,技能数据库!$B$2:$B$100,0),MATCH(J$9,技能数据库!$B$2:$I$2,0))</f>
        <v>2</v>
      </c>
      <c r="K138">
        <f ca="1">INDEX(技能数据库!$B$2:$I$100,MATCH(阵眼收益计算!$E138,技能数据库!$B$2:$B$100,0),MATCH(K$9,技能数据库!$B$2:$I$2,0))</f>
        <v>0</v>
      </c>
      <c r="L138">
        <f ca="1" t="shared" ref="L138:L201" si="387">IF(D138="轻剑",$V$2,$V$3)+INT(残雪*(COUNTIF(G138,"*莺鸣*")+COUNTIF(G138,"*叠1*")+COUNTIF(G138,"*叠2*")*2+COUNTIF(G138,"*叠3*")*3)*IF(D138="轻剑",$U$2,$U$3)*154/1024+COUNTIF(G138,"*雾锁*")*205/1024*IF(D138="轻剑",$U$2,$U$3))</f>
        <v>91975</v>
      </c>
      <c r="M138">
        <f ca="1" t="shared" si="365"/>
        <v>19530.5</v>
      </c>
      <c r="N138">
        <f ca="1" t="shared" si="366"/>
        <v>92028</v>
      </c>
      <c r="O138">
        <f ca="1" t="shared" si="372"/>
        <v>234185.53125</v>
      </c>
      <c r="P138">
        <f ca="1">IF(G138="恒定伤害",0,(IF(D138="轻剑",$AZ$2,$AZ$3)+IFERROR(INDEX(技能数据库!$T$2:$W$27,MATCH(E138,技能数据库!$T$2:$T$27,0),4),0)+COUNTIF(G138,"*造化2*")*154+COUNTIF(G138,"*造化1*")*102+COUNTIF(G138,"*碧归*")*307)/1024)</f>
        <v>0.337024396929785</v>
      </c>
      <c r="Q138">
        <f ca="1" t="shared" si="308"/>
        <v>0.448284482196154</v>
      </c>
      <c r="R138">
        <f ca="1" t="shared" si="373"/>
        <v>0.32958230397716</v>
      </c>
      <c r="S138">
        <f ca="1" t="shared" si="367"/>
        <v>304017.608245119</v>
      </c>
      <c r="T138">
        <f t="shared" si="178"/>
        <v>0.8</v>
      </c>
      <c r="U138">
        <f ca="1" t="shared" si="309"/>
        <v>1.7800129648</v>
      </c>
      <c r="V138">
        <f ca="1" t="shared" si="368"/>
        <v>676138.313959134</v>
      </c>
      <c r="W138">
        <f ca="1">IF(G138="恒定伤害",0,MIN(1,IF(COUNTIF(F138,"*内会*")&gt;0,内会2,IF(D138="轻剑",$Y$2,$Y$3)+COUNTIF(G138,"*莺鸣*")*0.2+COUNTIF(G138,"*叠1*")*0.1+COUNTIF(G138,"*叠2*")*0.2+COUNTIF(G138,"*叠3*")*0.3)+IFERROR(INDEX(技能数据库!$T$2:$W$27,MATCH(E138,技能数据库!$T$2:$T$27,0),2),0)+IF((IF(D138="轻剑",$AO$2,$AO$3)+INT(COUNTIF(G138,"*大莺鸣*")*IF(D138="轻剑",$AM$2,$AM$3)*听晓无双率)/无双系数)&gt;0.9,特效裤子会心/会心系数,0)))</f>
        <v>0.7043</v>
      </c>
      <c r="X138">
        <f ca="1">IF(G138="恒定伤害",0,IF(COUNTIF(F138,"*内会*")&gt;0,内会效2,IF(D138="轻剑",$AB$2,$AB$3))+IFERROR(INDEX(技能数据库!$T$2:$W$27,MATCH(E138,技能数据库!$T$2:$T$27,0),3)/1024,0))+COUNTIF(G138,"*叠1*")*0.25+COUNTIF(G138,"*叠2*")*0.5+COUNTIF(G138,"*叠3*")*0.75</f>
        <v>2.1712723116</v>
      </c>
      <c r="Y138">
        <f ca="1" t="shared" si="369"/>
        <v>1.82492708905988</v>
      </c>
      <c r="Z138">
        <f t="shared" si="374"/>
        <v>0.150390625</v>
      </c>
      <c r="AA138">
        <f ca="1" t="shared" si="370"/>
        <v>0.0205078125</v>
      </c>
      <c r="AB138">
        <f ca="1" t="shared" si="371"/>
        <v>1448580.82392079</v>
      </c>
      <c r="AC138">
        <f ca="1">技能数计算!$AJ130</f>
        <v>0</v>
      </c>
      <c r="AD138" s="164">
        <f ca="1" t="shared" si="375"/>
        <v>0</v>
      </c>
      <c r="AE138" s="168"/>
      <c r="AF138" s="168">
        <f ca="1" t="shared" ref="AF138:AF140" si="388">W138+IF(COUNTIF(F138,"*内会*")&gt;0,0,IF(D138="轻剑",$AF$8-$Y$2,$AF$9-$Y$3))</f>
        <v>0.7057</v>
      </c>
      <c r="AG138">
        <f ca="1">技能数计算!$AJ130</f>
        <v>0</v>
      </c>
      <c r="AH138">
        <f ca="1" t="shared" ref="AH138:AH201" si="389">IF(D138="轻剑",$AH$8,$AH$9)+INT(残雪*(COUNTIF(G138,"*莺鸣*")+COUNTIF(G138,"*叠1*")+COUNTIF(G138,"*叠2*")*2+COUNTIF(G138,"*叠3*")*3)*IF(D138="轻剑",$U$2,$U$3)*154/1024+COUNTIF(G138,"*雾锁*")*205/1024*IF(D138="轻剑",$U$2,$U$3))</f>
        <v>96007</v>
      </c>
      <c r="AJ138">
        <f ca="1" t="shared" ref="AJ138:AJ140" si="390">X138+IF(COUNTIF(F138,"*内会*")&gt;0,0,IF(D138="轻剑",$AJ$8-$AB$2,$AJ$9-$AB$3))</f>
        <v>2.3704910616</v>
      </c>
      <c r="AK138">
        <f ca="1" t="shared" si="376"/>
        <v>243205.33125</v>
      </c>
      <c r="AL138">
        <f ca="1" t="shared" ref="AL138:AL169" si="391">IF(COUNTIF(G138,"*恒定伤害*")&gt;0,AB138,((AK138*(1+P138)*(1+IF(COUNTIF(F138,"*内破*")&gt;0,内破,IF(D138="轻剑",$AI$8,$AI$9)/破防系数)+IF((IF(D138="轻剑",$AO$2,$AO$3)+INT(COUNTIF(G138,"*大莺鸣*")*IF(D138="轻剑",$AM$2,$AM$3)*听晓无双率)/无双系数)&gt;0.9,(特效裤子破防+特效裤子破防*IF(D138="轻剑",$AD$2,$AD$3)/1024)/破防系数,0))*(1-R138))*T138*(1+U138))*(1+Z138)*(1+AA138)*(1+MIN(1,AF138)*(MIN(3+COUNTIF(G138,"*叠*")*0.75,AJ138)-1)))</f>
        <v>1622065.43000389</v>
      </c>
      <c r="AM138" s="169">
        <f ca="1" t="shared" ref="AM138:AM140" si="392">W138+IF(COUNTIF(F138,"*内会*")&gt;0,0,IF(D138="轻剑",$AN$8-$Y$2,$AN$9-$Y$3))</f>
        <v>0.7272</v>
      </c>
      <c r="AN138">
        <f ca="1">技能数计算!$AJ130</f>
        <v>0</v>
      </c>
      <c r="AO138" s="170">
        <f ca="1" t="shared" ref="AO138:AO169" si="393">IF(COUNTIF(G138,"*恒定伤害*")&gt;0,AB138,((AK138*(1+P138)*(1+IF(COUNTIF(F138,"*内破*")&gt;0,内破,IF(D138="轻剑",$AI$8,$AI$9)/破防系数)+IF((IF(D138="轻剑",$AO$2,$AO$3)+INT(COUNTIF(G138,"*大莺鸣*")*IF(D138="轻剑",$AM$2,$AM$3)*听晓无双率)/无双系数)&gt;0.9,(特效裤子破防+特效裤子破防*IF(D138="轻剑",$AD$2,$AD$3)/1024)/破防系数,0))*(1-R138))*T138*(1+U138))*(1+Z138)*(1+AA138)*(1+MIN(1,AM138)*(MIN(3+COUNTIF(G138,"*叠*")*0.75,AJ138)-1)))</f>
        <v>1646361.96461853</v>
      </c>
      <c r="AP138">
        <f ca="1" t="shared" ref="AP138:AP201" si="394">IF(D138="轻剑",$AP$8,$AP$9)+INT(残雪*(COUNTIF(G138,"*莺鸣*")+COUNTIF(G138,"*叠1*")+COUNTIF(G138,"*叠2*")*2+COUNTIF(G138,"*叠3*")*3)*IF(D138="轻剑",$U$2,$U$3)*154/1024+COUNTIF(G138,"*雾锁*")*205/1024*IF(D138="轻剑",$U$2,$U$3))</f>
        <v>97084</v>
      </c>
      <c r="AQ138" s="170">
        <f ca="1" t="shared" si="377"/>
        <v>245010.225</v>
      </c>
      <c r="AR138">
        <f ca="1" t="shared" ref="AR138:AR143" si="395">IF(COUNTIF(G138,"*恒定伤害*")&gt;0,AB138,((AQ138*(1+P138)*(1+IF(COUNTIF(F138,"*内破*")&gt;0,内破,IF(D138="轻剑",$AQ$8,$AQ$9)/破防系数)+IF((IF(D138="轻剑",$AO$2,$AO$3)+INT(COUNTIF(G138,"*大莺鸣*")*IF(D138="轻剑",$AM$2,$AM$3)*听晓无双率)/无双系数)&gt;0.9,(特效裤子破防+特效裤子破防*IF(D138="轻剑",$AD$2+200,$AD$3+200)/1024)/破防系数,0))*(1-R138))*T138*(1+U138))*Y138*(1+Z138)*(1+AA138))</f>
        <v>1604451.05532668</v>
      </c>
      <c r="AS138">
        <f ca="1" t="shared" ref="AS138:AS140" si="396">W138+IF(COUNTIF(F138,"*内会*")&gt;0,0,IF(D138="轻剑",$AS$8-$Y$2,$AS$9-$Y$3))</f>
        <v>0.7843</v>
      </c>
      <c r="AT138">
        <f ca="1">技能数计算!$AJ130</f>
        <v>0</v>
      </c>
      <c r="AU138">
        <f ca="1" t="shared" ref="AU138:AU140" si="397">X138+IF(COUNTIF(F138,"*内会*")&gt;0,0,IF(D138="轻剑",$AU$8-$AB$2,$AU$9-$AB$3))</f>
        <v>2.3177566866</v>
      </c>
      <c r="AV138">
        <f ca="1" t="shared" si="313"/>
        <v>1.7995442148</v>
      </c>
      <c r="AW138">
        <f ca="1" t="shared" si="155"/>
        <v>1625494.25540189</v>
      </c>
      <c r="AX138">
        <f ca="1" t="shared" ref="AX138:AX140" si="398">$W138+IF(COUNTIF(F138,"*内会*")&gt;0,0,IF(I138="轻剑",AX$8-$Y$2,AX$9-$Y$3))</f>
        <v>0.7743</v>
      </c>
      <c r="AY138">
        <f ca="1">技能数计算!$AJ130</f>
        <v>0</v>
      </c>
      <c r="AZ138" s="170">
        <f ca="1" t="shared" si="156"/>
        <v>1614960.74927549</v>
      </c>
      <c r="BA138">
        <f ca="1" t="shared" ref="BA138:BA140" si="399">$W138+IF(COUNTIF(F138,"*内会*")&gt;0,0,IF(L138="轻剑",BA$8-$Y$2,BA$9-$Y$3))</f>
        <v>0.7643</v>
      </c>
      <c r="BB138">
        <f ca="1">技能数计算!$AJ130</f>
        <v>0</v>
      </c>
      <c r="BC138" s="170">
        <f ca="1" t="shared" si="157"/>
        <v>1604427.24314909</v>
      </c>
      <c r="BE138">
        <f ca="1" t="shared" ref="BE138:BE201" si="400">IF(D138="轻剑",$BF$8,$BF$9)+INT(残雪*(COUNTIF(G138,"*莺鸣*")+COUNTIF(G138,"*叠1*")+COUNTIF(G138,"*叠2*")*2+COUNTIF(G138,"*叠3*")*3)*IF(D138="轻剑",$BE$8,$BE$9)*154/1024+COUNTIF(G138,"*雾锁*")*205/1024*IF(D138="轻剑",$BE$8,$BE$9))</f>
        <v>91977</v>
      </c>
      <c r="BF138">
        <f ca="1" t="shared" si="378"/>
        <v>234189.76875</v>
      </c>
      <c r="BI138">
        <f ca="1" t="shared" ref="BI138:BI140" si="401">$W138+IF(COUNTIF(F138,"*内会*")&gt;0,0,IF(T138="轻剑",BI$8-$Y$2,BI$9-$Y$3))</f>
        <v>0.7543</v>
      </c>
      <c r="BJ138">
        <f ca="1">技能数计算!$AJ130</f>
        <v>0</v>
      </c>
      <c r="BK138">
        <f ca="1" t="shared" ref="BK138:BK169" si="402">IF(COUNTIF(G138,"*恒定伤害*")&gt;0,AB138,((BF138*(1+P138)*(1+IF(COUNTIF(F138,"*内破*")&gt;0,内破,IF(D138="轻剑",$BH$8,$BH$9)/破防系数)+IF((IF(D138="轻剑",$AO$2,$AO$3)+INT(COUNTIF(G138,"*大莺鸣*")*IF(D138="轻剑",$AM$2,$AM$3)*听晓无双率)/无双系数)&gt;0.9,(特效裤子破防+特效裤子破防*IF(D138="轻剑",$AD$2+204,$AD$3+204)/1024)/破防系数,0))*(1-R138))*T138*(1+AV138))*(1+MIN(1,BI138)*(MIN(3+COUNTIF(G138,"*叠*")*0.75,X138)-1))*(1+Z138)*(1+AA138))</f>
        <v>1595708.32373283</v>
      </c>
      <c r="BM138">
        <f ca="1" t="shared" ref="BM138:BM201" si="403">IF(D138="轻剑",$BN$8,$BN$9)+INT(残雪*(COUNTIF(G138,"*莺鸣*")+COUNTIF(G138,"*叠1*")+COUNTIF(G138,"*叠2*")*2+COUNTIF(G138,"*叠3*")*3)*IF(D138="轻剑",$U$2,$U$3)*154/1024+COUNTIF(G138,"*雾锁*")*205/1024*IF(D138="轻剑",$U$2,$U$3))</f>
        <v>95358</v>
      </c>
      <c r="BN138">
        <f ca="1" t="shared" si="379"/>
        <v>241353.2625</v>
      </c>
      <c r="BO138">
        <f ca="1" t="shared" ref="BO138:BO143" si="404">IF(COUNTIF(G138,"*恒定伤害*")&gt;0,AB138,((BN138*(1+P138)*(1+IF(COUNTIF(F138,"*内破*")&gt;0,内破,IF(D138="轻剑",$BM$8,$BM$9)/破防系数)+IF((IF(D138="轻剑",$AO$2,$AO$3)+INT(COUNTIF(G138,"*大莺鸣*")*IF(D138="轻剑",$AM$2,$AM$3)*听晓无双率)/无双系数)&gt;0.9,(特效裤子破防+特效裤子破防*IF(D138="轻剑",$AD$2+102,$AD$3+102)/1024)/破防系数,0))*(1-R138))*T138*(1+U138))*Y138*(1+Z138)*(1+AA138))</f>
        <v>1612327.90510785</v>
      </c>
      <c r="BP138">
        <f ca="1" t="shared" si="316"/>
        <v>1537584.14279429</v>
      </c>
      <c r="BR138">
        <f ca="1" t="shared" ref="BR138:BR140" si="405">$W138+IF(T138="轻剑",BI$8-$Y$2,BI$9-$Y$3)</f>
        <v>0.7543</v>
      </c>
      <c r="BS138">
        <f ca="1" t="shared" ref="BS138:BS169" si="406">IF(COUNTIF(G138,"*恒定伤害*")&gt;0,AB138,((BN138*(1+P138)*(1+IF(COUNTIF(F138,"*内破*")&gt;0,内破,IF(D138="轻剑",$BQ$8,$BQ$9)/破防系数)+IF((IF(D138="轻剑",$AO$2,$AO$3)+INT(COUNTIF(G138,"*大莺鸣*")*IF(D138="轻剑",$AM$2,$AM$3)*听晓无双率)/无双系数)&gt;0.9,(特效裤子破防+特效裤子破防*IF(D138="轻剑",$AD$2+102,$AD$3+102)/1024)/破防系数,0))*(1-R138))*T138*(1+AV138))*(1+MIN(1,BR138)*(MIN(3+COUNTIF(G138,"*叠*")*0.75,X138)-1))*(1+Z138)*(1+AA138))</f>
        <v>1598075.76144186</v>
      </c>
      <c r="BT138">
        <f ca="1" t="shared" si="380"/>
        <v>0.318170800459405</v>
      </c>
      <c r="BU138">
        <f ca="1" t="shared" ref="BU138:BU140" si="407">X138+IF(D138="轻剑",$AU$8-$AB$2,$AU$9-$AB$3)</f>
        <v>2.3177566866</v>
      </c>
      <c r="BV138">
        <f ca="1" t="shared" si="158"/>
        <v>1609714.9642219</v>
      </c>
      <c r="BW138">
        <f ca="1" t="shared" ref="BW138:BW201" si="408">IF(D138="轻剑",$BW$8,$BW$9)+INT(残雪*(COUNTIF(G138,"*莺鸣*")+COUNTIF(G138,"*叠1*")+COUNTIF(G138,"*叠2*")*2+COUNTIF(G138,"*叠3*")*3)*IF(D138="轻剑",$U$2,$U$3)*154/1024+COUNTIF(G138,"*雾锁*")*205/1024*IF(D138="轻剑",$U$2,$U$3))</f>
        <v>99155</v>
      </c>
      <c r="BX138">
        <f ca="1" t="shared" si="381"/>
        <v>249398.15625</v>
      </c>
      <c r="BY138">
        <f ca="1" t="shared" ref="BY138:BY140" si="409">$W138+IF(COUNTIF(F138,"*内会*")&gt;0,0,IF(AI138="轻剑",BY$8-$Y$2,BY$9-$Y$3))</f>
        <v>0.7343</v>
      </c>
      <c r="BZ138">
        <f ca="1">技能数计算!$AJ130</f>
        <v>0</v>
      </c>
      <c r="CA138">
        <f ca="1" t="shared" ref="CA138:CA140" si="410">X138+IF(COUNTIF(F138,"*内会*")&gt;0,0,IF(D138="轻剑",$CA$8-$AB$2,$CA$9-$AB$3))</f>
        <v>2.3216629366</v>
      </c>
      <c r="CB138">
        <f ca="1" t="shared" si="159"/>
        <v>1665736.07653464</v>
      </c>
      <c r="CC138">
        <f ca="1" t="shared" ref="CC138:CC201" si="411">IF(D138="轻剑",$CC$8,$CC$9)+INT(残雪*(COUNTIF(G138,"*莺鸣*")+COUNTIF(G138,"*叠1*")+COUNTIF(G138,"*叠2*")*2+COUNTIF(G138,"*叠3*")*3)*IF(D138="轻剑",$U$2,$U$3)*154/1024+COUNTIF(G138,"*雾锁*")*205/1024*IF(D138="轻剑",$U$2,$U$3))</f>
        <v>100975</v>
      </c>
      <c r="CD138">
        <f ca="1" t="shared" si="382"/>
        <v>253254.28125</v>
      </c>
      <c r="CE138">
        <f ca="1" t="shared" ref="CE138:CE169" si="412">IF(COUNTIF(G138,"*恒定伤害*")&gt;0,AB138,((CD138*(1+P138)*(1+IF(COUNTIF(F138,"*内破*")&gt;0,内破,IF(D138="轻剑",$BQ$8,$BQ$9)/破防系数)+IF((IF(D138="轻剑",$AO$2,$AO$3)+INT(COUNTIF(G138,"*大莺鸣*")*IF(D138="轻剑",$AM$2,$AM$3)*听晓无双率)/无双系数)&gt;0.9,(特效裤子破防+特效裤子破防*IF(D138="轻剑",$AD$2+102,$AD$3+102)/1024)/破防系数,0))*(1-R138))*T138*(1+U138))*(1+MIN(1,BY138)*(MIN(3+COUNTIF(G138,"*叠*")*0.75,X138)-1))*(1+Z138)*(1+AA138))</f>
        <v>1644467.05327164</v>
      </c>
      <c r="CF138">
        <f ca="1" t="shared" ref="CF138:CF140" si="413">X138+IF(COUNTIF(F138,"*内会*")&gt;0,0,IF(D138="轻剑",$CF$8-$AB$2,$CF$9-$AB$3))</f>
        <v>2.2689285616</v>
      </c>
      <c r="CG138">
        <f ca="1" t="shared" ref="CG138:CG140" si="414">$W138+IF(AI138="轻剑",BY$8-$Y$2,BY$9-$Y$3)</f>
        <v>0.7343</v>
      </c>
      <c r="CH138">
        <f ca="1" t="shared" si="160"/>
        <v>1544166.38732245</v>
      </c>
      <c r="CJ138">
        <f ca="1" t="shared" si="383"/>
        <v>241353.2625</v>
      </c>
      <c r="CK138">
        <f ca="1" t="shared" ref="CK138:CK143" si="415">IF(COUNTIF(G138,"*恒定伤害*")&gt;0,AB138,((CJ138*(1+P138)*(1+IF(COUNTIF(F138,"*内破*")&gt;0,内破,IF(D138="轻剑",$CI$8,$CI$9)/破防系数)+IF((IF(D138="轻剑",$AO$2,$AO$3)+INT(COUNTIF(G138,"*大莺鸣*")*IF(D138="轻剑",$AM$2,$AM$3)*听晓无双率)/无双系数)&gt;0.9,(特效裤子破防+特效裤子破防*IF(D138="轻剑",$AD$2+256,$AD$3+256)/1024)/破防系数,0))*(1-R138))*T138*(1+U138))*Y138*(1+Z138)*(1+AA138))</f>
        <v>1605024.1475722</v>
      </c>
      <c r="CL138">
        <f ca="1" t="shared" si="384"/>
        <v>2.2915848116</v>
      </c>
      <c r="CM138">
        <f ca="1">IF(G138="恒定伤害",0,(IF(D138="轻剑",$CM$8,$CM$9)+IFERROR(INDEX(技能数据库!$T$2:$W$27,MATCH(E138,技能数据库!$T$2:$T$27,0),4),0)+COUNTIF(G138,"*造化2*")*154+COUNTIF(G138,"*造化1*")*102+COUNTIF(G138,"*碧归*")*307)/1024)</f>
        <v>0.397571271929785</v>
      </c>
      <c r="CN138">
        <f ca="1" t="shared" si="162"/>
        <v>1627994.25651212</v>
      </c>
      <c r="CO138">
        <f ca="1" t="shared" si="385"/>
        <v>2.3156473116</v>
      </c>
      <c r="CP138">
        <f ca="1" t="shared" si="164"/>
        <v>1642757.66483349</v>
      </c>
      <c r="CQ138">
        <f ca="1" t="shared" si="320"/>
        <v>1.8815754648</v>
      </c>
      <c r="CR138">
        <f ca="1">IF(G138="恒定伤害",0,(IF(D138="轻剑",$CR$8,$CR$9)+IFERROR(INDEX(技能数据库!$T$2:$W$27,MATCH(E138,技能数据库!$T$2:$T$27,0),4),0)+COUNTIF(G138,"*造化2*")*154+COUNTIF(G138,"*造化1*")*102+COUNTIF(G138,"*碧归*")*307)/1024)</f>
        <v>0.387805646929785</v>
      </c>
      <c r="CS138">
        <f ca="1" t="shared" si="386"/>
        <v>1558530.21565783</v>
      </c>
    </row>
    <row r="139" spans="4:97">
      <c r="D139" t="s">
        <v>1825</v>
      </c>
      <c r="E139" s="161" t="s">
        <v>2783</v>
      </c>
      <c r="H139">
        <f ca="1">INDEX(技能数据库!$B$2:$I$100,MATCH(阵眼收益计算!$E139,技能数据库!$B$2:$B$100,0),MATCH(H$9,技能数据库!$B$2:$I$2,0))</f>
        <v>0</v>
      </c>
      <c r="I139">
        <f ca="1">INDEX(技能数据库!$B$2:$I$100,MATCH(阵眼收益计算!$E139,技能数据库!$B$2:$B$100,0),MATCH(I$9,技能数据库!$B$2:$I$2,0))</f>
        <v>0</v>
      </c>
      <c r="J139">
        <f ca="1">INDEX(技能数据库!$B$2:$I$100,MATCH(阵眼收益计算!$E139,技能数据库!$B$2:$B$100,0),MATCH(J$9,技能数据库!$B$2:$I$2,0))</f>
        <v>0</v>
      </c>
      <c r="K139">
        <f ca="1">INDEX(技能数据库!$B$2:$I$100,MATCH(阵眼收益计算!$E139,技能数据库!$B$2:$B$100,0),MATCH(K$9,技能数据库!$B$2:$I$2,0))</f>
        <v>1.28127956390381</v>
      </c>
      <c r="L139">
        <f ca="1" t="shared" si="387"/>
        <v>91975</v>
      </c>
      <c r="M139">
        <f ca="1" t="shared" si="365"/>
        <v>19530.5</v>
      </c>
      <c r="N139">
        <f ca="1" t="shared" si="366"/>
        <v>92028</v>
      </c>
      <c r="O139">
        <f ca="1" t="shared" si="372"/>
        <v>1006274.62576302</v>
      </c>
      <c r="P139">
        <f ca="1">IF(G139="恒定伤害",0,(IF(D139="轻剑",$AZ$2,$AZ$3)+IFERROR(INDEX(技能数据库!$T$2:$W$27,MATCH(E139,技能数据库!$T$2:$T$27,0),4),0)+COUNTIF(G139,"*造化2*")*154+COUNTIF(G139,"*造化1*")*102+COUNTIF(G139,"*碧归*")*307)/1024)</f>
        <v>0.116321271929785</v>
      </c>
      <c r="Q139">
        <f ca="1" t="shared" si="308"/>
        <v>0.448284482196154</v>
      </c>
      <c r="R139">
        <f ca="1" t="shared" si="373"/>
        <v>0.32958230397716</v>
      </c>
      <c r="S139">
        <f ca="1" t="shared" si="367"/>
        <v>1090699.38619199</v>
      </c>
      <c r="T139">
        <f t="shared" si="178"/>
        <v>0.8</v>
      </c>
      <c r="U139">
        <f ca="1" t="shared" si="309"/>
        <v>1.7800129648</v>
      </c>
      <c r="V139">
        <f ca="1" t="shared" si="368"/>
        <v>2425726.74745051</v>
      </c>
      <c r="W139">
        <f ca="1">IF(G139="恒定伤害",0,MIN(1,IF(COUNTIF(F139,"*内会*")&gt;0,内会2,IF(D139="轻剑",$Y$2,$Y$3)+COUNTIF(G139,"*莺鸣*")*0.2+COUNTIF(G139,"*叠1*")*0.1+COUNTIF(G139,"*叠2*")*0.2+COUNTIF(G139,"*叠3*")*0.3)+IFERROR(INDEX(技能数据库!$T$2:$W$27,MATCH(E139,技能数据库!$T$2:$T$27,0),2),0)+IF((IF(D139="轻剑",$AO$2,$AO$3)+INT(COUNTIF(G139,"*大莺鸣*")*IF(D139="轻剑",$AM$2,$AM$3)*听晓无双率)/无双系数)&gt;0.9,特效裤子会心/会心系数,0)))</f>
        <v>0.7043</v>
      </c>
      <c r="X139">
        <f ca="1">IF(G139="恒定伤害",0,IF(COUNTIF(F139,"*内会*")&gt;0,内会效2,IF(D139="轻剑",$AB$2,$AB$3))+IFERROR(INDEX(技能数据库!$T$2:$W$27,MATCH(E139,技能数据库!$T$2:$T$27,0),3)/1024,0))+COUNTIF(G139,"*叠1*")*0.25+COUNTIF(G139,"*叠2*")*0.5+COUNTIF(G139,"*叠3*")*0.75</f>
        <v>2.1712723116</v>
      </c>
      <c r="Y139">
        <f ca="1" t="shared" si="369"/>
        <v>1.82492708905988</v>
      </c>
      <c r="Z139">
        <f t="shared" si="374"/>
        <v>0.150390625</v>
      </c>
      <c r="AA139">
        <f ca="1" t="shared" si="370"/>
        <v>0.0205078125</v>
      </c>
      <c r="AB139">
        <f ca="1" t="shared" si="371"/>
        <v>5196956.27046055</v>
      </c>
      <c r="AC139">
        <f ca="1">技能数计算!$AJ131</f>
        <v>0</v>
      </c>
      <c r="AD139" s="164">
        <f ca="1" t="shared" si="375"/>
        <v>0</v>
      </c>
      <c r="AE139" s="168"/>
      <c r="AF139" s="168">
        <f ca="1" t="shared" si="388"/>
        <v>0.7057</v>
      </c>
      <c r="AG139">
        <f ca="1">技能数计算!$AJ131</f>
        <v>0</v>
      </c>
      <c r="AH139">
        <f ca="1" t="shared" si="389"/>
        <v>96007</v>
      </c>
      <c r="AJ139">
        <f ca="1" t="shared" si="390"/>
        <v>2.3704910616</v>
      </c>
      <c r="AK139">
        <f ca="1" t="shared" si="376"/>
        <v>1006274.62576302</v>
      </c>
      <c r="AL139">
        <f ca="1" t="shared" si="391"/>
        <v>5603529.56820329</v>
      </c>
      <c r="AM139" s="169">
        <f ca="1" t="shared" si="392"/>
        <v>0.7272</v>
      </c>
      <c r="AN139">
        <f ca="1">技能数计算!$AJ131</f>
        <v>0</v>
      </c>
      <c r="AO139" s="170">
        <f ca="1" t="shared" si="393"/>
        <v>5687463.51291333</v>
      </c>
      <c r="AP139">
        <f ca="1" t="shared" si="394"/>
        <v>97084</v>
      </c>
      <c r="AQ139" s="170">
        <f ca="1" t="shared" si="377"/>
        <v>1006274.62576302</v>
      </c>
      <c r="AR139">
        <f ca="1" t="shared" si="395"/>
        <v>5501848.84002165</v>
      </c>
      <c r="AS139">
        <f ca="1" t="shared" si="396"/>
        <v>0.7843</v>
      </c>
      <c r="AT139">
        <f ca="1">技能数计算!$AJ131</f>
        <v>0</v>
      </c>
      <c r="AU139">
        <f ca="1" t="shared" si="397"/>
        <v>2.3177566866</v>
      </c>
      <c r="AV139">
        <f ca="1" t="shared" si="313"/>
        <v>1.7995442148</v>
      </c>
      <c r="AW139">
        <f ca="1" t="shared" ref="AW139:AW187" si="416">IF(COUNTIF(G139,"*恒定伤害*")&gt;0,AB139,((O139*(1+P139)*(1+Q139)*(1-R139))*T139*(1+AV139))*(1+MIN(1,AS139)*(MIN(3+COUNTIF(G139,"*叠*")*0.75,AU139)-1))*(1+Z139)*(1+AA139))</f>
        <v>5831654.28101125</v>
      </c>
      <c r="AX139">
        <f ca="1" t="shared" si="398"/>
        <v>0.7743</v>
      </c>
      <c r="AY139">
        <f ca="1">技能数计算!$AJ131</f>
        <v>0</v>
      </c>
      <c r="AZ139" s="170">
        <f ca="1" t="shared" ref="AZ139:AZ187" si="417">IF(COUNTIF(G139,"*恒定伤害*")&gt;0,AB139,((O139*(1+P139)*(1+Q139)*(1-R139))*T139*(1+AV139))*(1+MIN(1,AX139)*(MIN(3+COUNTIF(G139,"*叠*")*0.75,AU139)-1))*(1+Z139)*(1+AA139))</f>
        <v>5793864.07296104</v>
      </c>
      <c r="BA139">
        <f ca="1" t="shared" si="399"/>
        <v>0.7643</v>
      </c>
      <c r="BB139">
        <f ca="1">技能数计算!$AJ131</f>
        <v>0</v>
      </c>
      <c r="BC139" s="170">
        <f ca="1" t="shared" ref="BC139:BC187" si="418">IF(COUNTIF(G139,"*恒定伤害*")&gt;0,AB139,((O139*(1+P139)*(1+Q139)*(1-R139))*T139*(1+AV139))*(1+MIN(1,BA139)*(MIN(3+COUNTIF(G139,"*叠*")*0.75,AU139)-1))*(1+Z139)*(1+AA139))</f>
        <v>5756073.86491083</v>
      </c>
      <c r="BE139">
        <f ca="1" t="shared" si="400"/>
        <v>91977</v>
      </c>
      <c r="BF139">
        <f ca="1" t="shared" si="378"/>
        <v>1006274.62576302</v>
      </c>
      <c r="BI139">
        <f ca="1" t="shared" si="401"/>
        <v>0.7543</v>
      </c>
      <c r="BJ139">
        <f ca="1">技能数计算!$AJ131</f>
        <v>0</v>
      </c>
      <c r="BK139">
        <f ca="1" t="shared" si="402"/>
        <v>5724690.11671258</v>
      </c>
      <c r="BM139">
        <f ca="1" t="shared" si="403"/>
        <v>95358</v>
      </c>
      <c r="BN139">
        <f ca="1" t="shared" si="379"/>
        <v>1006274.62576302</v>
      </c>
      <c r="BO139">
        <f ca="1" t="shared" si="404"/>
        <v>5612632.24359778</v>
      </c>
      <c r="BP139">
        <f ca="1" t="shared" si="316"/>
        <v>5352443.69941897</v>
      </c>
      <c r="BR139">
        <f ca="1" t="shared" si="405"/>
        <v>0.7543</v>
      </c>
      <c r="BS139">
        <f ca="1" t="shared" si="406"/>
        <v>5563019.48131369</v>
      </c>
      <c r="BT139">
        <f ca="1" t="shared" si="380"/>
        <v>0.318170800459405</v>
      </c>
      <c r="BU139">
        <f ca="1" t="shared" si="407"/>
        <v>2.3177566866</v>
      </c>
      <c r="BV139">
        <f ca="1" t="shared" ref="BV139:BV187" si="419">IF(COUNTIF(G139,"*恒定伤害*")&gt;0,AB139,((O139*(1+P139)*(1+Q139)*(1-BT139))*T139*(1+U139))*(1+MIN(1,BR139)*(MIN(3+COUNTIF(G139,"*叠*")*0.75,BU139)-1))*(1+Z139)*(1+AA139))</f>
        <v>5775044.19416823</v>
      </c>
      <c r="BW139">
        <f ca="1" t="shared" si="408"/>
        <v>99155</v>
      </c>
      <c r="BX139">
        <f ca="1" t="shared" si="381"/>
        <v>1006274.62576302</v>
      </c>
      <c r="BY139">
        <f ca="1" t="shared" si="409"/>
        <v>0.7343</v>
      </c>
      <c r="BZ139">
        <f ca="1">技能数计算!$AJ131</f>
        <v>0</v>
      </c>
      <c r="CA139">
        <f ca="1" t="shared" si="410"/>
        <v>2.3216629366</v>
      </c>
      <c r="CB139">
        <f ca="1" t="shared" ref="CB139:CB187" si="420">IF(COUNTIF(G139,"*恒定伤害*")&gt;0,AB139,((BX139*(1+P139)*(1+Q139)*(1-R139))*T139*(1+U139))*(1+MIN(1,BY139)*(MIN(3+COUNTIF(G139,"*叠*")*0.75,CA139)-1))*(1+Z139)*(1+AA139))</f>
        <v>5611504.86053556</v>
      </c>
      <c r="CC139">
        <f ca="1" t="shared" si="411"/>
        <v>100975</v>
      </c>
      <c r="CD139">
        <f ca="1" t="shared" si="382"/>
        <v>1006274.62576302</v>
      </c>
      <c r="CE139">
        <f ca="1" t="shared" si="412"/>
        <v>5455502.65134275</v>
      </c>
      <c r="CF139">
        <f ca="1" t="shared" si="413"/>
        <v>2.2689285616</v>
      </c>
      <c r="CG139">
        <f ca="1" t="shared" si="414"/>
        <v>0.7343</v>
      </c>
      <c r="CH139">
        <f ca="1" t="shared" ref="CH139:CH187" si="421">IF(COUNTIF(G139,"*恒定伤害*")&gt;0,AB139,((O139*(1+P139)*(1+Q139)*(1-R139))*T139*(1+AV139))*(1+MIN(1,BY139)*(MIN(3+COUNTIF(G139,"*叠*")*0.75,CF139)-1))*(1+Z139)*(1+AA139))</f>
        <v>5539880.86595619</v>
      </c>
      <c r="CJ139">
        <f ca="1" t="shared" si="383"/>
        <v>1035436.77670524</v>
      </c>
      <c r="CK139">
        <f ca="1" t="shared" si="415"/>
        <v>5749126.32765866</v>
      </c>
      <c r="CL139">
        <f ca="1" t="shared" si="384"/>
        <v>2.2915848116</v>
      </c>
      <c r="CM139">
        <f ca="1">IF(G139="恒定伤害",0,(IF(D139="轻剑",$CM$8,$CM$9)+IFERROR(INDEX(技能数据库!$T$2:$W$27,MATCH(E139,技能数据库!$T$2:$T$27,0),4),0)+COUNTIF(G139,"*造化2*")*154+COUNTIF(G139,"*造化1*")*102+COUNTIF(G139,"*碧归*")*307)/1024)</f>
        <v>0.176868146929785</v>
      </c>
      <c r="CN139">
        <f ca="1" t="shared" ref="CN139:CN187" si="422">IF(COUNTIF(G139,"*恒定伤害*")&gt;0,AB139,((O139*(1+CM139)*(1+Q139)*(1-R139))*T139*(1+AV139))*(1+MIN(1,CG139)*(MIN(3+COUNTIF(G139,"*叠*")*0.75,CL139)-1))*(1+Z139)*(1+AA139))</f>
        <v>5890649.38699417</v>
      </c>
      <c r="CO139">
        <f ca="1" t="shared" si="385"/>
        <v>2.3156473116</v>
      </c>
      <c r="CP139">
        <f ca="1" t="shared" ref="CP139:CP187" si="423">IF(COUNTIF(G139,"*恒定伤害*")&gt;0,AB139,((O139*(1+CM139)*(1+Q139)*(1-R139))*T139*(1+AV139))*(1+MIN(1,CG139)*(MIN(3+COUNTIF(G139,"*叠*")*0.75,CO139)-1))*(1+Z139)*(1+AA139))</f>
        <v>5944068.5325657</v>
      </c>
      <c r="CQ139">
        <f ca="1" t="shared" si="320"/>
        <v>1.8815754648</v>
      </c>
      <c r="CR139">
        <f ca="1">IF(G139="恒定伤害",0,(IF(D139="轻剑",$CR$8,$CR$9)+IFERROR(INDEX(技能数据库!$T$2:$W$27,MATCH(E139,技能数据库!$T$2:$T$27,0),4),0)+COUNTIF(G139,"*造化2*")*154+COUNTIF(G139,"*造化1*")*102+COUNTIF(G139,"*碧归*")*307)/1024)</f>
        <v>0.167102521929785</v>
      </c>
      <c r="CS139">
        <f ca="1" t="shared" si="386"/>
        <v>5631862.53646285</v>
      </c>
    </row>
    <row r="140" spans="4:97">
      <c r="D140" t="s">
        <v>1825</v>
      </c>
      <c r="E140" t="s">
        <v>2786</v>
      </c>
      <c r="H140">
        <f ca="1">INDEX(技能数据库!$B$2:$I$100,MATCH(阵眼收益计算!$E140,技能数据库!$B$2:$B$100,0),MATCH(H$9,技能数据库!$B$2:$I$2,0))</f>
        <v>0</v>
      </c>
      <c r="I140">
        <f ca="1">INDEX(技能数据库!$B$2:$I$100,MATCH(阵眼收益计算!$E140,技能数据库!$B$2:$B$100,0),MATCH(I$9,技能数据库!$B$2:$I$2,0))</f>
        <v>0</v>
      </c>
      <c r="J140">
        <f ca="1">INDEX(技能数据库!$B$2:$I$100,MATCH(阵眼收益计算!$E140,技能数据库!$B$2:$B$100,0),MATCH(J$9,技能数据库!$B$2:$I$2,0))</f>
        <v>0</v>
      </c>
      <c r="K140">
        <f ca="1">INDEX(技能数据库!$B$2:$I$100,MATCH(阵眼收益计算!$E140,技能数据库!$B$2:$B$100,0),MATCH(K$9,技能数据库!$B$2:$I$2,0))</f>
        <v>0</v>
      </c>
      <c r="L140">
        <f ca="1" t="shared" si="387"/>
        <v>91975</v>
      </c>
      <c r="M140">
        <f ca="1" t="shared" si="365"/>
        <v>19530.5</v>
      </c>
      <c r="N140">
        <f ca="1" t="shared" si="366"/>
        <v>92028</v>
      </c>
      <c r="O140">
        <f ca="1" t="shared" si="372"/>
        <v>0</v>
      </c>
      <c r="P140">
        <f ca="1">IF(G140="恒定伤害",0,(IF(D140="轻剑",$AZ$2,$AZ$3)+IFERROR(INDEX(技能数据库!$T$2:$W$27,MATCH(E140,技能数据库!$T$2:$T$27,0),4),0)+COUNTIF(G140,"*造化2*")*154+COUNTIF(G140,"*造化1*")*102+COUNTIF(G140,"*碧归*")*307)/1024)</f>
        <v>0.116321271929785</v>
      </c>
      <c r="Q140">
        <f ca="1" t="shared" si="308"/>
        <v>0.448284482196154</v>
      </c>
      <c r="R140">
        <f ca="1" t="shared" si="373"/>
        <v>0.32958230397716</v>
      </c>
      <c r="S140">
        <f ca="1" t="shared" si="367"/>
        <v>0</v>
      </c>
      <c r="T140">
        <f t="shared" si="178"/>
        <v>0.8</v>
      </c>
      <c r="U140">
        <f ca="1" t="shared" si="309"/>
        <v>1.7800129648</v>
      </c>
      <c r="V140">
        <f ca="1" t="shared" si="368"/>
        <v>0</v>
      </c>
      <c r="W140">
        <f ca="1">IF(G140="恒定伤害",0,MIN(1,IF(COUNTIF(F140,"*内会*")&gt;0,内会2,IF(D140="轻剑",$Y$2,$Y$3)+COUNTIF(G140,"*莺鸣*")*0.2+COUNTIF(G140,"*叠1*")*0.1+COUNTIF(G140,"*叠2*")*0.2+COUNTIF(G140,"*叠3*")*0.3)+IFERROR(INDEX(技能数据库!$T$2:$W$27,MATCH(E140,技能数据库!$T$2:$T$27,0),2),0)+IF((IF(D140="轻剑",$AO$2,$AO$3)+INT(COUNTIF(G140,"*大莺鸣*")*IF(D140="轻剑",$AM$2,$AM$3)*听晓无双率)/无双系数)&gt;0.9,特效裤子会心/会心系数,0)))</f>
        <v>0.7043</v>
      </c>
      <c r="X140">
        <f ca="1">IF(G140="恒定伤害",0,IF(COUNTIF(F140,"*内会*")&gt;0,内会效2,IF(D140="轻剑",$AB$2,$AB$3))+IFERROR(INDEX(技能数据库!$T$2:$W$27,MATCH(E140,技能数据库!$T$2:$T$27,0),3)/1024,0))+COUNTIF(G140,"*叠1*")*0.25+COUNTIF(G140,"*叠2*")*0.5+COUNTIF(G140,"*叠3*")*0.75</f>
        <v>2.1712723116</v>
      </c>
      <c r="Y140">
        <f ca="1" t="shared" si="369"/>
        <v>1.82492708905988</v>
      </c>
      <c r="Z140">
        <f t="shared" si="374"/>
        <v>0.150390625</v>
      </c>
      <c r="AA140">
        <f ca="1" t="shared" si="370"/>
        <v>0.0205078125</v>
      </c>
      <c r="AB140">
        <f ca="1" t="shared" si="371"/>
        <v>0</v>
      </c>
      <c r="AC140">
        <f ca="1">技能数计算!$AJ132</f>
        <v>0</v>
      </c>
      <c r="AD140" s="164">
        <f ca="1" t="shared" si="375"/>
        <v>0</v>
      </c>
      <c r="AE140" s="168"/>
      <c r="AF140" s="168">
        <f ca="1" t="shared" si="388"/>
        <v>0.7057</v>
      </c>
      <c r="AG140">
        <f ca="1">技能数计算!$AJ132</f>
        <v>0</v>
      </c>
      <c r="AH140">
        <f ca="1" t="shared" si="389"/>
        <v>96007</v>
      </c>
      <c r="AJ140">
        <f ca="1" t="shared" si="390"/>
        <v>2.3704910616</v>
      </c>
      <c r="AK140">
        <f ca="1" t="shared" si="376"/>
        <v>0</v>
      </c>
      <c r="AL140">
        <f ca="1" t="shared" si="391"/>
        <v>0</v>
      </c>
      <c r="AM140" s="169">
        <f ca="1" t="shared" si="392"/>
        <v>0.7272</v>
      </c>
      <c r="AN140">
        <f ca="1">技能数计算!$AJ132</f>
        <v>0</v>
      </c>
      <c r="AO140" s="170">
        <f ca="1" t="shared" si="393"/>
        <v>0</v>
      </c>
      <c r="AP140">
        <f ca="1" t="shared" si="394"/>
        <v>97084</v>
      </c>
      <c r="AQ140" s="170">
        <f ca="1" t="shared" si="377"/>
        <v>0</v>
      </c>
      <c r="AR140">
        <f ca="1" t="shared" si="395"/>
        <v>0</v>
      </c>
      <c r="AS140">
        <f ca="1" t="shared" si="396"/>
        <v>0.7843</v>
      </c>
      <c r="AT140">
        <f ca="1">技能数计算!$AJ132</f>
        <v>0</v>
      </c>
      <c r="AU140">
        <f ca="1" t="shared" si="397"/>
        <v>2.3177566866</v>
      </c>
      <c r="AV140">
        <f ca="1" t="shared" si="313"/>
        <v>1.7995442148</v>
      </c>
      <c r="AW140">
        <f ca="1" t="shared" si="416"/>
        <v>0</v>
      </c>
      <c r="AX140">
        <f ca="1" t="shared" si="398"/>
        <v>0.7743</v>
      </c>
      <c r="AY140">
        <f ca="1">技能数计算!$AJ132</f>
        <v>0</v>
      </c>
      <c r="AZ140" s="170">
        <f ca="1" t="shared" si="417"/>
        <v>0</v>
      </c>
      <c r="BA140">
        <f ca="1" t="shared" si="399"/>
        <v>0.7643</v>
      </c>
      <c r="BB140">
        <f ca="1">技能数计算!$AJ132</f>
        <v>0</v>
      </c>
      <c r="BC140" s="170">
        <f ca="1" t="shared" si="418"/>
        <v>0</v>
      </c>
      <c r="BE140">
        <f ca="1" t="shared" si="400"/>
        <v>91977</v>
      </c>
      <c r="BF140">
        <f ca="1" t="shared" si="378"/>
        <v>0</v>
      </c>
      <c r="BI140">
        <f ca="1" t="shared" si="401"/>
        <v>0.7543</v>
      </c>
      <c r="BJ140">
        <f ca="1">技能数计算!$AJ132</f>
        <v>0</v>
      </c>
      <c r="BK140">
        <f ca="1" t="shared" si="402"/>
        <v>0</v>
      </c>
      <c r="BM140">
        <f ca="1" t="shared" si="403"/>
        <v>95358</v>
      </c>
      <c r="BN140">
        <f ca="1" t="shared" si="379"/>
        <v>0</v>
      </c>
      <c r="BO140">
        <f ca="1" t="shared" si="404"/>
        <v>0</v>
      </c>
      <c r="BP140">
        <f ca="1" t="shared" si="316"/>
        <v>0</v>
      </c>
      <c r="BR140">
        <f ca="1" t="shared" si="405"/>
        <v>0.7543</v>
      </c>
      <c r="BS140">
        <f ca="1" t="shared" si="406"/>
        <v>0</v>
      </c>
      <c r="BT140">
        <f ca="1" t="shared" si="380"/>
        <v>0.318170800459405</v>
      </c>
      <c r="BU140">
        <f ca="1" t="shared" si="407"/>
        <v>2.3177566866</v>
      </c>
      <c r="BV140">
        <f ca="1" t="shared" si="419"/>
        <v>0</v>
      </c>
      <c r="BW140">
        <f ca="1" t="shared" si="408"/>
        <v>99155</v>
      </c>
      <c r="BX140">
        <f ca="1" t="shared" si="381"/>
        <v>0</v>
      </c>
      <c r="BY140">
        <f ca="1" t="shared" si="409"/>
        <v>0.7343</v>
      </c>
      <c r="BZ140">
        <f ca="1">技能数计算!$AJ132</f>
        <v>0</v>
      </c>
      <c r="CA140">
        <f ca="1" t="shared" si="410"/>
        <v>2.3216629366</v>
      </c>
      <c r="CB140">
        <f ca="1" t="shared" si="420"/>
        <v>0</v>
      </c>
      <c r="CC140">
        <f ca="1" t="shared" si="411"/>
        <v>100975</v>
      </c>
      <c r="CD140">
        <f ca="1" t="shared" si="382"/>
        <v>0</v>
      </c>
      <c r="CE140">
        <f ca="1" t="shared" si="412"/>
        <v>0</v>
      </c>
      <c r="CF140">
        <f ca="1" t="shared" si="413"/>
        <v>2.2689285616</v>
      </c>
      <c r="CG140">
        <f ca="1" t="shared" si="414"/>
        <v>0.7343</v>
      </c>
      <c r="CH140">
        <f ca="1" t="shared" si="421"/>
        <v>0</v>
      </c>
      <c r="CJ140">
        <f ca="1" t="shared" si="383"/>
        <v>0</v>
      </c>
      <c r="CK140">
        <f ca="1" t="shared" si="415"/>
        <v>0</v>
      </c>
      <c r="CL140">
        <f ca="1" t="shared" si="384"/>
        <v>2.2915848116</v>
      </c>
      <c r="CM140">
        <f ca="1">IF(G140="恒定伤害",0,(IF(D140="轻剑",$CM$8,$CM$9)+IFERROR(INDEX(技能数据库!$T$2:$W$27,MATCH(E140,技能数据库!$T$2:$T$27,0),4),0)+COUNTIF(G140,"*造化2*")*154+COUNTIF(G140,"*造化1*")*102+COUNTIF(G140,"*碧归*")*307)/1024)</f>
        <v>0.176868146929785</v>
      </c>
      <c r="CN140">
        <f ca="1" t="shared" si="422"/>
        <v>0</v>
      </c>
      <c r="CO140">
        <f ca="1" t="shared" si="385"/>
        <v>2.3156473116</v>
      </c>
      <c r="CP140">
        <f ca="1" t="shared" si="423"/>
        <v>0</v>
      </c>
      <c r="CQ140">
        <f ca="1" t="shared" si="320"/>
        <v>1.8815754648</v>
      </c>
      <c r="CR140">
        <f ca="1">IF(G140="恒定伤害",0,(IF(D140="轻剑",$CR$8,$CR$9)+IFERROR(INDEX(技能数据库!$T$2:$W$27,MATCH(E140,技能数据库!$T$2:$T$27,0),4),0)+COUNTIF(G140,"*造化2*")*154+COUNTIF(G140,"*造化1*")*102+COUNTIF(G140,"*碧归*")*307)/1024)</f>
        <v>0.167102521929785</v>
      </c>
      <c r="CS140">
        <f ca="1" t="shared" si="386"/>
        <v>0</v>
      </c>
    </row>
    <row r="141" spans="4:97">
      <c r="D141" t="s">
        <v>1825</v>
      </c>
      <c r="E141" t="s">
        <v>2794</v>
      </c>
      <c r="G141" t="s">
        <v>3104</v>
      </c>
      <c r="H141">
        <f ca="1">INDEX(技能数据库!$B$2:$I$100,MATCH(阵眼收益计算!$E141,技能数据库!$B$2:$B$100,0),MATCH(H$9,技能数据库!$B$2:$I$2,0))</f>
        <v>231.5</v>
      </c>
      <c r="I141">
        <f ca="1">INDEX(技能数据库!$B$2:$I$100,MATCH(阵眼收益计算!$E141,技能数据库!$B$2:$B$100,0),MATCH(I$9,技能数据库!$B$2:$I$2,0))</f>
        <v>2.71875</v>
      </c>
      <c r="J141">
        <f ca="1">INDEX(技能数据库!$B$2:$I$100,MATCH(阵眼收益计算!$E141,技能数据库!$B$2:$B$100,0),MATCH(J$9,技能数据库!$B$2:$I$2,0))</f>
        <v>2</v>
      </c>
      <c r="K141">
        <f ca="1">INDEX(技能数据库!$B$2:$I$100,MATCH(阵眼收益计算!$E141,技能数据库!$B$2:$B$100,0),MATCH(K$9,技能数据库!$B$2:$I$2,0))</f>
        <v>0</v>
      </c>
      <c r="L141">
        <f ca="1" t="shared" si="387"/>
        <v>105847</v>
      </c>
      <c r="M141">
        <f ca="1" t="shared" si="365"/>
        <v>19530.5</v>
      </c>
      <c r="N141">
        <f ca="1" t="shared" si="366"/>
        <v>92028</v>
      </c>
      <c r="O141">
        <f ca="1" t="shared" si="372"/>
        <v>327064.03125</v>
      </c>
      <c r="P141">
        <f ca="1">IF(G141="恒定伤害",0,(IF(D141="轻剑",$AZ$2,$AZ$3)+IFERROR(INDEX(技能数据库!$T$2:$W$27,MATCH(E141,技能数据库!$T$2:$T$27,0),4),0)+COUNTIF(G141,"*造化2*")*154+COUNTIF(G141,"*造化1*")*102+COUNTIF(G141,"*碧归*")*307)/1024)</f>
        <v>0.536243146929785</v>
      </c>
      <c r="Q141">
        <f ca="1" t="shared" si="308"/>
        <v>0.448284482196154</v>
      </c>
      <c r="R141">
        <f ca="1" t="shared" si="373"/>
        <v>0.21277697966198</v>
      </c>
      <c r="S141">
        <f ca="1" t="shared" si="367"/>
        <v>572854.602584295</v>
      </c>
      <c r="T141">
        <f t="shared" si="178"/>
        <v>0.8</v>
      </c>
      <c r="U141">
        <f ca="1" t="shared" si="309"/>
        <v>1.7800129648</v>
      </c>
      <c r="V141">
        <f ca="1" t="shared" si="368"/>
        <v>1274034.57770375</v>
      </c>
      <c r="W141">
        <f ca="1">IF(G141="恒定伤害",0,MIN(1,IF(COUNTIF(F141,"*内会*")&gt;0,内会2,IF(D141="轻剑",$Y$2,$Y$3)+COUNTIF(G141,"*莺鸣*")*0.2+COUNTIF(G141,"*叠1*")*0.1+COUNTIF(G141,"*叠2*")*0.2+COUNTIF(G141,"*叠3*")*0.3)+IFERROR(INDEX(技能数据库!$T$2:$W$27,MATCH(E141,技能数据库!$T$2:$T$27,0),2),0)+IF((IF(D141="轻剑",$AO$2,$AO$3)+INT(COUNTIF(G141,"*大莺鸣*")*IF(D141="轻剑",$AM$2,$AM$3)*听晓无双率)/无双系数)&gt;0.9,特效裤子会心/会心系数,0)))</f>
        <v>0.7043</v>
      </c>
      <c r="X141">
        <f ca="1">IF(G141="恒定伤害",0,IF(COUNTIF(F141,"*内会*")&gt;0,内会效2,IF(D141="轻剑",$AB$2,$AB$3))+IFERROR(INDEX(技能数据库!$T$2:$W$27,MATCH(E141,技能数据库!$T$2:$T$27,0),3)/1024,0))+COUNTIF(G141,"*叠1*")*0.25+COUNTIF(G141,"*叠2*")*0.5+COUNTIF(G141,"*叠3*")*0.75</f>
        <v>2.1712723116</v>
      </c>
      <c r="Y141">
        <f ca="1" t="shared" si="369"/>
        <v>1.82492708905988</v>
      </c>
      <c r="Z141">
        <f t="shared" si="374"/>
        <v>0.150390625</v>
      </c>
      <c r="AA141">
        <f ca="1" t="shared" si="370"/>
        <v>0.0205078125</v>
      </c>
      <c r="AB141">
        <f ca="1" t="shared" si="371"/>
        <v>2729533.32206111</v>
      </c>
      <c r="AC141">
        <f ca="1">技能数计算!$AJ133</f>
        <v>0</v>
      </c>
      <c r="AD141" s="164">
        <f ca="1" t="shared" si="375"/>
        <v>0</v>
      </c>
      <c r="AE141" s="168"/>
      <c r="AF141" s="168">
        <f ca="1" t="shared" ref="AF141:AF144" si="424">W141+IF(COUNTIF(F141,"*内会*")&gt;0,0,IF(D141="轻剑",$AF$8-$Y$2,$AF$9-$Y$3))</f>
        <v>0.7057</v>
      </c>
      <c r="AG141">
        <f ca="1">技能数计算!$AJ133</f>
        <v>0</v>
      </c>
      <c r="AH141">
        <f ca="1" t="shared" si="389"/>
        <v>109879</v>
      </c>
      <c r="AJ141">
        <f ca="1" t="shared" ref="AJ141:AJ144" si="425">X141+IF(COUNTIF(F141,"*内会*")&gt;0,0,IF(D141="轻剑",$AJ$8-$AB$2,$AJ$9-$AB$3))</f>
        <v>2.3704910616</v>
      </c>
      <c r="AK141">
        <f ca="1" t="shared" si="376"/>
        <v>338503.03125</v>
      </c>
      <c r="AL141">
        <f ca="1" t="shared" si="391"/>
        <v>3046006.1978494</v>
      </c>
      <c r="AM141" s="169">
        <f ca="1" t="shared" ref="AM141:AM144" si="426">W141+IF(COUNTIF(F141,"*内会*")&gt;0,0,IF(D141="轻剑",$AN$8-$Y$2,$AN$9-$Y$3))</f>
        <v>0.7272</v>
      </c>
      <c r="AN141">
        <f ca="1">技能数计算!$AJ133</f>
        <v>0</v>
      </c>
      <c r="AO141" s="170">
        <f ca="1" t="shared" si="393"/>
        <v>3091631.6046015</v>
      </c>
      <c r="AP141">
        <f ca="1" t="shared" si="394"/>
        <v>110956</v>
      </c>
      <c r="AQ141" s="170">
        <f ca="1" t="shared" si="377"/>
        <v>340954.125</v>
      </c>
      <c r="AR141">
        <f ca="1" t="shared" si="395"/>
        <v>3012389.71389414</v>
      </c>
      <c r="AS141">
        <f ca="1" t="shared" ref="AS141:AS144" si="427">W141+IF(COUNTIF(F141,"*内会*")&gt;0,0,IF(D141="轻剑",$AS$8-$Y$2,$AS$9-$Y$3))</f>
        <v>0.7843</v>
      </c>
      <c r="AT141">
        <f ca="1">技能数计算!$AJ133</f>
        <v>0</v>
      </c>
      <c r="AU141">
        <f ca="1" t="shared" ref="AU141:AU144" si="428">X141+IF(COUNTIF(F141,"*内会*")&gt;0,0,IF(D141="轻剑",$AU$8-$AB$2,$AU$9-$AB$3))</f>
        <v>2.3177566866</v>
      </c>
      <c r="AV141">
        <f ca="1" t="shared" si="313"/>
        <v>1.7995442148</v>
      </c>
      <c r="AW141">
        <f ca="1" t="shared" si="416"/>
        <v>3062887.93947268</v>
      </c>
      <c r="AX141">
        <f ca="1" t="shared" ref="AX141:AX144" si="429">$W141+IF(COUNTIF(F141,"*内会*")&gt;0,0,IF(I141="轻剑",AX$8-$Y$2,AX$9-$Y$3))</f>
        <v>0.7743</v>
      </c>
      <c r="AY141">
        <f ca="1">技能数计算!$AJ133</f>
        <v>0</v>
      </c>
      <c r="AZ141" s="170">
        <f ca="1" t="shared" si="417"/>
        <v>3043039.85402563</v>
      </c>
      <c r="BA141">
        <f ca="1" t="shared" ref="BA141:BA144" si="430">$W141+IF(COUNTIF(F141,"*内会*")&gt;0,0,IF(L141="轻剑",BA$8-$Y$2,BA$9-$Y$3))</f>
        <v>0.7643</v>
      </c>
      <c r="BB141">
        <f ca="1">技能数计算!$AJ133</f>
        <v>0</v>
      </c>
      <c r="BC141" s="170">
        <f ca="1" t="shared" si="418"/>
        <v>3023191.76857858</v>
      </c>
      <c r="BE141">
        <f ca="1" t="shared" si="400"/>
        <v>105849</v>
      </c>
      <c r="BF141">
        <f ca="1" t="shared" si="378"/>
        <v>327069.46875</v>
      </c>
      <c r="BI141">
        <f ca="1" t="shared" ref="BI141:BI144" si="431">$W141+IF(COUNTIF(F141,"*内会*")&gt;0,0,IF(T141="轻剑",BI$8-$Y$2,BI$9-$Y$3))</f>
        <v>0.7543</v>
      </c>
      <c r="BJ141">
        <f ca="1">技能数计算!$AJ133</f>
        <v>0</v>
      </c>
      <c r="BK141">
        <f ca="1" t="shared" si="402"/>
        <v>3006758.45620446</v>
      </c>
      <c r="BM141">
        <f ca="1" t="shared" si="403"/>
        <v>109230</v>
      </c>
      <c r="BN141">
        <f ca="1" t="shared" si="379"/>
        <v>336261.5625</v>
      </c>
      <c r="BO141">
        <f ca="1" t="shared" si="404"/>
        <v>3030751.76131526</v>
      </c>
      <c r="BP141">
        <f ca="1" t="shared" si="316"/>
        <v>2890253.17628085</v>
      </c>
      <c r="BR141">
        <f ca="1" t="shared" ref="BR141:BR144" si="432">$W141+IF(T141="轻剑",BI$8-$Y$2,BI$9-$Y$3)</f>
        <v>0.7543</v>
      </c>
      <c r="BS141">
        <f ca="1" t="shared" si="406"/>
        <v>3003961.48535379</v>
      </c>
      <c r="BT141">
        <f ca="1" t="shared" si="380"/>
        <v>0.196995876306796</v>
      </c>
      <c r="BU141">
        <f ca="1" t="shared" ref="BU141:BU144" si="433">X141+IF(D141="轻剑",$AU$8-$AB$2,$AU$9-$AB$3)</f>
        <v>2.3177566866</v>
      </c>
      <c r="BV141">
        <f ca="1" t="shared" si="419"/>
        <v>3042177.24323428</v>
      </c>
      <c r="BW141">
        <f ca="1" t="shared" si="408"/>
        <v>113027</v>
      </c>
      <c r="BX141">
        <f ca="1" t="shared" si="381"/>
        <v>346584.65625</v>
      </c>
      <c r="BY141">
        <f ca="1" t="shared" ref="BY141:BY144" si="434">$W141+IF(COUNTIF(F141,"*内会*")&gt;0,0,IF(AI141="轻剑",BY$8-$Y$2,BY$9-$Y$3))</f>
        <v>0.7343</v>
      </c>
      <c r="BZ141">
        <f ca="1">技能数计算!$AJ133</f>
        <v>0</v>
      </c>
      <c r="CA141">
        <f ca="1" t="shared" ref="CA141:CA144" si="435">X141+IF(COUNTIF(F141,"*内会*")&gt;0,0,IF(D141="轻剑",$CA$8-$AB$2,$CA$9-$AB$3))</f>
        <v>2.3216629366</v>
      </c>
      <c r="CB141">
        <f ca="1" t="shared" si="420"/>
        <v>3123167.15069382</v>
      </c>
      <c r="CC141">
        <f ca="1" t="shared" si="411"/>
        <v>114847</v>
      </c>
      <c r="CD141">
        <f ca="1" t="shared" si="382"/>
        <v>351532.78125</v>
      </c>
      <c r="CE141">
        <f ca="1" t="shared" si="412"/>
        <v>3079691.07231949</v>
      </c>
      <c r="CF141">
        <f ca="1" t="shared" ref="CF141:CF144" si="436">X141+IF(COUNTIF(F141,"*内会*")&gt;0,0,IF(D141="轻剑",$CF$8-$AB$2,$CF$9-$AB$3))</f>
        <v>2.2689285616</v>
      </c>
      <c r="CG141">
        <f ca="1" t="shared" ref="CG141:CG144" si="437">$W141+IF(AI141="轻剑",BY$8-$Y$2,BY$9-$Y$3)</f>
        <v>0.7343</v>
      </c>
      <c r="CH141">
        <f ca="1" t="shared" si="421"/>
        <v>2909643.38295965</v>
      </c>
      <c r="CJ141">
        <f ca="1" t="shared" si="383"/>
        <v>336261.5625</v>
      </c>
      <c r="CK141">
        <f ca="1" t="shared" si="415"/>
        <v>3017022.6210174</v>
      </c>
      <c r="CL141">
        <f ca="1" t="shared" si="384"/>
        <v>2.2915848116</v>
      </c>
      <c r="CM141">
        <f ca="1">IF(G141="恒定伤害",0,(IF(D141="轻剑",$CM$8,$CM$9)+IFERROR(INDEX(技能数据库!$T$2:$W$27,MATCH(E141,技能数据库!$T$2:$T$27,0),4),0)+COUNTIF(G141,"*造化2*")*154+COUNTIF(G141,"*造化1*")*102+COUNTIF(G141,"*碧归*")*307)/1024)</f>
        <v>0.596790021929785</v>
      </c>
      <c r="CN141">
        <f ca="1" t="shared" si="422"/>
        <v>3050364.62545938</v>
      </c>
      <c r="CO141">
        <f ca="1" t="shared" si="385"/>
        <v>2.3156473116</v>
      </c>
      <c r="CP141">
        <f ca="1" t="shared" si="423"/>
        <v>3078026.74915213</v>
      </c>
      <c r="CQ141">
        <f ca="1" t="shared" si="320"/>
        <v>1.8815754648</v>
      </c>
      <c r="CR141">
        <f ca="1">IF(G141="恒定伤害",0,(IF(D141="轻剑",$CR$8,$CR$9)+IFERROR(INDEX(技能数据库!$T$2:$W$27,MATCH(E141,技能数据库!$T$2:$T$27,0),4),0)+COUNTIF(G141,"*造化2*")*154+COUNTIF(G141,"*造化1*")*102+COUNTIF(G141,"*碧归*")*307)/1024)</f>
        <v>0.587024396929785</v>
      </c>
      <c r="CS141">
        <f ca="1" t="shared" si="386"/>
        <v>2922773.90670317</v>
      </c>
    </row>
    <row r="142" spans="4:97">
      <c r="D142" t="s">
        <v>1825</v>
      </c>
      <c r="E142" t="s">
        <v>2798</v>
      </c>
      <c r="G142" t="s">
        <v>3104</v>
      </c>
      <c r="H142">
        <f ca="1">INDEX(技能数据库!$B$2:$I$100,MATCH(阵眼收益计算!$E142,技能数据库!$B$2:$B$100,0),MATCH(H$9,技能数据库!$B$2:$I$2,0))</f>
        <v>1504.5</v>
      </c>
      <c r="I142">
        <f ca="1">INDEX(技能数据库!$B$2:$I$100,MATCH(阵眼收益计算!$E142,技能数据库!$B$2:$B$100,0),MATCH(I$9,技能数据库!$B$2:$I$2,0))</f>
        <v>2.85625</v>
      </c>
      <c r="J142">
        <f ca="1">INDEX(技能数据库!$B$2:$I$100,MATCH(阵眼收益计算!$E142,技能数据库!$B$2:$B$100,0),MATCH(J$9,技能数据库!$B$2:$I$2,0))</f>
        <v>0</v>
      </c>
      <c r="K142">
        <f ca="1">INDEX(技能数据库!$B$2:$I$100,MATCH(阵眼收益计算!$E142,技能数据库!$B$2:$B$100,0),MATCH(K$9,技能数据库!$B$2:$I$2,0))</f>
        <v>0</v>
      </c>
      <c r="L142">
        <f ca="1" t="shared" si="387"/>
        <v>105847</v>
      </c>
      <c r="M142">
        <f ca="1" t="shared" si="365"/>
        <v>19530.5</v>
      </c>
      <c r="N142">
        <f ca="1" t="shared" si="366"/>
        <v>92028</v>
      </c>
      <c r="O142">
        <f ca="1" t="shared" si="372"/>
        <v>303829.99375</v>
      </c>
      <c r="P142">
        <f ca="1">IF(G142="恒定伤害",0,(IF(D142="轻剑",$AZ$2,$AZ$3)+IFERROR(INDEX(技能数据库!$T$2:$W$27,MATCH(E142,技能数据库!$T$2:$T$27,0),4),0)+COUNTIF(G142,"*造化2*")*154+COUNTIF(G142,"*造化1*")*102+COUNTIF(G142,"*碧归*")*307)/1024)</f>
        <v>0.416125959429785</v>
      </c>
      <c r="Q142">
        <f ca="1" t="shared" si="308"/>
        <v>0.448284482196154</v>
      </c>
      <c r="R142">
        <f ca="1" t="shared" si="373"/>
        <v>0.21277697966198</v>
      </c>
      <c r="S142">
        <f ca="1" t="shared" si="367"/>
        <v>490551.029623256</v>
      </c>
      <c r="T142">
        <f t="shared" si="178"/>
        <v>0.8</v>
      </c>
      <c r="U142">
        <f ca="1" t="shared" si="309"/>
        <v>1.7800129648</v>
      </c>
      <c r="V142">
        <f ca="1" t="shared" si="368"/>
        <v>1090990.57779891</v>
      </c>
      <c r="W142">
        <f ca="1">IF(G142="恒定伤害",0,MIN(1,IF(COUNTIF(F142,"*内会*")&gt;0,内会2,IF(D142="轻剑",$Y$2,$Y$3)+COUNTIF(G142,"*莺鸣*")*0.2+COUNTIF(G142,"*叠1*")*0.1+COUNTIF(G142,"*叠2*")*0.2+COUNTIF(G142,"*叠3*")*0.3)+IFERROR(INDEX(技能数据库!$T$2:$W$27,MATCH(E142,技能数据库!$T$2:$T$27,0),2),0)+IF((IF(D142="轻剑",$AO$2,$AO$3)+INT(COUNTIF(G142,"*大莺鸣*")*IF(D142="轻剑",$AM$2,$AM$3)*听晓无双率)/无双系数)&gt;0.9,特效裤子会心/会心系数,0)))</f>
        <v>0.7043</v>
      </c>
      <c r="X142">
        <f ca="1">IF(G142="恒定伤害",0,IF(COUNTIF(F142,"*内会*")&gt;0,内会效2,IF(D142="轻剑",$AB$2,$AB$3))+IFERROR(INDEX(技能数据库!$T$2:$W$27,MATCH(E142,技能数据库!$T$2:$T$27,0),3)/1024,0))+COUNTIF(G142,"*叠1*")*0.25+COUNTIF(G142,"*叠2*")*0.5+COUNTIF(G142,"*叠3*")*0.75</f>
        <v>2.1712723116</v>
      </c>
      <c r="Y142">
        <f ca="1" t="shared" si="369"/>
        <v>1.82492708905988</v>
      </c>
      <c r="Z142">
        <f t="shared" si="374"/>
        <v>0.150390625</v>
      </c>
      <c r="AA142">
        <f ca="1" t="shared" si="370"/>
        <v>0.0205078125</v>
      </c>
      <c r="AB142">
        <f ca="1" t="shared" si="371"/>
        <v>2337373.87373271</v>
      </c>
      <c r="AC142">
        <f ca="1">技能数计算!$AJ134</f>
        <v>0</v>
      </c>
      <c r="AD142" s="164">
        <f ca="1" t="shared" si="375"/>
        <v>0</v>
      </c>
      <c r="AE142" s="168"/>
      <c r="AF142" s="168">
        <f ca="1" t="shared" si="424"/>
        <v>0.7057</v>
      </c>
      <c r="AG142">
        <f ca="1">技能数计算!$AJ134</f>
        <v>0</v>
      </c>
      <c r="AH142">
        <f ca="1" t="shared" si="389"/>
        <v>109879</v>
      </c>
      <c r="AJ142">
        <f ca="1" t="shared" si="425"/>
        <v>2.3704910616</v>
      </c>
      <c r="AK142">
        <f ca="1" t="shared" si="376"/>
        <v>315346.39375</v>
      </c>
      <c r="AL142">
        <f ca="1" t="shared" si="391"/>
        <v>2615760.72657052</v>
      </c>
      <c r="AM142" s="169">
        <f ca="1" t="shared" si="426"/>
        <v>0.7272</v>
      </c>
      <c r="AN142">
        <f ca="1">技能数计算!$AJ134</f>
        <v>0</v>
      </c>
      <c r="AO142" s="170">
        <f ca="1" t="shared" si="393"/>
        <v>2654941.58811972</v>
      </c>
      <c r="AP142">
        <f ca="1" t="shared" si="394"/>
        <v>110956</v>
      </c>
      <c r="AQ142" s="170">
        <f ca="1" t="shared" si="377"/>
        <v>318422.575</v>
      </c>
      <c r="AR142">
        <f ca="1" t="shared" si="395"/>
        <v>2593349.09893079</v>
      </c>
      <c r="AS142">
        <f ca="1" t="shared" si="427"/>
        <v>0.7843</v>
      </c>
      <c r="AT142">
        <f ca="1">技能数计算!$AJ134</f>
        <v>0</v>
      </c>
      <c r="AU142">
        <f ca="1" t="shared" si="428"/>
        <v>2.3177566866</v>
      </c>
      <c r="AV142">
        <f ca="1" t="shared" si="313"/>
        <v>1.7995442148</v>
      </c>
      <c r="AW142">
        <f ca="1" t="shared" si="416"/>
        <v>2622834.53000255</v>
      </c>
      <c r="AX142">
        <f ca="1" t="shared" si="429"/>
        <v>0.7743</v>
      </c>
      <c r="AY142">
        <f ca="1">技能数计算!$AJ134</f>
        <v>0</v>
      </c>
      <c r="AZ142" s="170">
        <f ca="1" t="shared" si="417"/>
        <v>2605838.07277208</v>
      </c>
      <c r="BA142">
        <f ca="1" t="shared" si="430"/>
        <v>0.7643</v>
      </c>
      <c r="BB142">
        <f ca="1">技能数计算!$AJ134</f>
        <v>0</v>
      </c>
      <c r="BC142" s="170">
        <f ca="1" t="shared" si="418"/>
        <v>2588841.61554161</v>
      </c>
      <c r="BE142">
        <f ca="1" t="shared" si="400"/>
        <v>105849</v>
      </c>
      <c r="BF142">
        <f ca="1" t="shared" si="378"/>
        <v>303835.70625</v>
      </c>
      <c r="BI142">
        <f ca="1" t="shared" si="431"/>
        <v>0.7543</v>
      </c>
      <c r="BJ142">
        <f ca="1">技能数计算!$AJ134</f>
        <v>0</v>
      </c>
      <c r="BK142">
        <f ca="1" t="shared" si="402"/>
        <v>2574774.92544229</v>
      </c>
      <c r="BM142">
        <f ca="1" t="shared" si="403"/>
        <v>109230</v>
      </c>
      <c r="BN142">
        <f ca="1" t="shared" si="379"/>
        <v>313492.6875</v>
      </c>
      <c r="BO142">
        <f ca="1" t="shared" si="404"/>
        <v>2604608.65894537</v>
      </c>
      <c r="BP142">
        <f ca="1" t="shared" si="316"/>
        <v>2483865.07452479</v>
      </c>
      <c r="BR142">
        <f ca="1" t="shared" si="432"/>
        <v>0.7543</v>
      </c>
      <c r="BS142">
        <f ca="1" t="shared" si="406"/>
        <v>2581585.26731184</v>
      </c>
      <c r="BT142">
        <f ca="1" t="shared" si="380"/>
        <v>0.196995876306796</v>
      </c>
      <c r="BU142">
        <f ca="1" t="shared" si="433"/>
        <v>2.3177566866</v>
      </c>
      <c r="BV142">
        <f ca="1" t="shared" si="419"/>
        <v>2605099.39561045</v>
      </c>
      <c r="BW142">
        <f ca="1" t="shared" si="408"/>
        <v>113027</v>
      </c>
      <c r="BX142">
        <f ca="1" t="shared" si="381"/>
        <v>324337.86875</v>
      </c>
      <c r="BY142">
        <f ca="1" t="shared" si="434"/>
        <v>0.7343</v>
      </c>
      <c r="BZ142">
        <f ca="1">技能数计算!$AJ134</f>
        <v>0</v>
      </c>
      <c r="CA142">
        <f ca="1" t="shared" si="435"/>
        <v>2.3216629366</v>
      </c>
      <c r="CB142">
        <f ca="1" t="shared" si="420"/>
        <v>2694173.00441233</v>
      </c>
      <c r="CC142">
        <f ca="1" t="shared" si="411"/>
        <v>114847</v>
      </c>
      <c r="CD142">
        <f ca="1" t="shared" si="382"/>
        <v>329536.24375</v>
      </c>
      <c r="CE142">
        <f ca="1" t="shared" si="412"/>
        <v>2661254.66901504</v>
      </c>
      <c r="CF142">
        <f ca="1" t="shared" si="436"/>
        <v>2.2689285616</v>
      </c>
      <c r="CG142">
        <f ca="1" t="shared" si="437"/>
        <v>0.7343</v>
      </c>
      <c r="CH142">
        <f ca="1" t="shared" si="421"/>
        <v>2491607.03415544</v>
      </c>
      <c r="CJ142">
        <f ca="1" t="shared" si="383"/>
        <v>313492.6875</v>
      </c>
      <c r="CK142">
        <f ca="1" t="shared" si="415"/>
        <v>2592809.92367575</v>
      </c>
      <c r="CL142">
        <f ca="1" t="shared" si="384"/>
        <v>2.2915848116</v>
      </c>
      <c r="CM142">
        <f ca="1">IF(G142="恒定伤害",0,(IF(D142="轻剑",$CM$8,$CM$9)+IFERROR(INDEX(技能数据库!$T$2:$W$27,MATCH(E142,技能数据库!$T$2:$T$27,0),4),0)+COUNTIF(G142,"*造化2*")*154+COUNTIF(G142,"*造化1*")*102+COUNTIF(G142,"*碧归*")*307)/1024)</f>
        <v>0.476672834429785</v>
      </c>
      <c r="CN142">
        <f ca="1" t="shared" si="422"/>
        <v>2620511.62435403</v>
      </c>
      <c r="CO142">
        <f ca="1" t="shared" si="385"/>
        <v>2.3156473116</v>
      </c>
      <c r="CP142">
        <f ca="1" t="shared" si="423"/>
        <v>2644275.64131323</v>
      </c>
      <c r="CQ142">
        <f ca="1" t="shared" si="320"/>
        <v>1.8815754648</v>
      </c>
      <c r="CR142">
        <f ca="1">IF(G142="恒定伤害",0,(IF(D142="轻剑",$CR$8,$CR$9)+IFERROR(INDEX(技能数据库!$T$2:$W$27,MATCH(E142,技能数据库!$T$2:$T$27,0),4),0)+COUNTIF(G142,"*造化2*")*154+COUNTIF(G142,"*造化1*")*102+COUNTIF(G142,"*碧归*")*307)/1024)</f>
        <v>0.466907209429785</v>
      </c>
      <c r="CS142">
        <f ca="1" t="shared" si="386"/>
        <v>2509644.00439058</v>
      </c>
    </row>
    <row r="143" spans="4:97">
      <c r="D143" t="s">
        <v>1825</v>
      </c>
      <c r="E143" t="s">
        <v>2924</v>
      </c>
      <c r="G143" t="s">
        <v>3098</v>
      </c>
      <c r="H143">
        <f ca="1">INDEX(技能数据库!$B$2:$I$100,MATCH(阵眼收益计算!$E143,技能数据库!$B$2:$B$100,0),MATCH(H$9,技能数据库!$B$2:$I$2,0))</f>
        <v>0</v>
      </c>
      <c r="I143">
        <f ca="1">INDEX(技能数据库!$B$2:$I$100,MATCH(阵眼收益计算!$E143,技能数据库!$B$2:$B$100,0),MATCH(I$9,技能数据库!$B$2:$I$2,0))</f>
        <v>0</v>
      </c>
      <c r="J143">
        <f ca="1">INDEX(技能数据库!$B$2:$I$100,MATCH(阵眼收益计算!$E143,技能数据库!$B$2:$B$100,0),MATCH(J$9,技能数据库!$B$2:$I$2,0))</f>
        <v>0</v>
      </c>
      <c r="K143">
        <f ca="1">INDEX(技能数据库!$B$2:$I$100,MATCH(阵眼收益计算!$E143,技能数据库!$B$2:$B$100,0),MATCH(K$9,技能数据库!$B$2:$I$2,0))</f>
        <v>0</v>
      </c>
      <c r="L143">
        <f ca="1" t="shared" si="387"/>
        <v>91975</v>
      </c>
      <c r="M143">
        <f ca="1" t="shared" si="365"/>
        <v>19530.5</v>
      </c>
      <c r="N143">
        <f ca="1" t="shared" si="366"/>
        <v>92028</v>
      </c>
      <c r="O143">
        <f ca="1" t="shared" si="372"/>
        <v>0</v>
      </c>
      <c r="P143">
        <f ca="1">IF(G143="恒定伤害",0,(IF(D143="轻剑",$AZ$2,$AZ$3)+IFERROR(INDEX(技能数据库!$T$2:$W$27,MATCH(E143,技能数据库!$T$2:$T$27,0),4),0)+COUNTIF(G143,"*造化2*")*154+COUNTIF(G143,"*造化1*")*102+COUNTIF(G143,"*碧归*")*307)/1024)</f>
        <v>0</v>
      </c>
      <c r="Q143">
        <f ca="1" t="shared" ref="Q143:Q146" si="438">IF(G143="恒定伤害",0,(IF(COUNTIF(F143,"*内破*")&gt;0,内破,IF(D143="轻剑",$AF$2,$AF$3)/破防系数))+IF((IF(D143="轻剑",$AO$2,$AO$3)+INT(COUNTIF(G143,"*大莺鸣*")*IF(D143="轻剑",$AM$2,$AM$3)*听晓无双率)/无双系数)&gt;0.9,(特效裤子破防+特效裤子破防*IF(D143="轻剑",$AD$2,$AD$3)/1024)/破防系数,0))</f>
        <v>0</v>
      </c>
      <c r="R143">
        <f ca="1" t="shared" si="373"/>
        <v>0</v>
      </c>
      <c r="S143">
        <f ca="1" t="shared" si="367"/>
        <v>0</v>
      </c>
      <c r="T143">
        <f t="shared" si="178"/>
        <v>0.8</v>
      </c>
      <c r="U143">
        <f ca="1" t="shared" ref="U143:U146" si="439">IF(G143="恒定伤害",0,(IF(D143="轻剑",$AO$2,$AO$3)+INT(COUNTIF(G143,"*大莺鸣*")*IF(D143="轻剑",$AM$2,$AM$3)*听晓无双率)/无双系数)+IF((IF(D143="轻剑",$AO$2,$AO$3)+INT(COUNTIF(G143,"*大莺鸣*")*IF(D143="轻剑",$AM$2,$AM$3)*听晓无双率)/无双系数)&lt;=0.9,特效裤子无双,0))</f>
        <v>0</v>
      </c>
      <c r="V143">
        <f ca="1" t="shared" si="368"/>
        <v>0</v>
      </c>
      <c r="W143">
        <f ca="1">IF(G143="恒定伤害",0,MIN(1,IF(COUNTIF(F143,"*内会*")&gt;0,内会2,IF(D143="轻剑",$Y$2,$Y$3)+COUNTIF(G143,"*莺鸣*")*0.2+COUNTIF(G143,"*叠1*")*0.1+COUNTIF(G143,"*叠2*")*0.2+COUNTIF(G143,"*叠3*")*0.3)+IFERROR(INDEX(技能数据库!$T$2:$W$27,MATCH(E143,技能数据库!$T$2:$T$27,0),2),0)+IF((IF(D143="轻剑",$AO$2,$AO$3)+INT(COUNTIF(G143,"*大莺鸣*")*IF(D143="轻剑",$AM$2,$AM$3)*听晓无双率)/无双系数)&gt;0.9,特效裤子会心/会心系数,0)))</f>
        <v>0</v>
      </c>
      <c r="X143">
        <f ca="1">IF(G143="恒定伤害",0,IF(COUNTIF(F143,"*内会*")&gt;0,内会效2,IF(D143="轻剑",$AB$2,$AB$3))+IFERROR(INDEX(技能数据库!$T$2:$W$27,MATCH(E143,技能数据库!$T$2:$T$27,0),3)/1024,0))+COUNTIF(G143,"*叠1*")*0.25+COUNTIF(G143,"*叠2*")*0.5+COUNTIF(G143,"*叠3*")*0.75</f>
        <v>0</v>
      </c>
      <c r="Y143">
        <f ca="1" t="shared" si="369"/>
        <v>1</v>
      </c>
      <c r="Z143">
        <f t="shared" si="374"/>
        <v>0</v>
      </c>
      <c r="AA143">
        <f ca="1" t="shared" si="370"/>
        <v>0.0205078125</v>
      </c>
      <c r="AB143">
        <f ca="1" t="shared" si="371"/>
        <v>0</v>
      </c>
      <c r="AC143" s="171">
        <f ca="1">技能数计算!$AJ135</f>
        <v>86.25</v>
      </c>
      <c r="AD143" s="164">
        <f ca="1" t="shared" si="375"/>
        <v>0</v>
      </c>
      <c r="AE143" s="168"/>
      <c r="AF143" s="168">
        <f ca="1" t="shared" si="424"/>
        <v>0.00139999999999996</v>
      </c>
      <c r="AG143" s="171">
        <f ca="1">技能数计算!$AJ135</f>
        <v>86.25</v>
      </c>
      <c r="AH143">
        <f ca="1" t="shared" si="389"/>
        <v>96007</v>
      </c>
      <c r="AJ143">
        <f ca="1" t="shared" si="425"/>
        <v>0.19921875</v>
      </c>
      <c r="AK143">
        <f ca="1" t="shared" si="376"/>
        <v>0</v>
      </c>
      <c r="AL143">
        <f ca="1" t="shared" si="391"/>
        <v>0</v>
      </c>
      <c r="AM143" s="169">
        <f ca="1" t="shared" si="426"/>
        <v>0.0228999999999999</v>
      </c>
      <c r="AN143" s="171">
        <f ca="1">技能数计算!$AJ135</f>
        <v>86.25</v>
      </c>
      <c r="AO143" s="170">
        <f ca="1" t="shared" si="393"/>
        <v>0</v>
      </c>
      <c r="AP143">
        <f ca="1" t="shared" si="394"/>
        <v>97084</v>
      </c>
      <c r="AQ143" s="170">
        <f ca="1" t="shared" si="377"/>
        <v>0</v>
      </c>
      <c r="AR143">
        <f ca="1" t="shared" si="395"/>
        <v>0</v>
      </c>
      <c r="AS143">
        <f ca="1" t="shared" si="427"/>
        <v>0.08</v>
      </c>
      <c r="AT143" s="171">
        <f ca="1">技能数计算!$AJ135</f>
        <v>86.25</v>
      </c>
      <c r="AU143">
        <f ca="1" t="shared" si="428"/>
        <v>0.146484375</v>
      </c>
      <c r="AV143">
        <f ca="1" t="shared" ref="AV143:AV146" si="440">IF(G143="恒定伤害",0,(IF(D143="轻剑",$AV$8,$AV$9)+INT(COUNTIF(G143,"*大莺鸣*")*IF(D143="轻剑",$AM$2,$AM$3)*听晓无双率)/无双系数))+IF((IF(G143="恒定伤害",0,(IF(D143="轻剑",$AV$8,$AV$9)+INT(COUNTIF(G143,"*大莺鸣*")*IF(D143="轻剑",$AM$2,$AM$3)*听晓无双率)/无双系数)))&lt;=0.9,特效裤子无双,0)</f>
        <v>0</v>
      </c>
      <c r="AW143">
        <f ca="1" t="shared" si="416"/>
        <v>0</v>
      </c>
      <c r="AX143">
        <f ca="1" t="shared" si="429"/>
        <v>0.07</v>
      </c>
      <c r="AY143" s="171">
        <f ca="1">技能数计算!$AJ135</f>
        <v>86.25</v>
      </c>
      <c r="AZ143" s="170">
        <f ca="1" t="shared" si="417"/>
        <v>0</v>
      </c>
      <c r="BA143">
        <f ca="1" t="shared" si="430"/>
        <v>0.0599999999999999</v>
      </c>
      <c r="BB143" s="171">
        <f ca="1">技能数计算!$AJ135</f>
        <v>86.25</v>
      </c>
      <c r="BC143" s="170">
        <f ca="1" t="shared" si="418"/>
        <v>0</v>
      </c>
      <c r="BE143">
        <f ca="1" t="shared" si="400"/>
        <v>91977</v>
      </c>
      <c r="BF143">
        <f ca="1" t="shared" si="378"/>
        <v>0</v>
      </c>
      <c r="BI143">
        <f ca="1" t="shared" si="431"/>
        <v>0.05</v>
      </c>
      <c r="BJ143" s="171">
        <f ca="1">技能数计算!$AJ135</f>
        <v>86.25</v>
      </c>
      <c r="BK143">
        <f ca="1" t="shared" si="402"/>
        <v>0</v>
      </c>
      <c r="BM143">
        <f ca="1" t="shared" si="403"/>
        <v>95358</v>
      </c>
      <c r="BN143">
        <f ca="1" t="shared" si="379"/>
        <v>0</v>
      </c>
      <c r="BO143">
        <f ca="1" t="shared" si="404"/>
        <v>0</v>
      </c>
      <c r="BP143">
        <f ca="1" t="shared" ref="BP143:BP146" si="441">IF(COUNTIF(G143,"*恒定伤害*")&gt;0,AB143,((BN143*(1+P143)*(1+IF(COUNTIF(F143,"*内破*")&gt;0,内破,IF(D143="轻剑",$BQ$8,$BQ$9)/破防系数)+IF((IF(D143="轻剑",$AO$2,$AO$3)+INT(COUNTIF(G143,"*大莺鸣*")*IF(D143="轻剑",$AM$2,$AM$3)*听晓无双率)/无双系数)&gt;0.9,(特效裤子破防+特效裤子破防*IF(D143="轻剑",$AD$2+102,$AD$3+102)/1024)/破防系数,0))*(1-R143))*T143*(1+U143))*Y143*(1+Z143)*(1+AA143))</f>
        <v>0</v>
      </c>
      <c r="BR143">
        <f ca="1" t="shared" si="432"/>
        <v>0.05</v>
      </c>
      <c r="BS143">
        <f ca="1" t="shared" si="406"/>
        <v>0</v>
      </c>
      <c r="BT143">
        <f ca="1" t="shared" si="380"/>
        <v>0</v>
      </c>
      <c r="BU143">
        <f ca="1" t="shared" si="433"/>
        <v>0.146484375</v>
      </c>
      <c r="BV143">
        <f ca="1" t="shared" si="419"/>
        <v>0</v>
      </c>
      <c r="BW143">
        <f ca="1" t="shared" si="408"/>
        <v>99155</v>
      </c>
      <c r="BX143">
        <f ca="1" t="shared" si="381"/>
        <v>0</v>
      </c>
      <c r="BY143">
        <f ca="1" t="shared" si="434"/>
        <v>0.03</v>
      </c>
      <c r="BZ143" s="171">
        <f ca="1">技能数计算!$AJ135</f>
        <v>86.25</v>
      </c>
      <c r="CA143">
        <f ca="1" t="shared" si="435"/>
        <v>0.150390625</v>
      </c>
      <c r="CB143">
        <f ca="1" t="shared" si="420"/>
        <v>0</v>
      </c>
      <c r="CC143">
        <f ca="1" t="shared" si="411"/>
        <v>100975</v>
      </c>
      <c r="CD143">
        <f ca="1" t="shared" si="382"/>
        <v>0</v>
      </c>
      <c r="CE143">
        <f ca="1" t="shared" si="412"/>
        <v>0</v>
      </c>
      <c r="CF143">
        <f ca="1" t="shared" si="436"/>
        <v>0.09765625</v>
      </c>
      <c r="CG143">
        <f ca="1" t="shared" si="437"/>
        <v>0.03</v>
      </c>
      <c r="CH143">
        <f ca="1" t="shared" si="421"/>
        <v>0</v>
      </c>
      <c r="CJ143">
        <f ca="1" t="shared" si="383"/>
        <v>0</v>
      </c>
      <c r="CK143">
        <f ca="1" t="shared" si="415"/>
        <v>0</v>
      </c>
      <c r="CL143">
        <f ca="1" t="shared" si="384"/>
        <v>0.1203125</v>
      </c>
      <c r="CM143">
        <f ca="1">IF(G143="恒定伤害",0,(IF(D143="轻剑",$CM$8,$CM$9)+IFERROR(INDEX(技能数据库!$T$2:$W$27,MATCH(E143,技能数据库!$T$2:$T$27,0),4),0)+COUNTIF(G143,"*造化2*")*154+COUNTIF(G143,"*造化1*")*102+COUNTIF(G143,"*碧归*")*307)/1024)</f>
        <v>0</v>
      </c>
      <c r="CN143">
        <f ca="1" t="shared" si="422"/>
        <v>0</v>
      </c>
      <c r="CO143">
        <f ca="1" t="shared" si="385"/>
        <v>0.144375</v>
      </c>
      <c r="CP143">
        <f ca="1" t="shared" si="423"/>
        <v>0</v>
      </c>
      <c r="CQ143">
        <f ca="1" t="shared" ref="CQ143:CQ146" si="442">IF(G143="恒定伤害",0,(IF(D143="轻剑",$CQ$8,$CQ$9)+INT(COUNTIF(G143,"*大莺鸣*")*IF(D143="轻剑",$AM$2,$AM$3)*听晓无双率)/无双系数))+IF((IF(G143="恒定伤害",0,(IF(D143="轻剑",$CQ$8,$CQ$9)+INT(COUNTIF(G143,"*大莺鸣*")*IF(D143="轻剑",$AM$2,$AM$3)*听晓无双率)/无双系数)))&lt;=0.9,特效裤子无双,0)</f>
        <v>0</v>
      </c>
      <c r="CR143">
        <f ca="1">IF(G143="恒定伤害",0,(IF(D143="轻剑",$CR$8,$CR$9)+IFERROR(INDEX(技能数据库!$T$2:$W$27,MATCH(E143,技能数据库!$T$2:$T$27,0),4),0)+COUNTIF(G143,"*造化2*")*154+COUNTIF(G143,"*造化1*")*102+COUNTIF(G143,"*碧归*")*307)/1024)</f>
        <v>0</v>
      </c>
      <c r="CS143">
        <f ca="1" t="shared" si="386"/>
        <v>0</v>
      </c>
    </row>
    <row r="144" spans="4:97">
      <c r="D144" t="s">
        <v>1825</v>
      </c>
      <c r="E144" t="s">
        <v>2776</v>
      </c>
      <c r="G144" t="s">
        <v>3105</v>
      </c>
      <c r="H144">
        <f ca="1">INDEX(技能数据库!$B$2:$I$100,MATCH(阵眼收益计算!$E144,技能数据库!$B$2:$B$100,0),MATCH(H$9,技能数据库!$B$2:$I$2,0))</f>
        <v>281.5</v>
      </c>
      <c r="I144">
        <f ca="1">INDEX(技能数据库!$B$2:$I$100,MATCH(阵眼收益计算!$E144,技能数据库!$B$2:$B$100,0),MATCH(I$9,技能数据库!$B$2:$I$2,0))</f>
        <v>7.06875</v>
      </c>
      <c r="J144">
        <f ca="1">INDEX(技能数据库!$B$2:$I$100,MATCH(阵眼收益计算!$E144,技能数据库!$B$2:$B$100,0),MATCH(J$9,技能数据库!$B$2:$I$2,0))</f>
        <v>2</v>
      </c>
      <c r="K144">
        <f ca="1">INDEX(技能数据库!$B$2:$I$100,MATCH(阵眼收益计算!$E144,技能数据库!$B$2:$B$100,0),MATCH(K$9,技能数据库!$B$2:$I$2,0))</f>
        <v>0</v>
      </c>
      <c r="L144">
        <f ca="1" t="shared" si="387"/>
        <v>105847</v>
      </c>
      <c r="M144">
        <f ca="1" t="shared" ref="M144:M147" si="443">IF(D144="轻剑",$AU$2+$AV$2,$AU$3+$AV$3)/2</f>
        <v>19530.5</v>
      </c>
      <c r="N144">
        <f ca="1" t="shared" ref="N144:N147" si="444">IF(D144="轻剑",$AJ$2,$AJ$3)</f>
        <v>92028</v>
      </c>
      <c r="O144">
        <f ca="1" t="shared" ref="O144:O147" si="445">H144+I144*L144+J144*M144+IF(K144&gt;0,MAX(1,K144*N144*破招全局系数),0)</f>
        <v>787548.48125</v>
      </c>
      <c r="P144">
        <f ca="1">IF(G144="恒定伤害",0,(IF(D144="轻剑",$AZ$2,$AZ$3)+IFERROR(INDEX(技能数据库!$T$2:$W$27,MATCH(E144,技能数据库!$T$2:$T$27,0),4),0)+COUNTIF(G144,"*造化2*")*154+COUNTIF(G144,"*造化1*")*102+COUNTIF(G144,"*碧归*")*307)/1024)</f>
        <v>0.337024396929785</v>
      </c>
      <c r="Q144">
        <f ca="1" t="shared" si="438"/>
        <v>0.448284482196154</v>
      </c>
      <c r="R144">
        <f ca="1" t="shared" ref="R144:R147" si="446">IF(G144="恒定伤害",0,(($F$5-IF(D144="轻剑",$BB$2,$BB$3))*(1024-IF(D144="轻剑",$BD$2,$BD$3))/1024*(1024-IF(D144="轻剑",$BC$2,$BC$3)-COUNTIF(G144,"*雾锁*")*461*雾锁)/1024/(($F$5-IF(D144="轻剑",$BB$2,$BB$3))*(1024-IF(D144="轻剑",$BD$2,$BD$3))/1024*(1024-IF(D144="轻剑",$BC$2,$BC$3)-COUNTIF(G144,"*雾锁*")*461*雾锁)/1024+$F$7)))</f>
        <v>0.21277697966198</v>
      </c>
      <c r="S144">
        <f ca="1" t="shared" ref="S144:S147" si="447">O144*(1+P144)*(1+Q144)*(1-R144)</f>
        <v>1200516.94160105</v>
      </c>
      <c r="T144">
        <f t="shared" si="178"/>
        <v>0.8</v>
      </c>
      <c r="U144">
        <f ca="1" t="shared" si="439"/>
        <v>1.7800129648</v>
      </c>
      <c r="V144">
        <f ca="1" t="shared" ref="V144:V147" si="448">S144*T144*(1+U144)</f>
        <v>2669962.12969036</v>
      </c>
      <c r="W144">
        <f ca="1">IF(G144="恒定伤害",0,MIN(1,IF(COUNTIF(F144,"*内会*")&gt;0,内会2,IF(D144="轻剑",$Y$2,$Y$3)+COUNTIF(G144,"*莺鸣*")*0.2+COUNTIF(G144,"*叠1*")*0.1+COUNTIF(G144,"*叠2*")*0.2+COUNTIF(G144,"*叠3*")*0.3)+IFERROR(INDEX(技能数据库!$T$2:$W$27,MATCH(E144,技能数据库!$T$2:$T$27,0),2),0)+IF((IF(D144="轻剑",$AO$2,$AO$3)+INT(COUNTIF(G144,"*大莺鸣*")*IF(D144="轻剑",$AM$2,$AM$3)*听晓无双率)/无双系数)&gt;0.9,特效裤子会心/会心系数,0)))</f>
        <v>0.8043</v>
      </c>
      <c r="X144">
        <f ca="1">IF(G144="恒定伤害",0,IF(COUNTIF(F144,"*内会*")&gt;0,内会效2,IF(D144="轻剑",$AB$2,$AB$3))+IFERROR(INDEX(技能数据库!$T$2:$W$27,MATCH(E144,技能数据库!$T$2:$T$27,0),3)/1024,0))+COUNTIF(G144,"*叠1*")*0.25+COUNTIF(G144,"*叠2*")*0.5+COUNTIF(G144,"*叠3*")*0.75</f>
        <v>2.4212723116</v>
      </c>
      <c r="Y144">
        <f ca="1" t="shared" ref="Y144:Y147" si="449">1+W144*(X144-1)</f>
        <v>2.14312932021988</v>
      </c>
      <c r="Z144">
        <f t="shared" ref="Z144:Z147" si="450">IF(G144="恒定伤害",0,非侠士伤害/1024)</f>
        <v>0.150390625</v>
      </c>
      <c r="AA144">
        <f ca="1" t="shared" ref="AA144:AA147" si="451">IF(D144="轻剑",$BA$2,$BA$3)/1024</f>
        <v>0.0205078125</v>
      </c>
      <c r="AB144">
        <f ca="1" t="shared" ref="AB144:AB147" si="452">V144*Y144*(1+Z144)*(1+AA144)</f>
        <v>6717615.57331571</v>
      </c>
      <c r="AC144">
        <f ca="1">技能数计算!$AJ136</f>
        <v>5</v>
      </c>
      <c r="AD144" s="164">
        <f ca="1" t="shared" ref="AD144:AD147" si="453">IFERROR(AB144*AC144/$AD$7,0)</f>
        <v>0.0120418060059188</v>
      </c>
      <c r="AE144" s="168"/>
      <c r="AF144" s="168">
        <f ca="1" t="shared" si="424"/>
        <v>0.8057</v>
      </c>
      <c r="AG144">
        <f ca="1">技能数计算!$AJ136</f>
        <v>5</v>
      </c>
      <c r="AH144">
        <f ca="1" t="shared" si="389"/>
        <v>109879</v>
      </c>
      <c r="AJ144">
        <f ca="1" t="shared" si="425"/>
        <v>2.6204910616</v>
      </c>
      <c r="AK144">
        <f ca="1" t="shared" ref="AK144:AK147" si="454">H144+AH144*I144+J144*(238.5+M144)+IF(K144&gt;0,MAX(1,K144*N144*破招全局系数),0)</f>
        <v>816526.68125</v>
      </c>
      <c r="AL144">
        <f ca="1" t="shared" si="391"/>
        <v>7494951.41526059</v>
      </c>
      <c r="AM144" s="169">
        <f ca="1" t="shared" si="426"/>
        <v>0.8272</v>
      </c>
      <c r="AN144">
        <f ca="1">技能数计算!$AJ136</f>
        <v>5</v>
      </c>
      <c r="AO144" s="170">
        <f ca="1" t="shared" si="393"/>
        <v>7608208.23790922</v>
      </c>
      <c r="AP144">
        <f ca="1" t="shared" si="394"/>
        <v>110956</v>
      </c>
      <c r="AQ144" s="170">
        <f ca="1" t="shared" ref="AQ144:AQ147" si="455">H144+AP144*I144+J144*M144+IF(K144&gt;0,MAX(1,K144*N144*破招全局系数),0)</f>
        <v>823662.725</v>
      </c>
      <c r="AR144">
        <f ca="1" t="shared" ref="AR144:AR147" si="456">IF(COUNTIF(G144,"*恒定伤害*")&gt;0,AB144,((AQ144*(1+P144)*(1+IF(COUNTIF(F144,"*内破*")&gt;0,内破,IF(D144="轻剑",$AQ$8,$AQ$9)/破防系数)+IF((IF(D144="轻剑",$AO$2,$AO$3)+INT(COUNTIF(G144,"*大莺鸣*")*IF(D144="轻剑",$AM$2,$AM$3)*听晓无双率)/无双系数)&gt;0.9,(特效裤子破防+特效裤子破防*IF(D144="轻剑",$AD$2+200,$AD$3+200)/1024)/破防系数,0))*(1-R144))*T144*(1+U144))*Y144*(1+Z144)*(1+AA144))</f>
        <v>7437840.36022298</v>
      </c>
      <c r="AS144">
        <f ca="1" t="shared" si="427"/>
        <v>0.8843</v>
      </c>
      <c r="AT144">
        <f ca="1">技能数计算!$AJ136</f>
        <v>5</v>
      </c>
      <c r="AU144">
        <f ca="1" t="shared" si="428"/>
        <v>2.5677566866</v>
      </c>
      <c r="AV144">
        <f ca="1" t="shared" si="440"/>
        <v>1.7995442148</v>
      </c>
      <c r="AW144">
        <f ca="1" t="shared" si="416"/>
        <v>7532593.94409169</v>
      </c>
      <c r="AX144">
        <f ca="1" t="shared" si="429"/>
        <v>0.8743</v>
      </c>
      <c r="AY144">
        <f ca="1">技能数计算!$AJ136</f>
        <v>5</v>
      </c>
      <c r="AZ144" s="170">
        <f ca="1" t="shared" si="417"/>
        <v>7483107.53506193</v>
      </c>
      <c r="BA144">
        <f ca="1" t="shared" si="430"/>
        <v>0.8643</v>
      </c>
      <c r="BB144">
        <f ca="1">技能数计算!$AJ136</f>
        <v>5</v>
      </c>
      <c r="BC144" s="170">
        <f ca="1" t="shared" si="418"/>
        <v>7433621.12603217</v>
      </c>
      <c r="BE144">
        <f ca="1" t="shared" si="400"/>
        <v>105849</v>
      </c>
      <c r="BF144">
        <f ca="1" t="shared" ref="BF144:BF147" si="457">H144+BE144*I144+J144*M144+IF(K144&gt;0,MAX(1,K144*N144*破招全局系数),0)</f>
        <v>787562.61875</v>
      </c>
      <c r="BI144">
        <f ca="1" t="shared" si="431"/>
        <v>0.8543</v>
      </c>
      <c r="BJ144">
        <f ca="1">技能数计算!$AJ136</f>
        <v>5</v>
      </c>
      <c r="BK144">
        <f ca="1" t="shared" si="402"/>
        <v>7407556.67572636</v>
      </c>
      <c r="BM144">
        <f ca="1" t="shared" si="403"/>
        <v>109230</v>
      </c>
      <c r="BN144">
        <f ca="1" t="shared" ref="BN144:BN147" si="458">H144+BM144*I144+J144*M144+IF(K144&gt;0,MAX(1,K144*N144*破招全局系数),0)</f>
        <v>811462.0625</v>
      </c>
      <c r="BO144">
        <f ca="1" t="shared" ref="BO144:BO147" si="459">IF(COUNTIF(G144,"*恒定伤害*")&gt;0,AB144,((BN144*(1+P144)*(1+IF(COUNTIF(F144,"*内破*")&gt;0,内破,IF(D144="轻剑",$BM$8,$BM$9)/破防系数)+IF((IF(D144="轻剑",$AO$2,$AO$3)+INT(COUNTIF(G144,"*大莺鸣*")*IF(D144="轻剑",$AM$2,$AM$3)*听晓无双率)/无双系数)&gt;0.9,(特效裤子破防+特效裤子破防*IF(D144="轻剑",$AD$2+102,$AD$3+102)/1024)/破防系数,0))*(1-R144))*T144*(1+U144))*Y144*(1+Z144)*(1+AA144))</f>
        <v>7475213.37039633</v>
      </c>
      <c r="BP144">
        <f ca="1" t="shared" si="441"/>
        <v>7128679.90804665</v>
      </c>
      <c r="BR144">
        <f ca="1" t="shared" si="432"/>
        <v>0.8543</v>
      </c>
      <c r="BS144">
        <f ca="1" t="shared" si="406"/>
        <v>7416802.37336217</v>
      </c>
      <c r="BT144">
        <f ca="1" t="shared" ref="BT144:BT147" si="460">IF(G144="恒定伤害",0,(($F$5-IF(D144="轻剑",$BB$2,$BB$3))*(1024-IF(D144="轻剑",$BD$2,$BD$3))/1024*(1024-IF(D144="轻剑",$BT$8,$BT$9)-COUNTIF(G144,"*雾锁*")*461*雾锁)/1024/(($F$5-IF(D144="轻剑",$BB$2,$BB$3))*(1024-IF(D144="轻剑",$BD$2,$BD$3))/1024*(1024-IF(D144="轻剑",$BT$8,$BT$9)-COUNTIF(G144,"*雾锁*")*461*雾锁)/1024+$F$7)))</f>
        <v>0.196995876306796</v>
      </c>
      <c r="BU144">
        <f ca="1" t="shared" si="433"/>
        <v>2.5677566866</v>
      </c>
      <c r="BV144">
        <f ca="1" t="shared" si="419"/>
        <v>7479612.38109729</v>
      </c>
      <c r="BW144">
        <f ca="1" t="shared" si="408"/>
        <v>113027</v>
      </c>
      <c r="BX144">
        <f ca="1" t="shared" ref="BX144:BX147" si="461">H144+BW144*I144+J144*M144+IF(K144&gt;0,MAX(1,K144*N144*破招全局系数),0)</f>
        <v>838302.10625</v>
      </c>
      <c r="BY144">
        <f ca="1" t="shared" si="434"/>
        <v>0.8343</v>
      </c>
      <c r="BZ144">
        <f ca="1">技能数计算!$AJ136</f>
        <v>5</v>
      </c>
      <c r="CA144">
        <f ca="1" t="shared" si="435"/>
        <v>2.5716629366</v>
      </c>
      <c r="CB144">
        <f ca="1" t="shared" si="420"/>
        <v>7711427.32995697</v>
      </c>
      <c r="CC144">
        <f ca="1" t="shared" si="411"/>
        <v>114847</v>
      </c>
      <c r="CD144">
        <f ca="1" t="shared" ref="CD144:CD147" si="462">H144+CC144*I144+J144*M144+IF(K144&gt;0,MAX(1,K144*N144*破招全局系数),0)</f>
        <v>851167.23125</v>
      </c>
      <c r="CE144">
        <f ca="1" t="shared" si="412"/>
        <v>7626255.8948526</v>
      </c>
      <c r="CF144">
        <f ca="1" t="shared" si="436"/>
        <v>2.5189285616</v>
      </c>
      <c r="CG144">
        <f ca="1" t="shared" si="437"/>
        <v>0.8343</v>
      </c>
      <c r="CH144">
        <f ca="1" t="shared" si="421"/>
        <v>7156574.15699503</v>
      </c>
      <c r="CJ144">
        <f ca="1" t="shared" ref="CJ144:CJ147" si="463">H144+BM144*I144+J144*M144+IF(K144&gt;0,MAX(1,K144*(N144+2667)*破招全局系数),0)</f>
        <v>811462.0625</v>
      </c>
      <c r="CK144">
        <f ca="1" t="shared" ref="CK144:CK147" si="464">IF(COUNTIF(G144,"*恒定伤害*")&gt;0,AB144,((CJ144*(1+P144)*(1+IF(COUNTIF(F144,"*内破*")&gt;0,内破,IF(D144="轻剑",$CI$8,$CI$9)/破防系数)+IF((IF(D144="轻剑",$AO$2,$AO$3)+INT(COUNTIF(G144,"*大莺鸣*")*IF(D144="轻剑",$AM$2,$AM$3)*听晓无双率)/无双系数)&gt;0.9,(特效裤子破防+特效裤子破防*IF(D144="轻剑",$AD$2+256,$AD$3+256)/1024)/破防系数,0))*(1-R144))*T144*(1+U144))*Y144*(1+Z144)*(1+AA144))</f>
        <v>7441351.06123972</v>
      </c>
      <c r="CL144">
        <f ca="1" t="shared" ref="CL144:CL147" si="465">X144+IF(D144="轻剑",$CL$8-$AB$2,$CL$9-$AB$3)</f>
        <v>2.5415848116</v>
      </c>
      <c r="CM144">
        <f ca="1">IF(G144="恒定伤害",0,(IF(D144="轻剑",$CM$8,$CM$9)+IFERROR(INDEX(技能数据库!$T$2:$W$27,MATCH(E144,技能数据库!$T$2:$T$27,0),4),0)+COUNTIF(G144,"*造化2*")*154+COUNTIF(G144,"*造化1*")*102+COUNTIF(G144,"*碧归*")*307)/1024)</f>
        <v>0.397571271929785</v>
      </c>
      <c r="CN144">
        <f ca="1" t="shared" si="422"/>
        <v>7543024.76321146</v>
      </c>
      <c r="CO144">
        <f ca="1" t="shared" ref="CO144:CO147" si="466">X144+IF(D144="轻剑",$CO$8-$AB$2,$CO$9-$AB$3)</f>
        <v>2.5656473116</v>
      </c>
      <c r="CP144">
        <f ca="1" t="shared" si="423"/>
        <v>7609262.41107517</v>
      </c>
      <c r="CQ144">
        <f ca="1" t="shared" si="442"/>
        <v>1.8815754648</v>
      </c>
      <c r="CR144">
        <f ca="1">IF(G144="恒定伤害",0,(IF(D144="轻剑",$CR$8,$CR$9)+IFERROR(INDEX(技能数据库!$T$2:$W$27,MATCH(E144,技能数据库!$T$2:$T$27,0),4),0)+COUNTIF(G144,"*造化2*")*154+COUNTIF(G144,"*造化1*")*102+COUNTIF(G144,"*碧归*")*307)/1024)</f>
        <v>0.387805646929785</v>
      </c>
      <c r="CS144">
        <f ca="1" t="shared" ref="CS144:CS147" si="467">IF(COUNTIF(G144,"*恒定伤害*")&gt;0,AB144,((O144*(1+CR144)*(1+Q144)*(1-R144))*T144*(1+CQ144))*Y144*(1+Z144)*(1+AA144))</f>
        <v>7227492.36721819</v>
      </c>
    </row>
    <row r="145" spans="4:97">
      <c r="D145" t="s">
        <v>1825</v>
      </c>
      <c r="E145" t="s">
        <v>2776</v>
      </c>
      <c r="G145" t="s">
        <v>3106</v>
      </c>
      <c r="H145">
        <f ca="1">INDEX(技能数据库!$B$2:$I$100,MATCH(阵眼收益计算!$E145,技能数据库!$B$2:$B$100,0),MATCH(H$9,技能数据库!$B$2:$I$2,0))</f>
        <v>281.5</v>
      </c>
      <c r="I145">
        <f ca="1">INDEX(技能数据库!$B$2:$I$100,MATCH(阵眼收益计算!$E145,技能数据库!$B$2:$B$100,0),MATCH(I$9,技能数据库!$B$2:$I$2,0))</f>
        <v>7.06875</v>
      </c>
      <c r="J145">
        <f ca="1">INDEX(技能数据库!$B$2:$I$100,MATCH(阵眼收益计算!$E145,技能数据库!$B$2:$B$100,0),MATCH(J$9,技能数据库!$B$2:$I$2,0))</f>
        <v>2</v>
      </c>
      <c r="K145">
        <f ca="1">INDEX(技能数据库!$B$2:$I$100,MATCH(阵眼收益计算!$E145,技能数据库!$B$2:$B$100,0),MATCH(K$9,技能数据库!$B$2:$I$2,0))</f>
        <v>0</v>
      </c>
      <c r="L145">
        <f ca="1" t="shared" si="387"/>
        <v>105847</v>
      </c>
      <c r="M145">
        <f ca="1" t="shared" si="443"/>
        <v>19530.5</v>
      </c>
      <c r="N145">
        <f ca="1" t="shared" si="444"/>
        <v>92028</v>
      </c>
      <c r="O145">
        <f ca="1" t="shared" si="445"/>
        <v>787548.48125</v>
      </c>
      <c r="P145">
        <f ca="1">IF(G145="恒定伤害",0,(IF(D145="轻剑",$AZ$2,$AZ$3)+IFERROR(INDEX(技能数据库!$T$2:$W$27,MATCH(E145,技能数据库!$T$2:$T$27,0),4),0)+COUNTIF(G145,"*造化2*")*154+COUNTIF(G145,"*造化1*")*102+COUNTIF(G145,"*碧归*")*307)/1024)</f>
        <v>0.337024396929785</v>
      </c>
      <c r="Q145">
        <f ca="1" t="shared" si="438"/>
        <v>0.448284482196154</v>
      </c>
      <c r="R145">
        <f ca="1" t="shared" si="446"/>
        <v>0.21277697966198</v>
      </c>
      <c r="S145">
        <f ca="1" t="shared" si="447"/>
        <v>1200516.94160105</v>
      </c>
      <c r="T145">
        <f t="shared" si="178"/>
        <v>0.8</v>
      </c>
      <c r="U145">
        <f ca="1" t="shared" si="439"/>
        <v>1.7800129648</v>
      </c>
      <c r="V145">
        <f ca="1" t="shared" si="448"/>
        <v>2669962.12969036</v>
      </c>
      <c r="W145">
        <f ca="1">IF(G145="恒定伤害",0,MIN(1,IF(COUNTIF(F145,"*内会*")&gt;0,内会2,IF(D145="轻剑",$Y$2,$Y$3)+COUNTIF(G145,"*莺鸣*")*0.2+COUNTIF(G145,"*叠1*")*0.1+COUNTIF(G145,"*叠2*")*0.2+COUNTIF(G145,"*叠3*")*0.3)+IFERROR(INDEX(技能数据库!$T$2:$W$27,MATCH(E145,技能数据库!$T$2:$T$27,0),2),0)+IF((IF(D145="轻剑",$AO$2,$AO$3)+INT(COUNTIF(G145,"*大莺鸣*")*IF(D145="轻剑",$AM$2,$AM$3)*听晓无双率)/无双系数)&gt;0.9,特效裤子会心/会心系数,0)))</f>
        <v>0.9043</v>
      </c>
      <c r="X145">
        <f ca="1">IF(G145="恒定伤害",0,IF(COUNTIF(F145,"*内会*")&gt;0,内会效2,IF(D145="轻剑",$AB$2,$AB$3))+IFERROR(INDEX(技能数据库!$T$2:$W$27,MATCH(E145,技能数据库!$T$2:$T$27,0),3)/1024,0))+COUNTIF(G145,"*叠1*")*0.25+COUNTIF(G145,"*叠2*")*0.5+COUNTIF(G145,"*叠3*")*0.75</f>
        <v>2.6712723116</v>
      </c>
      <c r="Y145">
        <f ca="1" t="shared" si="449"/>
        <v>2.51133155137988</v>
      </c>
      <c r="Z145">
        <f t="shared" si="450"/>
        <v>0.150390625</v>
      </c>
      <c r="AA145">
        <f ca="1" t="shared" si="451"/>
        <v>0.0205078125</v>
      </c>
      <c r="AB145">
        <f ca="1" t="shared" si="452"/>
        <v>7871741.46708877</v>
      </c>
      <c r="AC145">
        <f ca="1">技能数计算!$AJ137</f>
        <v>0</v>
      </c>
      <c r="AD145" s="164">
        <f ca="1" t="shared" si="453"/>
        <v>0</v>
      </c>
      <c r="AE145" s="168"/>
      <c r="AF145" s="168">
        <f ca="1" t="shared" ref="AF145:AF148" si="468">W145+IF(COUNTIF(F145,"*内会*")&gt;0,0,IF(D145="轻剑",$AF$8-$Y$2,$AF$9-$Y$3))</f>
        <v>0.9057</v>
      </c>
      <c r="AG145">
        <f ca="1">技能数计算!$AJ137</f>
        <v>0</v>
      </c>
      <c r="AH145">
        <f ca="1" t="shared" si="389"/>
        <v>109879</v>
      </c>
      <c r="AJ145">
        <f ca="1" t="shared" ref="AJ145:AJ148" si="469">X145+IF(COUNTIF(F145,"*内会*")&gt;0,0,IF(D145="轻剑",$AJ$8-$AB$2,$AJ$9-$AB$3))</f>
        <v>2.8704910616</v>
      </c>
      <c r="AK145">
        <f ca="1" t="shared" si="454"/>
        <v>816526.68125</v>
      </c>
      <c r="AL145">
        <f ca="1" t="shared" si="391"/>
        <v>8757771.12000523</v>
      </c>
      <c r="AM145" s="169">
        <f ca="1" t="shared" ref="AM145:AM148" si="470">W145+IF(COUNTIF(F145,"*内会*")&gt;0,0,IF(D145="轻剑",$AN$8-$Y$2,$AN$9-$Y$3))</f>
        <v>0.9272</v>
      </c>
      <c r="AN145">
        <f ca="1">技能数计算!$AJ137</f>
        <v>0</v>
      </c>
      <c r="AO145" s="170">
        <f ca="1" t="shared" si="393"/>
        <v>8888500.55100888</v>
      </c>
      <c r="AP145">
        <f ca="1" t="shared" si="394"/>
        <v>110956</v>
      </c>
      <c r="AQ145" s="170">
        <f ca="1" t="shared" si="455"/>
        <v>823662.725</v>
      </c>
      <c r="AR145">
        <f ca="1" t="shared" si="456"/>
        <v>8715705.11145742</v>
      </c>
      <c r="AS145">
        <f ca="1" t="shared" ref="AS145:AS148" si="471">W145+IF(COUNTIF(F145,"*内会*")&gt;0,0,IF(D145="轻剑",$AS$8-$Y$2,$AS$9-$Y$3))</f>
        <v>0.9843</v>
      </c>
      <c r="AT145">
        <f ca="1">技能数计算!$AJ137</f>
        <v>0</v>
      </c>
      <c r="AU145">
        <f ca="1" t="shared" ref="AU145:AU148" si="472">X145+IF(COUNTIF(F145,"*内会*")&gt;0,0,IF(D145="轻剑",$AU$8-$AB$2,$AU$9-$AB$3))</f>
        <v>2.8177566866</v>
      </c>
      <c r="AV145">
        <f ca="1" t="shared" si="440"/>
        <v>1.7995442148</v>
      </c>
      <c r="AW145">
        <f ca="1" t="shared" si="416"/>
        <v>8804196.42792196</v>
      </c>
      <c r="AX145">
        <f ca="1" t="shared" ref="AX145:AX148" si="473">$W145+IF(COUNTIF(F145,"*内会*")&gt;0,0,IF(I145="轻剑",AX$8-$Y$2,AX$9-$Y$3))</f>
        <v>0.9743</v>
      </c>
      <c r="AY145">
        <f ca="1">技能数计算!$AJ137</f>
        <v>0</v>
      </c>
      <c r="AZ145" s="170">
        <f ca="1" t="shared" si="417"/>
        <v>8746818.74190823</v>
      </c>
      <c r="BA145">
        <f ca="1" t="shared" ref="BA145:BA148" si="474">$W145+IF(COUNTIF(F145,"*内会*")&gt;0,0,IF(L145="轻剑",BA$8-$Y$2,BA$9-$Y$3))</f>
        <v>0.9643</v>
      </c>
      <c r="BB145">
        <f ca="1">技能数计算!$AJ137</f>
        <v>0</v>
      </c>
      <c r="BC145" s="170">
        <f ca="1" t="shared" si="418"/>
        <v>8689441.05589449</v>
      </c>
      <c r="BE145">
        <f ca="1" t="shared" si="400"/>
        <v>105849</v>
      </c>
      <c r="BF145">
        <f ca="1" t="shared" si="457"/>
        <v>787562.61875</v>
      </c>
      <c r="BI145">
        <f ca="1" t="shared" ref="BI145:BI148" si="475">$W145+IF(COUNTIF(F145,"*内会*")&gt;0,0,IF(T145="轻剑",BI$8-$Y$2,BI$9-$Y$3))</f>
        <v>0.9543</v>
      </c>
      <c r="BJ145">
        <f ca="1">技能数计算!$AJ137</f>
        <v>0</v>
      </c>
      <c r="BK145">
        <f ca="1" t="shared" si="402"/>
        <v>8681191.55564003</v>
      </c>
      <c r="BM145">
        <f ca="1" t="shared" si="403"/>
        <v>109230</v>
      </c>
      <c r="BN145">
        <f ca="1" t="shared" si="458"/>
        <v>811462.0625</v>
      </c>
      <c r="BO145">
        <f ca="1" t="shared" si="459"/>
        <v>8759499.02474714</v>
      </c>
      <c r="BP145">
        <f ca="1" t="shared" si="441"/>
        <v>8353429.07395277</v>
      </c>
      <c r="BR145">
        <f ca="1" t="shared" ref="BR145:BR148" si="476">$W145+IF(T145="轻剑",BI$8-$Y$2,BI$9-$Y$3)</f>
        <v>0.9543</v>
      </c>
      <c r="BS145">
        <f ca="1" t="shared" si="406"/>
        <v>8692026.93304659</v>
      </c>
      <c r="BT145">
        <f ca="1" t="shared" si="460"/>
        <v>0.196995876306796</v>
      </c>
      <c r="BU145">
        <f ca="1" t="shared" ref="BU145:BU148" si="477">X145+IF(D145="轻剑",$AU$8-$AB$2,$AU$9-$AB$3)</f>
        <v>2.8177566866</v>
      </c>
      <c r="BV145">
        <f ca="1" t="shared" si="419"/>
        <v>8743676.88703091</v>
      </c>
      <c r="BW145">
        <f ca="1" t="shared" si="408"/>
        <v>113027</v>
      </c>
      <c r="BX145">
        <f ca="1" t="shared" si="461"/>
        <v>838302.10625</v>
      </c>
      <c r="BY145">
        <f ca="1" t="shared" ref="BY145:BY148" si="478">$W145+IF(COUNTIF(F145,"*内会*")&gt;0,0,IF(AI145="轻剑",BY$8-$Y$2,BY$9-$Y$3))</f>
        <v>0.9343</v>
      </c>
      <c r="BZ145">
        <f ca="1">技能数计算!$AJ137</f>
        <v>0</v>
      </c>
      <c r="CA145">
        <f ca="1" t="shared" ref="CA145:CA148" si="479">X145+IF(COUNTIF(F145,"*内会*")&gt;0,0,IF(D145="轻剑",$CA$8-$AB$2,$CA$9-$AB$3))</f>
        <v>2.8216629366</v>
      </c>
      <c r="CB145">
        <f ca="1" t="shared" si="420"/>
        <v>9015132.350828</v>
      </c>
      <c r="CC145">
        <f ca="1" t="shared" si="411"/>
        <v>114847</v>
      </c>
      <c r="CD145">
        <f ca="1" t="shared" si="462"/>
        <v>851167.23125</v>
      </c>
      <c r="CE145">
        <f ca="1" t="shared" si="412"/>
        <v>8937100.42372774</v>
      </c>
      <c r="CF145">
        <f ca="1" t="shared" ref="CF145:CF148" si="480">X145+IF(COUNTIF(F145,"*内会*")&gt;0,0,IF(D145="轻剑",$CF$8-$AB$2,$CF$9-$AB$3))</f>
        <v>2.7689285616</v>
      </c>
      <c r="CG145">
        <f ca="1" t="shared" ref="CG145:CG148" si="481">$W145+IF(AI145="轻剑",BY$8-$Y$2,BY$9-$Y$3)</f>
        <v>0.9343</v>
      </c>
      <c r="CH145">
        <f ca="1" t="shared" si="421"/>
        <v>8373307.6055461</v>
      </c>
      <c r="CJ145">
        <f ca="1" t="shared" si="463"/>
        <v>811462.0625</v>
      </c>
      <c r="CK145">
        <f ca="1" t="shared" si="464"/>
        <v>8719818.97157198</v>
      </c>
      <c r="CL145">
        <f ca="1" t="shared" si="465"/>
        <v>2.7915848116</v>
      </c>
      <c r="CM145">
        <f ca="1">IF(G145="恒定伤害",0,(IF(D145="轻剑",$CM$8,$CM$9)+IFERROR(INDEX(技能数据库!$T$2:$W$27,MATCH(E145,技能数据库!$T$2:$T$27,0),4),0)+COUNTIF(G145,"*造化2*")*154+COUNTIF(G145,"*造化1*")*102+COUNTIF(G145,"*碧归*")*307)/1024)</f>
        <v>0.397571271929785</v>
      </c>
      <c r="CN145">
        <f ca="1" t="shared" si="422"/>
        <v>8822333.05849525</v>
      </c>
      <c r="CO145">
        <f ca="1" t="shared" si="466"/>
        <v>2.8156473116</v>
      </c>
      <c r="CP145">
        <f ca="1" t="shared" si="423"/>
        <v>8896510.01450516</v>
      </c>
      <c r="CQ145">
        <f ca="1" t="shared" si="442"/>
        <v>1.8815754648</v>
      </c>
      <c r="CR145">
        <f ca="1">IF(G145="恒定伤害",0,(IF(D145="轻剑",$CR$8,$CR$9)+IFERROR(INDEX(技能数据库!$T$2:$W$27,MATCH(E145,技能数据库!$T$2:$T$27,0),4),0)+COUNTIF(G145,"*造化2*")*154+COUNTIF(G145,"*造化1*")*102+COUNTIF(G145,"*碧归*")*307)/1024)</f>
        <v>0.387805646929785</v>
      </c>
      <c r="CS145">
        <f ca="1" t="shared" si="467"/>
        <v>8469218.09519646</v>
      </c>
    </row>
    <row r="146" spans="4:97">
      <c r="D146" t="s">
        <v>1825</v>
      </c>
      <c r="E146" t="s">
        <v>2776</v>
      </c>
      <c r="G146" t="s">
        <v>3107</v>
      </c>
      <c r="H146">
        <f ca="1">INDEX(技能数据库!$B$2:$I$100,MATCH(阵眼收益计算!$E146,技能数据库!$B$2:$B$100,0),MATCH(H$9,技能数据库!$B$2:$I$2,0))</f>
        <v>281.5</v>
      </c>
      <c r="I146">
        <f ca="1">INDEX(技能数据库!$B$2:$I$100,MATCH(阵眼收益计算!$E146,技能数据库!$B$2:$B$100,0),MATCH(I$9,技能数据库!$B$2:$I$2,0))</f>
        <v>7.06875</v>
      </c>
      <c r="J146">
        <f ca="1">INDEX(技能数据库!$B$2:$I$100,MATCH(阵眼收益计算!$E146,技能数据库!$B$2:$B$100,0),MATCH(J$9,技能数据库!$B$2:$I$2,0))</f>
        <v>2</v>
      </c>
      <c r="K146">
        <f ca="1">INDEX(技能数据库!$B$2:$I$100,MATCH(阵眼收益计算!$E146,技能数据库!$B$2:$B$100,0),MATCH(K$9,技能数据库!$B$2:$I$2,0))</f>
        <v>0</v>
      </c>
      <c r="L146">
        <f ca="1" t="shared" si="387"/>
        <v>105847</v>
      </c>
      <c r="M146">
        <f ca="1" t="shared" si="443"/>
        <v>19530.5</v>
      </c>
      <c r="N146">
        <f ca="1" t="shared" si="444"/>
        <v>92028</v>
      </c>
      <c r="O146">
        <f ca="1" t="shared" si="445"/>
        <v>787548.48125</v>
      </c>
      <c r="P146">
        <f ca="1">IF(G146="恒定伤害",0,(IF(D146="轻剑",$AZ$2,$AZ$3)+IFERROR(INDEX(技能数据库!$T$2:$W$27,MATCH(E146,技能数据库!$T$2:$T$27,0),4),0)+COUNTIF(G146,"*造化2*")*154+COUNTIF(G146,"*造化1*")*102+COUNTIF(G146,"*碧归*")*307)/1024)</f>
        <v>0.337024396929785</v>
      </c>
      <c r="Q146">
        <f ca="1" t="shared" si="438"/>
        <v>0.448284482196154</v>
      </c>
      <c r="R146">
        <f ca="1" t="shared" si="446"/>
        <v>0.21277697966198</v>
      </c>
      <c r="S146">
        <f ca="1" t="shared" si="447"/>
        <v>1200516.94160105</v>
      </c>
      <c r="T146">
        <f t="shared" si="178"/>
        <v>0.8</v>
      </c>
      <c r="U146">
        <f ca="1" t="shared" si="439"/>
        <v>1.7800129648</v>
      </c>
      <c r="V146">
        <f ca="1" t="shared" si="448"/>
        <v>2669962.12969036</v>
      </c>
      <c r="W146">
        <f ca="1">IF(G146="恒定伤害",0,MIN(1,IF(COUNTIF(F146,"*内会*")&gt;0,内会2,IF(D146="轻剑",$Y$2,$Y$3)+COUNTIF(G146,"*莺鸣*")*0.2+COUNTIF(G146,"*叠1*")*0.1+COUNTIF(G146,"*叠2*")*0.2+COUNTIF(G146,"*叠3*")*0.3)+IFERROR(INDEX(技能数据库!$T$2:$W$27,MATCH(E146,技能数据库!$T$2:$T$27,0),2),0)+IF((IF(D146="轻剑",$AO$2,$AO$3)+INT(COUNTIF(G146,"*大莺鸣*")*IF(D146="轻剑",$AM$2,$AM$3)*听晓无双率)/无双系数)&gt;0.9,特效裤子会心/会心系数,0)))</f>
        <v>1</v>
      </c>
      <c r="X146">
        <f ca="1">IF(G146="恒定伤害",0,IF(COUNTIF(F146,"*内会*")&gt;0,内会效2,IF(D146="轻剑",$AB$2,$AB$3))+IFERROR(INDEX(技能数据库!$T$2:$W$27,MATCH(E146,技能数据库!$T$2:$T$27,0),3)/1024,0))+COUNTIF(G146,"*叠1*")*0.25+COUNTIF(G146,"*叠2*")*0.5+COUNTIF(G146,"*叠3*")*0.75</f>
        <v>2.9212723116</v>
      </c>
      <c r="Y146">
        <f ca="1" t="shared" si="449"/>
        <v>2.9212723116</v>
      </c>
      <c r="Z146">
        <f t="shared" si="450"/>
        <v>0.150390625</v>
      </c>
      <c r="AA146">
        <f ca="1" t="shared" si="451"/>
        <v>0.0205078125</v>
      </c>
      <c r="AB146">
        <f ca="1" t="shared" si="452"/>
        <v>9156696.32679319</v>
      </c>
      <c r="AC146">
        <f ca="1">技能数计算!$AJ138</f>
        <v>18</v>
      </c>
      <c r="AD146" s="164">
        <f ca="1" t="shared" si="453"/>
        <v>0.0590905172569353</v>
      </c>
      <c r="AE146" s="168"/>
      <c r="AF146" s="168">
        <f ca="1" t="shared" si="468"/>
        <v>1.0014</v>
      </c>
      <c r="AG146">
        <f ca="1">技能数计算!$AJ138</f>
        <v>18</v>
      </c>
      <c r="AH146">
        <f ca="1" t="shared" si="389"/>
        <v>109879</v>
      </c>
      <c r="AJ146">
        <f ca="1" t="shared" si="469"/>
        <v>3.1204910616</v>
      </c>
      <c r="AK146">
        <f ca="1" t="shared" si="454"/>
        <v>816526.68125</v>
      </c>
      <c r="AL146">
        <f ca="1" t="shared" si="391"/>
        <v>10143835.9431992</v>
      </c>
      <c r="AM146" s="169">
        <f ca="1" t="shared" si="470"/>
        <v>1.0229</v>
      </c>
      <c r="AN146">
        <f ca="1">技能数计算!$AJ138</f>
        <v>18</v>
      </c>
      <c r="AO146" s="170">
        <f ca="1" t="shared" si="393"/>
        <v>10143835.9431992</v>
      </c>
      <c r="AP146">
        <f ca="1" t="shared" si="394"/>
        <v>110956</v>
      </c>
      <c r="AQ146" s="170">
        <f ca="1" t="shared" si="455"/>
        <v>823662.725</v>
      </c>
      <c r="AR146">
        <f ca="1" t="shared" si="456"/>
        <v>10138425.5711602</v>
      </c>
      <c r="AS146">
        <f ca="1" t="shared" si="471"/>
        <v>1.08</v>
      </c>
      <c r="AT146">
        <f ca="1">技能数计算!$AJ138</f>
        <v>18</v>
      </c>
      <c r="AU146">
        <f ca="1" t="shared" si="472"/>
        <v>3.0677566866</v>
      </c>
      <c r="AV146">
        <f ca="1" t="shared" si="440"/>
        <v>1.7995442148</v>
      </c>
      <c r="AW146">
        <f ca="1" t="shared" si="416"/>
        <v>9683407.09336104</v>
      </c>
      <c r="AX146">
        <f ca="1" t="shared" si="473"/>
        <v>1.07</v>
      </c>
      <c r="AY146">
        <f ca="1">技能数计算!$AJ138</f>
        <v>18</v>
      </c>
      <c r="AZ146" s="170">
        <f ca="1" t="shared" si="417"/>
        <v>9683407.09336104</v>
      </c>
      <c r="BA146">
        <f ca="1" t="shared" si="474"/>
        <v>1.06</v>
      </c>
      <c r="BB146">
        <f ca="1">技能数计算!$AJ138</f>
        <v>18</v>
      </c>
      <c r="BC146" s="170">
        <f ca="1" t="shared" si="418"/>
        <v>9683407.09336104</v>
      </c>
      <c r="BE146">
        <f ca="1" t="shared" si="400"/>
        <v>105849</v>
      </c>
      <c r="BF146">
        <f ca="1" t="shared" si="457"/>
        <v>787562.61875</v>
      </c>
      <c r="BI146">
        <f ca="1" t="shared" si="475"/>
        <v>1.05</v>
      </c>
      <c r="BJ146">
        <f ca="1">技能数计算!$AJ138</f>
        <v>18</v>
      </c>
      <c r="BK146">
        <f ca="1" t="shared" si="402"/>
        <v>9773082.49138184</v>
      </c>
      <c r="BM146">
        <f ca="1" t="shared" si="403"/>
        <v>109230</v>
      </c>
      <c r="BN146">
        <f ca="1" t="shared" si="458"/>
        <v>811462.0625</v>
      </c>
      <c r="BO146">
        <f ca="1" t="shared" si="459"/>
        <v>10189368.2458698</v>
      </c>
      <c r="BP146">
        <f ca="1" t="shared" si="441"/>
        <v>9717012.89192354</v>
      </c>
      <c r="BR146">
        <f ca="1" t="shared" si="476"/>
        <v>1.05</v>
      </c>
      <c r="BS146">
        <f ca="1" t="shared" si="406"/>
        <v>9785280.70594039</v>
      </c>
      <c r="BT146">
        <f ca="1" t="shared" si="460"/>
        <v>0.196995876306796</v>
      </c>
      <c r="BU146">
        <f ca="1" t="shared" si="477"/>
        <v>3.0677566866</v>
      </c>
      <c r="BV146">
        <f ca="1" t="shared" si="419"/>
        <v>9808614.59907258</v>
      </c>
      <c r="BW146">
        <f ca="1" t="shared" si="408"/>
        <v>113027</v>
      </c>
      <c r="BX146">
        <f ca="1" t="shared" si="461"/>
        <v>838302.10625</v>
      </c>
      <c r="BY146">
        <f ca="1" t="shared" si="478"/>
        <v>1.03</v>
      </c>
      <c r="BZ146">
        <f ca="1">技能数计算!$AJ138</f>
        <v>18</v>
      </c>
      <c r="CA146">
        <f ca="1" t="shared" si="479"/>
        <v>3.0716629366</v>
      </c>
      <c r="CB146">
        <f ca="1" t="shared" si="420"/>
        <v>10248577.4036296</v>
      </c>
      <c r="CC146">
        <f ca="1" t="shared" si="411"/>
        <v>114847</v>
      </c>
      <c r="CD146">
        <f ca="1" t="shared" si="462"/>
        <v>851167.23125</v>
      </c>
      <c r="CE146">
        <f ca="1" t="shared" si="412"/>
        <v>10192470.2847573</v>
      </c>
      <c r="CF146">
        <f ca="1" t="shared" si="480"/>
        <v>3.0189285616</v>
      </c>
      <c r="CG146">
        <f ca="1" t="shared" si="481"/>
        <v>1.03</v>
      </c>
      <c r="CH146">
        <f ca="1" t="shared" si="421"/>
        <v>9529280.58976778</v>
      </c>
      <c r="CJ146">
        <f ca="1" t="shared" si="463"/>
        <v>811462.0625</v>
      </c>
      <c r="CK146">
        <f ca="1" t="shared" si="464"/>
        <v>10143210.9630531</v>
      </c>
      <c r="CL146">
        <f ca="1" t="shared" si="465"/>
        <v>3.0415848116</v>
      </c>
      <c r="CM146">
        <f ca="1">IF(G146="恒定伤害",0,(IF(D146="轻剑",$CM$8,$CM$9)+IFERROR(INDEX(技能数据库!$T$2:$W$27,MATCH(E146,技能数据库!$T$2:$T$27,0),4),0)+COUNTIF(G146,"*造化2*")*154+COUNTIF(G146,"*造化1*")*102+COUNTIF(G146,"*碧归*")*307)/1024)</f>
        <v>0.397571271929785</v>
      </c>
      <c r="CN146">
        <f ca="1" t="shared" si="422"/>
        <v>10035565.3286578</v>
      </c>
      <c r="CO146">
        <f ca="1" t="shared" si="466"/>
        <v>3.0656473116</v>
      </c>
      <c r="CP146">
        <f ca="1" t="shared" si="423"/>
        <v>10114958.4101197</v>
      </c>
      <c r="CQ146">
        <f ca="1" t="shared" si="442"/>
        <v>1.8815754648</v>
      </c>
      <c r="CR146">
        <f ca="1">IF(G146="恒定伤害",0,(IF(D146="轻剑",$CR$8,$CR$9)+IFERROR(INDEX(技能数据库!$T$2:$W$27,MATCH(E146,技能数据库!$T$2:$T$27,0),4),0)+COUNTIF(G146,"*造化2*")*154+COUNTIF(G146,"*造化1*")*102+COUNTIF(G146,"*碧归*")*307)/1024)</f>
        <v>0.387805646929785</v>
      </c>
      <c r="CS146">
        <f ca="1" t="shared" si="467"/>
        <v>9851702.89793275</v>
      </c>
    </row>
    <row r="147" spans="4:97">
      <c r="D147" t="s">
        <v>1825</v>
      </c>
      <c r="E147" t="s">
        <v>2780</v>
      </c>
      <c r="G147" t="s">
        <v>3105</v>
      </c>
      <c r="H147">
        <f ca="1">INDEX(技能数据库!$B$2:$I$100,MATCH(阵眼收益计算!$E147,技能数据库!$B$2:$B$100,0),MATCH(H$9,技能数据库!$B$2:$I$2,0))</f>
        <v>252.5</v>
      </c>
      <c r="I147">
        <f ca="1">INDEX(技能数据库!$B$2:$I$100,MATCH(阵眼收益计算!$E147,技能数据库!$B$2:$B$100,0),MATCH(I$9,技能数据库!$B$2:$I$2,0))</f>
        <v>2.11875</v>
      </c>
      <c r="J147">
        <f ca="1">INDEX(技能数据库!$B$2:$I$100,MATCH(阵眼收益计算!$E147,技能数据库!$B$2:$B$100,0),MATCH(J$9,技能数据库!$B$2:$I$2,0))</f>
        <v>2</v>
      </c>
      <c r="K147">
        <f ca="1">INDEX(技能数据库!$B$2:$I$100,MATCH(阵眼收益计算!$E147,技能数据库!$B$2:$B$100,0),MATCH(K$9,技能数据库!$B$2:$I$2,0))</f>
        <v>0</v>
      </c>
      <c r="L147">
        <f ca="1" t="shared" si="387"/>
        <v>105847</v>
      </c>
      <c r="M147">
        <f ca="1" t="shared" si="443"/>
        <v>19530.5</v>
      </c>
      <c r="N147">
        <f ca="1" t="shared" si="444"/>
        <v>92028</v>
      </c>
      <c r="O147">
        <f ca="1" t="shared" si="445"/>
        <v>263576.83125</v>
      </c>
      <c r="P147">
        <f ca="1">IF(G147="恒定伤害",0,(IF(D147="轻剑",$AZ$2,$AZ$3)+IFERROR(INDEX(技能数据库!$T$2:$W$27,MATCH(E147,技能数据库!$T$2:$T$27,0),4),0)+COUNTIF(G147,"*造化2*")*154+COUNTIF(G147,"*造化1*")*102+COUNTIF(G147,"*碧归*")*307)/1024)</f>
        <v>0.337024396929785</v>
      </c>
      <c r="Q147">
        <f ca="1" t="shared" ref="Q147:Q150" si="482">IF(G147="恒定伤害",0,(IF(COUNTIF(F147,"*内破*")&gt;0,内破,IF(D147="轻剑",$AF$2,$AF$3)/破防系数))+IF((IF(D147="轻剑",$AO$2,$AO$3)+INT(COUNTIF(G147,"*大莺鸣*")*IF(D147="轻剑",$AM$2,$AM$3)*听晓无双率)/无双系数)&gt;0.9,(特效裤子破防+特效裤子破防*IF(D147="轻剑",$AD$2,$AD$3)/1024)/破防系数,0))</f>
        <v>0.448284482196154</v>
      </c>
      <c r="R147">
        <f ca="1" t="shared" si="446"/>
        <v>0.21277697966198</v>
      </c>
      <c r="S147">
        <f ca="1" t="shared" si="447"/>
        <v>401789.170905274</v>
      </c>
      <c r="T147">
        <f t="shared" si="178"/>
        <v>0.8</v>
      </c>
      <c r="U147">
        <f ca="1" t="shared" ref="U147:U150" si="483">IF(G147="恒定伤害",0,(IF(D147="轻剑",$AO$2,$AO$3)+INT(COUNTIF(G147,"*大莺鸣*")*IF(D147="轻剑",$AM$2,$AM$3)*听晓无双率)/无双系数)+IF((IF(D147="轻剑",$AO$2,$AO$3)+INT(COUNTIF(G147,"*大莺鸣*")*IF(D147="轻剑",$AM$2,$AM$3)*听晓无双率)/无双系数)&lt;=0.9,特效裤子无双,0))</f>
        <v>1.7800129648</v>
      </c>
      <c r="V147">
        <f ca="1" t="shared" si="448"/>
        <v>893583.283386323</v>
      </c>
      <c r="W147">
        <f ca="1">IF(G147="恒定伤害",0,MIN(1,IF(COUNTIF(F147,"*内会*")&gt;0,内会2,IF(D147="轻剑",$Y$2,$Y$3)+COUNTIF(G147,"*莺鸣*")*0.2+COUNTIF(G147,"*叠1*")*0.1+COUNTIF(G147,"*叠2*")*0.2+COUNTIF(G147,"*叠3*")*0.3)+IFERROR(INDEX(技能数据库!$T$2:$W$27,MATCH(E147,技能数据库!$T$2:$T$27,0),2),0)+IF((IF(D147="轻剑",$AO$2,$AO$3)+INT(COUNTIF(G147,"*大莺鸣*")*IF(D147="轻剑",$AM$2,$AM$3)*听晓无双率)/无双系数)&gt;0.9,特效裤子会心/会心系数,0)))</f>
        <v>0.8043</v>
      </c>
      <c r="X147">
        <f ca="1">IF(G147="恒定伤害",0,IF(COUNTIF(F147,"*内会*")&gt;0,内会效2,IF(D147="轻剑",$AB$2,$AB$3))+IFERROR(INDEX(技能数据库!$T$2:$W$27,MATCH(E147,技能数据库!$T$2:$T$27,0),3)/1024,0))+COUNTIF(G147,"*叠1*")*0.25+COUNTIF(G147,"*叠2*")*0.5+COUNTIF(G147,"*叠3*")*0.75</f>
        <v>2.4212723116</v>
      </c>
      <c r="Y147">
        <f ca="1" t="shared" si="449"/>
        <v>2.14312932021988</v>
      </c>
      <c r="Z147">
        <f t="shared" si="450"/>
        <v>0.150390625</v>
      </c>
      <c r="AA147">
        <f ca="1" t="shared" si="451"/>
        <v>0.0205078125</v>
      </c>
      <c r="AB147">
        <f ca="1" t="shared" si="452"/>
        <v>2248252.4803551</v>
      </c>
      <c r="AC147" s="171">
        <f ca="1">技能数计算!$AJ139</f>
        <v>5</v>
      </c>
      <c r="AD147" s="164">
        <f ca="1" t="shared" si="453"/>
        <v>0.0040301532478732</v>
      </c>
      <c r="AE147" s="168"/>
      <c r="AF147" s="168">
        <f ca="1" t="shared" si="468"/>
        <v>0.8057</v>
      </c>
      <c r="AG147" s="171">
        <f ca="1">技能数计算!$AJ139</f>
        <v>5</v>
      </c>
      <c r="AH147">
        <f ca="1" t="shared" si="389"/>
        <v>109879</v>
      </c>
      <c r="AJ147">
        <f ca="1" t="shared" si="469"/>
        <v>2.6204910616</v>
      </c>
      <c r="AK147">
        <f ca="1" t="shared" si="454"/>
        <v>272596.63125</v>
      </c>
      <c r="AL147">
        <f ca="1" t="shared" si="391"/>
        <v>2502182.17493485</v>
      </c>
      <c r="AM147" s="169">
        <f ca="1" t="shared" si="470"/>
        <v>0.8272</v>
      </c>
      <c r="AN147" s="171">
        <f ca="1">技能数计算!$AJ139</f>
        <v>5</v>
      </c>
      <c r="AO147" s="170">
        <f ca="1" t="shared" si="393"/>
        <v>2539992.85403333</v>
      </c>
      <c r="AP147">
        <f ca="1" t="shared" si="394"/>
        <v>110956</v>
      </c>
      <c r="AQ147" s="170">
        <f ca="1" t="shared" si="455"/>
        <v>274401.525</v>
      </c>
      <c r="AR147">
        <f ca="1" t="shared" si="456"/>
        <v>2477901.05780462</v>
      </c>
      <c r="AS147">
        <f ca="1" t="shared" si="471"/>
        <v>0.8843</v>
      </c>
      <c r="AT147" s="171">
        <f ca="1">技能数计算!$AJ139</f>
        <v>5</v>
      </c>
      <c r="AU147">
        <f ca="1" t="shared" si="472"/>
        <v>2.5677566866</v>
      </c>
      <c r="AV147">
        <f ca="1" t="shared" ref="AV147:AV150" si="484">IF(G147="恒定伤害",0,(IF(D147="轻剑",$AV$8,$AV$9)+INT(COUNTIF(G147,"*大莺鸣*")*IF(D147="轻剑",$AM$2,$AM$3)*听晓无双率)/无双系数))+IF((IF(G147="恒定伤害",0,(IF(D147="轻剑",$AV$8,$AV$9)+INT(COUNTIF(G147,"*大莺鸣*")*IF(D147="轻剑",$AM$2,$AM$3)*听晓无双率)/无双系数)))&lt;=0.9,特效裤子无双,0)</f>
        <v>1.7995442148</v>
      </c>
      <c r="AW147">
        <f ca="1" t="shared" si="416"/>
        <v>2521009.55070774</v>
      </c>
      <c r="AX147">
        <f ca="1" t="shared" si="473"/>
        <v>0.8743</v>
      </c>
      <c r="AY147" s="171">
        <f ca="1">技能数计算!$AJ139</f>
        <v>5</v>
      </c>
      <c r="AZ147" s="170">
        <f ca="1" t="shared" si="417"/>
        <v>2504447.43270162</v>
      </c>
      <c r="BA147">
        <f ca="1" t="shared" si="474"/>
        <v>0.8643</v>
      </c>
      <c r="BB147" s="171">
        <f ca="1">技能数计算!$AJ139</f>
        <v>5</v>
      </c>
      <c r="BC147" s="170">
        <f ca="1" t="shared" si="418"/>
        <v>2487885.3146955</v>
      </c>
      <c r="BE147">
        <f ca="1" t="shared" si="400"/>
        <v>105849</v>
      </c>
      <c r="BF147">
        <f ca="1" t="shared" si="457"/>
        <v>263581.06875</v>
      </c>
      <c r="BI147">
        <f ca="1" t="shared" si="475"/>
        <v>0.8543</v>
      </c>
      <c r="BJ147" s="171">
        <f ca="1">技能数计算!$AJ139</f>
        <v>5</v>
      </c>
      <c r="BK147">
        <f ca="1" t="shared" si="402"/>
        <v>2479157.41419152</v>
      </c>
      <c r="BM147">
        <f ca="1" t="shared" si="403"/>
        <v>109230</v>
      </c>
      <c r="BN147">
        <f ca="1" t="shared" si="458"/>
        <v>270744.5625</v>
      </c>
      <c r="BO147">
        <f ca="1" t="shared" si="459"/>
        <v>2494107.20117566</v>
      </c>
      <c r="BP147">
        <f ca="1" t="shared" ref="BP147:BP150" si="485">IF(COUNTIF(G147,"*恒定伤害*")&gt;0,AB147,((BN147*(1+P147)*(1+IF(COUNTIF(F147,"*内破*")&gt;0,内破,IF(D147="轻剑",$BQ$8,$BQ$9)/破防系数)+IF((IF(D147="轻剑",$AO$2,$AO$3)+INT(COUNTIF(G147,"*大莺鸣*")*IF(D147="轻剑",$AM$2,$AM$3)*听晓无双率)/无双系数)&gt;0.9,(特效裤子破防+特效裤子破防*IF(D147="轻剑",$AD$2+102,$AD$3+102)/1024)/破防系数,0))*(1-R147))*T147*(1+U147))*Y147*(1+Z147)*(1+AA147))</f>
        <v>2378486.20668773</v>
      </c>
      <c r="BR147">
        <f ca="1" t="shared" si="476"/>
        <v>0.8543</v>
      </c>
      <c r="BS147">
        <f ca="1" t="shared" si="406"/>
        <v>2474618.35435455</v>
      </c>
      <c r="BT147">
        <f ca="1" t="shared" si="460"/>
        <v>0.196995876306796</v>
      </c>
      <c r="BU147">
        <f ca="1" t="shared" si="477"/>
        <v>2.5677566866</v>
      </c>
      <c r="BV147">
        <f ca="1" t="shared" si="419"/>
        <v>2503277.67410432</v>
      </c>
      <c r="BW147">
        <f ca="1" t="shared" si="408"/>
        <v>113027</v>
      </c>
      <c r="BX147">
        <f ca="1" t="shared" si="461"/>
        <v>278789.45625</v>
      </c>
      <c r="BY147">
        <f ca="1" t="shared" si="478"/>
        <v>0.8343</v>
      </c>
      <c r="BZ147" s="171">
        <f ca="1">技能数计算!$AJ139</f>
        <v>5</v>
      </c>
      <c r="CA147">
        <f ca="1" t="shared" si="479"/>
        <v>2.5716629366</v>
      </c>
      <c r="CB147">
        <f ca="1" t="shared" si="420"/>
        <v>2564546.3803582</v>
      </c>
      <c r="CC147">
        <f ca="1" t="shared" si="411"/>
        <v>114847</v>
      </c>
      <c r="CD147">
        <f ca="1" t="shared" si="462"/>
        <v>282645.58125</v>
      </c>
      <c r="CE147">
        <f ca="1" t="shared" si="412"/>
        <v>2532437.16513417</v>
      </c>
      <c r="CF147">
        <f ca="1" t="shared" si="480"/>
        <v>2.5189285616</v>
      </c>
      <c r="CG147">
        <f ca="1" t="shared" si="481"/>
        <v>0.8343</v>
      </c>
      <c r="CH147">
        <f ca="1" t="shared" si="421"/>
        <v>2395163.19796901</v>
      </c>
      <c r="CJ147">
        <f ca="1" t="shared" si="463"/>
        <v>270744.5625</v>
      </c>
      <c r="CK147">
        <f ca="1" t="shared" si="464"/>
        <v>2482809.03148724</v>
      </c>
      <c r="CL147">
        <f ca="1" t="shared" si="465"/>
        <v>2.5415848116</v>
      </c>
      <c r="CM147">
        <f ca="1">IF(G147="恒定伤害",0,(IF(D147="轻剑",$CM$8,$CM$9)+IFERROR(INDEX(技能数据库!$T$2:$W$27,MATCH(E147,技能数据库!$T$2:$T$27,0),4),0)+COUNTIF(G147,"*造化2*")*154+COUNTIF(G147,"*造化1*")*102+COUNTIF(G147,"*碧归*")*307)/1024)</f>
        <v>0.397571271929785</v>
      </c>
      <c r="CN147">
        <f ca="1" t="shared" si="422"/>
        <v>2524500.53864866</v>
      </c>
      <c r="CO147">
        <f ca="1" t="shared" si="466"/>
        <v>2.5656473116</v>
      </c>
      <c r="CP147">
        <f ca="1" t="shared" si="423"/>
        <v>2546668.96351269</v>
      </c>
      <c r="CQ147">
        <f ca="1" t="shared" ref="CQ147:CQ150" si="486">IF(G147="恒定伤害",0,(IF(D147="轻剑",$CQ$8,$CQ$9)+INT(COUNTIF(G147,"*大莺鸣*")*IF(D147="轻剑",$AM$2,$AM$3)*听晓无双率)/无双系数))+IF((IF(G147="恒定伤害",0,(IF(D147="轻剑",$CQ$8,$CQ$9)+INT(COUNTIF(G147,"*大莺鸣*")*IF(D147="轻剑",$AM$2,$AM$3)*听晓无双率)/无双系数)))&lt;=0.9,特效裤子无双,0)</f>
        <v>1.8815754648</v>
      </c>
      <c r="CR147">
        <f ca="1">IF(G147="恒定伤害",0,(IF(D147="轻剑",$CR$8,$CR$9)+IFERROR(INDEX(技能数据库!$T$2:$W$27,MATCH(E147,技能数据库!$T$2:$T$27,0),4),0)+COUNTIF(G147,"*造化2*")*154+COUNTIF(G147,"*造化1*")*102+COUNTIF(G147,"*碧归*")*307)/1024)</f>
        <v>0.387805646929785</v>
      </c>
      <c r="CS147">
        <f ca="1" t="shared" si="467"/>
        <v>2418898.11407078</v>
      </c>
    </row>
    <row r="148" spans="4:97">
      <c r="D148" t="s">
        <v>1825</v>
      </c>
      <c r="E148" t="s">
        <v>2780</v>
      </c>
      <c r="G148" t="s">
        <v>3106</v>
      </c>
      <c r="H148">
        <f ca="1">INDEX(技能数据库!$B$2:$I$100,MATCH(阵眼收益计算!$E148,技能数据库!$B$2:$B$100,0),MATCH(H$9,技能数据库!$B$2:$I$2,0))</f>
        <v>252.5</v>
      </c>
      <c r="I148">
        <f ca="1">INDEX(技能数据库!$B$2:$I$100,MATCH(阵眼收益计算!$E148,技能数据库!$B$2:$B$100,0),MATCH(I$9,技能数据库!$B$2:$I$2,0))</f>
        <v>2.11875</v>
      </c>
      <c r="J148">
        <f ca="1">INDEX(技能数据库!$B$2:$I$100,MATCH(阵眼收益计算!$E148,技能数据库!$B$2:$B$100,0),MATCH(J$9,技能数据库!$B$2:$I$2,0))</f>
        <v>2</v>
      </c>
      <c r="K148">
        <f ca="1">INDEX(技能数据库!$B$2:$I$100,MATCH(阵眼收益计算!$E148,技能数据库!$B$2:$B$100,0),MATCH(K$9,技能数据库!$B$2:$I$2,0))</f>
        <v>0</v>
      </c>
      <c r="L148">
        <f ca="1" t="shared" si="387"/>
        <v>105847</v>
      </c>
      <c r="M148">
        <f ca="1" t="shared" ref="M148:M151" si="487">IF(D148="轻剑",$AU$2+$AV$2,$AU$3+$AV$3)/2</f>
        <v>19530.5</v>
      </c>
      <c r="N148">
        <f ca="1" t="shared" ref="N148:N151" si="488">IF(D148="轻剑",$AJ$2,$AJ$3)</f>
        <v>92028</v>
      </c>
      <c r="O148">
        <f ca="1" t="shared" ref="O148:O155" si="489">H148+I148*L148+J148*M148+IF(K148&gt;0,MAX(1,K148*N148*破招全局系数),0)</f>
        <v>263576.83125</v>
      </c>
      <c r="P148">
        <f ca="1">IF(G148="恒定伤害",0,(IF(D148="轻剑",$AZ$2,$AZ$3)+IFERROR(INDEX(技能数据库!$T$2:$W$27,MATCH(E148,技能数据库!$T$2:$T$27,0),4),0)+COUNTIF(G148,"*造化2*")*154+COUNTIF(G148,"*造化1*")*102+COUNTIF(G148,"*碧归*")*307)/1024)</f>
        <v>0.337024396929785</v>
      </c>
      <c r="Q148">
        <f ca="1" t="shared" si="482"/>
        <v>0.448284482196154</v>
      </c>
      <c r="R148">
        <f ca="1" t="shared" ref="R148:R155" si="490">IF(G148="恒定伤害",0,(($F$5-IF(D148="轻剑",$BB$2,$BB$3))*(1024-IF(D148="轻剑",$BD$2,$BD$3))/1024*(1024-IF(D148="轻剑",$BC$2,$BC$3)-COUNTIF(G148,"*雾锁*")*461*雾锁)/1024/(($F$5-IF(D148="轻剑",$BB$2,$BB$3))*(1024-IF(D148="轻剑",$BD$2,$BD$3))/1024*(1024-IF(D148="轻剑",$BC$2,$BC$3)-COUNTIF(G148,"*雾锁*")*461*雾锁)/1024+$F$7)))</f>
        <v>0.21277697966198</v>
      </c>
      <c r="S148">
        <f ca="1" t="shared" ref="S148:S151" si="491">O148*(1+P148)*(1+Q148)*(1-R148)</f>
        <v>401789.170905274</v>
      </c>
      <c r="T148">
        <f t="shared" si="178"/>
        <v>0.8</v>
      </c>
      <c r="U148">
        <f ca="1" t="shared" si="483"/>
        <v>1.7800129648</v>
      </c>
      <c r="V148">
        <f ca="1" t="shared" ref="V148:V151" si="492">S148*T148*(1+U148)</f>
        <v>893583.283386323</v>
      </c>
      <c r="W148">
        <f ca="1">IF(G148="恒定伤害",0,MIN(1,IF(COUNTIF(F148,"*内会*")&gt;0,内会2,IF(D148="轻剑",$Y$2,$Y$3)+COUNTIF(G148,"*莺鸣*")*0.2+COUNTIF(G148,"*叠1*")*0.1+COUNTIF(G148,"*叠2*")*0.2+COUNTIF(G148,"*叠3*")*0.3)+IFERROR(INDEX(技能数据库!$T$2:$W$27,MATCH(E148,技能数据库!$T$2:$T$27,0),2),0)+IF((IF(D148="轻剑",$AO$2,$AO$3)+INT(COUNTIF(G148,"*大莺鸣*")*IF(D148="轻剑",$AM$2,$AM$3)*听晓无双率)/无双系数)&gt;0.9,特效裤子会心/会心系数,0)))</f>
        <v>0.9043</v>
      </c>
      <c r="X148">
        <f ca="1">IF(G148="恒定伤害",0,IF(COUNTIF(F148,"*内会*")&gt;0,内会效2,IF(D148="轻剑",$AB$2,$AB$3))+IFERROR(INDEX(技能数据库!$T$2:$W$27,MATCH(E148,技能数据库!$T$2:$T$27,0),3)/1024,0))+COUNTIF(G148,"*叠1*")*0.25+COUNTIF(G148,"*叠2*")*0.5+COUNTIF(G148,"*叠3*")*0.75</f>
        <v>2.6712723116</v>
      </c>
      <c r="Y148">
        <f ca="1" t="shared" ref="Y148:Y151" si="493">1+W148*(X148-1)</f>
        <v>2.51133155137988</v>
      </c>
      <c r="Z148">
        <f t="shared" ref="Z148:Z155" si="494">IF(G148="恒定伤害",0,非侠士伤害/1024)</f>
        <v>0.150390625</v>
      </c>
      <c r="AA148">
        <f ca="1" t="shared" ref="AA148:AA151" si="495">IF(D148="轻剑",$BA$2,$BA$3)/1024</f>
        <v>0.0205078125</v>
      </c>
      <c r="AB148">
        <f ca="1" t="shared" ref="AB148:AB151" si="496">V148*Y148*(1+Z148)*(1+AA148)</f>
        <v>2634515.4891561</v>
      </c>
      <c r="AC148">
        <f ca="1">技能数计算!$AJ140</f>
        <v>4</v>
      </c>
      <c r="AD148" s="164">
        <f ca="1" t="shared" ref="AD148:AD155" si="497">IFERROR(AB148*AC148/$AD$7,0)</f>
        <v>0.00377804583710018</v>
      </c>
      <c r="AE148" s="168"/>
      <c r="AF148" s="168">
        <f ca="1" t="shared" si="468"/>
        <v>0.9057</v>
      </c>
      <c r="AG148">
        <f ca="1">技能数计算!$AJ140</f>
        <v>4</v>
      </c>
      <c r="AH148">
        <f ca="1" t="shared" si="389"/>
        <v>109879</v>
      </c>
      <c r="AJ148">
        <f ca="1" t="shared" si="469"/>
        <v>2.8704910616</v>
      </c>
      <c r="AK148">
        <f ca="1" t="shared" ref="AK148:AK155" si="498">H148+AH148*I148+J148*(238.5+M148)+IF(K148&gt;0,MAX(1,K148*N148*破招全局系数),0)</f>
        <v>272596.63125</v>
      </c>
      <c r="AL148">
        <f ca="1" t="shared" si="391"/>
        <v>2923773.29411606</v>
      </c>
      <c r="AM148" s="169">
        <f ca="1" t="shared" si="470"/>
        <v>0.9272</v>
      </c>
      <c r="AN148">
        <f ca="1">技能数计算!$AJ140</f>
        <v>4</v>
      </c>
      <c r="AO148" s="170">
        <f ca="1" t="shared" si="393"/>
        <v>2967417.18636741</v>
      </c>
      <c r="AP148">
        <f ca="1" t="shared" si="394"/>
        <v>110956</v>
      </c>
      <c r="AQ148" s="170">
        <f ca="1" t="shared" ref="AQ148:AQ155" si="499">H148+AP148*I148+J148*M148+IF(K148&gt;0,MAX(1,K148*N148*破招全局系数),0)</f>
        <v>274401.525</v>
      </c>
      <c r="AR148">
        <f ca="1" t="shared" ref="AR148:AR155" si="500">IF(COUNTIF(G148,"*恒定伤害*")&gt;0,AB148,((AQ148*(1+P148)*(1+IF(COUNTIF(F148,"*内破*")&gt;0,内破,IF(D148="轻剑",$AQ$8,$AQ$9)/破防系数)+IF((IF(D148="轻剑",$AO$2,$AO$3)+INT(COUNTIF(G148,"*大莺鸣*")*IF(D148="轻剑",$AM$2,$AM$3)*听晓无双率)/无双系数)&gt;0.9,(特效裤子破防+特效裤子破防*IF(D148="轻剑",$AD$2+200,$AD$3+200)/1024)/破防系数,0))*(1-R148))*T148*(1+U148))*Y148*(1+Z148)*(1+AA148))</f>
        <v>2903619.043868</v>
      </c>
      <c r="AS148">
        <f ca="1" t="shared" si="471"/>
        <v>0.9843</v>
      </c>
      <c r="AT148">
        <f ca="1">技能数计算!$AJ140</f>
        <v>4</v>
      </c>
      <c r="AU148">
        <f ca="1" t="shared" si="472"/>
        <v>2.8177566866</v>
      </c>
      <c r="AV148">
        <f ca="1" t="shared" si="484"/>
        <v>1.7995442148</v>
      </c>
      <c r="AW148">
        <f ca="1" t="shared" si="416"/>
        <v>2946589.640413</v>
      </c>
      <c r="AX148">
        <f ca="1" t="shared" si="473"/>
        <v>0.9743</v>
      </c>
      <c r="AY148">
        <f ca="1">技能数计算!$AJ140</f>
        <v>4</v>
      </c>
      <c r="AZ148" s="170">
        <f ca="1" t="shared" si="417"/>
        <v>2927386.46876831</v>
      </c>
      <c r="BA148">
        <f ca="1" t="shared" si="474"/>
        <v>0.9643</v>
      </c>
      <c r="BB148">
        <f ca="1">技能数计算!$AJ140</f>
        <v>4</v>
      </c>
      <c r="BC148" s="170">
        <f ca="1" t="shared" si="418"/>
        <v>2908183.29712362</v>
      </c>
      <c r="BE148">
        <f ca="1" t="shared" si="400"/>
        <v>105849</v>
      </c>
      <c r="BF148">
        <f ca="1" t="shared" ref="BF148:BF155" si="501">H148+BE148*I148+J148*M148+IF(K148&gt;0,MAX(1,K148*N148*破招全局系数),0)</f>
        <v>263581.06875</v>
      </c>
      <c r="BI148">
        <f ca="1" t="shared" si="475"/>
        <v>0.9543</v>
      </c>
      <c r="BJ148">
        <f ca="1">技能数计算!$AJ140</f>
        <v>4</v>
      </c>
      <c r="BK148">
        <f ca="1" t="shared" si="402"/>
        <v>2905416.90753536</v>
      </c>
      <c r="BM148">
        <f ca="1" t="shared" si="403"/>
        <v>109230</v>
      </c>
      <c r="BN148">
        <f ca="1" t="shared" ref="BN148:BN155" si="502">H148+BM148*I148+J148*M148+IF(K148&gt;0,MAX(1,K148*N148*破招全局系数),0)</f>
        <v>270744.5625</v>
      </c>
      <c r="BO148">
        <f ca="1" t="shared" ref="BO148:BO155" si="503">IF(COUNTIF(G148,"*恒定伤害*")&gt;0,AB148,((BN148*(1+P148)*(1+IF(COUNTIF(F148,"*内破*")&gt;0,内破,IF(D148="轻剑",$BM$8,$BM$9)/破防系数)+IF((IF(D148="轻剑",$AO$2,$AO$3)+INT(COUNTIF(G148,"*大莺鸣*")*IF(D148="轻剑",$AM$2,$AM$3)*听晓无双率)/无双系数)&gt;0.9,(特效裤子破防+特效裤子破防*IF(D148="轻剑",$AD$2+102,$AD$3+102)/1024)/破防系数,0))*(1-R148))*T148*(1+U148))*Y148*(1+Z148)*(1+AA148))</f>
        <v>2922609.49805567</v>
      </c>
      <c r="BP148">
        <f ca="1" t="shared" si="485"/>
        <v>2787124.13619721</v>
      </c>
      <c r="BR148">
        <f ca="1" t="shared" si="476"/>
        <v>0.9543</v>
      </c>
      <c r="BS148">
        <f ca="1" t="shared" si="406"/>
        <v>2900097.41425948</v>
      </c>
      <c r="BT148">
        <f ca="1" t="shared" ref="BT148:BT155" si="504">IF(G148="恒定伤害",0,(($F$5-IF(D148="轻剑",$BB$2,$BB$3))*(1024-IF(D148="轻剑",$BD$2,$BD$3))/1024*(1024-IF(D148="轻剑",$BT$8,$BT$9)-COUNTIF(G148,"*雾锁*")*461*雾锁)/1024/(($F$5-IF(D148="轻剑",$BB$2,$BB$3))*(1024-IF(D148="轻剑",$BD$2,$BD$3))/1024*(1024-IF(D148="轻剑",$BT$8,$BT$9)-COUNTIF(G148,"*雾锁*")*461*雾锁)/1024+$F$7)))</f>
        <v>0.196995876306796</v>
      </c>
      <c r="BU148">
        <f ca="1" t="shared" si="477"/>
        <v>2.8177566866</v>
      </c>
      <c r="BV148">
        <f ca="1" t="shared" si="419"/>
        <v>2926334.9523569</v>
      </c>
      <c r="BW148">
        <f ca="1" t="shared" si="408"/>
        <v>113027</v>
      </c>
      <c r="BX148">
        <f ca="1" t="shared" ref="BX148:BX155" si="505">H148+BW148*I148+J148*M148+IF(K148&gt;0,MAX(1,K148*N148*破招全局系数),0)</f>
        <v>278789.45625</v>
      </c>
      <c r="BY148">
        <f ca="1" t="shared" si="478"/>
        <v>0.9343</v>
      </c>
      <c r="BZ148">
        <f ca="1">技能数计算!$AJ140</f>
        <v>4</v>
      </c>
      <c r="CA148">
        <f ca="1" t="shared" si="479"/>
        <v>2.8216629366</v>
      </c>
      <c r="CB148">
        <f ca="1" t="shared" si="420"/>
        <v>2998112.28836349</v>
      </c>
      <c r="CC148">
        <f ca="1" t="shared" si="411"/>
        <v>114847</v>
      </c>
      <c r="CD148">
        <f ca="1" t="shared" ref="CD148:CD155" si="506">H148+CC148*I148+J148*M148+IF(K148&gt;0,MAX(1,K148*N148*破招全局系数),0)</f>
        <v>282645.58125</v>
      </c>
      <c r="CE148">
        <f ca="1" t="shared" si="412"/>
        <v>2967726.96505772</v>
      </c>
      <c r="CF148">
        <f ca="1" t="shared" si="480"/>
        <v>2.7689285616</v>
      </c>
      <c r="CG148">
        <f ca="1" t="shared" si="481"/>
        <v>0.9343</v>
      </c>
      <c r="CH148">
        <f ca="1" t="shared" si="421"/>
        <v>2802379.71159362</v>
      </c>
      <c r="CJ148">
        <f ca="1" t="shared" ref="CJ148:CJ155" si="507">H148+BM148*I148+J148*M148+IF(K148&gt;0,MAX(1,K148*(N148+2667)*破招全局系数),0)</f>
        <v>270744.5625</v>
      </c>
      <c r="CK148">
        <f ca="1" t="shared" ref="CK148:CK155" si="508">IF(COUNTIF(G148,"*恒定伤害*")&gt;0,AB148,((CJ148*(1+P148)*(1+IF(COUNTIF(F148,"*内破*")&gt;0,内破,IF(D148="轻剑",$CI$8,$CI$9)/破防系数)+IF((IF(D148="轻剑",$AO$2,$AO$3)+INT(COUNTIF(G148,"*大莺鸣*")*IF(D148="轻剑",$AM$2,$AM$3)*听晓无双率)/无双系数)&gt;0.9,(特效裤子破防+特效裤子破防*IF(D148="轻剑",$AD$2+256,$AD$3+256)/1024)/破防系数,0))*(1-R148))*T148*(1+U148))*Y148*(1+Z148)*(1+AA148))</f>
        <v>2909370.23631645</v>
      </c>
      <c r="CL148">
        <f ca="1" t="shared" ref="CL148:CL155" si="509">X148+IF(D148="轻剑",$CL$8-$AB$2,$CL$9-$AB$3)</f>
        <v>2.7915848116</v>
      </c>
      <c r="CM148">
        <f ca="1">IF(G148="恒定伤害",0,(IF(D148="轻剑",$CM$8,$CM$9)+IFERROR(INDEX(技能数据库!$T$2:$W$27,MATCH(E148,技能数据库!$T$2:$T$27,0),4),0)+COUNTIF(G148,"*造化2*")*154+COUNTIF(G148,"*造化1*")*102+COUNTIF(G148,"*碧归*")*307)/1024)</f>
        <v>0.397571271929785</v>
      </c>
      <c r="CN148">
        <f ca="1" t="shared" si="422"/>
        <v>2952659.61036389</v>
      </c>
      <c r="CO148">
        <f ca="1" t="shared" ref="CO148:CO155" si="510">X148+IF(D148="轻剑",$CO$8-$AB$2,$CO$9-$AB$3)</f>
        <v>2.8156473116</v>
      </c>
      <c r="CP148">
        <f ca="1" t="shared" si="423"/>
        <v>2977485.16394229</v>
      </c>
      <c r="CQ148">
        <f ca="1" t="shared" si="486"/>
        <v>1.8815754648</v>
      </c>
      <c r="CR148">
        <f ca="1">IF(G148="恒定伤害",0,(IF(D148="轻剑",$CR$8,$CR$9)+IFERROR(INDEX(技能数据库!$T$2:$W$27,MATCH(E148,技能数据库!$T$2:$T$27,0),4),0)+COUNTIF(G148,"*造化2*")*154+COUNTIF(G148,"*造化1*")*102+COUNTIF(G148,"*碧归*")*307)/1024)</f>
        <v>0.387805646929785</v>
      </c>
      <c r="CS148">
        <f ca="1" t="shared" ref="CS148:CS155" si="511">IF(COUNTIF(G148,"*恒定伤害*")&gt;0,AB148,((O148*(1+CR148)*(1+Q148)*(1-R148))*T148*(1+CQ148))*Y148*(1+Z148)*(1+AA148))</f>
        <v>2834479.04712348</v>
      </c>
    </row>
    <row r="149" spans="4:97">
      <c r="D149" t="s">
        <v>1825</v>
      </c>
      <c r="E149" t="s">
        <v>2780</v>
      </c>
      <c r="G149" t="s">
        <v>3107</v>
      </c>
      <c r="H149">
        <f ca="1">INDEX(技能数据库!$B$2:$I$100,MATCH(阵眼收益计算!$E149,技能数据库!$B$2:$B$100,0),MATCH(H$9,技能数据库!$B$2:$I$2,0))</f>
        <v>252.5</v>
      </c>
      <c r="I149">
        <f ca="1">INDEX(技能数据库!$B$2:$I$100,MATCH(阵眼收益计算!$E149,技能数据库!$B$2:$B$100,0),MATCH(I$9,技能数据库!$B$2:$I$2,0))</f>
        <v>2.11875</v>
      </c>
      <c r="J149">
        <f ca="1">INDEX(技能数据库!$B$2:$I$100,MATCH(阵眼收益计算!$E149,技能数据库!$B$2:$B$100,0),MATCH(J$9,技能数据库!$B$2:$I$2,0))</f>
        <v>2</v>
      </c>
      <c r="K149">
        <f ca="1">INDEX(技能数据库!$B$2:$I$100,MATCH(阵眼收益计算!$E149,技能数据库!$B$2:$B$100,0),MATCH(K$9,技能数据库!$B$2:$I$2,0))</f>
        <v>0</v>
      </c>
      <c r="L149">
        <f ca="1" t="shared" si="387"/>
        <v>105847</v>
      </c>
      <c r="M149">
        <f ca="1" t="shared" si="487"/>
        <v>19530.5</v>
      </c>
      <c r="N149">
        <f ca="1" t="shared" si="488"/>
        <v>92028</v>
      </c>
      <c r="O149">
        <f ca="1" t="shared" si="489"/>
        <v>263576.83125</v>
      </c>
      <c r="P149">
        <f ca="1">IF(G149="恒定伤害",0,(IF(D149="轻剑",$AZ$2,$AZ$3)+IFERROR(INDEX(技能数据库!$T$2:$W$27,MATCH(E149,技能数据库!$T$2:$T$27,0),4),0)+COUNTIF(G149,"*造化2*")*154+COUNTIF(G149,"*造化1*")*102+COUNTIF(G149,"*碧归*")*307)/1024)</f>
        <v>0.337024396929785</v>
      </c>
      <c r="Q149">
        <f ca="1" t="shared" si="482"/>
        <v>0.448284482196154</v>
      </c>
      <c r="R149">
        <f ca="1" t="shared" si="490"/>
        <v>0.21277697966198</v>
      </c>
      <c r="S149">
        <f ca="1" t="shared" si="491"/>
        <v>401789.170905274</v>
      </c>
      <c r="T149">
        <f t="shared" si="178"/>
        <v>0.8</v>
      </c>
      <c r="U149">
        <f ca="1" t="shared" si="483"/>
        <v>1.7800129648</v>
      </c>
      <c r="V149">
        <f ca="1" t="shared" si="492"/>
        <v>893583.283386323</v>
      </c>
      <c r="W149">
        <f ca="1">IF(G149="恒定伤害",0,MIN(1,IF(COUNTIF(F149,"*内会*")&gt;0,内会2,IF(D149="轻剑",$Y$2,$Y$3)+COUNTIF(G149,"*莺鸣*")*0.2+COUNTIF(G149,"*叠1*")*0.1+COUNTIF(G149,"*叠2*")*0.2+COUNTIF(G149,"*叠3*")*0.3)+IFERROR(INDEX(技能数据库!$T$2:$W$27,MATCH(E149,技能数据库!$T$2:$T$27,0),2),0)+IF((IF(D149="轻剑",$AO$2,$AO$3)+INT(COUNTIF(G149,"*大莺鸣*")*IF(D149="轻剑",$AM$2,$AM$3)*听晓无双率)/无双系数)&gt;0.9,特效裤子会心/会心系数,0)))</f>
        <v>1</v>
      </c>
      <c r="X149">
        <f ca="1">IF(G149="恒定伤害",0,IF(COUNTIF(F149,"*内会*")&gt;0,内会效2,IF(D149="轻剑",$AB$2,$AB$3))+IFERROR(INDEX(技能数据库!$T$2:$W$27,MATCH(E149,技能数据库!$T$2:$T$27,0),3)/1024,0))+COUNTIF(G149,"*叠1*")*0.25+COUNTIF(G149,"*叠2*")*0.5+COUNTIF(G149,"*叠3*")*0.75</f>
        <v>2.9212723116</v>
      </c>
      <c r="Y149">
        <f ca="1" t="shared" si="493"/>
        <v>2.9212723116</v>
      </c>
      <c r="Z149">
        <f t="shared" si="494"/>
        <v>0.150390625</v>
      </c>
      <c r="AA149">
        <f ca="1" t="shared" si="495"/>
        <v>0.0205078125</v>
      </c>
      <c r="AB149">
        <f ca="1" t="shared" si="496"/>
        <v>3064564.35380836</v>
      </c>
      <c r="AC149">
        <f ca="1">技能数计算!$AJ141</f>
        <v>22</v>
      </c>
      <c r="AD149" s="164">
        <f ca="1" t="shared" si="497"/>
        <v>0.0241711827313151</v>
      </c>
      <c r="AE149" s="168"/>
      <c r="AF149" s="168">
        <f ca="1" t="shared" ref="AF149:AF152" si="512">W149+IF(COUNTIF(F149,"*内会*")&gt;0,0,IF(D149="轻剑",$AF$8-$Y$2,$AF$9-$Y$3))</f>
        <v>1.0014</v>
      </c>
      <c r="AG149">
        <f ca="1">技能数计算!$AJ141</f>
        <v>22</v>
      </c>
      <c r="AH149">
        <f ca="1" t="shared" si="389"/>
        <v>109879</v>
      </c>
      <c r="AJ149">
        <f ca="1" t="shared" ref="AJ149:AJ152" si="513">X149+IF(COUNTIF(F149,"*内会*")&gt;0,0,IF(D149="轻剑",$AJ$8-$AB$2,$AJ$9-$AB$3))</f>
        <v>3.1204910616</v>
      </c>
      <c r="AK149">
        <f ca="1" t="shared" si="498"/>
        <v>272596.63125</v>
      </c>
      <c r="AL149">
        <f ca="1" t="shared" si="391"/>
        <v>3386509.67514697</v>
      </c>
      <c r="AM149" s="169">
        <f ca="1" t="shared" ref="AM149:AM152" si="514">W149+IF(COUNTIF(F149,"*内会*")&gt;0,0,IF(D149="轻剑",$AN$8-$Y$2,$AN$9-$Y$3))</f>
        <v>1.0229</v>
      </c>
      <c r="AN149">
        <f ca="1">技能数计算!$AJ141</f>
        <v>22</v>
      </c>
      <c r="AO149" s="170">
        <f ca="1" t="shared" si="393"/>
        <v>3386509.67514697</v>
      </c>
      <c r="AP149">
        <f ca="1" t="shared" si="394"/>
        <v>110956</v>
      </c>
      <c r="AQ149" s="170">
        <f ca="1" t="shared" si="499"/>
        <v>274401.525</v>
      </c>
      <c r="AR149">
        <f ca="1" t="shared" si="500"/>
        <v>3377595.40815126</v>
      </c>
      <c r="AS149">
        <f ca="1" t="shared" ref="AS149:AS152" si="515">W149+IF(COUNTIF(F149,"*内会*")&gt;0,0,IF(D149="轻剑",$AS$8-$Y$2,$AS$9-$Y$3))</f>
        <v>1.08</v>
      </c>
      <c r="AT149">
        <f ca="1">技能数计算!$AJ141</f>
        <v>22</v>
      </c>
      <c r="AU149">
        <f ca="1" t="shared" ref="AU149:AU152" si="516">X149+IF(COUNTIF(F149,"*内会*")&gt;0,0,IF(D149="轻剑",$AU$8-$AB$2,$AU$9-$AB$3))</f>
        <v>3.0677566866</v>
      </c>
      <c r="AV149">
        <f ca="1" t="shared" si="484"/>
        <v>1.7995442148</v>
      </c>
      <c r="AW149">
        <f ca="1" t="shared" si="416"/>
        <v>3240843.98375173</v>
      </c>
      <c r="AX149">
        <f ca="1" t="shared" ref="AX149:AX152" si="517">$W149+IF(COUNTIF(F149,"*内会*")&gt;0,0,IF(I149="轻剑",AX$8-$Y$2,AX$9-$Y$3))</f>
        <v>1.07</v>
      </c>
      <c r="AY149">
        <f ca="1">技能数计算!$AJ141</f>
        <v>22</v>
      </c>
      <c r="AZ149" s="170">
        <f ca="1" t="shared" si="417"/>
        <v>3240843.98375173</v>
      </c>
      <c r="BA149">
        <f ca="1" t="shared" ref="BA149:BA152" si="518">$W149+IF(COUNTIF(F149,"*内会*")&gt;0,0,IF(L149="轻剑",BA$8-$Y$2,BA$9-$Y$3))</f>
        <v>1.06</v>
      </c>
      <c r="BB149">
        <f ca="1">技能数计算!$AJ141</f>
        <v>22</v>
      </c>
      <c r="BC149" s="170">
        <f ca="1" t="shared" si="418"/>
        <v>3240843.98375173</v>
      </c>
      <c r="BE149">
        <f ca="1" t="shared" si="400"/>
        <v>105849</v>
      </c>
      <c r="BF149">
        <f ca="1" t="shared" si="501"/>
        <v>263581.06875</v>
      </c>
      <c r="BI149">
        <f ca="1" t="shared" ref="BI149:BI152" si="519">$W149+IF(COUNTIF(F149,"*内会*")&gt;0,0,IF(T149="轻剑",BI$8-$Y$2,BI$9-$Y$3))</f>
        <v>1.05</v>
      </c>
      <c r="BJ149">
        <f ca="1">技能数计算!$AJ141</f>
        <v>22</v>
      </c>
      <c r="BK149">
        <f ca="1" t="shared" si="402"/>
        <v>3270850.42729542</v>
      </c>
      <c r="BM149">
        <f ca="1" t="shared" si="403"/>
        <v>109230</v>
      </c>
      <c r="BN149">
        <f ca="1" t="shared" si="502"/>
        <v>270744.5625</v>
      </c>
      <c r="BO149">
        <f ca="1" t="shared" si="503"/>
        <v>3399685.79600652</v>
      </c>
      <c r="BP149">
        <f ca="1" t="shared" si="485"/>
        <v>3242084.28934495</v>
      </c>
      <c r="BR149">
        <f ca="1" t="shared" ref="BR149:BR152" si="520">$W149+IF(T149="轻剑",BI$8-$Y$2,BI$9-$Y$3)</f>
        <v>1.05</v>
      </c>
      <c r="BS149">
        <f ca="1" t="shared" si="406"/>
        <v>3264861.86613255</v>
      </c>
      <c r="BT149">
        <f ca="1" t="shared" si="504"/>
        <v>0.196995876306796</v>
      </c>
      <c r="BU149">
        <f ca="1" t="shared" ref="BU149:BU152" si="521">X149+IF(D149="轻剑",$AU$8-$AB$2,$AU$9-$AB$3)</f>
        <v>3.0677566866</v>
      </c>
      <c r="BV149">
        <f ca="1" t="shared" si="419"/>
        <v>3282748.44854326</v>
      </c>
      <c r="BW149">
        <f ca="1" t="shared" si="408"/>
        <v>113027</v>
      </c>
      <c r="BX149">
        <f ca="1" t="shared" si="505"/>
        <v>278789.45625</v>
      </c>
      <c r="BY149">
        <f ca="1" t="shared" ref="BY149:BY152" si="522">$W149+IF(COUNTIF(F149,"*内会*")&gt;0,0,IF(AI149="轻剑",BY$8-$Y$2,BY$9-$Y$3))</f>
        <v>1.03</v>
      </c>
      <c r="BZ149">
        <f ca="1">技能数计算!$AJ141</f>
        <v>22</v>
      </c>
      <c r="CA149">
        <f ca="1" t="shared" ref="CA149:CA152" si="523">X149+IF(COUNTIF(F149,"*内会*")&gt;0,0,IF(D149="轻剑",$CA$8-$AB$2,$CA$9-$AB$3))</f>
        <v>3.0716629366</v>
      </c>
      <c r="CB149">
        <f ca="1" t="shared" si="420"/>
        <v>3408312.23062899</v>
      </c>
      <c r="CC149">
        <f ca="1" t="shared" si="411"/>
        <v>114847</v>
      </c>
      <c r="CD149">
        <f ca="1" t="shared" si="506"/>
        <v>282645.58125</v>
      </c>
      <c r="CE149">
        <f ca="1" t="shared" si="412"/>
        <v>3384595.39117576</v>
      </c>
      <c r="CF149">
        <f ca="1" t="shared" ref="CF149:CF152" si="524">X149+IF(COUNTIF(F149,"*内会*")&gt;0,0,IF(D149="轻剑",$CF$8-$AB$2,$CF$9-$AB$3))</f>
        <v>3.0189285616</v>
      </c>
      <c r="CG149">
        <f ca="1" t="shared" ref="CG149:CG152" si="525">$W149+IF(AI149="轻剑",BY$8-$Y$2,BY$9-$Y$3)</f>
        <v>1.03</v>
      </c>
      <c r="CH149">
        <f ca="1" t="shared" si="421"/>
        <v>3189260.9048735</v>
      </c>
      <c r="CJ149">
        <f ca="1" t="shared" si="507"/>
        <v>270744.5625</v>
      </c>
      <c r="CK149">
        <f ca="1" t="shared" si="508"/>
        <v>3384285.40463901</v>
      </c>
      <c r="CL149">
        <f ca="1" t="shared" si="509"/>
        <v>3.0415848116</v>
      </c>
      <c r="CM149">
        <f ca="1">IF(G149="恒定伤害",0,(IF(D149="轻剑",$CM$8,$CM$9)+IFERROR(INDEX(技能数据库!$T$2:$W$27,MATCH(E149,技能数据库!$T$2:$T$27,0),4),0)+COUNTIF(G149,"*造化2*")*154+COUNTIF(G149,"*造化1*")*102+COUNTIF(G149,"*碧归*")*307)/1024)</f>
        <v>0.397571271929785</v>
      </c>
      <c r="CN149">
        <f ca="1" t="shared" si="422"/>
        <v>3358704.34913619</v>
      </c>
      <c r="CO149">
        <f ca="1" t="shared" si="510"/>
        <v>3.0656473116</v>
      </c>
      <c r="CP149">
        <f ca="1" t="shared" si="423"/>
        <v>3385275.63627994</v>
      </c>
      <c r="CQ149">
        <f ca="1" t="shared" si="486"/>
        <v>1.8815754648</v>
      </c>
      <c r="CR149">
        <f ca="1">IF(G149="恒定伤害",0,(IF(D149="轻剑",$CR$8,$CR$9)+IFERROR(INDEX(技能数据库!$T$2:$W$27,MATCH(E149,技能数据库!$T$2:$T$27,0),4),0)+COUNTIF(G149,"*造化2*")*154+COUNTIF(G149,"*造化1*")*102+COUNTIF(G149,"*碧归*")*307)/1024)</f>
        <v>0.387805646929785</v>
      </c>
      <c r="CS149">
        <f ca="1" t="shared" si="511"/>
        <v>3297169.24618037</v>
      </c>
    </row>
    <row r="150" spans="4:97">
      <c r="D150" t="s">
        <v>1825</v>
      </c>
      <c r="E150" t="s">
        <v>2808</v>
      </c>
      <c r="G150" t="s">
        <v>3105</v>
      </c>
      <c r="H150">
        <f ca="1">INDEX(技能数据库!$B$2:$I$100,MATCH(阵眼收益计算!$E150,技能数据库!$B$2:$B$100,0),MATCH(H$9,技能数据库!$B$2:$I$2,0))</f>
        <v>535</v>
      </c>
      <c r="I150">
        <f ca="1">INDEX(技能数据库!$B$2:$I$100,MATCH(阵眼收益计算!$E150,技能数据库!$B$2:$B$100,0),MATCH(I$9,技能数据库!$B$2:$I$2,0))</f>
        <v>7.06875</v>
      </c>
      <c r="J150">
        <f ca="1">INDEX(技能数据库!$B$2:$I$100,MATCH(阵眼收益计算!$E150,技能数据库!$B$2:$B$100,0),MATCH(J$9,技能数据库!$B$2:$I$2,0))</f>
        <v>2</v>
      </c>
      <c r="K150">
        <f ca="1">INDEX(技能数据库!$B$2:$I$100,MATCH(阵眼收益计算!$E150,技能数据库!$B$2:$B$100,0),MATCH(K$9,技能数据库!$B$2:$I$2,0))</f>
        <v>0</v>
      </c>
      <c r="L150">
        <f ca="1" t="shared" si="387"/>
        <v>105847</v>
      </c>
      <c r="M150">
        <f ca="1" t="shared" si="487"/>
        <v>19530.5</v>
      </c>
      <c r="N150">
        <f ca="1" t="shared" si="488"/>
        <v>92028</v>
      </c>
      <c r="O150">
        <f ca="1" t="shared" si="489"/>
        <v>787801.98125</v>
      </c>
      <c r="P150">
        <f ca="1">IF(G150="恒定伤害",0,(IF(D150="轻剑",$AZ$2,$AZ$3)+IFERROR(INDEX(技能数据库!$T$2:$W$27,MATCH(E150,技能数据库!$T$2:$T$27,0),4),0)+COUNTIF(G150,"*造化2*")*154+COUNTIF(G150,"*造化1*")*102+COUNTIF(G150,"*碧归*")*307)/1024)</f>
        <v>0.337024396929785</v>
      </c>
      <c r="Q150">
        <f ca="1" t="shared" si="482"/>
        <v>0.448284482196154</v>
      </c>
      <c r="R150">
        <f ca="1" t="shared" si="490"/>
        <v>0.21277697966198</v>
      </c>
      <c r="S150">
        <f ca="1" t="shared" si="491"/>
        <v>1200903.36993142</v>
      </c>
      <c r="T150">
        <f t="shared" si="178"/>
        <v>0.8</v>
      </c>
      <c r="U150">
        <f ca="1" t="shared" si="483"/>
        <v>1.7800129648</v>
      </c>
      <c r="V150">
        <f ca="1" t="shared" si="492"/>
        <v>2670821.55030508</v>
      </c>
      <c r="W150">
        <f ca="1">IF(G150="恒定伤害",0,MIN(1,IF(COUNTIF(F150,"*内会*")&gt;0,内会2,IF(D150="轻剑",$Y$2,$Y$3)+COUNTIF(G150,"*莺鸣*")*0.2+COUNTIF(G150,"*叠1*")*0.1+COUNTIF(G150,"*叠2*")*0.2+COUNTIF(G150,"*叠3*")*0.3)+IFERROR(INDEX(技能数据库!$T$2:$W$27,MATCH(E150,技能数据库!$T$2:$T$27,0),2),0)+IF((IF(D150="轻剑",$AO$2,$AO$3)+INT(COUNTIF(G150,"*大莺鸣*")*IF(D150="轻剑",$AM$2,$AM$3)*听晓无双率)/无双系数)&gt;0.9,特效裤子会心/会心系数,0)))</f>
        <v>0.8043</v>
      </c>
      <c r="X150">
        <f ca="1">IF(G150="恒定伤害",0,IF(COUNTIF(F150,"*内会*")&gt;0,内会效2,IF(D150="轻剑",$AB$2,$AB$3))+IFERROR(INDEX(技能数据库!$T$2:$W$27,MATCH(E150,技能数据库!$T$2:$T$27,0),3)/1024,0))+COUNTIF(G150,"*叠1*")*0.25+COUNTIF(G150,"*叠2*")*0.5+COUNTIF(G150,"*叠3*")*0.75</f>
        <v>2.4212723116</v>
      </c>
      <c r="Y150">
        <f ca="1" t="shared" si="493"/>
        <v>2.14312932021988</v>
      </c>
      <c r="Z150">
        <f t="shared" si="494"/>
        <v>0.150390625</v>
      </c>
      <c r="AA150">
        <f ca="1" t="shared" si="495"/>
        <v>0.0205078125</v>
      </c>
      <c r="AB150">
        <f ca="1" t="shared" si="496"/>
        <v>6719777.87263871</v>
      </c>
      <c r="AC150">
        <f ca="1">技能数计算!$AJ142</f>
        <v>0</v>
      </c>
      <c r="AD150" s="164">
        <f ca="1" t="shared" si="497"/>
        <v>0</v>
      </c>
      <c r="AE150" s="168"/>
      <c r="AF150" s="168">
        <f ca="1" t="shared" si="512"/>
        <v>0.8057</v>
      </c>
      <c r="AG150">
        <f ca="1">技能数计算!$AJ142</f>
        <v>0</v>
      </c>
      <c r="AH150">
        <f ca="1" t="shared" si="389"/>
        <v>109879</v>
      </c>
      <c r="AJ150">
        <f ca="1" t="shared" si="513"/>
        <v>2.6204910616</v>
      </c>
      <c r="AK150">
        <f ca="1" t="shared" si="498"/>
        <v>816780.18125</v>
      </c>
      <c r="AL150">
        <f ca="1" t="shared" si="391"/>
        <v>7497278.30821755</v>
      </c>
      <c r="AM150" s="169">
        <f ca="1" t="shared" si="514"/>
        <v>0.8272</v>
      </c>
      <c r="AN150">
        <f ca="1">技能数计算!$AJ142</f>
        <v>0</v>
      </c>
      <c r="AO150" s="170">
        <f ca="1" t="shared" si="393"/>
        <v>7610570.29273559</v>
      </c>
      <c r="AP150">
        <f ca="1" t="shared" si="394"/>
        <v>110956</v>
      </c>
      <c r="AQ150" s="170">
        <f ca="1" t="shared" si="499"/>
        <v>823916.225</v>
      </c>
      <c r="AR150">
        <f ca="1" t="shared" si="500"/>
        <v>7440129.51629875</v>
      </c>
      <c r="AS150">
        <f ca="1" t="shared" si="515"/>
        <v>0.8843</v>
      </c>
      <c r="AT150">
        <f ca="1">技能数计算!$AJ142</f>
        <v>0</v>
      </c>
      <c r="AU150">
        <f ca="1" t="shared" si="516"/>
        <v>2.5677566866</v>
      </c>
      <c r="AV150">
        <f ca="1" t="shared" si="484"/>
        <v>1.7995442148</v>
      </c>
      <c r="AW150">
        <f ca="1" t="shared" si="416"/>
        <v>7535018.57268319</v>
      </c>
      <c r="AX150">
        <f ca="1" t="shared" si="517"/>
        <v>0.8743</v>
      </c>
      <c r="AY150">
        <f ca="1">技能数计算!$AJ142</f>
        <v>0</v>
      </c>
      <c r="AZ150" s="170">
        <f ca="1" t="shared" si="417"/>
        <v>7485516.23472335</v>
      </c>
      <c r="BA150">
        <f ca="1" t="shared" si="518"/>
        <v>0.8643</v>
      </c>
      <c r="BB150">
        <f ca="1">技能数计算!$AJ142</f>
        <v>0</v>
      </c>
      <c r="BC150" s="170">
        <f ca="1" t="shared" si="418"/>
        <v>7436013.89676352</v>
      </c>
      <c r="BE150">
        <f ca="1" t="shared" si="400"/>
        <v>105849</v>
      </c>
      <c r="BF150">
        <f ca="1" t="shared" si="501"/>
        <v>787816.11875</v>
      </c>
      <c r="BI150">
        <f ca="1" t="shared" si="519"/>
        <v>0.8543</v>
      </c>
      <c r="BJ150">
        <f ca="1">技能数计算!$AJ142</f>
        <v>0</v>
      </c>
      <c r="BK150">
        <f ca="1" t="shared" si="402"/>
        <v>7409941.01390162</v>
      </c>
      <c r="BM150">
        <f ca="1" t="shared" si="403"/>
        <v>109230</v>
      </c>
      <c r="BN150">
        <f ca="1" t="shared" si="502"/>
        <v>811715.5625</v>
      </c>
      <c r="BO150">
        <f ca="1" t="shared" si="503"/>
        <v>7477548.62015965</v>
      </c>
      <c r="BP150">
        <f ca="1" t="shared" si="485"/>
        <v>7130906.9010759</v>
      </c>
      <c r="BR150">
        <f ca="1" t="shared" si="520"/>
        <v>0.8543</v>
      </c>
      <c r="BS150">
        <f ca="1" t="shared" si="406"/>
        <v>7419119.37558388</v>
      </c>
      <c r="BT150">
        <f ca="1" t="shared" si="504"/>
        <v>0.196995876306796</v>
      </c>
      <c r="BU150">
        <f ca="1" t="shared" si="521"/>
        <v>2.5677566866</v>
      </c>
      <c r="BV150">
        <f ca="1" t="shared" si="419"/>
        <v>7482019.95572126</v>
      </c>
      <c r="BW150">
        <f ca="1" t="shared" si="408"/>
        <v>113027</v>
      </c>
      <c r="BX150">
        <f ca="1" t="shared" si="505"/>
        <v>838555.60625</v>
      </c>
      <c r="BY150">
        <f ca="1" t="shared" si="522"/>
        <v>0.8343</v>
      </c>
      <c r="BZ150">
        <f ca="1">技能数计算!$AJ142</f>
        <v>0</v>
      </c>
      <c r="CA150">
        <f ca="1" t="shared" si="523"/>
        <v>2.5716629366</v>
      </c>
      <c r="CB150">
        <f ca="1" t="shared" si="420"/>
        <v>7713759.2420607</v>
      </c>
      <c r="CC150">
        <f ca="1" t="shared" si="411"/>
        <v>114847</v>
      </c>
      <c r="CD150">
        <f ca="1" t="shared" si="506"/>
        <v>851420.73125</v>
      </c>
      <c r="CE150">
        <f ca="1" t="shared" si="412"/>
        <v>7628527.19454362</v>
      </c>
      <c r="CF150">
        <f ca="1" t="shared" si="524"/>
        <v>2.5189285616</v>
      </c>
      <c r="CG150">
        <f ca="1" t="shared" si="525"/>
        <v>0.8343</v>
      </c>
      <c r="CH150">
        <f ca="1" t="shared" si="421"/>
        <v>7158877.75047784</v>
      </c>
      <c r="CJ150">
        <f ca="1" t="shared" si="507"/>
        <v>811715.5625</v>
      </c>
      <c r="CK150">
        <f ca="1" t="shared" si="508"/>
        <v>7443675.73244889</v>
      </c>
      <c r="CL150">
        <f ca="1" t="shared" si="509"/>
        <v>2.5415848116</v>
      </c>
      <c r="CM150">
        <f ca="1">IF(G150="恒定伤害",0,(IF(D150="轻剑",$CM$8,$CM$9)+IFERROR(INDEX(技能数据库!$T$2:$W$27,MATCH(E150,技能数据库!$T$2:$T$27,0),4),0)+COUNTIF(G150,"*造化2*")*154+COUNTIF(G150,"*造化1*")*102+COUNTIF(G150,"*碧归*")*307)/1024)</f>
        <v>0.397571271929785</v>
      </c>
      <c r="CN150">
        <f ca="1" t="shared" si="422"/>
        <v>7545452.74932659</v>
      </c>
      <c r="CO150">
        <f ca="1" t="shared" si="510"/>
        <v>2.5656473116</v>
      </c>
      <c r="CP150">
        <f ca="1" t="shared" si="423"/>
        <v>7611711.71809198</v>
      </c>
      <c r="CQ150">
        <f ca="1" t="shared" si="486"/>
        <v>1.8815754648</v>
      </c>
      <c r="CR150">
        <f ca="1">IF(G150="恒定伤害",0,(IF(D150="轻剑",$CR$8,$CR$9)+IFERROR(INDEX(技能数据库!$T$2:$W$27,MATCH(E150,技能数据库!$T$2:$T$27,0),4),0)+COUNTIF(G150,"*造化2*")*154+COUNTIF(G150,"*造化1*")*102+COUNTIF(G150,"*碧归*")*307)/1024)</f>
        <v>0.387805646929785</v>
      </c>
      <c r="CS150">
        <f ca="1" t="shared" si="511"/>
        <v>7229818.78820522</v>
      </c>
    </row>
    <row r="151" spans="4:97">
      <c r="D151" t="s">
        <v>1825</v>
      </c>
      <c r="E151" t="s">
        <v>2808</v>
      </c>
      <c r="G151" t="s">
        <v>3106</v>
      </c>
      <c r="H151">
        <f ca="1">INDEX(技能数据库!$B$2:$I$100,MATCH(阵眼收益计算!$E151,技能数据库!$B$2:$B$100,0),MATCH(H$9,技能数据库!$B$2:$I$2,0))</f>
        <v>535</v>
      </c>
      <c r="I151">
        <f ca="1">INDEX(技能数据库!$B$2:$I$100,MATCH(阵眼收益计算!$E151,技能数据库!$B$2:$B$100,0),MATCH(I$9,技能数据库!$B$2:$I$2,0))</f>
        <v>7.06875</v>
      </c>
      <c r="J151">
        <f ca="1">INDEX(技能数据库!$B$2:$I$100,MATCH(阵眼收益计算!$E151,技能数据库!$B$2:$B$100,0),MATCH(J$9,技能数据库!$B$2:$I$2,0))</f>
        <v>2</v>
      </c>
      <c r="K151">
        <f ca="1">INDEX(技能数据库!$B$2:$I$100,MATCH(阵眼收益计算!$E151,技能数据库!$B$2:$B$100,0),MATCH(K$9,技能数据库!$B$2:$I$2,0))</f>
        <v>0</v>
      </c>
      <c r="L151">
        <f ca="1" t="shared" si="387"/>
        <v>105847</v>
      </c>
      <c r="M151">
        <f ca="1" t="shared" si="487"/>
        <v>19530.5</v>
      </c>
      <c r="N151">
        <f ca="1" t="shared" si="488"/>
        <v>92028</v>
      </c>
      <c r="O151">
        <f ca="1" t="shared" si="489"/>
        <v>787801.98125</v>
      </c>
      <c r="P151">
        <f ca="1">IF(G151="恒定伤害",0,(IF(D151="轻剑",$AZ$2,$AZ$3)+IFERROR(INDEX(技能数据库!$T$2:$W$27,MATCH(E151,技能数据库!$T$2:$T$27,0),4),0)+COUNTIF(G151,"*造化2*")*154+COUNTIF(G151,"*造化1*")*102+COUNTIF(G151,"*碧归*")*307)/1024)</f>
        <v>0.337024396929785</v>
      </c>
      <c r="Q151">
        <f ca="1" t="shared" ref="Q151:Q158" si="526">IF(G151="恒定伤害",0,(IF(COUNTIF(F151,"*内破*")&gt;0,内破,IF(D151="轻剑",$AF$2,$AF$3)/破防系数))+IF((IF(D151="轻剑",$AO$2,$AO$3)+INT(COUNTIF(G151,"*大莺鸣*")*IF(D151="轻剑",$AM$2,$AM$3)*听晓无双率)/无双系数)&gt;0.9,(特效裤子破防+特效裤子破防*IF(D151="轻剑",$AD$2,$AD$3)/1024)/破防系数,0))</f>
        <v>0.448284482196154</v>
      </c>
      <c r="R151">
        <f ca="1" t="shared" si="490"/>
        <v>0.21277697966198</v>
      </c>
      <c r="S151">
        <f ca="1" t="shared" si="491"/>
        <v>1200903.36993142</v>
      </c>
      <c r="T151">
        <f t="shared" si="178"/>
        <v>0.8</v>
      </c>
      <c r="U151">
        <f ca="1" t="shared" ref="U151:U158" si="527">IF(G151="恒定伤害",0,(IF(D151="轻剑",$AO$2,$AO$3)+INT(COUNTIF(G151,"*大莺鸣*")*IF(D151="轻剑",$AM$2,$AM$3)*听晓无双率)/无双系数)+IF((IF(D151="轻剑",$AO$2,$AO$3)+INT(COUNTIF(G151,"*大莺鸣*")*IF(D151="轻剑",$AM$2,$AM$3)*听晓无双率)/无双系数)&lt;=0.9,特效裤子无双,0))</f>
        <v>1.7800129648</v>
      </c>
      <c r="V151">
        <f ca="1" t="shared" si="492"/>
        <v>2670821.55030508</v>
      </c>
      <c r="W151">
        <f ca="1">IF(G151="恒定伤害",0,MIN(1,IF(COUNTIF(F151,"*内会*")&gt;0,内会2,IF(D151="轻剑",$Y$2,$Y$3)+COUNTIF(G151,"*莺鸣*")*0.2+COUNTIF(G151,"*叠1*")*0.1+COUNTIF(G151,"*叠2*")*0.2+COUNTIF(G151,"*叠3*")*0.3)+IFERROR(INDEX(技能数据库!$T$2:$W$27,MATCH(E151,技能数据库!$T$2:$T$27,0),2),0)+IF((IF(D151="轻剑",$AO$2,$AO$3)+INT(COUNTIF(G151,"*大莺鸣*")*IF(D151="轻剑",$AM$2,$AM$3)*听晓无双率)/无双系数)&gt;0.9,特效裤子会心/会心系数,0)))</f>
        <v>0.9043</v>
      </c>
      <c r="X151">
        <f ca="1">IF(G151="恒定伤害",0,IF(COUNTIF(F151,"*内会*")&gt;0,内会效2,IF(D151="轻剑",$AB$2,$AB$3))+IFERROR(INDEX(技能数据库!$T$2:$W$27,MATCH(E151,技能数据库!$T$2:$T$27,0),3)/1024,0))+COUNTIF(G151,"*叠1*")*0.25+COUNTIF(G151,"*叠2*")*0.5+COUNTIF(G151,"*叠3*")*0.75</f>
        <v>2.6712723116</v>
      </c>
      <c r="Y151">
        <f ca="1" t="shared" si="493"/>
        <v>2.51133155137988</v>
      </c>
      <c r="Z151">
        <f t="shared" si="494"/>
        <v>0.150390625</v>
      </c>
      <c r="AA151">
        <f ca="1" t="shared" si="495"/>
        <v>0.0205078125</v>
      </c>
      <c r="AB151">
        <f ca="1" t="shared" si="496"/>
        <v>7874275.26216223</v>
      </c>
      <c r="AC151" s="171">
        <f ca="1">技能数计算!$AJ143</f>
        <v>4</v>
      </c>
      <c r="AD151" s="164">
        <f ca="1" t="shared" si="497"/>
        <v>0.0112921609293413</v>
      </c>
      <c r="AE151" s="168"/>
      <c r="AF151" s="168">
        <f ca="1" t="shared" si="512"/>
        <v>0.9057</v>
      </c>
      <c r="AG151" s="171">
        <f ca="1">技能数计算!$AJ143</f>
        <v>4</v>
      </c>
      <c r="AH151">
        <f ca="1" t="shared" si="389"/>
        <v>109879</v>
      </c>
      <c r="AJ151">
        <f ca="1" t="shared" si="513"/>
        <v>2.8704910616</v>
      </c>
      <c r="AK151">
        <f ca="1" t="shared" si="498"/>
        <v>816780.18125</v>
      </c>
      <c r="AL151">
        <f ca="1" t="shared" si="391"/>
        <v>8760490.06971</v>
      </c>
      <c r="AM151" s="169">
        <f ca="1" t="shared" si="514"/>
        <v>0.9272</v>
      </c>
      <c r="AN151" s="171">
        <f ca="1">技能数计算!$AJ143</f>
        <v>4</v>
      </c>
      <c r="AO151" s="170">
        <f ca="1" t="shared" si="393"/>
        <v>8891260.08715317</v>
      </c>
      <c r="AP151">
        <f ca="1" t="shared" si="394"/>
        <v>110956</v>
      </c>
      <c r="AQ151" s="170">
        <f ca="1" t="shared" si="499"/>
        <v>823916.225</v>
      </c>
      <c r="AR151">
        <f ca="1" t="shared" si="500"/>
        <v>8718387.55802043</v>
      </c>
      <c r="AS151">
        <f ca="1" t="shared" si="515"/>
        <v>0.9843</v>
      </c>
      <c r="AT151" s="171">
        <f ca="1">技能数计算!$AJ143</f>
        <v>4</v>
      </c>
      <c r="AU151">
        <f ca="1" t="shared" si="516"/>
        <v>2.8177566866</v>
      </c>
      <c r="AV151">
        <f ca="1" t="shared" ref="AV151:AV158" si="528">IF(G151="恒定伤害",0,(IF(D151="轻剑",$AV$8,$AV$9)+INT(COUNTIF(G151,"*大莺鸣*")*IF(D151="轻剑",$AM$2,$AM$3)*听晓无双率)/无双系数))+IF((IF(G151="恒定伤害",0,(IF(D151="轻剑",$AV$8,$AV$9)+INT(COUNTIF(G151,"*大莺鸣*")*IF(D151="轻剑",$AM$2,$AM$3)*听晓无双率)/无双系数)))&lt;=0.9,特效裤子无双,0)</f>
        <v>1.7995442148</v>
      </c>
      <c r="AW151">
        <f ca="1" t="shared" si="416"/>
        <v>8807030.36620972</v>
      </c>
      <c r="AX151">
        <f ca="1" t="shared" si="517"/>
        <v>0.9743</v>
      </c>
      <c r="AY151" s="171">
        <f ca="1">技能数计算!$AJ143</f>
        <v>4</v>
      </c>
      <c r="AZ151" s="170">
        <f ca="1" t="shared" si="417"/>
        <v>8749634.21118265</v>
      </c>
      <c r="BA151">
        <f ca="1" t="shared" si="518"/>
        <v>0.9643</v>
      </c>
      <c r="BB151" s="171">
        <f ca="1">技能数计算!$AJ143</f>
        <v>4</v>
      </c>
      <c r="BC151" s="170">
        <f ca="1" t="shared" si="418"/>
        <v>8692238.05615558</v>
      </c>
      <c r="BE151">
        <f ca="1" t="shared" si="400"/>
        <v>105849</v>
      </c>
      <c r="BF151">
        <f ca="1" t="shared" si="501"/>
        <v>787816.11875</v>
      </c>
      <c r="BI151">
        <f ca="1" t="shared" si="519"/>
        <v>0.9543</v>
      </c>
      <c r="BJ151" s="171">
        <f ca="1">技能数计算!$AJ143</f>
        <v>4</v>
      </c>
      <c r="BK151">
        <f ca="1" t="shared" si="402"/>
        <v>8683985.85035001</v>
      </c>
      <c r="BM151">
        <f ca="1" t="shared" si="403"/>
        <v>109230</v>
      </c>
      <c r="BN151">
        <f ca="1" t="shared" si="502"/>
        <v>811715.5625</v>
      </c>
      <c r="BO151">
        <f ca="1" t="shared" si="503"/>
        <v>8762235.48416452</v>
      </c>
      <c r="BP151">
        <f ca="1" t="shared" ref="BP151:BP158" si="529">IF(COUNTIF(G151,"*恒定伤害*")&gt;0,AB151,((BN151*(1+P151)*(1+IF(COUNTIF(F151,"*内破*")&gt;0,内破,IF(D151="轻剑",$BQ$8,$BQ$9)/破防系数)+IF((IF(D151="轻剑",$AO$2,$AO$3)+INT(COUNTIF(G151,"*大莺鸣*")*IF(D151="轻剑",$AM$2,$AM$3)*听晓无双率)/无双系数)&gt;0.9,(特效裤子破防+特效裤子破防*IF(D151="轻剑",$AD$2+102,$AD$3+102)/1024)/破防系数,0))*(1-R151))*T151*(1+U151))*Y151*(1+Z151)*(1+AA151))</f>
        <v>8356038.67749199</v>
      </c>
      <c r="BR151">
        <f ca="1" t="shared" si="520"/>
        <v>0.9543</v>
      </c>
      <c r="BS151">
        <f ca="1" t="shared" si="406"/>
        <v>8694742.31424475</v>
      </c>
      <c r="BT151">
        <f ca="1" t="shared" si="504"/>
        <v>0.196995876306796</v>
      </c>
      <c r="BU151">
        <f ca="1" t="shared" si="521"/>
        <v>2.8177566866</v>
      </c>
      <c r="BV151">
        <f ca="1" t="shared" si="419"/>
        <v>8746491.34498954</v>
      </c>
      <c r="BW151">
        <f ca="1" t="shared" si="408"/>
        <v>113027</v>
      </c>
      <c r="BX151">
        <f ca="1" t="shared" si="505"/>
        <v>838555.60625</v>
      </c>
      <c r="BY151">
        <f ca="1" t="shared" si="522"/>
        <v>0.9343</v>
      </c>
      <c r="BZ151" s="171">
        <f ca="1">技能数计算!$AJ143</f>
        <v>4</v>
      </c>
      <c r="CA151">
        <f ca="1" t="shared" si="523"/>
        <v>2.8216629366</v>
      </c>
      <c r="CB151">
        <f ca="1" t="shared" si="420"/>
        <v>9017858.49935357</v>
      </c>
      <c r="CC151">
        <f ca="1" t="shared" si="411"/>
        <v>114847</v>
      </c>
      <c r="CD151">
        <f ca="1" t="shared" si="506"/>
        <v>851420.73125</v>
      </c>
      <c r="CE151">
        <f ca="1" t="shared" si="412"/>
        <v>8939762.12741444</v>
      </c>
      <c r="CF151">
        <f ca="1" t="shared" si="524"/>
        <v>2.7689285616</v>
      </c>
      <c r="CG151">
        <f ca="1" t="shared" si="525"/>
        <v>0.9343</v>
      </c>
      <c r="CH151">
        <f ca="1" t="shared" si="421"/>
        <v>8376002.84720873</v>
      </c>
      <c r="CJ151">
        <f ca="1" t="shared" si="507"/>
        <v>811715.5625</v>
      </c>
      <c r="CK151">
        <f ca="1" t="shared" si="508"/>
        <v>8722543.03497734</v>
      </c>
      <c r="CL151">
        <f ca="1" t="shared" si="509"/>
        <v>2.7915848116</v>
      </c>
      <c r="CM151">
        <f ca="1">IF(G151="恒定伤害",0,(IF(D151="轻剑",$CM$8,$CM$9)+IFERROR(INDEX(技能数据库!$T$2:$W$27,MATCH(E151,技能数据库!$T$2:$T$27,0),4),0)+COUNTIF(G151,"*造化2*")*154+COUNTIF(G151,"*造化1*")*102+COUNTIF(G151,"*碧归*")*307)/1024)</f>
        <v>0.397571271929785</v>
      </c>
      <c r="CN151">
        <f ca="1" t="shared" si="422"/>
        <v>8825172.83469135</v>
      </c>
      <c r="CO151">
        <f ca="1" t="shared" si="510"/>
        <v>2.8156473116</v>
      </c>
      <c r="CP151">
        <f ca="1" t="shared" si="423"/>
        <v>8899373.6671467</v>
      </c>
      <c r="CQ151">
        <f ca="1" t="shared" ref="CQ151:CQ158" si="530">IF(G151="恒定伤害",0,(IF(D151="轻剑",$CQ$8,$CQ$9)+INT(COUNTIF(G151,"*大莺鸣*")*IF(D151="轻剑",$AM$2,$AM$3)*听晓无双率)/无双系数))+IF((IF(G151="恒定伤害",0,(IF(D151="轻剑",$CQ$8,$CQ$9)+INT(COUNTIF(G151,"*大莺鸣*")*IF(D151="轻剑",$AM$2,$AM$3)*听晓无双率)/无双系数)))&lt;=0.9,特效裤子无双,0)</f>
        <v>1.8815754648</v>
      </c>
      <c r="CR151">
        <f ca="1">IF(G151="恒定伤害",0,(IF(D151="轻剑",$CR$8,$CR$9)+IFERROR(INDEX(技能数据库!$T$2:$W$27,MATCH(E151,技能数据库!$T$2:$T$27,0),4),0)+COUNTIF(G151,"*造化2*")*154+COUNTIF(G151,"*造化1*")*102+COUNTIF(G151,"*碧归*")*307)/1024)</f>
        <v>0.387805646929785</v>
      </c>
      <c r="CS151">
        <f ca="1" t="shared" si="511"/>
        <v>8471944.20900182</v>
      </c>
    </row>
    <row r="152" spans="4:97">
      <c r="D152" t="s">
        <v>1825</v>
      </c>
      <c r="E152" t="s">
        <v>2808</v>
      </c>
      <c r="G152" t="s">
        <v>3107</v>
      </c>
      <c r="H152">
        <f ca="1">INDEX(技能数据库!$B$2:$I$100,MATCH(阵眼收益计算!$E152,技能数据库!$B$2:$B$100,0),MATCH(H$9,技能数据库!$B$2:$I$2,0))</f>
        <v>535</v>
      </c>
      <c r="I152">
        <f ca="1">INDEX(技能数据库!$B$2:$I$100,MATCH(阵眼收益计算!$E152,技能数据库!$B$2:$B$100,0),MATCH(I$9,技能数据库!$B$2:$I$2,0))</f>
        <v>7.06875</v>
      </c>
      <c r="J152">
        <f ca="1">INDEX(技能数据库!$B$2:$I$100,MATCH(阵眼收益计算!$E152,技能数据库!$B$2:$B$100,0),MATCH(J$9,技能数据库!$B$2:$I$2,0))</f>
        <v>2</v>
      </c>
      <c r="K152">
        <f ca="1">INDEX(技能数据库!$B$2:$I$100,MATCH(阵眼收益计算!$E152,技能数据库!$B$2:$B$100,0),MATCH(K$9,技能数据库!$B$2:$I$2,0))</f>
        <v>0</v>
      </c>
      <c r="L152">
        <f ca="1" t="shared" si="387"/>
        <v>105847</v>
      </c>
      <c r="M152">
        <f ca="1" t="shared" ref="M152:M155" si="531">IF(D152="轻剑",$AU$2+$AV$2,$AU$3+$AV$3)/2</f>
        <v>19530.5</v>
      </c>
      <c r="N152">
        <f ca="1" t="shared" ref="N152:N155" si="532">IF(D152="轻剑",$AJ$2,$AJ$3)</f>
        <v>92028</v>
      </c>
      <c r="O152">
        <f ca="1" t="shared" si="489"/>
        <v>787801.98125</v>
      </c>
      <c r="P152">
        <f ca="1">IF(G152="恒定伤害",0,(IF(D152="轻剑",$AZ$2,$AZ$3)+IFERROR(INDEX(技能数据库!$T$2:$W$27,MATCH(E152,技能数据库!$T$2:$T$27,0),4),0)+COUNTIF(G152,"*造化2*")*154+COUNTIF(G152,"*造化1*")*102+COUNTIF(G152,"*碧归*")*307)/1024)</f>
        <v>0.337024396929785</v>
      </c>
      <c r="Q152">
        <f ca="1" t="shared" si="526"/>
        <v>0.448284482196154</v>
      </c>
      <c r="R152">
        <f ca="1" t="shared" si="490"/>
        <v>0.21277697966198</v>
      </c>
      <c r="S152">
        <f ca="1" t="shared" ref="S152:S155" si="533">O152*(1+P152)*(1+Q152)*(1-R152)</f>
        <v>1200903.36993142</v>
      </c>
      <c r="T152">
        <f t="shared" si="178"/>
        <v>0.8</v>
      </c>
      <c r="U152">
        <f ca="1" t="shared" si="527"/>
        <v>1.7800129648</v>
      </c>
      <c r="V152">
        <f ca="1" t="shared" ref="V152:V155" si="534">S152*T152*(1+U152)</f>
        <v>2670821.55030508</v>
      </c>
      <c r="W152">
        <f ca="1">IF(G152="恒定伤害",0,MIN(1,IF(COUNTIF(F152,"*内会*")&gt;0,内会2,IF(D152="轻剑",$Y$2,$Y$3)+COUNTIF(G152,"*莺鸣*")*0.2+COUNTIF(G152,"*叠1*")*0.1+COUNTIF(G152,"*叠2*")*0.2+COUNTIF(G152,"*叠3*")*0.3)+IFERROR(INDEX(技能数据库!$T$2:$W$27,MATCH(E152,技能数据库!$T$2:$T$27,0),2),0)+IF((IF(D152="轻剑",$AO$2,$AO$3)+INT(COUNTIF(G152,"*大莺鸣*")*IF(D152="轻剑",$AM$2,$AM$3)*听晓无双率)/无双系数)&gt;0.9,特效裤子会心/会心系数,0)))</f>
        <v>1</v>
      </c>
      <c r="X152">
        <f ca="1">IF(G152="恒定伤害",0,IF(COUNTIF(F152,"*内会*")&gt;0,内会效2,IF(D152="轻剑",$AB$2,$AB$3))+IFERROR(INDEX(技能数据库!$T$2:$W$27,MATCH(E152,技能数据库!$T$2:$T$27,0),3)/1024,0))+COUNTIF(G152,"*叠1*")*0.25+COUNTIF(G152,"*叠2*")*0.5+COUNTIF(G152,"*叠3*")*0.75</f>
        <v>2.9212723116</v>
      </c>
      <c r="Y152">
        <f ca="1" t="shared" ref="Y152:Y155" si="535">1+W152*(X152-1)</f>
        <v>2.9212723116</v>
      </c>
      <c r="Z152">
        <f t="shared" si="494"/>
        <v>0.150390625</v>
      </c>
      <c r="AA152">
        <f ca="1" t="shared" ref="AA152:AA155" si="536">IF(D152="轻剑",$BA$2,$BA$3)/1024</f>
        <v>0.0205078125</v>
      </c>
      <c r="AB152">
        <f ca="1" t="shared" ref="AB152:AB155" si="537">V152*Y152*(1+Z152)*(1+AA152)</f>
        <v>9159643.7294917</v>
      </c>
      <c r="AC152">
        <f ca="1">技能数计算!$AJ144</f>
        <v>4</v>
      </c>
      <c r="AD152" s="164">
        <f ca="1" t="shared" si="497"/>
        <v>0.013135452801081</v>
      </c>
      <c r="AE152" s="168"/>
      <c r="AF152" s="168">
        <f ca="1" t="shared" si="512"/>
        <v>1.0014</v>
      </c>
      <c r="AG152">
        <f ca="1">技能数计算!$AJ144</f>
        <v>4</v>
      </c>
      <c r="AH152">
        <f ca="1" t="shared" si="389"/>
        <v>109879</v>
      </c>
      <c r="AJ152">
        <f ca="1" t="shared" si="513"/>
        <v>3.1204910616</v>
      </c>
      <c r="AK152">
        <f ca="1" t="shared" si="498"/>
        <v>816780.18125</v>
      </c>
      <c r="AL152">
        <f ca="1" t="shared" si="391"/>
        <v>10146985.2125013</v>
      </c>
      <c r="AM152" s="169">
        <f ca="1" t="shared" si="514"/>
        <v>1.0229</v>
      </c>
      <c r="AN152">
        <f ca="1">技能数计算!$AJ144</f>
        <v>4</v>
      </c>
      <c r="AO152" s="170">
        <f ca="1" t="shared" si="393"/>
        <v>10146985.2125013</v>
      </c>
      <c r="AP152">
        <f ca="1" t="shared" si="394"/>
        <v>110956</v>
      </c>
      <c r="AQ152" s="170">
        <f ca="1" t="shared" si="499"/>
        <v>823916.225</v>
      </c>
      <c r="AR152">
        <f ca="1" t="shared" si="500"/>
        <v>10141545.8906845</v>
      </c>
      <c r="AS152">
        <f ca="1" t="shared" si="515"/>
        <v>1.08</v>
      </c>
      <c r="AT152">
        <f ca="1">技能数计算!$AJ144</f>
        <v>4</v>
      </c>
      <c r="AU152">
        <f ca="1" t="shared" si="516"/>
        <v>3.0677566866</v>
      </c>
      <c r="AV152">
        <f ca="1" t="shared" si="528"/>
        <v>1.7995442148</v>
      </c>
      <c r="AW152">
        <f ca="1" t="shared" si="416"/>
        <v>9686524.03632597</v>
      </c>
      <c r="AX152">
        <f ca="1" t="shared" si="517"/>
        <v>1.07</v>
      </c>
      <c r="AY152">
        <f ca="1">技能数计算!$AJ144</f>
        <v>4</v>
      </c>
      <c r="AZ152" s="170">
        <f ca="1" t="shared" si="417"/>
        <v>9686524.03632597</v>
      </c>
      <c r="BA152">
        <f ca="1" t="shared" si="518"/>
        <v>1.06</v>
      </c>
      <c r="BB152">
        <f ca="1">技能数计算!$AJ144</f>
        <v>4</v>
      </c>
      <c r="BC152" s="170">
        <f ca="1" t="shared" si="418"/>
        <v>9686524.03632597</v>
      </c>
      <c r="BE152">
        <f ca="1" t="shared" si="400"/>
        <v>105849</v>
      </c>
      <c r="BF152">
        <f ca="1" t="shared" si="501"/>
        <v>787816.11875</v>
      </c>
      <c r="BI152">
        <f ca="1" t="shared" si="519"/>
        <v>1.05</v>
      </c>
      <c r="BJ152">
        <f ca="1">技能数计算!$AJ144</f>
        <v>4</v>
      </c>
      <c r="BK152">
        <f ca="1" t="shared" si="402"/>
        <v>9776228.24303711</v>
      </c>
      <c r="BM152">
        <f ca="1" t="shared" si="403"/>
        <v>109230</v>
      </c>
      <c r="BN152">
        <f ca="1" t="shared" si="502"/>
        <v>811715.5625</v>
      </c>
      <c r="BO152">
        <f ca="1" t="shared" si="503"/>
        <v>10192551.3951132</v>
      </c>
      <c r="BP152">
        <f ca="1" t="shared" si="529"/>
        <v>9720048.47779001</v>
      </c>
      <c r="BR152">
        <f ca="1" t="shared" si="520"/>
        <v>1.05</v>
      </c>
      <c r="BS152">
        <f ca="1" t="shared" si="406"/>
        <v>9788337.618609</v>
      </c>
      <c r="BT152">
        <f ca="1" t="shared" si="504"/>
        <v>0.196995876306796</v>
      </c>
      <c r="BU152">
        <f ca="1" t="shared" si="521"/>
        <v>3.0677566866</v>
      </c>
      <c r="BV152">
        <f ca="1" t="shared" si="419"/>
        <v>9811771.84444866</v>
      </c>
      <c r="BW152">
        <f ca="1" t="shared" si="408"/>
        <v>113027</v>
      </c>
      <c r="BX152">
        <f ca="1" t="shared" si="505"/>
        <v>838555.60625</v>
      </c>
      <c r="BY152">
        <f ca="1" t="shared" si="522"/>
        <v>1.03</v>
      </c>
      <c r="BZ152">
        <f ca="1">技能数计算!$AJ144</f>
        <v>4</v>
      </c>
      <c r="CA152">
        <f ca="1" t="shared" si="523"/>
        <v>3.0716629366</v>
      </c>
      <c r="CB152">
        <f ca="1" t="shared" si="420"/>
        <v>10251676.5421769</v>
      </c>
      <c r="CC152">
        <f ca="1" t="shared" si="411"/>
        <v>114847</v>
      </c>
      <c r="CD152">
        <f ca="1" t="shared" si="506"/>
        <v>851420.73125</v>
      </c>
      <c r="CE152">
        <f ca="1" t="shared" si="412"/>
        <v>10195505.8706238</v>
      </c>
      <c r="CF152">
        <f ca="1" t="shared" si="524"/>
        <v>3.0189285616</v>
      </c>
      <c r="CG152">
        <f ca="1" t="shared" si="525"/>
        <v>1.03</v>
      </c>
      <c r="CH152">
        <f ca="1" t="shared" si="421"/>
        <v>9532347.92173149</v>
      </c>
      <c r="CJ152">
        <f ca="1" t="shared" si="507"/>
        <v>811715.5625</v>
      </c>
      <c r="CK152">
        <f ca="1" t="shared" si="508"/>
        <v>10146379.692804</v>
      </c>
      <c r="CL152">
        <f ca="1" t="shared" si="509"/>
        <v>3.0415848116</v>
      </c>
      <c r="CM152">
        <f ca="1">IF(G152="恒定伤害",0,(IF(D152="轻剑",$CM$8,$CM$9)+IFERROR(INDEX(技能数据库!$T$2:$W$27,MATCH(E152,技能数据库!$T$2:$T$27,0),4),0)+COUNTIF(G152,"*造化2*")*154+COUNTIF(G152,"*造化1*")*102+COUNTIF(G152,"*碧归*")*307)/1024)</f>
        <v>0.397571271929785</v>
      </c>
      <c r="CN152">
        <f ca="1" t="shared" si="422"/>
        <v>10038795.6260571</v>
      </c>
      <c r="CO152">
        <f ca="1" t="shared" si="510"/>
        <v>3.0656473116</v>
      </c>
      <c r="CP152">
        <f ca="1" t="shared" si="423"/>
        <v>10118214.2629567</v>
      </c>
      <c r="CQ152">
        <f ca="1" t="shared" si="530"/>
        <v>1.8815754648</v>
      </c>
      <c r="CR152">
        <f ca="1">IF(G152="恒定伤害",0,(IF(D152="轻剑",$CR$8,$CR$9)+IFERROR(INDEX(技能数据库!$T$2:$W$27,MATCH(E152,技能数据库!$T$2:$T$27,0),4),0)+COUNTIF(G152,"*造化2*")*154+COUNTIF(G152,"*造化1*")*102+COUNTIF(G152,"*碧归*")*307)/1024)</f>
        <v>0.387805646929785</v>
      </c>
      <c r="CS152">
        <f ca="1" t="shared" si="511"/>
        <v>9854874.01278356</v>
      </c>
    </row>
    <row r="153" spans="4:97">
      <c r="D153" t="s">
        <v>1825</v>
      </c>
      <c r="E153" t="s">
        <v>2768</v>
      </c>
      <c r="G153" t="s">
        <v>3105</v>
      </c>
      <c r="H153">
        <f ca="1">INDEX(技能数据库!$B$2:$I$100,MATCH(阵眼收益计算!$E153,技能数据库!$B$2:$B$100,0),MATCH(H$9,技能数据库!$B$2:$I$2,0))</f>
        <v>210</v>
      </c>
      <c r="I153">
        <f ca="1">INDEX(技能数据库!$B$2:$I$100,MATCH(阵眼收益计算!$E153,技能数据库!$B$2:$B$100,0),MATCH(I$9,技能数据库!$B$2:$I$2,0))</f>
        <v>5.7875</v>
      </c>
      <c r="J153">
        <f ca="1">INDEX(技能数据库!$B$2:$I$100,MATCH(阵眼收益计算!$E153,技能数据库!$B$2:$B$100,0),MATCH(J$9,技能数据库!$B$2:$I$2,0))</f>
        <v>2</v>
      </c>
      <c r="K153">
        <f ca="1">INDEX(技能数据库!$B$2:$I$100,MATCH(阵眼收益计算!$E153,技能数据库!$B$2:$B$100,0),MATCH(K$9,技能数据库!$B$2:$I$2,0))</f>
        <v>0</v>
      </c>
      <c r="L153">
        <f ca="1" t="shared" si="387"/>
        <v>105847</v>
      </c>
      <c r="M153">
        <f ca="1" t="shared" si="531"/>
        <v>19530.5</v>
      </c>
      <c r="N153">
        <f ca="1" t="shared" si="532"/>
        <v>92028</v>
      </c>
      <c r="O153">
        <f ca="1" t="shared" si="489"/>
        <v>651860.5125</v>
      </c>
      <c r="P153">
        <f ca="1">IF(G153="恒定伤害",0,(IF(D153="轻剑",$AZ$2,$AZ$3)+IFERROR(INDEX(技能数据库!$T$2:$W$27,MATCH(E153,技能数据库!$T$2:$T$27,0),4),0)+COUNTIF(G153,"*造化2*")*154+COUNTIF(G153,"*造化1*")*102+COUNTIF(G153,"*碧归*")*307)/1024)</f>
        <v>0.386829084429785</v>
      </c>
      <c r="Q153">
        <f ca="1" t="shared" si="526"/>
        <v>0.448284482196154</v>
      </c>
      <c r="R153">
        <f ca="1" t="shared" si="490"/>
        <v>0.21277697966198</v>
      </c>
      <c r="S153">
        <f ca="1" t="shared" si="533"/>
        <v>1030692.88403962</v>
      </c>
      <c r="T153">
        <f t="shared" si="178"/>
        <v>0.8</v>
      </c>
      <c r="U153">
        <f ca="1" t="shared" si="527"/>
        <v>1.7800129648</v>
      </c>
      <c r="V153">
        <f ca="1" t="shared" si="534"/>
        <v>2292271.66428579</v>
      </c>
      <c r="W153">
        <f ca="1">IF(G153="恒定伤害",0,MIN(1,IF(COUNTIF(F153,"*内会*")&gt;0,内会2,IF(D153="轻剑",$Y$2,$Y$3)+COUNTIF(G153,"*莺鸣*")*0.2+COUNTIF(G153,"*叠1*")*0.1+COUNTIF(G153,"*叠2*")*0.2+COUNTIF(G153,"*叠3*")*0.3)+IFERROR(INDEX(技能数据库!$T$2:$W$27,MATCH(E153,技能数据库!$T$2:$T$27,0),2),0)+IF((IF(D153="轻剑",$AO$2,$AO$3)+INT(COUNTIF(G153,"*大莺鸣*")*IF(D153="轻剑",$AM$2,$AM$3)*听晓无双率)/无双系数)&gt;0.9,特效裤子会心/会心系数,0)))</f>
        <v>0.8043</v>
      </c>
      <c r="X153">
        <f ca="1">IF(G153="恒定伤害",0,IF(COUNTIF(F153,"*内会*")&gt;0,内会效2,IF(D153="轻剑",$AB$2,$AB$3))+IFERROR(INDEX(技能数据库!$T$2:$W$27,MATCH(E153,技能数据库!$T$2:$T$27,0),3)/1024,0))+COUNTIF(G153,"*叠1*")*0.25+COUNTIF(G153,"*叠2*")*0.5+COUNTIF(G153,"*叠3*")*0.75</f>
        <v>2.4212723116</v>
      </c>
      <c r="Y153">
        <f ca="1" t="shared" si="535"/>
        <v>2.14312932021988</v>
      </c>
      <c r="Z153">
        <f t="shared" si="494"/>
        <v>0.150390625</v>
      </c>
      <c r="AA153">
        <f ca="1" t="shared" si="536"/>
        <v>0.0205078125</v>
      </c>
      <c r="AB153">
        <f ca="1" t="shared" si="537"/>
        <v>5767347.65599928</v>
      </c>
      <c r="AC153">
        <f ca="1">技能数计算!$AJ145</f>
        <v>6</v>
      </c>
      <c r="AD153" s="164">
        <f ca="1" t="shared" si="497"/>
        <v>0.0124060594211028</v>
      </c>
      <c r="AE153" s="168"/>
      <c r="AF153" s="168">
        <f ca="1" t="shared" ref="AF153:AF156" si="538">W153+IF(COUNTIF(F153,"*内会*")&gt;0,0,IF(D153="轻剑",$AF$8-$Y$2,$AF$9-$Y$3))</f>
        <v>0.8057</v>
      </c>
      <c r="AG153">
        <f ca="1">技能数计算!$AJ145</f>
        <v>6</v>
      </c>
      <c r="AH153">
        <f ca="1" t="shared" si="389"/>
        <v>109879</v>
      </c>
      <c r="AJ153">
        <f ca="1" t="shared" ref="AJ153:AJ156" si="539">X153+IF(COUNTIF(F153,"*内会*")&gt;0,0,IF(D153="轻剑",$AJ$8-$AB$2,$AJ$9-$AB$3))</f>
        <v>2.6204910616</v>
      </c>
      <c r="AK153">
        <f ca="1" t="shared" si="498"/>
        <v>675672.7125</v>
      </c>
      <c r="AL153">
        <f ca="1" t="shared" si="391"/>
        <v>6433072.27208073</v>
      </c>
      <c r="AM153" s="169">
        <f ca="1" t="shared" ref="AM153:AM156" si="540">W153+IF(COUNTIF(F153,"*内会*")&gt;0,0,IF(D153="轻剑",$AN$8-$Y$2,$AN$9-$Y$3))</f>
        <v>0.8272</v>
      </c>
      <c r="AN153">
        <f ca="1">技能数计算!$AJ145</f>
        <v>6</v>
      </c>
      <c r="AO153" s="170">
        <f ca="1" t="shared" si="393"/>
        <v>6530282.95231561</v>
      </c>
      <c r="AP153">
        <f ca="1" t="shared" si="394"/>
        <v>110956</v>
      </c>
      <c r="AQ153" s="170">
        <f ca="1" t="shared" si="499"/>
        <v>681428.85</v>
      </c>
      <c r="AR153">
        <f ca="1" t="shared" si="500"/>
        <v>6382657.87765862</v>
      </c>
      <c r="AS153">
        <f ca="1" t="shared" ref="AS153:AS156" si="541">W153+IF(COUNTIF(F153,"*内会*")&gt;0,0,IF(D153="轻剑",$AS$8-$Y$2,$AS$9-$Y$3))</f>
        <v>0.8843</v>
      </c>
      <c r="AT153">
        <f ca="1">技能数计算!$AJ145</f>
        <v>6</v>
      </c>
      <c r="AU153">
        <f ca="1" t="shared" ref="AU153:AU156" si="542">X153+IF(COUNTIF(F153,"*内会*")&gt;0,0,IF(D153="轻剑",$AU$8-$AB$2,$AU$9-$AB$3))</f>
        <v>2.5677566866</v>
      </c>
      <c r="AV153">
        <f ca="1" t="shared" si="528"/>
        <v>1.7995442148</v>
      </c>
      <c r="AW153">
        <f ca="1" t="shared" si="416"/>
        <v>6467039.91214084</v>
      </c>
      <c r="AX153">
        <f ca="1" t="shared" ref="AX153:AX156" si="543">$W153+IF(COUNTIF(F153,"*内会*")&gt;0,0,IF(I153="轻剑",AX$8-$Y$2,AX$9-$Y$3))</f>
        <v>0.8743</v>
      </c>
      <c r="AY153">
        <f ca="1">技能数计算!$AJ145</f>
        <v>6</v>
      </c>
      <c r="AZ153" s="170">
        <f ca="1" t="shared" si="417"/>
        <v>6424553.80646738</v>
      </c>
      <c r="BA153">
        <f ca="1" t="shared" ref="BA153:BA156" si="544">$W153+IF(COUNTIF(F153,"*内会*")&gt;0,0,IF(L153="轻剑",BA$8-$Y$2,BA$9-$Y$3))</f>
        <v>0.8643</v>
      </c>
      <c r="BB153">
        <f ca="1">技能数计算!$AJ145</f>
        <v>6</v>
      </c>
      <c r="BC153" s="170">
        <f ca="1" t="shared" si="418"/>
        <v>6382067.70079391</v>
      </c>
      <c r="BE153">
        <f ca="1" t="shared" si="400"/>
        <v>105849</v>
      </c>
      <c r="BF153">
        <f ca="1" t="shared" si="501"/>
        <v>651872.0875</v>
      </c>
      <c r="BI153">
        <f ca="1" t="shared" ref="BI153:BI156" si="545">$W153+IF(COUNTIF(F153,"*内会*")&gt;0,0,IF(T153="轻剑",BI$8-$Y$2,BI$9-$Y$3))</f>
        <v>0.8543</v>
      </c>
      <c r="BJ153">
        <f ca="1">技能数计算!$AJ145</f>
        <v>6</v>
      </c>
      <c r="BK153">
        <f ca="1" t="shared" si="402"/>
        <v>6359689.06805758</v>
      </c>
      <c r="BM153">
        <f ca="1" t="shared" si="403"/>
        <v>109230</v>
      </c>
      <c r="BN153">
        <f ca="1" t="shared" si="502"/>
        <v>671439.625</v>
      </c>
      <c r="BO153">
        <f ca="1" t="shared" si="503"/>
        <v>6415728.09290909</v>
      </c>
      <c r="BP153">
        <f ca="1" t="shared" si="529"/>
        <v>6118309.89768612</v>
      </c>
      <c r="BR153">
        <f ca="1" t="shared" ref="BR153:BR156" si="546">$W153+IF(T153="轻剑",BI$8-$Y$2,BI$9-$Y$3)</f>
        <v>0.8543</v>
      </c>
      <c r="BS153">
        <f ca="1" t="shared" si="406"/>
        <v>6365595.8684443</v>
      </c>
      <c r="BT153">
        <f ca="1" t="shared" si="504"/>
        <v>0.196995876306796</v>
      </c>
      <c r="BU153">
        <f ca="1" t="shared" ref="BU153:BU156" si="547">X153+IF(D153="轻剑",$AU$8-$AB$2,$AU$9-$AB$3)</f>
        <v>2.5677566866</v>
      </c>
      <c r="BV153">
        <f ca="1" t="shared" si="419"/>
        <v>6421553.07387032</v>
      </c>
      <c r="BW153">
        <f ca="1" t="shared" si="408"/>
        <v>113027</v>
      </c>
      <c r="BX153">
        <f ca="1" t="shared" si="505"/>
        <v>693414.7625</v>
      </c>
      <c r="BY153">
        <f ca="1" t="shared" ref="BY153:BY156" si="548">$W153+IF(COUNTIF(F153,"*内会*")&gt;0,0,IF(AI153="轻剑",BY$8-$Y$2,BY$9-$Y$3))</f>
        <v>0.8343</v>
      </c>
      <c r="BZ153">
        <f ca="1">技能数计算!$AJ145</f>
        <v>6</v>
      </c>
      <c r="CA153">
        <f ca="1" t="shared" ref="CA153:CA156" si="549">X153+IF(COUNTIF(F153,"*内会*")&gt;0,0,IF(D153="轻剑",$CA$8-$AB$2,$CA$9-$AB$3))</f>
        <v>2.5716629366</v>
      </c>
      <c r="CB153">
        <f ca="1" t="shared" si="420"/>
        <v>6616234.74097663</v>
      </c>
      <c r="CC153">
        <f ca="1" t="shared" si="411"/>
        <v>114847</v>
      </c>
      <c r="CD153">
        <f ca="1" t="shared" si="506"/>
        <v>703948.0125</v>
      </c>
      <c r="CE153">
        <f ca="1" t="shared" si="412"/>
        <v>6542152.66349089</v>
      </c>
      <c r="CF153">
        <f ca="1" t="shared" ref="CF153:CF156" si="550">X153+IF(COUNTIF(F153,"*内会*")&gt;0,0,IF(D153="轻剑",$CF$8-$AB$2,$CF$9-$AB$3))</f>
        <v>2.5189285616</v>
      </c>
      <c r="CG153">
        <f ca="1" t="shared" ref="CG153:CG156" si="551">$W153+IF(AI153="轻剑",BY$8-$Y$2,BY$9-$Y$3)</f>
        <v>0.8343</v>
      </c>
      <c r="CH153">
        <f ca="1" t="shared" si="421"/>
        <v>6144211.54930095</v>
      </c>
      <c r="CJ153">
        <f ca="1" t="shared" si="507"/>
        <v>671439.625</v>
      </c>
      <c r="CK153">
        <f ca="1" t="shared" si="508"/>
        <v>6386665.19431583</v>
      </c>
      <c r="CL153">
        <f ca="1" t="shared" si="509"/>
        <v>2.5415848116</v>
      </c>
      <c r="CM153">
        <f ca="1">IF(G153="恒定伤害",0,(IF(D153="轻剑",$CM$8,$CM$9)+IFERROR(INDEX(技能数据库!$T$2:$W$27,MATCH(E153,技能数据库!$T$2:$T$27,0),4),0)+COUNTIF(G153,"*造化2*")*154+COUNTIF(G153,"*造化1*")*102+COUNTIF(G153,"*碧归*")*307)/1024)</f>
        <v>0.447375959429785</v>
      </c>
      <c r="CN153">
        <f ca="1" t="shared" si="422"/>
        <v>6465919.58187346</v>
      </c>
      <c r="CO153">
        <f ca="1" t="shared" si="510"/>
        <v>2.5656473116</v>
      </c>
      <c r="CP153">
        <f ca="1" t="shared" si="423"/>
        <v>6522698.83394062</v>
      </c>
      <c r="CQ153">
        <f ca="1" t="shared" si="530"/>
        <v>1.8815754648</v>
      </c>
      <c r="CR153">
        <f ca="1">IF(G153="恒定伤害",0,(IF(D153="轻剑",$CR$8,$CR$9)+IFERROR(INDEX(技能数据库!$T$2:$W$27,MATCH(E153,技能数据库!$T$2:$T$27,0),4),0)+COUNTIF(G153,"*造化2*")*154+COUNTIF(G153,"*造化1*")*102+COUNTIF(G153,"*碧归*")*307)/1024)</f>
        <v>0.437610334429785</v>
      </c>
      <c r="CS153">
        <f ca="1" t="shared" si="511"/>
        <v>6196943.73389056</v>
      </c>
    </row>
    <row r="154" spans="4:97">
      <c r="D154" t="s">
        <v>1825</v>
      </c>
      <c r="E154" t="s">
        <v>2768</v>
      </c>
      <c r="G154" t="s">
        <v>3106</v>
      </c>
      <c r="H154">
        <f ca="1">INDEX(技能数据库!$B$2:$I$100,MATCH(阵眼收益计算!$E154,技能数据库!$B$2:$B$100,0),MATCH(H$9,技能数据库!$B$2:$I$2,0))</f>
        <v>210</v>
      </c>
      <c r="I154">
        <f ca="1">INDEX(技能数据库!$B$2:$I$100,MATCH(阵眼收益计算!$E154,技能数据库!$B$2:$B$100,0),MATCH(I$9,技能数据库!$B$2:$I$2,0))</f>
        <v>5.7875</v>
      </c>
      <c r="J154">
        <f ca="1">INDEX(技能数据库!$B$2:$I$100,MATCH(阵眼收益计算!$E154,技能数据库!$B$2:$B$100,0),MATCH(J$9,技能数据库!$B$2:$I$2,0))</f>
        <v>2</v>
      </c>
      <c r="K154">
        <f ca="1">INDEX(技能数据库!$B$2:$I$100,MATCH(阵眼收益计算!$E154,技能数据库!$B$2:$B$100,0),MATCH(K$9,技能数据库!$B$2:$I$2,0))</f>
        <v>0</v>
      </c>
      <c r="L154">
        <f ca="1" t="shared" si="387"/>
        <v>105847</v>
      </c>
      <c r="M154">
        <f ca="1" t="shared" si="531"/>
        <v>19530.5</v>
      </c>
      <c r="N154">
        <f ca="1" t="shared" si="532"/>
        <v>92028</v>
      </c>
      <c r="O154">
        <f ca="1" t="shared" si="489"/>
        <v>651860.5125</v>
      </c>
      <c r="P154">
        <f ca="1">IF(G154="恒定伤害",0,(IF(D154="轻剑",$AZ$2,$AZ$3)+IFERROR(INDEX(技能数据库!$T$2:$W$27,MATCH(E154,技能数据库!$T$2:$T$27,0),4),0)+COUNTIF(G154,"*造化2*")*154+COUNTIF(G154,"*造化1*")*102+COUNTIF(G154,"*碧归*")*307)/1024)</f>
        <v>0.386829084429785</v>
      </c>
      <c r="Q154">
        <f ca="1" t="shared" si="526"/>
        <v>0.448284482196154</v>
      </c>
      <c r="R154">
        <f ca="1" t="shared" si="490"/>
        <v>0.21277697966198</v>
      </c>
      <c r="S154">
        <f ca="1" t="shared" si="533"/>
        <v>1030692.88403962</v>
      </c>
      <c r="T154">
        <f t="shared" si="178"/>
        <v>0.8</v>
      </c>
      <c r="U154">
        <f ca="1" t="shared" si="527"/>
        <v>1.7800129648</v>
      </c>
      <c r="V154">
        <f ca="1" t="shared" si="534"/>
        <v>2292271.66428579</v>
      </c>
      <c r="W154">
        <f ca="1">IF(G154="恒定伤害",0,MIN(1,IF(COUNTIF(F154,"*内会*")&gt;0,内会2,IF(D154="轻剑",$Y$2,$Y$3)+COUNTIF(G154,"*莺鸣*")*0.2+COUNTIF(G154,"*叠1*")*0.1+COUNTIF(G154,"*叠2*")*0.2+COUNTIF(G154,"*叠3*")*0.3)+IFERROR(INDEX(技能数据库!$T$2:$W$27,MATCH(E154,技能数据库!$T$2:$T$27,0),2),0)+IF((IF(D154="轻剑",$AO$2,$AO$3)+INT(COUNTIF(G154,"*大莺鸣*")*IF(D154="轻剑",$AM$2,$AM$3)*听晓无双率)/无双系数)&gt;0.9,特效裤子会心/会心系数,0)))</f>
        <v>0.9043</v>
      </c>
      <c r="X154">
        <f ca="1">IF(G154="恒定伤害",0,IF(COUNTIF(F154,"*内会*")&gt;0,内会效2,IF(D154="轻剑",$AB$2,$AB$3))+IFERROR(INDEX(技能数据库!$T$2:$W$27,MATCH(E154,技能数据库!$T$2:$T$27,0),3)/1024,0))+COUNTIF(G154,"*叠1*")*0.25+COUNTIF(G154,"*叠2*")*0.5+COUNTIF(G154,"*叠3*")*0.75</f>
        <v>2.6712723116</v>
      </c>
      <c r="Y154">
        <f ca="1" t="shared" si="535"/>
        <v>2.51133155137988</v>
      </c>
      <c r="Z154">
        <f t="shared" si="494"/>
        <v>0.150390625</v>
      </c>
      <c r="AA154">
        <f ca="1" t="shared" si="536"/>
        <v>0.0205078125</v>
      </c>
      <c r="AB154">
        <f ca="1" t="shared" si="537"/>
        <v>6758211.92852786</v>
      </c>
      <c r="AC154">
        <f ca="1">技能数计算!$AJ146</f>
        <v>3</v>
      </c>
      <c r="AD154" s="164">
        <f ca="1" t="shared" si="497"/>
        <v>0.00726874672437235</v>
      </c>
      <c r="AE154" s="168"/>
      <c r="AF154" s="168">
        <f ca="1" t="shared" si="538"/>
        <v>0.9057</v>
      </c>
      <c r="AG154">
        <f ca="1">技能数计算!$AJ146</f>
        <v>3</v>
      </c>
      <c r="AH154">
        <f ca="1" t="shared" si="389"/>
        <v>109879</v>
      </c>
      <c r="AJ154">
        <f ca="1" t="shared" si="539"/>
        <v>2.8704910616</v>
      </c>
      <c r="AK154">
        <f ca="1" t="shared" si="498"/>
        <v>675672.7125</v>
      </c>
      <c r="AL154">
        <f ca="1" t="shared" si="391"/>
        <v>7516976.62010477</v>
      </c>
      <c r="AM154" s="169">
        <f ca="1" t="shared" si="540"/>
        <v>0.9272</v>
      </c>
      <c r="AN154">
        <f ca="1">技能数计算!$AJ146</f>
        <v>3</v>
      </c>
      <c r="AO154" s="170">
        <f ca="1" t="shared" si="393"/>
        <v>7629184.40253577</v>
      </c>
      <c r="AP154">
        <f ca="1" t="shared" si="394"/>
        <v>110956</v>
      </c>
      <c r="AQ154" s="170">
        <f ca="1" t="shared" si="499"/>
        <v>681428.85</v>
      </c>
      <c r="AR154">
        <f ca="1" t="shared" si="500"/>
        <v>7479236.06783697</v>
      </c>
      <c r="AS154">
        <f ca="1" t="shared" si="541"/>
        <v>0.9843</v>
      </c>
      <c r="AT154">
        <f ca="1">技能数计算!$AJ146</f>
        <v>3</v>
      </c>
      <c r="AU154">
        <f ca="1" t="shared" si="542"/>
        <v>2.8177566866</v>
      </c>
      <c r="AV154">
        <f ca="1" t="shared" si="528"/>
        <v>1.7995442148</v>
      </c>
      <c r="AW154">
        <f ca="1" t="shared" si="416"/>
        <v>7558762.64090389</v>
      </c>
      <c r="AX154">
        <f ca="1" t="shared" si="543"/>
        <v>0.9743</v>
      </c>
      <c r="AY154">
        <f ca="1">技能数计算!$AJ146</f>
        <v>3</v>
      </c>
      <c r="AZ154" s="170">
        <f ca="1" t="shared" si="417"/>
        <v>7509501.55126184</v>
      </c>
      <c r="BA154">
        <f ca="1" t="shared" si="544"/>
        <v>0.9643</v>
      </c>
      <c r="BB154">
        <f ca="1">技能数计算!$AJ146</f>
        <v>3</v>
      </c>
      <c r="BC154" s="170">
        <f ca="1" t="shared" si="418"/>
        <v>7460240.46161978</v>
      </c>
      <c r="BE154">
        <f ca="1" t="shared" si="400"/>
        <v>105849</v>
      </c>
      <c r="BF154">
        <f ca="1" t="shared" si="501"/>
        <v>651872.0875</v>
      </c>
      <c r="BI154">
        <f ca="1" t="shared" si="545"/>
        <v>0.9543</v>
      </c>
      <c r="BJ154">
        <f ca="1">技能数计算!$AJ146</f>
        <v>3</v>
      </c>
      <c r="BK154">
        <f ca="1" t="shared" si="402"/>
        <v>7453156.47938718</v>
      </c>
      <c r="BM154">
        <f ca="1" t="shared" si="403"/>
        <v>109230</v>
      </c>
      <c r="BN154">
        <f ca="1" t="shared" si="502"/>
        <v>671439.625</v>
      </c>
      <c r="BO154">
        <f ca="1" t="shared" si="503"/>
        <v>7517987.94071084</v>
      </c>
      <c r="BP154">
        <f ca="1" t="shared" si="529"/>
        <v>7169471.54901625</v>
      </c>
      <c r="BR154">
        <f ca="1" t="shared" si="546"/>
        <v>0.9543</v>
      </c>
      <c r="BS154">
        <f ca="1" t="shared" si="406"/>
        <v>7460078.87875351</v>
      </c>
      <c r="BT154">
        <f ca="1" t="shared" si="504"/>
        <v>0.196995876306796</v>
      </c>
      <c r="BU154">
        <f ca="1" t="shared" si="547"/>
        <v>2.8177566866</v>
      </c>
      <c r="BV154">
        <f ca="1" t="shared" si="419"/>
        <v>7506804.1403778</v>
      </c>
      <c r="BW154">
        <f ca="1" t="shared" si="408"/>
        <v>113027</v>
      </c>
      <c r="BX154">
        <f ca="1" t="shared" si="505"/>
        <v>693414.7625</v>
      </c>
      <c r="BY154">
        <f ca="1" t="shared" si="548"/>
        <v>0.9343</v>
      </c>
      <c r="BZ154">
        <f ca="1">技能数计算!$AJ146</f>
        <v>3</v>
      </c>
      <c r="CA154">
        <f ca="1" t="shared" si="549"/>
        <v>2.8216629366</v>
      </c>
      <c r="CB154">
        <f ca="1" t="shared" si="420"/>
        <v>7734784.92397118</v>
      </c>
      <c r="CC154">
        <f ca="1" t="shared" si="411"/>
        <v>114847</v>
      </c>
      <c r="CD154">
        <f ca="1" t="shared" si="506"/>
        <v>703948.0125</v>
      </c>
      <c r="CE154">
        <f ca="1" t="shared" si="412"/>
        <v>7666655.32170766</v>
      </c>
      <c r="CF154">
        <f ca="1" t="shared" si="550"/>
        <v>2.7689285616</v>
      </c>
      <c r="CG154">
        <f ca="1" t="shared" si="551"/>
        <v>0.9343</v>
      </c>
      <c r="CH154">
        <f ca="1" t="shared" si="421"/>
        <v>7188826.96765739</v>
      </c>
      <c r="CJ154">
        <f ca="1" t="shared" si="507"/>
        <v>671439.625</v>
      </c>
      <c r="CK154">
        <f ca="1" t="shared" si="508"/>
        <v>7483931.86508199</v>
      </c>
      <c r="CL154">
        <f ca="1" t="shared" si="509"/>
        <v>2.7915848116</v>
      </c>
      <c r="CM154">
        <f ca="1">IF(G154="恒定伤害",0,(IF(D154="轻剑",$CM$8,$CM$9)+IFERROR(INDEX(技能数据库!$T$2:$W$27,MATCH(E154,技能数据库!$T$2:$T$27,0),4),0)+COUNTIF(G154,"*造化2*")*154+COUNTIF(G154,"*造化1*")*102+COUNTIF(G154,"*碧归*")*307)/1024)</f>
        <v>0.447375959429785</v>
      </c>
      <c r="CN154">
        <f ca="1" t="shared" si="422"/>
        <v>7562549.22547108</v>
      </c>
      <c r="CO154">
        <f ca="1" t="shared" si="510"/>
        <v>2.8156473116</v>
      </c>
      <c r="CP154">
        <f ca="1" t="shared" si="423"/>
        <v>7626134.09327206</v>
      </c>
      <c r="CQ154">
        <f ca="1" t="shared" si="530"/>
        <v>1.8815754648</v>
      </c>
      <c r="CR154">
        <f ca="1">IF(G154="恒定伤害",0,(IF(D154="轻剑",$CR$8,$CR$9)+IFERROR(INDEX(技能数据库!$T$2:$W$27,MATCH(E154,技能数据库!$T$2:$T$27,0),4),0)+COUNTIF(G154,"*造化2*")*154+COUNTIF(G154,"*造化1*")*102+COUNTIF(G154,"*碧归*")*307)/1024)</f>
        <v>0.437610334429785</v>
      </c>
      <c r="CS154">
        <f ca="1" t="shared" si="511"/>
        <v>7261615.14110055</v>
      </c>
    </row>
    <row r="155" spans="4:97">
      <c r="D155" t="s">
        <v>1825</v>
      </c>
      <c r="E155" t="s">
        <v>2768</v>
      </c>
      <c r="G155" t="s">
        <v>3107</v>
      </c>
      <c r="H155">
        <f ca="1">INDEX(技能数据库!$B$2:$I$100,MATCH(阵眼收益计算!$E155,技能数据库!$B$2:$B$100,0),MATCH(H$9,技能数据库!$B$2:$I$2,0))</f>
        <v>210</v>
      </c>
      <c r="I155">
        <f ca="1">INDEX(技能数据库!$B$2:$I$100,MATCH(阵眼收益计算!$E155,技能数据库!$B$2:$B$100,0),MATCH(I$9,技能数据库!$B$2:$I$2,0))</f>
        <v>5.7875</v>
      </c>
      <c r="J155">
        <f ca="1">INDEX(技能数据库!$B$2:$I$100,MATCH(阵眼收益计算!$E155,技能数据库!$B$2:$B$100,0),MATCH(J$9,技能数据库!$B$2:$I$2,0))</f>
        <v>2</v>
      </c>
      <c r="K155">
        <f ca="1">INDEX(技能数据库!$B$2:$I$100,MATCH(阵眼收益计算!$E155,技能数据库!$B$2:$B$100,0),MATCH(K$9,技能数据库!$B$2:$I$2,0))</f>
        <v>0</v>
      </c>
      <c r="L155">
        <f ca="1" t="shared" si="387"/>
        <v>105847</v>
      </c>
      <c r="M155">
        <f ca="1" t="shared" si="531"/>
        <v>19530.5</v>
      </c>
      <c r="N155">
        <f ca="1" t="shared" si="532"/>
        <v>92028</v>
      </c>
      <c r="O155">
        <f ca="1" t="shared" si="489"/>
        <v>651860.5125</v>
      </c>
      <c r="P155">
        <f ca="1">IF(G155="恒定伤害",0,(IF(D155="轻剑",$AZ$2,$AZ$3)+IFERROR(INDEX(技能数据库!$T$2:$W$27,MATCH(E155,技能数据库!$T$2:$T$27,0),4),0)+COUNTIF(G155,"*造化2*")*154+COUNTIF(G155,"*造化1*")*102+COUNTIF(G155,"*碧归*")*307)/1024)</f>
        <v>0.386829084429785</v>
      </c>
      <c r="Q155">
        <f ca="1" t="shared" si="526"/>
        <v>0.448284482196154</v>
      </c>
      <c r="R155">
        <f ca="1" t="shared" si="490"/>
        <v>0.21277697966198</v>
      </c>
      <c r="S155">
        <f ca="1" t="shared" si="533"/>
        <v>1030692.88403962</v>
      </c>
      <c r="T155">
        <f t="shared" si="178"/>
        <v>0.8</v>
      </c>
      <c r="U155">
        <f ca="1" t="shared" si="527"/>
        <v>1.7800129648</v>
      </c>
      <c r="V155">
        <f ca="1" t="shared" si="534"/>
        <v>2292271.66428579</v>
      </c>
      <c r="W155">
        <f ca="1">IF(G155="恒定伤害",0,MIN(1,IF(COUNTIF(F155,"*内会*")&gt;0,内会2,IF(D155="轻剑",$Y$2,$Y$3)+COUNTIF(G155,"*莺鸣*")*0.2+COUNTIF(G155,"*叠1*")*0.1+COUNTIF(G155,"*叠2*")*0.2+COUNTIF(G155,"*叠3*")*0.3)+IFERROR(INDEX(技能数据库!$T$2:$W$27,MATCH(E155,技能数据库!$T$2:$T$27,0),2),0)+IF((IF(D155="轻剑",$AO$2,$AO$3)+INT(COUNTIF(G155,"*大莺鸣*")*IF(D155="轻剑",$AM$2,$AM$3)*听晓无双率)/无双系数)&gt;0.9,特效裤子会心/会心系数,0)))</f>
        <v>1</v>
      </c>
      <c r="X155">
        <f ca="1">IF(G155="恒定伤害",0,IF(COUNTIF(F155,"*内会*")&gt;0,内会效2,IF(D155="轻剑",$AB$2,$AB$3))+IFERROR(INDEX(技能数据库!$T$2:$W$27,MATCH(E155,技能数据库!$T$2:$T$27,0),3)/1024,0))+COUNTIF(G155,"*叠1*")*0.25+COUNTIF(G155,"*叠2*")*0.5+COUNTIF(G155,"*叠3*")*0.75</f>
        <v>2.9212723116</v>
      </c>
      <c r="Y155">
        <f ca="1" t="shared" si="535"/>
        <v>2.9212723116</v>
      </c>
      <c r="Z155">
        <f t="shared" si="494"/>
        <v>0.150390625</v>
      </c>
      <c r="AA155">
        <f ca="1" t="shared" si="536"/>
        <v>0.0205078125</v>
      </c>
      <c r="AB155">
        <f ca="1" t="shared" si="537"/>
        <v>7861398.21796349</v>
      </c>
      <c r="AC155" s="171">
        <f ca="1">技能数计算!$AJ147</f>
        <v>8</v>
      </c>
      <c r="AD155" s="164">
        <f ca="1" t="shared" si="497"/>
        <v>0.0225473890234577</v>
      </c>
      <c r="AE155" s="168"/>
      <c r="AF155" s="168">
        <f ca="1" t="shared" si="538"/>
        <v>1.0014</v>
      </c>
      <c r="AG155" s="171">
        <f ca="1">技能数计算!$AJ147</f>
        <v>8</v>
      </c>
      <c r="AH155">
        <f ca="1" t="shared" si="389"/>
        <v>109879</v>
      </c>
      <c r="AJ155">
        <f ca="1" t="shared" si="539"/>
        <v>3.1204910616</v>
      </c>
      <c r="AK155">
        <f ca="1" t="shared" si="498"/>
        <v>675672.7125</v>
      </c>
      <c r="AL155">
        <f ca="1" t="shared" si="391"/>
        <v>8706664.80984277</v>
      </c>
      <c r="AM155" s="169">
        <f ca="1" t="shared" si="540"/>
        <v>1.0229</v>
      </c>
      <c r="AN155" s="171">
        <f ca="1">技能数计算!$AJ147</f>
        <v>8</v>
      </c>
      <c r="AO155" s="170">
        <f ca="1" t="shared" si="393"/>
        <v>8706664.80984277</v>
      </c>
      <c r="AP155">
        <f ca="1" t="shared" si="394"/>
        <v>110956</v>
      </c>
      <c r="AQ155" s="170">
        <f ca="1" t="shared" si="499"/>
        <v>681428.85</v>
      </c>
      <c r="AR155">
        <f ca="1" t="shared" si="500"/>
        <v>8700119.75315926</v>
      </c>
      <c r="AS155">
        <f ca="1" t="shared" si="541"/>
        <v>1.08</v>
      </c>
      <c r="AT155" s="171">
        <f ca="1">技能数计算!$AJ147</f>
        <v>8</v>
      </c>
      <c r="AU155">
        <f ca="1" t="shared" si="542"/>
        <v>3.0677566866</v>
      </c>
      <c r="AV155">
        <f ca="1" t="shared" si="528"/>
        <v>1.7995442148</v>
      </c>
      <c r="AW155">
        <f ca="1" t="shared" si="416"/>
        <v>8313600.94850101</v>
      </c>
      <c r="AX155">
        <f ca="1" t="shared" si="543"/>
        <v>1.07</v>
      </c>
      <c r="AY155" s="171">
        <f ca="1">技能数计算!$AJ147</f>
        <v>8</v>
      </c>
      <c r="AZ155" s="170">
        <f ca="1" t="shared" si="417"/>
        <v>8313600.94850101</v>
      </c>
      <c r="BA155">
        <f ca="1" t="shared" si="544"/>
        <v>1.06</v>
      </c>
      <c r="BB155" s="171">
        <f ca="1">技能数计算!$AJ147</f>
        <v>8</v>
      </c>
      <c r="BC155" s="170">
        <f ca="1" t="shared" si="418"/>
        <v>8313600.94850101</v>
      </c>
      <c r="BE155">
        <f ca="1" t="shared" si="400"/>
        <v>105849</v>
      </c>
      <c r="BF155">
        <f ca="1" t="shared" si="501"/>
        <v>651872.0875</v>
      </c>
      <c r="BI155">
        <f ca="1" t="shared" si="545"/>
        <v>1.05</v>
      </c>
      <c r="BJ155" s="171">
        <f ca="1">技能数计算!$AJ147</f>
        <v>8</v>
      </c>
      <c r="BK155">
        <f ca="1" t="shared" si="402"/>
        <v>8390589.31338807</v>
      </c>
      <c r="BM155">
        <f ca="1" t="shared" si="403"/>
        <v>109230</v>
      </c>
      <c r="BN155">
        <f ca="1" t="shared" si="502"/>
        <v>671439.625</v>
      </c>
      <c r="BO155">
        <f ca="1" t="shared" si="503"/>
        <v>8745197.34284943</v>
      </c>
      <c r="BP155">
        <f ca="1" t="shared" si="529"/>
        <v>8339790.38468147</v>
      </c>
      <c r="BR155">
        <f ca="1" t="shared" si="546"/>
        <v>1.05</v>
      </c>
      <c r="BS155">
        <f ca="1" t="shared" si="406"/>
        <v>8398382.38875241</v>
      </c>
      <c r="BT155">
        <f ca="1" t="shared" si="504"/>
        <v>0.196995876306796</v>
      </c>
      <c r="BU155">
        <f ca="1" t="shared" si="547"/>
        <v>3.0677566866</v>
      </c>
      <c r="BV155">
        <f ca="1" t="shared" si="419"/>
        <v>8421096.71194532</v>
      </c>
      <c r="BW155">
        <f ca="1" t="shared" si="408"/>
        <v>113027</v>
      </c>
      <c r="BX155">
        <f ca="1" t="shared" si="505"/>
        <v>693414.7625</v>
      </c>
      <c r="BY155">
        <f ca="1" t="shared" si="548"/>
        <v>1.03</v>
      </c>
      <c r="BZ155" s="171">
        <f ca="1">技能数计算!$AJ147</f>
        <v>8</v>
      </c>
      <c r="CA155">
        <f ca="1" t="shared" si="549"/>
        <v>3.0716629366</v>
      </c>
      <c r="CB155">
        <f ca="1" t="shared" si="420"/>
        <v>8793053.60242048</v>
      </c>
      <c r="CC155">
        <f ca="1" t="shared" si="411"/>
        <v>114847</v>
      </c>
      <c r="CD155">
        <f ca="1" t="shared" si="506"/>
        <v>703948.0125</v>
      </c>
      <c r="CE155">
        <f ca="1" t="shared" si="412"/>
        <v>8743569.26129156</v>
      </c>
      <c r="CF155">
        <f ca="1" t="shared" si="550"/>
        <v>3.0189285616</v>
      </c>
      <c r="CG155">
        <f ca="1" t="shared" si="551"/>
        <v>1.03</v>
      </c>
      <c r="CH155">
        <f ca="1" t="shared" si="421"/>
        <v>8181277.04286447</v>
      </c>
      <c r="CJ155">
        <f ca="1" t="shared" si="507"/>
        <v>671439.625</v>
      </c>
      <c r="CK155">
        <f ca="1" t="shared" si="508"/>
        <v>8705582.07551381</v>
      </c>
      <c r="CL155">
        <f ca="1" t="shared" si="509"/>
        <v>3.0415848116</v>
      </c>
      <c r="CM155">
        <f ca="1">IF(G155="恒定伤害",0,(IF(D155="轻剑",$CM$8,$CM$9)+IFERROR(INDEX(技能数据库!$T$2:$W$27,MATCH(E155,技能数据库!$T$2:$T$27,0),4),0)+COUNTIF(G155,"*造化2*")*154+COUNTIF(G155,"*造化1*")*102+COUNTIF(G155,"*碧归*")*307)/1024)</f>
        <v>0.447375959429785</v>
      </c>
      <c r="CN155">
        <f ca="1" t="shared" si="422"/>
        <v>8602538.16084675</v>
      </c>
      <c r="CO155">
        <f ca="1" t="shared" si="510"/>
        <v>3.0656473116</v>
      </c>
      <c r="CP155">
        <f ca="1" t="shared" si="423"/>
        <v>8670594.31818483</v>
      </c>
      <c r="CQ155">
        <f ca="1" t="shared" si="530"/>
        <v>1.8815754648</v>
      </c>
      <c r="CR155">
        <f ca="1">IF(G155="恒定伤害",0,(IF(D155="轻剑",$CR$8,$CR$9)+IFERROR(INDEX(技能数据库!$T$2:$W$27,MATCH(E155,技能数据库!$T$2:$T$27,0),4),0)+COUNTIF(G155,"*造化2*")*154+COUNTIF(G155,"*造化1*")*102+COUNTIF(G155,"*碧归*")*307)/1024)</f>
        <v>0.437610334429785</v>
      </c>
      <c r="CS155">
        <f ca="1" t="shared" si="511"/>
        <v>8446975.16643573</v>
      </c>
    </row>
    <row r="156" spans="4:97">
      <c r="D156" t="s">
        <v>1825</v>
      </c>
      <c r="E156" t="s">
        <v>2723</v>
      </c>
      <c r="G156" t="s">
        <v>3108</v>
      </c>
      <c r="H156">
        <f ca="1">INDEX(技能数据库!$B$2:$I$100,MATCH(阵眼收益计算!$E156,技能数据库!$B$2:$B$100,0),MATCH(H$9,技能数据库!$B$2:$I$2,0))</f>
        <v>143</v>
      </c>
      <c r="I156">
        <f ca="1">INDEX(技能数据库!$B$2:$I$100,MATCH(阵眼收益计算!$E156,技能数据库!$B$2:$B$100,0),MATCH(I$9,技能数据库!$B$2:$I$2,0))</f>
        <v>2.53125</v>
      </c>
      <c r="J156">
        <f ca="1">INDEX(技能数据库!$B$2:$I$100,MATCH(阵眼收益计算!$E156,技能数据库!$B$2:$B$100,0),MATCH(J$9,技能数据库!$B$2:$I$2,0))</f>
        <v>2</v>
      </c>
      <c r="K156">
        <f ca="1">INDEX(技能数据库!$B$2:$I$100,MATCH(阵眼收益计算!$E156,技能数据库!$B$2:$B$100,0),MATCH(K$9,技能数据库!$B$2:$I$2,0))</f>
        <v>0</v>
      </c>
      <c r="L156">
        <f ca="1" t="shared" si="387"/>
        <v>105847</v>
      </c>
      <c r="M156">
        <f ca="1" t="shared" ref="M156:M159" si="552">IF(D156="轻剑",$AU$2+$AV$2,$AU$3+$AV$3)/2</f>
        <v>19530.5</v>
      </c>
      <c r="N156">
        <f ca="1" t="shared" ref="N156:N159" si="553">IF(D156="轻剑",$AJ$2,$AJ$3)</f>
        <v>92028</v>
      </c>
      <c r="O156">
        <f ca="1" t="shared" ref="O156:O171" si="554">H156+I156*L156+J156*M156+IF(K156&gt;0,MAX(1,K156*N156*破招全局系数),0)</f>
        <v>307129.21875</v>
      </c>
      <c r="P156">
        <f ca="1">IF(G156="恒定伤害",0,(IF(D156="轻剑",$AZ$2,$AZ$3)+IFERROR(INDEX(技能数据库!$T$2:$W$27,MATCH(E156,技能数据库!$T$2:$T$27,0),4),0)+COUNTIF(G156,"*造化2*")*154+COUNTIF(G156,"*造化1*")*102+COUNTIF(G156,"*碧归*")*307)/1024)</f>
        <v>0.116321271929785</v>
      </c>
      <c r="Q156">
        <f ca="1" t="shared" si="526"/>
        <v>0.448284482196154</v>
      </c>
      <c r="R156">
        <f ca="1" t="shared" ref="R156:R171" si="555">IF(G156="恒定伤害",0,(($F$5-IF(D156="轻剑",$BB$2,$BB$3))*(1024-IF(D156="轻剑",$BD$2,$BD$3))/1024*(1024-IF(D156="轻剑",$BC$2,$BC$3)-COUNTIF(G156,"*雾锁*")*461*雾锁)/1024/(($F$5-IF(D156="轻剑",$BB$2,$BB$3))*(1024-IF(D156="轻剑",$BD$2,$BD$3))/1024*(1024-IF(D156="轻剑",$BC$2,$BC$3)-COUNTIF(G156,"*雾锁*")*461*雾锁)/1024+$F$7)))</f>
        <v>0.21277697966198</v>
      </c>
      <c r="S156">
        <f ca="1" t="shared" ref="S156:S159" si="556">O156*(1+P156)*(1+Q156)*(1-R156)</f>
        <v>390896.694849304</v>
      </c>
      <c r="T156">
        <f t="shared" ref="T156:T159" si="557">1-($F$6-130)*0.05</f>
        <v>0.8</v>
      </c>
      <c r="U156">
        <f ca="1" t="shared" si="527"/>
        <v>1.7800129648</v>
      </c>
      <c r="V156">
        <f ca="1" t="shared" ref="V156:V159" si="558">S156*T156*(1+U156)</f>
        <v>869358.303662828</v>
      </c>
      <c r="W156">
        <f ca="1">IF(G156="恒定伤害",0,MIN(1,IF(COUNTIF(F156,"*内会*")&gt;0,内会2,IF(D156="轻剑",$Y$2,$Y$3)+COUNTIF(G156,"*莺鸣*")*0.2+COUNTIF(G156,"*叠1*")*0.1+COUNTIF(G156,"*叠2*")*0.2+COUNTIF(G156,"*叠3*")*0.3)+IFERROR(INDEX(技能数据库!$T$2:$W$27,MATCH(E156,技能数据库!$T$2:$T$27,0),2),0)+IF((IF(D156="轻剑",$AO$2,$AO$3)+INT(COUNTIF(G156,"*大莺鸣*")*IF(D156="轻剑",$AM$2,$AM$3)*听晓无双率)/无双系数)&gt;0.9,特效裤子会心/会心系数,0)))</f>
        <v>0.8043</v>
      </c>
      <c r="X156">
        <f ca="1">IF(G156="恒定伤害",0,IF(COUNTIF(F156,"*内会*")&gt;0,内会效2,IF(D156="轻剑",$AB$2,$AB$3))+IFERROR(INDEX(技能数据库!$T$2:$W$27,MATCH(E156,技能数据库!$T$2:$T$27,0),3)/1024,0))+COUNTIF(G156,"*叠1*")*0.25+COUNTIF(G156,"*叠2*")*0.5+COUNTIF(G156,"*叠3*")*0.75</f>
        <v>2.4212723116</v>
      </c>
      <c r="Y156">
        <f ca="1" t="shared" ref="Y156:Y159" si="559">1+W156*(X156-1)</f>
        <v>2.14312932021988</v>
      </c>
      <c r="Z156">
        <f t="shared" ref="Z156:Z171" si="560">IF(G156="恒定伤害",0,非侠士伤害/1024)</f>
        <v>0.150390625</v>
      </c>
      <c r="AA156">
        <f ca="1" t="shared" ref="AA156:AA159" si="561">IF(D156="轻剑",$BA$2,$BA$3)/1024</f>
        <v>0.0205078125</v>
      </c>
      <c r="AB156">
        <f ca="1" t="shared" ref="AB156:AB159" si="562">V156*Y156*(1+Z156)*(1+AA156)</f>
        <v>2187302.51434466</v>
      </c>
      <c r="AC156" s="171">
        <f ca="1">($AC$144+$AC$150+$AC$153+$AC$194+$AC$200+$AC$203)*MIN(1,0.1+$Y$3+0.3)</f>
        <v>11</v>
      </c>
      <c r="AD156" s="164">
        <f ca="1" t="shared" ref="AD156:AD171" si="563">IFERROR(AB156*AC156/$AD$7,0)</f>
        <v>0.0086259713712959</v>
      </c>
      <c r="AE156" s="168"/>
      <c r="AF156" s="168">
        <f ca="1" t="shared" si="538"/>
        <v>0.8057</v>
      </c>
      <c r="AG156" s="171">
        <f ca="1">($AC$144+$AC$150+$AC$153+$AC$194+$AC$200+$AC$203)*MIN(1,0.1+$AF$9+0.3)</f>
        <v>11</v>
      </c>
      <c r="AH156">
        <f ca="1" t="shared" si="389"/>
        <v>109879</v>
      </c>
      <c r="AJ156">
        <f ca="1" t="shared" si="539"/>
        <v>2.6204910616</v>
      </c>
      <c r="AK156">
        <f ca="1" t="shared" ref="AK156:AK171" si="564">H156+AH156*I156+J156*(238.5+M156)+IF(K156&gt;0,MAX(1,K156*N156*破招全局系数),0)</f>
        <v>317812.21875</v>
      </c>
      <c r="AL156">
        <f ca="1" t="shared" si="391"/>
        <v>2435672.54165307</v>
      </c>
      <c r="AM156" s="169">
        <f ca="1" t="shared" si="540"/>
        <v>0.8272</v>
      </c>
      <c r="AN156" s="171">
        <f ca="1">($AC$144+$AC$150+$AC$153+$AC$194+$AC$200+$AC$203)*MIN(1,0.1+AN$9+0.3)</f>
        <v>11</v>
      </c>
      <c r="AO156" s="170">
        <f ca="1" t="shared" si="393"/>
        <v>2472478.18825386</v>
      </c>
      <c r="AP156">
        <f ca="1" t="shared" si="394"/>
        <v>110956</v>
      </c>
      <c r="AQ156" s="170">
        <f ca="1" t="shared" ref="AQ156:AQ171" si="565">H156+AP156*I156+J156*M156+IF(K156&gt;0,MAX(1,K156*N156*破招全局系数),0)</f>
        <v>320061.375</v>
      </c>
      <c r="AR156">
        <f ca="1" t="shared" ref="AR156:AR171" si="566">IF(COUNTIF(G156,"*恒定伤害*")&gt;0,AB156,((AQ156*(1+P156)*(1+IF(COUNTIF(F156,"*内破*")&gt;0,内破,IF(D156="轻剑",$AQ$8,$AQ$9)/破防系数)+IF((IF(D156="轻剑",$AO$2,$AO$3)+INT(COUNTIF(G156,"*大莺鸣*")*IF(D156="轻剑",$AM$2,$AM$3)*听晓无双率)/无双系数)&gt;0.9,(特效裤子破防+特效裤子破防*IF(D156="轻剑",$AD$2+200,$AD$3+200)/1024)/破防系数,0))*(1-R156))*T156*(1+U156))*Y156*(1+Z156)*(1+AA156))</f>
        <v>2413129.20396139</v>
      </c>
      <c r="AS156">
        <f ca="1" t="shared" si="541"/>
        <v>0.8843</v>
      </c>
      <c r="AT156" s="171">
        <f ca="1">($AC$144+$AC$150+$AC$153+$AC$194+$AC$200+$AC$203)*MIN(1,0.1+AS$9+0.3)</f>
        <v>11</v>
      </c>
      <c r="AU156">
        <f ca="1" t="shared" si="542"/>
        <v>2.5677566866</v>
      </c>
      <c r="AV156">
        <f ca="1" t="shared" si="528"/>
        <v>1.7995442148</v>
      </c>
      <c r="AW156">
        <f ca="1" t="shared" si="416"/>
        <v>2452665.15977733</v>
      </c>
      <c r="AX156">
        <f ca="1" t="shared" si="543"/>
        <v>0.8743</v>
      </c>
      <c r="AY156" s="171">
        <f ca="1">($AC$144+$AC$150+$AC$153+$AC$194+$AC$200+$AC$203)*MIN(1,0.1+AX$9+0.3)</f>
        <v>11</v>
      </c>
      <c r="AZ156" s="170">
        <f ca="1" t="shared" si="417"/>
        <v>2436552.03962103</v>
      </c>
      <c r="BA156">
        <f ca="1" t="shared" si="544"/>
        <v>0.8643</v>
      </c>
      <c r="BB156" s="171">
        <f ca="1">($AC$144+$AC$150+$AC$153+$AC$194+$AC$200+$AC$203)*MIN(1,0.1+BA$9+0.3)</f>
        <v>11</v>
      </c>
      <c r="BC156" s="170">
        <f ca="1" t="shared" si="418"/>
        <v>2420438.91946473</v>
      </c>
      <c r="BE156">
        <f ca="1" t="shared" si="400"/>
        <v>105849</v>
      </c>
      <c r="BF156">
        <f ca="1" t="shared" ref="BF156:BF171" si="567">H156+BE156*I156+J156*M156+IF(K156&gt;0,MAX(1,K156*N156*破招全局系数),0)</f>
        <v>307134.28125</v>
      </c>
      <c r="BI156">
        <f ca="1" t="shared" si="545"/>
        <v>0.8543</v>
      </c>
      <c r="BJ156" s="171">
        <f ca="1">($AC$144+$AC$150+$AC$153+$AC$194+$AC$200+$AC$203)*MIN(1,0.1+BI$9+0.3)</f>
        <v>11</v>
      </c>
      <c r="BK156">
        <f ca="1" t="shared" si="402"/>
        <v>2411948.61188798</v>
      </c>
      <c r="BM156">
        <f ca="1" t="shared" si="403"/>
        <v>109230</v>
      </c>
      <c r="BN156">
        <f ca="1" t="shared" ref="BN156:BN171" si="568">H156+BM156*I156+J156*M156+IF(K156&gt;0,MAX(1,K156*N156*破招全局系数),0)</f>
        <v>315692.4375</v>
      </c>
      <c r="BO156">
        <f ca="1" t="shared" ref="BO156:BO171" si="569">IF(COUNTIF(G156,"*恒定伤害*")&gt;0,AB156,((BN156*(1+P156)*(1+IF(COUNTIF(F156,"*内破*")&gt;0,内破,IF(D156="轻剑",$BM$8,$BM$9)/破防系数)+IF((IF(D156="轻剑",$AO$2,$AO$3)+INT(COUNTIF(G156,"*大莺鸣*")*IF(D156="轻剑",$AM$2,$AM$3)*听晓无双率)/无双系数)&gt;0.9,(特效裤子破防+特效裤子破防*IF(D156="轻剑",$AD$2+102,$AD$3+102)/1024)/破防系数,0))*(1-R156))*T156*(1+U156))*Y156*(1+Z156)*(1+AA156))</f>
        <v>2428115.93951923</v>
      </c>
      <c r="BP156">
        <f ca="1" t="shared" si="529"/>
        <v>2315554.14605387</v>
      </c>
      <c r="BR156">
        <f ca="1" t="shared" si="546"/>
        <v>0.8543</v>
      </c>
      <c r="BS156">
        <f ca="1" t="shared" si="406"/>
        <v>2409142.7455896</v>
      </c>
      <c r="BT156">
        <f ca="1" t="shared" ref="BT156:BT171" si="570">IF(G156="恒定伤害",0,(($F$5-IF(D156="轻剑",$BB$2,$BB$3))*(1024-IF(D156="轻剑",$BD$2,$BD$3))/1024*(1024-IF(D156="轻剑",$BT$8,$BT$9)-COUNTIF(G156,"*雾锁*")*461*雾锁)/1024/(($F$5-IF(D156="轻剑",$BB$2,$BB$3))*(1024-IF(D156="轻剑",$BD$2,$BD$3))/1024*(1024-IF(D156="轻剑",$BT$8,$BT$9)-COUNTIF(G156,"*雾锁*")*461*雾锁)/1024+$F$7)))</f>
        <v>0.196995876306796</v>
      </c>
      <c r="BU156">
        <f ca="1" t="shared" si="547"/>
        <v>2.5677566866</v>
      </c>
      <c r="BV156">
        <f ca="1" t="shared" si="419"/>
        <v>2435413.99309672</v>
      </c>
      <c r="BW156">
        <f ca="1" t="shared" si="408"/>
        <v>113027</v>
      </c>
      <c r="BX156">
        <f ca="1" t="shared" ref="BX156:BX171" si="571">H156+BW156*I156+J156*M156+IF(K156&gt;0,MAX(1,K156*N156*破招全局系数),0)</f>
        <v>325303.59375</v>
      </c>
      <c r="BY156">
        <f ca="1" t="shared" si="548"/>
        <v>0.8343</v>
      </c>
      <c r="BZ156" s="171">
        <f ca="1">($AC$144+$AC$150+$AC$153+$AC$194+$AC$200+$AC$203)*MIN(1,0.1+BY$9+0.3)</f>
        <v>11</v>
      </c>
      <c r="CA156">
        <f ca="1" t="shared" si="549"/>
        <v>2.5716629366</v>
      </c>
      <c r="CB156">
        <f ca="1" t="shared" si="420"/>
        <v>2498463.11646994</v>
      </c>
      <c r="CC156">
        <f ca="1" t="shared" si="411"/>
        <v>114847</v>
      </c>
      <c r="CD156">
        <f ca="1" t="shared" ref="CD156:CD171" si="572">H156+CC156*I156+J156*M156+IF(K156&gt;0,MAX(1,K156*N156*破招全局系数),0)</f>
        <v>329910.46875</v>
      </c>
      <c r="CE156">
        <f ca="1" t="shared" si="412"/>
        <v>2467984.58899236</v>
      </c>
      <c r="CF156">
        <f ca="1" t="shared" si="550"/>
        <v>2.5189285616</v>
      </c>
      <c r="CG156">
        <f ca="1" t="shared" si="551"/>
        <v>0.8343</v>
      </c>
      <c r="CH156">
        <f ca="1" t="shared" si="421"/>
        <v>2330230.4927763</v>
      </c>
      <c r="CJ156">
        <f ca="1" t="shared" ref="CJ156:CJ171" si="573">H156+BM156*I156+J156*M156+IF(K156&gt;0,MAX(1,K156*(N156+2667)*破招全局系数),0)</f>
        <v>315692.4375</v>
      </c>
      <c r="CK156">
        <f ca="1" t="shared" ref="CK156:CK171" si="574">IF(COUNTIF(G156,"*恒定伤害*")&gt;0,AB156,((CJ156*(1+P156)*(1+IF(COUNTIF(F156,"*内破*")&gt;0,内破,IF(D156="轻剑",$CI$8,$CI$9)/破防系数)+IF((IF(D156="轻剑",$AO$2,$AO$3)+INT(COUNTIF(G156,"*大莺鸣*")*IF(D156="轻剑",$AM$2,$AM$3)*听晓无双率)/无双系数)&gt;0.9,(特效裤子破防+特效裤子破防*IF(D156="轻剑",$AD$2+256,$AD$3+256)/1024)/破防系数,0))*(1-R156))*T156*(1+U156))*Y156*(1+Z156)*(1+AA156))</f>
        <v>2417116.70664948</v>
      </c>
      <c r="CL156">
        <f ca="1" t="shared" ref="CL156:CL171" si="575">X156+IF(D156="轻剑",$CL$8-$AB$2,$CL$9-$AB$3)</f>
        <v>2.5415848116</v>
      </c>
      <c r="CM156">
        <f ca="1">IF(G156="恒定伤害",0,(IF(D156="轻剑",$CM$8,$CM$9)+IFERROR(INDEX(技能数据库!$T$2:$W$27,MATCH(E156,技能数据库!$T$2:$T$27,0),4),0)+COUNTIF(G156,"*造化2*")*154+COUNTIF(G156,"*造化1*")*102+COUNTIF(G156,"*碧归*")*307)/1024)</f>
        <v>0.176868146929785</v>
      </c>
      <c r="CN156">
        <f ca="1" t="shared" si="422"/>
        <v>2477098.14310612</v>
      </c>
      <c r="CO156">
        <f ca="1" t="shared" ref="CO156:CO171" si="576">X156+IF(D156="轻剑",$CO$8-$AB$2,$CO$9-$AB$3)</f>
        <v>2.5656473116</v>
      </c>
      <c r="CP156">
        <f ca="1" t="shared" si="423"/>
        <v>2498850.31278309</v>
      </c>
      <c r="CQ156">
        <f ca="1" t="shared" si="530"/>
        <v>1.8815754648</v>
      </c>
      <c r="CR156">
        <f ca="1">IF(G156="恒定伤害",0,(IF(D156="轻剑",$CR$8,$CR$9)+IFERROR(INDEX(技能数据库!$T$2:$W$27,MATCH(E156,技能数据库!$T$2:$T$27,0),4),0)+COUNTIF(G156,"*造化2*")*154+COUNTIF(G156,"*造化1*")*102+COUNTIF(G156,"*碧归*")*307)/1024)</f>
        <v>0.167102521929785</v>
      </c>
      <c r="CS156">
        <f ca="1" t="shared" ref="CS156:CS171" si="577">IF(COUNTIF(G156,"*恒定伤害*")&gt;0,AB156,((O156*(1+CR156)*(1+Q156)*(1-R156))*T156*(1+CQ156))*Y156*(1+Z156)*(1+AA156))</f>
        <v>2370346.49617265</v>
      </c>
    </row>
    <row r="157" spans="4:97">
      <c r="D157" t="s">
        <v>1825</v>
      </c>
      <c r="E157" t="s">
        <v>2723</v>
      </c>
      <c r="G157" t="s">
        <v>3109</v>
      </c>
      <c r="H157">
        <f ca="1">INDEX(技能数据库!$B$2:$I$100,MATCH(阵眼收益计算!$E157,技能数据库!$B$2:$B$100,0),MATCH(H$9,技能数据库!$B$2:$I$2,0))</f>
        <v>143</v>
      </c>
      <c r="I157">
        <f ca="1">INDEX(技能数据库!$B$2:$I$100,MATCH(阵眼收益计算!$E157,技能数据库!$B$2:$B$100,0),MATCH(I$9,技能数据库!$B$2:$I$2,0))</f>
        <v>2.53125</v>
      </c>
      <c r="J157">
        <f ca="1">INDEX(技能数据库!$B$2:$I$100,MATCH(阵眼收益计算!$E157,技能数据库!$B$2:$B$100,0),MATCH(J$9,技能数据库!$B$2:$I$2,0))</f>
        <v>2</v>
      </c>
      <c r="K157">
        <f ca="1">INDEX(技能数据库!$B$2:$I$100,MATCH(阵眼收益计算!$E157,技能数据库!$B$2:$B$100,0),MATCH(K$9,技能数据库!$B$2:$I$2,0))</f>
        <v>0</v>
      </c>
      <c r="L157">
        <f ca="1" t="shared" si="387"/>
        <v>105847</v>
      </c>
      <c r="M157">
        <f ca="1" t="shared" si="552"/>
        <v>19530.5</v>
      </c>
      <c r="N157">
        <f ca="1" t="shared" si="553"/>
        <v>92028</v>
      </c>
      <c r="O157">
        <f ca="1" t="shared" si="554"/>
        <v>307129.21875</v>
      </c>
      <c r="P157">
        <f ca="1">IF(G157="恒定伤害",0,(IF(D157="轻剑",$AZ$2,$AZ$3)+IFERROR(INDEX(技能数据库!$T$2:$W$27,MATCH(E157,技能数据库!$T$2:$T$27,0),4),0)+COUNTIF(G157,"*造化2*")*154+COUNTIF(G157,"*造化1*")*102+COUNTIF(G157,"*碧归*")*307)/1024)</f>
        <v>0.116321271929785</v>
      </c>
      <c r="Q157">
        <f ca="1" t="shared" si="526"/>
        <v>0.448284482196154</v>
      </c>
      <c r="R157">
        <f ca="1" t="shared" si="555"/>
        <v>0.21277697966198</v>
      </c>
      <c r="S157">
        <f ca="1" t="shared" si="556"/>
        <v>390896.694849304</v>
      </c>
      <c r="T157">
        <f t="shared" si="557"/>
        <v>0.8</v>
      </c>
      <c r="U157">
        <f ca="1" t="shared" si="527"/>
        <v>1.7800129648</v>
      </c>
      <c r="V157">
        <f ca="1" t="shared" si="558"/>
        <v>869358.303662828</v>
      </c>
      <c r="W157">
        <f ca="1">IF(G157="恒定伤害",0,MIN(1,IF(COUNTIF(F157,"*内会*")&gt;0,内会2,IF(D157="轻剑",$Y$2,$Y$3)+COUNTIF(G157,"*莺鸣*")*0.2+COUNTIF(G157,"*叠1*")*0.1+COUNTIF(G157,"*叠2*")*0.2+COUNTIF(G157,"*叠3*")*0.3)+IFERROR(INDEX(技能数据库!$T$2:$W$27,MATCH(E157,技能数据库!$T$2:$T$27,0),2),0)+IF((IF(D157="轻剑",$AO$2,$AO$3)+INT(COUNTIF(G157,"*大莺鸣*")*IF(D157="轻剑",$AM$2,$AM$3)*听晓无双率)/无双系数)&gt;0.9,特效裤子会心/会心系数,0)))</f>
        <v>0.9043</v>
      </c>
      <c r="X157">
        <f ca="1">IF(G157="恒定伤害",0,IF(COUNTIF(F157,"*内会*")&gt;0,内会效2,IF(D157="轻剑",$AB$2,$AB$3))+IFERROR(INDEX(技能数据库!$T$2:$W$27,MATCH(E157,技能数据库!$T$2:$T$27,0),3)/1024,0))+COUNTIF(G157,"*叠1*")*0.25+COUNTIF(G157,"*叠2*")*0.5+COUNTIF(G157,"*叠3*")*0.75</f>
        <v>2.6712723116</v>
      </c>
      <c r="Y157">
        <f ca="1" t="shared" si="559"/>
        <v>2.51133155137988</v>
      </c>
      <c r="Z157">
        <f t="shared" si="560"/>
        <v>0.150390625</v>
      </c>
      <c r="AA157">
        <f ca="1" t="shared" si="561"/>
        <v>0.0205078125</v>
      </c>
      <c r="AB157">
        <f ca="1" t="shared" si="562"/>
        <v>2563093.96024814</v>
      </c>
      <c r="AC157" s="171">
        <f ca="1">($AC$145+$AC$151+$AC$154+$AC$195+$AC$201+$AC$204)*MIN(1,0.2+$Y$3+0.3)</f>
        <v>7</v>
      </c>
      <c r="AD157" s="164">
        <f ca="1" t="shared" si="563"/>
        <v>0.00643234074209199</v>
      </c>
      <c r="AE157" s="168"/>
      <c r="AF157" s="168">
        <f ca="1" t="shared" ref="AF157:AF160" si="578">W157+IF(COUNTIF(F157,"*内会*")&gt;0,0,IF(D157="轻剑",$AF$8-$Y$2,$AF$9-$Y$3))</f>
        <v>0.9057</v>
      </c>
      <c r="AG157" s="171">
        <f ca="1">($AC$145+$AC$151+$AC$154+$AC$195+$AC$201+$AC$204)*MIN(1,0.2+$AF$9+0.3)</f>
        <v>7</v>
      </c>
      <c r="AH157">
        <f ca="1" t="shared" si="389"/>
        <v>109879</v>
      </c>
      <c r="AJ157">
        <f ca="1" t="shared" ref="AJ157:AJ160" si="579">X157+IF(COUNTIF(F157,"*内会*")&gt;0,0,IF(D157="轻剑",$AJ$8-$AB$2,$AJ$9-$AB$3))</f>
        <v>2.8704910616</v>
      </c>
      <c r="AK157">
        <f ca="1" t="shared" si="564"/>
        <v>317812.21875</v>
      </c>
      <c r="AL157">
        <f ca="1" t="shared" si="391"/>
        <v>2846057.49406814</v>
      </c>
      <c r="AM157" s="169">
        <f ca="1" t="shared" ref="AM157:AM160" si="580">W157+IF(COUNTIF(F157,"*内会*")&gt;0,0,IF(D157="轻剑",$AN$8-$Y$2,$AN$9-$Y$3))</f>
        <v>0.9272</v>
      </c>
      <c r="AN157" s="171">
        <f ca="1">($AC$145+$AC$151+$AC$154+$AC$195+$AC$201+$AC$204)*MIN(1,0.2+AN$9+0.3)</f>
        <v>7</v>
      </c>
      <c r="AO157" s="170">
        <f ca="1" t="shared" si="393"/>
        <v>2888541.30321374</v>
      </c>
      <c r="AP157">
        <f ca="1" t="shared" si="394"/>
        <v>110956</v>
      </c>
      <c r="AQ157" s="170">
        <f ca="1" t="shared" si="565"/>
        <v>320061.375</v>
      </c>
      <c r="AR157">
        <f ca="1" t="shared" si="566"/>
        <v>2827719.00430287</v>
      </c>
      <c r="AS157">
        <f ca="1" t="shared" ref="AS157:AS160" si="581">W157+IF(COUNTIF(F157,"*内会*")&gt;0,0,IF(D157="轻剑",$AS$8-$Y$2,$AS$9-$Y$3))</f>
        <v>0.9843</v>
      </c>
      <c r="AT157" s="171">
        <f ca="1">($AC$145+$AC$151+$AC$154+$AC$195+$AC$201+$AC$204)*MIN(1,0.2+AS$9+0.3)</f>
        <v>7</v>
      </c>
      <c r="AU157">
        <f ca="1" t="shared" ref="AU157:AU160" si="582">X157+IF(COUNTIF(F157,"*内会*")&gt;0,0,IF(D157="轻剑",$AU$8-$AB$2,$AU$9-$AB$3))</f>
        <v>2.8177566866</v>
      </c>
      <c r="AV157">
        <f ca="1" t="shared" si="528"/>
        <v>1.7995442148</v>
      </c>
      <c r="AW157">
        <f ca="1" t="shared" si="416"/>
        <v>2866707.80329765</v>
      </c>
      <c r="AX157">
        <f ca="1" t="shared" ref="AX157:AX160" si="583">$W157+IF(COUNTIF(F157,"*内会*")&gt;0,0,IF(I157="轻剑",AX$8-$Y$2,AX$9-$Y$3))</f>
        <v>0.9743</v>
      </c>
      <c r="AY157" s="171">
        <f ca="1">($AC$145+$AC$151+$AC$154+$AC$195+$AC$201+$AC$204)*MIN(1,0.2+AX$9+0.3)</f>
        <v>7</v>
      </c>
      <c r="AZ157" s="170">
        <f ca="1" t="shared" si="417"/>
        <v>2848025.22828046</v>
      </c>
      <c r="BA157">
        <f ca="1" t="shared" ref="BA157:BA160" si="584">$W157+IF(COUNTIF(F157,"*内会*")&gt;0,0,IF(L157="轻剑",BA$8-$Y$2,BA$9-$Y$3))</f>
        <v>0.9643</v>
      </c>
      <c r="BB157" s="171">
        <f ca="1">($AC$145+$AC$151+$AC$154+$AC$195+$AC$201+$AC$204)*MIN(1,0.2+BA$9+0.3)</f>
        <v>7</v>
      </c>
      <c r="BC157" s="170">
        <f ca="1" t="shared" si="418"/>
        <v>2829342.65326326</v>
      </c>
      <c r="BE157">
        <f ca="1" t="shared" si="400"/>
        <v>105849</v>
      </c>
      <c r="BF157">
        <f ca="1" t="shared" si="567"/>
        <v>307134.28125</v>
      </c>
      <c r="BI157">
        <f ca="1" t="shared" ref="BI157:BI160" si="585">$W157+IF(COUNTIF(F157,"*内会*")&gt;0,0,IF(T157="轻剑",BI$8-$Y$2,BI$9-$Y$3))</f>
        <v>0.9543</v>
      </c>
      <c r="BJ157" s="171">
        <f ca="1">($AC$145+$AC$151+$AC$154+$AC$195+$AC$201+$AC$204)*MIN(1,0.2+BI$9+0.3)</f>
        <v>7</v>
      </c>
      <c r="BK157">
        <f ca="1" t="shared" si="402"/>
        <v>2826652.40898834</v>
      </c>
      <c r="BM157">
        <f ca="1" t="shared" si="403"/>
        <v>109230</v>
      </c>
      <c r="BN157">
        <f ca="1" t="shared" si="568"/>
        <v>315692.4375</v>
      </c>
      <c r="BO157">
        <f ca="1" t="shared" si="569"/>
        <v>2845280.54923789</v>
      </c>
      <c r="BP157">
        <f ca="1" t="shared" si="529"/>
        <v>2713379.97714341</v>
      </c>
      <c r="BR157">
        <f ca="1" t="shared" ref="BR157:BR160" si="586">$W157+IF(T157="轻剑",BI$8-$Y$2,BI$9-$Y$3)</f>
        <v>0.9543</v>
      </c>
      <c r="BS157">
        <f ca="1" t="shared" si="406"/>
        <v>2823364.10977148</v>
      </c>
      <c r="BT157">
        <f ca="1" t="shared" si="570"/>
        <v>0.196995876306796</v>
      </c>
      <c r="BU157">
        <f ca="1" t="shared" ref="BU157:BU160" si="587">X157+IF(D157="轻剑",$AU$8-$AB$2,$AU$9-$AB$3)</f>
        <v>2.8177566866</v>
      </c>
      <c r="BV157">
        <f ca="1" t="shared" si="419"/>
        <v>2847002.21840472</v>
      </c>
      <c r="BW157">
        <f ca="1" t="shared" si="408"/>
        <v>113027</v>
      </c>
      <c r="BX157">
        <f ca="1" t="shared" si="571"/>
        <v>325303.59375</v>
      </c>
      <c r="BY157">
        <f ca="1" t="shared" ref="BY157:BY160" si="588">$W157+IF(COUNTIF(F157,"*内会*")&gt;0,0,IF(AI157="轻剑",BY$8-$Y$2,BY$9-$Y$3))</f>
        <v>0.9343</v>
      </c>
      <c r="BZ157" s="171">
        <f ca="1">($AC$145+$AC$151+$AC$154+$AC$195+$AC$201+$AC$204)*MIN(1,0.2+BY$9+0.3)</f>
        <v>7</v>
      </c>
      <c r="CA157">
        <f ca="1" t="shared" ref="CA157:CA160" si="589">X157+IF(COUNTIF(F157,"*内会*")&gt;0,0,IF(D157="轻剑",$CA$8-$AB$2,$CA$9-$AB$3))</f>
        <v>2.8216629366</v>
      </c>
      <c r="CB157">
        <f ca="1" t="shared" si="420"/>
        <v>2920856.89261943</v>
      </c>
      <c r="CC157">
        <f ca="1" t="shared" si="411"/>
        <v>114847</v>
      </c>
      <c r="CD157">
        <f ca="1" t="shared" si="572"/>
        <v>329910.46875</v>
      </c>
      <c r="CE157">
        <f ca="1" t="shared" si="412"/>
        <v>2892195.91109242</v>
      </c>
      <c r="CF157">
        <f ca="1" t="shared" ref="CF157:CF160" si="590">X157+IF(COUNTIF(F157,"*内会*")&gt;0,0,IF(D157="轻剑",$CF$8-$AB$2,$CF$9-$AB$3))</f>
        <v>2.7689285616</v>
      </c>
      <c r="CG157">
        <f ca="1" t="shared" ref="CG157:CG160" si="591">$W157+IF(AI157="轻剑",BY$8-$Y$2,BY$9-$Y$3)</f>
        <v>0.9343</v>
      </c>
      <c r="CH157">
        <f ca="1" t="shared" si="421"/>
        <v>2726407.39546699</v>
      </c>
      <c r="CJ157">
        <f ca="1" t="shared" si="573"/>
        <v>315692.4375</v>
      </c>
      <c r="CK157">
        <f ca="1" t="shared" si="574"/>
        <v>2832391.58342226</v>
      </c>
      <c r="CL157">
        <f ca="1" t="shared" si="575"/>
        <v>2.7915848116</v>
      </c>
      <c r="CM157">
        <f ca="1">IF(G157="恒定伤害",0,(IF(D157="轻剑",$CM$8,$CM$9)+IFERROR(INDEX(技能数据库!$T$2:$W$27,MATCH(E157,技能数据库!$T$2:$T$27,0),4),0)+COUNTIF(G157,"*造化2*")*154+COUNTIF(G157,"*造化1*")*102+COUNTIF(G157,"*碧归*")*307)/1024)</f>
        <v>0.176868146929785</v>
      </c>
      <c r="CN157">
        <f ca="1" t="shared" si="422"/>
        <v>2897217.69755374</v>
      </c>
      <c r="CO157">
        <f ca="1" t="shared" si="576"/>
        <v>2.8156473116</v>
      </c>
      <c r="CP157">
        <f ca="1" t="shared" si="423"/>
        <v>2921577.10319822</v>
      </c>
      <c r="CQ157">
        <f ca="1" t="shared" si="530"/>
        <v>1.8815754648</v>
      </c>
      <c r="CR157">
        <f ca="1">IF(G157="恒定伤害",0,(IF(D157="轻剑",$CR$8,$CR$9)+IFERROR(INDEX(技能数据库!$T$2:$W$27,MATCH(E157,技能数据库!$T$2:$T$27,0),4),0)+COUNTIF(G157,"*造化2*")*154+COUNTIF(G157,"*造化1*")*102+COUNTIF(G157,"*碧归*")*307)/1024)</f>
        <v>0.167102521929785</v>
      </c>
      <c r="CS157">
        <f ca="1" t="shared" si="577"/>
        <v>2777585.97550725</v>
      </c>
    </row>
    <row r="158" spans="4:97">
      <c r="D158" t="s">
        <v>1825</v>
      </c>
      <c r="E158" t="s">
        <v>2723</v>
      </c>
      <c r="G158" t="s">
        <v>3110</v>
      </c>
      <c r="H158">
        <f ca="1">INDEX(技能数据库!$B$2:$I$100,MATCH(阵眼收益计算!$E158,技能数据库!$B$2:$B$100,0),MATCH(H$9,技能数据库!$B$2:$I$2,0))</f>
        <v>143</v>
      </c>
      <c r="I158">
        <f ca="1">INDEX(技能数据库!$B$2:$I$100,MATCH(阵眼收益计算!$E158,技能数据库!$B$2:$B$100,0),MATCH(I$9,技能数据库!$B$2:$I$2,0))</f>
        <v>2.53125</v>
      </c>
      <c r="J158">
        <f ca="1">INDEX(技能数据库!$B$2:$I$100,MATCH(阵眼收益计算!$E158,技能数据库!$B$2:$B$100,0),MATCH(J$9,技能数据库!$B$2:$I$2,0))</f>
        <v>2</v>
      </c>
      <c r="K158">
        <f ca="1">INDEX(技能数据库!$B$2:$I$100,MATCH(阵眼收益计算!$E158,技能数据库!$B$2:$B$100,0),MATCH(K$9,技能数据库!$B$2:$I$2,0))</f>
        <v>0</v>
      </c>
      <c r="L158">
        <f ca="1" t="shared" si="387"/>
        <v>105847</v>
      </c>
      <c r="M158">
        <f ca="1" t="shared" si="552"/>
        <v>19530.5</v>
      </c>
      <c r="N158">
        <f ca="1" t="shared" si="553"/>
        <v>92028</v>
      </c>
      <c r="O158">
        <f ca="1" t="shared" si="554"/>
        <v>307129.21875</v>
      </c>
      <c r="P158">
        <f ca="1">IF(G158="恒定伤害",0,(IF(D158="轻剑",$AZ$2,$AZ$3)+IFERROR(INDEX(技能数据库!$T$2:$W$27,MATCH(E158,技能数据库!$T$2:$T$27,0),4),0)+COUNTIF(G158,"*造化2*")*154+COUNTIF(G158,"*造化1*")*102+COUNTIF(G158,"*碧归*")*307)/1024)</f>
        <v>0.116321271929785</v>
      </c>
      <c r="Q158">
        <f ca="1" t="shared" si="526"/>
        <v>0.448284482196154</v>
      </c>
      <c r="R158">
        <f ca="1" t="shared" si="555"/>
        <v>0.21277697966198</v>
      </c>
      <c r="S158">
        <f ca="1" t="shared" si="556"/>
        <v>390896.694849304</v>
      </c>
      <c r="T158">
        <f t="shared" si="557"/>
        <v>0.8</v>
      </c>
      <c r="U158">
        <f ca="1" t="shared" si="527"/>
        <v>1.7800129648</v>
      </c>
      <c r="V158">
        <f ca="1" t="shared" si="558"/>
        <v>869358.303662828</v>
      </c>
      <c r="W158">
        <f ca="1">IF(G158="恒定伤害",0,MIN(1,IF(COUNTIF(F158,"*内会*")&gt;0,内会2,IF(D158="轻剑",$Y$2,$Y$3)+COUNTIF(G158,"*莺鸣*")*0.2+COUNTIF(G158,"*叠1*")*0.1+COUNTIF(G158,"*叠2*")*0.2+COUNTIF(G158,"*叠3*")*0.3)+IFERROR(INDEX(技能数据库!$T$2:$W$27,MATCH(E158,技能数据库!$T$2:$T$27,0),2),0)+IF((IF(D158="轻剑",$AO$2,$AO$3)+INT(COUNTIF(G158,"*大莺鸣*")*IF(D158="轻剑",$AM$2,$AM$3)*听晓无双率)/无双系数)&gt;0.9,特效裤子会心/会心系数,0)))</f>
        <v>1</v>
      </c>
      <c r="X158">
        <f ca="1">IF(G158="恒定伤害",0,IF(COUNTIF(F158,"*内会*")&gt;0,内会效2,IF(D158="轻剑",$AB$2,$AB$3))+IFERROR(INDEX(技能数据库!$T$2:$W$27,MATCH(E158,技能数据库!$T$2:$T$27,0),3)/1024,0))+COUNTIF(G158,"*叠1*")*0.25+COUNTIF(G158,"*叠2*")*0.5+COUNTIF(G158,"*叠3*")*0.75</f>
        <v>2.9212723116</v>
      </c>
      <c r="Y158">
        <f ca="1" t="shared" si="559"/>
        <v>2.9212723116</v>
      </c>
      <c r="Z158">
        <f t="shared" si="560"/>
        <v>0.150390625</v>
      </c>
      <c r="AA158">
        <f ca="1" t="shared" si="561"/>
        <v>0.0205078125</v>
      </c>
      <c r="AB158">
        <f ca="1" t="shared" si="562"/>
        <v>2981484.23054216</v>
      </c>
      <c r="AC158" s="171">
        <f ca="1">($AC$146+$AC$152+$AC$155+$AC$196+$AC$202+$AC$205)*MIN(1,0.3+$Y$3+0.3)</f>
        <v>48</v>
      </c>
      <c r="AD158" s="164">
        <f ca="1" t="shared" si="563"/>
        <v>0.0513074261978448</v>
      </c>
      <c r="AE158" s="168"/>
      <c r="AF158" s="168">
        <f ca="1" t="shared" si="578"/>
        <v>1.0014</v>
      </c>
      <c r="AG158" s="171">
        <f ca="1">($AC$146+$AC$152+$AC$155+$AC$196+$AC$202+$AC$205)*MIN(1,0.3+$AF$9+0.3)</f>
        <v>48</v>
      </c>
      <c r="AH158">
        <f ca="1" t="shared" si="389"/>
        <v>109879</v>
      </c>
      <c r="AJ158">
        <f ca="1" t="shared" si="579"/>
        <v>3.1204910616</v>
      </c>
      <c r="AK158">
        <f ca="1" t="shared" si="564"/>
        <v>317812.21875</v>
      </c>
      <c r="AL158">
        <f ca="1" t="shared" si="391"/>
        <v>3296494.04045199</v>
      </c>
      <c r="AM158" s="169">
        <f ca="1" t="shared" si="580"/>
        <v>1.0229</v>
      </c>
      <c r="AN158" s="171">
        <f ca="1">($AC$146+$AC$152+$AC$155+$AC$196+$AC$202+$AC$205)*MIN(1,0.3+AN$9+0.3)</f>
        <v>48</v>
      </c>
      <c r="AO158" s="170">
        <f ca="1" t="shared" si="393"/>
        <v>3296494.04045199</v>
      </c>
      <c r="AP158">
        <f ca="1" t="shared" si="394"/>
        <v>110956</v>
      </c>
      <c r="AQ158" s="170">
        <f ca="1" t="shared" si="565"/>
        <v>320061.375</v>
      </c>
      <c r="AR158">
        <f ca="1" t="shared" si="566"/>
        <v>3289305.71820206</v>
      </c>
      <c r="AS158">
        <f ca="1" t="shared" si="581"/>
        <v>1.08</v>
      </c>
      <c r="AT158" s="171">
        <f ca="1">($AC$146+$AC$152+$AC$155+$AC$196+$AC$202+$AC$205)*MIN(1,0.3+AS$9+0.3)</f>
        <v>48</v>
      </c>
      <c r="AU158">
        <f ca="1" t="shared" si="582"/>
        <v>3.0677566866</v>
      </c>
      <c r="AV158">
        <f ca="1" t="shared" si="528"/>
        <v>1.7995442148</v>
      </c>
      <c r="AW158">
        <f ca="1" t="shared" si="416"/>
        <v>3152984.93216353</v>
      </c>
      <c r="AX158">
        <f ca="1" t="shared" si="583"/>
        <v>1.07</v>
      </c>
      <c r="AY158" s="171">
        <f ca="1">($AC$146+$AC$152+$AC$155+$AC$196+$AC$202+$AC$205)*MIN(1,0.3+AX$9+0.3)</f>
        <v>48</v>
      </c>
      <c r="AZ158" s="170">
        <f ca="1" t="shared" si="417"/>
        <v>3152984.93216353</v>
      </c>
      <c r="BA158">
        <f ca="1" t="shared" si="584"/>
        <v>1.06</v>
      </c>
      <c r="BB158" s="171">
        <f ca="1">($AC$146+$AC$152+$AC$155+$AC$196+$AC$202+$AC$205)*MIN(1,0.3+BA$9+0.3)</f>
        <v>48</v>
      </c>
      <c r="BC158" s="170">
        <f ca="1" t="shared" si="418"/>
        <v>3152984.93216353</v>
      </c>
      <c r="BE158">
        <f ca="1" t="shared" si="400"/>
        <v>105849</v>
      </c>
      <c r="BF158">
        <f ca="1" t="shared" si="567"/>
        <v>307134.28125</v>
      </c>
      <c r="BI158">
        <f ca="1" t="shared" si="585"/>
        <v>1.05</v>
      </c>
      <c r="BJ158" s="171">
        <f ca="1">($AC$146+$AC$152+$AC$155+$AC$196+$AC$202+$AC$205)*MIN(1,0.3+BI$9+0.3)</f>
        <v>48</v>
      </c>
      <c r="BK158">
        <f ca="1" t="shared" si="402"/>
        <v>3182179.19630614</v>
      </c>
      <c r="BM158">
        <f ca="1" t="shared" si="403"/>
        <v>109230</v>
      </c>
      <c r="BN158">
        <f ca="1" t="shared" si="568"/>
        <v>315692.4375</v>
      </c>
      <c r="BO158">
        <f ca="1" t="shared" si="569"/>
        <v>3309733.9467804</v>
      </c>
      <c r="BP158">
        <f ca="1" t="shared" si="529"/>
        <v>3156302.39811368</v>
      </c>
      <c r="BR158">
        <f ca="1" t="shared" si="586"/>
        <v>1.05</v>
      </c>
      <c r="BS158">
        <f ca="1" t="shared" si="406"/>
        <v>3178477.3059266</v>
      </c>
      <c r="BT158">
        <f ca="1" t="shared" si="570"/>
        <v>0.196995876306796</v>
      </c>
      <c r="BU158">
        <f ca="1" t="shared" si="587"/>
        <v>3.0677566866</v>
      </c>
      <c r="BV158">
        <f ca="1" t="shared" si="419"/>
        <v>3193753.36987311</v>
      </c>
      <c r="BW158">
        <f ca="1" t="shared" si="408"/>
        <v>113027</v>
      </c>
      <c r="BX158">
        <f ca="1" t="shared" si="571"/>
        <v>325303.59375</v>
      </c>
      <c r="BY158">
        <f ca="1" t="shared" si="588"/>
        <v>1.03</v>
      </c>
      <c r="BZ158" s="171">
        <f ca="1">($AC$146+$AC$152+$AC$155+$AC$196+$AC$202+$AC$205)*MIN(1,0.3+BY$9+0.3)</f>
        <v>48</v>
      </c>
      <c r="CA158">
        <f ca="1" t="shared" si="589"/>
        <v>3.0716629366</v>
      </c>
      <c r="CB158">
        <f ca="1" t="shared" si="420"/>
        <v>3320486.79753279</v>
      </c>
      <c r="CC158">
        <f ca="1" t="shared" si="411"/>
        <v>114847</v>
      </c>
      <c r="CD158">
        <f ca="1" t="shared" si="572"/>
        <v>329910.46875</v>
      </c>
      <c r="CE158">
        <f ca="1" t="shared" si="412"/>
        <v>3298454.69826446</v>
      </c>
      <c r="CF158">
        <f ca="1" t="shared" si="590"/>
        <v>3.0189285616</v>
      </c>
      <c r="CG158">
        <f ca="1" t="shared" si="591"/>
        <v>1.03</v>
      </c>
      <c r="CH158">
        <f ca="1" t="shared" si="421"/>
        <v>3102800.26691179</v>
      </c>
      <c r="CJ158">
        <f ca="1" t="shared" si="573"/>
        <v>315692.4375</v>
      </c>
      <c r="CK158">
        <f ca="1" t="shared" si="574"/>
        <v>3294741.03238737</v>
      </c>
      <c r="CL158">
        <f ca="1" t="shared" si="575"/>
        <v>3.0415848116</v>
      </c>
      <c r="CM158">
        <f ca="1">IF(G158="恒定伤害",0,(IF(D158="轻剑",$CM$8,$CM$9)+IFERROR(INDEX(技能数据库!$T$2:$W$27,MATCH(E158,技能数据库!$T$2:$T$27,0),4),0)+COUNTIF(G158,"*造化2*")*154+COUNTIF(G158,"*造化1*")*102+COUNTIF(G158,"*碧归*")*307)/1024)</f>
        <v>0.176868146929785</v>
      </c>
      <c r="CN158">
        <f ca="1" t="shared" si="422"/>
        <v>3295638.15856472</v>
      </c>
      <c r="CO158">
        <f ca="1" t="shared" si="576"/>
        <v>3.0656473116</v>
      </c>
      <c r="CP158">
        <f ca="1" t="shared" si="423"/>
        <v>3321710.51823986</v>
      </c>
      <c r="CQ158">
        <f ca="1" t="shared" si="530"/>
        <v>1.8815754648</v>
      </c>
      <c r="CR158">
        <f ca="1">IF(G158="恒定伤害",0,(IF(D158="轻剑",$CR$8,$CR$9)+IFERROR(INDEX(技能数据库!$T$2:$W$27,MATCH(E158,技能数据库!$T$2:$T$27,0),4),0)+COUNTIF(G158,"*造化2*")*154+COUNTIF(G158,"*造化1*")*102+COUNTIF(G158,"*碧归*")*307)/1024)</f>
        <v>0.167102521929785</v>
      </c>
      <c r="CS158">
        <f ca="1" t="shared" si="577"/>
        <v>3230989.15349486</v>
      </c>
    </row>
    <row r="159" spans="4:97">
      <c r="D159" t="s">
        <v>1825</v>
      </c>
      <c r="E159" t="s">
        <v>2792</v>
      </c>
      <c r="G159" t="s">
        <v>3108</v>
      </c>
      <c r="H159">
        <f ca="1">INDEX(技能数据库!$B$2:$I$100,MATCH(阵眼收益计算!$E159,技能数据库!$B$2:$B$100,0),MATCH(H$9,技能数据库!$B$2:$I$2,0))</f>
        <v>0</v>
      </c>
      <c r="I159">
        <f ca="1">INDEX(技能数据库!$B$2:$I$100,MATCH(阵眼收益计算!$E159,技能数据库!$B$2:$B$100,0),MATCH(I$9,技能数据库!$B$2:$I$2,0))</f>
        <v>0.16875</v>
      </c>
      <c r="J159">
        <f ca="1">INDEX(技能数据库!$B$2:$I$100,MATCH(阵眼收益计算!$E159,技能数据库!$B$2:$B$100,0),MATCH(J$9,技能数据库!$B$2:$I$2,0))</f>
        <v>1</v>
      </c>
      <c r="K159">
        <f ca="1">INDEX(技能数据库!$B$2:$I$100,MATCH(阵眼收益计算!$E159,技能数据库!$B$2:$B$100,0),MATCH(K$9,技能数据库!$B$2:$I$2,0))</f>
        <v>0</v>
      </c>
      <c r="L159">
        <f ca="1" t="shared" si="387"/>
        <v>105847</v>
      </c>
      <c r="M159">
        <f ca="1" t="shared" si="552"/>
        <v>19530.5</v>
      </c>
      <c r="N159">
        <f ca="1" t="shared" si="553"/>
        <v>92028</v>
      </c>
      <c r="O159">
        <f ca="1" t="shared" si="554"/>
        <v>37392.18125</v>
      </c>
      <c r="P159">
        <f ca="1">IF(G159="恒定伤害",0,(IF(D159="轻剑",$AZ$2,$AZ$3)+IFERROR(INDEX(技能数据库!$T$2:$W$27,MATCH(E159,技能数据库!$T$2:$T$27,0),4),0)+COUNTIF(G159,"*造化2*")*154+COUNTIF(G159,"*造化1*")*102+COUNTIF(G159,"*碧归*")*307)/1024)</f>
        <v>0.316516584429785</v>
      </c>
      <c r="Q159">
        <f ca="1" t="shared" ref="Q159:Q174" si="592">IF(G159="恒定伤害",0,(IF(COUNTIF(F159,"*内破*")&gt;0,内破,IF(D159="轻剑",$AF$2,$AF$3)/破防系数))+IF((IF(D159="轻剑",$AO$2,$AO$3)+INT(COUNTIF(G159,"*大莺鸣*")*IF(D159="轻剑",$AM$2,$AM$3)*听晓无双率)/无双系数)&gt;0.9,(特效裤子破防+特效裤子破防*IF(D159="轻剑",$AD$2,$AD$3)/1024)/破防系数,0))</f>
        <v>0.448284482196154</v>
      </c>
      <c r="R159">
        <f ca="1" t="shared" si="555"/>
        <v>0.21277697966198</v>
      </c>
      <c r="S159">
        <f ca="1" t="shared" si="556"/>
        <v>56125.3157697066</v>
      </c>
      <c r="T159">
        <f t="shared" si="557"/>
        <v>0.8</v>
      </c>
      <c r="U159">
        <f ca="1" t="shared" ref="U159:U174" si="593">IF(G159="恒定伤害",0,(IF(D159="轻剑",$AO$2,$AO$3)+INT(COUNTIF(G159,"*大莺鸣*")*IF(D159="轻剑",$AM$2,$AM$3)*听晓无双率)/无双系数)+IF((IF(D159="轻剑",$AO$2,$AO$3)+INT(COUNTIF(G159,"*大莺鸣*")*IF(D159="轻剑",$AM$2,$AM$3)*听晓无双率)/无双系数)&lt;=0.9,特效裤子无双,0))</f>
        <v>1.7800129648</v>
      </c>
      <c r="V159">
        <f ca="1" t="shared" si="558"/>
        <v>124823.284394623</v>
      </c>
      <c r="W159">
        <f ca="1">IF(G159="恒定伤害",0,MIN(1,IF(COUNTIF(F159,"*内会*")&gt;0,内会2,IF(D159="轻剑",$Y$2,$Y$3)+COUNTIF(G159,"*莺鸣*")*0.2+COUNTIF(G159,"*叠1*")*0.1+COUNTIF(G159,"*叠2*")*0.2+COUNTIF(G159,"*叠3*")*0.3)+IFERROR(INDEX(技能数据库!$T$2:$W$27,MATCH(E159,技能数据库!$T$2:$T$27,0),2),0)+IF((IF(D159="轻剑",$AO$2,$AO$3)+INT(COUNTIF(G159,"*大莺鸣*")*IF(D159="轻剑",$AM$2,$AM$3)*听晓无双率)/无双系数)&gt;0.9,特效裤子会心/会心系数,0)))</f>
        <v>0.8043</v>
      </c>
      <c r="X159">
        <f ca="1">IF(G159="恒定伤害",0,IF(COUNTIF(F159,"*内会*")&gt;0,内会效2,IF(D159="轻剑",$AB$2,$AB$3))+IFERROR(INDEX(技能数据库!$T$2:$W$27,MATCH(E159,技能数据库!$T$2:$T$27,0),3)/1024,0))+COUNTIF(G159,"*叠1*")*0.25+COUNTIF(G159,"*叠2*")*0.5+COUNTIF(G159,"*叠3*")*0.75</f>
        <v>2.4212723116</v>
      </c>
      <c r="Y159">
        <f ca="1" t="shared" si="559"/>
        <v>2.14312932021988</v>
      </c>
      <c r="Z159">
        <f t="shared" si="560"/>
        <v>0.150390625</v>
      </c>
      <c r="AA159">
        <f ca="1" t="shared" si="561"/>
        <v>0.0205078125</v>
      </c>
      <c r="AB159">
        <f ca="1" t="shared" si="562"/>
        <v>314054.95600006</v>
      </c>
      <c r="AC159" s="171">
        <f ca="1">技能数计算!$AJ151</f>
        <v>5.5</v>
      </c>
      <c r="AD159" s="164">
        <f ca="1" t="shared" si="563"/>
        <v>0.000619262548665283</v>
      </c>
      <c r="AE159" s="168"/>
      <c r="AF159" s="168">
        <f ca="1" t="shared" si="578"/>
        <v>0.8057</v>
      </c>
      <c r="AG159" s="171">
        <f ca="1">技能数计算!$AJ151</f>
        <v>5.5</v>
      </c>
      <c r="AH159">
        <f ca="1" t="shared" si="389"/>
        <v>109879</v>
      </c>
      <c r="AJ159">
        <f ca="1" t="shared" si="579"/>
        <v>2.6204910616</v>
      </c>
      <c r="AK159">
        <f ca="1" t="shared" si="564"/>
        <v>38311.08125</v>
      </c>
      <c r="AL159">
        <f ca="1" t="shared" si="391"/>
        <v>346266.002330173</v>
      </c>
      <c r="AM159" s="169">
        <f ca="1" t="shared" si="580"/>
        <v>0.8272</v>
      </c>
      <c r="AN159" s="171">
        <f ca="1">技能数计算!$AJ151</f>
        <v>5.5</v>
      </c>
      <c r="AO159" s="170">
        <f ca="1" t="shared" si="393"/>
        <v>351498.456157066</v>
      </c>
      <c r="AP159">
        <f ca="1" t="shared" si="394"/>
        <v>110956</v>
      </c>
      <c r="AQ159" s="170">
        <f ca="1" t="shared" si="565"/>
        <v>38254.325</v>
      </c>
      <c r="AR159">
        <f ca="1" t="shared" si="566"/>
        <v>340145.700695278</v>
      </c>
      <c r="AS159">
        <f ca="1" t="shared" si="581"/>
        <v>0.8843</v>
      </c>
      <c r="AT159" s="171">
        <f ca="1">技能数计算!$AJ151</f>
        <v>5.5</v>
      </c>
      <c r="AU159">
        <f ca="1" t="shared" si="582"/>
        <v>2.5677566866</v>
      </c>
      <c r="AV159">
        <f ca="1" t="shared" ref="AV159:AV174" si="594">IF(G159="恒定伤害",0,(IF(D159="轻剑",$AV$8,$AV$9)+INT(COUNTIF(G159,"*大莺鸣*")*IF(D159="轻剑",$AM$2,$AM$3)*听晓无双率)/无双系数))+IF((IF(G159="恒定伤害",0,(IF(D159="轻剑",$AV$8,$AV$9)+INT(COUNTIF(G159,"*大莺鸣*")*IF(D159="轻剑",$AM$2,$AM$3)*听晓无双率)/无双系数)))&lt;=0.9,特效裤子无双,0)</f>
        <v>1.7995442148</v>
      </c>
      <c r="AW159">
        <f ca="1" t="shared" si="416"/>
        <v>352155.974669802</v>
      </c>
      <c r="AX159">
        <f ca="1" t="shared" si="583"/>
        <v>0.8743</v>
      </c>
      <c r="AY159" s="171">
        <f ca="1">技能数计算!$AJ151</f>
        <v>5.5</v>
      </c>
      <c r="AZ159" s="170">
        <f ca="1" t="shared" si="417"/>
        <v>349842.437695138</v>
      </c>
      <c r="BA159">
        <f ca="1" t="shared" si="584"/>
        <v>0.8643</v>
      </c>
      <c r="BB159" s="171">
        <f ca="1">技能数计算!$AJ151</f>
        <v>5.5</v>
      </c>
      <c r="BC159" s="170">
        <f ca="1" t="shared" si="418"/>
        <v>347528.900720474</v>
      </c>
      <c r="BE159">
        <f ca="1" t="shared" si="400"/>
        <v>105849</v>
      </c>
      <c r="BF159">
        <f ca="1" t="shared" si="567"/>
        <v>37392.51875</v>
      </c>
      <c r="BI159">
        <f ca="1" t="shared" si="585"/>
        <v>0.8543</v>
      </c>
      <c r="BJ159" s="171">
        <f ca="1">技能数计算!$AJ151</f>
        <v>5.5</v>
      </c>
      <c r="BK159">
        <f ca="1" t="shared" si="402"/>
        <v>346307.271851196</v>
      </c>
      <c r="BM159">
        <f ca="1" t="shared" si="403"/>
        <v>109230</v>
      </c>
      <c r="BN159">
        <f ca="1" t="shared" si="568"/>
        <v>37963.0625</v>
      </c>
      <c r="BO159">
        <f ca="1" t="shared" si="569"/>
        <v>344352.797395218</v>
      </c>
      <c r="BP159">
        <f ca="1" t="shared" ref="BP159:BP174" si="595">IF(COUNTIF(G159,"*恒定伤害*")&gt;0,AB159,((BN159*(1+P159)*(1+IF(COUNTIF(F159,"*内破*")&gt;0,内破,IF(D159="轻剑",$BQ$8,$BQ$9)/破防系数)+IF((IF(D159="轻剑",$AO$2,$AO$3)+INT(COUNTIF(G159,"*大莺鸣*")*IF(D159="轻剑",$AM$2,$AM$3)*听晓无双率)/无双系数)&gt;0.9,(特效裤子破防+特效裤子破防*IF(D159="轻剑",$AD$2+102,$AD$3+102)/1024)/破防系数,0))*(1-R159))*T159*(1+U159))*Y159*(1+Z159)*(1+AA159))</f>
        <v>328389.40461452</v>
      </c>
      <c r="BR159">
        <f ca="1" t="shared" si="586"/>
        <v>0.8543</v>
      </c>
      <c r="BS159">
        <f ca="1" t="shared" si="406"/>
        <v>341662.039388629</v>
      </c>
      <c r="BT159">
        <f ca="1" t="shared" si="570"/>
        <v>0.196995876306796</v>
      </c>
      <c r="BU159">
        <f ca="1" t="shared" si="587"/>
        <v>2.5677566866</v>
      </c>
      <c r="BV159">
        <f ca="1" t="shared" si="419"/>
        <v>349679.03590285</v>
      </c>
      <c r="BW159">
        <f ca="1" t="shared" si="408"/>
        <v>113027</v>
      </c>
      <c r="BX159">
        <f ca="1" t="shared" si="571"/>
        <v>38603.80625</v>
      </c>
      <c r="BY159">
        <f ca="1" t="shared" si="588"/>
        <v>0.8343</v>
      </c>
      <c r="BZ159" s="171">
        <f ca="1">技能数计算!$AJ151</f>
        <v>5.5</v>
      </c>
      <c r="CA159">
        <f ca="1" t="shared" si="589"/>
        <v>2.5716629366</v>
      </c>
      <c r="CB159">
        <f ca="1" t="shared" si="420"/>
        <v>349664.339126162</v>
      </c>
      <c r="CC159">
        <f ca="1" t="shared" si="411"/>
        <v>114847</v>
      </c>
      <c r="CD159">
        <f ca="1" t="shared" si="572"/>
        <v>38910.93125</v>
      </c>
      <c r="CE159">
        <f ca="1" t="shared" si="412"/>
        <v>343285.219935358</v>
      </c>
      <c r="CF159">
        <f ca="1" t="shared" si="590"/>
        <v>2.5189285616</v>
      </c>
      <c r="CG159">
        <f ca="1" t="shared" si="591"/>
        <v>0.8343</v>
      </c>
      <c r="CH159">
        <f ca="1" t="shared" si="421"/>
        <v>334576.689817467</v>
      </c>
      <c r="CJ159">
        <f ca="1" t="shared" si="573"/>
        <v>37963.0625</v>
      </c>
      <c r="CK159">
        <f ca="1" t="shared" si="574"/>
        <v>342792.897990806</v>
      </c>
      <c r="CL159">
        <f ca="1" t="shared" si="575"/>
        <v>2.5415848116</v>
      </c>
      <c r="CM159">
        <f ca="1">IF(G159="恒定伤害",0,(IF(D159="轻剑",$CM$8,$CM$9)+IFERROR(INDEX(技能数据库!$T$2:$W$27,MATCH(E159,技能数据库!$T$2:$T$27,0),4),0)+COUNTIF(G159,"*造化2*")*154+COUNTIF(G159,"*造化1*")*102+COUNTIF(G159,"*碧归*")*307)/1024)</f>
        <v>0.377063459429785</v>
      </c>
      <c r="CN159">
        <f ca="1" t="shared" si="422"/>
        <v>352881.608923928</v>
      </c>
      <c r="CO159">
        <f ca="1" t="shared" si="576"/>
        <v>2.5656473116</v>
      </c>
      <c r="CP159">
        <f ca="1" t="shared" si="423"/>
        <v>355980.372149986</v>
      </c>
      <c r="CQ159">
        <f ca="1" t="shared" ref="CQ159:CQ174" si="596">IF(G159="恒定伤害",0,(IF(D159="轻剑",$CQ$8,$CQ$9)+INT(COUNTIF(G159,"*大莺鸣*")*IF(D159="轻剑",$AM$2,$AM$3)*听晓无双率)/无双系数))+IF((IF(G159="恒定伤害",0,(IF(D159="轻剑",$CQ$8,$CQ$9)+INT(COUNTIF(G159,"*大莺鸣*")*IF(D159="轻剑",$AM$2,$AM$3)*听晓无双率)/无双系数)))&lt;=0.9,特效裤子无双,0)</f>
        <v>1.8815754648</v>
      </c>
      <c r="CR159">
        <f ca="1">IF(G159="恒定伤害",0,(IF(D159="轻剑",$CR$8,$CR$9)+IFERROR(INDEX(技能数据库!$T$2:$W$27,MATCH(E159,技能数据库!$T$2:$T$27,0),4),0)+COUNTIF(G159,"*造化2*")*154+COUNTIF(G159,"*造化1*")*102+COUNTIF(G159,"*碧归*")*307)/1024)</f>
        <v>0.367297834429785</v>
      </c>
      <c r="CS159">
        <f ca="1" t="shared" si="577"/>
        <v>338084.77939505</v>
      </c>
    </row>
    <row r="160" spans="4:97">
      <c r="D160" t="s">
        <v>1825</v>
      </c>
      <c r="E160" t="s">
        <v>2792</v>
      </c>
      <c r="G160" t="s">
        <v>3109</v>
      </c>
      <c r="H160">
        <f ca="1">INDEX(技能数据库!$B$2:$I$100,MATCH(阵眼收益计算!$E160,技能数据库!$B$2:$B$100,0),MATCH(H$9,技能数据库!$B$2:$I$2,0))</f>
        <v>0</v>
      </c>
      <c r="I160">
        <f ca="1">INDEX(技能数据库!$B$2:$I$100,MATCH(阵眼收益计算!$E160,技能数据库!$B$2:$B$100,0),MATCH(I$9,技能数据库!$B$2:$I$2,0))</f>
        <v>0.16875</v>
      </c>
      <c r="J160">
        <f ca="1">INDEX(技能数据库!$B$2:$I$100,MATCH(阵眼收益计算!$E160,技能数据库!$B$2:$B$100,0),MATCH(J$9,技能数据库!$B$2:$I$2,0))</f>
        <v>1</v>
      </c>
      <c r="K160">
        <f ca="1">INDEX(技能数据库!$B$2:$I$100,MATCH(阵眼收益计算!$E160,技能数据库!$B$2:$B$100,0),MATCH(K$9,技能数据库!$B$2:$I$2,0))</f>
        <v>0</v>
      </c>
      <c r="L160">
        <f ca="1" t="shared" si="387"/>
        <v>105847</v>
      </c>
      <c r="M160">
        <f ca="1" t="shared" ref="M160:M163" si="597">IF(D160="轻剑",$AU$2+$AV$2,$AU$3+$AV$3)/2</f>
        <v>19530.5</v>
      </c>
      <c r="N160">
        <f ca="1" t="shared" ref="N160:N163" si="598">IF(D160="轻剑",$AJ$2,$AJ$3)</f>
        <v>92028</v>
      </c>
      <c r="O160">
        <f ca="1" t="shared" si="554"/>
        <v>37392.18125</v>
      </c>
      <c r="P160">
        <f ca="1">IF(G160="恒定伤害",0,(IF(D160="轻剑",$AZ$2,$AZ$3)+IFERROR(INDEX(技能数据库!$T$2:$W$27,MATCH(E160,技能数据库!$T$2:$T$27,0),4),0)+COUNTIF(G160,"*造化2*")*154+COUNTIF(G160,"*造化1*")*102+COUNTIF(G160,"*碧归*")*307)/1024)</f>
        <v>0.316516584429785</v>
      </c>
      <c r="Q160">
        <f ca="1" t="shared" si="592"/>
        <v>0.448284482196154</v>
      </c>
      <c r="R160">
        <f ca="1" t="shared" si="555"/>
        <v>0.21277697966198</v>
      </c>
      <c r="S160">
        <f ca="1" t="shared" ref="S160:S163" si="599">O160*(1+P160)*(1+Q160)*(1-R160)</f>
        <v>56125.3157697066</v>
      </c>
      <c r="T160">
        <f t="shared" ref="T160:T178" si="600">1-($F$6-130)*0.05</f>
        <v>0.8</v>
      </c>
      <c r="U160">
        <f ca="1" t="shared" si="593"/>
        <v>1.7800129648</v>
      </c>
      <c r="V160">
        <f ca="1" t="shared" ref="V160:V163" si="601">S160*T160*(1+U160)</f>
        <v>124823.284394623</v>
      </c>
      <c r="W160">
        <f ca="1">IF(G160="恒定伤害",0,MIN(1,IF(COUNTIF(F160,"*内会*")&gt;0,内会2,IF(D160="轻剑",$Y$2,$Y$3)+COUNTIF(G160,"*莺鸣*")*0.2+COUNTIF(G160,"*叠1*")*0.1+COUNTIF(G160,"*叠2*")*0.2+COUNTIF(G160,"*叠3*")*0.3)+IFERROR(INDEX(技能数据库!$T$2:$W$27,MATCH(E160,技能数据库!$T$2:$T$27,0),2),0)+IF((IF(D160="轻剑",$AO$2,$AO$3)+INT(COUNTIF(G160,"*大莺鸣*")*IF(D160="轻剑",$AM$2,$AM$3)*听晓无双率)/无双系数)&gt;0.9,特效裤子会心/会心系数,0)))</f>
        <v>0.9043</v>
      </c>
      <c r="X160">
        <f ca="1">IF(G160="恒定伤害",0,IF(COUNTIF(F160,"*内会*")&gt;0,内会效2,IF(D160="轻剑",$AB$2,$AB$3))+IFERROR(INDEX(技能数据库!$T$2:$W$27,MATCH(E160,技能数据库!$T$2:$T$27,0),3)/1024,0))+COUNTIF(G160,"*叠1*")*0.25+COUNTIF(G160,"*叠2*")*0.5+COUNTIF(G160,"*叠3*")*0.75</f>
        <v>2.6712723116</v>
      </c>
      <c r="Y160">
        <f ca="1" t="shared" ref="Y160:Y163" si="602">1+W160*(X160-1)</f>
        <v>2.51133155137988</v>
      </c>
      <c r="Z160">
        <f t="shared" si="560"/>
        <v>0.150390625</v>
      </c>
      <c r="AA160">
        <f ca="1" t="shared" ref="AA160:AA163" si="603">IF(D160="轻剑",$BA$2,$BA$3)/1024</f>
        <v>0.0205078125</v>
      </c>
      <c r="AB160">
        <f ca="1" t="shared" ref="AB160:AB163" si="604">V160*Y160*(1+Z160)*(1+AA160)</f>
        <v>368011.445893173</v>
      </c>
      <c r="AC160">
        <f ca="1">技能数计算!$AJ152</f>
        <v>3.6875</v>
      </c>
      <c r="AD160" s="164">
        <f ca="1" t="shared" si="563"/>
        <v>0.00048651902797807</v>
      </c>
      <c r="AE160" s="168"/>
      <c r="AF160" s="168">
        <f ca="1" t="shared" si="578"/>
        <v>0.9057</v>
      </c>
      <c r="AG160">
        <f ca="1">技能数计算!$AJ152</f>
        <v>3.6875</v>
      </c>
      <c r="AH160">
        <f ca="1" t="shared" si="389"/>
        <v>109879</v>
      </c>
      <c r="AJ160">
        <f ca="1" t="shared" si="579"/>
        <v>2.8704910616</v>
      </c>
      <c r="AK160">
        <f ca="1" t="shared" si="564"/>
        <v>38311.08125</v>
      </c>
      <c r="AL160">
        <f ca="1" t="shared" si="391"/>
        <v>404608.145807628</v>
      </c>
      <c r="AM160" s="169">
        <f ca="1" t="shared" si="580"/>
        <v>0.9272</v>
      </c>
      <c r="AN160">
        <f ca="1">技能数计算!$AJ152</f>
        <v>3.6875</v>
      </c>
      <c r="AO160" s="170">
        <f ca="1" t="shared" si="393"/>
        <v>410647.832384964</v>
      </c>
      <c r="AP160">
        <f ca="1" t="shared" si="394"/>
        <v>110956</v>
      </c>
      <c r="AQ160" s="170">
        <f ca="1" t="shared" si="565"/>
        <v>38254.325</v>
      </c>
      <c r="AR160">
        <f ca="1" t="shared" si="566"/>
        <v>398584.734090907</v>
      </c>
      <c r="AS160">
        <f ca="1" t="shared" si="581"/>
        <v>0.9843</v>
      </c>
      <c r="AT160">
        <f ca="1">技能数计算!$AJ152</f>
        <v>3.6875</v>
      </c>
      <c r="AU160">
        <f ca="1" t="shared" si="582"/>
        <v>2.8177566866</v>
      </c>
      <c r="AV160">
        <f ca="1" t="shared" si="594"/>
        <v>1.7995442148</v>
      </c>
      <c r="AW160">
        <f ca="1" t="shared" si="416"/>
        <v>411604.607559011</v>
      </c>
      <c r="AX160">
        <f ca="1" t="shared" si="583"/>
        <v>0.9743</v>
      </c>
      <c r="AY160">
        <f ca="1">技能数计算!$AJ152</f>
        <v>3.6875</v>
      </c>
      <c r="AZ160" s="170">
        <f ca="1" t="shared" si="417"/>
        <v>408922.145834347</v>
      </c>
      <c r="BA160">
        <f ca="1" t="shared" si="584"/>
        <v>0.9643</v>
      </c>
      <c r="BB160">
        <f ca="1">技能数计算!$AJ152</f>
        <v>3.6875</v>
      </c>
      <c r="BC160" s="170">
        <f ca="1" t="shared" si="418"/>
        <v>406239.684109682</v>
      </c>
      <c r="BE160">
        <f ca="1" t="shared" si="400"/>
        <v>105849</v>
      </c>
      <c r="BF160">
        <f ca="1" t="shared" si="567"/>
        <v>37392.51875</v>
      </c>
      <c r="BI160">
        <f ca="1" t="shared" si="585"/>
        <v>0.9543</v>
      </c>
      <c r="BJ160">
        <f ca="1">技能数计算!$AJ152</f>
        <v>3.6875</v>
      </c>
      <c r="BK160">
        <f ca="1" t="shared" si="402"/>
        <v>405850.389765198</v>
      </c>
      <c r="BM160">
        <f ca="1" t="shared" si="403"/>
        <v>109230</v>
      </c>
      <c r="BN160">
        <f ca="1" t="shared" si="568"/>
        <v>37963.0625</v>
      </c>
      <c r="BO160">
        <f ca="1" t="shared" si="569"/>
        <v>403514.634765862</v>
      </c>
      <c r="BP160">
        <f ca="1" t="shared" si="595"/>
        <v>384808.637148731</v>
      </c>
      <c r="BR160">
        <f ca="1" t="shared" si="586"/>
        <v>0.9543</v>
      </c>
      <c r="BS160">
        <f ca="1" t="shared" si="406"/>
        <v>400406.468835081</v>
      </c>
      <c r="BT160">
        <f ca="1" t="shared" si="570"/>
        <v>0.196995876306796</v>
      </c>
      <c r="BU160">
        <f ca="1" t="shared" si="587"/>
        <v>2.8177566866</v>
      </c>
      <c r="BV160">
        <f ca="1" t="shared" si="419"/>
        <v>408775.261112456</v>
      </c>
      <c r="BW160">
        <f ca="1" t="shared" si="408"/>
        <v>113027</v>
      </c>
      <c r="BX160">
        <f ca="1" t="shared" si="571"/>
        <v>38603.80625</v>
      </c>
      <c r="BY160">
        <f ca="1" t="shared" si="588"/>
        <v>0.9343</v>
      </c>
      <c r="BZ160">
        <f ca="1">技能数计算!$AJ152</f>
        <v>3.6875</v>
      </c>
      <c r="CA160">
        <f ca="1" t="shared" si="589"/>
        <v>2.8216629366</v>
      </c>
      <c r="CB160">
        <f ca="1" t="shared" si="420"/>
        <v>408779.096360199</v>
      </c>
      <c r="CC160">
        <f ca="1" t="shared" si="411"/>
        <v>114847</v>
      </c>
      <c r="CD160">
        <f ca="1" t="shared" si="572"/>
        <v>38910.93125</v>
      </c>
      <c r="CE160">
        <f ca="1" t="shared" si="412"/>
        <v>402291.049086684</v>
      </c>
      <c r="CF160">
        <f ca="1" t="shared" si="590"/>
        <v>2.7689285616</v>
      </c>
      <c r="CG160">
        <f ca="1" t="shared" si="591"/>
        <v>0.9343</v>
      </c>
      <c r="CH160">
        <f ca="1" t="shared" si="421"/>
        <v>391460.142804328</v>
      </c>
      <c r="CJ160">
        <f ca="1" t="shared" si="573"/>
        <v>37963.0625</v>
      </c>
      <c r="CK160">
        <f ca="1" t="shared" si="574"/>
        <v>401686.735462577</v>
      </c>
      <c r="CL160">
        <f ca="1" t="shared" si="575"/>
        <v>2.7915848116</v>
      </c>
      <c r="CM160">
        <f ca="1">IF(G160="恒定伤害",0,(IF(D160="轻剑",$CM$8,$CM$9)+IFERROR(INDEX(技能数据库!$T$2:$W$27,MATCH(E160,技能数据库!$T$2:$T$27,0),4),0)+COUNTIF(G160,"*造化2*")*154+COUNTIF(G160,"*造化1*")*102+COUNTIF(G160,"*碧归*")*307)/1024)</f>
        <v>0.377063459429785</v>
      </c>
      <c r="CN160">
        <f ca="1" t="shared" si="422"/>
        <v>412730.858226574</v>
      </c>
      <c r="CO160">
        <f ca="1" t="shared" si="576"/>
        <v>2.8156473116</v>
      </c>
      <c r="CP160">
        <f ca="1" t="shared" si="423"/>
        <v>416201.042191701</v>
      </c>
      <c r="CQ160">
        <f ca="1" t="shared" si="596"/>
        <v>1.8815754648</v>
      </c>
      <c r="CR160">
        <f ca="1">IF(G160="恒定伤害",0,(IF(D160="轻剑",$CR$8,$CR$9)+IFERROR(INDEX(技能数据库!$T$2:$W$27,MATCH(E160,技能数据库!$T$2:$T$27,0),4),0)+COUNTIF(G160,"*造化2*")*154+COUNTIF(G160,"*造化1*")*102+COUNTIF(G160,"*碧归*")*307)/1024)</f>
        <v>0.367297834429785</v>
      </c>
      <c r="CS160">
        <f ca="1" t="shared" si="577"/>
        <v>396169.734381211</v>
      </c>
    </row>
    <row r="161" spans="4:97">
      <c r="D161" t="s">
        <v>1825</v>
      </c>
      <c r="E161" t="s">
        <v>2792</v>
      </c>
      <c r="G161" t="s">
        <v>3110</v>
      </c>
      <c r="H161">
        <f ca="1">INDEX(技能数据库!$B$2:$I$100,MATCH(阵眼收益计算!$E161,技能数据库!$B$2:$B$100,0),MATCH(H$9,技能数据库!$B$2:$I$2,0))</f>
        <v>0</v>
      </c>
      <c r="I161">
        <f ca="1">INDEX(技能数据库!$B$2:$I$100,MATCH(阵眼收益计算!$E161,技能数据库!$B$2:$B$100,0),MATCH(I$9,技能数据库!$B$2:$I$2,0))</f>
        <v>0.16875</v>
      </c>
      <c r="J161">
        <f ca="1">INDEX(技能数据库!$B$2:$I$100,MATCH(阵眼收益计算!$E161,技能数据库!$B$2:$B$100,0),MATCH(J$9,技能数据库!$B$2:$I$2,0))</f>
        <v>1</v>
      </c>
      <c r="K161">
        <f ca="1">INDEX(技能数据库!$B$2:$I$100,MATCH(阵眼收益计算!$E161,技能数据库!$B$2:$B$100,0),MATCH(K$9,技能数据库!$B$2:$I$2,0))</f>
        <v>0</v>
      </c>
      <c r="L161">
        <f ca="1" t="shared" si="387"/>
        <v>105847</v>
      </c>
      <c r="M161">
        <f ca="1" t="shared" si="597"/>
        <v>19530.5</v>
      </c>
      <c r="N161">
        <f ca="1" t="shared" si="598"/>
        <v>92028</v>
      </c>
      <c r="O161">
        <f ca="1" t="shared" si="554"/>
        <v>37392.18125</v>
      </c>
      <c r="P161">
        <f ca="1">IF(G161="恒定伤害",0,(IF(D161="轻剑",$AZ$2,$AZ$3)+IFERROR(INDEX(技能数据库!$T$2:$W$27,MATCH(E161,技能数据库!$T$2:$T$27,0),4),0)+COUNTIF(G161,"*造化2*")*154+COUNTIF(G161,"*造化1*")*102+COUNTIF(G161,"*碧归*")*307)/1024)</f>
        <v>0.316516584429785</v>
      </c>
      <c r="Q161">
        <f ca="1" t="shared" si="592"/>
        <v>0.448284482196154</v>
      </c>
      <c r="R161">
        <f ca="1" t="shared" si="555"/>
        <v>0.21277697966198</v>
      </c>
      <c r="S161">
        <f ca="1" t="shared" si="599"/>
        <v>56125.3157697066</v>
      </c>
      <c r="T161">
        <f t="shared" si="600"/>
        <v>0.8</v>
      </c>
      <c r="U161">
        <f ca="1" t="shared" si="593"/>
        <v>1.7800129648</v>
      </c>
      <c r="V161">
        <f ca="1" t="shared" si="601"/>
        <v>124823.284394623</v>
      </c>
      <c r="W161">
        <f ca="1">IF(G161="恒定伤害",0,MIN(1,IF(COUNTIF(F161,"*内会*")&gt;0,内会2,IF(D161="轻剑",$Y$2,$Y$3)+COUNTIF(G161,"*莺鸣*")*0.2+COUNTIF(G161,"*叠1*")*0.1+COUNTIF(G161,"*叠2*")*0.2+COUNTIF(G161,"*叠3*")*0.3)+IFERROR(INDEX(技能数据库!$T$2:$W$27,MATCH(E161,技能数据库!$T$2:$T$27,0),2),0)+IF((IF(D161="轻剑",$AO$2,$AO$3)+INT(COUNTIF(G161,"*大莺鸣*")*IF(D161="轻剑",$AM$2,$AM$3)*听晓无双率)/无双系数)&gt;0.9,特效裤子会心/会心系数,0)))</f>
        <v>1</v>
      </c>
      <c r="X161">
        <f ca="1">IF(G161="恒定伤害",0,IF(COUNTIF(F161,"*内会*")&gt;0,内会效2,IF(D161="轻剑",$AB$2,$AB$3))+IFERROR(INDEX(技能数据库!$T$2:$W$27,MATCH(E161,技能数据库!$T$2:$T$27,0),3)/1024,0))+COUNTIF(G161,"*叠1*")*0.25+COUNTIF(G161,"*叠2*")*0.5+COUNTIF(G161,"*叠3*")*0.75</f>
        <v>2.9212723116</v>
      </c>
      <c r="Y161">
        <f ca="1" t="shared" si="602"/>
        <v>2.9212723116</v>
      </c>
      <c r="Z161">
        <f t="shared" si="560"/>
        <v>0.150390625</v>
      </c>
      <c r="AA161">
        <f ca="1" t="shared" si="603"/>
        <v>0.0205078125</v>
      </c>
      <c r="AB161">
        <f ca="1" t="shared" si="604"/>
        <v>428084.315131111</v>
      </c>
      <c r="AC161">
        <f ca="1">技能数计算!$AJ153</f>
        <v>30.5</v>
      </c>
      <c r="AD161" s="164">
        <f ca="1" t="shared" si="563"/>
        <v>0.0046809675466574</v>
      </c>
      <c r="AE161" s="168"/>
      <c r="AF161" s="168">
        <f ca="1" t="shared" ref="AF161:AF164" si="605">W161+IF(COUNTIF(F161,"*内会*")&gt;0,0,IF(D161="轻剑",$AF$8-$Y$2,$AF$9-$Y$3))</f>
        <v>1.0014</v>
      </c>
      <c r="AG161">
        <f ca="1">技能数计算!$AJ153</f>
        <v>30.5</v>
      </c>
      <c r="AH161">
        <f ca="1" t="shared" si="389"/>
        <v>109879</v>
      </c>
      <c r="AJ161">
        <f ca="1" t="shared" ref="AJ161:AJ164" si="606">X161+IF(COUNTIF(F161,"*内会*")&gt;0,0,IF(D161="轻剑",$AJ$8-$AB$2,$AJ$9-$AB$3))</f>
        <v>3.1204910616</v>
      </c>
      <c r="AK161">
        <f ca="1" t="shared" si="564"/>
        <v>38311.08125</v>
      </c>
      <c r="AL161">
        <f ca="1" t="shared" si="391"/>
        <v>468644.201374396</v>
      </c>
      <c r="AM161" s="169">
        <f ca="1" t="shared" ref="AM161:AM164" si="607">W161+IF(COUNTIF(F161,"*内会*")&gt;0,0,IF(D161="轻剑",$AN$8-$Y$2,$AN$9-$Y$3))</f>
        <v>1.0229</v>
      </c>
      <c r="AN161">
        <f ca="1">技能数计算!$AJ153</f>
        <v>30.5</v>
      </c>
      <c r="AO161" s="170">
        <f ca="1" t="shared" si="393"/>
        <v>468644.201374396</v>
      </c>
      <c r="AP161">
        <f ca="1" t="shared" si="394"/>
        <v>110956</v>
      </c>
      <c r="AQ161" s="170">
        <f ca="1" t="shared" si="565"/>
        <v>38254.325</v>
      </c>
      <c r="AR161">
        <f ca="1" t="shared" si="566"/>
        <v>463648.27729992</v>
      </c>
      <c r="AS161">
        <f ca="1" t="shared" ref="AS161:AS164" si="608">W161+IF(COUNTIF(F161,"*内会*")&gt;0,0,IF(D161="轻剑",$AS$8-$Y$2,$AS$9-$Y$3))</f>
        <v>1.08</v>
      </c>
      <c r="AT161">
        <f ca="1">技能数计算!$AJ153</f>
        <v>30.5</v>
      </c>
      <c r="AU161">
        <f ca="1" t="shared" ref="AU161:AU164" si="609">X161+IF(COUNTIF(F161,"*内会*")&gt;0,0,IF(D161="轻剑",$AU$8-$AB$2,$AU$9-$AB$3))</f>
        <v>3.0677566866</v>
      </c>
      <c r="AV161">
        <f ca="1" t="shared" si="594"/>
        <v>1.7995442148</v>
      </c>
      <c r="AW161">
        <f ca="1" t="shared" si="416"/>
        <v>452708.547466809</v>
      </c>
      <c r="AX161">
        <f ca="1" t="shared" ref="AX161:AX164" si="610">$W161+IF(COUNTIF(F161,"*内会*")&gt;0,0,IF(I161="轻剑",AX$8-$Y$2,AX$9-$Y$3))</f>
        <v>1.07</v>
      </c>
      <c r="AY161">
        <f ca="1">技能数计算!$AJ153</f>
        <v>30.5</v>
      </c>
      <c r="AZ161" s="170">
        <f ca="1" t="shared" si="417"/>
        <v>452708.547466809</v>
      </c>
      <c r="BA161">
        <f ca="1" t="shared" ref="BA161:BA164" si="611">$W161+IF(COUNTIF(F161,"*内会*")&gt;0,0,IF(L161="轻剑",BA$8-$Y$2,BA$9-$Y$3))</f>
        <v>1.06</v>
      </c>
      <c r="BB161">
        <f ca="1">技能数计算!$AJ153</f>
        <v>30.5</v>
      </c>
      <c r="BC161" s="170">
        <f ca="1" t="shared" si="418"/>
        <v>452708.547466809</v>
      </c>
      <c r="BE161">
        <f ca="1" t="shared" si="400"/>
        <v>105849</v>
      </c>
      <c r="BF161">
        <f ca="1" t="shared" si="567"/>
        <v>37392.51875</v>
      </c>
      <c r="BI161">
        <f ca="1" t="shared" ref="BI161:BI164" si="612">$W161+IF(COUNTIF(F161,"*内会*")&gt;0,0,IF(T161="轻剑",BI$8-$Y$2,BI$9-$Y$3))</f>
        <v>1.05</v>
      </c>
      <c r="BJ161">
        <f ca="1">技能数计算!$AJ153</f>
        <v>30.5</v>
      </c>
      <c r="BK161">
        <f ca="1" t="shared" si="402"/>
        <v>456896.880216615</v>
      </c>
      <c r="BM161">
        <f ca="1" t="shared" si="403"/>
        <v>109230</v>
      </c>
      <c r="BN161">
        <f ca="1" t="shared" si="568"/>
        <v>37963.0625</v>
      </c>
      <c r="BO161">
        <f ca="1" t="shared" si="569"/>
        <v>469382.91728912</v>
      </c>
      <c r="BP161">
        <f ca="1" t="shared" si="595"/>
        <v>447623.419675293</v>
      </c>
      <c r="BR161">
        <f ca="1" t="shared" ref="BR161:BR164" si="613">$W161+IF(T161="轻剑",BI$8-$Y$2,BI$9-$Y$3)</f>
        <v>1.05</v>
      </c>
      <c r="BS161">
        <f ca="1" t="shared" si="406"/>
        <v>450768.241309663</v>
      </c>
      <c r="BT161">
        <f ca="1" t="shared" si="570"/>
        <v>0.196995876306796</v>
      </c>
      <c r="BU161">
        <f ca="1" t="shared" ref="BU161:BU164" si="614">X161+IF(D161="轻剑",$AU$8-$AB$2,$AU$9-$AB$3)</f>
        <v>3.0677566866</v>
      </c>
      <c r="BV161">
        <f ca="1" t="shared" si="419"/>
        <v>458562.118167298</v>
      </c>
      <c r="BW161">
        <f ca="1" t="shared" si="408"/>
        <v>113027</v>
      </c>
      <c r="BX161">
        <f ca="1" t="shared" si="571"/>
        <v>38603.80625</v>
      </c>
      <c r="BY161">
        <f ca="1" t="shared" ref="BY161:BY164" si="615">$W161+IF(COUNTIF(F161,"*内会*")&gt;0,0,IF(AI161="轻剑",BY$8-$Y$2,BY$9-$Y$3))</f>
        <v>1.03</v>
      </c>
      <c r="BZ161">
        <f ca="1">技能数计算!$AJ153</f>
        <v>30.5</v>
      </c>
      <c r="CA161">
        <f ca="1" t="shared" ref="CA161:CA164" si="616">X161+IF(COUNTIF(F161,"*内会*")&gt;0,0,IF(D161="轻剑",$CA$8-$AB$2,$CA$9-$AB$3))</f>
        <v>3.0716629366</v>
      </c>
      <c r="CB161">
        <f ca="1" t="shared" si="420"/>
        <v>464708.009489008</v>
      </c>
      <c r="CC161">
        <f ca="1" t="shared" si="411"/>
        <v>114847</v>
      </c>
      <c r="CD161">
        <f ca="1" t="shared" si="572"/>
        <v>38910.93125</v>
      </c>
      <c r="CE161">
        <f ca="1" t="shared" si="412"/>
        <v>458799.763819771</v>
      </c>
      <c r="CF161">
        <f ca="1" t="shared" ref="CF161:CF164" si="617">X161+IF(COUNTIF(F161,"*内会*")&gt;0,0,IF(D161="轻剑",$CF$8-$AB$2,$CF$9-$AB$3))</f>
        <v>3.0189285616</v>
      </c>
      <c r="CG161">
        <f ca="1" t="shared" ref="CG161:CG164" si="618">$W161+IF(AI161="轻剑",BY$8-$Y$2,BY$9-$Y$3)</f>
        <v>1.03</v>
      </c>
      <c r="CH161">
        <f ca="1" t="shared" si="421"/>
        <v>445502.985943357</v>
      </c>
      <c r="CJ161">
        <f ca="1" t="shared" si="573"/>
        <v>37963.0625</v>
      </c>
      <c r="CK161">
        <f ca="1" t="shared" si="574"/>
        <v>467256.638255933</v>
      </c>
      <c r="CL161">
        <f ca="1" t="shared" si="575"/>
        <v>3.0415848116</v>
      </c>
      <c r="CM161">
        <f ca="1">IF(G161="恒定伤害",0,(IF(D161="轻剑",$CM$8,$CM$9)+IFERROR(INDEX(技能数据库!$T$2:$W$27,MATCH(E161,技能数据库!$T$2:$T$27,0),4),0)+COUNTIF(G161,"*造化2*")*154+COUNTIF(G161,"*造化1*")*102+COUNTIF(G161,"*碧归*")*307)/1024)</f>
        <v>0.377063459429785</v>
      </c>
      <c r="CN161">
        <f ca="1" t="shared" si="422"/>
        <v>469488.905420243</v>
      </c>
      <c r="CO161">
        <f ca="1" t="shared" si="576"/>
        <v>3.0656473116</v>
      </c>
      <c r="CP161">
        <f ca="1" t="shared" si="423"/>
        <v>473203.11281094</v>
      </c>
      <c r="CQ161">
        <f ca="1" t="shared" si="596"/>
        <v>1.8815754648</v>
      </c>
      <c r="CR161">
        <f ca="1">IF(G161="恒定伤害",0,(IF(D161="轻剑",$CR$8,$CR$9)+IFERROR(INDEX(技能数据库!$T$2:$W$27,MATCH(E161,技能数据库!$T$2:$T$27,0),4),0)+COUNTIF(G161,"*造化2*")*154+COUNTIF(G161,"*造化1*")*102+COUNTIF(G161,"*碧归*")*307)/1024)</f>
        <v>0.367297834429785</v>
      </c>
      <c r="CS161">
        <f ca="1" t="shared" si="577"/>
        <v>460839.061694525</v>
      </c>
    </row>
    <row r="162" spans="4:97">
      <c r="D162" t="s">
        <v>1825</v>
      </c>
      <c r="E162" t="s">
        <v>2794</v>
      </c>
      <c r="G162" t="s">
        <v>3108</v>
      </c>
      <c r="H162">
        <f ca="1">INDEX(技能数据库!$B$2:$I$100,MATCH(阵眼收益计算!$E162,技能数据库!$B$2:$B$100,0),MATCH(H$9,技能数据库!$B$2:$I$2,0))</f>
        <v>231.5</v>
      </c>
      <c r="I162">
        <f ca="1">INDEX(技能数据库!$B$2:$I$100,MATCH(阵眼收益计算!$E162,技能数据库!$B$2:$B$100,0),MATCH(I$9,技能数据库!$B$2:$I$2,0))</f>
        <v>2.71875</v>
      </c>
      <c r="J162">
        <f ca="1">INDEX(技能数据库!$B$2:$I$100,MATCH(阵眼收益计算!$E162,技能数据库!$B$2:$B$100,0),MATCH(J$9,技能数据库!$B$2:$I$2,0))</f>
        <v>2</v>
      </c>
      <c r="K162">
        <f ca="1">INDEX(技能数据库!$B$2:$I$100,MATCH(阵眼收益计算!$E162,技能数据库!$B$2:$B$100,0),MATCH(K$9,技能数据库!$B$2:$I$2,0))</f>
        <v>0</v>
      </c>
      <c r="L162">
        <f ca="1" t="shared" si="387"/>
        <v>105847</v>
      </c>
      <c r="M162">
        <f ca="1" t="shared" si="597"/>
        <v>19530.5</v>
      </c>
      <c r="N162">
        <f ca="1" t="shared" si="598"/>
        <v>92028</v>
      </c>
      <c r="O162">
        <f ca="1" t="shared" si="554"/>
        <v>327064.03125</v>
      </c>
      <c r="P162">
        <f ca="1">IF(G162="恒定伤害",0,(IF(D162="轻剑",$AZ$2,$AZ$3)+IFERROR(INDEX(技能数据库!$T$2:$W$27,MATCH(E162,技能数据库!$T$2:$T$27,0),4),0)+COUNTIF(G162,"*造化2*")*154+COUNTIF(G162,"*造化1*")*102+COUNTIF(G162,"*碧归*")*307)/1024)</f>
        <v>0.236438459429785</v>
      </c>
      <c r="Q162">
        <f ca="1" t="shared" si="592"/>
        <v>0.448284482196154</v>
      </c>
      <c r="R162">
        <f ca="1" t="shared" si="555"/>
        <v>0.21277697966198</v>
      </c>
      <c r="S162">
        <f ca="1" t="shared" si="599"/>
        <v>461059.477278801</v>
      </c>
      <c r="T162">
        <f t="shared" si="600"/>
        <v>0.8</v>
      </c>
      <c r="U162">
        <f ca="1" t="shared" si="593"/>
        <v>1.7800129648</v>
      </c>
      <c r="V162">
        <f ca="1" t="shared" si="601"/>
        <v>1025401.05950318</v>
      </c>
      <c r="W162">
        <f ca="1">IF(G162="恒定伤害",0,MIN(1,IF(COUNTIF(F162,"*内会*")&gt;0,内会2,IF(D162="轻剑",$Y$2,$Y$3)+COUNTIF(G162,"*莺鸣*")*0.2+COUNTIF(G162,"*叠1*")*0.1+COUNTIF(G162,"*叠2*")*0.2+COUNTIF(G162,"*叠3*")*0.3)+IFERROR(INDEX(技能数据库!$T$2:$W$27,MATCH(E162,技能数据库!$T$2:$T$27,0),2),0)+IF((IF(D162="轻剑",$AO$2,$AO$3)+INT(COUNTIF(G162,"*大莺鸣*")*IF(D162="轻剑",$AM$2,$AM$3)*听晓无双率)/无双系数)&gt;0.9,特效裤子会心/会心系数,0)))</f>
        <v>0.8043</v>
      </c>
      <c r="X162">
        <f ca="1">IF(G162="恒定伤害",0,IF(COUNTIF(F162,"*内会*")&gt;0,内会效2,IF(D162="轻剑",$AB$2,$AB$3))+IFERROR(INDEX(技能数据库!$T$2:$W$27,MATCH(E162,技能数据库!$T$2:$T$27,0),3)/1024,0))+COUNTIF(G162,"*叠1*")*0.25+COUNTIF(G162,"*叠2*")*0.5+COUNTIF(G162,"*叠3*")*0.75</f>
        <v>2.4212723116</v>
      </c>
      <c r="Y162">
        <f ca="1" t="shared" si="602"/>
        <v>2.14312932021988</v>
      </c>
      <c r="Z162">
        <f t="shared" si="560"/>
        <v>0.150390625</v>
      </c>
      <c r="AA162">
        <f ca="1" t="shared" si="603"/>
        <v>0.0205078125</v>
      </c>
      <c r="AB162">
        <f ca="1" t="shared" si="604"/>
        <v>2579905.55357122</v>
      </c>
      <c r="AC162">
        <f ca="1">技能数计算!$AJ154</f>
        <v>0</v>
      </c>
      <c r="AD162" s="164">
        <f ca="1" t="shared" si="563"/>
        <v>0</v>
      </c>
      <c r="AE162" s="168"/>
      <c r="AF162" s="168">
        <f ca="1" t="shared" si="605"/>
        <v>0.8057</v>
      </c>
      <c r="AG162">
        <f ca="1">技能数计算!$AJ154</f>
        <v>0</v>
      </c>
      <c r="AH162">
        <f ca="1" t="shared" si="389"/>
        <v>109879</v>
      </c>
      <c r="AJ162">
        <f ca="1" t="shared" si="606"/>
        <v>2.6204910616</v>
      </c>
      <c r="AK162">
        <f ca="1" t="shared" si="564"/>
        <v>338503.03125</v>
      </c>
      <c r="AL162">
        <f ca="1" t="shared" si="391"/>
        <v>2873387.35921669</v>
      </c>
      <c r="AM162" s="169">
        <f ca="1" t="shared" si="607"/>
        <v>0.8272</v>
      </c>
      <c r="AN162">
        <f ca="1">技能数计算!$AJ154</f>
        <v>0</v>
      </c>
      <c r="AO162" s="170">
        <f ca="1" t="shared" si="393"/>
        <v>2916807.35015632</v>
      </c>
      <c r="AP162">
        <f ca="1" t="shared" si="394"/>
        <v>110956</v>
      </c>
      <c r="AQ162" s="170">
        <f ca="1" t="shared" si="565"/>
        <v>340954.125</v>
      </c>
      <c r="AR162">
        <f ca="1" t="shared" si="566"/>
        <v>2847256.30186767</v>
      </c>
      <c r="AS162">
        <f ca="1" t="shared" si="608"/>
        <v>0.8843</v>
      </c>
      <c r="AT162">
        <f ca="1">技能数计算!$AJ154</f>
        <v>0</v>
      </c>
      <c r="AU162">
        <f ca="1" t="shared" si="609"/>
        <v>2.5677566866</v>
      </c>
      <c r="AV162">
        <f ca="1" t="shared" si="594"/>
        <v>1.7995442148</v>
      </c>
      <c r="AW162">
        <f ca="1" t="shared" si="416"/>
        <v>2892898.63896857</v>
      </c>
      <c r="AX162">
        <f ca="1" t="shared" si="610"/>
        <v>0.8743</v>
      </c>
      <c r="AY162">
        <f ca="1">技能数计算!$AJ154</f>
        <v>0</v>
      </c>
      <c r="AZ162" s="170">
        <f ca="1" t="shared" si="417"/>
        <v>2873893.3445916</v>
      </c>
      <c r="BA162">
        <f ca="1" t="shared" si="611"/>
        <v>0.8643</v>
      </c>
      <c r="BB162">
        <f ca="1">技能数计算!$AJ154</f>
        <v>0</v>
      </c>
      <c r="BC162" s="170">
        <f ca="1" t="shared" si="418"/>
        <v>2854888.05021463</v>
      </c>
      <c r="BE162">
        <f ca="1" t="shared" si="400"/>
        <v>105849</v>
      </c>
      <c r="BF162">
        <f ca="1" t="shared" si="567"/>
        <v>327069.46875</v>
      </c>
      <c r="BI162">
        <f ca="1" t="shared" si="612"/>
        <v>0.8543</v>
      </c>
      <c r="BJ162">
        <f ca="1">技能数计算!$AJ154</f>
        <v>0</v>
      </c>
      <c r="BK162">
        <f ca="1" t="shared" si="402"/>
        <v>2844874.20504012</v>
      </c>
      <c r="BM162">
        <f ca="1" t="shared" si="403"/>
        <v>109230</v>
      </c>
      <c r="BN162">
        <f ca="1" t="shared" si="568"/>
        <v>336261.5625</v>
      </c>
      <c r="BO162">
        <f ca="1" t="shared" si="569"/>
        <v>2864611.7771549</v>
      </c>
      <c r="BP162">
        <f ca="1" t="shared" si="595"/>
        <v>2731815.05440764</v>
      </c>
      <c r="BR162">
        <f ca="1" t="shared" si="613"/>
        <v>0.8543</v>
      </c>
      <c r="BS162">
        <f ca="1" t="shared" si="406"/>
        <v>2842227.82344971</v>
      </c>
      <c r="BT162">
        <f ca="1" t="shared" si="570"/>
        <v>0.196995876306796</v>
      </c>
      <c r="BU162">
        <f ca="1" t="shared" si="614"/>
        <v>2.5677566866</v>
      </c>
      <c r="BV162">
        <f ca="1" t="shared" si="419"/>
        <v>2872551.02795774</v>
      </c>
      <c r="BW162">
        <f ca="1" t="shared" si="408"/>
        <v>113027</v>
      </c>
      <c r="BX162">
        <f ca="1" t="shared" si="571"/>
        <v>346584.65625</v>
      </c>
      <c r="BY162">
        <f ca="1" t="shared" si="615"/>
        <v>0.8343</v>
      </c>
      <c r="BZ162">
        <f ca="1">技能数计算!$AJ154</f>
        <v>0</v>
      </c>
      <c r="CA162">
        <f ca="1" t="shared" si="616"/>
        <v>2.5716629366</v>
      </c>
      <c r="CB162">
        <f ca="1" t="shared" si="420"/>
        <v>2948334.25528798</v>
      </c>
      <c r="CC162">
        <f ca="1" t="shared" si="411"/>
        <v>114847</v>
      </c>
      <c r="CD162">
        <f ca="1" t="shared" si="572"/>
        <v>351532.78125</v>
      </c>
      <c r="CE162">
        <f ca="1" t="shared" si="412"/>
        <v>2912698.16176909</v>
      </c>
      <c r="CF162">
        <f ca="1" t="shared" si="617"/>
        <v>2.5189285616</v>
      </c>
      <c r="CG162">
        <f ca="1" t="shared" si="618"/>
        <v>0.8343</v>
      </c>
      <c r="CH162">
        <f ca="1" t="shared" si="421"/>
        <v>2748487.94347762</v>
      </c>
      <c r="CJ162">
        <f ca="1" t="shared" si="573"/>
        <v>336261.5625</v>
      </c>
      <c r="CK162">
        <f ca="1" t="shared" si="574"/>
        <v>2851635.24193039</v>
      </c>
      <c r="CL162">
        <f ca="1" t="shared" si="575"/>
        <v>2.5415848116</v>
      </c>
      <c r="CM162">
        <f ca="1">IF(G162="恒定伤害",0,(IF(D162="轻剑",$CM$8,$CM$9)+IFERROR(INDEX(技能数据库!$T$2:$W$27,MATCH(E162,技能数据库!$T$2:$T$27,0),4),0)+COUNTIF(G162,"*造化2*")*154+COUNTIF(G162,"*造化1*")*102+COUNTIF(G162,"*碧归*")*307)/1024)</f>
        <v>0.296985334429785</v>
      </c>
      <c r="CN162">
        <f ca="1" t="shared" si="422"/>
        <v>2907114.39127686</v>
      </c>
      <c r="CO162">
        <f ca="1" t="shared" si="576"/>
        <v>2.5656473116</v>
      </c>
      <c r="CP162">
        <f ca="1" t="shared" si="423"/>
        <v>2932642.6674517</v>
      </c>
      <c r="CQ162">
        <f ca="1" t="shared" si="596"/>
        <v>1.8815754648</v>
      </c>
      <c r="CR162">
        <f ca="1">IF(G162="恒定伤害",0,(IF(D162="轻剑",$CR$8,$CR$9)+IFERROR(INDEX(技能数据库!$T$2:$W$27,MATCH(E162,技能数据库!$T$2:$T$27,0),4),0)+COUNTIF(G162,"*造化2*")*154+COUNTIF(G162,"*造化1*")*102+COUNTIF(G162,"*碧归*")*307)/1024)</f>
        <v>0.287219709429785</v>
      </c>
      <c r="CS162">
        <f ca="1" t="shared" si="577"/>
        <v>2783986.7203493</v>
      </c>
    </row>
    <row r="163" spans="4:97">
      <c r="D163" t="s">
        <v>1825</v>
      </c>
      <c r="E163" t="s">
        <v>2794</v>
      </c>
      <c r="G163" t="s">
        <v>3109</v>
      </c>
      <c r="H163">
        <f ca="1">INDEX(技能数据库!$B$2:$I$100,MATCH(阵眼收益计算!$E163,技能数据库!$B$2:$B$100,0),MATCH(H$9,技能数据库!$B$2:$I$2,0))</f>
        <v>231.5</v>
      </c>
      <c r="I163">
        <f ca="1">INDEX(技能数据库!$B$2:$I$100,MATCH(阵眼收益计算!$E163,技能数据库!$B$2:$B$100,0),MATCH(I$9,技能数据库!$B$2:$I$2,0))</f>
        <v>2.71875</v>
      </c>
      <c r="J163">
        <f ca="1">INDEX(技能数据库!$B$2:$I$100,MATCH(阵眼收益计算!$E163,技能数据库!$B$2:$B$100,0),MATCH(J$9,技能数据库!$B$2:$I$2,0))</f>
        <v>2</v>
      </c>
      <c r="K163">
        <f ca="1">INDEX(技能数据库!$B$2:$I$100,MATCH(阵眼收益计算!$E163,技能数据库!$B$2:$B$100,0),MATCH(K$9,技能数据库!$B$2:$I$2,0))</f>
        <v>0</v>
      </c>
      <c r="L163">
        <f ca="1" t="shared" si="387"/>
        <v>105847</v>
      </c>
      <c r="M163">
        <f ca="1" t="shared" si="597"/>
        <v>19530.5</v>
      </c>
      <c r="N163">
        <f ca="1" t="shared" si="598"/>
        <v>92028</v>
      </c>
      <c r="O163">
        <f ca="1" t="shared" si="554"/>
        <v>327064.03125</v>
      </c>
      <c r="P163">
        <f ca="1">IF(G163="恒定伤害",0,(IF(D163="轻剑",$AZ$2,$AZ$3)+IFERROR(INDEX(技能数据库!$T$2:$W$27,MATCH(E163,技能数据库!$T$2:$T$27,0),4),0)+COUNTIF(G163,"*造化2*")*154+COUNTIF(G163,"*造化1*")*102+COUNTIF(G163,"*碧归*")*307)/1024)</f>
        <v>0.236438459429785</v>
      </c>
      <c r="Q163">
        <f ca="1" t="shared" si="592"/>
        <v>0.448284482196154</v>
      </c>
      <c r="R163">
        <f ca="1" t="shared" si="555"/>
        <v>0.21277697966198</v>
      </c>
      <c r="S163">
        <f ca="1" t="shared" si="599"/>
        <v>461059.477278801</v>
      </c>
      <c r="T163">
        <f t="shared" si="600"/>
        <v>0.8</v>
      </c>
      <c r="U163">
        <f ca="1" t="shared" si="593"/>
        <v>1.7800129648</v>
      </c>
      <c r="V163">
        <f ca="1" t="shared" si="601"/>
        <v>1025401.05950318</v>
      </c>
      <c r="W163">
        <f ca="1">IF(G163="恒定伤害",0,MIN(1,IF(COUNTIF(F163,"*内会*")&gt;0,内会2,IF(D163="轻剑",$Y$2,$Y$3)+COUNTIF(G163,"*莺鸣*")*0.2+COUNTIF(G163,"*叠1*")*0.1+COUNTIF(G163,"*叠2*")*0.2+COUNTIF(G163,"*叠3*")*0.3)+IFERROR(INDEX(技能数据库!$T$2:$W$27,MATCH(E163,技能数据库!$T$2:$T$27,0),2),0)+IF((IF(D163="轻剑",$AO$2,$AO$3)+INT(COUNTIF(G163,"*大莺鸣*")*IF(D163="轻剑",$AM$2,$AM$3)*听晓无双率)/无双系数)&gt;0.9,特效裤子会心/会心系数,0)))</f>
        <v>0.9043</v>
      </c>
      <c r="X163">
        <f ca="1">IF(G163="恒定伤害",0,IF(COUNTIF(F163,"*内会*")&gt;0,内会效2,IF(D163="轻剑",$AB$2,$AB$3))+IFERROR(INDEX(技能数据库!$T$2:$W$27,MATCH(E163,技能数据库!$T$2:$T$27,0),3)/1024,0))+COUNTIF(G163,"*叠1*")*0.25+COUNTIF(G163,"*叠2*")*0.5+COUNTIF(G163,"*叠3*")*0.75</f>
        <v>2.6712723116</v>
      </c>
      <c r="Y163">
        <f ca="1" t="shared" si="602"/>
        <v>2.51133155137988</v>
      </c>
      <c r="Z163">
        <f t="shared" si="560"/>
        <v>0.150390625</v>
      </c>
      <c r="AA163">
        <f ca="1" t="shared" si="603"/>
        <v>0.0205078125</v>
      </c>
      <c r="AB163">
        <f ca="1" t="shared" si="604"/>
        <v>3023148.51238135</v>
      </c>
      <c r="AC163" s="171">
        <f ca="1">技能数计算!$AJ155</f>
        <v>0</v>
      </c>
      <c r="AD163" s="164">
        <f ca="1" t="shared" si="563"/>
        <v>0</v>
      </c>
      <c r="AE163" s="168"/>
      <c r="AF163" s="168">
        <f ca="1" t="shared" si="605"/>
        <v>0.9057</v>
      </c>
      <c r="AG163" s="171">
        <f ca="1">技能数计算!$AJ155</f>
        <v>0</v>
      </c>
      <c r="AH163">
        <f ca="1" t="shared" si="389"/>
        <v>109879</v>
      </c>
      <c r="AJ163">
        <f ca="1" t="shared" si="606"/>
        <v>2.8704910616</v>
      </c>
      <c r="AK163">
        <f ca="1" t="shared" si="564"/>
        <v>338503.03125</v>
      </c>
      <c r="AL163">
        <f ca="1" t="shared" si="391"/>
        <v>3357522.60913903</v>
      </c>
      <c r="AM163" s="169">
        <f ca="1" t="shared" si="607"/>
        <v>0.9272</v>
      </c>
      <c r="AN163" s="171">
        <f ca="1">技能数计算!$AJ155</f>
        <v>0</v>
      </c>
      <c r="AO163" s="170">
        <f ca="1" t="shared" si="393"/>
        <v>3407641.18545944</v>
      </c>
      <c r="AP163">
        <f ca="1" t="shared" si="394"/>
        <v>110956</v>
      </c>
      <c r="AQ163" s="170">
        <f ca="1" t="shared" si="565"/>
        <v>340954.125</v>
      </c>
      <c r="AR163">
        <f ca="1" t="shared" si="566"/>
        <v>3336431.69279765</v>
      </c>
      <c r="AS163">
        <f ca="1" t="shared" si="608"/>
        <v>0.9843</v>
      </c>
      <c r="AT163" s="171">
        <f ca="1">技能数计算!$AJ155</f>
        <v>0</v>
      </c>
      <c r="AU163">
        <f ca="1" t="shared" si="609"/>
        <v>2.8177566866</v>
      </c>
      <c r="AV163">
        <f ca="1" t="shared" si="594"/>
        <v>1.7995442148</v>
      </c>
      <c r="AW163">
        <f ca="1" t="shared" si="416"/>
        <v>3381258.57474701</v>
      </c>
      <c r="AX163">
        <f ca="1" t="shared" si="610"/>
        <v>0.9743</v>
      </c>
      <c r="AY163" s="171">
        <f ca="1">技能数计算!$AJ155</f>
        <v>0</v>
      </c>
      <c r="AZ163" s="170">
        <f ca="1" t="shared" si="417"/>
        <v>3359222.629227</v>
      </c>
      <c r="BA163">
        <f ca="1" t="shared" si="611"/>
        <v>0.9643</v>
      </c>
      <c r="BB163" s="171">
        <f ca="1">技能数计算!$AJ155</f>
        <v>0</v>
      </c>
      <c r="BC163" s="170">
        <f ca="1" t="shared" si="418"/>
        <v>3337186.683707</v>
      </c>
      <c r="BE163">
        <f ca="1" t="shared" si="400"/>
        <v>105849</v>
      </c>
      <c r="BF163">
        <f ca="1" t="shared" si="567"/>
        <v>327069.46875</v>
      </c>
      <c r="BI163">
        <f ca="1" t="shared" si="612"/>
        <v>0.9543</v>
      </c>
      <c r="BJ163" s="171">
        <f ca="1">技能数计算!$AJ155</f>
        <v>0</v>
      </c>
      <c r="BK163">
        <f ca="1" t="shared" si="402"/>
        <v>3334014.03550257</v>
      </c>
      <c r="BM163">
        <f ca="1" t="shared" si="403"/>
        <v>109230</v>
      </c>
      <c r="BN163">
        <f ca="1" t="shared" si="568"/>
        <v>336261.5625</v>
      </c>
      <c r="BO163">
        <f ca="1" t="shared" si="569"/>
        <v>3356768.9408894</v>
      </c>
      <c r="BP163">
        <f ca="1" t="shared" si="595"/>
        <v>3201156.95956443</v>
      </c>
      <c r="BR163">
        <f ca="1" t="shared" si="613"/>
        <v>0.9543</v>
      </c>
      <c r="BS163">
        <f ca="1" t="shared" si="406"/>
        <v>3330912.64235481</v>
      </c>
      <c r="BT163">
        <f ca="1" t="shared" si="570"/>
        <v>0.196995876306796</v>
      </c>
      <c r="BU163">
        <f ca="1" t="shared" si="614"/>
        <v>2.8177566866</v>
      </c>
      <c r="BV163">
        <f ca="1" t="shared" si="419"/>
        <v>3358015.99738598</v>
      </c>
      <c r="BW163">
        <f ca="1" t="shared" si="408"/>
        <v>113027</v>
      </c>
      <c r="BX163">
        <f ca="1" t="shared" si="571"/>
        <v>346584.65625</v>
      </c>
      <c r="BY163">
        <f ca="1" t="shared" si="615"/>
        <v>0.9343</v>
      </c>
      <c r="BZ163" s="171">
        <f ca="1">技能数计算!$AJ155</f>
        <v>0</v>
      </c>
      <c r="CA163">
        <f ca="1" t="shared" si="616"/>
        <v>2.8216629366</v>
      </c>
      <c r="CB163">
        <f ca="1" t="shared" si="420"/>
        <v>3446783.89468132</v>
      </c>
      <c r="CC163">
        <f ca="1" t="shared" si="411"/>
        <v>114847</v>
      </c>
      <c r="CD163">
        <f ca="1" t="shared" si="572"/>
        <v>351532.78125</v>
      </c>
      <c r="CE163">
        <f ca="1" t="shared" si="412"/>
        <v>3413349.39905537</v>
      </c>
      <c r="CF163">
        <f ca="1" t="shared" si="617"/>
        <v>2.7689285616</v>
      </c>
      <c r="CG163">
        <f ca="1" t="shared" si="618"/>
        <v>0.9343</v>
      </c>
      <c r="CH163">
        <f ca="1" t="shared" si="421"/>
        <v>3215775.38302716</v>
      </c>
      <c r="CJ163">
        <f ca="1" t="shared" si="573"/>
        <v>336261.5625</v>
      </c>
      <c r="CK163">
        <f ca="1" t="shared" si="574"/>
        <v>3341562.96053653</v>
      </c>
      <c r="CL163">
        <f ca="1" t="shared" si="575"/>
        <v>2.7915848116</v>
      </c>
      <c r="CM163">
        <f ca="1">IF(G163="恒定伤害",0,(IF(D163="轻剑",$CM$8,$CM$9)+IFERROR(INDEX(技能数据库!$T$2:$W$27,MATCH(E163,技能数据库!$T$2:$T$27,0),4),0)+COUNTIF(G163,"*造化2*")*154+COUNTIF(G163,"*造化1*")*102+COUNTIF(G163,"*碧归*")*307)/1024)</f>
        <v>0.296985334429785</v>
      </c>
      <c r="CN163">
        <f ca="1" t="shared" si="422"/>
        <v>3400165.34535009</v>
      </c>
      <c r="CO163">
        <f ca="1" t="shared" si="576"/>
        <v>2.8156473116</v>
      </c>
      <c r="CP163">
        <f ca="1" t="shared" si="423"/>
        <v>3428753.46524719</v>
      </c>
      <c r="CQ163">
        <f ca="1" t="shared" si="596"/>
        <v>1.8815754648</v>
      </c>
      <c r="CR163">
        <f ca="1">IF(G163="恒定伤害",0,(IF(D163="轻剑",$CR$8,$CR$9)+IFERROR(INDEX(技能数据库!$T$2:$W$27,MATCH(E163,技能数据库!$T$2:$T$27,0),4),0)+COUNTIF(G163,"*造化2*")*154+COUNTIF(G163,"*造化1*")*102+COUNTIF(G163,"*碧归*")*307)/1024)</f>
        <v>0.287219709429785</v>
      </c>
      <c r="CS163">
        <f ca="1" t="shared" si="577"/>
        <v>3262292.02478481</v>
      </c>
    </row>
    <row r="164" spans="4:97">
      <c r="D164" t="s">
        <v>1825</v>
      </c>
      <c r="E164" t="s">
        <v>2794</v>
      </c>
      <c r="G164" t="s">
        <v>3110</v>
      </c>
      <c r="H164">
        <f ca="1">INDEX(技能数据库!$B$2:$I$100,MATCH(阵眼收益计算!$E164,技能数据库!$B$2:$B$100,0),MATCH(H$9,技能数据库!$B$2:$I$2,0))</f>
        <v>231.5</v>
      </c>
      <c r="I164">
        <f ca="1">INDEX(技能数据库!$B$2:$I$100,MATCH(阵眼收益计算!$E164,技能数据库!$B$2:$B$100,0),MATCH(I$9,技能数据库!$B$2:$I$2,0))</f>
        <v>2.71875</v>
      </c>
      <c r="J164">
        <f ca="1">INDEX(技能数据库!$B$2:$I$100,MATCH(阵眼收益计算!$E164,技能数据库!$B$2:$B$100,0),MATCH(J$9,技能数据库!$B$2:$I$2,0))</f>
        <v>2</v>
      </c>
      <c r="K164">
        <f ca="1">INDEX(技能数据库!$B$2:$I$100,MATCH(阵眼收益计算!$E164,技能数据库!$B$2:$B$100,0),MATCH(K$9,技能数据库!$B$2:$I$2,0))</f>
        <v>0</v>
      </c>
      <c r="L164">
        <f ca="1" t="shared" si="387"/>
        <v>105847</v>
      </c>
      <c r="M164">
        <f ca="1" t="shared" ref="M164:M167" si="619">IF(D164="轻剑",$AU$2+$AV$2,$AU$3+$AV$3)/2</f>
        <v>19530.5</v>
      </c>
      <c r="N164">
        <f ca="1" t="shared" ref="N164:N167" si="620">IF(D164="轻剑",$AJ$2,$AJ$3)</f>
        <v>92028</v>
      </c>
      <c r="O164">
        <f ca="1" t="shared" si="554"/>
        <v>327064.03125</v>
      </c>
      <c r="P164">
        <f ca="1">IF(G164="恒定伤害",0,(IF(D164="轻剑",$AZ$2,$AZ$3)+IFERROR(INDEX(技能数据库!$T$2:$W$27,MATCH(E164,技能数据库!$T$2:$T$27,0),4),0)+COUNTIF(G164,"*造化2*")*154+COUNTIF(G164,"*造化1*")*102+COUNTIF(G164,"*碧归*")*307)/1024)</f>
        <v>0.236438459429785</v>
      </c>
      <c r="Q164">
        <f ca="1" t="shared" si="592"/>
        <v>0.448284482196154</v>
      </c>
      <c r="R164">
        <f ca="1" t="shared" si="555"/>
        <v>0.21277697966198</v>
      </c>
      <c r="S164">
        <f ca="1" t="shared" ref="S164:S167" si="621">O164*(1+P164)*(1+Q164)*(1-R164)</f>
        <v>461059.477278801</v>
      </c>
      <c r="T164">
        <f t="shared" si="600"/>
        <v>0.8</v>
      </c>
      <c r="U164">
        <f ca="1" t="shared" si="593"/>
        <v>1.7800129648</v>
      </c>
      <c r="V164">
        <f ca="1" t="shared" ref="V164:V167" si="622">S164*T164*(1+U164)</f>
        <v>1025401.05950318</v>
      </c>
      <c r="W164">
        <f ca="1">IF(G164="恒定伤害",0,MIN(1,IF(COUNTIF(F164,"*内会*")&gt;0,内会2,IF(D164="轻剑",$Y$2,$Y$3)+COUNTIF(G164,"*莺鸣*")*0.2+COUNTIF(G164,"*叠1*")*0.1+COUNTIF(G164,"*叠2*")*0.2+COUNTIF(G164,"*叠3*")*0.3)+IFERROR(INDEX(技能数据库!$T$2:$W$27,MATCH(E164,技能数据库!$T$2:$T$27,0),2),0)+IF((IF(D164="轻剑",$AO$2,$AO$3)+INT(COUNTIF(G164,"*大莺鸣*")*IF(D164="轻剑",$AM$2,$AM$3)*听晓无双率)/无双系数)&gt;0.9,特效裤子会心/会心系数,0)))</f>
        <v>1</v>
      </c>
      <c r="X164">
        <f ca="1">IF(G164="恒定伤害",0,IF(COUNTIF(F164,"*内会*")&gt;0,内会效2,IF(D164="轻剑",$AB$2,$AB$3))+IFERROR(INDEX(技能数据库!$T$2:$W$27,MATCH(E164,技能数据库!$T$2:$T$27,0),3)/1024,0))+COUNTIF(G164,"*叠1*")*0.25+COUNTIF(G164,"*叠2*")*0.5+COUNTIF(G164,"*叠3*")*0.75</f>
        <v>2.9212723116</v>
      </c>
      <c r="Y164">
        <f ca="1" t="shared" ref="Y164:Y167" si="623">1+W164*(X164-1)</f>
        <v>2.9212723116</v>
      </c>
      <c r="Z164">
        <f t="shared" si="560"/>
        <v>0.150390625</v>
      </c>
      <c r="AA164">
        <f ca="1" t="shared" ref="AA164:AA167" si="624">IF(D164="轻剑",$BA$2,$BA$3)/1024</f>
        <v>0.0205078125</v>
      </c>
      <c r="AB164">
        <f ca="1" t="shared" ref="AB164:AB167" si="625">V164*Y164*(1+Z164)*(1+AA164)</f>
        <v>3516636.43863425</v>
      </c>
      <c r="AC164">
        <f ca="1">技能数计算!$AJ156</f>
        <v>2</v>
      </c>
      <c r="AD164" s="164">
        <f ca="1" t="shared" si="563"/>
        <v>0.00252152885649436</v>
      </c>
      <c r="AE164" s="168"/>
      <c r="AF164" s="168">
        <f ca="1" t="shared" si="605"/>
        <v>1.0014</v>
      </c>
      <c r="AG164">
        <f ca="1">技能数计算!$AJ156</f>
        <v>2</v>
      </c>
      <c r="AH164">
        <f ca="1" t="shared" si="389"/>
        <v>109879</v>
      </c>
      <c r="AJ164">
        <f ca="1" t="shared" si="606"/>
        <v>3.1204910616</v>
      </c>
      <c r="AK164">
        <f ca="1" t="shared" si="564"/>
        <v>338503.03125</v>
      </c>
      <c r="AL164">
        <f ca="1" t="shared" si="391"/>
        <v>3888907.12671058</v>
      </c>
      <c r="AM164" s="169">
        <f ca="1" t="shared" si="607"/>
        <v>1.0229</v>
      </c>
      <c r="AN164">
        <f ca="1">技能数计算!$AJ156</f>
        <v>2</v>
      </c>
      <c r="AO164" s="170">
        <f ca="1" t="shared" si="393"/>
        <v>3888907.12671058</v>
      </c>
      <c r="AP164">
        <f ca="1" t="shared" si="394"/>
        <v>110956</v>
      </c>
      <c r="AQ164" s="170">
        <f ca="1" t="shared" si="565"/>
        <v>340954.125</v>
      </c>
      <c r="AR164">
        <f ca="1" t="shared" si="566"/>
        <v>3881058.84241334</v>
      </c>
      <c r="AS164">
        <f ca="1" t="shared" si="608"/>
        <v>1.08</v>
      </c>
      <c r="AT164">
        <f ca="1">技能数计算!$AJ156</f>
        <v>2</v>
      </c>
      <c r="AU164">
        <f ca="1" t="shared" si="609"/>
        <v>3.0677566866</v>
      </c>
      <c r="AV164">
        <f ca="1" t="shared" si="594"/>
        <v>1.7995442148</v>
      </c>
      <c r="AW164">
        <f ca="1" t="shared" si="416"/>
        <v>3718920.12351672</v>
      </c>
      <c r="AX164">
        <f ca="1" t="shared" si="610"/>
        <v>1.07</v>
      </c>
      <c r="AY164">
        <f ca="1">技能数计算!$AJ156</f>
        <v>2</v>
      </c>
      <c r="AZ164" s="170">
        <f ca="1" t="shared" si="417"/>
        <v>3718920.12351672</v>
      </c>
      <c r="BA164">
        <f ca="1" t="shared" si="611"/>
        <v>1.06</v>
      </c>
      <c r="BB164">
        <f ca="1">技能数计算!$AJ156</f>
        <v>2</v>
      </c>
      <c r="BC164" s="170">
        <f ca="1" t="shared" si="418"/>
        <v>3718920.12351672</v>
      </c>
      <c r="BE164">
        <f ca="1" t="shared" si="400"/>
        <v>105849</v>
      </c>
      <c r="BF164">
        <f ca="1" t="shared" si="567"/>
        <v>327069.46875</v>
      </c>
      <c r="BI164">
        <f ca="1" t="shared" si="612"/>
        <v>1.05</v>
      </c>
      <c r="BJ164">
        <f ca="1">技能数计算!$AJ156</f>
        <v>2</v>
      </c>
      <c r="BK164">
        <f ca="1" t="shared" si="402"/>
        <v>3753355.05357239</v>
      </c>
      <c r="BM164">
        <f ca="1" t="shared" si="403"/>
        <v>109230</v>
      </c>
      <c r="BN164">
        <f ca="1" t="shared" si="568"/>
        <v>336261.5625</v>
      </c>
      <c r="BO164">
        <f ca="1" t="shared" si="569"/>
        <v>3904715.86998181</v>
      </c>
      <c r="BP164">
        <f ca="1" t="shared" si="595"/>
        <v>3723702.34663875</v>
      </c>
      <c r="BR164">
        <f ca="1" t="shared" si="613"/>
        <v>1.05</v>
      </c>
      <c r="BS164">
        <f ca="1" t="shared" si="406"/>
        <v>3749863.57767568</v>
      </c>
      <c r="BT164">
        <f ca="1" t="shared" si="570"/>
        <v>0.196995876306796</v>
      </c>
      <c r="BU164">
        <f ca="1" t="shared" si="614"/>
        <v>3.0677566866</v>
      </c>
      <c r="BV164">
        <f ca="1" t="shared" si="419"/>
        <v>3767006.16473306</v>
      </c>
      <c r="BW164">
        <f ca="1" t="shared" si="408"/>
        <v>113027</v>
      </c>
      <c r="BX164">
        <f ca="1" t="shared" si="571"/>
        <v>346584.65625</v>
      </c>
      <c r="BY164">
        <f ca="1" t="shared" si="615"/>
        <v>1.03</v>
      </c>
      <c r="BZ164">
        <f ca="1">技能数计算!$AJ156</f>
        <v>2</v>
      </c>
      <c r="CA164">
        <f ca="1" t="shared" si="616"/>
        <v>3.0716629366</v>
      </c>
      <c r="CB164">
        <f ca="1" t="shared" si="420"/>
        <v>3918370.81958989</v>
      </c>
      <c r="CC164">
        <f ca="1" t="shared" si="411"/>
        <v>114847</v>
      </c>
      <c r="CD164">
        <f ca="1" t="shared" si="572"/>
        <v>351532.78125</v>
      </c>
      <c r="CE164">
        <f ca="1" t="shared" si="412"/>
        <v>3892813.18010016</v>
      </c>
      <c r="CF164">
        <f ca="1" t="shared" si="617"/>
        <v>3.0189285616</v>
      </c>
      <c r="CG164">
        <f ca="1" t="shared" si="618"/>
        <v>1.03</v>
      </c>
      <c r="CH164">
        <f ca="1" t="shared" si="421"/>
        <v>3659727.71837935</v>
      </c>
      <c r="CJ164">
        <f ca="1" t="shared" si="573"/>
        <v>336261.5625</v>
      </c>
      <c r="CK164">
        <f ca="1" t="shared" si="574"/>
        <v>3887027.71990416</v>
      </c>
      <c r="CL164">
        <f ca="1" t="shared" si="575"/>
        <v>3.0415848116</v>
      </c>
      <c r="CM164">
        <f ca="1">IF(G164="恒定伤害",0,(IF(D164="轻剑",$CM$8,$CM$9)+IFERROR(INDEX(技能数据库!$T$2:$W$27,MATCH(E164,技能数据库!$T$2:$T$27,0),4),0)+COUNTIF(G164,"*造化2*")*154+COUNTIF(G164,"*造化1*")*102+COUNTIF(G164,"*碧归*")*307)/1024)</f>
        <v>0.296985334429785</v>
      </c>
      <c r="CN164">
        <f ca="1" t="shared" si="422"/>
        <v>3867750.31335294</v>
      </c>
      <c r="CO164">
        <f ca="1" t="shared" si="576"/>
        <v>3.0656473116</v>
      </c>
      <c r="CP164">
        <f ca="1" t="shared" si="423"/>
        <v>3898348.75057557</v>
      </c>
      <c r="CQ164">
        <f ca="1" t="shared" si="596"/>
        <v>1.8815754648</v>
      </c>
      <c r="CR164">
        <f ca="1">IF(G164="恒定伤害",0,(IF(D164="轻剑",$CR$8,$CR$9)+IFERROR(INDEX(技能数据库!$T$2:$W$27,MATCH(E164,技能数据库!$T$2:$T$27,0),4),0)+COUNTIF(G164,"*造化2*")*154+COUNTIF(G164,"*造化1*")*102+COUNTIF(G164,"*碧归*")*307)/1024)</f>
        <v>0.287219709429785</v>
      </c>
      <c r="CS164">
        <f ca="1" t="shared" si="577"/>
        <v>3794816.88075832</v>
      </c>
    </row>
    <row r="165" spans="4:97">
      <c r="D165" t="s">
        <v>1825</v>
      </c>
      <c r="E165" t="s">
        <v>2798</v>
      </c>
      <c r="G165" t="s">
        <v>3108</v>
      </c>
      <c r="H165">
        <f ca="1">INDEX(技能数据库!$B$2:$I$100,MATCH(阵眼收益计算!$E165,技能数据库!$B$2:$B$100,0),MATCH(H$9,技能数据库!$B$2:$I$2,0))</f>
        <v>1504.5</v>
      </c>
      <c r="I165">
        <f ca="1">INDEX(技能数据库!$B$2:$I$100,MATCH(阵眼收益计算!$E165,技能数据库!$B$2:$B$100,0),MATCH(I$9,技能数据库!$B$2:$I$2,0))</f>
        <v>2.85625</v>
      </c>
      <c r="J165">
        <f ca="1">INDEX(技能数据库!$B$2:$I$100,MATCH(阵眼收益计算!$E165,技能数据库!$B$2:$B$100,0),MATCH(J$9,技能数据库!$B$2:$I$2,0))</f>
        <v>0</v>
      </c>
      <c r="K165">
        <f ca="1">INDEX(技能数据库!$B$2:$I$100,MATCH(阵眼收益计算!$E165,技能数据库!$B$2:$B$100,0),MATCH(K$9,技能数据库!$B$2:$I$2,0))</f>
        <v>0</v>
      </c>
      <c r="L165">
        <f ca="1" t="shared" si="387"/>
        <v>105847</v>
      </c>
      <c r="M165">
        <f ca="1" t="shared" si="619"/>
        <v>19530.5</v>
      </c>
      <c r="N165">
        <f ca="1" t="shared" si="620"/>
        <v>92028</v>
      </c>
      <c r="O165">
        <f ca="1" t="shared" si="554"/>
        <v>303829.99375</v>
      </c>
      <c r="P165">
        <f ca="1">IF(G165="恒定伤害",0,(IF(D165="轻剑",$AZ$2,$AZ$3)+IFERROR(INDEX(技能数据库!$T$2:$W$27,MATCH(E165,技能数据库!$T$2:$T$27,0),4),0)+COUNTIF(G165,"*造化2*")*154+COUNTIF(G165,"*造化1*")*102+COUNTIF(G165,"*碧归*")*307)/1024)</f>
        <v>0.116321271929785</v>
      </c>
      <c r="Q165">
        <f ca="1" t="shared" si="592"/>
        <v>0.448284482196154</v>
      </c>
      <c r="R165">
        <f ca="1" t="shared" si="555"/>
        <v>0.21277697966198</v>
      </c>
      <c r="S165">
        <f ca="1" t="shared" si="621"/>
        <v>386697.627911573</v>
      </c>
      <c r="T165">
        <f t="shared" si="600"/>
        <v>0.8</v>
      </c>
      <c r="U165">
        <f ca="1" t="shared" si="593"/>
        <v>1.7800129648</v>
      </c>
      <c r="V165">
        <f ca="1" t="shared" si="622"/>
        <v>860019.535241264</v>
      </c>
      <c r="W165">
        <f ca="1">IF(G165="恒定伤害",0,MIN(1,IF(COUNTIF(F165,"*内会*")&gt;0,内会2,IF(D165="轻剑",$Y$2,$Y$3)+COUNTIF(G165,"*莺鸣*")*0.2+COUNTIF(G165,"*叠1*")*0.1+COUNTIF(G165,"*叠2*")*0.2+COUNTIF(G165,"*叠3*")*0.3)+IFERROR(INDEX(技能数据库!$T$2:$W$27,MATCH(E165,技能数据库!$T$2:$T$27,0),2),0)+IF((IF(D165="轻剑",$AO$2,$AO$3)+INT(COUNTIF(G165,"*大莺鸣*")*IF(D165="轻剑",$AM$2,$AM$3)*听晓无双率)/无双系数)&gt;0.9,特效裤子会心/会心系数,0)))</f>
        <v>0.8043</v>
      </c>
      <c r="X165">
        <f ca="1">IF(G165="恒定伤害",0,IF(COUNTIF(F165,"*内会*")&gt;0,内会效2,IF(D165="轻剑",$AB$2,$AB$3))+IFERROR(INDEX(技能数据库!$T$2:$W$27,MATCH(E165,技能数据库!$T$2:$T$27,0),3)/1024,0))+COUNTIF(G165,"*叠1*")*0.25+COUNTIF(G165,"*叠2*")*0.5+COUNTIF(G165,"*叠3*")*0.75</f>
        <v>2.4212723116</v>
      </c>
      <c r="Y165">
        <f ca="1" t="shared" si="623"/>
        <v>2.14312932021988</v>
      </c>
      <c r="Z165">
        <f t="shared" si="560"/>
        <v>0.150390625</v>
      </c>
      <c r="AA165">
        <f ca="1" t="shared" si="624"/>
        <v>0.0205078125</v>
      </c>
      <c r="AB165">
        <f ca="1" t="shared" si="625"/>
        <v>2163806.20498256</v>
      </c>
      <c r="AC165">
        <f ca="1">技能数计算!$AJ157</f>
        <v>0</v>
      </c>
      <c r="AD165" s="164">
        <f ca="1" t="shared" si="563"/>
        <v>0</v>
      </c>
      <c r="AE165" s="168"/>
      <c r="AF165" s="168">
        <f ca="1" t="shared" ref="AF165:AF168" si="626">W165+IF(COUNTIF(F165,"*内会*")&gt;0,0,IF(D165="轻剑",$AF$8-$Y$2,$AF$9-$Y$3))</f>
        <v>0.8057</v>
      </c>
      <c r="AG165">
        <f ca="1">技能数计算!$AJ157</f>
        <v>0</v>
      </c>
      <c r="AH165">
        <f ca="1" t="shared" si="389"/>
        <v>109879</v>
      </c>
      <c r="AJ165">
        <f ca="1" t="shared" ref="AJ165:AJ168" si="627">X165+IF(COUNTIF(F165,"*内会*")&gt;0,0,IF(D165="轻剑",$AJ$8-$AB$2,$AJ$9-$AB$3))</f>
        <v>2.6204910616</v>
      </c>
      <c r="AK165">
        <f ca="1" t="shared" si="564"/>
        <v>315346.39375</v>
      </c>
      <c r="AL165">
        <f ca="1" t="shared" si="391"/>
        <v>2416774.77155271</v>
      </c>
      <c r="AM165" s="169">
        <f ca="1" t="shared" ref="AM165:AM168" si="628">W165+IF(COUNTIF(F165,"*内会*")&gt;0,0,IF(D165="轻剑",$AN$8-$Y$2,$AN$9-$Y$3))</f>
        <v>0.8272</v>
      </c>
      <c r="AN165">
        <f ca="1">技能数计算!$AJ157</f>
        <v>0</v>
      </c>
      <c r="AO165" s="170">
        <f ca="1" t="shared" si="393"/>
        <v>2453294.85240689</v>
      </c>
      <c r="AP165">
        <f ca="1" t="shared" si="394"/>
        <v>110956</v>
      </c>
      <c r="AQ165" s="170">
        <f ca="1" t="shared" si="565"/>
        <v>318422.575</v>
      </c>
      <c r="AR165">
        <f ca="1" t="shared" si="566"/>
        <v>2400773.33584249</v>
      </c>
      <c r="AS165">
        <f ca="1" t="shared" ref="AS165:AS168" si="629">W165+IF(COUNTIF(F165,"*内会*")&gt;0,0,IF(D165="轻剑",$AS$8-$Y$2,$AS$9-$Y$3))</f>
        <v>0.8843</v>
      </c>
      <c r="AT165">
        <f ca="1">技能数计算!$AJ157</f>
        <v>0</v>
      </c>
      <c r="AU165">
        <f ca="1" t="shared" ref="AU165:AU168" si="630">X165+IF(COUNTIF(F165,"*内会*")&gt;0,0,IF(D165="轻剑",$AU$8-$AB$2,$AU$9-$AB$3))</f>
        <v>2.5677566866</v>
      </c>
      <c r="AV165">
        <f ca="1" t="shared" si="594"/>
        <v>1.7995442148</v>
      </c>
      <c r="AW165">
        <f ca="1" t="shared" si="416"/>
        <v>2426318.28778417</v>
      </c>
      <c r="AX165">
        <f ca="1" t="shared" ref="AX165:AX168" si="631">$W165+IF(COUNTIF(F165,"*内会*")&gt;0,0,IF(I165="轻剑",AX$8-$Y$2,AX$9-$Y$3))</f>
        <v>0.8743</v>
      </c>
      <c r="AY165">
        <f ca="1">技能数计算!$AJ157</f>
        <v>0</v>
      </c>
      <c r="AZ165" s="170">
        <f ca="1" t="shared" si="417"/>
        <v>2410378.25701697</v>
      </c>
      <c r="BA165">
        <f ca="1" t="shared" ref="BA165:BA168" si="632">$W165+IF(COUNTIF(F165,"*内会*")&gt;0,0,IF(L165="轻剑",BA$8-$Y$2,BA$9-$Y$3))</f>
        <v>0.8643</v>
      </c>
      <c r="BB165">
        <f ca="1">技能数计算!$AJ157</f>
        <v>0</v>
      </c>
      <c r="BC165" s="170">
        <f ca="1" t="shared" si="418"/>
        <v>2394438.22624976</v>
      </c>
      <c r="BE165">
        <f ca="1" t="shared" si="400"/>
        <v>105849</v>
      </c>
      <c r="BF165">
        <f ca="1" t="shared" si="567"/>
        <v>303835.70625</v>
      </c>
      <c r="BI165">
        <f ca="1" t="shared" ref="BI165:BI168" si="633">$W165+IF(COUNTIF(F165,"*内会*")&gt;0,0,IF(T165="轻剑",BI$8-$Y$2,BI$9-$Y$3))</f>
        <v>0.8543</v>
      </c>
      <c r="BJ165">
        <f ca="1">技能数计算!$AJ157</f>
        <v>0</v>
      </c>
      <c r="BK165">
        <f ca="1" t="shared" si="402"/>
        <v>2386044.6543093</v>
      </c>
      <c r="BM165">
        <f ca="1" t="shared" si="403"/>
        <v>109230</v>
      </c>
      <c r="BN165">
        <f ca="1" t="shared" si="568"/>
        <v>313492.6875</v>
      </c>
      <c r="BO165">
        <f ca="1" t="shared" si="569"/>
        <v>2411196.78846115</v>
      </c>
      <c r="BP165">
        <f ca="1" t="shared" si="595"/>
        <v>2299419.32738948</v>
      </c>
      <c r="BR165">
        <f ca="1" t="shared" ref="BR165:BR168" si="634">$W165+IF(T165="轻剑",BI$8-$Y$2,BI$9-$Y$3)</f>
        <v>0.8543</v>
      </c>
      <c r="BS165">
        <f ca="1" t="shared" si="406"/>
        <v>2392355.80005306</v>
      </c>
      <c r="BT165">
        <f ca="1" t="shared" si="570"/>
        <v>0.196995876306796</v>
      </c>
      <c r="BU165">
        <f ca="1" t="shared" ref="BU165:BU168" si="635">X165+IF(D165="轻剑",$AU$8-$AB$2,$AU$9-$AB$3)</f>
        <v>2.5677566866</v>
      </c>
      <c r="BV165">
        <f ca="1" t="shared" si="419"/>
        <v>2409252.4355475</v>
      </c>
      <c r="BW165">
        <f ca="1" t="shared" si="408"/>
        <v>113027</v>
      </c>
      <c r="BX165">
        <f ca="1" t="shared" si="571"/>
        <v>324337.86875</v>
      </c>
      <c r="BY165">
        <f ca="1" t="shared" ref="BY165:BY168" si="636">$W165+IF(COUNTIF(F165,"*内会*")&gt;0,0,IF(AI165="轻剑",BY$8-$Y$2,BY$9-$Y$3))</f>
        <v>0.8343</v>
      </c>
      <c r="BZ165">
        <f ca="1">技能数计算!$AJ157</f>
        <v>0</v>
      </c>
      <c r="CA165">
        <f ca="1" t="shared" ref="CA165:CA168" si="637">X165+IF(COUNTIF(F165,"*内会*")&gt;0,0,IF(D165="轻剑",$CA$8-$AB$2,$CA$9-$AB$3))</f>
        <v>2.5716629366</v>
      </c>
      <c r="CB165">
        <f ca="1" t="shared" si="420"/>
        <v>2491045.95803852</v>
      </c>
      <c r="CC165">
        <f ca="1" t="shared" si="411"/>
        <v>114847</v>
      </c>
      <c r="CD165">
        <f ca="1" t="shared" si="572"/>
        <v>329536.24375</v>
      </c>
      <c r="CE165">
        <f ca="1" t="shared" si="412"/>
        <v>2465185.09755362</v>
      </c>
      <c r="CF165">
        <f ca="1" t="shared" ref="CF165:CF168" si="638">X165+IF(COUNTIF(F165,"*内会*")&gt;0,0,IF(D165="轻剑",$CF$8-$AB$2,$CF$9-$AB$3))</f>
        <v>2.5189285616</v>
      </c>
      <c r="CG165">
        <f ca="1" t="shared" ref="CG165:CG168" si="639">$W165+IF(AI165="轻剑",BY$8-$Y$2,BY$9-$Y$3)</f>
        <v>0.8343</v>
      </c>
      <c r="CH165">
        <f ca="1" t="shared" si="421"/>
        <v>2305198.83109064</v>
      </c>
      <c r="CJ165">
        <f ca="1" t="shared" si="573"/>
        <v>313492.6875</v>
      </c>
      <c r="CK165">
        <f ca="1" t="shared" si="574"/>
        <v>2400274.19842356</v>
      </c>
      <c r="CL165">
        <f ca="1" t="shared" si="575"/>
        <v>2.5415848116</v>
      </c>
      <c r="CM165">
        <f ca="1">IF(G165="恒定伤害",0,(IF(D165="轻剑",$CM$8,$CM$9)+IFERROR(INDEX(技能数据库!$T$2:$W$27,MATCH(E165,技能数据库!$T$2:$T$27,0),4),0)+COUNTIF(G165,"*造化2*")*154+COUNTIF(G165,"*造化1*")*102+COUNTIF(G165,"*碧归*")*307)/1024)</f>
        <v>0.176868146929785</v>
      </c>
      <c r="CN165">
        <f ca="1" t="shared" si="422"/>
        <v>2450488.80859067</v>
      </c>
      <c r="CO165">
        <f ca="1" t="shared" si="576"/>
        <v>2.5656473116</v>
      </c>
      <c r="CP165">
        <f ca="1" t="shared" si="423"/>
        <v>2472007.31342032</v>
      </c>
      <c r="CQ165">
        <f ca="1" t="shared" si="596"/>
        <v>1.8815754648</v>
      </c>
      <c r="CR165">
        <f ca="1">IF(G165="恒定伤害",0,(IF(D165="轻剑",$CR$8,$CR$9)+IFERROR(INDEX(技能数据库!$T$2:$W$27,MATCH(E165,技能数据库!$T$2:$T$27,0),4),0)+COUNTIF(G165,"*造化2*")*154+COUNTIF(G165,"*造化1*")*102+COUNTIF(G165,"*碧归*")*307)/1024)</f>
        <v>0.167102521929785</v>
      </c>
      <c r="CS165">
        <f ca="1" t="shared" si="577"/>
        <v>2344883.90277088</v>
      </c>
    </row>
    <row r="166" spans="4:97">
      <c r="D166" t="s">
        <v>1825</v>
      </c>
      <c r="E166" t="s">
        <v>2798</v>
      </c>
      <c r="G166" t="s">
        <v>3109</v>
      </c>
      <c r="H166">
        <f ca="1">INDEX(技能数据库!$B$2:$I$100,MATCH(阵眼收益计算!$E166,技能数据库!$B$2:$B$100,0),MATCH(H$9,技能数据库!$B$2:$I$2,0))</f>
        <v>1504.5</v>
      </c>
      <c r="I166">
        <f ca="1">INDEX(技能数据库!$B$2:$I$100,MATCH(阵眼收益计算!$E166,技能数据库!$B$2:$B$100,0),MATCH(I$9,技能数据库!$B$2:$I$2,0))</f>
        <v>2.85625</v>
      </c>
      <c r="J166">
        <f ca="1">INDEX(技能数据库!$B$2:$I$100,MATCH(阵眼收益计算!$E166,技能数据库!$B$2:$B$100,0),MATCH(J$9,技能数据库!$B$2:$I$2,0))</f>
        <v>0</v>
      </c>
      <c r="K166">
        <f ca="1">INDEX(技能数据库!$B$2:$I$100,MATCH(阵眼收益计算!$E166,技能数据库!$B$2:$B$100,0),MATCH(K$9,技能数据库!$B$2:$I$2,0))</f>
        <v>0</v>
      </c>
      <c r="L166">
        <f ca="1" t="shared" si="387"/>
        <v>105847</v>
      </c>
      <c r="M166">
        <f ca="1" t="shared" si="619"/>
        <v>19530.5</v>
      </c>
      <c r="N166">
        <f ca="1" t="shared" si="620"/>
        <v>92028</v>
      </c>
      <c r="O166">
        <f ca="1" t="shared" si="554"/>
        <v>303829.99375</v>
      </c>
      <c r="P166">
        <f ca="1">IF(G166="恒定伤害",0,(IF(D166="轻剑",$AZ$2,$AZ$3)+IFERROR(INDEX(技能数据库!$T$2:$W$27,MATCH(E166,技能数据库!$T$2:$T$27,0),4),0)+COUNTIF(G166,"*造化2*")*154+COUNTIF(G166,"*造化1*")*102+COUNTIF(G166,"*碧归*")*307)/1024)</f>
        <v>0.116321271929785</v>
      </c>
      <c r="Q166">
        <f ca="1" t="shared" si="592"/>
        <v>0.448284482196154</v>
      </c>
      <c r="R166">
        <f ca="1" t="shared" si="555"/>
        <v>0.21277697966198</v>
      </c>
      <c r="S166">
        <f ca="1" t="shared" si="621"/>
        <v>386697.627911573</v>
      </c>
      <c r="T166">
        <f t="shared" si="600"/>
        <v>0.8</v>
      </c>
      <c r="U166">
        <f ca="1" t="shared" si="593"/>
        <v>1.7800129648</v>
      </c>
      <c r="V166">
        <f ca="1" t="shared" si="622"/>
        <v>860019.535241264</v>
      </c>
      <c r="W166">
        <f ca="1">IF(G166="恒定伤害",0,MIN(1,IF(COUNTIF(F166,"*内会*")&gt;0,内会2,IF(D166="轻剑",$Y$2,$Y$3)+COUNTIF(G166,"*莺鸣*")*0.2+COUNTIF(G166,"*叠1*")*0.1+COUNTIF(G166,"*叠2*")*0.2+COUNTIF(G166,"*叠3*")*0.3)+IFERROR(INDEX(技能数据库!$T$2:$W$27,MATCH(E166,技能数据库!$T$2:$T$27,0),2),0)+IF((IF(D166="轻剑",$AO$2,$AO$3)+INT(COUNTIF(G166,"*大莺鸣*")*IF(D166="轻剑",$AM$2,$AM$3)*听晓无双率)/无双系数)&gt;0.9,特效裤子会心/会心系数,0)))</f>
        <v>0.9043</v>
      </c>
      <c r="X166">
        <f ca="1">IF(G166="恒定伤害",0,IF(COUNTIF(F166,"*内会*")&gt;0,内会效2,IF(D166="轻剑",$AB$2,$AB$3))+IFERROR(INDEX(技能数据库!$T$2:$W$27,MATCH(E166,技能数据库!$T$2:$T$27,0),3)/1024,0))+COUNTIF(G166,"*叠1*")*0.25+COUNTIF(G166,"*叠2*")*0.5+COUNTIF(G166,"*叠3*")*0.75</f>
        <v>2.6712723116</v>
      </c>
      <c r="Y166">
        <f ca="1" t="shared" si="623"/>
        <v>2.51133155137988</v>
      </c>
      <c r="Z166">
        <f t="shared" si="560"/>
        <v>0.150390625</v>
      </c>
      <c r="AA166">
        <f ca="1" t="shared" si="624"/>
        <v>0.0205078125</v>
      </c>
      <c r="AB166">
        <f ca="1" t="shared" si="625"/>
        <v>2535560.84664398</v>
      </c>
      <c r="AC166">
        <f ca="1">技能数计算!$AJ158</f>
        <v>0</v>
      </c>
      <c r="AD166" s="164">
        <f ca="1" t="shared" si="563"/>
        <v>0</v>
      </c>
      <c r="AE166" s="168"/>
      <c r="AF166" s="168">
        <f ca="1" t="shared" si="626"/>
        <v>0.9057</v>
      </c>
      <c r="AG166">
        <f ca="1">技能数计算!$AJ158</f>
        <v>0</v>
      </c>
      <c r="AH166">
        <f ca="1" t="shared" si="389"/>
        <v>109879</v>
      </c>
      <c r="AJ166">
        <f ca="1" t="shared" si="627"/>
        <v>2.8704910616</v>
      </c>
      <c r="AK166">
        <f ca="1" t="shared" si="564"/>
        <v>315346.39375</v>
      </c>
      <c r="AL166">
        <f ca="1" t="shared" si="391"/>
        <v>2823975.65043131</v>
      </c>
      <c r="AM166" s="169">
        <f ca="1" t="shared" si="628"/>
        <v>0.9272</v>
      </c>
      <c r="AN166">
        <f ca="1">技能数计算!$AJ158</f>
        <v>0</v>
      </c>
      <c r="AO166" s="170">
        <f ca="1" t="shared" si="393"/>
        <v>2866129.83839653</v>
      </c>
      <c r="AP166">
        <f ca="1" t="shared" si="394"/>
        <v>110956</v>
      </c>
      <c r="AQ166" s="170">
        <f ca="1" t="shared" si="565"/>
        <v>318422.575</v>
      </c>
      <c r="AR166">
        <f ca="1" t="shared" si="566"/>
        <v>2813240.32531747</v>
      </c>
      <c r="AS166">
        <f ca="1" t="shared" si="629"/>
        <v>0.9843</v>
      </c>
      <c r="AT166">
        <f ca="1">技能数计算!$AJ158</f>
        <v>0</v>
      </c>
      <c r="AU166">
        <f ca="1" t="shared" si="630"/>
        <v>2.8177566866</v>
      </c>
      <c r="AV166">
        <f ca="1" t="shared" si="594"/>
        <v>1.7995442148</v>
      </c>
      <c r="AW166">
        <f ca="1" t="shared" si="416"/>
        <v>2835913.22735066</v>
      </c>
      <c r="AX166">
        <f ca="1" t="shared" si="631"/>
        <v>0.9743</v>
      </c>
      <c r="AY166">
        <f ca="1">技能数计算!$AJ158</f>
        <v>0</v>
      </c>
      <c r="AZ166" s="170">
        <f ca="1" t="shared" si="417"/>
        <v>2817431.34316586</v>
      </c>
      <c r="BA166">
        <f ca="1" t="shared" si="632"/>
        <v>0.9643</v>
      </c>
      <c r="BB166">
        <f ca="1">技能数计算!$AJ158</f>
        <v>0</v>
      </c>
      <c r="BC166" s="170">
        <f ca="1" t="shared" si="418"/>
        <v>2798949.45898105</v>
      </c>
      <c r="BE166">
        <f ca="1" t="shared" si="400"/>
        <v>105849</v>
      </c>
      <c r="BF166">
        <f ca="1" t="shared" si="567"/>
        <v>303835.70625</v>
      </c>
      <c r="BI166">
        <f ca="1" t="shared" si="633"/>
        <v>0.9543</v>
      </c>
      <c r="BJ166">
        <f ca="1">技能数计算!$AJ158</f>
        <v>0</v>
      </c>
      <c r="BK166">
        <f ca="1" t="shared" si="402"/>
        <v>2796294.59633379</v>
      </c>
      <c r="BM166">
        <f ca="1" t="shared" si="403"/>
        <v>109230</v>
      </c>
      <c r="BN166">
        <f ca="1" t="shared" si="568"/>
        <v>313492.6875</v>
      </c>
      <c r="BO166">
        <f ca="1" t="shared" si="569"/>
        <v>2825454.58844595</v>
      </c>
      <c r="BP166">
        <f ca="1" t="shared" si="595"/>
        <v>2694473.10166679</v>
      </c>
      <c r="BR166">
        <f ca="1" t="shared" si="634"/>
        <v>0.9543</v>
      </c>
      <c r="BS166">
        <f ca="1" t="shared" si="406"/>
        <v>2803690.86308349</v>
      </c>
      <c r="BT166">
        <f ca="1" t="shared" si="570"/>
        <v>0.196995876306796</v>
      </c>
      <c r="BU166">
        <f ca="1" t="shared" si="635"/>
        <v>2.8177566866</v>
      </c>
      <c r="BV166">
        <f ca="1" t="shared" si="419"/>
        <v>2816419.32260521</v>
      </c>
      <c r="BW166">
        <f ca="1" t="shared" si="408"/>
        <v>113027</v>
      </c>
      <c r="BX166">
        <f ca="1" t="shared" si="571"/>
        <v>324337.86875</v>
      </c>
      <c r="BY166">
        <f ca="1" t="shared" si="636"/>
        <v>0.9343</v>
      </c>
      <c r="BZ166">
        <f ca="1">技能数计算!$AJ158</f>
        <v>0</v>
      </c>
      <c r="CA166">
        <f ca="1" t="shared" si="637"/>
        <v>2.8216629366</v>
      </c>
      <c r="CB166">
        <f ca="1" t="shared" si="420"/>
        <v>2912185.77869134</v>
      </c>
      <c r="CC166">
        <f ca="1" t="shared" si="411"/>
        <v>114847</v>
      </c>
      <c r="CD166">
        <f ca="1" t="shared" si="572"/>
        <v>329536.24375</v>
      </c>
      <c r="CE166">
        <f ca="1" t="shared" si="412"/>
        <v>2888915.22703614</v>
      </c>
      <c r="CF166">
        <f ca="1" t="shared" si="638"/>
        <v>2.7689285616</v>
      </c>
      <c r="CG166">
        <f ca="1" t="shared" si="639"/>
        <v>0.9343</v>
      </c>
      <c r="CH166">
        <f ca="1" t="shared" si="421"/>
        <v>2697119.94611288</v>
      </c>
      <c r="CJ166">
        <f ca="1" t="shared" si="573"/>
        <v>313492.6875</v>
      </c>
      <c r="CK166">
        <f ca="1" t="shared" si="574"/>
        <v>2812655.43315216</v>
      </c>
      <c r="CL166">
        <f ca="1" t="shared" si="575"/>
        <v>2.7915848116</v>
      </c>
      <c r="CM166">
        <f ca="1">IF(G166="恒定伤害",0,(IF(D166="轻剑",$CM$8,$CM$9)+IFERROR(INDEX(技能数据库!$T$2:$W$27,MATCH(E166,技能数据库!$T$2:$T$27,0),4),0)+COUNTIF(G166,"*造化2*")*154+COUNTIF(G166,"*造化1*")*102+COUNTIF(G166,"*碧归*")*307)/1024)</f>
        <v>0.176868146929785</v>
      </c>
      <c r="CN166">
        <f ca="1" t="shared" si="422"/>
        <v>2866095.38005782</v>
      </c>
      <c r="CO166">
        <f ca="1" t="shared" si="576"/>
        <v>2.8156473116</v>
      </c>
      <c r="CP166">
        <f ca="1" t="shared" si="423"/>
        <v>2890193.11356177</v>
      </c>
      <c r="CQ166">
        <f ca="1" t="shared" si="596"/>
        <v>1.8815754648</v>
      </c>
      <c r="CR166">
        <f ca="1">IF(G166="恒定伤害",0,(IF(D166="轻剑",$CR$8,$CR$9)+IFERROR(INDEX(技能数据库!$T$2:$W$27,MATCH(E166,技能数据库!$T$2:$T$27,0),4),0)+COUNTIF(G166,"*造化2*")*154+COUNTIF(G166,"*造化1*")*102+COUNTIF(G166,"*碧归*")*307)/1024)</f>
        <v>0.167102521929785</v>
      </c>
      <c r="CS166">
        <f ca="1" t="shared" si="577"/>
        <v>2747748.75869233</v>
      </c>
    </row>
    <row r="167" spans="4:97">
      <c r="D167" t="s">
        <v>1825</v>
      </c>
      <c r="E167" t="s">
        <v>2798</v>
      </c>
      <c r="G167" t="s">
        <v>3110</v>
      </c>
      <c r="H167">
        <f ca="1">INDEX(技能数据库!$B$2:$I$100,MATCH(阵眼收益计算!$E167,技能数据库!$B$2:$B$100,0),MATCH(H$9,技能数据库!$B$2:$I$2,0))</f>
        <v>1504.5</v>
      </c>
      <c r="I167">
        <f ca="1">INDEX(技能数据库!$B$2:$I$100,MATCH(阵眼收益计算!$E167,技能数据库!$B$2:$B$100,0),MATCH(I$9,技能数据库!$B$2:$I$2,0))</f>
        <v>2.85625</v>
      </c>
      <c r="J167">
        <f ca="1">INDEX(技能数据库!$B$2:$I$100,MATCH(阵眼收益计算!$E167,技能数据库!$B$2:$B$100,0),MATCH(J$9,技能数据库!$B$2:$I$2,0))</f>
        <v>0</v>
      </c>
      <c r="K167">
        <f ca="1">INDEX(技能数据库!$B$2:$I$100,MATCH(阵眼收益计算!$E167,技能数据库!$B$2:$B$100,0),MATCH(K$9,技能数据库!$B$2:$I$2,0))</f>
        <v>0</v>
      </c>
      <c r="L167">
        <f ca="1" t="shared" si="387"/>
        <v>105847</v>
      </c>
      <c r="M167">
        <f ca="1" t="shared" si="619"/>
        <v>19530.5</v>
      </c>
      <c r="N167">
        <f ca="1" t="shared" si="620"/>
        <v>92028</v>
      </c>
      <c r="O167">
        <f ca="1" t="shared" si="554"/>
        <v>303829.99375</v>
      </c>
      <c r="P167">
        <f ca="1">IF(G167="恒定伤害",0,(IF(D167="轻剑",$AZ$2,$AZ$3)+IFERROR(INDEX(技能数据库!$T$2:$W$27,MATCH(E167,技能数据库!$T$2:$T$27,0),4),0)+COUNTIF(G167,"*造化2*")*154+COUNTIF(G167,"*造化1*")*102+COUNTIF(G167,"*碧归*")*307)/1024)</f>
        <v>0.116321271929785</v>
      </c>
      <c r="Q167">
        <f ca="1" t="shared" si="592"/>
        <v>0.448284482196154</v>
      </c>
      <c r="R167">
        <f ca="1" t="shared" si="555"/>
        <v>0.21277697966198</v>
      </c>
      <c r="S167">
        <f ca="1" t="shared" si="621"/>
        <v>386697.627911573</v>
      </c>
      <c r="T167">
        <f t="shared" si="600"/>
        <v>0.8</v>
      </c>
      <c r="U167">
        <f ca="1" t="shared" si="593"/>
        <v>1.7800129648</v>
      </c>
      <c r="V167">
        <f ca="1" t="shared" si="622"/>
        <v>860019.535241264</v>
      </c>
      <c r="W167">
        <f ca="1">IF(G167="恒定伤害",0,MIN(1,IF(COUNTIF(F167,"*内会*")&gt;0,内会2,IF(D167="轻剑",$Y$2,$Y$3)+COUNTIF(G167,"*莺鸣*")*0.2+COUNTIF(G167,"*叠1*")*0.1+COUNTIF(G167,"*叠2*")*0.2+COUNTIF(G167,"*叠3*")*0.3)+IFERROR(INDEX(技能数据库!$T$2:$W$27,MATCH(E167,技能数据库!$T$2:$T$27,0),2),0)+IF((IF(D167="轻剑",$AO$2,$AO$3)+INT(COUNTIF(G167,"*大莺鸣*")*IF(D167="轻剑",$AM$2,$AM$3)*听晓无双率)/无双系数)&gt;0.9,特效裤子会心/会心系数,0)))</f>
        <v>1</v>
      </c>
      <c r="X167">
        <f ca="1">IF(G167="恒定伤害",0,IF(COUNTIF(F167,"*内会*")&gt;0,内会效2,IF(D167="轻剑",$AB$2,$AB$3))+IFERROR(INDEX(技能数据库!$T$2:$W$27,MATCH(E167,技能数据库!$T$2:$T$27,0),3)/1024,0))+COUNTIF(G167,"*叠1*")*0.25+COUNTIF(G167,"*叠2*")*0.5+COUNTIF(G167,"*叠3*")*0.75</f>
        <v>2.9212723116</v>
      </c>
      <c r="Y167">
        <f ca="1" t="shared" si="623"/>
        <v>2.9212723116</v>
      </c>
      <c r="Z167">
        <f t="shared" si="560"/>
        <v>0.150390625</v>
      </c>
      <c r="AA167">
        <f ca="1" t="shared" si="624"/>
        <v>0.0205078125</v>
      </c>
      <c r="AB167">
        <f ca="1" t="shared" si="625"/>
        <v>2949456.71016964</v>
      </c>
      <c r="AC167" s="171">
        <f ca="1">技能数计算!$AJ159</f>
        <v>2</v>
      </c>
      <c r="AD167" s="164">
        <f ca="1" t="shared" si="563"/>
        <v>0.00211484477723322</v>
      </c>
      <c r="AE167" s="168"/>
      <c r="AF167" s="168">
        <f ca="1" t="shared" si="626"/>
        <v>1.0014</v>
      </c>
      <c r="AG167" s="171">
        <f ca="1">技能数计算!$AJ159</f>
        <v>2</v>
      </c>
      <c r="AH167">
        <f ca="1" t="shared" si="389"/>
        <v>109879</v>
      </c>
      <c r="AJ167">
        <f ca="1" t="shared" si="627"/>
        <v>3.1204910616</v>
      </c>
      <c r="AK167">
        <f ca="1" t="shared" si="564"/>
        <v>315346.39375</v>
      </c>
      <c r="AL167">
        <f ca="1" t="shared" si="391"/>
        <v>3270917.37304358</v>
      </c>
      <c r="AM167" s="169">
        <f ca="1" t="shared" si="628"/>
        <v>1.0229</v>
      </c>
      <c r="AN167" s="171">
        <f ca="1">技能数计算!$AJ159</f>
        <v>2</v>
      </c>
      <c r="AO167" s="170">
        <f ca="1" t="shared" si="393"/>
        <v>3270917.37304358</v>
      </c>
      <c r="AP167">
        <f ca="1" t="shared" si="394"/>
        <v>110956</v>
      </c>
      <c r="AQ167" s="170">
        <f ca="1" t="shared" si="565"/>
        <v>318422.575</v>
      </c>
      <c r="AR167">
        <f ca="1" t="shared" si="566"/>
        <v>3272463.59155998</v>
      </c>
      <c r="AS167">
        <f ca="1" t="shared" si="629"/>
        <v>1.08</v>
      </c>
      <c r="AT167" s="171">
        <f ca="1">技能数计算!$AJ159</f>
        <v>2</v>
      </c>
      <c r="AU167">
        <f ca="1" t="shared" si="630"/>
        <v>3.0677566866</v>
      </c>
      <c r="AV167">
        <f ca="1" t="shared" si="594"/>
        <v>1.7995442148</v>
      </c>
      <c r="AW167">
        <f ca="1" t="shared" si="416"/>
        <v>3119115.1272809</v>
      </c>
      <c r="AX167">
        <f ca="1" t="shared" si="631"/>
        <v>1.07</v>
      </c>
      <c r="AY167" s="171">
        <f ca="1">技能数计算!$AJ159</f>
        <v>2</v>
      </c>
      <c r="AZ167" s="170">
        <f ca="1" t="shared" si="417"/>
        <v>3119115.1272809</v>
      </c>
      <c r="BA167">
        <f ca="1" t="shared" si="632"/>
        <v>1.06</v>
      </c>
      <c r="BB167" s="171">
        <f ca="1">技能数计算!$AJ159</f>
        <v>2</v>
      </c>
      <c r="BC167" s="170">
        <f ca="1" t="shared" si="418"/>
        <v>3119115.1272809</v>
      </c>
      <c r="BE167">
        <f ca="1" t="shared" si="400"/>
        <v>105849</v>
      </c>
      <c r="BF167">
        <f ca="1" t="shared" si="567"/>
        <v>303835.70625</v>
      </c>
      <c r="BI167">
        <f ca="1" t="shared" si="633"/>
        <v>1.05</v>
      </c>
      <c r="BJ167" s="171">
        <f ca="1">技能数计算!$AJ159</f>
        <v>2</v>
      </c>
      <c r="BK167">
        <f ca="1" t="shared" si="402"/>
        <v>3148003.08057027</v>
      </c>
      <c r="BM167">
        <f ca="1" t="shared" si="403"/>
        <v>109230</v>
      </c>
      <c r="BN167">
        <f ca="1" t="shared" si="568"/>
        <v>313492.6875</v>
      </c>
      <c r="BO167">
        <f ca="1" t="shared" si="569"/>
        <v>3286671.66721778</v>
      </c>
      <c r="BP167">
        <f ca="1" t="shared" si="595"/>
        <v>3134309.23205867</v>
      </c>
      <c r="BR167">
        <f ca="1" t="shared" si="634"/>
        <v>1.05</v>
      </c>
      <c r="BS167">
        <f ca="1" t="shared" si="406"/>
        <v>3156329.62475603</v>
      </c>
      <c r="BT167">
        <f ca="1" t="shared" si="570"/>
        <v>0.196995876306796</v>
      </c>
      <c r="BU167">
        <f ca="1" t="shared" si="635"/>
        <v>3.0677566866</v>
      </c>
      <c r="BV167">
        <f ca="1" t="shared" si="419"/>
        <v>3159445.62473377</v>
      </c>
      <c r="BW167">
        <f ca="1" t="shared" si="408"/>
        <v>113027</v>
      </c>
      <c r="BX167">
        <f ca="1" t="shared" si="571"/>
        <v>324337.86875</v>
      </c>
      <c r="BY167">
        <f ca="1" t="shared" si="636"/>
        <v>1.03</v>
      </c>
      <c r="BZ167" s="171">
        <f ca="1">技能数计算!$AJ159</f>
        <v>2</v>
      </c>
      <c r="CA167">
        <f ca="1" t="shared" si="637"/>
        <v>3.0716629366</v>
      </c>
      <c r="CB167">
        <f ca="1" t="shared" si="420"/>
        <v>3310629.30694813</v>
      </c>
      <c r="CC167">
        <f ca="1" t="shared" si="411"/>
        <v>114847</v>
      </c>
      <c r="CD167">
        <f ca="1" t="shared" si="572"/>
        <v>329536.24375</v>
      </c>
      <c r="CE167">
        <f ca="1" t="shared" si="412"/>
        <v>3294713.18556214</v>
      </c>
      <c r="CF167">
        <f ca="1" t="shared" si="638"/>
        <v>3.0189285616</v>
      </c>
      <c r="CG167">
        <f ca="1" t="shared" si="639"/>
        <v>1.03</v>
      </c>
      <c r="CH167">
        <f ca="1" t="shared" si="421"/>
        <v>3069469.55271838</v>
      </c>
      <c r="CJ167">
        <f ca="1" t="shared" si="573"/>
        <v>313492.6875</v>
      </c>
      <c r="CK167">
        <f ca="1" t="shared" si="574"/>
        <v>3271783.22369424</v>
      </c>
      <c r="CL167">
        <f ca="1" t="shared" si="575"/>
        <v>3.0415848116</v>
      </c>
      <c r="CM167">
        <f ca="1">IF(G167="恒定伤害",0,(IF(D167="轻剑",$CM$8,$CM$9)+IFERROR(INDEX(技能数据库!$T$2:$W$27,MATCH(E167,技能数据库!$T$2:$T$27,0),4),0)+COUNTIF(G167,"*造化2*")*154+COUNTIF(G167,"*造化1*")*102+COUNTIF(G167,"*碧归*")*307)/1024)</f>
        <v>0.176868146929785</v>
      </c>
      <c r="CN167">
        <f ca="1" t="shared" si="422"/>
        <v>3260235.95278325</v>
      </c>
      <c r="CO167">
        <f ca="1" t="shared" si="576"/>
        <v>3.0656473116</v>
      </c>
      <c r="CP167">
        <f ca="1" t="shared" si="423"/>
        <v>3286028.23952622</v>
      </c>
      <c r="CQ167">
        <f ca="1" t="shared" si="596"/>
        <v>1.8815754648</v>
      </c>
      <c r="CR167">
        <f ca="1">IF(G167="恒定伤害",0,(IF(D167="轻剑",$CR$8,$CR$9)+IFERROR(INDEX(技能数据库!$T$2:$W$27,MATCH(E167,技能数据库!$T$2:$T$27,0),4),0)+COUNTIF(G167,"*造化2*")*154+COUNTIF(G167,"*造化1*")*102+COUNTIF(G167,"*碧归*")*307)/1024)</f>
        <v>0.167102521929785</v>
      </c>
      <c r="CS167">
        <f ca="1" t="shared" si="577"/>
        <v>3196281.41636284</v>
      </c>
    </row>
    <row r="168" spans="4:97">
      <c r="D168" t="s">
        <v>1825</v>
      </c>
      <c r="E168" t="s">
        <v>2801</v>
      </c>
      <c r="G168" t="s">
        <v>3108</v>
      </c>
      <c r="H168">
        <f ca="1">INDEX(技能数据库!$B$2:$I$100,MATCH(阵眼收益计算!$E168,技能数据库!$B$2:$B$100,0),MATCH(H$9,技能数据库!$B$2:$I$2,0))</f>
        <v>291</v>
      </c>
      <c r="I168">
        <f ca="1">INDEX(技能数据库!$B$2:$I$100,MATCH(阵眼收益计算!$E168,技能数据库!$B$2:$B$100,0),MATCH(I$9,技能数据库!$B$2:$I$2,0))</f>
        <v>1.8875</v>
      </c>
      <c r="J168">
        <f ca="1">INDEX(技能数据库!$B$2:$I$100,MATCH(阵眼收益计算!$E168,技能数据库!$B$2:$B$100,0),MATCH(J$9,技能数据库!$B$2:$I$2,0))</f>
        <v>2</v>
      </c>
      <c r="K168">
        <f ca="1">INDEX(技能数据库!$B$2:$I$100,MATCH(阵眼收益计算!$E168,技能数据库!$B$2:$B$100,0),MATCH(K$9,技能数据库!$B$2:$I$2,0))</f>
        <v>0</v>
      </c>
      <c r="L168">
        <f ca="1" t="shared" si="387"/>
        <v>105847</v>
      </c>
      <c r="M168">
        <f ca="1" t="shared" ref="M168:M171" si="640">IF(D168="轻剑",$AU$2+$AV$2,$AU$3+$AV$3)/2</f>
        <v>19530.5</v>
      </c>
      <c r="N168">
        <f ca="1" t="shared" ref="N168:N171" si="641">IF(D168="轻剑",$AJ$2,$AJ$3)</f>
        <v>92028</v>
      </c>
      <c r="O168">
        <f ca="1" t="shared" si="554"/>
        <v>239138.2125</v>
      </c>
      <c r="P168">
        <f ca="1">IF(G168="恒定伤害",0,(IF(D168="轻剑",$AZ$2,$AZ$3)+IFERROR(INDEX(技能数据库!$T$2:$W$27,MATCH(E168,技能数据库!$T$2:$T$27,0),4),0)+COUNTIF(G168,"*造化2*")*154+COUNTIF(G168,"*造化1*")*102+COUNTIF(G168,"*碧归*")*307)/1024)</f>
        <v>0.116321271929785</v>
      </c>
      <c r="Q168">
        <f ca="1" t="shared" si="592"/>
        <v>0.448284482196154</v>
      </c>
      <c r="R168">
        <f ca="1" t="shared" si="555"/>
        <v>0.21277697966198</v>
      </c>
      <c r="S168">
        <f ca="1" t="shared" ref="S168:S171" si="642">O168*(1+P168)*(1+Q168)*(1-R168)</f>
        <v>304361.588450856</v>
      </c>
      <c r="T168">
        <f t="shared" si="600"/>
        <v>0.8</v>
      </c>
      <c r="U168">
        <f ca="1" t="shared" si="593"/>
        <v>1.7800129648</v>
      </c>
      <c r="V168">
        <f ca="1" t="shared" ref="V168:V171" si="643">S168*T168*(1+U168)</f>
        <v>676903.329504402</v>
      </c>
      <c r="W168">
        <f ca="1">IF(G168="恒定伤害",0,MIN(1,IF(COUNTIF(F168,"*内会*")&gt;0,内会2,IF(D168="轻剑",$Y$2,$Y$3)+COUNTIF(G168,"*莺鸣*")*0.2+COUNTIF(G168,"*叠1*")*0.1+COUNTIF(G168,"*叠2*")*0.2+COUNTIF(G168,"*叠3*")*0.3)+IFERROR(INDEX(技能数据库!$T$2:$W$27,MATCH(E168,技能数据库!$T$2:$T$27,0),2),0)+IF((IF(D168="轻剑",$AO$2,$AO$3)+INT(COUNTIF(G168,"*大莺鸣*")*IF(D168="轻剑",$AM$2,$AM$3)*听晓无双率)/无双系数)&gt;0.9,特效裤子会心/会心系数,0)))</f>
        <v>0.8043</v>
      </c>
      <c r="X168">
        <f ca="1">IF(G168="恒定伤害",0,IF(COUNTIF(F168,"*内会*")&gt;0,内会效2,IF(D168="轻剑",$AB$2,$AB$3))+IFERROR(INDEX(技能数据库!$T$2:$W$27,MATCH(E168,技能数据库!$T$2:$T$27,0),3)/1024,0))+COUNTIF(G168,"*叠1*")*0.25+COUNTIF(G168,"*叠2*")*0.5+COUNTIF(G168,"*叠3*")*0.75</f>
        <v>2.4212723116</v>
      </c>
      <c r="Y168">
        <f ca="1" t="shared" ref="Y168:Y171" si="644">1+W168*(X168-1)</f>
        <v>2.14312932021988</v>
      </c>
      <c r="Z168">
        <f t="shared" si="560"/>
        <v>0.150390625</v>
      </c>
      <c r="AA168">
        <f ca="1" t="shared" ref="AA168:AA171" si="645">IF(D168="轻剑",$BA$2,$BA$3)/1024</f>
        <v>0.0205078125</v>
      </c>
      <c r="AB168">
        <f ca="1" t="shared" ref="AB168:AB171" si="646">V168*Y168*(1+Z168)*(1+AA168)</f>
        <v>1703086.45854665</v>
      </c>
      <c r="AC168">
        <f ca="1">技能数计算!$AJ160</f>
        <v>8</v>
      </c>
      <c r="AD168" s="164">
        <f ca="1" t="shared" si="563"/>
        <v>0.00488464670746342</v>
      </c>
      <c r="AE168" s="168"/>
      <c r="AF168" s="168">
        <f ca="1" t="shared" si="626"/>
        <v>0.8057</v>
      </c>
      <c r="AG168">
        <f ca="1">技能数计算!$AJ160</f>
        <v>8</v>
      </c>
      <c r="AH168">
        <f ca="1" t="shared" si="389"/>
        <v>109879</v>
      </c>
      <c r="AJ168">
        <f ca="1" t="shared" si="627"/>
        <v>2.6204910616</v>
      </c>
      <c r="AK168">
        <f ca="1" t="shared" si="564"/>
        <v>247225.6125</v>
      </c>
      <c r="AL168">
        <f ca="1" t="shared" si="391"/>
        <v>1894705.74268036</v>
      </c>
      <c r="AM168" s="169">
        <f ca="1" t="shared" si="628"/>
        <v>0.8272</v>
      </c>
      <c r="AN168">
        <f ca="1">技能数计算!$AJ160</f>
        <v>8</v>
      </c>
      <c r="AO168" s="170">
        <f ca="1" t="shared" si="393"/>
        <v>1923336.79582277</v>
      </c>
      <c r="AP168">
        <f ca="1" t="shared" si="394"/>
        <v>110956</v>
      </c>
      <c r="AQ168" s="170">
        <f ca="1" t="shared" si="565"/>
        <v>248781.45</v>
      </c>
      <c r="AR168">
        <f ca="1" t="shared" si="566"/>
        <v>1875708.31500321</v>
      </c>
      <c r="AS168">
        <f ca="1" t="shared" si="629"/>
        <v>0.8843</v>
      </c>
      <c r="AT168">
        <f ca="1">技能数计算!$AJ160</f>
        <v>8</v>
      </c>
      <c r="AU168">
        <f ca="1" t="shared" si="630"/>
        <v>2.5677566866</v>
      </c>
      <c r="AV168">
        <f ca="1" t="shared" si="594"/>
        <v>1.7995442148</v>
      </c>
      <c r="AW168">
        <f ca="1" t="shared" si="416"/>
        <v>1909704.21035585</v>
      </c>
      <c r="AX168">
        <f ca="1" t="shared" si="631"/>
        <v>0.8743</v>
      </c>
      <c r="AY168">
        <f ca="1">技能数计算!$AJ160</f>
        <v>8</v>
      </c>
      <c r="AZ168" s="170">
        <f ca="1" t="shared" si="417"/>
        <v>1897158.14662522</v>
      </c>
      <c r="BA168">
        <f ca="1" t="shared" si="632"/>
        <v>0.8643</v>
      </c>
      <c r="BB168">
        <f ca="1">技能数计算!$AJ160</f>
        <v>8</v>
      </c>
      <c r="BC168" s="170">
        <f ca="1" t="shared" si="418"/>
        <v>1884612.08289459</v>
      </c>
      <c r="BE168">
        <f ca="1" t="shared" si="400"/>
        <v>105849</v>
      </c>
      <c r="BF168">
        <f ca="1" t="shared" si="567"/>
        <v>239141.9875</v>
      </c>
      <c r="BI168">
        <f ca="1" t="shared" si="633"/>
        <v>0.8543</v>
      </c>
      <c r="BJ168">
        <f ca="1">技能数计算!$AJ160</f>
        <v>8</v>
      </c>
      <c r="BK168">
        <f ca="1" t="shared" si="402"/>
        <v>1878000.01500079</v>
      </c>
      <c r="BM168">
        <f ca="1" t="shared" si="403"/>
        <v>109230</v>
      </c>
      <c r="BN168">
        <f ca="1" t="shared" si="568"/>
        <v>245523.625</v>
      </c>
      <c r="BO168">
        <f ca="1" t="shared" si="569"/>
        <v>1888419.72937994</v>
      </c>
      <c r="BP168">
        <f ca="1" t="shared" si="595"/>
        <v>1800876.99383969</v>
      </c>
      <c r="BR168">
        <f ca="1" t="shared" si="634"/>
        <v>0.8543</v>
      </c>
      <c r="BS168">
        <f ca="1" t="shared" si="406"/>
        <v>1873663.69851547</v>
      </c>
      <c r="BT168">
        <f ca="1" t="shared" si="570"/>
        <v>0.196995876306796</v>
      </c>
      <c r="BU168">
        <f ca="1" t="shared" si="635"/>
        <v>2.5677566866</v>
      </c>
      <c r="BV168">
        <f ca="1" t="shared" si="419"/>
        <v>1896272.03617089</v>
      </c>
      <c r="BW168">
        <f ca="1" t="shared" si="408"/>
        <v>113027</v>
      </c>
      <c r="BX168">
        <f ca="1" t="shared" si="571"/>
        <v>252690.4625</v>
      </c>
      <c r="BY168">
        <f ca="1" t="shared" si="636"/>
        <v>0.8343</v>
      </c>
      <c r="BZ168">
        <f ca="1">技能数计算!$AJ160</f>
        <v>8</v>
      </c>
      <c r="CA168">
        <f ca="1" t="shared" si="637"/>
        <v>2.5716629366</v>
      </c>
      <c r="CB168">
        <f ca="1" t="shared" si="420"/>
        <v>1940764.91182317</v>
      </c>
      <c r="CC168">
        <f ca="1" t="shared" si="411"/>
        <v>114847</v>
      </c>
      <c r="CD168">
        <f ca="1" t="shared" si="572"/>
        <v>256125.7125</v>
      </c>
      <c r="CE168">
        <f ca="1" t="shared" si="412"/>
        <v>1916017.74169128</v>
      </c>
      <c r="CF168">
        <f ca="1" t="shared" si="638"/>
        <v>2.5189285616</v>
      </c>
      <c r="CG168">
        <f ca="1" t="shared" si="639"/>
        <v>0.8343</v>
      </c>
      <c r="CH168">
        <f ca="1" t="shared" si="421"/>
        <v>1814373.62756785</v>
      </c>
      <c r="CJ168">
        <f ca="1" t="shared" si="573"/>
        <v>245523.625</v>
      </c>
      <c r="CK168">
        <f ca="1" t="shared" si="574"/>
        <v>1879865.29092779</v>
      </c>
      <c r="CL168">
        <f ca="1" t="shared" si="575"/>
        <v>2.5415848116</v>
      </c>
      <c r="CM168">
        <f ca="1">IF(G168="恒定伤害",0,(IF(D168="轻剑",$CM$8,$CM$9)+IFERROR(INDEX(技能数据库!$T$2:$W$27,MATCH(E168,技能数据库!$T$2:$T$27,0),4),0)+COUNTIF(G168,"*造化2*")*154+COUNTIF(G168,"*造化1*")*102+COUNTIF(G168,"*碧归*")*307)/1024)</f>
        <v>0.176868146929785</v>
      </c>
      <c r="CN168">
        <f ca="1" t="shared" si="422"/>
        <v>1928728.32008748</v>
      </c>
      <c r="CO168">
        <f ca="1" t="shared" si="576"/>
        <v>2.5656473116</v>
      </c>
      <c r="CP168">
        <f ca="1" t="shared" si="423"/>
        <v>1945665.08369374</v>
      </c>
      <c r="CQ168">
        <f ca="1" t="shared" si="596"/>
        <v>1.8815754648</v>
      </c>
      <c r="CR168">
        <f ca="1">IF(G168="恒定伤害",0,(IF(D168="轻剑",$CR$8,$CR$9)+IFERROR(INDEX(技能数据库!$T$2:$W$27,MATCH(E168,技能数据库!$T$2:$T$27,0),4),0)+COUNTIF(G168,"*造化2*")*154+COUNTIF(G168,"*造化1*")*102+COUNTIF(G168,"*碧归*")*307)/1024)</f>
        <v>0.167102521929785</v>
      </c>
      <c r="CS168">
        <f ca="1" t="shared" si="577"/>
        <v>1845608.91473425</v>
      </c>
    </row>
    <row r="169" spans="4:97">
      <c r="D169" t="s">
        <v>1825</v>
      </c>
      <c r="E169" t="s">
        <v>2801</v>
      </c>
      <c r="G169" t="s">
        <v>3109</v>
      </c>
      <c r="H169">
        <f ca="1">INDEX(技能数据库!$B$2:$I$100,MATCH(阵眼收益计算!$E169,技能数据库!$B$2:$B$100,0),MATCH(H$9,技能数据库!$B$2:$I$2,0))</f>
        <v>291</v>
      </c>
      <c r="I169">
        <f ca="1">INDEX(技能数据库!$B$2:$I$100,MATCH(阵眼收益计算!$E169,技能数据库!$B$2:$B$100,0),MATCH(I$9,技能数据库!$B$2:$I$2,0))</f>
        <v>1.8875</v>
      </c>
      <c r="J169">
        <f ca="1">INDEX(技能数据库!$B$2:$I$100,MATCH(阵眼收益计算!$E169,技能数据库!$B$2:$B$100,0),MATCH(J$9,技能数据库!$B$2:$I$2,0))</f>
        <v>2</v>
      </c>
      <c r="K169">
        <f ca="1">INDEX(技能数据库!$B$2:$I$100,MATCH(阵眼收益计算!$E169,技能数据库!$B$2:$B$100,0),MATCH(K$9,技能数据库!$B$2:$I$2,0))</f>
        <v>0</v>
      </c>
      <c r="L169">
        <f ca="1" t="shared" si="387"/>
        <v>105847</v>
      </c>
      <c r="M169">
        <f ca="1" t="shared" si="640"/>
        <v>19530.5</v>
      </c>
      <c r="N169">
        <f ca="1" t="shared" si="641"/>
        <v>92028</v>
      </c>
      <c r="O169">
        <f ca="1" t="shared" si="554"/>
        <v>239138.2125</v>
      </c>
      <c r="P169">
        <f ca="1">IF(G169="恒定伤害",0,(IF(D169="轻剑",$AZ$2,$AZ$3)+IFERROR(INDEX(技能数据库!$T$2:$W$27,MATCH(E169,技能数据库!$T$2:$T$27,0),4),0)+COUNTIF(G169,"*造化2*")*154+COUNTIF(G169,"*造化1*")*102+COUNTIF(G169,"*碧归*")*307)/1024)</f>
        <v>0.116321271929785</v>
      </c>
      <c r="Q169">
        <f ca="1" t="shared" si="592"/>
        <v>0.448284482196154</v>
      </c>
      <c r="R169">
        <f ca="1" t="shared" si="555"/>
        <v>0.21277697966198</v>
      </c>
      <c r="S169">
        <f ca="1" t="shared" si="642"/>
        <v>304361.588450856</v>
      </c>
      <c r="T169">
        <f t="shared" si="600"/>
        <v>0.8</v>
      </c>
      <c r="U169">
        <f ca="1" t="shared" si="593"/>
        <v>1.7800129648</v>
      </c>
      <c r="V169">
        <f ca="1" t="shared" si="643"/>
        <v>676903.329504402</v>
      </c>
      <c r="W169">
        <f ca="1">IF(G169="恒定伤害",0,MIN(1,IF(COUNTIF(F169,"*内会*")&gt;0,内会2,IF(D169="轻剑",$Y$2,$Y$3)+COUNTIF(G169,"*莺鸣*")*0.2+COUNTIF(G169,"*叠1*")*0.1+COUNTIF(G169,"*叠2*")*0.2+COUNTIF(G169,"*叠3*")*0.3)+IFERROR(INDEX(技能数据库!$T$2:$W$27,MATCH(E169,技能数据库!$T$2:$T$27,0),2),0)+IF((IF(D169="轻剑",$AO$2,$AO$3)+INT(COUNTIF(G169,"*大莺鸣*")*IF(D169="轻剑",$AM$2,$AM$3)*听晓无双率)/无双系数)&gt;0.9,特效裤子会心/会心系数,0)))</f>
        <v>0.9043</v>
      </c>
      <c r="X169">
        <f ca="1">IF(G169="恒定伤害",0,IF(COUNTIF(F169,"*内会*")&gt;0,内会效2,IF(D169="轻剑",$AB$2,$AB$3))+IFERROR(INDEX(技能数据库!$T$2:$W$27,MATCH(E169,技能数据库!$T$2:$T$27,0),3)/1024,0))+COUNTIF(G169,"*叠1*")*0.25+COUNTIF(G169,"*叠2*")*0.5+COUNTIF(G169,"*叠3*")*0.75</f>
        <v>2.6712723116</v>
      </c>
      <c r="Y169">
        <f ca="1" t="shared" si="644"/>
        <v>2.51133155137988</v>
      </c>
      <c r="Z169">
        <f t="shared" si="560"/>
        <v>0.150390625</v>
      </c>
      <c r="AA169">
        <f ca="1" t="shared" si="645"/>
        <v>0.0205078125</v>
      </c>
      <c r="AB169">
        <f ca="1" t="shared" si="646"/>
        <v>1995686.73608423</v>
      </c>
      <c r="AC169">
        <f ca="1">技能数计算!$AJ161</f>
        <v>4</v>
      </c>
      <c r="AD169" s="164">
        <f ca="1" t="shared" si="563"/>
        <v>0.00286192888083351</v>
      </c>
      <c r="AE169" s="168"/>
      <c r="AF169" s="168">
        <f ca="1" t="shared" ref="AF169:AF172" si="647">W169+IF(COUNTIF(F169,"*内会*")&gt;0,0,IF(D169="轻剑",$AF$8-$Y$2,$AF$9-$Y$3))</f>
        <v>0.9057</v>
      </c>
      <c r="AG169">
        <f ca="1">技能数计算!$AJ161</f>
        <v>4</v>
      </c>
      <c r="AH169">
        <f ca="1" t="shared" si="389"/>
        <v>109879</v>
      </c>
      <c r="AJ169">
        <f ca="1" t="shared" ref="AJ169:AJ172" si="648">X169+IF(COUNTIF(F169,"*内会*")&gt;0,0,IF(D169="轻剑",$AJ$8-$AB$2,$AJ$9-$AB$3))</f>
        <v>2.8704910616</v>
      </c>
      <c r="AK169">
        <f ca="1" t="shared" si="564"/>
        <v>247225.6125</v>
      </c>
      <c r="AL169">
        <f ca="1" t="shared" si="391"/>
        <v>2213943.5354268</v>
      </c>
      <c r="AM169" s="169">
        <f ca="1" t="shared" ref="AM169:AM172" si="649">W169+IF(COUNTIF(F169,"*内会*")&gt;0,0,IF(D169="轻剑",$AN$8-$Y$2,$AN$9-$Y$3))</f>
        <v>0.9272</v>
      </c>
      <c r="AN169">
        <f ca="1">技能数计算!$AJ161</f>
        <v>4</v>
      </c>
      <c r="AO169" s="170">
        <f ca="1" t="shared" si="393"/>
        <v>2246991.6220569</v>
      </c>
      <c r="AP169">
        <f ca="1" t="shared" si="394"/>
        <v>110956</v>
      </c>
      <c r="AQ169" s="170">
        <f ca="1" t="shared" si="565"/>
        <v>248781.45</v>
      </c>
      <c r="AR169">
        <f ca="1" t="shared" si="566"/>
        <v>2197966.04349095</v>
      </c>
      <c r="AS169">
        <f ca="1" t="shared" ref="AS169:AS172" si="650">W169+IF(COUNTIF(F169,"*内会*")&gt;0,0,IF(D169="轻剑",$AS$8-$Y$2,$AS$9-$Y$3))</f>
        <v>0.9843</v>
      </c>
      <c r="AT169">
        <f ca="1">技能数计算!$AJ161</f>
        <v>4</v>
      </c>
      <c r="AU169">
        <f ca="1" t="shared" ref="AU169:AU172" si="651">X169+IF(COUNTIF(F169,"*内会*")&gt;0,0,IF(D169="轻剑",$AU$8-$AB$2,$AU$9-$AB$3))</f>
        <v>2.8177566866</v>
      </c>
      <c r="AV169">
        <f ca="1" t="shared" si="594"/>
        <v>1.7995442148</v>
      </c>
      <c r="AW169">
        <f ca="1" t="shared" si="416"/>
        <v>2232087.7923322</v>
      </c>
      <c r="AX169">
        <f ca="1" t="shared" ref="AX169:AX172" si="652">$W169+IF(COUNTIF(F169,"*内会*")&gt;0,0,IF(I169="轻剑",AX$8-$Y$2,AX$9-$Y$3))</f>
        <v>0.9743</v>
      </c>
      <c r="AY169">
        <f ca="1">技能数计算!$AJ161</f>
        <v>4</v>
      </c>
      <c r="AZ169" s="170">
        <f ca="1" t="shared" si="417"/>
        <v>2217541.08911493</v>
      </c>
      <c r="BA169">
        <f ca="1" t="shared" ref="BA169:BA172" si="653">$W169+IF(COUNTIF(F169,"*内会*")&gt;0,0,IF(L169="轻剑",BA$8-$Y$2,BA$9-$Y$3))</f>
        <v>0.9643</v>
      </c>
      <c r="BB169">
        <f ca="1">技能数计算!$AJ161</f>
        <v>4</v>
      </c>
      <c r="BC169" s="170">
        <f ca="1" t="shared" si="418"/>
        <v>2202994.38589766</v>
      </c>
      <c r="BE169">
        <f ca="1" t="shared" si="400"/>
        <v>105849</v>
      </c>
      <c r="BF169">
        <f ca="1" t="shared" si="567"/>
        <v>239141.9875</v>
      </c>
      <c r="BI169">
        <f ca="1" t="shared" ref="BI169:BI172" si="654">$W169+IF(COUNTIF(F169,"*内会*")&gt;0,0,IF(T169="轻剑",BI$8-$Y$2,BI$9-$Y$3))</f>
        <v>0.9543</v>
      </c>
      <c r="BJ169">
        <f ca="1">技能数计算!$AJ161</f>
        <v>4</v>
      </c>
      <c r="BK169">
        <f ca="1" t="shared" si="402"/>
        <v>2200898.16189197</v>
      </c>
      <c r="BM169">
        <f ca="1" t="shared" si="403"/>
        <v>109230</v>
      </c>
      <c r="BN169">
        <f ca="1" t="shared" si="568"/>
        <v>245523.625</v>
      </c>
      <c r="BO169">
        <f ca="1" t="shared" si="569"/>
        <v>2212861.35367395</v>
      </c>
      <c r="BP169">
        <f ca="1" t="shared" si="595"/>
        <v>2110278.2609123</v>
      </c>
      <c r="BR169">
        <f ca="1" t="shared" ref="BR169:BR172" si="655">$W169+IF(T169="轻剑",BI$8-$Y$2,BI$9-$Y$3)</f>
        <v>0.9543</v>
      </c>
      <c r="BS169">
        <f ca="1" t="shared" si="406"/>
        <v>2195816.27110086</v>
      </c>
      <c r="BT169">
        <f ca="1" t="shared" si="570"/>
        <v>0.196995876306796</v>
      </c>
      <c r="BU169">
        <f ca="1" t="shared" ref="BU169:BU172" si="656">X169+IF(D169="轻剑",$AU$8-$AB$2,$AU$9-$AB$3)</f>
        <v>2.8177566866</v>
      </c>
      <c r="BV169">
        <f ca="1" t="shared" si="419"/>
        <v>2216744.54896793</v>
      </c>
      <c r="BW169">
        <f ca="1" t="shared" si="408"/>
        <v>113027</v>
      </c>
      <c r="BX169">
        <f ca="1" t="shared" si="571"/>
        <v>252690.4625</v>
      </c>
      <c r="BY169">
        <f ca="1" t="shared" ref="BY169:BY172" si="657">$W169+IF(COUNTIF(F169,"*内会*")&gt;0,0,IF(AI169="轻剑",BY$8-$Y$2,BY$9-$Y$3))</f>
        <v>0.9343</v>
      </c>
      <c r="BZ169">
        <f ca="1">技能数计算!$AJ161</f>
        <v>4</v>
      </c>
      <c r="CA169">
        <f ca="1" t="shared" ref="CA169:CA172" si="658">X169+IF(COUNTIF(F169,"*内会*")&gt;0,0,IF(D169="轻剑",$CA$8-$AB$2,$CA$9-$AB$3))</f>
        <v>2.8216629366</v>
      </c>
      <c r="CB169">
        <f ca="1" t="shared" si="420"/>
        <v>2268873.42554087</v>
      </c>
      <c r="CC169">
        <f ca="1" t="shared" si="411"/>
        <v>114847</v>
      </c>
      <c r="CD169">
        <f ca="1" t="shared" si="572"/>
        <v>256125.7125</v>
      </c>
      <c r="CE169">
        <f ca="1" t="shared" si="412"/>
        <v>2245353.84167961</v>
      </c>
      <c r="CF169">
        <f ca="1" t="shared" ref="CF169:CF172" si="659">X169+IF(COUNTIF(F169,"*内会*")&gt;0,0,IF(D169="轻剑",$CF$8-$AB$2,$CF$9-$AB$3))</f>
        <v>2.7689285616</v>
      </c>
      <c r="CG169">
        <f ca="1" t="shared" ref="CG169:CG172" si="660">$W169+IF(AI169="轻剑",BY$8-$Y$2,BY$9-$Y$3)</f>
        <v>0.9343</v>
      </c>
      <c r="CH169">
        <f ca="1" t="shared" si="421"/>
        <v>2122846.51311365</v>
      </c>
      <c r="CJ169">
        <f ca="1" t="shared" si="573"/>
        <v>245523.625</v>
      </c>
      <c r="CK169">
        <f ca="1" t="shared" si="574"/>
        <v>2202837.21234635</v>
      </c>
      <c r="CL169">
        <f ca="1" t="shared" si="575"/>
        <v>2.7915848116</v>
      </c>
      <c r="CM169">
        <f ca="1">IF(G169="恒定伤害",0,(IF(D169="轻剑",$CM$8,$CM$9)+IFERROR(INDEX(技能数据库!$T$2:$W$27,MATCH(E169,技能数据库!$T$2:$T$27,0),4),0)+COUNTIF(G169,"*造化2*")*154+COUNTIF(G169,"*造化1*")*102+COUNTIF(G169,"*碧归*")*307)/1024)</f>
        <v>0.176868146929785</v>
      </c>
      <c r="CN169">
        <f ca="1" t="shared" si="422"/>
        <v>2255843.53138451</v>
      </c>
      <c r="CO169">
        <f ca="1" t="shared" si="576"/>
        <v>2.8156473116</v>
      </c>
      <c r="CP169">
        <f ca="1" t="shared" si="423"/>
        <v>2274810.35175768</v>
      </c>
      <c r="CQ169">
        <f ca="1" t="shared" si="596"/>
        <v>1.8815754648</v>
      </c>
      <c r="CR169">
        <f ca="1">IF(G169="恒定伤害",0,(IF(D169="轻剑",$CR$8,$CR$9)+IFERROR(INDEX(技能数据库!$T$2:$W$27,MATCH(E169,技能数据库!$T$2:$T$27,0),4),0)+COUNTIF(G169,"*造化2*")*154+COUNTIF(G169,"*造化1*")*102+COUNTIF(G169,"*碧归*")*307)/1024)</f>
        <v>0.167102521929785</v>
      </c>
      <c r="CS169">
        <f ca="1" t="shared" si="577"/>
        <v>2162695.38909793</v>
      </c>
    </row>
    <row r="170" spans="4:97">
      <c r="D170" t="s">
        <v>1825</v>
      </c>
      <c r="E170" t="s">
        <v>2801</v>
      </c>
      <c r="G170" t="s">
        <v>3110</v>
      </c>
      <c r="H170">
        <f ca="1">INDEX(技能数据库!$B$2:$I$100,MATCH(阵眼收益计算!$E170,技能数据库!$B$2:$B$100,0),MATCH(H$9,技能数据库!$B$2:$I$2,0))</f>
        <v>291</v>
      </c>
      <c r="I170">
        <f ca="1">INDEX(技能数据库!$B$2:$I$100,MATCH(阵眼收益计算!$E170,技能数据库!$B$2:$B$100,0),MATCH(I$9,技能数据库!$B$2:$I$2,0))</f>
        <v>1.8875</v>
      </c>
      <c r="J170">
        <f ca="1">INDEX(技能数据库!$B$2:$I$100,MATCH(阵眼收益计算!$E170,技能数据库!$B$2:$B$100,0),MATCH(J$9,技能数据库!$B$2:$I$2,0))</f>
        <v>2</v>
      </c>
      <c r="K170">
        <f ca="1">INDEX(技能数据库!$B$2:$I$100,MATCH(阵眼收益计算!$E170,技能数据库!$B$2:$B$100,0),MATCH(K$9,技能数据库!$B$2:$I$2,0))</f>
        <v>0</v>
      </c>
      <c r="L170">
        <f ca="1" t="shared" si="387"/>
        <v>105847</v>
      </c>
      <c r="M170">
        <f ca="1" t="shared" si="640"/>
        <v>19530.5</v>
      </c>
      <c r="N170">
        <f ca="1" t="shared" si="641"/>
        <v>92028</v>
      </c>
      <c r="O170">
        <f ca="1" t="shared" si="554"/>
        <v>239138.2125</v>
      </c>
      <c r="P170">
        <f ca="1">IF(G170="恒定伤害",0,(IF(D170="轻剑",$AZ$2,$AZ$3)+IFERROR(INDEX(技能数据库!$T$2:$W$27,MATCH(E170,技能数据库!$T$2:$T$27,0),4),0)+COUNTIF(G170,"*造化2*")*154+COUNTIF(G170,"*造化1*")*102+COUNTIF(G170,"*碧归*")*307)/1024)</f>
        <v>0.116321271929785</v>
      </c>
      <c r="Q170">
        <f ca="1" t="shared" si="592"/>
        <v>0.448284482196154</v>
      </c>
      <c r="R170">
        <f ca="1" t="shared" si="555"/>
        <v>0.21277697966198</v>
      </c>
      <c r="S170">
        <f ca="1" t="shared" si="642"/>
        <v>304361.588450856</v>
      </c>
      <c r="T170">
        <f t="shared" si="600"/>
        <v>0.8</v>
      </c>
      <c r="U170">
        <f ca="1" t="shared" si="593"/>
        <v>1.7800129648</v>
      </c>
      <c r="V170">
        <f ca="1" t="shared" si="643"/>
        <v>676903.329504402</v>
      </c>
      <c r="W170">
        <f ca="1">IF(G170="恒定伤害",0,MIN(1,IF(COUNTIF(F170,"*内会*")&gt;0,内会2,IF(D170="轻剑",$Y$2,$Y$3)+COUNTIF(G170,"*莺鸣*")*0.2+COUNTIF(G170,"*叠1*")*0.1+COUNTIF(G170,"*叠2*")*0.2+COUNTIF(G170,"*叠3*")*0.3)+IFERROR(INDEX(技能数据库!$T$2:$W$27,MATCH(E170,技能数据库!$T$2:$T$27,0),2),0)+IF((IF(D170="轻剑",$AO$2,$AO$3)+INT(COUNTIF(G170,"*大莺鸣*")*IF(D170="轻剑",$AM$2,$AM$3)*听晓无双率)/无双系数)&gt;0.9,特效裤子会心/会心系数,0)))</f>
        <v>1</v>
      </c>
      <c r="X170">
        <f ca="1">IF(G170="恒定伤害",0,IF(COUNTIF(F170,"*内会*")&gt;0,内会效2,IF(D170="轻剑",$AB$2,$AB$3))+IFERROR(INDEX(技能数据库!$T$2:$W$27,MATCH(E170,技能数据库!$T$2:$T$27,0),3)/1024,0))+COUNTIF(G170,"*叠1*")*0.25+COUNTIF(G170,"*叠2*")*0.5+COUNTIF(G170,"*叠3*")*0.75</f>
        <v>2.9212723116</v>
      </c>
      <c r="Y170">
        <f ca="1" t="shared" si="644"/>
        <v>2.9212723116</v>
      </c>
      <c r="Z170">
        <f t="shared" si="560"/>
        <v>0.150390625</v>
      </c>
      <c r="AA170">
        <f ca="1" t="shared" si="645"/>
        <v>0.0205078125</v>
      </c>
      <c r="AB170">
        <f ca="1" t="shared" si="646"/>
        <v>2321455.48505808</v>
      </c>
      <c r="AC170">
        <f ca="1">技能数计算!$AJ162</f>
        <v>20</v>
      </c>
      <c r="AD170" s="164">
        <f ca="1" t="shared" si="563"/>
        <v>0.0166454994617369</v>
      </c>
      <c r="AE170" s="168"/>
      <c r="AF170" s="168">
        <f ca="1" t="shared" si="647"/>
        <v>1.0014</v>
      </c>
      <c r="AG170">
        <f ca="1">技能数计算!$AJ162</f>
        <v>20</v>
      </c>
      <c r="AH170">
        <f ca="1" t="shared" si="389"/>
        <v>109879</v>
      </c>
      <c r="AJ170">
        <f ca="1" t="shared" si="648"/>
        <v>3.1204910616</v>
      </c>
      <c r="AK170">
        <f ca="1" t="shared" si="564"/>
        <v>247225.6125</v>
      </c>
      <c r="AL170">
        <f ca="1" t="shared" ref="AL170:AL192" si="661">IF(COUNTIF(G170,"*恒定伤害*")&gt;0,AB170,((AK170*(1+P170)*(1+IF(COUNTIF(F170,"*内破*")&gt;0,内破,IF(D170="轻剑",$AI$8,$AI$9)/破防系数)+IF((IF(D170="轻剑",$AO$2,$AO$3)+INT(COUNTIF(G170,"*大莺鸣*")*IF(D170="轻剑",$AM$2,$AM$3)*听晓无双率)/无双系数)&gt;0.9,(特效裤子破防+特效裤子破防*IF(D170="轻剑",$AD$2,$AD$3)/1024)/破防系数,0))*(1-R170))*T170*(1+U170))*(1+Z170)*(1+AA170)*(1+MIN(1,AF170)*(MIN(3+COUNTIF(G170,"*叠*")*0.75,AJ170)-1)))</f>
        <v>2564337.39853919</v>
      </c>
      <c r="AM170" s="169">
        <f ca="1" t="shared" si="649"/>
        <v>1.0229</v>
      </c>
      <c r="AN170">
        <f ca="1">技能数计算!$AJ162</f>
        <v>20</v>
      </c>
      <c r="AO170" s="170">
        <f ca="1" t="shared" ref="AO170:AO192" si="662">IF(COUNTIF(G170,"*恒定伤害*")&gt;0,AB170,((AK170*(1+P170)*(1+IF(COUNTIF(F170,"*内破*")&gt;0,内破,IF(D170="轻剑",$AI$8,$AI$9)/破防系数)+IF((IF(D170="轻剑",$AO$2,$AO$3)+INT(COUNTIF(G170,"*大莺鸣*")*IF(D170="轻剑",$AM$2,$AM$3)*听晓无双率)/无双系数)&gt;0.9,(特效裤子破防+特效裤子破防*IF(D170="轻剑",$AD$2,$AD$3)/1024)/破防系数,0))*(1-R170))*T170*(1+U170))*(1+Z170)*(1+AA170)*(1+MIN(1,AM170)*(MIN(3+COUNTIF(G170,"*叠*")*0.75,AJ170)-1)))</f>
        <v>2564337.39853919</v>
      </c>
      <c r="AP170">
        <f ca="1" t="shared" si="394"/>
        <v>110956</v>
      </c>
      <c r="AQ170" s="170">
        <f ca="1" t="shared" si="565"/>
        <v>248781.45</v>
      </c>
      <c r="AR170">
        <f ca="1" t="shared" si="566"/>
        <v>2556754.14150677</v>
      </c>
      <c r="AS170">
        <f ca="1" t="shared" si="650"/>
        <v>1.08</v>
      </c>
      <c r="AT170">
        <f ca="1">技能数计算!$AJ162</f>
        <v>20</v>
      </c>
      <c r="AU170">
        <f ca="1" t="shared" si="651"/>
        <v>3.0677566866</v>
      </c>
      <c r="AV170">
        <f ca="1" t="shared" si="594"/>
        <v>1.7995442148</v>
      </c>
      <c r="AW170">
        <f ca="1" t="shared" si="416"/>
        <v>2454990.0650474</v>
      </c>
      <c r="AX170">
        <f ca="1" t="shared" si="652"/>
        <v>1.07</v>
      </c>
      <c r="AY170">
        <f ca="1">技能数计算!$AJ162</f>
        <v>20</v>
      </c>
      <c r="AZ170" s="170">
        <f ca="1" t="shared" si="417"/>
        <v>2454990.0650474</v>
      </c>
      <c r="BA170">
        <f ca="1" t="shared" si="653"/>
        <v>1.06</v>
      </c>
      <c r="BB170">
        <f ca="1">技能数计算!$AJ162</f>
        <v>20</v>
      </c>
      <c r="BC170" s="170">
        <f ca="1" t="shared" si="418"/>
        <v>2454990.0650474</v>
      </c>
      <c r="BE170">
        <f ca="1" t="shared" si="400"/>
        <v>105849</v>
      </c>
      <c r="BF170">
        <f ca="1" t="shared" si="567"/>
        <v>239141.9875</v>
      </c>
      <c r="BI170">
        <f ca="1" t="shared" si="654"/>
        <v>1.05</v>
      </c>
      <c r="BJ170">
        <f ca="1">技能数计算!$AJ162</f>
        <v>20</v>
      </c>
      <c r="BK170">
        <f ca="1" t="shared" ref="BK170:BK192" si="663">IF(COUNTIF(G170,"*恒定伤害*")&gt;0,AB170,((BF170*(1+P170)*(1+IF(COUNTIF(F170,"*内破*")&gt;0,内破,IF(D170="轻剑",$BH$8,$BH$9)/破防系数)+IF((IF(D170="轻剑",$AO$2,$AO$3)+INT(COUNTIF(G170,"*大莺鸣*")*IF(D170="轻剑",$AM$2,$AM$3)*听晓无双率)/无双系数)&gt;0.9,(特效裤子破防+特效裤子破防*IF(D170="轻剑",$AD$2+204,$AD$3+204)/1024)/破防系数,0))*(1-R170))*T170*(1+AV170))*(1+MIN(1,BI170)*(MIN(3+COUNTIF(G170,"*叠*")*0.75,X170)-1))*(1+Z170)*(1+AA170))</f>
        <v>2477719.69474933</v>
      </c>
      <c r="BM170">
        <f ca="1" t="shared" si="403"/>
        <v>109230</v>
      </c>
      <c r="BN170">
        <f ca="1" t="shared" si="568"/>
        <v>245523.625</v>
      </c>
      <c r="BO170">
        <f ca="1" t="shared" si="569"/>
        <v>2574080.90872966</v>
      </c>
      <c r="BP170">
        <f ca="1" t="shared" si="595"/>
        <v>2454752.51962938</v>
      </c>
      <c r="BR170">
        <f ca="1" t="shared" si="655"/>
        <v>1.05</v>
      </c>
      <c r="BS170">
        <f ca="1" t="shared" ref="BS170:BS192" si="664">IF(COUNTIF(G170,"*恒定伤害*")&gt;0,AB170,((BN170*(1+P170)*(1+IF(COUNTIF(F170,"*内破*")&gt;0,内破,IF(D170="轻剑",$BQ$8,$BQ$9)/破防系数)+IF((IF(D170="轻剑",$AO$2,$AO$3)+INT(COUNTIF(G170,"*大莺鸣*")*IF(D170="轻剑",$AM$2,$AM$3)*听晓无双率)/无双系数)&gt;0.9,(特效裤子破防+特效裤子破防*IF(D170="轻剑",$AD$2+102,$AD$3+102)/1024)/破防系数,0))*(1-R170))*T170*(1+AV170))*(1+MIN(1,BR170)*(MIN(3+COUNTIF(G170,"*叠*")*0.75,X170)-1))*(1+Z170)*(1+AA170))</f>
        <v>2471998.62090879</v>
      </c>
      <c r="BT170">
        <f ca="1" t="shared" si="570"/>
        <v>0.196995876306796</v>
      </c>
      <c r="BU170">
        <f ca="1" t="shared" si="656"/>
        <v>3.0677566866</v>
      </c>
      <c r="BV170">
        <f ca="1" t="shared" si="419"/>
        <v>2486733.3532958</v>
      </c>
      <c r="BW170">
        <f ca="1" t="shared" si="408"/>
        <v>113027</v>
      </c>
      <c r="BX170">
        <f ca="1" t="shared" si="571"/>
        <v>252690.4625</v>
      </c>
      <c r="BY170">
        <f ca="1" t="shared" si="657"/>
        <v>1.03</v>
      </c>
      <c r="BZ170">
        <f ca="1">技能数计算!$AJ162</f>
        <v>20</v>
      </c>
      <c r="CA170">
        <f ca="1" t="shared" si="658"/>
        <v>3.0716629366</v>
      </c>
      <c r="CB170">
        <f ca="1" t="shared" si="420"/>
        <v>2579299.33979927</v>
      </c>
      <c r="CC170">
        <f ca="1" t="shared" si="411"/>
        <v>114847</v>
      </c>
      <c r="CD170">
        <f ca="1" t="shared" si="572"/>
        <v>256125.7125</v>
      </c>
      <c r="CE170">
        <f ca="1" t="shared" ref="CE170:CE192" si="665">IF(COUNTIF(G170,"*恒定伤害*")&gt;0,AB170,((CD170*(1+P170)*(1+IF(COUNTIF(F170,"*内破*")&gt;0,内破,IF(D170="轻剑",$BQ$8,$BQ$9)/破防系数)+IF((IF(D170="轻剑",$AO$2,$AO$3)+INT(COUNTIF(G170,"*大莺鸣*")*IF(D170="轻剑",$AM$2,$AM$3)*听晓无双率)/无双系数)&gt;0.9,(特效裤子破防+特效裤子破防*IF(D170="轻剑",$AD$2+102,$AD$3+102)/1024)/破防系数,0))*(1-R170))*T170*(1+U170))*(1+MIN(1,BY170)*(MIN(3+COUNTIF(G170,"*叠*")*0.75,X170)-1))*(1+Z170)*(1+AA170))</f>
        <v>2560752.50640847</v>
      </c>
      <c r="CF170">
        <f ca="1" t="shared" si="659"/>
        <v>3.0189285616</v>
      </c>
      <c r="CG170">
        <f ca="1" t="shared" si="660"/>
        <v>1.03</v>
      </c>
      <c r="CH170">
        <f ca="1" t="shared" si="421"/>
        <v>2415915.07507394</v>
      </c>
      <c r="CJ170">
        <f ca="1" t="shared" si="573"/>
        <v>245523.625</v>
      </c>
      <c r="CK170">
        <f ca="1" t="shared" si="574"/>
        <v>2562420.46250471</v>
      </c>
      <c r="CL170">
        <f ca="1" t="shared" si="575"/>
        <v>3.0415848116</v>
      </c>
      <c r="CM170">
        <f ca="1">IF(G170="恒定伤害",0,(IF(D170="轻剑",$CM$8,$CM$9)+IFERROR(INDEX(技能数据库!$T$2:$W$27,MATCH(E170,技能数据库!$T$2:$T$27,0),4),0)+COUNTIF(G170,"*造化2*")*154+COUNTIF(G170,"*造化1*")*102+COUNTIF(G170,"*碧归*")*307)/1024)</f>
        <v>0.176868146929785</v>
      </c>
      <c r="CN170">
        <f ca="1" t="shared" si="422"/>
        <v>2566063.30551531</v>
      </c>
      <c r="CO170">
        <f ca="1" t="shared" si="576"/>
        <v>3.0656473116</v>
      </c>
      <c r="CP170">
        <f ca="1" t="shared" si="423"/>
        <v>2586363.87318433</v>
      </c>
      <c r="CQ170">
        <f ca="1" t="shared" si="596"/>
        <v>1.8815754648</v>
      </c>
      <c r="CR170">
        <f ca="1">IF(G170="恒定伤害",0,(IF(D170="轻剑",$CR$8,$CR$9)+IFERROR(INDEX(技能数据库!$T$2:$W$27,MATCH(E170,技能数据库!$T$2:$T$27,0),4),0)+COUNTIF(G170,"*造化2*")*154+COUNTIF(G170,"*造化1*")*102+COUNTIF(G170,"*碧归*")*307)/1024)</f>
        <v>0.167102521929785</v>
      </c>
      <c r="CS170">
        <f ca="1" t="shared" si="577"/>
        <v>2515726.03192333</v>
      </c>
    </row>
    <row r="171" spans="4:97">
      <c r="D171" t="s">
        <v>1825</v>
      </c>
      <c r="E171" s="161" t="s">
        <v>2772</v>
      </c>
      <c r="G171" t="s">
        <v>3108</v>
      </c>
      <c r="H171">
        <f ca="1">INDEX(技能数据库!$B$2:$I$100,MATCH(阵眼收益计算!$E171,技能数据库!$B$2:$B$100,0),MATCH(H$9,技能数据库!$B$2:$I$2,0))</f>
        <v>0</v>
      </c>
      <c r="I171">
        <f ca="1">INDEX(技能数据库!$B$2:$I$100,MATCH(阵眼收益计算!$E171,技能数据库!$B$2:$B$100,0),MATCH(I$9,技能数据库!$B$2:$I$2,0))</f>
        <v>0</v>
      </c>
      <c r="J171">
        <f ca="1">INDEX(技能数据库!$B$2:$I$100,MATCH(阵眼收益计算!$E171,技能数据库!$B$2:$B$100,0),MATCH(J$9,技能数据库!$B$2:$I$2,0))</f>
        <v>0</v>
      </c>
      <c r="K171">
        <f ca="1">INDEX(技能数据库!$B$2:$I$100,MATCH(阵眼收益计算!$E171,技能数据库!$B$2:$B$100,0),MATCH(K$9,技能数据库!$B$2:$I$2,0))</f>
        <v>0.207999229431152</v>
      </c>
      <c r="L171">
        <f ca="1" t="shared" si="387"/>
        <v>105847</v>
      </c>
      <c r="M171">
        <f ca="1" t="shared" si="640"/>
        <v>19530.5</v>
      </c>
      <c r="N171">
        <f ca="1" t="shared" si="641"/>
        <v>92028</v>
      </c>
      <c r="O171">
        <f ca="1" t="shared" si="554"/>
        <v>163355.720836693</v>
      </c>
      <c r="P171">
        <f ca="1">IF(G171="恒定伤害",0,(IF(D171="轻剑",$AZ$2,$AZ$3)+IFERROR(INDEX(技能数据库!$T$2:$W$27,MATCH(E171,技能数据库!$T$2:$T$27,0),4),0)+COUNTIF(G171,"*造化2*")*154+COUNTIF(G171,"*造化1*")*102+COUNTIF(G171,"*碧归*")*307)/1024)</f>
        <v>0.116321271929785</v>
      </c>
      <c r="Q171">
        <f ca="1" t="shared" si="592"/>
        <v>0.448284482196154</v>
      </c>
      <c r="R171">
        <f ca="1" t="shared" si="555"/>
        <v>0.21277697966198</v>
      </c>
      <c r="S171">
        <f ca="1" t="shared" si="642"/>
        <v>207909.920194751</v>
      </c>
      <c r="T171">
        <f t="shared" si="600"/>
        <v>0.8</v>
      </c>
      <c r="U171">
        <f ca="1" t="shared" si="593"/>
        <v>1.7800129648</v>
      </c>
      <c r="V171">
        <f ca="1" t="shared" si="643"/>
        <v>462393.818921554</v>
      </c>
      <c r="W171">
        <f ca="1">IF(G171="恒定伤害",0,MIN(1,IF(COUNTIF(F171,"*内会*")&gt;0,内会2,IF(D171="轻剑",$Y$2,$Y$3)+COUNTIF(G171,"*莺鸣*")*0.2+COUNTIF(G171,"*叠1*")*0.1+COUNTIF(G171,"*叠2*")*0.2+COUNTIF(G171,"*叠3*")*0.3)+IFERROR(INDEX(技能数据库!$T$2:$W$27,MATCH(E171,技能数据库!$T$2:$T$27,0),2),0)+IF((IF(D171="轻剑",$AO$2,$AO$3)+INT(COUNTIF(G171,"*大莺鸣*")*IF(D171="轻剑",$AM$2,$AM$3)*听晓无双率)/无双系数)&gt;0.9,特效裤子会心/会心系数,0)))</f>
        <v>0.8043</v>
      </c>
      <c r="X171">
        <f ca="1">IF(G171="恒定伤害",0,IF(COUNTIF(F171,"*内会*")&gt;0,内会效2,IF(D171="轻剑",$AB$2,$AB$3))+IFERROR(INDEX(技能数据库!$T$2:$W$27,MATCH(E171,技能数据库!$T$2:$T$27,0),3)/1024,0))+COUNTIF(G171,"*叠1*")*0.25+COUNTIF(G171,"*叠2*")*0.5+COUNTIF(G171,"*叠3*")*0.75</f>
        <v>2.4212723116</v>
      </c>
      <c r="Y171">
        <f ca="1" t="shared" si="644"/>
        <v>2.14312932021988</v>
      </c>
      <c r="Z171">
        <f t="shared" si="560"/>
        <v>0.150390625</v>
      </c>
      <c r="AA171">
        <f ca="1" t="shared" si="645"/>
        <v>0.0205078125</v>
      </c>
      <c r="AB171">
        <f ca="1" t="shared" si="646"/>
        <v>1163381.2646446</v>
      </c>
      <c r="AC171" s="171">
        <f ca="1">技能数计算!$AJ163</f>
        <v>6</v>
      </c>
      <c r="AD171" s="164">
        <f ca="1" t="shared" si="563"/>
        <v>0.0025025328728996</v>
      </c>
      <c r="AE171" s="168"/>
      <c r="AF171" s="168">
        <f ca="1" t="shared" si="647"/>
        <v>0.8057</v>
      </c>
      <c r="AG171" s="171">
        <f ca="1">技能数计算!$AJ163</f>
        <v>6</v>
      </c>
      <c r="AH171">
        <f ca="1" t="shared" si="389"/>
        <v>109879</v>
      </c>
      <c r="AJ171">
        <f ca="1" t="shared" si="648"/>
        <v>2.6204910616</v>
      </c>
      <c r="AK171">
        <f ca="1" t="shared" si="564"/>
        <v>163355.720836693</v>
      </c>
      <c r="AL171">
        <f ca="1" t="shared" si="661"/>
        <v>1251937.52879861</v>
      </c>
      <c r="AM171" s="169">
        <f ca="1" t="shared" si="649"/>
        <v>0.8272</v>
      </c>
      <c r="AN171" s="171">
        <f ca="1">技能数计算!$AJ163</f>
        <v>6</v>
      </c>
      <c r="AO171" s="170">
        <f ca="1" t="shared" si="662"/>
        <v>1270855.6589919</v>
      </c>
      <c r="AP171">
        <f ca="1" t="shared" si="394"/>
        <v>110956</v>
      </c>
      <c r="AQ171" s="170">
        <f ca="1" t="shared" si="565"/>
        <v>163355.720836693</v>
      </c>
      <c r="AR171">
        <f ca="1" t="shared" si="566"/>
        <v>1231633.96578293</v>
      </c>
      <c r="AS171">
        <f ca="1" t="shared" si="650"/>
        <v>0.8843</v>
      </c>
      <c r="AT171" s="171">
        <f ca="1">技能数计算!$AJ163</f>
        <v>6</v>
      </c>
      <c r="AU171">
        <f ca="1" t="shared" si="651"/>
        <v>2.5677566866</v>
      </c>
      <c r="AV171">
        <f ca="1" t="shared" si="594"/>
        <v>1.7995442148</v>
      </c>
      <c r="AW171">
        <f ca="1" t="shared" si="416"/>
        <v>1304522.20331599</v>
      </c>
      <c r="AX171">
        <f ca="1" t="shared" si="652"/>
        <v>0.8743</v>
      </c>
      <c r="AY171" s="171">
        <f ca="1">技能数计算!$AJ163</f>
        <v>6</v>
      </c>
      <c r="AZ171" s="170">
        <f ca="1" t="shared" si="417"/>
        <v>1295951.96578283</v>
      </c>
      <c r="BA171">
        <f ca="1" t="shared" si="653"/>
        <v>0.8643</v>
      </c>
      <c r="BB171" s="171">
        <f ca="1">技能数计算!$AJ163</f>
        <v>6</v>
      </c>
      <c r="BC171" s="170">
        <f ca="1" t="shared" si="418"/>
        <v>1287381.72824967</v>
      </c>
      <c r="BE171">
        <f ca="1" t="shared" si="400"/>
        <v>105849</v>
      </c>
      <c r="BF171">
        <f ca="1" t="shared" si="567"/>
        <v>163355.720836693</v>
      </c>
      <c r="BI171">
        <f ca="1" t="shared" si="654"/>
        <v>0.8543</v>
      </c>
      <c r="BJ171" s="171">
        <f ca="1">技能数计算!$AJ163</f>
        <v>6</v>
      </c>
      <c r="BK171">
        <f ca="1" t="shared" si="663"/>
        <v>1282844.76259851</v>
      </c>
      <c r="BM171">
        <f ca="1" t="shared" si="403"/>
        <v>109230</v>
      </c>
      <c r="BN171">
        <f ca="1" t="shared" si="568"/>
        <v>163355.720836693</v>
      </c>
      <c r="BO171">
        <f ca="1" t="shared" si="569"/>
        <v>1256433.73885137</v>
      </c>
      <c r="BP171">
        <f ca="1" t="shared" si="595"/>
        <v>1198188.40026861</v>
      </c>
      <c r="BR171">
        <f ca="1" t="shared" si="655"/>
        <v>0.8543</v>
      </c>
      <c r="BS171">
        <f ca="1" t="shared" si="664"/>
        <v>1246616.01944227</v>
      </c>
      <c r="BT171">
        <f ca="1" t="shared" si="570"/>
        <v>0.196995876306796</v>
      </c>
      <c r="BU171">
        <f ca="1" t="shared" si="656"/>
        <v>2.5677566866</v>
      </c>
      <c r="BV171">
        <f ca="1" t="shared" si="419"/>
        <v>1295346.66222011</v>
      </c>
      <c r="BW171">
        <f ca="1" t="shared" si="408"/>
        <v>113027</v>
      </c>
      <c r="BX171">
        <f ca="1" t="shared" si="571"/>
        <v>163355.720836693</v>
      </c>
      <c r="BY171">
        <f ca="1" t="shared" si="657"/>
        <v>0.8343</v>
      </c>
      <c r="BZ171" s="171">
        <f ca="1">技能数计算!$AJ163</f>
        <v>6</v>
      </c>
      <c r="CA171">
        <f ca="1" t="shared" si="658"/>
        <v>2.5716629366</v>
      </c>
      <c r="CB171">
        <f ca="1" t="shared" si="420"/>
        <v>1254637.97884906</v>
      </c>
      <c r="CC171">
        <f ca="1" t="shared" si="411"/>
        <v>114847</v>
      </c>
      <c r="CD171">
        <f ca="1" t="shared" si="572"/>
        <v>163355.720836693</v>
      </c>
      <c r="CE171">
        <f ca="1" t="shared" si="665"/>
        <v>1222026.70038398</v>
      </c>
      <c r="CF171">
        <f ca="1" t="shared" si="659"/>
        <v>2.5189285616</v>
      </c>
      <c r="CG171">
        <f ca="1" t="shared" si="660"/>
        <v>0.8343</v>
      </c>
      <c r="CH171">
        <f ca="1" t="shared" si="421"/>
        <v>1239401.71961615</v>
      </c>
      <c r="CJ171">
        <f ca="1" t="shared" si="573"/>
        <v>168089.820322409</v>
      </c>
      <c r="CK171">
        <f ca="1" t="shared" si="574"/>
        <v>1286989.05851681</v>
      </c>
      <c r="CL171">
        <f ca="1" t="shared" si="575"/>
        <v>2.5415848116</v>
      </c>
      <c r="CM171">
        <f ca="1">IF(G171="恒定伤害",0,(IF(D171="轻剑",$CM$8,$CM$9)+IFERROR(INDEX(技能数据库!$T$2:$W$27,MATCH(E171,技能数据库!$T$2:$T$27,0),4),0)+COUNTIF(G171,"*造化2*")*154+COUNTIF(G171,"*造化1*")*102+COUNTIF(G171,"*碧归*")*307)/1024)</f>
        <v>0.176868146929785</v>
      </c>
      <c r="CN171">
        <f ca="1" t="shared" si="422"/>
        <v>1317517.60512149</v>
      </c>
      <c r="CO171">
        <f ca="1" t="shared" si="576"/>
        <v>2.5656473116</v>
      </c>
      <c r="CP171">
        <f ca="1" t="shared" si="423"/>
        <v>1329087.13722854</v>
      </c>
      <c r="CQ171">
        <f ca="1" t="shared" si="596"/>
        <v>1.8815754648</v>
      </c>
      <c r="CR171">
        <f ca="1">IF(G171="恒定伤害",0,(IF(D171="轻剑",$CR$8,$CR$9)+IFERROR(INDEX(技能数据库!$T$2:$W$27,MATCH(E171,技能数据库!$T$2:$T$27,0),4),0)+COUNTIF(G171,"*造化2*")*154+COUNTIF(G171,"*造化1*")*102+COUNTIF(G171,"*碧归*")*307)/1024)</f>
        <v>0.167102521929785</v>
      </c>
      <c r="CS171">
        <f ca="1" t="shared" si="577"/>
        <v>1260738.59755492</v>
      </c>
    </row>
    <row r="172" spans="4:97">
      <c r="D172" t="s">
        <v>1825</v>
      </c>
      <c r="E172" s="161" t="s">
        <v>2772</v>
      </c>
      <c r="G172" t="s">
        <v>3109</v>
      </c>
      <c r="H172">
        <f ca="1">INDEX(技能数据库!$B$2:$I$100,MATCH(阵眼收益计算!$E172,技能数据库!$B$2:$B$100,0),MATCH(H$9,技能数据库!$B$2:$I$2,0))</f>
        <v>0</v>
      </c>
      <c r="I172">
        <f ca="1">INDEX(技能数据库!$B$2:$I$100,MATCH(阵眼收益计算!$E172,技能数据库!$B$2:$B$100,0),MATCH(I$9,技能数据库!$B$2:$I$2,0))</f>
        <v>0</v>
      </c>
      <c r="J172">
        <f ca="1">INDEX(技能数据库!$B$2:$I$100,MATCH(阵眼收益计算!$E172,技能数据库!$B$2:$B$100,0),MATCH(J$9,技能数据库!$B$2:$I$2,0))</f>
        <v>0</v>
      </c>
      <c r="K172">
        <f ca="1">INDEX(技能数据库!$B$2:$I$100,MATCH(阵眼收益计算!$E172,技能数据库!$B$2:$B$100,0),MATCH(K$9,技能数据库!$B$2:$I$2,0))</f>
        <v>0.207999229431152</v>
      </c>
      <c r="L172">
        <f ca="1" t="shared" si="387"/>
        <v>105847</v>
      </c>
      <c r="M172">
        <f ca="1" t="shared" ref="M172:M175" si="666">IF(D172="轻剑",$AU$2+$AV$2,$AU$3+$AV$3)/2</f>
        <v>19530.5</v>
      </c>
      <c r="N172">
        <f ca="1" t="shared" ref="N172:N175" si="667">IF(D172="轻剑",$AJ$2,$AJ$3)</f>
        <v>92028</v>
      </c>
      <c r="O172">
        <f ca="1" t="shared" ref="O172:O178" si="668">H172+I172*L172+J172*M172+IF(K172&gt;0,MAX(1,K172*N172*破招全局系数),0)</f>
        <v>163355.720836693</v>
      </c>
      <c r="P172">
        <f ca="1">IF(G172="恒定伤害",0,(IF(D172="轻剑",$AZ$2,$AZ$3)+IFERROR(INDEX(技能数据库!$T$2:$W$27,MATCH(E172,技能数据库!$T$2:$T$27,0),4),0)+COUNTIF(G172,"*造化2*")*154+COUNTIF(G172,"*造化1*")*102+COUNTIF(G172,"*碧归*")*307)/1024)</f>
        <v>0.116321271929785</v>
      </c>
      <c r="Q172">
        <f ca="1" t="shared" si="592"/>
        <v>0.448284482196154</v>
      </c>
      <c r="R172">
        <f ca="1" t="shared" ref="R172:R178" si="669">IF(G172="恒定伤害",0,(($F$5-IF(D172="轻剑",$BB$2,$BB$3))*(1024-IF(D172="轻剑",$BD$2,$BD$3))/1024*(1024-IF(D172="轻剑",$BC$2,$BC$3)-COUNTIF(G172,"*雾锁*")*461*雾锁)/1024/(($F$5-IF(D172="轻剑",$BB$2,$BB$3))*(1024-IF(D172="轻剑",$BD$2,$BD$3))/1024*(1024-IF(D172="轻剑",$BC$2,$BC$3)-COUNTIF(G172,"*雾锁*")*461*雾锁)/1024+$F$7)))</f>
        <v>0.21277697966198</v>
      </c>
      <c r="S172">
        <f ca="1" t="shared" ref="S172:S175" si="670">O172*(1+P172)*(1+Q172)*(1-R172)</f>
        <v>207909.920194751</v>
      </c>
      <c r="T172">
        <f t="shared" ref="T172:T175" si="671">1-($F$6-130)*0.05</f>
        <v>0.8</v>
      </c>
      <c r="U172">
        <f ca="1" t="shared" si="593"/>
        <v>1.7800129648</v>
      </c>
      <c r="V172">
        <f ca="1" t="shared" ref="V172:V175" si="672">S172*T172*(1+U172)</f>
        <v>462393.818921554</v>
      </c>
      <c r="W172">
        <f ca="1">IF(G172="恒定伤害",0,MIN(1,IF(COUNTIF(F172,"*内会*")&gt;0,内会2,IF(D172="轻剑",$Y$2,$Y$3)+COUNTIF(G172,"*莺鸣*")*0.2+COUNTIF(G172,"*叠1*")*0.1+COUNTIF(G172,"*叠2*")*0.2+COUNTIF(G172,"*叠3*")*0.3)+IFERROR(INDEX(技能数据库!$T$2:$W$27,MATCH(E172,技能数据库!$T$2:$T$27,0),2),0)+IF((IF(D172="轻剑",$AO$2,$AO$3)+INT(COUNTIF(G172,"*大莺鸣*")*IF(D172="轻剑",$AM$2,$AM$3)*听晓无双率)/无双系数)&gt;0.9,特效裤子会心/会心系数,0)))</f>
        <v>0.9043</v>
      </c>
      <c r="X172">
        <f ca="1">IF(G172="恒定伤害",0,IF(COUNTIF(F172,"*内会*")&gt;0,内会效2,IF(D172="轻剑",$AB$2,$AB$3))+IFERROR(INDEX(技能数据库!$T$2:$W$27,MATCH(E172,技能数据库!$T$2:$T$27,0),3)/1024,0))+COUNTIF(G172,"*叠1*")*0.25+COUNTIF(G172,"*叠2*")*0.5+COUNTIF(G172,"*叠3*")*0.75</f>
        <v>2.6712723116</v>
      </c>
      <c r="Y172">
        <f ca="1" t="shared" ref="Y172:Y175" si="673">1+W172*(X172-1)</f>
        <v>2.51133155137988</v>
      </c>
      <c r="Z172">
        <f t="shared" ref="Z172:Z178" si="674">IF(G172="恒定伤害",0,非侠士伤害/1024)</f>
        <v>0.150390625</v>
      </c>
      <c r="AA172">
        <f ca="1" t="shared" ref="AA172:AA175" si="675">IF(D172="轻剑",$BA$2,$BA$3)/1024</f>
        <v>0.0205078125</v>
      </c>
      <c r="AB172">
        <f ca="1" t="shared" ref="AB172:AB175" si="676">V172*Y172*(1+Z172)*(1+AA172)</f>
        <v>1363257.01329421</v>
      </c>
      <c r="AC172">
        <f ca="1">技能数计算!$AJ164</f>
        <v>3</v>
      </c>
      <c r="AD172" s="164">
        <f ca="1" t="shared" ref="AD172:AD178" si="677">IFERROR(AB172*AC172/$AD$7,0)</f>
        <v>0.00146624137488663</v>
      </c>
      <c r="AE172" s="168"/>
      <c r="AF172" s="168">
        <f ca="1" t="shared" si="647"/>
        <v>0.9057</v>
      </c>
      <c r="AG172">
        <f ca="1">技能数计算!$AJ164</f>
        <v>3</v>
      </c>
      <c r="AH172">
        <f ca="1" t="shared" si="389"/>
        <v>109879</v>
      </c>
      <c r="AJ172">
        <f ca="1" t="shared" si="648"/>
        <v>2.8704910616</v>
      </c>
      <c r="AK172">
        <f ca="1" t="shared" ref="AK172:AK178" si="678">H172+AH172*I172+J172*(238.5+M172)+IF(K172&gt;0,MAX(1,K172*N172*破招全局系数),0)</f>
        <v>163355.720836693</v>
      </c>
      <c r="AL172">
        <f ca="1" t="shared" si="661"/>
        <v>1462875.70476292</v>
      </c>
      <c r="AM172" s="169">
        <f ca="1" t="shared" si="649"/>
        <v>0.9272</v>
      </c>
      <c r="AN172">
        <f ca="1">技能数计算!$AJ164</f>
        <v>3</v>
      </c>
      <c r="AO172" s="170">
        <f ca="1" t="shared" si="662"/>
        <v>1484712.41479932</v>
      </c>
      <c r="AP172">
        <f ca="1" t="shared" si="394"/>
        <v>110956</v>
      </c>
      <c r="AQ172" s="170">
        <f ca="1" t="shared" ref="AQ172:AQ178" si="679">H172+AP172*I172+J172*M172+IF(K172&gt;0,MAX(1,K172*N172*破招全局系数),0)</f>
        <v>163355.720836693</v>
      </c>
      <c r="AR172">
        <f ca="1" t="shared" ref="AR172:AR178" si="680">IF(COUNTIF(G172,"*恒定伤害*")&gt;0,AB172,((AQ172*(1+P172)*(1+IF(COUNTIF(F172,"*内破*")&gt;0,内破,IF(D172="轻剑",$AQ$8,$AQ$9)/破防系数)+IF((IF(D172="轻剑",$AO$2,$AO$3)+INT(COUNTIF(G172,"*大莺鸣*")*IF(D172="轻剑",$AM$2,$AM$3)*听晓无双率)/无双系数)&gt;0.9,(特效裤子破防+特效裤子破防*IF(D172="轻剑",$AD$2+200,$AD$3+200)/1024)/破防系数,0))*(1-R172))*T172*(1+U172))*Y172*(1+Z172)*(1+AA172))</f>
        <v>1443235.93020717</v>
      </c>
      <c r="AS172">
        <f ca="1" t="shared" si="650"/>
        <v>0.9843</v>
      </c>
      <c r="AT172">
        <f ca="1">技能数计算!$AJ164</f>
        <v>3</v>
      </c>
      <c r="AU172">
        <f ca="1" t="shared" si="651"/>
        <v>2.8177566866</v>
      </c>
      <c r="AV172">
        <f ca="1" t="shared" si="594"/>
        <v>1.7995442148</v>
      </c>
      <c r="AW172">
        <f ca="1" t="shared" si="416"/>
        <v>1524742.9780266</v>
      </c>
      <c r="AX172">
        <f ca="1" t="shared" si="652"/>
        <v>0.9743</v>
      </c>
      <c r="AY172">
        <f ca="1">技能数计算!$AJ164</f>
        <v>3</v>
      </c>
      <c r="AZ172" s="170">
        <f ca="1" t="shared" si="417"/>
        <v>1514806.1002478</v>
      </c>
      <c r="BA172">
        <f ca="1" t="shared" si="653"/>
        <v>0.9643</v>
      </c>
      <c r="BB172">
        <f ca="1">技能数计算!$AJ164</f>
        <v>3</v>
      </c>
      <c r="BC172" s="170">
        <f ca="1" t="shared" si="418"/>
        <v>1504869.22246899</v>
      </c>
      <c r="BE172">
        <f ca="1" t="shared" si="400"/>
        <v>105849</v>
      </c>
      <c r="BF172">
        <f ca="1" t="shared" ref="BF172:BF178" si="681">H172+BE172*I172+J172*M172+IF(K172&gt;0,MAX(1,K172*N172*破招全局系数),0)</f>
        <v>163355.720836693</v>
      </c>
      <c r="BI172">
        <f ca="1" t="shared" si="654"/>
        <v>0.9543</v>
      </c>
      <c r="BJ172">
        <f ca="1">技能数计算!$AJ164</f>
        <v>3</v>
      </c>
      <c r="BK172">
        <f ca="1" t="shared" si="663"/>
        <v>1503413.55561417</v>
      </c>
      <c r="BM172">
        <f ca="1" t="shared" si="403"/>
        <v>109230</v>
      </c>
      <c r="BN172">
        <f ca="1" t="shared" ref="BN172:BN178" si="682">H172+BM172*I172+J172*M172+IF(K172&gt;0,MAX(1,K172*N172*破招全局系数),0)</f>
        <v>163355.720836693</v>
      </c>
      <c r="BO172">
        <f ca="1" t="shared" ref="BO172:BO178" si="683">IF(COUNTIF(G172,"*恒定伤害*")&gt;0,AB172,((BN172*(1+P172)*(1+IF(COUNTIF(F172,"*内破*")&gt;0,内破,IF(D172="轻剑",$BM$8,$BM$9)/破防系数)+IF((IF(D172="轻剑",$AO$2,$AO$3)+INT(COUNTIF(G172,"*大莺鸣*")*IF(D172="轻剑",$AM$2,$AM$3)*听晓无双率)/无双系数)&gt;0.9,(特效裤子破防+特效裤子破防*IF(D172="轻剑",$AD$2+102,$AD$3+102)/1024)/破防系数,0))*(1-R172))*T172*(1+U172))*Y172*(1+Z172)*(1+AA172))</f>
        <v>1472296.4502543</v>
      </c>
      <c r="BP172">
        <f ca="1" t="shared" si="595"/>
        <v>1404044.2196849</v>
      </c>
      <c r="BR172">
        <f ca="1" t="shared" si="655"/>
        <v>0.9543</v>
      </c>
      <c r="BS172">
        <f ca="1" t="shared" si="664"/>
        <v>1460955.74220452</v>
      </c>
      <c r="BT172">
        <f ca="1" t="shared" ref="BT172:BT178" si="684">IF(G172="恒定伤害",0,(($F$5-IF(D172="轻剑",$BB$2,$BB$3))*(1024-IF(D172="轻剑",$BD$2,$BD$3))/1024*(1024-IF(D172="轻剑",$BT$8,$BT$9)-COUNTIF(G172,"*雾锁*")*461*雾锁)/1024/(($F$5-IF(D172="轻剑",$BB$2,$BB$3))*(1024-IF(D172="轻剑",$BD$2,$BD$3))/1024*(1024-IF(D172="轻剑",$BT$8,$BT$9)-COUNTIF(G172,"*雾锁*")*461*雾锁)/1024+$F$7)))</f>
        <v>0.196995876306796</v>
      </c>
      <c r="BU172">
        <f ca="1" t="shared" si="656"/>
        <v>2.8177566866</v>
      </c>
      <c r="BV172">
        <f ca="1" t="shared" si="419"/>
        <v>1514261.98231479</v>
      </c>
      <c r="BW172">
        <f ca="1" t="shared" si="408"/>
        <v>113027</v>
      </c>
      <c r="BX172">
        <f ca="1" t="shared" ref="BX172:BX178" si="685">H172+BW172*I172+J172*M172+IF(K172&gt;0,MAX(1,K172*N172*破招全局系数),0)</f>
        <v>163355.720836693</v>
      </c>
      <c r="BY172">
        <f ca="1" t="shared" si="657"/>
        <v>0.9343</v>
      </c>
      <c r="BZ172">
        <f ca="1">技能数计算!$AJ164</f>
        <v>3</v>
      </c>
      <c r="CA172">
        <f ca="1" t="shared" si="658"/>
        <v>2.8216629366</v>
      </c>
      <c r="CB172">
        <f ca="1" t="shared" si="420"/>
        <v>1466748.8841865</v>
      </c>
      <c r="CC172">
        <f ca="1" t="shared" si="411"/>
        <v>114847</v>
      </c>
      <c r="CD172">
        <f ca="1" t="shared" ref="CD172:CD178" si="686">H172+CC172*I172+J172*M172+IF(K172&gt;0,MAX(1,K172*N172*破招全局系数),0)</f>
        <v>163355.720836693</v>
      </c>
      <c r="CE172">
        <f ca="1" t="shared" si="665"/>
        <v>1432075.64660659</v>
      </c>
      <c r="CF172">
        <f ca="1" t="shared" si="659"/>
        <v>2.7689285616</v>
      </c>
      <c r="CG172">
        <f ca="1" t="shared" si="660"/>
        <v>0.9343</v>
      </c>
      <c r="CH172">
        <f ca="1" t="shared" si="421"/>
        <v>1450120.07386875</v>
      </c>
      <c r="CJ172">
        <f ca="1" t="shared" ref="CJ172:CJ178" si="687">H172+BM172*I172+J172*M172+IF(K172&gt;0,MAX(1,K172*(N172+2667)*破招全局系数),0)</f>
        <v>168089.820322409</v>
      </c>
      <c r="CK172">
        <f ca="1" t="shared" ref="CK172:CK178" si="688">IF(COUNTIF(G172,"*恒定伤害*")&gt;0,AB172,((CJ172*(1+P172)*(1+IF(COUNTIF(F172,"*内破*")&gt;0,内破,IF(D172="轻剑",$CI$8,$CI$9)/破防系数)+IF((IF(D172="轻剑",$AO$2,$AO$3)+INT(COUNTIF(G172,"*大莺鸣*")*IF(D172="轻剑",$AM$2,$AM$3)*听晓无双率)/无双系数)&gt;0.9,(特效裤子破防+特效裤子破防*IF(D172="轻剑",$AD$2+256,$AD$3+256)/1024)/破防系数,0))*(1-R172))*T172*(1+U172))*Y172*(1+Z172)*(1+AA172))</f>
        <v>1508101.35367956</v>
      </c>
      <c r="CL172">
        <f ca="1" t="shared" ref="CL172:CL178" si="689">X172+IF(D172="轻剑",$CL$8-$AB$2,$CL$9-$AB$3)</f>
        <v>2.7915848116</v>
      </c>
      <c r="CM172">
        <f ca="1">IF(G172="恒定伤害",0,(IF(D172="轻剑",$CM$8,$CM$9)+IFERROR(INDEX(技能数据库!$T$2:$W$27,MATCH(E172,技能数据库!$T$2:$T$27,0),4),0)+COUNTIF(G172,"*造化2*")*154+COUNTIF(G172,"*造化1*")*102+COUNTIF(G172,"*碧归*")*307)/1024)</f>
        <v>0.176868146929785</v>
      </c>
      <c r="CN172">
        <f ca="1" t="shared" si="422"/>
        <v>1540970.56389141</v>
      </c>
      <c r="CO172">
        <f ca="1" t="shared" ref="CO172:CO178" si="690">X172+IF(D172="轻剑",$CO$8-$AB$2,$CO$9-$AB$3)</f>
        <v>2.8156473116</v>
      </c>
      <c r="CP172">
        <f ca="1" t="shared" si="423"/>
        <v>1553926.83123843</v>
      </c>
      <c r="CQ172">
        <f ca="1" t="shared" si="596"/>
        <v>1.8815754648</v>
      </c>
      <c r="CR172">
        <f ca="1">IF(G172="恒定伤害",0,(IF(D172="轻剑",$CR$8,$CR$9)+IFERROR(INDEX(技能数据库!$T$2:$W$27,MATCH(E172,技能数据库!$T$2:$T$27,0),4),0)+COUNTIF(G172,"*造化2*")*154+COUNTIF(G172,"*造化1*")*102+COUNTIF(G172,"*碧归*")*307)/1024)</f>
        <v>0.167102521929785</v>
      </c>
      <c r="CS172">
        <f ca="1" t="shared" ref="CS172:CS178" si="691">IF(COUNTIF(G172,"*恒定伤害*")&gt;0,AB172,((O172*(1+CR172)*(1+Q172)*(1-R172))*T172*(1+CQ172))*Y172*(1+Z172)*(1+AA172))</f>
        <v>1477340.90902048</v>
      </c>
    </row>
    <row r="173" spans="4:97">
      <c r="D173" t="s">
        <v>1825</v>
      </c>
      <c r="E173" s="161" t="s">
        <v>2772</v>
      </c>
      <c r="G173" t="s">
        <v>3110</v>
      </c>
      <c r="H173">
        <f ca="1">INDEX(技能数据库!$B$2:$I$100,MATCH(阵眼收益计算!$E173,技能数据库!$B$2:$B$100,0),MATCH(H$9,技能数据库!$B$2:$I$2,0))</f>
        <v>0</v>
      </c>
      <c r="I173">
        <f ca="1">INDEX(技能数据库!$B$2:$I$100,MATCH(阵眼收益计算!$E173,技能数据库!$B$2:$B$100,0),MATCH(I$9,技能数据库!$B$2:$I$2,0))</f>
        <v>0</v>
      </c>
      <c r="J173">
        <f ca="1">INDEX(技能数据库!$B$2:$I$100,MATCH(阵眼收益计算!$E173,技能数据库!$B$2:$B$100,0),MATCH(J$9,技能数据库!$B$2:$I$2,0))</f>
        <v>0</v>
      </c>
      <c r="K173">
        <f ca="1">INDEX(技能数据库!$B$2:$I$100,MATCH(阵眼收益计算!$E173,技能数据库!$B$2:$B$100,0),MATCH(K$9,技能数据库!$B$2:$I$2,0))</f>
        <v>0.207999229431152</v>
      </c>
      <c r="L173">
        <f ca="1" t="shared" si="387"/>
        <v>105847</v>
      </c>
      <c r="M173">
        <f ca="1" t="shared" si="666"/>
        <v>19530.5</v>
      </c>
      <c r="N173">
        <f ca="1" t="shared" si="667"/>
        <v>92028</v>
      </c>
      <c r="O173">
        <f ca="1" t="shared" si="668"/>
        <v>163355.720836693</v>
      </c>
      <c r="P173">
        <f ca="1">IF(G173="恒定伤害",0,(IF(D173="轻剑",$AZ$2,$AZ$3)+IFERROR(INDEX(技能数据库!$T$2:$W$27,MATCH(E173,技能数据库!$T$2:$T$27,0),4),0)+COUNTIF(G173,"*造化2*")*154+COUNTIF(G173,"*造化1*")*102+COUNTIF(G173,"*碧归*")*307)/1024)</f>
        <v>0.116321271929785</v>
      </c>
      <c r="Q173">
        <f ca="1" t="shared" si="592"/>
        <v>0.448284482196154</v>
      </c>
      <c r="R173">
        <f ca="1" t="shared" si="669"/>
        <v>0.21277697966198</v>
      </c>
      <c r="S173">
        <f ca="1" t="shared" si="670"/>
        <v>207909.920194751</v>
      </c>
      <c r="T173">
        <f t="shared" si="671"/>
        <v>0.8</v>
      </c>
      <c r="U173">
        <f ca="1" t="shared" si="593"/>
        <v>1.7800129648</v>
      </c>
      <c r="V173">
        <f ca="1" t="shared" si="672"/>
        <v>462393.818921554</v>
      </c>
      <c r="W173">
        <f ca="1">IF(G173="恒定伤害",0,MIN(1,IF(COUNTIF(F173,"*内会*")&gt;0,内会2,IF(D173="轻剑",$Y$2,$Y$3)+COUNTIF(G173,"*莺鸣*")*0.2+COUNTIF(G173,"*叠1*")*0.1+COUNTIF(G173,"*叠2*")*0.2+COUNTIF(G173,"*叠3*")*0.3)+IFERROR(INDEX(技能数据库!$T$2:$W$27,MATCH(E173,技能数据库!$T$2:$T$27,0),2),0)+IF((IF(D173="轻剑",$AO$2,$AO$3)+INT(COUNTIF(G173,"*大莺鸣*")*IF(D173="轻剑",$AM$2,$AM$3)*听晓无双率)/无双系数)&gt;0.9,特效裤子会心/会心系数,0)))</f>
        <v>1</v>
      </c>
      <c r="X173">
        <f ca="1">IF(G173="恒定伤害",0,IF(COUNTIF(F173,"*内会*")&gt;0,内会效2,IF(D173="轻剑",$AB$2,$AB$3))+IFERROR(INDEX(技能数据库!$T$2:$W$27,MATCH(E173,技能数据库!$T$2:$T$27,0),3)/1024,0))+COUNTIF(G173,"*叠1*")*0.25+COUNTIF(G173,"*叠2*")*0.5+COUNTIF(G173,"*叠3*")*0.75</f>
        <v>2.9212723116</v>
      </c>
      <c r="Y173">
        <f ca="1" t="shared" si="673"/>
        <v>2.9212723116</v>
      </c>
      <c r="Z173">
        <f t="shared" si="674"/>
        <v>0.150390625</v>
      </c>
      <c r="AA173">
        <f ca="1" t="shared" si="675"/>
        <v>0.0205078125</v>
      </c>
      <c r="AB173">
        <f ca="1" t="shared" si="676"/>
        <v>1585790.20135461</v>
      </c>
      <c r="AC173">
        <f ca="1">技能数计算!$AJ165</f>
        <v>8</v>
      </c>
      <c r="AD173" s="164">
        <f ca="1" t="shared" si="677"/>
        <v>0.00454822762925654</v>
      </c>
      <c r="AE173" s="168"/>
      <c r="AF173" s="168">
        <f ca="1" t="shared" ref="AF173:AF179" si="692">W173+IF(COUNTIF(F173,"*内会*")&gt;0,0,IF(D173="轻剑",$AF$8-$Y$2,$AF$9-$Y$3))</f>
        <v>1.0014</v>
      </c>
      <c r="AG173">
        <f ca="1">技能数计算!$AJ165</f>
        <v>8</v>
      </c>
      <c r="AH173">
        <f ca="1" t="shared" si="389"/>
        <v>109879</v>
      </c>
      <c r="AJ173">
        <f ca="1" t="shared" ref="AJ173:AJ179" si="693">X173+IF(COUNTIF(F173,"*内会*")&gt;0,0,IF(D173="轻剑",$AJ$8-$AB$2,$AJ$9-$AB$3))</f>
        <v>3.1204910616</v>
      </c>
      <c r="AK173">
        <f ca="1" t="shared" si="678"/>
        <v>163355.720836693</v>
      </c>
      <c r="AL173">
        <f ca="1" t="shared" si="661"/>
        <v>1694400.43032297</v>
      </c>
      <c r="AM173" s="169">
        <f ca="1" t="shared" ref="AM173:AM179" si="694">W173+IF(COUNTIF(F173,"*内会*")&gt;0,0,IF(D173="轻剑",$AN$8-$Y$2,$AN$9-$Y$3))</f>
        <v>1.0229</v>
      </c>
      <c r="AN173">
        <f ca="1">技能数计算!$AJ165</f>
        <v>8</v>
      </c>
      <c r="AO173" s="170">
        <f ca="1" t="shared" si="662"/>
        <v>1694400.43032297</v>
      </c>
      <c r="AP173">
        <f ca="1" t="shared" si="394"/>
        <v>110956</v>
      </c>
      <c r="AQ173" s="170">
        <f ca="1" t="shared" si="679"/>
        <v>163355.720836693</v>
      </c>
      <c r="AR173">
        <f ca="1" t="shared" si="680"/>
        <v>1678824.58996857</v>
      </c>
      <c r="AS173">
        <f ca="1" t="shared" ref="AS173:AS179" si="695">W173+IF(COUNTIF(F173,"*内会*")&gt;0,0,IF(D173="轻剑",$AS$8-$Y$2,$AS$9-$Y$3))</f>
        <v>1.08</v>
      </c>
      <c r="AT173">
        <f ca="1">技能数计算!$AJ165</f>
        <v>8</v>
      </c>
      <c r="AU173">
        <f ca="1" t="shared" ref="AU173:AU179" si="696">X173+IF(COUNTIF(F173,"*内会*")&gt;0,0,IF(D173="轻剑",$AU$8-$AB$2,$AU$9-$AB$3))</f>
        <v>3.0677566866</v>
      </c>
      <c r="AV173">
        <f ca="1" t="shared" si="594"/>
        <v>1.7995442148</v>
      </c>
      <c r="AW173">
        <f ca="1" t="shared" si="416"/>
        <v>1677007.90070402</v>
      </c>
      <c r="AX173">
        <f ca="1" t="shared" ref="AX173:AX179" si="697">$W173+IF(COUNTIF(F173,"*内会*")&gt;0,0,IF(I173="轻剑",AX$8-$Y$2,AX$9-$Y$3))</f>
        <v>1.07</v>
      </c>
      <c r="AY173">
        <f ca="1">技能数计算!$AJ165</f>
        <v>8</v>
      </c>
      <c r="AZ173" s="170">
        <f ca="1" t="shared" si="417"/>
        <v>1677007.90070402</v>
      </c>
      <c r="BA173">
        <f ca="1" t="shared" ref="BA173:BA179" si="698">$W173+IF(COUNTIF(F173,"*内会*")&gt;0,0,IF(L173="轻剑",BA$8-$Y$2,BA$9-$Y$3))</f>
        <v>1.06</v>
      </c>
      <c r="BB173">
        <f ca="1">技能数计算!$AJ165</f>
        <v>8</v>
      </c>
      <c r="BC173" s="170">
        <f ca="1" t="shared" si="418"/>
        <v>1677007.90070402</v>
      </c>
      <c r="BE173">
        <f ca="1" t="shared" si="400"/>
        <v>105849</v>
      </c>
      <c r="BF173">
        <f ca="1" t="shared" si="681"/>
        <v>163355.720836693</v>
      </c>
      <c r="BI173">
        <f ca="1" t="shared" ref="BI173:BI179" si="699">$W173+IF(COUNTIF(F173,"*内会*")&gt;0,0,IF(T173="轻剑",BI$8-$Y$2,BI$9-$Y$3))</f>
        <v>1.05</v>
      </c>
      <c r="BJ173">
        <f ca="1">技能数计算!$AJ165</f>
        <v>8</v>
      </c>
      <c r="BK173">
        <f ca="1" t="shared" si="663"/>
        <v>1692507.83184633</v>
      </c>
      <c r="BM173">
        <f ca="1" t="shared" si="403"/>
        <v>109230</v>
      </c>
      <c r="BN173">
        <f ca="1" t="shared" si="682"/>
        <v>163355.720836693</v>
      </c>
      <c r="BO173">
        <f ca="1" t="shared" si="683"/>
        <v>1712628.84513661</v>
      </c>
      <c r="BP173">
        <f ca="1" t="shared" si="595"/>
        <v>1633235.36510894</v>
      </c>
      <c r="BR173">
        <f ca="1" t="shared" ref="BR173:BR179" si="700">$W173+IF(T173="轻剑",BI$8-$Y$2,BI$9-$Y$3)</f>
        <v>1.05</v>
      </c>
      <c r="BS173">
        <f ca="1" t="shared" si="664"/>
        <v>1644709.81815239</v>
      </c>
      <c r="BT173">
        <f ca="1" t="shared" si="684"/>
        <v>0.196995876306796</v>
      </c>
      <c r="BU173">
        <f ca="1" t="shared" ref="BU173:BU179" si="701">X173+IF(D173="轻剑",$AU$8-$AB$2,$AU$9-$AB$3)</f>
        <v>3.0677566866</v>
      </c>
      <c r="BV173">
        <f ca="1" t="shared" si="419"/>
        <v>1698691.79504836</v>
      </c>
      <c r="BW173">
        <f ca="1" t="shared" si="408"/>
        <v>113027</v>
      </c>
      <c r="BX173">
        <f ca="1" t="shared" si="685"/>
        <v>163355.720836693</v>
      </c>
      <c r="BY173">
        <f ca="1" t="shared" ref="BY173:BY179" si="702">$W173+IF(COUNTIF(F173,"*内会*")&gt;0,0,IF(AI173="轻剑",BY$8-$Y$2,BY$9-$Y$3))</f>
        <v>1.03</v>
      </c>
      <c r="BZ173">
        <f ca="1">技能数计算!$AJ165</f>
        <v>8</v>
      </c>
      <c r="CA173">
        <f ca="1" t="shared" ref="CA173:CA179" si="703">X173+IF(COUNTIF(F173,"*内会*")&gt;0,0,IF(D173="轻剑",$CA$8-$AB$2,$CA$9-$AB$3))</f>
        <v>3.0716629366</v>
      </c>
      <c r="CB173">
        <f ca="1" t="shared" si="420"/>
        <v>1667428.59519882</v>
      </c>
      <c r="CC173">
        <f ca="1" t="shared" si="411"/>
        <v>114847</v>
      </c>
      <c r="CD173">
        <f ca="1" t="shared" si="686"/>
        <v>163355.720836693</v>
      </c>
      <c r="CE173">
        <f ca="1" t="shared" si="665"/>
        <v>1633235.36510894</v>
      </c>
      <c r="CF173">
        <f ca="1" t="shared" ref="CF173:CF179" si="704">X173+IF(COUNTIF(F173,"*内会*")&gt;0,0,IF(D173="轻剑",$CF$8-$AB$2,$CF$9-$AB$3))</f>
        <v>3.0189285616</v>
      </c>
      <c r="CG173">
        <f ca="1" t="shared" ref="CG173:CG179" si="705">$W173+IF(AI173="轻剑",BY$8-$Y$2,BY$9-$Y$3)</f>
        <v>1.03</v>
      </c>
      <c r="CH173">
        <f ca="1" t="shared" si="421"/>
        <v>1650315.70840623</v>
      </c>
      <c r="CJ173">
        <f ca="1" t="shared" si="687"/>
        <v>168089.820322409</v>
      </c>
      <c r="CK173">
        <f ca="1" t="shared" si="688"/>
        <v>1754278.41264921</v>
      </c>
      <c r="CL173">
        <f ca="1" t="shared" si="689"/>
        <v>3.0415848116</v>
      </c>
      <c r="CM173">
        <f ca="1">IF(G173="恒定伤害",0,(IF(D173="轻剑",$CM$8,$CM$9)+IFERROR(INDEX(技能数据库!$T$2:$W$27,MATCH(E173,技能数据库!$T$2:$T$27,0),4),0)+COUNTIF(G173,"*造化2*")*154+COUNTIF(G173,"*造化1*")*102+COUNTIF(G173,"*碧归*")*307)/1024)</f>
        <v>0.176868146929785</v>
      </c>
      <c r="CN173">
        <f ca="1" t="shared" si="422"/>
        <v>1752882.22071594</v>
      </c>
      <c r="CO173">
        <f ca="1" t="shared" si="690"/>
        <v>3.0656473116</v>
      </c>
      <c r="CP173">
        <f ca="1" t="shared" si="423"/>
        <v>1766749.57311562</v>
      </c>
      <c r="CQ173">
        <f ca="1" t="shared" si="596"/>
        <v>1.8815754648</v>
      </c>
      <c r="CR173">
        <f ca="1">IF(G173="恒定伤害",0,(IF(D173="轻剑",$CR$8,$CR$9)+IFERROR(INDEX(技能数据库!$T$2:$W$27,MATCH(E173,技能数据库!$T$2:$T$27,0),4),0)+COUNTIF(G173,"*造化2*")*154+COUNTIF(G173,"*造化1*")*102+COUNTIF(G173,"*碧归*")*307)/1024)</f>
        <v>0.167102521929785</v>
      </c>
      <c r="CS173">
        <f ca="1" t="shared" si="691"/>
        <v>1718496.7432692</v>
      </c>
    </row>
    <row r="174" spans="4:97">
      <c r="D174" t="s">
        <v>1825</v>
      </c>
      <c r="E174" s="161" t="s">
        <v>2783</v>
      </c>
      <c r="G174" t="s">
        <v>3108</v>
      </c>
      <c r="H174">
        <f ca="1">INDEX(技能数据库!$B$2:$I$100,MATCH(阵眼收益计算!$E174,技能数据库!$B$2:$B$100,0),MATCH(H$9,技能数据库!$B$2:$I$2,0))</f>
        <v>0</v>
      </c>
      <c r="I174">
        <f ca="1">INDEX(技能数据库!$B$2:$I$100,MATCH(阵眼收益计算!$E174,技能数据库!$B$2:$B$100,0),MATCH(I$9,技能数据库!$B$2:$I$2,0))</f>
        <v>0</v>
      </c>
      <c r="J174">
        <f ca="1">INDEX(技能数据库!$B$2:$I$100,MATCH(阵眼收益计算!$E174,技能数据库!$B$2:$B$100,0),MATCH(J$9,技能数据库!$B$2:$I$2,0))</f>
        <v>0</v>
      </c>
      <c r="K174">
        <f ca="1">INDEX(技能数据库!$B$2:$I$100,MATCH(阵眼收益计算!$E174,技能数据库!$B$2:$B$100,0),MATCH(K$9,技能数据库!$B$2:$I$2,0))</f>
        <v>1.28127956390381</v>
      </c>
      <c r="L174">
        <f ca="1" t="shared" si="387"/>
        <v>105847</v>
      </c>
      <c r="M174">
        <f ca="1" t="shared" si="666"/>
        <v>19530.5</v>
      </c>
      <c r="N174">
        <f ca="1" t="shared" si="667"/>
        <v>92028</v>
      </c>
      <c r="O174">
        <f ca="1" t="shared" si="668"/>
        <v>1006274.62576302</v>
      </c>
      <c r="P174">
        <f ca="1">IF(G174="恒定伤害",0,(IF(D174="轻剑",$AZ$2,$AZ$3)+IFERROR(INDEX(技能数据库!$T$2:$W$27,MATCH(E174,技能数据库!$T$2:$T$27,0),4),0)+COUNTIF(G174,"*造化2*")*154+COUNTIF(G174,"*造化1*")*102+COUNTIF(G174,"*碧归*")*307)/1024)</f>
        <v>0.116321271929785</v>
      </c>
      <c r="Q174">
        <f ca="1" t="shared" si="592"/>
        <v>0.448284482196154</v>
      </c>
      <c r="R174">
        <f ca="1" t="shared" si="669"/>
        <v>0.21277697966198</v>
      </c>
      <c r="S174">
        <f ca="1" t="shared" si="670"/>
        <v>1280729.41715672</v>
      </c>
      <c r="T174">
        <f t="shared" si="671"/>
        <v>0.8</v>
      </c>
      <c r="U174">
        <f ca="1" t="shared" si="593"/>
        <v>1.7800129648</v>
      </c>
      <c r="V174">
        <f ca="1" t="shared" si="672"/>
        <v>2848355.50727714</v>
      </c>
      <c r="W174">
        <f ca="1">IF(G174="恒定伤害",0,MIN(1,IF(COUNTIF(F174,"*内会*")&gt;0,内会2,IF(D174="轻剑",$Y$2,$Y$3)+COUNTIF(G174,"*莺鸣*")*0.2+COUNTIF(G174,"*叠1*")*0.1+COUNTIF(G174,"*叠2*")*0.2+COUNTIF(G174,"*叠3*")*0.3)+IFERROR(INDEX(技能数据库!$T$2:$W$27,MATCH(E174,技能数据库!$T$2:$T$27,0),2),0)+IF((IF(D174="轻剑",$AO$2,$AO$3)+INT(COUNTIF(G174,"*大莺鸣*")*IF(D174="轻剑",$AM$2,$AM$3)*听晓无双率)/无双系数)&gt;0.9,特效裤子会心/会心系数,0)))</f>
        <v>0.8043</v>
      </c>
      <c r="X174">
        <f ca="1">IF(G174="恒定伤害",0,IF(COUNTIF(F174,"*内会*")&gt;0,内会效2,IF(D174="轻剑",$AB$2,$AB$3))+IFERROR(INDEX(技能数据库!$T$2:$W$27,MATCH(E174,技能数据库!$T$2:$T$27,0),3)/1024,0))+COUNTIF(G174,"*叠1*")*0.25+COUNTIF(G174,"*叠2*")*0.5+COUNTIF(G174,"*叠3*")*0.75</f>
        <v>2.4212723116</v>
      </c>
      <c r="Y174">
        <f ca="1" t="shared" si="673"/>
        <v>2.14312932021988</v>
      </c>
      <c r="Z174">
        <f t="shared" si="674"/>
        <v>0.150390625</v>
      </c>
      <c r="AA174">
        <f ca="1" t="shared" si="675"/>
        <v>0.0205078125</v>
      </c>
      <c r="AB174">
        <f ca="1" t="shared" si="676"/>
        <v>7166452.70030235</v>
      </c>
      <c r="AC174">
        <f ca="1">技能数计算!$AJ166</f>
        <v>5</v>
      </c>
      <c r="AD174" s="164">
        <f ca="1" t="shared" si="677"/>
        <v>0.0128463786332803</v>
      </c>
      <c r="AE174" s="168"/>
      <c r="AF174" s="168">
        <f ca="1" t="shared" si="692"/>
        <v>0.8057</v>
      </c>
      <c r="AG174">
        <f ca="1">技能数计算!$AJ166</f>
        <v>5</v>
      </c>
      <c r="AH174">
        <f ca="1" t="shared" si="389"/>
        <v>109879</v>
      </c>
      <c r="AJ174">
        <f ca="1" t="shared" si="693"/>
        <v>2.6204910616</v>
      </c>
      <c r="AK174">
        <f ca="1" t="shared" si="678"/>
        <v>1006274.62576302</v>
      </c>
      <c r="AL174">
        <f ca="1" t="shared" si="661"/>
        <v>7711961.12274464</v>
      </c>
      <c r="AM174" s="169">
        <f ca="1" t="shared" si="694"/>
        <v>0.8272</v>
      </c>
      <c r="AN174">
        <f ca="1">技能数计算!$AJ166</f>
        <v>5</v>
      </c>
      <c r="AO174" s="170">
        <f ca="1" t="shared" si="662"/>
        <v>7828497.19679756</v>
      </c>
      <c r="AP174">
        <f ca="1" t="shared" si="394"/>
        <v>110956</v>
      </c>
      <c r="AQ174" s="170">
        <f ca="1" t="shared" si="679"/>
        <v>1006274.62576302</v>
      </c>
      <c r="AR174">
        <f ca="1" t="shared" si="680"/>
        <v>7586890.75379391</v>
      </c>
      <c r="AS174">
        <f ca="1" t="shared" si="695"/>
        <v>0.8843</v>
      </c>
      <c r="AT174">
        <f ca="1">技能数计算!$AJ166</f>
        <v>5</v>
      </c>
      <c r="AU174">
        <f ca="1" t="shared" si="696"/>
        <v>2.5677566866</v>
      </c>
      <c r="AV174">
        <f ca="1" t="shared" si="594"/>
        <v>1.7995442148</v>
      </c>
      <c r="AW174">
        <f ca="1" t="shared" si="416"/>
        <v>8035883.80754458</v>
      </c>
      <c r="AX174">
        <f ca="1" t="shared" si="697"/>
        <v>0.8743</v>
      </c>
      <c r="AY174">
        <f ca="1">技能数计算!$AJ166</f>
        <v>5</v>
      </c>
      <c r="AZ174" s="170">
        <f ca="1" t="shared" si="417"/>
        <v>7983090.96672941</v>
      </c>
      <c r="BA174">
        <f ca="1" t="shared" si="698"/>
        <v>0.8643</v>
      </c>
      <c r="BB174">
        <f ca="1">技能数计算!$AJ166</f>
        <v>5</v>
      </c>
      <c r="BC174" s="170">
        <f ca="1" t="shared" si="418"/>
        <v>7930298.12591423</v>
      </c>
      <c r="BE174">
        <f ca="1" t="shared" si="400"/>
        <v>105849</v>
      </c>
      <c r="BF174">
        <f ca="1" t="shared" si="681"/>
        <v>1006274.62576302</v>
      </c>
      <c r="BI174">
        <f ca="1" t="shared" si="699"/>
        <v>0.8543</v>
      </c>
      <c r="BJ174">
        <f ca="1">技能数计算!$AJ166</f>
        <v>5</v>
      </c>
      <c r="BK174">
        <f ca="1" t="shared" si="663"/>
        <v>7902350.32347832</v>
      </c>
      <c r="BM174">
        <f ca="1" t="shared" si="403"/>
        <v>109230</v>
      </c>
      <c r="BN174">
        <f ca="1" t="shared" si="682"/>
        <v>1006274.62576302</v>
      </c>
      <c r="BO174">
        <f ca="1" t="shared" si="683"/>
        <v>7739657.86984981</v>
      </c>
      <c r="BP174">
        <f ca="1" t="shared" si="595"/>
        <v>7380865.37709468</v>
      </c>
      <c r="BR174">
        <f ca="1" t="shared" si="700"/>
        <v>0.8543</v>
      </c>
      <c r="BS174">
        <f ca="1" t="shared" si="664"/>
        <v>7679180.51482587</v>
      </c>
      <c r="BT174">
        <f ca="1" t="shared" si="684"/>
        <v>0.196995876306796</v>
      </c>
      <c r="BU174">
        <f ca="1" t="shared" si="701"/>
        <v>2.5677566866</v>
      </c>
      <c r="BV174">
        <f ca="1" t="shared" si="419"/>
        <v>7979362.28423864</v>
      </c>
      <c r="BW174">
        <f ca="1" t="shared" si="408"/>
        <v>113027</v>
      </c>
      <c r="BX174">
        <f ca="1" t="shared" si="685"/>
        <v>1006274.62576302</v>
      </c>
      <c r="BY174">
        <f ca="1" t="shared" si="702"/>
        <v>0.8343</v>
      </c>
      <c r="BZ174">
        <f ca="1">技能数计算!$AJ166</f>
        <v>5</v>
      </c>
      <c r="CA174">
        <f ca="1" t="shared" si="703"/>
        <v>2.5716629366</v>
      </c>
      <c r="CB174">
        <f ca="1" t="shared" si="420"/>
        <v>7728595.95102</v>
      </c>
      <c r="CC174">
        <f ca="1" t="shared" si="411"/>
        <v>114847</v>
      </c>
      <c r="CD174">
        <f ca="1" t="shared" si="686"/>
        <v>1006274.62576302</v>
      </c>
      <c r="CE174">
        <f ca="1" t="shared" si="665"/>
        <v>7527709.79983398</v>
      </c>
      <c r="CF174">
        <f ca="1" t="shared" si="704"/>
        <v>2.5189285616</v>
      </c>
      <c r="CG174">
        <f ca="1" t="shared" si="705"/>
        <v>0.8343</v>
      </c>
      <c r="CH174">
        <f ca="1" t="shared" si="421"/>
        <v>7634740.27838668</v>
      </c>
      <c r="CJ174">
        <f ca="1" t="shared" si="687"/>
        <v>1035436.77670524</v>
      </c>
      <c r="CK174">
        <f ca="1" t="shared" si="688"/>
        <v>7927879.27222207</v>
      </c>
      <c r="CL174">
        <f ca="1" t="shared" si="689"/>
        <v>2.5415848116</v>
      </c>
      <c r="CM174">
        <f ca="1">IF(G174="恒定伤害",0,(IF(D174="轻剑",$CM$8,$CM$9)+IFERROR(INDEX(技能数据库!$T$2:$W$27,MATCH(E174,技能数据库!$T$2:$T$27,0),4),0)+COUNTIF(G174,"*造化2*")*154+COUNTIF(G174,"*造化1*")*102+COUNTIF(G174,"*碧归*")*307)/1024)</f>
        <v>0.176868146929785</v>
      </c>
      <c r="CN174">
        <f ca="1" t="shared" si="422"/>
        <v>8115935.75198515</v>
      </c>
      <c r="CO174">
        <f ca="1" t="shared" si="690"/>
        <v>2.5656473116</v>
      </c>
      <c r="CP174">
        <f ca="1" t="shared" si="423"/>
        <v>8187204.30953336</v>
      </c>
      <c r="CQ174">
        <f ca="1" t="shared" si="596"/>
        <v>1.8815754648</v>
      </c>
      <c r="CR174">
        <f ca="1">IF(G174="恒定伤害",0,(IF(D174="轻剑",$CR$8,$CR$9)+IFERROR(INDEX(技能数据库!$T$2:$W$27,MATCH(E174,技能数据库!$T$2:$T$27,0),4),0)+COUNTIF(G174,"*造化2*")*154+COUNTIF(G174,"*造化1*")*102+COUNTIF(G174,"*碧归*")*307)/1024)</f>
        <v>0.167102521929785</v>
      </c>
      <c r="CS174">
        <f ca="1" t="shared" si="691"/>
        <v>7766175.88867823</v>
      </c>
    </row>
    <row r="175" spans="4:97">
      <c r="D175" t="s">
        <v>1825</v>
      </c>
      <c r="E175" s="161" t="s">
        <v>2783</v>
      </c>
      <c r="G175" t="s">
        <v>3109</v>
      </c>
      <c r="H175">
        <f ca="1">INDEX(技能数据库!$B$2:$I$100,MATCH(阵眼收益计算!$E175,技能数据库!$B$2:$B$100,0),MATCH(H$9,技能数据库!$B$2:$I$2,0))</f>
        <v>0</v>
      </c>
      <c r="I175">
        <f ca="1">INDEX(技能数据库!$B$2:$I$100,MATCH(阵眼收益计算!$E175,技能数据库!$B$2:$B$100,0),MATCH(I$9,技能数据库!$B$2:$I$2,0))</f>
        <v>0</v>
      </c>
      <c r="J175">
        <f ca="1">INDEX(技能数据库!$B$2:$I$100,MATCH(阵眼收益计算!$E175,技能数据库!$B$2:$B$100,0),MATCH(J$9,技能数据库!$B$2:$I$2,0))</f>
        <v>0</v>
      </c>
      <c r="K175">
        <f ca="1">INDEX(技能数据库!$B$2:$I$100,MATCH(阵眼收益计算!$E175,技能数据库!$B$2:$B$100,0),MATCH(K$9,技能数据库!$B$2:$I$2,0))</f>
        <v>1.28127956390381</v>
      </c>
      <c r="L175">
        <f ca="1" t="shared" si="387"/>
        <v>105847</v>
      </c>
      <c r="M175">
        <f ca="1" t="shared" si="666"/>
        <v>19530.5</v>
      </c>
      <c r="N175">
        <f ca="1" t="shared" si="667"/>
        <v>92028</v>
      </c>
      <c r="O175">
        <f ca="1" t="shared" si="668"/>
        <v>1006274.62576302</v>
      </c>
      <c r="P175">
        <f ca="1">IF(G175="恒定伤害",0,(IF(D175="轻剑",$AZ$2,$AZ$3)+IFERROR(INDEX(技能数据库!$T$2:$W$27,MATCH(E175,技能数据库!$T$2:$T$27,0),4),0)+COUNTIF(G175,"*造化2*")*154+COUNTIF(G175,"*造化1*")*102+COUNTIF(G175,"*碧归*")*307)/1024)</f>
        <v>0.116321271929785</v>
      </c>
      <c r="Q175">
        <f ca="1" t="shared" ref="Q175:Q181" si="706">IF(G175="恒定伤害",0,(IF(COUNTIF(F175,"*内破*")&gt;0,内破,IF(D175="轻剑",$AF$2,$AF$3)/破防系数))+IF((IF(D175="轻剑",$AO$2,$AO$3)+INT(COUNTIF(G175,"*大莺鸣*")*IF(D175="轻剑",$AM$2,$AM$3)*听晓无双率)/无双系数)&gt;0.9,(特效裤子破防+特效裤子破防*IF(D175="轻剑",$AD$2,$AD$3)/1024)/破防系数,0))</f>
        <v>0.448284482196154</v>
      </c>
      <c r="R175">
        <f ca="1" t="shared" si="669"/>
        <v>0.21277697966198</v>
      </c>
      <c r="S175">
        <f ca="1" t="shared" si="670"/>
        <v>1280729.41715672</v>
      </c>
      <c r="T175">
        <f t="shared" si="671"/>
        <v>0.8</v>
      </c>
      <c r="U175">
        <f ca="1" t="shared" ref="U175:U181" si="707">IF(G175="恒定伤害",0,(IF(D175="轻剑",$AO$2,$AO$3)+INT(COUNTIF(G175,"*大莺鸣*")*IF(D175="轻剑",$AM$2,$AM$3)*听晓无双率)/无双系数)+IF((IF(D175="轻剑",$AO$2,$AO$3)+INT(COUNTIF(G175,"*大莺鸣*")*IF(D175="轻剑",$AM$2,$AM$3)*听晓无双率)/无双系数)&lt;=0.9,特效裤子无双,0))</f>
        <v>1.7800129648</v>
      </c>
      <c r="V175">
        <f ca="1" t="shared" si="672"/>
        <v>2848355.50727714</v>
      </c>
      <c r="W175">
        <f ca="1">IF(G175="恒定伤害",0,MIN(1,IF(COUNTIF(F175,"*内会*")&gt;0,内会2,IF(D175="轻剑",$Y$2,$Y$3)+COUNTIF(G175,"*莺鸣*")*0.2+COUNTIF(G175,"*叠1*")*0.1+COUNTIF(G175,"*叠2*")*0.2+COUNTIF(G175,"*叠3*")*0.3)+IFERROR(INDEX(技能数据库!$T$2:$W$27,MATCH(E175,技能数据库!$T$2:$T$27,0),2),0)+IF((IF(D175="轻剑",$AO$2,$AO$3)+INT(COUNTIF(G175,"*大莺鸣*")*IF(D175="轻剑",$AM$2,$AM$3)*听晓无双率)/无双系数)&gt;0.9,特效裤子会心/会心系数,0)))</f>
        <v>0.9043</v>
      </c>
      <c r="X175">
        <f ca="1">IF(G175="恒定伤害",0,IF(COUNTIF(F175,"*内会*")&gt;0,内会效2,IF(D175="轻剑",$AB$2,$AB$3))+IFERROR(INDEX(技能数据库!$T$2:$W$27,MATCH(E175,技能数据库!$T$2:$T$27,0),3)/1024,0))+COUNTIF(G175,"*叠1*")*0.25+COUNTIF(G175,"*叠2*")*0.5+COUNTIF(G175,"*叠3*")*0.75</f>
        <v>2.6712723116</v>
      </c>
      <c r="Y175">
        <f ca="1" t="shared" si="673"/>
        <v>2.51133155137988</v>
      </c>
      <c r="Z175">
        <f t="shared" si="674"/>
        <v>0.150390625</v>
      </c>
      <c r="AA175">
        <f ca="1" t="shared" si="675"/>
        <v>0.0205078125</v>
      </c>
      <c r="AB175">
        <f ca="1" t="shared" si="676"/>
        <v>8397691.45423961</v>
      </c>
      <c r="AC175" s="171">
        <f ca="1">技能数计算!$AJ167</f>
        <v>4</v>
      </c>
      <c r="AD175" s="164">
        <f ca="1" t="shared" si="677"/>
        <v>0.0120427696745502</v>
      </c>
      <c r="AE175" s="168"/>
      <c r="AF175" s="168">
        <f ca="1" t="shared" si="692"/>
        <v>0.9057</v>
      </c>
      <c r="AG175" s="171">
        <f ca="1">技能数计算!$AJ167</f>
        <v>4</v>
      </c>
      <c r="AH175">
        <f ca="1" t="shared" si="389"/>
        <v>109879</v>
      </c>
      <c r="AJ175">
        <f ca="1" t="shared" si="693"/>
        <v>2.8704910616</v>
      </c>
      <c r="AK175">
        <f ca="1" t="shared" si="678"/>
        <v>1006274.62576302</v>
      </c>
      <c r="AL175">
        <f ca="1" t="shared" si="661"/>
        <v>9011344.65819987</v>
      </c>
      <c r="AM175" s="169">
        <f ca="1" t="shared" si="694"/>
        <v>0.9272</v>
      </c>
      <c r="AN175" s="171">
        <f ca="1">技能数计算!$AJ167</f>
        <v>4</v>
      </c>
      <c r="AO175" s="170">
        <f ca="1" t="shared" si="662"/>
        <v>9145859.24457143</v>
      </c>
      <c r="AP175">
        <f ca="1" t="shared" si="394"/>
        <v>110956</v>
      </c>
      <c r="AQ175" s="170">
        <f ca="1" t="shared" si="679"/>
        <v>1006274.62576302</v>
      </c>
      <c r="AR175">
        <f ca="1" t="shared" si="680"/>
        <v>8890363.23991878</v>
      </c>
      <c r="AS175">
        <f ca="1" t="shared" si="695"/>
        <v>0.9843</v>
      </c>
      <c r="AT175" s="171">
        <f ca="1">技能数计算!$AJ167</f>
        <v>4</v>
      </c>
      <c r="AU175">
        <f ca="1" t="shared" si="696"/>
        <v>2.8177566866</v>
      </c>
      <c r="AV175">
        <f ca="1" t="shared" ref="AV175:AV181" si="708">IF(G175="恒定伤害",0,(IF(D175="轻剑",$AV$8,$AV$9)+INT(COUNTIF(G175,"*大莺鸣*")*IF(D175="轻剑",$AM$2,$AM$3)*听晓无双率)/无双系数))+IF((IF(G175="恒定伤害",0,(IF(D175="轻剑",$AV$8,$AV$9)+INT(COUNTIF(G175,"*大莺鸣*")*IF(D175="轻剑",$AM$2,$AM$3)*听晓无双率)/无双系数)))&lt;=0.9,特效裤子无双,0)</f>
        <v>1.7995442148</v>
      </c>
      <c r="AW175">
        <f ca="1" t="shared" si="416"/>
        <v>9392448.34365105</v>
      </c>
      <c r="AX175">
        <f ca="1" t="shared" si="697"/>
        <v>0.9743</v>
      </c>
      <c r="AY175" s="171">
        <f ca="1">技能数计算!$AJ167</f>
        <v>4</v>
      </c>
      <c r="AZ175" s="170">
        <f ca="1" t="shared" si="417"/>
        <v>9331236.97060023</v>
      </c>
      <c r="BA175">
        <f ca="1" t="shared" si="698"/>
        <v>0.9643</v>
      </c>
      <c r="BB175" s="171">
        <f ca="1">技能数计算!$AJ167</f>
        <v>4</v>
      </c>
      <c r="BC175" s="170">
        <f ca="1" t="shared" si="418"/>
        <v>9270025.59754941</v>
      </c>
      <c r="BE175">
        <f ca="1" t="shared" si="400"/>
        <v>105849</v>
      </c>
      <c r="BF175">
        <f ca="1" t="shared" si="681"/>
        <v>1006274.62576302</v>
      </c>
      <c r="BI175">
        <f ca="1" t="shared" si="699"/>
        <v>0.9543</v>
      </c>
      <c r="BJ175" s="171">
        <f ca="1">技能数计算!$AJ167</f>
        <v>4</v>
      </c>
      <c r="BK175">
        <f ca="1" t="shared" si="663"/>
        <v>9261058.65955624</v>
      </c>
      <c r="BM175">
        <f ca="1" t="shared" si="403"/>
        <v>109230</v>
      </c>
      <c r="BN175">
        <f ca="1" t="shared" si="682"/>
        <v>1006274.62576302</v>
      </c>
      <c r="BO175">
        <f ca="1" t="shared" si="683"/>
        <v>9069376.64566376</v>
      </c>
      <c r="BP175">
        <f ca="1" t="shared" ref="BP175:BP181" si="709">IF(COUNTIF(G175,"*恒定伤害*")&gt;0,AB175,((BN175*(1+P175)*(1+IF(COUNTIF(F175,"*内破*")&gt;0,内破,IF(D175="轻剑",$BQ$8,$BQ$9)/破防系数)+IF((IF(D175="轻剑",$AO$2,$AO$3)+INT(COUNTIF(G175,"*大莺鸣*")*IF(D175="轻剑",$AM$2,$AM$3)*听晓无双率)/无双系数)&gt;0.9,(特效裤子破防+特效裤子破防*IF(D175="轻剑",$AD$2+102,$AD$3+102)/1024)/破防系数,0))*(1-R175))*T175*(1+U175))*Y175*(1+Z175)*(1+AA175))</f>
        <v>8648941.49088656</v>
      </c>
      <c r="BR175">
        <f ca="1" t="shared" si="700"/>
        <v>0.9543</v>
      </c>
      <c r="BS175">
        <f ca="1" t="shared" si="664"/>
        <v>8999517.64905057</v>
      </c>
      <c r="BT175">
        <f ca="1" t="shared" si="684"/>
        <v>0.196995876306796</v>
      </c>
      <c r="BU175">
        <f ca="1" t="shared" si="701"/>
        <v>2.8177566866</v>
      </c>
      <c r="BV175">
        <f ca="1" t="shared" si="419"/>
        <v>9327885.1928565</v>
      </c>
      <c r="BW175">
        <f ca="1" t="shared" si="408"/>
        <v>113027</v>
      </c>
      <c r="BX175">
        <f ca="1" t="shared" si="685"/>
        <v>1006274.62576302</v>
      </c>
      <c r="BY175">
        <f ca="1" t="shared" si="702"/>
        <v>0.9343</v>
      </c>
      <c r="BZ175" s="171">
        <f ca="1">技能数计算!$AJ167</f>
        <v>4</v>
      </c>
      <c r="CA175">
        <f ca="1" t="shared" si="703"/>
        <v>2.8216629366</v>
      </c>
      <c r="CB175">
        <f ca="1" t="shared" si="420"/>
        <v>9035203.5237175</v>
      </c>
      <c r="CC175">
        <f ca="1" t="shared" si="411"/>
        <v>114847</v>
      </c>
      <c r="CD175">
        <f ca="1" t="shared" si="686"/>
        <v>1006274.62576302</v>
      </c>
      <c r="CE175">
        <f ca="1" t="shared" si="665"/>
        <v>8821615.66165176</v>
      </c>
      <c r="CF175">
        <f ca="1" t="shared" si="704"/>
        <v>2.7689285616</v>
      </c>
      <c r="CG175">
        <f ca="1" t="shared" si="705"/>
        <v>0.9343</v>
      </c>
      <c r="CH175">
        <f ca="1" t="shared" si="421"/>
        <v>8932769.70754216</v>
      </c>
      <c r="CJ175">
        <f ca="1" t="shared" si="687"/>
        <v>1035436.77670524</v>
      </c>
      <c r="CK175">
        <f ca="1" t="shared" si="688"/>
        <v>9289935.59278969</v>
      </c>
      <c r="CL175">
        <f ca="1" t="shared" si="689"/>
        <v>2.7915848116</v>
      </c>
      <c r="CM175">
        <f ca="1">IF(G175="恒定伤害",0,(IF(D175="轻剑",$CM$8,$CM$9)+IFERROR(INDEX(技能数据库!$T$2:$W$27,MATCH(E175,技能数据库!$T$2:$T$27,0),4),0)+COUNTIF(G175,"*造化2*")*154+COUNTIF(G175,"*造化1*")*102+COUNTIF(G175,"*碧归*")*307)/1024)</f>
        <v>0.176868146929785</v>
      </c>
      <c r="CN175">
        <f ca="1" t="shared" si="422"/>
        <v>9492410.60888121</v>
      </c>
      <c r="CO175">
        <f ca="1" t="shared" si="690"/>
        <v>2.8156473116</v>
      </c>
      <c r="CP175">
        <f ca="1" t="shared" si="423"/>
        <v>9572221.48424653</v>
      </c>
      <c r="CQ175">
        <f ca="1" t="shared" ref="CQ175:CQ181" si="710">IF(G175="恒定伤害",0,(IF(D175="轻剑",$CQ$8,$CQ$9)+INT(COUNTIF(G175,"*大莺鸣*")*IF(D175="轻剑",$AM$2,$AM$3)*听晓无双率)/无双系数))+IF((IF(G175="恒定伤害",0,(IF(D175="轻剑",$CQ$8,$CQ$9)+INT(COUNTIF(G175,"*大莺鸣*")*IF(D175="轻剑",$AM$2,$AM$3)*听晓无双率)/无双系数)))&lt;=0.9,特效裤子无双,0)</f>
        <v>1.8815754648</v>
      </c>
      <c r="CR175">
        <f ca="1">IF(G175="恒定伤害",0,(IF(D175="轻剑",$CR$8,$CR$9)+IFERROR(INDEX(技能数据库!$T$2:$W$27,MATCH(E175,技能数据库!$T$2:$T$27,0),4),0)+COUNTIF(G175,"*造化2*")*154+COUNTIF(G175,"*造化1*")*102+COUNTIF(G175,"*碧归*")*307)/1024)</f>
        <v>0.167102521929785</v>
      </c>
      <c r="CS175">
        <f ca="1" t="shared" si="691"/>
        <v>9100450.6162056</v>
      </c>
    </row>
    <row r="176" spans="4:97">
      <c r="D176" t="s">
        <v>1825</v>
      </c>
      <c r="E176" s="161" t="s">
        <v>2783</v>
      </c>
      <c r="G176" t="s">
        <v>3110</v>
      </c>
      <c r="H176">
        <f ca="1">INDEX(技能数据库!$B$2:$I$100,MATCH(阵眼收益计算!$E176,技能数据库!$B$2:$B$100,0),MATCH(H$9,技能数据库!$B$2:$I$2,0))</f>
        <v>0</v>
      </c>
      <c r="I176">
        <f ca="1">INDEX(技能数据库!$B$2:$I$100,MATCH(阵眼收益计算!$E176,技能数据库!$B$2:$B$100,0),MATCH(I$9,技能数据库!$B$2:$I$2,0))</f>
        <v>0</v>
      </c>
      <c r="J176">
        <f ca="1">INDEX(技能数据库!$B$2:$I$100,MATCH(阵眼收益计算!$E176,技能数据库!$B$2:$B$100,0),MATCH(J$9,技能数据库!$B$2:$I$2,0))</f>
        <v>0</v>
      </c>
      <c r="K176">
        <f ca="1">INDEX(技能数据库!$B$2:$I$100,MATCH(阵眼收益计算!$E176,技能数据库!$B$2:$B$100,0),MATCH(K$9,技能数据库!$B$2:$I$2,0))</f>
        <v>1.28127956390381</v>
      </c>
      <c r="L176">
        <f ca="1" t="shared" si="387"/>
        <v>105847</v>
      </c>
      <c r="M176">
        <f ca="1" t="shared" ref="M176:M178" si="711">IF(D176="轻剑",$AU$2+$AV$2,$AU$3+$AV$3)/2</f>
        <v>19530.5</v>
      </c>
      <c r="N176">
        <f ca="1" t="shared" ref="N176:N178" si="712">IF(D176="轻剑",$AJ$2,$AJ$3)</f>
        <v>92028</v>
      </c>
      <c r="O176">
        <f ca="1" t="shared" si="668"/>
        <v>1006274.62576302</v>
      </c>
      <c r="P176">
        <f ca="1">IF(G176="恒定伤害",0,(IF(D176="轻剑",$AZ$2,$AZ$3)+IFERROR(INDEX(技能数据库!$T$2:$W$27,MATCH(E176,技能数据库!$T$2:$T$27,0),4),0)+COUNTIF(G176,"*造化2*")*154+COUNTIF(G176,"*造化1*")*102+COUNTIF(G176,"*碧归*")*307)/1024)</f>
        <v>0.116321271929785</v>
      </c>
      <c r="Q176">
        <f ca="1" t="shared" si="706"/>
        <v>0.448284482196154</v>
      </c>
      <c r="R176">
        <f ca="1" t="shared" si="669"/>
        <v>0.21277697966198</v>
      </c>
      <c r="S176">
        <f ca="1" t="shared" ref="S176:S178" si="713">O176*(1+P176)*(1+Q176)*(1-R176)</f>
        <v>1280729.41715672</v>
      </c>
      <c r="T176">
        <f t="shared" si="600"/>
        <v>0.8</v>
      </c>
      <c r="U176">
        <f ca="1" t="shared" si="707"/>
        <v>1.7800129648</v>
      </c>
      <c r="V176">
        <f ca="1" t="shared" ref="V176:V178" si="714">S176*T176*(1+U176)</f>
        <v>2848355.50727714</v>
      </c>
      <c r="W176">
        <f ca="1">IF(G176="恒定伤害",0,MIN(1,IF(COUNTIF(F176,"*内会*")&gt;0,内会2,IF(D176="轻剑",$Y$2,$Y$3)+COUNTIF(G176,"*莺鸣*")*0.2+COUNTIF(G176,"*叠1*")*0.1+COUNTIF(G176,"*叠2*")*0.2+COUNTIF(G176,"*叠3*")*0.3)+IFERROR(INDEX(技能数据库!$T$2:$W$27,MATCH(E176,技能数据库!$T$2:$T$27,0),2),0)+IF((IF(D176="轻剑",$AO$2,$AO$3)+INT(COUNTIF(G176,"*大莺鸣*")*IF(D176="轻剑",$AM$2,$AM$3)*听晓无双率)/无双系数)&gt;0.9,特效裤子会心/会心系数,0)))</f>
        <v>1</v>
      </c>
      <c r="X176">
        <f ca="1">IF(G176="恒定伤害",0,IF(COUNTIF(F176,"*内会*")&gt;0,内会效2,IF(D176="轻剑",$AB$2,$AB$3))+IFERROR(INDEX(技能数据库!$T$2:$W$27,MATCH(E176,技能数据库!$T$2:$T$27,0),3)/1024,0))+COUNTIF(G176,"*叠1*")*0.25+COUNTIF(G176,"*叠2*")*0.5+COUNTIF(G176,"*叠3*")*0.75</f>
        <v>2.9212723116</v>
      </c>
      <c r="Y176">
        <f ca="1" t="shared" ref="Y176:Y178" si="715">1+W176*(X176-1)</f>
        <v>2.9212723116</v>
      </c>
      <c r="Z176">
        <f t="shared" si="674"/>
        <v>0.150390625</v>
      </c>
      <c r="AA176">
        <f ca="1" t="shared" ref="AA176:AA178" si="716">IF(D176="轻剑",$BA$2,$BA$3)/1024</f>
        <v>0.0205078125</v>
      </c>
      <c r="AB176">
        <f ca="1" t="shared" ref="AB176:AB178" si="717">V176*Y176*(1+Z176)*(1+AA176)</f>
        <v>9768500.50450358</v>
      </c>
      <c r="AC176">
        <f ca="1">技能数计算!$AJ168</f>
        <v>40</v>
      </c>
      <c r="AD176" s="164">
        <f ca="1" t="shared" si="677"/>
        <v>0.140085882271934</v>
      </c>
      <c r="AE176" s="168"/>
      <c r="AF176" s="168">
        <f ca="1" t="shared" si="692"/>
        <v>1.0014</v>
      </c>
      <c r="AG176">
        <f ca="1">技能数计算!$AJ168</f>
        <v>40</v>
      </c>
      <c r="AH176">
        <f ca="1" t="shared" si="389"/>
        <v>109879</v>
      </c>
      <c r="AJ176">
        <f ca="1" t="shared" si="693"/>
        <v>3.1204910616</v>
      </c>
      <c r="AK176">
        <f ca="1" t="shared" si="678"/>
        <v>1006274.62576302</v>
      </c>
      <c r="AL176">
        <f ca="1" t="shared" si="661"/>
        <v>10437541.7658037</v>
      </c>
      <c r="AM176" s="169">
        <f ca="1" t="shared" si="694"/>
        <v>1.0229</v>
      </c>
      <c r="AN176">
        <f ca="1">技能数计算!$AJ168</f>
        <v>40</v>
      </c>
      <c r="AO176" s="170">
        <f ca="1" t="shared" si="662"/>
        <v>10437541.7658037</v>
      </c>
      <c r="AP176">
        <f ca="1" t="shared" si="394"/>
        <v>110956</v>
      </c>
      <c r="AQ176" s="170">
        <f ca="1" t="shared" si="679"/>
        <v>1006274.62576302</v>
      </c>
      <c r="AR176">
        <f ca="1" t="shared" si="680"/>
        <v>10341594.2664245</v>
      </c>
      <c r="AS176">
        <f ca="1" t="shared" si="695"/>
        <v>1.08</v>
      </c>
      <c r="AT176">
        <f ca="1">技能数计算!$AJ168</f>
        <v>40</v>
      </c>
      <c r="AU176">
        <f ca="1" t="shared" si="696"/>
        <v>3.0677566866</v>
      </c>
      <c r="AV176">
        <f ca="1" t="shared" si="708"/>
        <v>1.7995442148</v>
      </c>
      <c r="AW176">
        <f ca="1" t="shared" si="416"/>
        <v>10330403.4229055</v>
      </c>
      <c r="AX176">
        <f ca="1" t="shared" si="697"/>
        <v>1.07</v>
      </c>
      <c r="AY176">
        <f ca="1">技能数计算!$AJ168</f>
        <v>40</v>
      </c>
      <c r="AZ176" s="170">
        <f ca="1" t="shared" si="417"/>
        <v>10330403.4229055</v>
      </c>
      <c r="BA176">
        <f ca="1" t="shared" si="698"/>
        <v>1.06</v>
      </c>
      <c r="BB176">
        <f ca="1">技能数计算!$AJ168</f>
        <v>40</v>
      </c>
      <c r="BC176" s="170">
        <f ca="1" t="shared" si="418"/>
        <v>10330403.4229055</v>
      </c>
      <c r="BE176">
        <f ca="1" t="shared" si="400"/>
        <v>105849</v>
      </c>
      <c r="BF176">
        <f ca="1" t="shared" si="681"/>
        <v>1006274.62576302</v>
      </c>
      <c r="BI176">
        <f ca="1" t="shared" si="699"/>
        <v>1.05</v>
      </c>
      <c r="BJ176">
        <f ca="1">技能数计算!$AJ168</f>
        <v>40</v>
      </c>
      <c r="BK176">
        <f ca="1" t="shared" si="663"/>
        <v>10425883.3199651</v>
      </c>
      <c r="BM176">
        <f ca="1" t="shared" si="403"/>
        <v>109230</v>
      </c>
      <c r="BN176">
        <f ca="1" t="shared" si="682"/>
        <v>1006274.62576302</v>
      </c>
      <c r="BO176">
        <f ca="1" t="shared" si="683"/>
        <v>10549829.1788242</v>
      </c>
      <c r="BP176">
        <f ca="1" t="shared" si="709"/>
        <v>10060763.6964911</v>
      </c>
      <c r="BR176">
        <f ca="1" t="shared" si="700"/>
        <v>1.05</v>
      </c>
      <c r="BS176">
        <f ca="1" t="shared" si="664"/>
        <v>10131446.5650371</v>
      </c>
      <c r="BT176">
        <f ca="1" t="shared" si="684"/>
        <v>0.196995876306796</v>
      </c>
      <c r="BU176">
        <f ca="1" t="shared" si="701"/>
        <v>3.0677566866</v>
      </c>
      <c r="BV176">
        <f ca="1" t="shared" si="419"/>
        <v>10463976.661447</v>
      </c>
      <c r="BW176">
        <f ca="1" t="shared" si="408"/>
        <v>113027</v>
      </c>
      <c r="BX176">
        <f ca="1" t="shared" si="685"/>
        <v>1006274.62576302</v>
      </c>
      <c r="BY176">
        <f ca="1" t="shared" si="702"/>
        <v>1.03</v>
      </c>
      <c r="BZ176">
        <f ca="1">技能数计算!$AJ168</f>
        <v>40</v>
      </c>
      <c r="CA176">
        <f ca="1" t="shared" si="703"/>
        <v>3.0716629366</v>
      </c>
      <c r="CB176">
        <f ca="1" t="shared" si="420"/>
        <v>10271394.7024705</v>
      </c>
      <c r="CC176">
        <f ca="1" t="shared" si="411"/>
        <v>114847</v>
      </c>
      <c r="CD176">
        <f ca="1" t="shared" si="686"/>
        <v>1006274.62576302</v>
      </c>
      <c r="CE176">
        <f ca="1" t="shared" si="665"/>
        <v>10060763.6964911</v>
      </c>
      <c r="CF176">
        <f ca="1" t="shared" si="704"/>
        <v>3.0189285616</v>
      </c>
      <c r="CG176">
        <f ca="1" t="shared" si="705"/>
        <v>1.03</v>
      </c>
      <c r="CH176">
        <f ca="1" t="shared" si="421"/>
        <v>10165978.9651781</v>
      </c>
      <c r="CJ176">
        <f ca="1" t="shared" si="687"/>
        <v>1035436.77670524</v>
      </c>
      <c r="CK176">
        <f ca="1" t="shared" si="688"/>
        <v>10806391.3778538</v>
      </c>
      <c r="CL176">
        <f ca="1" t="shared" si="689"/>
        <v>3.0415848116</v>
      </c>
      <c r="CM176">
        <f ca="1">IF(G176="恒定伤害",0,(IF(D176="轻剑",$CM$8,$CM$9)+IFERROR(INDEX(技能数据库!$T$2:$W$27,MATCH(E176,技能数据库!$T$2:$T$27,0),4),0)+COUNTIF(G176,"*造化2*")*154+COUNTIF(G176,"*造化1*")*102+COUNTIF(G176,"*碧归*")*307)/1024)</f>
        <v>0.176868146929785</v>
      </c>
      <c r="CN176">
        <f ca="1" t="shared" si="422"/>
        <v>10797790.80661</v>
      </c>
      <c r="CO176">
        <f ca="1" t="shared" si="690"/>
        <v>3.0656473116</v>
      </c>
      <c r="CP176">
        <f ca="1" t="shared" si="423"/>
        <v>10883213.9847812</v>
      </c>
      <c r="CQ176">
        <f ca="1" t="shared" si="710"/>
        <v>1.8815754648</v>
      </c>
      <c r="CR176">
        <f ca="1">IF(G176="恒定伤害",0,(IF(D176="轻剑",$CR$8,$CR$9)+IFERROR(INDEX(技能数据库!$T$2:$W$27,MATCH(E176,技能数据库!$T$2:$T$27,0),4),0)+COUNTIF(G176,"*造化2*")*154+COUNTIF(G176,"*造化1*")*102+COUNTIF(G176,"*碧归*")*307)/1024)</f>
        <v>0.167102521929785</v>
      </c>
      <c r="CS176">
        <f ca="1" t="shared" si="691"/>
        <v>10585975.5529282</v>
      </c>
    </row>
    <row r="177" spans="4:97">
      <c r="D177" t="s">
        <v>1825</v>
      </c>
      <c r="E177" s="161" t="s">
        <v>2789</v>
      </c>
      <c r="G177" t="s">
        <v>3108</v>
      </c>
      <c r="H177">
        <f ca="1">INDEX(技能数据库!$B$2:$I$100,MATCH(阵眼收益计算!$E177,技能数据库!$B$2:$B$100,0),MATCH(H$9,技能数据库!$B$2:$I$2,0))</f>
        <v>131</v>
      </c>
      <c r="I177">
        <f ca="1">INDEX(技能数据库!$B$2:$I$100,MATCH(阵眼收益计算!$E177,技能数据库!$B$2:$B$100,0),MATCH(I$9,技能数据库!$B$2:$I$2,0))</f>
        <v>3.425</v>
      </c>
      <c r="J177">
        <f ca="1">INDEX(技能数据库!$B$2:$I$100,MATCH(阵眼收益计算!$E177,技能数据库!$B$2:$B$100,0),MATCH(J$9,技能数据库!$B$2:$I$2,0))</f>
        <v>0</v>
      </c>
      <c r="K177">
        <f ca="1">INDEX(技能数据库!$B$2:$I$100,MATCH(阵眼收益计算!$E177,技能数据库!$B$2:$B$100,0),MATCH(K$9,技能数据库!$B$2:$I$2,0))</f>
        <v>0</v>
      </c>
      <c r="L177">
        <f ca="1" t="shared" si="387"/>
        <v>105847</v>
      </c>
      <c r="M177">
        <f ca="1" t="shared" si="711"/>
        <v>19530.5</v>
      </c>
      <c r="N177">
        <f ca="1" t="shared" si="712"/>
        <v>92028</v>
      </c>
      <c r="O177">
        <f ca="1" t="shared" si="668"/>
        <v>362656.975</v>
      </c>
      <c r="P177">
        <f ca="1">IF(G177="恒定伤害",0,(IF(D177="轻剑",$AZ$2,$AZ$3)+IFERROR(INDEX(技能数据库!$T$2:$W$27,MATCH(E177,技能数据库!$T$2:$T$27,0),4),0)+COUNTIF(G177,"*造化2*")*154+COUNTIF(G177,"*造化1*")*102+COUNTIF(G177,"*碧归*")*307)/1024)</f>
        <v>0.612353986773535</v>
      </c>
      <c r="Q177">
        <f ca="1" t="shared" si="706"/>
        <v>0.448284482196154</v>
      </c>
      <c r="R177">
        <f ca="1" t="shared" si="669"/>
        <v>0.21277697966198</v>
      </c>
      <c r="S177">
        <f ca="1" t="shared" si="713"/>
        <v>666665.672558413</v>
      </c>
      <c r="T177">
        <f t="shared" si="600"/>
        <v>0.8</v>
      </c>
      <c r="U177">
        <f ca="1" t="shared" si="707"/>
        <v>1.7800129648</v>
      </c>
      <c r="V177">
        <f ca="1" t="shared" si="714"/>
        <v>1482671.3703196</v>
      </c>
      <c r="W177">
        <f ca="1">IF(G177="恒定伤害",0,MIN(1,IF(COUNTIF(F177,"*内会*")&gt;0,内会2,IF(D177="轻剑",$Y$2,$Y$3)+COUNTIF(G177,"*莺鸣*")*0.2+COUNTIF(G177,"*叠1*")*0.1+COUNTIF(G177,"*叠2*")*0.2+COUNTIF(G177,"*叠3*")*0.3)+IFERROR(INDEX(技能数据库!$T$2:$W$27,MATCH(E177,技能数据库!$T$2:$T$27,0),2),0)+IF((IF(D177="轻剑",$AO$2,$AO$3)+INT(COUNTIF(G177,"*大莺鸣*")*IF(D177="轻剑",$AM$2,$AM$3)*听晓无双率)/无双系数)&gt;0.9,特效裤子会心/会心系数,0)))</f>
        <v>0.8343</v>
      </c>
      <c r="X177">
        <f ca="1">IF(G177="恒定伤害",0,IF(COUNTIF(F177,"*内会*")&gt;0,内会效2,IF(D177="轻剑",$AB$2,$AB$3))+IFERROR(INDEX(技能数据库!$T$2:$W$27,MATCH(E177,技能数据库!$T$2:$T$27,0),3)/1024,0))+COUNTIF(G177,"*叠1*")*0.25+COUNTIF(G177,"*叠2*")*0.5+COUNTIF(G177,"*叠3*")*0.75</f>
        <v>2.4212723116</v>
      </c>
      <c r="Y177">
        <f ca="1" t="shared" si="715"/>
        <v>2.18576748956788</v>
      </c>
      <c r="Z177">
        <f t="shared" si="674"/>
        <v>0.150390625</v>
      </c>
      <c r="AA177">
        <f ca="1" t="shared" si="716"/>
        <v>0.0205078125</v>
      </c>
      <c r="AB177">
        <f ca="1" t="shared" si="717"/>
        <v>3804613.38400425</v>
      </c>
      <c r="AC177">
        <f ca="1">技能数计算!$AJ169</f>
        <v>0</v>
      </c>
      <c r="AD177" s="164">
        <f ca="1" t="shared" si="677"/>
        <v>0</v>
      </c>
      <c r="AE177" s="168"/>
      <c r="AF177" s="168">
        <f ca="1" t="shared" si="692"/>
        <v>0.8357</v>
      </c>
      <c r="AG177">
        <f ca="1">技能数计算!$AJ169</f>
        <v>0</v>
      </c>
      <c r="AH177">
        <f ca="1" t="shared" si="389"/>
        <v>109879</v>
      </c>
      <c r="AJ177">
        <f ca="1" t="shared" si="693"/>
        <v>2.6204910616</v>
      </c>
      <c r="AK177">
        <f ca="1" t="shared" si="678"/>
        <v>376466.575</v>
      </c>
      <c r="AL177">
        <f ca="1" t="shared" si="661"/>
        <v>4255081.88815748</v>
      </c>
      <c r="AM177" s="169">
        <f ca="1" t="shared" si="694"/>
        <v>0.8572</v>
      </c>
      <c r="AN177">
        <f ca="1">技能数计算!$AJ169</f>
        <v>0</v>
      </c>
      <c r="AO177" s="170">
        <f ca="1" t="shared" si="662"/>
        <v>4318053.01716178</v>
      </c>
      <c r="AP177">
        <f ca="1" t="shared" si="394"/>
        <v>110956</v>
      </c>
      <c r="AQ177" s="170">
        <f ca="1" t="shared" si="679"/>
        <v>380155.3</v>
      </c>
      <c r="AR177">
        <f ca="1" t="shared" si="680"/>
        <v>4222164.38524195</v>
      </c>
      <c r="AS177">
        <f ca="1" t="shared" si="695"/>
        <v>0.9143</v>
      </c>
      <c r="AT177">
        <f ca="1">技能数计算!$AJ169</f>
        <v>0</v>
      </c>
      <c r="AU177">
        <f ca="1" t="shared" si="696"/>
        <v>2.5677566866</v>
      </c>
      <c r="AV177">
        <f ca="1" t="shared" si="708"/>
        <v>1.7995442148</v>
      </c>
      <c r="AW177">
        <f ca="1" t="shared" si="416"/>
        <v>4265407.92626647</v>
      </c>
      <c r="AX177">
        <f ca="1" t="shared" si="697"/>
        <v>0.9043</v>
      </c>
      <c r="AY177">
        <f ca="1">技能数计算!$AJ169</f>
        <v>0</v>
      </c>
      <c r="AZ177" s="170">
        <f ca="1" t="shared" si="417"/>
        <v>4237927.35600952</v>
      </c>
      <c r="BA177">
        <f ca="1" t="shared" si="698"/>
        <v>0.8943</v>
      </c>
      <c r="BB177">
        <f ca="1">技能数计算!$AJ169</f>
        <v>0</v>
      </c>
      <c r="BC177" s="170">
        <f ca="1" t="shared" si="418"/>
        <v>4210446.78575257</v>
      </c>
      <c r="BE177">
        <f ca="1" t="shared" si="400"/>
        <v>105849</v>
      </c>
      <c r="BF177">
        <f ca="1" t="shared" si="681"/>
        <v>362663.825</v>
      </c>
      <c r="BI177">
        <f ca="1" t="shared" si="699"/>
        <v>0.8843</v>
      </c>
      <c r="BJ177">
        <f ca="1">技能数计算!$AJ169</f>
        <v>0</v>
      </c>
      <c r="BK177">
        <f ca="1" t="shared" si="663"/>
        <v>4192748.26787749</v>
      </c>
      <c r="BM177">
        <f ca="1" t="shared" si="403"/>
        <v>109230</v>
      </c>
      <c r="BN177">
        <f ca="1" t="shared" si="682"/>
        <v>374243.75</v>
      </c>
      <c r="BO177">
        <f ca="1" t="shared" si="683"/>
        <v>4240202.29994501</v>
      </c>
      <c r="BP177">
        <f ca="1" t="shared" si="709"/>
        <v>4043636.40794224</v>
      </c>
      <c r="BR177">
        <f ca="1" t="shared" si="700"/>
        <v>0.8843</v>
      </c>
      <c r="BS177">
        <f ca="1" t="shared" si="664"/>
        <v>4204435.59936995</v>
      </c>
      <c r="BT177">
        <f ca="1" t="shared" si="684"/>
        <v>0.196995876306796</v>
      </c>
      <c r="BU177">
        <f ca="1" t="shared" si="701"/>
        <v>2.5677566866</v>
      </c>
      <c r="BV177">
        <f ca="1" t="shared" si="419"/>
        <v>4237052.4230947</v>
      </c>
      <c r="BW177">
        <f ca="1" t="shared" si="408"/>
        <v>113027</v>
      </c>
      <c r="BX177">
        <f ca="1" t="shared" si="685"/>
        <v>387248.475</v>
      </c>
      <c r="BY177">
        <f ca="1" t="shared" si="702"/>
        <v>0.8643</v>
      </c>
      <c r="BZ177">
        <f ca="1">技能数计算!$AJ169</f>
        <v>0</v>
      </c>
      <c r="CA177">
        <f ca="1" t="shared" si="703"/>
        <v>2.5716629366</v>
      </c>
      <c r="CB177">
        <f ca="1" t="shared" si="420"/>
        <v>4383444.96184282</v>
      </c>
      <c r="CC177">
        <f ca="1" t="shared" si="411"/>
        <v>114847</v>
      </c>
      <c r="CD177">
        <f ca="1" t="shared" si="686"/>
        <v>393481.975</v>
      </c>
      <c r="CE177">
        <f ca="1" t="shared" si="665"/>
        <v>4334436.80155317</v>
      </c>
      <c r="CF177">
        <f ca="1" t="shared" si="704"/>
        <v>2.5189285616</v>
      </c>
      <c r="CG177">
        <f ca="1" t="shared" si="705"/>
        <v>0.8643</v>
      </c>
      <c r="CH177">
        <f ca="1" t="shared" si="421"/>
        <v>4054030.64291306</v>
      </c>
      <c r="CJ177">
        <f ca="1" t="shared" si="687"/>
        <v>374243.75</v>
      </c>
      <c r="CK177">
        <f ca="1" t="shared" si="688"/>
        <v>4220994.41462418</v>
      </c>
      <c r="CL177">
        <f ca="1" t="shared" si="689"/>
        <v>2.5415848116</v>
      </c>
      <c r="CM177">
        <f ca="1">IF(G177="恒定伤害",0,(IF(D177="轻剑",$CM$8,$CM$9)+IFERROR(INDEX(技能数据库!$T$2:$W$27,MATCH(E177,技能数据库!$T$2:$T$27,0),4),0)+COUNTIF(G177,"*造化2*")*154+COUNTIF(G177,"*造化1*")*102+COUNTIF(G177,"*碧归*")*307)/1024)</f>
        <v>0.672900861773535</v>
      </c>
      <c r="CN177">
        <f ca="1" t="shared" si="422"/>
        <v>4241880.06466784</v>
      </c>
      <c r="CO177">
        <f ca="1" t="shared" si="690"/>
        <v>2.5656473116</v>
      </c>
      <c r="CP177">
        <f ca="1" t="shared" si="423"/>
        <v>4279703.60246561</v>
      </c>
      <c r="CQ177">
        <f ca="1" t="shared" si="710"/>
        <v>1.8815754648</v>
      </c>
      <c r="CR177">
        <f ca="1">IF(G177="恒定伤害",0,(IF(D177="轻剑",$CR$8,$CR$9)+IFERROR(INDEX(技能数据库!$T$2:$W$27,MATCH(E177,技能数据库!$T$2:$T$27,0),4),0)+COUNTIF(G177,"*造化2*")*154+COUNTIF(G177,"*造化1*")*102+COUNTIF(G177,"*碧归*")*307)/1024)</f>
        <v>0.663135236773535</v>
      </c>
      <c r="CS177">
        <f ca="1" t="shared" si="691"/>
        <v>4067812.03593615</v>
      </c>
    </row>
    <row r="178" spans="4:97">
      <c r="D178" t="s">
        <v>1825</v>
      </c>
      <c r="E178" s="161" t="s">
        <v>2789</v>
      </c>
      <c r="G178" t="s">
        <v>3109</v>
      </c>
      <c r="H178">
        <f ca="1">INDEX(技能数据库!$B$2:$I$100,MATCH(阵眼收益计算!$E178,技能数据库!$B$2:$B$100,0),MATCH(H$9,技能数据库!$B$2:$I$2,0))</f>
        <v>131</v>
      </c>
      <c r="I178">
        <f ca="1">INDEX(技能数据库!$B$2:$I$100,MATCH(阵眼收益计算!$E178,技能数据库!$B$2:$B$100,0),MATCH(I$9,技能数据库!$B$2:$I$2,0))</f>
        <v>3.425</v>
      </c>
      <c r="J178">
        <f ca="1">INDEX(技能数据库!$B$2:$I$100,MATCH(阵眼收益计算!$E178,技能数据库!$B$2:$B$100,0),MATCH(J$9,技能数据库!$B$2:$I$2,0))</f>
        <v>0</v>
      </c>
      <c r="K178">
        <f ca="1">INDEX(技能数据库!$B$2:$I$100,MATCH(阵眼收益计算!$E178,技能数据库!$B$2:$B$100,0),MATCH(K$9,技能数据库!$B$2:$I$2,0))</f>
        <v>0</v>
      </c>
      <c r="L178">
        <f ca="1" t="shared" si="387"/>
        <v>105847</v>
      </c>
      <c r="M178">
        <f ca="1" t="shared" si="711"/>
        <v>19530.5</v>
      </c>
      <c r="N178">
        <f ca="1" t="shared" si="712"/>
        <v>92028</v>
      </c>
      <c r="O178">
        <f ca="1" t="shared" si="668"/>
        <v>362656.975</v>
      </c>
      <c r="P178">
        <f ca="1">IF(G178="恒定伤害",0,(IF(D178="轻剑",$AZ$2,$AZ$3)+IFERROR(INDEX(技能数据库!$T$2:$W$27,MATCH(E178,技能数据库!$T$2:$T$27,0),4),0)+COUNTIF(G178,"*造化2*")*154+COUNTIF(G178,"*造化1*")*102+COUNTIF(G178,"*碧归*")*307)/1024)</f>
        <v>0.612353986773535</v>
      </c>
      <c r="Q178">
        <f ca="1" t="shared" si="706"/>
        <v>0.448284482196154</v>
      </c>
      <c r="R178">
        <f ca="1" t="shared" si="669"/>
        <v>0.21277697966198</v>
      </c>
      <c r="S178">
        <f ca="1" t="shared" si="713"/>
        <v>666665.672558413</v>
      </c>
      <c r="T178">
        <f t="shared" si="600"/>
        <v>0.8</v>
      </c>
      <c r="U178">
        <f ca="1" t="shared" si="707"/>
        <v>1.7800129648</v>
      </c>
      <c r="V178">
        <f ca="1" t="shared" si="714"/>
        <v>1482671.3703196</v>
      </c>
      <c r="W178">
        <f ca="1">IF(G178="恒定伤害",0,MIN(1,IF(COUNTIF(F178,"*内会*")&gt;0,内会2,IF(D178="轻剑",$Y$2,$Y$3)+COUNTIF(G178,"*莺鸣*")*0.2+COUNTIF(G178,"*叠1*")*0.1+COUNTIF(G178,"*叠2*")*0.2+COUNTIF(G178,"*叠3*")*0.3)+IFERROR(INDEX(技能数据库!$T$2:$W$27,MATCH(E178,技能数据库!$T$2:$T$27,0),2),0)+IF((IF(D178="轻剑",$AO$2,$AO$3)+INT(COUNTIF(G178,"*大莺鸣*")*IF(D178="轻剑",$AM$2,$AM$3)*听晓无双率)/无双系数)&gt;0.9,特效裤子会心/会心系数,0)))</f>
        <v>0.9343</v>
      </c>
      <c r="X178">
        <f ca="1">IF(G178="恒定伤害",0,IF(COUNTIF(F178,"*内会*")&gt;0,内会效2,IF(D178="轻剑",$AB$2,$AB$3))+IFERROR(INDEX(技能数据库!$T$2:$W$27,MATCH(E178,技能数据库!$T$2:$T$27,0),3)/1024,0))+COUNTIF(G178,"*叠1*")*0.25+COUNTIF(G178,"*叠2*")*0.5+COUNTIF(G178,"*叠3*")*0.75</f>
        <v>2.6712723116</v>
      </c>
      <c r="Y178">
        <f ca="1" t="shared" si="715"/>
        <v>2.56146972072788</v>
      </c>
      <c r="Z178">
        <f t="shared" si="674"/>
        <v>0.150390625</v>
      </c>
      <c r="AA178">
        <f ca="1" t="shared" si="716"/>
        <v>0.0205078125</v>
      </c>
      <c r="AB178">
        <f ca="1" t="shared" si="717"/>
        <v>4458572.11652899</v>
      </c>
      <c r="AC178" s="171">
        <f ca="1">技能数计算!$AJ170</f>
        <v>3</v>
      </c>
      <c r="AD178" s="164">
        <f ca="1" t="shared" si="677"/>
        <v>0.00479538549695311</v>
      </c>
      <c r="AE178" s="168"/>
      <c r="AF178" s="168">
        <f ca="1" t="shared" si="692"/>
        <v>0.9357</v>
      </c>
      <c r="AG178" s="171">
        <f ca="1">技能数计算!$AJ170</f>
        <v>3</v>
      </c>
      <c r="AH178">
        <f ca="1" t="shared" si="389"/>
        <v>109879</v>
      </c>
      <c r="AJ178">
        <f ca="1" t="shared" si="693"/>
        <v>2.8704910616</v>
      </c>
      <c r="AK178">
        <f ca="1" t="shared" si="678"/>
        <v>376466.575</v>
      </c>
      <c r="AL178">
        <f ca="1" t="shared" si="661"/>
        <v>4970768.95169528</v>
      </c>
      <c r="AM178" s="169">
        <f ca="1" t="shared" si="694"/>
        <v>0.9572</v>
      </c>
      <c r="AN178" s="171">
        <f ca="1">技能数计算!$AJ170</f>
        <v>3</v>
      </c>
      <c r="AO178" s="170">
        <f ca="1" t="shared" si="662"/>
        <v>5043454.9027212</v>
      </c>
      <c r="AP178">
        <f ca="1" t="shared" si="394"/>
        <v>110956</v>
      </c>
      <c r="AQ178" s="170">
        <f ca="1" t="shared" si="679"/>
        <v>380155.3</v>
      </c>
      <c r="AR178">
        <f ca="1" t="shared" si="680"/>
        <v>4947894.17463198</v>
      </c>
      <c r="AS178">
        <f ca="1" t="shared" si="695"/>
        <v>1.0143</v>
      </c>
      <c r="AT178" s="171">
        <f ca="1">技能数计算!$AJ170</f>
        <v>3</v>
      </c>
      <c r="AU178">
        <f ca="1" t="shared" si="696"/>
        <v>2.8177566866</v>
      </c>
      <c r="AV178">
        <f ca="1" t="shared" si="708"/>
        <v>1.7995442148</v>
      </c>
      <c r="AW178">
        <f ca="1" t="shared" si="416"/>
        <v>4939131.26028693</v>
      </c>
      <c r="AX178">
        <f ca="1" t="shared" si="697"/>
        <v>1.0043</v>
      </c>
      <c r="AY178" s="171">
        <f ca="1">技能数计算!$AJ170</f>
        <v>3</v>
      </c>
      <c r="AZ178" s="170">
        <f ca="1" t="shared" si="417"/>
        <v>4939131.26028693</v>
      </c>
      <c r="BA178">
        <f ca="1" t="shared" si="698"/>
        <v>0.9943</v>
      </c>
      <c r="BB178" s="171">
        <f ca="1">技能数计算!$AJ170</f>
        <v>3</v>
      </c>
      <c r="BC178" s="170">
        <f ca="1" t="shared" si="418"/>
        <v>4920969.51061304</v>
      </c>
      <c r="BE178">
        <f ca="1" t="shared" si="400"/>
        <v>105849</v>
      </c>
      <c r="BF178">
        <f ca="1" t="shared" si="681"/>
        <v>362663.825</v>
      </c>
      <c r="BI178">
        <f ca="1" t="shared" si="699"/>
        <v>0.9843</v>
      </c>
      <c r="BJ178" s="171">
        <f ca="1">技能数计算!$AJ170</f>
        <v>3</v>
      </c>
      <c r="BK178">
        <f ca="1" t="shared" si="663"/>
        <v>4913951.65282269</v>
      </c>
      <c r="BM178">
        <f ca="1" t="shared" si="403"/>
        <v>109230</v>
      </c>
      <c r="BN178">
        <f ca="1" t="shared" si="682"/>
        <v>374243.75</v>
      </c>
      <c r="BO178">
        <f ca="1" t="shared" si="683"/>
        <v>4969032.54939393</v>
      </c>
      <c r="BP178">
        <f ca="1" t="shared" si="709"/>
        <v>4738679.78639602</v>
      </c>
      <c r="BR178">
        <f ca="1" t="shared" si="700"/>
        <v>0.9843</v>
      </c>
      <c r="BS178">
        <f ca="1" t="shared" si="664"/>
        <v>4927649.34661091</v>
      </c>
      <c r="BT178">
        <f ca="1" t="shared" si="684"/>
        <v>0.196995876306796</v>
      </c>
      <c r="BU178">
        <f ca="1" t="shared" si="701"/>
        <v>2.8177566866</v>
      </c>
      <c r="BV178">
        <f ca="1" t="shared" si="419"/>
        <v>4952323.47385302</v>
      </c>
      <c r="BW178">
        <f ca="1" t="shared" si="408"/>
        <v>113027</v>
      </c>
      <c r="BX178">
        <f ca="1" t="shared" si="685"/>
        <v>387248.475</v>
      </c>
      <c r="BY178">
        <f ca="1" t="shared" si="702"/>
        <v>0.9643</v>
      </c>
      <c r="BZ178" s="171">
        <f ca="1">技能数计算!$AJ170</f>
        <v>3</v>
      </c>
      <c r="CA178">
        <f ca="1" t="shared" si="703"/>
        <v>2.8216629366</v>
      </c>
      <c r="CB178">
        <f ca="1" t="shared" si="420"/>
        <v>5123640.63275073</v>
      </c>
      <c r="CC178">
        <f ca="1" t="shared" si="411"/>
        <v>114847</v>
      </c>
      <c r="CD178">
        <f ca="1" t="shared" si="686"/>
        <v>393481.975</v>
      </c>
      <c r="CE178">
        <f ca="1" t="shared" si="665"/>
        <v>5079797.43485242</v>
      </c>
      <c r="CF178">
        <f ca="1" t="shared" si="704"/>
        <v>2.7689285616</v>
      </c>
      <c r="CG178">
        <f ca="1" t="shared" si="705"/>
        <v>0.9643</v>
      </c>
      <c r="CH178">
        <f ca="1" t="shared" si="421"/>
        <v>4742848.03863709</v>
      </c>
      <c r="CJ178">
        <f ca="1" t="shared" si="687"/>
        <v>374243.75</v>
      </c>
      <c r="CK178">
        <f ca="1" t="shared" si="688"/>
        <v>4946523.10276554</v>
      </c>
      <c r="CL178">
        <f ca="1" t="shared" si="689"/>
        <v>2.7915848116</v>
      </c>
      <c r="CM178">
        <f ca="1">IF(G178="恒定伤害",0,(IF(D178="轻剑",$CM$8,$CM$9)+IFERROR(INDEX(技能数据库!$T$2:$W$27,MATCH(E178,技能数据库!$T$2:$T$27,0),4),0)+COUNTIF(G178,"*造化2*")*154+COUNTIF(G178,"*造化1*")*102+COUNTIF(G178,"*碧归*")*307)/1024)</f>
        <v>0.672900861773535</v>
      </c>
      <c r="CN178">
        <f ca="1" t="shared" si="422"/>
        <v>4960684.2804286</v>
      </c>
      <c r="CO178">
        <f ca="1" t="shared" si="690"/>
        <v>2.8156473116</v>
      </c>
      <c r="CP178">
        <f ca="1" t="shared" si="423"/>
        <v>5002884.02299298</v>
      </c>
      <c r="CQ178">
        <f ca="1" t="shared" si="710"/>
        <v>1.8815754648</v>
      </c>
      <c r="CR178">
        <f ca="1">IF(G178="恒定伤害",0,(IF(D178="轻剑",$CR$8,$CR$9)+IFERROR(INDEX(技能数据库!$T$2:$W$27,MATCH(E178,技能数据库!$T$2:$T$27,0),4),0)+COUNTIF(G178,"*造化2*")*154+COUNTIF(G178,"*造化1*")*102+COUNTIF(G178,"*碧归*")*307)/1024)</f>
        <v>0.663135236773535</v>
      </c>
      <c r="CS178">
        <f ca="1" t="shared" si="691"/>
        <v>4767010.85975196</v>
      </c>
    </row>
    <row r="179" spans="4:97">
      <c r="D179" t="s">
        <v>1825</v>
      </c>
      <c r="E179" s="161" t="s">
        <v>2789</v>
      </c>
      <c r="G179" t="s">
        <v>3110</v>
      </c>
      <c r="H179">
        <f ca="1">INDEX(技能数据库!$B$2:$I$100,MATCH(阵眼收益计算!$E179,技能数据库!$B$2:$B$100,0),MATCH(H$9,技能数据库!$B$2:$I$2,0))</f>
        <v>131</v>
      </c>
      <c r="I179">
        <f ca="1">INDEX(技能数据库!$B$2:$I$100,MATCH(阵眼收益计算!$E179,技能数据库!$B$2:$B$100,0),MATCH(I$9,技能数据库!$B$2:$I$2,0))</f>
        <v>3.425</v>
      </c>
      <c r="J179">
        <f ca="1">INDEX(技能数据库!$B$2:$I$100,MATCH(阵眼收益计算!$E179,技能数据库!$B$2:$B$100,0),MATCH(J$9,技能数据库!$B$2:$I$2,0))</f>
        <v>0</v>
      </c>
      <c r="K179">
        <f ca="1">INDEX(技能数据库!$B$2:$I$100,MATCH(阵眼收益计算!$E179,技能数据库!$B$2:$B$100,0),MATCH(K$9,技能数据库!$B$2:$I$2,0))</f>
        <v>0</v>
      </c>
      <c r="L179">
        <f ca="1" t="shared" si="387"/>
        <v>105847</v>
      </c>
      <c r="M179">
        <f ca="1" t="shared" ref="M179:M183" si="718">IF(D179="轻剑",$AU$2+$AV$2,$AU$3+$AV$3)/2</f>
        <v>19530.5</v>
      </c>
      <c r="N179">
        <f ca="1" t="shared" ref="N179:N183" si="719">IF(D179="轻剑",$AJ$2,$AJ$3)</f>
        <v>92028</v>
      </c>
      <c r="O179">
        <f ca="1" t="shared" ref="O179:O183" si="720">H179+I179*L179+J179*M179+IF(K179&gt;0,MAX(1,K179*N179*破招全局系数),0)</f>
        <v>362656.975</v>
      </c>
      <c r="P179">
        <f ca="1">IF(G179="恒定伤害",0,(IF(D179="轻剑",$AZ$2,$AZ$3)+IFERROR(INDEX(技能数据库!$T$2:$W$27,MATCH(E179,技能数据库!$T$2:$T$27,0),4),0)+COUNTIF(G179,"*造化2*")*154+COUNTIF(G179,"*造化1*")*102+COUNTIF(G179,"*碧归*")*307)/1024)</f>
        <v>0.612353986773535</v>
      </c>
      <c r="Q179">
        <f ca="1" t="shared" si="706"/>
        <v>0.448284482196154</v>
      </c>
      <c r="R179">
        <f ca="1" t="shared" ref="R179:R183" si="721">IF(G179="恒定伤害",0,(($F$5-IF(D179="轻剑",$BB$2,$BB$3))*(1024-IF(D179="轻剑",$BD$2,$BD$3))/1024*(1024-IF(D179="轻剑",$BC$2,$BC$3)-COUNTIF(G179,"*雾锁*")*461*雾锁)/1024/(($F$5-IF(D179="轻剑",$BB$2,$BB$3))*(1024-IF(D179="轻剑",$BD$2,$BD$3))/1024*(1024-IF(D179="轻剑",$BC$2,$BC$3)-COUNTIF(G179,"*雾锁*")*461*雾锁)/1024+$F$7)))</f>
        <v>0.21277697966198</v>
      </c>
      <c r="S179">
        <f ca="1" t="shared" ref="S179:S183" si="722">O179*(1+P179)*(1+Q179)*(1-R179)</f>
        <v>666665.672558413</v>
      </c>
      <c r="T179">
        <f t="shared" ref="T179:T190" si="723">1-($F$6-130)*0.05</f>
        <v>0.8</v>
      </c>
      <c r="U179">
        <f ca="1" t="shared" si="707"/>
        <v>1.7800129648</v>
      </c>
      <c r="V179">
        <f ca="1" t="shared" ref="V179:V183" si="724">S179*T179*(1+U179)</f>
        <v>1482671.3703196</v>
      </c>
      <c r="W179">
        <f ca="1">IF(G179="恒定伤害",0,MIN(1,IF(COUNTIF(F179,"*内会*")&gt;0,内会2,IF(D179="轻剑",$Y$2,$Y$3)+COUNTIF(G179,"*莺鸣*")*0.2+COUNTIF(G179,"*叠1*")*0.1+COUNTIF(G179,"*叠2*")*0.2+COUNTIF(G179,"*叠3*")*0.3)+IFERROR(INDEX(技能数据库!$T$2:$W$27,MATCH(E179,技能数据库!$T$2:$T$27,0),2),0)+IF((IF(D179="轻剑",$AO$2,$AO$3)+INT(COUNTIF(G179,"*大莺鸣*")*IF(D179="轻剑",$AM$2,$AM$3)*听晓无双率)/无双系数)&gt;0.9,特效裤子会心/会心系数,0)))</f>
        <v>1</v>
      </c>
      <c r="X179">
        <f ca="1">IF(G179="恒定伤害",0,IF(COUNTIF(F179,"*内会*")&gt;0,内会效2,IF(D179="轻剑",$AB$2,$AB$3))+IFERROR(INDEX(技能数据库!$T$2:$W$27,MATCH(E179,技能数据库!$T$2:$T$27,0),3)/1024,0))+COUNTIF(G179,"*叠1*")*0.25+COUNTIF(G179,"*叠2*")*0.5+COUNTIF(G179,"*叠3*")*0.75</f>
        <v>2.9212723116</v>
      </c>
      <c r="Y179">
        <f ca="1" t="shared" ref="Y179:Y183" si="725">1+W179*(X179-1)</f>
        <v>2.9212723116</v>
      </c>
      <c r="Z179">
        <f t="shared" ref="Z179:Z183" si="726">IF(G179="恒定伤害",0,非侠士伤害/1024)</f>
        <v>0.150390625</v>
      </c>
      <c r="AA179">
        <f ca="1" t="shared" ref="AA179:AA183" si="727">IF(D179="轻剑",$BA$2,$BA$3)/1024</f>
        <v>0.0205078125</v>
      </c>
      <c r="AB179">
        <f ca="1" t="shared" ref="AB179:AB183" si="728">V179*Y179*(1+Z179)*(1+AA179)</f>
        <v>5084855.45149712</v>
      </c>
      <c r="AC179">
        <f ca="1">技能数计算!$AJ171</f>
        <v>40</v>
      </c>
      <c r="AD179" s="164">
        <f ca="1" t="shared" ref="AD179:AD183" si="729">IFERROR(AB179*AC179/$AD$7,0)</f>
        <v>0.0729197343870563</v>
      </c>
      <c r="AE179" s="168"/>
      <c r="AF179" s="168">
        <f ca="1" t="shared" si="692"/>
        <v>1.0014</v>
      </c>
      <c r="AG179">
        <f ca="1">技能数计算!$AJ171</f>
        <v>40</v>
      </c>
      <c r="AH179">
        <f ca="1" t="shared" si="389"/>
        <v>109879</v>
      </c>
      <c r="AJ179">
        <f ca="1" t="shared" si="693"/>
        <v>3.1204910616</v>
      </c>
      <c r="AK179">
        <f ca="1" t="shared" ref="AK179:AK183" si="730">H179+AH179*I179+J179*(238.5+M179)+IF(K179&gt;0,MAX(1,K179*N179*破招全局系数),0)</f>
        <v>376466.575</v>
      </c>
      <c r="AL179">
        <f ca="1" t="shared" si="661"/>
        <v>5640002.84344365</v>
      </c>
      <c r="AM179" s="169">
        <f ca="1" t="shared" si="694"/>
        <v>1.0229</v>
      </c>
      <c r="AN179">
        <f ca="1">技能数计算!$AJ171</f>
        <v>40</v>
      </c>
      <c r="AO179" s="170">
        <f ca="1" t="shared" si="662"/>
        <v>5640002.84344365</v>
      </c>
      <c r="AP179">
        <f ca="1" t="shared" si="394"/>
        <v>110956</v>
      </c>
      <c r="AQ179" s="170">
        <f ca="1" t="shared" ref="AQ179:AQ183" si="731">H179+AP179*I179+J179*M179+IF(K179&gt;0,MAX(1,K179*N179*破招全局系数),0)</f>
        <v>380155.3</v>
      </c>
      <c r="AR179">
        <f ca="1" t="shared" ref="AR179:AR183" si="732">IF(COUNTIF(G179,"*恒定伤害*")&gt;0,AB179,((AQ179*(1+P179)*(1+IF(COUNTIF(F179,"*内破*")&gt;0,内破,IF(D179="轻剑",$AQ$8,$AQ$9)/破防系数)+IF((IF(D179="轻剑",$AO$2,$AO$3)+INT(COUNTIF(G179,"*大莺鸣*")*IF(D179="轻剑",$AM$2,$AM$3)*听晓无双率)/无双系数)&gt;0.9,(特效裤子破防+特效裤子破防*IF(D179="轻剑",$AD$2+200,$AD$3+200)/1024)/破防系数,0))*(1-R179))*T179*(1+U179))*Y179*(1+Z179)*(1+AA179))</f>
        <v>5642911.2302651</v>
      </c>
      <c r="AS179">
        <f ca="1" t="shared" si="695"/>
        <v>1.08</v>
      </c>
      <c r="AT179">
        <f ca="1">技能数计算!$AJ171</f>
        <v>40</v>
      </c>
      <c r="AU179">
        <f ca="1" t="shared" si="696"/>
        <v>3.0677566866</v>
      </c>
      <c r="AV179">
        <f ca="1" t="shared" si="708"/>
        <v>1.7995442148</v>
      </c>
      <c r="AW179">
        <f ca="1" t="shared" si="416"/>
        <v>5377346.10720534</v>
      </c>
      <c r="AX179">
        <f ca="1" t="shared" si="697"/>
        <v>1.07</v>
      </c>
      <c r="AY179">
        <f ca="1">技能数计算!$AJ171</f>
        <v>40</v>
      </c>
      <c r="AZ179" s="170">
        <f ca="1" t="shared" si="417"/>
        <v>5377346.10720534</v>
      </c>
      <c r="BA179">
        <f ca="1" t="shared" si="698"/>
        <v>1.06</v>
      </c>
      <c r="BB179">
        <f ca="1">技能数计算!$AJ171</f>
        <v>40</v>
      </c>
      <c r="BC179" s="170">
        <f ca="1" t="shared" si="418"/>
        <v>5377346.10720534</v>
      </c>
      <c r="BE179">
        <f ca="1" t="shared" si="400"/>
        <v>105849</v>
      </c>
      <c r="BF179">
        <f ca="1" t="shared" ref="BF179:BF183" si="733">H179+BE179*I179+J179*M179+IF(K179&gt;0,MAX(1,K179*N179*破招全局系数),0)</f>
        <v>362663.825</v>
      </c>
      <c r="BI179">
        <f ca="1" t="shared" si="699"/>
        <v>1.05</v>
      </c>
      <c r="BJ179">
        <f ca="1">技能数计算!$AJ171</f>
        <v>40</v>
      </c>
      <c r="BK179">
        <f ca="1" t="shared" si="663"/>
        <v>5427149.3318756</v>
      </c>
      <c r="BM179">
        <f ca="1" t="shared" si="403"/>
        <v>109230</v>
      </c>
      <c r="BN179">
        <f ca="1" t="shared" ref="BN179:BN183" si="734">H179+BM179*I179+J179*M179+IF(K179&gt;0,MAX(1,K179*N179*破招全局系数),0)</f>
        <v>374243.75</v>
      </c>
      <c r="BO179">
        <f ca="1" t="shared" ref="BO179:BO183" si="735">IF(COUNTIF(G179,"*恒定伤害*")&gt;0,AB179,((BN179*(1+P179)*(1+IF(COUNTIF(F179,"*内破*")&gt;0,内破,IF(D179="轻剑",$BM$8,$BM$9)/破防系数)+IF((IF(D179="轻剑",$AO$2,$AO$3)+INT(COUNTIF(G179,"*大莺鸣*")*IF(D179="轻剑",$AM$2,$AM$3)*听晓无双率)/无双系数)&gt;0.9,(特效裤子破防+特效裤子破防*IF(D179="轻剑",$AD$2+102,$AD$3+102)/1024)/破防系数,0))*(1-R179))*T179*(1+U179))*Y179*(1+Z179)*(1+AA179))</f>
        <v>5667018.85426104</v>
      </c>
      <c r="BP179">
        <f ca="1" t="shared" si="709"/>
        <v>5404309.07362185</v>
      </c>
      <c r="BR179">
        <f ca="1" t="shared" si="700"/>
        <v>1.05</v>
      </c>
      <c r="BS179">
        <f ca="1" t="shared" si="664"/>
        <v>5442277.56978739</v>
      </c>
      <c r="BT179">
        <f ca="1" t="shared" ref="BT179:BT183" si="736">IF(G179="恒定伤害",0,(($F$5-IF(D179="轻剑",$BB$2,$BB$3))*(1024-IF(D179="轻剑",$BD$2,$BD$3))/1024*(1024-IF(D179="轻剑",$BT$8,$BT$9)-COUNTIF(G179,"*雾锁*")*461*雾锁)/1024/(($F$5-IF(D179="轻剑",$BB$2,$BB$3))*(1024-IF(D179="轻剑",$BD$2,$BD$3))/1024*(1024-IF(D179="轻剑",$BT$8,$BT$9)-COUNTIF(G179,"*雾锁*")*461*雾锁)/1024+$F$7)))</f>
        <v>0.196995876306796</v>
      </c>
      <c r="BU179">
        <f ca="1" t="shared" si="701"/>
        <v>3.0677566866</v>
      </c>
      <c r="BV179">
        <f ca="1" t="shared" si="419"/>
        <v>5446875.77656029</v>
      </c>
      <c r="BW179">
        <f ca="1" t="shared" si="408"/>
        <v>113027</v>
      </c>
      <c r="BX179">
        <f ca="1" t="shared" ref="BX179:BX183" si="737">H179+BW179*I179+J179*M179+IF(K179&gt;0,MAX(1,K179*N179*破招全局系数),0)</f>
        <v>387248.475</v>
      </c>
      <c r="BY179">
        <f ca="1" t="shared" si="702"/>
        <v>1.03</v>
      </c>
      <c r="BZ179">
        <f ca="1">技能数计算!$AJ171</f>
        <v>40</v>
      </c>
      <c r="CA179">
        <f ca="1" t="shared" si="703"/>
        <v>3.0716629366</v>
      </c>
      <c r="CB179">
        <f ca="1" t="shared" si="420"/>
        <v>5709180.95224129</v>
      </c>
      <c r="CC179">
        <f ca="1" t="shared" si="411"/>
        <v>114847</v>
      </c>
      <c r="CD179">
        <f ca="1" t="shared" ref="CD179:CD183" si="738">H179+CC179*I179+J179*M179+IF(K179&gt;0,MAX(1,K179*N179*破招全局系数),0)</f>
        <v>393481.975</v>
      </c>
      <c r="CE179">
        <f ca="1" t="shared" si="665"/>
        <v>5682120.83114052</v>
      </c>
      <c r="CF179">
        <f ca="1" t="shared" si="704"/>
        <v>3.0189285616</v>
      </c>
      <c r="CG179">
        <f ca="1" t="shared" si="705"/>
        <v>1.03</v>
      </c>
      <c r="CH179">
        <f ca="1" t="shared" si="421"/>
        <v>5291757.26991659</v>
      </c>
      <c r="CJ179">
        <f ca="1" t="shared" ref="CJ179:CJ183" si="739">H179+BM179*I179+J179*M179+IF(K179&gt;0,MAX(1,K179*(N179+2667)*破招全局系数),0)</f>
        <v>374243.75</v>
      </c>
      <c r="CK179">
        <f ca="1" t="shared" ref="CK179:CK183" si="740">IF(COUNTIF(G179,"*恒定伤害*")&gt;0,AB179,((CJ179*(1+P179)*(1+IF(COUNTIF(F179,"*内破*")&gt;0,内破,IF(D179="轻剑",$CI$8,$CI$9)/破防系数)+IF((IF(D179="轻剑",$AO$2,$AO$3)+INT(COUNTIF(G179,"*大莺鸣*")*IF(D179="轻剑",$AM$2,$AM$3)*听晓无双率)/无双系数)&gt;0.9,(特效裤子破防+特效裤子破防*IF(D179="轻剑",$AD$2+256,$AD$3+256)/1024)/破防系数,0))*(1-R179))*T179*(1+U179))*Y179*(1+Z179)*(1+AA179))</f>
        <v>5641347.56771298</v>
      </c>
      <c r="CL179">
        <f ca="1" t="shared" ref="CL179:CL183" si="741">X179+IF(D179="轻剑",$CL$8-$AB$2,$CL$9-$AB$3)</f>
        <v>3.0415848116</v>
      </c>
      <c r="CM179">
        <f ca="1">IF(G179="恒定伤害",0,(IF(D179="轻剑",$CM$8,$CM$9)+IFERROR(INDEX(技能数据库!$T$2:$W$27,MATCH(E179,技能数据库!$T$2:$T$27,0),4),0)+COUNTIF(G179,"*造化2*")*154+COUNTIF(G179,"*造化1*")*102+COUNTIF(G179,"*碧归*")*307)/1024)</f>
        <v>0.672900861773535</v>
      </c>
      <c r="CN179">
        <f ca="1" t="shared" si="422"/>
        <v>5531677.07036167</v>
      </c>
      <c r="CO179">
        <f ca="1" t="shared" ref="CO179:CO183" si="742">X179+IF(D179="轻剑",$CO$8-$AB$2,$CO$9-$AB$3)</f>
        <v>3.0656473116</v>
      </c>
      <c r="CP179">
        <f ca="1" t="shared" si="423"/>
        <v>5575439.11802772</v>
      </c>
      <c r="CQ179">
        <f ca="1" t="shared" si="710"/>
        <v>1.8815754648</v>
      </c>
      <c r="CR179">
        <f ca="1">IF(G179="恒定伤害",0,(IF(D179="轻剑",$CR$8,$CR$9)+IFERROR(INDEX(技能数据库!$T$2:$W$27,MATCH(E179,技能数据库!$T$2:$T$27,0),4),0)+COUNTIF(G179,"*造化2*")*154+COUNTIF(G179,"*造化1*")*102+COUNTIF(G179,"*碧归*")*307)/1024)</f>
        <v>0.663135236773535</v>
      </c>
      <c r="CS179">
        <f ca="1" t="shared" ref="CS179:CS183" si="743">IF(COUNTIF(G179,"*恒定伤害*")&gt;0,AB179,((O179*(1+CR179)*(1+Q179)*(1-R179))*T179*(1+CQ179))*Y179*(1+Z179)*(1+AA179))</f>
        <v>5436619.73475631</v>
      </c>
    </row>
    <row r="180" spans="4:97">
      <c r="D180" t="s">
        <v>1825</v>
      </c>
      <c r="E180" t="s">
        <v>2786</v>
      </c>
      <c r="G180" t="s">
        <v>3108</v>
      </c>
      <c r="H180">
        <f ca="1">INDEX(技能数据库!$B$2:$I$100,MATCH(阵眼收益计算!$E180,技能数据库!$B$2:$B$100,0),MATCH(H$9,技能数据库!$B$2:$I$2,0))</f>
        <v>0</v>
      </c>
      <c r="I180">
        <f ca="1">INDEX(技能数据库!$B$2:$I$100,MATCH(阵眼收益计算!$E180,技能数据库!$B$2:$B$100,0),MATCH(I$9,技能数据库!$B$2:$I$2,0))</f>
        <v>0</v>
      </c>
      <c r="J180">
        <f ca="1">INDEX(技能数据库!$B$2:$I$100,MATCH(阵眼收益计算!$E180,技能数据库!$B$2:$B$100,0),MATCH(J$9,技能数据库!$B$2:$I$2,0))</f>
        <v>0</v>
      </c>
      <c r="K180">
        <f ca="1">INDEX(技能数据库!$B$2:$I$100,MATCH(阵眼收益计算!$E180,技能数据库!$B$2:$B$100,0),MATCH(K$9,技能数据库!$B$2:$I$2,0))</f>
        <v>0</v>
      </c>
      <c r="L180">
        <f ca="1" t="shared" si="387"/>
        <v>105847</v>
      </c>
      <c r="M180">
        <f ca="1" t="shared" si="718"/>
        <v>19530.5</v>
      </c>
      <c r="N180">
        <f ca="1" t="shared" si="719"/>
        <v>92028</v>
      </c>
      <c r="O180">
        <f ca="1" t="shared" si="720"/>
        <v>0</v>
      </c>
      <c r="P180">
        <f ca="1">IF(G180="恒定伤害",0,(IF(D180="轻剑",$AZ$2,$AZ$3)+IFERROR(INDEX(技能数据库!$T$2:$W$27,MATCH(E180,技能数据库!$T$2:$T$27,0),4),0)+COUNTIF(G180,"*造化2*")*154+COUNTIF(G180,"*造化1*")*102+COUNTIF(G180,"*碧归*")*307)/1024)</f>
        <v>0.116321271929785</v>
      </c>
      <c r="Q180">
        <f ca="1" t="shared" si="706"/>
        <v>0.448284482196154</v>
      </c>
      <c r="R180">
        <f ca="1" t="shared" si="721"/>
        <v>0.21277697966198</v>
      </c>
      <c r="S180">
        <f ca="1" t="shared" si="722"/>
        <v>0</v>
      </c>
      <c r="T180">
        <f t="shared" si="723"/>
        <v>0.8</v>
      </c>
      <c r="U180">
        <f ca="1" t="shared" si="707"/>
        <v>1.7800129648</v>
      </c>
      <c r="V180">
        <f ca="1" t="shared" si="724"/>
        <v>0</v>
      </c>
      <c r="W180">
        <f ca="1">IF(G180="恒定伤害",0,MIN(1,IF(COUNTIF(F180,"*内会*")&gt;0,内会2,IF(D180="轻剑",$Y$2,$Y$3)+COUNTIF(G180,"*莺鸣*")*0.2+COUNTIF(G180,"*叠1*")*0.1+COUNTIF(G180,"*叠2*")*0.2+COUNTIF(G180,"*叠3*")*0.3)+IFERROR(INDEX(技能数据库!$T$2:$W$27,MATCH(E180,技能数据库!$T$2:$T$27,0),2),0)+IF((IF(D180="轻剑",$AO$2,$AO$3)+INT(COUNTIF(G180,"*大莺鸣*")*IF(D180="轻剑",$AM$2,$AM$3)*听晓无双率)/无双系数)&gt;0.9,特效裤子会心/会心系数,0)))</f>
        <v>0.8043</v>
      </c>
      <c r="X180">
        <f ca="1">IF(G180="恒定伤害",0,IF(COUNTIF(F180,"*内会*")&gt;0,内会效2,IF(D180="轻剑",$AB$2,$AB$3))+IFERROR(INDEX(技能数据库!$T$2:$W$27,MATCH(E180,技能数据库!$T$2:$T$27,0),3)/1024,0))+COUNTIF(G180,"*叠1*")*0.25+COUNTIF(G180,"*叠2*")*0.5+COUNTIF(G180,"*叠3*")*0.75</f>
        <v>2.4212723116</v>
      </c>
      <c r="Y180">
        <f ca="1" t="shared" si="725"/>
        <v>2.14312932021988</v>
      </c>
      <c r="Z180">
        <f t="shared" si="726"/>
        <v>0.150390625</v>
      </c>
      <c r="AA180">
        <f ca="1" t="shared" si="727"/>
        <v>0.0205078125</v>
      </c>
      <c r="AB180">
        <f ca="1" t="shared" si="728"/>
        <v>0</v>
      </c>
      <c r="AC180">
        <f ca="1">技能数计算!$AJ172</f>
        <v>5</v>
      </c>
      <c r="AD180" s="164">
        <f ca="1" t="shared" si="729"/>
        <v>0</v>
      </c>
      <c r="AE180" s="168"/>
      <c r="AF180" s="168">
        <f ca="1" t="shared" ref="AF180:AF184" si="744">W180+IF(COUNTIF(F180,"*内会*")&gt;0,0,IF(D180="轻剑",$AF$8-$Y$2,$AF$9-$Y$3))</f>
        <v>0.8057</v>
      </c>
      <c r="AG180">
        <f ca="1">技能数计算!$AJ172</f>
        <v>5</v>
      </c>
      <c r="AH180">
        <f ca="1" t="shared" si="389"/>
        <v>109879</v>
      </c>
      <c r="AJ180">
        <f ca="1" t="shared" ref="AJ180:AJ184" si="745">X180+IF(COUNTIF(F180,"*内会*")&gt;0,0,IF(D180="轻剑",$AJ$8-$AB$2,$AJ$9-$AB$3))</f>
        <v>2.6204910616</v>
      </c>
      <c r="AK180">
        <f ca="1" t="shared" si="730"/>
        <v>0</v>
      </c>
      <c r="AL180">
        <f ca="1" t="shared" si="661"/>
        <v>0</v>
      </c>
      <c r="AM180" s="169">
        <f ca="1" t="shared" ref="AM180:AM184" si="746">W180+IF(COUNTIF(F180,"*内会*")&gt;0,0,IF(D180="轻剑",$AN$8-$Y$2,$AN$9-$Y$3))</f>
        <v>0.8272</v>
      </c>
      <c r="AN180">
        <f ca="1">技能数计算!$AJ172</f>
        <v>5</v>
      </c>
      <c r="AO180" s="170">
        <f ca="1" t="shared" si="662"/>
        <v>0</v>
      </c>
      <c r="AP180">
        <f ca="1" t="shared" si="394"/>
        <v>110956</v>
      </c>
      <c r="AQ180" s="170">
        <f ca="1" t="shared" si="731"/>
        <v>0</v>
      </c>
      <c r="AR180">
        <f ca="1" t="shared" si="732"/>
        <v>0</v>
      </c>
      <c r="AS180">
        <f ca="1" t="shared" ref="AS180:AS184" si="747">W180+IF(COUNTIF(F180,"*内会*")&gt;0,0,IF(D180="轻剑",$AS$8-$Y$2,$AS$9-$Y$3))</f>
        <v>0.8843</v>
      </c>
      <c r="AT180">
        <f ca="1">技能数计算!$AJ172</f>
        <v>5</v>
      </c>
      <c r="AU180">
        <f ca="1" t="shared" ref="AU180:AU184" si="748">X180+IF(COUNTIF(F180,"*内会*")&gt;0,0,IF(D180="轻剑",$AU$8-$AB$2,$AU$9-$AB$3))</f>
        <v>2.5677566866</v>
      </c>
      <c r="AV180">
        <f ca="1" t="shared" si="708"/>
        <v>1.7995442148</v>
      </c>
      <c r="AW180">
        <f ca="1" t="shared" si="416"/>
        <v>0</v>
      </c>
      <c r="AX180">
        <f ca="1" t="shared" ref="AX180:AX184" si="749">$W180+IF(COUNTIF(F180,"*内会*")&gt;0,0,IF(I180="轻剑",AX$8-$Y$2,AX$9-$Y$3))</f>
        <v>0.8743</v>
      </c>
      <c r="AY180">
        <f ca="1">技能数计算!$AJ172</f>
        <v>5</v>
      </c>
      <c r="AZ180" s="170">
        <f ca="1" t="shared" si="417"/>
        <v>0</v>
      </c>
      <c r="BA180">
        <f ca="1" t="shared" ref="BA180:BA184" si="750">$W180+IF(COUNTIF(F180,"*内会*")&gt;0,0,IF(L180="轻剑",BA$8-$Y$2,BA$9-$Y$3))</f>
        <v>0.8643</v>
      </c>
      <c r="BB180">
        <f ca="1">技能数计算!$AJ172</f>
        <v>5</v>
      </c>
      <c r="BC180" s="170">
        <f ca="1" t="shared" si="418"/>
        <v>0</v>
      </c>
      <c r="BE180">
        <f ca="1" t="shared" si="400"/>
        <v>105849</v>
      </c>
      <c r="BF180">
        <f ca="1" t="shared" si="733"/>
        <v>0</v>
      </c>
      <c r="BI180">
        <f ca="1" t="shared" ref="BI180:BI184" si="751">$W180+IF(COUNTIF(F180,"*内会*")&gt;0,0,IF(T180="轻剑",BI$8-$Y$2,BI$9-$Y$3))</f>
        <v>0.8543</v>
      </c>
      <c r="BJ180">
        <f ca="1">技能数计算!$AJ172</f>
        <v>5</v>
      </c>
      <c r="BK180">
        <f ca="1" t="shared" si="663"/>
        <v>0</v>
      </c>
      <c r="BM180">
        <f ca="1" t="shared" si="403"/>
        <v>109230</v>
      </c>
      <c r="BN180">
        <f ca="1" t="shared" si="734"/>
        <v>0</v>
      </c>
      <c r="BO180">
        <f ca="1" t="shared" si="735"/>
        <v>0</v>
      </c>
      <c r="BP180">
        <f ca="1" t="shared" si="709"/>
        <v>0</v>
      </c>
      <c r="BR180">
        <f ca="1" t="shared" ref="BR180:BR184" si="752">$W180+IF(T180="轻剑",BI$8-$Y$2,BI$9-$Y$3)</f>
        <v>0.8543</v>
      </c>
      <c r="BS180">
        <f ca="1" t="shared" si="664"/>
        <v>0</v>
      </c>
      <c r="BT180">
        <f ca="1" t="shared" si="736"/>
        <v>0.196995876306796</v>
      </c>
      <c r="BU180">
        <f ca="1" t="shared" ref="BU180:BU184" si="753">X180+IF(D180="轻剑",$AU$8-$AB$2,$AU$9-$AB$3)</f>
        <v>2.5677566866</v>
      </c>
      <c r="BV180">
        <f ca="1" t="shared" si="419"/>
        <v>0</v>
      </c>
      <c r="BW180">
        <f ca="1" t="shared" si="408"/>
        <v>113027</v>
      </c>
      <c r="BX180">
        <f ca="1" t="shared" si="737"/>
        <v>0</v>
      </c>
      <c r="BY180">
        <f ca="1" t="shared" ref="BY180:BY184" si="754">$W180+IF(COUNTIF(F180,"*内会*")&gt;0,0,IF(AI180="轻剑",BY$8-$Y$2,BY$9-$Y$3))</f>
        <v>0.8343</v>
      </c>
      <c r="BZ180">
        <f ca="1">技能数计算!$AJ172</f>
        <v>5</v>
      </c>
      <c r="CA180">
        <f ca="1" t="shared" ref="CA180:CA184" si="755">X180+IF(COUNTIF(F180,"*内会*")&gt;0,0,IF(D180="轻剑",$CA$8-$AB$2,$CA$9-$AB$3))</f>
        <v>2.5716629366</v>
      </c>
      <c r="CB180">
        <f ca="1" t="shared" si="420"/>
        <v>0</v>
      </c>
      <c r="CC180">
        <f ca="1" t="shared" si="411"/>
        <v>114847</v>
      </c>
      <c r="CD180">
        <f ca="1" t="shared" si="738"/>
        <v>0</v>
      </c>
      <c r="CE180">
        <f ca="1" t="shared" si="665"/>
        <v>0</v>
      </c>
      <c r="CF180">
        <f ca="1" t="shared" ref="CF180:CF184" si="756">X180+IF(COUNTIF(F180,"*内会*")&gt;0,0,IF(D180="轻剑",$CF$8-$AB$2,$CF$9-$AB$3))</f>
        <v>2.5189285616</v>
      </c>
      <c r="CG180">
        <f ca="1" t="shared" ref="CG180:CG184" si="757">$W180+IF(AI180="轻剑",BY$8-$Y$2,BY$9-$Y$3)</f>
        <v>0.8343</v>
      </c>
      <c r="CH180">
        <f ca="1" t="shared" si="421"/>
        <v>0</v>
      </c>
      <c r="CJ180">
        <f ca="1" t="shared" si="739"/>
        <v>0</v>
      </c>
      <c r="CK180">
        <f ca="1" t="shared" si="740"/>
        <v>0</v>
      </c>
      <c r="CL180">
        <f ca="1" t="shared" si="741"/>
        <v>2.5415848116</v>
      </c>
      <c r="CM180">
        <f ca="1">IF(G180="恒定伤害",0,(IF(D180="轻剑",$CM$8,$CM$9)+IFERROR(INDEX(技能数据库!$T$2:$W$27,MATCH(E180,技能数据库!$T$2:$T$27,0),4),0)+COUNTIF(G180,"*造化2*")*154+COUNTIF(G180,"*造化1*")*102+COUNTIF(G180,"*碧归*")*307)/1024)</f>
        <v>0.176868146929785</v>
      </c>
      <c r="CN180">
        <f ca="1" t="shared" si="422"/>
        <v>0</v>
      </c>
      <c r="CO180">
        <f ca="1" t="shared" si="742"/>
        <v>2.5656473116</v>
      </c>
      <c r="CP180">
        <f ca="1" t="shared" si="423"/>
        <v>0</v>
      </c>
      <c r="CQ180">
        <f ca="1" t="shared" si="710"/>
        <v>1.8815754648</v>
      </c>
      <c r="CR180">
        <f ca="1">IF(G180="恒定伤害",0,(IF(D180="轻剑",$CR$8,$CR$9)+IFERROR(INDEX(技能数据库!$T$2:$W$27,MATCH(E180,技能数据库!$T$2:$T$27,0),4),0)+COUNTIF(G180,"*造化2*")*154+COUNTIF(G180,"*造化1*")*102+COUNTIF(G180,"*碧归*")*307)/1024)</f>
        <v>0.167102521929785</v>
      </c>
      <c r="CS180">
        <f ca="1" t="shared" si="743"/>
        <v>0</v>
      </c>
    </row>
    <row r="181" spans="4:97">
      <c r="D181" t="s">
        <v>1825</v>
      </c>
      <c r="E181" t="s">
        <v>2786</v>
      </c>
      <c r="G181" t="s">
        <v>3109</v>
      </c>
      <c r="H181">
        <f ca="1">INDEX(技能数据库!$B$2:$I$100,MATCH(阵眼收益计算!$E181,技能数据库!$B$2:$B$100,0),MATCH(H$9,技能数据库!$B$2:$I$2,0))</f>
        <v>0</v>
      </c>
      <c r="I181">
        <f ca="1">INDEX(技能数据库!$B$2:$I$100,MATCH(阵眼收益计算!$E181,技能数据库!$B$2:$B$100,0),MATCH(I$9,技能数据库!$B$2:$I$2,0))</f>
        <v>0</v>
      </c>
      <c r="J181">
        <f ca="1">INDEX(技能数据库!$B$2:$I$100,MATCH(阵眼收益计算!$E181,技能数据库!$B$2:$B$100,0),MATCH(J$9,技能数据库!$B$2:$I$2,0))</f>
        <v>0</v>
      </c>
      <c r="K181">
        <f ca="1">INDEX(技能数据库!$B$2:$I$100,MATCH(阵眼收益计算!$E181,技能数据库!$B$2:$B$100,0),MATCH(K$9,技能数据库!$B$2:$I$2,0))</f>
        <v>0</v>
      </c>
      <c r="L181">
        <f ca="1" t="shared" si="387"/>
        <v>105847</v>
      </c>
      <c r="M181">
        <f ca="1" t="shared" si="718"/>
        <v>19530.5</v>
      </c>
      <c r="N181">
        <f ca="1" t="shared" si="719"/>
        <v>92028</v>
      </c>
      <c r="O181">
        <f ca="1" t="shared" si="720"/>
        <v>0</v>
      </c>
      <c r="P181">
        <f ca="1">IF(G181="恒定伤害",0,(IF(D181="轻剑",$AZ$2,$AZ$3)+IFERROR(INDEX(技能数据库!$T$2:$W$27,MATCH(E181,技能数据库!$T$2:$T$27,0),4),0)+COUNTIF(G181,"*造化2*")*154+COUNTIF(G181,"*造化1*")*102+COUNTIF(G181,"*碧归*")*307)/1024)</f>
        <v>0.116321271929785</v>
      </c>
      <c r="Q181">
        <f ca="1" t="shared" si="706"/>
        <v>0.448284482196154</v>
      </c>
      <c r="R181">
        <f ca="1" t="shared" si="721"/>
        <v>0.21277697966198</v>
      </c>
      <c r="S181">
        <f ca="1" t="shared" si="722"/>
        <v>0</v>
      </c>
      <c r="T181">
        <f t="shared" si="723"/>
        <v>0.8</v>
      </c>
      <c r="U181">
        <f ca="1" t="shared" si="707"/>
        <v>1.7800129648</v>
      </c>
      <c r="V181">
        <f ca="1" t="shared" si="724"/>
        <v>0</v>
      </c>
      <c r="W181">
        <f ca="1">IF(G181="恒定伤害",0,MIN(1,IF(COUNTIF(F181,"*内会*")&gt;0,内会2,IF(D181="轻剑",$Y$2,$Y$3)+COUNTIF(G181,"*莺鸣*")*0.2+COUNTIF(G181,"*叠1*")*0.1+COUNTIF(G181,"*叠2*")*0.2+COUNTIF(G181,"*叠3*")*0.3)+IFERROR(INDEX(技能数据库!$T$2:$W$27,MATCH(E181,技能数据库!$T$2:$T$27,0),2),0)+IF((IF(D181="轻剑",$AO$2,$AO$3)+INT(COUNTIF(G181,"*大莺鸣*")*IF(D181="轻剑",$AM$2,$AM$3)*听晓无双率)/无双系数)&gt;0.9,特效裤子会心/会心系数,0)))</f>
        <v>0.9043</v>
      </c>
      <c r="X181">
        <f ca="1">IF(G181="恒定伤害",0,IF(COUNTIF(F181,"*内会*")&gt;0,内会效2,IF(D181="轻剑",$AB$2,$AB$3))+IFERROR(INDEX(技能数据库!$T$2:$W$27,MATCH(E181,技能数据库!$T$2:$T$27,0),3)/1024,0))+COUNTIF(G181,"*叠1*")*0.25+COUNTIF(G181,"*叠2*")*0.5+COUNTIF(G181,"*叠3*")*0.75</f>
        <v>2.6712723116</v>
      </c>
      <c r="Y181">
        <f ca="1" t="shared" si="725"/>
        <v>2.51133155137988</v>
      </c>
      <c r="Z181">
        <f t="shared" si="726"/>
        <v>0.150390625</v>
      </c>
      <c r="AA181">
        <f ca="1" t="shared" si="727"/>
        <v>0.0205078125</v>
      </c>
      <c r="AB181">
        <f ca="1" t="shared" si="728"/>
        <v>0</v>
      </c>
      <c r="AC181">
        <f ca="1">技能数计算!$AJ173</f>
        <v>4</v>
      </c>
      <c r="AD181" s="164">
        <f ca="1" t="shared" si="729"/>
        <v>0</v>
      </c>
      <c r="AE181" s="168"/>
      <c r="AF181" s="168">
        <f ca="1" t="shared" si="744"/>
        <v>0.9057</v>
      </c>
      <c r="AG181">
        <f ca="1">技能数计算!$AJ173</f>
        <v>4</v>
      </c>
      <c r="AH181">
        <f ca="1" t="shared" si="389"/>
        <v>109879</v>
      </c>
      <c r="AJ181">
        <f ca="1" t="shared" si="745"/>
        <v>2.8704910616</v>
      </c>
      <c r="AK181">
        <f ca="1" t="shared" si="730"/>
        <v>0</v>
      </c>
      <c r="AL181">
        <f ca="1" t="shared" si="661"/>
        <v>0</v>
      </c>
      <c r="AM181" s="169">
        <f ca="1" t="shared" si="746"/>
        <v>0.9272</v>
      </c>
      <c r="AN181">
        <f ca="1">技能数计算!$AJ173</f>
        <v>4</v>
      </c>
      <c r="AO181" s="170">
        <f ca="1" t="shared" si="662"/>
        <v>0</v>
      </c>
      <c r="AP181">
        <f ca="1" t="shared" si="394"/>
        <v>110956</v>
      </c>
      <c r="AQ181" s="170">
        <f ca="1" t="shared" si="731"/>
        <v>0</v>
      </c>
      <c r="AR181">
        <f ca="1" t="shared" si="732"/>
        <v>0</v>
      </c>
      <c r="AS181">
        <f ca="1" t="shared" si="747"/>
        <v>0.9843</v>
      </c>
      <c r="AT181">
        <f ca="1">技能数计算!$AJ173</f>
        <v>4</v>
      </c>
      <c r="AU181">
        <f ca="1" t="shared" si="748"/>
        <v>2.8177566866</v>
      </c>
      <c r="AV181">
        <f ca="1" t="shared" si="708"/>
        <v>1.7995442148</v>
      </c>
      <c r="AW181">
        <f ca="1" t="shared" si="416"/>
        <v>0</v>
      </c>
      <c r="AX181">
        <f ca="1" t="shared" si="749"/>
        <v>0.9743</v>
      </c>
      <c r="AY181">
        <f ca="1">技能数计算!$AJ173</f>
        <v>4</v>
      </c>
      <c r="AZ181" s="170">
        <f ca="1" t="shared" si="417"/>
        <v>0</v>
      </c>
      <c r="BA181">
        <f ca="1" t="shared" si="750"/>
        <v>0.9643</v>
      </c>
      <c r="BB181">
        <f ca="1">技能数计算!$AJ173</f>
        <v>4</v>
      </c>
      <c r="BC181" s="170">
        <f ca="1" t="shared" si="418"/>
        <v>0</v>
      </c>
      <c r="BE181">
        <f ca="1" t="shared" si="400"/>
        <v>105849</v>
      </c>
      <c r="BF181">
        <f ca="1" t="shared" si="733"/>
        <v>0</v>
      </c>
      <c r="BI181">
        <f ca="1" t="shared" si="751"/>
        <v>0.9543</v>
      </c>
      <c r="BJ181">
        <f ca="1">技能数计算!$AJ173</f>
        <v>4</v>
      </c>
      <c r="BK181">
        <f ca="1" t="shared" si="663"/>
        <v>0</v>
      </c>
      <c r="BM181">
        <f ca="1" t="shared" si="403"/>
        <v>109230</v>
      </c>
      <c r="BN181">
        <f ca="1" t="shared" si="734"/>
        <v>0</v>
      </c>
      <c r="BO181">
        <f ca="1" t="shared" si="735"/>
        <v>0</v>
      </c>
      <c r="BP181">
        <f ca="1" t="shared" si="709"/>
        <v>0</v>
      </c>
      <c r="BR181">
        <f ca="1" t="shared" si="752"/>
        <v>0.9543</v>
      </c>
      <c r="BS181">
        <f ca="1" t="shared" si="664"/>
        <v>0</v>
      </c>
      <c r="BT181">
        <f ca="1" t="shared" si="736"/>
        <v>0.196995876306796</v>
      </c>
      <c r="BU181">
        <f ca="1" t="shared" si="753"/>
        <v>2.8177566866</v>
      </c>
      <c r="BV181">
        <f ca="1" t="shared" si="419"/>
        <v>0</v>
      </c>
      <c r="BW181">
        <f ca="1" t="shared" si="408"/>
        <v>113027</v>
      </c>
      <c r="BX181">
        <f ca="1" t="shared" si="737"/>
        <v>0</v>
      </c>
      <c r="BY181">
        <f ca="1" t="shared" si="754"/>
        <v>0.9343</v>
      </c>
      <c r="BZ181">
        <f ca="1">技能数计算!$AJ173</f>
        <v>4</v>
      </c>
      <c r="CA181">
        <f ca="1" t="shared" si="755"/>
        <v>2.8216629366</v>
      </c>
      <c r="CB181">
        <f ca="1" t="shared" si="420"/>
        <v>0</v>
      </c>
      <c r="CC181">
        <f ca="1" t="shared" si="411"/>
        <v>114847</v>
      </c>
      <c r="CD181">
        <f ca="1" t="shared" si="738"/>
        <v>0</v>
      </c>
      <c r="CE181">
        <f ca="1" t="shared" si="665"/>
        <v>0</v>
      </c>
      <c r="CF181">
        <f ca="1" t="shared" si="756"/>
        <v>2.7689285616</v>
      </c>
      <c r="CG181">
        <f ca="1" t="shared" si="757"/>
        <v>0.9343</v>
      </c>
      <c r="CH181">
        <f ca="1" t="shared" si="421"/>
        <v>0</v>
      </c>
      <c r="CJ181">
        <f ca="1" t="shared" si="739"/>
        <v>0</v>
      </c>
      <c r="CK181">
        <f ca="1" t="shared" si="740"/>
        <v>0</v>
      </c>
      <c r="CL181">
        <f ca="1" t="shared" si="741"/>
        <v>2.7915848116</v>
      </c>
      <c r="CM181">
        <f ca="1">IF(G181="恒定伤害",0,(IF(D181="轻剑",$CM$8,$CM$9)+IFERROR(INDEX(技能数据库!$T$2:$W$27,MATCH(E181,技能数据库!$T$2:$T$27,0),4),0)+COUNTIF(G181,"*造化2*")*154+COUNTIF(G181,"*造化1*")*102+COUNTIF(G181,"*碧归*")*307)/1024)</f>
        <v>0.176868146929785</v>
      </c>
      <c r="CN181">
        <f ca="1" t="shared" si="422"/>
        <v>0</v>
      </c>
      <c r="CO181">
        <f ca="1" t="shared" si="742"/>
        <v>2.8156473116</v>
      </c>
      <c r="CP181">
        <f ca="1" t="shared" si="423"/>
        <v>0</v>
      </c>
      <c r="CQ181">
        <f ca="1" t="shared" si="710"/>
        <v>1.8815754648</v>
      </c>
      <c r="CR181">
        <f ca="1">IF(G181="恒定伤害",0,(IF(D181="轻剑",$CR$8,$CR$9)+IFERROR(INDEX(技能数据库!$T$2:$W$27,MATCH(E181,技能数据库!$T$2:$T$27,0),4),0)+COUNTIF(G181,"*造化2*")*154+COUNTIF(G181,"*造化1*")*102+COUNTIF(G181,"*碧归*")*307)/1024)</f>
        <v>0.167102521929785</v>
      </c>
      <c r="CS181">
        <f ca="1" t="shared" si="743"/>
        <v>0</v>
      </c>
    </row>
    <row r="182" spans="4:97">
      <c r="D182" t="s">
        <v>1825</v>
      </c>
      <c r="E182" t="s">
        <v>2786</v>
      </c>
      <c r="G182" t="s">
        <v>3110</v>
      </c>
      <c r="H182">
        <f ca="1">INDEX(技能数据库!$B$2:$I$100,MATCH(阵眼收益计算!$E182,技能数据库!$B$2:$B$100,0),MATCH(H$9,技能数据库!$B$2:$I$2,0))</f>
        <v>0</v>
      </c>
      <c r="I182">
        <f ca="1">INDEX(技能数据库!$B$2:$I$100,MATCH(阵眼收益计算!$E182,技能数据库!$B$2:$B$100,0),MATCH(I$9,技能数据库!$B$2:$I$2,0))</f>
        <v>0</v>
      </c>
      <c r="J182">
        <f ca="1">INDEX(技能数据库!$B$2:$I$100,MATCH(阵眼收益计算!$E182,技能数据库!$B$2:$B$100,0),MATCH(J$9,技能数据库!$B$2:$I$2,0))</f>
        <v>0</v>
      </c>
      <c r="K182">
        <f ca="1">INDEX(技能数据库!$B$2:$I$100,MATCH(阵眼收益计算!$E182,技能数据库!$B$2:$B$100,0),MATCH(K$9,技能数据库!$B$2:$I$2,0))</f>
        <v>0</v>
      </c>
      <c r="L182">
        <f ca="1" t="shared" si="387"/>
        <v>105847</v>
      </c>
      <c r="M182">
        <f ca="1" t="shared" si="718"/>
        <v>19530.5</v>
      </c>
      <c r="N182">
        <f ca="1" t="shared" si="719"/>
        <v>92028</v>
      </c>
      <c r="O182">
        <f ca="1" t="shared" si="720"/>
        <v>0</v>
      </c>
      <c r="P182">
        <f ca="1">IF(G182="恒定伤害",0,(IF(D182="轻剑",$AZ$2,$AZ$3)+IFERROR(INDEX(技能数据库!$T$2:$W$27,MATCH(E182,技能数据库!$T$2:$T$27,0),4),0)+COUNTIF(G182,"*造化2*")*154+COUNTIF(G182,"*造化1*")*102+COUNTIF(G182,"*碧归*")*307)/1024)</f>
        <v>0.116321271929785</v>
      </c>
      <c r="Q182">
        <f ca="1" t="shared" ref="Q182:Q186" si="758">IF(G182="恒定伤害",0,(IF(COUNTIF(F182,"*内破*")&gt;0,内破,IF(D182="轻剑",$AF$2,$AF$3)/破防系数))+IF((IF(D182="轻剑",$AO$2,$AO$3)+INT(COUNTIF(G182,"*大莺鸣*")*IF(D182="轻剑",$AM$2,$AM$3)*听晓无双率)/无双系数)&gt;0.9,(特效裤子破防+特效裤子破防*IF(D182="轻剑",$AD$2,$AD$3)/1024)/破防系数,0))</f>
        <v>0.448284482196154</v>
      </c>
      <c r="R182">
        <f ca="1" t="shared" si="721"/>
        <v>0.21277697966198</v>
      </c>
      <c r="S182">
        <f ca="1" t="shared" si="722"/>
        <v>0</v>
      </c>
      <c r="T182">
        <f t="shared" si="723"/>
        <v>0.8</v>
      </c>
      <c r="U182">
        <f ca="1" t="shared" ref="U182:U186" si="759">IF(G182="恒定伤害",0,(IF(D182="轻剑",$AO$2,$AO$3)+INT(COUNTIF(G182,"*大莺鸣*")*IF(D182="轻剑",$AM$2,$AM$3)*听晓无双率)/无双系数)+IF((IF(D182="轻剑",$AO$2,$AO$3)+INT(COUNTIF(G182,"*大莺鸣*")*IF(D182="轻剑",$AM$2,$AM$3)*听晓无双率)/无双系数)&lt;=0.9,特效裤子无双,0))</f>
        <v>1.7800129648</v>
      </c>
      <c r="V182">
        <f ca="1" t="shared" si="724"/>
        <v>0</v>
      </c>
      <c r="W182">
        <f ca="1">IF(G182="恒定伤害",0,MIN(1,IF(COUNTIF(F182,"*内会*")&gt;0,内会2,IF(D182="轻剑",$Y$2,$Y$3)+COUNTIF(G182,"*莺鸣*")*0.2+COUNTIF(G182,"*叠1*")*0.1+COUNTIF(G182,"*叠2*")*0.2+COUNTIF(G182,"*叠3*")*0.3)+IFERROR(INDEX(技能数据库!$T$2:$W$27,MATCH(E182,技能数据库!$T$2:$T$27,0),2),0)+IF((IF(D182="轻剑",$AO$2,$AO$3)+INT(COUNTIF(G182,"*大莺鸣*")*IF(D182="轻剑",$AM$2,$AM$3)*听晓无双率)/无双系数)&gt;0.9,特效裤子会心/会心系数,0)))</f>
        <v>1</v>
      </c>
      <c r="X182">
        <f ca="1">IF(G182="恒定伤害",0,IF(COUNTIF(F182,"*内会*")&gt;0,内会效2,IF(D182="轻剑",$AB$2,$AB$3))+IFERROR(INDEX(技能数据库!$T$2:$W$27,MATCH(E182,技能数据库!$T$2:$T$27,0),3)/1024,0))+COUNTIF(G182,"*叠1*")*0.25+COUNTIF(G182,"*叠2*")*0.5+COUNTIF(G182,"*叠3*")*0.75</f>
        <v>2.9212723116</v>
      </c>
      <c r="Y182">
        <f ca="1" t="shared" si="725"/>
        <v>2.9212723116</v>
      </c>
      <c r="Z182">
        <f t="shared" si="726"/>
        <v>0.150390625</v>
      </c>
      <c r="AA182">
        <f ca="1" t="shared" si="727"/>
        <v>0.0205078125</v>
      </c>
      <c r="AB182">
        <f ca="1" t="shared" si="728"/>
        <v>0</v>
      </c>
      <c r="AC182" s="171">
        <f ca="1">技能数计算!$AJ174</f>
        <v>40</v>
      </c>
      <c r="AD182" s="164">
        <f ca="1" t="shared" si="729"/>
        <v>0</v>
      </c>
      <c r="AE182" s="168"/>
      <c r="AF182" s="168">
        <f ca="1" t="shared" si="744"/>
        <v>1.0014</v>
      </c>
      <c r="AG182" s="171">
        <f ca="1">技能数计算!$AJ174</f>
        <v>40</v>
      </c>
      <c r="AH182">
        <f ca="1" t="shared" si="389"/>
        <v>109879</v>
      </c>
      <c r="AJ182">
        <f ca="1" t="shared" si="745"/>
        <v>3.1204910616</v>
      </c>
      <c r="AK182">
        <f ca="1" t="shared" si="730"/>
        <v>0</v>
      </c>
      <c r="AL182">
        <f ca="1" t="shared" si="661"/>
        <v>0</v>
      </c>
      <c r="AM182" s="169">
        <f ca="1" t="shared" si="746"/>
        <v>1.0229</v>
      </c>
      <c r="AN182" s="171">
        <f ca="1">技能数计算!$AJ174</f>
        <v>40</v>
      </c>
      <c r="AO182" s="170">
        <f ca="1" t="shared" si="662"/>
        <v>0</v>
      </c>
      <c r="AP182">
        <f ca="1" t="shared" si="394"/>
        <v>110956</v>
      </c>
      <c r="AQ182" s="170">
        <f ca="1" t="shared" si="731"/>
        <v>0</v>
      </c>
      <c r="AR182">
        <f ca="1" t="shared" si="732"/>
        <v>0</v>
      </c>
      <c r="AS182">
        <f ca="1" t="shared" si="747"/>
        <v>1.08</v>
      </c>
      <c r="AT182" s="171">
        <f ca="1">技能数计算!$AJ174</f>
        <v>40</v>
      </c>
      <c r="AU182">
        <f ca="1" t="shared" si="748"/>
        <v>3.0677566866</v>
      </c>
      <c r="AV182">
        <f ca="1" t="shared" ref="AV182:AV186" si="760">IF(G182="恒定伤害",0,(IF(D182="轻剑",$AV$8,$AV$9)+INT(COUNTIF(G182,"*大莺鸣*")*IF(D182="轻剑",$AM$2,$AM$3)*听晓无双率)/无双系数))+IF((IF(G182="恒定伤害",0,(IF(D182="轻剑",$AV$8,$AV$9)+INT(COUNTIF(G182,"*大莺鸣*")*IF(D182="轻剑",$AM$2,$AM$3)*听晓无双率)/无双系数)))&lt;=0.9,特效裤子无双,0)</f>
        <v>1.7995442148</v>
      </c>
      <c r="AW182">
        <f ca="1" t="shared" si="416"/>
        <v>0</v>
      </c>
      <c r="AX182">
        <f ca="1" t="shared" si="749"/>
        <v>1.07</v>
      </c>
      <c r="AY182" s="171">
        <f ca="1">技能数计算!$AJ174</f>
        <v>40</v>
      </c>
      <c r="AZ182" s="170">
        <f ca="1" t="shared" si="417"/>
        <v>0</v>
      </c>
      <c r="BA182">
        <f ca="1" t="shared" si="750"/>
        <v>1.06</v>
      </c>
      <c r="BB182" s="171">
        <f ca="1">技能数计算!$AJ174</f>
        <v>40</v>
      </c>
      <c r="BC182" s="170">
        <f ca="1" t="shared" si="418"/>
        <v>0</v>
      </c>
      <c r="BE182">
        <f ca="1" t="shared" si="400"/>
        <v>105849</v>
      </c>
      <c r="BF182">
        <f ca="1" t="shared" si="733"/>
        <v>0</v>
      </c>
      <c r="BI182">
        <f ca="1" t="shared" si="751"/>
        <v>1.05</v>
      </c>
      <c r="BJ182" s="171">
        <f ca="1">技能数计算!$AJ174</f>
        <v>40</v>
      </c>
      <c r="BK182">
        <f ca="1" t="shared" si="663"/>
        <v>0</v>
      </c>
      <c r="BM182">
        <f ca="1" t="shared" si="403"/>
        <v>109230</v>
      </c>
      <c r="BN182">
        <f ca="1" t="shared" si="734"/>
        <v>0</v>
      </c>
      <c r="BO182">
        <f ca="1" t="shared" si="735"/>
        <v>0</v>
      </c>
      <c r="BP182">
        <f ca="1" t="shared" ref="BP182:BP186" si="761">IF(COUNTIF(G182,"*恒定伤害*")&gt;0,AB182,((BN182*(1+P182)*(1+IF(COUNTIF(F182,"*内破*")&gt;0,内破,IF(D182="轻剑",$BQ$8,$BQ$9)/破防系数)+IF((IF(D182="轻剑",$AO$2,$AO$3)+INT(COUNTIF(G182,"*大莺鸣*")*IF(D182="轻剑",$AM$2,$AM$3)*听晓无双率)/无双系数)&gt;0.9,(特效裤子破防+特效裤子破防*IF(D182="轻剑",$AD$2+102,$AD$3+102)/1024)/破防系数,0))*(1-R182))*T182*(1+U182))*Y182*(1+Z182)*(1+AA182))</f>
        <v>0</v>
      </c>
      <c r="BR182">
        <f ca="1" t="shared" si="752"/>
        <v>1.05</v>
      </c>
      <c r="BS182">
        <f ca="1" t="shared" si="664"/>
        <v>0</v>
      </c>
      <c r="BT182">
        <f ca="1" t="shared" si="736"/>
        <v>0.196995876306796</v>
      </c>
      <c r="BU182">
        <f ca="1" t="shared" si="753"/>
        <v>3.0677566866</v>
      </c>
      <c r="BV182">
        <f ca="1" t="shared" si="419"/>
        <v>0</v>
      </c>
      <c r="BW182">
        <f ca="1" t="shared" si="408"/>
        <v>113027</v>
      </c>
      <c r="BX182">
        <f ca="1" t="shared" si="737"/>
        <v>0</v>
      </c>
      <c r="BY182">
        <f ca="1" t="shared" si="754"/>
        <v>1.03</v>
      </c>
      <c r="BZ182" s="171">
        <f ca="1">技能数计算!$AJ174</f>
        <v>40</v>
      </c>
      <c r="CA182">
        <f ca="1" t="shared" si="755"/>
        <v>3.0716629366</v>
      </c>
      <c r="CB182">
        <f ca="1" t="shared" si="420"/>
        <v>0</v>
      </c>
      <c r="CC182">
        <f ca="1" t="shared" si="411"/>
        <v>114847</v>
      </c>
      <c r="CD182">
        <f ca="1" t="shared" si="738"/>
        <v>0</v>
      </c>
      <c r="CE182">
        <f ca="1" t="shared" si="665"/>
        <v>0</v>
      </c>
      <c r="CF182">
        <f ca="1" t="shared" si="756"/>
        <v>3.0189285616</v>
      </c>
      <c r="CG182">
        <f ca="1" t="shared" si="757"/>
        <v>1.03</v>
      </c>
      <c r="CH182">
        <f ca="1" t="shared" si="421"/>
        <v>0</v>
      </c>
      <c r="CJ182">
        <f ca="1" t="shared" si="739"/>
        <v>0</v>
      </c>
      <c r="CK182">
        <f ca="1" t="shared" si="740"/>
        <v>0</v>
      </c>
      <c r="CL182">
        <f ca="1" t="shared" si="741"/>
        <v>3.0415848116</v>
      </c>
      <c r="CM182">
        <f ca="1">IF(G182="恒定伤害",0,(IF(D182="轻剑",$CM$8,$CM$9)+IFERROR(INDEX(技能数据库!$T$2:$W$27,MATCH(E182,技能数据库!$T$2:$T$27,0),4),0)+COUNTIF(G182,"*造化2*")*154+COUNTIF(G182,"*造化1*")*102+COUNTIF(G182,"*碧归*")*307)/1024)</f>
        <v>0.176868146929785</v>
      </c>
      <c r="CN182">
        <f ca="1" t="shared" si="422"/>
        <v>0</v>
      </c>
      <c r="CO182">
        <f ca="1" t="shared" si="742"/>
        <v>3.0656473116</v>
      </c>
      <c r="CP182">
        <f ca="1" t="shared" si="423"/>
        <v>0</v>
      </c>
      <c r="CQ182">
        <f ca="1" t="shared" ref="CQ182:CQ186" si="762">IF(G182="恒定伤害",0,(IF(D182="轻剑",$CQ$8,$CQ$9)+INT(COUNTIF(G182,"*大莺鸣*")*IF(D182="轻剑",$AM$2,$AM$3)*听晓无双率)/无双系数))+IF((IF(G182="恒定伤害",0,(IF(D182="轻剑",$CQ$8,$CQ$9)+INT(COUNTIF(G182,"*大莺鸣*")*IF(D182="轻剑",$AM$2,$AM$3)*听晓无双率)/无双系数)))&lt;=0.9,特效裤子无双,0)</f>
        <v>1.8815754648</v>
      </c>
      <c r="CR182">
        <f ca="1">IF(G182="恒定伤害",0,(IF(D182="轻剑",$CR$8,$CR$9)+IFERROR(INDEX(技能数据库!$T$2:$W$27,MATCH(E182,技能数据库!$T$2:$T$27,0),4),0)+COUNTIF(G182,"*造化2*")*154+COUNTIF(G182,"*造化1*")*102+COUNTIF(G182,"*碧归*")*307)/1024)</f>
        <v>0.167102521929785</v>
      </c>
      <c r="CS182">
        <f ca="1" t="shared" si="743"/>
        <v>0</v>
      </c>
    </row>
    <row r="183" spans="4:97">
      <c r="D183" t="s">
        <v>1825</v>
      </c>
      <c r="E183" s="161" t="s">
        <v>2859</v>
      </c>
      <c r="F183" t="s">
        <v>3160</v>
      </c>
      <c r="G183" t="s">
        <v>3108</v>
      </c>
      <c r="H183">
        <f ca="1">INDEX(技能数据库!$B$2:$I$100,MATCH(阵眼收益计算!$E183,技能数据库!$B$2:$B$100,0),MATCH(H$9,技能数据库!$B$2:$I$2,0))</f>
        <v>1955936</v>
      </c>
      <c r="I183">
        <f ca="1">INDEX(技能数据库!$B$2:$I$100,MATCH(阵眼收益计算!$E183,技能数据库!$B$2:$B$100,0),MATCH(I$9,技能数据库!$B$2:$I$2,0))</f>
        <v>0</v>
      </c>
      <c r="J183">
        <f ca="1">INDEX(技能数据库!$B$2:$I$100,MATCH(阵眼收益计算!$E183,技能数据库!$B$2:$B$100,0),MATCH(J$9,技能数据库!$B$2:$I$2,0))</f>
        <v>0</v>
      </c>
      <c r="K183">
        <f ca="1">INDEX(技能数据库!$B$2:$I$100,MATCH(阵眼收益计算!$E183,技能数据库!$B$2:$B$100,0),MATCH(K$9,技能数据库!$B$2:$I$2,0))</f>
        <v>0</v>
      </c>
      <c r="L183">
        <f ca="1" t="shared" si="387"/>
        <v>105847</v>
      </c>
      <c r="M183">
        <f ca="1" t="shared" si="718"/>
        <v>19530.5</v>
      </c>
      <c r="N183">
        <f ca="1" t="shared" si="719"/>
        <v>92028</v>
      </c>
      <c r="O183">
        <f ca="1" t="shared" si="720"/>
        <v>1955936</v>
      </c>
      <c r="P183">
        <f ca="1">IF(G183="恒定伤害",0,(IF(D183="轻剑",$AZ$2,$AZ$3)+IFERROR(INDEX(技能数据库!$T$2:$W$27,MATCH(E183,技能数据库!$T$2:$T$27,0),4),0)+COUNTIF(G183,"*造化2*")*154+COUNTIF(G183,"*造化1*")*102+COUNTIF(G183,"*碧归*")*307)/1024)</f>
        <v>0.116321271929785</v>
      </c>
      <c r="Q183">
        <f ca="1" t="shared" si="758"/>
        <v>0.0415122129107408</v>
      </c>
      <c r="R183">
        <f ca="1" t="shared" si="721"/>
        <v>0.21277697966198</v>
      </c>
      <c r="S183">
        <f ca="1" t="shared" si="722"/>
        <v>1790218.30301643</v>
      </c>
      <c r="T183">
        <f t="shared" si="723"/>
        <v>0.8</v>
      </c>
      <c r="U183">
        <f ca="1" t="shared" si="759"/>
        <v>1.7800129648</v>
      </c>
      <c r="V183">
        <f ca="1" t="shared" si="724"/>
        <v>3981464.07376636</v>
      </c>
      <c r="W183">
        <f ca="1">IF(G183="恒定伤害",0,MIN(1,IF(COUNTIF(F183,"*内会*")&gt;0,内会2,IF(D183="轻剑",$Y$2,$Y$3)+COUNTIF(G183,"*莺鸣*")*0.2+COUNTIF(G183,"*叠1*")*0.1+COUNTIF(G183,"*叠2*")*0.2+COUNTIF(G183,"*叠3*")*0.3)+IFERROR(INDEX(技能数据库!$T$2:$W$27,MATCH(E183,技能数据库!$T$2:$T$27,0),2),0)+IF((IF(D183="轻剑",$AO$2,$AO$3)+INT(COUNTIF(G183,"*大莺鸣*")*IF(D183="轻剑",$AM$2,$AM$3)*听晓无双率)/无双系数)&gt;0.9,特效裤子会心/会心系数,0)))</f>
        <v>0.0826138197194782</v>
      </c>
      <c r="X183">
        <f ca="1">IF(G183="恒定伤害",0,IF(COUNTIF(F183,"*内会*")&gt;0,内会效2,IF(D183="轻剑",$AB$2,$AB$3))+IFERROR(INDEX(技能数据库!$T$2:$W$27,MATCH(E183,技能数据库!$T$2:$T$27,0),3)/1024,0))+COUNTIF(G183,"*叠1*")*0.25+COUNTIF(G183,"*叠2*")*0.5+COUNTIF(G183,"*叠3*")*0.75</f>
        <v>2.04000318487951</v>
      </c>
      <c r="Y183">
        <f ca="1" t="shared" si="725"/>
        <v>1.08591863562332</v>
      </c>
      <c r="Z183">
        <f t="shared" si="726"/>
        <v>0.150390625</v>
      </c>
      <c r="AA183">
        <f ca="1" t="shared" si="727"/>
        <v>0.0205078125</v>
      </c>
      <c r="AB183">
        <f ca="1" t="shared" si="728"/>
        <v>5075767.90262155</v>
      </c>
      <c r="AC183" s="171">
        <f ca="1">技能数计算!$AJ175</f>
        <v>0</v>
      </c>
      <c r="AD183" s="164">
        <f ca="1" t="shared" si="729"/>
        <v>0</v>
      </c>
      <c r="AE183" s="168"/>
      <c r="AF183" s="168">
        <f ca="1" t="shared" si="744"/>
        <v>0.0826138197194782</v>
      </c>
      <c r="AG183" s="171">
        <f ca="1">技能数计算!$AJ175</f>
        <v>0</v>
      </c>
      <c r="AH183">
        <f ca="1" t="shared" si="389"/>
        <v>109879</v>
      </c>
      <c r="AJ183">
        <f ca="1" t="shared" si="745"/>
        <v>2.04000318487951</v>
      </c>
      <c r="AK183">
        <f ca="1" t="shared" si="730"/>
        <v>1955936</v>
      </c>
      <c r="AL183">
        <f ca="1" t="shared" si="661"/>
        <v>5075767.90262155</v>
      </c>
      <c r="AM183" s="169">
        <f ca="1" t="shared" si="746"/>
        <v>0.0826138197194782</v>
      </c>
      <c r="AN183" s="171">
        <f ca="1">技能数计算!$AJ175</f>
        <v>0</v>
      </c>
      <c r="AO183" s="170">
        <f ca="1" t="shared" si="662"/>
        <v>5075767.90262155</v>
      </c>
      <c r="AP183">
        <f ca="1" t="shared" si="394"/>
        <v>110956</v>
      </c>
      <c r="AQ183" s="170">
        <f ca="1" t="shared" si="731"/>
        <v>1955936</v>
      </c>
      <c r="AR183">
        <f ca="1" t="shared" si="732"/>
        <v>5075767.90262155</v>
      </c>
      <c r="AS183">
        <f ca="1" t="shared" si="747"/>
        <v>0.0826138197194782</v>
      </c>
      <c r="AT183" s="171">
        <f ca="1">技能数计算!$AJ175</f>
        <v>0</v>
      </c>
      <c r="AU183">
        <f ca="1" t="shared" si="748"/>
        <v>2.04000318487951</v>
      </c>
      <c r="AV183">
        <f ca="1" t="shared" si="760"/>
        <v>1.7995442148</v>
      </c>
      <c r="AW183">
        <f ca="1" t="shared" si="416"/>
        <v>5111428.20100983</v>
      </c>
      <c r="AX183">
        <f ca="1" t="shared" si="749"/>
        <v>0.0826138197194782</v>
      </c>
      <c r="AY183" s="171">
        <f ca="1">技能数计算!$AJ175</f>
        <v>0</v>
      </c>
      <c r="AZ183" s="170">
        <f ca="1" t="shared" si="417"/>
        <v>5111428.20100983</v>
      </c>
      <c r="BA183">
        <f ca="1" t="shared" si="750"/>
        <v>0.0826138197194782</v>
      </c>
      <c r="BB183" s="171">
        <f ca="1">技能数计算!$AJ175</f>
        <v>0</v>
      </c>
      <c r="BC183" s="170">
        <f ca="1" t="shared" si="418"/>
        <v>5111428.20100983</v>
      </c>
      <c r="BE183">
        <f ca="1" t="shared" si="400"/>
        <v>105849</v>
      </c>
      <c r="BF183">
        <f ca="1" t="shared" si="733"/>
        <v>1955936</v>
      </c>
      <c r="BI183">
        <f ca="1" t="shared" si="751"/>
        <v>0.0826138197194782</v>
      </c>
      <c r="BJ183" s="171">
        <f ca="1">技能数计算!$AJ175</f>
        <v>0</v>
      </c>
      <c r="BK183">
        <f ca="1" t="shared" si="663"/>
        <v>5111428.20100983</v>
      </c>
      <c r="BM183">
        <f ca="1" t="shared" si="403"/>
        <v>109230</v>
      </c>
      <c r="BN183">
        <f ca="1" t="shared" si="734"/>
        <v>1955936</v>
      </c>
      <c r="BO183">
        <f ca="1" t="shared" si="735"/>
        <v>5075767.90262155</v>
      </c>
      <c r="BP183">
        <f ca="1" t="shared" si="761"/>
        <v>5075767.90262155</v>
      </c>
      <c r="BR183">
        <f ca="1" t="shared" si="752"/>
        <v>0.132613819719478</v>
      </c>
      <c r="BS183">
        <f ca="1" t="shared" si="664"/>
        <v>5356193.39031344</v>
      </c>
      <c r="BT183">
        <f ca="1" t="shared" si="736"/>
        <v>0.196995876306796</v>
      </c>
      <c r="BU183">
        <f ca="1" t="shared" si="753"/>
        <v>2.18648755987951</v>
      </c>
      <c r="BV183">
        <f ca="1" t="shared" si="419"/>
        <v>5518069.50349855</v>
      </c>
      <c r="BW183">
        <f ca="1" t="shared" si="408"/>
        <v>113027</v>
      </c>
      <c r="BX183">
        <f ca="1" t="shared" si="737"/>
        <v>1955936</v>
      </c>
      <c r="BY183">
        <f ca="1" t="shared" si="754"/>
        <v>0.0826138197194782</v>
      </c>
      <c r="BZ183" s="171">
        <f ca="1">技能数计算!$AJ175</f>
        <v>0</v>
      </c>
      <c r="CA183">
        <f ca="1" t="shared" si="755"/>
        <v>2.04000318487951</v>
      </c>
      <c r="CB183">
        <f ca="1" t="shared" si="420"/>
        <v>5075767.90262155</v>
      </c>
      <c r="CC183">
        <f ca="1" t="shared" si="411"/>
        <v>114847</v>
      </c>
      <c r="CD183">
        <f ca="1" t="shared" si="738"/>
        <v>1955936</v>
      </c>
      <c r="CE183">
        <f ca="1" t="shared" si="665"/>
        <v>5075767.90262155</v>
      </c>
      <c r="CF183">
        <f ca="1" t="shared" si="756"/>
        <v>2.04000318487951</v>
      </c>
      <c r="CG183">
        <f ca="1" t="shared" si="757"/>
        <v>0.112613819719478</v>
      </c>
      <c r="CH183">
        <f ca="1" t="shared" si="421"/>
        <v>5111428.20100983</v>
      </c>
      <c r="CJ183">
        <f ca="1" t="shared" si="739"/>
        <v>1955936</v>
      </c>
      <c r="CK183">
        <f ca="1" t="shared" si="740"/>
        <v>5075767.90262155</v>
      </c>
      <c r="CL183">
        <f ca="1" t="shared" si="741"/>
        <v>2.16031568487951</v>
      </c>
      <c r="CM183">
        <f ca="1">IF(G183="恒定伤害",0,(IF(D183="轻剑",$CM$8,$CM$9)+IFERROR(INDEX(技能数据库!$T$2:$W$27,MATCH(E183,技能数据库!$T$2:$T$27,0),4),0)+COUNTIF(G183,"*造化2*")*154+COUNTIF(G183,"*造化1*")*102+COUNTIF(G183,"*碧归*")*307)/1024)</f>
        <v>0.176868146929785</v>
      </c>
      <c r="CN183">
        <f ca="1" t="shared" si="422"/>
        <v>5610719.10456566</v>
      </c>
      <c r="CO183">
        <f ca="1" t="shared" si="742"/>
        <v>2.18437818487951</v>
      </c>
      <c r="CP183">
        <f ca="1" t="shared" si="423"/>
        <v>5624165.81407276</v>
      </c>
      <c r="CQ183">
        <f ca="1" t="shared" si="762"/>
        <v>1.8815754648</v>
      </c>
      <c r="CR183">
        <f ca="1">IF(G183="恒定伤害",0,(IF(D183="轻剑",$CR$8,$CR$9)+IFERROR(INDEX(技能数据库!$T$2:$W$27,MATCH(E183,技能数据库!$T$2:$T$27,0),4),0)+COUNTIF(G183,"*造化2*")*154+COUNTIF(G183,"*造化1*")*102+COUNTIF(G183,"*碧归*")*307)/1024)</f>
        <v>0.167102521929785</v>
      </c>
      <c r="CS183">
        <f ca="1" t="shared" si="743"/>
        <v>5500532.54383486</v>
      </c>
    </row>
    <row r="184" spans="4:97">
      <c r="D184" t="s">
        <v>1825</v>
      </c>
      <c r="E184" s="161" t="s">
        <v>2859</v>
      </c>
      <c r="F184" t="s">
        <v>2503</v>
      </c>
      <c r="G184" t="s">
        <v>3108</v>
      </c>
      <c r="H184">
        <f ca="1">INDEX(技能数据库!$B$2:$I$100,MATCH(阵眼收益计算!$E184,技能数据库!$B$2:$B$100,0),MATCH(H$9,技能数据库!$B$2:$I$2,0))</f>
        <v>1955936</v>
      </c>
      <c r="I184">
        <f ca="1">INDEX(技能数据库!$B$2:$I$100,MATCH(阵眼收益计算!$E184,技能数据库!$B$2:$B$100,0),MATCH(I$9,技能数据库!$B$2:$I$2,0))</f>
        <v>0</v>
      </c>
      <c r="J184">
        <f ca="1">INDEX(技能数据库!$B$2:$I$100,MATCH(阵眼收益计算!$E184,技能数据库!$B$2:$B$100,0),MATCH(J$9,技能数据库!$B$2:$I$2,0))</f>
        <v>0</v>
      </c>
      <c r="K184">
        <f ca="1">INDEX(技能数据库!$B$2:$I$100,MATCH(阵眼收益计算!$E184,技能数据库!$B$2:$B$100,0),MATCH(K$9,技能数据库!$B$2:$I$2,0))</f>
        <v>0</v>
      </c>
      <c r="L184">
        <f ca="1" t="shared" si="387"/>
        <v>105847</v>
      </c>
      <c r="M184">
        <f ca="1" t="shared" ref="M184:M187" si="763">IF(D184="轻剑",$AU$2+$AV$2,$AU$3+$AV$3)/2</f>
        <v>19530.5</v>
      </c>
      <c r="N184">
        <f ca="1" t="shared" ref="N184:N187" si="764">IF(D184="轻剑",$AJ$2,$AJ$3)</f>
        <v>92028</v>
      </c>
      <c r="O184">
        <f ca="1" t="shared" ref="O184:O187" si="765">H184+I184*L184+J184*M184+IF(K184&gt;0,MAX(1,K184*N184*破招全局系数),0)</f>
        <v>1955936</v>
      </c>
      <c r="P184">
        <f ca="1">IF(G184="恒定伤害",0,(IF(D184="轻剑",$AZ$2,$AZ$3)+IFERROR(INDEX(技能数据库!$T$2:$W$27,MATCH(E184,技能数据库!$T$2:$T$27,0),4),0)+COUNTIF(G184,"*造化2*")*154+COUNTIF(G184,"*造化1*")*102+COUNTIF(G184,"*碧归*")*307)/1024)</f>
        <v>0.116321271929785</v>
      </c>
      <c r="Q184">
        <f ca="1" t="shared" si="758"/>
        <v>0.0415122129107408</v>
      </c>
      <c r="R184">
        <f ca="1" t="shared" ref="R184:R187" si="766">IF(G184="恒定伤害",0,(($F$5-IF(D184="轻剑",$BB$2,$BB$3))*(1024-IF(D184="轻剑",$BD$2,$BD$3))/1024*(1024-IF(D184="轻剑",$BC$2,$BC$3)-COUNTIF(G184,"*雾锁*")*461*雾锁)/1024/(($F$5-IF(D184="轻剑",$BB$2,$BB$3))*(1024-IF(D184="轻剑",$BD$2,$BD$3))/1024*(1024-IF(D184="轻剑",$BC$2,$BC$3)-COUNTIF(G184,"*雾锁*")*461*雾锁)/1024+$F$7)))</f>
        <v>0.21277697966198</v>
      </c>
      <c r="S184">
        <f ca="1" t="shared" ref="S184:S187" si="767">O184*(1+P184)*(1+Q184)*(1-R184)</f>
        <v>1790218.30301643</v>
      </c>
      <c r="T184">
        <f t="shared" si="723"/>
        <v>0.8</v>
      </c>
      <c r="U184">
        <f ca="1" t="shared" si="759"/>
        <v>1.7800129648</v>
      </c>
      <c r="V184">
        <f ca="1" t="shared" ref="V184:V187" si="768">S184*T184*(1+U184)</f>
        <v>3981464.07376636</v>
      </c>
      <c r="W184">
        <f ca="1">IF(G184="恒定伤害",0,MIN(1,IF(COUNTIF(F184,"*内会*")&gt;0,内会2,IF(D184="轻剑",$Y$2,$Y$3)+COUNTIF(G184,"*莺鸣*")*0.2+COUNTIF(G184,"*叠1*")*0.1+COUNTIF(G184,"*叠2*")*0.2+COUNTIF(G184,"*叠3*")*0.3)+IFERROR(INDEX(技能数据库!$T$2:$W$27,MATCH(E184,技能数据库!$T$2:$T$27,0),2),0)+IF((IF(D184="轻剑",$AO$2,$AO$3)+INT(COUNTIF(G184,"*大莺鸣*")*IF(D184="轻剑",$AM$2,$AM$3)*听晓无双率)/无双系数)&gt;0.9,特效裤子会心/会心系数,0)))</f>
        <v>0.8043</v>
      </c>
      <c r="X184">
        <f ca="1">IF(G184="恒定伤害",0,IF(COUNTIF(F184,"*内会*")&gt;0,内会效2,IF(D184="轻剑",$AB$2,$AB$3))+IFERROR(INDEX(技能数据库!$T$2:$W$27,MATCH(E184,技能数据库!$T$2:$T$27,0),3)/1024,0))+COUNTIF(G184,"*叠1*")*0.25+COUNTIF(G184,"*叠2*")*0.5+COUNTIF(G184,"*叠3*")*0.75</f>
        <v>2.4212723116</v>
      </c>
      <c r="Y184">
        <f ca="1" t="shared" ref="Y184:Y187" si="769">1+W184*(X184-1)</f>
        <v>2.14312932021988</v>
      </c>
      <c r="Z184">
        <f t="shared" ref="Z184:Z187" si="770">IF(G184="恒定伤害",0,非侠士伤害/1024)</f>
        <v>0.150390625</v>
      </c>
      <c r="AA184">
        <f ca="1" t="shared" ref="AA184:AA187" si="771">IF(D184="轻剑",$BA$2,$BA$3)/1024</f>
        <v>0.0205078125</v>
      </c>
      <c r="AB184">
        <f ca="1" t="shared" ref="AB184:AB187" si="772">V184*Y184*(1+Z184)*(1+AA184)</f>
        <v>10017349.9725375</v>
      </c>
      <c r="AC184">
        <f ca="1">技能数计算!$AJ176</f>
        <v>0</v>
      </c>
      <c r="AD184" s="164">
        <f ca="1" t="shared" ref="AD184:AD187" si="773">IFERROR(AB184*AC184/$AD$7,0)</f>
        <v>0</v>
      </c>
      <c r="AE184" s="168"/>
      <c r="AF184" s="168">
        <f ca="1" t="shared" si="744"/>
        <v>0.8057</v>
      </c>
      <c r="AG184">
        <f ca="1">技能数计算!$AJ176</f>
        <v>0</v>
      </c>
      <c r="AH184">
        <f ca="1" t="shared" si="389"/>
        <v>109879</v>
      </c>
      <c r="AJ184">
        <f ca="1" t="shared" si="745"/>
        <v>2.6204910616</v>
      </c>
      <c r="AK184">
        <f ca="1" t="shared" ref="AK184:AK187" si="774">H184+AH184*I184+J184*(238.5+M184)+IF(K184&gt;0,MAX(1,K184*N184*破招全局系数),0)</f>
        <v>1955936</v>
      </c>
      <c r="AL184">
        <f ca="1" t="shared" si="661"/>
        <v>10776904.0703627</v>
      </c>
      <c r="AM184" s="169">
        <f ca="1" t="shared" si="746"/>
        <v>0.8272</v>
      </c>
      <c r="AN184">
        <f ca="1">技能数计算!$AJ176</f>
        <v>0</v>
      </c>
      <c r="AO184" s="170">
        <f ca="1" t="shared" si="662"/>
        <v>10939754.7474883</v>
      </c>
      <c r="AP184">
        <f ca="1" t="shared" si="394"/>
        <v>110956</v>
      </c>
      <c r="AQ184" s="170">
        <f ca="1" t="shared" ref="AQ184:AQ187" si="775">H184+AP184*I184+J184*M184+IF(K184&gt;0,MAX(1,K184*N184*破招全局系数),0)</f>
        <v>1955936</v>
      </c>
      <c r="AR184">
        <f ca="1" t="shared" ref="AR184:AR187" si="776">IF(COUNTIF(G184,"*恒定伤害*")&gt;0,AB184,((AQ184*(1+P184)*(1+IF(COUNTIF(F184,"*内破*")&gt;0,内破,IF(D184="轻剑",$AQ$8,$AQ$9)/破防系数)+IF((IF(D184="轻剑",$AO$2,$AO$3)+INT(COUNTIF(G184,"*大莺鸣*")*IF(D184="轻剑",$AM$2,$AM$3)*听晓无双率)/无双系数)&gt;0.9,(特效裤子破防+特效裤子破防*IF(D184="轻剑",$AD$2+200,$AD$3+200)/1024)/破防系数,0))*(1-R184))*T184*(1+U184))*Y184*(1+Z184)*(1+AA184))</f>
        <v>10017349.9725375</v>
      </c>
      <c r="AS184">
        <f ca="1" t="shared" si="747"/>
        <v>0.8843</v>
      </c>
      <c r="AT184">
        <f ca="1">技能数计算!$AJ176</f>
        <v>0</v>
      </c>
      <c r="AU184">
        <f ca="1" t="shared" si="748"/>
        <v>2.5677566866</v>
      </c>
      <c r="AV184">
        <f ca="1" t="shared" si="760"/>
        <v>1.7995442148</v>
      </c>
      <c r="AW184">
        <f ca="1" t="shared" si="416"/>
        <v>11232650.7695258</v>
      </c>
      <c r="AX184">
        <f ca="1" t="shared" si="749"/>
        <v>0.8743</v>
      </c>
      <c r="AY184">
        <f ca="1">技能数计算!$AJ176</f>
        <v>0</v>
      </c>
      <c r="AZ184" s="170">
        <f ca="1" t="shared" si="417"/>
        <v>11158856.3297093</v>
      </c>
      <c r="BA184">
        <f ca="1" t="shared" si="750"/>
        <v>0.8643</v>
      </c>
      <c r="BB184">
        <f ca="1">技能数计算!$AJ176</f>
        <v>0</v>
      </c>
      <c r="BC184" s="170">
        <f ca="1" t="shared" si="418"/>
        <v>11085061.8898928</v>
      </c>
      <c r="BE184">
        <f ca="1" t="shared" si="400"/>
        <v>105849</v>
      </c>
      <c r="BF184">
        <f ca="1" t="shared" ref="BF184:BF187" si="777">H184+BE184*I184+J184*M184+IF(K184&gt;0,MAX(1,K184*N184*破招全局系数),0)</f>
        <v>1955936</v>
      </c>
      <c r="BI184">
        <f ca="1" t="shared" si="751"/>
        <v>0.8543</v>
      </c>
      <c r="BJ184">
        <f ca="1">技能数计算!$AJ176</f>
        <v>0</v>
      </c>
      <c r="BK184">
        <f ca="1" t="shared" si="663"/>
        <v>10422224.8732548</v>
      </c>
      <c r="BM184">
        <f ca="1" t="shared" si="403"/>
        <v>109230</v>
      </c>
      <c r="BN184">
        <f ca="1" t="shared" ref="BN184:BN187" si="778">H184+BM184*I184+J184*M184+IF(K184&gt;0,MAX(1,K184*N184*破招全局系数),0)</f>
        <v>1955936</v>
      </c>
      <c r="BO184">
        <f ca="1" t="shared" ref="BO184:BO187" si="779">IF(COUNTIF(G184,"*恒定伤害*")&gt;0,AB184,((BN184*(1+P184)*(1+IF(COUNTIF(F184,"*内破*")&gt;0,内破,IF(D184="轻剑",$BM$8,$BM$9)/破防系数)+IF((IF(D184="轻剑",$AO$2,$AO$3)+INT(COUNTIF(G184,"*大莺鸣*")*IF(D184="轻剑",$AM$2,$AM$3)*听晓无双率)/无双系数)&gt;0.9,(特效裤子破防+特效裤子破防*IF(D184="轻剑",$AD$2+102,$AD$3+102)/1024)/破防系数,0))*(1-R184))*T184*(1+U184))*Y184*(1+Z184)*(1+AA184))</f>
        <v>10017349.9725375</v>
      </c>
      <c r="BP184">
        <f ca="1" t="shared" si="761"/>
        <v>10017349.9725375</v>
      </c>
      <c r="BR184">
        <f ca="1" t="shared" si="752"/>
        <v>0.8543</v>
      </c>
      <c r="BS184">
        <f ca="1" t="shared" si="664"/>
        <v>10422224.8732548</v>
      </c>
      <c r="BT184">
        <f ca="1" t="shared" ref="BT184:BT187" si="780">IF(G184="恒定伤害",0,(($F$5-IF(D184="轻剑",$BB$2,$BB$3))*(1024-IF(D184="轻剑",$BD$2,$BD$3))/1024*(1024-IF(D184="轻剑",$BT$8,$BT$9)-COUNTIF(G184,"*雾锁*")*461*雾锁)/1024/(($F$5-IF(D184="轻剑",$BB$2,$BB$3))*(1024-IF(D184="轻剑",$BD$2,$BD$3))/1024*(1024-IF(D184="轻剑",$BT$8,$BT$9)-COUNTIF(G184,"*雾锁*")*461*雾锁)/1024+$F$7)))</f>
        <v>0.196995876306796</v>
      </c>
      <c r="BU184">
        <f ca="1" t="shared" si="753"/>
        <v>2.5677566866</v>
      </c>
      <c r="BV184">
        <f ca="1" t="shared" si="419"/>
        <v>11153644.3344575</v>
      </c>
      <c r="BW184">
        <f ca="1" t="shared" si="408"/>
        <v>113027</v>
      </c>
      <c r="BX184">
        <f ca="1" t="shared" ref="BX184:BX187" si="781">H184+BW184*I184+J184*M184+IF(K184&gt;0,MAX(1,K184*N184*破招全局系数),0)</f>
        <v>1955936</v>
      </c>
      <c r="BY184">
        <f ca="1" t="shared" si="754"/>
        <v>0.8343</v>
      </c>
      <c r="BZ184">
        <f ca="1">技能数计算!$AJ176</f>
        <v>0</v>
      </c>
      <c r="CA184">
        <f ca="1" t="shared" si="755"/>
        <v>2.5716629366</v>
      </c>
      <c r="CB184">
        <f ca="1" t="shared" si="420"/>
        <v>10803120.2709867</v>
      </c>
      <c r="CC184">
        <f ca="1" t="shared" si="411"/>
        <v>114847</v>
      </c>
      <c r="CD184">
        <f ca="1" t="shared" ref="CD184:CD187" si="782">H184+CC184*I184+J184*M184+IF(K184&gt;0,MAX(1,K184*N184*破招全局系数),0)</f>
        <v>1955936</v>
      </c>
      <c r="CE184">
        <f ca="1" t="shared" si="665"/>
        <v>10216648.0085997</v>
      </c>
      <c r="CF184">
        <f ca="1" t="shared" si="756"/>
        <v>2.5189285616</v>
      </c>
      <c r="CG184">
        <f ca="1" t="shared" si="757"/>
        <v>0.8343</v>
      </c>
      <c r="CH184">
        <f ca="1" t="shared" si="421"/>
        <v>10671927.7327821</v>
      </c>
      <c r="CJ184">
        <f ca="1" t="shared" ref="CJ184:CJ187" si="783">H184+BM184*I184+J184*M184+IF(K184&gt;0,MAX(1,K184*(N184+2667)*破招全局系数),0)</f>
        <v>1955936</v>
      </c>
      <c r="CK184">
        <f ca="1" t="shared" ref="CK184:CK187" si="784">IF(COUNTIF(G184,"*恒定伤害*")&gt;0,AB184,((CJ184*(1+P184)*(1+IF(COUNTIF(F184,"*内破*")&gt;0,内破,IF(D184="轻剑",$CI$8,$CI$9)/破防系数)+IF((IF(D184="轻剑",$AO$2,$AO$3)+INT(COUNTIF(G184,"*大莺鸣*")*IF(D184="轻剑",$AM$2,$AM$3)*听晓无双率)/无双系数)&gt;0.9,(特效裤子破防+特效裤子破防*IF(D184="轻剑",$AD$2+256,$AD$3+256)/1024)/破防系数,0))*(1-R184))*T184*(1+U184))*Y184*(1+Z184)*(1+AA184))</f>
        <v>10017349.9725375</v>
      </c>
      <c r="CL184">
        <f ca="1" t="shared" ref="CL184:CL187" si="785">X184+IF(D184="轻剑",$CL$8-$AB$2,$CL$9-$AB$3)</f>
        <v>2.5415848116</v>
      </c>
      <c r="CM184">
        <f ca="1">IF(G184="恒定伤害",0,(IF(D184="轻剑",$CM$8,$CM$9)+IFERROR(INDEX(技能数据库!$T$2:$W$27,MATCH(E184,技能数据库!$T$2:$T$27,0),4),0)+COUNTIF(G184,"*造化2*")*154+COUNTIF(G184,"*造化1*")*102+COUNTIF(G184,"*碧归*")*307)/1024)</f>
        <v>0.176868146929785</v>
      </c>
      <c r="CN184">
        <f ca="1" t="shared" si="422"/>
        <v>11344548.29777</v>
      </c>
      <c r="CO184">
        <f ca="1" t="shared" ref="CO184:CO187" si="786">X184+IF(D184="轻剑",$CO$8-$AB$2,$CO$9-$AB$3)</f>
        <v>2.5656473116</v>
      </c>
      <c r="CP184">
        <f ca="1" t="shared" si="423"/>
        <v>11444168.3068393</v>
      </c>
      <c r="CQ184">
        <f ca="1" t="shared" si="762"/>
        <v>1.8815754648</v>
      </c>
      <c r="CR184">
        <f ca="1">IF(G184="恒定伤害",0,(IF(D184="轻剑",$CR$8,$CR$9)+IFERROR(INDEX(技能数据库!$T$2:$W$27,MATCH(E184,技能数据库!$T$2:$T$27,0),4),0)+COUNTIF(G184,"*造化2*")*154+COUNTIF(G184,"*造化1*")*102+COUNTIF(G184,"*碧归*")*307)/1024)</f>
        <v>0.167102521929785</v>
      </c>
      <c r="CS184">
        <f ca="1" t="shared" ref="CS184:CS187" si="787">IF(COUNTIF(G184,"*恒定伤害*")&gt;0,AB184,((O184*(1+CR184)*(1+Q184)*(1-R184))*T184*(1+CQ184))*Y184*(1+Z184)*(1+AA184))</f>
        <v>10855649.9398775</v>
      </c>
    </row>
    <row r="185" spans="4:97">
      <c r="D185" t="s">
        <v>1825</v>
      </c>
      <c r="E185" s="161" t="s">
        <v>2861</v>
      </c>
      <c r="F185" t="s">
        <v>3160</v>
      </c>
      <c r="G185" t="s">
        <v>3108</v>
      </c>
      <c r="H185">
        <f ca="1">INDEX(技能数据库!$B$2:$I$100,MATCH(阵眼收益计算!$E185,技能数据库!$B$2:$B$100,0),MATCH(H$9,技能数据库!$B$2:$I$2,0))</f>
        <v>1344706</v>
      </c>
      <c r="I185">
        <f ca="1">INDEX(技能数据库!$B$2:$I$100,MATCH(阵眼收益计算!$E185,技能数据库!$B$2:$B$100,0),MATCH(I$9,技能数据库!$B$2:$I$2,0))</f>
        <v>0</v>
      </c>
      <c r="J185">
        <f ca="1">INDEX(技能数据库!$B$2:$I$100,MATCH(阵眼收益计算!$E185,技能数据库!$B$2:$B$100,0),MATCH(J$9,技能数据库!$B$2:$I$2,0))</f>
        <v>0</v>
      </c>
      <c r="K185">
        <f ca="1">INDEX(技能数据库!$B$2:$I$100,MATCH(阵眼收益计算!$E185,技能数据库!$B$2:$B$100,0),MATCH(K$9,技能数据库!$B$2:$I$2,0))</f>
        <v>0</v>
      </c>
      <c r="L185">
        <f ca="1" t="shared" si="387"/>
        <v>105847</v>
      </c>
      <c r="M185">
        <f ca="1" t="shared" si="763"/>
        <v>19530.5</v>
      </c>
      <c r="N185">
        <f ca="1" t="shared" si="764"/>
        <v>92028</v>
      </c>
      <c r="O185">
        <f ca="1" t="shared" si="765"/>
        <v>1344706</v>
      </c>
      <c r="P185">
        <f ca="1">IF(G185="恒定伤害",0,(IF(D185="轻剑",$AZ$2,$AZ$3)+IFERROR(INDEX(技能数据库!$T$2:$W$27,MATCH(E185,技能数据库!$T$2:$T$27,0),4),0)+COUNTIF(G185,"*造化2*")*154+COUNTIF(G185,"*造化1*")*102+COUNTIF(G185,"*碧归*")*307)/1024)</f>
        <v>0.116321271929785</v>
      </c>
      <c r="Q185">
        <f ca="1" t="shared" si="758"/>
        <v>0.0415122129107408</v>
      </c>
      <c r="R185">
        <f ca="1" t="shared" si="766"/>
        <v>0.21277697966198</v>
      </c>
      <c r="S185">
        <f ca="1" t="shared" si="767"/>
        <v>1230775.0833238</v>
      </c>
      <c r="T185">
        <f t="shared" si="723"/>
        <v>0.8</v>
      </c>
      <c r="U185">
        <f ca="1" t="shared" si="759"/>
        <v>1.7800129648</v>
      </c>
      <c r="V185">
        <f ca="1" t="shared" si="768"/>
        <v>2737256.55071437</v>
      </c>
      <c r="W185">
        <f ca="1">IF(G185="恒定伤害",0,MIN(1,IF(COUNTIF(F185,"*内会*")&gt;0,内会2,IF(D185="轻剑",$Y$2,$Y$3)+COUNTIF(G185,"*莺鸣*")*0.2+COUNTIF(G185,"*叠1*")*0.1+COUNTIF(G185,"*叠2*")*0.2+COUNTIF(G185,"*叠3*")*0.3)+IFERROR(INDEX(技能数据库!$T$2:$W$27,MATCH(E185,技能数据库!$T$2:$T$27,0),2),0)+IF((IF(D185="轻剑",$AO$2,$AO$3)+INT(COUNTIF(G185,"*大莺鸣*")*IF(D185="轻剑",$AM$2,$AM$3)*听晓无双率)/无双系数)&gt;0.9,特效裤子会心/会心系数,0)))</f>
        <v>0.0826138197194782</v>
      </c>
      <c r="X185">
        <f ca="1">IF(G185="恒定伤害",0,IF(COUNTIF(F185,"*内会*")&gt;0,内会效2,IF(D185="轻剑",$AB$2,$AB$3))+IFERROR(INDEX(技能数据库!$T$2:$W$27,MATCH(E185,技能数据库!$T$2:$T$27,0),3)/1024,0))+COUNTIF(G185,"*叠1*")*0.25+COUNTIF(G185,"*叠2*")*0.5+COUNTIF(G185,"*叠3*")*0.75</f>
        <v>2.04000318487951</v>
      </c>
      <c r="Y185">
        <f ca="1" t="shared" si="769"/>
        <v>1.08591863562332</v>
      </c>
      <c r="Z185">
        <f t="shared" si="770"/>
        <v>0.150390625</v>
      </c>
      <c r="AA185">
        <f ca="1" t="shared" si="771"/>
        <v>0.0205078125</v>
      </c>
      <c r="AB185">
        <f ca="1" t="shared" si="772"/>
        <v>3489590.43305231</v>
      </c>
      <c r="AC185">
        <f ca="1">技能数计算!$AJ177</f>
        <v>0</v>
      </c>
      <c r="AD185" s="164">
        <f ca="1" t="shared" si="773"/>
        <v>0</v>
      </c>
      <c r="AE185" s="168"/>
      <c r="AF185" s="168">
        <f ca="1" t="shared" ref="AF185:AF187" si="788">W185+IF(COUNTIF(F185,"*内会*")&gt;0,0,IF(D185="轻剑",$AF$8-$Y$2,$AF$9-$Y$3))</f>
        <v>0.0826138197194782</v>
      </c>
      <c r="AG185">
        <f ca="1">技能数计算!$AJ177</f>
        <v>0</v>
      </c>
      <c r="AH185">
        <f ca="1" t="shared" si="389"/>
        <v>109879</v>
      </c>
      <c r="AJ185">
        <f ca="1" t="shared" ref="AJ185:AJ187" si="789">X185+IF(COUNTIF(F185,"*内会*")&gt;0,0,IF(D185="轻剑",$AJ$8-$AB$2,$AJ$9-$AB$3))</f>
        <v>2.04000318487951</v>
      </c>
      <c r="AK185">
        <f ca="1" t="shared" si="774"/>
        <v>1344706</v>
      </c>
      <c r="AL185">
        <f ca="1" t="shared" si="661"/>
        <v>3489590.43305231</v>
      </c>
      <c r="AM185" s="169">
        <f ca="1" t="shared" ref="AM185:AM187" si="790">W185+IF(COUNTIF(F185,"*内会*")&gt;0,0,IF(D185="轻剑",$AN$8-$Y$2,$AN$9-$Y$3))</f>
        <v>0.0826138197194782</v>
      </c>
      <c r="AN185">
        <f ca="1">技能数计算!$AJ177</f>
        <v>0</v>
      </c>
      <c r="AO185" s="170">
        <f ca="1" t="shared" si="662"/>
        <v>3489590.43305231</v>
      </c>
      <c r="AP185">
        <f ca="1" t="shared" si="394"/>
        <v>110956</v>
      </c>
      <c r="AQ185" s="170">
        <f ca="1" t="shared" si="775"/>
        <v>1344706</v>
      </c>
      <c r="AR185">
        <f ca="1" t="shared" si="776"/>
        <v>3489590.43305231</v>
      </c>
      <c r="AS185">
        <f ca="1" t="shared" ref="AS185:AS187" si="791">W185+IF(COUNTIF(F185,"*内会*")&gt;0,0,IF(D185="轻剑",$AS$8-$Y$2,$AS$9-$Y$3))</f>
        <v>0.0826138197194782</v>
      </c>
      <c r="AT185">
        <f ca="1">技能数计算!$AJ177</f>
        <v>0</v>
      </c>
      <c r="AU185">
        <f ca="1" t="shared" ref="AU185:AU187" si="792">X185+IF(COUNTIF(F185,"*内会*")&gt;0,0,IF(D185="轻剑",$AU$8-$AB$2,$AU$9-$AB$3))</f>
        <v>2.04000318487951</v>
      </c>
      <c r="AV185">
        <f ca="1" t="shared" si="760"/>
        <v>1.7995442148</v>
      </c>
      <c r="AW185">
        <f ca="1" t="shared" si="416"/>
        <v>3514106.88819426</v>
      </c>
      <c r="AX185">
        <f ca="1" t="shared" ref="AX185:AX187" si="793">$W185+IF(COUNTIF(F185,"*内会*")&gt;0,0,IF(I185="轻剑",AX$8-$Y$2,AX$9-$Y$3))</f>
        <v>0.0826138197194782</v>
      </c>
      <c r="AY185">
        <f ca="1">技能数计算!$AJ177</f>
        <v>0</v>
      </c>
      <c r="AZ185" s="170">
        <f ca="1" t="shared" si="417"/>
        <v>3514106.88819426</v>
      </c>
      <c r="BA185">
        <f ca="1" t="shared" ref="BA185:BA187" si="794">$W185+IF(COUNTIF(F185,"*内会*")&gt;0,0,IF(L185="轻剑",BA$8-$Y$2,BA$9-$Y$3))</f>
        <v>0.0826138197194782</v>
      </c>
      <c r="BB185">
        <f ca="1">技能数计算!$AJ177</f>
        <v>0</v>
      </c>
      <c r="BC185" s="170">
        <f ca="1" t="shared" si="418"/>
        <v>3514106.88819426</v>
      </c>
      <c r="BE185">
        <f ca="1" t="shared" si="400"/>
        <v>105849</v>
      </c>
      <c r="BF185">
        <f ca="1" t="shared" si="777"/>
        <v>1344706</v>
      </c>
      <c r="BI185">
        <f ca="1" t="shared" ref="BI185:BI187" si="795">$W185+IF(COUNTIF(F185,"*内会*")&gt;0,0,IF(T185="轻剑",BI$8-$Y$2,BI$9-$Y$3))</f>
        <v>0.0826138197194782</v>
      </c>
      <c r="BJ185">
        <f ca="1">技能数计算!$AJ177</f>
        <v>0</v>
      </c>
      <c r="BK185">
        <f ca="1" t="shared" si="663"/>
        <v>3514106.88819426</v>
      </c>
      <c r="BM185">
        <f ca="1" t="shared" si="403"/>
        <v>109230</v>
      </c>
      <c r="BN185">
        <f ca="1" t="shared" si="778"/>
        <v>1344706</v>
      </c>
      <c r="BO185">
        <f ca="1" t="shared" si="779"/>
        <v>3489590.43305231</v>
      </c>
      <c r="BP185">
        <f ca="1" t="shared" si="761"/>
        <v>3489590.43305231</v>
      </c>
      <c r="BR185">
        <f ca="1" t="shared" ref="BR185:BR187" si="796">$W185+IF(T185="轻剑",BI$8-$Y$2,BI$9-$Y$3)</f>
        <v>0.132613819719478</v>
      </c>
      <c r="BS185">
        <f ca="1" t="shared" si="664"/>
        <v>3682382.95584049</v>
      </c>
      <c r="BT185">
        <f ca="1" t="shared" si="780"/>
        <v>0.196995876306796</v>
      </c>
      <c r="BU185">
        <f ca="1" t="shared" ref="BU185:BU187" si="797">X185+IF(D185="轻剑",$AU$8-$AB$2,$AU$9-$AB$3)</f>
        <v>2.18648755987951</v>
      </c>
      <c r="BV185">
        <f ca="1" t="shared" si="419"/>
        <v>3793672.78365525</v>
      </c>
      <c r="BW185">
        <f ca="1" t="shared" si="408"/>
        <v>113027</v>
      </c>
      <c r="BX185">
        <f ca="1" t="shared" si="781"/>
        <v>1344706</v>
      </c>
      <c r="BY185">
        <f ca="1" t="shared" ref="BY185:BY187" si="798">$W185+IF(COUNTIF(F185,"*内会*")&gt;0,0,IF(AI185="轻剑",BY$8-$Y$2,BY$9-$Y$3))</f>
        <v>0.0826138197194782</v>
      </c>
      <c r="BZ185">
        <f ca="1">技能数计算!$AJ177</f>
        <v>0</v>
      </c>
      <c r="CA185">
        <f ca="1" t="shared" ref="CA185:CA187" si="799">X185+IF(COUNTIF(F185,"*内会*")&gt;0,0,IF(D185="轻剑",$CA$8-$AB$2,$CA$9-$AB$3))</f>
        <v>2.04000318487951</v>
      </c>
      <c r="CB185">
        <f ca="1" t="shared" si="420"/>
        <v>3489590.43305231</v>
      </c>
      <c r="CC185">
        <f ca="1" t="shared" si="411"/>
        <v>114847</v>
      </c>
      <c r="CD185">
        <f ca="1" t="shared" si="782"/>
        <v>1344706</v>
      </c>
      <c r="CE185">
        <f ca="1" t="shared" si="665"/>
        <v>3489590.43305231</v>
      </c>
      <c r="CF185">
        <f ca="1" t="shared" ref="CF185:CF187" si="800">X185+IF(COUNTIF(F185,"*内会*")&gt;0,0,IF(D185="轻剑",$CF$8-$AB$2,$CF$9-$AB$3))</f>
        <v>2.04000318487951</v>
      </c>
      <c r="CG185">
        <f ca="1" t="shared" ref="CG185:CG187" si="801">$W185+IF(AI185="轻剑",BY$8-$Y$2,BY$9-$Y$3)</f>
        <v>0.112613819719478</v>
      </c>
      <c r="CH185">
        <f ca="1" t="shared" si="421"/>
        <v>3514106.88819426</v>
      </c>
      <c r="CJ185">
        <f ca="1" t="shared" si="783"/>
        <v>1344706</v>
      </c>
      <c r="CK185">
        <f ca="1" t="shared" si="784"/>
        <v>3489590.43305231</v>
      </c>
      <c r="CL185">
        <f ca="1" t="shared" si="785"/>
        <v>2.16031568487951</v>
      </c>
      <c r="CM185">
        <f ca="1">IF(G185="恒定伤害",0,(IF(D185="轻剑",$CM$8,$CM$9)+IFERROR(INDEX(技能数据库!$T$2:$W$27,MATCH(E185,技能数据库!$T$2:$T$27,0),4),0)+COUNTIF(G185,"*造化2*")*154+COUNTIF(G185,"*造化1*")*102+COUNTIF(G185,"*碧归*")*307)/1024)</f>
        <v>0.176868146929785</v>
      </c>
      <c r="CN185">
        <f ca="1" t="shared" si="422"/>
        <v>3857369.38438889</v>
      </c>
      <c r="CO185">
        <f ca="1" t="shared" si="786"/>
        <v>2.18437818487951</v>
      </c>
      <c r="CP185">
        <f ca="1" t="shared" si="423"/>
        <v>3866613.99717502</v>
      </c>
      <c r="CQ185">
        <f ca="1" t="shared" si="762"/>
        <v>1.8815754648</v>
      </c>
      <c r="CR185">
        <f ca="1">IF(G185="恒定伤害",0,(IF(D185="轻剑",$CR$8,$CR$9)+IFERROR(INDEX(技能数据库!$T$2:$W$27,MATCH(E185,技能数据库!$T$2:$T$27,0),4),0)+COUNTIF(G185,"*造化2*")*154+COUNTIF(G185,"*造化1*")*102+COUNTIF(G185,"*碧归*")*307)/1024)</f>
        <v>0.167102521929785</v>
      </c>
      <c r="CS185">
        <f ca="1" t="shared" si="787"/>
        <v>3781616.12388647</v>
      </c>
    </row>
    <row r="186" spans="4:97">
      <c r="D186" t="s">
        <v>1825</v>
      </c>
      <c r="E186" s="161" t="s">
        <v>2869</v>
      </c>
      <c r="G186" t="s">
        <v>3110</v>
      </c>
      <c r="H186">
        <f ca="1">INDEX(技能数据库!$B$2:$I$100,MATCH(阵眼收益计算!$E186,技能数据库!$B$2:$B$100,0),MATCH(H$9,技能数据库!$B$2:$I$2,0))</f>
        <v>1544889</v>
      </c>
      <c r="I186">
        <f ca="1">INDEX(技能数据库!$B$2:$I$100,MATCH(阵眼收益计算!$E186,技能数据库!$B$2:$B$100,0),MATCH(I$9,技能数据库!$B$2:$I$2,0))</f>
        <v>0</v>
      </c>
      <c r="J186">
        <f ca="1">INDEX(技能数据库!$B$2:$I$100,MATCH(阵眼收益计算!$E186,技能数据库!$B$2:$B$100,0),MATCH(J$9,技能数据库!$B$2:$I$2,0))</f>
        <v>0</v>
      </c>
      <c r="K186">
        <f ca="1">INDEX(技能数据库!$B$2:$I$100,MATCH(阵眼收益计算!$E186,技能数据库!$B$2:$B$100,0),MATCH(K$9,技能数据库!$B$2:$I$2,0))</f>
        <v>0</v>
      </c>
      <c r="L186">
        <f ca="1" t="shared" si="387"/>
        <v>105847</v>
      </c>
      <c r="M186">
        <f ca="1" t="shared" si="763"/>
        <v>19530.5</v>
      </c>
      <c r="N186">
        <f ca="1" t="shared" si="764"/>
        <v>92028</v>
      </c>
      <c r="O186">
        <f ca="1" t="shared" si="765"/>
        <v>1544889</v>
      </c>
      <c r="P186">
        <f ca="1">IF(G186="恒定伤害",0,(IF(D186="轻剑",$AZ$2,$AZ$3)+IFERROR(INDEX(技能数据库!$T$2:$W$27,MATCH(E186,技能数据库!$T$2:$T$27,0),4),0)+COUNTIF(G186,"*造化2*")*154+COUNTIF(G186,"*造化1*")*102+COUNTIF(G186,"*碧归*")*307)/1024)</f>
        <v>0.116321271929785</v>
      </c>
      <c r="Q186">
        <f ca="1" t="shared" si="758"/>
        <v>0.448284482196154</v>
      </c>
      <c r="R186">
        <f ca="1" t="shared" si="766"/>
        <v>0.21277697966198</v>
      </c>
      <c r="S186">
        <f ca="1" t="shared" si="767"/>
        <v>1966247.322436</v>
      </c>
      <c r="T186">
        <f t="shared" si="723"/>
        <v>0.8</v>
      </c>
      <c r="U186">
        <f ca="1" t="shared" si="759"/>
        <v>1.7800129648</v>
      </c>
      <c r="V186">
        <f ca="1" t="shared" si="768"/>
        <v>4372954.43870028</v>
      </c>
      <c r="W186">
        <f ca="1">IF(G186="恒定伤害",0,MIN(1,IF(COUNTIF(F186,"*内会*")&gt;0,内会2,IF(D186="轻剑",$Y$2,$Y$3)+COUNTIF(G186,"*莺鸣*")*0.2+COUNTIF(G186,"*叠1*")*0.1+COUNTIF(G186,"*叠2*")*0.2+COUNTIF(G186,"*叠3*")*0.3)+IFERROR(INDEX(技能数据库!$T$2:$W$27,MATCH(E186,技能数据库!$T$2:$T$27,0),2),0)+IF((IF(D186="轻剑",$AO$2,$AO$3)+INT(COUNTIF(G186,"*大莺鸣*")*IF(D186="轻剑",$AM$2,$AM$3)*听晓无双率)/无双系数)&gt;0.9,特效裤子会心/会心系数,0)))</f>
        <v>1</v>
      </c>
      <c r="X186">
        <f ca="1">IF(G186="恒定伤害",0,IF(COUNTIF(F186,"*内会*")&gt;0,内会效2,IF(D186="轻剑",$AB$2,$AB$3))+IFERROR(INDEX(技能数据库!$T$2:$W$27,MATCH(E186,技能数据库!$T$2:$T$27,0),3)/1024,0))+COUNTIF(G186,"*叠1*")*0.25+COUNTIF(G186,"*叠2*")*0.5+COUNTIF(G186,"*叠3*")*0.75</f>
        <v>2.9212723116</v>
      </c>
      <c r="Y186">
        <f ca="1" t="shared" si="769"/>
        <v>2.9212723116</v>
      </c>
      <c r="Z186">
        <f t="shared" si="770"/>
        <v>0.150390625</v>
      </c>
      <c r="AA186">
        <f ca="1" t="shared" si="771"/>
        <v>0.0205078125</v>
      </c>
      <c r="AB186">
        <f ca="1" t="shared" si="772"/>
        <v>14997147.4879026</v>
      </c>
      <c r="AC186">
        <f ca="1">技能数计算!$AJ178</f>
        <v>0</v>
      </c>
      <c r="AD186" s="164">
        <f ca="1" t="shared" si="773"/>
        <v>0</v>
      </c>
      <c r="AE186" s="168"/>
      <c r="AF186" s="168">
        <f ca="1" t="shared" si="788"/>
        <v>1.0014</v>
      </c>
      <c r="AG186">
        <f ca="1">技能数计算!$AJ178</f>
        <v>0</v>
      </c>
      <c r="AH186">
        <f ca="1" t="shared" si="389"/>
        <v>109879</v>
      </c>
      <c r="AJ186">
        <f ca="1" t="shared" si="789"/>
        <v>3.1204910616</v>
      </c>
      <c r="AK186">
        <f ca="1" t="shared" si="774"/>
        <v>1544889</v>
      </c>
      <c r="AL186">
        <f ca="1" t="shared" si="661"/>
        <v>16024296.9942761</v>
      </c>
      <c r="AM186" s="169">
        <f ca="1" t="shared" si="790"/>
        <v>1.0229</v>
      </c>
      <c r="AN186">
        <f ca="1">技能数计算!$AJ178</f>
        <v>0</v>
      </c>
      <c r="AO186" s="170">
        <f ca="1" t="shared" si="662"/>
        <v>16024296.9942761</v>
      </c>
      <c r="AP186">
        <f ca="1" t="shared" si="394"/>
        <v>110956</v>
      </c>
      <c r="AQ186" s="170">
        <f ca="1" t="shared" si="775"/>
        <v>1544889</v>
      </c>
      <c r="AR186">
        <f ca="1" t="shared" si="776"/>
        <v>15876993.0351248</v>
      </c>
      <c r="AS186">
        <f ca="1" t="shared" si="791"/>
        <v>1.08</v>
      </c>
      <c r="AT186">
        <f ca="1">技能数计算!$AJ178</f>
        <v>0</v>
      </c>
      <c r="AU186">
        <f ca="1" t="shared" si="792"/>
        <v>3.0677566866</v>
      </c>
      <c r="AV186">
        <f ca="1" t="shared" si="760"/>
        <v>1.7995442148</v>
      </c>
      <c r="AW186">
        <f ca="1" t="shared" si="416"/>
        <v>15859812.2272115</v>
      </c>
      <c r="AX186">
        <f ca="1" t="shared" si="793"/>
        <v>1.07</v>
      </c>
      <c r="AY186">
        <f ca="1">技能数计算!$AJ178</f>
        <v>0</v>
      </c>
      <c r="AZ186" s="170">
        <f ca="1" t="shared" si="417"/>
        <v>15859812.2272115</v>
      </c>
      <c r="BA186">
        <f ca="1" t="shared" si="794"/>
        <v>1.06</v>
      </c>
      <c r="BB186">
        <f ca="1">技能数计算!$AJ178</f>
        <v>0</v>
      </c>
      <c r="BC186" s="170">
        <f ca="1" t="shared" si="418"/>
        <v>15859812.2272115</v>
      </c>
      <c r="BE186">
        <f ca="1" t="shared" si="400"/>
        <v>105849</v>
      </c>
      <c r="BF186">
        <f ca="1" t="shared" si="777"/>
        <v>1544889</v>
      </c>
      <c r="BI186">
        <f ca="1" t="shared" si="795"/>
        <v>1.05</v>
      </c>
      <c r="BJ186">
        <f ca="1">技能数计算!$AJ178</f>
        <v>0</v>
      </c>
      <c r="BK186">
        <f ca="1" t="shared" si="663"/>
        <v>16006398.2971689</v>
      </c>
      <c r="BM186">
        <f ca="1" t="shared" si="403"/>
        <v>109230</v>
      </c>
      <c r="BN186">
        <f ca="1" t="shared" si="778"/>
        <v>1544889</v>
      </c>
      <c r="BO186">
        <f ca="1" t="shared" si="779"/>
        <v>16196686.9013377</v>
      </c>
      <c r="BP186">
        <f ca="1" t="shared" si="761"/>
        <v>15445846.2614248</v>
      </c>
      <c r="BR186">
        <f ca="1" t="shared" si="796"/>
        <v>1.05</v>
      </c>
      <c r="BS186">
        <f ca="1" t="shared" si="664"/>
        <v>15554362.5484397</v>
      </c>
      <c r="BT186">
        <f ca="1" t="shared" si="780"/>
        <v>0.196995876306796</v>
      </c>
      <c r="BU186">
        <f ca="1" t="shared" si="797"/>
        <v>3.0677566866</v>
      </c>
      <c r="BV186">
        <f ca="1" t="shared" si="419"/>
        <v>16064881.3223014</v>
      </c>
      <c r="BW186">
        <f ca="1" t="shared" si="408"/>
        <v>113027</v>
      </c>
      <c r="BX186">
        <f ca="1" t="shared" si="781"/>
        <v>1544889</v>
      </c>
      <c r="BY186">
        <f ca="1" t="shared" si="798"/>
        <v>1.03</v>
      </c>
      <c r="BZ186">
        <f ca="1">技能数计算!$AJ178</f>
        <v>0</v>
      </c>
      <c r="CA186">
        <f ca="1" t="shared" si="799"/>
        <v>3.0716629366</v>
      </c>
      <c r="CB186">
        <f ca="1" t="shared" si="420"/>
        <v>15769218.7443092</v>
      </c>
      <c r="CC186">
        <f ca="1" t="shared" si="411"/>
        <v>114847</v>
      </c>
      <c r="CD186">
        <f ca="1" t="shared" si="782"/>
        <v>1544889</v>
      </c>
      <c r="CE186">
        <f ca="1" t="shared" si="665"/>
        <v>15445846.2614248</v>
      </c>
      <c r="CF186">
        <f ca="1" t="shared" si="800"/>
        <v>3.0189285616</v>
      </c>
      <c r="CG186">
        <f ca="1" t="shared" si="801"/>
        <v>1.03</v>
      </c>
      <c r="CH186">
        <f ca="1" t="shared" si="421"/>
        <v>15607378.6175679</v>
      </c>
      <c r="CJ186">
        <f ca="1" t="shared" si="783"/>
        <v>1544889</v>
      </c>
      <c r="CK186">
        <f ca="1" t="shared" si="784"/>
        <v>16123316.7924205</v>
      </c>
      <c r="CL186">
        <f ca="1" t="shared" si="785"/>
        <v>3.0415848116</v>
      </c>
      <c r="CM186">
        <f ca="1">IF(G186="恒定伤害",0,(IF(D186="轻剑",$CM$8,$CM$9)+IFERROR(INDEX(技能数据库!$T$2:$W$27,MATCH(E186,技能数据库!$T$2:$T$27,0),4),0)+COUNTIF(G186,"*造化2*")*154+COUNTIF(G186,"*造化1*")*102+COUNTIF(G186,"*碧归*")*307)/1024)</f>
        <v>0.176868146929785</v>
      </c>
      <c r="CN186">
        <f ca="1" t="shared" si="422"/>
        <v>16577371.4395153</v>
      </c>
      <c r="CO186">
        <f ca="1" t="shared" si="786"/>
        <v>3.0656473116</v>
      </c>
      <c r="CP186">
        <f ca="1" t="shared" si="423"/>
        <v>16708517.8730265</v>
      </c>
      <c r="CQ186">
        <f ca="1" t="shared" si="762"/>
        <v>1.8815754648</v>
      </c>
      <c r="CR186">
        <f ca="1">IF(G186="恒定伤害",0,(IF(D186="轻剑",$CR$8,$CR$9)+IFERROR(INDEX(技能数据库!$T$2:$W$27,MATCH(E186,技能数据库!$T$2:$T$27,0),4),0)+COUNTIF(G186,"*造化2*")*154+COUNTIF(G186,"*造化1*")*102+COUNTIF(G186,"*碧归*")*307)/1024)</f>
        <v>0.167102521929785</v>
      </c>
      <c r="CS186">
        <f ca="1" t="shared" si="787"/>
        <v>16252180.8334249</v>
      </c>
    </row>
    <row r="187" spans="4:97">
      <c r="D187" t="s">
        <v>1825</v>
      </c>
      <c r="E187" s="161" t="s">
        <v>2871</v>
      </c>
      <c r="F187" t="s">
        <v>2503</v>
      </c>
      <c r="G187" t="s">
        <v>3110</v>
      </c>
      <c r="H187">
        <f ca="1">INDEX(技能数据库!$B$2:$I$100,MATCH(阵眼收益计算!$E187,技能数据库!$B$2:$B$100,0),MATCH(H$9,技能数据库!$B$2:$I$2,0))</f>
        <v>2607915</v>
      </c>
      <c r="I187">
        <f ca="1">INDEX(技能数据库!$B$2:$I$100,MATCH(阵眼收益计算!$E187,技能数据库!$B$2:$B$100,0),MATCH(I$9,技能数据库!$B$2:$I$2,0))</f>
        <v>0</v>
      </c>
      <c r="J187">
        <f ca="1">INDEX(技能数据库!$B$2:$I$100,MATCH(阵眼收益计算!$E187,技能数据库!$B$2:$B$100,0),MATCH(J$9,技能数据库!$B$2:$I$2,0))</f>
        <v>0</v>
      </c>
      <c r="K187">
        <f ca="1">INDEX(技能数据库!$B$2:$I$100,MATCH(阵眼收益计算!$E187,技能数据库!$B$2:$B$100,0),MATCH(K$9,技能数据库!$B$2:$I$2,0))</f>
        <v>0</v>
      </c>
      <c r="L187">
        <f ca="1" t="shared" si="387"/>
        <v>105847</v>
      </c>
      <c r="M187">
        <f ca="1" t="shared" si="763"/>
        <v>19530.5</v>
      </c>
      <c r="N187">
        <f ca="1" t="shared" si="764"/>
        <v>92028</v>
      </c>
      <c r="O187">
        <f ca="1" t="shared" si="765"/>
        <v>2607915</v>
      </c>
      <c r="P187">
        <f ca="1">IF(G187="恒定伤害",0,(IF(D187="轻剑",$AZ$2,$AZ$3)+IFERROR(INDEX(技能数据库!$T$2:$W$27,MATCH(E187,技能数据库!$T$2:$T$27,0),4),0)+COUNTIF(G187,"*造化2*")*154+COUNTIF(G187,"*造化1*")*102+COUNTIF(G187,"*碧归*")*307)/1024)</f>
        <v>0.116321271929785</v>
      </c>
      <c r="Q187">
        <f ca="1" t="shared" ref="Q187:Q188" si="802">IF(G187="恒定伤害",0,(IF(COUNTIF(F187,"*内破*")&gt;0,内破,IF(D187="轻剑",$AF$2,$AF$3)/破防系数))+IF((IF(D187="轻剑",$AO$2,$AO$3)+INT(COUNTIF(G187,"*大莺鸣*")*IF(D187="轻剑",$AM$2,$AM$3)*听晓无双率)/无双系数)&gt;0.9,(特效裤子破防+特效裤子破防*IF(D187="轻剑",$AD$2,$AD$3)/1024)/破防系数,0))</f>
        <v>0.0415122129107408</v>
      </c>
      <c r="R187">
        <f ca="1" t="shared" si="766"/>
        <v>0.21277697966198</v>
      </c>
      <c r="S187">
        <f ca="1" t="shared" si="767"/>
        <v>2386958.04244674</v>
      </c>
      <c r="T187">
        <f t="shared" si="723"/>
        <v>0.8</v>
      </c>
      <c r="U187">
        <f ca="1" t="shared" ref="U187:U188" si="803">IF(G187="恒定伤害",0,(IF(D187="轻剑",$AO$2,$AO$3)+INT(COUNTIF(G187,"*大莺鸣*")*IF(D187="轻剑",$AM$2,$AM$3)*听晓无双率)/无双系数)+IF((IF(D187="轻剑",$AO$2,$AO$3)+INT(COUNTIF(G187,"*大莺鸣*")*IF(D187="轻剑",$AM$2,$AM$3)*听晓无双率)/无双系数)&lt;=0.9,特效裤子无双,0))</f>
        <v>1.7800129648</v>
      </c>
      <c r="V187">
        <f ca="1" t="shared" si="768"/>
        <v>5308619.44354845</v>
      </c>
      <c r="W187">
        <f ca="1">IF(G187="恒定伤害",0,MIN(1,IF(COUNTIF(F187,"*内会*")&gt;0,内会2,IF(D187="轻剑",$Y$2,$Y$3)+COUNTIF(G187,"*莺鸣*")*0.2+COUNTIF(G187,"*叠1*")*0.1+COUNTIF(G187,"*叠2*")*0.2+COUNTIF(G187,"*叠3*")*0.3)+IFERROR(INDEX(技能数据库!$T$2:$W$27,MATCH(E187,技能数据库!$T$2:$T$27,0),2),0)+IF((IF(D187="轻剑",$AO$2,$AO$3)+INT(COUNTIF(G187,"*大莺鸣*")*IF(D187="轻剑",$AM$2,$AM$3)*听晓无双率)/无双系数)&gt;0.9,特效裤子会心/会心系数,0)))</f>
        <v>1</v>
      </c>
      <c r="X187">
        <f ca="1">IF(G187="恒定伤害",0,IF(COUNTIF(F187,"*内会*")&gt;0,内会效2,IF(D187="轻剑",$AB$2,$AB$3))+IFERROR(INDEX(技能数据库!$T$2:$W$27,MATCH(E187,技能数据库!$T$2:$T$27,0),3)/1024,0))+COUNTIF(G187,"*叠1*")*0.25+COUNTIF(G187,"*叠2*")*0.5+COUNTIF(G187,"*叠3*")*0.75</f>
        <v>2.9212723116</v>
      </c>
      <c r="Y187">
        <f ca="1" t="shared" si="769"/>
        <v>2.9212723116</v>
      </c>
      <c r="Z187">
        <f t="shared" si="770"/>
        <v>0.150390625</v>
      </c>
      <c r="AA187">
        <f ca="1" t="shared" si="771"/>
        <v>0.0205078125</v>
      </c>
      <c r="AB187">
        <f ca="1" t="shared" si="772"/>
        <v>18206032.0700954</v>
      </c>
      <c r="AC187" s="171">
        <f ca="1">技能数计算!$AJ179</f>
        <v>0</v>
      </c>
      <c r="AD187" s="164">
        <f ca="1" t="shared" si="773"/>
        <v>0</v>
      </c>
      <c r="AE187" s="168"/>
      <c r="AF187" s="168">
        <f ca="1" t="shared" si="788"/>
        <v>1.0014</v>
      </c>
      <c r="AG187" s="171">
        <f ca="1">技能数计算!$AJ179</f>
        <v>0</v>
      </c>
      <c r="AH187">
        <f ca="1" t="shared" si="389"/>
        <v>109879</v>
      </c>
      <c r="AJ187">
        <f ca="1" t="shared" si="789"/>
        <v>3.1204910616</v>
      </c>
      <c r="AK187">
        <f ca="1" t="shared" si="774"/>
        <v>2607915</v>
      </c>
      <c r="AL187">
        <f ca="1" t="shared" si="661"/>
        <v>19447608.5356177</v>
      </c>
      <c r="AM187" s="169">
        <f ca="1" t="shared" si="790"/>
        <v>1.0229</v>
      </c>
      <c r="AN187" s="171">
        <f ca="1">技能数计算!$AJ179</f>
        <v>0</v>
      </c>
      <c r="AO187" s="170">
        <f ca="1" t="shared" si="662"/>
        <v>19447608.5356177</v>
      </c>
      <c r="AP187">
        <f ca="1" t="shared" si="394"/>
        <v>110956</v>
      </c>
      <c r="AQ187" s="170">
        <f ca="1" t="shared" si="775"/>
        <v>2607915</v>
      </c>
      <c r="AR187">
        <f ca="1" t="shared" si="776"/>
        <v>18206032.0700954</v>
      </c>
      <c r="AS187">
        <f ca="1" t="shared" si="791"/>
        <v>1.08</v>
      </c>
      <c r="AT187" s="171">
        <f ca="1">技能数计算!$AJ179</f>
        <v>0</v>
      </c>
      <c r="AU187">
        <f ca="1" t="shared" si="792"/>
        <v>3.0677566866</v>
      </c>
      <c r="AV187">
        <f ca="1" t="shared" ref="AV187:AV188" si="804">IF(G187="恒定伤害",0,(IF(D187="轻剑",$AV$8,$AV$9)+INT(COUNTIF(G187,"*大莺鸣*")*IF(D187="轻剑",$AM$2,$AM$3)*听晓无双率)/无双系数))+IF((IF(G187="恒定伤害",0,(IF(D187="轻剑",$AV$8,$AV$9)+INT(COUNTIF(G187,"*大莺鸣*")*IF(D187="轻剑",$AM$2,$AM$3)*听晓无双率)/无双系数)))&lt;=0.9,特效裤子无双,0)</f>
        <v>1.7995442148</v>
      </c>
      <c r="AW187">
        <f ca="1" t="shared" si="416"/>
        <v>19253278.0161841</v>
      </c>
      <c r="AX187">
        <f ca="1" t="shared" si="793"/>
        <v>1.07</v>
      </c>
      <c r="AY187" s="171">
        <f ca="1">技能数计算!$AJ179</f>
        <v>0</v>
      </c>
      <c r="AZ187" s="170">
        <f ca="1" t="shared" si="417"/>
        <v>19253278.0161841</v>
      </c>
      <c r="BA187">
        <f ca="1" t="shared" si="794"/>
        <v>1.06</v>
      </c>
      <c r="BB187" s="171">
        <f ca="1">技能数计算!$AJ179</f>
        <v>0</v>
      </c>
      <c r="BC187" s="170">
        <f ca="1" t="shared" si="418"/>
        <v>19253278.0161841</v>
      </c>
      <c r="BE187">
        <f ca="1" t="shared" si="400"/>
        <v>105849</v>
      </c>
      <c r="BF187">
        <f ca="1" t="shared" si="777"/>
        <v>2607915</v>
      </c>
      <c r="BI187">
        <f ca="1" t="shared" si="795"/>
        <v>1.05</v>
      </c>
      <c r="BJ187" s="171">
        <f ca="1">技能数计算!$AJ179</f>
        <v>0</v>
      </c>
      <c r="BK187">
        <f ca="1" t="shared" si="663"/>
        <v>18333940.309507</v>
      </c>
      <c r="BM187">
        <f ca="1" t="shared" si="403"/>
        <v>109230</v>
      </c>
      <c r="BN187">
        <f ca="1" t="shared" si="778"/>
        <v>2607915</v>
      </c>
      <c r="BO187">
        <f ca="1" t="shared" si="779"/>
        <v>18206032.0700954</v>
      </c>
      <c r="BP187">
        <f ca="1" t="shared" ref="BP187:BP188" si="805">IF(COUNTIF(G187,"*恒定伤害*")&gt;0,AB187,((BN187*(1+P187)*(1+IF(COUNTIF(F187,"*内破*")&gt;0,内破,IF(D187="轻剑",$BQ$8,$BQ$9)/破防系数)+IF((IF(D187="轻剑",$AO$2,$AO$3)+INT(COUNTIF(G187,"*大莺鸣*")*IF(D187="轻剑",$AM$2,$AM$3)*听晓无双率)/无双系数)&gt;0.9,(特效裤子破防+特效裤子破防*IF(D187="轻剑",$AD$2+102,$AD$3+102)/1024)/破防系数,0))*(1-R187))*T187*(1+U187))*Y187*(1+Z187)*(1+AA187))</f>
        <v>18206032.0700954</v>
      </c>
      <c r="BR187">
        <f ca="1" t="shared" si="796"/>
        <v>1.05</v>
      </c>
      <c r="BS187">
        <f ca="1" t="shared" si="664"/>
        <v>18333940.309507</v>
      </c>
      <c r="BT187">
        <f ca="1" t="shared" si="780"/>
        <v>0.196995876306796</v>
      </c>
      <c r="BU187">
        <f ca="1" t="shared" si="797"/>
        <v>3.0677566866</v>
      </c>
      <c r="BV187">
        <f ca="1" t="shared" si="419"/>
        <v>19502224.9925876</v>
      </c>
      <c r="BW187">
        <f ca="1" t="shared" si="408"/>
        <v>113027</v>
      </c>
      <c r="BX187">
        <f ca="1" t="shared" si="781"/>
        <v>2607915</v>
      </c>
      <c r="BY187">
        <f ca="1" t="shared" si="798"/>
        <v>1.03</v>
      </c>
      <c r="BZ187" s="171">
        <f ca="1">技能数计算!$AJ179</f>
        <v>0</v>
      </c>
      <c r="CA187">
        <f ca="1" t="shared" si="799"/>
        <v>3.0716629366</v>
      </c>
      <c r="CB187">
        <f ca="1" t="shared" si="420"/>
        <v>19143300.5783818</v>
      </c>
      <c r="CC187">
        <f ca="1" t="shared" si="411"/>
        <v>114847</v>
      </c>
      <c r="CD187">
        <f ca="1" t="shared" si="782"/>
        <v>2607915</v>
      </c>
      <c r="CE187">
        <f ca="1" t="shared" si="665"/>
        <v>18206032.0700954</v>
      </c>
      <c r="CF187">
        <f ca="1" t="shared" si="800"/>
        <v>3.0189285616</v>
      </c>
      <c r="CG187">
        <f ca="1" t="shared" si="801"/>
        <v>1.03</v>
      </c>
      <c r="CH187">
        <f ca="1" t="shared" si="421"/>
        <v>18946832.1139584</v>
      </c>
      <c r="CJ187">
        <f ca="1" t="shared" si="783"/>
        <v>2607915</v>
      </c>
      <c r="CK187">
        <f ca="1" t="shared" si="784"/>
        <v>18206032.0700954</v>
      </c>
      <c r="CL187">
        <f ca="1" t="shared" si="785"/>
        <v>3.0415848116</v>
      </c>
      <c r="CM187">
        <f ca="1">IF(G187="恒定伤害",0,(IF(D187="轻剑",$CM$8,$CM$9)+IFERROR(INDEX(技能数据库!$T$2:$W$27,MATCH(E187,技能数据库!$T$2:$T$27,0),4),0)+COUNTIF(G187,"*造化2*")*154+COUNTIF(G187,"*造化1*")*102+COUNTIF(G187,"*碧归*")*307)/1024)</f>
        <v>0.176868146929785</v>
      </c>
      <c r="CN187">
        <f ca="1" t="shared" si="422"/>
        <v>20124370.7384456</v>
      </c>
      <c r="CO187">
        <f ca="1" t="shared" si="786"/>
        <v>3.0656473116</v>
      </c>
      <c r="CP187">
        <f ca="1" t="shared" si="423"/>
        <v>20283578.0927982</v>
      </c>
      <c r="CQ187">
        <f ca="1" t="shared" ref="CQ187:CQ188" si="806">IF(G187="恒定伤害",0,(IF(D187="轻剑",$CQ$8,$CQ$9)+INT(COUNTIF(G187,"*大莺鸣*")*IF(D187="轻剑",$AM$2,$AM$3)*听晓无双率)/无双系数))+IF((IF(G187="恒定伤害",0,(IF(D187="轻剑",$CQ$8,$CQ$9)+INT(COUNTIF(G187,"*大莺鸣*")*IF(D187="轻剑",$AM$2,$AM$3)*听晓无双率)/无双系数)))&lt;=0.9,特效裤子无双,0)</f>
        <v>1.8815754648</v>
      </c>
      <c r="CR187">
        <f ca="1">IF(G187="恒定伤害",0,(IF(D187="轻剑",$CR$8,$CR$9)+IFERROR(INDEX(技能数据库!$T$2:$W$27,MATCH(E187,技能数据库!$T$2:$T$27,0),4),0)+COUNTIF(G187,"*造化2*")*154+COUNTIF(G187,"*造化1*")*102+COUNTIF(G187,"*碧归*")*307)/1024)</f>
        <v>0.167102521929785</v>
      </c>
      <c r="CS187">
        <f ca="1" t="shared" si="787"/>
        <v>19729600.292389</v>
      </c>
    </row>
    <row r="188" spans="4:97">
      <c r="D188" t="s">
        <v>1825</v>
      </c>
      <c r="E188" s="161" t="s">
        <v>2885</v>
      </c>
      <c r="F188" t="s">
        <v>2503</v>
      </c>
      <c r="G188" t="s">
        <v>3110</v>
      </c>
      <c r="H188">
        <f ca="1">INDEX(技能数据库!$B$2:$I$100,MATCH(阵眼收益计算!$E188,技能数据库!$B$2:$B$100,0),MATCH(H$9,技能数据库!$B$2:$I$2,0))</f>
        <v>2133748</v>
      </c>
      <c r="I188">
        <f ca="1">INDEX(技能数据库!$B$2:$I$100,MATCH(阵眼收益计算!$E188,技能数据库!$B$2:$B$100,0),MATCH(I$9,技能数据库!$B$2:$I$2,0))</f>
        <v>0</v>
      </c>
      <c r="J188">
        <f ca="1">INDEX(技能数据库!$B$2:$I$100,MATCH(阵眼收益计算!$E188,技能数据库!$B$2:$B$100,0),MATCH(J$9,技能数据库!$B$2:$I$2,0))</f>
        <v>0</v>
      </c>
      <c r="K188">
        <f ca="1">INDEX(技能数据库!$B$2:$I$100,MATCH(阵眼收益计算!$E188,技能数据库!$B$2:$B$100,0),MATCH(K$9,技能数据库!$B$2:$I$2,0))</f>
        <v>0</v>
      </c>
      <c r="L188">
        <f ca="1" t="shared" si="387"/>
        <v>105847</v>
      </c>
      <c r="M188">
        <f ca="1" t="shared" ref="M188:M190" si="807">IF(D188="轻剑",$AU$2+$AV$2,$AU$3+$AV$3)/2</f>
        <v>19530.5</v>
      </c>
      <c r="N188">
        <f ca="1" t="shared" ref="N188:N190" si="808">IF(D188="轻剑",$AJ$2,$AJ$3)</f>
        <v>92028</v>
      </c>
      <c r="O188">
        <f ca="1" t="shared" ref="O188:O192" si="809">H188+I188*L188+J188*M188+IF(K188&gt;0,MAX(1,K188*N188*破招全局系数),0)</f>
        <v>2133748</v>
      </c>
      <c r="P188">
        <f ca="1">IF(G188="恒定伤害",0,(IF(D188="轻剑",$AZ$2,$AZ$3)+IFERROR(INDEX(技能数据库!$T$2:$W$27,MATCH(E188,技能数据库!$T$2:$T$27,0),4),0)+COUNTIF(G188,"*造化2*")*154+COUNTIF(G188,"*造化1*")*102+COUNTIF(G188,"*碧归*")*307)/1024)</f>
        <v>0.116321271929785</v>
      </c>
      <c r="Q188">
        <f ca="1" t="shared" si="802"/>
        <v>0.0415122129107408</v>
      </c>
      <c r="R188">
        <f ca="1" t="shared" ref="R188:R192" si="810">IF(G188="恒定伤害",0,(($F$5-IF(D188="轻剑",$BB$2,$BB$3))*(1024-IF(D188="轻剑",$BD$2,$BD$3))/1024*(1024-IF(D188="轻剑",$BC$2,$BC$3)-COUNTIF(G188,"*雾锁*")*461*雾锁)/1024/(($F$5-IF(D188="轻剑",$BB$2,$BB$3))*(1024-IF(D188="轻剑",$BD$2,$BD$3))/1024*(1024-IF(D188="轻剑",$BC$2,$BC$3)-COUNTIF(G188,"*雾锁*")*461*雾锁)/1024+$F$7)))</f>
        <v>0.21277697966198</v>
      </c>
      <c r="S188">
        <f ca="1" t="shared" ref="S188:S190" si="811">O188*(1+P188)*(1+Q188)*(1-R188)</f>
        <v>1952965.08864539</v>
      </c>
      <c r="T188">
        <f t="shared" si="723"/>
        <v>0.8</v>
      </c>
      <c r="U188">
        <f ca="1" t="shared" si="803"/>
        <v>1.7800129648</v>
      </c>
      <c r="V188">
        <f ca="1" t="shared" ref="V188:V190" si="812">S188*T188*(1+U188)</f>
        <v>4343414.61298878</v>
      </c>
      <c r="W188">
        <f ca="1">IF(G188="恒定伤害",0,MIN(1,IF(COUNTIF(F188,"*内会*")&gt;0,内会2,IF(D188="轻剑",$Y$2,$Y$3)+COUNTIF(G188,"*莺鸣*")*0.2+COUNTIF(G188,"*叠1*")*0.1+COUNTIF(G188,"*叠2*")*0.2+COUNTIF(G188,"*叠3*")*0.3)+IFERROR(INDEX(技能数据库!$T$2:$W$27,MATCH(E188,技能数据库!$T$2:$T$27,0),2),0)+IF((IF(D188="轻剑",$AO$2,$AO$3)+INT(COUNTIF(G188,"*大莺鸣*")*IF(D188="轻剑",$AM$2,$AM$3)*听晓无双率)/无双系数)&gt;0.9,特效裤子会心/会心系数,0)))</f>
        <v>1</v>
      </c>
      <c r="X188">
        <f ca="1">IF(G188="恒定伤害",0,IF(COUNTIF(F188,"*内会*")&gt;0,内会效2,IF(D188="轻剑",$AB$2,$AB$3))+IFERROR(INDEX(技能数据库!$T$2:$W$27,MATCH(E188,技能数据库!$T$2:$T$27,0),3)/1024,0))+COUNTIF(G188,"*叠1*")*0.25+COUNTIF(G188,"*叠2*")*0.5+COUNTIF(G188,"*叠3*")*0.75</f>
        <v>2.9212723116</v>
      </c>
      <c r="Y188">
        <f ca="1" t="shared" ref="Y188:Y190" si="813">1+W188*(X188-1)</f>
        <v>2.9212723116</v>
      </c>
      <c r="Z188">
        <f t="shared" ref="Z188:Z192" si="814">IF(G188="恒定伤害",0,非侠士伤害/1024)</f>
        <v>0.150390625</v>
      </c>
      <c r="AA188">
        <f ca="1" t="shared" ref="AA188:AA190" si="815">IF(D188="轻剑",$BA$2,$BA$3)/1024</f>
        <v>0.0205078125</v>
      </c>
      <c r="AB188">
        <f ca="1" t="shared" ref="AB188:AB190" si="816">V188*Y188*(1+Z188)*(1+AA188)</f>
        <v>14895839.9784893</v>
      </c>
      <c r="AC188">
        <f ca="1">技能数计算!$AJ180</f>
        <v>0</v>
      </c>
      <c r="AD188" s="164">
        <f ca="1" t="shared" ref="AD188:AD192" si="817">IFERROR(AB188*AC188/$AD$7,0)</f>
        <v>0</v>
      </c>
      <c r="AE188" s="168"/>
      <c r="AF188" s="168">
        <f ca="1" t="shared" ref="AF188:AF191" si="818">W188+IF(COUNTIF(F188,"*内会*")&gt;0,0,IF(D188="轻剑",$AF$8-$Y$2,$AF$9-$Y$3))</f>
        <v>1.0014</v>
      </c>
      <c r="AG188">
        <f ca="1">技能数计算!$AJ180</f>
        <v>0</v>
      </c>
      <c r="AH188">
        <f ca="1" t="shared" si="389"/>
        <v>109879</v>
      </c>
      <c r="AJ188">
        <f ca="1" t="shared" ref="AJ188:AJ191" si="819">X188+IF(COUNTIF(F188,"*内会*")&gt;0,0,IF(D188="轻剑",$AJ$8-$AB$2,$AJ$9-$AB$3))</f>
        <v>3.1204910616</v>
      </c>
      <c r="AK188">
        <f ca="1" t="shared" ref="AK188:AK192" si="820">H188+AH188*I188+J188*(238.5+M188)+IF(K188&gt;0,MAX(1,K188*N188*破招全局系数),0)</f>
        <v>2133748</v>
      </c>
      <c r="AL188">
        <f ca="1" t="shared" si="661"/>
        <v>15911674.965502</v>
      </c>
      <c r="AM188" s="169">
        <f ca="1" t="shared" ref="AM188:AM191" si="821">W188+IF(COUNTIF(F188,"*内会*")&gt;0,0,IF(D188="轻剑",$AN$8-$Y$2,$AN$9-$Y$3))</f>
        <v>1.0229</v>
      </c>
      <c r="AN188">
        <f ca="1">技能数计算!$AJ180</f>
        <v>0</v>
      </c>
      <c r="AO188" s="170">
        <f ca="1" t="shared" si="662"/>
        <v>15911674.965502</v>
      </c>
      <c r="AP188">
        <f ca="1" t="shared" si="394"/>
        <v>110956</v>
      </c>
      <c r="AQ188" s="170">
        <f ca="1" t="shared" ref="AQ188:AQ192" si="822">H188+AP188*I188+J188*M188+IF(K188&gt;0,MAX(1,K188*N188*破招全局系数),0)</f>
        <v>2133748</v>
      </c>
      <c r="AR188">
        <f ca="1" t="shared" ref="AR188:AR192" si="823">IF(COUNTIF(G188,"*恒定伤害*")&gt;0,AB188,((AQ188*(1+P188)*(1+IF(COUNTIF(F188,"*内破*")&gt;0,内破,IF(D188="轻剑",$AQ$8,$AQ$9)/破防系数)+IF((IF(D188="轻剑",$AO$2,$AO$3)+INT(COUNTIF(G188,"*大莺鸣*")*IF(D188="轻剑",$AM$2,$AM$3)*听晓无双率)/无双系数)&gt;0.9,(特效裤子破防+特效裤子破防*IF(D188="轻剑",$AD$2+200,$AD$3+200)/1024)/破防系数,0))*(1-R188))*T188*(1+U188))*Y188*(1+Z188)*(1+AA188))</f>
        <v>14895839.9784893</v>
      </c>
      <c r="AS188">
        <f ca="1" t="shared" ref="AS188:AS191" si="824">W188+IF(COUNTIF(F188,"*内会*")&gt;0,0,IF(D188="轻剑",$AS$8-$Y$2,$AS$9-$Y$3))</f>
        <v>1.08</v>
      </c>
      <c r="AT188">
        <f ca="1">技能数计算!$AJ180</f>
        <v>0</v>
      </c>
      <c r="AU188">
        <f ca="1" t="shared" ref="AU188:AU191" si="825">X188+IF(COUNTIF(F188,"*内会*")&gt;0,0,IF(D188="轻剑",$AU$8-$AB$2,$AU$9-$AB$3))</f>
        <v>3.0677566866</v>
      </c>
      <c r="AV188">
        <f ca="1" t="shared" si="804"/>
        <v>1.7995442148</v>
      </c>
      <c r="AW188">
        <f ca="1" t="shared" ref="AW188:AW192" si="826">IF(COUNTIF(G188,"*恒定伤害*")&gt;0,AB188,((O188*(1+P188)*(1+Q188)*(1-R188))*T188*(1+AV188))*(1+MIN(1,AS188)*(MIN(3+COUNTIF(G188,"*叠*")*0.75,AU188)-1))*(1+Z188)*(1+AA188))</f>
        <v>15752677.3152026</v>
      </c>
      <c r="AX188">
        <f ca="1" t="shared" ref="AX188:AX191" si="827">$W188+IF(COUNTIF(F188,"*内会*")&gt;0,0,IF(I188="轻剑",AX$8-$Y$2,AX$9-$Y$3))</f>
        <v>1.07</v>
      </c>
      <c r="AY188">
        <f ca="1">技能数计算!$AJ180</f>
        <v>0</v>
      </c>
      <c r="AZ188" s="170">
        <f ca="1" t="shared" ref="AZ188:AZ192" si="828">IF(COUNTIF(G188,"*恒定伤害*")&gt;0,AB188,((O188*(1+P188)*(1+Q188)*(1-R188))*T188*(1+AV188))*(1+MIN(1,AX188)*(MIN(3+COUNTIF(G188,"*叠*")*0.75,AU188)-1))*(1+Z188)*(1+AA188))</f>
        <v>15752677.3152026</v>
      </c>
      <c r="BA188">
        <f ca="1" t="shared" ref="BA188:BA191" si="829">$W188+IF(COUNTIF(F188,"*内会*")&gt;0,0,IF(L188="轻剑",BA$8-$Y$2,BA$9-$Y$3))</f>
        <v>1.06</v>
      </c>
      <c r="BB188">
        <f ca="1">技能数计算!$AJ180</f>
        <v>0</v>
      </c>
      <c r="BC188" s="170">
        <f ca="1" t="shared" ref="BC188:BC192" si="830">IF(COUNTIF(G188,"*恒定伤害*")&gt;0,AB188,((O188*(1+P188)*(1+Q188)*(1-R188))*T188*(1+AV188))*(1+MIN(1,BA188)*(MIN(3+COUNTIF(G188,"*叠*")*0.75,AU188)-1))*(1+Z188)*(1+AA188))</f>
        <v>15752677.3152026</v>
      </c>
      <c r="BE188">
        <f ca="1" t="shared" si="400"/>
        <v>105849</v>
      </c>
      <c r="BF188">
        <f ca="1" t="shared" ref="BF188:BF192" si="831">H188+BE188*I188+J188*M188+IF(K188&gt;0,MAX(1,K188*N188*破招全局系数),0)</f>
        <v>2133748</v>
      </c>
      <c r="BI188">
        <f ca="1" t="shared" ref="BI188:BI191" si="832">$W188+IF(COUNTIF(F188,"*内会*")&gt;0,0,IF(T188="轻剑",BI$8-$Y$2,BI$9-$Y$3))</f>
        <v>1.05</v>
      </c>
      <c r="BJ188">
        <f ca="1">技能数计算!$AJ180</f>
        <v>0</v>
      </c>
      <c r="BK188">
        <f ca="1" t="shared" si="663"/>
        <v>15000492.1431603</v>
      </c>
      <c r="BM188">
        <f ca="1" t="shared" si="403"/>
        <v>109230</v>
      </c>
      <c r="BN188">
        <f ca="1" t="shared" ref="BN188:BN192" si="833">H188+BM188*I188+J188*M188+IF(K188&gt;0,MAX(1,K188*N188*破招全局系数),0)</f>
        <v>2133748</v>
      </c>
      <c r="BO188">
        <f ca="1" t="shared" ref="BO188:BO192" si="834">IF(COUNTIF(G188,"*恒定伤害*")&gt;0,AB188,((BN188*(1+P188)*(1+IF(COUNTIF(F188,"*内破*")&gt;0,内破,IF(D188="轻剑",$BM$8,$BM$9)/破防系数)+IF((IF(D188="轻剑",$AO$2,$AO$3)+INT(COUNTIF(G188,"*大莺鸣*")*IF(D188="轻剑",$AM$2,$AM$3)*听晓无双率)/无双系数)&gt;0.9,(特效裤子破防+特效裤子破防*IF(D188="轻剑",$AD$2+102,$AD$3+102)/1024)/破防系数,0))*(1-R188))*T188*(1+U188))*Y188*(1+Z188)*(1+AA188))</f>
        <v>14895839.9784893</v>
      </c>
      <c r="BP188">
        <f ca="1" t="shared" si="805"/>
        <v>14895839.9784893</v>
      </c>
      <c r="BR188">
        <f ca="1" t="shared" ref="BR188:BR191" si="835">$W188+IF(T188="轻剑",BI$8-$Y$2,BI$9-$Y$3)</f>
        <v>1.05</v>
      </c>
      <c r="BS188">
        <f ca="1" t="shared" si="664"/>
        <v>15000492.1431603</v>
      </c>
      <c r="BT188">
        <f ca="1" t="shared" ref="BT188:BT192" si="836">IF(G188="恒定伤害",0,(($F$5-IF(D188="轻剑",$BB$2,$BB$3))*(1024-IF(D188="轻剑",$BD$2,$BD$3))/1024*(1024-IF(D188="轻剑",$BT$8,$BT$9)-COUNTIF(G188,"*雾锁*")*461*雾锁)/1024/(($F$5-IF(D188="轻剑",$BB$2,$BB$3))*(1024-IF(D188="轻剑",$BD$2,$BD$3))/1024*(1024-IF(D188="轻剑",$BT$8,$BT$9)-COUNTIF(G188,"*雾锁*")*461*雾锁)/1024+$F$7)))</f>
        <v>0.196995876306796</v>
      </c>
      <c r="BU188">
        <f ca="1" t="shared" ref="BU188:BU191" si="837">X188+IF(D188="轻剑",$AU$8-$AB$2,$AU$9-$AB$3)</f>
        <v>3.0677566866</v>
      </c>
      <c r="BV188">
        <f ca="1" t="shared" ref="BV188:BV192" si="838">IF(COUNTIF(G188,"*恒定伤害*")&gt;0,AB188,((O188*(1+P188)*(1+Q188)*(1-BT188))*T188*(1+U188))*(1+MIN(1,BR188)*(MIN(3+COUNTIF(G188,"*叠*")*0.75,BU188)-1))*(1+Z188)*(1+AA188))</f>
        <v>15956361.1442412</v>
      </c>
      <c r="BW188">
        <f ca="1" t="shared" si="408"/>
        <v>113027</v>
      </c>
      <c r="BX188">
        <f ca="1" t="shared" ref="BX188:BX192" si="839">H188+BW188*I188+J188*M188+IF(K188&gt;0,MAX(1,K188*N188*破招全局系数),0)</f>
        <v>2133748</v>
      </c>
      <c r="BY188">
        <f ca="1" t="shared" ref="BY188:BY191" si="840">$W188+IF(COUNTIF(F188,"*内会*")&gt;0,0,IF(AI188="轻剑",BY$8-$Y$2,BY$9-$Y$3))</f>
        <v>1.03</v>
      </c>
      <c r="BZ188">
        <f ca="1">技能数计算!$AJ180</f>
        <v>0</v>
      </c>
      <c r="CA188">
        <f ca="1" t="shared" ref="CA188:CA191" si="841">X188+IF(COUNTIF(F188,"*内会*")&gt;0,0,IF(D188="轻剑",$CA$8-$AB$2,$CA$9-$AB$3))</f>
        <v>3.0716629366</v>
      </c>
      <c r="CB188">
        <f ca="1" t="shared" ref="CB188:CB192" si="842">IF(COUNTIF(G188,"*恒定伤害*")&gt;0,AB188,((BX188*(1+P188)*(1+Q188)*(1-R188))*T188*(1+U188))*(1+MIN(1,BY188)*(MIN(3+COUNTIF(G188,"*叠*")*0.75,CA188)-1))*(1+Z188)*(1+AA188))</f>
        <v>15662695.8020185</v>
      </c>
      <c r="CC188">
        <f ca="1" t="shared" si="411"/>
        <v>114847</v>
      </c>
      <c r="CD188">
        <f ca="1" t="shared" ref="CD188:CD192" si="843">H188+CC188*I188+J188*M188+IF(K188&gt;0,MAX(1,K188*N188*破招全局系数),0)</f>
        <v>2133748</v>
      </c>
      <c r="CE188">
        <f ca="1" t="shared" si="665"/>
        <v>14895839.9784893</v>
      </c>
      <c r="CF188">
        <f ca="1" t="shared" ref="CF188:CF191" si="844">X188+IF(COUNTIF(F188,"*内会*")&gt;0,0,IF(D188="轻剑",$CF$8-$AB$2,$CF$9-$AB$3))</f>
        <v>3.0189285616</v>
      </c>
      <c r="CG188">
        <f ca="1" t="shared" ref="CG188:CG191" si="845">$W188+IF(AI188="轻剑",BY$8-$Y$2,BY$9-$Y$3)</f>
        <v>1.03</v>
      </c>
      <c r="CH188">
        <f ca="1" t="shared" ref="CH188:CH192" si="846">IF(COUNTIF(G188,"*恒定伤害*")&gt;0,AB188,((O188*(1+P188)*(1+Q188)*(1-R188))*T188*(1+AV188))*(1+MIN(1,BY188)*(MIN(3+COUNTIF(G188,"*叠*")*0.75,CF188)-1))*(1+Z188)*(1+AA188))</f>
        <v>15501948.9245219</v>
      </c>
      <c r="CJ188">
        <f ca="1" t="shared" ref="CJ188:CJ192" si="847">H188+BM188*I188+J188*M188+IF(K188&gt;0,MAX(1,K188*(N188+2667)*破招全局系数),0)</f>
        <v>2133748</v>
      </c>
      <c r="CK188">
        <f ca="1" t="shared" ref="CK188:CK192" si="848">IF(COUNTIF(G188,"*恒定伤害*")&gt;0,AB188,((CJ188*(1+P188)*(1+IF(COUNTIF(F188,"*内破*")&gt;0,内破,IF(D188="轻剑",$CI$8,$CI$9)/破防系数)+IF((IF(D188="轻剑",$AO$2,$AO$3)+INT(COUNTIF(G188,"*大莺鸣*")*IF(D188="轻剑",$AM$2,$AM$3)*听晓无双率)/无双系数)&gt;0.9,(特效裤子破防+特效裤子破防*IF(D188="轻剑",$AD$2+256,$AD$3+256)/1024)/破防系数,0))*(1-R188))*T188*(1+U188))*Y188*(1+Z188)*(1+AA188))</f>
        <v>14895839.9784893</v>
      </c>
      <c r="CL188">
        <f ca="1" t="shared" ref="CL188:CL192" si="849">X188+IF(D188="轻剑",$CL$8-$AB$2,$CL$9-$AB$3)</f>
        <v>3.0415848116</v>
      </c>
      <c r="CM188">
        <f ca="1">IF(G188="恒定伤害",0,(IF(D188="轻剑",$CM$8,$CM$9)+IFERROR(INDEX(技能数据库!$T$2:$W$27,MATCH(E188,技能数据库!$T$2:$T$27,0),4),0)+COUNTIF(G188,"*造化2*")*154+COUNTIF(G188,"*造化1*")*102+COUNTIF(G188,"*碧归*")*307)/1024)</f>
        <v>0.176868146929785</v>
      </c>
      <c r="CN188">
        <f ca="1" t="shared" ref="CN188:CN192" si="850">IF(COUNTIF(G188,"*恒定伤害*")&gt;0,AB188,((O188*(1+CM188)*(1+Q188)*(1-R188))*T188*(1+AV188))*(1+MIN(1,CG188)*(MIN(3+COUNTIF(G188,"*叠*")*0.75,CL188)-1))*(1+Z188)*(1+AA188))</f>
        <v>16465389.3299501</v>
      </c>
      <c r="CO188">
        <f ca="1" t="shared" ref="CO188:CO192" si="851">X188+IF(D188="轻剑",$CO$8-$AB$2,$CO$9-$AB$3)</f>
        <v>3.0656473116</v>
      </c>
      <c r="CP188">
        <f ca="1" t="shared" ref="CP188:CP192" si="852">IF(COUNTIF(G188,"*恒定伤害*")&gt;0,AB188,((O188*(1+CM188)*(1+Q188)*(1-R188))*T188*(1+AV188))*(1+MIN(1,CG188)*(MIN(3+COUNTIF(G188,"*叠*")*0.75,CO188)-1))*(1+Z188)*(1+AA188))</f>
        <v>16595649.8537536</v>
      </c>
      <c r="CQ188">
        <f ca="1" t="shared" si="806"/>
        <v>1.8815754648</v>
      </c>
      <c r="CR188">
        <f ca="1">IF(G188="恒定伤害",0,(IF(D188="轻剑",$CR$8,$CR$9)+IFERROR(INDEX(技能数据库!$T$2:$W$27,MATCH(E188,技能数据库!$T$2:$T$27,0),4),0)+COUNTIF(G188,"*造化2*")*154+COUNTIF(G188,"*造化1*")*102+COUNTIF(G188,"*碧归*")*307)/1024)</f>
        <v>0.167102521929785</v>
      </c>
      <c r="CS188">
        <f ca="1" t="shared" ref="CS188:CS192" si="853">IF(COUNTIF(G188,"*恒定伤害*")&gt;0,AB188,((O188*(1+CR188)*(1+Q188)*(1-R188))*T188*(1+CQ188))*Y188*(1+Z188)*(1+AA188))</f>
        <v>16142395.42496</v>
      </c>
    </row>
    <row r="189" spans="4:97">
      <c r="D189" t="s">
        <v>1825</v>
      </c>
      <c r="E189" s="161" t="s">
        <v>2897</v>
      </c>
      <c r="F189" t="s">
        <v>3160</v>
      </c>
      <c r="G189" t="s">
        <v>3110</v>
      </c>
      <c r="H189">
        <f ca="1">INDEX(技能数据库!$B$2:$I$100,MATCH(阵眼收益计算!$E189,技能数据库!$B$2:$B$100,0),MATCH(H$9,技能数据库!$B$2:$I$2,0))</f>
        <v>4978746</v>
      </c>
      <c r="I189">
        <f ca="1">INDEX(技能数据库!$B$2:$I$100,MATCH(阵眼收益计算!$E189,技能数据库!$B$2:$B$100,0),MATCH(I$9,技能数据库!$B$2:$I$2,0))</f>
        <v>0</v>
      </c>
      <c r="J189">
        <f ca="1">INDEX(技能数据库!$B$2:$I$100,MATCH(阵眼收益计算!$E189,技能数据库!$B$2:$B$100,0),MATCH(J$9,技能数据库!$B$2:$I$2,0))</f>
        <v>0</v>
      </c>
      <c r="K189">
        <f ca="1">INDEX(技能数据库!$B$2:$I$100,MATCH(阵眼收益计算!$E189,技能数据库!$B$2:$B$100,0),MATCH(K$9,技能数据库!$B$2:$I$2,0))</f>
        <v>0</v>
      </c>
      <c r="L189">
        <f ca="1" t="shared" si="387"/>
        <v>105847</v>
      </c>
      <c r="M189">
        <f ca="1" t="shared" si="807"/>
        <v>19530.5</v>
      </c>
      <c r="N189">
        <f ca="1" t="shared" si="808"/>
        <v>92028</v>
      </c>
      <c r="O189">
        <f ca="1" t="shared" si="809"/>
        <v>4978746</v>
      </c>
      <c r="P189">
        <f ca="1">IF(G189="恒定伤害",0,(IF(D189="轻剑",$AZ$2,$AZ$3)+IFERROR(INDEX(技能数据库!$T$2:$W$27,MATCH(E189,技能数据库!$T$2:$T$27,0),4),0)+COUNTIF(G189,"*造化2*")*154+COUNTIF(G189,"*造化1*")*102+COUNTIF(G189,"*碧归*")*307)/1024)</f>
        <v>0.116321271929785</v>
      </c>
      <c r="Q189">
        <f ca="1" t="shared" ref="Q189:Q192" si="854">IF(G189="恒定伤害",0,(IF(COUNTIF(F189,"*内破*")&gt;0,内破,IF(D189="轻剑",$AF$2,$AF$3)/破防系数))+IF((IF(D189="轻剑",$AO$2,$AO$3)+INT(COUNTIF(G189,"*大莺鸣*")*IF(D189="轻剑",$AM$2,$AM$3)*听晓无双率)/无双系数)&gt;0.9,(特效裤子破防+特效裤子破防*IF(D189="轻剑",$AD$2,$AD$3)/1024)/破防系数,0))</f>
        <v>0.0415122129107408</v>
      </c>
      <c r="R189">
        <f ca="1" t="shared" si="810"/>
        <v>0.21277697966198</v>
      </c>
      <c r="S189">
        <f ca="1" t="shared" si="811"/>
        <v>4556919.15035556</v>
      </c>
      <c r="T189">
        <f t="shared" si="723"/>
        <v>0.8</v>
      </c>
      <c r="U189">
        <f ca="1" t="shared" ref="U189:U192" si="855">IF(G189="恒定伤害",0,(IF(D189="轻剑",$AO$2,$AO$3)+INT(COUNTIF(G189,"*大莺鸣*")*IF(D189="轻剑",$AM$2,$AM$3)*听晓无双率)/无双系数)+IF((IF(D189="轻剑",$AO$2,$AO$3)+INT(COUNTIF(G189,"*大莺鸣*")*IF(D189="轻剑",$AM$2,$AM$3)*听晓无双率)/无双系数)&lt;=0.9,特效裤子无双,0))</f>
        <v>1.7800129648</v>
      </c>
      <c r="V189">
        <f ca="1" t="shared" si="812"/>
        <v>10134635.4540271</v>
      </c>
      <c r="W189">
        <f ca="1">IF(G189="恒定伤害",0,MIN(1,IF(COUNTIF(F189,"*内会*")&gt;0,内会2,IF(D189="轻剑",$Y$2,$Y$3)+COUNTIF(G189,"*莺鸣*")*0.2+COUNTIF(G189,"*叠1*")*0.1+COUNTIF(G189,"*叠2*")*0.2+COUNTIF(G189,"*叠3*")*0.3)+IFERROR(INDEX(技能数据库!$T$2:$W$27,MATCH(E189,技能数据库!$T$2:$T$27,0),2),0)+IF((IF(D189="轻剑",$AO$2,$AO$3)+INT(COUNTIF(G189,"*大莺鸣*")*IF(D189="轻剑",$AM$2,$AM$3)*听晓无双率)/无双系数)&gt;0.9,特效裤子会心/会心系数,0)))</f>
        <v>0.0826138197194782</v>
      </c>
      <c r="X189">
        <f ca="1">IF(G189="恒定伤害",0,IF(COUNTIF(F189,"*内会*")&gt;0,内会效2,IF(D189="轻剑",$AB$2,$AB$3))+IFERROR(INDEX(技能数据库!$T$2:$W$27,MATCH(E189,技能数据库!$T$2:$T$27,0),3)/1024,0))+COUNTIF(G189,"*叠1*")*0.25+COUNTIF(G189,"*叠2*")*0.5+COUNTIF(G189,"*叠3*")*0.75</f>
        <v>2.54000318487951</v>
      </c>
      <c r="Y189">
        <f ca="1" t="shared" si="813"/>
        <v>1.12722554548306</v>
      </c>
      <c r="Z189">
        <f t="shared" si="814"/>
        <v>0.150390625</v>
      </c>
      <c r="AA189">
        <f ca="1" t="shared" si="815"/>
        <v>0.0205078125</v>
      </c>
      <c r="AB189">
        <f ca="1" t="shared" si="816"/>
        <v>13411600.9073648</v>
      </c>
      <c r="AC189" s="171">
        <f ca="1">技能数计算!$AJ181</f>
        <v>0</v>
      </c>
      <c r="AD189" s="164">
        <f ca="1" t="shared" si="817"/>
        <v>0</v>
      </c>
      <c r="AE189" s="168"/>
      <c r="AF189" s="168">
        <f ca="1" t="shared" si="818"/>
        <v>0.0826138197194782</v>
      </c>
      <c r="AG189" s="171">
        <f ca="1">技能数计算!$AJ181</f>
        <v>0</v>
      </c>
      <c r="AH189">
        <f ca="1" t="shared" si="389"/>
        <v>109879</v>
      </c>
      <c r="AJ189">
        <f ca="1" t="shared" si="819"/>
        <v>2.54000318487951</v>
      </c>
      <c r="AK189">
        <f ca="1" t="shared" si="820"/>
        <v>4978746</v>
      </c>
      <c r="AL189">
        <f ca="1" t="shared" si="661"/>
        <v>13411600.9073649</v>
      </c>
      <c r="AM189" s="169">
        <f ca="1" t="shared" si="821"/>
        <v>0.0826138197194782</v>
      </c>
      <c r="AN189" s="171">
        <f ca="1">技能数计算!$AJ181</f>
        <v>0</v>
      </c>
      <c r="AO189" s="170">
        <f ca="1" t="shared" si="662"/>
        <v>13411600.9073649</v>
      </c>
      <c r="AP189">
        <f ca="1" t="shared" si="394"/>
        <v>110956</v>
      </c>
      <c r="AQ189" s="170">
        <f ca="1" t="shared" si="822"/>
        <v>4978746</v>
      </c>
      <c r="AR189">
        <f ca="1" t="shared" si="823"/>
        <v>13411600.9073648</v>
      </c>
      <c r="AS189">
        <f ca="1" t="shared" si="824"/>
        <v>0.0826138197194782</v>
      </c>
      <c r="AT189" s="171">
        <f ca="1">技能数计算!$AJ181</f>
        <v>0</v>
      </c>
      <c r="AU189">
        <f ca="1" t="shared" si="825"/>
        <v>2.54000318487951</v>
      </c>
      <c r="AV189">
        <f ca="1" t="shared" ref="AV189:AV192" si="856">IF(G189="恒定伤害",0,(IF(D189="轻剑",$AV$8,$AV$9)+INT(COUNTIF(G189,"*大莺鸣*")*IF(D189="轻剑",$AM$2,$AM$3)*听晓无双率)/无双系数))+IF((IF(G189="恒定伤害",0,(IF(D189="轻剑",$AV$8,$AV$9)+INT(COUNTIF(G189,"*大莺鸣*")*IF(D189="轻剑",$AM$2,$AM$3)*听晓无双率)/无双系数)))&lt;=0.9,特效裤子无双,0)</f>
        <v>1.7995442148</v>
      </c>
      <c r="AW189">
        <f ca="1" t="shared" si="826"/>
        <v>13505825.4068685</v>
      </c>
      <c r="AX189">
        <f ca="1" t="shared" si="827"/>
        <v>0.0826138197194782</v>
      </c>
      <c r="AY189" s="171">
        <f ca="1">技能数计算!$AJ181</f>
        <v>0</v>
      </c>
      <c r="AZ189" s="170">
        <f ca="1" t="shared" si="828"/>
        <v>13505825.4068685</v>
      </c>
      <c r="BA189">
        <f ca="1" t="shared" si="829"/>
        <v>0.0826138197194782</v>
      </c>
      <c r="BB189" s="171">
        <f ca="1">技能数计算!$AJ181</f>
        <v>0</v>
      </c>
      <c r="BC189" s="170">
        <f ca="1" t="shared" si="830"/>
        <v>13505825.4068685</v>
      </c>
      <c r="BE189">
        <f ca="1" t="shared" si="400"/>
        <v>105849</v>
      </c>
      <c r="BF189">
        <f ca="1" t="shared" si="831"/>
        <v>4978746</v>
      </c>
      <c r="BI189">
        <f ca="1" t="shared" si="832"/>
        <v>0.0826138197194782</v>
      </c>
      <c r="BJ189" s="171">
        <f ca="1">技能数计算!$AJ181</f>
        <v>0</v>
      </c>
      <c r="BK189">
        <f ca="1" t="shared" si="663"/>
        <v>13505825.4068685</v>
      </c>
      <c r="BM189">
        <f ca="1" t="shared" si="403"/>
        <v>109230</v>
      </c>
      <c r="BN189">
        <f ca="1" t="shared" si="833"/>
        <v>4978746</v>
      </c>
      <c r="BO189">
        <f ca="1" t="shared" si="834"/>
        <v>13411600.9073648</v>
      </c>
      <c r="BP189">
        <f ca="1" t="shared" ref="BP189:BP192" si="857">IF(COUNTIF(G189,"*恒定伤害*")&gt;0,AB189,((BN189*(1+P189)*(1+IF(COUNTIF(F189,"*内破*")&gt;0,内破,IF(D189="轻剑",$BQ$8,$BQ$9)/破防系数)+IF((IF(D189="轻剑",$AO$2,$AO$3)+INT(COUNTIF(G189,"*大莺鸣*")*IF(D189="轻剑",$AM$2,$AM$3)*听晓无双率)/无双系数)&gt;0.9,(特效裤子破防+特效裤子破防*IF(D189="轻剑",$AD$2+102,$AD$3+102)/1024)/破防系数,0))*(1-R189))*T189*(1+U189))*Y189*(1+Z189)*(1+AA189))</f>
        <v>13411600.9073648</v>
      </c>
      <c r="BR189">
        <f ca="1" t="shared" si="835"/>
        <v>0.132613819719478</v>
      </c>
      <c r="BS189">
        <f ca="1" t="shared" si="664"/>
        <v>14428400.9386398</v>
      </c>
      <c r="BT189">
        <f ca="1" t="shared" si="836"/>
        <v>0.196995876306796</v>
      </c>
      <c r="BU189">
        <f ca="1" t="shared" si="837"/>
        <v>2.68648755987951</v>
      </c>
      <c r="BV189">
        <f ca="1" t="shared" si="838"/>
        <v>14850721.5963075</v>
      </c>
      <c r="BW189">
        <f ca="1" t="shared" si="408"/>
        <v>113027</v>
      </c>
      <c r="BX189">
        <f ca="1" t="shared" si="839"/>
        <v>4978746</v>
      </c>
      <c r="BY189">
        <f ca="1" t="shared" si="840"/>
        <v>0.0826138197194782</v>
      </c>
      <c r="BZ189" s="171">
        <f ca="1">技能数计算!$AJ181</f>
        <v>0</v>
      </c>
      <c r="CA189">
        <f ca="1" t="shared" si="841"/>
        <v>2.54000318487951</v>
      </c>
      <c r="CB189">
        <f ca="1" t="shared" si="842"/>
        <v>13411600.9073648</v>
      </c>
      <c r="CC189">
        <f ca="1" t="shared" si="411"/>
        <v>114847</v>
      </c>
      <c r="CD189">
        <f ca="1" t="shared" si="843"/>
        <v>4978746</v>
      </c>
      <c r="CE189">
        <f ca="1" t="shared" si="665"/>
        <v>13411600.9073648</v>
      </c>
      <c r="CF189">
        <f ca="1" t="shared" si="844"/>
        <v>2.54000318487951</v>
      </c>
      <c r="CG189">
        <f ca="1" t="shared" si="845"/>
        <v>0.112613819719478</v>
      </c>
      <c r="CH189">
        <f ca="1" t="shared" si="846"/>
        <v>13505825.4068685</v>
      </c>
      <c r="CJ189">
        <f ca="1" t="shared" si="847"/>
        <v>4978746</v>
      </c>
      <c r="CK189">
        <f ca="1" t="shared" si="848"/>
        <v>13411600.9073648</v>
      </c>
      <c r="CL189">
        <f ca="1" t="shared" si="849"/>
        <v>2.66031568487951</v>
      </c>
      <c r="CM189">
        <f ca="1">IF(G189="恒定伤害",0,(IF(D189="轻剑",$CM$8,$CM$9)+IFERROR(INDEX(技能数据库!$T$2:$W$27,MATCH(E189,技能数据库!$T$2:$T$27,0),4),0)+COUNTIF(G189,"*造化2*")*154+COUNTIF(G189,"*造化1*")*102+COUNTIF(G189,"*碧归*")*307)/1024)</f>
        <v>0.176868146929785</v>
      </c>
      <c r="CN189">
        <f ca="1" t="shared" si="850"/>
        <v>14993060.8165338</v>
      </c>
      <c r="CO189">
        <f ca="1" t="shared" si="851"/>
        <v>2.68437818487951</v>
      </c>
      <c r="CP189">
        <f ca="1" t="shared" si="852"/>
        <v>15027288.8031201</v>
      </c>
      <c r="CQ189">
        <f ca="1" t="shared" ref="CQ189:CQ192" si="858">IF(G189="恒定伤害",0,(IF(D189="轻剑",$CQ$8,$CQ$9)+INT(COUNTIF(G189,"*大莺鸣*")*IF(D189="轻剑",$AM$2,$AM$3)*听晓无双率)/无双系数))+IF((IF(G189="恒定伤害",0,(IF(D189="轻剑",$CQ$8,$CQ$9)+INT(COUNTIF(G189,"*大莺鸣*")*IF(D189="轻剑",$AM$2,$AM$3)*听晓无双率)/无双系数)))&lt;=0.9,特效裤子无双,0)</f>
        <v>1.8815754648</v>
      </c>
      <c r="CR189">
        <f ca="1">IF(G189="恒定伤害",0,(IF(D189="轻剑",$CR$8,$CR$9)+IFERROR(INDEX(技能数据库!$T$2:$W$27,MATCH(E189,技能数据库!$T$2:$T$27,0),4),0)+COUNTIF(G189,"*造化2*")*154+COUNTIF(G189,"*造化1*")*102+COUNTIF(G189,"*碧归*")*307)/1024)</f>
        <v>0.167102521929785</v>
      </c>
      <c r="CS189">
        <f ca="1" t="shared" si="853"/>
        <v>14533948.0983329</v>
      </c>
    </row>
    <row r="190" spans="4:97">
      <c r="D190" t="s">
        <v>1825</v>
      </c>
      <c r="E190" s="161" t="s">
        <v>2859</v>
      </c>
      <c r="F190" t="s">
        <v>3160</v>
      </c>
      <c r="G190" t="s">
        <v>2750</v>
      </c>
      <c r="H190">
        <f ca="1">INDEX(技能数据库!$B$2:$I$100,MATCH(阵眼收益计算!$E190,技能数据库!$B$2:$B$100,0),MATCH(H$9,技能数据库!$B$2:$I$2,0))</f>
        <v>1955936</v>
      </c>
      <c r="I190">
        <f ca="1">INDEX(技能数据库!$B$2:$I$100,MATCH(阵眼收益计算!$E190,技能数据库!$B$2:$B$100,0),MATCH(I$9,技能数据库!$B$2:$I$2,0))</f>
        <v>0</v>
      </c>
      <c r="J190">
        <f ca="1">INDEX(技能数据库!$B$2:$I$100,MATCH(阵眼收益计算!$E190,技能数据库!$B$2:$B$100,0),MATCH(J$9,技能数据库!$B$2:$I$2,0))</f>
        <v>0</v>
      </c>
      <c r="K190">
        <f ca="1">INDEX(技能数据库!$B$2:$I$100,MATCH(阵眼收益计算!$E190,技能数据库!$B$2:$B$100,0),MATCH(K$9,技能数据库!$B$2:$I$2,0))</f>
        <v>0</v>
      </c>
      <c r="L190">
        <f ca="1" t="shared" si="387"/>
        <v>105847</v>
      </c>
      <c r="M190">
        <f ca="1" t="shared" si="807"/>
        <v>19530.5</v>
      </c>
      <c r="N190">
        <f ca="1" t="shared" si="808"/>
        <v>92028</v>
      </c>
      <c r="O190">
        <f ca="1" t="shared" si="809"/>
        <v>1955936</v>
      </c>
      <c r="P190">
        <f ca="1">IF(G190="恒定伤害",0,(IF(D190="轻剑",$AZ$2,$AZ$3)+IFERROR(INDEX(技能数据库!$T$2:$W$27,MATCH(E190,技能数据库!$T$2:$T$27,0),4),0)+COUNTIF(G190,"*造化2*")*154+COUNTIF(G190,"*造化1*")*102+COUNTIF(G190,"*碧归*")*307)/1024)</f>
        <v>0.116321271929785</v>
      </c>
      <c r="Q190">
        <f ca="1" t="shared" si="854"/>
        <v>0.0415122129107408</v>
      </c>
      <c r="R190">
        <f ca="1" t="shared" si="810"/>
        <v>0.21277697966198</v>
      </c>
      <c r="S190">
        <f ca="1" t="shared" si="811"/>
        <v>1790218.30301643</v>
      </c>
      <c r="T190">
        <f t="shared" si="723"/>
        <v>0.8</v>
      </c>
      <c r="U190">
        <f ca="1" t="shared" si="855"/>
        <v>1.7800129648</v>
      </c>
      <c r="V190">
        <f ca="1" t="shared" si="812"/>
        <v>3981464.07376636</v>
      </c>
      <c r="W190">
        <f ca="1">IF(G190="恒定伤害",0,MIN(1,IF(COUNTIF(F190,"*内会*")&gt;0,内会2,IF(D190="轻剑",$Y$2,$Y$3)+COUNTIF(G190,"*莺鸣*")*0.2+COUNTIF(G190,"*叠1*")*0.1+COUNTIF(G190,"*叠2*")*0.2+COUNTIF(G190,"*叠3*")*0.3)+IFERROR(INDEX(技能数据库!$T$2:$W$27,MATCH(E190,技能数据库!$T$2:$T$27,0),2),0)+IF((IF(D190="轻剑",$AO$2,$AO$3)+INT(COUNTIF(G190,"*大莺鸣*")*IF(D190="轻剑",$AM$2,$AM$3)*听晓无双率)/无双系数)&gt;0.9,特效裤子会心/会心系数,0)))</f>
        <v>0.0826138197194782</v>
      </c>
      <c r="X190">
        <f ca="1">IF(G190="恒定伤害",0,IF(COUNTIF(F190,"*内会*")&gt;0,内会效2,IF(D190="轻剑",$AB$2,$AB$3))+IFERROR(INDEX(技能数据库!$T$2:$W$27,MATCH(E190,技能数据库!$T$2:$T$27,0),3)/1024,0))+COUNTIF(G190,"*叠1*")*0.25+COUNTIF(G190,"*叠2*")*0.5+COUNTIF(G190,"*叠3*")*0.75</f>
        <v>1.79000318487951</v>
      </c>
      <c r="Y190">
        <f ca="1" t="shared" si="813"/>
        <v>1.06526518069345</v>
      </c>
      <c r="Z190">
        <f t="shared" si="814"/>
        <v>0.150390625</v>
      </c>
      <c r="AA190">
        <f ca="1" t="shared" si="815"/>
        <v>0.0205078125</v>
      </c>
      <c r="AB190">
        <f ca="1" t="shared" si="816"/>
        <v>4979230.15092241</v>
      </c>
      <c r="AC190" s="171">
        <f ca="1">技能数计算!$AJ182</f>
        <v>0</v>
      </c>
      <c r="AD190" s="164">
        <f ca="1" t="shared" si="817"/>
        <v>0</v>
      </c>
      <c r="AE190" s="168"/>
      <c r="AF190" s="168">
        <f ca="1" t="shared" si="818"/>
        <v>0.0826138197194782</v>
      </c>
      <c r="AG190" s="171">
        <f ca="1">技能数计算!$AJ182</f>
        <v>0</v>
      </c>
      <c r="AH190">
        <f ca="1" t="shared" si="389"/>
        <v>109879</v>
      </c>
      <c r="AJ190">
        <f ca="1" t="shared" si="819"/>
        <v>1.79000318487951</v>
      </c>
      <c r="AK190">
        <f ca="1" t="shared" si="820"/>
        <v>1955936</v>
      </c>
      <c r="AL190">
        <f ca="1" t="shared" si="661"/>
        <v>4979230.15092241</v>
      </c>
      <c r="AM190" s="169">
        <f ca="1" t="shared" si="821"/>
        <v>0.0826138197194782</v>
      </c>
      <c r="AN190" s="171">
        <f ca="1">技能数计算!$AJ182</f>
        <v>0</v>
      </c>
      <c r="AO190" s="170">
        <f ca="1" t="shared" si="662"/>
        <v>4979230.15092241</v>
      </c>
      <c r="AP190">
        <f ca="1" t="shared" si="394"/>
        <v>110956</v>
      </c>
      <c r="AQ190" s="170">
        <f ca="1" t="shared" si="822"/>
        <v>1955936</v>
      </c>
      <c r="AR190">
        <f ca="1" t="shared" si="823"/>
        <v>4979230.15092241</v>
      </c>
      <c r="AS190">
        <f ca="1" t="shared" si="824"/>
        <v>0.0826138197194782</v>
      </c>
      <c r="AT190" s="171">
        <f ca="1">技能数计算!$AJ182</f>
        <v>0</v>
      </c>
      <c r="AU190">
        <f ca="1" t="shared" si="825"/>
        <v>1.79000318487951</v>
      </c>
      <c r="AV190">
        <f ca="1" t="shared" si="856"/>
        <v>1.7995442148</v>
      </c>
      <c r="AW190">
        <f ca="1" t="shared" si="826"/>
        <v>5014212.21399786</v>
      </c>
      <c r="AX190">
        <f ca="1" t="shared" si="827"/>
        <v>0.0826138197194782</v>
      </c>
      <c r="AY190" s="171">
        <f ca="1">技能数计算!$AJ182</f>
        <v>0</v>
      </c>
      <c r="AZ190" s="170">
        <f ca="1" t="shared" si="828"/>
        <v>5014212.21399786</v>
      </c>
      <c r="BA190">
        <f ca="1" t="shared" si="829"/>
        <v>0.0826138197194782</v>
      </c>
      <c r="BB190" s="171">
        <f ca="1">技能数计算!$AJ182</f>
        <v>0</v>
      </c>
      <c r="BC190" s="170">
        <f ca="1" t="shared" si="830"/>
        <v>5014212.21399786</v>
      </c>
      <c r="BE190">
        <f ca="1" t="shared" si="400"/>
        <v>105849</v>
      </c>
      <c r="BF190">
        <f ca="1" t="shared" si="831"/>
        <v>1955936</v>
      </c>
      <c r="BI190">
        <f ca="1" t="shared" si="832"/>
        <v>0.0826138197194782</v>
      </c>
      <c r="BJ190" s="171">
        <f ca="1">技能数计算!$AJ182</f>
        <v>0</v>
      </c>
      <c r="BK190">
        <f ca="1" t="shared" si="663"/>
        <v>5014212.21399786</v>
      </c>
      <c r="BM190">
        <f ca="1" t="shared" si="403"/>
        <v>109230</v>
      </c>
      <c r="BN190">
        <f ca="1" t="shared" si="833"/>
        <v>1955936</v>
      </c>
      <c r="BO190">
        <f ca="1" t="shared" si="834"/>
        <v>4979230.15092241</v>
      </c>
      <c r="BP190">
        <f ca="1" t="shared" si="857"/>
        <v>4979230.15092241</v>
      </c>
      <c r="BR190">
        <f ca="1" t="shared" si="835"/>
        <v>0.132613819719478</v>
      </c>
      <c r="BS190">
        <f ca="1" t="shared" si="664"/>
        <v>5200139.79759453</v>
      </c>
      <c r="BT190">
        <f ca="1" t="shared" si="836"/>
        <v>0.196995876306796</v>
      </c>
      <c r="BU190">
        <f ca="1" t="shared" si="837"/>
        <v>1.93648755987951</v>
      </c>
      <c r="BV190">
        <f ca="1" t="shared" si="838"/>
        <v>5359998.12087229</v>
      </c>
      <c r="BW190">
        <f ca="1" t="shared" si="408"/>
        <v>113027</v>
      </c>
      <c r="BX190">
        <f ca="1" t="shared" si="839"/>
        <v>1955936</v>
      </c>
      <c r="BY190">
        <f ca="1" t="shared" si="840"/>
        <v>0.0826138197194782</v>
      </c>
      <c r="BZ190" s="171">
        <f ca="1">技能数计算!$AJ182</f>
        <v>0</v>
      </c>
      <c r="CA190">
        <f ca="1" t="shared" si="841"/>
        <v>1.79000318487951</v>
      </c>
      <c r="CB190">
        <f ca="1" t="shared" si="842"/>
        <v>4979230.15092241</v>
      </c>
      <c r="CC190">
        <f ca="1" t="shared" si="411"/>
        <v>114847</v>
      </c>
      <c r="CD190">
        <f ca="1" t="shared" si="843"/>
        <v>1955936</v>
      </c>
      <c r="CE190">
        <f ca="1" t="shared" si="665"/>
        <v>4979230.15092241</v>
      </c>
      <c r="CF190">
        <f ca="1" t="shared" si="844"/>
        <v>1.79000318487951</v>
      </c>
      <c r="CG190">
        <f ca="1" t="shared" si="845"/>
        <v>0.112613819719478</v>
      </c>
      <c r="CH190">
        <f ca="1" t="shared" si="846"/>
        <v>5014212.21399786</v>
      </c>
      <c r="CJ190">
        <f ca="1" t="shared" si="847"/>
        <v>1955936</v>
      </c>
      <c r="CK190">
        <f ca="1" t="shared" si="848"/>
        <v>4979230.15092241</v>
      </c>
      <c r="CL190">
        <f ca="1" t="shared" si="849"/>
        <v>1.91031568487951</v>
      </c>
      <c r="CM190">
        <f ca="1">IF(G190="恒定伤害",0,(IF(D190="轻剑",$CM$8,$CM$9)+IFERROR(INDEX(技能数据库!$T$2:$W$27,MATCH(E190,技能数据库!$T$2:$T$27,0),4),0)+COUNTIF(G190,"*造化2*")*154+COUNTIF(G190,"*造化1*")*102+COUNTIF(G190,"*碧归*")*307)/1024)</f>
        <v>0.176868146929785</v>
      </c>
      <c r="CN190">
        <f ca="1" t="shared" si="850"/>
        <v>5471013.03176459</v>
      </c>
      <c r="CO190">
        <f ca="1" t="shared" si="851"/>
        <v>1.93437818487951</v>
      </c>
      <c r="CP190">
        <f ca="1" t="shared" si="852"/>
        <v>5484459.74127169</v>
      </c>
      <c r="CQ190">
        <f ca="1" t="shared" si="858"/>
        <v>1.8815754648</v>
      </c>
      <c r="CR190">
        <f ca="1">IF(G190="恒定伤害",0,(IF(D190="轻剑",$CR$8,$CR$9)+IFERROR(INDEX(技能数据库!$T$2:$W$27,MATCH(E190,技能数据库!$T$2:$T$27,0),4),0)+COUNTIF(G190,"*造化2*")*154+COUNTIF(G190,"*造化1*")*102+COUNTIF(G190,"*碧归*")*307)/1024)</f>
        <v>0.167102521929785</v>
      </c>
      <c r="CS190">
        <f ca="1" t="shared" si="853"/>
        <v>5395916.04932267</v>
      </c>
    </row>
    <row r="191" spans="4:97">
      <c r="D191" t="s">
        <v>1825</v>
      </c>
      <c r="E191" s="161" t="s">
        <v>2859</v>
      </c>
      <c r="F191" t="s">
        <v>2503</v>
      </c>
      <c r="G191" t="s">
        <v>2750</v>
      </c>
      <c r="H191">
        <f ca="1">INDEX(技能数据库!$B$2:$I$100,MATCH(阵眼收益计算!$E191,技能数据库!$B$2:$B$100,0),MATCH(H$9,技能数据库!$B$2:$I$2,0))</f>
        <v>1955936</v>
      </c>
      <c r="I191">
        <f ca="1">INDEX(技能数据库!$B$2:$I$100,MATCH(阵眼收益计算!$E191,技能数据库!$B$2:$B$100,0),MATCH(I$9,技能数据库!$B$2:$I$2,0))</f>
        <v>0</v>
      </c>
      <c r="J191">
        <f ca="1">INDEX(技能数据库!$B$2:$I$100,MATCH(阵眼收益计算!$E191,技能数据库!$B$2:$B$100,0),MATCH(J$9,技能数据库!$B$2:$I$2,0))</f>
        <v>0</v>
      </c>
      <c r="K191">
        <f ca="1">INDEX(技能数据库!$B$2:$I$100,MATCH(阵眼收益计算!$E191,技能数据库!$B$2:$B$100,0),MATCH(K$9,技能数据库!$B$2:$I$2,0))</f>
        <v>0</v>
      </c>
      <c r="L191">
        <f ca="1" t="shared" si="387"/>
        <v>105847</v>
      </c>
      <c r="M191">
        <f ca="1" t="shared" ref="M191:M192" si="859">IF(D191="轻剑",$AU$2+$AV$2,$AU$3+$AV$3)/2</f>
        <v>19530.5</v>
      </c>
      <c r="N191">
        <f ca="1" t="shared" ref="N191:N192" si="860">IF(D191="轻剑",$AJ$2,$AJ$3)</f>
        <v>92028</v>
      </c>
      <c r="O191">
        <f ca="1" t="shared" si="809"/>
        <v>1955936</v>
      </c>
      <c r="P191">
        <f ca="1">IF(G191="恒定伤害",0,(IF(D191="轻剑",$AZ$2,$AZ$3)+IFERROR(INDEX(技能数据库!$T$2:$W$27,MATCH(E191,技能数据库!$T$2:$T$27,0),4),0)+COUNTIF(G191,"*造化2*")*154+COUNTIF(G191,"*造化1*")*102+COUNTIF(G191,"*碧归*")*307)/1024)</f>
        <v>0.116321271929785</v>
      </c>
      <c r="Q191">
        <f ca="1" t="shared" si="854"/>
        <v>0.0415122129107408</v>
      </c>
      <c r="R191">
        <f ca="1" t="shared" si="810"/>
        <v>0.21277697966198</v>
      </c>
      <c r="S191">
        <f ca="1" t="shared" ref="S191:S192" si="861">O191*(1+P191)*(1+Q191)*(1-R191)</f>
        <v>1790218.30301643</v>
      </c>
      <c r="T191">
        <f t="shared" ref="T191:T196" si="862">1-($F$6-130)*0.05</f>
        <v>0.8</v>
      </c>
      <c r="U191">
        <f ca="1" t="shared" si="855"/>
        <v>1.7800129648</v>
      </c>
      <c r="V191">
        <f ca="1" t="shared" ref="V191:V192" si="863">S191*T191*(1+U191)</f>
        <v>3981464.07376636</v>
      </c>
      <c r="W191">
        <f ca="1">IF(G191="恒定伤害",0,MIN(1,IF(COUNTIF(F191,"*内会*")&gt;0,内会2,IF(D191="轻剑",$Y$2,$Y$3)+COUNTIF(G191,"*莺鸣*")*0.2+COUNTIF(G191,"*叠1*")*0.1+COUNTIF(G191,"*叠2*")*0.2+COUNTIF(G191,"*叠3*")*0.3)+IFERROR(INDEX(技能数据库!$T$2:$W$27,MATCH(E191,技能数据库!$T$2:$T$27,0),2),0)+IF((IF(D191="轻剑",$AO$2,$AO$3)+INT(COUNTIF(G191,"*大莺鸣*")*IF(D191="轻剑",$AM$2,$AM$3)*听晓无双率)/无双系数)&gt;0.9,特效裤子会心/会心系数,0)))</f>
        <v>0.7043</v>
      </c>
      <c r="X191">
        <f ca="1">IF(G191="恒定伤害",0,IF(COUNTIF(F191,"*内会*")&gt;0,内会效2,IF(D191="轻剑",$AB$2,$AB$3))+IFERROR(INDEX(技能数据库!$T$2:$W$27,MATCH(E191,技能数据库!$T$2:$T$27,0),3)/1024,0))+COUNTIF(G191,"*叠1*")*0.25+COUNTIF(G191,"*叠2*")*0.5+COUNTIF(G191,"*叠3*")*0.75</f>
        <v>2.1712723116</v>
      </c>
      <c r="Y191">
        <f ca="1" t="shared" ref="Y191:Y192" si="864">1+W191*(X191-1)</f>
        <v>1.82492708905988</v>
      </c>
      <c r="Z191">
        <f t="shared" si="814"/>
        <v>0.150390625</v>
      </c>
      <c r="AA191">
        <f ca="1" t="shared" ref="AA191:AA192" si="865">IF(D191="轻剑",$BA$2,$BA$3)/1024</f>
        <v>0.0205078125</v>
      </c>
      <c r="AB191">
        <f ca="1" t="shared" ref="AB191:AB192" si="866">V191*Y191*(1+Z191)*(1+AA191)</f>
        <v>8530018.76881668</v>
      </c>
      <c r="AC191">
        <f ca="1">技能数计算!$AJ183</f>
        <v>0</v>
      </c>
      <c r="AD191" s="164">
        <f ca="1" t="shared" si="817"/>
        <v>0</v>
      </c>
      <c r="AE191" s="168"/>
      <c r="AF191" s="168">
        <f ca="1" t="shared" si="818"/>
        <v>0.7057</v>
      </c>
      <c r="AG191">
        <f ca="1">技能数计算!$AJ183</f>
        <v>0</v>
      </c>
      <c r="AH191">
        <f ca="1" t="shared" si="389"/>
        <v>109879</v>
      </c>
      <c r="AJ191">
        <f ca="1" t="shared" si="819"/>
        <v>2.3704910616</v>
      </c>
      <c r="AK191">
        <f ca="1" t="shared" si="820"/>
        <v>1955936</v>
      </c>
      <c r="AL191">
        <f ca="1" t="shared" si="661"/>
        <v>9194818.68426077</v>
      </c>
      <c r="AM191" s="169">
        <f ca="1" t="shared" si="821"/>
        <v>0.7272</v>
      </c>
      <c r="AN191">
        <f ca="1">技能数计算!$AJ183</f>
        <v>0</v>
      </c>
      <c r="AO191" s="170">
        <f ca="1" t="shared" si="662"/>
        <v>9332545.69964814</v>
      </c>
      <c r="AP191">
        <f ca="1" t="shared" si="394"/>
        <v>110956</v>
      </c>
      <c r="AQ191" s="170">
        <f ca="1" t="shared" si="822"/>
        <v>1955936</v>
      </c>
      <c r="AR191">
        <f ca="1" t="shared" si="823"/>
        <v>8530018.76881668</v>
      </c>
      <c r="AS191">
        <f ca="1" t="shared" si="824"/>
        <v>0.7843</v>
      </c>
      <c r="AT191">
        <f ca="1">技能数计算!$AJ183</f>
        <v>0</v>
      </c>
      <c r="AU191">
        <f ca="1" t="shared" si="825"/>
        <v>2.3177566866</v>
      </c>
      <c r="AV191">
        <f ca="1" t="shared" si="856"/>
        <v>1.7995442148</v>
      </c>
      <c r="AW191">
        <f ca="1" t="shared" si="826"/>
        <v>9571779.68824198</v>
      </c>
      <c r="AX191">
        <f ca="1" t="shared" si="827"/>
        <v>0.7743</v>
      </c>
      <c r="AY191">
        <f ca="1">技能数计算!$AJ183</f>
        <v>0</v>
      </c>
      <c r="AZ191" s="170">
        <f ca="1" t="shared" si="828"/>
        <v>9509752.7695669</v>
      </c>
      <c r="BA191">
        <f ca="1" t="shared" si="829"/>
        <v>0.7643</v>
      </c>
      <c r="BB191">
        <f ca="1">技能数计算!$AJ183</f>
        <v>0</v>
      </c>
      <c r="BC191" s="170">
        <f ca="1" t="shared" si="830"/>
        <v>9447725.85089181</v>
      </c>
      <c r="BE191">
        <f ca="1" t="shared" si="400"/>
        <v>105849</v>
      </c>
      <c r="BF191">
        <f ca="1" t="shared" si="831"/>
        <v>1955936</v>
      </c>
      <c r="BI191">
        <f ca="1" t="shared" si="832"/>
        <v>0.7543</v>
      </c>
      <c r="BJ191">
        <f ca="1">技能数计算!$AJ183</f>
        <v>0</v>
      </c>
      <c r="BK191">
        <f ca="1" t="shared" si="663"/>
        <v>8865606.67458301</v>
      </c>
      <c r="BM191">
        <f ca="1" t="shared" si="403"/>
        <v>109230</v>
      </c>
      <c r="BN191">
        <f ca="1" t="shared" si="833"/>
        <v>1955936</v>
      </c>
      <c r="BO191">
        <f ca="1" t="shared" si="834"/>
        <v>8530018.76881668</v>
      </c>
      <c r="BP191">
        <f ca="1" t="shared" si="857"/>
        <v>8530018.76881668</v>
      </c>
      <c r="BR191">
        <f ca="1" t="shared" si="835"/>
        <v>0.7543</v>
      </c>
      <c r="BS191">
        <f ca="1" t="shared" si="664"/>
        <v>8865606.67458301</v>
      </c>
      <c r="BT191">
        <f ca="1" t="shared" si="836"/>
        <v>0.196995876306796</v>
      </c>
      <c r="BU191">
        <f ca="1" t="shared" si="837"/>
        <v>2.3177566866</v>
      </c>
      <c r="BV191">
        <f ca="1" t="shared" si="838"/>
        <v>9507057.039062</v>
      </c>
      <c r="BW191">
        <f ca="1" t="shared" si="408"/>
        <v>113027</v>
      </c>
      <c r="BX191">
        <f ca="1" t="shared" si="839"/>
        <v>1955936</v>
      </c>
      <c r="BY191">
        <f ca="1" t="shared" si="840"/>
        <v>0.7343</v>
      </c>
      <c r="BZ191">
        <f ca="1">技能数计算!$AJ183</f>
        <v>0</v>
      </c>
      <c r="CA191">
        <f ca="1" t="shared" si="841"/>
        <v>2.3216629366</v>
      </c>
      <c r="CB191">
        <f ca="1" t="shared" si="842"/>
        <v>9210437.66593642</v>
      </c>
      <c r="CC191">
        <f ca="1" t="shared" si="411"/>
        <v>114847</v>
      </c>
      <c r="CD191">
        <f ca="1" t="shared" si="843"/>
        <v>1955936</v>
      </c>
      <c r="CE191">
        <f ca="1" t="shared" si="665"/>
        <v>8694260.53268611</v>
      </c>
      <c r="CF191">
        <f ca="1" t="shared" si="844"/>
        <v>2.2689285616</v>
      </c>
      <c r="CG191">
        <f ca="1" t="shared" si="845"/>
        <v>0.7343</v>
      </c>
      <c r="CH191">
        <f ca="1" t="shared" si="846"/>
        <v>9092877.69693451</v>
      </c>
      <c r="CJ191">
        <f ca="1" t="shared" si="847"/>
        <v>1955936</v>
      </c>
      <c r="CK191">
        <f ca="1" t="shared" si="848"/>
        <v>8530018.76881668</v>
      </c>
      <c r="CL191">
        <f ca="1" t="shared" si="849"/>
        <v>2.2915848116</v>
      </c>
      <c r="CM191">
        <f ca="1">IF(G191="恒定伤害",0,(IF(D191="轻剑",$CM$8,$CM$9)+IFERROR(INDEX(技能数据库!$T$2:$W$27,MATCH(E191,技能数据库!$T$2:$T$27,0),4),0)+COUNTIF(G191,"*造化2*")*154+COUNTIF(G191,"*造化1*")*102+COUNTIF(G191,"*碧归*")*307)/1024)</f>
        <v>0.176868146929785</v>
      </c>
      <c r="CN191">
        <f ca="1" t="shared" si="850"/>
        <v>9668611.24408226</v>
      </c>
      <c r="CO191">
        <f ca="1" t="shared" si="851"/>
        <v>2.3156473116</v>
      </c>
      <c r="CP191">
        <f ca="1" t="shared" si="852"/>
        <v>9756290.70310124</v>
      </c>
      <c r="CQ191">
        <f ca="1" t="shared" si="858"/>
        <v>1.8815754648</v>
      </c>
      <c r="CR191">
        <f ca="1">IF(G191="恒定伤害",0,(IF(D191="轻剑",$CR$8,$CR$9)+IFERROR(INDEX(技能数据库!$T$2:$W$27,MATCH(E191,技能数据库!$T$2:$T$27,0),4),0)+COUNTIF(G191,"*造化2*")*154+COUNTIF(G191,"*造化1*")*102+COUNTIF(G191,"*碧归*")*307)/1024)</f>
        <v>0.167102521929785</v>
      </c>
      <c r="CS191">
        <f ca="1" t="shared" si="853"/>
        <v>9243851.71614429</v>
      </c>
    </row>
    <row r="192" spans="4:97">
      <c r="D192" t="s">
        <v>1825</v>
      </c>
      <c r="E192" s="161" t="s">
        <v>2861</v>
      </c>
      <c r="F192" t="s">
        <v>3160</v>
      </c>
      <c r="G192" t="s">
        <v>2750</v>
      </c>
      <c r="H192">
        <f ca="1">INDEX(技能数据库!$B$2:$I$100,MATCH(阵眼收益计算!$E192,技能数据库!$B$2:$B$100,0),MATCH(H$9,技能数据库!$B$2:$I$2,0))</f>
        <v>1344706</v>
      </c>
      <c r="I192">
        <f ca="1">INDEX(技能数据库!$B$2:$I$100,MATCH(阵眼收益计算!$E192,技能数据库!$B$2:$B$100,0),MATCH(I$9,技能数据库!$B$2:$I$2,0))</f>
        <v>0</v>
      </c>
      <c r="J192">
        <f ca="1">INDEX(技能数据库!$B$2:$I$100,MATCH(阵眼收益计算!$E192,技能数据库!$B$2:$B$100,0),MATCH(J$9,技能数据库!$B$2:$I$2,0))</f>
        <v>0</v>
      </c>
      <c r="K192">
        <f ca="1">INDEX(技能数据库!$B$2:$I$100,MATCH(阵眼收益计算!$E192,技能数据库!$B$2:$B$100,0),MATCH(K$9,技能数据库!$B$2:$I$2,0))</f>
        <v>0</v>
      </c>
      <c r="L192">
        <f ca="1" t="shared" si="387"/>
        <v>105847</v>
      </c>
      <c r="M192">
        <f ca="1" t="shared" si="859"/>
        <v>19530.5</v>
      </c>
      <c r="N192">
        <f ca="1" t="shared" si="860"/>
        <v>92028</v>
      </c>
      <c r="O192">
        <f ca="1" t="shared" si="809"/>
        <v>1344706</v>
      </c>
      <c r="P192">
        <f ca="1">IF(G192="恒定伤害",0,(IF(D192="轻剑",$AZ$2,$AZ$3)+IFERROR(INDEX(技能数据库!$T$2:$W$27,MATCH(E192,技能数据库!$T$2:$T$27,0),4),0)+COUNTIF(G192,"*造化2*")*154+COUNTIF(G192,"*造化1*")*102+COUNTIF(G192,"*碧归*")*307)/1024)</f>
        <v>0.116321271929785</v>
      </c>
      <c r="Q192">
        <f ca="1" t="shared" si="854"/>
        <v>0.0415122129107408</v>
      </c>
      <c r="R192">
        <f ca="1" t="shared" si="810"/>
        <v>0.21277697966198</v>
      </c>
      <c r="S192">
        <f ca="1" t="shared" si="861"/>
        <v>1230775.0833238</v>
      </c>
      <c r="T192">
        <f t="shared" si="862"/>
        <v>0.8</v>
      </c>
      <c r="U192">
        <f ca="1" t="shared" si="855"/>
        <v>1.7800129648</v>
      </c>
      <c r="V192">
        <f ca="1" t="shared" si="863"/>
        <v>2737256.55071437</v>
      </c>
      <c r="W192">
        <f ca="1">IF(G192="恒定伤害",0,MIN(1,IF(COUNTIF(F192,"*内会*")&gt;0,内会2,IF(D192="轻剑",$Y$2,$Y$3)+COUNTIF(G192,"*莺鸣*")*0.2+COUNTIF(G192,"*叠1*")*0.1+COUNTIF(G192,"*叠2*")*0.2+COUNTIF(G192,"*叠3*")*0.3)+IFERROR(INDEX(技能数据库!$T$2:$W$27,MATCH(E192,技能数据库!$T$2:$T$27,0),2),0)+IF((IF(D192="轻剑",$AO$2,$AO$3)+INT(COUNTIF(G192,"*大莺鸣*")*IF(D192="轻剑",$AM$2,$AM$3)*听晓无双率)/无双系数)&gt;0.9,特效裤子会心/会心系数,0)))</f>
        <v>0.0826138197194782</v>
      </c>
      <c r="X192">
        <f ca="1">IF(G192="恒定伤害",0,IF(COUNTIF(F192,"*内会*")&gt;0,内会效2,IF(D192="轻剑",$AB$2,$AB$3))+IFERROR(INDEX(技能数据库!$T$2:$W$27,MATCH(E192,技能数据库!$T$2:$T$27,0),3)/1024,0))+COUNTIF(G192,"*叠1*")*0.25+COUNTIF(G192,"*叠2*")*0.5+COUNTIF(G192,"*叠3*")*0.75</f>
        <v>1.79000318487951</v>
      </c>
      <c r="Y192">
        <f ca="1" t="shared" si="864"/>
        <v>1.06526518069345</v>
      </c>
      <c r="Z192">
        <f t="shared" si="814"/>
        <v>0.150390625</v>
      </c>
      <c r="AA192">
        <f ca="1" t="shared" si="865"/>
        <v>0.0205078125</v>
      </c>
      <c r="AB192">
        <f ca="1" t="shared" si="866"/>
        <v>3423220.72875915</v>
      </c>
      <c r="AC192">
        <f ca="1">技能数计算!$AJ184</f>
        <v>0</v>
      </c>
      <c r="AD192" s="164">
        <f ca="1" t="shared" si="817"/>
        <v>0</v>
      </c>
      <c r="AE192" s="168"/>
      <c r="AF192" s="168">
        <f ca="1" t="shared" ref="AF192" si="867">W192+IF(COUNTIF(F192,"*内会*")&gt;0,0,IF(D192="轻剑",$AF$8-$Y$2,$AF$9-$Y$3))</f>
        <v>0.0826138197194782</v>
      </c>
      <c r="AG192">
        <f ca="1">技能数计算!$AJ184</f>
        <v>0</v>
      </c>
      <c r="AH192">
        <f ca="1" t="shared" si="389"/>
        <v>109879</v>
      </c>
      <c r="AJ192">
        <f ca="1" t="shared" ref="AJ192" si="868">X192+IF(COUNTIF(F192,"*内会*")&gt;0,0,IF(D192="轻剑",$AJ$8-$AB$2,$AJ$9-$AB$3))</f>
        <v>1.79000318487951</v>
      </c>
      <c r="AK192">
        <f ca="1" t="shared" si="820"/>
        <v>1344706</v>
      </c>
      <c r="AL192">
        <f ca="1" t="shared" si="661"/>
        <v>3423220.72875915</v>
      </c>
      <c r="AM192" s="169">
        <f ca="1" t="shared" ref="AM192" si="869">W192+IF(COUNTIF(F192,"*内会*")&gt;0,0,IF(D192="轻剑",$AN$8-$Y$2,$AN$9-$Y$3))</f>
        <v>0.0826138197194782</v>
      </c>
      <c r="AN192">
        <f ca="1">技能数计算!$AJ184</f>
        <v>0</v>
      </c>
      <c r="AO192" s="170">
        <f ca="1" t="shared" si="662"/>
        <v>3423220.72875915</v>
      </c>
      <c r="AP192">
        <f ca="1" t="shared" si="394"/>
        <v>110956</v>
      </c>
      <c r="AQ192" s="170">
        <f ca="1" t="shared" si="822"/>
        <v>1344706</v>
      </c>
      <c r="AR192">
        <f ca="1" t="shared" si="823"/>
        <v>3423220.72875915</v>
      </c>
      <c r="AS192">
        <f ca="1" t="shared" ref="AS192" si="870">W192+IF(COUNTIF(F192,"*内会*")&gt;0,0,IF(D192="轻剑",$AS$8-$Y$2,$AS$9-$Y$3))</f>
        <v>0.0826138197194782</v>
      </c>
      <c r="AT192">
        <f ca="1">技能数计算!$AJ184</f>
        <v>0</v>
      </c>
      <c r="AU192">
        <f ca="1" t="shared" ref="AU192" si="871">X192+IF(COUNTIF(F192,"*内会*")&gt;0,0,IF(D192="轻剑",$AU$8-$AB$2,$AU$9-$AB$3))</f>
        <v>1.79000318487951</v>
      </c>
      <c r="AV192">
        <f ca="1" t="shared" si="856"/>
        <v>1.7995442148</v>
      </c>
      <c r="AW192">
        <f ca="1" t="shared" si="826"/>
        <v>3447270.89712353</v>
      </c>
      <c r="AX192">
        <f ca="1" t="shared" ref="AX192" si="872">$W192+IF(COUNTIF(F192,"*内会*")&gt;0,0,IF(I192="轻剑",AX$8-$Y$2,AX$9-$Y$3))</f>
        <v>0.0826138197194782</v>
      </c>
      <c r="AY192">
        <f ca="1">技能数计算!$AJ184</f>
        <v>0</v>
      </c>
      <c r="AZ192" s="170">
        <f ca="1" t="shared" si="828"/>
        <v>3447270.89712353</v>
      </c>
      <c r="BA192">
        <f ca="1" t="shared" ref="BA192" si="873">$W192+IF(COUNTIF(F192,"*内会*")&gt;0,0,IF(L192="轻剑",BA$8-$Y$2,BA$9-$Y$3))</f>
        <v>0.0826138197194782</v>
      </c>
      <c r="BB192">
        <f ca="1">技能数计算!$AJ184</f>
        <v>0</v>
      </c>
      <c r="BC192" s="170">
        <f ca="1" t="shared" si="830"/>
        <v>3447270.89712353</v>
      </c>
      <c r="BE192">
        <f ca="1" t="shared" si="400"/>
        <v>105849</v>
      </c>
      <c r="BF192">
        <f ca="1" t="shared" si="831"/>
        <v>1344706</v>
      </c>
      <c r="BI192">
        <f ca="1" t="shared" ref="BI192" si="874">$W192+IF(COUNTIF(F192,"*内会*")&gt;0,0,IF(T192="轻剑",BI$8-$Y$2,BI$9-$Y$3))</f>
        <v>0.0826138197194782</v>
      </c>
      <c r="BJ192">
        <f ca="1">技能数计算!$AJ184</f>
        <v>0</v>
      </c>
      <c r="BK192">
        <f ca="1" t="shared" si="663"/>
        <v>3447270.89712353</v>
      </c>
      <c r="BM192">
        <f ca="1" t="shared" si="403"/>
        <v>109230</v>
      </c>
      <c r="BN192">
        <f ca="1" t="shared" si="833"/>
        <v>1344706</v>
      </c>
      <c r="BO192">
        <f ca="1" t="shared" si="834"/>
        <v>3423220.72875915</v>
      </c>
      <c r="BP192">
        <f ca="1" t="shared" si="857"/>
        <v>3423220.72875915</v>
      </c>
      <c r="BR192">
        <f ca="1" t="shared" ref="BR192" si="875">$W192+IF(T192="轻剑",BI$8-$Y$2,BI$9-$Y$3)</f>
        <v>0.132613819719478</v>
      </c>
      <c r="BS192">
        <f ca="1" t="shared" si="664"/>
        <v>3575096.11084624</v>
      </c>
      <c r="BT192">
        <f ca="1" t="shared" si="836"/>
        <v>0.196995876306796</v>
      </c>
      <c r="BU192">
        <f ca="1" t="shared" ref="BU192" si="876">X192+IF(D192="轻剑",$AU$8-$AB$2,$AU$9-$AB$3)</f>
        <v>1.93648755987951</v>
      </c>
      <c r="BV192">
        <f ca="1" t="shared" si="838"/>
        <v>3684998.7080997</v>
      </c>
      <c r="BW192">
        <f ca="1" t="shared" si="408"/>
        <v>113027</v>
      </c>
      <c r="BX192">
        <f ca="1" t="shared" si="839"/>
        <v>1344706</v>
      </c>
      <c r="BY192">
        <f ca="1" t="shared" ref="BY192" si="877">$W192+IF(COUNTIF(F192,"*内会*")&gt;0,0,IF(AI192="轻剑",BY$8-$Y$2,BY$9-$Y$3))</f>
        <v>0.0826138197194782</v>
      </c>
      <c r="BZ192">
        <f ca="1">技能数计算!$AJ184</f>
        <v>0</v>
      </c>
      <c r="CA192">
        <f ca="1" t="shared" ref="CA192" si="878">X192+IF(COUNTIF(F192,"*内会*")&gt;0,0,IF(D192="轻剑",$CA$8-$AB$2,$CA$9-$AB$3))</f>
        <v>1.79000318487951</v>
      </c>
      <c r="CB192">
        <f ca="1" t="shared" si="842"/>
        <v>3423220.72875915</v>
      </c>
      <c r="CC192">
        <f ca="1" t="shared" si="411"/>
        <v>114847</v>
      </c>
      <c r="CD192">
        <f ca="1" t="shared" si="843"/>
        <v>1344706</v>
      </c>
      <c r="CE192">
        <f ca="1" t="shared" si="665"/>
        <v>3423220.72875915</v>
      </c>
      <c r="CF192">
        <f ca="1" t="shared" ref="CF192" si="879">X192+IF(COUNTIF(F192,"*内会*")&gt;0,0,IF(D192="轻剑",$CF$8-$AB$2,$CF$9-$AB$3))</f>
        <v>1.79000318487951</v>
      </c>
      <c r="CG192">
        <f ca="1" t="shared" ref="CG192" si="880">$W192+IF(AI192="轻剑",BY$8-$Y$2,BY$9-$Y$3)</f>
        <v>0.112613819719478</v>
      </c>
      <c r="CH192">
        <f ca="1" t="shared" si="846"/>
        <v>3447270.89712353</v>
      </c>
      <c r="CJ192">
        <f ca="1" t="shared" si="847"/>
        <v>1344706</v>
      </c>
      <c r="CK192">
        <f ca="1" t="shared" si="848"/>
        <v>3423220.72875915</v>
      </c>
      <c r="CL192">
        <f ca="1" t="shared" si="849"/>
        <v>1.91031568487951</v>
      </c>
      <c r="CM192">
        <f ca="1">IF(G192="恒定伤害",0,(IF(D192="轻剑",$CM$8,$CM$9)+IFERROR(INDEX(技能数据库!$T$2:$W$27,MATCH(E192,技能数据库!$T$2:$T$27,0),4),0)+COUNTIF(G192,"*造化2*")*154+COUNTIF(G192,"*造化1*")*102+COUNTIF(G192,"*碧归*")*307)/1024)</f>
        <v>0.176868146929785</v>
      </c>
      <c r="CN192">
        <f ca="1" t="shared" si="850"/>
        <v>3761321.45933815</v>
      </c>
      <c r="CO192">
        <f ca="1" t="shared" si="851"/>
        <v>1.93437818487951</v>
      </c>
      <c r="CP192">
        <f ca="1" t="shared" si="852"/>
        <v>3770566.07212429</v>
      </c>
      <c r="CQ192">
        <f ca="1" t="shared" si="858"/>
        <v>1.8815754648</v>
      </c>
      <c r="CR192">
        <f ca="1">IF(G192="恒定伤害",0,(IF(D192="轻剑",$CR$8,$CR$9)+IFERROR(INDEX(技能数据库!$T$2:$W$27,MATCH(E192,技能数据库!$T$2:$T$27,0),4),0)+COUNTIF(G192,"*造化2*")*154+COUNTIF(G192,"*造化1*")*102+COUNTIF(G192,"*碧归*")*307)/1024)</f>
        <v>0.167102521929785</v>
      </c>
      <c r="CS192">
        <f ca="1" t="shared" si="853"/>
        <v>3709692.28390933</v>
      </c>
    </row>
    <row r="193" spans="4:97">
      <c r="D193" t="s">
        <v>1825</v>
      </c>
      <c r="E193" s="161" t="s">
        <v>2902</v>
      </c>
      <c r="G193" t="s">
        <v>3110</v>
      </c>
      <c r="H193">
        <f ca="1">INDEX(技能数据库!$B$2:$I$100,MATCH(阵眼收益计算!$E193,技能数据库!$B$2:$B$100,0),MATCH(H$9,技能数据库!$B$2:$I$2,0))</f>
        <v>317.5</v>
      </c>
      <c r="I193">
        <f ca="1">INDEX(技能数据库!$B$2:$I$100,MATCH(阵眼收益计算!$E193,技能数据库!$B$2:$B$100,0),MATCH(I$9,技能数据库!$B$2:$I$2,0))</f>
        <v>2.25</v>
      </c>
      <c r="J193">
        <f ca="1">INDEX(技能数据库!$B$2:$I$100,MATCH(阵眼收益计算!$E193,技能数据库!$B$2:$B$100,0),MATCH(J$9,技能数据库!$B$2:$I$2,0))</f>
        <v>1</v>
      </c>
      <c r="K193">
        <f ca="1">INDEX(技能数据库!$B$2:$I$100,MATCH(阵眼收益计算!$E193,技能数据库!$B$2:$B$100,0),MATCH(K$9,技能数据库!$B$2:$I$2,0))</f>
        <v>0</v>
      </c>
      <c r="L193">
        <f ca="1" t="shared" si="387"/>
        <v>105847</v>
      </c>
      <c r="M193">
        <f ca="1" t="shared" ref="M193:M196" si="881">IF(D193="轻剑",$AU$2+$AV$2,$AU$3+$AV$3)/2</f>
        <v>19530.5</v>
      </c>
      <c r="N193">
        <f ca="1" t="shared" ref="N193:N196" si="882">IF(D193="轻剑",$AJ$2,$AJ$3)</f>
        <v>92028</v>
      </c>
      <c r="O193">
        <f ca="1" t="shared" ref="O193:O210" si="883">H193+I193*L193+J193*M193+IF(K193&gt;0,MAX(1,K193*N193*破招全局系数),0)</f>
        <v>258003.75</v>
      </c>
      <c r="P193">
        <f ca="1">IF(G193="恒定伤害",0,(IF(D193="轻剑",$AZ$2,$AZ$3)+IFERROR(INDEX(技能数据库!$T$2:$W$27,MATCH(E193,技能数据库!$T$2:$T$27,0),4),0)+COUNTIF(G193,"*造化2*")*154+COUNTIF(G193,"*造化1*")*102+COUNTIF(G193,"*碧归*")*307)/1024)</f>
        <v>0.116321271929785</v>
      </c>
      <c r="Q193">
        <f ca="1" t="shared" ref="Q193:Q210" si="884">IF(G193="恒定伤害",0,(IF(COUNTIF(F193,"*内破*")&gt;0,内破,IF(D193="轻剑",$AF$2,$AF$3)/破防系数))+IF((IF(D193="轻剑",$AO$2,$AO$3)+INT(COUNTIF(G193,"*大莺鸣*")*IF(D193="轻剑",$AM$2,$AM$3)*听晓无双率)/无双系数)&gt;0.9,(特效裤子破防+特效裤子破防*IF(D193="轻剑",$AD$2,$AD$3)/1024)/破防系数,0))</f>
        <v>0.448284482196154</v>
      </c>
      <c r="R193">
        <f ca="1" t="shared" ref="R193:R210" si="885">IF(G193="恒定伤害",0,(($F$5-IF(D193="轻剑",$BB$2,$BB$3))*(1024-IF(D193="轻剑",$BD$2,$BD$3))/1024*(1024-IF(D193="轻剑",$BC$2,$BC$3)-COUNTIF(G193,"*雾锁*")*461*雾锁)/1024/(($F$5-IF(D193="轻剑",$BB$2,$BB$3))*(1024-IF(D193="轻剑",$BD$2,$BD$3))/1024*(1024-IF(D193="轻剑",$BC$2,$BC$3)-COUNTIF(G193,"*雾锁*")*461*雾锁)/1024+$F$7)))</f>
        <v>0.21277697966198</v>
      </c>
      <c r="S193">
        <f ca="1" t="shared" ref="S193:S196" si="886">O193*(1+P193)*(1+Q193)*(1-R193)</f>
        <v>328372.577328174</v>
      </c>
      <c r="T193">
        <f t="shared" si="862"/>
        <v>0.8</v>
      </c>
      <c r="U193">
        <f ca="1" t="shared" ref="U193:U210" si="887">IF(G193="恒定伤害",0,(IF(D193="轻剑",$AO$2,$AO$3)+INT(COUNTIF(G193,"*大莺鸣*")*IF(D193="轻剑",$AM$2,$AM$3)*听晓无双率)/无双系数)+IF((IF(D193="轻剑",$AO$2,$AO$3)+INT(COUNTIF(G193,"*大莺鸣*")*IF(D193="轻剑",$AM$2,$AM$3)*听晓无双率)/无双系数)&lt;=0.9,特效裤子无双,0))</f>
        <v>1.7800129648</v>
      </c>
      <c r="V193">
        <f ca="1" t="shared" ref="V193:V196" si="888">S193*T193*(1+U193)</f>
        <v>730304.017805692</v>
      </c>
      <c r="W193">
        <f ca="1">IF(G193="恒定伤害",0,MIN(1,IF(COUNTIF(F193,"*内会*")&gt;0,内会2,IF(D193="轻剑",$Y$2,$Y$3)+COUNTIF(G193,"*莺鸣*")*0.2+COUNTIF(G193,"*叠1*")*0.1+COUNTIF(G193,"*叠2*")*0.2+COUNTIF(G193,"*叠3*")*0.3)+IFERROR(INDEX(技能数据库!$T$2:$W$27,MATCH(E193,技能数据库!$T$2:$T$27,0),2),0)+IF((IF(D193="轻剑",$AO$2,$AO$3)+INT(COUNTIF(G193,"*大莺鸣*")*IF(D193="轻剑",$AM$2,$AM$3)*听晓无双率)/无双系数)&gt;0.9,特效裤子会心/会心系数,0)))</f>
        <v>1</v>
      </c>
      <c r="X193">
        <f ca="1">IF(G193="恒定伤害",0,IF(COUNTIF(F193,"*内会*")&gt;0,内会效2,IF(D193="轻剑",$AB$2,$AB$3))+IFERROR(INDEX(技能数据库!$T$2:$W$27,MATCH(E193,技能数据库!$T$2:$T$27,0),3)/1024,0))+COUNTIF(G193,"*叠1*")*0.25+COUNTIF(G193,"*叠2*")*0.5+COUNTIF(G193,"*叠3*")*0.75</f>
        <v>2.9212723116</v>
      </c>
      <c r="Y193">
        <f ca="1" t="shared" ref="Y193:Y196" si="889">1+W193*(X193-1)</f>
        <v>2.9212723116</v>
      </c>
      <c r="Z193">
        <f t="shared" ref="Z193:Z210" si="890">IF(G193="恒定伤害",0,非侠士伤害/1024)</f>
        <v>0.150390625</v>
      </c>
      <c r="AA193">
        <f ca="1" t="shared" ref="AA193:AA196" si="891">IF(D193="轻剑",$BA$2,$BA$3)/1024</f>
        <v>0.0205078125</v>
      </c>
      <c r="AB193">
        <f ca="1" t="shared" ref="AB193:AB196" si="892">V193*Y193*(1+Z193)*(1+AA193)</f>
        <v>2504594.36968089</v>
      </c>
      <c r="AC193">
        <f ca="1">技能数计算!$AJ185</f>
        <v>23</v>
      </c>
      <c r="AD193" s="164">
        <f ca="1" t="shared" ref="AD193:AD210" si="893">IFERROR(AB193*AC193/$AD$7,0)</f>
        <v>0.0206524562610994</v>
      </c>
      <c r="AE193" s="168"/>
      <c r="AF193" s="168">
        <f ca="1" t="shared" ref="AF193:AF197" si="894">W193+IF(COUNTIF(F193,"*内会*")&gt;0,0,IF(D193="轻剑",$AF$8-$Y$2,$AF$9-$Y$3))</f>
        <v>1.0014</v>
      </c>
      <c r="AG193">
        <f ca="1">技能数计算!$AJ185</f>
        <v>23</v>
      </c>
      <c r="AH193">
        <f ca="1" t="shared" si="389"/>
        <v>109879</v>
      </c>
      <c r="AJ193">
        <f ca="1" t="shared" ref="AJ193:AJ197" si="895">X193+IF(COUNTIF(F193,"*内会*")&gt;0,0,IF(D193="轻剑",$AJ$8-$AB$2,$AJ$9-$AB$3))</f>
        <v>3.1204910616</v>
      </c>
      <c r="AK193">
        <f ca="1" t="shared" ref="AK193:AK210" si="896">H193+AH193*I193+J193*(238.5+M193)+IF(K193&gt;0,MAX(1,K193*N193*破招全局系数),0)</f>
        <v>267314.25</v>
      </c>
      <c r="AL193">
        <f ca="1" t="shared" ref="AL193:AL210" si="897">IF(COUNTIF(G193,"*恒定伤害*")&gt;0,AB193,((AK193*(1+P193)*(1+IF(COUNTIF(F193,"*内破*")&gt;0,内破,IF(D193="轻剑",$AI$8,$AI$9)/破防系数)+IF((IF(D193="轻剑",$AO$2,$AO$3)+INT(COUNTIF(G193,"*大莺鸣*")*IF(D193="轻剑",$AM$2,$AM$3)*听晓无双率)/无双系数)&gt;0.9,(特效裤子破防+特效裤子破防*IF(D193="轻剑",$AD$2,$AD$3)/1024)/破防系数,0))*(1-R193))*T193*(1+U193))*(1+Z193)*(1+AA193)*(1+MIN(1,AF193)*(MIN(3+COUNTIF(G193,"*叠*")*0.75,AJ193)-1)))</f>
        <v>2772705.95674004</v>
      </c>
      <c r="AM193" s="169">
        <f ca="1" t="shared" ref="AM193:AM197" si="898">W193+IF(COUNTIF(F193,"*内会*")&gt;0,0,IF(D193="轻剑",$AN$8-$Y$2,$AN$9-$Y$3))</f>
        <v>1.0229</v>
      </c>
      <c r="AN193">
        <f ca="1">技能数计算!$AJ185</f>
        <v>23</v>
      </c>
      <c r="AO193" s="170">
        <f ca="1" t="shared" ref="AO193:AO210" si="899">IF(COUNTIF(G193,"*恒定伤害*")&gt;0,AB193,((AK193*(1+P193)*(1+IF(COUNTIF(F193,"*内破*")&gt;0,内破,IF(D193="轻剑",$AI$8,$AI$9)/破防系数)+IF((IF(D193="轻剑",$AO$2,$AO$3)+INT(COUNTIF(G193,"*大莺鸣*")*IF(D193="轻剑",$AM$2,$AM$3)*听晓无双率)/无双系数)&gt;0.9,(特效裤子破防+特效裤子破防*IF(D193="轻剑",$AD$2,$AD$3)/1024)/破防系数,0))*(1-R193))*T193*(1+U193))*(1+Z193)*(1+AA193)*(1+MIN(1,AM193)*(MIN(3+COUNTIF(G193,"*叠*")*0.75,AJ193)-1)))</f>
        <v>2772705.95674004</v>
      </c>
      <c r="AP193">
        <f ca="1" t="shared" si="394"/>
        <v>110956</v>
      </c>
      <c r="AQ193" s="170">
        <f ca="1" t="shared" ref="AQ193:AQ210" si="900">H193+AP193*I193+J193*M193+IF(K193&gt;0,MAX(1,K193*N193*破招全局系数),0)</f>
        <v>269499</v>
      </c>
      <c r="AR193">
        <f ca="1" t="shared" ref="AR193:AR210" si="901">IF(COUNTIF(G193,"*恒定伤害*")&gt;0,AB193,((AQ193*(1+P193)*(1+IF(COUNTIF(F193,"*内破*")&gt;0,内破,IF(D193="轻剑",$AQ$8,$AQ$9)/破防系数)+IF((IF(D193="轻剑",$AO$2,$AO$3)+INT(COUNTIF(G193,"*大莺鸣*")*IF(D193="轻剑",$AM$2,$AM$3)*听晓无双率)/无双系数)&gt;0.9,(特效裤子破防+特效裤子破防*IF(D193="轻剑",$AD$2+200,$AD$3+200)/1024)/破防系数,0))*(1-R193))*T193*(1+U193))*Y193*(1+Z193)*(1+AA193))</f>
        <v>2769670.66628936</v>
      </c>
      <c r="AS193">
        <f ca="1" t="shared" ref="AS193:AS197" si="902">W193+IF(COUNTIF(F193,"*内会*")&gt;0,0,IF(D193="轻剑",$AS$8-$Y$2,$AS$9-$Y$3))</f>
        <v>1.08</v>
      </c>
      <c r="AT193">
        <f ca="1">技能数计算!$AJ185</f>
        <v>23</v>
      </c>
      <c r="AU193">
        <f ca="1" t="shared" ref="AU193:AU197" si="903">X193+IF(COUNTIF(F193,"*内会*")&gt;0,0,IF(D193="轻剑",$AU$8-$AB$2,$AU$9-$AB$3))</f>
        <v>3.0677566866</v>
      </c>
      <c r="AV193">
        <f ca="1" t="shared" ref="AV193:AV210" si="904">IF(G193="恒定伤害",0,(IF(D193="轻剑",$AV$8,$AV$9)+INT(COUNTIF(G193,"*大莺鸣*")*IF(D193="轻剑",$AM$2,$AM$3)*听晓无双率)/无双系数))+IF((IF(G193="恒定伤害",0,(IF(D193="轻剑",$AV$8,$AV$9)+INT(COUNTIF(G193,"*大莺鸣*")*IF(D193="轻剑",$AM$2,$AM$3)*听晓无双率)/无双系数)))&lt;=0.9,特效裤子无双,0)</f>
        <v>1.7995442148</v>
      </c>
      <c r="AW193">
        <f ca="1" t="shared" ref="AW193:AW210" si="905">IF(COUNTIF(G193,"*恒定伤害*")&gt;0,AB193,((O193*(1+P193)*(1+Q193)*(1-R193))*T193*(1+AV193))*(1+MIN(1,AS193)*(MIN(3+COUNTIF(G193,"*叠*")*0.75,AU193)-1))*(1+Z193)*(1+AA193))</f>
        <v>2648663.45020026</v>
      </c>
      <c r="AX193">
        <f ca="1" t="shared" ref="AX193:AX197" si="906">$W193+IF(COUNTIF(F193,"*内会*")&gt;0,0,IF(I193="轻剑",AX$8-$Y$2,AX$9-$Y$3))</f>
        <v>1.07</v>
      </c>
      <c r="AY193">
        <f ca="1">技能数计算!$AJ185</f>
        <v>23</v>
      </c>
      <c r="AZ193" s="170">
        <f ca="1" t="shared" ref="AZ193:AZ210" si="907">IF(COUNTIF(G193,"*恒定伤害*")&gt;0,AB193,((O193*(1+P193)*(1+Q193)*(1-R193))*T193*(1+AV193))*(1+MIN(1,AX193)*(MIN(3+COUNTIF(G193,"*叠*")*0.75,AU193)-1))*(1+Z193)*(1+AA193))</f>
        <v>2648663.45020026</v>
      </c>
      <c r="BA193">
        <f ca="1" t="shared" ref="BA193:BA197" si="908">$W193+IF(COUNTIF(F193,"*内会*")&gt;0,0,IF(L193="轻剑",BA$8-$Y$2,BA$9-$Y$3))</f>
        <v>1.06</v>
      </c>
      <c r="BB193">
        <f ca="1">技能数计算!$AJ185</f>
        <v>23</v>
      </c>
      <c r="BC193" s="170">
        <f ca="1" t="shared" ref="BC193:BC210" si="909">IF(COUNTIF(G193,"*恒定伤害*")&gt;0,AB193,((O193*(1+P193)*(1+Q193)*(1-R193))*T193*(1+AV193))*(1+MIN(1,BA193)*(MIN(3+COUNTIF(G193,"*叠*")*0.75,AU193)-1))*(1+Z193)*(1+AA193))</f>
        <v>2648663.45020026</v>
      </c>
      <c r="BE193">
        <f ca="1" t="shared" si="400"/>
        <v>105849</v>
      </c>
      <c r="BF193">
        <f ca="1" t="shared" ref="BF193:BF210" si="910">H193+BE193*I193+J193*M193+IF(K193&gt;0,MAX(1,K193*N193*破招全局系数),0)</f>
        <v>258008.25</v>
      </c>
      <c r="BI193">
        <f ca="1" t="shared" ref="BI193:BI197" si="911">$W193+IF(COUNTIF(F193,"*内会*")&gt;0,0,IF(T193="轻剑",BI$8-$Y$2,BI$9-$Y$3))</f>
        <v>1.05</v>
      </c>
      <c r="BJ193">
        <f ca="1">技能数计算!$AJ185</f>
        <v>23</v>
      </c>
      <c r="BK193">
        <f ca="1" t="shared" ref="BK193:BK210" si="912">IF(COUNTIF(G193,"*恒定伤害*")&gt;0,AB193,((BF193*(1+P193)*(1+IF(COUNTIF(F193,"*内破*")&gt;0,内破,IF(D193="轻剑",$BH$8,$BH$9)/破防系数)+IF((IF(D193="轻剑",$AO$2,$AO$3)+INT(COUNTIF(G193,"*大莺鸣*")*IF(D193="轻剑",$AM$2,$AM$3)*听晓无双率)/无双系数)&gt;0.9,(特效裤子破防+特效裤子破防*IF(D193="轻剑",$AD$2+204,$AD$3+204)/1024)/破防系数,0))*(1-R193))*T193*(1+AV193))*(1+MIN(1,BI193)*(MIN(3+COUNTIF(G193,"*叠*")*0.75,X193)-1))*(1+Z193)*(1+AA193))</f>
        <v>2673190.63923397</v>
      </c>
      <c r="BM193">
        <f ca="1" t="shared" si="403"/>
        <v>109230</v>
      </c>
      <c r="BN193">
        <f ca="1" t="shared" ref="BN193:BN210" si="913">H193+BM193*I193+J193*M193+IF(K193&gt;0,MAX(1,K193*N193*破招全局系数),0)</f>
        <v>265615.5</v>
      </c>
      <c r="BO193">
        <f ca="1" t="shared" ref="BO193:BO210" si="914">IF(COUNTIF(G193,"*恒定伤害*")&gt;0,AB193,((BN193*(1+P193)*(1+IF(COUNTIF(F193,"*内破*")&gt;0,内破,IF(D193="轻剑",$BM$8,$BM$9)/破防系数)+IF((IF(D193="轻剑",$AO$2,$AO$3)+INT(COUNTIF(G193,"*大莺鸣*")*IF(D193="轻剑",$AM$2,$AM$3)*听晓无双率)/无双系数)&gt;0.9,(特效裤子破防+特效裤子破防*IF(D193="轻剑",$AD$2+102,$AD$3+102)/1024)/破防系数,0))*(1-R193))*T193*(1+U193))*Y193*(1+Z193)*(1+AA193))</f>
        <v>2784725.04473931</v>
      </c>
      <c r="BP193">
        <f ca="1" t="shared" ref="BP193:BP210" si="915">IF(COUNTIF(G193,"*恒定伤害*")&gt;0,AB193,((BN193*(1+P193)*(1+IF(COUNTIF(F193,"*内破*")&gt;0,内破,IF(D193="轻剑",$BQ$8,$BQ$9)/破防系数)+IF((IF(D193="轻剑",$AO$2,$AO$3)+INT(COUNTIF(G193,"*大莺鸣*")*IF(D193="轻剑",$AM$2,$AM$3)*听晓无双率)/无双系数)&gt;0.9,(特效裤子破防+特效裤子破防*IF(D193="轻剑",$AD$2+102,$AD$3+102)/1024)/破防系数,0))*(1-R193))*T193*(1+U193))*Y193*(1+Z193)*(1+AA193))</f>
        <v>2655631.68463978</v>
      </c>
      <c r="BR193">
        <f ca="1" t="shared" ref="BR193:BR197" si="916">$W193+IF(T193="轻剑",BI$8-$Y$2,BI$9-$Y$3)</f>
        <v>1.05</v>
      </c>
      <c r="BS193">
        <f ca="1" t="shared" ref="BS193:BS210" si="917">IF(COUNTIF(G193,"*恒定伤害*")&gt;0,AB193,((BN193*(1+P193)*(1+IF(COUNTIF(F193,"*内破*")&gt;0,内破,IF(D193="轻剑",$BQ$8,$BQ$9)/破防系数)+IF((IF(D193="轻剑",$AO$2,$AO$3)+INT(COUNTIF(G193,"*大莺鸣*")*IF(D193="轻剑",$AM$2,$AM$3)*听晓无双率)/无双系数)&gt;0.9,(特效裤子破防+特效裤子破防*IF(D193="轻剑",$AD$2+102,$AD$3+102)/1024)/破防系数,0))*(1-R193))*T193*(1+AV193))*(1+MIN(1,BR193)*(MIN(3+COUNTIF(G193,"*叠*")*0.75,X193)-1))*(1+Z193)*(1+AA193))</f>
        <v>2674289.08192439</v>
      </c>
      <c r="BT193">
        <f ca="1" t="shared" ref="BT193:BT210" si="918">IF(G193="恒定伤害",0,(($F$5-IF(D193="轻剑",$BB$2,$BB$3))*(1024-IF(D193="轻剑",$BD$2,$BD$3))/1024*(1024-IF(D193="轻剑",$BT$8,$BT$9)-COUNTIF(G193,"*雾锁*")*461*雾锁)/1024/(($F$5-IF(D193="轻剑",$BB$2,$BB$3))*(1024-IF(D193="轻剑",$BD$2,$BD$3))/1024*(1024-IF(D193="轻剑",$BT$8,$BT$9)-COUNTIF(G193,"*雾锁*")*461*雾锁)/1024+$F$7)))</f>
        <v>0.196995876306796</v>
      </c>
      <c r="BU193">
        <f ca="1" t="shared" ref="BU193:BU197" si="919">X193+IF(D193="轻剑",$AU$8-$AB$2,$AU$9-$AB$3)</f>
        <v>3.0677566866</v>
      </c>
      <c r="BV193">
        <f ca="1" t="shared" ref="BV193:BV210" si="920">IF(COUNTIF(G193,"*恒定伤害*")&gt;0,AB193,((O193*(1+P193)*(1+Q193)*(1-BT193))*T193*(1+U193))*(1+MIN(1,BR193)*(MIN(3+COUNTIF(G193,"*叠*")*0.75,BU193)-1))*(1+Z193)*(1+AA193))</f>
        <v>2682910.95635915</v>
      </c>
      <c r="BW193">
        <f ca="1" t="shared" si="408"/>
        <v>113027</v>
      </c>
      <c r="BX193">
        <f ca="1" t="shared" ref="BX193:BX210" si="921">H193+BW193*I193+J193*M193+IF(K193&gt;0,MAX(1,K193*N193*破招全局系数),0)</f>
        <v>274158.75</v>
      </c>
      <c r="BY193">
        <f ca="1" t="shared" ref="BY193:BY197" si="922">$W193+IF(COUNTIF(F193,"*内会*")&gt;0,0,IF(AI193="轻剑",BY$8-$Y$2,BY$9-$Y$3))</f>
        <v>1.03</v>
      </c>
      <c r="BZ193">
        <f ca="1">技能数计算!$AJ185</f>
        <v>23</v>
      </c>
      <c r="CA193">
        <f ca="1" t="shared" ref="CA193:CA197" si="923">X193+IF(COUNTIF(F193,"*内会*")&gt;0,0,IF(D193="轻剑",$CA$8-$AB$2,$CA$9-$AB$3))</f>
        <v>3.0716629366</v>
      </c>
      <c r="CB193">
        <f ca="1" t="shared" ref="CB193:CB210" si="924">IF(COUNTIF(G193,"*恒定伤害*")&gt;0,AB193,((BX193*(1+P193)*(1+Q193)*(1-R193))*T193*(1+U193))*(1+MIN(1,BY193)*(MIN(3+COUNTIF(G193,"*叠*")*0.75,CA193)-1))*(1+Z193)*(1+AA193))</f>
        <v>2798433.60876825</v>
      </c>
      <c r="CC193">
        <f ca="1" t="shared" si="411"/>
        <v>114847</v>
      </c>
      <c r="CD193">
        <f ca="1" t="shared" ref="CD193:CD210" si="925">H193+CC193*I193+J193*M193+IF(K193&gt;0,MAX(1,K193*N193*破招全局系数),0)</f>
        <v>278253.75</v>
      </c>
      <c r="CE193">
        <f ca="1" t="shared" ref="CE193:CE210" si="926">IF(COUNTIF(G193,"*恒定伤害*")&gt;0,AB193,((CD193*(1+P193)*(1+IF(COUNTIF(F193,"*内破*")&gt;0,内破,IF(D193="轻剑",$BQ$8,$BQ$9)/破防系数)+IF((IF(D193="轻剑",$AO$2,$AO$3)+INT(COUNTIF(G193,"*大莺鸣*")*IF(D193="轻剑",$AM$2,$AM$3)*听晓无双率)/无双系数)&gt;0.9,(特效裤子破防+特效裤子破防*IF(D193="轻剑",$AD$2+102,$AD$3+102)/1024)/破防系数,0))*(1-R193))*T193*(1+U193))*(1+MIN(1,BY193)*(MIN(3+COUNTIF(G193,"*叠*")*0.75,X193)-1))*(1+Z193)*(1+AA193))</f>
        <v>2781989.28477381</v>
      </c>
      <c r="CF193">
        <f ca="1" t="shared" ref="CF193:CF197" si="927">X193+IF(COUNTIF(F193,"*内会*")&gt;0,0,IF(D193="轻剑",$CF$8-$AB$2,$CF$9-$AB$3))</f>
        <v>3.0189285616</v>
      </c>
      <c r="CG193">
        <f ca="1" t="shared" ref="CG193:CG197" si="928">$W193+IF(AI193="轻剑",BY$8-$Y$2,BY$9-$Y$3)</f>
        <v>1.03</v>
      </c>
      <c r="CH193">
        <f ca="1" t="shared" ref="CH193:CH210" si="929">IF(COUNTIF(G193,"*恒定伤害*")&gt;0,AB193,((O193*(1+P193)*(1+Q193)*(1-R193))*T193*(1+AV193))*(1+MIN(1,BY193)*(MIN(3+COUNTIF(G193,"*叠*")*0.75,CF193)-1))*(1+Z193)*(1+AA193))</f>
        <v>2606505.84669988</v>
      </c>
      <c r="CJ193">
        <f ca="1" t="shared" ref="CJ193:CJ210" si="930">H193+BM193*I193+J193*M193+IF(K193&gt;0,MAX(1,K193*(N193+2667)*破招全局系数),0)</f>
        <v>265615.5</v>
      </c>
      <c r="CK193">
        <f ca="1" t="shared" ref="CK193:CK210" si="931">IF(COUNTIF(G193,"*恒定伤害*")&gt;0,AB193,((CJ193*(1+P193)*(1+IF(COUNTIF(F193,"*内破*")&gt;0,内破,IF(D193="轻剑",$CI$8,$CI$9)/破防系数)+IF((IF(D193="轻剑",$AO$2,$AO$3)+INT(COUNTIF(G193,"*大莺鸣*")*IF(D193="轻剑",$AM$2,$AM$3)*听晓无双率)/无双系数)&gt;0.9,(特效裤子破防+特效裤子破防*IF(D193="轻剑",$AD$2+256,$AD$3+256)/1024)/破防系数,0))*(1-R193))*T193*(1+U193))*Y193*(1+Z193)*(1+AA193))</f>
        <v>2772110.39205869</v>
      </c>
      <c r="CL193">
        <f ca="1" t="shared" ref="CL193:CL210" si="932">X193+IF(D193="轻剑",$CL$8-$AB$2,$CL$9-$AB$3)</f>
        <v>3.0415848116</v>
      </c>
      <c r="CM193">
        <f ca="1">IF(G193="恒定伤害",0,(IF(D193="轻剑",$CM$8,$CM$9)+IFERROR(INDEX(技能数据库!$T$2:$W$27,MATCH(E193,技能数据库!$T$2:$T$27,0),4),0)+COUNTIF(G193,"*造化2*")*154+COUNTIF(G193,"*造化1*")*102+COUNTIF(G193,"*碧归*")*307)/1024)</f>
        <v>0.176868146929785</v>
      </c>
      <c r="CN193">
        <f ca="1" t="shared" ref="CN193:CN210" si="933">IF(COUNTIF(G193,"*恒定伤害*")&gt;0,AB193,((O193*(1+CM193)*(1+Q193)*(1-R193))*T193*(1+AV193))*(1+MIN(1,CG193)*(MIN(3+COUNTIF(G193,"*叠*")*0.75,CL193)-1))*(1+Z193)*(1+AA193))</f>
        <v>2768499.22326966</v>
      </c>
      <c r="CO193">
        <f ca="1" t="shared" ref="CO193:CO210" si="934">X193+IF(D193="轻剑",$CO$8-$AB$2,$CO$9-$AB$3)</f>
        <v>3.0656473116</v>
      </c>
      <c r="CP193">
        <f ca="1" t="shared" ref="CP193:CP210" si="935">IF(COUNTIF(G193,"*恒定伤害*")&gt;0,AB193,((O193*(1+CM193)*(1+Q193)*(1-R193))*T193*(1+AV193))*(1+MIN(1,CG193)*(MIN(3+COUNTIF(G193,"*叠*")*0.75,CO193)-1))*(1+Z193)*(1+AA193))</f>
        <v>2790401.29626327</v>
      </c>
      <c r="CQ193">
        <f ca="1" t="shared" ref="CQ193:CQ210" si="936">IF(G193="恒定伤害",0,(IF(D193="轻剑",$CQ$8,$CQ$9)+INT(COUNTIF(G193,"*大莺鸣*")*IF(D193="轻剑",$AM$2,$AM$3)*听晓无双率)/无双系数))+IF((IF(G193="恒定伤害",0,(IF(D193="轻剑",$CQ$8,$CQ$9)+INT(COUNTIF(G193,"*大莺鸣*")*IF(D193="轻剑",$AM$2,$AM$3)*听晓无双率)/无双系数)))&lt;=0.9,特效裤子无双,0)</f>
        <v>1.8815754648</v>
      </c>
      <c r="CR193">
        <f ca="1">IF(G193="恒定伤害",0,(IF(D193="轻剑",$CR$8,$CR$9)+IFERROR(INDEX(技能数据库!$T$2:$W$27,MATCH(E193,技能数据库!$T$2:$T$27,0),4),0)+COUNTIF(G193,"*造化2*")*154+COUNTIF(G193,"*造化1*")*102+COUNTIF(G193,"*碧归*")*307)/1024)</f>
        <v>0.167102521929785</v>
      </c>
      <c r="CS193">
        <f ca="1" t="shared" ref="CS193:CS210" si="937">IF(COUNTIF(G193,"*恒定伤害*")&gt;0,AB193,((O193*(1+CR193)*(1+Q193)*(1-R193))*T193*(1+CQ193))*Y193*(1+Z193)*(1+AA193))</f>
        <v>2714190.8581793</v>
      </c>
    </row>
    <row r="194" spans="4:97">
      <c r="D194" t="s">
        <v>1825</v>
      </c>
      <c r="E194" t="s">
        <v>2776</v>
      </c>
      <c r="G194" t="s">
        <v>3111</v>
      </c>
      <c r="H194">
        <f ca="1">INDEX(技能数据库!$B$2:$I$100,MATCH(阵眼收益计算!$E194,技能数据库!$B$2:$B$100,0),MATCH(H$9,技能数据库!$B$2:$I$2,0))</f>
        <v>281.5</v>
      </c>
      <c r="I194">
        <f ca="1">INDEX(技能数据库!$B$2:$I$100,MATCH(阵眼收益计算!$E194,技能数据库!$B$2:$B$100,0),MATCH(I$9,技能数据库!$B$2:$I$2,0))</f>
        <v>7.06875</v>
      </c>
      <c r="J194">
        <f ca="1">INDEX(技能数据库!$B$2:$I$100,MATCH(阵眼收益计算!$E194,技能数据库!$B$2:$B$100,0),MATCH(J$9,技能数据库!$B$2:$I$2,0))</f>
        <v>2</v>
      </c>
      <c r="K194">
        <f ca="1">INDEX(技能数据库!$B$2:$I$100,MATCH(阵眼收益计算!$E194,技能数据库!$B$2:$B$100,0),MATCH(K$9,技能数据库!$B$2:$I$2,0))</f>
        <v>0</v>
      </c>
      <c r="L194">
        <f ca="1" t="shared" si="387"/>
        <v>105847</v>
      </c>
      <c r="M194">
        <f ca="1" t="shared" si="881"/>
        <v>19530.5</v>
      </c>
      <c r="N194">
        <f ca="1" t="shared" si="882"/>
        <v>92028</v>
      </c>
      <c r="O194">
        <f ca="1" t="shared" si="883"/>
        <v>787548.48125</v>
      </c>
      <c r="P194">
        <f ca="1">IF(G194="恒定伤害",0,(IF(D194="轻剑",$AZ$2,$AZ$3)+IFERROR(INDEX(技能数据库!$T$2:$W$27,MATCH(E194,技能数据库!$T$2:$T$27,0),4),0)+COUNTIF(G194,"*造化2*")*154+COUNTIF(G194,"*造化1*")*102+COUNTIF(G194,"*碧归*")*307)/1024)</f>
        <v>0.636829084429785</v>
      </c>
      <c r="Q194">
        <f ca="1" t="shared" si="884"/>
        <v>0.448284482196154</v>
      </c>
      <c r="R194">
        <f ca="1" t="shared" si="885"/>
        <v>0.21277697966198</v>
      </c>
      <c r="S194">
        <f ca="1" t="shared" si="886"/>
        <v>1469712.18391797</v>
      </c>
      <c r="T194">
        <f t="shared" si="862"/>
        <v>0.8</v>
      </c>
      <c r="U194">
        <f ca="1" t="shared" si="887"/>
        <v>1.7800129648</v>
      </c>
      <c r="V194">
        <f ca="1" t="shared" si="888"/>
        <v>3268655.14065319</v>
      </c>
      <c r="W194">
        <f ca="1">IF(G194="恒定伤害",0,MIN(1,IF(COUNTIF(F194,"*内会*")&gt;0,内会2,IF(D194="轻剑",$Y$2,$Y$3)+COUNTIF(G194,"*莺鸣*")*0.2+COUNTIF(G194,"*叠1*")*0.1+COUNTIF(G194,"*叠2*")*0.2+COUNTIF(G194,"*叠3*")*0.3)+IFERROR(INDEX(技能数据库!$T$2:$W$27,MATCH(E194,技能数据库!$T$2:$T$27,0),2),0)+IF((IF(D194="轻剑",$AO$2,$AO$3)+INT(COUNTIF(G194,"*大莺鸣*")*IF(D194="轻剑",$AM$2,$AM$3)*听晓无双率)/无双系数)&gt;0.9,特效裤子会心/会心系数,0)))</f>
        <v>0.8043</v>
      </c>
      <c r="X194">
        <f ca="1">IF(G194="恒定伤害",0,IF(COUNTIF(F194,"*内会*")&gt;0,内会效2,IF(D194="轻剑",$AB$2,$AB$3))+IFERROR(INDEX(技能数据库!$T$2:$W$27,MATCH(E194,技能数据库!$T$2:$T$27,0),3)/1024,0))+COUNTIF(G194,"*叠1*")*0.25+COUNTIF(G194,"*叠2*")*0.5+COUNTIF(G194,"*叠3*")*0.75</f>
        <v>2.4212723116</v>
      </c>
      <c r="Y194">
        <f ca="1" t="shared" si="889"/>
        <v>2.14312932021988</v>
      </c>
      <c r="Z194">
        <f t="shared" si="890"/>
        <v>0.150390625</v>
      </c>
      <c r="AA194">
        <f ca="1" t="shared" si="891"/>
        <v>0.0205078125</v>
      </c>
      <c r="AB194">
        <f ca="1" t="shared" si="892"/>
        <v>8223925.13829279</v>
      </c>
      <c r="AC194">
        <f ca="1">技能数计算!$AJ186</f>
        <v>0</v>
      </c>
      <c r="AD194" s="164">
        <f ca="1" t="shared" si="893"/>
        <v>0</v>
      </c>
      <c r="AE194" s="168"/>
      <c r="AF194" s="168">
        <f ca="1" t="shared" si="894"/>
        <v>0.8057</v>
      </c>
      <c r="AG194">
        <f ca="1">技能数计算!$AJ186</f>
        <v>0</v>
      </c>
      <c r="AH194">
        <f ca="1" t="shared" si="389"/>
        <v>109879</v>
      </c>
      <c r="AJ194">
        <f ca="1" t="shared" si="895"/>
        <v>2.6204910616</v>
      </c>
      <c r="AK194">
        <f ca="1" t="shared" si="896"/>
        <v>816526.68125</v>
      </c>
      <c r="AL194">
        <f ca="1" t="shared" si="897"/>
        <v>9175565.15128495</v>
      </c>
      <c r="AM194" s="169">
        <f ca="1" t="shared" si="898"/>
        <v>0.8272</v>
      </c>
      <c r="AN194">
        <f ca="1">技能数计算!$AJ186</f>
        <v>0</v>
      </c>
      <c r="AO194" s="170">
        <f ca="1" t="shared" si="899"/>
        <v>9314217.86528709</v>
      </c>
      <c r="AP194">
        <f ca="1" t="shared" si="394"/>
        <v>110956</v>
      </c>
      <c r="AQ194" s="170">
        <f ca="1" t="shared" si="900"/>
        <v>823662.725</v>
      </c>
      <c r="AR194">
        <f ca="1" t="shared" si="901"/>
        <v>9105647.92603261</v>
      </c>
      <c r="AS194">
        <f ca="1" t="shared" si="902"/>
        <v>0.8843</v>
      </c>
      <c r="AT194">
        <f ca="1">技能数计算!$AJ186</f>
        <v>0</v>
      </c>
      <c r="AU194">
        <f ca="1" t="shared" si="903"/>
        <v>2.5677566866</v>
      </c>
      <c r="AV194">
        <f ca="1" t="shared" si="904"/>
        <v>1.7995442148</v>
      </c>
      <c r="AW194">
        <f ca="1" t="shared" si="905"/>
        <v>9221648.36872191</v>
      </c>
      <c r="AX194">
        <f ca="1" t="shared" si="906"/>
        <v>0.8743</v>
      </c>
      <c r="AY194">
        <f ca="1">技能数计算!$AJ186</f>
        <v>0</v>
      </c>
      <c r="AZ194" s="170">
        <f ca="1" t="shared" si="907"/>
        <v>9161065.48499151</v>
      </c>
      <c r="BA194">
        <f ca="1" t="shared" si="908"/>
        <v>0.8643</v>
      </c>
      <c r="BB194">
        <f ca="1">技能数计算!$AJ186</f>
        <v>0</v>
      </c>
      <c r="BC194" s="170">
        <f ca="1" t="shared" si="909"/>
        <v>9100482.60126112</v>
      </c>
      <c r="BE194">
        <f ca="1" t="shared" si="400"/>
        <v>105849</v>
      </c>
      <c r="BF194">
        <f ca="1" t="shared" si="910"/>
        <v>787562.61875</v>
      </c>
      <c r="BI194">
        <f ca="1" t="shared" si="911"/>
        <v>0.8543</v>
      </c>
      <c r="BJ194">
        <f ca="1">技能数计算!$AJ186</f>
        <v>0</v>
      </c>
      <c r="BK194">
        <f ca="1" t="shared" si="912"/>
        <v>9068573.64699806</v>
      </c>
      <c r="BM194">
        <f ca="1" t="shared" si="403"/>
        <v>109230</v>
      </c>
      <c r="BN194">
        <f ca="1" t="shared" si="913"/>
        <v>811462.0625</v>
      </c>
      <c r="BO194">
        <f ca="1" t="shared" si="914"/>
        <v>9151401.18989592</v>
      </c>
      <c r="BP194">
        <f ca="1" t="shared" si="915"/>
        <v>8727163.56849977</v>
      </c>
      <c r="BR194">
        <f ca="1" t="shared" si="916"/>
        <v>0.8543</v>
      </c>
      <c r="BS194">
        <f ca="1" t="shared" si="917"/>
        <v>9079892.53304897</v>
      </c>
      <c r="BT194">
        <f ca="1" t="shared" si="918"/>
        <v>0.196995876306796</v>
      </c>
      <c r="BU194">
        <f ca="1" t="shared" si="919"/>
        <v>2.5677566866</v>
      </c>
      <c r="BV194">
        <f ca="1" t="shared" si="920"/>
        <v>9156786.60296286</v>
      </c>
      <c r="BW194">
        <f ca="1" t="shared" si="408"/>
        <v>113027</v>
      </c>
      <c r="BX194">
        <f ca="1" t="shared" si="921"/>
        <v>838302.10625</v>
      </c>
      <c r="BY194">
        <f ca="1" t="shared" si="922"/>
        <v>0.8343</v>
      </c>
      <c r="BZ194">
        <f ca="1">技能数计算!$AJ186</f>
        <v>0</v>
      </c>
      <c r="CA194">
        <f ca="1" t="shared" si="923"/>
        <v>2.5716629366</v>
      </c>
      <c r="CB194">
        <f ca="1" t="shared" si="924"/>
        <v>9440582.06052553</v>
      </c>
      <c r="CC194">
        <f ca="1" t="shared" si="411"/>
        <v>114847</v>
      </c>
      <c r="CD194">
        <f ca="1" t="shared" si="925"/>
        <v>851167.23125</v>
      </c>
      <c r="CE194">
        <f ca="1" t="shared" si="926"/>
        <v>9336312.39838504</v>
      </c>
      <c r="CF194">
        <f ca="1" t="shared" si="927"/>
        <v>2.5189285616</v>
      </c>
      <c r="CG194">
        <f ca="1" t="shared" si="928"/>
        <v>0.8343</v>
      </c>
      <c r="CH194">
        <f ca="1" t="shared" si="929"/>
        <v>8761312.62222825</v>
      </c>
      <c r="CJ194">
        <f ca="1" t="shared" si="930"/>
        <v>811462.0625</v>
      </c>
      <c r="CK194">
        <f ca="1" t="shared" si="931"/>
        <v>9109945.84127194</v>
      </c>
      <c r="CL194">
        <f ca="1" t="shared" si="932"/>
        <v>2.5415848116</v>
      </c>
      <c r="CM194">
        <f ca="1">IF(G194="恒定伤害",0,(IF(D194="轻剑",$CM$8,$CM$9)+IFERROR(INDEX(技能数据库!$T$2:$W$27,MATCH(E194,技能数据库!$T$2:$T$27,0),4),0)+COUNTIF(G194,"*造化2*")*154+COUNTIF(G194,"*造化1*")*102+COUNTIF(G194,"*碧归*")*307)/1024)</f>
        <v>0.697375959429785</v>
      </c>
      <c r="CN194">
        <f ca="1" t="shared" si="933"/>
        <v>9161142.01229941</v>
      </c>
      <c r="CO194">
        <f ca="1" t="shared" si="934"/>
        <v>2.5656473116</v>
      </c>
      <c r="CP194">
        <f ca="1" t="shared" si="935"/>
        <v>9241588.8512916</v>
      </c>
      <c r="CQ194">
        <f ca="1" t="shared" si="936"/>
        <v>1.8815754648</v>
      </c>
      <c r="CR194">
        <f ca="1">IF(G194="恒定伤害",0,(IF(D194="轻剑",$CR$8,$CR$9)+IFERROR(INDEX(技能数据库!$T$2:$W$27,MATCH(E194,技能数据库!$T$2:$T$27,0),4),0)+COUNTIF(G194,"*造化2*")*154+COUNTIF(G194,"*造化1*")*102+COUNTIF(G194,"*碧归*")*307)/1024)</f>
        <v>0.687610334429785</v>
      </c>
      <c r="CS194">
        <f ca="1" t="shared" si="937"/>
        <v>8788832.09469093</v>
      </c>
    </row>
    <row r="195" spans="4:97">
      <c r="D195" t="s">
        <v>1825</v>
      </c>
      <c r="E195" t="s">
        <v>2776</v>
      </c>
      <c r="G195" t="s">
        <v>3112</v>
      </c>
      <c r="H195">
        <f ca="1">INDEX(技能数据库!$B$2:$I$100,MATCH(阵眼收益计算!$E195,技能数据库!$B$2:$B$100,0),MATCH(H$9,技能数据库!$B$2:$I$2,0))</f>
        <v>281.5</v>
      </c>
      <c r="I195">
        <f ca="1">INDEX(技能数据库!$B$2:$I$100,MATCH(阵眼收益计算!$E195,技能数据库!$B$2:$B$100,0),MATCH(I$9,技能数据库!$B$2:$I$2,0))</f>
        <v>7.06875</v>
      </c>
      <c r="J195">
        <f ca="1">INDEX(技能数据库!$B$2:$I$100,MATCH(阵眼收益计算!$E195,技能数据库!$B$2:$B$100,0),MATCH(J$9,技能数据库!$B$2:$I$2,0))</f>
        <v>2</v>
      </c>
      <c r="K195">
        <f ca="1">INDEX(技能数据库!$B$2:$I$100,MATCH(阵眼收益计算!$E195,技能数据库!$B$2:$B$100,0),MATCH(K$9,技能数据库!$B$2:$I$2,0))</f>
        <v>0</v>
      </c>
      <c r="L195">
        <f ca="1" t="shared" si="387"/>
        <v>105847</v>
      </c>
      <c r="M195">
        <f ca="1" t="shared" si="881"/>
        <v>19530.5</v>
      </c>
      <c r="N195">
        <f ca="1" t="shared" si="882"/>
        <v>92028</v>
      </c>
      <c r="O195">
        <f ca="1" t="shared" si="883"/>
        <v>787548.48125</v>
      </c>
      <c r="P195">
        <f ca="1">IF(G195="恒定伤害",0,(IF(D195="轻剑",$AZ$2,$AZ$3)+IFERROR(INDEX(技能数据库!$T$2:$W$27,MATCH(E195,技能数据库!$T$2:$T$27,0),4),0)+COUNTIF(G195,"*造化2*")*154+COUNTIF(G195,"*造化1*")*102+COUNTIF(G195,"*碧归*")*307)/1024)</f>
        <v>0.636829084429785</v>
      </c>
      <c r="Q195">
        <f ca="1" t="shared" si="884"/>
        <v>0.448284482196154</v>
      </c>
      <c r="R195">
        <f ca="1" t="shared" si="885"/>
        <v>0.21277697966198</v>
      </c>
      <c r="S195">
        <f ca="1" t="shared" si="886"/>
        <v>1469712.18391797</v>
      </c>
      <c r="T195">
        <f t="shared" si="862"/>
        <v>0.8</v>
      </c>
      <c r="U195">
        <f ca="1" t="shared" si="887"/>
        <v>1.7800129648</v>
      </c>
      <c r="V195">
        <f ca="1" t="shared" si="888"/>
        <v>3268655.14065319</v>
      </c>
      <c r="W195">
        <f ca="1">IF(G195="恒定伤害",0,MIN(1,IF(COUNTIF(F195,"*内会*")&gt;0,内会2,IF(D195="轻剑",$Y$2,$Y$3)+COUNTIF(G195,"*莺鸣*")*0.2+COUNTIF(G195,"*叠1*")*0.1+COUNTIF(G195,"*叠2*")*0.2+COUNTIF(G195,"*叠3*")*0.3)+IFERROR(INDEX(技能数据库!$T$2:$W$27,MATCH(E195,技能数据库!$T$2:$T$27,0),2),0)+IF((IF(D195="轻剑",$AO$2,$AO$3)+INT(COUNTIF(G195,"*大莺鸣*")*IF(D195="轻剑",$AM$2,$AM$3)*听晓无双率)/无双系数)&gt;0.9,特效裤子会心/会心系数,0)))</f>
        <v>0.9043</v>
      </c>
      <c r="X195">
        <f ca="1">IF(G195="恒定伤害",0,IF(COUNTIF(F195,"*内会*")&gt;0,内会效2,IF(D195="轻剑",$AB$2,$AB$3))+IFERROR(INDEX(技能数据库!$T$2:$W$27,MATCH(E195,技能数据库!$T$2:$T$27,0),3)/1024,0))+COUNTIF(G195,"*叠1*")*0.25+COUNTIF(G195,"*叠2*")*0.5+COUNTIF(G195,"*叠3*")*0.75</f>
        <v>2.6712723116</v>
      </c>
      <c r="Y195">
        <f ca="1" t="shared" si="889"/>
        <v>2.51133155137988</v>
      </c>
      <c r="Z195">
        <f t="shared" si="890"/>
        <v>0.150390625</v>
      </c>
      <c r="AA195">
        <f ca="1" t="shared" si="891"/>
        <v>0.0205078125</v>
      </c>
      <c r="AB195">
        <f ca="1" t="shared" si="892"/>
        <v>9636843.88110648</v>
      </c>
      <c r="AC195">
        <f ca="1">技能数计算!$AJ187</f>
        <v>0</v>
      </c>
      <c r="AD195" s="164">
        <f ca="1" t="shared" si="893"/>
        <v>0</v>
      </c>
      <c r="AE195" s="168"/>
      <c r="AF195" s="168">
        <f ca="1" t="shared" si="894"/>
        <v>0.9057</v>
      </c>
      <c r="AG195">
        <f ca="1">技能数计算!$AJ187</f>
        <v>0</v>
      </c>
      <c r="AH195">
        <f ca="1" t="shared" si="389"/>
        <v>109879</v>
      </c>
      <c r="AJ195">
        <f ca="1" t="shared" si="895"/>
        <v>2.8704910616</v>
      </c>
      <c r="AK195">
        <f ca="1" t="shared" si="896"/>
        <v>816526.68125</v>
      </c>
      <c r="AL195">
        <f ca="1" t="shared" si="897"/>
        <v>10721550.4196642</v>
      </c>
      <c r="AM195" s="169">
        <f ca="1" t="shared" si="898"/>
        <v>0.9272</v>
      </c>
      <c r="AN195">
        <f ca="1">技能数计算!$AJ187</f>
        <v>0</v>
      </c>
      <c r="AO195" s="170">
        <f ca="1" t="shared" si="899"/>
        <v>10881593.6734366</v>
      </c>
      <c r="AP195">
        <f ca="1" t="shared" si="394"/>
        <v>110956</v>
      </c>
      <c r="AQ195" s="170">
        <f ca="1" t="shared" si="900"/>
        <v>823662.725</v>
      </c>
      <c r="AR195">
        <f ca="1" t="shared" si="901"/>
        <v>10670051.8333893</v>
      </c>
      <c r="AS195">
        <f ca="1" t="shared" si="902"/>
        <v>0.9843</v>
      </c>
      <c r="AT195">
        <f ca="1">技能数计算!$AJ187</f>
        <v>0</v>
      </c>
      <c r="AU195">
        <f ca="1" t="shared" si="903"/>
        <v>2.8177566866</v>
      </c>
      <c r="AV195">
        <f ca="1" t="shared" si="904"/>
        <v>1.7995442148</v>
      </c>
      <c r="AW195">
        <f ca="1" t="shared" si="905"/>
        <v>10778385.8030919</v>
      </c>
      <c r="AX195">
        <f ca="1" t="shared" si="906"/>
        <v>0.9743</v>
      </c>
      <c r="AY195">
        <f ca="1">技能数计算!$AJ187</f>
        <v>0</v>
      </c>
      <c r="AZ195" s="170">
        <f ca="1" t="shared" si="907"/>
        <v>10708142.1594604</v>
      </c>
      <c r="BA195">
        <f ca="1" t="shared" si="908"/>
        <v>0.9643</v>
      </c>
      <c r="BB195">
        <f ca="1">技能数计算!$AJ187</f>
        <v>0</v>
      </c>
      <c r="BC195" s="170">
        <f ca="1" t="shared" si="909"/>
        <v>10637898.5158289</v>
      </c>
      <c r="BE195">
        <f ca="1" t="shared" si="400"/>
        <v>105849</v>
      </c>
      <c r="BF195">
        <f ca="1" t="shared" si="910"/>
        <v>787562.61875</v>
      </c>
      <c r="BI195">
        <f ca="1" t="shared" si="911"/>
        <v>0.9543</v>
      </c>
      <c r="BJ195">
        <f ca="1">技能数计算!$AJ187</f>
        <v>0</v>
      </c>
      <c r="BK195">
        <f ca="1" t="shared" si="912"/>
        <v>10627799.2072602</v>
      </c>
      <c r="BM195">
        <f ca="1" t="shared" si="403"/>
        <v>109230</v>
      </c>
      <c r="BN195">
        <f ca="1" t="shared" si="913"/>
        <v>811462.0625</v>
      </c>
      <c r="BO195">
        <f ca="1" t="shared" si="914"/>
        <v>10723665.7772771</v>
      </c>
      <c r="BP195">
        <f ca="1" t="shared" si="915"/>
        <v>10226541.635564</v>
      </c>
      <c r="BR195">
        <f ca="1" t="shared" si="916"/>
        <v>0.9543</v>
      </c>
      <c r="BS195">
        <f ca="1" t="shared" si="917"/>
        <v>10641064.2313843</v>
      </c>
      <c r="BT195">
        <f ca="1" t="shared" si="918"/>
        <v>0.196995876306796</v>
      </c>
      <c r="BU195">
        <f ca="1" t="shared" si="919"/>
        <v>2.8177566866</v>
      </c>
      <c r="BV195">
        <f ca="1" t="shared" si="920"/>
        <v>10704295.7977529</v>
      </c>
      <c r="BW195">
        <f ca="1" t="shared" si="408"/>
        <v>113027</v>
      </c>
      <c r="BX195">
        <f ca="1" t="shared" si="921"/>
        <v>838302.10625</v>
      </c>
      <c r="BY195">
        <f ca="1" t="shared" si="922"/>
        <v>0.9343</v>
      </c>
      <c r="BZ195">
        <f ca="1">技能数计算!$AJ187</f>
        <v>0</v>
      </c>
      <c r="CA195">
        <f ca="1" t="shared" si="923"/>
        <v>2.8216629366</v>
      </c>
      <c r="CB195">
        <f ca="1" t="shared" si="924"/>
        <v>11036620.472823</v>
      </c>
      <c r="CC195">
        <f ca="1" t="shared" si="411"/>
        <v>114847</v>
      </c>
      <c r="CD195">
        <f ca="1" t="shared" si="925"/>
        <v>851167.23125</v>
      </c>
      <c r="CE195">
        <f ca="1" t="shared" si="926"/>
        <v>10941091.2303611</v>
      </c>
      <c r="CF195">
        <f ca="1" t="shared" si="927"/>
        <v>2.7689285616</v>
      </c>
      <c r="CG195">
        <f ca="1" t="shared" si="928"/>
        <v>0.9343</v>
      </c>
      <c r="CH195">
        <f ca="1" t="shared" si="929"/>
        <v>10250877.5854108</v>
      </c>
      <c r="CJ195">
        <f ca="1" t="shared" si="930"/>
        <v>811462.0625</v>
      </c>
      <c r="CK195">
        <f ca="1" t="shared" si="931"/>
        <v>10675088.1557632</v>
      </c>
      <c r="CL195">
        <f ca="1" t="shared" si="932"/>
        <v>2.7915848116</v>
      </c>
      <c r="CM195">
        <f ca="1">IF(G195="恒定伤害",0,(IF(D195="轻剑",$CM$8,$CM$9)+IFERROR(INDEX(技能数据库!$T$2:$W$27,MATCH(E195,技能数据库!$T$2:$T$27,0),4),0)+COUNTIF(G195,"*造化2*")*154+COUNTIF(G195,"*造化1*")*102+COUNTIF(G195,"*碧归*")*307)/1024)</f>
        <v>0.697375959429785</v>
      </c>
      <c r="CN195">
        <f ca="1" t="shared" si="933"/>
        <v>10714885.4161084</v>
      </c>
      <c r="CO195">
        <f ca="1" t="shared" si="934"/>
        <v>2.8156473116</v>
      </c>
      <c r="CP195">
        <f ca="1" t="shared" si="935"/>
        <v>10804974.6905545</v>
      </c>
      <c r="CQ195">
        <f ca="1" t="shared" si="936"/>
        <v>1.8815754648</v>
      </c>
      <c r="CR195">
        <f ca="1">IF(G195="恒定伤害",0,(IF(D195="轻剑",$CR$8,$CR$9)+IFERROR(INDEX(技能数据库!$T$2:$W$27,MATCH(E195,技能数据库!$T$2:$T$27,0),4),0)+COUNTIF(G195,"*造化2*")*154+COUNTIF(G195,"*造化1*")*102+COUNTIF(G195,"*碧归*")*307)/1024)</f>
        <v>0.687610334429785</v>
      </c>
      <c r="CS195">
        <f ca="1" t="shared" si="937"/>
        <v>10298805.1775209</v>
      </c>
    </row>
    <row r="196" spans="4:97">
      <c r="D196" t="s">
        <v>1825</v>
      </c>
      <c r="E196" t="s">
        <v>2776</v>
      </c>
      <c r="G196" t="s">
        <v>3113</v>
      </c>
      <c r="H196">
        <f ca="1">INDEX(技能数据库!$B$2:$I$100,MATCH(阵眼收益计算!$E196,技能数据库!$B$2:$B$100,0),MATCH(H$9,技能数据库!$B$2:$I$2,0))</f>
        <v>281.5</v>
      </c>
      <c r="I196">
        <f ca="1">INDEX(技能数据库!$B$2:$I$100,MATCH(阵眼收益计算!$E196,技能数据库!$B$2:$B$100,0),MATCH(I$9,技能数据库!$B$2:$I$2,0))</f>
        <v>7.06875</v>
      </c>
      <c r="J196">
        <f ca="1">INDEX(技能数据库!$B$2:$I$100,MATCH(阵眼收益计算!$E196,技能数据库!$B$2:$B$100,0),MATCH(J$9,技能数据库!$B$2:$I$2,0))</f>
        <v>2</v>
      </c>
      <c r="K196">
        <f ca="1">INDEX(技能数据库!$B$2:$I$100,MATCH(阵眼收益计算!$E196,技能数据库!$B$2:$B$100,0),MATCH(K$9,技能数据库!$B$2:$I$2,0))</f>
        <v>0</v>
      </c>
      <c r="L196">
        <f ca="1" t="shared" si="387"/>
        <v>105847</v>
      </c>
      <c r="M196">
        <f ca="1" t="shared" si="881"/>
        <v>19530.5</v>
      </c>
      <c r="N196">
        <f ca="1" t="shared" si="882"/>
        <v>92028</v>
      </c>
      <c r="O196">
        <f ca="1" t="shared" si="883"/>
        <v>787548.48125</v>
      </c>
      <c r="P196">
        <f ca="1">IF(G196="恒定伤害",0,(IF(D196="轻剑",$AZ$2,$AZ$3)+IFERROR(INDEX(技能数据库!$T$2:$W$27,MATCH(E196,技能数据库!$T$2:$T$27,0),4),0)+COUNTIF(G196,"*造化2*")*154+COUNTIF(G196,"*造化1*")*102+COUNTIF(G196,"*碧归*")*307)/1024)</f>
        <v>0.636829084429785</v>
      </c>
      <c r="Q196">
        <f ca="1" t="shared" si="884"/>
        <v>0.448284482196154</v>
      </c>
      <c r="R196">
        <f ca="1" t="shared" si="885"/>
        <v>0.21277697966198</v>
      </c>
      <c r="S196">
        <f ca="1" t="shared" si="886"/>
        <v>1469712.18391797</v>
      </c>
      <c r="T196">
        <f t="shared" si="862"/>
        <v>0.8</v>
      </c>
      <c r="U196">
        <f ca="1" t="shared" si="887"/>
        <v>1.7800129648</v>
      </c>
      <c r="V196">
        <f ca="1" t="shared" si="888"/>
        <v>3268655.14065319</v>
      </c>
      <c r="W196">
        <f ca="1">IF(G196="恒定伤害",0,MIN(1,IF(COUNTIF(F196,"*内会*")&gt;0,内会2,IF(D196="轻剑",$Y$2,$Y$3)+COUNTIF(G196,"*莺鸣*")*0.2+COUNTIF(G196,"*叠1*")*0.1+COUNTIF(G196,"*叠2*")*0.2+COUNTIF(G196,"*叠3*")*0.3)+IFERROR(INDEX(技能数据库!$T$2:$W$27,MATCH(E196,技能数据库!$T$2:$T$27,0),2),0)+IF((IF(D196="轻剑",$AO$2,$AO$3)+INT(COUNTIF(G196,"*大莺鸣*")*IF(D196="轻剑",$AM$2,$AM$3)*听晓无双率)/无双系数)&gt;0.9,特效裤子会心/会心系数,0)))</f>
        <v>1</v>
      </c>
      <c r="X196">
        <f ca="1">IF(G196="恒定伤害",0,IF(COUNTIF(F196,"*内会*")&gt;0,内会效2,IF(D196="轻剑",$AB$2,$AB$3))+IFERROR(INDEX(技能数据库!$T$2:$W$27,MATCH(E196,技能数据库!$T$2:$T$27,0),3)/1024,0))+COUNTIF(G196,"*叠1*")*0.25+COUNTIF(G196,"*叠2*")*0.5+COUNTIF(G196,"*叠3*")*0.75</f>
        <v>2.9212723116</v>
      </c>
      <c r="Y196">
        <f ca="1" t="shared" si="889"/>
        <v>2.9212723116</v>
      </c>
      <c r="Z196">
        <f t="shared" si="890"/>
        <v>0.150390625</v>
      </c>
      <c r="AA196">
        <f ca="1" t="shared" si="891"/>
        <v>0.0205078125</v>
      </c>
      <c r="AB196">
        <f ca="1" t="shared" si="892"/>
        <v>11209927.7316131</v>
      </c>
      <c r="AC196" s="171">
        <f ca="1">技能数计算!$AJ188</f>
        <v>18</v>
      </c>
      <c r="AD196" s="164">
        <f ca="1" t="shared" si="893"/>
        <v>0.0723405477732889</v>
      </c>
      <c r="AE196" s="168"/>
      <c r="AF196" s="168">
        <f ca="1" t="shared" si="894"/>
        <v>1.0014</v>
      </c>
      <c r="AG196" s="171">
        <f ca="1">技能数计算!$AJ188</f>
        <v>18</v>
      </c>
      <c r="AH196">
        <f ca="1" t="shared" si="389"/>
        <v>109879</v>
      </c>
      <c r="AJ196">
        <f ca="1" t="shared" si="895"/>
        <v>3.1204910616</v>
      </c>
      <c r="AK196">
        <f ca="1" t="shared" si="896"/>
        <v>816526.68125</v>
      </c>
      <c r="AL196">
        <f ca="1" t="shared" si="897"/>
        <v>12418416.4011067</v>
      </c>
      <c r="AM196" s="169">
        <f ca="1" t="shared" si="898"/>
        <v>1.0229</v>
      </c>
      <c r="AN196" s="171">
        <f ca="1">技能数计算!$AJ188</f>
        <v>18</v>
      </c>
      <c r="AO196" s="170">
        <f ca="1" t="shared" si="899"/>
        <v>12418416.4011067</v>
      </c>
      <c r="AP196">
        <f ca="1" t="shared" si="394"/>
        <v>110956</v>
      </c>
      <c r="AQ196" s="170">
        <f ca="1" t="shared" si="900"/>
        <v>823662.725</v>
      </c>
      <c r="AR196">
        <f ca="1" t="shared" si="901"/>
        <v>12411792.8463449</v>
      </c>
      <c r="AS196">
        <f ca="1" t="shared" si="902"/>
        <v>1.08</v>
      </c>
      <c r="AT196" s="171">
        <f ca="1">技能数计算!$AJ188</f>
        <v>18</v>
      </c>
      <c r="AU196">
        <f ca="1" t="shared" si="903"/>
        <v>3.0677566866</v>
      </c>
      <c r="AV196">
        <f ca="1" t="shared" si="904"/>
        <v>1.7995442148</v>
      </c>
      <c r="AW196">
        <f ca="1" t="shared" si="905"/>
        <v>11854744.3137041</v>
      </c>
      <c r="AX196">
        <f ca="1" t="shared" si="906"/>
        <v>1.07</v>
      </c>
      <c r="AY196" s="171">
        <f ca="1">技能数计算!$AJ188</f>
        <v>18</v>
      </c>
      <c r="AZ196" s="170">
        <f ca="1" t="shared" si="907"/>
        <v>11854744.3137041</v>
      </c>
      <c r="BA196">
        <f ca="1" t="shared" si="908"/>
        <v>1.06</v>
      </c>
      <c r="BB196" s="171">
        <f ca="1">技能数计算!$AJ188</f>
        <v>18</v>
      </c>
      <c r="BC196" s="170">
        <f ca="1" t="shared" si="909"/>
        <v>11854744.3137041</v>
      </c>
      <c r="BE196">
        <f ca="1" t="shared" si="400"/>
        <v>105849</v>
      </c>
      <c r="BF196">
        <f ca="1" t="shared" si="910"/>
        <v>787562.61875</v>
      </c>
      <c r="BI196">
        <f ca="1" t="shared" si="911"/>
        <v>1.05</v>
      </c>
      <c r="BJ196" s="171">
        <f ca="1">技能数计算!$AJ188</f>
        <v>18</v>
      </c>
      <c r="BK196">
        <f ca="1" t="shared" si="912"/>
        <v>11964527.8748533</v>
      </c>
      <c r="BM196">
        <f ca="1" t="shared" si="403"/>
        <v>109230</v>
      </c>
      <c r="BN196">
        <f ca="1" t="shared" si="913"/>
        <v>811462.0625</v>
      </c>
      <c r="BO196">
        <f ca="1" t="shared" si="914"/>
        <v>12474158.538246</v>
      </c>
      <c r="BP196">
        <f ca="1" t="shared" si="915"/>
        <v>11895885.6336523</v>
      </c>
      <c r="BR196">
        <f ca="1" t="shared" si="916"/>
        <v>1.05</v>
      </c>
      <c r="BS196">
        <f ca="1" t="shared" si="917"/>
        <v>11979461.3288825</v>
      </c>
      <c r="BT196">
        <f ca="1" t="shared" si="918"/>
        <v>0.196995876306796</v>
      </c>
      <c r="BU196">
        <f ca="1" t="shared" si="919"/>
        <v>3.0677566866</v>
      </c>
      <c r="BV196">
        <f ca="1" t="shared" si="920"/>
        <v>12008027.4455663</v>
      </c>
      <c r="BW196">
        <f ca="1" t="shared" si="408"/>
        <v>113027</v>
      </c>
      <c r="BX196">
        <f ca="1" t="shared" si="921"/>
        <v>838302.10625</v>
      </c>
      <c r="BY196">
        <f ca="1" t="shared" si="922"/>
        <v>1.03</v>
      </c>
      <c r="BZ196" s="171">
        <f ca="1">技能数计算!$AJ188</f>
        <v>18</v>
      </c>
      <c r="CA196">
        <f ca="1" t="shared" si="923"/>
        <v>3.0716629366</v>
      </c>
      <c r="CB196">
        <f ca="1" t="shared" si="924"/>
        <v>12546644.3296111</v>
      </c>
      <c r="CC196">
        <f ca="1" t="shared" si="411"/>
        <v>114847</v>
      </c>
      <c r="CD196">
        <f ca="1" t="shared" si="925"/>
        <v>851167.23125</v>
      </c>
      <c r="CE196">
        <f ca="1" t="shared" si="926"/>
        <v>12477956.1559139</v>
      </c>
      <c r="CF196">
        <f ca="1" t="shared" si="927"/>
        <v>3.0189285616</v>
      </c>
      <c r="CG196">
        <f ca="1" t="shared" si="928"/>
        <v>1.03</v>
      </c>
      <c r="CH196">
        <f ca="1" t="shared" si="929"/>
        <v>11666057.5968856</v>
      </c>
      <c r="CJ196">
        <f ca="1" t="shared" si="930"/>
        <v>811462.0625</v>
      </c>
      <c r="CK196">
        <f ca="1" t="shared" si="931"/>
        <v>12417651.2799297</v>
      </c>
      <c r="CL196">
        <f ca="1" t="shared" si="932"/>
        <v>3.0415848116</v>
      </c>
      <c r="CM196">
        <f ca="1">IF(G196="恒定伤害",0,(IF(D196="轻剑",$CM$8,$CM$9)+IFERROR(INDEX(技能数据库!$T$2:$W$27,MATCH(E196,技能数据库!$T$2:$T$27,0),4),0)+COUNTIF(G196,"*造化2*")*154+COUNTIF(G196,"*造化1*")*102+COUNTIF(G196,"*碧归*")*307)/1024)</f>
        <v>0.697375959429785</v>
      </c>
      <c r="CN196">
        <f ca="1" t="shared" si="933"/>
        <v>12188378.2747121</v>
      </c>
      <c r="CO196">
        <f ca="1" t="shared" si="934"/>
        <v>3.0656473116</v>
      </c>
      <c r="CP196">
        <f ca="1" t="shared" si="935"/>
        <v>12284802.6292515</v>
      </c>
      <c r="CQ196">
        <f ca="1" t="shared" si="936"/>
        <v>1.8815754648</v>
      </c>
      <c r="CR196">
        <f ca="1">IF(G196="恒定伤害",0,(IF(D196="轻剑",$CR$8,$CR$9)+IFERROR(INDEX(技能数据库!$T$2:$W$27,MATCH(E196,技能数据库!$T$2:$T$27,0),4),0)+COUNTIF(G196,"*造化2*")*154+COUNTIF(G196,"*造化1*")*102+COUNTIF(G196,"*碧归*")*307)/1024)</f>
        <v>0.687610334429785</v>
      </c>
      <c r="CS196">
        <f ca="1" t="shared" si="937"/>
        <v>11979945.2171593</v>
      </c>
    </row>
    <row r="197" spans="4:97">
      <c r="D197" t="s">
        <v>1825</v>
      </c>
      <c r="E197" t="s">
        <v>2780</v>
      </c>
      <c r="G197" t="s">
        <v>3111</v>
      </c>
      <c r="H197">
        <f ca="1">INDEX(技能数据库!$B$2:$I$100,MATCH(阵眼收益计算!$E197,技能数据库!$B$2:$B$100,0),MATCH(H$9,技能数据库!$B$2:$I$2,0))</f>
        <v>252.5</v>
      </c>
      <c r="I197">
        <f ca="1">INDEX(技能数据库!$B$2:$I$100,MATCH(阵眼收益计算!$E197,技能数据库!$B$2:$B$100,0),MATCH(I$9,技能数据库!$B$2:$I$2,0))</f>
        <v>2.11875</v>
      </c>
      <c r="J197">
        <f ca="1">INDEX(技能数据库!$B$2:$I$100,MATCH(阵眼收益计算!$E197,技能数据库!$B$2:$B$100,0),MATCH(J$9,技能数据库!$B$2:$I$2,0))</f>
        <v>2</v>
      </c>
      <c r="K197">
        <f ca="1">INDEX(技能数据库!$B$2:$I$100,MATCH(阵眼收益计算!$E197,技能数据库!$B$2:$B$100,0),MATCH(K$9,技能数据库!$B$2:$I$2,0))</f>
        <v>0</v>
      </c>
      <c r="L197">
        <f ca="1" t="shared" si="387"/>
        <v>105847</v>
      </c>
      <c r="M197">
        <f ca="1" t="shared" ref="M197:M201" si="938">IF(D197="轻剑",$AU$2+$AV$2,$AU$3+$AV$3)/2</f>
        <v>19530.5</v>
      </c>
      <c r="N197">
        <f ca="1" t="shared" ref="N197:N201" si="939">IF(D197="轻剑",$AJ$2,$AJ$3)</f>
        <v>92028</v>
      </c>
      <c r="O197">
        <f ca="1" t="shared" si="883"/>
        <v>263576.83125</v>
      </c>
      <c r="P197">
        <f ca="1">IF(G197="恒定伤害",0,(IF(D197="轻剑",$AZ$2,$AZ$3)+IFERROR(INDEX(技能数据库!$T$2:$W$27,MATCH(E197,技能数据库!$T$2:$T$27,0),4),0)+COUNTIF(G197,"*造化2*")*154+COUNTIF(G197,"*造化1*")*102+COUNTIF(G197,"*碧归*")*307)/1024)</f>
        <v>0.636829084429785</v>
      </c>
      <c r="Q197">
        <f ca="1" t="shared" si="884"/>
        <v>0.448284482196154</v>
      </c>
      <c r="R197">
        <f ca="1" t="shared" si="885"/>
        <v>0.21277697966198</v>
      </c>
      <c r="S197">
        <f ca="1" t="shared" ref="S197:S201" si="940">O197*(1+P197)*(1+Q197)*(1-R197)</f>
        <v>491883.470680767</v>
      </c>
      <c r="T197">
        <f t="shared" ref="T197:T208" si="941">1-($F$6-130)*0.05</f>
        <v>0.8</v>
      </c>
      <c r="U197">
        <f ca="1" t="shared" si="887"/>
        <v>1.7800129648</v>
      </c>
      <c r="V197">
        <f ca="1" t="shared" ref="V197:V201" si="942">S197*T197*(1+U197)</f>
        <v>1093953.94053068</v>
      </c>
      <c r="W197">
        <f ca="1">IF(G197="恒定伤害",0,MIN(1,IF(COUNTIF(F197,"*内会*")&gt;0,内会2,IF(D197="轻剑",$Y$2,$Y$3)+COUNTIF(G197,"*莺鸣*")*0.2+COUNTIF(G197,"*叠1*")*0.1+COUNTIF(G197,"*叠2*")*0.2+COUNTIF(G197,"*叠3*")*0.3)+IFERROR(INDEX(技能数据库!$T$2:$W$27,MATCH(E197,技能数据库!$T$2:$T$27,0),2),0)+IF((IF(D197="轻剑",$AO$2,$AO$3)+INT(COUNTIF(G197,"*大莺鸣*")*IF(D197="轻剑",$AM$2,$AM$3)*听晓无双率)/无双系数)&gt;0.9,特效裤子会心/会心系数,0)))</f>
        <v>0.8043</v>
      </c>
      <c r="X197">
        <f ca="1">IF(G197="恒定伤害",0,IF(COUNTIF(F197,"*内会*")&gt;0,内会效2,IF(D197="轻剑",$AB$2,$AB$3))+IFERROR(INDEX(技能数据库!$T$2:$W$27,MATCH(E197,技能数据库!$T$2:$T$27,0),3)/1024,0))+COUNTIF(G197,"*叠1*")*0.25+COUNTIF(G197,"*叠2*")*0.5+COUNTIF(G197,"*叠3*")*0.75</f>
        <v>2.4212723116</v>
      </c>
      <c r="Y197">
        <f ca="1" t="shared" ref="Y197:Y201" si="943">1+W197*(X197-1)</f>
        <v>2.14312932021988</v>
      </c>
      <c r="Z197">
        <f t="shared" si="890"/>
        <v>0.150390625</v>
      </c>
      <c r="AA197">
        <f ca="1" t="shared" ref="AA197:AA201" si="944">IF(D197="轻剑",$BA$2,$BA$3)/1024</f>
        <v>0.0205078125</v>
      </c>
      <c r="AB197">
        <f ca="1" t="shared" ref="AB197:AB201" si="945">V197*Y197*(1+Z197)*(1+AA197)</f>
        <v>2752384.36743342</v>
      </c>
      <c r="AC197">
        <f ca="1">技能数计算!$AJ189</f>
        <v>0</v>
      </c>
      <c r="AD197" s="164">
        <f ca="1" t="shared" si="893"/>
        <v>0</v>
      </c>
      <c r="AE197" s="168"/>
      <c r="AF197" s="168">
        <f ca="1" t="shared" si="894"/>
        <v>0.8057</v>
      </c>
      <c r="AG197">
        <f ca="1">技能数计算!$AJ189</f>
        <v>0</v>
      </c>
      <c r="AH197">
        <f ca="1" t="shared" si="389"/>
        <v>109879</v>
      </c>
      <c r="AJ197">
        <f ca="1" t="shared" si="895"/>
        <v>2.6204910616</v>
      </c>
      <c r="AK197">
        <f ca="1" t="shared" si="896"/>
        <v>272596.63125</v>
      </c>
      <c r="AL197">
        <f ca="1" t="shared" si="897"/>
        <v>3063253.42146335</v>
      </c>
      <c r="AM197" s="169">
        <f ca="1" t="shared" si="898"/>
        <v>0.8272</v>
      </c>
      <c r="AN197">
        <f ca="1">技能数计算!$AJ189</f>
        <v>0</v>
      </c>
      <c r="AO197" s="170">
        <f ca="1" t="shared" si="899"/>
        <v>3109542.49396835</v>
      </c>
      <c r="AP197">
        <f ca="1" t="shared" si="394"/>
        <v>110956</v>
      </c>
      <c r="AQ197" s="170">
        <f ca="1" t="shared" si="900"/>
        <v>274401.525</v>
      </c>
      <c r="AR197">
        <f ca="1" t="shared" si="901"/>
        <v>3033527.68211823</v>
      </c>
      <c r="AS197">
        <f ca="1" t="shared" si="902"/>
        <v>0.8843</v>
      </c>
      <c r="AT197">
        <f ca="1">技能数计算!$AJ189</f>
        <v>0</v>
      </c>
      <c r="AU197">
        <f ca="1" t="shared" si="903"/>
        <v>2.5677566866</v>
      </c>
      <c r="AV197">
        <f ca="1" t="shared" si="904"/>
        <v>1.7995442148</v>
      </c>
      <c r="AW197">
        <f ca="1" t="shared" si="905"/>
        <v>3086302.51190577</v>
      </c>
      <c r="AX197">
        <f ca="1" t="shared" si="906"/>
        <v>0.8743</v>
      </c>
      <c r="AY197">
        <f ca="1">技能数计算!$AJ189</f>
        <v>0</v>
      </c>
      <c r="AZ197" s="170">
        <f ca="1" t="shared" si="907"/>
        <v>3066026.62425972</v>
      </c>
      <c r="BA197">
        <f ca="1" t="shared" si="908"/>
        <v>0.8643</v>
      </c>
      <c r="BB197">
        <f ca="1">技能数计算!$AJ189</f>
        <v>0</v>
      </c>
      <c r="BC197" s="170">
        <f ca="1" t="shared" si="909"/>
        <v>3045750.73661367</v>
      </c>
      <c r="BE197">
        <f ca="1" t="shared" si="400"/>
        <v>105849</v>
      </c>
      <c r="BF197">
        <f ca="1" t="shared" si="910"/>
        <v>263581.06875</v>
      </c>
      <c r="BI197">
        <f ca="1" t="shared" si="911"/>
        <v>0.8543</v>
      </c>
      <c r="BJ197">
        <f ca="1">技能数计算!$AJ189</f>
        <v>0</v>
      </c>
      <c r="BK197">
        <f ca="1" t="shared" si="912"/>
        <v>3035065.75478108</v>
      </c>
      <c r="BM197">
        <f ca="1" t="shared" si="403"/>
        <v>109230</v>
      </c>
      <c r="BN197">
        <f ca="1" t="shared" si="913"/>
        <v>270744.5625</v>
      </c>
      <c r="BO197">
        <f ca="1" t="shared" si="914"/>
        <v>3053367.77394982</v>
      </c>
      <c r="BP197">
        <f ca="1" t="shared" si="915"/>
        <v>2911820.76330206</v>
      </c>
      <c r="BR197">
        <f ca="1" t="shared" si="916"/>
        <v>0.8543</v>
      </c>
      <c r="BS197">
        <f ca="1" t="shared" si="917"/>
        <v>3029508.88897207</v>
      </c>
      <c r="BT197">
        <f ca="1" t="shared" si="918"/>
        <v>0.196995876306796</v>
      </c>
      <c r="BU197">
        <f ca="1" t="shared" si="919"/>
        <v>2.5677566866</v>
      </c>
      <c r="BV197">
        <f ca="1" t="shared" si="920"/>
        <v>3064594.56744893</v>
      </c>
      <c r="BW197">
        <f ca="1" t="shared" si="408"/>
        <v>113027</v>
      </c>
      <c r="BX197">
        <f ca="1" t="shared" si="921"/>
        <v>278789.45625</v>
      </c>
      <c r="BY197">
        <f ca="1" t="shared" si="922"/>
        <v>0.8343</v>
      </c>
      <c r="BZ197">
        <f ca="1">技能数计算!$AJ189</f>
        <v>0</v>
      </c>
      <c r="CA197">
        <f ca="1" t="shared" si="923"/>
        <v>2.5716629366</v>
      </c>
      <c r="CB197">
        <f ca="1" t="shared" si="924"/>
        <v>3139601.7255771</v>
      </c>
      <c r="CC197">
        <f ca="1" t="shared" si="411"/>
        <v>114847</v>
      </c>
      <c r="CD197">
        <f ca="1" t="shared" si="925"/>
        <v>282645.58125</v>
      </c>
      <c r="CE197">
        <f ca="1" t="shared" si="926"/>
        <v>3100292.57199875</v>
      </c>
      <c r="CF197">
        <f ca="1" t="shared" si="927"/>
        <v>2.5189285616</v>
      </c>
      <c r="CG197">
        <f ca="1" t="shared" si="928"/>
        <v>0.8343</v>
      </c>
      <c r="CH197">
        <f ca="1" t="shared" si="929"/>
        <v>2932237.28257625</v>
      </c>
      <c r="CJ197">
        <f ca="1" t="shared" si="930"/>
        <v>270744.5625</v>
      </c>
      <c r="CK197">
        <f ca="1" t="shared" si="931"/>
        <v>3039536.18434733</v>
      </c>
      <c r="CL197">
        <f ca="1" t="shared" si="932"/>
        <v>2.5415848116</v>
      </c>
      <c r="CM197">
        <f ca="1">IF(G197="恒定伤害",0,(IF(D197="轻剑",$CM$8,$CM$9)+IFERROR(INDEX(技能数据库!$T$2:$W$27,MATCH(E197,技能数据库!$T$2:$T$27,0),4),0)+COUNTIF(G197,"*造化2*")*154+COUNTIF(G197,"*造化1*")*102+COUNTIF(G197,"*碧归*")*307)/1024)</f>
        <v>0.697375959429785</v>
      </c>
      <c r="CN197">
        <f ca="1" t="shared" si="933"/>
        <v>3066052.23642938</v>
      </c>
      <c r="CO197">
        <f ca="1" t="shared" si="934"/>
        <v>2.5656473116</v>
      </c>
      <c r="CP197">
        <f ca="1" t="shared" si="935"/>
        <v>3092976.19528457</v>
      </c>
      <c r="CQ197">
        <f ca="1" t="shared" si="936"/>
        <v>1.8815754648</v>
      </c>
      <c r="CR197">
        <f ca="1">IF(G197="恒定伤害",0,(IF(D197="轻剑",$CR$8,$CR$9)+IFERROR(INDEX(技能数据库!$T$2:$W$27,MATCH(E197,技能数据库!$T$2:$T$27,0),4),0)+COUNTIF(G197,"*造化2*")*154+COUNTIF(G197,"*造化1*")*102+COUNTIF(G197,"*碧归*")*307)/1024)</f>
        <v>0.687610334429785</v>
      </c>
      <c r="CS197">
        <f ca="1" t="shared" si="937"/>
        <v>2941447.50330815</v>
      </c>
    </row>
    <row r="198" spans="4:97">
      <c r="D198" t="s">
        <v>1825</v>
      </c>
      <c r="E198" t="s">
        <v>2780</v>
      </c>
      <c r="G198" t="s">
        <v>3112</v>
      </c>
      <c r="H198">
        <f ca="1">INDEX(技能数据库!$B$2:$I$100,MATCH(阵眼收益计算!$E198,技能数据库!$B$2:$B$100,0),MATCH(H$9,技能数据库!$B$2:$I$2,0))</f>
        <v>252.5</v>
      </c>
      <c r="I198">
        <f ca="1">INDEX(技能数据库!$B$2:$I$100,MATCH(阵眼收益计算!$E198,技能数据库!$B$2:$B$100,0),MATCH(I$9,技能数据库!$B$2:$I$2,0))</f>
        <v>2.11875</v>
      </c>
      <c r="J198">
        <f ca="1">INDEX(技能数据库!$B$2:$I$100,MATCH(阵眼收益计算!$E198,技能数据库!$B$2:$B$100,0),MATCH(J$9,技能数据库!$B$2:$I$2,0))</f>
        <v>2</v>
      </c>
      <c r="K198">
        <f ca="1">INDEX(技能数据库!$B$2:$I$100,MATCH(阵眼收益计算!$E198,技能数据库!$B$2:$B$100,0),MATCH(K$9,技能数据库!$B$2:$I$2,0))</f>
        <v>0</v>
      </c>
      <c r="L198">
        <f ca="1" t="shared" si="387"/>
        <v>105847</v>
      </c>
      <c r="M198">
        <f ca="1" t="shared" si="938"/>
        <v>19530.5</v>
      </c>
      <c r="N198">
        <f ca="1" t="shared" si="939"/>
        <v>92028</v>
      </c>
      <c r="O198">
        <f ca="1" t="shared" si="883"/>
        <v>263576.83125</v>
      </c>
      <c r="P198">
        <f ca="1">IF(G198="恒定伤害",0,(IF(D198="轻剑",$AZ$2,$AZ$3)+IFERROR(INDEX(技能数据库!$T$2:$W$27,MATCH(E198,技能数据库!$T$2:$T$27,0),4),0)+COUNTIF(G198,"*造化2*")*154+COUNTIF(G198,"*造化1*")*102+COUNTIF(G198,"*碧归*")*307)/1024)</f>
        <v>0.636829084429785</v>
      </c>
      <c r="Q198">
        <f ca="1" t="shared" si="884"/>
        <v>0.448284482196154</v>
      </c>
      <c r="R198">
        <f ca="1" t="shared" si="885"/>
        <v>0.21277697966198</v>
      </c>
      <c r="S198">
        <f ca="1" t="shared" si="940"/>
        <v>491883.470680767</v>
      </c>
      <c r="T198">
        <f t="shared" si="941"/>
        <v>0.8</v>
      </c>
      <c r="U198">
        <f ca="1" t="shared" si="887"/>
        <v>1.7800129648</v>
      </c>
      <c r="V198">
        <f ca="1" t="shared" si="942"/>
        <v>1093953.94053068</v>
      </c>
      <c r="W198">
        <f ca="1">IF(G198="恒定伤害",0,MIN(1,IF(COUNTIF(F198,"*内会*")&gt;0,内会2,IF(D198="轻剑",$Y$2,$Y$3)+COUNTIF(G198,"*莺鸣*")*0.2+COUNTIF(G198,"*叠1*")*0.1+COUNTIF(G198,"*叠2*")*0.2+COUNTIF(G198,"*叠3*")*0.3)+IFERROR(INDEX(技能数据库!$T$2:$W$27,MATCH(E198,技能数据库!$T$2:$T$27,0),2),0)+IF((IF(D198="轻剑",$AO$2,$AO$3)+INT(COUNTIF(G198,"*大莺鸣*")*IF(D198="轻剑",$AM$2,$AM$3)*听晓无双率)/无双系数)&gt;0.9,特效裤子会心/会心系数,0)))</f>
        <v>0.9043</v>
      </c>
      <c r="X198">
        <f ca="1">IF(G198="恒定伤害",0,IF(COUNTIF(F198,"*内会*")&gt;0,内会效2,IF(D198="轻剑",$AB$2,$AB$3))+IFERROR(INDEX(技能数据库!$T$2:$W$27,MATCH(E198,技能数据库!$T$2:$T$27,0),3)/1024,0))+COUNTIF(G198,"*叠1*")*0.25+COUNTIF(G198,"*叠2*")*0.5+COUNTIF(G198,"*叠3*")*0.75</f>
        <v>2.6712723116</v>
      </c>
      <c r="Y198">
        <f ca="1" t="shared" si="943"/>
        <v>2.51133155137988</v>
      </c>
      <c r="Z198">
        <f t="shared" si="890"/>
        <v>0.150390625</v>
      </c>
      <c r="AA198">
        <f ca="1" t="shared" si="944"/>
        <v>0.0205078125</v>
      </c>
      <c r="AB198">
        <f ca="1" t="shared" si="945"/>
        <v>3225260.20163409</v>
      </c>
      <c r="AC198">
        <f ca="1">技能数计算!$AJ190</f>
        <v>0</v>
      </c>
      <c r="AD198" s="164">
        <f ca="1" t="shared" si="893"/>
        <v>0</v>
      </c>
      <c r="AE198" s="168"/>
      <c r="AF198" s="168">
        <f ca="1" t="shared" ref="AF198:AF202" si="946">W198+IF(COUNTIF(F198,"*内会*")&gt;0,0,IF(D198="轻剑",$AF$8-$Y$2,$AF$9-$Y$3))</f>
        <v>0.9057</v>
      </c>
      <c r="AG198">
        <f ca="1">技能数计算!$AJ190</f>
        <v>0</v>
      </c>
      <c r="AH198">
        <f ca="1" t="shared" si="389"/>
        <v>109879</v>
      </c>
      <c r="AJ198">
        <f ca="1" t="shared" ref="AJ198:AJ202" si="947">X198+IF(COUNTIF(F198,"*内会*")&gt;0,0,IF(D198="轻剑",$AJ$8-$AB$2,$AJ$9-$AB$3))</f>
        <v>2.8704910616</v>
      </c>
      <c r="AK198">
        <f ca="1" t="shared" si="896"/>
        <v>272596.63125</v>
      </c>
      <c r="AL198">
        <f ca="1" t="shared" si="897"/>
        <v>3579379.086184</v>
      </c>
      <c r="AM198" s="169">
        <f ca="1" t="shared" ref="AM198:AM202" si="948">W198+IF(COUNTIF(F198,"*内会*")&gt;0,0,IF(D198="轻剑",$AN$8-$Y$2,$AN$9-$Y$3))</f>
        <v>0.9272</v>
      </c>
      <c r="AN198">
        <f ca="1">技能数计算!$AJ190</f>
        <v>0</v>
      </c>
      <c r="AO198" s="170">
        <f ca="1" t="shared" si="899"/>
        <v>3632809.36940005</v>
      </c>
      <c r="AP198">
        <f ca="1" t="shared" si="394"/>
        <v>110956</v>
      </c>
      <c r="AQ198" s="170">
        <f ca="1" t="shared" si="900"/>
        <v>274401.525</v>
      </c>
      <c r="AR198">
        <f ca="1" t="shared" si="901"/>
        <v>3554705.59252401</v>
      </c>
      <c r="AS198">
        <f ca="1" t="shared" ref="AS198:AS202" si="949">W198+IF(COUNTIF(F198,"*内会*")&gt;0,0,IF(D198="轻剑",$AS$8-$Y$2,$AS$9-$Y$3))</f>
        <v>0.9843</v>
      </c>
      <c r="AT198">
        <f ca="1">技能数计算!$AJ190</f>
        <v>0</v>
      </c>
      <c r="AU198">
        <f ca="1" t="shared" ref="AU198:AU202" si="950">X198+IF(COUNTIF(F198,"*内会*")&gt;0,0,IF(D198="轻剑",$AU$8-$AB$2,$AU$9-$AB$3))</f>
        <v>2.8177566866</v>
      </c>
      <c r="AV198">
        <f ca="1" t="shared" si="904"/>
        <v>1.7995442148</v>
      </c>
      <c r="AW198">
        <f ca="1" t="shared" si="905"/>
        <v>3607311.60507072</v>
      </c>
      <c r="AX198">
        <f ca="1" t="shared" ref="AX198:AX202" si="951">$W198+IF(COUNTIF(F198,"*内会*")&gt;0,0,IF(I198="轻剑",AX$8-$Y$2,AX$9-$Y$3))</f>
        <v>0.9743</v>
      </c>
      <c r="AY198">
        <f ca="1">技能数计算!$AJ190</f>
        <v>0</v>
      </c>
      <c r="AZ198" s="170">
        <f ca="1" t="shared" si="907"/>
        <v>3583802.45300625</v>
      </c>
      <c r="BA198">
        <f ca="1" t="shared" ref="BA198:BA202" si="952">$W198+IF(COUNTIF(F198,"*内会*")&gt;0,0,IF(L198="轻剑",BA$8-$Y$2,BA$9-$Y$3))</f>
        <v>0.9643</v>
      </c>
      <c r="BB198">
        <f ca="1">技能数计算!$AJ190</f>
        <v>0</v>
      </c>
      <c r="BC198" s="170">
        <f ca="1" t="shared" si="909"/>
        <v>3560293.30094179</v>
      </c>
      <c r="BE198">
        <f ca="1" t="shared" si="400"/>
        <v>105849</v>
      </c>
      <c r="BF198">
        <f ca="1" t="shared" si="910"/>
        <v>263581.06875</v>
      </c>
      <c r="BI198">
        <f ca="1" t="shared" ref="BI198:BI202" si="953">$W198+IF(COUNTIF(F198,"*内会*")&gt;0,0,IF(T198="轻剑",BI$8-$Y$2,BI$9-$Y$3))</f>
        <v>0.9543</v>
      </c>
      <c r="BJ198">
        <f ca="1">技能数计算!$AJ190</f>
        <v>0</v>
      </c>
      <c r="BK198">
        <f ca="1" t="shared" si="912"/>
        <v>3556906.59614618</v>
      </c>
      <c r="BM198">
        <f ca="1" t="shared" si="403"/>
        <v>109230</v>
      </c>
      <c r="BN198">
        <f ca="1" t="shared" si="913"/>
        <v>270744.5625</v>
      </c>
      <c r="BO198">
        <f ca="1" t="shared" si="914"/>
        <v>3577954.32890629</v>
      </c>
      <c r="BP198">
        <f ca="1" t="shared" si="915"/>
        <v>3412088.70871742</v>
      </c>
      <c r="BR198">
        <f ca="1" t="shared" ref="BR198:BR202" si="954">$W198+IF(T198="轻剑",BI$8-$Y$2,BI$9-$Y$3)</f>
        <v>0.9543</v>
      </c>
      <c r="BS198">
        <f ca="1" t="shared" si="917"/>
        <v>3550394.29814445</v>
      </c>
      <c r="BT198">
        <f ca="1" t="shared" si="918"/>
        <v>0.196995876306796</v>
      </c>
      <c r="BU198">
        <f ca="1" t="shared" ref="BU198:BU202" si="955">X198+IF(D198="轻剑",$AU$8-$AB$2,$AU$9-$AB$3)</f>
        <v>2.8177566866</v>
      </c>
      <c r="BV198">
        <f ca="1" t="shared" si="920"/>
        <v>3582515.15215453</v>
      </c>
      <c r="BW198">
        <f ca="1" t="shared" si="408"/>
        <v>113027</v>
      </c>
      <c r="BX198">
        <f ca="1" t="shared" si="921"/>
        <v>278789.45625</v>
      </c>
      <c r="BY198">
        <f ca="1" t="shared" ref="BY198:BY202" si="956">$W198+IF(COUNTIF(F198,"*内会*")&gt;0,0,IF(AI198="轻剑",BY$8-$Y$2,BY$9-$Y$3))</f>
        <v>0.9343</v>
      </c>
      <c r="BZ198">
        <f ca="1">技能数计算!$AJ190</f>
        <v>0</v>
      </c>
      <c r="CA198">
        <f ca="1" t="shared" ref="CA198:CA202" si="957">X198+IF(COUNTIF(F198,"*内会*")&gt;0,0,IF(D198="轻剑",$CA$8-$AB$2,$CA$9-$AB$3))</f>
        <v>2.8216629366</v>
      </c>
      <c r="CB198">
        <f ca="1" t="shared" si="924"/>
        <v>3670387.31922064</v>
      </c>
      <c r="CC198">
        <f ca="1" t="shared" si="411"/>
        <v>114847</v>
      </c>
      <c r="CD198">
        <f ca="1" t="shared" si="925"/>
        <v>282645.58125</v>
      </c>
      <c r="CE198">
        <f ca="1" t="shared" si="926"/>
        <v>3633188.61062497</v>
      </c>
      <c r="CF198">
        <f ca="1" t="shared" ref="CF198:CF202" si="958">X198+IF(COUNTIF(F198,"*内会*")&gt;0,0,IF(D198="轻剑",$CF$8-$AB$2,$CF$9-$AB$3))</f>
        <v>2.7689285616</v>
      </c>
      <c r="CG198">
        <f ca="1" t="shared" ref="CG198:CG202" si="959">$W198+IF(AI198="轻剑",BY$8-$Y$2,BY$9-$Y$3)</f>
        <v>0.9343</v>
      </c>
      <c r="CH198">
        <f ca="1" t="shared" si="929"/>
        <v>3430765.08408191</v>
      </c>
      <c r="CJ198">
        <f ca="1" t="shared" si="930"/>
        <v>270744.5625</v>
      </c>
      <c r="CK198">
        <f ca="1" t="shared" si="931"/>
        <v>3561746.39080068</v>
      </c>
      <c r="CL198">
        <f ca="1" t="shared" si="932"/>
        <v>2.7915848116</v>
      </c>
      <c r="CM198">
        <f ca="1">IF(G198="恒定伤害",0,(IF(D198="轻剑",$CM$8,$CM$9)+IFERROR(INDEX(技能数据库!$T$2:$W$27,MATCH(E198,技能数据库!$T$2:$T$27,0),4),0)+COUNTIF(G198,"*造化2*")*154+COUNTIF(G198,"*造化1*")*102+COUNTIF(G198,"*碧归*")*307)/1024)</f>
        <v>0.697375959429785</v>
      </c>
      <c r="CN198">
        <f ca="1" t="shared" si="933"/>
        <v>3586059.28704492</v>
      </c>
      <c r="CO198">
        <f ca="1" t="shared" si="934"/>
        <v>2.8156473116</v>
      </c>
      <c r="CP198">
        <f ca="1" t="shared" si="935"/>
        <v>3616210.37749008</v>
      </c>
      <c r="CQ198">
        <f ca="1" t="shared" si="936"/>
        <v>1.8815754648</v>
      </c>
      <c r="CR198">
        <f ca="1">IF(G198="恒定伤害",0,(IF(D198="轻剑",$CR$8,$CR$9)+IFERROR(INDEX(技能数据库!$T$2:$W$27,MATCH(E198,技能数据库!$T$2:$T$27,0),4),0)+COUNTIF(G198,"*造化2*")*154+COUNTIF(G198,"*造化1*")*102+COUNTIF(G198,"*碧归*")*307)/1024)</f>
        <v>0.687610334429785</v>
      </c>
      <c r="CS198">
        <f ca="1" t="shared" si="937"/>
        <v>3446805.49703246</v>
      </c>
    </row>
    <row r="199" spans="4:97">
      <c r="D199" t="s">
        <v>1825</v>
      </c>
      <c r="E199" t="s">
        <v>2780</v>
      </c>
      <c r="G199" t="s">
        <v>3113</v>
      </c>
      <c r="H199">
        <f ca="1">INDEX(技能数据库!$B$2:$I$100,MATCH(阵眼收益计算!$E199,技能数据库!$B$2:$B$100,0),MATCH(H$9,技能数据库!$B$2:$I$2,0))</f>
        <v>252.5</v>
      </c>
      <c r="I199">
        <f ca="1">INDEX(技能数据库!$B$2:$I$100,MATCH(阵眼收益计算!$E199,技能数据库!$B$2:$B$100,0),MATCH(I$9,技能数据库!$B$2:$I$2,0))</f>
        <v>2.11875</v>
      </c>
      <c r="J199">
        <f ca="1">INDEX(技能数据库!$B$2:$I$100,MATCH(阵眼收益计算!$E199,技能数据库!$B$2:$B$100,0),MATCH(J$9,技能数据库!$B$2:$I$2,0))</f>
        <v>2</v>
      </c>
      <c r="K199">
        <f ca="1">INDEX(技能数据库!$B$2:$I$100,MATCH(阵眼收益计算!$E199,技能数据库!$B$2:$B$100,0),MATCH(K$9,技能数据库!$B$2:$I$2,0))</f>
        <v>0</v>
      </c>
      <c r="L199">
        <f ca="1" t="shared" si="387"/>
        <v>105847</v>
      </c>
      <c r="M199">
        <f ca="1" t="shared" si="938"/>
        <v>19530.5</v>
      </c>
      <c r="N199">
        <f ca="1" t="shared" si="939"/>
        <v>92028</v>
      </c>
      <c r="O199">
        <f ca="1" t="shared" si="883"/>
        <v>263576.83125</v>
      </c>
      <c r="P199">
        <f ca="1">IF(G199="恒定伤害",0,(IF(D199="轻剑",$AZ$2,$AZ$3)+IFERROR(INDEX(技能数据库!$T$2:$W$27,MATCH(E199,技能数据库!$T$2:$T$27,0),4),0)+COUNTIF(G199,"*造化2*")*154+COUNTIF(G199,"*造化1*")*102+COUNTIF(G199,"*碧归*")*307)/1024)</f>
        <v>0.636829084429785</v>
      </c>
      <c r="Q199">
        <f ca="1" t="shared" si="884"/>
        <v>0.448284482196154</v>
      </c>
      <c r="R199">
        <f ca="1" t="shared" si="885"/>
        <v>0.21277697966198</v>
      </c>
      <c r="S199">
        <f ca="1" t="shared" si="940"/>
        <v>491883.470680767</v>
      </c>
      <c r="T199">
        <f t="shared" si="941"/>
        <v>0.8</v>
      </c>
      <c r="U199">
        <f ca="1" t="shared" si="887"/>
        <v>1.7800129648</v>
      </c>
      <c r="V199">
        <f ca="1" t="shared" si="942"/>
        <v>1093953.94053068</v>
      </c>
      <c r="W199">
        <f ca="1">IF(G199="恒定伤害",0,MIN(1,IF(COUNTIF(F199,"*内会*")&gt;0,内会2,IF(D199="轻剑",$Y$2,$Y$3)+COUNTIF(G199,"*莺鸣*")*0.2+COUNTIF(G199,"*叠1*")*0.1+COUNTIF(G199,"*叠2*")*0.2+COUNTIF(G199,"*叠3*")*0.3)+IFERROR(INDEX(技能数据库!$T$2:$W$27,MATCH(E199,技能数据库!$T$2:$T$27,0),2),0)+IF((IF(D199="轻剑",$AO$2,$AO$3)+INT(COUNTIF(G199,"*大莺鸣*")*IF(D199="轻剑",$AM$2,$AM$3)*听晓无双率)/无双系数)&gt;0.9,特效裤子会心/会心系数,0)))</f>
        <v>1</v>
      </c>
      <c r="X199">
        <f ca="1">IF(G199="恒定伤害",0,IF(COUNTIF(F199,"*内会*")&gt;0,内会效2,IF(D199="轻剑",$AB$2,$AB$3))+IFERROR(INDEX(技能数据库!$T$2:$W$27,MATCH(E199,技能数据库!$T$2:$T$27,0),3)/1024,0))+COUNTIF(G199,"*叠1*")*0.25+COUNTIF(G199,"*叠2*")*0.5+COUNTIF(G199,"*叠3*")*0.75</f>
        <v>2.9212723116</v>
      </c>
      <c r="Y199">
        <f ca="1" t="shared" si="943"/>
        <v>2.9212723116</v>
      </c>
      <c r="Z199">
        <f t="shared" si="890"/>
        <v>0.150390625</v>
      </c>
      <c r="AA199">
        <f ca="1" t="shared" si="944"/>
        <v>0.0205078125</v>
      </c>
      <c r="AB199">
        <f ca="1" t="shared" si="945"/>
        <v>3751740.11554235</v>
      </c>
      <c r="AC199">
        <f ca="1">技能数计算!$AJ191</f>
        <v>18</v>
      </c>
      <c r="AD199" s="164">
        <f ca="1" t="shared" si="893"/>
        <v>0.024210944223661</v>
      </c>
      <c r="AE199" s="168"/>
      <c r="AF199" s="168">
        <f ca="1" t="shared" si="946"/>
        <v>1.0014</v>
      </c>
      <c r="AG199">
        <f ca="1">技能数计算!$AJ191</f>
        <v>18</v>
      </c>
      <c r="AH199">
        <f ca="1" t="shared" si="389"/>
        <v>109879</v>
      </c>
      <c r="AJ199">
        <f ca="1" t="shared" si="947"/>
        <v>3.1204910616</v>
      </c>
      <c r="AK199">
        <f ca="1" t="shared" si="896"/>
        <v>272596.63125</v>
      </c>
      <c r="AL199">
        <f ca="1" t="shared" si="897"/>
        <v>4145876.12889649</v>
      </c>
      <c r="AM199" s="169">
        <f ca="1" t="shared" si="948"/>
        <v>1.0229</v>
      </c>
      <c r="AN199">
        <f ca="1">技能数计算!$AJ191</f>
        <v>18</v>
      </c>
      <c r="AO199" s="170">
        <f ca="1" t="shared" si="899"/>
        <v>4145876.12889649</v>
      </c>
      <c r="AP199">
        <f ca="1" t="shared" si="394"/>
        <v>110956</v>
      </c>
      <c r="AQ199" s="170">
        <f ca="1" t="shared" si="900"/>
        <v>274401.525</v>
      </c>
      <c r="AR199">
        <f ca="1" t="shared" si="901"/>
        <v>4134962.99109702</v>
      </c>
      <c r="AS199">
        <f ca="1" t="shared" si="949"/>
        <v>1.08</v>
      </c>
      <c r="AT199">
        <f ca="1">技能数计算!$AJ191</f>
        <v>18</v>
      </c>
      <c r="AU199">
        <f ca="1" t="shared" si="950"/>
        <v>3.0677566866</v>
      </c>
      <c r="AV199">
        <f ca="1" t="shared" si="904"/>
        <v>1.7995442148</v>
      </c>
      <c r="AW199">
        <f ca="1" t="shared" si="905"/>
        <v>3967547.41565326</v>
      </c>
      <c r="AX199">
        <f ca="1" t="shared" si="951"/>
        <v>1.07</v>
      </c>
      <c r="AY199">
        <f ca="1">技能数计算!$AJ191</f>
        <v>18</v>
      </c>
      <c r="AZ199" s="170">
        <f ca="1" t="shared" si="907"/>
        <v>3967547.41565326</v>
      </c>
      <c r="BA199">
        <f ca="1" t="shared" si="952"/>
        <v>1.06</v>
      </c>
      <c r="BB199">
        <f ca="1">技能数计算!$AJ191</f>
        <v>18</v>
      </c>
      <c r="BC199" s="170">
        <f ca="1" t="shared" si="909"/>
        <v>3967547.41565326</v>
      </c>
      <c r="BE199">
        <f ca="1" t="shared" si="400"/>
        <v>105849</v>
      </c>
      <c r="BF199">
        <f ca="1" t="shared" si="910"/>
        <v>263581.06875</v>
      </c>
      <c r="BI199">
        <f ca="1" t="shared" si="953"/>
        <v>1.05</v>
      </c>
      <c r="BJ199">
        <f ca="1">技能数计算!$AJ191</f>
        <v>18</v>
      </c>
      <c r="BK199">
        <f ca="1" t="shared" si="912"/>
        <v>4004282.28722732</v>
      </c>
      <c r="BM199">
        <f ca="1" t="shared" si="403"/>
        <v>109230</v>
      </c>
      <c r="BN199">
        <f ca="1" t="shared" si="913"/>
        <v>270744.5625</v>
      </c>
      <c r="BO199">
        <f ca="1" t="shared" si="914"/>
        <v>4162006.76786792</v>
      </c>
      <c r="BP199">
        <f ca="1" t="shared" si="915"/>
        <v>3969065.83840846</v>
      </c>
      <c r="BR199">
        <f ca="1" t="shared" si="954"/>
        <v>1.05</v>
      </c>
      <c r="BS199">
        <f ca="1" t="shared" si="917"/>
        <v>3996950.89439128</v>
      </c>
      <c r="BT199">
        <f ca="1" t="shared" si="918"/>
        <v>0.196995876306796</v>
      </c>
      <c r="BU199">
        <f ca="1" t="shared" si="955"/>
        <v>3.0677566866</v>
      </c>
      <c r="BV199">
        <f ca="1" t="shared" si="920"/>
        <v>4018848.23476751</v>
      </c>
      <c r="BW199">
        <f ca="1" t="shared" si="408"/>
        <v>113027</v>
      </c>
      <c r="BX199">
        <f ca="1" t="shared" si="921"/>
        <v>278789.45625</v>
      </c>
      <c r="BY199">
        <f ca="1" t="shared" si="956"/>
        <v>1.03</v>
      </c>
      <c r="BZ199">
        <f ca="1">技能数计算!$AJ191</f>
        <v>18</v>
      </c>
      <c r="CA199">
        <f ca="1" t="shared" si="957"/>
        <v>3.0716629366</v>
      </c>
      <c r="CB199">
        <f ca="1" t="shared" si="924"/>
        <v>4172567.53184308</v>
      </c>
      <c r="CC199">
        <f ca="1" t="shared" si="411"/>
        <v>114847</v>
      </c>
      <c r="CD199">
        <f ca="1" t="shared" si="925"/>
        <v>282645.58125</v>
      </c>
      <c r="CE199">
        <f ca="1" t="shared" si="926"/>
        <v>4143532.59972295</v>
      </c>
      <c r="CF199">
        <f ca="1" t="shared" si="958"/>
        <v>3.0189285616</v>
      </c>
      <c r="CG199">
        <f ca="1" t="shared" si="959"/>
        <v>1.03</v>
      </c>
      <c r="CH199">
        <f ca="1" t="shared" si="929"/>
        <v>3904397.71998113</v>
      </c>
      <c r="CJ199">
        <f ca="1" t="shared" si="930"/>
        <v>270744.5625</v>
      </c>
      <c r="CK199">
        <f ca="1" t="shared" si="931"/>
        <v>4143153.10404562</v>
      </c>
      <c r="CL199">
        <f ca="1" t="shared" si="932"/>
        <v>3.0415848116</v>
      </c>
      <c r="CM199">
        <f ca="1">IF(G199="恒定伤害",0,(IF(D199="轻剑",$CM$8,$CM$9)+IFERROR(INDEX(技能数据库!$T$2:$W$27,MATCH(E199,技能数据库!$T$2:$T$27,0),4),0)+COUNTIF(G199,"*造化2*")*154+COUNTIF(G199,"*造化1*")*102+COUNTIF(G199,"*碧归*")*307)/1024)</f>
        <v>0.697375959429785</v>
      </c>
      <c r="CN199">
        <f ca="1" t="shared" si="933"/>
        <v>4079208.07443619</v>
      </c>
      <c r="CO199">
        <f ca="1" t="shared" si="934"/>
        <v>3.0656473116</v>
      </c>
      <c r="CP199">
        <f ca="1" t="shared" si="935"/>
        <v>4111479.39033597</v>
      </c>
      <c r="CQ199">
        <f ca="1" t="shared" si="936"/>
        <v>1.8815754648</v>
      </c>
      <c r="CR199">
        <f ca="1">IF(G199="恒定伤害",0,(IF(D199="轻剑",$CR$8,$CR$9)+IFERROR(INDEX(技能数据库!$T$2:$W$27,MATCH(E199,技能数据库!$T$2:$T$27,0),4),0)+COUNTIF(G199,"*造化2*")*154+COUNTIF(G199,"*造化1*")*102+COUNTIF(G199,"*碧归*")*307)/1024)</f>
        <v>0.687610334429785</v>
      </c>
      <c r="CS199">
        <f ca="1" t="shared" si="937"/>
        <v>4009449.67080075</v>
      </c>
    </row>
    <row r="200" spans="4:97">
      <c r="D200" t="s">
        <v>1825</v>
      </c>
      <c r="E200" t="s">
        <v>2808</v>
      </c>
      <c r="G200" t="s">
        <v>3111</v>
      </c>
      <c r="H200">
        <f ca="1">INDEX(技能数据库!$B$2:$I$100,MATCH(阵眼收益计算!$E200,技能数据库!$B$2:$B$100,0),MATCH(H$9,技能数据库!$B$2:$I$2,0))</f>
        <v>535</v>
      </c>
      <c r="I200">
        <f ca="1">INDEX(技能数据库!$B$2:$I$100,MATCH(阵眼收益计算!$E200,技能数据库!$B$2:$B$100,0),MATCH(I$9,技能数据库!$B$2:$I$2,0))</f>
        <v>7.06875</v>
      </c>
      <c r="J200">
        <f ca="1">INDEX(技能数据库!$B$2:$I$100,MATCH(阵眼收益计算!$E200,技能数据库!$B$2:$B$100,0),MATCH(J$9,技能数据库!$B$2:$I$2,0))</f>
        <v>2</v>
      </c>
      <c r="K200">
        <f ca="1">INDEX(技能数据库!$B$2:$I$100,MATCH(阵眼收益计算!$E200,技能数据库!$B$2:$B$100,0),MATCH(K$9,技能数据库!$B$2:$I$2,0))</f>
        <v>0</v>
      </c>
      <c r="L200">
        <f ca="1" t="shared" si="387"/>
        <v>105847</v>
      </c>
      <c r="M200">
        <f ca="1" t="shared" si="938"/>
        <v>19530.5</v>
      </c>
      <c r="N200">
        <f ca="1" t="shared" si="939"/>
        <v>92028</v>
      </c>
      <c r="O200">
        <f ca="1" t="shared" si="883"/>
        <v>787801.98125</v>
      </c>
      <c r="P200">
        <f ca="1">IF(G200="恒定伤害",0,(IF(D200="轻剑",$AZ$2,$AZ$3)+IFERROR(INDEX(技能数据库!$T$2:$W$27,MATCH(E200,技能数据库!$T$2:$T$27,0),4),0)+COUNTIF(G200,"*造化2*")*154+COUNTIF(G200,"*造化1*")*102+COUNTIF(G200,"*碧归*")*307)/1024)</f>
        <v>0.636829084429785</v>
      </c>
      <c r="Q200">
        <f ca="1" t="shared" si="884"/>
        <v>0.448284482196154</v>
      </c>
      <c r="R200">
        <f ca="1" t="shared" si="885"/>
        <v>0.21277697966198</v>
      </c>
      <c r="S200">
        <f ca="1" t="shared" si="940"/>
        <v>1470185.26214426</v>
      </c>
      <c r="T200">
        <f t="shared" si="941"/>
        <v>0.8</v>
      </c>
      <c r="U200">
        <f ca="1" t="shared" si="887"/>
        <v>1.7800129648</v>
      </c>
      <c r="V200">
        <f ca="1" t="shared" si="942"/>
        <v>3269707.27153514</v>
      </c>
      <c r="W200">
        <f ca="1">IF(G200="恒定伤害",0,MIN(1,IF(COUNTIF(F200,"*内会*")&gt;0,内会2,IF(D200="轻剑",$Y$2,$Y$3)+COUNTIF(G200,"*莺鸣*")*0.2+COUNTIF(G200,"*叠1*")*0.1+COUNTIF(G200,"*叠2*")*0.2+COUNTIF(G200,"*叠3*")*0.3)+IFERROR(INDEX(技能数据库!$T$2:$W$27,MATCH(E200,技能数据库!$T$2:$T$27,0),2),0)+IF((IF(D200="轻剑",$AO$2,$AO$3)+INT(COUNTIF(G200,"*大莺鸣*")*IF(D200="轻剑",$AM$2,$AM$3)*听晓无双率)/无双系数)&gt;0.9,特效裤子会心/会心系数,0)))</f>
        <v>0.8043</v>
      </c>
      <c r="X200">
        <f ca="1">IF(G200="恒定伤害",0,IF(COUNTIF(F200,"*内会*")&gt;0,内会效2,IF(D200="轻剑",$AB$2,$AB$3))+IFERROR(INDEX(技能数据库!$T$2:$W$27,MATCH(E200,技能数据库!$T$2:$T$27,0),3)/1024,0))+COUNTIF(G200,"*叠1*")*0.25+COUNTIF(G200,"*叠2*")*0.5+COUNTIF(G200,"*叠3*")*0.75</f>
        <v>2.4212723116</v>
      </c>
      <c r="Y200">
        <f ca="1" t="shared" si="943"/>
        <v>2.14312932021988</v>
      </c>
      <c r="Z200">
        <f t="shared" si="890"/>
        <v>0.150390625</v>
      </c>
      <c r="AA200">
        <f ca="1" t="shared" si="944"/>
        <v>0.0205078125</v>
      </c>
      <c r="AB200">
        <f ca="1" t="shared" si="945"/>
        <v>8226572.29598809</v>
      </c>
      <c r="AC200" s="171">
        <f ca="1">技能数计算!$AJ192</f>
        <v>0</v>
      </c>
      <c r="AD200" s="164">
        <f ca="1" t="shared" si="893"/>
        <v>0</v>
      </c>
      <c r="AE200" s="168"/>
      <c r="AF200" s="168">
        <f ca="1" t="shared" si="946"/>
        <v>0.8057</v>
      </c>
      <c r="AG200" s="171">
        <f ca="1">技能数计算!$AJ192</f>
        <v>0</v>
      </c>
      <c r="AH200">
        <f ca="1" t="shared" si="389"/>
        <v>109879</v>
      </c>
      <c r="AJ200">
        <f ca="1" t="shared" si="947"/>
        <v>2.6204910616</v>
      </c>
      <c r="AK200">
        <f ca="1" t="shared" si="896"/>
        <v>816780.18125</v>
      </c>
      <c r="AL200">
        <f ca="1" t="shared" si="897"/>
        <v>9178413.80990109</v>
      </c>
      <c r="AM200" s="169">
        <f ca="1" t="shared" si="948"/>
        <v>0.8272</v>
      </c>
      <c r="AN200" s="171">
        <f ca="1">技能数计算!$AJ192</f>
        <v>0</v>
      </c>
      <c r="AO200" s="170">
        <f ca="1" t="shared" si="899"/>
        <v>9317109.57021611</v>
      </c>
      <c r="AP200">
        <f ca="1" t="shared" si="394"/>
        <v>110956</v>
      </c>
      <c r="AQ200" s="170">
        <f ca="1" t="shared" si="900"/>
        <v>823916.225</v>
      </c>
      <c r="AR200">
        <f ca="1" t="shared" si="901"/>
        <v>9108450.38592206</v>
      </c>
      <c r="AS200">
        <f ca="1" t="shared" si="949"/>
        <v>0.8843</v>
      </c>
      <c r="AT200" s="171">
        <f ca="1">技能数计算!$AJ192</f>
        <v>0</v>
      </c>
      <c r="AU200">
        <f ca="1" t="shared" si="950"/>
        <v>2.5677566866</v>
      </c>
      <c r="AV200">
        <f ca="1" t="shared" si="904"/>
        <v>1.7995442148</v>
      </c>
      <c r="AW200">
        <f ca="1" t="shared" si="905"/>
        <v>9224616.67850489</v>
      </c>
      <c r="AX200">
        <f ca="1" t="shared" si="951"/>
        <v>0.8743</v>
      </c>
      <c r="AY200" s="171">
        <f ca="1">技能数计算!$AJ192</f>
        <v>0</v>
      </c>
      <c r="AZ200" s="170">
        <f ca="1" t="shared" si="907"/>
        <v>9164014.29405627</v>
      </c>
      <c r="BA200">
        <f ca="1" t="shared" si="952"/>
        <v>0.8643</v>
      </c>
      <c r="BB200" s="171">
        <f ca="1">技能数计算!$AJ192</f>
        <v>0</v>
      </c>
      <c r="BC200" s="170">
        <f ca="1" t="shared" si="909"/>
        <v>9103411.90960764</v>
      </c>
      <c r="BE200">
        <f ca="1" t="shared" si="400"/>
        <v>105849</v>
      </c>
      <c r="BF200">
        <f ca="1" t="shared" si="910"/>
        <v>787816.11875</v>
      </c>
      <c r="BI200">
        <f ca="1" t="shared" si="953"/>
        <v>0.8543</v>
      </c>
      <c r="BJ200" s="171">
        <f ca="1">技能数计算!$AJ192</f>
        <v>0</v>
      </c>
      <c r="BK200">
        <f ca="1" t="shared" si="912"/>
        <v>9071492.63193307</v>
      </c>
      <c r="BM200">
        <f ca="1" t="shared" si="403"/>
        <v>109230</v>
      </c>
      <c r="BN200">
        <f ca="1" t="shared" si="913"/>
        <v>811715.5625</v>
      </c>
      <c r="BO200">
        <f ca="1" t="shared" si="914"/>
        <v>9154260.07918828</v>
      </c>
      <c r="BP200">
        <f ca="1" t="shared" si="915"/>
        <v>8729889.92635044</v>
      </c>
      <c r="BR200">
        <f ca="1" t="shared" si="954"/>
        <v>0.8543</v>
      </c>
      <c r="BS200">
        <f ca="1" t="shared" si="917"/>
        <v>9082729.08310288</v>
      </c>
      <c r="BT200">
        <f ca="1" t="shared" si="918"/>
        <v>0.196995876306796</v>
      </c>
      <c r="BU200">
        <f ca="1" t="shared" si="955"/>
        <v>2.5677566866</v>
      </c>
      <c r="BV200">
        <f ca="1" t="shared" si="920"/>
        <v>9159734.03471991</v>
      </c>
      <c r="BW200">
        <f ca="1" t="shared" si="408"/>
        <v>113027</v>
      </c>
      <c r="BX200">
        <f ca="1" t="shared" si="921"/>
        <v>838555.60625</v>
      </c>
      <c r="BY200">
        <f ca="1" t="shared" si="956"/>
        <v>0.8343</v>
      </c>
      <c r="BZ200" s="171">
        <f ca="1">技能数计算!$AJ192</f>
        <v>0</v>
      </c>
      <c r="CA200">
        <f ca="1" t="shared" si="957"/>
        <v>2.5716629366</v>
      </c>
      <c r="CB200">
        <f ca="1" t="shared" si="924"/>
        <v>9443436.86374564</v>
      </c>
      <c r="CC200">
        <f ca="1" t="shared" si="411"/>
        <v>114847</v>
      </c>
      <c r="CD200">
        <f ca="1" t="shared" si="925"/>
        <v>851420.73125</v>
      </c>
      <c r="CE200">
        <f ca="1" t="shared" si="926"/>
        <v>9339092.99790308</v>
      </c>
      <c r="CF200">
        <f ca="1" t="shared" si="958"/>
        <v>2.5189285616</v>
      </c>
      <c r="CG200">
        <f ca="1" t="shared" si="959"/>
        <v>0.8343</v>
      </c>
      <c r="CH200">
        <f ca="1" t="shared" si="929"/>
        <v>8764132.75686454</v>
      </c>
      <c r="CJ200">
        <f ca="1" t="shared" si="930"/>
        <v>811715.5625</v>
      </c>
      <c r="CK200">
        <f ca="1" t="shared" si="931"/>
        <v>9112791.77995163</v>
      </c>
      <c r="CL200">
        <f ca="1" t="shared" si="932"/>
        <v>2.5415848116</v>
      </c>
      <c r="CM200">
        <f ca="1">IF(G200="恒定伤害",0,(IF(D200="轻剑",$CM$8,$CM$9)+IFERROR(INDEX(技能数据库!$T$2:$W$27,MATCH(E200,技能数据库!$T$2:$T$27,0),4),0)+COUNTIF(G200,"*造化2*")*154+COUNTIF(G200,"*造化1*")*102+COUNTIF(G200,"*碧归*")*307)/1024)</f>
        <v>0.697375959429785</v>
      </c>
      <c r="CN200">
        <f ca="1" t="shared" si="933"/>
        <v>9164090.84599715</v>
      </c>
      <c r="CO200">
        <f ca="1" t="shared" si="934"/>
        <v>2.5656473116</v>
      </c>
      <c r="CP200">
        <f ca="1" t="shared" si="935"/>
        <v>9244563.57961573</v>
      </c>
      <c r="CQ200">
        <f ca="1" t="shared" si="936"/>
        <v>1.8815754648</v>
      </c>
      <c r="CR200">
        <f ca="1">IF(G200="恒定伤害",0,(IF(D200="轻剑",$CR$8,$CR$9)+IFERROR(INDEX(技能数据库!$T$2:$W$27,MATCH(E200,技能数据库!$T$2:$T$27,0),4),0)+COUNTIF(G200,"*造化2*")*154+COUNTIF(G200,"*造化1*")*102+COUNTIF(G200,"*碧归*")*307)/1024)</f>
        <v>0.687610334429785</v>
      </c>
      <c r="CS200">
        <f ca="1" t="shared" si="937"/>
        <v>8791661.08743112</v>
      </c>
    </row>
    <row r="201" spans="4:97">
      <c r="D201" t="s">
        <v>1825</v>
      </c>
      <c r="E201" t="s">
        <v>2808</v>
      </c>
      <c r="G201" t="s">
        <v>3112</v>
      </c>
      <c r="H201">
        <f ca="1">INDEX(技能数据库!$B$2:$I$100,MATCH(阵眼收益计算!$E201,技能数据库!$B$2:$B$100,0),MATCH(H$9,技能数据库!$B$2:$I$2,0))</f>
        <v>535</v>
      </c>
      <c r="I201">
        <f ca="1">INDEX(技能数据库!$B$2:$I$100,MATCH(阵眼收益计算!$E201,技能数据库!$B$2:$B$100,0),MATCH(I$9,技能数据库!$B$2:$I$2,0))</f>
        <v>7.06875</v>
      </c>
      <c r="J201">
        <f ca="1">INDEX(技能数据库!$B$2:$I$100,MATCH(阵眼收益计算!$E201,技能数据库!$B$2:$B$100,0),MATCH(J$9,技能数据库!$B$2:$I$2,0))</f>
        <v>2</v>
      </c>
      <c r="K201">
        <f ca="1">INDEX(技能数据库!$B$2:$I$100,MATCH(阵眼收益计算!$E201,技能数据库!$B$2:$B$100,0),MATCH(K$9,技能数据库!$B$2:$I$2,0))</f>
        <v>0</v>
      </c>
      <c r="L201">
        <f ca="1" t="shared" si="387"/>
        <v>105847</v>
      </c>
      <c r="M201">
        <f ca="1" t="shared" si="938"/>
        <v>19530.5</v>
      </c>
      <c r="N201">
        <f ca="1" t="shared" si="939"/>
        <v>92028</v>
      </c>
      <c r="O201">
        <f ca="1" t="shared" si="883"/>
        <v>787801.98125</v>
      </c>
      <c r="P201">
        <f ca="1">IF(G201="恒定伤害",0,(IF(D201="轻剑",$AZ$2,$AZ$3)+IFERROR(INDEX(技能数据库!$T$2:$W$27,MATCH(E201,技能数据库!$T$2:$T$27,0),4),0)+COUNTIF(G201,"*造化2*")*154+COUNTIF(G201,"*造化1*")*102+COUNTIF(G201,"*碧归*")*307)/1024)</f>
        <v>0.636829084429785</v>
      </c>
      <c r="Q201">
        <f ca="1" t="shared" si="884"/>
        <v>0.448284482196154</v>
      </c>
      <c r="R201">
        <f ca="1" t="shared" si="885"/>
        <v>0.21277697966198</v>
      </c>
      <c r="S201">
        <f ca="1" t="shared" si="940"/>
        <v>1470185.26214426</v>
      </c>
      <c r="T201">
        <f t="shared" si="941"/>
        <v>0.8</v>
      </c>
      <c r="U201">
        <f ca="1" t="shared" si="887"/>
        <v>1.7800129648</v>
      </c>
      <c r="V201">
        <f ca="1" t="shared" si="942"/>
        <v>3269707.27153514</v>
      </c>
      <c r="W201">
        <f ca="1">IF(G201="恒定伤害",0,MIN(1,IF(COUNTIF(F201,"*内会*")&gt;0,内会2,IF(D201="轻剑",$Y$2,$Y$3)+COUNTIF(G201,"*莺鸣*")*0.2+COUNTIF(G201,"*叠1*")*0.1+COUNTIF(G201,"*叠2*")*0.2+COUNTIF(G201,"*叠3*")*0.3)+IFERROR(INDEX(技能数据库!$T$2:$W$27,MATCH(E201,技能数据库!$T$2:$T$27,0),2),0)+IF((IF(D201="轻剑",$AO$2,$AO$3)+INT(COUNTIF(G201,"*大莺鸣*")*IF(D201="轻剑",$AM$2,$AM$3)*听晓无双率)/无双系数)&gt;0.9,特效裤子会心/会心系数,0)))</f>
        <v>0.9043</v>
      </c>
      <c r="X201">
        <f ca="1">IF(G201="恒定伤害",0,IF(COUNTIF(F201,"*内会*")&gt;0,内会效2,IF(D201="轻剑",$AB$2,$AB$3))+IFERROR(INDEX(技能数据库!$T$2:$W$27,MATCH(E201,技能数据库!$T$2:$T$27,0),3)/1024,0))+COUNTIF(G201,"*叠1*")*0.25+COUNTIF(G201,"*叠2*")*0.5+COUNTIF(G201,"*叠3*")*0.75</f>
        <v>2.6712723116</v>
      </c>
      <c r="Y201">
        <f ca="1" t="shared" si="943"/>
        <v>2.51133155137988</v>
      </c>
      <c r="Z201">
        <f t="shared" si="890"/>
        <v>0.150390625</v>
      </c>
      <c r="AA201">
        <f ca="1" t="shared" si="944"/>
        <v>0.0205078125</v>
      </c>
      <c r="AB201">
        <f ca="1" t="shared" si="945"/>
        <v>9639945.83607436</v>
      </c>
      <c r="AC201" s="171">
        <f ca="1">技能数计算!$AJ193</f>
        <v>0</v>
      </c>
      <c r="AD201" s="164">
        <f ca="1" t="shared" si="893"/>
        <v>0</v>
      </c>
      <c r="AE201" s="168"/>
      <c r="AF201" s="168">
        <f ca="1" t="shared" si="946"/>
        <v>0.9057</v>
      </c>
      <c r="AG201" s="171">
        <f ca="1">技能数计算!$AJ193</f>
        <v>0</v>
      </c>
      <c r="AH201">
        <f ca="1" t="shared" si="389"/>
        <v>109879</v>
      </c>
      <c r="AJ201">
        <f ca="1" t="shared" si="947"/>
        <v>2.8704910616</v>
      </c>
      <c r="AK201">
        <f ca="1" t="shared" si="896"/>
        <v>816780.18125</v>
      </c>
      <c r="AL201">
        <f ca="1" t="shared" si="897"/>
        <v>10724879.0469997</v>
      </c>
      <c r="AM201" s="169">
        <f ca="1" t="shared" si="948"/>
        <v>0.9272</v>
      </c>
      <c r="AN201" s="171">
        <f ca="1">技能数计算!$AJ193</f>
        <v>0</v>
      </c>
      <c r="AO201" s="170">
        <f ca="1" t="shared" si="899"/>
        <v>10884971.9880215</v>
      </c>
      <c r="AP201">
        <f ca="1" t="shared" si="394"/>
        <v>110956</v>
      </c>
      <c r="AQ201" s="170">
        <f ca="1" t="shared" si="900"/>
        <v>823916.225</v>
      </c>
      <c r="AR201">
        <f ca="1" t="shared" si="901"/>
        <v>10673335.7723823</v>
      </c>
      <c r="AS201">
        <f ca="1" t="shared" si="949"/>
        <v>0.9843</v>
      </c>
      <c r="AT201" s="171">
        <f ca="1">技能数计算!$AJ193</f>
        <v>0</v>
      </c>
      <c r="AU201">
        <f ca="1" t="shared" si="950"/>
        <v>2.8177566866</v>
      </c>
      <c r="AV201">
        <f ca="1" t="shared" si="904"/>
        <v>1.7995442148</v>
      </c>
      <c r="AW201">
        <f ca="1" t="shared" si="905"/>
        <v>10781855.2032192</v>
      </c>
      <c r="AX201">
        <f ca="1" t="shared" si="951"/>
        <v>0.9743</v>
      </c>
      <c r="AY201" s="171">
        <f ca="1">技能数计算!$AJ193</f>
        <v>0</v>
      </c>
      <c r="AZ201" s="170">
        <f ca="1" t="shared" si="907"/>
        <v>10711588.9492163</v>
      </c>
      <c r="BA201">
        <f ca="1" t="shared" si="952"/>
        <v>0.9643</v>
      </c>
      <c r="BB201" s="171">
        <f ca="1">技能数计算!$AJ193</f>
        <v>0</v>
      </c>
      <c r="BC201" s="170">
        <f ca="1" t="shared" si="909"/>
        <v>10641322.6952133</v>
      </c>
      <c r="BE201">
        <f ca="1" t="shared" si="400"/>
        <v>105849</v>
      </c>
      <c r="BF201">
        <f ca="1" t="shared" si="910"/>
        <v>787816.11875</v>
      </c>
      <c r="BI201">
        <f ca="1" t="shared" si="953"/>
        <v>0.9543</v>
      </c>
      <c r="BJ201" s="171">
        <f ca="1">技能数计算!$AJ193</f>
        <v>0</v>
      </c>
      <c r="BK201">
        <f ca="1" t="shared" si="912"/>
        <v>10631220.0744203</v>
      </c>
      <c r="BM201">
        <f ca="1" t="shared" si="403"/>
        <v>109230</v>
      </c>
      <c r="BN201">
        <f ca="1" t="shared" si="913"/>
        <v>811715.5625</v>
      </c>
      <c r="BO201">
        <f ca="1" t="shared" si="914"/>
        <v>10727015.8405766</v>
      </c>
      <c r="BP201">
        <f ca="1" t="shared" si="915"/>
        <v>10229736.3977401</v>
      </c>
      <c r="BR201">
        <f ca="1" t="shared" si="954"/>
        <v>0.9543</v>
      </c>
      <c r="BS201">
        <f ca="1" t="shared" si="917"/>
        <v>10644388.4900371</v>
      </c>
      <c r="BT201">
        <f ca="1" t="shared" si="918"/>
        <v>0.196995876306796</v>
      </c>
      <c r="BU201">
        <f ca="1" t="shared" si="955"/>
        <v>2.8177566866</v>
      </c>
      <c r="BV201">
        <f ca="1" t="shared" si="920"/>
        <v>10707741.3494229</v>
      </c>
      <c r="BW201">
        <f ca="1" t="shared" si="408"/>
        <v>113027</v>
      </c>
      <c r="BX201">
        <f ca="1" t="shared" si="921"/>
        <v>838555.60625</v>
      </c>
      <c r="BY201">
        <f ca="1" t="shared" si="956"/>
        <v>0.9343</v>
      </c>
      <c r="BZ201" s="171">
        <f ca="1">技能数计算!$AJ193</f>
        <v>0</v>
      </c>
      <c r="CA201">
        <f ca="1" t="shared" si="957"/>
        <v>2.8216629366</v>
      </c>
      <c r="CB201">
        <f ca="1" t="shared" si="924"/>
        <v>11039957.9131909</v>
      </c>
      <c r="CC201">
        <f ca="1" t="shared" si="411"/>
        <v>114847</v>
      </c>
      <c r="CD201">
        <f ca="1" t="shared" si="925"/>
        <v>851420.73125</v>
      </c>
      <c r="CE201">
        <f ca="1" t="shared" si="926"/>
        <v>10944349.7752452</v>
      </c>
      <c r="CF201">
        <f ca="1" t="shared" si="958"/>
        <v>2.7689285616</v>
      </c>
      <c r="CG201">
        <f ca="1" t="shared" si="959"/>
        <v>0.9343</v>
      </c>
      <c r="CH201">
        <f ca="1" t="shared" si="929"/>
        <v>10254177.1885842</v>
      </c>
      <c r="CJ201">
        <f ca="1" t="shared" si="930"/>
        <v>811715.5625</v>
      </c>
      <c r="CK201">
        <f ca="1" t="shared" si="931"/>
        <v>10678423.0434586</v>
      </c>
      <c r="CL201">
        <f ca="1" t="shared" si="932"/>
        <v>2.7915848116</v>
      </c>
      <c r="CM201">
        <f ca="1">IF(G201="恒定伤害",0,(IF(D201="轻剑",$CM$8,$CM$9)+IFERROR(INDEX(技能数据库!$T$2:$W$27,MATCH(E201,技能数据库!$T$2:$T$27,0),4),0)+COUNTIF(G201,"*造化2*")*154+COUNTIF(G201,"*造化1*")*102+COUNTIF(G201,"*碧归*")*307)/1024)</f>
        <v>0.697375959429785</v>
      </c>
      <c r="CN201">
        <f ca="1" t="shared" si="933"/>
        <v>10718334.376417</v>
      </c>
      <c r="CO201">
        <f ca="1" t="shared" si="934"/>
        <v>2.8156473116</v>
      </c>
      <c r="CP201">
        <f ca="1" t="shared" si="935"/>
        <v>10808452.6492444</v>
      </c>
      <c r="CQ201">
        <f ca="1" t="shared" si="936"/>
        <v>1.8815754648</v>
      </c>
      <c r="CR201">
        <f ca="1">IF(G201="恒定伤害",0,(IF(D201="轻剑",$CR$8,$CR$9)+IFERROR(INDEX(技能数据库!$T$2:$W$27,MATCH(E201,技能数据库!$T$2:$T$27,0),4),0)+COUNTIF(G201,"*造化2*")*154+COUNTIF(G201,"*造化1*")*102+COUNTIF(G201,"*碧归*")*307)/1024)</f>
        <v>0.687610334429785</v>
      </c>
      <c r="CS201">
        <f ca="1" t="shared" si="937"/>
        <v>10302120.2078647</v>
      </c>
    </row>
    <row r="202" spans="4:97">
      <c r="D202" t="s">
        <v>1825</v>
      </c>
      <c r="E202" t="s">
        <v>2808</v>
      </c>
      <c r="G202" t="s">
        <v>3113</v>
      </c>
      <c r="H202">
        <f ca="1">INDEX(技能数据库!$B$2:$I$100,MATCH(阵眼收益计算!$E202,技能数据库!$B$2:$B$100,0),MATCH(H$9,技能数据库!$B$2:$I$2,0))</f>
        <v>535</v>
      </c>
      <c r="I202">
        <f ca="1">INDEX(技能数据库!$B$2:$I$100,MATCH(阵眼收益计算!$E202,技能数据库!$B$2:$B$100,0),MATCH(I$9,技能数据库!$B$2:$I$2,0))</f>
        <v>7.06875</v>
      </c>
      <c r="J202">
        <f ca="1">INDEX(技能数据库!$B$2:$I$100,MATCH(阵眼收益计算!$E202,技能数据库!$B$2:$B$100,0),MATCH(J$9,技能数据库!$B$2:$I$2,0))</f>
        <v>2</v>
      </c>
      <c r="K202">
        <f ca="1">INDEX(技能数据库!$B$2:$I$100,MATCH(阵眼收益计算!$E202,技能数据库!$B$2:$B$100,0),MATCH(K$9,技能数据库!$B$2:$I$2,0))</f>
        <v>0</v>
      </c>
      <c r="L202">
        <f ca="1" t="shared" ref="L202:L219" si="960">IF(D202="轻剑",$V$2,$V$3)+INT(残雪*(COUNTIF(G202,"*莺鸣*")+COUNTIF(G202,"*叠1*")+COUNTIF(G202,"*叠2*")*2+COUNTIF(G202,"*叠3*")*3)*IF(D202="轻剑",$U$2,$U$3)*154/1024+COUNTIF(G202,"*雾锁*")*205/1024*IF(D202="轻剑",$U$2,$U$3))</f>
        <v>105847</v>
      </c>
      <c r="M202">
        <f ca="1" t="shared" ref="M202:M205" si="961">IF(D202="轻剑",$AU$2+$AV$2,$AU$3+$AV$3)/2</f>
        <v>19530.5</v>
      </c>
      <c r="N202">
        <f ca="1" t="shared" ref="N202:N205" si="962">IF(D202="轻剑",$AJ$2,$AJ$3)</f>
        <v>92028</v>
      </c>
      <c r="O202">
        <f ca="1" t="shared" si="883"/>
        <v>787801.98125</v>
      </c>
      <c r="P202">
        <f ca="1">IF(G202="恒定伤害",0,(IF(D202="轻剑",$AZ$2,$AZ$3)+IFERROR(INDEX(技能数据库!$T$2:$W$27,MATCH(E202,技能数据库!$T$2:$T$27,0),4),0)+COUNTIF(G202,"*造化2*")*154+COUNTIF(G202,"*造化1*")*102+COUNTIF(G202,"*碧归*")*307)/1024)</f>
        <v>0.636829084429785</v>
      </c>
      <c r="Q202">
        <f ca="1" t="shared" si="884"/>
        <v>0.448284482196154</v>
      </c>
      <c r="R202">
        <f ca="1" t="shared" si="885"/>
        <v>0.21277697966198</v>
      </c>
      <c r="S202">
        <f ca="1" t="shared" ref="S202:S205" si="963">O202*(1+P202)*(1+Q202)*(1-R202)</f>
        <v>1470185.26214426</v>
      </c>
      <c r="T202">
        <f t="shared" si="941"/>
        <v>0.8</v>
      </c>
      <c r="U202">
        <f ca="1" t="shared" si="887"/>
        <v>1.7800129648</v>
      </c>
      <c r="V202">
        <f ca="1" t="shared" ref="V202:V205" si="964">S202*T202*(1+U202)</f>
        <v>3269707.27153514</v>
      </c>
      <c r="W202">
        <f ca="1">IF(G202="恒定伤害",0,MIN(1,IF(COUNTIF(F202,"*内会*")&gt;0,内会2,IF(D202="轻剑",$Y$2,$Y$3)+COUNTIF(G202,"*莺鸣*")*0.2+COUNTIF(G202,"*叠1*")*0.1+COUNTIF(G202,"*叠2*")*0.2+COUNTIF(G202,"*叠3*")*0.3)+IFERROR(INDEX(技能数据库!$T$2:$W$27,MATCH(E202,技能数据库!$T$2:$T$27,0),2),0)+IF((IF(D202="轻剑",$AO$2,$AO$3)+INT(COUNTIF(G202,"*大莺鸣*")*IF(D202="轻剑",$AM$2,$AM$3)*听晓无双率)/无双系数)&gt;0.9,特效裤子会心/会心系数,0)))</f>
        <v>1</v>
      </c>
      <c r="X202">
        <f ca="1">IF(G202="恒定伤害",0,IF(COUNTIF(F202,"*内会*")&gt;0,内会效2,IF(D202="轻剑",$AB$2,$AB$3))+IFERROR(INDEX(技能数据库!$T$2:$W$27,MATCH(E202,技能数据库!$T$2:$T$27,0),3)/1024,0))+COUNTIF(G202,"*叠1*")*0.25+COUNTIF(G202,"*叠2*")*0.5+COUNTIF(G202,"*叠3*")*0.75</f>
        <v>2.9212723116</v>
      </c>
      <c r="Y202">
        <f ca="1" t="shared" ref="Y202:Y205" si="965">1+W202*(X202-1)</f>
        <v>2.9212723116</v>
      </c>
      <c r="Z202">
        <f t="shared" si="890"/>
        <v>0.150390625</v>
      </c>
      <c r="AA202">
        <f ca="1" t="shared" ref="AA202:AA205" si="966">IF(D202="轻剑",$BA$2,$BA$3)/1024</f>
        <v>0.0205078125</v>
      </c>
      <c r="AB202">
        <f ca="1" t="shared" ref="AB202:AB205" si="967">V202*Y202*(1+Z202)*(1+AA202)</f>
        <v>11213536.0385905</v>
      </c>
      <c r="AC202">
        <f ca="1">技能数计算!$AJ194</f>
        <v>0</v>
      </c>
      <c r="AD202" s="164">
        <f ca="1" t="shared" si="893"/>
        <v>0</v>
      </c>
      <c r="AE202" s="168"/>
      <c r="AF202" s="168">
        <f ca="1" t="shared" si="946"/>
        <v>1.0014</v>
      </c>
      <c r="AG202">
        <f ca="1">技能数计算!$AJ194</f>
        <v>0</v>
      </c>
      <c r="AH202">
        <f ca="1" t="shared" ref="AH202:AH219" si="968">IF(D202="轻剑",$AH$8,$AH$9)+INT(残雪*(COUNTIF(G202,"*莺鸣*")+COUNTIF(G202,"*叠1*")+COUNTIF(G202,"*叠2*")*2+COUNTIF(G202,"*叠3*")*3)*IF(D202="轻剑",$U$2,$U$3)*154/1024+COUNTIF(G202,"*雾锁*")*205/1024*IF(D202="轻剑",$U$2,$U$3))</f>
        <v>109879</v>
      </c>
      <c r="AJ202">
        <f ca="1" t="shared" si="947"/>
        <v>3.1204910616</v>
      </c>
      <c r="AK202">
        <f ca="1" t="shared" si="896"/>
        <v>816780.18125</v>
      </c>
      <c r="AL202">
        <f ca="1" t="shared" si="897"/>
        <v>12422271.839796</v>
      </c>
      <c r="AM202" s="169">
        <f ca="1" t="shared" si="948"/>
        <v>1.0229</v>
      </c>
      <c r="AN202">
        <f ca="1">技能数计算!$AJ194</f>
        <v>0</v>
      </c>
      <c r="AO202" s="170">
        <f ca="1" t="shared" si="899"/>
        <v>12422271.839796</v>
      </c>
      <c r="AP202">
        <f ca="1" t="shared" ref="AP202:AP219" si="969">IF(D202="轻剑",$AP$8,$AP$9)+INT(残雪*(COUNTIF(G202,"*莺鸣*")+COUNTIF(G202,"*叠1*")+COUNTIF(G202,"*叠2*")*2+COUNTIF(G202,"*叠3*")*3)*IF(D202="轻剑",$U$2,$U$3)*154/1024+COUNTIF(G202,"*雾锁*")*205/1024*IF(D202="轻剑",$U$2,$U$3))</f>
        <v>110956</v>
      </c>
      <c r="AQ202" s="170">
        <f ca="1" t="shared" si="900"/>
        <v>823916.225</v>
      </c>
      <c r="AR202">
        <f ca="1" t="shared" si="901"/>
        <v>12415612.8437674</v>
      </c>
      <c r="AS202">
        <f ca="1" t="shared" si="949"/>
        <v>1.08</v>
      </c>
      <c r="AT202">
        <f ca="1">技能数计算!$AJ194</f>
        <v>0</v>
      </c>
      <c r="AU202">
        <f ca="1" t="shared" si="950"/>
        <v>3.0677566866</v>
      </c>
      <c r="AV202">
        <f ca="1" t="shared" si="904"/>
        <v>1.7995442148</v>
      </c>
      <c r="AW202">
        <f ca="1" t="shared" si="905"/>
        <v>11858560.177432</v>
      </c>
      <c r="AX202">
        <f ca="1" t="shared" si="951"/>
        <v>1.07</v>
      </c>
      <c r="AY202">
        <f ca="1">技能数计算!$AJ194</f>
        <v>0</v>
      </c>
      <c r="AZ202" s="170">
        <f ca="1" t="shared" si="907"/>
        <v>11858560.177432</v>
      </c>
      <c r="BA202">
        <f ca="1" t="shared" si="952"/>
        <v>1.06</v>
      </c>
      <c r="BB202">
        <f ca="1">技能数计算!$AJ194</f>
        <v>0</v>
      </c>
      <c r="BC202" s="170">
        <f ca="1" t="shared" si="909"/>
        <v>11858560.177432</v>
      </c>
      <c r="BE202">
        <f ca="1" t="shared" ref="BE202:BE219" si="970">IF(D202="轻剑",$BF$8,$BF$9)+INT(残雪*(COUNTIF(G202,"*莺鸣*")+COUNTIF(G202,"*叠1*")+COUNTIF(G202,"*叠2*")*2+COUNTIF(G202,"*叠3*")*3)*IF(D202="轻剑",$BE$8,$BE$9)*154/1024+COUNTIF(G202,"*雾锁*")*205/1024*IF(D202="轻剑",$BE$8,$BE$9))</f>
        <v>105849</v>
      </c>
      <c r="BF202">
        <f ca="1" t="shared" si="910"/>
        <v>787816.11875</v>
      </c>
      <c r="BI202">
        <f ca="1" t="shared" si="953"/>
        <v>1.05</v>
      </c>
      <c r="BJ202">
        <f ca="1">技能数计算!$AJ194</f>
        <v>0</v>
      </c>
      <c r="BK202">
        <f ca="1" t="shared" si="912"/>
        <v>11968379.007124</v>
      </c>
      <c r="BM202">
        <f ca="1" t="shared" ref="BM202:BM219" si="971">IF(D202="轻剑",$BN$8,$BN$9)+INT(残雪*(COUNTIF(G202,"*莺鸣*")+COUNTIF(G202,"*叠1*")+COUNTIF(G202,"*叠2*")*2+COUNTIF(G202,"*叠3*")*3)*IF(D202="轻剑",$U$2,$U$3)*154/1024+COUNTIF(G202,"*雾锁*")*205/1024*IF(D202="轻剑",$U$2,$U$3))</f>
        <v>109230</v>
      </c>
      <c r="BN202">
        <f ca="1" t="shared" si="913"/>
        <v>811715.5625</v>
      </c>
      <c r="BO202">
        <f ca="1" t="shared" si="914"/>
        <v>12478055.4538698</v>
      </c>
      <c r="BP202">
        <f ca="1" t="shared" si="915"/>
        <v>11899601.8973539</v>
      </c>
      <c r="BR202">
        <f ca="1" t="shared" si="954"/>
        <v>1.05</v>
      </c>
      <c r="BS202">
        <f ca="1" t="shared" si="917"/>
        <v>11983203.7015543</v>
      </c>
      <c r="BT202">
        <f ca="1" t="shared" si="918"/>
        <v>0.196995876306796</v>
      </c>
      <c r="BU202">
        <f ca="1" t="shared" si="955"/>
        <v>3.0677566866</v>
      </c>
      <c r="BV202">
        <f ca="1" t="shared" si="920"/>
        <v>12011892.6488267</v>
      </c>
      <c r="BW202">
        <f ca="1" t="shared" ref="BW202:BW219" si="972">IF(D202="轻剑",$BW$8,$BW$9)+INT(残雪*(COUNTIF(G202,"*莺鸣*")+COUNTIF(G202,"*叠1*")+COUNTIF(G202,"*叠2*")*2+COUNTIF(G202,"*叠3*")*3)*IF(D202="轻剑",$U$2,$U$3)*154/1024+COUNTIF(G202,"*雾锁*")*205/1024*IF(D202="轻剑",$U$2,$U$3))</f>
        <v>113027</v>
      </c>
      <c r="BX202">
        <f ca="1" t="shared" si="921"/>
        <v>838555.60625</v>
      </c>
      <c r="BY202">
        <f ca="1" t="shared" si="956"/>
        <v>1.03</v>
      </c>
      <c r="BZ202">
        <f ca="1">技能数计算!$AJ194</f>
        <v>0</v>
      </c>
      <c r="CA202">
        <f ca="1" t="shared" si="957"/>
        <v>3.0716629366</v>
      </c>
      <c r="CB202">
        <f ca="1" t="shared" si="924"/>
        <v>12550438.3965875</v>
      </c>
      <c r="CC202">
        <f ca="1" t="shared" ref="CC202:CC219" si="973">IF(D202="轻剑",$CC$8,$CC$9)+INT(残雪*(COUNTIF(G202,"*莺鸣*")+COUNTIF(G202,"*叠1*")+COUNTIF(G202,"*叠2*")*2+COUNTIF(G202,"*叠3*")*3)*IF(D202="轻剑",$U$2,$U$3)*154/1024+COUNTIF(G202,"*雾锁*")*205/1024*IF(D202="轻剑",$U$2,$U$3))</f>
        <v>114847</v>
      </c>
      <c r="CD202">
        <f ca="1" t="shared" si="925"/>
        <v>851420.73125</v>
      </c>
      <c r="CE202">
        <f ca="1" t="shared" si="926"/>
        <v>12481672.4196155</v>
      </c>
      <c r="CF202">
        <f ca="1" t="shared" si="958"/>
        <v>3.0189285616</v>
      </c>
      <c r="CG202">
        <f ca="1" t="shared" si="959"/>
        <v>1.03</v>
      </c>
      <c r="CH202">
        <f ca="1" t="shared" si="929"/>
        <v>11669812.7251999</v>
      </c>
      <c r="CJ202">
        <f ca="1" t="shared" si="930"/>
        <v>811715.5625</v>
      </c>
      <c r="CK202">
        <f ca="1" t="shared" si="931"/>
        <v>12421530.5427381</v>
      </c>
      <c r="CL202">
        <f ca="1" t="shared" si="932"/>
        <v>3.0415848116</v>
      </c>
      <c r="CM202">
        <f ca="1">IF(G202="恒定伤害",0,(IF(D202="轻剑",$CM$8,$CM$9)+IFERROR(INDEX(技能数据库!$T$2:$W$27,MATCH(E202,技能数据库!$T$2:$T$27,0),4),0)+COUNTIF(G202,"*造化2*")*154+COUNTIF(G202,"*造化1*")*102+COUNTIF(G202,"*碧归*")*307)/1024)</f>
        <v>0.697375959429785</v>
      </c>
      <c r="CN202">
        <f ca="1" t="shared" si="933"/>
        <v>12192301.5301893</v>
      </c>
      <c r="CO202">
        <f ca="1" t="shared" si="934"/>
        <v>3.0656473116</v>
      </c>
      <c r="CP202">
        <f ca="1" t="shared" si="935"/>
        <v>12288756.9222768</v>
      </c>
      <c r="CQ202">
        <f ca="1" t="shared" si="936"/>
        <v>1.8815754648</v>
      </c>
      <c r="CR202">
        <f ca="1">IF(G202="恒定伤害",0,(IF(D202="轻剑",$CR$8,$CR$9)+IFERROR(INDEX(技能数据库!$T$2:$W$27,MATCH(E202,技能数据库!$T$2:$T$27,0),4),0)+COUNTIF(G202,"*造化2*")*154+COUNTIF(G202,"*造化1*")*102+COUNTIF(G202,"*碧归*")*307)/1024)</f>
        <v>0.687610334429785</v>
      </c>
      <c r="CS202">
        <f ca="1" t="shared" si="937"/>
        <v>11983801.3811731</v>
      </c>
    </row>
    <row r="203" spans="4:97">
      <c r="D203" t="s">
        <v>1825</v>
      </c>
      <c r="E203" t="s">
        <v>2768</v>
      </c>
      <c r="G203" t="s">
        <v>3111</v>
      </c>
      <c r="H203">
        <f ca="1">INDEX(技能数据库!$B$2:$I$100,MATCH(阵眼收益计算!$E203,技能数据库!$B$2:$B$100,0),MATCH(H$9,技能数据库!$B$2:$I$2,0))</f>
        <v>210</v>
      </c>
      <c r="I203">
        <f ca="1">INDEX(技能数据库!$B$2:$I$100,MATCH(阵眼收益计算!$E203,技能数据库!$B$2:$B$100,0),MATCH(I$9,技能数据库!$B$2:$I$2,0))</f>
        <v>5.7875</v>
      </c>
      <c r="J203">
        <f ca="1">INDEX(技能数据库!$B$2:$I$100,MATCH(阵眼收益计算!$E203,技能数据库!$B$2:$B$100,0),MATCH(J$9,技能数据库!$B$2:$I$2,0))</f>
        <v>2</v>
      </c>
      <c r="K203">
        <f ca="1">INDEX(技能数据库!$B$2:$I$100,MATCH(阵眼收益计算!$E203,技能数据库!$B$2:$B$100,0),MATCH(K$9,技能数据库!$B$2:$I$2,0))</f>
        <v>0</v>
      </c>
      <c r="L203">
        <f ca="1" t="shared" si="960"/>
        <v>105847</v>
      </c>
      <c r="M203">
        <f ca="1" t="shared" si="961"/>
        <v>19530.5</v>
      </c>
      <c r="N203">
        <f ca="1" t="shared" si="962"/>
        <v>92028</v>
      </c>
      <c r="O203">
        <f ca="1" t="shared" si="883"/>
        <v>651860.5125</v>
      </c>
      <c r="P203">
        <f ca="1">IF(G203="恒定伤害",0,(IF(D203="轻剑",$AZ$2,$AZ$3)+IFERROR(INDEX(技能数据库!$T$2:$W$27,MATCH(E203,技能数据库!$T$2:$T$27,0),4),0)+COUNTIF(G203,"*造化2*")*154+COUNTIF(G203,"*造化1*")*102+COUNTIF(G203,"*碧归*")*307)/1024)</f>
        <v>0.686633771929785</v>
      </c>
      <c r="Q203">
        <f ca="1" t="shared" si="884"/>
        <v>0.448284482196154</v>
      </c>
      <c r="R203">
        <f ca="1" t="shared" si="885"/>
        <v>0.21277697966198</v>
      </c>
      <c r="S203">
        <f ca="1" t="shared" si="963"/>
        <v>1253508.05389526</v>
      </c>
      <c r="T203">
        <f t="shared" si="941"/>
        <v>0.8</v>
      </c>
      <c r="U203">
        <f ca="1" t="shared" si="887"/>
        <v>1.7800129648</v>
      </c>
      <c r="V203">
        <f ca="1" t="shared" si="964"/>
        <v>2787814.91304804</v>
      </c>
      <c r="W203">
        <f ca="1">IF(G203="恒定伤害",0,MIN(1,IF(COUNTIF(F203,"*内会*")&gt;0,内会2,IF(D203="轻剑",$Y$2,$Y$3)+COUNTIF(G203,"*莺鸣*")*0.2+COUNTIF(G203,"*叠1*")*0.1+COUNTIF(G203,"*叠2*")*0.2+COUNTIF(G203,"*叠3*")*0.3)+IFERROR(INDEX(技能数据库!$T$2:$W$27,MATCH(E203,技能数据库!$T$2:$T$27,0),2),0)+IF((IF(D203="轻剑",$AO$2,$AO$3)+INT(COUNTIF(G203,"*大莺鸣*")*IF(D203="轻剑",$AM$2,$AM$3)*听晓无双率)/无双系数)&gt;0.9,特效裤子会心/会心系数,0)))</f>
        <v>0.8043</v>
      </c>
      <c r="X203">
        <f ca="1">IF(G203="恒定伤害",0,IF(COUNTIF(F203,"*内会*")&gt;0,内会效2,IF(D203="轻剑",$AB$2,$AB$3))+IFERROR(INDEX(技能数据库!$T$2:$W$27,MATCH(E203,技能数据库!$T$2:$T$27,0),3)/1024,0))+COUNTIF(G203,"*叠1*")*0.25+COUNTIF(G203,"*叠2*")*0.5+COUNTIF(G203,"*叠3*")*0.75</f>
        <v>2.4212723116</v>
      </c>
      <c r="Y203">
        <f ca="1" t="shared" si="965"/>
        <v>2.14312932021988</v>
      </c>
      <c r="Z203">
        <f t="shared" si="890"/>
        <v>0.150390625</v>
      </c>
      <c r="AA203">
        <f ca="1" t="shared" si="966"/>
        <v>0.0205078125</v>
      </c>
      <c r="AB203">
        <f ca="1" t="shared" si="967"/>
        <v>7014132.77258173</v>
      </c>
      <c r="AC203">
        <f ca="1">技能数计算!$AJ195</f>
        <v>0</v>
      </c>
      <c r="AD203" s="164">
        <f ca="1" t="shared" si="893"/>
        <v>0</v>
      </c>
      <c r="AE203" s="168"/>
      <c r="AF203" s="168">
        <f ca="1" t="shared" ref="AF203:AF209" si="974">W203+IF(COUNTIF(F203,"*内会*")&gt;0,0,IF(D203="轻剑",$AF$8-$Y$2,$AF$9-$Y$3))</f>
        <v>0.8057</v>
      </c>
      <c r="AG203">
        <f ca="1">技能数计算!$AJ195</f>
        <v>0</v>
      </c>
      <c r="AH203">
        <f ca="1" t="shared" si="968"/>
        <v>109879</v>
      </c>
      <c r="AJ203">
        <f ca="1" t="shared" ref="AJ203:AJ209" si="975">X203+IF(COUNTIF(F203,"*内会*")&gt;0,0,IF(D203="轻剑",$AJ$8-$AB$2,$AJ$9-$AB$3))</f>
        <v>2.6204910616</v>
      </c>
      <c r="AK203">
        <f ca="1" t="shared" si="896"/>
        <v>675672.7125</v>
      </c>
      <c r="AL203">
        <f ca="1" t="shared" si="897"/>
        <v>7823773.72466028</v>
      </c>
      <c r="AM203" s="169">
        <f ca="1" t="shared" ref="AM203:AM209" si="976">W203+IF(COUNTIF(F203,"*内会*")&gt;0,0,IF(D203="轻剑",$AN$8-$Y$2,$AN$9-$Y$3))</f>
        <v>0.8272</v>
      </c>
      <c r="AN203">
        <f ca="1">技能数计算!$AJ195</f>
        <v>0</v>
      </c>
      <c r="AO203" s="170">
        <f ca="1" t="shared" si="899"/>
        <v>7941999.408068</v>
      </c>
      <c r="AP203">
        <f ca="1" t="shared" si="969"/>
        <v>110956</v>
      </c>
      <c r="AQ203" s="170">
        <f ca="1" t="shared" si="900"/>
        <v>681428.85</v>
      </c>
      <c r="AR203">
        <f ca="1" t="shared" si="901"/>
        <v>7762460.74732345</v>
      </c>
      <c r="AS203">
        <f ca="1" t="shared" ref="AS203:AS209" si="977">W203+IF(COUNTIF(F203,"*内会*")&gt;0,0,IF(D203="轻剑",$AS$8-$Y$2,$AS$9-$Y$3))</f>
        <v>0.8843</v>
      </c>
      <c r="AT203">
        <f ca="1">技能数计算!$AJ195</f>
        <v>0</v>
      </c>
      <c r="AU203">
        <f ca="1" t="shared" ref="AU203:AU209" si="978">X203+IF(COUNTIF(F203,"*内会*")&gt;0,0,IF(D203="轻剑",$AU$8-$AB$2,$AU$9-$AB$3))</f>
        <v>2.5677566866</v>
      </c>
      <c r="AV203">
        <f ca="1" t="shared" si="904"/>
        <v>1.7995442148</v>
      </c>
      <c r="AW203">
        <f ca="1" t="shared" si="905"/>
        <v>7865084.48856145</v>
      </c>
      <c r="AX203">
        <f ca="1" t="shared" ref="AX203:AX209" si="979">$W203+IF(COUNTIF(F203,"*内会*")&gt;0,0,IF(I203="轻剑",AX$8-$Y$2,AX$9-$Y$3))</f>
        <v>0.8743</v>
      </c>
      <c r="AY203">
        <f ca="1">技能数计算!$AJ195</f>
        <v>0</v>
      </c>
      <c r="AZ203" s="170">
        <f ca="1" t="shared" si="907"/>
        <v>7813413.73729788</v>
      </c>
      <c r="BA203">
        <f ca="1" t="shared" ref="BA203:BA209" si="980">$W203+IF(COUNTIF(F203,"*内会*")&gt;0,0,IF(L203="轻剑",BA$8-$Y$2,BA$9-$Y$3))</f>
        <v>0.8643</v>
      </c>
      <c r="BB203">
        <f ca="1">技能数计算!$AJ195</f>
        <v>0</v>
      </c>
      <c r="BC203" s="170">
        <f ca="1" t="shared" si="909"/>
        <v>7761742.98603432</v>
      </c>
      <c r="BE203">
        <f ca="1" t="shared" si="970"/>
        <v>105849</v>
      </c>
      <c r="BF203">
        <f ca="1" t="shared" si="910"/>
        <v>651872.0875</v>
      </c>
      <c r="BI203">
        <f ca="1" t="shared" ref="BI203:BI209" si="981">$W203+IF(COUNTIF(F203,"*内会*")&gt;0,0,IF(T203="轻剑",BI$8-$Y$2,BI$9-$Y$3))</f>
        <v>0.8543</v>
      </c>
      <c r="BJ203">
        <f ca="1">技能数计算!$AJ195</f>
        <v>0</v>
      </c>
      <c r="BK203">
        <f ca="1" t="shared" si="912"/>
        <v>7734526.54085988</v>
      </c>
      <c r="BM203">
        <f ca="1" t="shared" si="971"/>
        <v>109230</v>
      </c>
      <c r="BN203">
        <f ca="1" t="shared" si="913"/>
        <v>671439.625</v>
      </c>
      <c r="BO203">
        <f ca="1" t="shared" si="914"/>
        <v>7802680.08113513</v>
      </c>
      <c r="BP203">
        <f ca="1" t="shared" si="915"/>
        <v>7440966.02560987</v>
      </c>
      <c r="BR203">
        <f ca="1" t="shared" ref="BR203:BR209" si="982">$W203+IF(T203="轻剑",BI$8-$Y$2,BI$9-$Y$3)</f>
        <v>0.8543</v>
      </c>
      <c r="BS203">
        <f ca="1" t="shared" si="917"/>
        <v>7741710.2732521</v>
      </c>
      <c r="BT203">
        <f ca="1" t="shared" si="918"/>
        <v>0.196995876306796</v>
      </c>
      <c r="BU203">
        <f ca="1" t="shared" ref="BU203:BU209" si="983">X203+IF(D203="轻剑",$AU$8-$AB$2,$AU$9-$AB$3)</f>
        <v>2.5677566866</v>
      </c>
      <c r="BV203">
        <f ca="1" t="shared" si="920"/>
        <v>7809764.30637986</v>
      </c>
      <c r="BW203">
        <f ca="1" t="shared" si="972"/>
        <v>113027</v>
      </c>
      <c r="BX203">
        <f ca="1" t="shared" si="921"/>
        <v>693414.7625</v>
      </c>
      <c r="BY203">
        <f ca="1" t="shared" ref="BY203:BY209" si="984">$W203+IF(COUNTIF(F203,"*内会*")&gt;0,0,IF(AI203="轻剑",BY$8-$Y$2,BY$9-$Y$3))</f>
        <v>0.8343</v>
      </c>
      <c r="BZ203">
        <f ca="1">技能数计算!$AJ195</f>
        <v>0</v>
      </c>
      <c r="CA203">
        <f ca="1" t="shared" ref="CA203:CA209" si="985">X203+IF(COUNTIF(F203,"*内会*")&gt;0,0,IF(D203="轻剑",$CA$8-$AB$2,$CA$9-$AB$3))</f>
        <v>2.5716629366</v>
      </c>
      <c r="CB203">
        <f ca="1" t="shared" si="924"/>
        <v>8046532.25291604</v>
      </c>
      <c r="CC203">
        <f ca="1" t="shared" si="973"/>
        <v>114847</v>
      </c>
      <c r="CD203">
        <f ca="1" t="shared" si="925"/>
        <v>703948.0125</v>
      </c>
      <c r="CE203">
        <f ca="1" t="shared" si="926"/>
        <v>7956435.11319999</v>
      </c>
      <c r="CF203">
        <f ca="1" t="shared" ref="CF203:CF209" si="986">X203+IF(COUNTIF(F203,"*内会*")&gt;0,0,IF(D203="轻剑",$CF$8-$AB$2,$CF$9-$AB$3))</f>
        <v>2.5189285616</v>
      </c>
      <c r="CG203">
        <f ca="1" t="shared" ref="CG203:CG209" si="987">$W203+IF(AI203="轻剑",BY$8-$Y$2,BY$9-$Y$3)</f>
        <v>0.8343</v>
      </c>
      <c r="CH203">
        <f ca="1" t="shared" si="929"/>
        <v>7472467.09582308</v>
      </c>
      <c r="CJ203">
        <f ca="1" t="shared" si="930"/>
        <v>671439.625</v>
      </c>
      <c r="CK203">
        <f ca="1" t="shared" si="931"/>
        <v>7767334.36562634</v>
      </c>
      <c r="CL203">
        <f ca="1" t="shared" si="932"/>
        <v>2.5415848116</v>
      </c>
      <c r="CM203">
        <f ca="1">IF(G203="恒定伤害",0,(IF(D203="轻剑",$CM$8,$CM$9)+IFERROR(INDEX(技能数据库!$T$2:$W$27,MATCH(E203,技能数据库!$T$2:$T$27,0),4),0)+COUNTIF(G203,"*造化2*")*154+COUNTIF(G203,"*造化1*")*102+COUNTIF(G203,"*碧归*")*307)/1024)</f>
        <v>0.747180646929785</v>
      </c>
      <c r="CN203">
        <f ca="1" t="shared" si="933"/>
        <v>7805248.86049946</v>
      </c>
      <c r="CO203">
        <f ca="1" t="shared" si="934"/>
        <v>2.5656473116</v>
      </c>
      <c r="CP203">
        <f ca="1" t="shared" si="935"/>
        <v>7873789.17976659</v>
      </c>
      <c r="CQ203">
        <f ca="1" t="shared" si="936"/>
        <v>1.8815754648</v>
      </c>
      <c r="CR203">
        <f ca="1">IF(G203="恒定伤害",0,(IF(D203="轻剑",$CR$8,$CR$9)+IFERROR(INDEX(技能数据库!$T$2:$W$27,MATCH(E203,技能数据库!$T$2:$T$27,0),4),0)+COUNTIF(G203,"*造化2*")*154+COUNTIF(G203,"*造化1*")*102+COUNTIF(G203,"*碧归*")*307)/1024)</f>
        <v>0.737415021929785</v>
      </c>
      <c r="CS203">
        <f ca="1" t="shared" si="937"/>
        <v>7489277.77956299</v>
      </c>
    </row>
    <row r="204" spans="4:97">
      <c r="D204" t="s">
        <v>1825</v>
      </c>
      <c r="E204" t="s">
        <v>2768</v>
      </c>
      <c r="G204" t="s">
        <v>3112</v>
      </c>
      <c r="H204">
        <f ca="1">INDEX(技能数据库!$B$2:$I$100,MATCH(阵眼收益计算!$E204,技能数据库!$B$2:$B$100,0),MATCH(H$9,技能数据库!$B$2:$I$2,0))</f>
        <v>210</v>
      </c>
      <c r="I204">
        <f ca="1">INDEX(技能数据库!$B$2:$I$100,MATCH(阵眼收益计算!$E204,技能数据库!$B$2:$B$100,0),MATCH(I$9,技能数据库!$B$2:$I$2,0))</f>
        <v>5.7875</v>
      </c>
      <c r="J204">
        <f ca="1">INDEX(技能数据库!$B$2:$I$100,MATCH(阵眼收益计算!$E204,技能数据库!$B$2:$B$100,0),MATCH(J$9,技能数据库!$B$2:$I$2,0))</f>
        <v>2</v>
      </c>
      <c r="K204">
        <f ca="1">INDEX(技能数据库!$B$2:$I$100,MATCH(阵眼收益计算!$E204,技能数据库!$B$2:$B$100,0),MATCH(K$9,技能数据库!$B$2:$I$2,0))</f>
        <v>0</v>
      </c>
      <c r="L204">
        <f ca="1" t="shared" si="960"/>
        <v>105847</v>
      </c>
      <c r="M204">
        <f ca="1" t="shared" si="961"/>
        <v>19530.5</v>
      </c>
      <c r="N204">
        <f ca="1" t="shared" si="962"/>
        <v>92028</v>
      </c>
      <c r="O204">
        <f ca="1" t="shared" si="883"/>
        <v>651860.5125</v>
      </c>
      <c r="P204">
        <f ca="1">IF(G204="恒定伤害",0,(IF(D204="轻剑",$AZ$2,$AZ$3)+IFERROR(INDEX(技能数据库!$T$2:$W$27,MATCH(E204,技能数据库!$T$2:$T$27,0),4),0)+COUNTIF(G204,"*造化2*")*154+COUNTIF(G204,"*造化1*")*102+COUNTIF(G204,"*碧归*")*307)/1024)</f>
        <v>0.686633771929785</v>
      </c>
      <c r="Q204">
        <f ca="1" t="shared" si="884"/>
        <v>0.448284482196154</v>
      </c>
      <c r="R204">
        <f ca="1" t="shared" si="885"/>
        <v>0.21277697966198</v>
      </c>
      <c r="S204">
        <f ca="1" t="shared" si="963"/>
        <v>1253508.05389526</v>
      </c>
      <c r="T204">
        <f t="shared" si="941"/>
        <v>0.8</v>
      </c>
      <c r="U204">
        <f ca="1" t="shared" si="887"/>
        <v>1.7800129648</v>
      </c>
      <c r="V204">
        <f ca="1" t="shared" si="964"/>
        <v>2787814.91304804</v>
      </c>
      <c r="W204">
        <f ca="1">IF(G204="恒定伤害",0,MIN(1,IF(COUNTIF(F204,"*内会*")&gt;0,内会2,IF(D204="轻剑",$Y$2,$Y$3)+COUNTIF(G204,"*莺鸣*")*0.2+COUNTIF(G204,"*叠1*")*0.1+COUNTIF(G204,"*叠2*")*0.2+COUNTIF(G204,"*叠3*")*0.3)+IFERROR(INDEX(技能数据库!$T$2:$W$27,MATCH(E204,技能数据库!$T$2:$T$27,0),2),0)+IF((IF(D204="轻剑",$AO$2,$AO$3)+INT(COUNTIF(G204,"*大莺鸣*")*IF(D204="轻剑",$AM$2,$AM$3)*听晓无双率)/无双系数)&gt;0.9,特效裤子会心/会心系数,0)))</f>
        <v>0.9043</v>
      </c>
      <c r="X204">
        <f ca="1">IF(G204="恒定伤害",0,IF(COUNTIF(F204,"*内会*")&gt;0,内会效2,IF(D204="轻剑",$AB$2,$AB$3))+IFERROR(INDEX(技能数据库!$T$2:$W$27,MATCH(E204,技能数据库!$T$2:$T$27,0),3)/1024,0))+COUNTIF(G204,"*叠1*")*0.25+COUNTIF(G204,"*叠2*")*0.5+COUNTIF(G204,"*叠3*")*0.75</f>
        <v>2.6712723116</v>
      </c>
      <c r="Y204">
        <f ca="1" t="shared" si="965"/>
        <v>2.51133155137988</v>
      </c>
      <c r="Z204">
        <f t="shared" si="890"/>
        <v>0.150390625</v>
      </c>
      <c r="AA204">
        <f ca="1" t="shared" si="966"/>
        <v>0.0205078125</v>
      </c>
      <c r="AB204">
        <f ca="1" t="shared" si="967"/>
        <v>8219202.06641795</v>
      </c>
      <c r="AC204">
        <f ca="1">技能数计算!$AJ196</f>
        <v>0</v>
      </c>
      <c r="AD204" s="164">
        <f ca="1" t="shared" si="893"/>
        <v>0</v>
      </c>
      <c r="AE204" s="168"/>
      <c r="AF204" s="168">
        <f ca="1" t="shared" si="974"/>
        <v>0.9057</v>
      </c>
      <c r="AG204">
        <f ca="1">技能数计算!$AJ196</f>
        <v>0</v>
      </c>
      <c r="AH204">
        <f ca="1" t="shared" si="968"/>
        <v>109879</v>
      </c>
      <c r="AJ204">
        <f ca="1" t="shared" si="975"/>
        <v>2.8704910616</v>
      </c>
      <c r="AK204">
        <f ca="1" t="shared" si="896"/>
        <v>675672.7125</v>
      </c>
      <c r="AL204">
        <f ca="1" t="shared" si="897"/>
        <v>9141996.49590434</v>
      </c>
      <c r="AM204" s="169">
        <f ca="1" t="shared" si="976"/>
        <v>0.9272</v>
      </c>
      <c r="AN204">
        <f ca="1">技能数计算!$AJ196</f>
        <v>0</v>
      </c>
      <c r="AO204" s="170">
        <f ca="1" t="shared" si="899"/>
        <v>9278461.35480171</v>
      </c>
      <c r="AP204">
        <f ca="1" t="shared" si="969"/>
        <v>110956</v>
      </c>
      <c r="AQ204" s="170">
        <f ca="1" t="shared" si="900"/>
        <v>681428.85</v>
      </c>
      <c r="AR204">
        <f ca="1" t="shared" si="901"/>
        <v>9096097.19169964</v>
      </c>
      <c r="AS204">
        <f ca="1" t="shared" si="977"/>
        <v>0.9843</v>
      </c>
      <c r="AT204">
        <f ca="1">技能数计算!$AJ196</f>
        <v>0</v>
      </c>
      <c r="AU204">
        <f ca="1" t="shared" si="978"/>
        <v>2.8177566866</v>
      </c>
      <c r="AV204">
        <f ca="1" t="shared" si="904"/>
        <v>1.7995442148</v>
      </c>
      <c r="AW204">
        <f ca="1" t="shared" si="905"/>
        <v>9192815.81795752</v>
      </c>
      <c r="AX204">
        <f ca="1" t="shared" si="979"/>
        <v>0.9743</v>
      </c>
      <c r="AY204">
        <f ca="1">技能数计算!$AJ196</f>
        <v>0</v>
      </c>
      <c r="AZ204" s="170">
        <f ca="1" t="shared" si="907"/>
        <v>9132905.46680815</v>
      </c>
      <c r="BA204">
        <f ca="1" t="shared" si="980"/>
        <v>0.9643</v>
      </c>
      <c r="BB204">
        <f ca="1">技能数计算!$AJ196</f>
        <v>0</v>
      </c>
      <c r="BC204" s="170">
        <f ca="1" t="shared" si="909"/>
        <v>9072995.11565877</v>
      </c>
      <c r="BE204">
        <f ca="1" t="shared" si="970"/>
        <v>105849</v>
      </c>
      <c r="BF204">
        <f ca="1" t="shared" si="910"/>
        <v>651872.0875</v>
      </c>
      <c r="BI204">
        <f ca="1" t="shared" si="981"/>
        <v>0.9543</v>
      </c>
      <c r="BJ204">
        <f ca="1">技能数计算!$AJ196</f>
        <v>0</v>
      </c>
      <c r="BK204">
        <f ca="1" t="shared" si="912"/>
        <v>9064379.71826958</v>
      </c>
      <c r="BM204">
        <f ca="1" t="shared" si="971"/>
        <v>109230</v>
      </c>
      <c r="BN204">
        <f ca="1" t="shared" si="913"/>
        <v>671439.625</v>
      </c>
      <c r="BO204">
        <f ca="1" t="shared" si="914"/>
        <v>9143226.44378154</v>
      </c>
      <c r="BP204">
        <f ca="1" t="shared" si="915"/>
        <v>8719367.7845547</v>
      </c>
      <c r="BR204">
        <f ca="1" t="shared" si="982"/>
        <v>0.9543</v>
      </c>
      <c r="BS204">
        <f ca="1" t="shared" si="917"/>
        <v>9072798.60181126</v>
      </c>
      <c r="BT204">
        <f ca="1" t="shared" si="918"/>
        <v>0.196995876306796</v>
      </c>
      <c r="BU204">
        <f ca="1" t="shared" si="983"/>
        <v>2.8177566866</v>
      </c>
      <c r="BV204">
        <f ca="1" t="shared" si="920"/>
        <v>9129624.92968583</v>
      </c>
      <c r="BW204">
        <f ca="1" t="shared" si="972"/>
        <v>113027</v>
      </c>
      <c r="BX204">
        <f ca="1" t="shared" si="921"/>
        <v>693414.7625</v>
      </c>
      <c r="BY204">
        <f ca="1" t="shared" si="984"/>
        <v>0.9343</v>
      </c>
      <c r="BZ204">
        <f ca="1">技能数计算!$AJ196</f>
        <v>0</v>
      </c>
      <c r="CA204">
        <f ca="1" t="shared" si="985"/>
        <v>2.8216629366</v>
      </c>
      <c r="CB204">
        <f ca="1" t="shared" si="924"/>
        <v>9406890.59513566</v>
      </c>
      <c r="CC204">
        <f ca="1" t="shared" si="973"/>
        <v>114847</v>
      </c>
      <c r="CD204">
        <f ca="1" t="shared" si="925"/>
        <v>703948.0125</v>
      </c>
      <c r="CE204">
        <f ca="1" t="shared" si="926"/>
        <v>9324032.73663247</v>
      </c>
      <c r="CF204">
        <f ca="1" t="shared" si="986"/>
        <v>2.7689285616</v>
      </c>
      <c r="CG204">
        <f ca="1" t="shared" si="987"/>
        <v>0.9343</v>
      </c>
      <c r="CH204">
        <f ca="1" t="shared" si="929"/>
        <v>8742907.45726312</v>
      </c>
      <c r="CJ204">
        <f ca="1" t="shared" si="930"/>
        <v>671439.625</v>
      </c>
      <c r="CK204">
        <f ca="1" t="shared" si="931"/>
        <v>9101808.12631193</v>
      </c>
      <c r="CL204">
        <f ca="1" t="shared" si="932"/>
        <v>2.7915848116</v>
      </c>
      <c r="CM204">
        <f ca="1">IF(G204="恒定伤害",0,(IF(D204="轻剑",$CM$8,$CM$9)+IFERROR(INDEX(技能数据库!$T$2:$W$27,MATCH(E204,技能数据库!$T$2:$T$27,0),4),0)+COUNTIF(G204,"*造化2*")*154+COUNTIF(G204,"*造化1*")*102+COUNTIF(G204,"*碧归*")*307)/1024)</f>
        <v>0.747180646929785</v>
      </c>
      <c r="CN204">
        <f ca="1" t="shared" si="933"/>
        <v>9129030.75535566</v>
      </c>
      <c r="CO204">
        <f ca="1" t="shared" si="934"/>
        <v>2.8156473116</v>
      </c>
      <c r="CP204">
        <f ca="1" t="shared" si="935"/>
        <v>9205786.38317693</v>
      </c>
      <c r="CQ204">
        <f ca="1" t="shared" si="936"/>
        <v>1.8815754648</v>
      </c>
      <c r="CR204">
        <f ca="1">IF(G204="恒定伤害",0,(IF(D204="轻剑",$CR$8,$CR$9)+IFERROR(INDEX(技能数据库!$T$2:$W$27,MATCH(E204,技能数据库!$T$2:$T$27,0),4),0)+COUNTIF(G204,"*造化2*")*154+COUNTIF(G204,"*造化1*")*102+COUNTIF(G204,"*碧归*")*307)/1024)</f>
        <v>0.737415021929785</v>
      </c>
      <c r="CS204">
        <f ca="1" t="shared" si="937"/>
        <v>8775979.78218838</v>
      </c>
    </row>
    <row r="205" spans="4:97">
      <c r="D205" t="s">
        <v>1825</v>
      </c>
      <c r="E205" t="s">
        <v>2768</v>
      </c>
      <c r="G205" t="s">
        <v>3113</v>
      </c>
      <c r="H205">
        <f ca="1">INDEX(技能数据库!$B$2:$I$100,MATCH(阵眼收益计算!$E205,技能数据库!$B$2:$B$100,0),MATCH(H$9,技能数据库!$B$2:$I$2,0))</f>
        <v>210</v>
      </c>
      <c r="I205">
        <f ca="1">INDEX(技能数据库!$B$2:$I$100,MATCH(阵眼收益计算!$E205,技能数据库!$B$2:$B$100,0),MATCH(I$9,技能数据库!$B$2:$I$2,0))</f>
        <v>5.7875</v>
      </c>
      <c r="J205">
        <f ca="1">INDEX(技能数据库!$B$2:$I$100,MATCH(阵眼收益计算!$E205,技能数据库!$B$2:$B$100,0),MATCH(J$9,技能数据库!$B$2:$I$2,0))</f>
        <v>2</v>
      </c>
      <c r="K205">
        <f ca="1">INDEX(技能数据库!$B$2:$I$100,MATCH(阵眼收益计算!$E205,技能数据库!$B$2:$B$100,0),MATCH(K$9,技能数据库!$B$2:$I$2,0))</f>
        <v>0</v>
      </c>
      <c r="L205">
        <f ca="1" t="shared" si="960"/>
        <v>105847</v>
      </c>
      <c r="M205">
        <f ca="1" t="shared" si="961"/>
        <v>19530.5</v>
      </c>
      <c r="N205">
        <f ca="1" t="shared" si="962"/>
        <v>92028</v>
      </c>
      <c r="O205">
        <f ca="1" t="shared" si="883"/>
        <v>651860.5125</v>
      </c>
      <c r="P205">
        <f ca="1">IF(G205="恒定伤害",0,(IF(D205="轻剑",$AZ$2,$AZ$3)+IFERROR(INDEX(技能数据库!$T$2:$W$27,MATCH(E205,技能数据库!$T$2:$T$27,0),4),0)+COUNTIF(G205,"*造化2*")*154+COUNTIF(G205,"*造化1*")*102+COUNTIF(G205,"*碧归*")*307)/1024)</f>
        <v>0.686633771929785</v>
      </c>
      <c r="Q205">
        <f ca="1" t="shared" si="884"/>
        <v>0.448284482196154</v>
      </c>
      <c r="R205">
        <f ca="1" t="shared" si="885"/>
        <v>0.21277697966198</v>
      </c>
      <c r="S205">
        <f ca="1" t="shared" si="963"/>
        <v>1253508.05389526</v>
      </c>
      <c r="T205">
        <f t="shared" si="941"/>
        <v>0.8</v>
      </c>
      <c r="U205">
        <f ca="1" t="shared" si="887"/>
        <v>1.7800129648</v>
      </c>
      <c r="V205">
        <f ca="1" t="shared" si="964"/>
        <v>2787814.91304804</v>
      </c>
      <c r="W205">
        <f ca="1">IF(G205="恒定伤害",0,MIN(1,IF(COUNTIF(F205,"*内会*")&gt;0,内会2,IF(D205="轻剑",$Y$2,$Y$3)+COUNTIF(G205,"*莺鸣*")*0.2+COUNTIF(G205,"*叠1*")*0.1+COUNTIF(G205,"*叠2*")*0.2+COUNTIF(G205,"*叠3*")*0.3)+IFERROR(INDEX(技能数据库!$T$2:$W$27,MATCH(E205,技能数据库!$T$2:$T$27,0),2),0)+IF((IF(D205="轻剑",$AO$2,$AO$3)+INT(COUNTIF(G205,"*大莺鸣*")*IF(D205="轻剑",$AM$2,$AM$3)*听晓无双率)/无双系数)&gt;0.9,特效裤子会心/会心系数,0)))</f>
        <v>1</v>
      </c>
      <c r="X205">
        <f ca="1">IF(G205="恒定伤害",0,IF(COUNTIF(F205,"*内会*")&gt;0,内会效2,IF(D205="轻剑",$AB$2,$AB$3))+IFERROR(INDEX(技能数据库!$T$2:$W$27,MATCH(E205,技能数据库!$T$2:$T$27,0),3)/1024,0))+COUNTIF(G205,"*叠1*")*0.25+COUNTIF(G205,"*叠2*")*0.5+COUNTIF(G205,"*叠3*")*0.75</f>
        <v>2.9212723116</v>
      </c>
      <c r="Y205">
        <f ca="1" t="shared" si="965"/>
        <v>2.9212723116</v>
      </c>
      <c r="Z205">
        <f t="shared" si="890"/>
        <v>0.150390625</v>
      </c>
      <c r="AA205">
        <f ca="1" t="shared" si="966"/>
        <v>0.0205078125</v>
      </c>
      <c r="AB205">
        <f ca="1" t="shared" si="967"/>
        <v>9560875.14883465</v>
      </c>
      <c r="AC205" s="171">
        <f ca="1">技能数计算!$AJ197</f>
        <v>0</v>
      </c>
      <c r="AD205" s="164">
        <f ca="1" t="shared" si="893"/>
        <v>0</v>
      </c>
      <c r="AE205" s="168"/>
      <c r="AF205" s="168">
        <f ca="1" t="shared" si="974"/>
        <v>1.0014</v>
      </c>
      <c r="AG205" s="171">
        <f ca="1">技能数计算!$AJ197</f>
        <v>0</v>
      </c>
      <c r="AH205">
        <f ca="1" t="shared" si="968"/>
        <v>109879</v>
      </c>
      <c r="AJ205">
        <f ca="1" t="shared" si="975"/>
        <v>3.1204910616</v>
      </c>
      <c r="AK205">
        <f ca="1" t="shared" si="896"/>
        <v>675672.7125</v>
      </c>
      <c r="AL205">
        <f ca="1" t="shared" si="897"/>
        <v>10588871.4579355</v>
      </c>
      <c r="AM205" s="169">
        <f ca="1" t="shared" si="976"/>
        <v>1.0229</v>
      </c>
      <c r="AN205" s="171">
        <f ca="1">技能数计算!$AJ197</f>
        <v>0</v>
      </c>
      <c r="AO205" s="170">
        <f ca="1" t="shared" si="899"/>
        <v>10588871.4579355</v>
      </c>
      <c r="AP205">
        <f ca="1" t="shared" si="969"/>
        <v>110956</v>
      </c>
      <c r="AQ205" s="170">
        <f ca="1" t="shared" si="900"/>
        <v>681428.85</v>
      </c>
      <c r="AR205">
        <f ca="1" t="shared" si="901"/>
        <v>10580911.4910113</v>
      </c>
      <c r="AS205">
        <f ca="1" t="shared" si="977"/>
        <v>1.08</v>
      </c>
      <c r="AT205" s="171">
        <f ca="1">技能数计算!$AJ197</f>
        <v>0</v>
      </c>
      <c r="AU205">
        <f ca="1" t="shared" si="978"/>
        <v>3.0677566866</v>
      </c>
      <c r="AV205">
        <f ca="1" t="shared" si="904"/>
        <v>1.7995442148</v>
      </c>
      <c r="AW205">
        <f ca="1" t="shared" si="905"/>
        <v>10110835.0578432</v>
      </c>
      <c r="AX205">
        <f ca="1" t="shared" si="979"/>
        <v>1.07</v>
      </c>
      <c r="AY205" s="171">
        <f ca="1">技能数计算!$AJ197</f>
        <v>0</v>
      </c>
      <c r="AZ205" s="170">
        <f ca="1" t="shared" si="907"/>
        <v>10110835.0578432</v>
      </c>
      <c r="BA205">
        <f ca="1" t="shared" si="980"/>
        <v>1.06</v>
      </c>
      <c r="BB205" s="171">
        <f ca="1">技能数计算!$AJ197</f>
        <v>0</v>
      </c>
      <c r="BC205" s="170">
        <f ca="1" t="shared" si="909"/>
        <v>10110835.0578432</v>
      </c>
      <c r="BE205">
        <f ca="1" t="shared" si="970"/>
        <v>105849</v>
      </c>
      <c r="BF205">
        <f ca="1" t="shared" si="910"/>
        <v>651872.0875</v>
      </c>
      <c r="BI205">
        <f ca="1" t="shared" si="981"/>
        <v>1.05</v>
      </c>
      <c r="BJ205" s="171">
        <f ca="1">技能数计算!$AJ197</f>
        <v>0</v>
      </c>
      <c r="BK205">
        <f ca="1" t="shared" si="912"/>
        <v>10204466.7661208</v>
      </c>
      <c r="BM205">
        <f ca="1" t="shared" si="971"/>
        <v>109230</v>
      </c>
      <c r="BN205">
        <f ca="1" t="shared" si="913"/>
        <v>671439.625</v>
      </c>
      <c r="BO205">
        <f ca="1" t="shared" si="914"/>
        <v>10635733.9532615</v>
      </c>
      <c r="BP205">
        <f ca="1" t="shared" si="915"/>
        <v>10142686.1258845</v>
      </c>
      <c r="BR205">
        <f ca="1" t="shared" si="982"/>
        <v>1.05</v>
      </c>
      <c r="BS205">
        <f ca="1" t="shared" si="917"/>
        <v>10213944.5483827</v>
      </c>
      <c r="BT205">
        <f ca="1" t="shared" si="918"/>
        <v>0.196995876306796</v>
      </c>
      <c r="BU205">
        <f ca="1" t="shared" si="983"/>
        <v>3.0677566866</v>
      </c>
      <c r="BV205">
        <f ca="1" t="shared" si="920"/>
        <v>10241569.2535708</v>
      </c>
      <c r="BW205">
        <f ca="1" t="shared" si="972"/>
        <v>113027</v>
      </c>
      <c r="BX205">
        <f ca="1" t="shared" si="921"/>
        <v>693414.7625</v>
      </c>
      <c r="BY205">
        <f ca="1" t="shared" si="984"/>
        <v>1.03</v>
      </c>
      <c r="BZ205" s="171">
        <f ca="1">技能数计算!$AJ197</f>
        <v>0</v>
      </c>
      <c r="CA205">
        <f ca="1" t="shared" si="985"/>
        <v>3.0716629366</v>
      </c>
      <c r="CB205">
        <f ca="1" t="shared" si="924"/>
        <v>10693935.7781994</v>
      </c>
      <c r="CC205">
        <f ca="1" t="shared" si="973"/>
        <v>114847</v>
      </c>
      <c r="CD205">
        <f ca="1" t="shared" si="925"/>
        <v>703948.0125</v>
      </c>
      <c r="CE205">
        <f ca="1" t="shared" si="926"/>
        <v>10633753.9130606</v>
      </c>
      <c r="CF205">
        <f ca="1" t="shared" si="986"/>
        <v>3.0189285616</v>
      </c>
      <c r="CG205">
        <f ca="1" t="shared" si="987"/>
        <v>1.03</v>
      </c>
      <c r="CH205">
        <f ca="1" t="shared" si="929"/>
        <v>9949905.37257346</v>
      </c>
      <c r="CJ205">
        <f ca="1" t="shared" si="930"/>
        <v>671439.625</v>
      </c>
      <c r="CK205">
        <f ca="1" t="shared" si="931"/>
        <v>10587554.6581181</v>
      </c>
      <c r="CL205">
        <f ca="1" t="shared" si="932"/>
        <v>3.0415848116</v>
      </c>
      <c r="CM205">
        <f ca="1">IF(G205="恒定伤害",0,(IF(D205="轻剑",$CM$8,$CM$9)+IFERROR(INDEX(技能数据库!$T$2:$W$27,MATCH(E205,技能数据库!$T$2:$T$27,0),4),0)+COUNTIF(G205,"*造化2*")*154+COUNTIF(G205,"*造化1*")*102+COUNTIF(G205,"*碧归*")*307)/1024)</f>
        <v>0.747180646929785</v>
      </c>
      <c r="CN205">
        <f ca="1" t="shared" si="933"/>
        <v>10384439.5723056</v>
      </c>
      <c r="CO205">
        <f ca="1" t="shared" si="934"/>
        <v>3.0656473116</v>
      </c>
      <c r="CP205">
        <f ca="1" t="shared" si="935"/>
        <v>10466592.6578469</v>
      </c>
      <c r="CQ205">
        <f ca="1" t="shared" si="936"/>
        <v>1.8815754648</v>
      </c>
      <c r="CR205">
        <f ca="1">IF(G205="恒定伤害",0,(IF(D205="轻剑",$CR$8,$CR$9)+IFERROR(INDEX(技能数据库!$T$2:$W$27,MATCH(E205,技能数据库!$T$2:$T$27,0),4),0)+COUNTIF(G205,"*造化2*")*154+COUNTIF(G205,"*造化1*")*102+COUNTIF(G205,"*碧归*")*307)/1024)</f>
        <v>0.737415021929785</v>
      </c>
      <c r="CS205">
        <f ca="1" t="shared" si="937"/>
        <v>10208539.2630781</v>
      </c>
    </row>
    <row r="206" spans="4:97">
      <c r="D206" t="s">
        <v>1825</v>
      </c>
      <c r="E206" t="s">
        <v>2794</v>
      </c>
      <c r="G206" t="s">
        <v>3114</v>
      </c>
      <c r="H206">
        <f ca="1">INDEX(技能数据库!$B$2:$I$100,MATCH(阵眼收益计算!$E206,技能数据库!$B$2:$B$100,0),MATCH(H$9,技能数据库!$B$2:$I$2,0))</f>
        <v>231.5</v>
      </c>
      <c r="I206">
        <f ca="1">INDEX(技能数据库!$B$2:$I$100,MATCH(阵眼收益计算!$E206,技能数据库!$B$2:$B$100,0),MATCH(I$9,技能数据库!$B$2:$I$2,0))</f>
        <v>2.71875</v>
      </c>
      <c r="J206">
        <f ca="1">INDEX(技能数据库!$B$2:$I$100,MATCH(阵眼收益计算!$E206,技能数据库!$B$2:$B$100,0),MATCH(J$9,技能数据库!$B$2:$I$2,0))</f>
        <v>2</v>
      </c>
      <c r="K206">
        <f ca="1">INDEX(技能数据库!$B$2:$I$100,MATCH(阵眼收益计算!$E206,技能数据库!$B$2:$B$100,0),MATCH(K$9,技能数据库!$B$2:$I$2,0))</f>
        <v>0</v>
      </c>
      <c r="L206">
        <f ca="1" t="shared" si="960"/>
        <v>105847</v>
      </c>
      <c r="M206">
        <f ca="1" t="shared" ref="M206:M208" si="988">IF(D206="轻剑",$AU$2+$AV$2,$AU$3+$AV$3)/2</f>
        <v>19530.5</v>
      </c>
      <c r="N206">
        <f ca="1" t="shared" ref="N206:N208" si="989">IF(D206="轻剑",$AJ$2,$AJ$3)</f>
        <v>92028</v>
      </c>
      <c r="O206">
        <f ca="1" t="shared" si="883"/>
        <v>327064.03125</v>
      </c>
      <c r="P206">
        <f ca="1">IF(G206="恒定伤害",0,(IF(D206="轻剑",$AZ$2,$AZ$3)+IFERROR(INDEX(技能数据库!$T$2:$W$27,MATCH(E206,技能数据库!$T$2:$T$27,0),4),0)+COUNTIF(G206,"*造化2*")*154+COUNTIF(G206,"*造化1*")*102+COUNTIF(G206,"*碧归*")*307)/1024)</f>
        <v>0.536243146929785</v>
      </c>
      <c r="Q206">
        <f ca="1" t="shared" si="884"/>
        <v>0.448284482196154</v>
      </c>
      <c r="R206">
        <f ca="1" t="shared" si="885"/>
        <v>0.21277697966198</v>
      </c>
      <c r="S206">
        <f ca="1" t="shared" ref="S206:S208" si="990">O206*(1+P206)*(1+Q206)*(1-R206)</f>
        <v>572854.602584295</v>
      </c>
      <c r="T206">
        <f t="shared" si="941"/>
        <v>0.8</v>
      </c>
      <c r="U206">
        <f ca="1" t="shared" si="887"/>
        <v>1.7800129648</v>
      </c>
      <c r="V206">
        <f ca="1" t="shared" ref="V206:V208" si="991">S206*T206*(1+U206)</f>
        <v>1274034.57770375</v>
      </c>
      <c r="W206">
        <f ca="1">IF(G206="恒定伤害",0,MIN(1,IF(COUNTIF(F206,"*内会*")&gt;0,内会2,IF(D206="轻剑",$Y$2,$Y$3)+COUNTIF(G206,"*莺鸣*")*0.2+COUNTIF(G206,"*叠1*")*0.1+COUNTIF(G206,"*叠2*")*0.2+COUNTIF(G206,"*叠3*")*0.3)+IFERROR(INDEX(技能数据库!$T$2:$W$27,MATCH(E206,技能数据库!$T$2:$T$27,0),2),0)+IF((IF(D206="轻剑",$AO$2,$AO$3)+INT(COUNTIF(G206,"*大莺鸣*")*IF(D206="轻剑",$AM$2,$AM$3)*听晓无双率)/无双系数)&gt;0.9,特效裤子会心/会心系数,0)))</f>
        <v>0.8043</v>
      </c>
      <c r="X206">
        <f ca="1">IF(G206="恒定伤害",0,IF(COUNTIF(F206,"*内会*")&gt;0,内会效2,IF(D206="轻剑",$AB$2,$AB$3))+IFERROR(INDEX(技能数据库!$T$2:$W$27,MATCH(E206,技能数据库!$T$2:$T$27,0),3)/1024,0))+COUNTIF(G206,"*叠1*")*0.25+COUNTIF(G206,"*叠2*")*0.5+COUNTIF(G206,"*叠3*")*0.75</f>
        <v>2.4212723116</v>
      </c>
      <c r="Y206">
        <f ca="1" t="shared" ref="Y206:Y208" si="992">1+W206*(X206-1)</f>
        <v>2.14312932021988</v>
      </c>
      <c r="Z206">
        <f t="shared" si="890"/>
        <v>0.150390625</v>
      </c>
      <c r="AA206">
        <f ca="1" t="shared" ref="AA206:AA208" si="993">IF(D206="轻剑",$BA$2,$BA$3)/1024</f>
        <v>0.0205078125</v>
      </c>
      <c r="AB206">
        <f ca="1" t="shared" ref="AB206:AB208" si="994">V206*Y206*(1+Z206)*(1+AA206)</f>
        <v>3205466.63376007</v>
      </c>
      <c r="AC206">
        <f ca="1">技能数计算!$AJ198</f>
        <v>0</v>
      </c>
      <c r="AD206" s="164">
        <f ca="1" t="shared" si="893"/>
        <v>0</v>
      </c>
      <c r="AE206" s="168"/>
      <c r="AF206" s="168">
        <f ca="1" t="shared" si="974"/>
        <v>0.8057</v>
      </c>
      <c r="AG206">
        <f ca="1">技能数计算!$AJ198</f>
        <v>0</v>
      </c>
      <c r="AH206">
        <f ca="1" t="shared" si="968"/>
        <v>109879</v>
      </c>
      <c r="AJ206">
        <f ca="1" t="shared" si="975"/>
        <v>2.6204910616</v>
      </c>
      <c r="AK206">
        <f ca="1" t="shared" si="896"/>
        <v>338503.03125</v>
      </c>
      <c r="AL206">
        <f ca="1" t="shared" si="897"/>
        <v>3570110.2674427</v>
      </c>
      <c r="AM206" s="169">
        <f ca="1" t="shared" si="976"/>
        <v>0.8272</v>
      </c>
      <c r="AN206">
        <f ca="1">技能数计算!$AJ198</f>
        <v>0</v>
      </c>
      <c r="AO206" s="170">
        <f ca="1" t="shared" si="899"/>
        <v>3624058.495122</v>
      </c>
      <c r="AP206">
        <f ca="1" t="shared" si="969"/>
        <v>110956</v>
      </c>
      <c r="AQ206" s="170">
        <f ca="1" t="shared" si="900"/>
        <v>340954.125</v>
      </c>
      <c r="AR206">
        <f ca="1" t="shared" si="901"/>
        <v>3537643.09734758</v>
      </c>
      <c r="AS206">
        <f ca="1" t="shared" si="977"/>
        <v>0.8843</v>
      </c>
      <c r="AT206">
        <f ca="1">技能数计算!$AJ198</f>
        <v>0</v>
      </c>
      <c r="AU206">
        <f ca="1" t="shared" si="978"/>
        <v>2.5677566866</v>
      </c>
      <c r="AV206">
        <f ca="1" t="shared" si="904"/>
        <v>1.7995442148</v>
      </c>
      <c r="AW206">
        <f ca="1" t="shared" si="905"/>
        <v>3594352.5332652</v>
      </c>
      <c r="AX206">
        <f ca="1" t="shared" si="979"/>
        <v>0.8743</v>
      </c>
      <c r="AY206">
        <f ca="1">技能数计算!$AJ198</f>
        <v>0</v>
      </c>
      <c r="AZ206" s="170">
        <f ca="1" t="shared" si="907"/>
        <v>3570738.9413235</v>
      </c>
      <c r="BA206">
        <f ca="1" t="shared" si="980"/>
        <v>0.8643</v>
      </c>
      <c r="BB206">
        <f ca="1">技能数计算!$AJ198</f>
        <v>0</v>
      </c>
      <c r="BC206" s="170">
        <f ca="1" t="shared" si="909"/>
        <v>3547125.3493818</v>
      </c>
      <c r="BE206">
        <f ca="1" t="shared" si="970"/>
        <v>105849</v>
      </c>
      <c r="BF206">
        <f ca="1" t="shared" si="910"/>
        <v>327069.46875</v>
      </c>
      <c r="BI206">
        <f ca="1" t="shared" si="981"/>
        <v>0.8543</v>
      </c>
      <c r="BJ206">
        <f ca="1">技能数计算!$AJ198</f>
        <v>0</v>
      </c>
      <c r="BK206">
        <f ca="1" t="shared" si="912"/>
        <v>3534683.40299422</v>
      </c>
      <c r="BM206">
        <f ca="1" t="shared" si="971"/>
        <v>109230</v>
      </c>
      <c r="BN206">
        <f ca="1" t="shared" si="913"/>
        <v>336261.5625</v>
      </c>
      <c r="BO206">
        <f ca="1" t="shared" si="914"/>
        <v>3559206.83128709</v>
      </c>
      <c r="BP206">
        <f ca="1" t="shared" si="915"/>
        <v>3394210.30137544</v>
      </c>
      <c r="BR206">
        <f ca="1" t="shared" si="982"/>
        <v>0.8543</v>
      </c>
      <c r="BS206">
        <f ca="1" t="shared" si="917"/>
        <v>3531395.34158572</v>
      </c>
      <c r="BT206">
        <f ca="1" t="shared" si="918"/>
        <v>0.196995876306796</v>
      </c>
      <c r="BU206">
        <f ca="1" t="shared" si="983"/>
        <v>2.5677566866</v>
      </c>
      <c r="BV206">
        <f ca="1" t="shared" si="920"/>
        <v>3569071.14725412</v>
      </c>
      <c r="BW206">
        <f ca="1" t="shared" si="972"/>
        <v>113027</v>
      </c>
      <c r="BX206">
        <f ca="1" t="shared" si="921"/>
        <v>346584.65625</v>
      </c>
      <c r="BY206">
        <f ca="1" t="shared" si="984"/>
        <v>0.8343</v>
      </c>
      <c r="BZ206">
        <f ca="1">技能数计算!$AJ198</f>
        <v>0</v>
      </c>
      <c r="CA206">
        <f ca="1" t="shared" si="985"/>
        <v>2.5716629366</v>
      </c>
      <c r="CB206">
        <f ca="1" t="shared" si="924"/>
        <v>3663229.86801407</v>
      </c>
      <c r="CC206">
        <f ca="1" t="shared" si="973"/>
        <v>114847</v>
      </c>
      <c r="CD206">
        <f ca="1" t="shared" si="925"/>
        <v>351532.78125</v>
      </c>
      <c r="CE206">
        <f ca="1" t="shared" si="926"/>
        <v>3618952.93369986</v>
      </c>
      <c r="CF206">
        <f ca="1" t="shared" si="986"/>
        <v>2.5189285616</v>
      </c>
      <c r="CG206">
        <f ca="1" t="shared" si="987"/>
        <v>0.8343</v>
      </c>
      <c r="CH206">
        <f ca="1" t="shared" si="929"/>
        <v>3414925.93940654</v>
      </c>
      <c r="CJ206">
        <f ca="1" t="shared" si="930"/>
        <v>336261.5625</v>
      </c>
      <c r="CK206">
        <f ca="1" t="shared" si="931"/>
        <v>3543083.81832392</v>
      </c>
      <c r="CL206">
        <f ca="1" t="shared" si="932"/>
        <v>2.5415848116</v>
      </c>
      <c r="CM206">
        <f ca="1">IF(G206="恒定伤害",0,(IF(D206="轻剑",$CM$8,$CM$9)+IFERROR(INDEX(技能数据库!$T$2:$W$27,MATCH(E206,技能数据库!$T$2:$T$27,0),4),0)+COUNTIF(G206,"*造化2*")*154+COUNTIF(G206,"*造化1*")*102+COUNTIF(G206,"*碧归*")*307)/1024)</f>
        <v>0.596790021929785</v>
      </c>
      <c r="CN206">
        <f ca="1" t="shared" si="933"/>
        <v>3579108.51369822</v>
      </c>
      <c r="CO206">
        <f ca="1" t="shared" si="934"/>
        <v>2.5656473116</v>
      </c>
      <c r="CP206">
        <f ca="1" t="shared" si="935"/>
        <v>3610537.77938917</v>
      </c>
      <c r="CQ206">
        <f ca="1" t="shared" si="936"/>
        <v>1.8815754648</v>
      </c>
      <c r="CR206">
        <f ca="1">IF(G206="恒定伤害",0,(IF(D206="轻剑",$CR$8,$CR$9)+IFERROR(INDEX(技能数据库!$T$2:$W$27,MATCH(E206,技能数据库!$T$2:$T$27,0),4),0)+COUNTIF(G206,"*造化2*")*154+COUNTIF(G206,"*造化1*")*102+COUNTIF(G206,"*碧归*")*307)/1024)</f>
        <v>0.587024396929785</v>
      </c>
      <c r="CS206">
        <f ca="1" t="shared" si="937"/>
        <v>3432401.487917</v>
      </c>
    </row>
    <row r="207" spans="4:97">
      <c r="D207" t="s">
        <v>1825</v>
      </c>
      <c r="E207" t="s">
        <v>2794</v>
      </c>
      <c r="G207" t="s">
        <v>3115</v>
      </c>
      <c r="H207">
        <f ca="1">INDEX(技能数据库!$B$2:$I$100,MATCH(阵眼收益计算!$E207,技能数据库!$B$2:$B$100,0),MATCH(H$9,技能数据库!$B$2:$I$2,0))</f>
        <v>231.5</v>
      </c>
      <c r="I207">
        <f ca="1">INDEX(技能数据库!$B$2:$I$100,MATCH(阵眼收益计算!$E207,技能数据库!$B$2:$B$100,0),MATCH(I$9,技能数据库!$B$2:$I$2,0))</f>
        <v>2.71875</v>
      </c>
      <c r="J207">
        <f ca="1">INDEX(技能数据库!$B$2:$I$100,MATCH(阵眼收益计算!$E207,技能数据库!$B$2:$B$100,0),MATCH(J$9,技能数据库!$B$2:$I$2,0))</f>
        <v>2</v>
      </c>
      <c r="K207">
        <f ca="1">INDEX(技能数据库!$B$2:$I$100,MATCH(阵眼收益计算!$E207,技能数据库!$B$2:$B$100,0),MATCH(K$9,技能数据库!$B$2:$I$2,0))</f>
        <v>0</v>
      </c>
      <c r="L207">
        <f ca="1" t="shared" si="960"/>
        <v>105847</v>
      </c>
      <c r="M207">
        <f ca="1" t="shared" si="988"/>
        <v>19530.5</v>
      </c>
      <c r="N207">
        <f ca="1" t="shared" si="989"/>
        <v>92028</v>
      </c>
      <c r="O207">
        <f ca="1" t="shared" si="883"/>
        <v>327064.03125</v>
      </c>
      <c r="P207">
        <f ca="1">IF(G207="恒定伤害",0,(IF(D207="轻剑",$AZ$2,$AZ$3)+IFERROR(INDEX(技能数据库!$T$2:$W$27,MATCH(E207,技能数据库!$T$2:$T$27,0),4),0)+COUNTIF(G207,"*造化2*")*154+COUNTIF(G207,"*造化1*")*102+COUNTIF(G207,"*碧归*")*307)/1024)</f>
        <v>0.536243146929785</v>
      </c>
      <c r="Q207">
        <f ca="1" t="shared" si="884"/>
        <v>0.448284482196154</v>
      </c>
      <c r="R207">
        <f ca="1" t="shared" si="885"/>
        <v>0.21277697966198</v>
      </c>
      <c r="S207">
        <f ca="1" t="shared" si="990"/>
        <v>572854.602584295</v>
      </c>
      <c r="T207">
        <f t="shared" si="941"/>
        <v>0.8</v>
      </c>
      <c r="U207">
        <f ca="1" t="shared" si="887"/>
        <v>1.7800129648</v>
      </c>
      <c r="V207">
        <f ca="1" t="shared" si="991"/>
        <v>1274034.57770375</v>
      </c>
      <c r="W207">
        <f ca="1">IF(G207="恒定伤害",0,MIN(1,IF(COUNTIF(F207,"*内会*")&gt;0,内会2,IF(D207="轻剑",$Y$2,$Y$3)+COUNTIF(G207,"*莺鸣*")*0.2+COUNTIF(G207,"*叠1*")*0.1+COUNTIF(G207,"*叠2*")*0.2+COUNTIF(G207,"*叠3*")*0.3)+IFERROR(INDEX(技能数据库!$T$2:$W$27,MATCH(E207,技能数据库!$T$2:$T$27,0),2),0)+IF((IF(D207="轻剑",$AO$2,$AO$3)+INT(COUNTIF(G207,"*大莺鸣*")*IF(D207="轻剑",$AM$2,$AM$3)*听晓无双率)/无双系数)&gt;0.9,特效裤子会心/会心系数,0)))</f>
        <v>0.9043</v>
      </c>
      <c r="X207">
        <f ca="1">IF(G207="恒定伤害",0,IF(COUNTIF(F207,"*内会*")&gt;0,内会效2,IF(D207="轻剑",$AB$2,$AB$3))+IFERROR(INDEX(技能数据库!$T$2:$W$27,MATCH(E207,技能数据库!$T$2:$T$27,0),3)/1024,0))+COUNTIF(G207,"*叠1*")*0.25+COUNTIF(G207,"*叠2*")*0.5+COUNTIF(G207,"*叠3*")*0.75</f>
        <v>2.6712723116</v>
      </c>
      <c r="Y207">
        <f ca="1" t="shared" si="992"/>
        <v>2.51133155137988</v>
      </c>
      <c r="Z207">
        <f t="shared" si="890"/>
        <v>0.150390625</v>
      </c>
      <c r="AA207">
        <f ca="1" t="shared" si="993"/>
        <v>0.0205078125</v>
      </c>
      <c r="AB207">
        <f ca="1" t="shared" si="994"/>
        <v>3756184.66804943</v>
      </c>
      <c r="AC207" s="171">
        <f ca="1">技能数计算!$AJ199</f>
        <v>0</v>
      </c>
      <c r="AD207" s="164">
        <f ca="1" t="shared" si="893"/>
        <v>0</v>
      </c>
      <c r="AE207" s="168"/>
      <c r="AF207" s="168">
        <f ca="1" t="shared" si="974"/>
        <v>0.9057</v>
      </c>
      <c r="AG207" s="171">
        <f ca="1">技能数计算!$AJ199</f>
        <v>0</v>
      </c>
      <c r="AH207">
        <f ca="1" t="shared" si="968"/>
        <v>109879</v>
      </c>
      <c r="AJ207">
        <f ca="1" t="shared" si="975"/>
        <v>2.8704910616</v>
      </c>
      <c r="AK207">
        <f ca="1" t="shared" si="896"/>
        <v>338503.03125</v>
      </c>
      <c r="AL207">
        <f ca="1" t="shared" si="897"/>
        <v>4171635.92705647</v>
      </c>
      <c r="AM207" s="169">
        <f ca="1" t="shared" si="976"/>
        <v>0.9272</v>
      </c>
      <c r="AN207" s="171">
        <f ca="1">技能数计算!$AJ199</f>
        <v>0</v>
      </c>
      <c r="AO207" s="170">
        <f ca="1" t="shared" si="899"/>
        <v>4233906.97566297</v>
      </c>
      <c r="AP207">
        <f ca="1" t="shared" si="969"/>
        <v>110956</v>
      </c>
      <c r="AQ207" s="170">
        <f ca="1" t="shared" si="900"/>
        <v>340954.125</v>
      </c>
      <c r="AR207">
        <f ca="1" t="shared" si="901"/>
        <v>4145431.00319244</v>
      </c>
      <c r="AS207">
        <f ca="1" t="shared" si="977"/>
        <v>0.9843</v>
      </c>
      <c r="AT207" s="171">
        <f ca="1">技能数计算!$AJ199</f>
        <v>0</v>
      </c>
      <c r="AU207">
        <f ca="1" t="shared" si="978"/>
        <v>2.8177566866</v>
      </c>
      <c r="AV207">
        <f ca="1" t="shared" si="904"/>
        <v>1.7995442148</v>
      </c>
      <c r="AW207">
        <f ca="1" t="shared" si="905"/>
        <v>4201127.25695075</v>
      </c>
      <c r="AX207">
        <f ca="1" t="shared" si="979"/>
        <v>0.9743</v>
      </c>
      <c r="AY207" s="171">
        <f ca="1">技能数计算!$AJ199</f>
        <v>0</v>
      </c>
      <c r="AZ207" s="170">
        <f ca="1" t="shared" si="907"/>
        <v>4173748.15851439</v>
      </c>
      <c r="BA207">
        <f ca="1" t="shared" si="980"/>
        <v>0.9643</v>
      </c>
      <c r="BB207" s="171">
        <f ca="1">技能数计算!$AJ199</f>
        <v>0</v>
      </c>
      <c r="BC207" s="170">
        <f ca="1" t="shared" si="909"/>
        <v>4146369.06007804</v>
      </c>
      <c r="BE207">
        <f ca="1" t="shared" si="970"/>
        <v>105849</v>
      </c>
      <c r="BF207">
        <f ca="1" t="shared" si="910"/>
        <v>327069.46875</v>
      </c>
      <c r="BI207">
        <f ca="1" t="shared" si="981"/>
        <v>0.9543</v>
      </c>
      <c r="BJ207" s="171">
        <f ca="1">技能数计算!$AJ199</f>
        <v>0</v>
      </c>
      <c r="BK207">
        <f ca="1" t="shared" si="912"/>
        <v>4142427.12586812</v>
      </c>
      <c r="BM207">
        <f ca="1" t="shared" si="971"/>
        <v>109230</v>
      </c>
      <c r="BN207">
        <f ca="1" t="shared" si="913"/>
        <v>336261.5625</v>
      </c>
      <c r="BO207">
        <f ca="1" t="shared" si="914"/>
        <v>4170699.51354173</v>
      </c>
      <c r="BP207">
        <f ca="1" t="shared" si="915"/>
        <v>3977355.60866117</v>
      </c>
      <c r="BR207">
        <f ca="1" t="shared" si="982"/>
        <v>0.9543</v>
      </c>
      <c r="BS207">
        <f ca="1" t="shared" si="917"/>
        <v>4138573.72424281</v>
      </c>
      <c r="BT207">
        <f ca="1" t="shared" si="918"/>
        <v>0.196995876306796</v>
      </c>
      <c r="BU207">
        <f ca="1" t="shared" si="983"/>
        <v>2.8177566866</v>
      </c>
      <c r="BV207">
        <f ca="1" t="shared" si="920"/>
        <v>4172248.94932812</v>
      </c>
      <c r="BW207">
        <f ca="1" t="shared" si="972"/>
        <v>113027</v>
      </c>
      <c r="BX207">
        <f ca="1" t="shared" si="921"/>
        <v>346584.65625</v>
      </c>
      <c r="BY207">
        <f ca="1" t="shared" si="984"/>
        <v>0.9343</v>
      </c>
      <c r="BZ207" s="171">
        <f ca="1">技能数计算!$AJ199</f>
        <v>0</v>
      </c>
      <c r="CA207">
        <f ca="1" t="shared" si="985"/>
        <v>2.8216629366</v>
      </c>
      <c r="CB207">
        <f ca="1" t="shared" si="924"/>
        <v>4282540.79025825</v>
      </c>
      <c r="CC207">
        <f ca="1" t="shared" si="973"/>
        <v>114847</v>
      </c>
      <c r="CD207">
        <f ca="1" t="shared" si="925"/>
        <v>351532.78125</v>
      </c>
      <c r="CE207">
        <f ca="1" t="shared" si="926"/>
        <v>4240999.28498989</v>
      </c>
      <c r="CF207">
        <f ca="1" t="shared" si="986"/>
        <v>2.7689285616</v>
      </c>
      <c r="CG207">
        <f ca="1" t="shared" si="987"/>
        <v>0.9343</v>
      </c>
      <c r="CH207">
        <f ca="1" t="shared" si="929"/>
        <v>3995518.62574647</v>
      </c>
      <c r="CJ207">
        <f ca="1" t="shared" si="930"/>
        <v>336261.5625</v>
      </c>
      <c r="CK207">
        <f ca="1" t="shared" si="931"/>
        <v>4151806.47205529</v>
      </c>
      <c r="CL207">
        <f ca="1" t="shared" si="932"/>
        <v>2.7915848116</v>
      </c>
      <c r="CM207">
        <f ca="1">IF(G207="恒定伤害",0,(IF(D207="轻剑",$CM$8,$CM$9)+IFERROR(INDEX(技能数据库!$T$2:$W$27,MATCH(E207,技能数据库!$T$2:$T$27,0),4),0)+COUNTIF(G207,"*造化2*")*154+COUNTIF(G207,"*造化1*")*102+COUNTIF(G207,"*碧归*")*307)/1024)</f>
        <v>0.596790021929785</v>
      </c>
      <c r="CN207">
        <f ca="1" t="shared" si="933"/>
        <v>4186130.67722424</v>
      </c>
      <c r="CO207">
        <f ca="1" t="shared" si="934"/>
        <v>2.8156473116</v>
      </c>
      <c r="CP207">
        <f ca="1" t="shared" si="935"/>
        <v>4221327.08491338</v>
      </c>
      <c r="CQ207">
        <f ca="1" t="shared" si="936"/>
        <v>1.8815754648</v>
      </c>
      <c r="CR207">
        <f ca="1">IF(G207="恒定伤害",0,(IF(D207="轻剑",$CR$8,$CR$9)+IFERROR(INDEX(技能数据库!$T$2:$W$27,MATCH(E207,技能数据库!$T$2:$T$27,0),4),0)+COUNTIF(G207,"*造化2*")*154+COUNTIF(G207,"*造化1*")*102+COUNTIF(G207,"*碧归*")*307)/1024)</f>
        <v>0.587024396929785</v>
      </c>
      <c r="CS207">
        <f ca="1" t="shared" si="937"/>
        <v>4022108.26583476</v>
      </c>
    </row>
    <row r="208" spans="4:97">
      <c r="D208" t="s">
        <v>1825</v>
      </c>
      <c r="E208" t="s">
        <v>2794</v>
      </c>
      <c r="G208" t="s">
        <v>3116</v>
      </c>
      <c r="H208">
        <f ca="1">INDEX(技能数据库!$B$2:$I$100,MATCH(阵眼收益计算!$E208,技能数据库!$B$2:$B$100,0),MATCH(H$9,技能数据库!$B$2:$I$2,0))</f>
        <v>231.5</v>
      </c>
      <c r="I208">
        <f ca="1">INDEX(技能数据库!$B$2:$I$100,MATCH(阵眼收益计算!$E208,技能数据库!$B$2:$B$100,0),MATCH(I$9,技能数据库!$B$2:$I$2,0))</f>
        <v>2.71875</v>
      </c>
      <c r="J208">
        <f ca="1">INDEX(技能数据库!$B$2:$I$100,MATCH(阵眼收益计算!$E208,技能数据库!$B$2:$B$100,0),MATCH(J$9,技能数据库!$B$2:$I$2,0))</f>
        <v>2</v>
      </c>
      <c r="K208">
        <f ca="1">INDEX(技能数据库!$B$2:$I$100,MATCH(阵眼收益计算!$E208,技能数据库!$B$2:$B$100,0),MATCH(K$9,技能数据库!$B$2:$I$2,0))</f>
        <v>0</v>
      </c>
      <c r="L208">
        <f ca="1" t="shared" si="960"/>
        <v>105847</v>
      </c>
      <c r="M208">
        <f ca="1" t="shared" si="988"/>
        <v>19530.5</v>
      </c>
      <c r="N208">
        <f ca="1" t="shared" si="989"/>
        <v>92028</v>
      </c>
      <c r="O208">
        <f ca="1" t="shared" si="883"/>
        <v>327064.03125</v>
      </c>
      <c r="P208">
        <f ca="1">IF(G208="恒定伤害",0,(IF(D208="轻剑",$AZ$2,$AZ$3)+IFERROR(INDEX(技能数据库!$T$2:$W$27,MATCH(E208,技能数据库!$T$2:$T$27,0),4),0)+COUNTIF(G208,"*造化2*")*154+COUNTIF(G208,"*造化1*")*102+COUNTIF(G208,"*碧归*")*307)/1024)</f>
        <v>0.536243146929785</v>
      </c>
      <c r="Q208">
        <f ca="1" t="shared" si="884"/>
        <v>0.448284482196154</v>
      </c>
      <c r="R208">
        <f ca="1" t="shared" si="885"/>
        <v>0.21277697966198</v>
      </c>
      <c r="S208">
        <f ca="1" t="shared" si="990"/>
        <v>572854.602584295</v>
      </c>
      <c r="T208">
        <f t="shared" si="941"/>
        <v>0.8</v>
      </c>
      <c r="U208">
        <f ca="1" t="shared" si="887"/>
        <v>1.7800129648</v>
      </c>
      <c r="V208">
        <f ca="1" t="shared" si="991"/>
        <v>1274034.57770375</v>
      </c>
      <c r="W208">
        <f ca="1">IF(G208="恒定伤害",0,MIN(1,IF(COUNTIF(F208,"*内会*")&gt;0,内会2,IF(D208="轻剑",$Y$2,$Y$3)+COUNTIF(G208,"*莺鸣*")*0.2+COUNTIF(G208,"*叠1*")*0.1+COUNTIF(G208,"*叠2*")*0.2+COUNTIF(G208,"*叠3*")*0.3)+IFERROR(INDEX(技能数据库!$T$2:$W$27,MATCH(E208,技能数据库!$T$2:$T$27,0),2),0)+IF((IF(D208="轻剑",$AO$2,$AO$3)+INT(COUNTIF(G208,"*大莺鸣*")*IF(D208="轻剑",$AM$2,$AM$3)*听晓无双率)/无双系数)&gt;0.9,特效裤子会心/会心系数,0)))</f>
        <v>1</v>
      </c>
      <c r="X208">
        <f ca="1">IF(G208="恒定伤害",0,IF(COUNTIF(F208,"*内会*")&gt;0,内会效2,IF(D208="轻剑",$AB$2,$AB$3))+IFERROR(INDEX(技能数据库!$T$2:$W$27,MATCH(E208,技能数据库!$T$2:$T$27,0),3)/1024,0))+COUNTIF(G208,"*叠1*")*0.25+COUNTIF(G208,"*叠2*")*0.5+COUNTIF(G208,"*叠3*")*0.75</f>
        <v>2.9212723116</v>
      </c>
      <c r="Y208">
        <f ca="1" t="shared" si="992"/>
        <v>2.9212723116</v>
      </c>
      <c r="Z208">
        <f t="shared" si="890"/>
        <v>0.150390625</v>
      </c>
      <c r="AA208">
        <f ca="1" t="shared" si="993"/>
        <v>0.0205078125</v>
      </c>
      <c r="AB208">
        <f ca="1" t="shared" si="994"/>
        <v>4369330.78868065</v>
      </c>
      <c r="AC208" s="171">
        <f ca="1">技能数计算!$AJ200</f>
        <v>2</v>
      </c>
      <c r="AD208" s="164">
        <f ca="1" t="shared" si="893"/>
        <v>0.00313293508142865</v>
      </c>
      <c r="AE208" s="168"/>
      <c r="AF208" s="168">
        <f ca="1" t="shared" si="974"/>
        <v>1.0014</v>
      </c>
      <c r="AG208" s="171">
        <f ca="1">技能数计算!$AJ200</f>
        <v>2</v>
      </c>
      <c r="AH208">
        <f ca="1" t="shared" si="968"/>
        <v>109879</v>
      </c>
      <c r="AJ208">
        <f ca="1" t="shared" si="975"/>
        <v>3.1204910616</v>
      </c>
      <c r="AK208">
        <f ca="1" t="shared" si="896"/>
        <v>338503.03125</v>
      </c>
      <c r="AL208">
        <f ca="1" t="shared" si="897"/>
        <v>4831867.5926748</v>
      </c>
      <c r="AM208" s="169">
        <f ca="1" t="shared" si="976"/>
        <v>1.0229</v>
      </c>
      <c r="AN208" s="171">
        <f ca="1">技能数计算!$AJ200</f>
        <v>2</v>
      </c>
      <c r="AO208" s="170">
        <f ca="1" t="shared" si="899"/>
        <v>4831867.5926748</v>
      </c>
      <c r="AP208">
        <f ca="1" t="shared" si="969"/>
        <v>110956</v>
      </c>
      <c r="AQ208" s="170">
        <f ca="1" t="shared" si="900"/>
        <v>340954.125</v>
      </c>
      <c r="AR208">
        <f ca="1" t="shared" si="901"/>
        <v>4822116.30026324</v>
      </c>
      <c r="AS208">
        <f ca="1" t="shared" si="977"/>
        <v>1.08</v>
      </c>
      <c r="AT208" s="171">
        <f ca="1">技能数计算!$AJ200</f>
        <v>2</v>
      </c>
      <c r="AU208">
        <f ca="1" t="shared" si="978"/>
        <v>3.0677566866</v>
      </c>
      <c r="AV208">
        <f ca="1" t="shared" si="904"/>
        <v>1.7995442148</v>
      </c>
      <c r="AW208">
        <f ca="1" t="shared" si="905"/>
        <v>4620663.09096095</v>
      </c>
      <c r="AX208">
        <f ca="1" t="shared" si="979"/>
        <v>1.07</v>
      </c>
      <c r="AY208" s="171">
        <f ca="1">技能数计算!$AJ200</f>
        <v>2</v>
      </c>
      <c r="AZ208" s="170">
        <f ca="1" t="shared" si="907"/>
        <v>4620663.09096095</v>
      </c>
      <c r="BA208">
        <f ca="1" t="shared" si="980"/>
        <v>1.06</v>
      </c>
      <c r="BB208" s="171">
        <f ca="1">技能数计算!$AJ200</f>
        <v>2</v>
      </c>
      <c r="BC208" s="170">
        <f ca="1" t="shared" si="909"/>
        <v>4620663.09096095</v>
      </c>
      <c r="BE208">
        <f ca="1" t="shared" si="970"/>
        <v>105849</v>
      </c>
      <c r="BF208">
        <f ca="1" t="shared" si="910"/>
        <v>327069.46875</v>
      </c>
      <c r="BI208">
        <f ca="1" t="shared" si="981"/>
        <v>1.05</v>
      </c>
      <c r="BJ208" s="171">
        <f ca="1">技能数计算!$AJ200</f>
        <v>2</v>
      </c>
      <c r="BK208">
        <f ca="1" t="shared" si="912"/>
        <v>4663447.61040838</v>
      </c>
      <c r="BM208">
        <f ca="1" t="shared" si="971"/>
        <v>109230</v>
      </c>
      <c r="BN208">
        <f ca="1" t="shared" si="913"/>
        <v>336261.5625</v>
      </c>
      <c r="BO208">
        <f ca="1" t="shared" si="914"/>
        <v>4851509.55166335</v>
      </c>
      <c r="BP208">
        <f ca="1" t="shared" si="915"/>
        <v>4626604.88081898</v>
      </c>
      <c r="BR208">
        <f ca="1" t="shared" si="982"/>
        <v>1.05</v>
      </c>
      <c r="BS208">
        <f ca="1" t="shared" si="917"/>
        <v>4659109.54094922</v>
      </c>
      <c r="BT208">
        <f ca="1" t="shared" si="918"/>
        <v>0.196995876306796</v>
      </c>
      <c r="BU208">
        <f ca="1" t="shared" si="983"/>
        <v>3.0677566866</v>
      </c>
      <c r="BV208">
        <f ca="1" t="shared" si="920"/>
        <v>4680408.76671068</v>
      </c>
      <c r="BW208">
        <f ca="1" t="shared" si="972"/>
        <v>113027</v>
      </c>
      <c r="BX208">
        <f ca="1" t="shared" si="921"/>
        <v>346584.65625</v>
      </c>
      <c r="BY208">
        <f ca="1" t="shared" si="984"/>
        <v>1.03</v>
      </c>
      <c r="BZ208" s="171">
        <f ca="1">技能数计算!$AJ200</f>
        <v>2</v>
      </c>
      <c r="CA208">
        <f ca="1" t="shared" si="985"/>
        <v>3.0716629366</v>
      </c>
      <c r="CB208">
        <f ca="1" t="shared" si="924"/>
        <v>4868475.47713833</v>
      </c>
      <c r="CC208">
        <f ca="1" t="shared" si="973"/>
        <v>114847</v>
      </c>
      <c r="CD208">
        <f ca="1" t="shared" si="925"/>
        <v>351532.78125</v>
      </c>
      <c r="CE208">
        <f ca="1" t="shared" si="926"/>
        <v>4836720.76406033</v>
      </c>
      <c r="CF208">
        <f ca="1" t="shared" si="986"/>
        <v>3.0189285616</v>
      </c>
      <c r="CG208">
        <f ca="1" t="shared" si="987"/>
        <v>1.03</v>
      </c>
      <c r="CH208">
        <f ca="1" t="shared" si="929"/>
        <v>4547118.04223729</v>
      </c>
      <c r="CJ208">
        <f ca="1" t="shared" si="930"/>
        <v>336261.5625</v>
      </c>
      <c r="CK208">
        <f ca="1" t="shared" si="931"/>
        <v>4829532.47780948</v>
      </c>
      <c r="CL208">
        <f ca="1" t="shared" si="932"/>
        <v>3.0415848116</v>
      </c>
      <c r="CM208">
        <f ca="1">IF(G208="恒定伤害",0,(IF(D208="轻剑",$CM$8,$CM$9)+IFERROR(INDEX(技能数据库!$T$2:$W$27,MATCH(E208,技能数据库!$T$2:$T$27,0),4),0)+COUNTIF(G208,"*造化2*")*154+COUNTIF(G208,"*造化1*")*102+COUNTIF(G208,"*碧归*")*307)/1024)</f>
        <v>0.596790021929785</v>
      </c>
      <c r="CN208">
        <f ca="1" t="shared" si="933"/>
        <v>4761800.26383492</v>
      </c>
      <c r="CO208">
        <f ca="1" t="shared" si="934"/>
        <v>3.0656473116</v>
      </c>
      <c r="CP208">
        <f ca="1" t="shared" si="935"/>
        <v>4799471.68381688</v>
      </c>
      <c r="CQ208">
        <f ca="1" t="shared" si="936"/>
        <v>1.8815754648</v>
      </c>
      <c r="CR208">
        <f ca="1">IF(G208="恒定伤害",0,(IF(D208="轻剑",$CR$8,$CR$9)+IFERROR(INDEX(技能数据库!$T$2:$W$27,MATCH(E208,技能数据库!$T$2:$T$27,0),4),0)+COUNTIF(G208,"*造化2*")*154+COUNTIF(G208,"*造化1*")*102+COUNTIF(G208,"*碧归*")*307)/1024)</f>
        <v>0.587024396929785</v>
      </c>
      <c r="CS208">
        <f ca="1" t="shared" si="937"/>
        <v>4678662.80132728</v>
      </c>
    </row>
    <row r="209" spans="4:97">
      <c r="D209" t="s">
        <v>1825</v>
      </c>
      <c r="E209" t="s">
        <v>2798</v>
      </c>
      <c r="G209" t="s">
        <v>3114</v>
      </c>
      <c r="H209">
        <f ca="1">INDEX(技能数据库!$B$2:$I$100,MATCH(阵眼收益计算!$E209,技能数据库!$B$2:$B$100,0),MATCH(H$9,技能数据库!$B$2:$I$2,0))</f>
        <v>1504.5</v>
      </c>
      <c r="I209">
        <f ca="1">INDEX(技能数据库!$B$2:$I$100,MATCH(阵眼收益计算!$E209,技能数据库!$B$2:$B$100,0),MATCH(I$9,技能数据库!$B$2:$I$2,0))</f>
        <v>2.85625</v>
      </c>
      <c r="J209">
        <f ca="1">INDEX(技能数据库!$B$2:$I$100,MATCH(阵眼收益计算!$E209,技能数据库!$B$2:$B$100,0),MATCH(J$9,技能数据库!$B$2:$I$2,0))</f>
        <v>0</v>
      </c>
      <c r="K209">
        <f ca="1">INDEX(技能数据库!$B$2:$I$100,MATCH(阵眼收益计算!$E209,技能数据库!$B$2:$B$100,0),MATCH(K$9,技能数据库!$B$2:$I$2,0))</f>
        <v>0</v>
      </c>
      <c r="L209">
        <f ca="1" t="shared" si="960"/>
        <v>105847</v>
      </c>
      <c r="M209">
        <f ca="1" t="shared" ref="M209:M211" si="995">IF(D209="轻剑",$AU$2+$AV$2,$AU$3+$AV$3)/2</f>
        <v>19530.5</v>
      </c>
      <c r="N209">
        <f ca="1" t="shared" ref="N209:N211" si="996">IF(D209="轻剑",$AJ$2,$AJ$3)</f>
        <v>92028</v>
      </c>
      <c r="O209">
        <f ca="1" t="shared" si="883"/>
        <v>303829.99375</v>
      </c>
      <c r="P209">
        <f ca="1">IF(G209="恒定伤害",0,(IF(D209="轻剑",$AZ$2,$AZ$3)+IFERROR(INDEX(技能数据库!$T$2:$W$27,MATCH(E209,技能数据库!$T$2:$T$27,0),4),0)+COUNTIF(G209,"*造化2*")*154+COUNTIF(G209,"*造化1*")*102+COUNTIF(G209,"*碧归*")*307)/1024)</f>
        <v>0.416125959429785</v>
      </c>
      <c r="Q209">
        <f ca="1" t="shared" si="884"/>
        <v>0.448284482196154</v>
      </c>
      <c r="R209">
        <f ca="1" t="shared" si="885"/>
        <v>0.21277697966198</v>
      </c>
      <c r="S209">
        <f ca="1" t="shared" ref="S209:S211" si="997">O209*(1+P209)*(1+Q209)*(1-R209)</f>
        <v>490551.029623256</v>
      </c>
      <c r="T209">
        <f t="shared" ref="T209:T219" si="998">1-($F$6-130)*0.05</f>
        <v>0.8</v>
      </c>
      <c r="U209">
        <f ca="1" t="shared" si="887"/>
        <v>1.7800129648</v>
      </c>
      <c r="V209">
        <f ca="1" t="shared" ref="V209:V211" si="999">S209*T209*(1+U209)</f>
        <v>1090990.57779891</v>
      </c>
      <c r="W209">
        <f ca="1">IF(G209="恒定伤害",0,MIN(1,IF(COUNTIF(F209,"*内会*")&gt;0,内会2,IF(D209="轻剑",$Y$2,$Y$3)+COUNTIF(G209,"*莺鸣*")*0.2+COUNTIF(G209,"*叠1*")*0.1+COUNTIF(G209,"*叠2*")*0.2+COUNTIF(G209,"*叠3*")*0.3)+IFERROR(INDEX(技能数据库!$T$2:$W$27,MATCH(E209,技能数据库!$T$2:$T$27,0),2),0)+IF((IF(D209="轻剑",$AO$2,$AO$3)+INT(COUNTIF(G209,"*大莺鸣*")*IF(D209="轻剑",$AM$2,$AM$3)*听晓无双率)/无双系数)&gt;0.9,特效裤子会心/会心系数,0)))</f>
        <v>0.8043</v>
      </c>
      <c r="X209">
        <f ca="1">IF(G209="恒定伤害",0,IF(COUNTIF(F209,"*内会*")&gt;0,内会效2,IF(D209="轻剑",$AB$2,$AB$3))+IFERROR(INDEX(技能数据库!$T$2:$W$27,MATCH(E209,技能数据库!$T$2:$T$27,0),3)/1024,0))+COUNTIF(G209,"*叠1*")*0.25+COUNTIF(G209,"*叠2*")*0.5+COUNTIF(G209,"*叠3*")*0.75</f>
        <v>2.4212723116</v>
      </c>
      <c r="Y209">
        <f ca="1" t="shared" ref="Y209:Y211" si="1000">1+W209*(X209-1)</f>
        <v>2.14312932021988</v>
      </c>
      <c r="Z209">
        <f t="shared" si="890"/>
        <v>0.150390625</v>
      </c>
      <c r="AA209">
        <f ca="1" t="shared" ref="AA209:AA211" si="1001">IF(D209="轻剑",$BA$2,$BA$3)/1024</f>
        <v>0.0205078125</v>
      </c>
      <c r="AB209">
        <f ca="1" t="shared" ref="AB209:AB211" si="1002">V209*Y209*(1+Z209)*(1+AA209)</f>
        <v>2744928.55695021</v>
      </c>
      <c r="AC209">
        <f ca="1">技能数计算!$AJ201</f>
        <v>0</v>
      </c>
      <c r="AD209" s="164">
        <f ca="1" t="shared" si="893"/>
        <v>0</v>
      </c>
      <c r="AE209" s="168"/>
      <c r="AF209" s="168">
        <f ca="1" t="shared" si="974"/>
        <v>0.8057</v>
      </c>
      <c r="AG209">
        <f ca="1">技能数计算!$AJ201</f>
        <v>0</v>
      </c>
      <c r="AH209">
        <f ca="1" t="shared" si="968"/>
        <v>109879</v>
      </c>
      <c r="AJ209">
        <f ca="1" t="shared" si="975"/>
        <v>2.6204910616</v>
      </c>
      <c r="AK209">
        <f ca="1" t="shared" si="896"/>
        <v>315346.39375</v>
      </c>
      <c r="AL209">
        <f ca="1" t="shared" si="897"/>
        <v>3065835.59603266</v>
      </c>
      <c r="AM209" s="169">
        <f ca="1" t="shared" si="976"/>
        <v>0.8272</v>
      </c>
      <c r="AN209">
        <f ca="1">技能数计算!$AJ201</f>
        <v>0</v>
      </c>
      <c r="AO209" s="170">
        <f ca="1" t="shared" si="899"/>
        <v>3112163.68798836</v>
      </c>
      <c r="AP209">
        <f ca="1" t="shared" si="969"/>
        <v>110956</v>
      </c>
      <c r="AQ209" s="170">
        <f ca="1" t="shared" si="900"/>
        <v>318422.575</v>
      </c>
      <c r="AR209">
        <f ca="1" t="shared" si="901"/>
        <v>3045536.73667453</v>
      </c>
      <c r="AS209">
        <f ca="1" t="shared" si="977"/>
        <v>0.8843</v>
      </c>
      <c r="AT209">
        <f ca="1">技能数计算!$AJ201</f>
        <v>0</v>
      </c>
      <c r="AU209">
        <f ca="1" t="shared" si="978"/>
        <v>2.5677566866</v>
      </c>
      <c r="AV209">
        <f ca="1" t="shared" si="904"/>
        <v>1.7995442148</v>
      </c>
      <c r="AW209">
        <f ca="1" t="shared" si="905"/>
        <v>3077942.16554758</v>
      </c>
      <c r="AX209">
        <f ca="1" t="shared" si="979"/>
        <v>0.8743</v>
      </c>
      <c r="AY209">
        <f ca="1">技能数计算!$AJ201</f>
        <v>0</v>
      </c>
      <c r="AZ209" s="170">
        <f ca="1" t="shared" si="907"/>
        <v>3057721.20234357</v>
      </c>
      <c r="BA209">
        <f ca="1" t="shared" si="980"/>
        <v>0.8643</v>
      </c>
      <c r="BB209">
        <f ca="1">技能数计算!$AJ201</f>
        <v>0</v>
      </c>
      <c r="BC209" s="170">
        <f ca="1" t="shared" si="909"/>
        <v>3037500.23913956</v>
      </c>
      <c r="BE209">
        <f ca="1" t="shared" si="970"/>
        <v>105849</v>
      </c>
      <c r="BF209">
        <f ca="1" t="shared" si="910"/>
        <v>303835.70625</v>
      </c>
      <c r="BI209">
        <f ca="1" t="shared" si="981"/>
        <v>0.8543</v>
      </c>
      <c r="BJ209">
        <f ca="1">技能数计算!$AJ201</f>
        <v>0</v>
      </c>
      <c r="BK209">
        <f ca="1" t="shared" si="912"/>
        <v>3026852.44856518</v>
      </c>
      <c r="BM209">
        <f ca="1" t="shared" si="971"/>
        <v>109230</v>
      </c>
      <c r="BN209">
        <f ca="1" t="shared" si="913"/>
        <v>313492.6875</v>
      </c>
      <c r="BO209">
        <f ca="1" t="shared" si="914"/>
        <v>3058759.56258614</v>
      </c>
      <c r="BP209">
        <f ca="1" t="shared" si="915"/>
        <v>2916962.60118891</v>
      </c>
      <c r="BR209">
        <f ca="1" t="shared" si="982"/>
        <v>0.8543</v>
      </c>
      <c r="BS209">
        <f ca="1" t="shared" si="917"/>
        <v>3034858.54640298</v>
      </c>
      <c r="BT209">
        <f ca="1" t="shared" si="918"/>
        <v>0.196995876306796</v>
      </c>
      <c r="BU209">
        <f ca="1" t="shared" si="983"/>
        <v>2.5677566866</v>
      </c>
      <c r="BV209">
        <f ca="1" t="shared" si="920"/>
        <v>3056293.0247672</v>
      </c>
      <c r="BW209">
        <f ca="1" t="shared" si="972"/>
        <v>113027</v>
      </c>
      <c r="BX209">
        <f ca="1" t="shared" si="921"/>
        <v>324337.86875</v>
      </c>
      <c r="BY209">
        <f ca="1" t="shared" si="984"/>
        <v>0.8343</v>
      </c>
      <c r="BZ209">
        <f ca="1">技能数计算!$AJ201</f>
        <v>0</v>
      </c>
      <c r="CA209">
        <f ca="1" t="shared" si="985"/>
        <v>2.5716629366</v>
      </c>
      <c r="CB209">
        <f ca="1" t="shared" si="924"/>
        <v>3160053.41474213</v>
      </c>
      <c r="CC209">
        <f ca="1" t="shared" si="973"/>
        <v>114847</v>
      </c>
      <c r="CD209">
        <f ca="1" t="shared" si="925"/>
        <v>329536.24375</v>
      </c>
      <c r="CE209">
        <f ca="1" t="shared" si="926"/>
        <v>3127247.23538611</v>
      </c>
      <c r="CF209">
        <f ca="1" t="shared" si="986"/>
        <v>2.5189285616</v>
      </c>
      <c r="CG209">
        <f ca="1" t="shared" si="987"/>
        <v>0.8343</v>
      </c>
      <c r="CH209">
        <f ca="1" t="shared" si="929"/>
        <v>2924294.27660318</v>
      </c>
      <c r="CJ209">
        <f ca="1" t="shared" si="930"/>
        <v>313492.6875</v>
      </c>
      <c r="CK209">
        <f ca="1" t="shared" si="931"/>
        <v>3044903.548475</v>
      </c>
      <c r="CL209">
        <f ca="1" t="shared" si="932"/>
        <v>2.5415848116</v>
      </c>
      <c r="CM209">
        <f ca="1">IF(G209="恒定伤害",0,(IF(D209="轻剑",$CM$8,$CM$9)+IFERROR(INDEX(技能数据库!$T$2:$W$27,MATCH(E209,技能数据库!$T$2:$T$27,0),4),0)+COUNTIF(G209,"*造化2*")*154+COUNTIF(G209,"*造化1*")*102+COUNTIF(G209,"*碧归*")*307)/1024)</f>
        <v>0.476672834429785</v>
      </c>
      <c r="CN209">
        <f ca="1" t="shared" si="933"/>
        <v>3074745.68341422</v>
      </c>
      <c r="CO209">
        <f ca="1" t="shared" si="934"/>
        <v>2.5656473116</v>
      </c>
      <c r="CP209">
        <f ca="1" t="shared" si="935"/>
        <v>3101745.98213281</v>
      </c>
      <c r="CQ209">
        <f ca="1" t="shared" si="936"/>
        <v>1.8815754648</v>
      </c>
      <c r="CR209">
        <f ca="1">IF(G209="恒定伤害",0,(IF(D209="轻剑",$CR$8,$CR$9)+IFERROR(INDEX(技能数据库!$T$2:$W$27,MATCH(E209,技能数据库!$T$2:$T$27,0),4),0)+COUNTIF(G209,"*造化2*")*154+COUNTIF(G209,"*造化1*")*102+COUNTIF(G209,"*碧归*")*307)/1024)</f>
        <v>0.466907209429785</v>
      </c>
      <c r="CS209">
        <f ca="1" t="shared" si="937"/>
        <v>2947236.45748184</v>
      </c>
    </row>
    <row r="210" spans="4:97">
      <c r="D210" t="s">
        <v>1825</v>
      </c>
      <c r="E210" t="s">
        <v>2798</v>
      </c>
      <c r="G210" t="s">
        <v>3115</v>
      </c>
      <c r="H210">
        <f ca="1">INDEX(技能数据库!$B$2:$I$100,MATCH(阵眼收益计算!$E210,技能数据库!$B$2:$B$100,0),MATCH(H$9,技能数据库!$B$2:$I$2,0))</f>
        <v>1504.5</v>
      </c>
      <c r="I210">
        <f ca="1">INDEX(技能数据库!$B$2:$I$100,MATCH(阵眼收益计算!$E210,技能数据库!$B$2:$B$100,0),MATCH(I$9,技能数据库!$B$2:$I$2,0))</f>
        <v>2.85625</v>
      </c>
      <c r="J210">
        <f ca="1">INDEX(技能数据库!$B$2:$I$100,MATCH(阵眼收益计算!$E210,技能数据库!$B$2:$B$100,0),MATCH(J$9,技能数据库!$B$2:$I$2,0))</f>
        <v>0</v>
      </c>
      <c r="K210">
        <f ca="1">INDEX(技能数据库!$B$2:$I$100,MATCH(阵眼收益计算!$E210,技能数据库!$B$2:$B$100,0),MATCH(K$9,技能数据库!$B$2:$I$2,0))</f>
        <v>0</v>
      </c>
      <c r="L210">
        <f ca="1" t="shared" si="960"/>
        <v>105847</v>
      </c>
      <c r="M210">
        <f ca="1" t="shared" si="995"/>
        <v>19530.5</v>
      </c>
      <c r="N210">
        <f ca="1" t="shared" si="996"/>
        <v>92028</v>
      </c>
      <c r="O210">
        <f ca="1" t="shared" si="883"/>
        <v>303829.99375</v>
      </c>
      <c r="P210">
        <f ca="1">IF(G210="恒定伤害",0,(IF(D210="轻剑",$AZ$2,$AZ$3)+IFERROR(INDEX(技能数据库!$T$2:$W$27,MATCH(E210,技能数据库!$T$2:$T$27,0),4),0)+COUNTIF(G210,"*造化2*")*154+COUNTIF(G210,"*造化1*")*102+COUNTIF(G210,"*碧归*")*307)/1024)</f>
        <v>0.416125959429785</v>
      </c>
      <c r="Q210">
        <f ca="1" t="shared" si="884"/>
        <v>0.448284482196154</v>
      </c>
      <c r="R210">
        <f ca="1" t="shared" si="885"/>
        <v>0.21277697966198</v>
      </c>
      <c r="S210">
        <f ca="1" t="shared" si="997"/>
        <v>490551.029623256</v>
      </c>
      <c r="T210">
        <f t="shared" si="998"/>
        <v>0.8</v>
      </c>
      <c r="U210">
        <f ca="1" t="shared" si="887"/>
        <v>1.7800129648</v>
      </c>
      <c r="V210">
        <f ca="1" t="shared" si="999"/>
        <v>1090990.57779891</v>
      </c>
      <c r="W210">
        <f ca="1">IF(G210="恒定伤害",0,MIN(1,IF(COUNTIF(F210,"*内会*")&gt;0,内会2,IF(D210="轻剑",$Y$2,$Y$3)+COUNTIF(G210,"*莺鸣*")*0.2+COUNTIF(G210,"*叠1*")*0.1+COUNTIF(G210,"*叠2*")*0.2+COUNTIF(G210,"*叠3*")*0.3)+IFERROR(INDEX(技能数据库!$T$2:$W$27,MATCH(E210,技能数据库!$T$2:$T$27,0),2),0)+IF((IF(D210="轻剑",$AO$2,$AO$3)+INT(COUNTIF(G210,"*大莺鸣*")*IF(D210="轻剑",$AM$2,$AM$3)*听晓无双率)/无双系数)&gt;0.9,特效裤子会心/会心系数,0)))</f>
        <v>0.9043</v>
      </c>
      <c r="X210">
        <f ca="1">IF(G210="恒定伤害",0,IF(COUNTIF(F210,"*内会*")&gt;0,内会效2,IF(D210="轻剑",$AB$2,$AB$3))+IFERROR(INDEX(技能数据库!$T$2:$W$27,MATCH(E210,技能数据库!$T$2:$T$27,0),3)/1024,0))+COUNTIF(G210,"*叠1*")*0.25+COUNTIF(G210,"*叠2*")*0.5+COUNTIF(G210,"*叠3*")*0.75</f>
        <v>2.6712723116</v>
      </c>
      <c r="Y210">
        <f ca="1" t="shared" si="1000"/>
        <v>2.51133155137988</v>
      </c>
      <c r="Z210">
        <f t="shared" si="890"/>
        <v>0.150390625</v>
      </c>
      <c r="AA210">
        <f ca="1" t="shared" si="1001"/>
        <v>0.0205078125</v>
      </c>
      <c r="AB210">
        <f ca="1" t="shared" si="1002"/>
        <v>3216523.43902675</v>
      </c>
      <c r="AC210">
        <f ca="1">技能数计算!$AJ202</f>
        <v>0</v>
      </c>
      <c r="AD210" s="164">
        <f ca="1" t="shared" si="893"/>
        <v>0</v>
      </c>
      <c r="AE210" s="168"/>
      <c r="AF210" s="168">
        <f ca="1" t="shared" ref="AF210:AF212" si="1003">W210+IF(COUNTIF(F210,"*内会*")&gt;0,0,IF(D210="轻剑",$AF$8-$Y$2,$AF$9-$Y$3))</f>
        <v>0.9057</v>
      </c>
      <c r="AG210">
        <f ca="1">技能数计算!$AJ202</f>
        <v>0</v>
      </c>
      <c r="AH210">
        <f ca="1" t="shared" si="968"/>
        <v>109879</v>
      </c>
      <c r="AJ210">
        <f ca="1" t="shared" ref="AJ210:AJ212" si="1004">X210+IF(COUNTIF(F210,"*内会*")&gt;0,0,IF(D210="轻剑",$AJ$8-$AB$2,$AJ$9-$AB$3))</f>
        <v>2.8704910616</v>
      </c>
      <c r="AK210">
        <f ca="1" t="shared" si="896"/>
        <v>315346.39375</v>
      </c>
      <c r="AL210">
        <f ca="1" t="shared" si="897"/>
        <v>3582396.32974129</v>
      </c>
      <c r="AM210" s="169">
        <f ca="1" t="shared" ref="AM210:AM212" si="1005">W210+IF(COUNTIF(F210,"*内会*")&gt;0,0,IF(D210="轻剑",$AN$8-$Y$2,$AN$9-$Y$3))</f>
        <v>0.9272</v>
      </c>
      <c r="AN210">
        <f ca="1">技能数计算!$AJ202</f>
        <v>0</v>
      </c>
      <c r="AO210" s="170">
        <f ca="1" t="shared" si="899"/>
        <v>3635871.65210349</v>
      </c>
      <c r="AP210">
        <f ca="1" t="shared" si="969"/>
        <v>110956</v>
      </c>
      <c r="AQ210" s="170">
        <f ca="1" t="shared" si="900"/>
        <v>318422.575</v>
      </c>
      <c r="AR210">
        <f ca="1" t="shared" si="901"/>
        <v>3568777.8733355</v>
      </c>
      <c r="AS210">
        <f ca="1" t="shared" ref="AS210:AS212" si="1006">W210+IF(COUNTIF(F210,"*内会*")&gt;0,0,IF(D210="轻剑",$AS$8-$Y$2,$AS$9-$Y$3))</f>
        <v>0.9843</v>
      </c>
      <c r="AT210">
        <f ca="1">技能数计算!$AJ202</f>
        <v>0</v>
      </c>
      <c r="AU210">
        <f ca="1" t="shared" ref="AU210:AU212" si="1007">X210+IF(COUNTIF(F210,"*内会*")&gt;0,0,IF(D210="轻剑",$AU$8-$AB$2,$AU$9-$AB$3))</f>
        <v>2.8177566866</v>
      </c>
      <c r="AV210">
        <f ca="1" t="shared" si="904"/>
        <v>1.7995442148</v>
      </c>
      <c r="AW210">
        <f ca="1" t="shared" si="905"/>
        <v>3597539.92056346</v>
      </c>
      <c r="AX210">
        <f ca="1" t="shared" ref="AX210:AX212" si="1008">$W210+IF(COUNTIF(F210,"*内会*")&gt;0,0,IF(I210="轻剑",AX$8-$Y$2,AX$9-$Y$3))</f>
        <v>0.9743</v>
      </c>
      <c r="AY210">
        <f ca="1">技能数计算!$AJ202</f>
        <v>0</v>
      </c>
      <c r="AZ210" s="170">
        <f ca="1" t="shared" si="907"/>
        <v>3574094.4513859</v>
      </c>
      <c r="BA210">
        <f ca="1" t="shared" ref="BA210:BA212" si="1009">$W210+IF(COUNTIF(F210,"*内会*")&gt;0,0,IF(L210="轻剑",BA$8-$Y$2,BA$9-$Y$3))</f>
        <v>0.9643</v>
      </c>
      <c r="BB210">
        <f ca="1">技能数计算!$AJ202</f>
        <v>0</v>
      </c>
      <c r="BC210" s="170">
        <f ca="1" t="shared" si="909"/>
        <v>3550648.98220835</v>
      </c>
      <c r="BE210">
        <f ca="1" t="shared" si="970"/>
        <v>105849</v>
      </c>
      <c r="BF210">
        <f ca="1" t="shared" si="910"/>
        <v>303835.70625</v>
      </c>
      <c r="BI210">
        <f ca="1" t="shared" ref="BI210:BI212" si="1010">$W210+IF(COUNTIF(F210,"*内会*")&gt;0,0,IF(T210="轻剑",BI$8-$Y$2,BI$9-$Y$3))</f>
        <v>0.9543</v>
      </c>
      <c r="BJ210">
        <f ca="1">技能数计算!$AJ202</f>
        <v>0</v>
      </c>
      <c r="BK210">
        <f ca="1" t="shared" si="912"/>
        <v>3547281.11669504</v>
      </c>
      <c r="BM210">
        <f ca="1" t="shared" si="971"/>
        <v>109230</v>
      </c>
      <c r="BN210">
        <f ca="1" t="shared" si="913"/>
        <v>313492.6875</v>
      </c>
      <c r="BO210">
        <f ca="1" t="shared" si="914"/>
        <v>3584272.45856512</v>
      </c>
      <c r="BP210">
        <f ca="1" t="shared" si="915"/>
        <v>3418113.94461686</v>
      </c>
      <c r="BR210">
        <f ca="1" t="shared" ref="BR210:BR212" si="1011">$W210+IF(T210="轻剑",BI$8-$Y$2,BI$9-$Y$3)</f>
        <v>0.9543</v>
      </c>
      <c r="BS210">
        <f ca="1" t="shared" si="917"/>
        <v>3556663.76093061</v>
      </c>
      <c r="BT210">
        <f ca="1" t="shared" si="918"/>
        <v>0.196995876306796</v>
      </c>
      <c r="BU210">
        <f ca="1" t="shared" ref="BU210:BU212" si="1012">X210+IF(D210="轻剑",$AU$8-$AB$2,$AU$9-$AB$3)</f>
        <v>2.8177566866</v>
      </c>
      <c r="BV210">
        <f ca="1" t="shared" si="920"/>
        <v>3572810.63764568</v>
      </c>
      <c r="BW210">
        <f ca="1" t="shared" si="972"/>
        <v>113027</v>
      </c>
      <c r="BX210">
        <f ca="1" t="shared" si="921"/>
        <v>324337.86875</v>
      </c>
      <c r="BY210">
        <f ca="1" t="shared" ref="BY210:BY212" si="1013">$W210+IF(COUNTIF(F210,"*内会*")&gt;0,0,IF(AI210="轻剑",BY$8-$Y$2,BY$9-$Y$3))</f>
        <v>0.9343</v>
      </c>
      <c r="BZ210">
        <f ca="1">技能数计算!$AJ202</f>
        <v>0</v>
      </c>
      <c r="CA210">
        <f ca="1" t="shared" ref="CA210:CA212" si="1014">X210+IF(COUNTIF(F210,"*内会*")&gt;0,0,IF(D210="轻剑",$CA$8-$AB$2,$CA$9-$AB$3))</f>
        <v>2.8216629366</v>
      </c>
      <c r="CB210">
        <f ca="1" t="shared" si="924"/>
        <v>3694296.60043819</v>
      </c>
      <c r="CC210">
        <f ca="1" t="shared" si="973"/>
        <v>114847</v>
      </c>
      <c r="CD210">
        <f ca="1" t="shared" si="925"/>
        <v>329536.24375</v>
      </c>
      <c r="CE210">
        <f ca="1" t="shared" si="926"/>
        <v>3664776.39588972</v>
      </c>
      <c r="CF210">
        <f ca="1" t="shared" ref="CF210:CF212" si="1015">X210+IF(COUNTIF(F210,"*内会*")&gt;0,0,IF(D210="轻剑",$CF$8-$AB$2,$CF$9-$AB$3))</f>
        <v>2.7689285616</v>
      </c>
      <c r="CG210">
        <f ca="1" t="shared" ref="CG210:CG212" si="1016">$W210+IF(AI210="轻剑",BY$8-$Y$2,BY$9-$Y$3)</f>
        <v>0.9343</v>
      </c>
      <c r="CH210">
        <f ca="1" t="shared" si="929"/>
        <v>3421471.63852177</v>
      </c>
      <c r="CJ210">
        <f ca="1" t="shared" si="930"/>
        <v>313492.6875</v>
      </c>
      <c r="CK210">
        <f ca="1" t="shared" si="931"/>
        <v>3568035.8996765</v>
      </c>
      <c r="CL210">
        <f ca="1" t="shared" si="932"/>
        <v>2.7915848116</v>
      </c>
      <c r="CM210">
        <f ca="1">IF(G210="恒定伤害",0,(IF(D210="轻剑",$CM$8,$CM$9)+IFERROR(INDEX(技能数据库!$T$2:$W$27,MATCH(E210,技能数据库!$T$2:$T$27,0),4),0)+COUNTIF(G210,"*造化2*")*154+COUNTIF(G210,"*造化1*")*102+COUNTIF(G210,"*碧归*")*307)/1024)</f>
        <v>0.476672834429785</v>
      </c>
      <c r="CN210">
        <f ca="1" t="shared" si="933"/>
        <v>3596227.15565654</v>
      </c>
      <c r="CO210">
        <f ca="1" t="shared" si="934"/>
        <v>2.8156473116</v>
      </c>
      <c r="CP210">
        <f ca="1" t="shared" si="935"/>
        <v>3626463.73613453</v>
      </c>
      <c r="CQ210">
        <f ca="1" t="shared" si="936"/>
        <v>1.8815754648</v>
      </c>
      <c r="CR210">
        <f ca="1">IF(G210="恒定伤害",0,(IF(D210="轻剑",$CR$8,$CR$9)+IFERROR(INDEX(技能数据库!$T$2:$W$27,MATCH(E210,技能数据库!$T$2:$T$27,0),4),0)+COUNTIF(G210,"*造化2*")*154+COUNTIF(G210,"*造化1*")*102+COUNTIF(G210,"*碧归*")*307)/1024)</f>
        <v>0.466907209429785</v>
      </c>
      <c r="CS210">
        <f ca="1" t="shared" si="937"/>
        <v>3453589.02760559</v>
      </c>
    </row>
    <row r="211" spans="4:97">
      <c r="D211" t="s">
        <v>1825</v>
      </c>
      <c r="E211" t="s">
        <v>2798</v>
      </c>
      <c r="G211" t="s">
        <v>3116</v>
      </c>
      <c r="H211">
        <f ca="1">INDEX(技能数据库!$B$2:$I$100,MATCH(阵眼收益计算!$E211,技能数据库!$B$2:$B$100,0),MATCH(H$9,技能数据库!$B$2:$I$2,0))</f>
        <v>1504.5</v>
      </c>
      <c r="I211">
        <f ca="1">INDEX(技能数据库!$B$2:$I$100,MATCH(阵眼收益计算!$E211,技能数据库!$B$2:$B$100,0),MATCH(I$9,技能数据库!$B$2:$I$2,0))</f>
        <v>2.85625</v>
      </c>
      <c r="J211">
        <f ca="1">INDEX(技能数据库!$B$2:$I$100,MATCH(阵眼收益计算!$E211,技能数据库!$B$2:$B$100,0),MATCH(J$9,技能数据库!$B$2:$I$2,0))</f>
        <v>0</v>
      </c>
      <c r="K211">
        <f ca="1">INDEX(技能数据库!$B$2:$I$100,MATCH(阵眼收益计算!$E211,技能数据库!$B$2:$B$100,0),MATCH(K$9,技能数据库!$B$2:$I$2,0))</f>
        <v>0</v>
      </c>
      <c r="L211">
        <f ca="1" t="shared" si="960"/>
        <v>105847</v>
      </c>
      <c r="M211">
        <f ca="1" t="shared" si="995"/>
        <v>19530.5</v>
      </c>
      <c r="N211">
        <f ca="1" t="shared" si="996"/>
        <v>92028</v>
      </c>
      <c r="O211">
        <f ca="1" t="shared" ref="O211:O213" si="1017">H211+I211*L211+J211*M211+IF(K211&gt;0,MAX(1,K211*N211*破招全局系数),0)</f>
        <v>303829.99375</v>
      </c>
      <c r="P211">
        <f ca="1">IF(G211="恒定伤害",0,(IF(D211="轻剑",$AZ$2,$AZ$3)+IFERROR(INDEX(技能数据库!$T$2:$W$27,MATCH(E211,技能数据库!$T$2:$T$27,0),4),0)+COUNTIF(G211,"*造化2*")*154+COUNTIF(G211,"*造化1*")*102+COUNTIF(G211,"*碧归*")*307)/1024)</f>
        <v>0.416125959429785</v>
      </c>
      <c r="Q211">
        <f ca="1" t="shared" ref="Q211:Q213" si="1018">IF(G211="恒定伤害",0,(IF(COUNTIF(F211,"*内破*")&gt;0,内破,IF(D211="轻剑",$AF$2,$AF$3)/破防系数))+IF((IF(D211="轻剑",$AO$2,$AO$3)+INT(COUNTIF(G211,"*大莺鸣*")*IF(D211="轻剑",$AM$2,$AM$3)*听晓无双率)/无双系数)&gt;0.9,(特效裤子破防+特效裤子破防*IF(D211="轻剑",$AD$2,$AD$3)/1024)/破防系数,0))</f>
        <v>0.448284482196154</v>
      </c>
      <c r="R211">
        <f ca="1" t="shared" ref="R211:R213" si="1019">IF(G211="恒定伤害",0,(($F$5-IF(D211="轻剑",$BB$2,$BB$3))*(1024-IF(D211="轻剑",$BD$2,$BD$3))/1024*(1024-IF(D211="轻剑",$BC$2,$BC$3)-COUNTIF(G211,"*雾锁*")*461*雾锁)/1024/(($F$5-IF(D211="轻剑",$BB$2,$BB$3))*(1024-IF(D211="轻剑",$BD$2,$BD$3))/1024*(1024-IF(D211="轻剑",$BC$2,$BC$3)-COUNTIF(G211,"*雾锁*")*461*雾锁)/1024+$F$7)))</f>
        <v>0.21277697966198</v>
      </c>
      <c r="S211">
        <f ca="1" t="shared" si="997"/>
        <v>490551.029623256</v>
      </c>
      <c r="T211">
        <f t="shared" si="998"/>
        <v>0.8</v>
      </c>
      <c r="U211">
        <f ca="1" t="shared" ref="U211:U213" si="1020">IF(G211="恒定伤害",0,(IF(D211="轻剑",$AO$2,$AO$3)+INT(COUNTIF(G211,"*大莺鸣*")*IF(D211="轻剑",$AM$2,$AM$3)*听晓无双率)/无双系数)+IF((IF(D211="轻剑",$AO$2,$AO$3)+INT(COUNTIF(G211,"*大莺鸣*")*IF(D211="轻剑",$AM$2,$AM$3)*听晓无双率)/无双系数)&lt;=0.9,特效裤子无双,0))</f>
        <v>1.7800129648</v>
      </c>
      <c r="V211">
        <f ca="1" t="shared" si="999"/>
        <v>1090990.57779891</v>
      </c>
      <c r="W211">
        <f ca="1">IF(G211="恒定伤害",0,MIN(1,IF(COUNTIF(F211,"*内会*")&gt;0,内会2,IF(D211="轻剑",$Y$2,$Y$3)+COUNTIF(G211,"*莺鸣*")*0.2+COUNTIF(G211,"*叠1*")*0.1+COUNTIF(G211,"*叠2*")*0.2+COUNTIF(G211,"*叠3*")*0.3)+IFERROR(INDEX(技能数据库!$T$2:$W$27,MATCH(E211,技能数据库!$T$2:$T$27,0),2),0)+IF((IF(D211="轻剑",$AO$2,$AO$3)+INT(COUNTIF(G211,"*大莺鸣*")*IF(D211="轻剑",$AM$2,$AM$3)*听晓无双率)/无双系数)&gt;0.9,特效裤子会心/会心系数,0)))</f>
        <v>1</v>
      </c>
      <c r="X211">
        <f ca="1">IF(G211="恒定伤害",0,IF(COUNTIF(F211,"*内会*")&gt;0,内会效2,IF(D211="轻剑",$AB$2,$AB$3))+IFERROR(INDEX(技能数据库!$T$2:$W$27,MATCH(E211,技能数据库!$T$2:$T$27,0),3)/1024,0))+COUNTIF(G211,"*叠1*")*0.25+COUNTIF(G211,"*叠2*")*0.5+COUNTIF(G211,"*叠3*")*0.75</f>
        <v>2.9212723116</v>
      </c>
      <c r="Y211">
        <f ca="1" t="shared" si="1000"/>
        <v>2.9212723116</v>
      </c>
      <c r="Z211">
        <f t="shared" ref="Z211:Z213" si="1021">IF(G211="恒定伤害",0,非侠士伤害/1024)</f>
        <v>0.150390625</v>
      </c>
      <c r="AA211">
        <f ca="1" t="shared" si="1001"/>
        <v>0.0205078125</v>
      </c>
      <c r="AB211">
        <f ca="1" t="shared" si="1002"/>
        <v>3741577.19512516</v>
      </c>
      <c r="AC211">
        <f ca="1">技能数计算!$AJ203</f>
        <v>2</v>
      </c>
      <c r="AD211" s="164">
        <f ca="1" t="shared" ref="AD211:AD213" si="1022">IFERROR(AB211*AC211/$AD$7,0)</f>
        <v>0.00268281780927385</v>
      </c>
      <c r="AE211" s="168"/>
      <c r="AF211" s="168">
        <f ca="1" t="shared" si="1003"/>
        <v>1.0014</v>
      </c>
      <c r="AG211">
        <f ca="1">技能数计算!$AJ203</f>
        <v>2</v>
      </c>
      <c r="AH211">
        <f ca="1" t="shared" si="968"/>
        <v>109879</v>
      </c>
      <c r="AJ211">
        <f ca="1" t="shared" si="1004"/>
        <v>3.1204910616</v>
      </c>
      <c r="AK211">
        <f ca="1" t="shared" ref="AK211:AK213" si="1023">H211+AH211*I211+J211*(238.5+M211)+IF(K211&gt;0,MAX(1,K211*N211*破招全局系数),0)</f>
        <v>315346.39375</v>
      </c>
      <c r="AL211">
        <f ca="1" t="shared" ref="AL211:AL213" si="1024">IF(COUNTIF(G211,"*恒定伤害*")&gt;0,AB211,((AK211*(1+P211)*(1+IF(COUNTIF(F211,"*内破*")&gt;0,内破,IF(D211="轻剑",$AI$8,$AI$9)/破防系数)+IF((IF(D211="轻剑",$AO$2,$AO$3)+INT(COUNTIF(G211,"*大莺鸣*")*IF(D211="轻剑",$AM$2,$AM$3)*听晓无双率)/无双系数)&gt;0.9,(特效裤子破防+特效裤子破防*IF(D211="轻剑",$AD$2,$AD$3)/1024)/破防系数,0))*(1-R211))*T211*(1+U211))*(1+Z211)*(1+AA211)*(1+MIN(1,AF211)*(MIN(3+COUNTIF(G211,"*叠*")*0.75,AJ211)-1)))</f>
        <v>4149370.90207867</v>
      </c>
      <c r="AM211" s="169">
        <f ca="1" t="shared" si="1005"/>
        <v>1.0229</v>
      </c>
      <c r="AN211">
        <f ca="1">技能数计算!$AJ203</f>
        <v>2</v>
      </c>
      <c r="AO211" s="170">
        <f ca="1" t="shared" ref="AO211:AO213" si="1025">IF(COUNTIF(G211,"*恒定伤害*")&gt;0,AB211,((AK211*(1+P211)*(1+IF(COUNTIF(F211,"*内破*")&gt;0,内破,IF(D211="轻剑",$AI$8,$AI$9)/破防系数)+IF((IF(D211="轻剑",$AO$2,$AO$3)+INT(COUNTIF(G211,"*大莺鸣*")*IF(D211="轻剑",$AM$2,$AM$3)*听晓无双率)/无双系数)&gt;0.9,(特效裤子破防+特效裤子破防*IF(D211="轻剑",$AD$2,$AD$3)/1024)/破防系数,0))*(1-R211))*T211*(1+U211))*(1+Z211)*(1+AA211)*(1+MIN(1,AM211)*(MIN(3+COUNTIF(G211,"*叠*")*0.75,AJ211)-1)))</f>
        <v>4149370.90207867</v>
      </c>
      <c r="AP211">
        <f ca="1" t="shared" si="969"/>
        <v>110956</v>
      </c>
      <c r="AQ211" s="170">
        <f ca="1" t="shared" ref="AQ211:AQ213" si="1026">H211+AP211*I211+J211*M211+IF(K211&gt;0,MAX(1,K211*N211*破招全局系数),0)</f>
        <v>318422.575</v>
      </c>
      <c r="AR211">
        <f ca="1" t="shared" ref="AR211:AR213" si="1027">IF(COUNTIF(G211,"*恒定伤害*")&gt;0,AB211,((AQ211*(1+P211)*(1+IF(COUNTIF(F211,"*内破*")&gt;0,内破,IF(D211="轻剑",$AQ$8,$AQ$9)/破防系数)+IF((IF(D211="轻剑",$AO$2,$AO$3)+INT(COUNTIF(G211,"*大莺鸣*")*IF(D211="轻剑",$AM$2,$AM$3)*听晓无双率)/无双系数)&gt;0.9,(特效裤子破防+特效裤子破防*IF(D211="轻剑",$AD$2+200,$AD$3+200)/1024)/破防系数,0))*(1-R211))*T211*(1+U211))*Y211*(1+Z211)*(1+AA211))</f>
        <v>4151332.38058407</v>
      </c>
      <c r="AS211">
        <f ca="1" t="shared" si="1006"/>
        <v>1.08</v>
      </c>
      <c r="AT211">
        <f ca="1">技能数计算!$AJ203</f>
        <v>2</v>
      </c>
      <c r="AU211">
        <f ca="1" t="shared" si="1007"/>
        <v>3.0677566866</v>
      </c>
      <c r="AV211">
        <f ca="1" t="shared" ref="AV211:AV213" si="1028">IF(G211="恒定伤害",0,(IF(D211="轻剑",$AV$8,$AV$9)+INT(COUNTIF(G211,"*大莺鸣*")*IF(D211="轻剑",$AM$2,$AM$3)*听晓无双率)/无双系数))+IF((IF(G211="恒定伤害",0,(IF(D211="轻剑",$AV$8,$AV$9)+INT(COUNTIF(G211,"*大莺鸣*")*IF(D211="轻剑",$AM$2,$AM$3)*听晓无双率)/无双系数)))&lt;=0.9,特效裤子无双,0)</f>
        <v>1.7995442148</v>
      </c>
      <c r="AW211">
        <f ca="1" t="shared" ref="AW211:AW213" si="1029">IF(COUNTIF(G211,"*恒定伤害*")&gt;0,AB211,((O211*(1+P211)*(1+Q211)*(1-R211))*T211*(1+AV211))*(1+MIN(1,AS211)*(MIN(3+COUNTIF(G211,"*叠*")*0.75,AU211)-1))*(1+Z211)*(1+AA211))</f>
        <v>3956799.90452645</v>
      </c>
      <c r="AX211">
        <f ca="1" t="shared" si="1008"/>
        <v>1.07</v>
      </c>
      <c r="AY211">
        <f ca="1">技能数计算!$AJ203</f>
        <v>2</v>
      </c>
      <c r="AZ211" s="170">
        <f ca="1" t="shared" ref="AZ211:AZ213" si="1030">IF(COUNTIF(G211,"*恒定伤害*")&gt;0,AB211,((O211*(1+P211)*(1+Q211)*(1-R211))*T211*(1+AV211))*(1+MIN(1,AX211)*(MIN(3+COUNTIF(G211,"*叠*")*0.75,AU211)-1))*(1+Z211)*(1+AA211))</f>
        <v>3956799.90452645</v>
      </c>
      <c r="BA211">
        <f ca="1" t="shared" si="1009"/>
        <v>1.06</v>
      </c>
      <c r="BB211">
        <f ca="1">技能数计算!$AJ203</f>
        <v>2</v>
      </c>
      <c r="BC211" s="170">
        <f ca="1" t="shared" ref="BC211:BC213" si="1031">IF(COUNTIF(G211,"*恒定伤害*")&gt;0,AB211,((O211*(1+P211)*(1+Q211)*(1-R211))*T211*(1+AV211))*(1+MIN(1,BA211)*(MIN(3+COUNTIF(G211,"*叠*")*0.75,AU211)-1))*(1+Z211)*(1+AA211))</f>
        <v>3956799.90452645</v>
      </c>
      <c r="BE211">
        <f ca="1" t="shared" si="970"/>
        <v>105849</v>
      </c>
      <c r="BF211">
        <f ca="1" t="shared" ref="BF211:BF213" si="1032">H211+BE211*I211+J211*M211+IF(K211&gt;0,MAX(1,K211*N211*破招全局系数),0)</f>
        <v>303835.70625</v>
      </c>
      <c r="BI211">
        <f ca="1" t="shared" si="1010"/>
        <v>1.05</v>
      </c>
      <c r="BJ211">
        <f ca="1">技能数计算!$AJ203</f>
        <v>2</v>
      </c>
      <c r="BK211">
        <f ca="1" t="shared" ref="BK211:BK213" si="1033">IF(COUNTIF(G211,"*恒定伤害*")&gt;0,AB211,((BF211*(1+P211)*(1+IF(COUNTIF(F211,"*内破*")&gt;0,内破,IF(D211="轻剑",$BH$8,$BH$9)/破防系数)+IF((IF(D211="轻剑",$AO$2,$AO$3)+INT(COUNTIF(G211,"*大莺鸣*")*IF(D211="轻剑",$AM$2,$AM$3)*听晓无双率)/无双系数)&gt;0.9,(特效裤子破防+特效裤子破防*IF(D211="轻剑",$AD$2+204,$AD$3+204)/1024)/破防系数,0))*(1-R211))*T211*(1+AV211))*(1+MIN(1,BI211)*(MIN(3+COUNTIF(G211,"*叠*")*0.75,X211)-1))*(1+Z211)*(1+AA211))</f>
        <v>3993446.14750017</v>
      </c>
      <c r="BM211">
        <f ca="1" t="shared" si="971"/>
        <v>109230</v>
      </c>
      <c r="BN211">
        <f ca="1" t="shared" ref="BN211:BN213" si="1034">H211+BM211*I211+J211*M211+IF(K211&gt;0,MAX(1,K211*N211*破招全局系数),0)</f>
        <v>313492.6875</v>
      </c>
      <c r="BO211">
        <f ca="1" t="shared" ref="BO211:BO213" si="1035">IF(COUNTIF(G211,"*恒定伤害*")&gt;0,AB211,((BN211*(1+P211)*(1+IF(COUNTIF(F211,"*内破*")&gt;0,内破,IF(D211="轻剑",$BM$8,$BM$9)/破防系数)+IF((IF(D211="轻剑",$AO$2,$AO$3)+INT(COUNTIF(G211,"*大莺鸣*")*IF(D211="轻剑",$AM$2,$AM$3)*听晓无双率)/无双系数)&gt;0.9,(特效裤子破防+特效裤子破防*IF(D211="轻剑",$AD$2+102,$AD$3+102)/1024)/破防系数,0))*(1-R211))*T211*(1+U211))*Y211*(1+Z211)*(1+AA211))</f>
        <v>4169356.24636402</v>
      </c>
      <c r="BP211">
        <f ca="1" t="shared" ref="BP211:BP213" si="1036">IF(COUNTIF(G211,"*恒定伤害*")&gt;0,AB211,((BN211*(1+P211)*(1+IF(COUNTIF(F211,"*内破*")&gt;0,内破,IF(D211="轻剑",$BQ$8,$BQ$9)/破防系数)+IF((IF(D211="轻剑",$AO$2,$AO$3)+INT(COUNTIF(G211,"*大莺鸣*")*IF(D211="轻剑",$AM$2,$AM$3)*听晓无双率)/无双系数)&gt;0.9,(特效裤子破防+特效裤子破防*IF(D211="轻剑",$AD$2+102,$AD$3+102)/1024)/破防系数,0))*(1-R211))*T211*(1+U211))*Y211*(1+Z211)*(1+AA211))</f>
        <v>3976074.61221781</v>
      </c>
      <c r="BR211">
        <f ca="1" t="shared" si="1011"/>
        <v>1.05</v>
      </c>
      <c r="BS211">
        <f ca="1" t="shared" ref="BS211:BS213" si="1037">IF(COUNTIF(G211,"*恒定伤害*")&gt;0,AB211,((BN211*(1+P211)*(1+IF(COUNTIF(F211,"*内破*")&gt;0,内破,IF(D211="轻剑",$BQ$8,$BQ$9)/破防系数)+IF((IF(D211="轻剑",$AO$2,$AO$3)+INT(COUNTIF(G211,"*大莺鸣*")*IF(D211="轻剑",$AM$2,$AM$3)*听晓无双率)/无双系数)&gt;0.9,(特效裤子破防+特效裤子破防*IF(D211="轻剑",$AD$2+102,$AD$3+102)/1024)/破防系数,0))*(1-R211))*T211*(1+AV211))*(1+MIN(1,BR211)*(MIN(3+COUNTIF(G211,"*叠*")*0.75,X211)-1))*(1+Z211)*(1+AA211))</f>
        <v>4004008.909019</v>
      </c>
      <c r="BT211">
        <f ca="1" t="shared" ref="BT211:BT213" si="1038">IF(G211="恒定伤害",0,(($F$5-IF(D211="轻剑",$BB$2,$BB$3))*(1024-IF(D211="轻剑",$BD$2,$BD$3))/1024*(1024-IF(D211="轻剑",$BT$8,$BT$9)-COUNTIF(G211,"*雾锁*")*461*雾锁)/1024/(($F$5-IF(D211="轻剑",$BB$2,$BB$3))*(1024-IF(D211="轻剑",$BD$2,$BD$3))/1024*(1024-IF(D211="轻剑",$BT$8,$BT$9)-COUNTIF(G211,"*雾锁*")*461*雾锁)/1024+$F$7)))</f>
        <v>0.196995876306796</v>
      </c>
      <c r="BU211">
        <f ca="1" t="shared" si="1012"/>
        <v>3.0677566866</v>
      </c>
      <c r="BV211">
        <f ca="1" t="shared" ref="BV211:BV213" si="1039">IF(COUNTIF(G211,"*恒定伤害*")&gt;0,AB211,((O211*(1+P211)*(1+Q211)*(1-BT211))*T211*(1+U211))*(1+MIN(1,BR211)*(MIN(3+COUNTIF(G211,"*叠*")*0.75,BU211)-1))*(1+Z211)*(1+AA211))</f>
        <v>4007961.75715423</v>
      </c>
      <c r="BW211">
        <f ca="1" t="shared" si="972"/>
        <v>113027</v>
      </c>
      <c r="BX211">
        <f ca="1" t="shared" ref="BX211:BX213" si="1040">H211+BW211*I211+J211*M211+IF(K211&gt;0,MAX(1,K211*N211*破招全局系数),0)</f>
        <v>324337.86875</v>
      </c>
      <c r="BY211">
        <f ca="1" t="shared" si="1013"/>
        <v>1.03</v>
      </c>
      <c r="BZ211">
        <f ca="1">技能数计算!$AJ203</f>
        <v>2</v>
      </c>
      <c r="CA211">
        <f ca="1" t="shared" si="1014"/>
        <v>3.0716629366</v>
      </c>
      <c r="CB211">
        <f ca="1" t="shared" ref="CB211:CB213" si="1041">IF(COUNTIF(G211,"*恒定伤害*")&gt;0,AB211,((BX211*(1+P211)*(1+Q211)*(1-R211))*T211*(1+U211))*(1+MIN(1,BY211)*(MIN(3+COUNTIF(G211,"*叠*")*0.75,CA211)-1))*(1+Z211)*(1+AA211))</f>
        <v>4199748.06671351</v>
      </c>
      <c r="CC211">
        <f ca="1" t="shared" si="973"/>
        <v>114847</v>
      </c>
      <c r="CD211">
        <f ca="1" t="shared" ref="CD211:CD213" si="1042">H211+CC211*I211+J211*M211+IF(K211&gt;0,MAX(1,K211*N211*破招全局系数),0)</f>
        <v>329536.24375</v>
      </c>
      <c r="CE211">
        <f ca="1" t="shared" ref="CE211:CE213" si="1043">IF(COUNTIF(G211,"*恒定伤害*")&gt;0,AB211,((CD211*(1+P211)*(1+IF(COUNTIF(F211,"*内破*")&gt;0,内破,IF(D211="轻剑",$BQ$8,$BQ$9)/破防系数)+IF((IF(D211="轻剑",$AO$2,$AO$3)+INT(COUNTIF(G211,"*大莺鸣*")*IF(D211="轻剑",$AM$2,$AM$3)*听晓无双率)/无双系数)&gt;0.9,(特效裤子破防+特效裤子破防*IF(D211="轻剑",$AD$2+102,$AD$3+102)/1024)/破防系数,0))*(1-R211))*T211*(1+U211))*(1+MIN(1,BY211)*(MIN(3+COUNTIF(G211,"*叠*")*0.75,X211)-1))*(1+Z211)*(1+AA211))</f>
        <v>4179557.43411079</v>
      </c>
      <c r="CF211">
        <f ca="1" t="shared" si="1015"/>
        <v>3.0189285616</v>
      </c>
      <c r="CG211">
        <f ca="1" t="shared" si="1016"/>
        <v>1.03</v>
      </c>
      <c r="CH211">
        <f ca="1" t="shared" ref="CH211:CH213" si="1044">IF(COUNTIF(G211,"*恒定伤害*")&gt;0,AB211,((O211*(1+P211)*(1+Q211)*(1-R211))*T211*(1+AV211))*(1+MIN(1,BY211)*(MIN(3+COUNTIF(G211,"*叠*")*0.75,CF211)-1))*(1+Z211)*(1+AA211))</f>
        <v>3893821.2722307</v>
      </c>
      <c r="CJ211">
        <f ca="1" t="shared" ref="CJ211:CJ213" si="1045">H211+BM211*I211+J211*M211+IF(K211&gt;0,MAX(1,K211*(N211+2667)*破招全局系数),0)</f>
        <v>313492.6875</v>
      </c>
      <c r="CK211">
        <f ca="1" t="shared" ref="CK211:CK213" si="1046">IF(COUNTIF(G211,"*恒定伤害*")&gt;0,AB211,((CJ211*(1+P211)*(1+IF(COUNTIF(F211,"*内破*")&gt;0,内破,IF(D211="轻剑",$CI$8,$CI$9)/破防系数)+IF((IF(D211="轻剑",$AO$2,$AO$3)+INT(COUNTIF(G211,"*大莺鸣*")*IF(D211="轻剑",$AM$2,$AM$3)*听晓无双率)/无双系数)&gt;0.9,(特效裤子破防+特效裤子破防*IF(D211="轻剑",$AD$2+256,$AD$3+256)/1024)/破防系数,0))*(1-R211))*T211*(1+U211))*Y211*(1+Z211)*(1+AA211))</f>
        <v>4150469.28980468</v>
      </c>
      <c r="CL211">
        <f ca="1" t="shared" ref="CL211:CL213" si="1047">X211+IF(D211="轻剑",$CL$8-$AB$2,$CL$9-$AB$3)</f>
        <v>3.0415848116</v>
      </c>
      <c r="CM211">
        <f ca="1">IF(G211="恒定伤害",0,(IF(D211="轻剑",$CM$8,$CM$9)+IFERROR(INDEX(技能数据库!$T$2:$W$27,MATCH(E211,技能数据库!$T$2:$T$27,0),4),0)+COUNTIF(G211,"*造化2*")*154+COUNTIF(G211,"*造化1*")*102+COUNTIF(G211,"*碧归*")*307)/1024)</f>
        <v>0.476672834429785</v>
      </c>
      <c r="CN211">
        <f ca="1" t="shared" ref="CN211:CN213" si="1048">IF(COUNTIF(G211,"*恒定伤害*")&gt;0,AB211,((O211*(1+CM211)*(1+Q211)*(1-R211))*T211*(1+AV211))*(1+MIN(1,CG211)*(MIN(3+COUNTIF(G211,"*叠*")*0.75,CL211)-1))*(1+Z211)*(1+AA211))</f>
        <v>4090774.21108379</v>
      </c>
      <c r="CO211">
        <f ca="1" t="shared" ref="CO211:CO213" si="1049">X211+IF(D211="轻剑",$CO$8-$AB$2,$CO$9-$AB$3)</f>
        <v>3.0656473116</v>
      </c>
      <c r="CP211">
        <f ca="1" t="shared" ref="CP211:CP213" si="1050">IF(COUNTIF(G211,"*恒定伤害*")&gt;0,AB211,((O211*(1+CM211)*(1+Q211)*(1-R211))*T211*(1+AV211))*(1+MIN(1,CG211)*(MIN(3+COUNTIF(G211,"*叠*")*0.75,CO211)-1))*(1+Z211)*(1+AA211))</f>
        <v>4123137.02867769</v>
      </c>
      <c r="CQ211">
        <f ca="1" t="shared" ref="CQ211:CQ213" si="1051">IF(G211="恒定伤害",0,(IF(D211="轻剑",$CQ$8,$CQ$9)+INT(COUNTIF(G211,"*大莺鸣*")*IF(D211="轻剑",$AM$2,$AM$3)*听晓无双率)/无双系数))+IF((IF(G211="恒定伤害",0,(IF(D211="轻剑",$CQ$8,$CQ$9)+INT(COUNTIF(G211,"*大莺鸣*")*IF(D211="轻剑",$AM$2,$AM$3)*听晓无双率)/无双系数)))&lt;=0.9,特效裤子无双,0)</f>
        <v>1.8815754648</v>
      </c>
      <c r="CR211">
        <f ca="1">IF(G211="恒定伤害",0,(IF(D211="轻剑",$CR$8,$CR$9)+IFERROR(INDEX(技能数据库!$T$2:$W$27,MATCH(E211,技能数据库!$T$2:$T$27,0),4),0)+COUNTIF(G211,"*造化2*")*154+COUNTIF(G211,"*造化1*")*102+COUNTIF(G211,"*碧归*")*307)/1024)</f>
        <v>0.466907209429785</v>
      </c>
      <c r="CS211">
        <f ca="1" t="shared" ref="CS211:CS213" si="1052">IF(COUNTIF(G211,"*恒定伤害*")&gt;0,AB211,((O211*(1+CR211)*(1+Q211)*(1-R211))*T211*(1+CQ211))*Y211*(1+Z211)*(1+AA211))</f>
        <v>4017340.5205881</v>
      </c>
    </row>
    <row r="212" spans="4:97">
      <c r="D212" t="s">
        <v>1825</v>
      </c>
      <c r="E212" s="161" t="s">
        <v>2859</v>
      </c>
      <c r="G212" t="s">
        <v>3109</v>
      </c>
      <c r="H212">
        <f ca="1">INDEX(技能数据库!$B$2:$I$100,MATCH(阵眼收益计算!$E212,技能数据库!$B$2:$B$100,0),MATCH(H$9,技能数据库!$B$2:$I$2,0))</f>
        <v>1955936</v>
      </c>
      <c r="I212">
        <f ca="1">INDEX(技能数据库!$B$2:$I$100,MATCH(阵眼收益计算!$E212,技能数据库!$B$2:$B$100,0),MATCH(I$9,技能数据库!$B$2:$I$2,0))</f>
        <v>0</v>
      </c>
      <c r="J212">
        <f ca="1">INDEX(技能数据库!$B$2:$I$100,MATCH(阵眼收益计算!$E212,技能数据库!$B$2:$B$100,0),MATCH(J$9,技能数据库!$B$2:$I$2,0))</f>
        <v>0</v>
      </c>
      <c r="K212">
        <f ca="1">INDEX(技能数据库!$B$2:$I$100,MATCH(阵眼收益计算!$E212,技能数据库!$B$2:$B$100,0),MATCH(K$9,技能数据库!$B$2:$I$2,0))</f>
        <v>0</v>
      </c>
      <c r="L212">
        <f ca="1" t="shared" si="960"/>
        <v>105847</v>
      </c>
      <c r="M212">
        <f ca="1" t="shared" ref="M212:M214" si="1053">IF(D212="轻剑",$AU$2+$AV$2,$AU$3+$AV$3)/2</f>
        <v>19530.5</v>
      </c>
      <c r="N212">
        <f ca="1" t="shared" ref="N212:N214" si="1054">IF(D212="轻剑",$AJ$2,$AJ$3)</f>
        <v>92028</v>
      </c>
      <c r="O212">
        <f ca="1" t="shared" si="1017"/>
        <v>1955936</v>
      </c>
      <c r="P212">
        <f ca="1">IF(G212="恒定伤害",0,(IF(D212="轻剑",$AZ$2,$AZ$3)+IFERROR(INDEX(技能数据库!$T$2:$W$27,MATCH(E212,技能数据库!$T$2:$T$27,0),4),0)+COUNTIF(G212,"*造化2*")*154+COUNTIF(G212,"*造化1*")*102+COUNTIF(G212,"*碧归*")*307)/1024)</f>
        <v>0.116321271929785</v>
      </c>
      <c r="Q212">
        <f ca="1" t="shared" si="1018"/>
        <v>0.448284482196154</v>
      </c>
      <c r="R212">
        <f ca="1" t="shared" si="1019"/>
        <v>0.21277697966198</v>
      </c>
      <c r="S212">
        <f ca="1" t="shared" ref="S212:S214" si="1055">O212*(1+P212)*(1+Q212)*(1-R212)</f>
        <v>2489404.69047043</v>
      </c>
      <c r="T212">
        <f t="shared" si="998"/>
        <v>0.8</v>
      </c>
      <c r="U212">
        <f ca="1" t="shared" si="1020"/>
        <v>1.7800129648</v>
      </c>
      <c r="V212">
        <f ca="1" t="shared" ref="V212:V214" si="1056">S212*T212*(1+U212)</f>
        <v>5536461.85131338</v>
      </c>
      <c r="W212">
        <f ca="1">IF(G212="恒定伤害",0,MIN(1,IF(COUNTIF(F212,"*内会*")&gt;0,内会2,IF(D212="轻剑",$Y$2,$Y$3)+COUNTIF(G212,"*莺鸣*")*0.2+COUNTIF(G212,"*叠1*")*0.1+COUNTIF(G212,"*叠2*")*0.2+COUNTIF(G212,"*叠3*")*0.3)+IFERROR(INDEX(技能数据库!$T$2:$W$27,MATCH(E212,技能数据库!$T$2:$T$27,0),2),0)+IF((IF(D212="轻剑",$AO$2,$AO$3)+INT(COUNTIF(G212,"*大莺鸣*")*IF(D212="轻剑",$AM$2,$AM$3)*听晓无双率)/无双系数)&gt;0.9,特效裤子会心/会心系数,0)))</f>
        <v>0.9043</v>
      </c>
      <c r="X212">
        <f ca="1">IF(G212="恒定伤害",0,IF(COUNTIF(F212,"*内会*")&gt;0,内会效2,IF(D212="轻剑",$AB$2,$AB$3))+IFERROR(INDEX(技能数据库!$T$2:$W$27,MATCH(E212,技能数据库!$T$2:$T$27,0),3)/1024,0))+COUNTIF(G212,"*叠1*")*0.25+COUNTIF(G212,"*叠2*")*0.5+COUNTIF(G212,"*叠3*")*0.75</f>
        <v>2.6712723116</v>
      </c>
      <c r="Y212">
        <f ca="1" t="shared" ref="Y212:Y214" si="1057">1+W212*(X212-1)</f>
        <v>2.51133155137988</v>
      </c>
      <c r="Z212">
        <f t="shared" si="1021"/>
        <v>0.150390625</v>
      </c>
      <c r="AA212">
        <f ca="1" t="shared" ref="AA212:AA214" si="1058">IF(D212="轻剑",$BA$2,$BA$3)/1024</f>
        <v>0.0205078125</v>
      </c>
      <c r="AB212">
        <f ca="1" t="shared" ref="AB212:AB214" si="1059">V212*Y212*(1+Z212)*(1+AA212)</f>
        <v>16322926.7753669</v>
      </c>
      <c r="AC212">
        <f ca="1">技能数计算!$AJ204</f>
        <v>0</v>
      </c>
      <c r="AD212" s="164">
        <f ca="1" t="shared" si="1022"/>
        <v>0</v>
      </c>
      <c r="AE212" s="168"/>
      <c r="AF212" s="168">
        <f ca="1" t="shared" si="1003"/>
        <v>0.9057</v>
      </c>
      <c r="AG212">
        <f ca="1">技能数计算!$AJ204</f>
        <v>0</v>
      </c>
      <c r="AH212">
        <f ca="1" t="shared" si="968"/>
        <v>109879</v>
      </c>
      <c r="AJ212">
        <f ca="1" t="shared" si="1004"/>
        <v>2.8704910616</v>
      </c>
      <c r="AK212">
        <f ca="1" t="shared" si="1023"/>
        <v>1955936</v>
      </c>
      <c r="AL212">
        <f ca="1" t="shared" si="1024"/>
        <v>17515708.9070153</v>
      </c>
      <c r="AM212" s="169">
        <f ca="1" t="shared" si="1005"/>
        <v>0.9272</v>
      </c>
      <c r="AN212">
        <f ca="1">技能数计算!$AJ204</f>
        <v>0</v>
      </c>
      <c r="AO212" s="170">
        <f ca="1" t="shared" si="1025"/>
        <v>17777170.2569025</v>
      </c>
      <c r="AP212">
        <f ca="1" t="shared" si="969"/>
        <v>110956</v>
      </c>
      <c r="AQ212" s="170">
        <f ca="1" t="shared" si="1026"/>
        <v>1955936</v>
      </c>
      <c r="AR212">
        <f ca="1" t="shared" si="1027"/>
        <v>17280552.51403</v>
      </c>
      <c r="AS212">
        <f ca="1" t="shared" si="1006"/>
        <v>0.9843</v>
      </c>
      <c r="AT212">
        <f ca="1">技能数计算!$AJ204</f>
        <v>0</v>
      </c>
      <c r="AU212">
        <f ca="1" t="shared" si="1007"/>
        <v>2.8177566866</v>
      </c>
      <c r="AV212">
        <f ca="1" t="shared" si="1028"/>
        <v>1.7995442148</v>
      </c>
      <c r="AW212">
        <f ca="1" t="shared" si="1029"/>
        <v>18256475.2932703</v>
      </c>
      <c r="AX212">
        <f ca="1" t="shared" si="1008"/>
        <v>0.9743</v>
      </c>
      <c r="AY212">
        <f ca="1">技能数计算!$AJ204</f>
        <v>0</v>
      </c>
      <c r="AZ212" s="170">
        <f ca="1" t="shared" si="1030"/>
        <v>18137496.3136814</v>
      </c>
      <c r="BA212">
        <f ca="1" t="shared" si="1009"/>
        <v>0.9643</v>
      </c>
      <c r="BB212">
        <f ca="1">技能数计算!$AJ204</f>
        <v>0</v>
      </c>
      <c r="BC212" s="170">
        <f ca="1" t="shared" si="1031"/>
        <v>18018517.3340924</v>
      </c>
      <c r="BE212">
        <f ca="1" t="shared" si="970"/>
        <v>105849</v>
      </c>
      <c r="BF212">
        <f ca="1" t="shared" si="1032"/>
        <v>1955936</v>
      </c>
      <c r="BI212">
        <f ca="1" t="shared" si="1010"/>
        <v>0.9543</v>
      </c>
      <c r="BJ212">
        <f ca="1">技能数计算!$AJ204</f>
        <v>0</v>
      </c>
      <c r="BK212">
        <f ca="1" t="shared" si="1033"/>
        <v>18001087.9401859</v>
      </c>
      <c r="BM212">
        <f ca="1" t="shared" si="971"/>
        <v>109230</v>
      </c>
      <c r="BN212">
        <f ca="1" t="shared" si="1034"/>
        <v>1955936</v>
      </c>
      <c r="BO212">
        <f ca="1" t="shared" si="1035"/>
        <v>17628507.9884252</v>
      </c>
      <c r="BP212">
        <f ca="1" t="shared" si="1036"/>
        <v>16811291.4614053</v>
      </c>
      <c r="BR212">
        <f ca="1" t="shared" si="1011"/>
        <v>0.9543</v>
      </c>
      <c r="BS212">
        <f ca="1" t="shared" si="1037"/>
        <v>17492720.2790849</v>
      </c>
      <c r="BT212">
        <f ca="1" t="shared" si="1038"/>
        <v>0.196995876306796</v>
      </c>
      <c r="BU212">
        <f ca="1" t="shared" si="1012"/>
        <v>2.8177566866</v>
      </c>
      <c r="BV212">
        <f ca="1" t="shared" si="1039"/>
        <v>18130981.3300128</v>
      </c>
      <c r="BW212">
        <f ca="1" t="shared" si="972"/>
        <v>113027</v>
      </c>
      <c r="BX212">
        <f ca="1" t="shared" si="1040"/>
        <v>1955936</v>
      </c>
      <c r="BY212">
        <f ca="1" t="shared" si="1013"/>
        <v>0.9343</v>
      </c>
      <c r="BZ212">
        <f ca="1">技能数计算!$AJ204</f>
        <v>0</v>
      </c>
      <c r="CA212">
        <f ca="1" t="shared" si="1014"/>
        <v>2.8216629366</v>
      </c>
      <c r="CB212">
        <f ca="1" t="shared" si="1041"/>
        <v>17562084.3325604</v>
      </c>
      <c r="CC212">
        <f ca="1" t="shared" si="973"/>
        <v>114847</v>
      </c>
      <c r="CD212">
        <f ca="1" t="shared" si="1042"/>
        <v>1955936</v>
      </c>
      <c r="CE212">
        <f ca="1" t="shared" si="1043"/>
        <v>17146925.1127196</v>
      </c>
      <c r="CF212">
        <f ca="1" t="shared" si="1015"/>
        <v>2.7689285616</v>
      </c>
      <c r="CG212">
        <f ca="1" t="shared" si="1016"/>
        <v>0.9343</v>
      </c>
      <c r="CH212">
        <f ca="1" t="shared" si="1044"/>
        <v>17362979.6512486</v>
      </c>
      <c r="CJ212">
        <f ca="1" t="shared" si="1045"/>
        <v>1955936</v>
      </c>
      <c r="CK212">
        <f ca="1" t="shared" si="1046"/>
        <v>17548651.80802</v>
      </c>
      <c r="CL212">
        <f ca="1" t="shared" si="1047"/>
        <v>2.7915848116</v>
      </c>
      <c r="CM212">
        <f ca="1">IF(G212="恒定伤害",0,(IF(D212="轻剑",$CM$8,$CM$9)+IFERROR(INDEX(技能数据库!$T$2:$W$27,MATCH(E212,技能数据库!$T$2:$T$27,0),4),0)+COUNTIF(G212,"*造化2*")*154+COUNTIF(G212,"*造化1*")*102+COUNTIF(G212,"*碧归*")*307)/1024)</f>
        <v>0.176868146929785</v>
      </c>
      <c r="CN212">
        <f ca="1" t="shared" si="1048"/>
        <v>18450775.9227401</v>
      </c>
      <c r="CO212">
        <f ca="1" t="shared" si="1049"/>
        <v>2.8156473116</v>
      </c>
      <c r="CP212">
        <f ca="1" t="shared" si="1050"/>
        <v>18605907.4945018</v>
      </c>
      <c r="CQ212">
        <f ca="1" t="shared" si="1051"/>
        <v>1.8815754648</v>
      </c>
      <c r="CR212">
        <f ca="1">IF(G212="恒定伤害",0,(IF(D212="轻剑",$CR$8,$CR$9)+IFERROR(INDEX(技能数据库!$T$2:$W$27,MATCH(E212,技能数据库!$T$2:$T$27,0),4),0)+COUNTIF(G212,"*造化2*")*154+COUNTIF(G212,"*造化1*")*102+COUNTIF(G212,"*碧归*")*307)/1024)</f>
        <v>0.167102521929785</v>
      </c>
      <c r="CS212">
        <f ca="1" t="shared" si="1052"/>
        <v>17688907.7004815</v>
      </c>
    </row>
    <row r="213" spans="4:97">
      <c r="D213" t="s">
        <v>1825</v>
      </c>
      <c r="E213" s="161" t="s">
        <v>2859</v>
      </c>
      <c r="G213" t="s">
        <v>3109</v>
      </c>
      <c r="H213">
        <f ca="1">INDEX(技能数据库!$B$2:$I$100,MATCH(阵眼收益计算!$E213,技能数据库!$B$2:$B$100,0),MATCH(H$9,技能数据库!$B$2:$I$2,0))</f>
        <v>1955936</v>
      </c>
      <c r="I213">
        <f ca="1">INDEX(技能数据库!$B$2:$I$100,MATCH(阵眼收益计算!$E213,技能数据库!$B$2:$B$100,0),MATCH(I$9,技能数据库!$B$2:$I$2,0))</f>
        <v>0</v>
      </c>
      <c r="J213">
        <f ca="1">INDEX(技能数据库!$B$2:$I$100,MATCH(阵眼收益计算!$E213,技能数据库!$B$2:$B$100,0),MATCH(J$9,技能数据库!$B$2:$I$2,0))</f>
        <v>0</v>
      </c>
      <c r="K213">
        <f ca="1">INDEX(技能数据库!$B$2:$I$100,MATCH(阵眼收益计算!$E213,技能数据库!$B$2:$B$100,0),MATCH(K$9,技能数据库!$B$2:$I$2,0))</f>
        <v>0</v>
      </c>
      <c r="L213">
        <f ca="1" t="shared" si="960"/>
        <v>105847</v>
      </c>
      <c r="M213">
        <f ca="1" t="shared" si="1053"/>
        <v>19530.5</v>
      </c>
      <c r="N213">
        <f ca="1" t="shared" si="1054"/>
        <v>92028</v>
      </c>
      <c r="O213">
        <f ca="1" t="shared" si="1017"/>
        <v>1955936</v>
      </c>
      <c r="P213">
        <f ca="1">IF(G213="恒定伤害",0,(IF(D213="轻剑",$AZ$2,$AZ$3)+IFERROR(INDEX(技能数据库!$T$2:$W$27,MATCH(E213,技能数据库!$T$2:$T$27,0),4),0)+COUNTIF(G213,"*造化2*")*154+COUNTIF(G213,"*造化1*")*102+COUNTIF(G213,"*碧归*")*307)/1024)</f>
        <v>0.116321271929785</v>
      </c>
      <c r="Q213">
        <f ca="1" t="shared" si="1018"/>
        <v>0.448284482196154</v>
      </c>
      <c r="R213">
        <f ca="1" t="shared" si="1019"/>
        <v>0.21277697966198</v>
      </c>
      <c r="S213">
        <f ca="1" t="shared" si="1055"/>
        <v>2489404.69047043</v>
      </c>
      <c r="T213">
        <f t="shared" si="998"/>
        <v>0.8</v>
      </c>
      <c r="U213">
        <f ca="1" t="shared" si="1020"/>
        <v>1.7800129648</v>
      </c>
      <c r="V213">
        <f ca="1" t="shared" si="1056"/>
        <v>5536461.85131338</v>
      </c>
      <c r="W213">
        <f ca="1">IF(G213="恒定伤害",0,MIN(1,IF(COUNTIF(F213,"*内会*")&gt;0,内会2,IF(D213="轻剑",$Y$2,$Y$3)+COUNTIF(G213,"*莺鸣*")*0.2+COUNTIF(G213,"*叠1*")*0.1+COUNTIF(G213,"*叠2*")*0.2+COUNTIF(G213,"*叠3*")*0.3)+IFERROR(INDEX(技能数据库!$T$2:$W$27,MATCH(E213,技能数据库!$T$2:$T$27,0),2),0)+IF((IF(D213="轻剑",$AO$2,$AO$3)+INT(COUNTIF(G213,"*大莺鸣*")*IF(D213="轻剑",$AM$2,$AM$3)*听晓无双率)/无双系数)&gt;0.9,特效裤子会心/会心系数,0)))</f>
        <v>0.9043</v>
      </c>
      <c r="X213">
        <f ca="1">IF(G213="恒定伤害",0,IF(COUNTIF(F213,"*内会*")&gt;0,内会效2,IF(D213="轻剑",$AB$2,$AB$3))+IFERROR(INDEX(技能数据库!$T$2:$W$27,MATCH(E213,技能数据库!$T$2:$T$27,0),3)/1024,0))+COUNTIF(G213,"*叠1*")*0.25+COUNTIF(G213,"*叠2*")*0.5+COUNTIF(G213,"*叠3*")*0.75</f>
        <v>2.6712723116</v>
      </c>
      <c r="Y213">
        <f ca="1" t="shared" si="1057"/>
        <v>2.51133155137988</v>
      </c>
      <c r="Z213">
        <f t="shared" si="1021"/>
        <v>0.150390625</v>
      </c>
      <c r="AA213">
        <f ca="1" t="shared" si="1058"/>
        <v>0.0205078125</v>
      </c>
      <c r="AB213">
        <f ca="1" t="shared" si="1059"/>
        <v>16322926.7753669</v>
      </c>
      <c r="AC213">
        <f ca="1">技能数计算!$AJ205</f>
        <v>0</v>
      </c>
      <c r="AD213" s="164">
        <f ca="1" t="shared" si="1022"/>
        <v>0</v>
      </c>
      <c r="AE213" s="168"/>
      <c r="AF213" s="168">
        <f ca="1" t="shared" ref="AF213:AF214" si="1060">W213+IF(COUNTIF(F213,"*内会*")&gt;0,0,IF(D213="轻剑",$AF$8-$Y$2,$AF$9-$Y$3))</f>
        <v>0.9057</v>
      </c>
      <c r="AG213">
        <f ca="1">技能数计算!$AJ205</f>
        <v>0</v>
      </c>
      <c r="AH213">
        <f ca="1" t="shared" si="968"/>
        <v>109879</v>
      </c>
      <c r="AJ213">
        <f ca="1" t="shared" ref="AJ213:AJ214" si="1061">X213+IF(COUNTIF(F213,"*内会*")&gt;0,0,IF(D213="轻剑",$AJ$8-$AB$2,$AJ$9-$AB$3))</f>
        <v>2.8704910616</v>
      </c>
      <c r="AK213">
        <f ca="1" t="shared" si="1023"/>
        <v>1955936</v>
      </c>
      <c r="AL213">
        <f ca="1" t="shared" si="1024"/>
        <v>17515708.9070153</v>
      </c>
      <c r="AM213" s="169">
        <f ca="1" t="shared" ref="AM213:AM214" si="1062">W213+IF(COUNTIF(F213,"*内会*")&gt;0,0,IF(D213="轻剑",$AN$8-$Y$2,$AN$9-$Y$3))</f>
        <v>0.9272</v>
      </c>
      <c r="AN213">
        <f ca="1">技能数计算!$AJ205</f>
        <v>0</v>
      </c>
      <c r="AO213" s="170">
        <f ca="1" t="shared" si="1025"/>
        <v>17777170.2569025</v>
      </c>
      <c r="AP213">
        <f ca="1" t="shared" si="969"/>
        <v>110956</v>
      </c>
      <c r="AQ213" s="170">
        <f ca="1" t="shared" si="1026"/>
        <v>1955936</v>
      </c>
      <c r="AR213">
        <f ca="1" t="shared" si="1027"/>
        <v>17280552.51403</v>
      </c>
      <c r="AS213">
        <f ca="1" t="shared" ref="AS213:AS214" si="1063">W213+IF(COUNTIF(F213,"*内会*")&gt;0,0,IF(D213="轻剑",$AS$8-$Y$2,$AS$9-$Y$3))</f>
        <v>0.9843</v>
      </c>
      <c r="AT213">
        <f ca="1">技能数计算!$AJ205</f>
        <v>0</v>
      </c>
      <c r="AU213">
        <f ca="1" t="shared" ref="AU213:AU214" si="1064">X213+IF(COUNTIF(F213,"*内会*")&gt;0,0,IF(D213="轻剑",$AU$8-$AB$2,$AU$9-$AB$3))</f>
        <v>2.8177566866</v>
      </c>
      <c r="AV213">
        <f ca="1" t="shared" si="1028"/>
        <v>1.7995442148</v>
      </c>
      <c r="AW213">
        <f ca="1" t="shared" si="1029"/>
        <v>18256475.2932703</v>
      </c>
      <c r="AX213">
        <f ca="1" t="shared" ref="AX213:AX214" si="1065">$W213+IF(COUNTIF(F213,"*内会*")&gt;0,0,IF(I213="轻剑",AX$8-$Y$2,AX$9-$Y$3))</f>
        <v>0.9743</v>
      </c>
      <c r="AY213">
        <f ca="1">技能数计算!$AJ205</f>
        <v>0</v>
      </c>
      <c r="AZ213" s="170">
        <f ca="1" t="shared" si="1030"/>
        <v>18137496.3136814</v>
      </c>
      <c r="BA213">
        <f ca="1" t="shared" ref="BA213:BA214" si="1066">$W213+IF(COUNTIF(F213,"*内会*")&gt;0,0,IF(L213="轻剑",BA$8-$Y$2,BA$9-$Y$3))</f>
        <v>0.9643</v>
      </c>
      <c r="BB213">
        <f ca="1">技能数计算!$AJ205</f>
        <v>0</v>
      </c>
      <c r="BC213" s="170">
        <f ca="1" t="shared" si="1031"/>
        <v>18018517.3340924</v>
      </c>
      <c r="BE213">
        <f ca="1" t="shared" si="970"/>
        <v>105849</v>
      </c>
      <c r="BF213">
        <f ca="1" t="shared" si="1032"/>
        <v>1955936</v>
      </c>
      <c r="BI213">
        <f ca="1" t="shared" ref="BI213:BI214" si="1067">$W213+IF(COUNTIF(F213,"*内会*")&gt;0,0,IF(T213="轻剑",BI$8-$Y$2,BI$9-$Y$3))</f>
        <v>0.9543</v>
      </c>
      <c r="BJ213">
        <f ca="1">技能数计算!$AJ205</f>
        <v>0</v>
      </c>
      <c r="BK213">
        <f ca="1" t="shared" si="1033"/>
        <v>18001087.9401859</v>
      </c>
      <c r="BM213">
        <f ca="1" t="shared" si="971"/>
        <v>109230</v>
      </c>
      <c r="BN213">
        <f ca="1" t="shared" si="1034"/>
        <v>1955936</v>
      </c>
      <c r="BO213">
        <f ca="1" t="shared" si="1035"/>
        <v>17628507.9884252</v>
      </c>
      <c r="BP213">
        <f ca="1" t="shared" si="1036"/>
        <v>16811291.4614053</v>
      </c>
      <c r="BR213">
        <f ca="1" t="shared" ref="BR213:BR214" si="1068">$W213+IF(T213="轻剑",BI$8-$Y$2,BI$9-$Y$3)</f>
        <v>0.9543</v>
      </c>
      <c r="BS213">
        <f ca="1" t="shared" si="1037"/>
        <v>17492720.2790849</v>
      </c>
      <c r="BT213">
        <f ca="1" t="shared" si="1038"/>
        <v>0.196995876306796</v>
      </c>
      <c r="BU213">
        <f ca="1" t="shared" ref="BU213:BU214" si="1069">X213+IF(D213="轻剑",$AU$8-$AB$2,$AU$9-$AB$3)</f>
        <v>2.8177566866</v>
      </c>
      <c r="BV213">
        <f ca="1" t="shared" si="1039"/>
        <v>18130981.3300128</v>
      </c>
      <c r="BW213">
        <f ca="1" t="shared" si="972"/>
        <v>113027</v>
      </c>
      <c r="BX213">
        <f ca="1" t="shared" si="1040"/>
        <v>1955936</v>
      </c>
      <c r="BY213">
        <f ca="1" t="shared" ref="BY213:BY214" si="1070">$W213+IF(COUNTIF(F213,"*内会*")&gt;0,0,IF(AI213="轻剑",BY$8-$Y$2,BY$9-$Y$3))</f>
        <v>0.9343</v>
      </c>
      <c r="BZ213">
        <f ca="1">技能数计算!$AJ205</f>
        <v>0</v>
      </c>
      <c r="CA213">
        <f ca="1" t="shared" ref="CA213:CA214" si="1071">X213+IF(COUNTIF(F213,"*内会*")&gt;0,0,IF(D213="轻剑",$CA$8-$AB$2,$CA$9-$AB$3))</f>
        <v>2.8216629366</v>
      </c>
      <c r="CB213">
        <f ca="1" t="shared" si="1041"/>
        <v>17562084.3325604</v>
      </c>
      <c r="CC213">
        <f ca="1" t="shared" si="973"/>
        <v>114847</v>
      </c>
      <c r="CD213">
        <f ca="1" t="shared" si="1042"/>
        <v>1955936</v>
      </c>
      <c r="CE213">
        <f ca="1" t="shared" si="1043"/>
        <v>17146925.1127196</v>
      </c>
      <c r="CF213">
        <f ca="1" t="shared" ref="CF213:CF214" si="1072">X213+IF(COUNTIF(F213,"*内会*")&gt;0,0,IF(D213="轻剑",$CF$8-$AB$2,$CF$9-$AB$3))</f>
        <v>2.7689285616</v>
      </c>
      <c r="CG213">
        <f ca="1" t="shared" ref="CG213:CG214" si="1073">$W213+IF(AI213="轻剑",BY$8-$Y$2,BY$9-$Y$3)</f>
        <v>0.9343</v>
      </c>
      <c r="CH213">
        <f ca="1" t="shared" si="1044"/>
        <v>17362979.6512486</v>
      </c>
      <c r="CJ213">
        <f ca="1" t="shared" si="1045"/>
        <v>1955936</v>
      </c>
      <c r="CK213">
        <f ca="1" t="shared" si="1046"/>
        <v>17548651.80802</v>
      </c>
      <c r="CL213">
        <f ca="1" t="shared" si="1047"/>
        <v>2.7915848116</v>
      </c>
      <c r="CM213">
        <f ca="1">IF(G213="恒定伤害",0,(IF(D213="轻剑",$CM$8,$CM$9)+IFERROR(INDEX(技能数据库!$T$2:$W$27,MATCH(E213,技能数据库!$T$2:$T$27,0),4),0)+COUNTIF(G213,"*造化2*")*154+COUNTIF(G213,"*造化1*")*102+COUNTIF(G213,"*碧归*")*307)/1024)</f>
        <v>0.176868146929785</v>
      </c>
      <c r="CN213">
        <f ca="1" t="shared" si="1048"/>
        <v>18450775.9227401</v>
      </c>
      <c r="CO213">
        <f ca="1" t="shared" si="1049"/>
        <v>2.8156473116</v>
      </c>
      <c r="CP213">
        <f ca="1" t="shared" si="1050"/>
        <v>18605907.4945018</v>
      </c>
      <c r="CQ213">
        <f ca="1" t="shared" si="1051"/>
        <v>1.8815754648</v>
      </c>
      <c r="CR213">
        <f ca="1">IF(G213="恒定伤害",0,(IF(D213="轻剑",$CR$8,$CR$9)+IFERROR(INDEX(技能数据库!$T$2:$W$27,MATCH(E213,技能数据库!$T$2:$T$27,0),4),0)+COUNTIF(G213,"*造化2*")*154+COUNTIF(G213,"*造化1*")*102+COUNTIF(G213,"*碧归*")*307)/1024)</f>
        <v>0.167102521929785</v>
      </c>
      <c r="CS213">
        <f ca="1" t="shared" si="1052"/>
        <v>17688907.7004815</v>
      </c>
    </row>
    <row r="214" spans="4:97">
      <c r="D214" t="s">
        <v>1825</v>
      </c>
      <c r="E214" s="161" t="s">
        <v>2861</v>
      </c>
      <c r="G214" t="s">
        <v>3109</v>
      </c>
      <c r="H214">
        <f ca="1">INDEX(技能数据库!$B$2:$I$100,MATCH(阵眼收益计算!$E214,技能数据库!$B$2:$B$100,0),MATCH(H$9,技能数据库!$B$2:$I$2,0))</f>
        <v>1344706</v>
      </c>
      <c r="I214">
        <f ca="1">INDEX(技能数据库!$B$2:$I$100,MATCH(阵眼收益计算!$E214,技能数据库!$B$2:$B$100,0),MATCH(I$9,技能数据库!$B$2:$I$2,0))</f>
        <v>0</v>
      </c>
      <c r="J214">
        <f ca="1">INDEX(技能数据库!$B$2:$I$100,MATCH(阵眼收益计算!$E214,技能数据库!$B$2:$B$100,0),MATCH(J$9,技能数据库!$B$2:$I$2,0))</f>
        <v>0</v>
      </c>
      <c r="K214">
        <f ca="1">INDEX(技能数据库!$B$2:$I$100,MATCH(阵眼收益计算!$E214,技能数据库!$B$2:$B$100,0),MATCH(K$9,技能数据库!$B$2:$I$2,0))</f>
        <v>0</v>
      </c>
      <c r="L214">
        <f ca="1" t="shared" si="960"/>
        <v>105847</v>
      </c>
      <c r="M214">
        <f ca="1" t="shared" si="1053"/>
        <v>19530.5</v>
      </c>
      <c r="N214">
        <f ca="1" t="shared" si="1054"/>
        <v>92028</v>
      </c>
      <c r="O214">
        <f ca="1" t="shared" ref="O214" si="1074">H214+I214*L214+J214*M214+IF(K214&gt;0,MAX(1,K214*N214*破招全局系数),0)</f>
        <v>1344706</v>
      </c>
      <c r="P214">
        <f ca="1">IF(G214="恒定伤害",0,(IF(D214="轻剑",$AZ$2,$AZ$3)+IFERROR(INDEX(技能数据库!$T$2:$W$27,MATCH(E214,技能数据库!$T$2:$T$27,0),4),0)+COUNTIF(G214,"*造化2*")*154+COUNTIF(G214,"*造化1*")*102+COUNTIF(G214,"*碧归*")*307)/1024)</f>
        <v>0.116321271929785</v>
      </c>
      <c r="Q214">
        <f ca="1" t="shared" ref="Q214" si="1075">IF(G214="恒定伤害",0,(IF(COUNTIF(F214,"*内破*")&gt;0,内破,IF(D214="轻剑",$AF$2,$AF$3)/破防系数))+IF((IF(D214="轻剑",$AO$2,$AO$3)+INT(COUNTIF(G214,"*大莺鸣*")*IF(D214="轻剑",$AM$2,$AM$3)*听晓无双率)/无双系数)&gt;0.9,(特效裤子破防+特效裤子破防*IF(D214="轻剑",$AD$2,$AD$3)/1024)/破防系数,0))</f>
        <v>0.448284482196154</v>
      </c>
      <c r="R214">
        <f ca="1" t="shared" ref="R214" si="1076">IF(G214="恒定伤害",0,(($F$5-IF(D214="轻剑",$BB$2,$BB$3))*(1024-IF(D214="轻剑",$BD$2,$BD$3))/1024*(1024-IF(D214="轻剑",$BC$2,$BC$3)-COUNTIF(G214,"*雾锁*")*461*雾锁)/1024/(($F$5-IF(D214="轻剑",$BB$2,$BB$3))*(1024-IF(D214="轻剑",$BD$2,$BD$3))/1024*(1024-IF(D214="轻剑",$BC$2,$BC$3)-COUNTIF(G214,"*雾锁*")*461*雾锁)/1024+$F$7)))</f>
        <v>0.21277697966198</v>
      </c>
      <c r="S214">
        <f ca="1" t="shared" si="1055"/>
        <v>1711465.72469842</v>
      </c>
      <c r="T214">
        <f t="shared" si="998"/>
        <v>0.8</v>
      </c>
      <c r="U214">
        <f ca="1" t="shared" ref="U214" si="1077">IF(G214="恒定伤害",0,(IF(D214="轻剑",$AO$2,$AO$3)+INT(COUNTIF(G214,"*大莺鸣*")*IF(D214="轻剑",$AM$2,$AM$3)*听晓无双率)/无双系数)+IF((IF(D214="轻剑",$AO$2,$AO$3)+INT(COUNTIF(G214,"*大莺鸣*")*IF(D214="轻剑",$AM$2,$AM$3)*听晓无双率)/无双系数)&lt;=0.9,特效裤子无双,0))</f>
        <v>1.7800129648</v>
      </c>
      <c r="V214">
        <f ca="1" t="shared" si="1056"/>
        <v>3806317.52277795</v>
      </c>
      <c r="W214">
        <f ca="1">IF(G214="恒定伤害",0,MIN(1,IF(COUNTIF(F214,"*内会*")&gt;0,内会2,IF(D214="轻剑",$Y$2,$Y$3)+COUNTIF(G214,"*莺鸣*")*0.2+COUNTIF(G214,"*叠1*")*0.1+COUNTIF(G214,"*叠2*")*0.2+COUNTIF(G214,"*叠3*")*0.3)+IFERROR(INDEX(技能数据库!$T$2:$W$27,MATCH(E214,技能数据库!$T$2:$T$27,0),2),0)+IF((IF(D214="轻剑",$AO$2,$AO$3)+INT(COUNTIF(G214,"*大莺鸣*")*IF(D214="轻剑",$AM$2,$AM$3)*听晓无双率)/无双系数)&gt;0.9,特效裤子会心/会心系数,0)))</f>
        <v>0.9043</v>
      </c>
      <c r="X214">
        <f ca="1">IF(G214="恒定伤害",0,IF(COUNTIF(F214,"*内会*")&gt;0,内会效2,IF(D214="轻剑",$AB$2,$AB$3))+IFERROR(INDEX(技能数据库!$T$2:$W$27,MATCH(E214,技能数据库!$T$2:$T$27,0),3)/1024,0))+COUNTIF(G214,"*叠1*")*0.25+COUNTIF(G214,"*叠2*")*0.5+COUNTIF(G214,"*叠3*")*0.75</f>
        <v>2.6712723116</v>
      </c>
      <c r="Y214">
        <f ca="1" t="shared" si="1057"/>
        <v>2.51133155137988</v>
      </c>
      <c r="Z214">
        <f t="shared" ref="Z214" si="1078">IF(G214="恒定伤害",0,非侠士伤害/1024)</f>
        <v>0.150390625</v>
      </c>
      <c r="AA214">
        <f ca="1" t="shared" si="1058"/>
        <v>0.0205078125</v>
      </c>
      <c r="AB214">
        <f ca="1" t="shared" si="1059"/>
        <v>11222012.1580648</v>
      </c>
      <c r="AC214">
        <f ca="1">技能数计算!$AJ206</f>
        <v>0</v>
      </c>
      <c r="AD214" s="164">
        <f ca="1" t="shared" ref="AD214" si="1079">IFERROR(AB214*AC214/$AD$7,0)</f>
        <v>0</v>
      </c>
      <c r="AE214" s="168"/>
      <c r="AF214" s="168">
        <f ca="1" t="shared" si="1060"/>
        <v>0.9057</v>
      </c>
      <c r="AG214">
        <f ca="1">技能数计算!$AJ206</f>
        <v>0</v>
      </c>
      <c r="AH214">
        <f ca="1" t="shared" si="968"/>
        <v>109879</v>
      </c>
      <c r="AJ214">
        <f ca="1" t="shared" si="1061"/>
        <v>2.8704910616</v>
      </c>
      <c r="AK214">
        <f ca="1" t="shared" ref="AK214" si="1080">H214+AH214*I214+J214*(238.5+M214)+IF(K214&gt;0,MAX(1,K214*N214*破招全局系数),0)</f>
        <v>1344706</v>
      </c>
      <c r="AL214">
        <f ca="1" t="shared" ref="AL214" si="1081">IF(COUNTIF(G214,"*恒定伤害*")&gt;0,AB214,((AK214*(1+P214)*(1+IF(COUNTIF(F214,"*内破*")&gt;0,内破,IF(D214="轻剑",$AI$8,$AI$9)/破防系数)+IF((IF(D214="轻剑",$AO$2,$AO$3)+INT(COUNTIF(G214,"*大莺鸣*")*IF(D214="轻剑",$AM$2,$AM$3)*听晓无双率)/无双系数)&gt;0.9,(特效裤子破防+特效裤子破防*IF(D214="轻剑",$AD$2,$AD$3)/1024)/破防系数,0))*(1-R214))*T214*(1+U214))*(1+Z214)*(1+AA214)*(1+MIN(1,AF214)*(MIN(3+COUNTIF(G214,"*叠*")*0.75,AJ214)-1)))</f>
        <v>12042049.873573</v>
      </c>
      <c r="AM214" s="169">
        <f ca="1" t="shared" si="1062"/>
        <v>0.9272</v>
      </c>
      <c r="AN214">
        <f ca="1">技能数计算!$AJ206</f>
        <v>0</v>
      </c>
      <c r="AO214" s="170">
        <f ca="1" t="shared" ref="AO214" si="1082">IF(COUNTIF(G214,"*恒定伤害*")&gt;0,AB214,((AK214*(1+P214)*(1+IF(COUNTIF(F214,"*内破*")&gt;0,内破,IF(D214="轻剑",$AI$8,$AI$9)/破防系数)+IF((IF(D214="轻剑",$AO$2,$AO$3)+INT(COUNTIF(G214,"*大莺鸣*")*IF(D214="轻剑",$AM$2,$AM$3)*听晓无双率)/无双系数)&gt;0.9,(特效裤子破防+特效裤子破防*IF(D214="轻剑",$AD$2,$AD$3)/1024)/破防系数,0))*(1-R214))*T214*(1+U214))*(1+Z214)*(1+AA214)*(1+MIN(1,AM214)*(MIN(3+COUNTIF(G214,"*叠*")*0.75,AJ214)-1)))</f>
        <v>12221804.5516204</v>
      </c>
      <c r="AP214">
        <f ca="1" t="shared" si="969"/>
        <v>110956</v>
      </c>
      <c r="AQ214" s="170">
        <f ca="1" t="shared" ref="AQ214" si="1083">H214+AP214*I214+J214*M214+IF(K214&gt;0,MAX(1,K214*N214*破招全局系数),0)</f>
        <v>1344706</v>
      </c>
      <c r="AR214">
        <f ca="1" t="shared" ref="AR214" si="1084">IF(COUNTIF(G214,"*恒定伤害*")&gt;0,AB214,((AQ214*(1+P214)*(1+IF(COUNTIF(F214,"*内破*")&gt;0,内破,IF(D214="轻剑",$AQ$8,$AQ$9)/破防系数)+IF((IF(D214="轻剑",$AO$2,$AO$3)+INT(COUNTIF(G214,"*大莺鸣*")*IF(D214="轻剑",$AM$2,$AM$3)*听晓无双率)/无双系数)&gt;0.9,(特效裤子破防+特效裤子破防*IF(D214="轻剑",$AD$2+200,$AD$3+200)/1024)/破防系数,0))*(1-R214))*T214*(1+U214))*Y214*(1+Z214)*(1+AA214))</f>
        <v>11880379.8533956</v>
      </c>
      <c r="AS214">
        <f ca="1" t="shared" si="1063"/>
        <v>0.9843</v>
      </c>
      <c r="AT214">
        <f ca="1">技能数计算!$AJ206</f>
        <v>0</v>
      </c>
      <c r="AU214">
        <f ca="1" t="shared" si="1064"/>
        <v>2.8177566866</v>
      </c>
      <c r="AV214">
        <f ca="1" t="shared" ref="AV214" si="1085">IF(G214="恒定伤害",0,(IF(D214="轻剑",$AV$8,$AV$9)+INT(COUNTIF(G214,"*大莺鸣*")*IF(D214="轻剑",$AM$2,$AM$3)*听晓无双率)/无双系数))+IF((IF(G214="恒定伤害",0,(IF(D214="轻剑",$AV$8,$AV$9)+INT(COUNTIF(G214,"*大莺鸣*")*IF(D214="轻剑",$AM$2,$AM$3)*听晓无双率)/无双系数)))&lt;=0.9,特效裤子无双,0)</f>
        <v>1.7995442148</v>
      </c>
      <c r="AW214">
        <f ca="1" t="shared" ref="AW214" si="1086">IF(COUNTIF(G214,"*恒定伤害*")&gt;0,AB214,((O214*(1+P214)*(1+Q214)*(1-R214))*T214*(1+AV214))*(1+MIN(1,AS214)*(MIN(3+COUNTIF(G214,"*叠*")*0.75,AU214)-1))*(1+Z214)*(1+AA214))</f>
        <v>12551326.7641233</v>
      </c>
      <c r="AX214">
        <f ca="1" t="shared" si="1065"/>
        <v>0.9743</v>
      </c>
      <c r="AY214">
        <f ca="1">技能数计算!$AJ206</f>
        <v>0</v>
      </c>
      <c r="AZ214" s="170">
        <f ca="1" t="shared" ref="AZ214" si="1087">IF(COUNTIF(G214,"*恒定伤害*")&gt;0,AB214,((O214*(1+P214)*(1+Q214)*(1-R214))*T214*(1+AV214))*(1+MIN(1,AX214)*(MIN(3+COUNTIF(G214,"*叠*")*0.75,AU214)-1))*(1+Z214)*(1+AA214))</f>
        <v>12469528.7156559</v>
      </c>
      <c r="BA214">
        <f ca="1" t="shared" si="1066"/>
        <v>0.9643</v>
      </c>
      <c r="BB214">
        <f ca="1">技能数计算!$AJ206</f>
        <v>0</v>
      </c>
      <c r="BC214" s="170">
        <f ca="1" t="shared" ref="BC214" si="1088">IF(COUNTIF(G214,"*恒定伤害*")&gt;0,AB214,((O214*(1+P214)*(1+Q214)*(1-R214))*T214*(1+AV214))*(1+MIN(1,BA214)*(MIN(3+COUNTIF(G214,"*叠*")*0.75,AU214)-1))*(1+Z214)*(1+AA214))</f>
        <v>12387730.6671885</v>
      </c>
      <c r="BE214">
        <f ca="1" t="shared" si="970"/>
        <v>105849</v>
      </c>
      <c r="BF214">
        <f ca="1" t="shared" ref="BF214" si="1089">H214+BE214*I214+J214*M214+IF(K214&gt;0,MAX(1,K214*N214*破招全局系数),0)</f>
        <v>1344706</v>
      </c>
      <c r="BI214">
        <f ca="1" t="shared" si="1067"/>
        <v>0.9543</v>
      </c>
      <c r="BJ214">
        <f ca="1">技能数计算!$AJ206</f>
        <v>0</v>
      </c>
      <c r="BK214">
        <f ca="1" t="shared" ref="BK214" si="1090">IF(COUNTIF(G214,"*恒定伤害*")&gt;0,AB214,((BF214*(1+P214)*(1+IF(COUNTIF(F214,"*内破*")&gt;0,内破,IF(D214="轻剑",$BH$8,$BH$9)/破防系数)+IF((IF(D214="轻剑",$AO$2,$AO$3)+INT(COUNTIF(G214,"*大莺鸣*")*IF(D214="轻剑",$AM$2,$AM$3)*听晓无双率)/无双系数)&gt;0.9,(特效裤子破防+特效裤子破防*IF(D214="轻剑",$AD$2+204,$AD$3+204)/1024)/破防系数,0))*(1-R214))*T214*(1+AV214))*(1+MIN(1,BI214)*(MIN(3+COUNTIF(G214,"*叠*")*0.75,X214)-1))*(1+Z214)*(1+AA214))</f>
        <v>12375747.9588778</v>
      </c>
      <c r="BM214">
        <f ca="1" t="shared" si="971"/>
        <v>109230</v>
      </c>
      <c r="BN214">
        <f ca="1" t="shared" ref="BN214" si="1091">H214+BM214*I214+J214*M214+IF(K214&gt;0,MAX(1,K214*N214*破招全局系数),0)</f>
        <v>1344706</v>
      </c>
      <c r="BO214">
        <f ca="1" t="shared" ref="BO214" si="1092">IF(COUNTIF(G214,"*恒定伤害*")&gt;0,AB214,((BN214*(1+P214)*(1+IF(COUNTIF(F214,"*内破*")&gt;0,内破,IF(D214="轻剑",$BM$8,$BM$9)/破防系数)+IF((IF(D214="轻剑",$AO$2,$AO$3)+INT(COUNTIF(G214,"*大莺鸣*")*IF(D214="轻剑",$AM$2,$AM$3)*听晓无双率)/无双系数)&gt;0.9,(特效裤子破防+特效裤子破防*IF(D214="轻剑",$AD$2+102,$AD$3+102)/1024)/破防系数,0))*(1-R214))*T214*(1+U214))*Y214*(1+Z214)*(1+AA214))</f>
        <v>12119599.2420423</v>
      </c>
      <c r="BP214">
        <f ca="1" t="shared" ref="BP214" si="1093">IF(COUNTIF(G214,"*恒定伤害*")&gt;0,AB214,((BN214*(1+P214)*(1+IF(COUNTIF(F214,"*内破*")&gt;0,内破,IF(D214="轻剑",$BQ$8,$BQ$9)/破防系数)+IF((IF(D214="轻剑",$AO$2,$AO$3)+INT(COUNTIF(G214,"*大莺鸣*")*IF(D214="轻剑",$AM$2,$AM$3)*听晓无双率)/无双系数)&gt;0.9,(特效裤子破防+特效裤子破防*IF(D214="轻剑",$AD$2+102,$AD$3+102)/1024)/破防系数,0))*(1-R214))*T214*(1+U214))*Y214*(1+Z214)*(1+AA214))</f>
        <v>11557762.8797161</v>
      </c>
      <c r="BR214">
        <f ca="1" t="shared" si="1068"/>
        <v>0.9543</v>
      </c>
      <c r="BS214">
        <f ca="1" t="shared" ref="BS214" si="1094">IF(COUNTIF(G214,"*恒定伤害*")&gt;0,AB214,((BN214*(1+P214)*(1+IF(COUNTIF(F214,"*内破*")&gt;0,内破,IF(D214="轻剑",$BQ$8,$BQ$9)/破防系数)+IF((IF(D214="轻剑",$AO$2,$AO$3)+INT(COUNTIF(G214,"*大莺鸣*")*IF(D214="轻剑",$AM$2,$AM$3)*听晓无双率)/无双系数)&gt;0.9,(特效裤子破防+特效裤子破防*IF(D214="轻剑",$AD$2+102,$AD$3+102)/1024)/破防系数,0))*(1-R214))*T214*(1+AV214))*(1+MIN(1,BR214)*(MIN(3+COUNTIF(G214,"*叠*")*0.75,X214)-1))*(1+Z214)*(1+AA214))</f>
        <v>12026245.1918709</v>
      </c>
      <c r="BT214">
        <f ca="1" t="shared" ref="BT214" si="1095">IF(G214="恒定伤害",0,(($F$5-IF(D214="轻剑",$BB$2,$BB$3))*(1024-IF(D214="轻剑",$BD$2,$BD$3))/1024*(1024-IF(D214="轻剑",$BT$8,$BT$9)-COUNTIF(G214,"*雾锁*")*461*雾锁)/1024/(($F$5-IF(D214="轻剑",$BB$2,$BB$3))*(1024-IF(D214="轻剑",$BD$2,$BD$3))/1024*(1024-IF(D214="轻剑",$BT$8,$BT$9)-COUNTIF(G214,"*雾锁*")*461*雾锁)/1024+$F$7)))</f>
        <v>0.196995876306796</v>
      </c>
      <c r="BU214">
        <f ca="1" t="shared" si="1069"/>
        <v>2.8177566866</v>
      </c>
      <c r="BV214">
        <f ca="1" t="shared" ref="BV214" si="1096">IF(COUNTIF(G214,"*恒定伤害*")&gt;0,AB214,((O214*(1+P214)*(1+Q214)*(1-BT214))*T214*(1+U214))*(1+MIN(1,BR214)*(MIN(3+COUNTIF(G214,"*叠*")*0.75,BU214)-1))*(1+Z214)*(1+AA214))</f>
        <v>12465049.6643838</v>
      </c>
      <c r="BW214">
        <f ca="1" t="shared" si="972"/>
        <v>113027</v>
      </c>
      <c r="BX214">
        <f ca="1" t="shared" ref="BX214" si="1097">H214+BW214*I214+J214*M214+IF(K214&gt;0,MAX(1,K214*N214*破招全局系数),0)</f>
        <v>1344706</v>
      </c>
      <c r="BY214">
        <f ca="1" t="shared" si="1070"/>
        <v>0.9343</v>
      </c>
      <c r="BZ214">
        <f ca="1">技能数计算!$AJ206</f>
        <v>0</v>
      </c>
      <c r="CA214">
        <f ca="1" t="shared" si="1071"/>
        <v>2.8216629366</v>
      </c>
      <c r="CB214">
        <f ca="1" t="shared" ref="CB214" si="1098">IF(COUNTIF(G214,"*恒定伤害*")&gt;0,AB214,((BX214*(1+P214)*(1+Q214)*(1-R214))*T214*(1+U214))*(1+MIN(1,BY214)*(MIN(3+COUNTIF(G214,"*叠*")*0.75,CA214)-1))*(1+Z214)*(1+AA214))</f>
        <v>12073932.9786353</v>
      </c>
      <c r="CC214">
        <f ca="1" t="shared" si="973"/>
        <v>114847</v>
      </c>
      <c r="CD214">
        <f ca="1" t="shared" ref="CD214" si="1099">H214+CC214*I214+J214*M214+IF(K214&gt;0,MAX(1,K214*N214*破招全局系数),0)</f>
        <v>1344706</v>
      </c>
      <c r="CE214">
        <f ca="1" t="shared" ref="CE214" si="1100">IF(COUNTIF(G214,"*恒定伤害*")&gt;0,AB214,((CD214*(1+P214)*(1+IF(COUNTIF(F214,"*内破*")&gt;0,内破,IF(D214="轻剑",$BQ$8,$BQ$9)/破防系数)+IF((IF(D214="轻剑",$AO$2,$AO$3)+INT(COUNTIF(G214,"*大莺鸣*")*IF(D214="轻剑",$AM$2,$AM$3)*听晓无双率)/无双系数)&gt;0.9,(特效裤子破防+特效裤子破防*IF(D214="轻剑",$AD$2+102,$AD$3+102)/1024)/破防系数,0))*(1-R214))*T214*(1+U214))*(1+MIN(1,BY214)*(MIN(3+COUNTIF(G214,"*叠*")*0.75,X214)-1))*(1+Z214)*(1+AA214))</f>
        <v>11788511.0149947</v>
      </c>
      <c r="CF214">
        <f ca="1" t="shared" si="1072"/>
        <v>2.7689285616</v>
      </c>
      <c r="CG214">
        <f ca="1" t="shared" si="1073"/>
        <v>0.9343</v>
      </c>
      <c r="CH214">
        <f ca="1" t="shared" ref="CH214" si="1101">IF(COUNTIF(G214,"*恒定伤害*")&gt;0,AB214,((O214*(1+P214)*(1+Q214)*(1-R214))*T214*(1+AV214))*(1+MIN(1,BY214)*(MIN(3+COUNTIF(G214,"*叠*")*0.75,CF214)-1))*(1+Z214)*(1+AA214))</f>
        <v>11937048.5102334</v>
      </c>
      <c r="CJ214">
        <f ca="1" t="shared" ref="CJ214" si="1102">H214+BM214*I214+J214*M214+IF(K214&gt;0,MAX(1,K214*(N214+2667)*破招全局系数),0)</f>
        <v>1344706</v>
      </c>
      <c r="CK214">
        <f ca="1" t="shared" ref="CK214" si="1103">IF(COUNTIF(G214,"*恒定伤害*")&gt;0,AB214,((CJ214*(1+P214)*(1+IF(COUNTIF(F214,"*内破*")&gt;0,内破,IF(D214="轻剑",$CI$8,$CI$9)/破防系数)+IF((IF(D214="轻剑",$AO$2,$AO$3)+INT(COUNTIF(G214,"*大莺鸣*")*IF(D214="轻剑",$AM$2,$AM$3)*听晓无双率)/无双系数)&gt;0.9,(特效裤子破防+特效裤子破防*IF(D214="轻剑",$AD$2+256,$AD$3+256)/1024)/破防系数,0))*(1-R214))*T214*(1+U214))*Y214*(1+Z214)*(1+AA214))</f>
        <v>12064698.1180137</v>
      </c>
      <c r="CL214">
        <f ca="1" t="shared" ref="CL214" si="1104">X214+IF(D214="轻剑",$CL$8-$AB$2,$CL$9-$AB$3)</f>
        <v>2.7915848116</v>
      </c>
      <c r="CM214">
        <f ca="1">IF(G214="恒定伤害",0,(IF(D214="轻剑",$CM$8,$CM$9)+IFERROR(INDEX(技能数据库!$T$2:$W$27,MATCH(E214,技能数据库!$T$2:$T$27,0),4),0)+COUNTIF(G214,"*造化2*")*154+COUNTIF(G214,"*造化1*")*102+COUNTIF(G214,"*碧归*")*307)/1024)</f>
        <v>0.176868146929785</v>
      </c>
      <c r="CN214">
        <f ca="1" t="shared" ref="CN214" si="1105">IF(COUNTIF(G214,"*恒定伤害*")&gt;0,AB214,((O214*(1+CM214)*(1+Q214)*(1-R214))*T214*(1+AV214))*(1+MIN(1,CG214)*(MIN(3+COUNTIF(G214,"*叠*")*0.75,CL214)-1))*(1+Z214)*(1+AA214))</f>
        <v>12684908.4468838</v>
      </c>
      <c r="CO214">
        <f ca="1" t="shared" ref="CO214" si="1106">X214+IF(D214="轻剑",$CO$8-$AB$2,$CO$9-$AB$3)</f>
        <v>2.8156473116</v>
      </c>
      <c r="CP214">
        <f ca="1" t="shared" ref="CP214" si="1107">IF(COUNTIF(G214,"*恒定伤害*")&gt;0,AB214,((O214*(1+CM214)*(1+Q214)*(1-R214))*T214*(1+AV214))*(1+MIN(1,CG214)*(MIN(3+COUNTIF(G214,"*叠*")*0.75,CO214)-1))*(1+Z214)*(1+AA214))</f>
        <v>12791561.40247</v>
      </c>
      <c r="CQ214">
        <f ca="1" t="shared" ref="CQ214" si="1108">IF(G214="恒定伤害",0,(IF(D214="轻剑",$CQ$8,$CQ$9)+INT(COUNTIF(G214,"*大莺鸣*")*IF(D214="轻剑",$AM$2,$AM$3)*听晓无双率)/无双系数))+IF((IF(G214="恒定伤害",0,(IF(D214="轻剑",$CQ$8,$CQ$9)+INT(COUNTIF(G214,"*大莺鸣*")*IF(D214="轻剑",$AM$2,$AM$3)*听晓无双率)/无双系数)))&lt;=0.9,特效裤子无双,0)</f>
        <v>1.8815754648</v>
      </c>
      <c r="CR214">
        <f ca="1">IF(G214="恒定伤害",0,(IF(D214="轻剑",$CR$8,$CR$9)+IFERROR(INDEX(技能数据库!$T$2:$W$27,MATCH(E214,技能数据库!$T$2:$T$27,0),4),0)+COUNTIF(G214,"*造化2*")*154+COUNTIF(G214,"*造化1*")*102+COUNTIF(G214,"*碧归*")*307)/1024)</f>
        <v>0.167102521929785</v>
      </c>
      <c r="CS214">
        <f ca="1" t="shared" ref="CS214" si="1109">IF(COUNTIF(G214,"*恒定伤害*")&gt;0,AB214,((O214*(1+CR214)*(1+Q214)*(1-R214))*T214*(1+CQ214))*Y214*(1+Z214)*(1+AA214))</f>
        <v>12161124.0440811</v>
      </c>
    </row>
    <row r="215" spans="4:97">
      <c r="D215" t="s">
        <v>1028</v>
      </c>
      <c r="E215" s="161" t="s">
        <v>2726</v>
      </c>
      <c r="G215" t="s">
        <v>3108</v>
      </c>
      <c r="H215">
        <f ca="1">INDEX(技能数据库!$B$2:$I$100,MATCH(阵眼收益计算!$E215,技能数据库!$B$2:$B$100,0),MATCH(H$9,技能数据库!$B$2:$I$2,0))</f>
        <v>122</v>
      </c>
      <c r="I215">
        <f ca="1">INDEX(技能数据库!$B$2:$I$100,MATCH(阵眼收益计算!$E215,技能数据库!$B$2:$B$100,0),MATCH(I$9,技能数据库!$B$2:$I$2,0))</f>
        <v>0.7</v>
      </c>
      <c r="J215">
        <f ca="1">INDEX(技能数据库!$B$2:$I$100,MATCH(阵眼收益计算!$E215,技能数据库!$B$2:$B$100,0),MATCH(J$9,技能数据库!$B$2:$I$2,0))</f>
        <v>1</v>
      </c>
      <c r="K215">
        <f ca="1">INDEX(技能数据库!$B$2:$I$100,MATCH(阵眼收益计算!$E215,技能数据库!$B$2:$B$100,0),MATCH(K$9,技能数据库!$B$2:$I$2,0))</f>
        <v>0</v>
      </c>
      <c r="L215">
        <f ca="1" t="shared" si="960"/>
        <v>105847</v>
      </c>
      <c r="M215">
        <f ca="1" t="shared" ref="M215:M218" si="1110">IF(D215="轻剑",$AU$2+$AV$2,$AU$3+$AV$3)/2</f>
        <v>12694.5</v>
      </c>
      <c r="N215">
        <f ca="1" t="shared" ref="N215:N218" si="1111">IF(D215="轻剑",$AJ$2,$AJ$3)</f>
        <v>92028</v>
      </c>
      <c r="O215">
        <f ca="1" t="shared" ref="O215:O218" si="1112">H215+I215*L215+J215*M215+IF(K215&gt;0,MAX(1,K215*N215*破招全局系数),0)</f>
        <v>86909.4</v>
      </c>
      <c r="P215">
        <f ca="1">IF(G215="恒定伤害",0,(IF(D215="轻剑",$AZ$2,$AZ$3)+IFERROR(INDEX(技能数据库!$T$2:$W$27,MATCH(E215,技能数据库!$T$2:$T$27,0),4),0)+COUNTIF(G215,"*造化2*")*154+COUNTIF(G215,"*造化1*")*102+COUNTIF(G215,"*碧归*")*307)/1024)</f>
        <v>0.136829084429785</v>
      </c>
      <c r="Q215">
        <f ca="1" t="shared" ref="Q215:Q218" si="1113">IF(G215="恒定伤害",0,(IF(COUNTIF(F215,"*内破*")&gt;0,内破,IF(D215="轻剑",$AF$2,$AF$3)/破防系数))+IF((IF(D215="轻剑",$AO$2,$AO$3)+INT(COUNTIF(G215,"*大莺鸣*")*IF(D215="轻剑",$AM$2,$AM$3)*听晓无双率)/无双系数)&gt;0.9,(特效裤子破防+特效裤子破防*IF(D215="轻剑",$AD$2,$AD$3)/1024)/破防系数,0))</f>
        <v>0.448284482196154</v>
      </c>
      <c r="R215">
        <f ca="1" t="shared" ref="R215:R218" si="1114">IF(G215="恒定伤害",0,(($F$5-IF(D215="轻剑",$BB$2,$BB$3))*(1024-IF(D215="轻剑",$BD$2,$BD$3))/1024*(1024-IF(D215="轻剑",$BC$2,$BC$3)-COUNTIF(G215,"*雾锁*")*461*雾锁)/1024/(($F$5-IF(D215="轻剑",$BB$2,$BB$3))*(1024-IF(D215="轻剑",$BD$2,$BD$3))/1024*(1024-IF(D215="轻剑",$BC$2,$BC$3)-COUNTIF(G215,"*雾锁*")*461*雾锁)/1024+$F$7)))</f>
        <v>0.21277697966198</v>
      </c>
      <c r="S215">
        <f ca="1" t="shared" ref="S215:S218" si="1115">O215*(1+P215)*(1+Q215)*(1-R215)</f>
        <v>112645.43345495</v>
      </c>
      <c r="T215">
        <f t="shared" si="998"/>
        <v>0.8</v>
      </c>
      <c r="U215">
        <f ca="1" t="shared" ref="U215:U218" si="1116">IF(G215="恒定伤害",0,(IF(D215="轻剑",$AO$2,$AO$3)+INT(COUNTIF(G215,"*大莺鸣*")*IF(D215="轻剑",$AM$2,$AM$3)*听晓无双率)/无双系数)+IF((IF(D215="轻剑",$AO$2,$AO$3)+INT(COUNTIF(G215,"*大莺鸣*")*IF(D215="轻剑",$AM$2,$AM$3)*听晓无双率)/无双系数)&lt;=0.9,特效裤子无双,0))</f>
        <v>1.7800129648</v>
      </c>
      <c r="V215">
        <f ca="1" t="shared" ref="V215:V218" si="1117">S215*T215*(1+U215)</f>
        <v>250524.612344221</v>
      </c>
      <c r="W215">
        <f ca="1">IF(G215="恒定伤害",0,MIN(1,IF(COUNTIF(F215,"*内会*")&gt;0,内会2,IF(D215="轻剑",$Y$2,$Y$3)+COUNTIF(G215,"*莺鸣*")*0.2+COUNTIF(G215,"*叠1*")*0.1+COUNTIF(G215,"*叠2*")*0.2+COUNTIF(G215,"*叠3*")*0.3)+IFERROR(INDEX(技能数据库!$T$2:$W$27,MATCH(E215,技能数据库!$T$2:$T$27,0),2),0)+IF((IF(D215="轻剑",$AO$2,$AO$3)+INT(COUNTIF(G215,"*大莺鸣*")*IF(D215="轻剑",$AM$2,$AM$3)*听晓无双率)/无双系数)&gt;0.9,特效裤子会心/会心系数,0)))</f>
        <v>0.8443</v>
      </c>
      <c r="X215">
        <f ca="1">IF(G215="恒定伤害",0,IF(COUNTIF(F215,"*内会*")&gt;0,内会效2,IF(D215="轻剑",$AB$2,$AB$3))+IFERROR(INDEX(技能数据库!$T$2:$W$27,MATCH(E215,技能数据库!$T$2:$T$27,0),3)/1024,0))+COUNTIF(G215,"*叠1*")*0.25+COUNTIF(G215,"*叠2*")*0.5+COUNTIF(G215,"*叠3*")*0.75</f>
        <v>2.4212723116</v>
      </c>
      <c r="Y215">
        <f ca="1" t="shared" ref="Y215:Y218" si="1118">1+W215*(X215-1)</f>
        <v>2.19998021268388</v>
      </c>
      <c r="Z215">
        <f t="shared" ref="Z215:Z218" si="1119">IF(G215="恒定伤害",0,非侠士伤害/1024)</f>
        <v>0.150390625</v>
      </c>
      <c r="AA215">
        <f ca="1" t="shared" ref="AA215:AA218" si="1120">IF(D215="轻剑",$BA$2,$BA$3)/1024</f>
        <v>0.0205078125</v>
      </c>
      <c r="AB215">
        <f ca="1" t="shared" ref="AB215:AB218" si="1121">V215*Y215*(1+Z215)*(1+AA215)</f>
        <v>647039.57015741</v>
      </c>
      <c r="AC215">
        <f ca="1">技能数计算!$AJ207</f>
        <v>0</v>
      </c>
      <c r="AD215" s="164">
        <f ca="1" t="shared" ref="AD215:AD218" si="1122">IFERROR(AB215*AC215/$AD$7,0)</f>
        <v>0</v>
      </c>
      <c r="AE215" s="168"/>
      <c r="AF215" s="168">
        <f ca="1" t="shared" ref="AF215:AF216" si="1123">W215+IF(COUNTIF(F215,"*内会*")&gt;0,0,IF(D215="轻剑",$AF$8-$Y$2,$AF$9-$Y$3))</f>
        <v>0.8457</v>
      </c>
      <c r="AG215">
        <f ca="1">技能数计算!$AJ207</f>
        <v>0</v>
      </c>
      <c r="AH215">
        <f ca="1" t="shared" si="968"/>
        <v>109879</v>
      </c>
      <c r="AJ215">
        <f ca="1" t="shared" ref="AJ215:AJ216" si="1124">X215+IF(COUNTIF(F215,"*内会*")&gt;0,0,IF(D215="轻剑",$AJ$8-$AB$2,$AJ$9-$AB$3))</f>
        <v>2.6204910616</v>
      </c>
      <c r="AK215">
        <f ca="1" t="shared" ref="AK215:AK218" si="1125">H215+AH215*I215+J215*(238.5+M215)+IF(K215&gt;0,MAX(1,K215*N215*破招全局系数),0)</f>
        <v>89970.3</v>
      </c>
      <c r="AL215">
        <f ca="1" t="shared" ref="AL215:AL218" si="1126">IF(COUNTIF(G215,"*恒定伤害*")&gt;0,AB215,((AK215*(1+P215)*(1+IF(COUNTIF(F215,"*内破*")&gt;0,内破,IF(D215="轻剑",$AI$8,$AI$9)/破防系数)+IF((IF(D215="轻剑",$AO$2,$AO$3)+INT(COUNTIF(G215,"*大莺鸣*")*IF(D215="轻剑",$AM$2,$AM$3)*听晓无双率)/无双系数)&gt;0.9,(特效裤子破防+特效裤子破防*IF(D215="轻剑",$AD$2,$AD$3)/1024)/破防系数,0))*(1-R215))*T215*(1+U215))*(1+Z215)*(1+AA215)*(1+MIN(1,AF215)*(MIN(3+COUNTIF(G215,"*叠*")*0.75,AJ215)-1)))</f>
        <v>721929.145042044</v>
      </c>
      <c r="AM215" s="169">
        <f ca="1" t="shared" ref="AM215:AM216" si="1127">W215+IF(COUNTIF(F215,"*内会*")&gt;0,0,IF(D215="轻剑",$AN$8-$Y$2,$AN$9-$Y$3))</f>
        <v>0.8672</v>
      </c>
      <c r="AN215">
        <f ca="1">技能数计算!$AJ207</f>
        <v>0</v>
      </c>
      <c r="AO215" s="170">
        <f ca="1" t="shared" ref="AO215:AO218" si="1128">IF(COUNTIF(G215,"*恒定伤害*")&gt;0,AB215,((AK215*(1+P215)*(1+IF(COUNTIF(F215,"*内破*")&gt;0,内破,IF(D215="轻剑",$AI$8,$AI$9)/破防系数)+IF((IF(D215="轻剑",$AO$2,$AO$3)+INT(COUNTIF(G215,"*大莺鸣*")*IF(D215="轻剑",$AM$2,$AM$3)*听晓无双率)/无双系数)&gt;0.9,(特效裤子破防+特效裤子破防*IF(D215="轻剑",$AD$2,$AD$3)/1024)/破防系数,0))*(1-R215))*T215*(1+U215))*(1+Z215)*(1+AA215)*(1+MIN(1,AM215)*(MIN(3+COUNTIF(G215,"*叠*")*0.75,AJ215)-1)))</f>
        <v>732539.966467598</v>
      </c>
      <c r="AP215">
        <f ca="1" t="shared" si="969"/>
        <v>110956</v>
      </c>
      <c r="AQ215" s="170">
        <f ca="1" t="shared" ref="AQ215:AQ218" si="1129">H215+AP215*I215+J215*M215+IF(K215&gt;0,MAX(1,K215*N215*破招全局系数),0)</f>
        <v>90485.7</v>
      </c>
      <c r="AR215">
        <f ca="1" t="shared" ref="AR215:AR218" si="1130">IF(COUNTIF(G215,"*恒定伤害*")&gt;0,AB215,((AQ215*(1+P215)*(1+IF(COUNTIF(F215,"*内破*")&gt;0,内破,IF(D215="轻剑",$AQ$8,$AQ$9)/破防系数)+IF((IF(D215="轻剑",$AO$2,$AO$3)+INT(COUNTIF(G215,"*大莺鸣*")*IF(D215="轻剑",$AM$2,$AM$3)*听晓无双率)/无双系数)&gt;0.9,(特效裤子破防+特效裤子破防*IF(D215="轻剑",$AD$2+200,$AD$3+200)/1024)/破防系数,0))*(1-R215))*T215*(1+U215))*Y215*(1+Z215)*(1+AA215))</f>
        <v>713187.350364565</v>
      </c>
      <c r="AS215">
        <f ca="1" t="shared" ref="AS215:AS216" si="1131">W215+IF(COUNTIF(F215,"*内会*")&gt;0,0,IF(D215="轻剑",$AS$8-$Y$2,$AS$9-$Y$3))</f>
        <v>0.9243</v>
      </c>
      <c r="AT215">
        <f ca="1">技能数计算!$AJ207</f>
        <v>0</v>
      </c>
      <c r="AU215">
        <f ca="1" t="shared" ref="AU215:AU216" si="1132">X215+IF(COUNTIF(F215,"*内会*")&gt;0,0,IF(D215="轻剑",$AU$8-$AB$2,$AU$9-$AB$3))</f>
        <v>2.5677566866</v>
      </c>
      <c r="AV215">
        <f ca="1" t="shared" ref="AV215:AV218" si="1133">IF(G215="恒定伤害",0,(IF(D215="轻剑",$AV$8,$AV$9)+INT(COUNTIF(G215,"*大莺鸣*")*IF(D215="轻剑",$AM$2,$AM$3)*听晓无双率)/无双系数))+IF((IF(G215="恒定伤害",0,(IF(D215="轻剑",$AV$8,$AV$9)+INT(COUNTIF(G215,"*大莺鸣*")*IF(D215="轻剑",$AM$2,$AM$3)*听晓无双率)/无双系数)))&lt;=0.9,特效裤子无双,0)</f>
        <v>1.7995442148</v>
      </c>
      <c r="AW215">
        <f ca="1" t="shared" ref="AW215:AW218" si="1134">IF(COUNTIF(G215,"*恒定伤害*")&gt;0,AB215,((O215*(1+P215)*(1+Q215)*(1-R215))*T215*(1+AV215))*(1+MIN(1,AS215)*(MIN(3+COUNTIF(G215,"*叠*")*0.75,AU215)-1))*(1+Z215)*(1+AA215))</f>
        <v>725362.509830259</v>
      </c>
      <c r="AX215">
        <f ca="1" t="shared" ref="AX215:AX216" si="1135">$W215+IF(COUNTIF(F215,"*内会*")&gt;0,0,IF(I215="轻剑",AX$8-$Y$2,AX$9-$Y$3))</f>
        <v>0.9143</v>
      </c>
      <c r="AY215">
        <f ca="1">技能数计算!$AJ207</f>
        <v>0</v>
      </c>
      <c r="AZ215" s="170">
        <f ca="1" t="shared" ref="AZ215:AZ218" si="1136">IF(COUNTIF(G215,"*恒定伤害*")&gt;0,AB215,((O215*(1+P215)*(1+Q215)*(1-R215))*T215*(1+AV215))*(1+MIN(1,AX215)*(MIN(3+COUNTIF(G215,"*叠*")*0.75,AU215)-1))*(1+Z215)*(1+AA215))</f>
        <v>720719.161783999</v>
      </c>
      <c r="BA215">
        <f ca="1" t="shared" ref="BA215:BA216" si="1137">$W215+IF(COUNTIF(F215,"*内会*")&gt;0,0,IF(L215="轻剑",BA$8-$Y$2,BA$9-$Y$3))</f>
        <v>0.9043</v>
      </c>
      <c r="BB215">
        <f ca="1">技能数计算!$AJ207</f>
        <v>0</v>
      </c>
      <c r="BC215" s="170">
        <f ca="1" t="shared" ref="BC215:BC218" si="1138">IF(COUNTIF(G215,"*恒定伤害*")&gt;0,AB215,((O215*(1+P215)*(1+Q215)*(1-R215))*T215*(1+AV215))*(1+MIN(1,BA215)*(MIN(3+COUNTIF(G215,"*叠*")*0.75,AU215)-1))*(1+Z215)*(1+AA215))</f>
        <v>716075.813737738</v>
      </c>
      <c r="BE215">
        <f ca="1" t="shared" si="970"/>
        <v>105849</v>
      </c>
      <c r="BF215">
        <f ca="1" t="shared" ref="BF215:BF218" si="1139">H215+BE215*I215+J215*M215+IF(K215&gt;0,MAX(1,K215*N215*破招全局系数),0)</f>
        <v>86910.8</v>
      </c>
      <c r="BI215">
        <f ca="1" t="shared" ref="BI215:BI216" si="1140">$W215+IF(COUNTIF(F215,"*内会*")&gt;0,0,IF(T215="轻剑",BI$8-$Y$2,BI$9-$Y$3))</f>
        <v>0.8943</v>
      </c>
      <c r="BJ215">
        <f ca="1">技能数计算!$AJ207</f>
        <v>0</v>
      </c>
      <c r="BK215">
        <f ca="1" t="shared" ref="BK215:BK218" si="1141">IF(COUNTIF(G215,"*恒定伤害*")&gt;0,AB215,((BF215*(1+P215)*(1+IF(COUNTIF(F215,"*内破*")&gt;0,内破,IF(D215="轻剑",$BH$8,$BH$9)/破防系数)+IF((IF(D215="轻剑",$AO$2,$AO$3)+INT(COUNTIF(G215,"*大莺鸣*")*IF(D215="轻剑",$AM$2,$AM$3)*听晓无双率)/无双系数)&gt;0.9,(特效裤子破防+特效裤子破防*IF(D215="轻剑",$AD$2+204,$AD$3+204)/1024)/破防系数,0))*(1-R215))*T215*(1+AV215))*(1+MIN(1,BI215)*(MIN(3+COUNTIF(G215,"*叠*")*0.75,X215)-1))*(1+Z215)*(1+AA215))</f>
        <v>712901.510515156</v>
      </c>
      <c r="BM215">
        <f ca="1" t="shared" si="971"/>
        <v>109230</v>
      </c>
      <c r="BN215">
        <f ca="1" t="shared" ref="BN215:BN218" si="1142">H215+BM215*I215+J215*M215+IF(K215&gt;0,MAX(1,K215*N215*破招全局系数),0)</f>
        <v>89277.5</v>
      </c>
      <c r="BO215">
        <f ca="1" t="shared" ref="BO215:BO218" si="1143">IF(COUNTIF(G215,"*恒定伤害*")&gt;0,AB215,((BN215*(1+P215)*(1+IF(COUNTIF(F215,"*内破*")&gt;0,内破,IF(D215="轻剑",$BM$8,$BM$9)/破防系数)+IF((IF(D215="轻剑",$AO$2,$AO$3)+INT(COUNTIF(G215,"*大莺鸣*")*IF(D215="轻剑",$AM$2,$AM$3)*听晓无双率)/无双系数)&gt;0.9,(特效裤子破防+特效裤子破防*IF(D215="轻剑",$AD$2+102,$AD$3+102)/1024)/破防系数,0))*(1-R215))*T215*(1+U215))*Y215*(1+Z215)*(1+AA215))</f>
        <v>717833.354492089</v>
      </c>
      <c r="BP215">
        <f ca="1" t="shared" ref="BP215:BP218" si="1144">IF(COUNTIF(G215,"*恒定伤害*")&gt;0,AB215,((BN215*(1+P215)*(1+IF(COUNTIF(F215,"*内破*")&gt;0,内破,IF(D215="轻剑",$BQ$8,$BQ$9)/破防系数)+IF((IF(D215="轻剑",$AO$2,$AO$3)+INT(COUNTIF(G215,"*大莺鸣*")*IF(D215="轻剑",$AM$2,$AM$3)*听晓无双率)/无双系数)&gt;0.9,(特效裤子破防+特效裤子破防*IF(D215="轻剑",$AD$2+102,$AD$3+102)/1024)/破防系数,0))*(1-R215))*T215*(1+U215))*Y215*(1+Z215)*(1+AA215))</f>
        <v>684556.273906356</v>
      </c>
      <c r="BR215">
        <f ca="1" t="shared" ref="BR215:BR216" si="1145">$W215+IF(T215="轻剑",BI$8-$Y$2,BI$9-$Y$3)</f>
        <v>0.8943</v>
      </c>
      <c r="BS215">
        <f ca="1" t="shared" ref="BS215:BS218" si="1146">IF(COUNTIF(G215,"*恒定伤害*")&gt;0,AB215,((BN215*(1+P215)*(1+IF(COUNTIF(F215,"*内破*")&gt;0,内破,IF(D215="轻剑",$BQ$8,$BQ$9)/破防系数)+IF((IF(D215="轻剑",$AO$2,$AO$3)+INT(COUNTIF(G215,"*大莺鸣*")*IF(D215="轻剑",$AM$2,$AM$3)*听晓无双率)/无双系数)&gt;0.9,(特效裤子破防+特效裤子破防*IF(D215="轻剑",$AD$2+102,$AD$3+102)/1024)/破防系数,0))*(1-R215))*T215*(1+AV215))*(1+MIN(1,BR215)*(MIN(3+COUNTIF(G215,"*叠*")*0.75,X215)-1))*(1+Z215)*(1+AA215))</f>
        <v>711633.535238547</v>
      </c>
      <c r="BT215">
        <f ca="1" t="shared" ref="BT215:BT218" si="1147">IF(G215="恒定伤害",0,(($F$5-IF(D215="轻剑",$BB$2,$BB$3))*(1024-IF(D215="轻剑",$BD$2,$BD$3))/1024*(1024-IF(D215="轻剑",$BT$8,$BT$9)-COUNTIF(G215,"*雾锁*")*461*雾锁)/1024/(($F$5-IF(D215="轻剑",$BB$2,$BB$3))*(1024-IF(D215="轻剑",$BD$2,$BD$3))/1024*(1024-IF(D215="轻剑",$BT$8,$BT$9)-COUNTIF(G215,"*雾锁*")*461*雾锁)/1024+$F$7)))</f>
        <v>0.196995876306796</v>
      </c>
      <c r="BU215">
        <f ca="1" t="shared" ref="BU215:BU216" si="1148">X215+IF(D215="轻剑",$AU$8-$AB$2,$AU$9-$AB$3)</f>
        <v>2.5677566866</v>
      </c>
      <c r="BV215">
        <f ca="1" t="shared" ref="BV215:BV218" si="1149">IF(COUNTIF(G215,"*恒定伤害*")&gt;0,AB215,((O215*(1+P215)*(1+Q215)*(1-BT215))*T215*(1+U215))*(1+MIN(1,BR215)*(MIN(3+COUNTIF(G215,"*叠*")*0.75,BU215)-1))*(1+Z215)*(1+AA215))</f>
        <v>720631.364762085</v>
      </c>
      <c r="BW215">
        <f ca="1" t="shared" si="972"/>
        <v>113027</v>
      </c>
      <c r="BX215">
        <f ca="1" t="shared" ref="BX215:BX218" si="1150">H215+BW215*I215+J215*M215+IF(K215&gt;0,MAX(1,K215*N215*破招全局系数),0)</f>
        <v>91935.4</v>
      </c>
      <c r="BY215">
        <f ca="1" t="shared" ref="BY215:BY216" si="1151">$W215+IF(COUNTIF(F215,"*内会*")&gt;0,0,IF(AI215="轻剑",BY$8-$Y$2,BY$9-$Y$3))</f>
        <v>0.8743</v>
      </c>
      <c r="BZ215">
        <f ca="1">技能数计算!$AJ207</f>
        <v>0</v>
      </c>
      <c r="CA215">
        <f ca="1" t="shared" ref="CA215:CA216" si="1152">X215+IF(COUNTIF(F215,"*内会*")&gt;0,0,IF(D215="轻剑",$CA$8-$AB$2,$CA$9-$AB$3))</f>
        <v>2.5716629366</v>
      </c>
      <c r="CB215">
        <f ca="1" t="shared" ref="CB215:CB218" si="1153">IF(COUNTIF(G215,"*恒定伤害*")&gt;0,AB215,((BX215*(1+P215)*(1+Q215)*(1-R215))*T215*(1+U215))*(1+MIN(1,BY215)*(MIN(3+COUNTIF(G215,"*叠*")*0.75,CA215)-1))*(1+Z215)*(1+AA215))</f>
        <v>738631.781067144</v>
      </c>
      <c r="CC215">
        <f ca="1" t="shared" si="973"/>
        <v>114847</v>
      </c>
      <c r="CD215">
        <f ca="1" t="shared" ref="CD215:CD218" si="1154">H215+CC215*I215+J215*M215+IF(K215&gt;0,MAX(1,K215*N215*破招全局系数),0)</f>
        <v>93209.4</v>
      </c>
      <c r="CE215">
        <f ca="1" t="shared" ref="CE215:CE218" si="1155">IF(COUNTIF(G215,"*恒定伤害*")&gt;0,AB215,((CD215*(1+P215)*(1+IF(COUNTIF(F215,"*内破*")&gt;0,内破,IF(D215="轻剑",$BQ$8,$BQ$9)/破防系数)+IF((IF(D215="轻剑",$AO$2,$AO$3)+INT(COUNTIF(G215,"*大莺鸣*")*IF(D215="轻剑",$AM$2,$AM$3)*听晓无双率)/无双系数)&gt;0.9,(特效裤子破防+特效裤子破防*IF(D215="轻剑",$AD$2+102,$AD$3+102)/1024)/破防系数,0))*(1-R215))*T215*(1+U215))*(1+MIN(1,BY215)*(MIN(3+COUNTIF(G215,"*叠*")*0.75,X215)-1))*(1+Z215)*(1+AA215))</f>
        <v>728556.856987516</v>
      </c>
      <c r="CF215">
        <f ca="1" t="shared" ref="CF215:CF216" si="1156">X215+IF(COUNTIF(F215,"*内会*")&gt;0,0,IF(D215="轻剑",$CF$8-$AB$2,$CF$9-$AB$3))</f>
        <v>2.5189285616</v>
      </c>
      <c r="CG215">
        <f ca="1" t="shared" ref="CG215:CG216" si="1157">$W215+IF(AI215="轻剑",BY$8-$Y$2,BY$9-$Y$3)</f>
        <v>0.8743</v>
      </c>
      <c r="CH215">
        <f ca="1" t="shared" ref="CH215:CH218" si="1158">IF(COUNTIF(G215,"*恒定伤害*")&gt;0,AB215,((O215*(1+P215)*(1+Q215)*(1-R215))*T215*(1+AV215))*(1+MIN(1,BY215)*(MIN(3+COUNTIF(G215,"*叠*")*0.75,CF215)-1))*(1+Z215)*(1+AA215))</f>
        <v>689501.809922191</v>
      </c>
      <c r="CJ215">
        <f ca="1" t="shared" ref="CJ215:CJ218" si="1159">H215+BM215*I215+J215*M215+IF(K215&gt;0,MAX(1,K215*(N215+2667)*破招全局系数),0)</f>
        <v>89277.5</v>
      </c>
      <c r="CK215">
        <f ca="1" t="shared" ref="CK215:CK218" si="1160">IF(COUNTIF(G215,"*恒定伤害*")&gt;0,AB215,((CJ215*(1+P215)*(1+IF(COUNTIF(F215,"*内破*")&gt;0,内破,IF(D215="轻剑",$CI$8,$CI$9)/破防系数)+IF((IF(D215="轻剑",$AO$2,$AO$3)+INT(COUNTIF(G215,"*大莺鸣*")*IF(D215="轻剑",$AM$2,$AM$3)*听晓无双率)/无双系数)&gt;0.9,(特效裤子破防+特效裤子破防*IF(D215="轻剑",$AD$2+256,$AD$3+256)/1024)/破防系数,0))*(1-R215))*T215*(1+U215))*Y215*(1+Z215)*(1+AA215))</f>
        <v>714581.608519326</v>
      </c>
      <c r="CL215">
        <f ca="1" t="shared" ref="CL215:CL218" si="1161">X215+IF(D215="轻剑",$CL$8-$AB$2,$CL$9-$AB$3)</f>
        <v>2.5415848116</v>
      </c>
      <c r="CM215">
        <f ca="1">IF(G215="恒定伤害",0,(IF(D215="轻剑",$CM$8,$CM$9)+IFERROR(INDEX(技能数据库!$T$2:$W$27,MATCH(E215,技能数据库!$T$2:$T$27,0),4),0)+COUNTIF(G215,"*造化2*")*154+COUNTIF(G215,"*造化1*")*102+COUNTIF(G215,"*碧归*")*307)/1024)</f>
        <v>0.197375959429785</v>
      </c>
      <c r="CN215">
        <f ca="1" t="shared" ref="CN215:CN218" si="1162">IF(COUNTIF(G215,"*恒定伤害*")&gt;0,AB215,((O215*(1+CM215)*(1+Q215)*(1-R215))*T215*(1+AV215))*(1+MIN(1,CG215)*(MIN(3+COUNTIF(G215,"*叠*")*0.75,CL215)-1))*(1+Z215)*(1+AA215))</f>
        <v>732403.546515262</v>
      </c>
      <c r="CO215">
        <f ca="1" t="shared" ref="CO215:CO218" si="1163">X215+IF(D215="轻剑",$CO$8-$AB$2,$CO$9-$AB$3)</f>
        <v>2.5656473116</v>
      </c>
      <c r="CP215">
        <f ca="1" t="shared" ref="CP215:CP218" si="1164">IF(COUNTIF(G215,"*恒定伤害*")&gt;0,AB215,((O215*(1+CM215)*(1+Q215)*(1-R215))*T215*(1+AV215))*(1+MIN(1,CG215)*(MIN(3+COUNTIF(G215,"*叠*")*0.75,CO215)-1))*(1+Z215)*(1+AA215))</f>
        <v>738966.346366665</v>
      </c>
      <c r="CQ215">
        <f ca="1" t="shared" ref="CQ215:CQ218" si="1165">IF(G215="恒定伤害",0,(IF(D215="轻剑",$CQ$8,$CQ$9)+INT(COUNTIF(G215,"*大莺鸣*")*IF(D215="轻剑",$AM$2,$AM$3)*听晓无双率)/无双系数))+IF((IF(G215="恒定伤害",0,(IF(D215="轻剑",$CQ$8,$CQ$9)+INT(COUNTIF(G215,"*大莺鸣*")*IF(D215="轻剑",$AM$2,$AM$3)*听晓无双率)/无双系数)))&lt;=0.9,特效裤子无双,0)</f>
        <v>1.8815754648</v>
      </c>
      <c r="CR215">
        <f ca="1">IF(G215="恒定伤害",0,(IF(D215="轻剑",$CR$8,$CR$9)+IFERROR(INDEX(技能数据库!$T$2:$W$27,MATCH(E215,技能数据库!$T$2:$T$27,0),4),0)+COUNTIF(G215,"*造化2*")*154+COUNTIF(G215,"*造化1*")*102+COUNTIF(G215,"*碧归*")*307)/1024)</f>
        <v>0.187610334429785</v>
      </c>
      <c r="CS215">
        <f ca="1" t="shared" ref="CS215:CS218" si="1166">IF(COUNTIF(G215,"*恒定伤害*")&gt;0,AB215,((O215*(1+CR215)*(1+Q215)*(1-R215))*T215*(1+CQ215))*Y215*(1+Z215)*(1+AA215))</f>
        <v>700636.582680592</v>
      </c>
    </row>
    <row r="216" spans="4:97">
      <c r="D216" t="s">
        <v>1825</v>
      </c>
      <c r="E216" t="s">
        <v>2820</v>
      </c>
      <c r="G216" t="s">
        <v>2750</v>
      </c>
      <c r="H216">
        <f ca="1">INDEX(技能数据库!$B$2:$I$100,MATCH(阵眼收益计算!$E216,技能数据库!$B$2:$B$100,0),MATCH(H$9,技能数据库!$B$2:$I$2,0))</f>
        <v>31590</v>
      </c>
      <c r="I216">
        <f ca="1">INDEX(技能数据库!$B$2:$I$100,MATCH(阵眼收益计算!$E216,技能数据库!$B$2:$B$100,0),MATCH(I$9,技能数据库!$B$2:$I$2,0))</f>
        <v>0</v>
      </c>
      <c r="J216">
        <f ca="1">INDEX(技能数据库!$B$2:$I$100,MATCH(阵眼收益计算!$E216,技能数据库!$B$2:$B$100,0),MATCH(J$9,技能数据库!$B$2:$I$2,0))</f>
        <v>0</v>
      </c>
      <c r="K216">
        <f ca="1">INDEX(技能数据库!$B$2:$I$100,MATCH(阵眼收益计算!$E216,技能数据库!$B$2:$B$100,0),MATCH(K$9,技能数据库!$B$2:$I$2,0))</f>
        <v>0</v>
      </c>
      <c r="L216">
        <f ca="1" t="shared" si="960"/>
        <v>105847</v>
      </c>
      <c r="M216">
        <f ca="1" t="shared" si="1110"/>
        <v>19530.5</v>
      </c>
      <c r="N216">
        <f ca="1" t="shared" si="1111"/>
        <v>92028</v>
      </c>
      <c r="O216">
        <f ca="1" t="shared" si="1112"/>
        <v>31590</v>
      </c>
      <c r="P216">
        <f ca="1">IF(G216="恒定伤害",0,(IF(D216="轻剑",$AZ$2,$AZ$3)+IFERROR(INDEX(技能数据库!$T$2:$W$27,MATCH(E216,技能数据库!$T$2:$T$27,0),4),0)+COUNTIF(G216,"*造化2*")*154+COUNTIF(G216,"*造化1*")*102+COUNTIF(G216,"*碧归*")*307)/1024)</f>
        <v>0.116321271929785</v>
      </c>
      <c r="Q216">
        <f ca="1" t="shared" si="1113"/>
        <v>0.448284482196154</v>
      </c>
      <c r="R216">
        <f ca="1" t="shared" si="1114"/>
        <v>0.21277697966198</v>
      </c>
      <c r="S216">
        <f ca="1" t="shared" si="1115"/>
        <v>40205.9649047621</v>
      </c>
      <c r="T216">
        <f t="shared" si="998"/>
        <v>0.8</v>
      </c>
      <c r="U216">
        <f ca="1" t="shared" si="1116"/>
        <v>1.7800129648</v>
      </c>
      <c r="V216">
        <f ca="1" t="shared" si="1117"/>
        <v>89418.4829580261</v>
      </c>
      <c r="W216">
        <f ca="1">IF(G216="恒定伤害",0,MIN(1,IF(COUNTIF(F216,"*内会*")&gt;0,内会2,IF(D216="轻剑",$Y$2,$Y$3)+COUNTIF(G216,"*莺鸣*")*0.2+COUNTIF(G216,"*叠1*")*0.1+COUNTIF(G216,"*叠2*")*0.2+COUNTIF(G216,"*叠3*")*0.3)+IFERROR(INDEX(技能数据库!$T$2:$W$27,MATCH(E216,技能数据库!$T$2:$T$27,0),2),0)+IF((IF(D216="轻剑",$AO$2,$AO$3)+INT(COUNTIF(G216,"*大莺鸣*")*IF(D216="轻剑",$AM$2,$AM$3)*听晓无双率)/无双系数)&gt;0.9,特效裤子会心/会心系数,0)))</f>
        <v>0.7043</v>
      </c>
      <c r="X216">
        <f ca="1">IF(G216="恒定伤害",0,IF(COUNTIF(F216,"*内会*")&gt;0,内会效2,IF(D216="轻剑",$AB$2,$AB$3))+IFERROR(INDEX(技能数据库!$T$2:$W$27,MATCH(E216,技能数据库!$T$2:$T$27,0),3)/1024,0))+COUNTIF(G216,"*叠1*")*0.25+COUNTIF(G216,"*叠2*")*0.5+COUNTIF(G216,"*叠3*")*0.75</f>
        <v>2.1712723116</v>
      </c>
      <c r="Y216">
        <f ca="1" t="shared" si="1118"/>
        <v>1.82492708905988</v>
      </c>
      <c r="Z216">
        <f t="shared" si="1119"/>
        <v>0.150390625</v>
      </c>
      <c r="AA216">
        <f ca="1" t="shared" si="1120"/>
        <v>0.0205078125</v>
      </c>
      <c r="AB216">
        <f ca="1" t="shared" si="1121"/>
        <v>191573.080600359</v>
      </c>
      <c r="AC216">
        <f ca="1">技能数计算!$AJ208</f>
        <v>0</v>
      </c>
      <c r="AD216" s="164">
        <f ca="1" t="shared" si="1122"/>
        <v>0</v>
      </c>
      <c r="AE216" s="168"/>
      <c r="AF216" s="168">
        <f ca="1" t="shared" si="1123"/>
        <v>0.7057</v>
      </c>
      <c r="AG216">
        <f ca="1">技能数计算!$AJ208</f>
        <v>0</v>
      </c>
      <c r="AH216">
        <f ca="1" t="shared" si="968"/>
        <v>109879</v>
      </c>
      <c r="AJ216">
        <f ca="1" t="shared" si="1124"/>
        <v>2.3704910616</v>
      </c>
      <c r="AK216">
        <f ca="1" t="shared" si="1125"/>
        <v>31590</v>
      </c>
      <c r="AL216">
        <f ca="1" t="shared" si="1126"/>
        <v>206560.410699929</v>
      </c>
      <c r="AM216" s="169">
        <f ca="1" t="shared" si="1127"/>
        <v>0.7272</v>
      </c>
      <c r="AN216">
        <f ca="1">技能数计算!$AJ208</f>
        <v>0</v>
      </c>
      <c r="AO216" s="170">
        <f ca="1" t="shared" si="1128"/>
        <v>209654.43026027</v>
      </c>
      <c r="AP216">
        <f ca="1" t="shared" si="969"/>
        <v>110956</v>
      </c>
      <c r="AQ216" s="170">
        <f ca="1" t="shared" si="1129"/>
        <v>31590</v>
      </c>
      <c r="AR216">
        <f ca="1" t="shared" si="1130"/>
        <v>202812.199377436</v>
      </c>
      <c r="AS216">
        <f ca="1" t="shared" si="1131"/>
        <v>0.7843</v>
      </c>
      <c r="AT216">
        <f ca="1">技能数计算!$AJ208</f>
        <v>0</v>
      </c>
      <c r="AU216">
        <f ca="1" t="shared" si="1132"/>
        <v>2.3177566866</v>
      </c>
      <c r="AV216">
        <f ca="1" t="shared" si="1133"/>
        <v>1.7995442148</v>
      </c>
      <c r="AW216">
        <f ca="1" t="shared" si="1134"/>
        <v>214969.670220179</v>
      </c>
      <c r="AX216">
        <f ca="1" t="shared" si="1135"/>
        <v>0.7743</v>
      </c>
      <c r="AY216">
        <f ca="1">技能数计算!$AJ208</f>
        <v>0</v>
      </c>
      <c r="AZ216" s="170">
        <f ca="1" t="shared" si="1136"/>
        <v>213576.626639294</v>
      </c>
      <c r="BA216">
        <f ca="1" t="shared" si="1137"/>
        <v>0.7643</v>
      </c>
      <c r="BB216">
        <f ca="1">技能数计算!$AJ208</f>
        <v>0</v>
      </c>
      <c r="BC216" s="170">
        <f ca="1" t="shared" si="1138"/>
        <v>212183.583058408</v>
      </c>
      <c r="BE216">
        <f ca="1" t="shared" si="970"/>
        <v>105849</v>
      </c>
      <c r="BF216">
        <f ca="1" t="shared" si="1139"/>
        <v>31590</v>
      </c>
      <c r="BI216">
        <f ca="1" t="shared" si="1140"/>
        <v>0.7543</v>
      </c>
      <c r="BJ216">
        <f ca="1">技能数计算!$AJ208</f>
        <v>0</v>
      </c>
      <c r="BK216">
        <f ca="1" t="shared" si="1141"/>
        <v>211026.69794908</v>
      </c>
      <c r="BM216">
        <f ca="1" t="shared" si="971"/>
        <v>109230</v>
      </c>
      <c r="BN216">
        <f ca="1" t="shared" si="1142"/>
        <v>31590</v>
      </c>
      <c r="BO216">
        <f ca="1" t="shared" si="1143"/>
        <v>206895.958562231</v>
      </c>
      <c r="BP216">
        <f ca="1" t="shared" si="1144"/>
        <v>197304.744330051</v>
      </c>
      <c r="BR216">
        <f ca="1" t="shared" si="1145"/>
        <v>0.7543</v>
      </c>
      <c r="BS216">
        <f ca="1" t="shared" si="1146"/>
        <v>205067.105438744</v>
      </c>
      <c r="BT216">
        <f ca="1" t="shared" si="1147"/>
        <v>0.196995876306796</v>
      </c>
      <c r="BU216">
        <f ca="1" t="shared" si="1148"/>
        <v>2.3177566866</v>
      </c>
      <c r="BV216">
        <f ca="1" t="shared" si="1149"/>
        <v>213516.084053013</v>
      </c>
      <c r="BW216">
        <f ca="1" t="shared" si="972"/>
        <v>113027</v>
      </c>
      <c r="BX216">
        <f ca="1" t="shared" si="1150"/>
        <v>31590</v>
      </c>
      <c r="BY216">
        <f ca="1" t="shared" si="1151"/>
        <v>0.7343</v>
      </c>
      <c r="BZ216">
        <f ca="1">技能数计算!$AJ208</f>
        <v>0</v>
      </c>
      <c r="CA216">
        <f ca="1" t="shared" si="1152"/>
        <v>2.3216629366</v>
      </c>
      <c r="CB216">
        <f ca="1" t="shared" si="1153"/>
        <v>206854.400343341</v>
      </c>
      <c r="CC216">
        <f ca="1" t="shared" si="973"/>
        <v>114847</v>
      </c>
      <c r="CD216">
        <f ca="1" t="shared" si="1154"/>
        <v>31590</v>
      </c>
      <c r="CE216">
        <f ca="1" t="shared" si="1155"/>
        <v>201103.760499516</v>
      </c>
      <c r="CF216">
        <f ca="1" t="shared" si="1156"/>
        <v>2.2689285616</v>
      </c>
      <c r="CG216">
        <f ca="1" t="shared" si="1157"/>
        <v>0.7343</v>
      </c>
      <c r="CH216">
        <f ca="1" t="shared" si="1158"/>
        <v>204214.156983115</v>
      </c>
      <c r="CJ216">
        <f ca="1" t="shared" si="1159"/>
        <v>31590</v>
      </c>
      <c r="CK216">
        <f ca="1" t="shared" si="1160"/>
        <v>205958.73114611</v>
      </c>
      <c r="CL216">
        <f ca="1" t="shared" si="1161"/>
        <v>2.2915848116</v>
      </c>
      <c r="CM216">
        <f ca="1">IF(G216="恒定伤害",0,(IF(D216="轻剑",$CM$8,$CM$9)+IFERROR(INDEX(技能数据库!$T$2:$W$27,MATCH(E216,技能数据库!$T$2:$T$27,0),4),0)+COUNTIF(G216,"*造化2*")*154+COUNTIF(G216,"*造化1*")*102+COUNTIF(G216,"*碧归*")*307)/1024)</f>
        <v>0.176868146929785</v>
      </c>
      <c r="CN216">
        <f ca="1" t="shared" si="1162"/>
        <v>217144.380493909</v>
      </c>
      <c r="CO216">
        <f ca="1" t="shared" si="1163"/>
        <v>2.3156473116</v>
      </c>
      <c r="CP216">
        <f ca="1" t="shared" si="1164"/>
        <v>219113.546626467</v>
      </c>
      <c r="CQ216">
        <f ca="1" t="shared" si="1165"/>
        <v>1.8815754648</v>
      </c>
      <c r="CR216">
        <f ca="1">IF(G216="恒定伤害",0,(IF(D216="轻剑",$CR$8,$CR$9)+IFERROR(INDEX(技能数据库!$T$2:$W$27,MATCH(E216,技能数据库!$T$2:$T$27,0),4),0)+COUNTIF(G216,"*造化2*")*154+COUNTIF(G216,"*造化1*")*102+COUNTIF(G216,"*碧归*")*307)/1024)</f>
        <v>0.167102521929785</v>
      </c>
      <c r="CS216">
        <f ca="1" t="shared" si="1166"/>
        <v>207604.836269351</v>
      </c>
    </row>
    <row r="217" spans="4:97">
      <c r="D217" t="s">
        <v>1825</v>
      </c>
      <c r="E217" t="s">
        <v>2820</v>
      </c>
      <c r="G217" t="s">
        <v>3096</v>
      </c>
      <c r="H217">
        <f ca="1">INDEX(技能数据库!$B$2:$I$100,MATCH(阵眼收益计算!$E217,技能数据库!$B$2:$B$100,0),MATCH(H$9,技能数据库!$B$2:$I$2,0))</f>
        <v>31590</v>
      </c>
      <c r="I217">
        <f ca="1">INDEX(技能数据库!$B$2:$I$100,MATCH(阵眼收益计算!$E217,技能数据库!$B$2:$B$100,0),MATCH(I$9,技能数据库!$B$2:$I$2,0))</f>
        <v>0</v>
      </c>
      <c r="J217">
        <f ca="1">INDEX(技能数据库!$B$2:$I$100,MATCH(阵眼收益计算!$E217,技能数据库!$B$2:$B$100,0),MATCH(J$9,技能数据库!$B$2:$I$2,0))</f>
        <v>0</v>
      </c>
      <c r="K217">
        <f ca="1">INDEX(技能数据库!$B$2:$I$100,MATCH(阵眼收益计算!$E217,技能数据库!$B$2:$B$100,0),MATCH(K$9,技能数据库!$B$2:$I$2,0))</f>
        <v>0</v>
      </c>
      <c r="L217">
        <f ca="1" t="shared" si="960"/>
        <v>105847</v>
      </c>
      <c r="M217">
        <f ca="1" t="shared" si="1110"/>
        <v>19530.5</v>
      </c>
      <c r="N217">
        <f ca="1" t="shared" si="1111"/>
        <v>92028</v>
      </c>
      <c r="O217">
        <f ca="1" t="shared" si="1112"/>
        <v>31590</v>
      </c>
      <c r="P217">
        <f ca="1">IF(G217="恒定伤害",0,(IF(D217="轻剑",$AZ$2,$AZ$3)+IFERROR(INDEX(技能数据库!$T$2:$W$27,MATCH(E217,技能数据库!$T$2:$T$27,0),4),0)+COUNTIF(G217,"*造化2*")*154+COUNTIF(G217,"*造化1*")*102+COUNTIF(G217,"*碧归*")*307)/1024)</f>
        <v>0.116321271929785</v>
      </c>
      <c r="Q217">
        <f ca="1" t="shared" si="1113"/>
        <v>0.448284482196154</v>
      </c>
      <c r="R217">
        <f ca="1" t="shared" si="1114"/>
        <v>0.21277697966198</v>
      </c>
      <c r="S217">
        <f ca="1" t="shared" si="1115"/>
        <v>40205.9649047621</v>
      </c>
      <c r="T217">
        <f t="shared" si="998"/>
        <v>0.8</v>
      </c>
      <c r="U217">
        <f ca="1" t="shared" si="1116"/>
        <v>1.7800129648</v>
      </c>
      <c r="V217">
        <f ca="1" t="shared" si="1117"/>
        <v>89418.4829580261</v>
      </c>
      <c r="W217">
        <f ca="1">IF(G217="恒定伤害",0,MIN(1,IF(COUNTIF(F217,"*内会*")&gt;0,内会2,IF(D217="轻剑",$Y$2,$Y$3)+COUNTIF(G217,"*莺鸣*")*0.2+COUNTIF(G217,"*叠1*")*0.1+COUNTIF(G217,"*叠2*")*0.2+COUNTIF(G217,"*叠3*")*0.3)+IFERROR(INDEX(技能数据库!$T$2:$W$27,MATCH(E217,技能数据库!$T$2:$T$27,0),2),0)+IF((IF(D217="轻剑",$AO$2,$AO$3)+INT(COUNTIF(G217,"*大莺鸣*")*IF(D217="轻剑",$AM$2,$AM$3)*听晓无双率)/无双系数)&gt;0.9,特效裤子会心/会心系数,0)))</f>
        <v>0.8043</v>
      </c>
      <c r="X217">
        <f ca="1">IF(G217="恒定伤害",0,IF(COUNTIF(F217,"*内会*")&gt;0,内会效2,IF(D217="轻剑",$AB$2,$AB$3))+IFERROR(INDEX(技能数据库!$T$2:$W$27,MATCH(E217,技能数据库!$T$2:$T$27,0),3)/1024,0))+COUNTIF(G217,"*叠1*")*0.25+COUNTIF(G217,"*叠2*")*0.5+COUNTIF(G217,"*叠3*")*0.75</f>
        <v>2.4212723116</v>
      </c>
      <c r="Y217">
        <f ca="1" t="shared" si="1118"/>
        <v>2.14312932021988</v>
      </c>
      <c r="Z217">
        <f t="shared" si="1119"/>
        <v>0.150390625</v>
      </c>
      <c r="AA217">
        <f ca="1" t="shared" si="1120"/>
        <v>0.0205078125</v>
      </c>
      <c r="AB217">
        <f ca="1" t="shared" si="1121"/>
        <v>224976.596851867</v>
      </c>
      <c r="AC217">
        <f ca="1">技能数计算!$AJ209</f>
        <v>0</v>
      </c>
      <c r="AD217" s="164">
        <f ca="1" t="shared" si="1122"/>
        <v>0</v>
      </c>
      <c r="AE217" s="168"/>
      <c r="AF217" s="168">
        <f ca="1" t="shared" ref="AF217:AF219" si="1167">W217+IF(COUNTIF(F217,"*内会*")&gt;0,0,IF(D217="轻剑",$AF$8-$Y$2,$AF$9-$Y$3))</f>
        <v>0.8057</v>
      </c>
      <c r="AG217">
        <f ca="1">技能数计算!$AJ209</f>
        <v>0</v>
      </c>
      <c r="AH217">
        <f ca="1" t="shared" si="968"/>
        <v>109879</v>
      </c>
      <c r="AJ217">
        <f ca="1" t="shared" ref="AJ217:AJ219" si="1168">X217+IF(COUNTIF(F217,"*内会*")&gt;0,0,IF(D217="轻剑",$AJ$8-$AB$2,$AJ$9-$AB$3))</f>
        <v>2.6204910616</v>
      </c>
      <c r="AK217">
        <f ca="1" t="shared" si="1125"/>
        <v>31590</v>
      </c>
      <c r="AL217">
        <f ca="1" t="shared" si="1126"/>
        <v>242101.753964802</v>
      </c>
      <c r="AM217" s="169">
        <f ca="1" t="shared" ref="AM217:AM219" si="1169">W217+IF(COUNTIF(F217,"*内会*")&gt;0,0,IF(D217="轻剑",$AN$8-$Y$2,$AN$9-$Y$3))</f>
        <v>0.8272</v>
      </c>
      <c r="AN217">
        <f ca="1">技能数计算!$AJ209</f>
        <v>0</v>
      </c>
      <c r="AO217" s="170">
        <f ca="1" t="shared" si="1128"/>
        <v>245760.173331722</v>
      </c>
      <c r="AP217">
        <f ca="1" t="shared" si="969"/>
        <v>110956</v>
      </c>
      <c r="AQ217" s="170">
        <f ca="1" t="shared" si="1129"/>
        <v>31590</v>
      </c>
      <c r="AR217">
        <f ca="1" t="shared" si="1130"/>
        <v>238175.417302823</v>
      </c>
      <c r="AS217">
        <f ca="1" t="shared" ref="AS217:AS219" si="1170">W217+IF(COUNTIF(F217,"*内会*")&gt;0,0,IF(D217="轻剑",$AS$8-$Y$2,$AS$9-$Y$3))</f>
        <v>0.8843</v>
      </c>
      <c r="AT217">
        <f ca="1">技能数计算!$AJ209</f>
        <v>0</v>
      </c>
      <c r="AU217">
        <f ca="1" t="shared" ref="AU217:AU219" si="1171">X217+IF(COUNTIF(F217,"*内会*")&gt;0,0,IF(D217="轻剑",$AU$8-$AB$2,$AU$9-$AB$3))</f>
        <v>2.5677566866</v>
      </c>
      <c r="AV217">
        <f ca="1" t="shared" si="1133"/>
        <v>1.7995442148</v>
      </c>
      <c r="AW217">
        <f ca="1" t="shared" si="1134"/>
        <v>252270.66546356</v>
      </c>
      <c r="AX217">
        <f ca="1" t="shared" ref="AX217:AX219" si="1172">$W217+IF(COUNTIF(F217,"*内会*")&gt;0,0,IF(I217="轻剑",AX$8-$Y$2,AX$9-$Y$3))</f>
        <v>0.8743</v>
      </c>
      <c r="AY217">
        <f ca="1">技能数计算!$AJ209</f>
        <v>0</v>
      </c>
      <c r="AZ217" s="170">
        <f ca="1" t="shared" si="1136"/>
        <v>250613.338727247</v>
      </c>
      <c r="BA217">
        <f ca="1" t="shared" ref="BA217:BA219" si="1173">$W217+IF(COUNTIF(F217,"*内会*")&gt;0,0,IF(L217="轻剑",BA$8-$Y$2,BA$9-$Y$3))</f>
        <v>0.8643</v>
      </c>
      <c r="BB217">
        <f ca="1">技能数计算!$AJ209</f>
        <v>0</v>
      </c>
      <c r="BC217" s="170">
        <f ca="1" t="shared" si="1138"/>
        <v>248956.011990933</v>
      </c>
      <c r="BE217">
        <f ca="1" t="shared" si="970"/>
        <v>105849</v>
      </c>
      <c r="BF217">
        <f ca="1" t="shared" si="1139"/>
        <v>31590</v>
      </c>
      <c r="BI217">
        <f ca="1" t="shared" ref="BI217:BI219" si="1174">$W217+IF(COUNTIF(F217,"*内会*")&gt;0,0,IF(T217="轻剑",BI$8-$Y$2,BI$9-$Y$3))</f>
        <v>0.8543</v>
      </c>
      <c r="BJ217">
        <f ca="1">技能数计算!$AJ209</f>
        <v>0</v>
      </c>
      <c r="BK217">
        <f ca="1" t="shared" si="1141"/>
        <v>248078.646054888</v>
      </c>
      <c r="BM217">
        <f ca="1" t="shared" si="971"/>
        <v>109230</v>
      </c>
      <c r="BN217">
        <f ca="1" t="shared" si="1142"/>
        <v>31590</v>
      </c>
      <c r="BO217">
        <f ca="1" t="shared" si="1143"/>
        <v>242971.238515691</v>
      </c>
      <c r="BP217">
        <f ca="1" t="shared" si="1144"/>
        <v>231707.658419413</v>
      </c>
      <c r="BR217">
        <f ca="1" t="shared" ref="BR217:BR219" si="1175">$W217+IF(T217="轻剑",BI$8-$Y$2,BI$9-$Y$3)</f>
        <v>0.8543</v>
      </c>
      <c r="BS217">
        <f ca="1" t="shared" si="1146"/>
        <v>241072.671666947</v>
      </c>
      <c r="BT217">
        <f ca="1" t="shared" si="1147"/>
        <v>0.196995876306796</v>
      </c>
      <c r="BU217">
        <f ca="1" t="shared" ref="BU217:BU219" si="1176">X217+IF(D217="轻剑",$AU$8-$AB$2,$AU$9-$AB$3)</f>
        <v>2.5677566866</v>
      </c>
      <c r="BV217">
        <f ca="1" t="shared" si="1149"/>
        <v>250496.28412121</v>
      </c>
      <c r="BW217">
        <f ca="1" t="shared" si="972"/>
        <v>113027</v>
      </c>
      <c r="BX217">
        <f ca="1" t="shared" si="1150"/>
        <v>31590</v>
      </c>
      <c r="BY217">
        <f ca="1" t="shared" ref="BY217:BY219" si="1177">$W217+IF(COUNTIF(F217,"*内会*")&gt;0,0,IF(AI217="轻剑",BY$8-$Y$2,BY$9-$Y$3))</f>
        <v>0.8343</v>
      </c>
      <c r="BZ217">
        <f ca="1">技能数计算!$AJ209</f>
        <v>0</v>
      </c>
      <c r="CA217">
        <f ca="1" t="shared" ref="CA217:CA219" si="1178">X217+IF(COUNTIF(F217,"*内会*")&gt;0,0,IF(D217="轻剑",$CA$8-$AB$2,$CA$9-$AB$3))</f>
        <v>2.5716629366</v>
      </c>
      <c r="CB217">
        <f ca="1" t="shared" si="1153"/>
        <v>242623.971470605</v>
      </c>
      <c r="CC217">
        <f ca="1" t="shared" si="973"/>
        <v>114847</v>
      </c>
      <c r="CD217">
        <f ca="1" t="shared" si="1154"/>
        <v>31590</v>
      </c>
      <c r="CE217">
        <f ca="1" t="shared" si="1155"/>
        <v>236317.548399314</v>
      </c>
      <c r="CF217">
        <f ca="1" t="shared" ref="CF217:CF219" si="1179">X217+IF(COUNTIF(F217,"*内会*")&gt;0,0,IF(D217="轻剑",$CF$8-$AB$2,$CF$9-$AB$3))</f>
        <v>2.5189285616</v>
      </c>
      <c r="CG217">
        <f ca="1" t="shared" ref="CG217:CG219" si="1180">$W217+IF(AI217="轻剑",BY$8-$Y$2,BY$9-$Y$3)</f>
        <v>0.8343</v>
      </c>
      <c r="CH217">
        <f ca="1" t="shared" si="1158"/>
        <v>239677.558411408</v>
      </c>
      <c r="CJ217">
        <f ca="1" t="shared" si="1159"/>
        <v>31590</v>
      </c>
      <c r="CK217">
        <f ca="1" t="shared" si="1160"/>
        <v>241870.592047543</v>
      </c>
      <c r="CL217">
        <f ca="1" t="shared" si="1161"/>
        <v>2.5415848116</v>
      </c>
      <c r="CM217">
        <f ca="1">IF(G217="恒定伤害",0,(IF(D217="轻剑",$CM$8,$CM$9)+IFERROR(INDEX(技能数据库!$T$2:$W$27,MATCH(E217,技能数据库!$T$2:$T$27,0),4),0)+COUNTIF(G217,"*造化2*")*154+COUNTIF(G217,"*造化1*")*102+COUNTIF(G217,"*碧归*")*307)/1024)</f>
        <v>0.176868146929785</v>
      </c>
      <c r="CN217">
        <f ca="1" t="shared" si="1162"/>
        <v>254783.737800011</v>
      </c>
      <c r="CO217">
        <f ca="1" t="shared" si="1163"/>
        <v>2.5656473116</v>
      </c>
      <c r="CP217">
        <f ca="1" t="shared" si="1164"/>
        <v>257021.0730913</v>
      </c>
      <c r="CQ217">
        <f ca="1" t="shared" si="1165"/>
        <v>1.8815754648</v>
      </c>
      <c r="CR217">
        <f ca="1">IF(G217="恒定伤害",0,(IF(D217="轻剑",$CR$8,$CR$9)+IFERROR(INDEX(技能数据库!$T$2:$W$27,MATCH(E217,技能数据库!$T$2:$T$27,0),4),0)+COUNTIF(G217,"*造化2*")*154+COUNTIF(G217,"*造化1*")*102+COUNTIF(G217,"*碧归*")*307)/1024)</f>
        <v>0.167102521929785</v>
      </c>
      <c r="CS217">
        <f ca="1" t="shared" si="1166"/>
        <v>243803.719225571</v>
      </c>
    </row>
    <row r="218" spans="4:97">
      <c r="D218" t="s">
        <v>1825</v>
      </c>
      <c r="E218" t="s">
        <v>2820</v>
      </c>
      <c r="G218" t="s">
        <v>3097</v>
      </c>
      <c r="H218">
        <f ca="1">INDEX(技能数据库!$B$2:$I$100,MATCH(阵眼收益计算!$E218,技能数据库!$B$2:$B$100,0),MATCH(H$9,技能数据库!$B$2:$I$2,0))</f>
        <v>31590</v>
      </c>
      <c r="I218">
        <f ca="1">INDEX(技能数据库!$B$2:$I$100,MATCH(阵眼收益计算!$E218,技能数据库!$B$2:$B$100,0),MATCH(I$9,技能数据库!$B$2:$I$2,0))</f>
        <v>0</v>
      </c>
      <c r="J218">
        <f ca="1">INDEX(技能数据库!$B$2:$I$100,MATCH(阵眼收益计算!$E218,技能数据库!$B$2:$B$100,0),MATCH(J$9,技能数据库!$B$2:$I$2,0))</f>
        <v>0</v>
      </c>
      <c r="K218">
        <f ca="1">INDEX(技能数据库!$B$2:$I$100,MATCH(阵眼收益计算!$E218,技能数据库!$B$2:$B$100,0),MATCH(K$9,技能数据库!$B$2:$I$2,0))</f>
        <v>0</v>
      </c>
      <c r="L218">
        <f ca="1" t="shared" si="960"/>
        <v>105847</v>
      </c>
      <c r="M218">
        <f ca="1" t="shared" si="1110"/>
        <v>19530.5</v>
      </c>
      <c r="N218">
        <f ca="1" t="shared" si="1111"/>
        <v>92028</v>
      </c>
      <c r="O218">
        <f ca="1" t="shared" si="1112"/>
        <v>31590</v>
      </c>
      <c r="P218">
        <f ca="1">IF(G218="恒定伤害",0,(IF(D218="轻剑",$AZ$2,$AZ$3)+IFERROR(INDEX(技能数据库!$T$2:$W$27,MATCH(E218,技能数据库!$T$2:$T$27,0),4),0)+COUNTIF(G218,"*造化2*")*154+COUNTIF(G218,"*造化1*")*102+COUNTIF(G218,"*碧归*")*307)/1024)</f>
        <v>0.116321271929785</v>
      </c>
      <c r="Q218">
        <f ca="1" t="shared" si="1113"/>
        <v>0.448284482196154</v>
      </c>
      <c r="R218">
        <f ca="1" t="shared" si="1114"/>
        <v>0.21277697966198</v>
      </c>
      <c r="S218">
        <f ca="1" t="shared" si="1115"/>
        <v>40205.9649047621</v>
      </c>
      <c r="T218">
        <f t="shared" si="998"/>
        <v>0.8</v>
      </c>
      <c r="U218">
        <f ca="1" t="shared" si="1116"/>
        <v>1.7800129648</v>
      </c>
      <c r="V218">
        <f ca="1" t="shared" si="1117"/>
        <v>89418.4829580261</v>
      </c>
      <c r="W218">
        <f ca="1">IF(G218="恒定伤害",0,MIN(1,IF(COUNTIF(F218,"*内会*")&gt;0,内会2,IF(D218="轻剑",$Y$2,$Y$3)+COUNTIF(G218,"*莺鸣*")*0.2+COUNTIF(G218,"*叠1*")*0.1+COUNTIF(G218,"*叠2*")*0.2+COUNTIF(G218,"*叠3*")*0.3)+IFERROR(INDEX(技能数据库!$T$2:$W$27,MATCH(E218,技能数据库!$T$2:$T$27,0),2),0)+IF((IF(D218="轻剑",$AO$2,$AO$3)+INT(COUNTIF(G218,"*大莺鸣*")*IF(D218="轻剑",$AM$2,$AM$3)*听晓无双率)/无双系数)&gt;0.9,特效裤子会心/会心系数,0)))</f>
        <v>0.9043</v>
      </c>
      <c r="X218">
        <f ca="1">IF(G218="恒定伤害",0,IF(COUNTIF(F218,"*内会*")&gt;0,内会效2,IF(D218="轻剑",$AB$2,$AB$3))+IFERROR(INDEX(技能数据库!$T$2:$W$27,MATCH(E218,技能数据库!$T$2:$T$27,0),3)/1024,0))+COUNTIF(G218,"*叠1*")*0.25+COUNTIF(G218,"*叠2*")*0.5+COUNTIF(G218,"*叠3*")*0.75</f>
        <v>2.6712723116</v>
      </c>
      <c r="Y218">
        <f ca="1" t="shared" si="1118"/>
        <v>2.51133155137988</v>
      </c>
      <c r="Z218">
        <f t="shared" si="1119"/>
        <v>0.150390625</v>
      </c>
      <c r="AA218">
        <f ca="1" t="shared" si="1120"/>
        <v>0.0205078125</v>
      </c>
      <c r="AB218">
        <f ca="1" t="shared" si="1121"/>
        <v>263628.900349419</v>
      </c>
      <c r="AC218">
        <f ca="1">技能数计算!$AJ210</f>
        <v>0</v>
      </c>
      <c r="AD218" s="164">
        <f ca="1" t="shared" si="1122"/>
        <v>0</v>
      </c>
      <c r="AE218" s="168"/>
      <c r="AF218" s="168">
        <f ca="1" t="shared" si="1167"/>
        <v>0.9057</v>
      </c>
      <c r="AG218">
        <f ca="1">技能数计算!$AJ210</f>
        <v>0</v>
      </c>
      <c r="AH218">
        <f ca="1" t="shared" si="968"/>
        <v>109879</v>
      </c>
      <c r="AJ218">
        <f ca="1" t="shared" si="1168"/>
        <v>2.8704910616</v>
      </c>
      <c r="AK218">
        <f ca="1" t="shared" si="1125"/>
        <v>31590</v>
      </c>
      <c r="AL218">
        <f ca="1" t="shared" si="1126"/>
        <v>282893.32798855</v>
      </c>
      <c r="AM218" s="169">
        <f ca="1" t="shared" si="1169"/>
        <v>0.9272</v>
      </c>
      <c r="AN218">
        <f ca="1">技能数计算!$AJ210</f>
        <v>0</v>
      </c>
      <c r="AO218" s="170">
        <f ca="1" t="shared" si="1128"/>
        <v>287116.147162048</v>
      </c>
      <c r="AP218">
        <f ca="1" t="shared" si="969"/>
        <v>110956</v>
      </c>
      <c r="AQ218" s="170">
        <f ca="1" t="shared" si="1129"/>
        <v>31590</v>
      </c>
      <c r="AR218">
        <f ca="1" t="shared" si="1130"/>
        <v>279095.355838947</v>
      </c>
      <c r="AS218">
        <f ca="1" t="shared" si="1170"/>
        <v>0.9843</v>
      </c>
      <c r="AT218">
        <f ca="1">技能数计算!$AJ210</f>
        <v>0</v>
      </c>
      <c r="AU218">
        <f ca="1" t="shared" si="1171"/>
        <v>2.8177566866</v>
      </c>
      <c r="AV218">
        <f ca="1" t="shared" si="1133"/>
        <v>1.7995442148</v>
      </c>
      <c r="AW218">
        <f ca="1" t="shared" si="1134"/>
        <v>294857.323815508</v>
      </c>
      <c r="AX218">
        <f ca="1" t="shared" si="1172"/>
        <v>0.9743</v>
      </c>
      <c r="AY218">
        <f ca="1">技能数计算!$AJ210</f>
        <v>0</v>
      </c>
      <c r="AZ218" s="170">
        <f ca="1" t="shared" si="1136"/>
        <v>292935.713923766</v>
      </c>
      <c r="BA218">
        <f ca="1" t="shared" si="1173"/>
        <v>0.9643</v>
      </c>
      <c r="BB218">
        <f ca="1">技能数计算!$AJ210</f>
        <v>0</v>
      </c>
      <c r="BC218" s="170">
        <f ca="1" t="shared" si="1138"/>
        <v>291014.104032023</v>
      </c>
      <c r="BE218">
        <f ca="1" t="shared" si="970"/>
        <v>105849</v>
      </c>
      <c r="BF218">
        <f ca="1" t="shared" si="1139"/>
        <v>31590</v>
      </c>
      <c r="BI218">
        <f ca="1" t="shared" si="1174"/>
        <v>0.9543</v>
      </c>
      <c r="BJ218">
        <f ca="1">技能数计算!$AJ210</f>
        <v>0</v>
      </c>
      <c r="BK218">
        <f ca="1" t="shared" si="1141"/>
        <v>290732.604763382</v>
      </c>
      <c r="BM218">
        <f ca="1" t="shared" si="971"/>
        <v>109230</v>
      </c>
      <c r="BN218">
        <f ca="1" t="shared" si="1142"/>
        <v>31590</v>
      </c>
      <c r="BO218">
        <f ca="1" t="shared" si="1143"/>
        <v>284715.127363242</v>
      </c>
      <c r="BP218">
        <f ca="1" t="shared" si="1144"/>
        <v>271516.397911686</v>
      </c>
      <c r="BR218">
        <f ca="1" t="shared" si="1175"/>
        <v>0.9543</v>
      </c>
      <c r="BS218">
        <f ca="1" t="shared" si="1146"/>
        <v>282522.042447345</v>
      </c>
      <c r="BT218">
        <f ca="1" t="shared" si="1147"/>
        <v>0.196995876306796</v>
      </c>
      <c r="BU218">
        <f ca="1" t="shared" si="1176"/>
        <v>2.8177566866</v>
      </c>
      <c r="BV218">
        <f ca="1" t="shared" si="1149"/>
        <v>292830.491496196</v>
      </c>
      <c r="BW218">
        <f ca="1" t="shared" si="972"/>
        <v>113027</v>
      </c>
      <c r="BX218">
        <f ca="1" t="shared" si="1150"/>
        <v>31590</v>
      </c>
      <c r="BY218">
        <f ca="1" t="shared" si="1177"/>
        <v>0.9343</v>
      </c>
      <c r="BZ218">
        <f ca="1">技能数计算!$AJ210</f>
        <v>0</v>
      </c>
      <c r="CA218">
        <f ca="1" t="shared" si="1178"/>
        <v>2.8216629366</v>
      </c>
      <c r="CB218">
        <f ca="1" t="shared" si="1153"/>
        <v>283642.329843913</v>
      </c>
      <c r="CC218">
        <f ca="1" t="shared" si="973"/>
        <v>114847</v>
      </c>
      <c r="CD218">
        <f ca="1" t="shared" si="1154"/>
        <v>31590</v>
      </c>
      <c r="CE218">
        <f ca="1" t="shared" si="1155"/>
        <v>276937.161702025</v>
      </c>
      <c r="CF218">
        <f ca="1" t="shared" si="1179"/>
        <v>2.7689285616</v>
      </c>
      <c r="CG218">
        <f ca="1" t="shared" si="1180"/>
        <v>0.9343</v>
      </c>
      <c r="CH218">
        <f ca="1" t="shared" si="1158"/>
        <v>280426.622948268</v>
      </c>
      <c r="CJ218">
        <f ca="1" t="shared" si="1159"/>
        <v>31590</v>
      </c>
      <c r="CK218">
        <f ca="1" t="shared" si="1160"/>
        <v>283425.383353724</v>
      </c>
      <c r="CL218">
        <f ca="1" t="shared" si="1161"/>
        <v>2.7915848116</v>
      </c>
      <c r="CM218">
        <f ca="1">IF(G218="恒定伤害",0,(IF(D218="轻剑",$CM$8,$CM$9)+IFERROR(INDEX(技能数据库!$T$2:$W$27,MATCH(E218,技能数据库!$T$2:$T$27,0),4),0)+COUNTIF(G218,"*造化2*")*154+COUNTIF(G218,"*造化1*")*102+COUNTIF(G218,"*碧归*")*307)/1024)</f>
        <v>0.176868146929785</v>
      </c>
      <c r="CN218">
        <f ca="1" t="shared" si="1162"/>
        <v>297995.441261554</v>
      </c>
      <c r="CO218">
        <f ca="1" t="shared" si="1163"/>
        <v>2.8156473116</v>
      </c>
      <c r="CP218">
        <f ca="1" t="shared" si="1164"/>
        <v>300500.945711573</v>
      </c>
      <c r="CQ218">
        <f ca="1" t="shared" si="1165"/>
        <v>1.8815754648</v>
      </c>
      <c r="CR218">
        <f ca="1">IF(G218="恒定伤害",0,(IF(D218="轻剑",$CR$8,$CR$9)+IFERROR(INDEX(技能数据库!$T$2:$W$27,MATCH(E218,技能数据库!$T$2:$T$27,0),4),0)+COUNTIF(G218,"*造化2*")*154+COUNTIF(G218,"*造化1*")*102+COUNTIF(G218,"*碧归*")*307)/1024)</f>
        <v>0.167102521929785</v>
      </c>
      <c r="CS218">
        <f ca="1" t="shared" si="1166"/>
        <v>285690.633158862</v>
      </c>
    </row>
    <row r="219" spans="4:97">
      <c r="D219" t="s">
        <v>1825</v>
      </c>
      <c r="E219" t="s">
        <v>2820</v>
      </c>
      <c r="G219" t="s">
        <v>3099</v>
      </c>
      <c r="H219">
        <f ca="1">INDEX(技能数据库!$B$2:$I$100,MATCH(阵眼收益计算!$E219,技能数据库!$B$2:$B$100,0),MATCH(H$9,技能数据库!$B$2:$I$2,0))</f>
        <v>31590</v>
      </c>
      <c r="I219">
        <f ca="1">INDEX(技能数据库!$B$2:$I$100,MATCH(阵眼收益计算!$E219,技能数据库!$B$2:$B$100,0),MATCH(I$9,技能数据库!$B$2:$I$2,0))</f>
        <v>0</v>
      </c>
      <c r="J219">
        <f ca="1">INDEX(技能数据库!$B$2:$I$100,MATCH(阵眼收益计算!$E219,技能数据库!$B$2:$B$100,0),MATCH(J$9,技能数据库!$B$2:$I$2,0))</f>
        <v>0</v>
      </c>
      <c r="K219">
        <f ca="1">INDEX(技能数据库!$B$2:$I$100,MATCH(阵眼收益计算!$E219,技能数据库!$B$2:$B$100,0),MATCH(K$9,技能数据库!$B$2:$I$2,0))</f>
        <v>0</v>
      </c>
      <c r="L219">
        <f ca="1" t="shared" si="960"/>
        <v>105847</v>
      </c>
      <c r="M219">
        <f ca="1" t="shared" ref="M219" si="1181">IF(D219="轻剑",$AU$2+$AV$2,$AU$3+$AV$3)/2</f>
        <v>19530.5</v>
      </c>
      <c r="N219">
        <f ca="1" t="shared" ref="N219" si="1182">IF(D219="轻剑",$AJ$2,$AJ$3)</f>
        <v>92028</v>
      </c>
      <c r="O219">
        <f ca="1" t="shared" ref="O219" si="1183">H219+I219*L219+J219*M219+IF(K219&gt;0,MAX(1,K219*N219*破招全局系数),0)</f>
        <v>31590</v>
      </c>
      <c r="P219">
        <f ca="1">IF(G219="恒定伤害",0,(IF(D219="轻剑",$AZ$2,$AZ$3)+IFERROR(INDEX(技能数据库!$T$2:$W$27,MATCH(E219,技能数据库!$T$2:$T$27,0),4),0)+COUNTIF(G219,"*造化2*")*154+COUNTIF(G219,"*造化1*")*102+COUNTIF(G219,"*碧归*")*307)/1024)</f>
        <v>0.116321271929785</v>
      </c>
      <c r="Q219">
        <f ca="1" t="shared" ref="Q219" si="1184">IF(G219="恒定伤害",0,(IF(COUNTIF(F219,"*内破*")&gt;0,内破,IF(D219="轻剑",$AF$2,$AF$3)/破防系数))+IF((IF(D219="轻剑",$AO$2,$AO$3)+INT(COUNTIF(G219,"*大莺鸣*")*IF(D219="轻剑",$AM$2,$AM$3)*听晓无双率)/无双系数)&gt;0.9,(特效裤子破防+特效裤子破防*IF(D219="轻剑",$AD$2,$AD$3)/1024)/破防系数,0))</f>
        <v>0.448284482196154</v>
      </c>
      <c r="R219">
        <f ca="1" t="shared" ref="R219" si="1185">IF(G219="恒定伤害",0,(($F$5-IF(D219="轻剑",$BB$2,$BB$3))*(1024-IF(D219="轻剑",$BD$2,$BD$3))/1024*(1024-IF(D219="轻剑",$BC$2,$BC$3)-COUNTIF(G219,"*雾锁*")*461*雾锁)/1024/(($F$5-IF(D219="轻剑",$BB$2,$BB$3))*(1024-IF(D219="轻剑",$BD$2,$BD$3))/1024*(1024-IF(D219="轻剑",$BC$2,$BC$3)-COUNTIF(G219,"*雾锁*")*461*雾锁)/1024+$F$7)))</f>
        <v>0.21277697966198</v>
      </c>
      <c r="S219">
        <f ca="1" t="shared" ref="S219" si="1186">O219*(1+P219)*(1+Q219)*(1-R219)</f>
        <v>40205.9649047621</v>
      </c>
      <c r="T219">
        <f t="shared" si="998"/>
        <v>0.8</v>
      </c>
      <c r="U219">
        <f ca="1" t="shared" ref="U219" si="1187">IF(G219="恒定伤害",0,(IF(D219="轻剑",$AO$2,$AO$3)+INT(COUNTIF(G219,"*大莺鸣*")*IF(D219="轻剑",$AM$2,$AM$3)*听晓无双率)/无双系数)+IF((IF(D219="轻剑",$AO$2,$AO$3)+INT(COUNTIF(G219,"*大莺鸣*")*IF(D219="轻剑",$AM$2,$AM$3)*听晓无双率)/无双系数)&lt;=0.9,特效裤子无双,0))</f>
        <v>1.7800129648</v>
      </c>
      <c r="V219">
        <f ca="1" t="shared" ref="V219" si="1188">S219*T219*(1+U219)</f>
        <v>89418.4829580261</v>
      </c>
      <c r="W219">
        <f ca="1">IF(G219="恒定伤害",0,MIN(1,IF(COUNTIF(F219,"*内会*")&gt;0,内会2,IF(D219="轻剑",$Y$2,$Y$3)+COUNTIF(G219,"*莺鸣*")*0.2+COUNTIF(G219,"*叠1*")*0.1+COUNTIF(G219,"*叠2*")*0.2+COUNTIF(G219,"*叠3*")*0.3)+IFERROR(INDEX(技能数据库!$T$2:$W$27,MATCH(E219,技能数据库!$T$2:$T$27,0),2),0)+IF((IF(D219="轻剑",$AO$2,$AO$3)+INT(COUNTIF(G219,"*大莺鸣*")*IF(D219="轻剑",$AM$2,$AM$3)*听晓无双率)/无双系数)&gt;0.9,特效裤子会心/会心系数,0)))</f>
        <v>1</v>
      </c>
      <c r="X219">
        <f ca="1">IF(G219="恒定伤害",0,IF(COUNTIF(F219,"*内会*")&gt;0,内会效2,IF(D219="轻剑",$AB$2,$AB$3))+IFERROR(INDEX(技能数据库!$T$2:$W$27,MATCH(E219,技能数据库!$T$2:$T$27,0),3)/1024,0))+COUNTIF(G219,"*叠1*")*0.25+COUNTIF(G219,"*叠2*")*0.5+COUNTIF(G219,"*叠3*")*0.75</f>
        <v>2.9212723116</v>
      </c>
      <c r="Y219">
        <f ca="1" t="shared" ref="Y219" si="1189">1+W219*(X219-1)</f>
        <v>2.9212723116</v>
      </c>
      <c r="Z219">
        <f t="shared" ref="Z219" si="1190">IF(G219="恒定伤害",0,非侠士伤害/1024)</f>
        <v>0.150390625</v>
      </c>
      <c r="AA219">
        <f ca="1" t="shared" ref="AA219" si="1191">IF(D219="轻剑",$BA$2,$BA$3)/1024</f>
        <v>0.0205078125</v>
      </c>
      <c r="AB219">
        <f ca="1" t="shared" ref="AB219" si="1192">V219*Y219*(1+Z219)*(1+AA219)</f>
        <v>306662.737026959</v>
      </c>
      <c r="AC219">
        <f ca="1">技能数计算!$AJ211</f>
        <v>0</v>
      </c>
      <c r="AD219" s="164">
        <f ca="1" t="shared" ref="AD219" si="1193">IFERROR(AB219*AC219/$AD$7,0)</f>
        <v>0</v>
      </c>
      <c r="AE219" s="168"/>
      <c r="AF219" s="168">
        <f ca="1" t="shared" si="1167"/>
        <v>1.0014</v>
      </c>
      <c r="AG219">
        <f ca="1">技能数计算!$AJ211</f>
        <v>0</v>
      </c>
      <c r="AH219">
        <f ca="1" t="shared" si="968"/>
        <v>109879</v>
      </c>
      <c r="AJ219">
        <f ca="1" t="shared" si="1168"/>
        <v>3.1204910616</v>
      </c>
      <c r="AK219">
        <f ca="1" t="shared" ref="AK219" si="1194">H219+AH219*I219+J219*(238.5+M219)+IF(K219&gt;0,MAX(1,K219*N219*破招全局系数),0)</f>
        <v>31590</v>
      </c>
      <c r="AL219">
        <f ca="1" t="shared" ref="AL219" si="1195">IF(COUNTIF(G219,"*恒定伤害*")&gt;0,AB219,((AK219*(1+P219)*(1+IF(COUNTIF(F219,"*内破*")&gt;0,内破,IF(D219="轻剑",$AI$8,$AI$9)/破防系数)+IF((IF(D219="轻剑",$AO$2,$AO$3)+INT(COUNTIF(G219,"*大莺鸣*")*IF(D219="轻剑",$AM$2,$AM$3)*听晓无双率)/无双系数)&gt;0.9,(特效裤子破防+特效裤子破防*IF(D219="轻剑",$AD$2,$AD$3)/1024)/破防系数,0))*(1-R219))*T219*(1+U219))*(1+Z219)*(1+AA219)*(1+MIN(1,AF219)*(MIN(3+COUNTIF(G219,"*叠*")*0.75,AJ219)-1)))</f>
        <v>327665.96308808</v>
      </c>
      <c r="AM219" s="169">
        <f ca="1" t="shared" si="1169"/>
        <v>1.0229</v>
      </c>
      <c r="AN219">
        <f ca="1">技能数计算!$AJ211</f>
        <v>0</v>
      </c>
      <c r="AO219" s="170">
        <f ca="1" t="shared" ref="AO219" si="1196">IF(COUNTIF(G219,"*恒定伤害*")&gt;0,AB219,((AK219*(1+P219)*(1+IF(COUNTIF(F219,"*内破*")&gt;0,内破,IF(D219="轻剑",$AI$8,$AI$9)/破防系数)+IF((IF(D219="轻剑",$AO$2,$AO$3)+INT(COUNTIF(G219,"*大莺鸣*")*IF(D219="轻剑",$AM$2,$AM$3)*听晓无双率)/无双系数)&gt;0.9,(特效裤子破防+特效裤子破防*IF(D219="轻剑",$AD$2,$AD$3)/1024)/破防系数,0))*(1-R219))*T219*(1+U219))*(1+Z219)*(1+AA219)*(1+MIN(1,AM219)*(MIN(3+COUNTIF(G219,"*叠*")*0.75,AJ219)-1)))</f>
        <v>327665.96308808</v>
      </c>
      <c r="AP219">
        <f ca="1" t="shared" si="969"/>
        <v>110956</v>
      </c>
      <c r="AQ219" s="170">
        <f ca="1" t="shared" ref="AQ219" si="1197">H219+AP219*I219+J219*M219+IF(K219&gt;0,MAX(1,K219*N219*破招全局系数),0)</f>
        <v>31590</v>
      </c>
      <c r="AR219">
        <f ca="1" t="shared" ref="AR219" si="1198">IF(COUNTIF(G219,"*恒定伤害*")&gt;0,AB219,((AQ219*(1+P219)*(1+IF(COUNTIF(F219,"*内破*")&gt;0,内破,IF(D219="轻剑",$AQ$8,$AQ$9)/破防系数)+IF((IF(D219="轻剑",$AO$2,$AO$3)+INT(COUNTIF(G219,"*大莺鸣*")*IF(D219="轻剑",$AM$2,$AM$3)*听晓无双率)/无双系数)&gt;0.9,(特效裤子破防+特效裤子破防*IF(D219="轻剑",$AD$2+200,$AD$3+200)/1024)/破防系数,0))*(1-R219))*T219*(1+U219))*Y219*(1+Z219)*(1+AA219))</f>
        <v>324653.881268876</v>
      </c>
      <c r="AS219">
        <f ca="1" t="shared" si="1170"/>
        <v>1.08</v>
      </c>
      <c r="AT219">
        <f ca="1">技能数计算!$AJ211</f>
        <v>0</v>
      </c>
      <c r="AU219">
        <f ca="1" t="shared" si="1171"/>
        <v>3.0677566866</v>
      </c>
      <c r="AV219">
        <f ca="1" t="shared" ref="AV219" si="1199">IF(G219="恒定伤害",0,(IF(D219="轻剑",$AV$8,$AV$9)+INT(COUNTIF(G219,"*大莺鸣*")*IF(D219="轻剑",$AM$2,$AM$3)*听晓无双率)/无双系数))+IF((IF(G219="恒定伤害",0,(IF(D219="轻剑",$AV$8,$AV$9)+INT(COUNTIF(G219,"*大莺鸣*")*IF(D219="轻剑",$AM$2,$AM$3)*听晓无双率)/无双系数)))&lt;=0.9,特效裤子无双,0)</f>
        <v>1.7995442148</v>
      </c>
      <c r="AW219">
        <f ca="1" t="shared" ref="AW219" si="1200">IF(COUNTIF(G219,"*恒定伤害*")&gt;0,AB219,((O219*(1+P219)*(1+Q219)*(1-R219))*T219*(1+AV219))*(1+MIN(1,AS219)*(MIN(3+COUNTIF(G219,"*叠*")*0.75,AU219)-1))*(1+Z219)*(1+AA219))</f>
        <v>324302.566888374</v>
      </c>
      <c r="AX219">
        <f ca="1" t="shared" si="1172"/>
        <v>1.07</v>
      </c>
      <c r="AY219">
        <f ca="1">技能数计算!$AJ211</f>
        <v>0</v>
      </c>
      <c r="AZ219" s="170">
        <f ca="1" t="shared" ref="AZ219" si="1201">IF(COUNTIF(G219,"*恒定伤害*")&gt;0,AB219,((O219*(1+P219)*(1+Q219)*(1-R219))*T219*(1+AV219))*(1+MIN(1,AX219)*(MIN(3+COUNTIF(G219,"*叠*")*0.75,AU219)-1))*(1+Z219)*(1+AA219))</f>
        <v>324302.566888374</v>
      </c>
      <c r="BA219">
        <f ca="1" t="shared" si="1173"/>
        <v>1.06</v>
      </c>
      <c r="BB219">
        <f ca="1">技能数计算!$AJ211</f>
        <v>0</v>
      </c>
      <c r="BC219" s="170">
        <f ca="1" t="shared" ref="BC219" si="1202">IF(COUNTIF(G219,"*恒定伤害*")&gt;0,AB219,((O219*(1+P219)*(1+Q219)*(1-R219))*T219*(1+AV219))*(1+MIN(1,BA219)*(MIN(3+COUNTIF(G219,"*叠*")*0.75,AU219)-1))*(1+Z219)*(1+AA219))</f>
        <v>324302.566888374</v>
      </c>
      <c r="BE219">
        <f ca="1" t="shared" si="970"/>
        <v>105849</v>
      </c>
      <c r="BF219">
        <f ca="1" t="shared" ref="BF219" si="1203">H219+BE219*I219+J219*M219+IF(K219&gt;0,MAX(1,K219*N219*破招全局系数),0)</f>
        <v>31590</v>
      </c>
      <c r="BI219">
        <f ca="1" t="shared" si="1174"/>
        <v>1.05</v>
      </c>
      <c r="BJ219">
        <f ca="1">技能数计算!$AJ211</f>
        <v>0</v>
      </c>
      <c r="BK219">
        <f ca="1" t="shared" ref="BK219" si="1204">IF(COUNTIF(G219,"*恒定伤害*")&gt;0,AB219,((BF219*(1+P219)*(1+IF(COUNTIF(F219,"*内破*")&gt;0,内破,IF(D219="轻剑",$BH$8,$BH$9)/破防系数)+IF((IF(D219="轻剑",$AO$2,$AO$3)+INT(COUNTIF(G219,"*大莺鸣*")*IF(D219="轻剑",$AM$2,$AM$3)*听晓无双率)/无双系数)&gt;0.9,(特效裤子破防+特效裤子破防*IF(D219="轻剑",$AD$2+204,$AD$3+204)/1024)/破防系数,0))*(1-R219))*T219*(1+AV219))*(1+MIN(1,BI219)*(MIN(3+COUNTIF(G219,"*叠*")*0.75,X219)-1))*(1+Z219)*(1+AA219))</f>
        <v>327299.969258352</v>
      </c>
      <c r="BM219">
        <f ca="1" t="shared" si="971"/>
        <v>109230</v>
      </c>
      <c r="BN219">
        <f ca="1" t="shared" ref="BN219" si="1205">H219+BM219*I219+J219*M219+IF(K219&gt;0,MAX(1,K219*N219*破招全局系数),0)</f>
        <v>31590</v>
      </c>
      <c r="BO219">
        <f ca="1" t="shared" ref="BO219" si="1206">IF(COUNTIF(G219,"*恒定伤害*")&gt;0,AB219,((BN219*(1+P219)*(1+IF(COUNTIF(F219,"*内破*")&gt;0,内破,IF(D219="轻剑",$BM$8,$BM$9)/破防系数)+IF((IF(D219="轻剑",$AO$2,$AO$3)+INT(COUNTIF(G219,"*大莺鸣*")*IF(D219="轻剑",$AM$2,$AM$3)*听晓无双率)/无双系数)&gt;0.9,(特效裤子破防+特效裤子破防*IF(D219="轻剑",$AD$2+102,$AD$3+102)/1024)/破防系数,0))*(1-R219))*T219*(1+U219))*Y219*(1+Z219)*(1+AA219))</f>
        <v>331191.004151922</v>
      </c>
      <c r="BP219">
        <f ca="1" t="shared" ref="BP219" si="1207">IF(COUNTIF(G219,"*恒定伤害*")&gt;0,AB219,((BN219*(1+P219)*(1+IF(COUNTIF(F219,"*内破*")&gt;0,内破,IF(D219="轻剑",$BQ$8,$BQ$9)/破防系数)+IF((IF(D219="轻剑",$AO$2,$AO$3)+INT(COUNTIF(G219,"*大莺鸣*")*IF(D219="轻剑",$AM$2,$AM$3)*听晓无双率)/无双系数)&gt;0.9,(特效裤子破防+特效裤子破防*IF(D219="轻剑",$AD$2+102,$AD$3+102)/1024)/破防系数,0))*(1-R219))*T219*(1+U219))*Y219*(1+Z219)*(1+AA219))</f>
        <v>315837.761417428</v>
      </c>
      <c r="BR219">
        <f ca="1" t="shared" si="1175"/>
        <v>1.05</v>
      </c>
      <c r="BS219">
        <f ca="1" t="shared" ref="BS219" si="1208">IF(COUNTIF(G219,"*恒定伤害*")&gt;0,AB219,((BN219*(1+P219)*(1+IF(COUNTIF(F219,"*内破*")&gt;0,内破,IF(D219="轻剑",$BQ$8,$BQ$9)/破防系数)+IF((IF(D219="轻剑",$AO$2,$AO$3)+INT(COUNTIF(G219,"*大莺鸣*")*IF(D219="轻剑",$AM$2,$AM$3)*听晓无双率)/无双系数)&gt;0.9,(特效裤子破防+特效裤子破防*IF(D219="轻剑",$AD$2+102,$AD$3+102)/1024)/破防系数,0))*(1-R219))*T219*(1+AV219))*(1+MIN(1,BR219)*(MIN(3+COUNTIF(G219,"*叠*")*0.75,X219)-1))*(1+Z219)*(1+AA219))</f>
        <v>318056.710161837</v>
      </c>
      <c r="BT219">
        <f ca="1" t="shared" ref="BT219" si="1209">IF(G219="恒定伤害",0,(($F$5-IF(D219="轻剑",$BB$2,$BB$3))*(1024-IF(D219="轻剑",$BD$2,$BD$3))/1024*(1024-IF(D219="轻剑",$BT$8,$BT$9)-COUNTIF(G219,"*雾锁*")*461*雾锁)/1024/(($F$5-IF(D219="轻剑",$BB$2,$BB$3))*(1024-IF(D219="轻剑",$BD$2,$BD$3))/1024*(1024-IF(D219="轻剑",$BT$8,$BT$9)-COUNTIF(G219,"*雾锁*")*461*雾锁)/1024+$F$7)))</f>
        <v>0.196995876306796</v>
      </c>
      <c r="BU219">
        <f ca="1" t="shared" si="1176"/>
        <v>3.0677566866</v>
      </c>
      <c r="BV219">
        <f ca="1" t="shared" ref="BV219" si="1210">IF(COUNTIF(G219,"*恒定伤害*")&gt;0,AB219,((O219*(1+P219)*(1+Q219)*(1-BT219))*T219*(1+U219))*(1+MIN(1,BR219)*(MIN(3+COUNTIF(G219,"*叠*")*0.75,BU219)-1))*(1+Z219)*(1+AA219))</f>
        <v>328495.834310104</v>
      </c>
      <c r="BW219">
        <f ca="1" t="shared" si="972"/>
        <v>113027</v>
      </c>
      <c r="BX219">
        <f ca="1" t="shared" ref="BX219" si="1211">H219+BW219*I219+J219*M219+IF(K219&gt;0,MAX(1,K219*N219*破招全局系数),0)</f>
        <v>31590</v>
      </c>
      <c r="BY219">
        <f ca="1" t="shared" si="1177"/>
        <v>1.03</v>
      </c>
      <c r="BZ219">
        <f ca="1">技能数计算!$AJ211</f>
        <v>0</v>
      </c>
      <c r="CA219">
        <f ca="1" t="shared" si="1178"/>
        <v>3.0716629366</v>
      </c>
      <c r="CB219">
        <f ca="1" t="shared" ref="CB219" si="1212">IF(COUNTIF(G219,"*恒定伤害*")&gt;0,AB219,((BX219*(1+P219)*(1+Q219)*(1-R219))*T219*(1+U219))*(1+MIN(1,BY219)*(MIN(3+COUNTIF(G219,"*叠*")*0.75,CA219)-1))*(1+Z219)*(1+AA219))</f>
        <v>322450.104915452</v>
      </c>
      <c r="CC219">
        <f ca="1" t="shared" si="973"/>
        <v>114847</v>
      </c>
      <c r="CD219">
        <f ca="1" t="shared" ref="CD219" si="1213">H219+CC219*I219+J219*M219+IF(K219&gt;0,MAX(1,K219*N219*破招全局系数),0)</f>
        <v>31590</v>
      </c>
      <c r="CE219">
        <f ca="1" t="shared" ref="CE219" si="1214">IF(COUNTIF(G219,"*恒定伤害*")&gt;0,AB219,((CD219*(1+P219)*(1+IF(COUNTIF(F219,"*内破*")&gt;0,内破,IF(D219="轻剑",$BQ$8,$BQ$9)/破防系数)+IF((IF(D219="轻剑",$AO$2,$AO$3)+INT(COUNTIF(G219,"*大莺鸣*")*IF(D219="轻剑",$AM$2,$AM$3)*听晓无双率)/无双系数)&gt;0.9,(特效裤子破防+特效裤子破防*IF(D219="轻剑",$AD$2+102,$AD$3+102)/1024)/破防系数,0))*(1-R219))*T219*(1+U219))*(1+MIN(1,BY219)*(MIN(3+COUNTIF(G219,"*叠*")*0.75,X219)-1))*(1+Z219)*(1+AA219))</f>
        <v>315837.761417428</v>
      </c>
      <c r="CF219">
        <f ca="1" t="shared" si="1179"/>
        <v>3.0189285616</v>
      </c>
      <c r="CG219">
        <f ca="1" t="shared" si="1180"/>
        <v>1.03</v>
      </c>
      <c r="CH219">
        <f ca="1" t="shared" ref="CH219" si="1215">IF(COUNTIF(G219,"*恒定伤害*")&gt;0,AB219,((O219*(1+P219)*(1+Q219)*(1-R219))*T219*(1+AV219))*(1+MIN(1,BY219)*(MIN(3+COUNTIF(G219,"*叠*")*0.75,CF219)-1))*(1+Z219)*(1+AA219))</f>
        <v>319140.786508914</v>
      </c>
      <c r="CJ219">
        <f ca="1" t="shared" ref="CJ219" si="1216">H219+BM219*I219+J219*M219+IF(K219&gt;0,MAX(1,K219*(N219+2667)*破招全局系数),0)</f>
        <v>31590</v>
      </c>
      <c r="CK219">
        <f ca="1" t="shared" ref="CK219" si="1217">IF(COUNTIF(G219,"*恒定伤害*")&gt;0,AB219,((CJ219*(1+P219)*(1+IF(COUNTIF(F219,"*内破*")&gt;0,内破,IF(D219="轻剑",$CI$8,$CI$9)/破防系数)+IF((IF(D219="轻剑",$AO$2,$AO$3)+INT(COUNTIF(G219,"*大莺鸣*")*IF(D219="轻剑",$AM$2,$AM$3)*听晓无双率)/无双系数)&gt;0.9,(特效裤子破防+特效裤子破防*IF(D219="轻剑",$AD$2+256,$AD$3+256)/1024)/破防系数,0))*(1-R219))*T219*(1+U219))*Y219*(1+Z219)*(1+AA219))</f>
        <v>329690.726953562</v>
      </c>
      <c r="CL219">
        <f ca="1" t="shared" ref="CL219" si="1218">X219+IF(D219="轻剑",$CL$8-$AB$2,$CL$9-$AB$3)</f>
        <v>3.0415848116</v>
      </c>
      <c r="CM219">
        <f ca="1">IF(G219="恒定伤害",0,(IF(D219="轻剑",$CM$8,$CM$9)+IFERROR(INDEX(技能数据库!$T$2:$W$27,MATCH(E219,技能数据库!$T$2:$T$27,0),4),0)+COUNTIF(G219,"*造化2*")*154+COUNTIF(G219,"*造化1*")*102+COUNTIF(G219,"*碧归*")*307)/1024)</f>
        <v>0.176868146929785</v>
      </c>
      <c r="CN219">
        <f ca="1" t="shared" ref="CN219" si="1219">IF(COUNTIF(G219,"*恒定伤害*")&gt;0,AB219,((O219*(1+CM219)*(1+Q219)*(1-R219))*T219*(1+AV219))*(1+MIN(1,CG219)*(MIN(3+COUNTIF(G219,"*叠*")*0.75,CL219)-1))*(1+Z219)*(1+AA219))</f>
        <v>338975.268627253</v>
      </c>
      <c r="CO219">
        <f ca="1" t="shared" ref="CO219" si="1220">X219+IF(D219="轻剑",$CO$8-$AB$2,$CO$9-$AB$3)</f>
        <v>3.0656473116</v>
      </c>
      <c r="CP219">
        <f ca="1" t="shared" ref="CP219" si="1221">IF(COUNTIF(G219,"*恒定伤害*")&gt;0,AB219,((O219*(1+CM219)*(1+Q219)*(1-R219))*T219*(1+AV219))*(1+MIN(1,CG219)*(MIN(3+COUNTIF(G219,"*叠*")*0.75,CO219)-1))*(1+Z219)*(1+AA219))</f>
        <v>341656.960214558</v>
      </c>
      <c r="CQ219">
        <f ca="1" t="shared" ref="CQ219" si="1222">IF(G219="恒定伤害",0,(IF(D219="轻剑",$CQ$8,$CQ$9)+INT(COUNTIF(G219,"*大莺鸣*")*IF(D219="轻剑",$AM$2,$AM$3)*听晓无双率)/无双系数))+IF((IF(G219="恒定伤害",0,(IF(D219="轻剑",$CQ$8,$CQ$9)+INT(COUNTIF(G219,"*大莺鸣*")*IF(D219="轻剑",$AM$2,$AM$3)*听晓无双率)/无双系数)))&lt;=0.9,特效裤子无双,0)</f>
        <v>1.8815754648</v>
      </c>
      <c r="CR219">
        <f ca="1">IF(G219="恒定伤害",0,(IF(D219="轻剑",$CR$8,$CR$9)+IFERROR(INDEX(技能数据库!$T$2:$W$27,MATCH(E219,技能数据库!$T$2:$T$27,0),4),0)+COUNTIF(G219,"*造化2*")*154+COUNTIF(G219,"*造化1*")*102+COUNTIF(G219,"*碧归*")*307)/1024)</f>
        <v>0.167102521929785</v>
      </c>
      <c r="CS219">
        <f ca="1" t="shared" ref="CS219" si="1223">IF(COUNTIF(G219,"*恒定伤害*")&gt;0,AB219,((O219*(1+CR219)*(1+Q219)*(1-R219))*T219*(1+CQ219))*Y219*(1+Z219)*(1+AA219))</f>
        <v>332325.748016779</v>
      </c>
    </row>
  </sheetData>
  <mergeCells count="2">
    <mergeCell ref="CV8:CY8"/>
    <mergeCell ref="CZ8:DC8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737"/>
  <sheetViews>
    <sheetView topLeftCell="AY1" workbookViewId="0">
      <selection activeCell="BA40" sqref="BA40"/>
    </sheetView>
  </sheetViews>
  <sheetFormatPr defaultColWidth="9" defaultRowHeight="16.8"/>
  <cols>
    <col min="1" max="1" width="12.125" style="167" customWidth="1"/>
    <col min="2" max="2" width="17.25" style="167" customWidth="1"/>
    <col min="25" max="31" width="13" customWidth="1"/>
    <col min="34" max="34" width="13" customWidth="1"/>
    <col min="35" max="35" width="13.5" customWidth="1"/>
    <col min="37" max="37" width="16.25" customWidth="1"/>
    <col min="38" max="38" width="11" customWidth="1"/>
    <col min="39" max="39" width="15.125" customWidth="1"/>
    <col min="40" max="40" width="12.75" customWidth="1"/>
    <col min="41" max="41" width="10" customWidth="1"/>
    <col min="47" max="48" width="17.25" customWidth="1"/>
    <col min="49" max="50" width="15.375" customWidth="1"/>
    <col min="51" max="51" width="21.375" customWidth="1"/>
    <col min="52" max="52" width="15.375" customWidth="1"/>
    <col min="53" max="53" width="21.375" customWidth="1"/>
    <col min="54" max="54" width="15.375" customWidth="1"/>
    <col min="55" max="55" width="21.375" customWidth="1"/>
    <col min="56" max="56" width="15.375" customWidth="1"/>
    <col min="57" max="57" width="21.375" customWidth="1"/>
    <col min="58" max="58" width="15.375" customWidth="1"/>
    <col min="59" max="59" width="21.375" customWidth="1"/>
    <col min="60" max="60" width="15.375" customWidth="1"/>
    <col min="61" max="61" width="21.375" customWidth="1"/>
    <col min="62" max="64" width="15.375" customWidth="1"/>
    <col min="65" max="65" width="21.375" customWidth="1"/>
    <col min="66" max="66" width="15.375" customWidth="1"/>
    <col min="67" max="67" width="21.375" customWidth="1"/>
    <col min="68" max="68" width="15.375" customWidth="1"/>
    <col min="69" max="72" width="18.5" customWidth="1"/>
    <col min="73" max="73" width="18.375" customWidth="1"/>
    <col min="74" max="74" width="16.375" customWidth="1"/>
    <col min="75" max="75" width="21.375" customWidth="1"/>
    <col min="76" max="80" width="15.375" customWidth="1"/>
  </cols>
  <sheetData>
    <row r="1" spans="1:80">
      <c r="A1" s="167" t="s">
        <v>2943</v>
      </c>
      <c r="B1" s="167" t="s">
        <v>2944</v>
      </c>
      <c r="C1" t="s">
        <v>2945</v>
      </c>
      <c r="D1" t="s">
        <v>2750</v>
      </c>
      <c r="E1" t="s">
        <v>2946</v>
      </c>
      <c r="F1" t="s">
        <v>2947</v>
      </c>
      <c r="G1" t="s">
        <v>2751</v>
      </c>
      <c r="H1" t="s">
        <v>2948</v>
      </c>
      <c r="I1" t="s">
        <v>2949</v>
      </c>
      <c r="J1" t="s">
        <v>2950</v>
      </c>
      <c r="K1" t="s">
        <v>2746</v>
      </c>
      <c r="L1" t="s">
        <v>2951</v>
      </c>
      <c r="M1" t="s">
        <v>2952</v>
      </c>
      <c r="N1" t="s">
        <v>2953</v>
      </c>
      <c r="O1" t="s">
        <v>2952</v>
      </c>
      <c r="P1" t="s">
        <v>2954</v>
      </c>
      <c r="Q1" t="s">
        <v>2952</v>
      </c>
      <c r="R1" t="s">
        <v>2955</v>
      </c>
      <c r="S1" t="s">
        <v>2952</v>
      </c>
      <c r="T1" t="s">
        <v>2956</v>
      </c>
      <c r="U1" t="s">
        <v>2957</v>
      </c>
      <c r="V1" t="s">
        <v>2958</v>
      </c>
      <c r="W1" t="s">
        <v>2959</v>
      </c>
      <c r="X1" t="s">
        <v>2960</v>
      </c>
      <c r="Y1" t="s">
        <v>2961</v>
      </c>
      <c r="Z1" t="s">
        <v>2962</v>
      </c>
      <c r="AA1" t="s">
        <v>2963</v>
      </c>
      <c r="AB1" t="s">
        <v>2964</v>
      </c>
      <c r="AC1" t="s">
        <v>2965</v>
      </c>
      <c r="AD1" t="s">
        <v>2966</v>
      </c>
      <c r="AE1" t="s">
        <v>2967</v>
      </c>
      <c r="AF1" t="s">
        <v>2968</v>
      </c>
      <c r="AG1" t="s">
        <v>3221</v>
      </c>
      <c r="AH1" t="s">
        <v>2135</v>
      </c>
      <c r="AI1" t="s">
        <v>2969</v>
      </c>
      <c r="AJ1" t="s">
        <v>2970</v>
      </c>
      <c r="AK1" t="s">
        <v>2971</v>
      </c>
      <c r="AM1" t="s">
        <v>2972</v>
      </c>
      <c r="AP1" t="s">
        <v>3222</v>
      </c>
      <c r="AS1" s="167">
        <f ca="1">MAX(A:A)+加速!L9</f>
        <v>199.8</v>
      </c>
      <c r="AT1">
        <f ca="1">MATCH(IF(AND(金蛇,秋2),"秋双切",IF(加速!L11&gt;=999,"基础技能循环",配装计算器!N24&amp;AS4))&amp;IF(金蛇,"金蛇","")&amp;"1",$AU$1:$CB$1,0)</f>
        <v>15</v>
      </c>
      <c r="AU1" t="s">
        <v>2973</v>
      </c>
      <c r="AV1" t="s">
        <v>2974</v>
      </c>
      <c r="AW1" s="175" t="s">
        <v>2975</v>
      </c>
      <c r="AX1" s="175" t="s">
        <v>2976</v>
      </c>
      <c r="AY1" s="175" t="s">
        <v>2977</v>
      </c>
      <c r="AZ1" s="175" t="s">
        <v>2978</v>
      </c>
      <c r="BA1" s="175" t="s">
        <v>2979</v>
      </c>
      <c r="BB1" s="175" t="s">
        <v>2980</v>
      </c>
      <c r="BC1" s="175" t="s">
        <v>2981</v>
      </c>
      <c r="BD1" s="175" t="s">
        <v>2982</v>
      </c>
      <c r="BE1" s="175" t="s">
        <v>2983</v>
      </c>
      <c r="BF1" s="175" t="s">
        <v>2984</v>
      </c>
      <c r="BG1" s="175" t="s">
        <v>2985</v>
      </c>
      <c r="BH1" s="175" t="s">
        <v>2986</v>
      </c>
      <c r="BI1" s="175" t="s">
        <v>2987</v>
      </c>
      <c r="BJ1" s="175" t="s">
        <v>2988</v>
      </c>
      <c r="BK1" s="175" t="s">
        <v>2989</v>
      </c>
      <c r="BL1" s="175" t="s">
        <v>2990</v>
      </c>
      <c r="BM1" s="175" t="s">
        <v>2991</v>
      </c>
      <c r="BN1" s="175" t="s">
        <v>2992</v>
      </c>
      <c r="BO1" s="175" t="s">
        <v>2993</v>
      </c>
      <c r="BP1" s="175" t="s">
        <v>2994</v>
      </c>
      <c r="BQ1" s="175" t="s">
        <v>2995</v>
      </c>
      <c r="BR1" s="175" t="s">
        <v>2996</v>
      </c>
      <c r="BS1" s="175" t="s">
        <v>2997</v>
      </c>
      <c r="BT1" s="175" t="s">
        <v>2998</v>
      </c>
      <c r="BU1" s="175" t="s">
        <v>2999</v>
      </c>
      <c r="BV1" s="175" t="s">
        <v>3000</v>
      </c>
      <c r="BW1" s="175" t="s">
        <v>3001</v>
      </c>
      <c r="BX1" s="175" t="s">
        <v>3002</v>
      </c>
      <c r="BY1" s="176" t="s">
        <v>3003</v>
      </c>
      <c r="BZ1" s="176" t="s">
        <v>3004</v>
      </c>
      <c r="CA1" s="175" t="s">
        <v>3005</v>
      </c>
      <c r="CB1" s="175" t="s">
        <v>3006</v>
      </c>
    </row>
    <row r="2" spans="1:80">
      <c r="A2" s="167">
        <v>0</v>
      </c>
      <c r="B2" s="167">
        <f ca="1" t="shared" ref="B2:B65" si="0">IF(A2&lt;&gt;"",INDEX(AU2:CB2,1,$AT$1),"")</f>
        <v>0</v>
      </c>
      <c r="J2">
        <f>IF(COUNTIF(配装计算器!N24,"*叠峰意碧归三鹤*")&gt;0,3,0)</f>
        <v>0</v>
      </c>
      <c r="K2">
        <f ca="1" t="shared" ref="K2:K65" si="1">IF(A2&lt;&gt;"",INDEX(AU2:CB2,1,$AT$2),"")</f>
        <v>0</v>
      </c>
      <c r="AC2">
        <v>0</v>
      </c>
      <c r="AE2">
        <f ca="1">IF($AN$11&gt;0,IF(COUNTIF(B3,"*叠1*")&gt;0,50-加速!$L$11,MAX(0,AE1-(A3-A2))),0)</f>
        <v>48.71</v>
      </c>
      <c r="AG2">
        <f ca="1">COUNTIF(INDEX(AU3:CB3,1,$AT$1),"*莺鸣柳*")+COUNTIF(INDEX(AU3:CB3,1,$AT$1),"*叠1*")</f>
        <v>1</v>
      </c>
      <c r="AH2" t="s">
        <v>1028</v>
      </c>
      <c r="AI2" t="s">
        <v>2722</v>
      </c>
      <c r="AJ2">
        <f ca="1">长时间循环比*COUNTIFS($B$3:$B$515,"*"&amp;AI2&amp;"*",$D$3:$D$515,"=0",$I$3:$I$515,"=0")</f>
        <v>0</v>
      </c>
      <c r="AL2" s="177"/>
      <c r="AM2" s="177" t="s">
        <v>3007</v>
      </c>
      <c r="AN2" s="177"/>
      <c r="AP2" t="s">
        <v>3223</v>
      </c>
      <c r="AT2">
        <f ca="1">MATCH(IF(AND(金蛇,秋2),"秋双切",IF(加速!L11&gt;=999,"基础技能循环",配装计算器!N24&amp;AS4))&amp;IF(金蛇,"金蛇","")&amp;"2",$AU$1:$CB$1,0)</f>
        <v>16</v>
      </c>
    </row>
    <row r="3" spans="1:80">
      <c r="A3" s="178">
        <v>0</v>
      </c>
      <c r="B3" s="167" t="str">
        <f ca="1" t="shared" si="0"/>
        <v>叠1-云飞玉皇</v>
      </c>
      <c r="C3">
        <v>15</v>
      </c>
      <c r="D3">
        <v>1</v>
      </c>
      <c r="E3">
        <f ca="1" t="shared" ref="E3" si="2">IF(OR(COUNTIF(B3,"夕照雷峰*")&gt;0,COUNTIF(B3,"云飞玉皇*")&gt;0,COUNTIF(B3,"风来吴山*")&gt;0),0,1)</f>
        <v>1</v>
      </c>
      <c r="F3">
        <v>0</v>
      </c>
      <c r="G3">
        <v>0</v>
      </c>
      <c r="H3">
        <f ca="1">IF(B3&lt;&gt;"",IF(AND(COUNTIF(B2,"*轻*莺鸣柳*")&gt;0,COUNTIF(B3,"*轻*")&lt;1),MAX(0,15+I2-(A3-A2)+COUNTIF(B2,"*平湖*")*0),IF(AND(E3=0,MAX(0,H2-(A3-A2))&lt;=加速!$H$11),0,MAX(0,H2-(A3-A2)))),"")</f>
        <v>0</v>
      </c>
      <c r="I3">
        <f ca="1">IF(B3&lt;&gt;"",IF(COUNTIF(B3,"*轻*")&lt;1,0,IF(COUNTIF(B3,"*莺鸣*")&gt;0,8,MAX(0,I2-(A3-A2)))),"")</f>
        <v>0</v>
      </c>
      <c r="J3">
        <f ca="1">IF(B3&lt;&gt;"",IF(AND(J2=1,OR(COUNTIF(B3,"*云景*")&gt;0,AND(落剑5=1,COUNTIF(B1:B3,"*鹤归*")&gt;0))),1,IF(COUNTIF(B2,"*鹤归*")&gt;0,4+_666三听,MAX(J2-1,0))),"")</f>
        <v>0</v>
      </c>
      <c r="K3">
        <f ca="1" t="shared" si="1"/>
        <v>2</v>
      </c>
      <c r="M3">
        <f ca="1" t="shared" ref="M3:M66" si="3">IF(COUNTIF(INDEX(AU4:CB4,1,$AT$1),"*鹤归*")=1,L3,0)</f>
        <v>0</v>
      </c>
      <c r="O3">
        <f ca="1">IF(COUNTIF(INDEX(AU4:CB4,1,$AT$1),"*云飞*")=1,N3,0)</f>
        <v>0</v>
      </c>
      <c r="Q3">
        <f ca="1">IF(COUNTIF(INDEX(AU4:CB4,1,$AT$1),"*鹤归*")=1,L3,0)</f>
        <v>0</v>
      </c>
      <c r="R3">
        <f ca="1">IFERROR(IF(COUNTIF(B3,"*莺鸣柳*")&gt;0,45-加速!$L$9,MAX(0,R2-(A3-A2))),0)</f>
        <v>0</v>
      </c>
      <c r="W3">
        <f ca="1" t="shared" ref="W3:W66" si="4">IF(COUNTIF(B3,"*风来吴山*")&gt;0,1,IF(W2+1&gt;风车GCD,0,IF(W2&gt;0,W2+1,0)))</f>
        <v>0</v>
      </c>
      <c r="X3">
        <f ca="1">INDEX(加速!$I$13:$I$21,W3+1)</f>
        <v>0</v>
      </c>
      <c r="Y3">
        <v>0.5</v>
      </c>
      <c r="AA3">
        <f ca="1">MAX(0,IFERROR(IF(COUNTIF(B3,"*叠*")&gt;0,IF(AC2&lt;3,8-A4+A3,AA2+6.875-A4+A3),AA2-A4+A3),AA2-加速!$L$11))</f>
        <v>6.71</v>
      </c>
      <c r="AB3">
        <f ca="1">MAX(0,IF(COUNTIF(IF(AND(配装计算器!$K$30&lt;&gt;"∞",0),INDEX(AU3:CB3,1,$AT$1),INDEX(AU3:CB3,1,$AT$1)),"*叠1*")=1,4*25-加速!$L$11,AB2-A3+A2)-IF(OR(COUNTIF(OFFSET(AT3,0,$AT$1,1,1),"*听雷*")&gt;0,AND(碧归&gt;0,COUNTIF(OFFSET(AT3,0,$AT$1,1,1),"*风来*")&gt;0)),0,1)*1.5)</f>
        <v>97.21</v>
      </c>
      <c r="AC3">
        <f ca="1" t="shared" ref="AC3:AC66" si="5">IF(AND(AA3=0,E3=0),0,IF(AND(COUNTIF(B3,"*叠*")&gt;0,OR(AA2=0,AA2&gt;=5)),AC2+1,AC2))</f>
        <v>1</v>
      </c>
      <c r="AD3">
        <f ca="1">IF(COUNTIF(IF(AND(配装计算器!$K$30&lt;&gt;"∞",0),INDEX(AU3:CB3,1,$AT$1),INDEX(AU4:CB4,1,$AT$1)),"*叠1*")=1,AB3*0+AE2,0)</f>
        <v>0</v>
      </c>
      <c r="AE3">
        <f ca="1">IF($AN$11&gt;0,IF(COUNTIF(B4,"*叠1*")&gt;0,50-加速!$L$11,MAX(0,AE2-(A4-A3))),0)</f>
        <v>47.42</v>
      </c>
      <c r="AG3">
        <f ca="1" t="shared" ref="AG3:AG66" si="6">COUNTIF(INDEX(AU4:CB4,1,$AT$1),"*莺鸣柳*")+COUNTIF(INDEX(AU4:CB4,1,$AT$1),"*叠1*")+AG2</f>
        <v>1</v>
      </c>
      <c r="AH3" t="s">
        <v>1028</v>
      </c>
      <c r="AI3" t="s">
        <v>2722</v>
      </c>
      <c r="AJ3">
        <f ca="1">长时间循环比*COUNTIFS($B$3:$B$515,"*"&amp;AI3&amp;"*",$D$3:$D$515,"&gt;0",$I$3:$I$515,"=0",$AC$3:$AC$515,"=0")</f>
        <v>4</v>
      </c>
      <c r="AK3" t="s">
        <v>2750</v>
      </c>
      <c r="AL3" s="177"/>
      <c r="AM3" s="177">
        <f>48+92+(128+84+14+14+14+65)+9+5+12</f>
        <v>485</v>
      </c>
      <c r="AN3" s="177"/>
      <c r="AP3" t="s">
        <v>3224</v>
      </c>
      <c r="AS3" t="s">
        <v>3225</v>
      </c>
      <c r="AU3" t="s">
        <v>3009</v>
      </c>
      <c r="AV3">
        <v>2</v>
      </c>
      <c r="AW3" t="s">
        <v>3009</v>
      </c>
      <c r="AX3">
        <v>2</v>
      </c>
      <c r="AY3" t="s">
        <v>3010</v>
      </c>
      <c r="AZ3">
        <v>2</v>
      </c>
      <c r="BA3" t="s">
        <v>3010</v>
      </c>
      <c r="BB3">
        <v>2</v>
      </c>
      <c r="BC3" t="s">
        <v>3010</v>
      </c>
      <c r="BD3">
        <v>2</v>
      </c>
      <c r="BE3" t="s">
        <v>2794</v>
      </c>
      <c r="BF3">
        <v>0</v>
      </c>
      <c r="BG3" t="s">
        <v>3011</v>
      </c>
      <c r="BH3">
        <v>2</v>
      </c>
      <c r="BI3" t="s">
        <v>3011</v>
      </c>
      <c r="BJ3">
        <v>2</v>
      </c>
      <c r="BK3" t="s">
        <v>3012</v>
      </c>
      <c r="BL3">
        <v>2</v>
      </c>
      <c r="BM3" t="s">
        <v>3009</v>
      </c>
      <c r="BN3">
        <v>2</v>
      </c>
      <c r="BO3" t="s">
        <v>3009</v>
      </c>
      <c r="BP3">
        <v>2</v>
      </c>
      <c r="BQ3" t="s">
        <v>3010</v>
      </c>
      <c r="BR3">
        <v>2</v>
      </c>
      <c r="BS3" t="s">
        <v>3024</v>
      </c>
      <c r="BT3">
        <v>2</v>
      </c>
      <c r="BU3" t="s">
        <v>3011</v>
      </c>
      <c r="BV3">
        <v>2</v>
      </c>
      <c r="BW3" s="179" t="s">
        <v>3009</v>
      </c>
      <c r="BX3" s="179">
        <v>2</v>
      </c>
      <c r="BY3" t="s">
        <v>3009</v>
      </c>
      <c r="BZ3">
        <v>2</v>
      </c>
      <c r="CA3" t="s">
        <v>3009</v>
      </c>
      <c r="CB3">
        <v>2</v>
      </c>
    </row>
    <row r="4" spans="1:80">
      <c r="A4" s="178">
        <f ca="1">IFERROR(IF(AG3&lt;5+金蛇*2,IF(COUNTIF(B3,"*轻*")&gt;0,A3+加速!$L$9,A3+加速!$L$11)+V3,""),"")</f>
        <v>1.29</v>
      </c>
      <c r="B4" s="167" t="str">
        <f ca="1" t="shared" si="0"/>
        <v>夕照雷峰</v>
      </c>
      <c r="C4">
        <f ca="1">IFERROR(IF(COUNTIF(B4,"*夕照雷峰*")&gt;0,15,MAX(0,C3-(A4-A3))),"")</f>
        <v>15</v>
      </c>
      <c r="D4">
        <f ca="1">IF(B4&lt;&gt;"",IF(C3&lt;=加速!$L$11*(1-E4),0,1),"")</f>
        <v>1</v>
      </c>
      <c r="E4">
        <f ca="1" t="shared" ref="E4:E67" si="7">IF(OR(COUNTIF(B4,"夕照雷峰*")&gt;0,COUNTIF(B4,"云飞玉皇*")&gt;0,COUNTIF(B4,"风来吴山*")&gt;0),COUNTIF(B4,"*云景*")+COUNTIF(B4,"*玉山揽云*")+COUNTIF(B4,"*烟流暮景*"),1)</f>
        <v>0</v>
      </c>
      <c r="F4">
        <v>0</v>
      </c>
      <c r="G4">
        <f ca="1" t="shared" ref="G4:G67" si="8">IF(B4&lt;&gt;"",IF(AND(碧归&gt;0,COUNTIF(B3,"*风来吴山*")&gt;0),8,MAX(0,G3-COUNTIF(B4,"*云飞*")-COUNTIF(B4,"*鹤*")-COUNTIF(B4,"*夕*"))),"")</f>
        <v>0</v>
      </c>
      <c r="H4">
        <f ca="1">IF(B4&lt;&gt;"",IF(AND(COUNTIF(B3,"*轻*莺鸣柳*")&gt;0,COUNTIF(B4,"*轻*")&lt;1),MAX(0,15+I3-(A4-A3)+COUNTIF(B3,"*平湖*")*0),IF(AND(E4=0,MAX(0,H3-(A4-A3))&lt;=加速!$H$11),0,MAX(0,H3-(A4-A3)))),"")</f>
        <v>0</v>
      </c>
      <c r="I4">
        <f ca="1">IF(B4&lt;&gt;"",IF(COUNTIF(B4,"*轻*")&lt;1,0,IF(COUNTIF(B4,"*莺鸣*")&gt;0,8,MAX(0,I3-(A4-A3)))),"")</f>
        <v>0</v>
      </c>
      <c r="J4">
        <f ca="1">IF(B4&lt;&gt;"",IF(AND(J3=1,OR(COUNTIF(B4,"*云景*")&gt;0,AND(落剑5=1,COUNTIF(B2:B4,"*鹤归*")&gt;0))),1,IF(COUNTIF(B3,"*鹤归*")&gt;0,4+_666三听,MAX(J3-1,0))),"")</f>
        <v>0</v>
      </c>
      <c r="K4">
        <f ca="1" t="shared" si="1"/>
        <v>2</v>
      </c>
      <c r="L4">
        <f ca="1">IFERROR(IF(AND(COUNTIF(B4,"*-峰插*"),技能数据库!$M$72&gt;0),0,IF(COUNTIF(B4,"*鹤归*")&gt;0,16-加速!$L$11,MAX(0,L3-(A4-A3)))),0)</f>
        <v>0</v>
      </c>
      <c r="M4">
        <f ca="1" t="shared" si="3"/>
        <v>0</v>
      </c>
      <c r="N4">
        <f ca="1">IFERROR(IF(AND(COUNTIF(B4,"*-峰插*"),技能数据库!$M$72&gt;0),0,IF(COUNTIF(B4,"*云飞*")&gt;0,4-COUNTIF(B4,"*玉山揽云*")*4--COUNTIF(B4,"*烟流暮景*")*4-COUNTIF(B4,"*云景*")*加速!$L$11-IF(J4&gt;0,2,0),MAX(0,N3-(A4-A3)-IF(J4&gt;0,2,0)))),0)</f>
        <v>0</v>
      </c>
      <c r="O4">
        <f ca="1">IF(AND(COUNTIF(IF(AND(配装计算器!$K$30&lt;&gt;"∞",0),INDEX(AU3:CB3,1,$AT$1),INDEX(AU5:CB5,1,$AT$1)),"*云飞*")=1,COUNTIF(IF(AND(配装计算器!$K$30&lt;&gt;"∞",0),INDEX(AU3:CB3,1,$AT$1),INDEX(AU5:CB5,1,$AT$1)),"*玉山*")=0),N4,0)</f>
        <v>0</v>
      </c>
      <c r="P4">
        <f ca="1">IFERROR(IF(COUNTIF(B4,"*云栖松*")&gt;0,50-加速!$L$11,MAX(0,P3-(A4-A3))),0)</f>
        <v>0</v>
      </c>
      <c r="Q4">
        <f ca="1">IF(COUNTIF(IF(AND(配装计算器!$K$30&lt;&gt;"∞",0),INDEX(AU3:CB3,1,$AT$1),INDEX(AU5:CB5,1,$AT$1)),"*云栖松*")=1,P4,0)</f>
        <v>0</v>
      </c>
      <c r="R4">
        <f ca="1">IFERROR(IF(COUNTIF(B4,"*莺鸣柳*")&gt;0,45-加速!$L$9,MAX(0,R3-(A4-A3))),0)</f>
        <v>0</v>
      </c>
      <c r="S4">
        <f ca="1">IF(COUNTIF(IF(AND(配装计算器!$K$30&lt;&gt;"∞",0),INDEX(AU3:CB3,1,$AT$1),INDEX(AU5:CB5,1,$AT$1)),"*莺鸣柳*")=1,R4,0)</f>
        <v>0</v>
      </c>
      <c r="T4">
        <f ca="1">IF(COUNTIF(B4,"*岚尘金蛇*")+COUNTIF(B4,"*千切子寒光*")&gt;0,A4,T3)</f>
        <v>0</v>
      </c>
      <c r="U4">
        <f ca="1">IF(金蛇,IF(COUNTIF(B4,"*金环戴*")+COUNTIF(B4,"*吹风醒*")&gt;0,IF(A4&lt;=3,7.125-2.625-A4-加速!$L$11,7.125+加速!$K$9-(A4+加速!$L$11-T4)),0),0)+IF(金蛇,IF(COUNTIF(B4,"*千切子裂光*")&gt;0,2+加速!$K$9-(A4+加速!$L$11-T4),0),0)</f>
        <v>0</v>
      </c>
      <c r="V4">
        <f ca="1">M4+O4+Q4+S4+U4+AD4</f>
        <v>0</v>
      </c>
      <c r="W4">
        <f ca="1" t="shared" si="4"/>
        <v>0</v>
      </c>
      <c r="X4">
        <f ca="1">INDEX(加速!$I$13:$I$21,W4+1)</f>
        <v>0</v>
      </c>
      <c r="Y4">
        <f ca="1">IF(COUNTIF(B4,"*岚尘金蛇*"),A4+2.6125+0.5,Y3)</f>
        <v>0.5</v>
      </c>
      <c r="Z4">
        <f ca="1" t="shared" ref="Z4:Z67" si="9">IF(金蛇,IF(COUNTIF(B4,"*虎跑*")&gt;0,INT((A4-Y4)/3),0),0)</f>
        <v>0</v>
      </c>
      <c r="AA4">
        <f ca="1">MAX(0,IFERROR(IF(COUNTIF(B4,"*叠*")&gt;0,IF(AC3&lt;3,8-A5+A4,AA3+6.875-A5+A4),AA3-A5+A4),AA3-加速!$L$11))</f>
        <v>5.42</v>
      </c>
      <c r="AB4">
        <f ca="1">MAX(0,IF(COUNTIF(IF(AND(配装计算器!$K$30&lt;&gt;"∞",0),INDEX(AU4:CB4,1,$AT$1),INDEX(AU4:CB4,1,$AT$1)),"*叠1*")=1,4*25-加速!$L$11,AB3-A4+A3)-IF(OR(COUNTIF(OFFSET(AT4,0,$AT$1,1,1),"*听雷*")&gt;0,AND(碧归&gt;0,COUNTIF(OFFSET(AT4,0,$AT$1,1,1),"*风来*")&gt;0)),0,1)*1.5)</f>
        <v>94.42</v>
      </c>
      <c r="AC4">
        <f ca="1" t="shared" si="5"/>
        <v>1</v>
      </c>
      <c r="AD4">
        <f ca="1">IF(COUNTIF(IF(AND(配装计算器!$K$30&lt;&gt;"∞",0),INDEX(AU4:CB4,1,$AT$1),INDEX(AU5:CB5,1,$AT$1)),"*叠1*")=1,AB4*0+AE3,0)</f>
        <v>0</v>
      </c>
      <c r="AE4">
        <f ca="1">IF($AN$11&gt;0,IF(COUNTIF(B5,"*叠1*")&gt;0,50-加速!$L$11,MAX(0,AE3-(A5-A4))),0)</f>
        <v>46.13</v>
      </c>
      <c r="AG4">
        <f ca="1" t="shared" si="6"/>
        <v>1</v>
      </c>
      <c r="AH4" t="s">
        <v>1028</v>
      </c>
      <c r="AI4" t="s">
        <v>2722</v>
      </c>
      <c r="AJ4">
        <f ca="1">长时间循环比*COUNTIFS($B$3:$B$515,"*"&amp;AI4&amp;"*",$D$3:$D$515,"=0",$I$3:$I$515,"&gt;0")</f>
        <v>0</v>
      </c>
      <c r="AK4" t="s">
        <v>2949</v>
      </c>
      <c r="AL4" s="177"/>
      <c r="AM4" s="171">
        <f ca="1">1-(1-102/1024)^(6*(AM3/AS1))</f>
        <v>0.783076382111482</v>
      </c>
      <c r="AN4" s="177"/>
      <c r="AP4" t="s">
        <v>3226</v>
      </c>
      <c r="AS4" t="str">
        <f ca="1">IF(AND(技能数据库!M72&gt;0,AN11=0,加速!H11&lt;1.31),"低延迟","")&amp;IF(AND(COUNTIF(配装计算器!N24,"*叠峰意斩岳*")+COUNTIF(配装计算器!N24,"*叠峰意碧归*")&gt;0,$AN$11&gt;0),"橙武","")</f>
        <v>橙武</v>
      </c>
      <c r="AU4" t="s">
        <v>2768</v>
      </c>
      <c r="AV4">
        <v>2</v>
      </c>
      <c r="AW4" t="s">
        <v>2776</v>
      </c>
      <c r="AX4">
        <v>2</v>
      </c>
      <c r="AY4" t="s">
        <v>3013</v>
      </c>
      <c r="AZ4">
        <v>2</v>
      </c>
      <c r="BA4" t="s">
        <v>3013</v>
      </c>
      <c r="BB4">
        <v>2</v>
      </c>
      <c r="BC4" t="s">
        <v>3013</v>
      </c>
      <c r="BD4">
        <v>2</v>
      </c>
      <c r="BE4" t="s">
        <v>2776</v>
      </c>
      <c r="BF4">
        <v>0</v>
      </c>
      <c r="BG4" t="s">
        <v>2768</v>
      </c>
      <c r="BH4">
        <v>2</v>
      </c>
      <c r="BI4" t="s">
        <v>2768</v>
      </c>
      <c r="BJ4">
        <v>2</v>
      </c>
      <c r="BK4" s="176" t="s">
        <v>2794</v>
      </c>
      <c r="BL4">
        <v>2</v>
      </c>
      <c r="BM4" t="s">
        <v>2776</v>
      </c>
      <c r="BN4">
        <v>2</v>
      </c>
      <c r="BO4" t="s">
        <v>2776</v>
      </c>
      <c r="BP4">
        <v>2</v>
      </c>
      <c r="BQ4" t="s">
        <v>3013</v>
      </c>
      <c r="BR4">
        <v>2</v>
      </c>
      <c r="BS4" s="179" t="s">
        <v>2794</v>
      </c>
      <c r="BT4">
        <v>2</v>
      </c>
      <c r="BU4" t="s">
        <v>2768</v>
      </c>
      <c r="BV4">
        <v>2</v>
      </c>
      <c r="BW4" s="179" t="s">
        <v>2776</v>
      </c>
      <c r="BX4" s="179">
        <v>2</v>
      </c>
      <c r="BY4" t="s">
        <v>2768</v>
      </c>
      <c r="BZ4">
        <v>2</v>
      </c>
      <c r="CA4" s="176" t="s">
        <v>2794</v>
      </c>
      <c r="CB4">
        <v>2</v>
      </c>
    </row>
    <row r="5" spans="1:80">
      <c r="A5" s="178">
        <f ca="1">IFERROR(IF(AG4&lt;5+金蛇*2,IF(COUNTIF(B4,"*轻*")&gt;0,A4+加速!$L$9,A4+加速!$L$11)+V4,""),"")</f>
        <v>2.58</v>
      </c>
      <c r="B5" s="167" t="str">
        <f ca="1" t="shared" si="0"/>
        <v>叠2-夕照雷峰</v>
      </c>
      <c r="C5">
        <f ca="1" t="shared" ref="C5:C68" si="10">IFERROR(IF(COUNTIF(B5,"*夕照雷峰*")&gt;0,15,MAX(0,C4-(A5-A4))),"")</f>
        <v>15</v>
      </c>
      <c r="D5">
        <f ca="1">IF(B5&lt;&gt;"",IF(C4&lt;=加速!$L$11*(1-E5),0,1),"")</f>
        <v>1</v>
      </c>
      <c r="E5">
        <f ca="1" t="shared" si="7"/>
        <v>1</v>
      </c>
      <c r="G5">
        <f ca="1" t="shared" si="8"/>
        <v>0</v>
      </c>
      <c r="H5">
        <f ca="1">IF(B5&lt;&gt;"",IF(AND(COUNTIF(B4,"*轻*莺鸣柳*")&gt;0,COUNTIF(B5,"*轻*")&lt;1),MAX(0,15+I4-(A5-A4)+COUNTIF(B4,"*平湖*")*0),IF(AND(E5=0,MAX(0,H4-(A5-A4))&lt;=加速!$H$11),0,MAX(0,H4-(A5-A4)))),"")</f>
        <v>0</v>
      </c>
      <c r="I5">
        <f ca="1">IF(B5&lt;&gt;"",IF(COUNTIF(B5,"*轻*")&lt;1,0,IF(COUNTIF(B5,"*莺鸣*")&gt;0,8,MAX(0,I4-(A5-A4)))),"")</f>
        <v>0</v>
      </c>
      <c r="J5">
        <f ca="1">IF(B5&lt;&gt;"",IF(AND(J4=1,OR(COUNTIF(B5,"*云景*")&gt;0,AND(落剑5=1,COUNTIF(B3:B5,"*鹤归*")&gt;0))),1,IF(COUNTIF(B4,"*鹤归*")&gt;0,4+_666三听,MAX(J4-1,0))),"")</f>
        <v>0</v>
      </c>
      <c r="K5">
        <f ca="1" t="shared" si="1"/>
        <v>2</v>
      </c>
      <c r="L5">
        <f ca="1">IFERROR(IF(AND(COUNTIF(B5,"*-峰插*"),技能数据库!$M$72&gt;0),0,IF(COUNTIF(B5,"*鹤归*")&gt;0,16-加速!$L$11,MAX(0,L4-(A5-A4)))),0)</f>
        <v>0</v>
      </c>
      <c r="M5">
        <f ca="1" t="shared" si="3"/>
        <v>0</v>
      </c>
      <c r="N5">
        <f ca="1">IFERROR(IF(AND(COUNTIF(B5,"*-峰插*"),技能数据库!$M$72&gt;0),0,IF(COUNTIF(B5,"*云飞*")&gt;0,4-COUNTIF(B5,"*玉山揽云*")*4--COUNTIF(B5,"*烟流暮景*")*4-COUNTIF(B5,"*云景*")*加速!$L$11-IF(J5&gt;0,2,0),MAX(0,N4-(A5-A4)-IF(J5&gt;0,2,0)))),0)</f>
        <v>0</v>
      </c>
      <c r="O5">
        <f ca="1">IF(AND(COUNTIF(IF(AND(配装计算器!$K$30&lt;&gt;"∞",0),INDEX(AU4:CB4,1,$AT$1),INDEX(AU6:CB6,1,$AT$1)),"*云飞*")=1,COUNTIF(IF(AND(配装计算器!$K$30&lt;&gt;"∞",0),INDEX(AU4:CB4,1,$AT$1),INDEX(AU6:CB6,1,$AT$1)),"*玉山*")=0),N5,0)</f>
        <v>0</v>
      </c>
      <c r="P5">
        <f ca="1">IFERROR(IF(COUNTIF(B5,"*云栖松*")&gt;0,50-加速!$L$11,MAX(0,P4-(A5-A4))),0)</f>
        <v>0</v>
      </c>
      <c r="Q5">
        <f ca="1">IF(COUNTIF(IF(AND(配装计算器!$K$30&lt;&gt;"∞",0),INDEX(AU4:CB4,1,$AT$1),INDEX(AU6:CB6,1,$AT$1)),"*云栖松*")=1,P5,0)</f>
        <v>0</v>
      </c>
      <c r="R5">
        <f ca="1">IFERROR(IF(COUNTIF(B5,"*莺鸣柳*")&gt;0,45-加速!$L$9,MAX(0,R4-(A5-A4))),0)</f>
        <v>0</v>
      </c>
      <c r="S5">
        <f ca="1">IF(COUNTIF(IF(AND(配装计算器!$K$30&lt;&gt;"∞",0),INDEX(AU4:CB4,1,$AT$1),INDEX(AU6:CB6,1,$AT$1)),"*莺鸣柳*")=1,R5,0)</f>
        <v>0</v>
      </c>
      <c r="T5">
        <f ca="1" t="shared" ref="T5:T68" si="11">IF(COUNTIF(B5,"*岚尘金蛇*")+COUNTIF(B5,"*千切子寒光*")&gt;0,A5,T4)</f>
        <v>0</v>
      </c>
      <c r="U5">
        <f ca="1">IF(金蛇,IF(COUNTIF(B5,"*金环戴*")+COUNTIF(B5,"*吹风醒*")&gt;0,IF(A5&lt;=3,7.125-2.625-A5-加速!$L$11,7.125+加速!$K$9-(A5+加速!$L$11-T5)),0),0)+IF(金蛇,IF(COUNTIF(B5,"*千切子裂光*")&gt;0,2+加速!$K$9-(A5+加速!$L$11-T5),0),0)</f>
        <v>0</v>
      </c>
      <c r="V5">
        <f ca="1" t="shared" ref="V5:V68" si="12">MAX(0,M5+O5+Q5+S5+AD5)+U5</f>
        <v>0</v>
      </c>
      <c r="W5">
        <f ca="1" t="shared" si="4"/>
        <v>0</v>
      </c>
      <c r="X5">
        <f ca="1">INDEX(加速!$I$13:$I$21,W5+1)</f>
        <v>0</v>
      </c>
      <c r="Y5">
        <f ca="1" t="shared" ref="Y5:Y68" si="13">IF(COUNTIF(B5,"*岚尘金蛇*"),A5+2.6125+0.5,Y4)</f>
        <v>0.5</v>
      </c>
      <c r="Z5">
        <f ca="1" t="shared" si="9"/>
        <v>0</v>
      </c>
      <c r="AA5">
        <f ca="1">MAX(0,IFERROR(IF(COUNTIF(B5,"*叠*")&gt;0,IF(AC4&lt;3,8-A6+A5,AA4+6.875-A6+A5),AA4-A6+A5),AA4-加速!$L$11))</f>
        <v>6.71</v>
      </c>
      <c r="AB5">
        <f ca="1">MAX(0,IF(COUNTIF(IF(AND(配装计算器!$K$30&lt;&gt;"∞",0),INDEX(AU5:CB5,1,$AT$1),INDEX(AU5:CB5,1,$AT$1)),"*叠1*")=1,4*25-加速!$L$11,AB4-A5+A4)-IF(OR(COUNTIF(OFFSET(AT5,0,$AT$1,1,1),"*听雷*")&gt;0,AND(碧归&gt;0,COUNTIF(OFFSET(AT5,0,$AT$1,1,1),"*风来*")&gt;0)),0,1)*1.5)</f>
        <v>91.63</v>
      </c>
      <c r="AC5">
        <f ca="1" t="shared" si="5"/>
        <v>2</v>
      </c>
      <c r="AD5">
        <f ca="1">IF(COUNTIF(IF(AND(配装计算器!$K$30&lt;&gt;"∞",0),INDEX(AU5:CB5,1,$AT$1),INDEX(AU6:CB6,1,$AT$1)),"*叠1*")=1,AB5*0+AE4,0)</f>
        <v>0</v>
      </c>
      <c r="AE5">
        <f ca="1">IF($AN$11&gt;0,IF(COUNTIF(B6,"*叠1*")&gt;0,50-加速!$L$11,MAX(0,AE4-(A6-A5))),0)</f>
        <v>44.84</v>
      </c>
      <c r="AG5">
        <f ca="1" t="shared" si="6"/>
        <v>1</v>
      </c>
      <c r="AH5" t="s">
        <v>1028</v>
      </c>
      <c r="AI5" t="s">
        <v>2722</v>
      </c>
      <c r="AJ5">
        <f ca="1">长时间循环比*COUNTIFS($B$3:$B$515,"*"&amp;AI5&amp;"*",$D$3:$D$515,"&gt;0",$I$3:$I$515,"&gt;0")</f>
        <v>0</v>
      </c>
      <c r="AK5" t="s">
        <v>3014</v>
      </c>
      <c r="AL5" s="177"/>
      <c r="AM5" s="177" t="s">
        <v>3015</v>
      </c>
      <c r="AN5" s="177"/>
      <c r="AP5" t="s">
        <v>3227</v>
      </c>
      <c r="AU5" t="s">
        <v>2776</v>
      </c>
      <c r="AV5">
        <v>2</v>
      </c>
      <c r="AW5" t="s">
        <v>2768</v>
      </c>
      <c r="AX5">
        <v>2</v>
      </c>
      <c r="AY5" t="s">
        <v>3017</v>
      </c>
      <c r="AZ5">
        <v>2</v>
      </c>
      <c r="BA5" t="s">
        <v>3017</v>
      </c>
      <c r="BB5">
        <v>2</v>
      </c>
      <c r="BC5" t="s">
        <v>3018</v>
      </c>
      <c r="BD5">
        <v>2</v>
      </c>
      <c r="BE5" t="s">
        <v>2768</v>
      </c>
      <c r="BF5">
        <v>0</v>
      </c>
      <c r="BG5" t="s">
        <v>3018</v>
      </c>
      <c r="BH5">
        <v>2</v>
      </c>
      <c r="BI5" t="s">
        <v>3017</v>
      </c>
      <c r="BJ5">
        <v>2</v>
      </c>
      <c r="BK5" s="176" t="s">
        <v>3019</v>
      </c>
      <c r="BL5">
        <v>2</v>
      </c>
      <c r="BM5" t="s">
        <v>2768</v>
      </c>
      <c r="BN5">
        <v>2</v>
      </c>
      <c r="BO5" t="s">
        <v>2768</v>
      </c>
      <c r="BP5">
        <v>2</v>
      </c>
      <c r="BQ5" t="s">
        <v>3018</v>
      </c>
      <c r="BR5">
        <v>2</v>
      </c>
      <c r="BS5" s="179" t="s">
        <v>3019</v>
      </c>
      <c r="BT5">
        <v>2</v>
      </c>
      <c r="BU5" t="s">
        <v>3018</v>
      </c>
      <c r="BV5">
        <v>2</v>
      </c>
      <c r="BW5" s="179" t="s">
        <v>2768</v>
      </c>
      <c r="BX5" s="179">
        <v>2</v>
      </c>
      <c r="BY5" t="s">
        <v>2776</v>
      </c>
      <c r="BZ5">
        <v>2</v>
      </c>
      <c r="CA5" s="176" t="s">
        <v>2776</v>
      </c>
      <c r="CB5">
        <v>2</v>
      </c>
    </row>
    <row r="6" spans="1:80">
      <c r="A6" s="178">
        <f ca="1">IFERROR(IF(AG5&lt;5+金蛇*2,IF(COUNTIF(B5,"*轻*")&gt;0,A5+加速!$L$9,A5+加速!$L$11)+V5,""),"")</f>
        <v>3.87</v>
      </c>
      <c r="B6" s="167" t="str">
        <f ca="1" t="shared" si="0"/>
        <v>风来吴山</v>
      </c>
      <c r="C6">
        <f ca="1" t="shared" si="10"/>
        <v>13.71</v>
      </c>
      <c r="D6">
        <f ca="1">IF(B6&lt;&gt;"",IF(C5&lt;=加速!$L$11*(1-E6),0,1),"")</f>
        <v>1</v>
      </c>
      <c r="E6">
        <f ca="1" t="shared" si="7"/>
        <v>0</v>
      </c>
      <c r="G6">
        <f ca="1" t="shared" si="8"/>
        <v>0</v>
      </c>
      <c r="H6">
        <f ca="1">IF(B6&lt;&gt;"",IF(AND(COUNTIF(B5,"*轻*莺鸣柳*")&gt;0,COUNTIF(B6,"*轻*")&lt;1),MAX(0,15+I5-(A6-A5)+COUNTIF(B5,"*平湖*")*0),IF(AND(E6=0,MAX(0,H5-(A6-A5))&lt;=加速!$H$11),0,MAX(0,H5-(A6-A5)))),"")</f>
        <v>0</v>
      </c>
      <c r="I6">
        <f ca="1" t="shared" ref="I6:I69" si="14">IF(B6&lt;&gt;"",IF(COUNTIF(B6,"*轻*")&lt;1,0,IF(COUNTIF(B6,"*莺鸣*")&gt;0,8,MAX(0,I5-(A6-A5)))),"")</f>
        <v>0</v>
      </c>
      <c r="J6">
        <f ca="1">IF(B6&lt;&gt;"",IF(AND(J5=1,OR(AND(COUNTIF(B6,"*云景*")&gt;0,COUNTIF(B1:B5,"*鹤归*")&gt;0),AND(落剑5=1,COUNTIF(B1:B5,"*鹤归*")&gt;0))),1,IF(COUNTIF(B5,"*鹤归*")&gt;0,4+_666三听,MAX(J5-1,0))),"")</f>
        <v>0</v>
      </c>
      <c r="K6">
        <f ca="1" t="shared" si="1"/>
        <v>2</v>
      </c>
      <c r="L6">
        <f ca="1">IFERROR(IF(AND(COUNTIF(B6,"*-峰插*"),技能数据库!$M$72&gt;0),0,IF(COUNTIF(B6,"*鹤归*")&gt;0,16-加速!$L$11,MAX(0,L5-(A6-A5)))),0)</f>
        <v>0</v>
      </c>
      <c r="M6">
        <f ca="1" t="shared" si="3"/>
        <v>0</v>
      </c>
      <c r="N6">
        <f ca="1">IFERROR(IF(AND(COUNTIF(B6,"*-峰插*"),技能数据库!$M$72&gt;0),0,IF(COUNTIF(B6,"*云飞*")&gt;0,4-COUNTIF(B6,"*玉山揽云*")*4--COUNTIF(B6,"*烟流暮景*")*4-COUNTIF(B6,"*云景*")*加速!$L$11-IF(J6&gt;0,2,0),MAX(0,N5-(A6-A5)-IF(J6&gt;0,2,0)))),0)</f>
        <v>0</v>
      </c>
      <c r="O6">
        <f ca="1">IF(AND(COUNTIF(IF(AND(配装计算器!$K$30&lt;&gt;"∞",0),INDEX(AU5:CB5,1,$AT$1),INDEX(AU7:CB7,1,$AT$1)),"*云飞*")=1,COUNTIF(IF(AND(配装计算器!$K$30&lt;&gt;"∞",0),INDEX(AU5:CB5,1,$AT$1),INDEX(AU7:CB7,1,$AT$1)),"*玉山*")=0),N6,0)</f>
        <v>0</v>
      </c>
      <c r="P6">
        <f ca="1">IFERROR(IF(COUNTIF(B6,"*云栖松*")&gt;0,50-加速!$L$11,MAX(0,P5-(A6-A5))),0)</f>
        <v>0</v>
      </c>
      <c r="Q6">
        <f ca="1">IF(COUNTIF(IF(AND(配装计算器!$K$30&lt;&gt;"∞",0),INDEX(AU5:CB5,1,$AT$1),INDEX(AU7:CB7,1,$AT$1)),"*云栖松*")=1,P6,0)</f>
        <v>0</v>
      </c>
      <c r="R6">
        <f ca="1">IFERROR(IF(COUNTIF(B6,"*莺鸣柳*")&gt;0,45-加速!$L$9,MAX(0,R5-(A6-A5))),0)</f>
        <v>0</v>
      </c>
      <c r="S6">
        <f ca="1">IF(COUNTIF(IF(AND(配装计算器!$K$30&lt;&gt;"∞",0),INDEX(AU5:CB5,1,$AT$1),INDEX(AU7:CB7,1,$AT$1)),"*莺鸣柳*")=1,R6,0)</f>
        <v>0</v>
      </c>
      <c r="T6">
        <f ca="1" t="shared" si="11"/>
        <v>0</v>
      </c>
      <c r="U6">
        <f ca="1">IF(金蛇,IF(COUNTIF(B6,"*金环戴*")+COUNTIF(B6,"*吹风醒*")&gt;0,IF(A6&lt;=3,7.125-2.625-A6-加速!$L$11,7.125+加速!$K$9-(A6+加速!$L$11-T6)),0),0)+IF(金蛇,IF(COUNTIF(B6,"*千切子裂光*")&gt;0,2+加速!$K$9-(A6+加速!$L$11-T6),0),0)</f>
        <v>0</v>
      </c>
      <c r="V6">
        <f ca="1" t="shared" si="12"/>
        <v>0</v>
      </c>
      <c r="W6">
        <f ca="1" t="shared" si="4"/>
        <v>1</v>
      </c>
      <c r="X6">
        <f ca="1">INDEX(加速!$I$13:$I$21,W6+1)</f>
        <v>1</v>
      </c>
      <c r="Y6">
        <f ca="1" t="shared" si="13"/>
        <v>0.5</v>
      </c>
      <c r="Z6">
        <f ca="1" t="shared" si="9"/>
        <v>0</v>
      </c>
      <c r="AA6">
        <f ca="1">MAX(0,IFERROR(IF(COUNTIF(B6,"*叠*")&gt;0,IF(AC5&lt;3,8-A7+A6,AA5+6.875-A7+A6),AA5-A7+A6),AA5-加速!$L$11))</f>
        <v>5.42</v>
      </c>
      <c r="AB6">
        <f ca="1">MAX(0,IF(COUNTIF(IF(AND(配装计算器!$K$30&lt;&gt;"∞",0),INDEX(AU6:CB6,1,$AT$1),INDEX(AU6:CB6,1,$AT$1)),"*叠1*")=1,4*25-加速!$L$11,AB5-A6+A5)-IF(OR(COUNTIF(OFFSET(AT6,0,$AT$1,1,1),"*听雷*")&gt;0,AND(碧归&gt;0,COUNTIF(OFFSET(AT6,0,$AT$1,1,1),"*风来*")&gt;0)),0,1)*1.5)</f>
        <v>90.34</v>
      </c>
      <c r="AC6">
        <f ca="1" t="shared" si="5"/>
        <v>2</v>
      </c>
      <c r="AD6">
        <f ca="1">IF(COUNTIF(IF(AND(配装计算器!$K$30&lt;&gt;"∞",0),INDEX(AU6:CB6,1,$AT$1),INDEX(AU7:CB7,1,$AT$1)),"*叠1*")=1,AB6*0+AE5,0)</f>
        <v>0</v>
      </c>
      <c r="AE6">
        <f ca="1">IF($AN$11&gt;0,IF(COUNTIF(B7,"*叠1*")&gt;0,50-加速!$L$11,MAX(0,AE5-(A7-A6))),0)</f>
        <v>43.55</v>
      </c>
      <c r="AG6">
        <f ca="1" t="shared" si="6"/>
        <v>1</v>
      </c>
      <c r="AH6" t="s">
        <v>1028</v>
      </c>
      <c r="AI6" t="s">
        <v>2726</v>
      </c>
      <c r="AJ6">
        <f ca="1">长时间循环比*(COUNTIFS($B$3:$B$515,"*莺鸣柳*",$D$3:$D$515,"&gt;0",$I$3:$I$515,"=0")+COUNTIFS($B$3:$B$515,"*黄龙吐翠*",$D$3:$D$515,"&gt;0",$I$3:$I$515,"=0"))</f>
        <v>0</v>
      </c>
      <c r="AK6" t="s">
        <v>2750</v>
      </c>
      <c r="AL6" s="177"/>
      <c r="AM6" s="177" t="s">
        <v>3020</v>
      </c>
      <c r="AN6" s="177"/>
      <c r="AP6" t="s">
        <v>3228</v>
      </c>
      <c r="AU6" t="s">
        <v>2768</v>
      </c>
      <c r="AV6">
        <v>2</v>
      </c>
      <c r="AW6" s="180" t="s">
        <v>2789</v>
      </c>
      <c r="AX6">
        <v>2</v>
      </c>
      <c r="AY6" t="s">
        <v>2808</v>
      </c>
      <c r="AZ6">
        <v>2</v>
      </c>
      <c r="BA6" t="s">
        <v>2808</v>
      </c>
      <c r="BB6">
        <v>2</v>
      </c>
      <c r="BC6" t="s">
        <v>2768</v>
      </c>
      <c r="BD6">
        <v>2</v>
      </c>
      <c r="BE6" t="s">
        <v>2776</v>
      </c>
      <c r="BF6">
        <v>0</v>
      </c>
      <c r="BG6" t="s">
        <v>2768</v>
      </c>
      <c r="BH6">
        <v>2</v>
      </c>
      <c r="BI6" t="s">
        <v>2789</v>
      </c>
      <c r="BJ6">
        <v>2</v>
      </c>
      <c r="BK6" s="176" t="s">
        <v>2768</v>
      </c>
      <c r="BL6">
        <v>2</v>
      </c>
      <c r="BM6" s="180" t="s">
        <v>2789</v>
      </c>
      <c r="BN6">
        <v>2</v>
      </c>
      <c r="BO6" s="180" t="s">
        <v>2789</v>
      </c>
      <c r="BP6">
        <v>2</v>
      </c>
      <c r="BQ6" t="s">
        <v>2768</v>
      </c>
      <c r="BR6">
        <v>2</v>
      </c>
      <c r="BS6" s="179" t="s">
        <v>2768</v>
      </c>
      <c r="BT6">
        <v>2</v>
      </c>
      <c r="BU6" t="s">
        <v>2768</v>
      </c>
      <c r="BV6">
        <v>2</v>
      </c>
      <c r="BW6" s="181" t="s">
        <v>2789</v>
      </c>
      <c r="BX6" s="179">
        <v>2</v>
      </c>
      <c r="BY6" t="s">
        <v>2768</v>
      </c>
      <c r="BZ6">
        <v>2</v>
      </c>
      <c r="CA6" s="176" t="s">
        <v>2768</v>
      </c>
      <c r="CB6">
        <v>2</v>
      </c>
    </row>
    <row r="7" spans="1:80">
      <c r="A7" s="178">
        <f ca="1">IFERROR(IF(AG6&lt;5+金蛇*2,IF(COUNTIF(B6,"*轻*")&gt;0,A6+加速!$L$9,A6+加速!$L$11)+V6,""),"")</f>
        <v>5.16</v>
      </c>
      <c r="B7" s="167" t="str">
        <f ca="1" t="shared" si="0"/>
        <v>叠3-云飞玉皇</v>
      </c>
      <c r="C7">
        <f ca="1" t="shared" si="10"/>
        <v>12.42</v>
      </c>
      <c r="D7">
        <f ca="1">IF(B7&lt;&gt;"",IF(C6&lt;=加速!$L$11*(1-E7),0,1),"")</f>
        <v>1</v>
      </c>
      <c r="E7">
        <f ca="1" t="shared" si="7"/>
        <v>1</v>
      </c>
      <c r="G7">
        <f ca="1" t="shared" si="8"/>
        <v>8</v>
      </c>
      <c r="H7">
        <f ca="1">IF(B7&lt;&gt;"",IF(AND(COUNTIF(B6,"*轻*莺鸣柳*")&gt;0,COUNTIF(B7,"*轻*")&lt;1),MAX(0,15+I6-(A7-A6)+COUNTIF(B6,"*平湖*")*0),IF(AND(E7=0,MAX(0,H6-(A7-A6))&lt;=加速!$H$11),0,MAX(0,H6-(A7-A6)))),"")</f>
        <v>0</v>
      </c>
      <c r="I7">
        <f ca="1" t="shared" si="14"/>
        <v>0</v>
      </c>
      <c r="J7">
        <f ca="1" t="shared" ref="J7:J69" si="15">IF(B7&lt;&gt;"",IF(AND(J6=1,OR(AND(COUNTIF(B7,"*云景*")&gt;0,COUNTIF(B2:B6,"*鹤归*")&gt;0),AND(落剑5=1,COUNTIF(B2:B6,"*鹤归*")&gt;0))),1,IF(COUNTIF(B6,"*鹤归*")&gt;0,4+_666三听,MAX(J6-1,0))),"")</f>
        <v>0</v>
      </c>
      <c r="K7">
        <f ca="1" t="shared" si="1"/>
        <v>2</v>
      </c>
      <c r="L7">
        <f ca="1">IFERROR(IF(AND(COUNTIF(B7,"*-峰插*"),技能数据库!$M$72&gt;0),0,IF(COUNTIF(B7,"*鹤归*")&gt;0,16-加速!$L$11,MAX(0,L6-(A7-A6)))),0)</f>
        <v>0</v>
      </c>
      <c r="M7">
        <f ca="1" t="shared" si="3"/>
        <v>0</v>
      </c>
      <c r="N7">
        <f ca="1">IFERROR(IF(AND(COUNTIF(B7,"*-峰插*"),技能数据库!$M$72&gt;0),0,IF(COUNTIF(B7,"*云飞*")&gt;0,4-COUNTIF(B7,"*玉山揽云*")*4--COUNTIF(B7,"*烟流暮景*")*4-COUNTIF(B7,"*云景*")*加速!$L$11-IF(J7&gt;0,2,0),MAX(0,N6-(A7-A6)-IF(J7&gt;0,2,0)))),0)</f>
        <v>4</v>
      </c>
      <c r="O7">
        <f ca="1">IF(AND(COUNTIF(IF(AND(配装计算器!$K$30&lt;&gt;"∞",0),INDEX(AU6:CB6,1,$AT$1),INDEX(AU8:CB8,1,$AT$1)),"*云飞*")=1,COUNTIF(IF(AND(配装计算器!$K$30&lt;&gt;"∞",0),INDEX(AU6:CB6,1,$AT$1),INDEX(AU8:CB8,1,$AT$1)),"*玉山*")=0),N7,0)</f>
        <v>0</v>
      </c>
      <c r="P7">
        <f ca="1">IFERROR(IF(COUNTIF(B7,"*云栖松*")&gt;0,50-加速!$L$11,MAX(0,P6-(A7-A6))),0)</f>
        <v>0</v>
      </c>
      <c r="Q7">
        <f ca="1">IF(COUNTIF(IF(AND(配装计算器!$K$30&lt;&gt;"∞",0),INDEX(AU6:CB6,1,$AT$1),INDEX(AU8:CB8,1,$AT$1)),"*云栖松*")=1,P7,0)</f>
        <v>0</v>
      </c>
      <c r="R7">
        <f ca="1">IFERROR(IF(COUNTIF(B7,"*莺鸣柳*")&gt;0,45-加速!$L$9,MAX(0,R6-(A7-A6))),0)</f>
        <v>0</v>
      </c>
      <c r="S7">
        <f ca="1">IF(COUNTIF(IF(AND(配装计算器!$K$30&lt;&gt;"∞",0),INDEX(AU6:CB6,1,$AT$1),INDEX(AU8:CB8,1,$AT$1)),"*莺鸣柳*")=1,R7,0)</f>
        <v>0</v>
      </c>
      <c r="T7">
        <f ca="1" t="shared" si="11"/>
        <v>0</v>
      </c>
      <c r="U7">
        <f ca="1">IF(金蛇,IF(COUNTIF(B7,"*金环戴*")+COUNTIF(B7,"*吹风醒*")&gt;0,IF(A7&lt;=3,7.125-2.625-A7-加速!$L$11,7.125+加速!$K$9-(A7+加速!$L$11-T7)),0),0)+IF(金蛇,IF(COUNTIF(B7,"*千切子裂光*")&gt;0,2+加速!$K$9-(A7+加速!$L$11-T7),0),0)</f>
        <v>0</v>
      </c>
      <c r="V7">
        <f ca="1" t="shared" si="12"/>
        <v>0</v>
      </c>
      <c r="W7">
        <f ca="1" t="shared" si="4"/>
        <v>2</v>
      </c>
      <c r="X7">
        <f ca="1">INDEX(加速!$I$13:$I$21,W7+1)</f>
        <v>3</v>
      </c>
      <c r="Y7">
        <f ca="1" t="shared" si="13"/>
        <v>0.5</v>
      </c>
      <c r="Z7">
        <f ca="1" t="shared" si="9"/>
        <v>0</v>
      </c>
      <c r="AA7">
        <f ca="1">MAX(0,IFERROR(IF(COUNTIF(B7,"*叠*")&gt;0,IF(AC6&lt;3,8-A8+A7,AA6+6.875-A8+A7),AA6-A8+A7),AA6-加速!$L$11))</f>
        <v>6.71</v>
      </c>
      <c r="AB7">
        <f ca="1">MAX(0,IF(COUNTIF(IF(AND(配装计算器!$K$30&lt;&gt;"∞",0),INDEX(AU7:CB7,1,$AT$1),INDEX(AU7:CB7,1,$AT$1)),"*叠1*")=1,4*25-加速!$L$11,AB6-A7+A6)-IF(OR(COUNTIF(OFFSET(AT7,0,$AT$1,1,1),"*听雷*")&gt;0,AND(碧归&gt;0,COUNTIF(OFFSET(AT7,0,$AT$1,1,1),"*风来*")&gt;0)),0,1)*1.5)</f>
        <v>87.55</v>
      </c>
      <c r="AC7">
        <f ca="1" t="shared" si="5"/>
        <v>3</v>
      </c>
      <c r="AD7">
        <f ca="1">IF(COUNTIF(IF(AND(配装计算器!$K$30&lt;&gt;"∞",0),INDEX(AU7:CB7,1,$AT$1),INDEX(AU8:CB8,1,$AT$1)),"*叠1*")=1,AB7*0+AE6,0)</f>
        <v>0</v>
      </c>
      <c r="AE7">
        <f ca="1">IF($AN$11&gt;0,IF(COUNTIF(B8,"*叠1*")&gt;0,50-加速!$L$11,MAX(0,AE6-(A8-A7))),0)</f>
        <v>42.26</v>
      </c>
      <c r="AG7">
        <f ca="1" t="shared" si="6"/>
        <v>1</v>
      </c>
      <c r="AH7" t="s">
        <v>1028</v>
      </c>
      <c r="AI7" t="s">
        <v>2726</v>
      </c>
      <c r="AJ7">
        <f ca="1">长时间循环比*COUNTIFS($B$3:$B$515,"*莺鸣柳*",$D$3:$D$515,"=0",$I$3:$I$515,"&gt;0")</f>
        <v>0</v>
      </c>
      <c r="AK7" t="s">
        <v>2949</v>
      </c>
      <c r="AL7" s="177"/>
      <c r="AM7" s="177">
        <f>48+128+84+14+14+14+65</f>
        <v>367</v>
      </c>
      <c r="AN7" s="177"/>
      <c r="AP7" t="s">
        <v>3229</v>
      </c>
      <c r="AU7" s="180" t="s">
        <v>2789</v>
      </c>
      <c r="AV7">
        <v>2</v>
      </c>
      <c r="AW7" s="176" t="s">
        <v>2794</v>
      </c>
      <c r="AX7">
        <v>2</v>
      </c>
      <c r="AY7" t="s">
        <v>3022</v>
      </c>
      <c r="AZ7">
        <v>2</v>
      </c>
      <c r="BA7" t="s">
        <v>3022</v>
      </c>
      <c r="BB7">
        <v>2</v>
      </c>
      <c r="BC7" t="s">
        <v>3023</v>
      </c>
      <c r="BD7">
        <v>2</v>
      </c>
      <c r="BE7" t="s">
        <v>3012</v>
      </c>
      <c r="BF7">
        <v>2</v>
      </c>
      <c r="BG7" s="182" t="s">
        <v>3023</v>
      </c>
      <c r="BH7">
        <v>2</v>
      </c>
      <c r="BI7" s="182" t="s">
        <v>3023</v>
      </c>
      <c r="BJ7">
        <v>2</v>
      </c>
      <c r="BK7" s="176" t="s">
        <v>3023</v>
      </c>
      <c r="BL7">
        <v>2</v>
      </c>
      <c r="BM7" s="176" t="s">
        <v>2794</v>
      </c>
      <c r="BN7">
        <v>2</v>
      </c>
      <c r="BO7" s="176" t="s">
        <v>2794</v>
      </c>
      <c r="BP7">
        <v>2</v>
      </c>
      <c r="BQ7" t="s">
        <v>3023</v>
      </c>
      <c r="BR7">
        <v>2</v>
      </c>
      <c r="BS7" s="182" t="s">
        <v>3023</v>
      </c>
      <c r="BT7">
        <v>2</v>
      </c>
      <c r="BU7" s="182" t="s">
        <v>3023</v>
      </c>
      <c r="BV7">
        <v>2</v>
      </c>
      <c r="BW7" s="182" t="s">
        <v>2794</v>
      </c>
      <c r="BX7" s="179">
        <v>2</v>
      </c>
      <c r="BY7" s="180" t="s">
        <v>2789</v>
      </c>
      <c r="BZ7">
        <v>2</v>
      </c>
      <c r="CA7" s="176" t="s">
        <v>2776</v>
      </c>
      <c r="CB7">
        <v>2</v>
      </c>
    </row>
    <row r="8" spans="1:80">
      <c r="A8" s="178">
        <f ca="1">IFERROR(IF(AG7&lt;5+金蛇*2,IF(COUNTIF(B7,"*轻*")&gt;0,A7+加速!$L$9,A7+加速!$L$11)+V7,""),"")</f>
        <v>6.45</v>
      </c>
      <c r="B8" s="167" t="str">
        <f ca="1" t="shared" si="0"/>
        <v>云飞玉皇-玉山揽云</v>
      </c>
      <c r="C8">
        <f ca="1" t="shared" si="10"/>
        <v>11.13</v>
      </c>
      <c r="D8">
        <f ca="1">IF(B8&lt;&gt;"",IF(C7&lt;=加速!$L$11*(1-E8),0,1),"")</f>
        <v>1</v>
      </c>
      <c r="E8">
        <f ca="1" t="shared" si="7"/>
        <v>1</v>
      </c>
      <c r="G8">
        <f ca="1" t="shared" si="8"/>
        <v>7</v>
      </c>
      <c r="H8">
        <f ca="1">IF(B8&lt;&gt;"",IF(AND(COUNTIF(B7,"*轻*莺鸣柳*")&gt;0,COUNTIF(B8,"*轻*")&lt;1),MAX(0,15+I7-(A8-A7)+COUNTIF(B7,"*平湖*")*0),IF(AND(E8=0,MAX(0,H7-(A8-A7))&lt;=加速!$H$11),0,MAX(0,H7-(A8-A7)))),"")</f>
        <v>0</v>
      </c>
      <c r="I8">
        <f ca="1" t="shared" si="14"/>
        <v>0</v>
      </c>
      <c r="J8">
        <f ca="1" t="shared" si="15"/>
        <v>0</v>
      </c>
      <c r="K8">
        <f ca="1" t="shared" si="1"/>
        <v>2</v>
      </c>
      <c r="L8">
        <f ca="1">IFERROR(IF(AND(COUNTIF(B8,"*-峰插*"),技能数据库!$M$72&gt;0),0,IF(COUNTIF(B8,"*鹤归*")&gt;0,16-加速!$L$11,MAX(0,L7-(A8-A7)))),0)</f>
        <v>0</v>
      </c>
      <c r="M8">
        <f ca="1" t="shared" si="3"/>
        <v>0</v>
      </c>
      <c r="N8">
        <f ca="1">IFERROR(IF(AND(COUNTIF(B8,"*-峰插*"),技能数据库!$M$72&gt;0),0,IF(COUNTIF(B8,"*云飞*")&gt;0,4-COUNTIF(B8,"*玉山揽云*")*4--COUNTIF(B8,"*烟流暮景*")*4-COUNTIF(B8,"*云景*")*加速!$L$11-IF(J8&gt;0,2,0),MAX(0,N7-(A8-A7)-IF(J8&gt;0,2,0)))),0)</f>
        <v>0</v>
      </c>
      <c r="O8">
        <f ca="1">IF(AND(COUNTIF(IF(AND(配装计算器!$K$30&lt;&gt;"∞",0),INDEX(AU7:CB7,1,$AT$1),INDEX(AU9:CB9,1,$AT$1)),"*云飞*")=1,COUNTIF(IF(AND(配装计算器!$K$30&lt;&gt;"∞",0),INDEX(AU7:CB7,1,$AT$1),INDEX(AU9:CB9,1,$AT$1)),"*玉山*")=0),N8,0)</f>
        <v>0</v>
      </c>
      <c r="P8">
        <f ca="1">IFERROR(IF(COUNTIF(B8,"*云栖松*")&gt;0,50-加速!$L$11,MAX(0,P7-(A8-A7))),0)</f>
        <v>0</v>
      </c>
      <c r="Q8">
        <f ca="1">IF(COUNTIF(IF(AND(配装计算器!$K$30&lt;&gt;"∞",0),INDEX(AU7:CB7,1,$AT$1),INDEX(AU9:CB9,1,$AT$1)),"*云栖松*")=1,P8,0)</f>
        <v>0</v>
      </c>
      <c r="R8">
        <f ca="1">IFERROR(IF(COUNTIF(B8,"*莺鸣柳*")&gt;0,45-加速!$L$9,MAX(0,R7-(A8-A7))),0)</f>
        <v>0</v>
      </c>
      <c r="S8">
        <f ca="1">IF(COUNTIF(IF(AND(配装计算器!$K$30&lt;&gt;"∞",0),INDEX(AU7:CB7,1,$AT$1),INDEX(AU9:CB9,1,$AT$1)),"*莺鸣柳*")=1,R8,0)</f>
        <v>0</v>
      </c>
      <c r="T8">
        <f ca="1" t="shared" si="11"/>
        <v>0</v>
      </c>
      <c r="U8">
        <f ca="1">IF(金蛇,IF(COUNTIF(B8,"*金环戴*")+COUNTIF(B8,"*吹风醒*")&gt;0,IF(A8&lt;=3,7.125-2.625-A8-加速!$L$11,7.125+加速!$K$9-(A8+加速!$L$11-T8)),0),0)+IF(金蛇,IF(COUNTIF(B8,"*千切子裂光*")&gt;0,2+加速!$K$9-(A8+加速!$L$11-T8),0),0)</f>
        <v>0</v>
      </c>
      <c r="V8">
        <f ca="1" t="shared" si="12"/>
        <v>0</v>
      </c>
      <c r="W8">
        <f ca="1" t="shared" si="4"/>
        <v>3</v>
      </c>
      <c r="X8">
        <f ca="1">INDEX(加速!$I$13:$I$21,W8+1)</f>
        <v>2</v>
      </c>
      <c r="Y8">
        <f ca="1" t="shared" si="13"/>
        <v>0.5</v>
      </c>
      <c r="Z8">
        <f ca="1" t="shared" si="9"/>
        <v>0</v>
      </c>
      <c r="AA8">
        <f ca="1">MAX(0,IFERROR(IF(COUNTIF(B8,"*叠*")&gt;0,IF(AC7&lt;3,8-A9+A8,AA7+6.875-A9+A8),AA7-A9+A8),AA7-加速!$L$11))</f>
        <v>5.42</v>
      </c>
      <c r="AB8">
        <f ca="1">MAX(0,IF(COUNTIF(IF(AND(配装计算器!$K$30&lt;&gt;"∞",0),INDEX(AU8:CB8,1,$AT$1),INDEX(AU8:CB8,1,$AT$1)),"*叠1*")=1,4*25-加速!$L$11,AB7-A8+A7)-IF(OR(COUNTIF(OFFSET(AT8,0,$AT$1,1,1),"*听雷*")&gt;0,AND(碧归&gt;0,COUNTIF(OFFSET(AT8,0,$AT$1,1,1),"*风来*")&gt;0)),0,1)*1.5)</f>
        <v>84.76</v>
      </c>
      <c r="AC8">
        <f ca="1" t="shared" si="5"/>
        <v>3</v>
      </c>
      <c r="AD8">
        <f ca="1">IF(COUNTIF(IF(AND(配装计算器!$K$30&lt;&gt;"∞",0),INDEX(AU8:CB8,1,$AT$1),INDEX(AU9:CB9,1,$AT$1)),"*叠1*")=1,AB8*0+AE7,0)</f>
        <v>0</v>
      </c>
      <c r="AE8">
        <f ca="1">IF($AN$11&gt;0,IF(COUNTIF(B9,"*叠1*")&gt;0,50-加速!$L$11,MAX(0,AE7-(A9-A8))),0)</f>
        <v>40.97</v>
      </c>
      <c r="AG8">
        <f ca="1" t="shared" si="6"/>
        <v>1</v>
      </c>
      <c r="AH8" t="s">
        <v>1028</v>
      </c>
      <c r="AI8" t="s">
        <v>2726</v>
      </c>
      <c r="AJ8">
        <f ca="1">长时间循环比*COUNTIFS($B$3:$B$515,"*莺鸣柳*",$D$3:$D$515,"&gt;0",$I$3:$I$515,"&gt;0")</f>
        <v>0</v>
      </c>
      <c r="AK8" t="s">
        <v>3014</v>
      </c>
      <c r="AL8" s="177"/>
      <c r="AM8" s="177" t="s">
        <v>3025</v>
      </c>
      <c r="AN8" s="183">
        <f>IF(AND(装备选择!BJ13&lt;15900,COUNTIF(装备选择!N13,"*大橙武*")&gt;0),1,0)*内置配装器+技能数据库!M65*自输入属性</f>
        <v>0</v>
      </c>
      <c r="AP8" t="s">
        <v>3230</v>
      </c>
      <c r="AU8" s="176" t="s">
        <v>2794</v>
      </c>
      <c r="AV8">
        <v>2</v>
      </c>
      <c r="AW8" s="176" t="s">
        <v>2776</v>
      </c>
      <c r="AX8">
        <v>2</v>
      </c>
      <c r="AY8" t="s">
        <v>2776</v>
      </c>
      <c r="AZ8">
        <v>2</v>
      </c>
      <c r="BA8" t="s">
        <v>2776</v>
      </c>
      <c r="BB8">
        <v>2</v>
      </c>
      <c r="BC8" t="s">
        <v>2768</v>
      </c>
      <c r="BD8">
        <v>2</v>
      </c>
      <c r="BE8" t="s">
        <v>2776</v>
      </c>
      <c r="BF8">
        <v>2</v>
      </c>
      <c r="BG8" s="176" t="s">
        <v>2768</v>
      </c>
      <c r="BH8">
        <v>2</v>
      </c>
      <c r="BI8" s="176" t="s">
        <v>3026</v>
      </c>
      <c r="BJ8">
        <v>2</v>
      </c>
      <c r="BK8" s="176" t="s">
        <v>2768</v>
      </c>
      <c r="BL8">
        <v>2</v>
      </c>
      <c r="BM8" s="176" t="s">
        <v>2776</v>
      </c>
      <c r="BN8">
        <v>2</v>
      </c>
      <c r="BO8" s="176" t="s">
        <v>2776</v>
      </c>
      <c r="BP8">
        <v>2</v>
      </c>
      <c r="BQ8" t="s">
        <v>2768</v>
      </c>
      <c r="BR8">
        <v>2</v>
      </c>
      <c r="BS8" s="182" t="s">
        <v>2768</v>
      </c>
      <c r="BT8">
        <v>2</v>
      </c>
      <c r="BU8" s="176" t="s">
        <v>2768</v>
      </c>
      <c r="BV8">
        <v>2</v>
      </c>
      <c r="BW8" s="182" t="s">
        <v>2776</v>
      </c>
      <c r="BX8" s="179">
        <v>2</v>
      </c>
      <c r="BY8" s="176" t="s">
        <v>2794</v>
      </c>
      <c r="BZ8">
        <v>2</v>
      </c>
      <c r="CA8" s="176" t="s">
        <v>2768</v>
      </c>
      <c r="CB8">
        <v>2</v>
      </c>
    </row>
    <row r="9" spans="1:80">
      <c r="A9" s="178">
        <f ca="1">IFERROR(IF(AG8&lt;5+金蛇*2,IF(COUNTIF(B8,"*轻*")&gt;0,A8+加速!$L$9,A8+加速!$L$11)+V8,""),"")</f>
        <v>7.74</v>
      </c>
      <c r="B9" s="167" t="str">
        <f ca="1" t="shared" si="0"/>
        <v>云飞玉皇-玉山揽云</v>
      </c>
      <c r="C9">
        <f ca="1" t="shared" si="10"/>
        <v>9.84</v>
      </c>
      <c r="D9">
        <f ca="1">IF(B9&lt;&gt;"",IF(C8&lt;=加速!$L$11*(1-E9),0,1),"")</f>
        <v>1</v>
      </c>
      <c r="E9">
        <f ca="1" t="shared" si="7"/>
        <v>1</v>
      </c>
      <c r="G9">
        <f ca="1" t="shared" si="8"/>
        <v>6</v>
      </c>
      <c r="H9">
        <f ca="1">IF(B9&lt;&gt;"",IF(AND(COUNTIF(B8,"*轻*莺鸣柳*")&gt;0,COUNTIF(B9,"*轻*")&lt;1),MAX(0,15+I8-(A9-A8)+COUNTIF(B8,"*平湖*")*0),IF(AND(E9=0,MAX(0,H8-(A9-A8))&lt;=加速!$H$11),0,MAX(0,H8-(A9-A8)))),"")</f>
        <v>0</v>
      </c>
      <c r="I9">
        <f ca="1" t="shared" si="14"/>
        <v>0</v>
      </c>
      <c r="J9">
        <f ca="1" t="shared" si="15"/>
        <v>0</v>
      </c>
      <c r="K9">
        <f ca="1" t="shared" si="1"/>
        <v>2</v>
      </c>
      <c r="L9">
        <f ca="1">IFERROR(IF(AND(COUNTIF(B9,"*-峰插*"),技能数据库!$M$72&gt;0),0,IF(COUNTIF(B9,"*鹤归*")&gt;0,16-加速!$L$11,MAX(0,L8-(A9-A8)))),0)</f>
        <v>0</v>
      </c>
      <c r="M9">
        <f ca="1" t="shared" si="3"/>
        <v>0</v>
      </c>
      <c r="N9">
        <f ca="1">IFERROR(IF(AND(COUNTIF(B9,"*-峰插*"),技能数据库!$M$72&gt;0),0,IF(COUNTIF(B9,"*云飞*")&gt;0,4-COUNTIF(B9,"*玉山揽云*")*4--COUNTIF(B9,"*烟流暮景*")*4-COUNTIF(B9,"*云景*")*加速!$L$11-IF(J9&gt;0,2,0),MAX(0,N8-(A9-A8)-IF(J9&gt;0,2,0)))),0)</f>
        <v>0</v>
      </c>
      <c r="O9">
        <f ca="1">IF(AND(COUNTIF(IF(AND(配装计算器!$K$30&lt;&gt;"∞",0),INDEX(AU8:CB8,1,$AT$1),INDEX(AU10:CB10,1,$AT$1)),"*云飞*")=1,COUNTIF(IF(AND(配装计算器!$K$30&lt;&gt;"∞",0),INDEX(AU8:CB8,1,$AT$1),INDEX(AU10:CB10,1,$AT$1)),"*玉山*")=0),N9,0)</f>
        <v>0</v>
      </c>
      <c r="P9">
        <f ca="1">IFERROR(IF(COUNTIF(B9,"*云栖松*")&gt;0,50-加速!$L$11,MAX(0,P8-(A9-A8))),0)</f>
        <v>0</v>
      </c>
      <c r="Q9">
        <f ca="1">IF(COUNTIF(IF(AND(配装计算器!$K$30&lt;&gt;"∞",0),INDEX(AU8:CB8,1,$AT$1),INDEX(AU10:CB10,1,$AT$1)),"*云栖松*")=1,P9,0)</f>
        <v>0</v>
      </c>
      <c r="R9">
        <f ca="1">IFERROR(IF(COUNTIF(B9,"*莺鸣柳*")&gt;0,45-加速!$L$9,MAX(0,R8-(A9-A8))),0)</f>
        <v>0</v>
      </c>
      <c r="S9">
        <f ca="1">IF(COUNTIF(IF(AND(配装计算器!$K$30&lt;&gt;"∞",0),INDEX(AU8:CB8,1,$AT$1),INDEX(AU10:CB10,1,$AT$1)),"*莺鸣柳*")=1,R9,0)</f>
        <v>0</v>
      </c>
      <c r="T9">
        <f ca="1" t="shared" si="11"/>
        <v>0</v>
      </c>
      <c r="U9">
        <f ca="1">IF(金蛇,IF(COUNTIF(B9,"*金环戴*")+COUNTIF(B9,"*吹风醒*")&gt;0,IF(A9&lt;=3,7.125-2.625-A9-加速!$L$11,7.125+加速!$K$9-(A9+加速!$L$11-T9)),0),0)+IF(金蛇,IF(COUNTIF(B9,"*千切子裂光*")&gt;0,2+加速!$K$9-(A9+加速!$L$11-T9),0),0)</f>
        <v>0</v>
      </c>
      <c r="V9">
        <f ca="1" t="shared" si="12"/>
        <v>0</v>
      </c>
      <c r="W9">
        <f ca="1" t="shared" si="4"/>
        <v>4</v>
      </c>
      <c r="X9">
        <f ca="1">INDEX(加速!$I$13:$I$21,W9+1)</f>
        <v>3</v>
      </c>
      <c r="Y9">
        <f ca="1" t="shared" si="13"/>
        <v>0.5</v>
      </c>
      <c r="Z9">
        <f ca="1" t="shared" si="9"/>
        <v>0</v>
      </c>
      <c r="AA9">
        <f ca="1">MAX(0,IFERROR(IF(COUNTIF(B9,"*叠*")&gt;0,IF(AC8&lt;3,8-A10+A9,AA8+6.875-A10+A9),AA8-A10+A9),AA8-加速!$L$11))</f>
        <v>4.13</v>
      </c>
      <c r="AB9">
        <f ca="1">MAX(0,IF(COUNTIF(IF(AND(配装计算器!$K$30&lt;&gt;"∞",0),INDEX(AU9:CB9,1,$AT$1),INDEX(AU9:CB9,1,$AT$1)),"*叠1*")=1,4*25-加速!$L$11,AB8-A9+A8)-IF(OR(COUNTIF(OFFSET(AT9,0,$AT$1,1,1),"*听雷*")&gt;0,AND(碧归&gt;0,COUNTIF(OFFSET(AT9,0,$AT$1,1,1),"*风来*")&gt;0)),0,1)*1.5)</f>
        <v>81.97</v>
      </c>
      <c r="AC9">
        <f ca="1" t="shared" si="5"/>
        <v>3</v>
      </c>
      <c r="AD9">
        <f ca="1">IF(COUNTIF(IF(AND(配装计算器!$K$30&lt;&gt;"∞",0),INDEX(AU9:CB9,1,$AT$1),INDEX(AU10:CB10,1,$AT$1)),"*叠1*")=1,AB9*0+AE8,0)</f>
        <v>0</v>
      </c>
      <c r="AE9">
        <f ca="1">IF($AN$11&gt;0,IF(COUNTIF(B10,"*叠1*")&gt;0,50-加速!$L$11,MAX(0,AE8-(A10-A9))),0)</f>
        <v>39.68</v>
      </c>
      <c r="AG9">
        <f ca="1" t="shared" si="6"/>
        <v>1</v>
      </c>
      <c r="AH9" t="s">
        <v>1028</v>
      </c>
      <c r="AI9" t="s">
        <v>2741</v>
      </c>
      <c r="AJ9">
        <f ca="1">长时间循环比*COUNTIFS($B$3:$B$515,"*"&amp;AI9&amp;"*",$D$3:$D$515,"=0",$I$3:$I$515,"=0")</f>
        <v>0</v>
      </c>
      <c r="AL9" s="177"/>
      <c r="AM9" s="177" t="s">
        <v>3029</v>
      </c>
      <c r="AN9" s="183">
        <f>IF(AND(装备选择!BJ14&lt;15900,COUNTIF(装备选择!N14,"*大橙武*")&gt;0),1,0)*内置配装器+技能数据库!M66*自输入属性</f>
        <v>0</v>
      </c>
      <c r="AP9" t="s">
        <v>3231</v>
      </c>
      <c r="AU9" s="176" t="s">
        <v>2776</v>
      </c>
      <c r="AV9">
        <v>2</v>
      </c>
      <c r="AW9" s="176" t="s">
        <v>2768</v>
      </c>
      <c r="AX9">
        <v>2</v>
      </c>
      <c r="AY9" t="s">
        <v>2768</v>
      </c>
      <c r="AZ9">
        <v>2</v>
      </c>
      <c r="BA9" t="s">
        <v>2768</v>
      </c>
      <c r="BB9">
        <v>2</v>
      </c>
      <c r="BC9" t="s">
        <v>2776</v>
      </c>
      <c r="BD9">
        <v>2</v>
      </c>
      <c r="BE9" t="s">
        <v>3017</v>
      </c>
      <c r="BF9">
        <v>2</v>
      </c>
      <c r="BG9" s="176" t="s">
        <v>2768</v>
      </c>
      <c r="BH9">
        <v>2</v>
      </c>
      <c r="BI9" s="176" t="s">
        <v>3026</v>
      </c>
      <c r="BJ9">
        <v>2</v>
      </c>
      <c r="BK9" s="176" t="s">
        <v>2808</v>
      </c>
      <c r="BL9">
        <v>2</v>
      </c>
      <c r="BM9" s="176" t="s">
        <v>2768</v>
      </c>
      <c r="BN9">
        <v>2</v>
      </c>
      <c r="BO9" s="176" t="s">
        <v>2768</v>
      </c>
      <c r="BP9">
        <v>2</v>
      </c>
      <c r="BQ9" t="s">
        <v>2776</v>
      </c>
      <c r="BR9">
        <v>2</v>
      </c>
      <c r="BS9" s="182" t="s">
        <v>2776</v>
      </c>
      <c r="BT9">
        <v>2</v>
      </c>
      <c r="BU9" s="176" t="s">
        <v>2768</v>
      </c>
      <c r="BV9">
        <v>2</v>
      </c>
      <c r="BW9" s="182" t="s">
        <v>2768</v>
      </c>
      <c r="BX9" s="179">
        <v>2</v>
      </c>
      <c r="BY9" s="176" t="s">
        <v>2776</v>
      </c>
      <c r="BZ9">
        <v>2</v>
      </c>
      <c r="CA9" s="176" t="s">
        <v>2808</v>
      </c>
      <c r="CB9">
        <v>2</v>
      </c>
    </row>
    <row r="10" spans="1:80">
      <c r="A10" s="178">
        <f ca="1">IFERROR(IF(AG9&lt;5+金蛇*2,IF(COUNTIF(B9,"*轻*")&gt;0,A9+加速!$L$9,A9+加速!$L$11)+V9,""),"")</f>
        <v>9.03</v>
      </c>
      <c r="B10" s="167" t="str">
        <f ca="1" t="shared" si="0"/>
        <v>云飞玉皇-玉山揽云</v>
      </c>
      <c r="C10">
        <f ca="1" t="shared" si="10"/>
        <v>8.55</v>
      </c>
      <c r="D10">
        <f ca="1">IF(B10&lt;&gt;"",IF(C9&lt;=加速!$L$11*(1-E10),0,1),"")</f>
        <v>1</v>
      </c>
      <c r="E10">
        <f ca="1" t="shared" si="7"/>
        <v>1</v>
      </c>
      <c r="G10">
        <f ca="1" t="shared" si="8"/>
        <v>5</v>
      </c>
      <c r="H10">
        <f ca="1">IF(B10&lt;&gt;"",IF(AND(COUNTIF(B9,"*轻*莺鸣柳*")&gt;0,COUNTIF(B10,"*轻*")&lt;1),MAX(0,15+I9-(A10-A9)+COUNTIF(B9,"*平湖*")*0),IF(AND(E10=0,MAX(0,H9-(A10-A9))&lt;=加速!$H$11),0,MAX(0,H9-(A10-A9)))),"")</f>
        <v>0</v>
      </c>
      <c r="I10">
        <f ca="1" t="shared" si="14"/>
        <v>0</v>
      </c>
      <c r="J10">
        <f ca="1" t="shared" si="15"/>
        <v>0</v>
      </c>
      <c r="K10">
        <f ca="1" t="shared" si="1"/>
        <v>2</v>
      </c>
      <c r="L10">
        <f ca="1">IFERROR(IF(AND(COUNTIF(B10,"*-峰插*"),技能数据库!$M$72&gt;0),0,IF(COUNTIF(B10,"*鹤归*")&gt;0,16-加速!$L$11,MAX(0,L9-(A10-A9)))),0)</f>
        <v>0</v>
      </c>
      <c r="M10">
        <f ca="1" t="shared" si="3"/>
        <v>0</v>
      </c>
      <c r="N10">
        <f ca="1">IFERROR(IF(AND(COUNTIF(B10,"*-峰插*"),技能数据库!$M$72&gt;0),0,IF(COUNTIF(B10,"*云飞*")&gt;0,4-COUNTIF(B10,"*玉山揽云*")*4--COUNTIF(B10,"*烟流暮景*")*4-COUNTIF(B10,"*云景*")*加速!$L$11-IF(J10&gt;0,2,0),MAX(0,N9-(A10-A9)-IF(J10&gt;0,2,0)))),0)</f>
        <v>0</v>
      </c>
      <c r="O10">
        <f ca="1">IF(AND(COUNTIF(IF(AND(配装计算器!$K$30&lt;&gt;"∞",0),INDEX(AU9:CB9,1,$AT$1),INDEX(AU11:CB11,1,$AT$1)),"*云飞*")=1,COUNTIF(IF(AND(配装计算器!$K$30&lt;&gt;"∞",0),INDEX(AU9:CB9,1,$AT$1),INDEX(AU11:CB11,1,$AT$1)),"*玉山*")=0),N10,0)</f>
        <v>0</v>
      </c>
      <c r="P10">
        <f ca="1">IFERROR(IF(COUNTIF(B10,"*云栖松*")&gt;0,50-加速!$L$11,MAX(0,P9-(A10-A9))),0)</f>
        <v>0</v>
      </c>
      <c r="Q10">
        <f ca="1">IF(COUNTIF(IF(AND(配装计算器!$K$30&lt;&gt;"∞",0),INDEX(AU9:CB9,1,$AT$1),INDEX(AU11:CB11,1,$AT$1)),"*云栖松*")=1,P10,0)</f>
        <v>0</v>
      </c>
      <c r="R10">
        <f ca="1">IFERROR(IF(COUNTIF(B10,"*莺鸣柳*")&gt;0,45-加速!$L$9,MAX(0,R9-(A10-A9))),0)</f>
        <v>0</v>
      </c>
      <c r="S10">
        <f ca="1">IF(COUNTIF(IF(AND(配装计算器!$K$30&lt;&gt;"∞",0),INDEX(AU9:CB9,1,$AT$1),INDEX(AU11:CB11,1,$AT$1)),"*莺鸣柳*")=1,R10,0)</f>
        <v>0</v>
      </c>
      <c r="T10">
        <f ca="1" t="shared" si="11"/>
        <v>0</v>
      </c>
      <c r="U10">
        <f ca="1">IF(金蛇,IF(COUNTIF(B10,"*金环戴*")+COUNTIF(B10,"*吹风醒*")&gt;0,IF(A10&lt;=3,7.125-2.625-A10-加速!$L$11,7.125+加速!$K$9-(A10+加速!$L$11-T10)),0),0)+IF(金蛇,IF(COUNTIF(B10,"*千切子裂光*")&gt;0,2+加速!$K$9-(A10+加速!$L$11-T10),0),0)</f>
        <v>0</v>
      </c>
      <c r="V10">
        <f ca="1" t="shared" si="12"/>
        <v>0</v>
      </c>
      <c r="W10">
        <f ca="1" t="shared" si="4"/>
        <v>5</v>
      </c>
      <c r="X10">
        <f ca="1">INDEX(加速!$I$13:$I$21,W10+1)</f>
        <v>2</v>
      </c>
      <c r="Y10">
        <f ca="1" t="shared" si="13"/>
        <v>0.5</v>
      </c>
      <c r="Z10">
        <f ca="1" t="shared" si="9"/>
        <v>0</v>
      </c>
      <c r="AA10">
        <f ca="1">MAX(0,IFERROR(IF(COUNTIF(B10,"*叠*")&gt;0,IF(AC9&lt;3,8-A11+A10,AA9+6.875-A11+A10),AA9-A11+A10),AA9-加速!$L$11))</f>
        <v>2.84</v>
      </c>
      <c r="AB10">
        <f ca="1">MAX(0,IF(COUNTIF(IF(AND(配装计算器!$K$30&lt;&gt;"∞",0),INDEX(AU10:CB10,1,$AT$1),INDEX(AU10:CB10,1,$AT$1)),"*叠1*")=1,4*25-加速!$L$11,AB9-A10+A9)-IF(OR(COUNTIF(OFFSET(AT10,0,$AT$1,1,1),"*听雷*")&gt;0,AND(碧归&gt;0,COUNTIF(OFFSET(AT10,0,$AT$1,1,1),"*风来*")&gt;0)),0,1)*1.5)</f>
        <v>79.18</v>
      </c>
      <c r="AC10">
        <f ca="1" t="shared" si="5"/>
        <v>3</v>
      </c>
      <c r="AD10">
        <f ca="1">IF(COUNTIF(IF(AND(配装计算器!$K$30&lt;&gt;"∞",0),INDEX(AU10:CB10,1,$AT$1),INDEX(AU11:CB11,1,$AT$1)),"*叠1*")=1,AB10*0+AE9,0)</f>
        <v>0</v>
      </c>
      <c r="AE10">
        <f ca="1">IF($AN$11&gt;0,IF(COUNTIF(B11,"*叠1*")&gt;0,50-加速!$L$11,MAX(0,AE9-(A11-A10))),0)</f>
        <v>38.39</v>
      </c>
      <c r="AG10">
        <f ca="1" t="shared" si="6"/>
        <v>1</v>
      </c>
      <c r="AH10" t="s">
        <v>1028</v>
      </c>
      <c r="AI10" t="s">
        <v>2741</v>
      </c>
      <c r="AJ10">
        <f ca="1">长时间循环比*COUNTIFS($B$3:$B$515,"*"&amp;AI10&amp;"*",$D$3:$D$515,"=0",$I$3:$I$515,"&gt;0")</f>
        <v>0</v>
      </c>
      <c r="AK10" t="s">
        <v>2949</v>
      </c>
      <c r="AL10" s="177"/>
      <c r="AM10" s="177" t="s">
        <v>3031</v>
      </c>
      <c r="AN10" s="183">
        <f>IF(AND(装备选择!BJ13&gt;15900,COUNTIF(装备选择!N13,"*大橙武*")&gt;0),1,0)*内置配装器+技能数据库!M65*自输入属性</f>
        <v>1</v>
      </c>
      <c r="AU10" s="176" t="s">
        <v>2768</v>
      </c>
      <c r="AV10">
        <v>2</v>
      </c>
      <c r="AW10" s="176" t="s">
        <v>2776</v>
      </c>
      <c r="AX10">
        <v>2</v>
      </c>
      <c r="AY10" t="s">
        <v>2789</v>
      </c>
      <c r="AZ10">
        <v>2</v>
      </c>
      <c r="BA10" t="s">
        <v>2789</v>
      </c>
      <c r="BB10">
        <v>2</v>
      </c>
      <c r="BC10" t="s">
        <v>2789</v>
      </c>
      <c r="BD10">
        <v>2</v>
      </c>
      <c r="BE10" t="s">
        <v>2768</v>
      </c>
      <c r="BF10">
        <v>2</v>
      </c>
      <c r="BG10" s="176" t="s">
        <v>2789</v>
      </c>
      <c r="BH10">
        <v>2</v>
      </c>
      <c r="BI10" s="176" t="s">
        <v>3026</v>
      </c>
      <c r="BJ10">
        <v>2</v>
      </c>
      <c r="BK10" t="s">
        <v>2789</v>
      </c>
      <c r="BL10">
        <v>2</v>
      </c>
      <c r="BM10" s="176" t="s">
        <v>2776</v>
      </c>
      <c r="BN10">
        <v>2</v>
      </c>
      <c r="BO10" s="176" t="s">
        <v>2776</v>
      </c>
      <c r="BP10">
        <v>2</v>
      </c>
      <c r="BQ10" t="s">
        <v>2789</v>
      </c>
      <c r="BR10">
        <v>2</v>
      </c>
      <c r="BS10" s="182" t="s">
        <v>2768</v>
      </c>
      <c r="BT10">
        <v>2</v>
      </c>
      <c r="BU10" s="176" t="s">
        <v>2789</v>
      </c>
      <c r="BV10">
        <v>2</v>
      </c>
      <c r="BW10" s="182" t="s">
        <v>2776</v>
      </c>
      <c r="BX10" s="179">
        <v>2</v>
      </c>
      <c r="BY10" s="176" t="s">
        <v>2768</v>
      </c>
      <c r="BZ10">
        <v>2</v>
      </c>
      <c r="CA10" s="180" t="s">
        <v>2789</v>
      </c>
      <c r="CB10">
        <v>2</v>
      </c>
    </row>
    <row r="11" spans="1:80">
      <c r="A11" s="178">
        <f ca="1">IFERROR(IF(AG10&lt;5+金蛇*2,IF(COUNTIF(B10,"*轻*")&gt;0,A10+加速!$L$9,A10+加速!$L$11)+V10,""),"")</f>
        <v>10.32</v>
      </c>
      <c r="B11" s="167" t="str">
        <f ca="1" t="shared" si="0"/>
        <v>云飞玉皇-玉山揽云</v>
      </c>
      <c r="C11">
        <f ca="1" t="shared" si="10"/>
        <v>7.26</v>
      </c>
      <c r="D11">
        <f ca="1">IF(B11&lt;&gt;"",IF(C10&lt;=加速!$L$11*(1-E11),0,1),"")</f>
        <v>1</v>
      </c>
      <c r="E11">
        <f ca="1" t="shared" si="7"/>
        <v>1</v>
      </c>
      <c r="G11">
        <f ca="1" t="shared" si="8"/>
        <v>4</v>
      </c>
      <c r="H11">
        <f ca="1">IF(B11&lt;&gt;"",IF(AND(COUNTIF(B10,"*轻*莺鸣柳*")&gt;0,COUNTIF(B11,"*轻*")&lt;1),MAX(0,15+I10-(A11-A10)+COUNTIF(B10,"*平湖*")*0),IF(AND(E11=0,MAX(0,H10-(A11-A10))&lt;=加速!$H$11),0,MAX(0,H10-(A11-A10)))),"")</f>
        <v>0</v>
      </c>
      <c r="I11">
        <f ca="1" t="shared" si="14"/>
        <v>0</v>
      </c>
      <c r="J11">
        <f ca="1" t="shared" si="15"/>
        <v>0</v>
      </c>
      <c r="K11">
        <f ca="1" t="shared" si="1"/>
        <v>2</v>
      </c>
      <c r="L11">
        <f ca="1">IFERROR(IF(AND(COUNTIF(B11,"*-峰插*"),技能数据库!$M$72&gt;0),0,IF(COUNTIF(B11,"*鹤归*")&gt;0,16-加速!$L$11,MAX(0,L10-(A11-A10)))),0)</f>
        <v>0</v>
      </c>
      <c r="M11">
        <f ca="1" t="shared" si="3"/>
        <v>0</v>
      </c>
      <c r="N11">
        <f ca="1">IFERROR(IF(AND(COUNTIF(B11,"*-峰插*"),技能数据库!$M$72&gt;0),0,IF(COUNTIF(B11,"*云飞*")&gt;0,4-COUNTIF(B11,"*玉山揽云*")*4--COUNTIF(B11,"*烟流暮景*")*4-COUNTIF(B11,"*云景*")*加速!$L$11-IF(J11&gt;0,2,0),MAX(0,N10-(A11-A10)-IF(J11&gt;0,2,0)))),0)</f>
        <v>0</v>
      </c>
      <c r="O11">
        <f ca="1">IF(AND(COUNTIF(IF(AND(配装计算器!$K$30&lt;&gt;"∞",0),INDEX(AU10:CB10,1,$AT$1),INDEX(AU12:CB12,1,$AT$1)),"*云飞*")=1,COUNTIF(IF(AND(配装计算器!$K$30&lt;&gt;"∞",0),INDEX(AU10:CB10,1,$AT$1),INDEX(AU12:CB12,1,$AT$1)),"*玉山*")=0),N11,0)</f>
        <v>0</v>
      </c>
      <c r="P11">
        <f ca="1">IFERROR(IF(COUNTIF(B11,"*云栖松*")&gt;0,50-加速!$L$11,MAX(0,P10-(A11-A10))),0)</f>
        <v>0</v>
      </c>
      <c r="Q11">
        <f ca="1">IF(COUNTIF(IF(AND(配装计算器!$K$30&lt;&gt;"∞",0),INDEX(AU10:CB10,1,$AT$1),INDEX(AU12:CB12,1,$AT$1)),"*云栖松*")=1,P11,0)</f>
        <v>0</v>
      </c>
      <c r="R11">
        <f ca="1">IFERROR(IF(COUNTIF(B11,"*莺鸣柳*")&gt;0,45-加速!$L$9,MAX(0,R10-(A11-A10))),0)</f>
        <v>0</v>
      </c>
      <c r="S11">
        <f ca="1">IF(COUNTIF(IF(AND(配装计算器!$K$30&lt;&gt;"∞",0),INDEX(AU10:CB10,1,$AT$1),INDEX(AU12:CB12,1,$AT$1)),"*莺鸣柳*")=1,R11,0)</f>
        <v>0</v>
      </c>
      <c r="T11">
        <f ca="1" t="shared" si="11"/>
        <v>0</v>
      </c>
      <c r="U11">
        <f ca="1">IF(金蛇,IF(COUNTIF(B11,"*金环戴*")+COUNTIF(B11,"*吹风醒*")&gt;0,IF(A11&lt;=3,7.125-2.625-A11-加速!$L$11,7.125+加速!$K$9-(A11+加速!$L$11-T11)),0),0)+IF(金蛇,IF(COUNTIF(B11,"*千切子裂光*")&gt;0,2+加速!$K$9-(A11+加速!$L$11-T11),0),0)</f>
        <v>0</v>
      </c>
      <c r="V11">
        <f ca="1" t="shared" si="12"/>
        <v>0</v>
      </c>
      <c r="W11">
        <f ca="1" t="shared" si="4"/>
        <v>6</v>
      </c>
      <c r="X11">
        <f ca="1">INDEX(加速!$I$13:$I$21,W11+1)</f>
        <v>3</v>
      </c>
      <c r="Y11">
        <f ca="1" t="shared" si="13"/>
        <v>0.5</v>
      </c>
      <c r="Z11">
        <f ca="1" t="shared" si="9"/>
        <v>0</v>
      </c>
      <c r="AA11">
        <f ca="1">MAX(0,IFERROR(IF(COUNTIF(B11,"*叠*")&gt;0,IF(AC10&lt;3,8-A12+A11,AA10+6.875-A12+A11),AA10-A12+A11),AA10-加速!$L$11))</f>
        <v>1.55</v>
      </c>
      <c r="AB11">
        <f ca="1">MAX(0,IF(COUNTIF(IF(AND(配装计算器!$K$30&lt;&gt;"∞",0),INDEX(AU11:CB11,1,$AT$1),INDEX(AU11:CB11,1,$AT$1)),"*叠1*")=1,4*25-加速!$L$11,AB10-A11+A10)-IF(OR(COUNTIF(OFFSET(AT11,0,$AT$1,1,1),"*听雷*")&gt;0,AND(碧归&gt;0,COUNTIF(OFFSET(AT11,0,$AT$1,1,1),"*风来*")&gt;0)),0,1)*1.5)</f>
        <v>76.39</v>
      </c>
      <c r="AC11">
        <f ca="1" t="shared" si="5"/>
        <v>3</v>
      </c>
      <c r="AD11">
        <f ca="1">IF(COUNTIF(IF(AND(配装计算器!$K$30&lt;&gt;"∞",0),INDEX(AU11:CB11,1,$AT$1),INDEX(AU12:CB12,1,$AT$1)),"*叠1*")=1,AB11*0+AE10,0)</f>
        <v>0</v>
      </c>
      <c r="AE11">
        <f ca="1">IF($AN$11&gt;0,IF(COUNTIF(B12,"*叠1*")&gt;0,50-加速!$L$11,MAX(0,AE10-(A12-A11))),0)</f>
        <v>37.1</v>
      </c>
      <c r="AG11">
        <f ca="1" t="shared" si="6"/>
        <v>1</v>
      </c>
      <c r="AH11" t="s">
        <v>1028</v>
      </c>
      <c r="AI11" t="s">
        <v>2741</v>
      </c>
      <c r="AJ11">
        <f ca="1">长时间循环比*COUNTIFS($B$3:$B$515,"*"&amp;AI11&amp;"*",$D$3:$D$515,"&gt;0",$I$3:$I$515,"&gt;0")</f>
        <v>0</v>
      </c>
      <c r="AK11" t="s">
        <v>3014</v>
      </c>
      <c r="AL11" s="177"/>
      <c r="AM11" s="177" t="s">
        <v>3032</v>
      </c>
      <c r="AN11" s="183">
        <f>IF(AND(装备选择!BJ14&gt;15900,COUNTIF(装备选择!N14,"*大橙武*")&gt;0),1,0)*内置配装器+技能数据库!M66*自输入属性</f>
        <v>1</v>
      </c>
      <c r="AU11" s="176" t="s">
        <v>2776</v>
      </c>
      <c r="AV11">
        <v>2</v>
      </c>
      <c r="AW11" s="176" t="s">
        <v>2768</v>
      </c>
      <c r="AX11">
        <v>2</v>
      </c>
      <c r="AY11" t="s">
        <v>2776</v>
      </c>
      <c r="AZ11">
        <v>2</v>
      </c>
      <c r="BA11" t="s">
        <v>2776</v>
      </c>
      <c r="BB11">
        <v>2</v>
      </c>
      <c r="BC11" t="s">
        <v>2794</v>
      </c>
      <c r="BD11">
        <v>2</v>
      </c>
      <c r="BE11" t="s">
        <v>3023</v>
      </c>
      <c r="BF11">
        <v>2</v>
      </c>
      <c r="BG11" s="176" t="s">
        <v>2776</v>
      </c>
      <c r="BH11">
        <v>2</v>
      </c>
      <c r="BI11" s="176" t="s">
        <v>3026</v>
      </c>
      <c r="BJ11">
        <v>2</v>
      </c>
      <c r="BK11" t="s">
        <v>2776</v>
      </c>
      <c r="BL11">
        <v>2</v>
      </c>
      <c r="BM11" s="176" t="s">
        <v>2768</v>
      </c>
      <c r="BN11">
        <v>2</v>
      </c>
      <c r="BO11" s="176" t="s">
        <v>2768</v>
      </c>
      <c r="BP11">
        <v>2</v>
      </c>
      <c r="BQ11" t="s">
        <v>2768</v>
      </c>
      <c r="BR11">
        <v>2</v>
      </c>
      <c r="BS11" s="182" t="s">
        <v>3085</v>
      </c>
      <c r="BT11">
        <v>2</v>
      </c>
      <c r="BU11" s="176" t="s">
        <v>2776</v>
      </c>
      <c r="BV11">
        <v>2</v>
      </c>
      <c r="BW11" s="182" t="s">
        <v>2768</v>
      </c>
      <c r="BX11" s="179">
        <v>2</v>
      </c>
      <c r="BY11" s="176" t="s">
        <v>2776</v>
      </c>
      <c r="BZ11">
        <v>2</v>
      </c>
      <c r="CA11" t="s">
        <v>2776</v>
      </c>
      <c r="CB11">
        <v>2</v>
      </c>
    </row>
    <row r="12" spans="1:80">
      <c r="A12" s="178">
        <f ca="1">IFERROR(IF(AG11&lt;5+金蛇*2,IF(COUNTIF(B11,"*轻*")&gt;0,A11+加速!$L$9,A11+加速!$L$11)+V11,""),"")</f>
        <v>11.61</v>
      </c>
      <c r="B12" s="167" t="str">
        <f ca="1" t="shared" si="0"/>
        <v>云飞玉皇-玉山揽云-叠</v>
      </c>
      <c r="C12">
        <f ca="1" t="shared" si="10"/>
        <v>5.97</v>
      </c>
      <c r="D12">
        <f ca="1">IF(B12&lt;&gt;"",IF(C11&lt;=加速!$L$11*(1-E12),0,1),"")</f>
        <v>1</v>
      </c>
      <c r="E12">
        <f ca="1" t="shared" si="7"/>
        <v>1</v>
      </c>
      <c r="G12">
        <f ca="1" t="shared" si="8"/>
        <v>3</v>
      </c>
      <c r="H12">
        <f ca="1">IF(B12&lt;&gt;"",IF(AND(COUNTIF(B11,"*轻*莺鸣柳*")&gt;0,COUNTIF(B12,"*轻*")&lt;1),MAX(0,15+I11-(A12-A11)+COUNTIF(B11,"*平湖*")*0),IF(AND(E12=0,MAX(0,H11-(A12-A11))&lt;=加速!$H$11),0,MAX(0,H11-(A12-A11)))),"")</f>
        <v>0</v>
      </c>
      <c r="I12">
        <f ca="1" t="shared" si="14"/>
        <v>0</v>
      </c>
      <c r="J12">
        <f ca="1" t="shared" si="15"/>
        <v>0</v>
      </c>
      <c r="K12">
        <f ca="1" t="shared" si="1"/>
        <v>2</v>
      </c>
      <c r="L12">
        <f ca="1">IFERROR(IF(AND(COUNTIF(B12,"*-峰插*"),技能数据库!$M$72&gt;0),0,IF(COUNTIF(B12,"*鹤归*")&gt;0,16-加速!$L$11,MAX(0,L11-(A12-A11)))),0)</f>
        <v>0</v>
      </c>
      <c r="M12">
        <f ca="1" t="shared" si="3"/>
        <v>0</v>
      </c>
      <c r="N12">
        <f ca="1">IFERROR(IF(AND(COUNTIF(B12,"*-峰插*"),技能数据库!$M$72&gt;0),0,IF(COUNTIF(B12,"*云飞*")&gt;0,4-COUNTIF(B12,"*玉山揽云*")*4--COUNTIF(B12,"*烟流暮景*")*4-COUNTIF(B12,"*云景*")*加速!$L$11-IF(J12&gt;0,2,0),MAX(0,N11-(A12-A11)-IF(J12&gt;0,2,0)))),0)</f>
        <v>0</v>
      </c>
      <c r="O12">
        <f ca="1">IF(AND(COUNTIF(IF(AND(配装计算器!$K$30&lt;&gt;"∞",0),INDEX(AU11:CB11,1,$AT$1),INDEX(AU13:CB13,1,$AT$1)),"*云飞*")=1,COUNTIF(IF(AND(配装计算器!$K$30&lt;&gt;"∞",0),INDEX(AU11:CB11,1,$AT$1),INDEX(AU13:CB13,1,$AT$1)),"*玉山*")=0),N12,0)</f>
        <v>0</v>
      </c>
      <c r="P12">
        <f ca="1">IFERROR(IF(COUNTIF(B12,"*云栖松*")&gt;0,50-加速!$L$11,MAX(0,P11-(A12-A11))),0)</f>
        <v>0</v>
      </c>
      <c r="Q12">
        <f ca="1">IF(COUNTIF(IF(AND(配装计算器!$K$30&lt;&gt;"∞",0),INDEX(AU11:CB11,1,$AT$1),INDEX(AU13:CB13,1,$AT$1)),"*云栖松*")=1,P12,0)</f>
        <v>0</v>
      </c>
      <c r="R12">
        <f ca="1">IFERROR(IF(COUNTIF(B12,"*莺鸣柳*")&gt;0,45-加速!$L$9,MAX(0,R11-(A12-A11))),0)</f>
        <v>0</v>
      </c>
      <c r="S12">
        <f ca="1">IF(COUNTIF(IF(AND(配装计算器!$K$30&lt;&gt;"∞",0),INDEX(AU11:CB11,1,$AT$1),INDEX(AU13:CB13,1,$AT$1)),"*莺鸣柳*")=1,R12,0)</f>
        <v>0</v>
      </c>
      <c r="T12">
        <f ca="1" t="shared" si="11"/>
        <v>0</v>
      </c>
      <c r="U12">
        <f ca="1">IF(金蛇,IF(COUNTIF(B12,"*金环戴*")+COUNTIF(B12,"*吹风醒*")&gt;0,IF(A12&lt;=3,7.125-2.625-A12-加速!$L$11,7.125+加速!$K$9-(A12+加速!$L$11-T12)),0),0)+IF(金蛇,IF(COUNTIF(B12,"*千切子裂光*")&gt;0,2+加速!$K$9-(A12+加速!$L$11-T12),0),0)</f>
        <v>0</v>
      </c>
      <c r="V12">
        <f ca="1" t="shared" si="12"/>
        <v>0</v>
      </c>
      <c r="W12">
        <f ca="1" t="shared" si="4"/>
        <v>7</v>
      </c>
      <c r="X12">
        <f ca="1">INDEX(加速!$I$13:$I$21,W12+1)</f>
        <v>2</v>
      </c>
      <c r="Y12">
        <f ca="1" t="shared" si="13"/>
        <v>0.5</v>
      </c>
      <c r="Z12">
        <f ca="1" t="shared" si="9"/>
        <v>0</v>
      </c>
      <c r="AA12">
        <f ca="1">MAX(0,IFERROR(IF(COUNTIF(B12,"*叠*")&gt;0,IF(AC11&lt;3,8-A13+A12,AA11+6.875-A13+A12),AA11-A13+A12),AA11-加速!$L$11))</f>
        <v>7.135</v>
      </c>
      <c r="AB12">
        <f ca="1">MAX(0,IF(COUNTIF(IF(AND(配装计算器!$K$30&lt;&gt;"∞",0),INDEX(AU12:CB12,1,$AT$1),INDEX(AU12:CB12,1,$AT$1)),"*叠1*")=1,4*25-加速!$L$11,AB11-A12+A11)-IF(OR(COUNTIF(OFFSET(AT12,0,$AT$1,1,1),"*听雷*")&gt;0,AND(碧归&gt;0,COUNTIF(OFFSET(AT12,0,$AT$1,1,1),"*风来*")&gt;0)),0,1)*1.5)</f>
        <v>73.6</v>
      </c>
      <c r="AC12">
        <f ca="1" t="shared" si="5"/>
        <v>3</v>
      </c>
      <c r="AD12">
        <f ca="1">IF(COUNTIF(IF(AND(配装计算器!$K$30&lt;&gt;"∞",0),INDEX(AU12:CB12,1,$AT$1),INDEX(AU13:CB13,1,$AT$1)),"*叠1*")=1,AB12*0+AE11,0)</f>
        <v>0</v>
      </c>
      <c r="AE12">
        <f ca="1">IF($AN$11&gt;0,IF(COUNTIF(B13,"*叠1*")&gt;0,50-加速!$L$11,MAX(0,AE11-(A13-A12))),0)</f>
        <v>35.81</v>
      </c>
      <c r="AG12">
        <f ca="1" t="shared" si="6"/>
        <v>1</v>
      </c>
      <c r="AH12" t="s">
        <v>1028</v>
      </c>
      <c r="AI12" t="s">
        <v>2754</v>
      </c>
      <c r="AJ12">
        <f ca="1">AJ2*2+AJ9*2</f>
        <v>0</v>
      </c>
      <c r="AL12" s="177"/>
      <c r="AM12" s="167" t="s">
        <v>3033</v>
      </c>
      <c r="AN12" s="183">
        <f ca="1">COUNTIF($B$3:$B$515,"*云飞*")+COUNTIF($B$3:$B$515,"*夕照*")+COUNTIF($B$3:$B$515,"*鹤归*")+COUNTIF($B$3:$B$515,"*风来*")</f>
        <v>148</v>
      </c>
      <c r="AO12" s="167" t="s">
        <v>3034</v>
      </c>
      <c r="AU12" s="176" t="s">
        <v>2768</v>
      </c>
      <c r="AV12">
        <v>2</v>
      </c>
      <c r="AW12" s="176" t="s">
        <v>2808</v>
      </c>
      <c r="AX12">
        <v>2</v>
      </c>
      <c r="AY12" t="s">
        <v>3035</v>
      </c>
      <c r="AZ12">
        <v>2</v>
      </c>
      <c r="BA12" t="s">
        <v>3035</v>
      </c>
      <c r="BB12">
        <v>2</v>
      </c>
      <c r="BC12" s="182" t="s">
        <v>3036</v>
      </c>
      <c r="BD12">
        <v>2</v>
      </c>
      <c r="BE12" s="182" t="s">
        <v>2768</v>
      </c>
      <c r="BF12">
        <v>2</v>
      </c>
      <c r="BG12" s="176" t="s">
        <v>3035</v>
      </c>
      <c r="BH12">
        <v>2</v>
      </c>
      <c r="BI12" s="176" t="s">
        <v>3036</v>
      </c>
      <c r="BJ12">
        <v>2</v>
      </c>
      <c r="BK12" s="180" t="s">
        <v>3036</v>
      </c>
      <c r="BL12">
        <v>2</v>
      </c>
      <c r="BM12" s="176" t="s">
        <v>2808</v>
      </c>
      <c r="BN12">
        <v>2</v>
      </c>
      <c r="BO12" s="176" t="s">
        <v>2808</v>
      </c>
      <c r="BP12">
        <v>2</v>
      </c>
      <c r="BQ12" t="s">
        <v>3035</v>
      </c>
      <c r="BR12">
        <v>2</v>
      </c>
      <c r="BS12" s="182" t="s">
        <v>3084</v>
      </c>
      <c r="BT12">
        <v>2</v>
      </c>
      <c r="BU12" s="176" t="s">
        <v>3035</v>
      </c>
      <c r="BV12">
        <v>2</v>
      </c>
      <c r="BW12" s="182" t="s">
        <v>2808</v>
      </c>
      <c r="BX12" s="179">
        <v>2</v>
      </c>
      <c r="BY12" s="176" t="s">
        <v>2768</v>
      </c>
      <c r="BZ12">
        <v>2</v>
      </c>
      <c r="CA12" t="s">
        <v>2768</v>
      </c>
      <c r="CB12">
        <v>2</v>
      </c>
    </row>
    <row r="13" spans="1:80">
      <c r="A13" s="178">
        <f ca="1">IFERROR(IF(AG12&lt;5+金蛇*2,IF(COUNTIF(B12,"*轻*")&gt;0,A12+加速!$L$9,A12+加速!$L$11)+V12,""),"")</f>
        <v>12.9</v>
      </c>
      <c r="B13" s="167" t="str">
        <f ca="1" t="shared" si="0"/>
        <v>鹤归孤山</v>
      </c>
      <c r="C13">
        <f ca="1" t="shared" si="10"/>
        <v>4.68000000000001</v>
      </c>
      <c r="D13">
        <f ca="1">IF(B13&lt;&gt;"",IF(C12&lt;=加速!$L$11*(1-E13),0,1),"")</f>
        <v>1</v>
      </c>
      <c r="E13">
        <f ca="1" t="shared" si="7"/>
        <v>1</v>
      </c>
      <c r="G13">
        <f ca="1" t="shared" si="8"/>
        <v>2</v>
      </c>
      <c r="H13">
        <f ca="1">IF(B13&lt;&gt;"",IF(AND(COUNTIF(B12,"*轻*莺鸣柳*")&gt;0,COUNTIF(B13,"*轻*")&lt;1),MAX(0,15+I12-(A13-A12)+COUNTIF(B12,"*平湖*")*0),IF(AND(E13=0,MAX(0,H12-(A13-A12))&lt;=加速!$H$11),0,MAX(0,H12-(A13-A12)))),"")</f>
        <v>0</v>
      </c>
      <c r="I13">
        <f ca="1" t="shared" si="14"/>
        <v>0</v>
      </c>
      <c r="J13">
        <f ca="1" t="shared" si="15"/>
        <v>0</v>
      </c>
      <c r="K13">
        <f ca="1" t="shared" si="1"/>
        <v>2</v>
      </c>
      <c r="L13">
        <f ca="1">IFERROR(IF(AND(COUNTIF(B13,"*-峰插*"),技能数据库!$M$72&gt;0),0,IF(COUNTIF(B13,"*鹤归*")&gt;0,16-加速!$L$11,MAX(0,L12-(A13-A12)))),0)</f>
        <v>14.71</v>
      </c>
      <c r="M13">
        <f ca="1" t="shared" si="3"/>
        <v>0</v>
      </c>
      <c r="N13">
        <f ca="1">IFERROR(IF(AND(COUNTIF(B13,"*-峰插*"),技能数据库!$M$72&gt;0),0,IF(COUNTIF(B13,"*云飞*")&gt;0,4-COUNTIF(B13,"*玉山揽云*")*4--COUNTIF(B13,"*烟流暮景*")*4-COUNTIF(B13,"*云景*")*加速!$L$11-IF(J13&gt;0,2,0),MAX(0,N12-(A13-A12)-IF(J13&gt;0,2,0)))),0)</f>
        <v>0</v>
      </c>
      <c r="O13">
        <f ca="1">IF(AND(COUNTIF(IF(AND(配装计算器!$K$30&lt;&gt;"∞",0),INDEX(AU12:CB12,1,$AT$1),INDEX(AU14:CB14,1,$AT$1)),"*云飞*")=1,COUNTIF(IF(AND(配装计算器!$K$30&lt;&gt;"∞",0),INDEX(AU12:CB12,1,$AT$1),INDEX(AU14:CB14,1,$AT$1)),"*玉山*")=0),N13,0)</f>
        <v>0</v>
      </c>
      <c r="P13">
        <f ca="1">IFERROR(IF(COUNTIF(B13,"*云栖松*")&gt;0,50-加速!$L$11,MAX(0,P12-(A13-A12))),0)</f>
        <v>0</v>
      </c>
      <c r="Q13">
        <f ca="1">IF(COUNTIF(IF(AND(配装计算器!$K$30&lt;&gt;"∞",0),INDEX(AU12:CB12,1,$AT$1),INDEX(AU14:CB14,1,$AT$1)),"*云栖松*")=1,P13,0)</f>
        <v>0</v>
      </c>
      <c r="R13">
        <f ca="1">IFERROR(IF(COUNTIF(B13,"*莺鸣柳*")&gt;0,45-加速!$L$9,MAX(0,R12-(A13-A12))),0)</f>
        <v>0</v>
      </c>
      <c r="S13">
        <f ca="1">IF(COUNTIF(IF(AND(配装计算器!$K$30&lt;&gt;"∞",0),INDEX(AU12:CB12,1,$AT$1),INDEX(AU14:CB14,1,$AT$1)),"*莺鸣柳*")=1,R13,0)</f>
        <v>0</v>
      </c>
      <c r="T13">
        <f ca="1" t="shared" si="11"/>
        <v>0</v>
      </c>
      <c r="U13">
        <f ca="1">IF(金蛇,IF(COUNTIF(B13,"*金环戴*")+COUNTIF(B13,"*吹风醒*")&gt;0,IF(A13&lt;=3,7.125-2.625-A13-加速!$L$11,7.125+加速!$K$9-(A13+加速!$L$11-T13)),0),0)+IF(金蛇,IF(COUNTIF(B13,"*千切子裂光*")&gt;0,2+加速!$K$9-(A13+加速!$L$11-T13),0),0)</f>
        <v>0</v>
      </c>
      <c r="V13">
        <f ca="1" t="shared" si="12"/>
        <v>0</v>
      </c>
      <c r="W13">
        <f ca="1" t="shared" si="4"/>
        <v>0</v>
      </c>
      <c r="X13">
        <f ca="1">INDEX(加速!$I$13:$I$21,W13+1)</f>
        <v>0</v>
      </c>
      <c r="Y13">
        <f ca="1" t="shared" si="13"/>
        <v>0.5</v>
      </c>
      <c r="Z13">
        <f ca="1" t="shared" si="9"/>
        <v>0</v>
      </c>
      <c r="AA13">
        <f ca="1">MAX(0,IFERROR(IF(COUNTIF(B13,"*叠*")&gt;0,IF(AC12&lt;3,8-A14+A13,AA12+6.875-A14+A13),AA12-A14+A13),AA12-加速!$L$11))</f>
        <v>5.845</v>
      </c>
      <c r="AB13">
        <f ca="1">MAX(0,IF(COUNTIF(IF(AND(配装计算器!$K$30&lt;&gt;"∞",0),INDEX(AU13:CB13,1,$AT$1),INDEX(AU13:CB13,1,$AT$1)),"*叠1*")=1,4*25-加速!$L$11,AB12-A13+A12)-IF(OR(COUNTIF(OFFSET(AT13,0,$AT$1,1,1),"*听雷*")&gt;0,AND(碧归&gt;0,COUNTIF(OFFSET(AT13,0,$AT$1,1,1),"*风来*")&gt;0)),0,1)*1.5)</f>
        <v>70.81</v>
      </c>
      <c r="AC13">
        <f ca="1" t="shared" si="5"/>
        <v>3</v>
      </c>
      <c r="AD13">
        <f ca="1">IF(COUNTIF(IF(AND(配装计算器!$K$30&lt;&gt;"∞",0),INDEX(AU13:CB13,1,$AT$1),INDEX(AU14:CB14,1,$AT$1)),"*叠1*")=1,AB13*0+AE12,0)</f>
        <v>0</v>
      </c>
      <c r="AE13">
        <f ca="1">IF($AN$11&gt;0,IF(COUNTIF(B14,"*叠1*")&gt;0,50-加速!$L$11,MAX(0,AE12-(A14-A13))),0)</f>
        <v>34.52</v>
      </c>
      <c r="AG13">
        <f ca="1" t="shared" si="6"/>
        <v>1</v>
      </c>
      <c r="AH13" t="s">
        <v>1028</v>
      </c>
      <c r="AI13" t="s">
        <v>2754</v>
      </c>
      <c r="AJ13">
        <f ca="1">AJ3*2</f>
        <v>8</v>
      </c>
      <c r="AK13" t="s">
        <v>2750</v>
      </c>
      <c r="AL13" s="177"/>
      <c r="AM13" s="183" t="s">
        <v>3037</v>
      </c>
      <c r="AN13" s="184">
        <f ca="1">(COUNTIF($B$3:$B$515,"*鹤归*")+COUNTIF($B$3:$B$515,"*云景*"))/AN12</f>
        <v>0.128378378378378</v>
      </c>
      <c r="AO13" s="167">
        <f>INT((6-1.3125)/1.3125)+1</f>
        <v>4</v>
      </c>
      <c r="AU13" s="176" t="s">
        <v>2776</v>
      </c>
      <c r="AV13">
        <v>2</v>
      </c>
      <c r="AW13" t="str">
        <f>IF($AR$11=1,"云飞玉皇-玉山揽云","夕照雷峰")</f>
        <v>夕照雷峰</v>
      </c>
      <c r="AX13">
        <v>2</v>
      </c>
      <c r="AY13" t="s">
        <v>2768</v>
      </c>
      <c r="AZ13">
        <v>2</v>
      </c>
      <c r="BA13" t="s">
        <v>2768</v>
      </c>
      <c r="BB13">
        <v>2</v>
      </c>
      <c r="BC13" s="176" t="s">
        <v>3026</v>
      </c>
      <c r="BD13">
        <v>2</v>
      </c>
      <c r="BE13" s="176" t="s">
        <v>2768</v>
      </c>
      <c r="BF13">
        <v>2</v>
      </c>
      <c r="BG13" t="s">
        <v>2768</v>
      </c>
      <c r="BH13">
        <v>2</v>
      </c>
      <c r="BI13" t="s">
        <v>2794</v>
      </c>
      <c r="BJ13">
        <v>2</v>
      </c>
      <c r="BK13" t="s">
        <v>3026</v>
      </c>
      <c r="BL13">
        <v>2</v>
      </c>
      <c r="BM13" t="s">
        <v>2768</v>
      </c>
      <c r="BN13">
        <v>2</v>
      </c>
      <c r="BO13" t="s">
        <v>2768</v>
      </c>
      <c r="BP13">
        <v>2</v>
      </c>
      <c r="BQ13" t="s">
        <v>2776</v>
      </c>
      <c r="BR13">
        <v>2</v>
      </c>
      <c r="BS13" s="176" t="s">
        <v>2768</v>
      </c>
      <c r="BT13">
        <v>2</v>
      </c>
      <c r="BU13" t="s">
        <v>2768</v>
      </c>
      <c r="BV13">
        <v>2</v>
      </c>
      <c r="BW13" s="179" t="s">
        <v>2768</v>
      </c>
      <c r="BX13" s="179">
        <v>2</v>
      </c>
      <c r="BY13" s="176" t="s">
        <v>2808</v>
      </c>
      <c r="BZ13">
        <v>2</v>
      </c>
      <c r="CA13" t="s">
        <v>2768</v>
      </c>
      <c r="CB13">
        <v>2</v>
      </c>
    </row>
    <row r="14" spans="1:80">
      <c r="A14" s="178">
        <f ca="1">IFERROR(IF(AG13&lt;5+金蛇*2,IF(COUNTIF(B13,"*轻*")&gt;0,A13+加速!$L$9,A13+加速!$L$11)+V13,""),"")</f>
        <v>14.19</v>
      </c>
      <c r="B14" s="167" t="str">
        <f ca="1" t="shared" si="0"/>
        <v>云飞玉皇</v>
      </c>
      <c r="C14">
        <f ca="1" t="shared" si="10"/>
        <v>3.39000000000001</v>
      </c>
      <c r="D14">
        <f ca="1">IF(B14&lt;&gt;"",IF(C13&lt;=加速!$L$11*(1-E14),0,1),"")</f>
        <v>1</v>
      </c>
      <c r="E14">
        <f ca="1" t="shared" si="7"/>
        <v>0</v>
      </c>
      <c r="G14">
        <f ca="1" t="shared" si="8"/>
        <v>1</v>
      </c>
      <c r="H14">
        <f ca="1">IF(B14&lt;&gt;"",IF(AND(COUNTIF(B13,"*轻*莺鸣柳*")&gt;0,COUNTIF(B14,"*轻*")&lt;1),MAX(0,15+I13-(A14-A13)+COUNTIF(B13,"*平湖*")*0),IF(AND(E14=0,MAX(0,H13-(A14-A13))&lt;=加速!$H$11),0,MAX(0,H13-(A14-A13)))),"")</f>
        <v>0</v>
      </c>
      <c r="I14">
        <f ca="1" t="shared" si="14"/>
        <v>0</v>
      </c>
      <c r="J14">
        <f ca="1" t="shared" si="15"/>
        <v>4</v>
      </c>
      <c r="K14">
        <f ca="1" t="shared" si="1"/>
        <v>2</v>
      </c>
      <c r="L14">
        <f ca="1">IFERROR(IF(AND(COUNTIF(B14,"*-峰插*"),技能数据库!$M$72&gt;0),0,IF(COUNTIF(B14,"*鹤归*")&gt;0,16-加速!$L$11,MAX(0,L13-(A14-A13)))),0)</f>
        <v>13.42</v>
      </c>
      <c r="M14">
        <f ca="1" t="shared" si="3"/>
        <v>0</v>
      </c>
      <c r="N14">
        <f ca="1">IFERROR(IF(AND(COUNTIF(B14,"*-峰插*"),技能数据库!$M$72&gt;0),0,IF(COUNTIF(B14,"*云飞*")&gt;0,4-COUNTIF(B14,"*玉山揽云*")*4--COUNTIF(B14,"*烟流暮景*")*4-COUNTIF(B14,"*云景*")*加速!$L$11-IF(J14&gt;0,2,0),MAX(0,N13-(A14-A13)-IF(J14&gt;0,2,0)))),0)</f>
        <v>2</v>
      </c>
      <c r="O14">
        <f ca="1">IF(AND(COUNTIF(IF(AND(配装计算器!$K$30&lt;&gt;"∞",0),INDEX(AU13:CB13,1,$AT$1),INDEX(AU15:CB15,1,$AT$1)),"*云飞*")=1,COUNTIF(IF(AND(配装计算器!$K$30&lt;&gt;"∞",0),INDEX(AU13:CB13,1,$AT$1),INDEX(AU15:CB15,1,$AT$1)),"*玉山*")=0),N14,0)</f>
        <v>0</v>
      </c>
      <c r="P14">
        <f ca="1">IFERROR(IF(COUNTIF(B14,"*云栖松*")&gt;0,50-加速!$L$11,MAX(0,P13-(A14-A13))),0)</f>
        <v>0</v>
      </c>
      <c r="Q14">
        <f ca="1">IF(COUNTIF(IF(AND(配装计算器!$K$30&lt;&gt;"∞",0),INDEX(AU13:CB13,1,$AT$1),INDEX(AU15:CB15,1,$AT$1)),"*云栖松*")=1,P14,0)</f>
        <v>0</v>
      </c>
      <c r="R14">
        <f ca="1">IFERROR(IF(COUNTIF(B14,"*莺鸣柳*")&gt;0,45-加速!$L$9,MAX(0,R13-(A14-A13))),0)</f>
        <v>0</v>
      </c>
      <c r="S14">
        <f ca="1">IF(COUNTIF(IF(AND(配装计算器!$K$30&lt;&gt;"∞",0),INDEX(AU13:CB13,1,$AT$1),INDEX(AU15:CB15,1,$AT$1)),"*莺鸣柳*")=1,R14,0)</f>
        <v>0</v>
      </c>
      <c r="T14">
        <f ca="1" t="shared" si="11"/>
        <v>0</v>
      </c>
      <c r="U14">
        <f ca="1">IF(金蛇,IF(COUNTIF(B14,"*金环戴*")+COUNTIF(B14,"*吹风醒*")&gt;0,IF(A14&lt;=3,7.125-2.625-A14-加速!$L$11,7.125+加速!$K$9-(A14+加速!$L$11-T14)),0),0)+IF(金蛇,IF(COUNTIF(B14,"*千切子裂光*")&gt;0,2+加速!$K$9-(A14+加速!$L$11-T14),0),0)</f>
        <v>0</v>
      </c>
      <c r="V14">
        <f ca="1" t="shared" si="12"/>
        <v>0</v>
      </c>
      <c r="W14">
        <f ca="1" t="shared" si="4"/>
        <v>0</v>
      </c>
      <c r="X14">
        <f ca="1">INDEX(加速!$I$13:$I$21,W14+1)</f>
        <v>0</v>
      </c>
      <c r="Y14">
        <f ca="1" t="shared" si="13"/>
        <v>0.5</v>
      </c>
      <c r="Z14">
        <f ca="1" t="shared" si="9"/>
        <v>0</v>
      </c>
      <c r="AA14">
        <f ca="1">MAX(0,IFERROR(IF(COUNTIF(B14,"*叠*")&gt;0,IF(AC13&lt;3,8-A15+A14,AA13+6.875-A15+A14),AA13-A15+A14),AA13-加速!$L$11))</f>
        <v>4.555</v>
      </c>
      <c r="AB14">
        <f ca="1">MAX(0,IF(COUNTIF(IF(AND(配装计算器!$K$30&lt;&gt;"∞",0),INDEX(AU14:CB14,1,$AT$1),INDEX(AU14:CB14,1,$AT$1)),"*叠1*")=1,4*25-加速!$L$11,AB13-A14+A13)-IF(OR(COUNTIF(OFFSET(AT14,0,$AT$1,1,1),"*听雷*")&gt;0,AND(碧归&gt;0,COUNTIF(OFFSET(AT14,0,$AT$1,1,1),"*风来*")&gt;0)),0,1)*1.5)</f>
        <v>68.02</v>
      </c>
      <c r="AC14">
        <f ca="1" t="shared" si="5"/>
        <v>3</v>
      </c>
      <c r="AD14">
        <f ca="1">IF(COUNTIF(IF(AND(配装计算器!$K$30&lt;&gt;"∞",0),INDEX(AU14:CB14,1,$AT$1),INDEX(AU15:CB15,1,$AT$1)),"*叠1*")=1,AB14*0+AE13,0)</f>
        <v>0</v>
      </c>
      <c r="AE14">
        <f ca="1">IF($AN$11&gt;0,IF(COUNTIF(B15,"*叠1*")&gt;0,50-加速!$L$11,MAX(0,AE13-(A15-A14))),0)</f>
        <v>33.23</v>
      </c>
      <c r="AG14">
        <f ca="1" t="shared" si="6"/>
        <v>1</v>
      </c>
      <c r="AH14" t="s">
        <v>1028</v>
      </c>
      <c r="AI14" t="s">
        <v>2754</v>
      </c>
      <c r="AJ14">
        <f ca="1">AJ4+AJ10*2</f>
        <v>0</v>
      </c>
      <c r="AK14" t="s">
        <v>2949</v>
      </c>
      <c r="AM14" s="167" t="s">
        <v>3038</v>
      </c>
      <c r="AN14" s="185">
        <f ca="1">1-AN13</f>
        <v>0.871621621621622</v>
      </c>
      <c r="AO14" s="167">
        <f>INT((6)/1.3125)+1</f>
        <v>5</v>
      </c>
      <c r="AU14" t="s">
        <v>2768</v>
      </c>
      <c r="AV14">
        <v>2</v>
      </c>
      <c r="AW14" t="str">
        <f>IF($AR$11=1,"云飞玉皇-玉山揽云","云飞玉皇")</f>
        <v>云飞玉皇</v>
      </c>
      <c r="AX14">
        <v>2</v>
      </c>
      <c r="AY14" t="s">
        <v>2776</v>
      </c>
      <c r="AZ14">
        <v>2</v>
      </c>
      <c r="BA14" t="s">
        <v>2776</v>
      </c>
      <c r="BB14">
        <v>2</v>
      </c>
      <c r="BC14" s="176" t="s">
        <v>3026</v>
      </c>
      <c r="BD14">
        <v>2</v>
      </c>
      <c r="BE14" s="176" t="s">
        <v>2789</v>
      </c>
      <c r="BF14">
        <v>2</v>
      </c>
      <c r="BG14" t="s">
        <v>2776</v>
      </c>
      <c r="BH14">
        <v>2</v>
      </c>
      <c r="BI14" t="s">
        <v>2776</v>
      </c>
      <c r="BJ14">
        <v>2</v>
      </c>
      <c r="BK14" t="s">
        <v>3026</v>
      </c>
      <c r="BL14">
        <v>2</v>
      </c>
      <c r="BM14" t="s">
        <v>2776</v>
      </c>
      <c r="BN14">
        <v>2</v>
      </c>
      <c r="BO14" t="s">
        <v>2776</v>
      </c>
      <c r="BP14">
        <v>2</v>
      </c>
      <c r="BQ14" t="s">
        <v>2768</v>
      </c>
      <c r="BR14">
        <v>2</v>
      </c>
      <c r="BS14" s="176" t="s">
        <v>2768</v>
      </c>
      <c r="BT14">
        <v>2</v>
      </c>
      <c r="BU14" t="s">
        <v>2776</v>
      </c>
      <c r="BV14">
        <v>2</v>
      </c>
      <c r="BW14" s="179" t="s">
        <v>2776</v>
      </c>
      <c r="BX14" s="179">
        <v>2</v>
      </c>
      <c r="BY14" t="s">
        <v>2768</v>
      </c>
      <c r="BZ14">
        <v>2</v>
      </c>
      <c r="CA14" t="s">
        <v>2768</v>
      </c>
      <c r="CB14">
        <v>2</v>
      </c>
    </row>
    <row r="15" spans="1:80">
      <c r="A15" s="178">
        <f ca="1">IFERROR(IF(AG14&lt;5+金蛇*2,IF(COUNTIF(B14,"*轻*")&gt;0,A14+加速!$L$9,A14+加速!$L$11)+V14,""),"")</f>
        <v>15.48</v>
      </c>
      <c r="B15" s="167" t="str">
        <f ca="1" t="shared" si="0"/>
        <v>夕照雷峰</v>
      </c>
      <c r="C15">
        <f ca="1" t="shared" si="10"/>
        <v>15</v>
      </c>
      <c r="D15">
        <f ca="1">IF(B15&lt;&gt;"",IF(C14&lt;=加速!$L$11*(1-E15),0,1),"")</f>
        <v>1</v>
      </c>
      <c r="E15">
        <f ca="1" t="shared" si="7"/>
        <v>0</v>
      </c>
      <c r="G15">
        <f ca="1" t="shared" si="8"/>
        <v>0</v>
      </c>
      <c r="H15">
        <f ca="1">IF(B15&lt;&gt;"",IF(AND(COUNTIF(B14,"*轻*莺鸣柳*")&gt;0,COUNTIF(B15,"*轻*")&lt;1),MAX(0,15+I14-(A15-A14)+COUNTIF(B14,"*平湖*")*0),IF(AND(E15=0,MAX(0,H14-(A15-A14))&lt;=加速!$H$11),0,MAX(0,H14-(A15-A14)))),"")</f>
        <v>0</v>
      </c>
      <c r="I15">
        <f ca="1" t="shared" si="14"/>
        <v>0</v>
      </c>
      <c r="J15">
        <f ca="1" t="shared" si="15"/>
        <v>3</v>
      </c>
      <c r="K15">
        <f ca="1" t="shared" si="1"/>
        <v>2</v>
      </c>
      <c r="L15">
        <f ca="1">IFERROR(IF(AND(COUNTIF(B15,"*-峰插*"),技能数据库!$M$72&gt;0),0,IF(COUNTIF(B15,"*鹤归*")&gt;0,16-加速!$L$11,MAX(0,L14-(A15-A14)))),0)</f>
        <v>12.13</v>
      </c>
      <c r="M15">
        <f ca="1" t="shared" si="3"/>
        <v>0</v>
      </c>
      <c r="N15">
        <f ca="1">IFERROR(IF(AND(COUNTIF(B15,"*-峰插*"),技能数据库!$M$72&gt;0),0,IF(COUNTIF(B15,"*云飞*")&gt;0,4-COUNTIF(B15,"*玉山揽云*")*4--COUNTIF(B15,"*烟流暮景*")*4-COUNTIF(B15,"*云景*")*加速!$L$11-IF(J15&gt;0,2,0),MAX(0,N14-(A15-A14)-IF(J15&gt;0,2,0)))),0)</f>
        <v>0</v>
      </c>
      <c r="O15">
        <f ca="1">IF(AND(COUNTIF(IF(AND(配装计算器!$K$30&lt;&gt;"∞",0),INDEX(AU14:CB14,1,$AT$1),INDEX(AU16:CB16,1,$AT$1)),"*云飞*")=1,COUNTIF(IF(AND(配装计算器!$K$30&lt;&gt;"∞",0),INDEX(AU14:CB14,1,$AT$1),INDEX(AU16:CB16,1,$AT$1)),"*玉山*")=0),N15,0)</f>
        <v>0</v>
      </c>
      <c r="P15">
        <f ca="1">IFERROR(IF(COUNTIF(B15,"*云栖松*")&gt;0,50-加速!$L$11,MAX(0,P14-(A15-A14))),0)</f>
        <v>0</v>
      </c>
      <c r="Q15">
        <f ca="1">IF(COUNTIF(IF(AND(配装计算器!$K$30&lt;&gt;"∞",0),INDEX(AU14:CB14,1,$AT$1),INDEX(AU16:CB16,1,$AT$1)),"*云栖松*")=1,P15,0)</f>
        <v>0</v>
      </c>
      <c r="R15">
        <f ca="1">IFERROR(IF(COUNTIF(B15,"*莺鸣柳*")&gt;0,45-加速!$L$9,MAX(0,R14-(A15-A14))),0)</f>
        <v>0</v>
      </c>
      <c r="S15">
        <f ca="1">IF(COUNTIF(IF(AND(配装计算器!$K$30&lt;&gt;"∞",0),INDEX(AU14:CB14,1,$AT$1),INDEX(AU16:CB16,1,$AT$1)),"*莺鸣柳*")=1,R15,0)</f>
        <v>0</v>
      </c>
      <c r="T15">
        <f ca="1" t="shared" si="11"/>
        <v>0</v>
      </c>
      <c r="U15">
        <f ca="1">IF(金蛇,IF(COUNTIF(B15,"*金环戴*")+COUNTIF(B15,"*吹风醒*")&gt;0,IF(A15&lt;=3,7.125-2.625-A15-加速!$L$11,7.125+加速!$K$9-(A15+加速!$L$11-T15)),0),0)+IF(金蛇,IF(COUNTIF(B15,"*千切子裂光*")&gt;0,2+加速!$K$9-(A15+加速!$L$11-T15),0),0)</f>
        <v>0</v>
      </c>
      <c r="V15">
        <f ca="1" t="shared" si="12"/>
        <v>0</v>
      </c>
      <c r="W15">
        <f ca="1" t="shared" si="4"/>
        <v>0</v>
      </c>
      <c r="X15">
        <f ca="1">INDEX(加速!$I$13:$I$21,W15+1)</f>
        <v>0</v>
      </c>
      <c r="Y15">
        <f ca="1" t="shared" si="13"/>
        <v>0.5</v>
      </c>
      <c r="Z15">
        <f ca="1" t="shared" si="9"/>
        <v>0</v>
      </c>
      <c r="AA15">
        <f ca="1">MAX(0,IFERROR(IF(COUNTIF(B15,"*叠*")&gt;0,IF(AC14&lt;3,8-A16+A15,AA14+6.875-A16+A15),AA14-A16+A15),AA14-加速!$L$11))</f>
        <v>3.265</v>
      </c>
      <c r="AB15">
        <f ca="1">MAX(0,IF(COUNTIF(IF(AND(配装计算器!$K$30&lt;&gt;"∞",0),INDEX(AU15:CB15,1,$AT$1),INDEX(AU15:CB15,1,$AT$1)),"*叠1*")=1,4*25-加速!$L$11,AB14-A15+A14)-IF(OR(COUNTIF(OFFSET(AT15,0,$AT$1,1,1),"*听雷*")&gt;0,AND(碧归&gt;0,COUNTIF(OFFSET(AT15,0,$AT$1,1,1),"*风来*")&gt;0)),0,1)*1.5)</f>
        <v>65.23</v>
      </c>
      <c r="AC15">
        <f ca="1" t="shared" si="5"/>
        <v>3</v>
      </c>
      <c r="AD15">
        <f ca="1">IF(COUNTIF(IF(AND(配装计算器!$K$30&lt;&gt;"∞",0),INDEX(AU15:CB15,1,$AT$1),INDEX(AU16:CB16,1,$AT$1)),"*叠1*")=1,AB15*0+AE14,0)</f>
        <v>0</v>
      </c>
      <c r="AE15">
        <f ca="1">IF($AN$11&gt;0,IF(COUNTIF(B16,"*叠1*")&gt;0,50-加速!$L$11,MAX(0,AE14-(A16-A15))),0)</f>
        <v>31.94</v>
      </c>
      <c r="AG15">
        <f ca="1" t="shared" si="6"/>
        <v>1</v>
      </c>
      <c r="AH15" t="s">
        <v>1028</v>
      </c>
      <c r="AI15" t="s">
        <v>2754</v>
      </c>
      <c r="AJ15">
        <f ca="1">AJ5+AJ11*2</f>
        <v>0</v>
      </c>
      <c r="AK15" t="s">
        <v>3014</v>
      </c>
      <c r="AM15" s="167" t="s">
        <v>3039</v>
      </c>
      <c r="AN15">
        <f ca="1">SUMPRODUCT(AN13:AN14,AO13:AO14)</f>
        <v>4.87162162162162</v>
      </c>
      <c r="AU15" t="str">
        <f>IF($AN$11=1,"云飞玉皇-玉山揽云","夕照雷峰")</f>
        <v>云飞玉皇-玉山揽云</v>
      </c>
      <c r="AV15">
        <v>2</v>
      </c>
      <c r="AW15" t="str">
        <f>IF($AR$11=1,"云飞玉皇-玉山揽云","夕照雷峰")</f>
        <v>夕照雷峰</v>
      </c>
      <c r="AX15">
        <v>2</v>
      </c>
      <c r="AY15" t="s">
        <v>2768</v>
      </c>
      <c r="AZ15">
        <v>2</v>
      </c>
      <c r="BA15" t="s">
        <v>2768</v>
      </c>
      <c r="BB15">
        <v>2</v>
      </c>
      <c r="BC15" s="176" t="s">
        <v>3026</v>
      </c>
      <c r="BD15">
        <v>2</v>
      </c>
      <c r="BE15" s="176" t="s">
        <v>2776</v>
      </c>
      <c r="BF15">
        <v>2</v>
      </c>
      <c r="BG15" t="s">
        <v>2768</v>
      </c>
      <c r="BH15">
        <v>2</v>
      </c>
      <c r="BI15" t="s">
        <v>2768</v>
      </c>
      <c r="BJ15">
        <v>2</v>
      </c>
      <c r="BK15" t="s">
        <v>3026</v>
      </c>
      <c r="BL15">
        <v>2</v>
      </c>
      <c r="BM15" t="s">
        <v>2768</v>
      </c>
      <c r="BN15">
        <v>2</v>
      </c>
      <c r="BO15" t="s">
        <v>2768</v>
      </c>
      <c r="BP15">
        <v>2</v>
      </c>
      <c r="BQ15" t="s">
        <v>2776</v>
      </c>
      <c r="BR15">
        <v>2</v>
      </c>
      <c r="BS15" s="176" t="s">
        <v>2768</v>
      </c>
      <c r="BT15">
        <v>2</v>
      </c>
      <c r="BU15" t="s">
        <v>2768</v>
      </c>
      <c r="BV15">
        <v>2</v>
      </c>
      <c r="BW15" s="179" t="s">
        <v>2768</v>
      </c>
      <c r="BX15" s="179">
        <v>2</v>
      </c>
      <c r="BY15" t="s">
        <v>2776</v>
      </c>
      <c r="BZ15">
        <v>2</v>
      </c>
      <c r="CA15" t="s">
        <v>2776</v>
      </c>
      <c r="CB15">
        <v>2</v>
      </c>
    </row>
    <row r="16" spans="1:80">
      <c r="A16" s="178">
        <f ca="1">IFERROR(IF(AG15&lt;5+金蛇*2,IF(COUNTIF(B15,"*轻*")&gt;0,A15+加速!$L$9,A15+加速!$L$11)+V15,""),"")</f>
        <v>16.77</v>
      </c>
      <c r="B16" s="167" t="str">
        <f ca="1" t="shared" si="0"/>
        <v>云飞玉皇</v>
      </c>
      <c r="C16">
        <f ca="1" t="shared" si="10"/>
        <v>13.71</v>
      </c>
      <c r="D16">
        <f ca="1">IF(B16&lt;&gt;"",IF(C15&lt;=加速!$L$11*(1-E16),0,1),"")</f>
        <v>1</v>
      </c>
      <c r="E16">
        <f ca="1" t="shared" si="7"/>
        <v>0</v>
      </c>
      <c r="G16">
        <f ca="1" t="shared" si="8"/>
        <v>0</v>
      </c>
      <c r="H16">
        <f ca="1">IF(B16&lt;&gt;"",IF(AND(COUNTIF(B15,"*轻*莺鸣柳*")&gt;0,COUNTIF(B16,"*轻*")&lt;1),MAX(0,15+I15-(A16-A15)+COUNTIF(B15,"*平湖*")*0),IF(AND(E16=0,MAX(0,H15-(A16-A15))&lt;=加速!$H$11),0,MAX(0,H15-(A16-A15)))),"")</f>
        <v>0</v>
      </c>
      <c r="I16">
        <f ca="1" t="shared" si="14"/>
        <v>0</v>
      </c>
      <c r="J16">
        <f ca="1" t="shared" si="15"/>
        <v>2</v>
      </c>
      <c r="K16">
        <f ca="1" t="shared" si="1"/>
        <v>2</v>
      </c>
      <c r="L16">
        <f ca="1">IFERROR(IF(AND(COUNTIF(B16,"*-峰插*"),技能数据库!$M$72&gt;0),0,IF(COUNTIF(B16,"*鹤归*")&gt;0,16-加速!$L$11,MAX(0,L15-(A16-A15)))),0)</f>
        <v>10.84</v>
      </c>
      <c r="M16">
        <f ca="1" t="shared" si="3"/>
        <v>0</v>
      </c>
      <c r="N16">
        <f ca="1">IFERROR(IF(AND(COUNTIF(B16,"*-峰插*"),技能数据库!$M$72&gt;0),0,IF(COUNTIF(B16,"*云飞*")&gt;0,4-COUNTIF(B16,"*玉山揽云*")*4--COUNTIF(B16,"*烟流暮景*")*4-COUNTIF(B16,"*云景*")*加速!$L$11-IF(J16&gt;0,2,0),MAX(0,N15-(A16-A15)-IF(J16&gt;0,2,0)))),0)</f>
        <v>2</v>
      </c>
      <c r="O16">
        <f ca="1">IF(AND(COUNTIF(IF(AND(配装计算器!$K$30&lt;&gt;"∞",0),INDEX(AU15:CB15,1,$AT$1),INDEX(AU17:CB17,1,$AT$1)),"*云飞*")=1,COUNTIF(IF(AND(配装计算器!$K$30&lt;&gt;"∞",0),INDEX(AU15:CB15,1,$AT$1),INDEX(AU17:CB17,1,$AT$1)),"*玉山*")=0),N16,0)</f>
        <v>0</v>
      </c>
      <c r="P16">
        <f ca="1">IFERROR(IF(COUNTIF(B16,"*云栖松*")&gt;0,50-加速!$L$11,MAX(0,P15-(A16-A15))),0)</f>
        <v>0</v>
      </c>
      <c r="Q16">
        <f ca="1">IF(COUNTIF(IF(AND(配装计算器!$K$30&lt;&gt;"∞",0),INDEX(AU15:CB15,1,$AT$1),INDEX(AU17:CB17,1,$AT$1)),"*云栖松*")=1,P16,0)</f>
        <v>0</v>
      </c>
      <c r="R16">
        <f ca="1">IFERROR(IF(COUNTIF(B16,"*莺鸣柳*")&gt;0,45-加速!$L$9,MAX(0,R15-(A16-A15))),0)</f>
        <v>0</v>
      </c>
      <c r="S16">
        <f ca="1">IF(COUNTIF(IF(AND(配装计算器!$K$30&lt;&gt;"∞",0),INDEX(AU15:CB15,1,$AT$1),INDEX(AU17:CB17,1,$AT$1)),"*莺鸣柳*")=1,R16,0)</f>
        <v>0</v>
      </c>
      <c r="T16">
        <f ca="1" t="shared" si="11"/>
        <v>0</v>
      </c>
      <c r="U16">
        <f ca="1">IF(金蛇,IF(COUNTIF(B16,"*金环戴*")+COUNTIF(B16,"*吹风醒*")&gt;0,IF(A16&lt;=3,7.125-2.625-A16-加速!$L$11,7.125+加速!$K$9-(A16+加速!$L$11-T16)),0),0)+IF(金蛇,IF(COUNTIF(B16,"*千切子裂光*")&gt;0,2+加速!$K$9-(A16+加速!$L$11-T16),0),0)</f>
        <v>0</v>
      </c>
      <c r="V16">
        <f ca="1" t="shared" si="12"/>
        <v>0</v>
      </c>
      <c r="W16">
        <f ca="1" t="shared" si="4"/>
        <v>0</v>
      </c>
      <c r="X16">
        <f ca="1">INDEX(加速!$I$13:$I$21,W16+1)</f>
        <v>0</v>
      </c>
      <c r="Y16">
        <f ca="1" t="shared" si="13"/>
        <v>0.5</v>
      </c>
      <c r="Z16">
        <f ca="1" t="shared" si="9"/>
        <v>0</v>
      </c>
      <c r="AA16">
        <f ca="1">MAX(0,IFERROR(IF(COUNTIF(B16,"*叠*")&gt;0,IF(AC15&lt;3,8-A17+A16,AA15+6.875-A17+A16),AA15-A17+A16),AA15-加速!$L$11))</f>
        <v>1.975</v>
      </c>
      <c r="AB16">
        <f ca="1">MAX(0,IF(COUNTIF(IF(AND(配装计算器!$K$30&lt;&gt;"∞",0),INDEX(AU16:CB16,1,$AT$1),INDEX(AU16:CB16,1,$AT$1)),"*叠1*")=1,4*25-加速!$L$11,AB15-A16+A15)-IF(OR(COUNTIF(OFFSET(AT16,0,$AT$1,1,1),"*听雷*")&gt;0,AND(碧归&gt;0,COUNTIF(OFFSET(AT16,0,$AT$1,1,1),"*风来*")&gt;0)),0,1)*1.5)</f>
        <v>62.44</v>
      </c>
      <c r="AC16">
        <f ca="1" t="shared" si="5"/>
        <v>3</v>
      </c>
      <c r="AD16">
        <f ca="1">IF(COUNTIF(IF(AND(配装计算器!$K$30&lt;&gt;"∞",0),INDEX(AU16:CB16,1,$AT$1),INDEX(AU17:CB17,1,$AT$1)),"*叠1*")=1,AB16*0+AE15,0)</f>
        <v>0</v>
      </c>
      <c r="AE16">
        <f ca="1">IF($AN$11&gt;0,IF(COUNTIF(B17,"*叠1*")&gt;0,50-加速!$L$11,MAX(0,AE15-(A17-A16))),0)</f>
        <v>30.65</v>
      </c>
      <c r="AG16">
        <f ca="1" t="shared" si="6"/>
        <v>1</v>
      </c>
      <c r="AH16" t="s">
        <v>1825</v>
      </c>
      <c r="AI16" t="s">
        <v>2768</v>
      </c>
      <c r="AJ16">
        <f ca="1">长时间循环比*COUNTIFS($B$3:$B$515,"*"&amp;AI16&amp;"*",$D$3:$D$515,"=0",$H$3:$H$515,"=0",$G$3:$G$515,"=0",$K$3:$K$515,"=0")</f>
        <v>0</v>
      </c>
      <c r="AM16" s="167" t="s">
        <v>3040</v>
      </c>
      <c r="AN16" s="184">
        <f ca="1">1-(COUNTIF($B$3:$B$515,"*夕照*"))/AN12</f>
        <v>0.574324324324324</v>
      </c>
      <c r="AU16" t="str">
        <f>IF($AN$11=1,"云飞玉皇-玉山揽云","云飞玉皇")</f>
        <v>云飞玉皇-玉山揽云</v>
      </c>
      <c r="AV16">
        <v>2</v>
      </c>
      <c r="AW16" t="str">
        <f>IF($AR$11=1,橙武补雾锁,"夕照雷峰")</f>
        <v>夕照雷峰</v>
      </c>
      <c r="AX16">
        <v>2</v>
      </c>
      <c r="AY16" t="s">
        <v>2776</v>
      </c>
      <c r="AZ16">
        <v>2</v>
      </c>
      <c r="BA16" t="s">
        <v>2776</v>
      </c>
      <c r="BB16">
        <v>2</v>
      </c>
      <c r="BC16" s="176" t="s">
        <v>3026</v>
      </c>
      <c r="BD16">
        <v>2</v>
      </c>
      <c r="BE16" s="176" t="s">
        <v>3035</v>
      </c>
      <c r="BF16">
        <v>2</v>
      </c>
      <c r="BG16" t="s">
        <v>2776</v>
      </c>
      <c r="BH16">
        <v>2</v>
      </c>
      <c r="BI16" t="s">
        <v>2776</v>
      </c>
      <c r="BJ16">
        <v>2</v>
      </c>
      <c r="BK16" s="176" t="s">
        <v>3026</v>
      </c>
      <c r="BL16">
        <v>2</v>
      </c>
      <c r="BM16" t="s">
        <v>2768</v>
      </c>
      <c r="BN16">
        <v>2</v>
      </c>
      <c r="BO16" t="s">
        <v>2768</v>
      </c>
      <c r="BP16">
        <v>2</v>
      </c>
      <c r="BQ16" t="s">
        <v>2768</v>
      </c>
      <c r="BR16">
        <v>2</v>
      </c>
      <c r="BS16" s="176" t="s">
        <v>2776</v>
      </c>
      <c r="BT16">
        <v>2</v>
      </c>
      <c r="BU16" t="s">
        <v>2776</v>
      </c>
      <c r="BV16">
        <v>2</v>
      </c>
      <c r="BW16" s="179" t="s">
        <v>2768</v>
      </c>
      <c r="BX16" s="179">
        <v>2</v>
      </c>
      <c r="BY16" t="s">
        <v>2768</v>
      </c>
      <c r="BZ16">
        <v>2</v>
      </c>
      <c r="CA16" s="176" t="s">
        <v>2794</v>
      </c>
      <c r="CB16">
        <v>2</v>
      </c>
    </row>
    <row r="17" spans="1:80">
      <c r="A17" s="178">
        <f ca="1">IFERROR(IF(AG16&lt;5+金蛇*2,IF(COUNTIF(B16,"*轻*")&gt;0,A16+加速!$L$9,A16+加速!$L$11)+V16,""),"")</f>
        <v>18.06</v>
      </c>
      <c r="B17" s="167" t="str">
        <f ca="1" t="shared" si="0"/>
        <v>夕照雷峰</v>
      </c>
      <c r="C17">
        <f ca="1" t="shared" si="10"/>
        <v>15</v>
      </c>
      <c r="D17">
        <f ca="1">IF(B17&lt;&gt;"",IF(C16&lt;=加速!$L$11*(1-E17),0,1),"")</f>
        <v>1</v>
      </c>
      <c r="E17">
        <f ca="1" t="shared" si="7"/>
        <v>0</v>
      </c>
      <c r="G17">
        <f ca="1" t="shared" si="8"/>
        <v>0</v>
      </c>
      <c r="H17">
        <f ca="1">IF(B17&lt;&gt;"",IF(AND(COUNTIF(B16,"*轻*莺鸣柳*")&gt;0,COUNTIF(B17,"*轻*")&lt;1),MAX(0,15+I16-(A17-A16)+COUNTIF(B16,"*平湖*")*0),IF(AND(E17=0,MAX(0,H16-(A17-A16))&lt;=加速!$H$11),0,MAX(0,H16-(A17-A16)))),"")</f>
        <v>0</v>
      </c>
      <c r="I17">
        <f ca="1" t="shared" si="14"/>
        <v>0</v>
      </c>
      <c r="J17">
        <f ca="1" t="shared" si="15"/>
        <v>1</v>
      </c>
      <c r="K17">
        <f ca="1" t="shared" si="1"/>
        <v>2</v>
      </c>
      <c r="L17">
        <f ca="1">IFERROR(IF(AND(COUNTIF(B17,"*-峰插*"),技能数据库!$M$72&gt;0),0,IF(COUNTIF(B17,"*鹤归*")&gt;0,16-加速!$L$11,MAX(0,L16-(A17-A16)))),0)</f>
        <v>9.55</v>
      </c>
      <c r="M17">
        <f ca="1" t="shared" si="3"/>
        <v>0</v>
      </c>
      <c r="N17">
        <f ca="1">IFERROR(IF(AND(COUNTIF(B17,"*-峰插*"),技能数据库!$M$72&gt;0),0,IF(COUNTIF(B17,"*云飞*")&gt;0,4-COUNTIF(B17,"*玉山揽云*")*4--COUNTIF(B17,"*烟流暮景*")*4-COUNTIF(B17,"*云景*")*加速!$L$11-IF(J17&gt;0,2,0),MAX(0,N16-(A17-A16)-IF(J17&gt;0,2,0)))),0)</f>
        <v>0</v>
      </c>
      <c r="O17">
        <f ca="1">IF(AND(COUNTIF(IF(AND(配装计算器!$K$30&lt;&gt;"∞",0),INDEX(AU16:CB16,1,$AT$1),INDEX(AU18:CB18,1,$AT$1)),"*云飞*")=1,COUNTIF(IF(AND(配装计算器!$K$30&lt;&gt;"∞",0),INDEX(AU16:CB16,1,$AT$1),INDEX(AU18:CB18,1,$AT$1)),"*玉山*")=0),N17,0)</f>
        <v>0</v>
      </c>
      <c r="P17">
        <f ca="1">IFERROR(IF(COUNTIF(B17,"*云栖松*")&gt;0,50-加速!$L$11,MAX(0,P16-(A17-A16))),0)</f>
        <v>0</v>
      </c>
      <c r="Q17">
        <f ca="1">IF(COUNTIF(IF(AND(配装计算器!$K$30&lt;&gt;"∞",0),INDEX(AU16:CB16,1,$AT$1),INDEX(AU18:CB18,1,$AT$1)),"*云栖松*")=1,P17,0)</f>
        <v>0</v>
      </c>
      <c r="R17">
        <f ca="1">IFERROR(IF(COUNTIF(B17,"*莺鸣柳*")&gt;0,45-加速!$L$9,MAX(0,R16-(A17-A16))),0)</f>
        <v>0</v>
      </c>
      <c r="S17">
        <f ca="1">IF(COUNTIF(IF(AND(配装计算器!$K$30&lt;&gt;"∞",0),INDEX(AU16:CB16,1,$AT$1),INDEX(AU18:CB18,1,$AT$1)),"*莺鸣柳*")=1,R17,0)</f>
        <v>0</v>
      </c>
      <c r="T17">
        <f ca="1" t="shared" si="11"/>
        <v>0</v>
      </c>
      <c r="U17">
        <f ca="1">IF(金蛇,IF(COUNTIF(B17,"*金环戴*")+COUNTIF(B17,"*吹风醒*")&gt;0,IF(A17&lt;=3,7.125-2.625-A17-加速!$L$11,7.125+加速!$K$9-(A17+加速!$L$11-T17)),0),0)+IF(金蛇,IF(COUNTIF(B17,"*千切子裂光*")&gt;0,2+加速!$K$9-(A17+加速!$L$11-T17),0),0)</f>
        <v>0</v>
      </c>
      <c r="V17">
        <f ca="1" t="shared" si="12"/>
        <v>0</v>
      </c>
      <c r="W17">
        <f ca="1" t="shared" si="4"/>
        <v>0</v>
      </c>
      <c r="X17">
        <f ca="1">INDEX(加速!$I$13:$I$21,W17+1)</f>
        <v>0</v>
      </c>
      <c r="Y17">
        <f ca="1" t="shared" si="13"/>
        <v>0.5</v>
      </c>
      <c r="Z17">
        <f ca="1" t="shared" si="9"/>
        <v>0</v>
      </c>
      <c r="AA17">
        <f ca="1">MAX(0,IFERROR(IF(COUNTIF(B17,"*叠*")&gt;0,IF(AC16&lt;3,8-A18+A17,AA16+6.875-A18+A17),AA16-A18+A17),AA16-加速!$L$11))</f>
        <v>0.685000000000006</v>
      </c>
      <c r="AB17">
        <f ca="1">MAX(0,IF(COUNTIF(IF(AND(配装计算器!$K$30&lt;&gt;"∞",0),INDEX(AU17:CB17,1,$AT$1),INDEX(AU17:CB17,1,$AT$1)),"*叠1*")=1,4*25-加速!$L$11,AB16-A17+A16)-IF(OR(COUNTIF(OFFSET(AT17,0,$AT$1,1,1),"*听雷*")&gt;0,AND(碧归&gt;0,COUNTIF(OFFSET(AT17,0,$AT$1,1,1),"*风来*")&gt;0)),0,1)*1.5)</f>
        <v>59.65</v>
      </c>
      <c r="AC17">
        <f ca="1" t="shared" si="5"/>
        <v>3</v>
      </c>
      <c r="AD17">
        <f ca="1">IF(COUNTIF(IF(AND(配装计算器!$K$30&lt;&gt;"∞",0),INDEX(AU17:CB17,1,$AT$1),INDEX(AU18:CB18,1,$AT$1)),"*叠1*")=1,AB17*0+AE16,0)</f>
        <v>0</v>
      </c>
      <c r="AE17">
        <f ca="1">IF($AN$11&gt;0,IF(COUNTIF(B18,"*叠1*")&gt;0,50-加速!$L$11,MAX(0,AE16-(A18-A17))),0)</f>
        <v>29.36</v>
      </c>
      <c r="AG17">
        <f ca="1" t="shared" si="6"/>
        <v>1</v>
      </c>
      <c r="AH17" t="s">
        <v>1825</v>
      </c>
      <c r="AI17" t="s">
        <v>2768</v>
      </c>
      <c r="AJ17">
        <f ca="1">长时间循环比*COUNTIFS($B$3:$B$515,"*"&amp;AI17&amp;"*",$D$3:$D$515,"&gt;0",$H$3:$H$515,"=0",$G$3:$G$515,"=0",$K$3:$K$515,"=0",$AC$3:$AC$515,"=0")</f>
        <v>12</v>
      </c>
      <c r="AK17" t="s">
        <v>2750</v>
      </c>
      <c r="AM17" s="167" t="s">
        <v>3041</v>
      </c>
      <c r="AN17" s="185">
        <f ca="1">1-AN16</f>
        <v>0.425675675675676</v>
      </c>
      <c r="AO17" s="167">
        <v>2</v>
      </c>
      <c r="AU17" t="str">
        <f>IF($AN$11=1,"云飞玉皇-玉山揽云","夕照雷峰")</f>
        <v>云飞玉皇-玉山揽云</v>
      </c>
      <c r="AV17">
        <v>2</v>
      </c>
      <c r="AW17" t="str">
        <f>IF($AR$11=1,"云飞玉皇-玉山揽云","夕照雷峰")</f>
        <v>夕照雷峰</v>
      </c>
      <c r="AX17">
        <v>2</v>
      </c>
      <c r="AY17" t="s">
        <v>3042</v>
      </c>
      <c r="AZ17">
        <v>2</v>
      </c>
      <c r="BA17" t="s">
        <v>3042</v>
      </c>
      <c r="BB17">
        <v>2</v>
      </c>
      <c r="BC17" t="s">
        <v>3013</v>
      </c>
      <c r="BD17">
        <v>2</v>
      </c>
      <c r="BE17" t="s">
        <v>2768</v>
      </c>
      <c r="BF17">
        <v>2</v>
      </c>
      <c r="BG17" t="s">
        <v>2768</v>
      </c>
      <c r="BH17">
        <v>2</v>
      </c>
      <c r="BI17" t="s">
        <v>2768</v>
      </c>
      <c r="BJ17">
        <v>2</v>
      </c>
      <c r="BK17" s="176" t="s">
        <v>2776</v>
      </c>
      <c r="BL17">
        <v>2</v>
      </c>
      <c r="BM17" t="s">
        <v>2768</v>
      </c>
      <c r="BN17">
        <v>2</v>
      </c>
      <c r="BO17" t="s">
        <v>2768</v>
      </c>
      <c r="BP17">
        <v>2</v>
      </c>
      <c r="BQ17" t="s">
        <v>3013</v>
      </c>
      <c r="BR17">
        <v>2</v>
      </c>
      <c r="BS17" s="176" t="s">
        <v>2768</v>
      </c>
      <c r="BT17">
        <v>2</v>
      </c>
      <c r="BU17" t="s">
        <v>2768</v>
      </c>
      <c r="BV17">
        <v>2</v>
      </c>
      <c r="BW17" s="179" t="s">
        <v>2768</v>
      </c>
      <c r="BX17" s="179">
        <v>2</v>
      </c>
      <c r="BY17" t="s">
        <v>2768</v>
      </c>
      <c r="BZ17">
        <v>2</v>
      </c>
      <c r="CA17" s="176" t="s">
        <v>2768</v>
      </c>
      <c r="CB17">
        <v>2</v>
      </c>
    </row>
    <row r="18" spans="1:80">
      <c r="A18" s="178">
        <f ca="1">IFERROR(IF(AG17&lt;5+金蛇*2,IF(COUNTIF(B17,"*轻*")&gt;0,A17+加速!$L$9,A17+加速!$L$11)+V17,""),"")</f>
        <v>19.35</v>
      </c>
      <c r="B18" s="167" t="str">
        <f ca="1" t="shared" si="0"/>
        <v>云景·云飞玉皇</v>
      </c>
      <c r="C18">
        <f ca="1" t="shared" si="10"/>
        <v>13.71</v>
      </c>
      <c r="D18">
        <f ca="1">IF(B18&lt;&gt;"",IF(C17&lt;=加速!$L$11*(1-E18),0,1),"")</f>
        <v>1</v>
      </c>
      <c r="E18">
        <f ca="1" t="shared" si="7"/>
        <v>1</v>
      </c>
      <c r="G18">
        <f ca="1" t="shared" si="8"/>
        <v>0</v>
      </c>
      <c r="H18">
        <f ca="1">IF(B18&lt;&gt;"",IF(AND(COUNTIF(B17,"*轻*莺鸣柳*")&gt;0,COUNTIF(B18,"*轻*")&lt;1),MAX(0,15+I17-(A18-A17)+COUNTIF(B17,"*平湖*")*0),IF(AND(E18=0,MAX(0,H17-(A18-A17))&lt;=加速!$H$11),0,MAX(0,H17-(A18-A17)))),"")</f>
        <v>0</v>
      </c>
      <c r="I18">
        <f ca="1" t="shared" si="14"/>
        <v>0</v>
      </c>
      <c r="J18">
        <f ca="1" t="shared" si="15"/>
        <v>1</v>
      </c>
      <c r="K18">
        <f ca="1" t="shared" si="1"/>
        <v>2</v>
      </c>
      <c r="L18">
        <f ca="1">IFERROR(IF(AND(COUNTIF(B18,"*-峰插*"),技能数据库!$M$72&gt;0),0,IF(COUNTIF(B18,"*鹤归*")&gt;0,16-加速!$L$11,MAX(0,L17-(A18-A17)))),0)</f>
        <v>8.26000000000001</v>
      </c>
      <c r="M18">
        <f ca="1" t="shared" si="3"/>
        <v>0</v>
      </c>
      <c r="N18">
        <f ca="1">IFERROR(IF(AND(COUNTIF(B18,"*-峰插*"),技能数据库!$M$72&gt;0),0,IF(COUNTIF(B18,"*云飞*")&gt;0,4-COUNTIF(B18,"*玉山揽云*")*4--COUNTIF(B18,"*烟流暮景*")*4-COUNTIF(B18,"*云景*")*加速!$L$11-IF(J18&gt;0,2,0),MAX(0,N17-(A18-A17)-IF(J18&gt;0,2,0)))),0)</f>
        <v>0.71</v>
      </c>
      <c r="O18">
        <f ca="1">IF(AND(COUNTIF(IF(AND(配装计算器!$K$30&lt;&gt;"∞",0),INDEX(AU17:CB17,1,$AT$1),INDEX(AU19:CB19,1,$AT$1)),"*云飞*")=1,COUNTIF(IF(AND(配装计算器!$K$30&lt;&gt;"∞",0),INDEX(AU17:CB17,1,$AT$1),INDEX(AU19:CB19,1,$AT$1)),"*玉山*")=0),N18,0)</f>
        <v>0</v>
      </c>
      <c r="P18">
        <f ca="1">IFERROR(IF(COUNTIF(B18,"*云栖松*")&gt;0,50-加速!$L$11,MAX(0,P17-(A18-A17))),0)</f>
        <v>0</v>
      </c>
      <c r="Q18">
        <f ca="1">IF(COUNTIF(IF(AND(配装计算器!$K$30&lt;&gt;"∞",0),INDEX(AU17:CB17,1,$AT$1),INDEX(AU19:CB19,1,$AT$1)),"*云栖松*")=1,P18,0)</f>
        <v>0</v>
      </c>
      <c r="R18">
        <f ca="1">IFERROR(IF(COUNTIF(B18,"*莺鸣柳*")&gt;0,45-加速!$L$9,MAX(0,R17-(A18-A17))),0)</f>
        <v>0</v>
      </c>
      <c r="S18">
        <f ca="1">IF(COUNTIF(IF(AND(配装计算器!$K$30&lt;&gt;"∞",0),INDEX(AU17:CB17,1,$AT$1),INDEX(AU19:CB19,1,$AT$1)),"*莺鸣柳*")=1,R18,0)</f>
        <v>0</v>
      </c>
      <c r="T18">
        <f ca="1" t="shared" si="11"/>
        <v>0</v>
      </c>
      <c r="U18">
        <f ca="1">IF(金蛇,IF(COUNTIF(B18,"*金环戴*")+COUNTIF(B18,"*吹风醒*")&gt;0,IF(A18&lt;=3,7.125-2.625-A18-加速!$L$11,7.125+加速!$K$9-(A18+加速!$L$11-T18)),0),0)+IF(金蛇,IF(COUNTIF(B18,"*千切子裂光*")&gt;0,2+加速!$K$9-(A18+加速!$L$11-T18),0),0)</f>
        <v>0</v>
      </c>
      <c r="V18">
        <f ca="1" t="shared" si="12"/>
        <v>0</v>
      </c>
      <c r="W18">
        <f ca="1" t="shared" si="4"/>
        <v>0</v>
      </c>
      <c r="X18">
        <f ca="1">INDEX(加速!$I$13:$I$21,W18+1)</f>
        <v>0</v>
      </c>
      <c r="Y18">
        <f ca="1" t="shared" si="13"/>
        <v>0.5</v>
      </c>
      <c r="Z18">
        <f ca="1" t="shared" si="9"/>
        <v>0</v>
      </c>
      <c r="AA18">
        <f ca="1">MAX(0,IFERROR(IF(COUNTIF(B18,"*叠*")&gt;0,IF(AC17&lt;3,8-A19+A18,AA17+6.875-A19+A18),AA17-A19+A18),AA17-加速!$L$11))</f>
        <v>0</v>
      </c>
      <c r="AB18">
        <f ca="1">MAX(0,IF(COUNTIF(IF(AND(配装计算器!$K$30&lt;&gt;"∞",0),INDEX(AU18:CB18,1,$AT$1),INDEX(AU18:CB18,1,$AT$1)),"*叠1*")=1,4*25-加速!$L$11,AB17-A18+A17)-IF(OR(COUNTIF(OFFSET(AT18,0,$AT$1,1,1),"*听雷*")&gt;0,AND(碧归&gt;0,COUNTIF(OFFSET(AT18,0,$AT$1,1,1),"*风来*")&gt;0)),0,1)*1.5)</f>
        <v>56.86</v>
      </c>
      <c r="AC18">
        <f ca="1" t="shared" si="5"/>
        <v>3</v>
      </c>
      <c r="AD18">
        <f ca="1">IF(COUNTIF(IF(AND(配装计算器!$K$30&lt;&gt;"∞",0),INDEX(AU18:CB18,1,$AT$1),INDEX(AU19:CB19,1,$AT$1)),"*叠1*")=1,AB18*0+AE17,0)</f>
        <v>0</v>
      </c>
      <c r="AE18">
        <f ca="1">IF($AN$11&gt;0,IF(COUNTIF(B19,"*叠1*")&gt;0,50-加速!$L$11,MAX(0,AE17-(A19-A18))),0)</f>
        <v>28.07</v>
      </c>
      <c r="AG18">
        <f ca="1" t="shared" si="6"/>
        <v>1</v>
      </c>
      <c r="AH18" t="s">
        <v>1825</v>
      </c>
      <c r="AI18" t="s">
        <v>2768</v>
      </c>
      <c r="AJ18">
        <f ca="1">长时间循环比*COUNTIFS($B$3:$B$515,"*"&amp;AI18&amp;"*",$D$3:$D$515,"=0",$H$3:$H$515,"&gt;0",$G$3:$G$515,"=0",$K$3:$K$515,"=0")</f>
        <v>0</v>
      </c>
      <c r="AK18" t="s">
        <v>2948</v>
      </c>
      <c r="AM18" s="167" t="s">
        <v>3043</v>
      </c>
      <c r="AN18" s="185">
        <f ca="1">AN16</f>
        <v>0.574324324324324</v>
      </c>
      <c r="AO18" s="167">
        <v>1</v>
      </c>
      <c r="AU18" t="str">
        <f>IF($AN$11=1,橙武补雾锁,"夕照雷峰")</f>
        <v>云飞玉皇-玉山揽云</v>
      </c>
      <c r="AV18">
        <v>2</v>
      </c>
      <c r="AW18" t="s">
        <v>2776</v>
      </c>
      <c r="AX18">
        <v>2</v>
      </c>
      <c r="AY18" t="s">
        <v>2808</v>
      </c>
      <c r="AZ18">
        <v>2</v>
      </c>
      <c r="BA18" t="s">
        <v>2808</v>
      </c>
      <c r="BB18">
        <v>2</v>
      </c>
      <c r="BC18" t="s">
        <v>2808</v>
      </c>
      <c r="BD18">
        <v>2</v>
      </c>
      <c r="BE18" t="s">
        <v>2776</v>
      </c>
      <c r="BF18">
        <v>2</v>
      </c>
      <c r="BG18" t="s">
        <v>2808</v>
      </c>
      <c r="BH18">
        <v>2</v>
      </c>
      <c r="BI18" t="s">
        <v>2808</v>
      </c>
      <c r="BJ18">
        <v>2</v>
      </c>
      <c r="BK18" s="176" t="s">
        <v>2794</v>
      </c>
      <c r="BL18">
        <v>2</v>
      </c>
      <c r="BM18" t="s">
        <v>2776</v>
      </c>
      <c r="BN18">
        <v>2</v>
      </c>
      <c r="BO18" t="s">
        <v>2776</v>
      </c>
      <c r="BP18">
        <v>2</v>
      </c>
      <c r="BQ18" t="s">
        <v>2808</v>
      </c>
      <c r="BR18">
        <v>2</v>
      </c>
      <c r="BS18" s="176" t="s">
        <v>2794</v>
      </c>
      <c r="BT18">
        <v>2</v>
      </c>
      <c r="BU18" t="s">
        <v>2808</v>
      </c>
      <c r="BV18">
        <v>2</v>
      </c>
      <c r="BW18" s="179" t="s">
        <v>2776</v>
      </c>
      <c r="BX18" s="179">
        <v>2</v>
      </c>
      <c r="BY18" t="s">
        <v>2768</v>
      </c>
      <c r="BZ18">
        <v>2</v>
      </c>
      <c r="CA18" s="176" t="s">
        <v>2776</v>
      </c>
      <c r="CB18">
        <v>2</v>
      </c>
    </row>
    <row r="19" spans="1:80">
      <c r="A19" s="178">
        <f ca="1">IFERROR(IF(AG18&lt;5+金蛇*2,IF(COUNTIF(B18,"*轻*")&gt;0,A18+加速!$L$9,A18+加速!$L$11)+V18,""),"")</f>
        <v>20.64</v>
      </c>
      <c r="B19" s="167" t="str">
        <f ca="1" t="shared" si="0"/>
        <v>夕照雷峰</v>
      </c>
      <c r="C19">
        <f ca="1" t="shared" si="10"/>
        <v>15</v>
      </c>
      <c r="D19">
        <f ca="1">IF(B19&lt;&gt;"",IF(C18&lt;=加速!$L$11*(1-E19),0,1),"")</f>
        <v>1</v>
      </c>
      <c r="E19">
        <f ca="1" t="shared" si="7"/>
        <v>0</v>
      </c>
      <c r="G19">
        <f ca="1" t="shared" si="8"/>
        <v>0</v>
      </c>
      <c r="H19">
        <f ca="1">IF(B19&lt;&gt;"",IF(AND(COUNTIF(B18,"*轻*莺鸣柳*")&gt;0,COUNTIF(B19,"*轻*")&lt;1),MAX(0,15+I18-(A19-A18)+COUNTIF(B18,"*平湖*")*0),IF(AND(E19=0,MAX(0,H18-(A19-A18))&lt;=加速!$H$11),0,MAX(0,H18-(A19-A18)))),"")</f>
        <v>0</v>
      </c>
      <c r="I19">
        <f ca="1" t="shared" si="14"/>
        <v>0</v>
      </c>
      <c r="J19">
        <f ca="1" t="shared" si="15"/>
        <v>0</v>
      </c>
      <c r="K19">
        <f ca="1" t="shared" si="1"/>
        <v>2</v>
      </c>
      <c r="L19">
        <f ca="1">IFERROR(IF(AND(COUNTIF(B19,"*-峰插*"),技能数据库!$M$72&gt;0),0,IF(COUNTIF(B19,"*鹤归*")&gt;0,16-加速!$L$11,MAX(0,L18-(A19-A18)))),0)</f>
        <v>6.97000000000001</v>
      </c>
      <c r="M19">
        <f ca="1" t="shared" si="3"/>
        <v>0</v>
      </c>
      <c r="N19">
        <f ca="1">IFERROR(IF(AND(COUNTIF(B19,"*-峰插*"),技能数据库!$M$72&gt;0),0,IF(COUNTIF(B19,"*云飞*")&gt;0,4-COUNTIF(B19,"*玉山揽云*")*4--COUNTIF(B19,"*烟流暮景*")*4-COUNTIF(B19,"*云景*")*加速!$L$11-IF(J19&gt;0,2,0),MAX(0,N18-(A19-A18)-IF(J19&gt;0,2,0)))),0)</f>
        <v>0</v>
      </c>
      <c r="O19">
        <f ca="1">IF(AND(COUNTIF(IF(AND(配装计算器!$K$30&lt;&gt;"∞",0),INDEX(AU18:CB18,1,$AT$1),INDEX(AU20:CB20,1,$AT$1)),"*云飞*")=1,COUNTIF(IF(AND(配装计算器!$K$30&lt;&gt;"∞",0),INDEX(AU18:CB18,1,$AT$1),INDEX(AU20:CB20,1,$AT$1)),"*玉山*")=0),N19,0)</f>
        <v>0</v>
      </c>
      <c r="P19">
        <f ca="1">IFERROR(IF(COUNTIF(B19,"*云栖松*")&gt;0,50-加速!$L$11,MAX(0,P18-(A19-A18))),0)</f>
        <v>0</v>
      </c>
      <c r="Q19">
        <f ca="1">IF(COUNTIF(IF(AND(配装计算器!$K$30&lt;&gt;"∞",0),INDEX(AU18:CB18,1,$AT$1),INDEX(AU20:CB20,1,$AT$1)),"*云栖松*")=1,P19,0)</f>
        <v>0</v>
      </c>
      <c r="R19">
        <f ca="1">IFERROR(IF(COUNTIF(B19,"*莺鸣柳*")&gt;0,45-加速!$L$9,MAX(0,R18-(A19-A18))),0)</f>
        <v>0</v>
      </c>
      <c r="S19">
        <f ca="1">IF(COUNTIF(IF(AND(配装计算器!$K$30&lt;&gt;"∞",0),INDEX(AU18:CB18,1,$AT$1),INDEX(AU20:CB20,1,$AT$1)),"*莺鸣柳*")=1,R19,0)</f>
        <v>0</v>
      </c>
      <c r="T19">
        <f ca="1" t="shared" si="11"/>
        <v>0</v>
      </c>
      <c r="U19">
        <f ca="1">IF(金蛇,IF(COUNTIF(B19,"*金环戴*")+COUNTIF(B19,"*吹风醒*")&gt;0,IF(A19&lt;=3,7.125-2.625-A19-加速!$L$11,7.125+加速!$K$9-(A19+加速!$L$11-T19)),0),0)+IF(金蛇,IF(COUNTIF(B19,"*千切子裂光*")&gt;0,2+加速!$K$9-(A19+加速!$L$11-T19),0),0)</f>
        <v>0</v>
      </c>
      <c r="V19">
        <f ca="1" t="shared" si="12"/>
        <v>0</v>
      </c>
      <c r="W19">
        <f ca="1" t="shared" si="4"/>
        <v>0</v>
      </c>
      <c r="X19">
        <f ca="1">INDEX(加速!$I$13:$I$21,W19+1)</f>
        <v>0</v>
      </c>
      <c r="Y19">
        <f ca="1" t="shared" si="13"/>
        <v>0.5</v>
      </c>
      <c r="Z19">
        <f ca="1" t="shared" si="9"/>
        <v>0</v>
      </c>
      <c r="AA19">
        <f ca="1">MAX(0,IFERROR(IF(COUNTIF(B19,"*叠*")&gt;0,IF(AC18&lt;3,8-A20+A19,AA18+6.875-A20+A19),AA18-A20+A19),AA18-加速!$L$11))</f>
        <v>0</v>
      </c>
      <c r="AB19">
        <f ca="1">MAX(0,IF(COUNTIF(IF(AND(配装计算器!$K$30&lt;&gt;"∞",0),INDEX(AU19:CB19,1,$AT$1),INDEX(AU19:CB19,1,$AT$1)),"*叠1*")=1,4*25-加速!$L$11,AB18-A19+A18)-IF(OR(COUNTIF(OFFSET(AT19,0,$AT$1,1,1),"*听雷*")&gt;0,AND(碧归&gt;0,COUNTIF(OFFSET(AT19,0,$AT$1,1,1),"*风来*")&gt;0)),0,1)*1.5)</f>
        <v>54.07</v>
      </c>
      <c r="AC19">
        <f ca="1" t="shared" si="5"/>
        <v>0</v>
      </c>
      <c r="AD19">
        <f ca="1">IF(COUNTIF(IF(AND(配装计算器!$K$30&lt;&gt;"∞",0),INDEX(AU19:CB19,1,$AT$1),INDEX(AU20:CB20,1,$AT$1)),"*叠1*")=1,AB19*0+AE18,0)</f>
        <v>0</v>
      </c>
      <c r="AE19">
        <f ca="1">IF($AN$11&gt;0,IF(COUNTIF(B20,"*叠1*")&gt;0,50-加速!$L$11,MAX(0,AE18-(A20-A19))),0)</f>
        <v>26.78</v>
      </c>
      <c r="AG19">
        <f ca="1" t="shared" si="6"/>
        <v>1</v>
      </c>
      <c r="AH19" t="s">
        <v>1825</v>
      </c>
      <c r="AI19" t="s">
        <v>2768</v>
      </c>
      <c r="AJ19">
        <f ca="1">长时间循环比*COUNTIFS($B$3:$B$515,"*"&amp;AI19&amp;"*",$D$3:$D$515,"&gt;0",$H$3:$H$515,"&gt;0",$G$3:$G$515,"=0",$K$3:$K$515,"=0")</f>
        <v>0</v>
      </c>
      <c r="AK19" t="s">
        <v>3044</v>
      </c>
      <c r="AM19" s="167" t="s">
        <v>3045</v>
      </c>
      <c r="AN19">
        <f ca="1">SUMPRODUCT(AN17:AN18,AO17:AO18)</f>
        <v>1.42567567567568</v>
      </c>
      <c r="AU19" t="str">
        <f>IF($AN$11=1,"云飞玉皇-玉山揽云","夕照雷峰")</f>
        <v>云飞玉皇-玉山揽云</v>
      </c>
      <c r="AV19">
        <v>2</v>
      </c>
      <c r="AW19" t="s">
        <v>2768</v>
      </c>
      <c r="AX19">
        <v>2</v>
      </c>
      <c r="AY19" t="s">
        <v>2768</v>
      </c>
      <c r="AZ19">
        <v>2</v>
      </c>
      <c r="BA19" t="s">
        <v>2768</v>
      </c>
      <c r="BB19">
        <v>2</v>
      </c>
      <c r="BC19" t="s">
        <v>2768</v>
      </c>
      <c r="BD19">
        <v>2</v>
      </c>
      <c r="BE19" t="s">
        <v>2768</v>
      </c>
      <c r="BF19">
        <v>2</v>
      </c>
      <c r="BG19" t="s">
        <v>2768</v>
      </c>
      <c r="BH19">
        <v>2</v>
      </c>
      <c r="BI19" s="176" t="s">
        <v>2768</v>
      </c>
      <c r="BJ19">
        <v>2</v>
      </c>
      <c r="BK19" s="176" t="s">
        <v>2768</v>
      </c>
      <c r="BL19">
        <v>2</v>
      </c>
      <c r="BM19" t="s">
        <v>2768</v>
      </c>
      <c r="BN19">
        <v>2</v>
      </c>
      <c r="BO19" s="176" t="s">
        <v>2794</v>
      </c>
      <c r="BP19">
        <v>2</v>
      </c>
      <c r="BQ19" t="s">
        <v>2768</v>
      </c>
      <c r="BR19">
        <v>2</v>
      </c>
      <c r="BS19" t="s">
        <v>2768</v>
      </c>
      <c r="BT19">
        <v>2</v>
      </c>
      <c r="BU19" t="s">
        <v>2768</v>
      </c>
      <c r="BV19">
        <v>2</v>
      </c>
      <c r="BW19" s="182" t="s">
        <v>2794</v>
      </c>
      <c r="BX19" s="179">
        <v>2</v>
      </c>
      <c r="BY19" t="s">
        <v>2776</v>
      </c>
      <c r="BZ19">
        <v>2</v>
      </c>
      <c r="CA19" s="176" t="s">
        <v>2768</v>
      </c>
      <c r="CB19">
        <v>2</v>
      </c>
    </row>
    <row r="20" spans="1:80">
      <c r="A20" s="178">
        <f ca="1">IFERROR(IF(AG19&lt;5+金蛇*2,IF(COUNTIF(B19,"*轻*")&gt;0,A19+加速!$L$9,A19+加速!$L$11)+V19,""),"")</f>
        <v>21.93</v>
      </c>
      <c r="B20" s="167" t="str">
        <f ca="1" t="shared" si="0"/>
        <v>云飞玉皇</v>
      </c>
      <c r="C20">
        <f ca="1" t="shared" si="10"/>
        <v>13.71</v>
      </c>
      <c r="D20">
        <f ca="1">IF(B20&lt;&gt;"",IF(C19&lt;=加速!$L$11*(1-E20),0,1),"")</f>
        <v>1</v>
      </c>
      <c r="E20">
        <f ca="1" t="shared" si="7"/>
        <v>0</v>
      </c>
      <c r="G20">
        <f ca="1" t="shared" si="8"/>
        <v>0</v>
      </c>
      <c r="H20">
        <f ca="1">IF(B20&lt;&gt;"",IF(AND(COUNTIF(B19,"*轻*莺鸣柳*")&gt;0,COUNTIF(B20,"*轻*")&lt;1),MAX(0,15+I19-(A20-A19)+COUNTIF(B19,"*平湖*")*0),IF(AND(E20=0,MAX(0,H19-(A20-A19))&lt;=加速!$H$11),0,MAX(0,H19-(A20-A19)))),"")</f>
        <v>0</v>
      </c>
      <c r="I20">
        <f ca="1" t="shared" si="14"/>
        <v>0</v>
      </c>
      <c r="J20">
        <f ca="1" t="shared" si="15"/>
        <v>0</v>
      </c>
      <c r="K20">
        <f ca="1" t="shared" si="1"/>
        <v>2</v>
      </c>
      <c r="L20">
        <f ca="1">IFERROR(IF(AND(COUNTIF(B20,"*-峰插*"),技能数据库!$M$72&gt;0),0,IF(COUNTIF(B20,"*鹤归*")&gt;0,16-加速!$L$11,MAX(0,L19-(A20-A19)))),0)</f>
        <v>5.68000000000001</v>
      </c>
      <c r="M20">
        <f ca="1" t="shared" si="3"/>
        <v>0</v>
      </c>
      <c r="N20">
        <f ca="1">IFERROR(IF(AND(COUNTIF(B20,"*-峰插*"),技能数据库!$M$72&gt;0),0,IF(COUNTIF(B20,"*云飞*")&gt;0,4-COUNTIF(B20,"*玉山揽云*")*4--COUNTIF(B20,"*烟流暮景*")*4-COUNTIF(B20,"*云景*")*加速!$L$11-IF(J20&gt;0,2,0),MAX(0,N19-(A20-A19)-IF(J20&gt;0,2,0)))),0)</f>
        <v>4</v>
      </c>
      <c r="O20">
        <f ca="1">IF(AND(COUNTIF(IF(AND(配装计算器!$K$30&lt;&gt;"∞",0),INDEX(AU19:CB19,1,$AT$1),INDEX(AU21:CB21,1,$AT$1)),"*云飞*")=1,COUNTIF(IF(AND(配装计算器!$K$30&lt;&gt;"∞",0),INDEX(AU19:CB19,1,$AT$1),INDEX(AU21:CB21,1,$AT$1)),"*玉山*")=0),N20,0)</f>
        <v>0</v>
      </c>
      <c r="P20">
        <f ca="1">IFERROR(IF(COUNTIF(B20,"*云栖松*")&gt;0,50-加速!$L$11,MAX(0,P19-(A20-A19))),0)</f>
        <v>0</v>
      </c>
      <c r="Q20">
        <f ca="1">IF(COUNTIF(IF(AND(配装计算器!$K$30&lt;&gt;"∞",0),INDEX(AU19:CB19,1,$AT$1),INDEX(AU21:CB21,1,$AT$1)),"*云栖松*")=1,P20,0)</f>
        <v>0</v>
      </c>
      <c r="R20">
        <f ca="1">IFERROR(IF(COUNTIF(B20,"*莺鸣柳*")&gt;0,45-加速!$L$9,MAX(0,R19-(A20-A19))),0)</f>
        <v>0</v>
      </c>
      <c r="S20">
        <f ca="1">IF(COUNTIF(IF(AND(配装计算器!$K$30&lt;&gt;"∞",0),INDEX(AU19:CB19,1,$AT$1),INDEX(AU21:CB21,1,$AT$1)),"*莺鸣柳*")=1,R20,0)</f>
        <v>0</v>
      </c>
      <c r="T20">
        <f ca="1" t="shared" si="11"/>
        <v>0</v>
      </c>
      <c r="U20">
        <f ca="1">IF(金蛇,IF(COUNTIF(B20,"*金环戴*")+COUNTIF(B20,"*吹风醒*")&gt;0,IF(A20&lt;=3,7.125-2.625-A20-加速!$L$11,7.125+加速!$K$9-(A20+加速!$L$11-T20)),0),0)+IF(金蛇,IF(COUNTIF(B20,"*千切子裂光*")&gt;0,2+加速!$K$9-(A20+加速!$L$11-T20),0),0)</f>
        <v>0</v>
      </c>
      <c r="V20">
        <f ca="1" t="shared" si="12"/>
        <v>0</v>
      </c>
      <c r="W20">
        <f ca="1" t="shared" si="4"/>
        <v>0</v>
      </c>
      <c r="X20">
        <f ca="1">INDEX(加速!$I$13:$I$21,W20+1)</f>
        <v>0</v>
      </c>
      <c r="Y20">
        <f ca="1" t="shared" si="13"/>
        <v>0.5</v>
      </c>
      <c r="Z20">
        <f ca="1" t="shared" si="9"/>
        <v>0</v>
      </c>
      <c r="AA20">
        <f ca="1">MAX(0,IFERROR(IF(COUNTIF(B20,"*叠*")&gt;0,IF(AC19&lt;3,8-A21+A20,AA19+6.875-A21+A20),AA19-A21+A20),AA19-加速!$L$11))</f>
        <v>0</v>
      </c>
      <c r="AB20">
        <f ca="1">MAX(0,IF(COUNTIF(IF(AND(配装计算器!$K$30&lt;&gt;"∞",0),INDEX(AU20:CB20,1,$AT$1),INDEX(AU20:CB20,1,$AT$1)),"*叠1*")=1,4*25-加速!$L$11,AB19-A20+A19)-IF(OR(COUNTIF(OFFSET(AT20,0,$AT$1,1,1),"*听雷*")&gt;0,AND(碧归&gt;0,COUNTIF(OFFSET(AT20,0,$AT$1,1,1),"*风来*")&gt;0)),0,1)*1.5)</f>
        <v>51.28</v>
      </c>
      <c r="AC20">
        <f ca="1" t="shared" si="5"/>
        <v>0</v>
      </c>
      <c r="AD20">
        <f ca="1">IF(COUNTIF(IF(AND(配装计算器!$K$30&lt;&gt;"∞",0),INDEX(AU20:CB20,1,$AT$1),INDEX(AU21:CB21,1,$AT$1)),"*叠1*")=1,AB20*0+AE19,0)</f>
        <v>0</v>
      </c>
      <c r="AE20">
        <f ca="1">IF($AN$11&gt;0,IF(COUNTIF(B21,"*叠1*")&gt;0,50-加速!$L$11,MAX(0,AE19-(A21-A20))),0)</f>
        <v>25.49</v>
      </c>
      <c r="AG20">
        <f ca="1" t="shared" si="6"/>
        <v>1</v>
      </c>
      <c r="AH20" t="s">
        <v>1825</v>
      </c>
      <c r="AI20" t="s">
        <v>2768</v>
      </c>
      <c r="AJ20">
        <f ca="1">长时间循环比*COUNTIFS($B$3:$B$515,"*"&amp;AI20&amp;"*",$D$3:$D$515,"=0",$H$3:$H$515,"=0",$G$3:$G$515,"=0",$K$3:$K$515,"=2")</f>
        <v>0</v>
      </c>
      <c r="AK20" t="s">
        <v>3046</v>
      </c>
      <c r="AM20" t="s">
        <v>3047</v>
      </c>
      <c r="AN20">
        <f ca="1">AN15+AN19</f>
        <v>6.2972972972973</v>
      </c>
      <c r="AU20" t="s">
        <v>2776</v>
      </c>
      <c r="AV20">
        <v>2</v>
      </c>
      <c r="AW20" s="176" t="s">
        <v>2794</v>
      </c>
      <c r="AX20">
        <v>2</v>
      </c>
      <c r="AY20" t="s">
        <v>2768</v>
      </c>
      <c r="AZ20">
        <v>2</v>
      </c>
      <c r="BA20" t="s">
        <v>2768</v>
      </c>
      <c r="BB20">
        <v>2</v>
      </c>
      <c r="BC20" t="s">
        <v>2768</v>
      </c>
      <c r="BD20">
        <v>2</v>
      </c>
      <c r="BE20" t="s">
        <v>2776</v>
      </c>
      <c r="BF20">
        <v>2</v>
      </c>
      <c r="BG20" s="176" t="s">
        <v>2768</v>
      </c>
      <c r="BH20">
        <v>2</v>
      </c>
      <c r="BI20" s="176" t="s">
        <v>2776</v>
      </c>
      <c r="BJ20">
        <v>2</v>
      </c>
      <c r="BK20" s="176" t="s">
        <v>2776</v>
      </c>
      <c r="BL20">
        <v>2</v>
      </c>
      <c r="BM20" s="176" t="s">
        <v>2794</v>
      </c>
      <c r="BN20">
        <v>2</v>
      </c>
      <c r="BO20" s="176" t="s">
        <v>2768</v>
      </c>
      <c r="BP20">
        <v>2</v>
      </c>
      <c r="BQ20" t="s">
        <v>2768</v>
      </c>
      <c r="BR20">
        <v>2</v>
      </c>
      <c r="BS20" t="s">
        <v>2776</v>
      </c>
      <c r="BT20">
        <v>2</v>
      </c>
      <c r="BU20" s="176" t="s">
        <v>2768</v>
      </c>
      <c r="BV20">
        <v>2</v>
      </c>
      <c r="BW20" s="182" t="s">
        <v>2768</v>
      </c>
      <c r="BX20" s="179">
        <v>2</v>
      </c>
      <c r="BY20" s="176" t="s">
        <v>2794</v>
      </c>
      <c r="BZ20">
        <v>2</v>
      </c>
      <c r="CA20" s="176" t="s">
        <v>2808</v>
      </c>
      <c r="CB20">
        <v>2</v>
      </c>
    </row>
    <row r="21" spans="1:80">
      <c r="A21" s="178">
        <f ca="1">IFERROR(IF(AG20&lt;5+金蛇*2,IF(COUNTIF(B20,"*轻*")&gt;0,A20+加速!$L$9,A20+加速!$L$11)+V20,""),"")</f>
        <v>23.22</v>
      </c>
      <c r="B21" s="167" t="str">
        <f ca="1" t="shared" si="0"/>
        <v>夕照雷峰</v>
      </c>
      <c r="C21">
        <f ca="1" t="shared" si="10"/>
        <v>15</v>
      </c>
      <c r="D21">
        <f ca="1">IF(B21&lt;&gt;"",IF(C20&lt;=加速!$L$11*(1-E21),0,1),"")</f>
        <v>1</v>
      </c>
      <c r="E21">
        <f ca="1" t="shared" si="7"/>
        <v>0</v>
      </c>
      <c r="G21">
        <f ca="1" t="shared" si="8"/>
        <v>0</v>
      </c>
      <c r="H21">
        <f ca="1">IF(B21&lt;&gt;"",IF(AND(COUNTIF(B20,"*轻*莺鸣柳*")&gt;0,COUNTIF(B21,"*轻*")&lt;1),MAX(0,15+I20-(A21-A20)+COUNTIF(B20,"*平湖*")*0),IF(AND(E21=0,MAX(0,H20-(A21-A20))&lt;=加速!$H$11),0,MAX(0,H20-(A21-A20)))),"")</f>
        <v>0</v>
      </c>
      <c r="I21">
        <f ca="1" t="shared" si="14"/>
        <v>0</v>
      </c>
      <c r="J21">
        <f ca="1" t="shared" si="15"/>
        <v>0</v>
      </c>
      <c r="K21">
        <f ca="1" t="shared" si="1"/>
        <v>2</v>
      </c>
      <c r="L21">
        <f ca="1">IFERROR(IF(AND(COUNTIF(B21,"*-峰插*"),技能数据库!$M$72&gt;0),0,IF(COUNTIF(B21,"*鹤归*")&gt;0,16-加速!$L$11,MAX(0,L20-(A21-A20)))),0)</f>
        <v>4.39000000000001</v>
      </c>
      <c r="M21">
        <f ca="1" t="shared" si="3"/>
        <v>0</v>
      </c>
      <c r="N21">
        <f ca="1">IFERROR(IF(AND(COUNTIF(B21,"*-峰插*"),技能数据库!$M$72&gt;0),0,IF(COUNTIF(B21,"*云飞*")&gt;0,4-COUNTIF(B21,"*玉山揽云*")*4--COUNTIF(B21,"*烟流暮景*")*4-COUNTIF(B21,"*云景*")*加速!$L$11-IF(J21&gt;0,2,0),MAX(0,N20-(A21-A20)-IF(J21&gt;0,2,0)))),0)</f>
        <v>2.71</v>
      </c>
      <c r="O21">
        <f ca="1">IF(AND(COUNTIF(IF(AND(配装计算器!$K$30&lt;&gt;"∞",0),INDEX(AU20:CB20,1,$AT$1),INDEX(AU22:CB22,1,$AT$1)),"*云飞*")=1,COUNTIF(IF(AND(配装计算器!$K$30&lt;&gt;"∞",0),INDEX(AU20:CB20,1,$AT$1),INDEX(AU22:CB22,1,$AT$1)),"*玉山*")=0),N21,0)</f>
        <v>0</v>
      </c>
      <c r="P21">
        <f ca="1">IFERROR(IF(COUNTIF(B21,"*云栖松*")&gt;0,50-加速!$L$11,MAX(0,P20-(A21-A20))),0)</f>
        <v>0</v>
      </c>
      <c r="Q21">
        <f ca="1">IF(COUNTIF(IF(AND(配装计算器!$K$30&lt;&gt;"∞",0),INDEX(AU20:CB20,1,$AT$1),INDEX(AU22:CB22,1,$AT$1)),"*云栖松*")=1,P21,0)</f>
        <v>0</v>
      </c>
      <c r="R21">
        <f ca="1">IFERROR(IF(COUNTIF(B21,"*莺鸣柳*")&gt;0,45-加速!$L$9,MAX(0,R20-(A21-A20))),0)</f>
        <v>0</v>
      </c>
      <c r="S21">
        <f ca="1">IF(COUNTIF(IF(AND(配装计算器!$K$30&lt;&gt;"∞",0),INDEX(AU20:CB20,1,$AT$1),INDEX(AU22:CB22,1,$AT$1)),"*莺鸣柳*")=1,R21,0)</f>
        <v>0</v>
      </c>
      <c r="T21">
        <f ca="1" t="shared" si="11"/>
        <v>0</v>
      </c>
      <c r="U21">
        <f ca="1">IF(金蛇,IF(COUNTIF(B21,"*金环戴*")+COUNTIF(B21,"*吹风醒*")&gt;0,IF(A21&lt;=3,7.125-2.625-A21-加速!$L$11,7.125+加速!$K$9-(A21+加速!$L$11-T21)),0),0)+IF(金蛇,IF(COUNTIF(B21,"*千切子裂光*")&gt;0,2+加速!$K$9-(A21+加速!$L$11-T21),0),0)</f>
        <v>0</v>
      </c>
      <c r="V21">
        <f ca="1" t="shared" si="12"/>
        <v>0</v>
      </c>
      <c r="W21">
        <f ca="1" t="shared" si="4"/>
        <v>0</v>
      </c>
      <c r="X21">
        <f ca="1">INDEX(加速!$I$13:$I$21,W21+1)</f>
        <v>0</v>
      </c>
      <c r="Y21">
        <f ca="1" t="shared" si="13"/>
        <v>0.5</v>
      </c>
      <c r="Z21">
        <f ca="1" t="shared" si="9"/>
        <v>0</v>
      </c>
      <c r="AA21">
        <f ca="1">MAX(0,IFERROR(IF(COUNTIF(B21,"*叠*")&gt;0,IF(AC20&lt;3,8-A22+A21,AA20+6.875-A22+A21),AA20-A22+A21),AA20-加速!$L$11))</f>
        <v>0</v>
      </c>
      <c r="AB21">
        <f ca="1">MAX(0,IF(COUNTIF(IF(AND(配装计算器!$K$30&lt;&gt;"∞",0),INDEX(AU21:CB21,1,$AT$1),INDEX(AU21:CB21,1,$AT$1)),"*叠1*")=1,4*25-加速!$L$11,AB20-A21+A20)-IF(OR(COUNTIF(OFFSET(AT21,0,$AT$1,1,1),"*听雷*")&gt;0,AND(碧归&gt;0,COUNTIF(OFFSET(AT21,0,$AT$1,1,1),"*风来*")&gt;0)),0,1)*1.5)</f>
        <v>48.49</v>
      </c>
      <c r="AC21">
        <f ca="1" t="shared" si="5"/>
        <v>0</v>
      </c>
      <c r="AD21">
        <f ca="1">IF(COUNTIF(IF(AND(配装计算器!$K$30&lt;&gt;"∞",0),INDEX(AU21:CB21,1,$AT$1),INDEX(AU22:CB22,1,$AT$1)),"*叠1*")=1,AB21*0+AE20,0)</f>
        <v>0</v>
      </c>
      <c r="AE21">
        <f ca="1">IF($AN$11&gt;0,IF(COUNTIF(B22,"*叠1*")&gt;0,50-加速!$L$11,MAX(0,AE20-(A22-A21))),0)</f>
        <v>24.2</v>
      </c>
      <c r="AG21">
        <f ca="1" t="shared" si="6"/>
        <v>1</v>
      </c>
      <c r="AH21" t="s">
        <v>1825</v>
      </c>
      <c r="AI21" t="s">
        <v>2768</v>
      </c>
      <c r="AJ21">
        <f ca="1">长时间循环比*COUNTIFS($B$3:$B$515,"*"&amp;AI21&amp;"*",$D$3:$D$515,"&gt;0",$H$3:$H$515,"=0",$G$3:$G$515,"=0",$K$3:$K$515,"=2",$AC$3:$AC$515,"=0")+AN40</f>
        <v>24</v>
      </c>
      <c r="AK21" t="s">
        <v>3048</v>
      </c>
      <c r="AM21" t="s">
        <v>3049</v>
      </c>
      <c r="AN21">
        <v>37</v>
      </c>
      <c r="AU21" s="176" t="s">
        <v>2794</v>
      </c>
      <c r="AV21">
        <v>2</v>
      </c>
      <c r="AW21" s="176" t="s">
        <v>2768</v>
      </c>
      <c r="AX21">
        <v>2</v>
      </c>
      <c r="AY21" t="s">
        <v>2776</v>
      </c>
      <c r="AZ21">
        <v>2</v>
      </c>
      <c r="BA21" t="s">
        <v>2776</v>
      </c>
      <c r="BB21">
        <v>2</v>
      </c>
      <c r="BC21" t="s">
        <v>2776</v>
      </c>
      <c r="BD21">
        <v>1</v>
      </c>
      <c r="BE21" t="s">
        <v>3042</v>
      </c>
      <c r="BF21">
        <v>2</v>
      </c>
      <c r="BG21" s="176" t="s">
        <v>2776</v>
      </c>
      <c r="BH21">
        <v>2</v>
      </c>
      <c r="BI21" t="s">
        <v>2768</v>
      </c>
      <c r="BJ21">
        <v>2</v>
      </c>
      <c r="BK21" t="s">
        <v>2768</v>
      </c>
      <c r="BL21">
        <v>1</v>
      </c>
      <c r="BM21" s="176" t="s">
        <v>2768</v>
      </c>
      <c r="BN21">
        <v>2</v>
      </c>
      <c r="BO21" s="176" t="s">
        <v>2776</v>
      </c>
      <c r="BP21">
        <v>2</v>
      </c>
      <c r="BQ21" t="s">
        <v>2776</v>
      </c>
      <c r="BR21">
        <v>1</v>
      </c>
      <c r="BS21" t="s">
        <v>2768</v>
      </c>
      <c r="BT21">
        <v>2</v>
      </c>
      <c r="BU21" s="176" t="s">
        <v>2776</v>
      </c>
      <c r="BV21">
        <v>2</v>
      </c>
      <c r="BW21" s="182" t="s">
        <v>2776</v>
      </c>
      <c r="BX21" s="179">
        <v>2</v>
      </c>
      <c r="BY21" s="176" t="s">
        <v>2768</v>
      </c>
      <c r="BZ21">
        <v>2</v>
      </c>
      <c r="CA21" t="s">
        <v>2768</v>
      </c>
      <c r="CB21">
        <v>2</v>
      </c>
    </row>
    <row r="22" spans="1:80">
      <c r="A22" s="178">
        <f ca="1">IFERROR(IF(AG21&lt;5+金蛇*2,IF(COUNTIF(B21,"*轻*")&gt;0,A21+加速!$L$9,A21+加速!$L$11)+V21,""),"")</f>
        <v>24.51</v>
      </c>
      <c r="B22" s="167" t="str">
        <f ca="1" t="shared" si="0"/>
        <v>夕照雷峰</v>
      </c>
      <c r="C22">
        <f ca="1" t="shared" si="10"/>
        <v>15</v>
      </c>
      <c r="D22">
        <f ca="1">IF(B22&lt;&gt;"",IF(C21&lt;=加速!$L$11*(1-E22),0,1),"")</f>
        <v>1</v>
      </c>
      <c r="E22">
        <f ca="1" t="shared" si="7"/>
        <v>0</v>
      </c>
      <c r="G22">
        <f ca="1" t="shared" si="8"/>
        <v>0</v>
      </c>
      <c r="H22">
        <f ca="1">IF(B22&lt;&gt;"",IF(AND(COUNTIF(B21,"*轻*莺鸣柳*")&gt;0,COUNTIF(B22,"*轻*")&lt;1),MAX(0,15+I21-(A22-A21)+COUNTIF(B21,"*平湖*")*0),IF(AND(E22=0,MAX(0,H21-(A22-A21))&lt;=加速!$H$11),0,MAX(0,H21-(A22-A21)))),"")</f>
        <v>0</v>
      </c>
      <c r="I22">
        <f ca="1" t="shared" si="14"/>
        <v>0</v>
      </c>
      <c r="J22">
        <f ca="1" t="shared" si="15"/>
        <v>0</v>
      </c>
      <c r="K22">
        <f ca="1" t="shared" si="1"/>
        <v>1</v>
      </c>
      <c r="L22">
        <f ca="1">IFERROR(IF(AND(COUNTIF(B22,"*-峰插*"),技能数据库!$M$72&gt;0),0,IF(COUNTIF(B22,"*鹤归*")&gt;0,16-加速!$L$11,MAX(0,L21-(A22-A21)))),0)</f>
        <v>3.10000000000001</v>
      </c>
      <c r="M22">
        <f ca="1" t="shared" si="3"/>
        <v>0</v>
      </c>
      <c r="N22">
        <f ca="1">IFERROR(IF(AND(COUNTIF(B22,"*-峰插*"),技能数据库!$M$72&gt;0),0,IF(COUNTIF(B22,"*云飞*")&gt;0,4-COUNTIF(B22,"*玉山揽云*")*4--COUNTIF(B22,"*烟流暮景*")*4-COUNTIF(B22,"*云景*")*加速!$L$11-IF(J22&gt;0,2,0),MAX(0,N21-(A22-A21)-IF(J22&gt;0,2,0)))),0)</f>
        <v>1.42</v>
      </c>
      <c r="O22">
        <f ca="1">IF(AND(COUNTIF(IF(AND(配装计算器!$K$30&lt;&gt;"∞",0),INDEX(AU21:CB21,1,$AT$1),INDEX(AU23:CB23,1,$AT$1)),"*云飞*")=1,COUNTIF(IF(AND(配装计算器!$K$30&lt;&gt;"∞",0),INDEX(AU21:CB21,1,$AT$1),INDEX(AU23:CB23,1,$AT$1)),"*玉山*")=0),N22,0)</f>
        <v>0</v>
      </c>
      <c r="P22">
        <f ca="1">IFERROR(IF(COUNTIF(B22,"*云栖松*")&gt;0,50-加速!$L$11,MAX(0,P21-(A22-A21))),0)</f>
        <v>0</v>
      </c>
      <c r="Q22">
        <f ca="1">IF(COUNTIF(IF(AND(配装计算器!$K$30&lt;&gt;"∞",0),INDEX(AU21:CB21,1,$AT$1),INDEX(AU23:CB23,1,$AT$1)),"*云栖松*")=1,P22,0)</f>
        <v>0</v>
      </c>
      <c r="R22">
        <f ca="1">IFERROR(IF(COUNTIF(B22,"*莺鸣柳*")&gt;0,45-加速!$L$9,MAX(0,R21-(A22-A21))),0)</f>
        <v>0</v>
      </c>
      <c r="S22">
        <f ca="1">IF(COUNTIF(IF(AND(配装计算器!$K$30&lt;&gt;"∞",0),INDEX(AU21:CB21,1,$AT$1),INDEX(AU23:CB23,1,$AT$1)),"*莺鸣柳*")=1,R22,0)</f>
        <v>0</v>
      </c>
      <c r="T22">
        <f ca="1" t="shared" si="11"/>
        <v>0</v>
      </c>
      <c r="U22">
        <f ca="1">IF(金蛇,IF(COUNTIF(B22,"*金环戴*")+COUNTIF(B22,"*吹风醒*")&gt;0,IF(A22&lt;=3,7.125-2.625-A22-加速!$L$11,7.125+加速!$K$9-(A22+加速!$L$11-T22)),0),0)+IF(金蛇,IF(COUNTIF(B22,"*千切子裂光*")&gt;0,2+加速!$K$9-(A22+加速!$L$11-T22),0),0)</f>
        <v>0</v>
      </c>
      <c r="V22">
        <f ca="1" t="shared" si="12"/>
        <v>0</v>
      </c>
      <c r="W22">
        <f ca="1" t="shared" si="4"/>
        <v>0</v>
      </c>
      <c r="X22">
        <f ca="1">INDEX(加速!$I$13:$I$21,W22+1)</f>
        <v>0</v>
      </c>
      <c r="Y22">
        <f ca="1" t="shared" si="13"/>
        <v>0.5</v>
      </c>
      <c r="Z22">
        <f ca="1" t="shared" si="9"/>
        <v>0</v>
      </c>
      <c r="AA22">
        <f ca="1">MAX(0,IFERROR(IF(COUNTIF(B22,"*叠*")&gt;0,IF(AC21&lt;3,8-A23+A22,AA21+6.875-A23+A22),AA21-A23+A22),AA21-加速!$L$11))</f>
        <v>0</v>
      </c>
      <c r="AB22">
        <f ca="1">MAX(0,IF(COUNTIF(IF(AND(配装计算器!$K$30&lt;&gt;"∞",0),INDEX(AU22:CB22,1,$AT$1),INDEX(AU22:CB22,1,$AT$1)),"*叠1*")=1,4*25-加速!$L$11,AB21-A22+A21)-IF(OR(COUNTIF(OFFSET(AT22,0,$AT$1,1,1),"*听雷*")&gt;0,AND(碧归&gt;0,COUNTIF(OFFSET(AT22,0,$AT$1,1,1),"*风来*")&gt;0)),0,1)*1.5)</f>
        <v>45.7</v>
      </c>
      <c r="AC22">
        <f ca="1" t="shared" si="5"/>
        <v>0</v>
      </c>
      <c r="AD22">
        <f ca="1">IF(COUNTIF(IF(AND(配装计算器!$K$30&lt;&gt;"∞",0),INDEX(AU22:CB22,1,$AT$1),INDEX(AU23:CB23,1,$AT$1)),"*叠1*")=1,AB22*0+AE21,0)</f>
        <v>0</v>
      </c>
      <c r="AE22">
        <f ca="1">IF($AN$11&gt;0,IF(COUNTIF(B23,"*叠1*")&gt;0,50-加速!$L$11,MAX(0,AE21-(A23-A22))),0)</f>
        <v>22.91</v>
      </c>
      <c r="AG22">
        <f ca="1" t="shared" si="6"/>
        <v>1</v>
      </c>
      <c r="AH22" t="s">
        <v>1825</v>
      </c>
      <c r="AI22" t="s">
        <v>2768</v>
      </c>
      <c r="AJ22">
        <f ca="1">长时间循环比*COUNTIFS($B$3:$B$515,"*"&amp;AI22&amp;"*",$D$3:$D$515,"=0",$H$3:$H$515,"&gt;0",$G$3:$G$515,"=0",$K$3:$K$515,"=2")</f>
        <v>0</v>
      </c>
      <c r="AK22" t="s">
        <v>3050</v>
      </c>
      <c r="AM22" t="s">
        <v>3051</v>
      </c>
      <c r="AN22">
        <f>1024/AN21/(AM7/240)</f>
        <v>18.0985345018043</v>
      </c>
      <c r="AU22" s="176" t="s">
        <v>2768</v>
      </c>
      <c r="AV22">
        <v>2</v>
      </c>
      <c r="AW22" s="176" t="s">
        <v>2776</v>
      </c>
      <c r="AX22">
        <v>2</v>
      </c>
      <c r="AY22" t="s">
        <v>2794</v>
      </c>
      <c r="AZ22">
        <v>2</v>
      </c>
      <c r="BA22" t="s">
        <v>2794</v>
      </c>
      <c r="BB22">
        <v>2</v>
      </c>
      <c r="BC22" t="s">
        <v>2768</v>
      </c>
      <c r="BD22">
        <v>1</v>
      </c>
      <c r="BE22" t="s">
        <v>2808</v>
      </c>
      <c r="BF22">
        <v>2</v>
      </c>
      <c r="BG22" t="s">
        <v>2768</v>
      </c>
      <c r="BH22">
        <v>1</v>
      </c>
      <c r="BI22" s="176" t="s">
        <v>2768</v>
      </c>
      <c r="BJ22">
        <v>1</v>
      </c>
      <c r="BK22" t="s">
        <v>2776</v>
      </c>
      <c r="BL22">
        <v>1</v>
      </c>
      <c r="BM22" s="176" t="s">
        <v>2776</v>
      </c>
      <c r="BN22">
        <v>2</v>
      </c>
      <c r="BO22" s="176" t="s">
        <v>2768</v>
      </c>
      <c r="BP22">
        <v>2</v>
      </c>
      <c r="BQ22" t="s">
        <v>3055</v>
      </c>
      <c r="BR22">
        <v>2</v>
      </c>
      <c r="BS22" t="s">
        <v>2776</v>
      </c>
      <c r="BT22">
        <v>1</v>
      </c>
      <c r="BU22" t="s">
        <v>2768</v>
      </c>
      <c r="BV22">
        <v>1</v>
      </c>
      <c r="BW22" s="182" t="s">
        <v>2768</v>
      </c>
      <c r="BX22" s="179">
        <v>2</v>
      </c>
      <c r="BY22" s="176" t="s">
        <v>2776</v>
      </c>
      <c r="BZ22">
        <v>2</v>
      </c>
      <c r="CA22" t="s">
        <v>2776</v>
      </c>
      <c r="CB22">
        <v>2</v>
      </c>
    </row>
    <row r="23" spans="1:80">
      <c r="A23" s="178">
        <f ca="1">IFERROR(IF(AG22&lt;5+金蛇*2,IF(COUNTIF(B22,"*轻*")&gt;0,A22+加速!$L$9,A22+加速!$L$11)+V22,""),"")</f>
        <v>25.8</v>
      </c>
      <c r="B23" s="167" t="str">
        <f ca="1" t="shared" si="0"/>
        <v>夕照雷峰</v>
      </c>
      <c r="C23">
        <f ca="1" t="shared" si="10"/>
        <v>15</v>
      </c>
      <c r="D23">
        <f ca="1">IF(B23&lt;&gt;"",IF(C22&lt;=加速!$L$11*(1-E23),0,1),"")</f>
        <v>1</v>
      </c>
      <c r="E23">
        <f ca="1" t="shared" si="7"/>
        <v>0</v>
      </c>
      <c r="G23">
        <f ca="1" t="shared" si="8"/>
        <v>0</v>
      </c>
      <c r="H23">
        <f ca="1">IF(B23&lt;&gt;"",IF(AND(COUNTIF(B22,"*轻*莺鸣柳*")&gt;0,COUNTIF(B23,"*轻*")&lt;1),MAX(0,15+I22-(A23-A22)+COUNTIF(B22,"*平湖*")*0),IF(AND(E23=0,MAX(0,H22-(A23-A22))&lt;=加速!$H$11),0,MAX(0,H22-(A23-A22)))),"")</f>
        <v>0</v>
      </c>
      <c r="I23">
        <f ca="1" t="shared" si="14"/>
        <v>0</v>
      </c>
      <c r="J23">
        <f ca="1" t="shared" si="15"/>
        <v>0</v>
      </c>
      <c r="K23">
        <f ca="1" t="shared" si="1"/>
        <v>1</v>
      </c>
      <c r="L23">
        <f ca="1">IFERROR(IF(AND(COUNTIF(B23,"*-峰插*"),技能数据库!$M$72&gt;0),0,IF(COUNTIF(B23,"*鹤归*")&gt;0,16-加速!$L$11,MAX(0,L22-(A23-A22)))),0)</f>
        <v>1.81000000000001</v>
      </c>
      <c r="M23">
        <f ca="1" t="shared" si="3"/>
        <v>0</v>
      </c>
      <c r="N23">
        <f ca="1">IFERROR(IF(AND(COUNTIF(B23,"*-峰插*"),技能数据库!$M$72&gt;0),0,IF(COUNTIF(B23,"*云飞*")&gt;0,4-COUNTIF(B23,"*玉山揽云*")*4--COUNTIF(B23,"*烟流暮景*")*4-COUNTIF(B23,"*云景*")*加速!$L$11-IF(J23&gt;0,2,0),MAX(0,N22-(A23-A22)-IF(J23&gt;0,2,0)))),0)</f>
        <v>0.130000000000003</v>
      </c>
      <c r="O23">
        <f ca="1">IF(AND(COUNTIF(IF(AND(配装计算器!$K$30&lt;&gt;"∞",0),INDEX(AU22:CB22,1,$AT$1),INDEX(AU24:CB24,1,$AT$1)),"*云飞*")=1,COUNTIF(IF(AND(配装计算器!$K$30&lt;&gt;"∞",0),INDEX(AU22:CB22,1,$AT$1),INDEX(AU24:CB24,1,$AT$1)),"*玉山*")=0),N23,0)</f>
        <v>0.130000000000003</v>
      </c>
      <c r="P23">
        <f ca="1">IFERROR(IF(COUNTIF(B23,"*云栖松*")&gt;0,50-加速!$L$11,MAX(0,P22-(A23-A22))),0)</f>
        <v>0</v>
      </c>
      <c r="Q23">
        <f ca="1">IF(COUNTIF(IF(AND(配装计算器!$K$30&lt;&gt;"∞",0),INDEX(AU22:CB22,1,$AT$1),INDEX(AU24:CB24,1,$AT$1)),"*云栖松*")=1,P23,0)</f>
        <v>0</v>
      </c>
      <c r="R23">
        <f ca="1">IFERROR(IF(COUNTIF(B23,"*莺鸣柳*")&gt;0,45-加速!$L$9,MAX(0,R22-(A23-A22))),0)</f>
        <v>0</v>
      </c>
      <c r="S23">
        <f ca="1">IF(COUNTIF(IF(AND(配装计算器!$K$30&lt;&gt;"∞",0),INDEX(AU22:CB22,1,$AT$1),INDEX(AU24:CB24,1,$AT$1)),"*莺鸣柳*")=1,R23,0)</f>
        <v>0</v>
      </c>
      <c r="T23">
        <f ca="1" t="shared" si="11"/>
        <v>0</v>
      </c>
      <c r="U23">
        <f ca="1">IF(金蛇,IF(COUNTIF(B23,"*金环戴*")+COUNTIF(B23,"*吹风醒*")&gt;0,IF(A23&lt;=3,7.125-2.625-A23-加速!$L$11,7.125+加速!$K$9-(A23+加速!$L$11-T23)),0),0)+IF(金蛇,IF(COUNTIF(B23,"*千切子裂光*")&gt;0,2+加速!$K$9-(A23+加速!$L$11-T23),0),0)</f>
        <v>0</v>
      </c>
      <c r="V23">
        <f ca="1" t="shared" si="12"/>
        <v>0.130000000000003</v>
      </c>
      <c r="W23">
        <f ca="1" t="shared" si="4"/>
        <v>0</v>
      </c>
      <c r="X23">
        <f ca="1">INDEX(加速!$I$13:$I$21,W23+1)</f>
        <v>0</v>
      </c>
      <c r="Y23">
        <f ca="1" t="shared" si="13"/>
        <v>0.5</v>
      </c>
      <c r="Z23">
        <f ca="1" t="shared" si="9"/>
        <v>0</v>
      </c>
      <c r="AA23">
        <f ca="1">MAX(0,IFERROR(IF(COUNTIF(B23,"*叠*")&gt;0,IF(AC22&lt;3,8-A24+A23,AA22+6.875-A24+A23),AA22-A24+A23),AA22-加速!$L$11))</f>
        <v>0</v>
      </c>
      <c r="AB23">
        <f ca="1">MAX(0,IF(COUNTIF(IF(AND(配装计算器!$K$30&lt;&gt;"∞",0),INDEX(AU23:CB23,1,$AT$1),INDEX(AU23:CB23,1,$AT$1)),"*叠1*")=1,4*25-加速!$L$11,AB22-A23+A22)-IF(OR(COUNTIF(OFFSET(AT23,0,$AT$1,1,1),"*听雷*")&gt;0,AND(碧归&gt;0,COUNTIF(OFFSET(AT23,0,$AT$1,1,1),"*风来*")&gt;0)),0,1)*1.5)</f>
        <v>42.91</v>
      </c>
      <c r="AC23">
        <f ca="1" t="shared" si="5"/>
        <v>0</v>
      </c>
      <c r="AD23">
        <f ca="1">IF(COUNTIF(IF(AND(配装计算器!$K$30&lt;&gt;"∞",0),INDEX(AU23:CB23,1,$AT$1),INDEX(AU24:CB24,1,$AT$1)),"*叠1*")=1,AB23*0+AE22,0)</f>
        <v>0</v>
      </c>
      <c r="AE23">
        <f ca="1">IF($AN$11&gt;0,IF(COUNTIF(B24,"*叠1*")&gt;0,50-加速!$L$11,MAX(0,AE22-(A24-A23))),0)</f>
        <v>21.49</v>
      </c>
      <c r="AG23">
        <f ca="1" t="shared" si="6"/>
        <v>1</v>
      </c>
      <c r="AH23" t="s">
        <v>1825</v>
      </c>
      <c r="AI23" t="s">
        <v>2768</v>
      </c>
      <c r="AJ23">
        <f ca="1">长时间循环比*COUNTIFS($B$3:$B$515,"*"&amp;AI23&amp;"*",$D$3:$D$515,"&gt;0",$H$3:$H$515,"&gt;0",$G$3:$G$515,"=0",$K$3:$K$515,"=2")+AN39</f>
        <v>0</v>
      </c>
      <c r="AK23" t="s">
        <v>3052</v>
      </c>
      <c r="AM23" t="s">
        <v>2318</v>
      </c>
      <c r="AN23">
        <v>40</v>
      </c>
      <c r="AU23" s="176" t="s">
        <v>2776</v>
      </c>
      <c r="AV23">
        <v>2</v>
      </c>
      <c r="AW23" s="176" t="s">
        <v>2768</v>
      </c>
      <c r="AX23">
        <v>2</v>
      </c>
      <c r="AY23" t="s">
        <v>2768</v>
      </c>
      <c r="AZ23">
        <v>2</v>
      </c>
      <c r="BA23" t="s">
        <v>2768</v>
      </c>
      <c r="BB23">
        <v>2</v>
      </c>
      <c r="BC23" t="s">
        <v>2794</v>
      </c>
      <c r="BD23">
        <v>2</v>
      </c>
      <c r="BE23" t="s">
        <v>2768</v>
      </c>
      <c r="BF23">
        <v>2</v>
      </c>
      <c r="BG23" s="176" t="s">
        <v>2768</v>
      </c>
      <c r="BH23">
        <v>1</v>
      </c>
      <c r="BI23" s="176" t="s">
        <v>2768</v>
      </c>
      <c r="BJ23">
        <v>1</v>
      </c>
      <c r="BK23" t="s">
        <v>2768</v>
      </c>
      <c r="BL23">
        <v>0</v>
      </c>
      <c r="BM23" s="176" t="s">
        <v>2768</v>
      </c>
      <c r="BN23">
        <v>2</v>
      </c>
      <c r="BO23" s="176" t="s">
        <v>2776</v>
      </c>
      <c r="BP23">
        <v>2</v>
      </c>
      <c r="BQ23" t="s">
        <v>2768</v>
      </c>
      <c r="BR23">
        <v>2</v>
      </c>
      <c r="BS23" t="s">
        <v>2768</v>
      </c>
      <c r="BT23">
        <v>1</v>
      </c>
      <c r="BU23" s="176" t="s">
        <v>2768</v>
      </c>
      <c r="BV23">
        <v>1</v>
      </c>
      <c r="BW23" s="182" t="s">
        <v>2776</v>
      </c>
      <c r="BX23" s="179">
        <v>2</v>
      </c>
      <c r="BY23" s="176" t="s">
        <v>2768</v>
      </c>
      <c r="BZ23">
        <v>2</v>
      </c>
      <c r="CA23" t="str">
        <f>IF(秋,"云栖松","泉凝月")</f>
        <v>泉凝月</v>
      </c>
      <c r="CB23">
        <v>2</v>
      </c>
    </row>
    <row r="24" spans="1:80">
      <c r="A24" s="178">
        <f ca="1">IFERROR(IF(AG23&lt;5+金蛇*2,IF(COUNTIF(B23,"*轻*")&gt;0,A23+加速!$L$9,A23+加速!$L$11)+V23,""),"")</f>
        <v>27.22</v>
      </c>
      <c r="B24" s="167" t="str">
        <f ca="1" t="shared" si="0"/>
        <v>云飞玉皇</v>
      </c>
      <c r="C24">
        <f ca="1" t="shared" si="10"/>
        <v>13.58</v>
      </c>
      <c r="D24">
        <f ca="1">IF(B24&lt;&gt;"",IF(C23&lt;=加速!$L$11*(1-E24),0,1),"")</f>
        <v>1</v>
      </c>
      <c r="E24">
        <f ca="1" t="shared" si="7"/>
        <v>0</v>
      </c>
      <c r="G24">
        <f ca="1" t="shared" si="8"/>
        <v>0</v>
      </c>
      <c r="H24">
        <f ca="1">IF(B24&lt;&gt;"",IF(AND(COUNTIF(B23,"*轻*莺鸣柳*")&gt;0,COUNTIF(B24,"*轻*")&lt;1),MAX(0,15+I23-(A24-A23)+COUNTIF(B23,"*平湖*")*0),IF(AND(E24=0,MAX(0,H23-(A24-A23))&lt;=加速!$H$11),0,MAX(0,H23-(A24-A23)))),"")</f>
        <v>0</v>
      </c>
      <c r="I24">
        <f ca="1" t="shared" si="14"/>
        <v>0</v>
      </c>
      <c r="J24">
        <f ca="1" t="shared" si="15"/>
        <v>0</v>
      </c>
      <c r="K24">
        <f ca="1" t="shared" si="1"/>
        <v>0</v>
      </c>
      <c r="L24">
        <f ca="1">IFERROR(IF(AND(COUNTIF(B24,"*-峰插*"),技能数据库!$M$72&gt;0),0,IF(COUNTIF(B24,"*鹤归*")&gt;0,16-加速!$L$11,MAX(0,L23-(A24-A23)))),0)</f>
        <v>0.390000000000008</v>
      </c>
      <c r="M24">
        <f ca="1" t="shared" si="3"/>
        <v>0.390000000000008</v>
      </c>
      <c r="N24">
        <f ca="1">IFERROR(IF(AND(COUNTIF(B24,"*-峰插*"),技能数据库!$M$72&gt;0),0,IF(COUNTIF(B24,"*云飞*")&gt;0,4-COUNTIF(B24,"*玉山揽云*")*4--COUNTIF(B24,"*烟流暮景*")*4-COUNTIF(B24,"*云景*")*加速!$L$11-IF(J24&gt;0,2,0),MAX(0,N23-(A24-A23)-IF(J24&gt;0,2,0)))),0)</f>
        <v>4</v>
      </c>
      <c r="O24">
        <f ca="1">IF(AND(COUNTIF(IF(AND(配装计算器!$K$30&lt;&gt;"∞",0),INDEX(AU23:CB23,1,$AT$1),INDEX(AU25:CB25,1,$AT$1)),"*云飞*")=1,COUNTIF(IF(AND(配装计算器!$K$30&lt;&gt;"∞",0),INDEX(AU23:CB23,1,$AT$1),INDEX(AU25:CB25,1,$AT$1)),"*玉山*")=0),N24,0)</f>
        <v>0</v>
      </c>
      <c r="P24">
        <f ca="1">IFERROR(IF(COUNTIF(B24,"*云栖松*")&gt;0,50-加速!$L$11,MAX(0,P23-(A24-A23))),0)</f>
        <v>0</v>
      </c>
      <c r="Q24">
        <f ca="1">IF(COUNTIF(IF(AND(配装计算器!$K$30&lt;&gt;"∞",0),INDEX(AU23:CB23,1,$AT$1),INDEX(AU25:CB25,1,$AT$1)),"*云栖松*")=1,P24,0)</f>
        <v>0</v>
      </c>
      <c r="R24">
        <f ca="1">IFERROR(IF(COUNTIF(B24,"*莺鸣柳*")&gt;0,45-加速!$L$9,MAX(0,R23-(A24-A23))),0)</f>
        <v>0</v>
      </c>
      <c r="S24">
        <f ca="1">IF(COUNTIF(IF(AND(配装计算器!$K$30&lt;&gt;"∞",0),INDEX(AU23:CB23,1,$AT$1),INDEX(AU25:CB25,1,$AT$1)),"*莺鸣柳*")=1,R24,0)</f>
        <v>0</v>
      </c>
      <c r="T24">
        <f ca="1" t="shared" si="11"/>
        <v>0</v>
      </c>
      <c r="U24">
        <f ca="1">IF(金蛇,IF(COUNTIF(B24,"*金环戴*")+COUNTIF(B24,"*吹风醒*")&gt;0,IF(A24&lt;=3,7.125-2.625-A24-加速!$L$11,7.125+加速!$K$9-(A24+加速!$L$11-T24)),0),0)+IF(金蛇,IF(COUNTIF(B24,"*千切子裂光*")&gt;0,2+加速!$K$9-(A24+加速!$L$11-T24),0),0)</f>
        <v>0</v>
      </c>
      <c r="V24">
        <f ca="1" t="shared" si="12"/>
        <v>0.390000000000008</v>
      </c>
      <c r="W24">
        <f ca="1" t="shared" si="4"/>
        <v>0</v>
      </c>
      <c r="X24">
        <f ca="1">INDEX(加速!$I$13:$I$21,W24+1)</f>
        <v>0</v>
      </c>
      <c r="Y24">
        <f ca="1" t="shared" si="13"/>
        <v>0.5</v>
      </c>
      <c r="Z24">
        <f ca="1" t="shared" si="9"/>
        <v>0</v>
      </c>
      <c r="AA24">
        <f ca="1">MAX(0,IFERROR(IF(COUNTIF(B24,"*叠*")&gt;0,IF(AC23&lt;3,8-A25+A24,AA23+6.875-A25+A24),AA23-A25+A24),AA23-加速!$L$11))</f>
        <v>0</v>
      </c>
      <c r="AB24">
        <f ca="1">MAX(0,IF(COUNTIF(IF(AND(配装计算器!$K$30&lt;&gt;"∞",0),INDEX(AU24:CB24,1,$AT$1),INDEX(AU24:CB24,1,$AT$1)),"*叠1*")=1,4*25-加速!$L$11,AB23-A24+A23)-IF(OR(COUNTIF(OFFSET(AT24,0,$AT$1,1,1),"*听雷*")&gt;0,AND(碧归&gt;0,COUNTIF(OFFSET(AT24,0,$AT$1,1,1),"*风来*")&gt;0)),0,1)*1.5)</f>
        <v>39.99</v>
      </c>
      <c r="AC24">
        <f ca="1" t="shared" si="5"/>
        <v>0</v>
      </c>
      <c r="AD24">
        <f ca="1">IF(COUNTIF(IF(AND(配装计算器!$K$30&lt;&gt;"∞",0),INDEX(AU24:CB24,1,$AT$1),INDEX(AU25:CB25,1,$AT$1)),"*叠1*")=1,AB24*0+AE23,0)</f>
        <v>0</v>
      </c>
      <c r="AE24">
        <f ca="1">IF($AN$11&gt;0,IF(COUNTIF(B25,"*叠1*")&gt;0,50-加速!$L$11,MAX(0,AE23-(A25-A24))),0)</f>
        <v>19.81</v>
      </c>
      <c r="AG24">
        <f ca="1" t="shared" si="6"/>
        <v>1</v>
      </c>
      <c r="AH24" t="s">
        <v>1825</v>
      </c>
      <c r="AI24" t="s">
        <v>2768</v>
      </c>
      <c r="AJ24">
        <f ca="1">长时间循环比*COUNTIFS($B$3:$B$515,"*"&amp;AI24&amp;"*",$D$3:$D$515,"=0",$H$3:$H$515,"=0",$G$3:$G$515,"=0",$K$3:$K$515,"=1")</f>
        <v>0</v>
      </c>
      <c r="AK24" t="s">
        <v>3053</v>
      </c>
      <c r="AM24" t="s">
        <v>3054</v>
      </c>
      <c r="AN24">
        <f ca="1">((AS1)/(AN22+AN23))*$AN$9</f>
        <v>0</v>
      </c>
      <c r="AU24" s="176" t="s">
        <v>2768</v>
      </c>
      <c r="AV24">
        <v>2</v>
      </c>
      <c r="AW24" s="176" t="s">
        <v>2776</v>
      </c>
      <c r="AX24">
        <v>2</v>
      </c>
      <c r="AY24" t="s">
        <v>2776</v>
      </c>
      <c r="AZ24">
        <v>2</v>
      </c>
      <c r="BA24" t="s">
        <v>2776</v>
      </c>
      <c r="BB24">
        <v>2</v>
      </c>
      <c r="BC24" t="s">
        <v>2768</v>
      </c>
      <c r="BD24">
        <v>2</v>
      </c>
      <c r="BE24" t="s">
        <v>2768</v>
      </c>
      <c r="BF24">
        <v>2</v>
      </c>
      <c r="BG24" t="s">
        <v>3055</v>
      </c>
      <c r="BH24">
        <v>0</v>
      </c>
      <c r="BI24" s="176" t="s">
        <v>2776</v>
      </c>
      <c r="BJ24">
        <v>0</v>
      </c>
      <c r="BK24" t="s">
        <v>3056</v>
      </c>
      <c r="BL24">
        <v>0</v>
      </c>
      <c r="BM24" s="176" t="s">
        <v>2776</v>
      </c>
      <c r="BN24">
        <v>2</v>
      </c>
      <c r="BO24" s="176" t="str">
        <f>IF(0,"云飞玉皇-玉山揽云","夕照雷峰")</f>
        <v>夕照雷峰</v>
      </c>
      <c r="BP24">
        <v>2</v>
      </c>
      <c r="BQ24" t="s">
        <v>2776</v>
      </c>
      <c r="BR24">
        <v>2</v>
      </c>
      <c r="BS24" t="s">
        <v>3056</v>
      </c>
      <c r="BT24">
        <v>0</v>
      </c>
      <c r="BU24" t="s">
        <v>3055</v>
      </c>
      <c r="BV24">
        <v>0</v>
      </c>
      <c r="BW24" s="182" t="str">
        <f t="shared" ref="BW24" si="16">IF($AN$11=1,"云飞玉皇-玉山揽云","夕照雷峰")</f>
        <v>云飞玉皇-玉山揽云</v>
      </c>
      <c r="BX24" s="179">
        <v>2</v>
      </c>
      <c r="BY24" s="176" t="s">
        <v>2776</v>
      </c>
      <c r="BZ24">
        <v>2</v>
      </c>
      <c r="CA24" t="s">
        <v>2768</v>
      </c>
      <c r="CB24">
        <v>2</v>
      </c>
    </row>
    <row r="25" spans="1:80">
      <c r="A25" s="178">
        <f ca="1">IFERROR(IF(AG24&lt;5+金蛇*2,IF(COUNTIF(B24,"*轻*")&gt;0,A24+加速!$L$9,A24+加速!$L$11)+V24,""),"")</f>
        <v>28.9</v>
      </c>
      <c r="B25" s="167" t="str">
        <f ca="1" t="shared" si="0"/>
        <v>鹤归孤山</v>
      </c>
      <c r="C25">
        <f ca="1" t="shared" si="10"/>
        <v>11.9</v>
      </c>
      <c r="D25">
        <f ca="1">IF(B25&lt;&gt;"",IF(C24&lt;=加速!$L$11*(1-E25),0,1),"")</f>
        <v>1</v>
      </c>
      <c r="E25">
        <f ca="1" t="shared" si="7"/>
        <v>1</v>
      </c>
      <c r="G25">
        <f ca="1" t="shared" si="8"/>
        <v>0</v>
      </c>
      <c r="H25">
        <f ca="1">IF(B25&lt;&gt;"",IF(AND(COUNTIF(B24,"*轻*莺鸣柳*")&gt;0,COUNTIF(B25,"*轻*")&lt;1),MAX(0,15+I24-(A25-A24)+COUNTIF(B24,"*平湖*")*0),IF(AND(E25=0,MAX(0,H24-(A25-A24))&lt;=加速!$H$11),0,MAX(0,H24-(A25-A24)))),"")</f>
        <v>0</v>
      </c>
      <c r="I25">
        <f ca="1" t="shared" si="14"/>
        <v>0</v>
      </c>
      <c r="J25">
        <f ca="1" t="shared" si="15"/>
        <v>0</v>
      </c>
      <c r="K25">
        <f ca="1" t="shared" si="1"/>
        <v>0</v>
      </c>
      <c r="L25">
        <f ca="1">IFERROR(IF(AND(COUNTIF(B25,"*-峰插*"),技能数据库!$M$72&gt;0),0,IF(COUNTIF(B25,"*鹤归*")&gt;0,16-加速!$L$11,MAX(0,L24-(A25-A24)))),0)</f>
        <v>14.71</v>
      </c>
      <c r="M25">
        <f ca="1" t="shared" si="3"/>
        <v>0</v>
      </c>
      <c r="N25">
        <f ca="1">IFERROR(IF(AND(COUNTIF(B25,"*-峰插*"),技能数据库!$M$72&gt;0),0,IF(COUNTIF(B25,"*云飞*")&gt;0,4-COUNTIF(B25,"*玉山揽云*")*4--COUNTIF(B25,"*烟流暮景*")*4-COUNTIF(B25,"*云景*")*加速!$L$11-IF(J25&gt;0,2,0),MAX(0,N24-(A25-A24)-IF(J25&gt;0,2,0)))),0)</f>
        <v>2.31999999999999</v>
      </c>
      <c r="O25">
        <f ca="1">IF(AND(COUNTIF(IF(AND(配装计算器!$K$30&lt;&gt;"∞",0),INDEX(AU24:CB24,1,$AT$1),INDEX(AU26:CB26,1,$AT$1)),"*云飞*")=1,COUNTIF(IF(AND(配装计算器!$K$30&lt;&gt;"∞",0),INDEX(AU24:CB24,1,$AT$1),INDEX(AU26:CB26,1,$AT$1)),"*玉山*")=0),N25,0)</f>
        <v>0</v>
      </c>
      <c r="P25">
        <f ca="1">IFERROR(IF(COUNTIF(B25,"*云栖松*")&gt;0,50-加速!$L$11,MAX(0,P24-(A25-A24))),0)</f>
        <v>0</v>
      </c>
      <c r="Q25">
        <f ca="1">IF(COUNTIF(IF(AND(配装计算器!$K$30&lt;&gt;"∞",0),INDEX(AU24:CB24,1,$AT$1),INDEX(AU26:CB26,1,$AT$1)),"*云栖松*")=1,P25,0)</f>
        <v>0</v>
      </c>
      <c r="R25">
        <f ca="1">IFERROR(IF(COUNTIF(B25,"*莺鸣柳*")&gt;0,45-加速!$L$9,MAX(0,R24-(A25-A24))),0)</f>
        <v>0</v>
      </c>
      <c r="S25">
        <f ca="1">IF(COUNTIF(IF(AND(配装计算器!$K$30&lt;&gt;"∞",0),INDEX(AU24:CB24,1,$AT$1),INDEX(AU26:CB26,1,$AT$1)),"*莺鸣柳*")=1,R25,0)</f>
        <v>0</v>
      </c>
      <c r="T25">
        <f ca="1" t="shared" si="11"/>
        <v>0</v>
      </c>
      <c r="U25">
        <f ca="1">IF(金蛇,IF(COUNTIF(B25,"*金环戴*")+COUNTIF(B25,"*吹风醒*")&gt;0,IF(A25&lt;=3,7.125-2.625-A25-加速!$L$11,7.125+加速!$K$9-(A25+加速!$L$11-T25)),0),0)+IF(金蛇,IF(COUNTIF(B25,"*千切子裂光*")&gt;0,2+加速!$K$9-(A25+加速!$L$11-T25),0),0)</f>
        <v>0</v>
      </c>
      <c r="V25">
        <f ca="1" t="shared" si="12"/>
        <v>0</v>
      </c>
      <c r="W25">
        <f ca="1" t="shared" si="4"/>
        <v>0</v>
      </c>
      <c r="X25">
        <f ca="1">INDEX(加速!$I$13:$I$21,W25+1)</f>
        <v>0</v>
      </c>
      <c r="Y25">
        <f ca="1" t="shared" si="13"/>
        <v>0.5</v>
      </c>
      <c r="Z25">
        <f ca="1" t="shared" si="9"/>
        <v>0</v>
      </c>
      <c r="AA25">
        <f ca="1">MAX(0,IFERROR(IF(COUNTIF(B25,"*叠*")&gt;0,IF(AC24&lt;3,8-A26+A25,AA24+6.875-A26+A25),AA24-A26+A25),AA24-加速!$L$11))</f>
        <v>0</v>
      </c>
      <c r="AB25">
        <f ca="1">MAX(0,IF(COUNTIF(IF(AND(配装计算器!$K$30&lt;&gt;"∞",0),INDEX(AU25:CB25,1,$AT$1),INDEX(AU25:CB25,1,$AT$1)),"*叠1*")=1,4*25-加速!$L$11,AB24-A25+A24)-IF(OR(COUNTIF(OFFSET(AT25,0,$AT$1,1,1),"*听雷*")&gt;0,AND(碧归&gt;0,COUNTIF(OFFSET(AT25,0,$AT$1,1,1),"*风来*")&gt;0)),0,1)*1.5)</f>
        <v>36.81</v>
      </c>
      <c r="AC25">
        <f ca="1" t="shared" si="5"/>
        <v>0</v>
      </c>
      <c r="AD25">
        <f ca="1">IF(COUNTIF(IF(AND(配装计算器!$K$30&lt;&gt;"∞",0),INDEX(AU25:CB25,1,$AT$1),INDEX(AU26:CB26,1,$AT$1)),"*叠1*")=1,AB25*0+AE24,0)</f>
        <v>0</v>
      </c>
      <c r="AE25">
        <f ca="1">IF($AN$11&gt;0,IF(COUNTIF(B26,"*叠1*")&gt;0,50-加速!$L$11,MAX(0,AE24-(A26-A25))),0)</f>
        <v>18.52</v>
      </c>
      <c r="AG25">
        <f ca="1" t="shared" si="6"/>
        <v>1</v>
      </c>
      <c r="AH25" t="s">
        <v>1825</v>
      </c>
      <c r="AI25" t="s">
        <v>2768</v>
      </c>
      <c r="AJ25">
        <f ca="1">长时间循环比*COUNTIFS($B$3:$B$515,"*"&amp;AI25&amp;"*",$D$3:$D$515,"&gt;0",$H$3:$H$515,"=0",$G$3:$G$515,"=0",$K$3:$K$515,"=1",$AC$3:$AC$515,"=0")</f>
        <v>12</v>
      </c>
      <c r="AK25" t="s">
        <v>3057</v>
      </c>
      <c r="AM25" t="s">
        <v>3058</v>
      </c>
      <c r="AN25">
        <f ca="1">AN24*AN20</f>
        <v>0</v>
      </c>
      <c r="AU25" s="176" t="s">
        <v>2776</v>
      </c>
      <c r="AV25">
        <v>2</v>
      </c>
      <c r="AW25" s="176" t="s">
        <v>2768</v>
      </c>
      <c r="AX25">
        <v>2</v>
      </c>
      <c r="AY25" t="s">
        <v>2768</v>
      </c>
      <c r="AZ25">
        <v>2</v>
      </c>
      <c r="BA25" t="s">
        <v>2768</v>
      </c>
      <c r="BB25">
        <v>2</v>
      </c>
      <c r="BC25" t="s">
        <v>2776</v>
      </c>
      <c r="BD25">
        <v>2</v>
      </c>
      <c r="BE25" t="s">
        <v>2768</v>
      </c>
      <c r="BF25">
        <v>2</v>
      </c>
      <c r="BG25" t="s">
        <v>2776</v>
      </c>
      <c r="BH25">
        <v>2</v>
      </c>
      <c r="BI25" t="s">
        <v>2794</v>
      </c>
      <c r="BJ25">
        <v>0</v>
      </c>
      <c r="BK25" t="s">
        <v>2768</v>
      </c>
      <c r="BL25">
        <v>2</v>
      </c>
      <c r="BM25" s="176" t="str">
        <f>IF(0,"云飞玉皇-玉山揽云","夕照雷峰")</f>
        <v>夕照雷峰</v>
      </c>
      <c r="BN25">
        <v>2</v>
      </c>
      <c r="BO25" t="str">
        <f>IF(0,"云飞玉皇-玉山揽云","云飞玉皇")</f>
        <v>云飞玉皇</v>
      </c>
      <c r="BP25">
        <v>2</v>
      </c>
      <c r="BQ25" t="s">
        <v>2768</v>
      </c>
      <c r="BR25">
        <v>2</v>
      </c>
      <c r="BS25" t="s">
        <v>2768</v>
      </c>
      <c r="BT25">
        <v>2</v>
      </c>
      <c r="BU25" t="s">
        <v>2776</v>
      </c>
      <c r="BV25">
        <v>2</v>
      </c>
      <c r="BW25" s="179" t="str">
        <f>IF($AN$11=1,"云飞玉皇-玉山揽云","云飞玉皇")</f>
        <v>云飞玉皇-玉山揽云</v>
      </c>
      <c r="BX25" s="179">
        <v>2</v>
      </c>
      <c r="BY25" s="176" t="str">
        <f>IF(0,"云飞玉皇-玉山揽云","夕照雷峰")</f>
        <v>夕照雷峰</v>
      </c>
      <c r="BZ25">
        <v>2</v>
      </c>
      <c r="CA25" t="s">
        <v>1886</v>
      </c>
      <c r="CB25">
        <v>2</v>
      </c>
    </row>
    <row r="26" spans="1:80">
      <c r="A26" s="178">
        <f ca="1">IFERROR(IF(AG25&lt;5+金蛇*2,IF(COUNTIF(B25,"*轻*")&gt;0,A25+加速!$L$9,A25+加速!$L$11)+V25,""),"")</f>
        <v>30.19</v>
      </c>
      <c r="B26" s="167" t="str">
        <f ca="1" t="shared" si="0"/>
        <v>夕照雷峰</v>
      </c>
      <c r="C26">
        <f ca="1" t="shared" si="10"/>
        <v>15</v>
      </c>
      <c r="D26">
        <f ca="1">IF(B26&lt;&gt;"",IF(C25&lt;=加速!$L$11*(1-E26),0,1),"")</f>
        <v>1</v>
      </c>
      <c r="E26">
        <f ca="1" t="shared" si="7"/>
        <v>0</v>
      </c>
      <c r="G26">
        <f ca="1" t="shared" si="8"/>
        <v>0</v>
      </c>
      <c r="H26">
        <f ca="1">IF(B26&lt;&gt;"",IF(AND(COUNTIF(B25,"*轻*莺鸣柳*")&gt;0,COUNTIF(B26,"*轻*")&lt;1),MAX(0,15+I25-(A26-A25)+COUNTIF(B25,"*平湖*")*0),IF(AND(E26=0,MAX(0,H25-(A26-A25))&lt;=加速!$H$11),0,MAX(0,H25-(A26-A25)))),"")</f>
        <v>0</v>
      </c>
      <c r="I26">
        <f ca="1" t="shared" si="14"/>
        <v>0</v>
      </c>
      <c r="J26">
        <f ca="1" t="shared" si="15"/>
        <v>4</v>
      </c>
      <c r="K26">
        <f ca="1" t="shared" si="1"/>
        <v>2</v>
      </c>
      <c r="L26">
        <f ca="1">IFERROR(IF(AND(COUNTIF(B26,"*-峰插*"),技能数据库!$M$72&gt;0),0,IF(COUNTIF(B26,"*鹤归*")&gt;0,16-加速!$L$11,MAX(0,L25-(A26-A25)))),0)</f>
        <v>13.42</v>
      </c>
      <c r="M26">
        <f ca="1" t="shared" si="3"/>
        <v>0</v>
      </c>
      <c r="N26">
        <f ca="1">IFERROR(IF(AND(COUNTIF(B26,"*-峰插*"),技能数据库!$M$72&gt;0),0,IF(COUNTIF(B26,"*云飞*")&gt;0,4-COUNTIF(B26,"*玉山揽云*")*4--COUNTIF(B26,"*烟流暮景*")*4-COUNTIF(B26,"*云景*")*加速!$L$11-IF(J26&gt;0,2,0),MAX(0,N25-(A26-A25)-IF(J26&gt;0,2,0)))),0)</f>
        <v>0</v>
      </c>
      <c r="O26">
        <f ca="1">IF(AND(COUNTIF(IF(AND(配装计算器!$K$30&lt;&gt;"∞",0),INDEX(AU25:CB25,1,$AT$1),INDEX(AU27:CB27,1,$AT$1)),"*云飞*")=1,COUNTIF(IF(AND(配装计算器!$K$30&lt;&gt;"∞",0),INDEX(AU25:CB25,1,$AT$1),INDEX(AU27:CB27,1,$AT$1)),"*玉山*")=0),N26,0)</f>
        <v>0</v>
      </c>
      <c r="P26">
        <f ca="1">IFERROR(IF(COUNTIF(B26,"*云栖松*")&gt;0,50-加速!$L$11,MAX(0,P25-(A26-A25))),0)</f>
        <v>0</v>
      </c>
      <c r="Q26">
        <f ca="1">IF(COUNTIF(IF(AND(配装计算器!$K$30&lt;&gt;"∞",0),INDEX(AU25:CB25,1,$AT$1),INDEX(AU27:CB27,1,$AT$1)),"*云栖松*")=1,P26,0)</f>
        <v>0</v>
      </c>
      <c r="R26">
        <f ca="1">IFERROR(IF(COUNTIF(B26,"*莺鸣柳*")&gt;0,45-加速!$L$9,MAX(0,R25-(A26-A25))),0)</f>
        <v>0</v>
      </c>
      <c r="S26">
        <f ca="1">IF(COUNTIF(IF(AND(配装计算器!$K$30&lt;&gt;"∞",0),INDEX(AU25:CB25,1,$AT$1),INDEX(AU27:CB27,1,$AT$1)),"*莺鸣柳*")=1,R26,0)</f>
        <v>0</v>
      </c>
      <c r="T26">
        <f ca="1" t="shared" si="11"/>
        <v>0</v>
      </c>
      <c r="U26">
        <f ca="1">IF(金蛇,IF(COUNTIF(B26,"*金环戴*")+COUNTIF(B26,"*吹风醒*")&gt;0,IF(A26&lt;=3,7.125-2.625-A26-加速!$L$11,7.125+加速!$K$9-(A26+加速!$L$11-T26)),0),0)+IF(金蛇,IF(COUNTIF(B26,"*千切子裂光*")&gt;0,2+加速!$K$9-(A26+加速!$L$11-T26),0),0)</f>
        <v>0</v>
      </c>
      <c r="V26">
        <f ca="1" t="shared" si="12"/>
        <v>0</v>
      </c>
      <c r="W26">
        <f ca="1" t="shared" si="4"/>
        <v>0</v>
      </c>
      <c r="X26">
        <f ca="1">INDEX(加速!$I$13:$I$21,W26+1)</f>
        <v>0</v>
      </c>
      <c r="Y26">
        <f ca="1" t="shared" si="13"/>
        <v>0.5</v>
      </c>
      <c r="Z26">
        <f ca="1" t="shared" si="9"/>
        <v>0</v>
      </c>
      <c r="AA26">
        <f ca="1">MAX(0,IFERROR(IF(COUNTIF(B26,"*叠*")&gt;0,IF(AC25&lt;3,8-A27+A26,AA25+6.875-A27+A26),AA25-A27+A26),AA25-加速!$L$11))</f>
        <v>0</v>
      </c>
      <c r="AB26">
        <f ca="1">MAX(0,IF(COUNTIF(IF(AND(配装计算器!$K$30&lt;&gt;"∞",0),INDEX(AU26:CB26,1,$AT$1),INDEX(AU26:CB26,1,$AT$1)),"*叠1*")=1,4*25-加速!$L$11,AB25-A26+A25)-IF(OR(COUNTIF(OFFSET(AT26,0,$AT$1,1,1),"*听雷*")&gt;0,AND(碧归&gt;0,COUNTIF(OFFSET(AT26,0,$AT$1,1,1),"*风来*")&gt;0)),0,1)*1.5)</f>
        <v>34.02</v>
      </c>
      <c r="AC26">
        <f ca="1" t="shared" si="5"/>
        <v>0</v>
      </c>
      <c r="AD26">
        <f ca="1">IF(COUNTIF(IF(AND(配装计算器!$K$30&lt;&gt;"∞",0),INDEX(AU26:CB26,1,$AT$1),INDEX(AU27:CB27,1,$AT$1)),"*叠1*")=1,AB26*0+AE25,0)</f>
        <v>0</v>
      </c>
      <c r="AE26">
        <f ca="1">IF($AN$11&gt;0,IF(COUNTIF(B27,"*叠1*")&gt;0,50-加速!$L$11,MAX(0,AE25-(A27-A26))),0)</f>
        <v>17.23</v>
      </c>
      <c r="AG26">
        <f ca="1" t="shared" si="6"/>
        <v>1</v>
      </c>
      <c r="AH26" t="s">
        <v>1825</v>
      </c>
      <c r="AI26" s="161" t="s">
        <v>2772</v>
      </c>
      <c r="AJ26">
        <f ca="1">AJ16+AJ20+AJ24</f>
        <v>0</v>
      </c>
      <c r="AM26" t="s">
        <v>3232</v>
      </c>
      <c r="AN26">
        <f ca="1">IFERROR(1-AN25/COUNTIF(B3:B515,"&gt;"""),1)</f>
        <v>1</v>
      </c>
      <c r="AU26" s="176" t="s">
        <v>2768</v>
      </c>
      <c r="AV26">
        <v>1</v>
      </c>
      <c r="AW26" t="s">
        <v>3056</v>
      </c>
      <c r="AX26">
        <v>1</v>
      </c>
      <c r="AY26" t="s">
        <v>2776</v>
      </c>
      <c r="AZ26">
        <v>2</v>
      </c>
      <c r="BA26" t="s">
        <v>2776</v>
      </c>
      <c r="BB26">
        <v>2</v>
      </c>
      <c r="BC26" t="s">
        <v>2768</v>
      </c>
      <c r="BD26">
        <v>2</v>
      </c>
      <c r="BE26" t="s">
        <v>2776</v>
      </c>
      <c r="BF26">
        <v>2</v>
      </c>
      <c r="BG26" t="s">
        <v>2768</v>
      </c>
      <c r="BH26">
        <v>2</v>
      </c>
      <c r="BI26" t="s">
        <v>2768</v>
      </c>
      <c r="BJ26">
        <v>2</v>
      </c>
      <c r="BK26" t="s">
        <v>2768</v>
      </c>
      <c r="BL26">
        <v>2</v>
      </c>
      <c r="BM26" t="str">
        <f>IF(0,"云飞玉皇-玉山揽云","云飞玉皇")</f>
        <v>云飞玉皇</v>
      </c>
      <c r="BN26">
        <v>2</v>
      </c>
      <c r="BO26" t="str">
        <f>IF(秋,"云栖松","泉凝月")</f>
        <v>泉凝月</v>
      </c>
      <c r="BP26">
        <v>2</v>
      </c>
      <c r="BQ26" t="s">
        <v>2776</v>
      </c>
      <c r="BR26">
        <v>1</v>
      </c>
      <c r="BS26" t="s">
        <v>2768</v>
      </c>
      <c r="BT26">
        <v>2</v>
      </c>
      <c r="BU26" t="s">
        <v>2768</v>
      </c>
      <c r="BV26">
        <v>2</v>
      </c>
      <c r="BW26" s="182" t="s">
        <v>3063</v>
      </c>
      <c r="BX26" s="179">
        <v>0</v>
      </c>
      <c r="BY26" t="str">
        <f>IF(0,"云飞玉皇-玉山揽云","云飞玉皇")</f>
        <v>云飞玉皇</v>
      </c>
      <c r="BZ26">
        <v>2</v>
      </c>
      <c r="CA26" t="s">
        <v>2853</v>
      </c>
      <c r="CB26">
        <v>2</v>
      </c>
    </row>
    <row r="27" spans="1:80">
      <c r="A27" s="178">
        <f ca="1">IFERROR(IF(AG26&lt;5+金蛇*2,IF(COUNTIF(B26,"*轻*")&gt;0,A26+加速!$L$9,A26+加速!$L$11)+V26,""),"")</f>
        <v>31.48</v>
      </c>
      <c r="B27" s="167" t="str">
        <f ca="1" t="shared" si="0"/>
        <v>云飞玉皇</v>
      </c>
      <c r="C27">
        <f ca="1" t="shared" si="10"/>
        <v>13.71</v>
      </c>
      <c r="D27">
        <f ca="1">IF(B27&lt;&gt;"",IF(C26&lt;=加速!$L$11*(1-E27),0,1),"")</f>
        <v>1</v>
      </c>
      <c r="E27">
        <f ca="1" t="shared" si="7"/>
        <v>0</v>
      </c>
      <c r="G27">
        <f ca="1" t="shared" si="8"/>
        <v>0</v>
      </c>
      <c r="H27">
        <f ca="1">IF(B27&lt;&gt;"",IF(AND(COUNTIF(B26,"*轻*莺鸣柳*")&gt;0,COUNTIF(B27,"*轻*")&lt;1),MAX(0,15+I26-(A27-A26)+COUNTIF(B26,"*平湖*")*0),IF(AND(E27=0,MAX(0,H26-(A27-A26))&lt;=加速!$H$11),0,MAX(0,H26-(A27-A26)))),"")</f>
        <v>0</v>
      </c>
      <c r="I27">
        <f ca="1" t="shared" si="14"/>
        <v>0</v>
      </c>
      <c r="J27">
        <f ca="1" t="shared" si="15"/>
        <v>3</v>
      </c>
      <c r="K27">
        <f ca="1" t="shared" si="1"/>
        <v>2</v>
      </c>
      <c r="L27">
        <f ca="1">IFERROR(IF(AND(COUNTIF(B27,"*-峰插*"),技能数据库!$M$72&gt;0),0,IF(COUNTIF(B27,"*鹤归*")&gt;0,16-加速!$L$11,MAX(0,L26-(A27-A26)))),0)</f>
        <v>12.13</v>
      </c>
      <c r="M27">
        <f ca="1" t="shared" si="3"/>
        <v>0</v>
      </c>
      <c r="N27">
        <f ca="1">IFERROR(IF(AND(COUNTIF(B27,"*-峰插*"),技能数据库!$M$72&gt;0),0,IF(COUNTIF(B27,"*云飞*")&gt;0,4-COUNTIF(B27,"*玉山揽云*")*4--COUNTIF(B27,"*烟流暮景*")*4-COUNTIF(B27,"*云景*")*加速!$L$11-IF(J27&gt;0,2,0),MAX(0,N26-(A27-A26)-IF(J27&gt;0,2,0)))),0)</f>
        <v>2</v>
      </c>
      <c r="O27">
        <f ca="1">IF(AND(COUNTIF(IF(AND(配装计算器!$K$30&lt;&gt;"∞",0),INDEX(AU26:CB26,1,$AT$1),INDEX(AU28:CB28,1,$AT$1)),"*云飞*")=1,COUNTIF(IF(AND(配装计算器!$K$30&lt;&gt;"∞",0),INDEX(AU26:CB26,1,$AT$1),INDEX(AU28:CB28,1,$AT$1)),"*玉山*")=0),N27,0)</f>
        <v>0</v>
      </c>
      <c r="P27">
        <f ca="1">IFERROR(IF(COUNTIF(B27,"*云栖松*")&gt;0,50-加速!$L$11,MAX(0,P26-(A27-A26))),0)</f>
        <v>0</v>
      </c>
      <c r="Q27">
        <f ca="1">IF(COUNTIF(IF(AND(配装计算器!$K$30&lt;&gt;"∞",0),INDEX(AU26:CB26,1,$AT$1),INDEX(AU28:CB28,1,$AT$1)),"*云栖松*")=1,P27,0)</f>
        <v>0</v>
      </c>
      <c r="R27">
        <f ca="1">IFERROR(IF(COUNTIF(B27,"*莺鸣柳*")&gt;0,45-加速!$L$9,MAX(0,R26-(A27-A26))),0)</f>
        <v>0</v>
      </c>
      <c r="S27">
        <f ca="1">IF(COUNTIF(IF(AND(配装计算器!$K$30&lt;&gt;"∞",0),INDEX(AU26:CB26,1,$AT$1),INDEX(AU28:CB28,1,$AT$1)),"*莺鸣柳*")=1,R27,0)</f>
        <v>0</v>
      </c>
      <c r="T27">
        <f ca="1" t="shared" si="11"/>
        <v>0</v>
      </c>
      <c r="U27">
        <f ca="1">IF(金蛇,IF(COUNTIF(B27,"*金环戴*")+COUNTIF(B27,"*吹风醒*")&gt;0,IF(A27&lt;=3,7.125-2.625-A27-加速!$L$11,7.125+加速!$K$9-(A27+加速!$L$11-T27)),0),0)+IF(金蛇,IF(COUNTIF(B27,"*千切子裂光*")&gt;0,2+加速!$K$9-(A27+加速!$L$11-T27),0),0)</f>
        <v>0</v>
      </c>
      <c r="V27">
        <f ca="1" t="shared" si="12"/>
        <v>0</v>
      </c>
      <c r="W27">
        <f ca="1" t="shared" si="4"/>
        <v>0</v>
      </c>
      <c r="X27">
        <f ca="1">INDEX(加速!$I$13:$I$21,W27+1)</f>
        <v>0</v>
      </c>
      <c r="Y27">
        <f ca="1" t="shared" si="13"/>
        <v>0.5</v>
      </c>
      <c r="Z27">
        <f ca="1" t="shared" si="9"/>
        <v>0</v>
      </c>
      <c r="AA27">
        <f ca="1">MAX(0,IFERROR(IF(COUNTIF(B27,"*叠*")&gt;0,IF(AC26&lt;3,8-A28+A27,AA26+6.875-A28+A27),AA26-A28+A27),AA26-加速!$L$11))</f>
        <v>0</v>
      </c>
      <c r="AB27">
        <f ca="1">MAX(0,IF(COUNTIF(IF(AND(配装计算器!$K$30&lt;&gt;"∞",0),INDEX(AU27:CB27,1,$AT$1),INDEX(AU27:CB27,1,$AT$1)),"*叠1*")=1,4*25-加速!$L$11,AB26-A27+A26)-IF(OR(COUNTIF(OFFSET(AT27,0,$AT$1,1,1),"*听雷*")&gt;0,AND(碧归&gt;0,COUNTIF(OFFSET(AT27,0,$AT$1,1,1),"*风来*")&gt;0)),0,1)*1.5)</f>
        <v>31.23</v>
      </c>
      <c r="AC27">
        <f ca="1" t="shared" si="5"/>
        <v>0</v>
      </c>
      <c r="AD27">
        <f ca="1">IF(COUNTIF(IF(AND(配装计算器!$K$30&lt;&gt;"∞",0),INDEX(AU27:CB27,1,$AT$1),INDEX(AU28:CB28,1,$AT$1)),"*叠1*")=1,AB27*0+AE26,0)</f>
        <v>0</v>
      </c>
      <c r="AE27">
        <f ca="1">IF($AN$11&gt;0,IF(COUNTIF(B28,"*叠1*")&gt;0,50-加速!$L$11,MAX(0,AE26-(A28-A27))),0)</f>
        <v>15.94</v>
      </c>
      <c r="AG27">
        <f ca="1" t="shared" si="6"/>
        <v>1</v>
      </c>
      <c r="AH27" t="s">
        <v>1825</v>
      </c>
      <c r="AI27" s="161" t="s">
        <v>2772</v>
      </c>
      <c r="AJ27">
        <f ca="1">AJ17+AJ21+AJ25+AJ90</f>
        <v>48</v>
      </c>
      <c r="AK27" t="s">
        <v>2750</v>
      </c>
      <c r="AM27" s="167" t="s">
        <v>3060</v>
      </c>
      <c r="AN27">
        <f ca="1">(AN15-AN16+1)*AN24</f>
        <v>0</v>
      </c>
      <c r="AU27" t="s">
        <v>2776</v>
      </c>
      <c r="AV27">
        <v>1</v>
      </c>
      <c r="AW27" t="s">
        <v>2768</v>
      </c>
      <c r="AX27">
        <v>2</v>
      </c>
      <c r="AY27" t="s">
        <v>2768</v>
      </c>
      <c r="AZ27">
        <v>2</v>
      </c>
      <c r="BA27" t="s">
        <v>2768</v>
      </c>
      <c r="BB27">
        <v>2</v>
      </c>
      <c r="BC27" t="s">
        <v>2776</v>
      </c>
      <c r="BD27">
        <v>2</v>
      </c>
      <c r="BE27" t="s">
        <v>2768</v>
      </c>
      <c r="BF27">
        <v>1</v>
      </c>
      <c r="BG27" t="s">
        <v>2776</v>
      </c>
      <c r="BH27">
        <v>2</v>
      </c>
      <c r="BI27" t="s">
        <v>2776</v>
      </c>
      <c r="BJ27">
        <v>2</v>
      </c>
      <c r="BK27" t="s">
        <v>2776</v>
      </c>
      <c r="BL27">
        <v>2</v>
      </c>
      <c r="BM27" t="str">
        <f>IF(秋,"云栖松","泉凝月")</f>
        <v>泉凝月</v>
      </c>
      <c r="BN27">
        <v>2</v>
      </c>
      <c r="BO27" t="s">
        <v>2768</v>
      </c>
      <c r="BP27">
        <v>2</v>
      </c>
      <c r="BQ27" t="s">
        <v>2768</v>
      </c>
      <c r="BR27">
        <v>1</v>
      </c>
      <c r="BS27" t="s">
        <v>2776</v>
      </c>
      <c r="BT27">
        <v>2</v>
      </c>
      <c r="BU27" t="s">
        <v>2776</v>
      </c>
      <c r="BV27">
        <v>2</v>
      </c>
      <c r="BW27" s="179" t="s">
        <v>2768</v>
      </c>
      <c r="BX27" s="179">
        <v>2</v>
      </c>
      <c r="BY27" t="str">
        <f>IF(秋,"云栖松","泉凝月")</f>
        <v>泉凝月</v>
      </c>
      <c r="BZ27">
        <v>2</v>
      </c>
      <c r="CA27" s="176" t="s">
        <v>2850</v>
      </c>
      <c r="CB27">
        <f>IF(0,2,0)</f>
        <v>0</v>
      </c>
    </row>
    <row r="28" spans="1:80">
      <c r="A28" s="178">
        <f ca="1">IFERROR(IF(AG27&lt;5+金蛇*2,IF(COUNTIF(B27,"*轻*")&gt;0,A27+加速!$L$9,A27+加速!$L$11)+V27,""),"")</f>
        <v>32.77</v>
      </c>
      <c r="B28" s="167" t="str">
        <f ca="1" t="shared" si="0"/>
        <v>夕照雷峰</v>
      </c>
      <c r="C28">
        <f ca="1" t="shared" si="10"/>
        <v>15</v>
      </c>
      <c r="D28">
        <f ca="1">IF(B28&lt;&gt;"",IF(C27&lt;=加速!$L$11*(1-E28),0,1),"")</f>
        <v>1</v>
      </c>
      <c r="E28">
        <f ca="1" t="shared" si="7"/>
        <v>0</v>
      </c>
      <c r="G28">
        <f ca="1" t="shared" si="8"/>
        <v>0</v>
      </c>
      <c r="H28">
        <f ca="1">IF(B28&lt;&gt;"",IF(AND(COUNTIF(B27,"*轻*莺鸣柳*")&gt;0,COUNTIF(B28,"*轻*")&lt;1),MAX(0,15+I27-(A28-A27)+COUNTIF(B27,"*平湖*")*0),IF(AND(E28=0,MAX(0,H27-(A28-A27))&lt;=加速!$H$11),0,MAX(0,H27-(A28-A27)))),"")</f>
        <v>0</v>
      </c>
      <c r="I28">
        <f ca="1" t="shared" si="14"/>
        <v>0</v>
      </c>
      <c r="J28">
        <f ca="1" t="shared" si="15"/>
        <v>2</v>
      </c>
      <c r="K28">
        <f ca="1" t="shared" si="1"/>
        <v>2</v>
      </c>
      <c r="L28">
        <f ca="1">IFERROR(IF(AND(COUNTIF(B28,"*-峰插*"),技能数据库!$M$72&gt;0),0,IF(COUNTIF(B28,"*鹤归*")&gt;0,16-加速!$L$11,MAX(0,L27-(A28-A27)))),0)</f>
        <v>10.84</v>
      </c>
      <c r="M28">
        <f ca="1" t="shared" si="3"/>
        <v>0</v>
      </c>
      <c r="N28">
        <f ca="1">IFERROR(IF(AND(COUNTIF(B28,"*-峰插*"),技能数据库!$M$72&gt;0),0,IF(COUNTIF(B28,"*云飞*")&gt;0,4-COUNTIF(B28,"*玉山揽云*")*4--COUNTIF(B28,"*烟流暮景*")*4-COUNTIF(B28,"*云景*")*加速!$L$11-IF(J28&gt;0,2,0),MAX(0,N27-(A28-A27)-IF(J28&gt;0,2,0)))),0)</f>
        <v>0</v>
      </c>
      <c r="O28">
        <f ca="1">IF(AND(COUNTIF(IF(AND(配装计算器!$K$30&lt;&gt;"∞",0),INDEX(AU27:CB27,1,$AT$1),INDEX(AU29:CB29,1,$AT$1)),"*云飞*")=1,COUNTIF(IF(AND(配装计算器!$K$30&lt;&gt;"∞",0),INDEX(AU27:CB27,1,$AT$1),INDEX(AU29:CB29,1,$AT$1)),"*玉山*")=0),N28,0)</f>
        <v>0</v>
      </c>
      <c r="P28">
        <f ca="1">IFERROR(IF(COUNTIF(B28,"*云栖松*")&gt;0,50-加速!$L$11,MAX(0,P27-(A28-A27))),0)</f>
        <v>0</v>
      </c>
      <c r="Q28">
        <f ca="1">IF(COUNTIF(IF(AND(配装计算器!$K$30&lt;&gt;"∞",0),INDEX(AU27:CB27,1,$AT$1),INDEX(AU29:CB29,1,$AT$1)),"*云栖松*")=1,P28,0)</f>
        <v>0</v>
      </c>
      <c r="R28">
        <f ca="1">IFERROR(IF(COUNTIF(B28,"*莺鸣柳*")&gt;0,45-加速!$L$9,MAX(0,R27-(A28-A27))),0)</f>
        <v>0</v>
      </c>
      <c r="S28">
        <f ca="1">IF(COUNTIF(IF(AND(配装计算器!$K$30&lt;&gt;"∞",0),INDEX(AU27:CB27,1,$AT$1),INDEX(AU29:CB29,1,$AT$1)),"*莺鸣柳*")=1,R28,0)</f>
        <v>0</v>
      </c>
      <c r="T28">
        <f ca="1" t="shared" si="11"/>
        <v>0</v>
      </c>
      <c r="U28">
        <f ca="1">IF(金蛇,IF(COUNTIF(B28,"*金环戴*")+COUNTIF(B28,"*吹风醒*")&gt;0,IF(A28&lt;=3,7.125-2.625-A28-加速!$L$11,7.125+加速!$K$9-(A28+加速!$L$11-T28)),0),0)+IF(金蛇,IF(COUNTIF(B28,"*千切子裂光*")&gt;0,2+加速!$K$9-(A28+加速!$L$11-T28),0),0)</f>
        <v>0</v>
      </c>
      <c r="V28">
        <f ca="1" t="shared" si="12"/>
        <v>0</v>
      </c>
      <c r="W28">
        <f ca="1" t="shared" si="4"/>
        <v>0</v>
      </c>
      <c r="X28">
        <f ca="1">INDEX(加速!$I$13:$I$21,W28+1)</f>
        <v>0</v>
      </c>
      <c r="Y28">
        <f ca="1" t="shared" si="13"/>
        <v>0.5</v>
      </c>
      <c r="Z28">
        <f ca="1" t="shared" si="9"/>
        <v>0</v>
      </c>
      <c r="AA28">
        <f ca="1">MAX(0,IFERROR(IF(COUNTIF(B28,"*叠*")&gt;0,IF(AC27&lt;3,8-A29+A28,AA27+6.875-A29+A28),AA27-A29+A28),AA27-加速!$L$11))</f>
        <v>0</v>
      </c>
      <c r="AB28">
        <f ca="1">MAX(0,IF(COUNTIF(IF(AND(配装计算器!$K$30&lt;&gt;"∞",0),INDEX(AU28:CB28,1,$AT$1),INDEX(AU28:CB28,1,$AT$1)),"*叠1*")=1,4*25-加速!$L$11,AB27-A28+A27)-IF(OR(COUNTIF(OFFSET(AT28,0,$AT$1,1,1),"*听雷*")&gt;0,AND(碧归&gt;0,COUNTIF(OFFSET(AT28,0,$AT$1,1,1),"*风来*")&gt;0)),0,1)*1.5)</f>
        <v>28.44</v>
      </c>
      <c r="AC28">
        <f ca="1" t="shared" si="5"/>
        <v>0</v>
      </c>
      <c r="AD28">
        <f ca="1">IF(COUNTIF(IF(AND(配装计算器!$K$30&lt;&gt;"∞",0),INDEX(AU28:CB28,1,$AT$1),INDEX(AU29:CB29,1,$AT$1)),"*叠1*")=1,AB28*0+AE27,0)</f>
        <v>0</v>
      </c>
      <c r="AE28">
        <f ca="1">IF($AN$11&gt;0,IF(COUNTIF(B29,"*叠1*")&gt;0,50-加速!$L$11,MAX(0,AE27-(A29-A28))),0)</f>
        <v>14.65</v>
      </c>
      <c r="AG28">
        <f ca="1" t="shared" si="6"/>
        <v>1</v>
      </c>
      <c r="AH28" t="s">
        <v>1825</v>
      </c>
      <c r="AI28" s="161" t="s">
        <v>2772</v>
      </c>
      <c r="AJ28">
        <f ca="1">AJ18+AJ22+AJ104</f>
        <v>0</v>
      </c>
      <c r="AK28" t="s">
        <v>2948</v>
      </c>
      <c r="AM28" s="167" t="s">
        <v>3061</v>
      </c>
      <c r="AN28">
        <f ca="1">(AN16+AN17)*AN24</f>
        <v>0</v>
      </c>
      <c r="AU28" t="s">
        <v>2768</v>
      </c>
      <c r="AV28">
        <v>1</v>
      </c>
      <c r="AW28" t="s">
        <v>2768</v>
      </c>
      <c r="AX28">
        <v>2</v>
      </c>
      <c r="AY28" t="s">
        <v>2776</v>
      </c>
      <c r="AZ28">
        <v>1</v>
      </c>
      <c r="BA28" t="s">
        <v>2776</v>
      </c>
      <c r="BB28">
        <v>1</v>
      </c>
      <c r="BC28" t="s">
        <v>2768</v>
      </c>
      <c r="BD28">
        <v>2</v>
      </c>
      <c r="BE28" t="s">
        <v>2768</v>
      </c>
      <c r="BF28">
        <v>1</v>
      </c>
      <c r="BG28" t="s">
        <v>2768</v>
      </c>
      <c r="BH28">
        <v>1</v>
      </c>
      <c r="BI28" t="s">
        <v>2768</v>
      </c>
      <c r="BJ28">
        <v>2</v>
      </c>
      <c r="BK28" t="s">
        <v>2768</v>
      </c>
      <c r="BL28">
        <v>1</v>
      </c>
      <c r="BM28" t="s">
        <v>2768</v>
      </c>
      <c r="BN28">
        <v>2</v>
      </c>
      <c r="BO28" t="s">
        <v>1886</v>
      </c>
      <c r="BP28">
        <v>2</v>
      </c>
      <c r="BQ28" t="s">
        <v>2776</v>
      </c>
      <c r="BR28">
        <v>1</v>
      </c>
      <c r="BS28" t="s">
        <v>2768</v>
      </c>
      <c r="BT28">
        <v>1</v>
      </c>
      <c r="BU28" t="s">
        <v>2768</v>
      </c>
      <c r="BV28">
        <v>1</v>
      </c>
      <c r="BW28" s="179" t="s">
        <v>1886</v>
      </c>
      <c r="BX28" s="179">
        <v>2</v>
      </c>
      <c r="BY28" t="s">
        <v>2768</v>
      </c>
      <c r="BZ28">
        <v>2</v>
      </c>
      <c r="CA28" s="176" t="str">
        <f>IF(秋,"金环戴","吹风醒")</f>
        <v>吹风醒</v>
      </c>
      <c r="CB28">
        <v>2</v>
      </c>
    </row>
    <row r="29" spans="1:80">
      <c r="A29" s="178">
        <f ca="1">IFERROR(IF(AG28&lt;5+金蛇*2,IF(COUNTIF(B28,"*轻*")&gt;0,A28+加速!$L$9,A28+加速!$L$11)+V28,""),"")</f>
        <v>34.06</v>
      </c>
      <c r="B29" s="167" t="str">
        <f ca="1" t="shared" si="0"/>
        <v>云飞玉皇</v>
      </c>
      <c r="C29">
        <f ca="1" t="shared" si="10"/>
        <v>13.71</v>
      </c>
      <c r="D29">
        <f ca="1">IF(B29&lt;&gt;"",IF(C28&lt;=加速!$L$11*(1-E29),0,1),"")</f>
        <v>1</v>
      </c>
      <c r="E29">
        <f ca="1" t="shared" si="7"/>
        <v>0</v>
      </c>
      <c r="G29">
        <f ca="1" t="shared" si="8"/>
        <v>0</v>
      </c>
      <c r="H29">
        <f ca="1">IF(B29&lt;&gt;"",IF(AND(COUNTIF(B28,"*轻*莺鸣柳*")&gt;0,COUNTIF(B29,"*轻*")&lt;1),MAX(0,15+I28-(A29-A28)+COUNTIF(B28,"*平湖*")*0),IF(AND(E29=0,MAX(0,H28-(A29-A28))&lt;=加速!$H$11),0,MAX(0,H28-(A29-A28)))),"")</f>
        <v>0</v>
      </c>
      <c r="I29">
        <f ca="1" t="shared" si="14"/>
        <v>0</v>
      </c>
      <c r="J29">
        <f ca="1" t="shared" si="15"/>
        <v>1</v>
      </c>
      <c r="K29">
        <f ca="1" t="shared" si="1"/>
        <v>1</v>
      </c>
      <c r="L29">
        <f ca="1">IFERROR(IF(AND(COUNTIF(B29,"*-峰插*"),技能数据库!$M$72&gt;0),0,IF(COUNTIF(B29,"*鹤归*")&gt;0,16-加速!$L$11,MAX(0,L28-(A29-A28)))),0)</f>
        <v>9.55</v>
      </c>
      <c r="M29">
        <f ca="1" t="shared" si="3"/>
        <v>0</v>
      </c>
      <c r="N29">
        <f ca="1">IFERROR(IF(AND(COUNTIF(B29,"*-峰插*"),技能数据库!$M$72&gt;0),0,IF(COUNTIF(B29,"*云飞*")&gt;0,4-COUNTIF(B29,"*玉山揽云*")*4--COUNTIF(B29,"*烟流暮景*")*4-COUNTIF(B29,"*云景*")*加速!$L$11-IF(J29&gt;0,2,0),MAX(0,N28-(A29-A28)-IF(J29&gt;0,2,0)))),0)</f>
        <v>2</v>
      </c>
      <c r="O29">
        <f ca="1">IF(AND(COUNTIF(IF(AND(配装计算器!$K$30&lt;&gt;"∞",0),INDEX(AU28:CB28,1,$AT$1),INDEX(AU30:CB30,1,$AT$1)),"*云飞*")=1,COUNTIF(IF(AND(配装计算器!$K$30&lt;&gt;"∞",0),INDEX(AU28:CB28,1,$AT$1),INDEX(AU30:CB30,1,$AT$1)),"*玉山*")=0),N29,0)</f>
        <v>0</v>
      </c>
      <c r="P29">
        <f ca="1">IFERROR(IF(COUNTIF(B29,"*云栖松*")&gt;0,50-加速!$L$11,MAX(0,P28-(A29-A28))),0)</f>
        <v>0</v>
      </c>
      <c r="Q29">
        <f ca="1">IF(COUNTIF(IF(AND(配装计算器!$K$30&lt;&gt;"∞",0),INDEX(AU28:CB28,1,$AT$1),INDEX(AU30:CB30,1,$AT$1)),"*云栖松*")=1,P29,0)</f>
        <v>0</v>
      </c>
      <c r="R29">
        <f ca="1">IFERROR(IF(COUNTIF(B29,"*莺鸣柳*")&gt;0,45-加速!$L$9,MAX(0,R28-(A29-A28))),0)</f>
        <v>0</v>
      </c>
      <c r="S29">
        <f ca="1">IF(COUNTIF(IF(AND(配装计算器!$K$30&lt;&gt;"∞",0),INDEX(AU28:CB28,1,$AT$1),INDEX(AU30:CB30,1,$AT$1)),"*莺鸣柳*")=1,R29,0)</f>
        <v>0</v>
      </c>
      <c r="T29">
        <f ca="1" t="shared" si="11"/>
        <v>0</v>
      </c>
      <c r="U29">
        <f ca="1">IF(金蛇,IF(COUNTIF(B29,"*金环戴*")+COUNTIF(B29,"*吹风醒*")&gt;0,IF(A29&lt;=3,7.125-2.625-A29-加速!$L$11,7.125+加速!$K$9-(A29+加速!$L$11-T29)),0),0)+IF(金蛇,IF(COUNTIF(B29,"*千切子裂光*")&gt;0,2+加速!$K$9-(A29+加速!$L$11-T29),0),0)</f>
        <v>0</v>
      </c>
      <c r="V29">
        <f ca="1" t="shared" si="12"/>
        <v>0</v>
      </c>
      <c r="W29">
        <f ca="1" t="shared" si="4"/>
        <v>0</v>
      </c>
      <c r="X29">
        <f ca="1">INDEX(加速!$I$13:$I$21,W29+1)</f>
        <v>0</v>
      </c>
      <c r="Y29">
        <f ca="1" t="shared" si="13"/>
        <v>0.5</v>
      </c>
      <c r="Z29">
        <f ca="1" t="shared" si="9"/>
        <v>0</v>
      </c>
      <c r="AA29">
        <f ca="1">MAX(0,IFERROR(IF(COUNTIF(B29,"*叠*")&gt;0,IF(AC28&lt;3,8-A30+A29,AA28+6.875-A30+A29),AA28-A30+A29),AA28-加速!$L$11))</f>
        <v>0</v>
      </c>
      <c r="AB29">
        <f ca="1">MAX(0,IF(COUNTIF(IF(AND(配装计算器!$K$30&lt;&gt;"∞",0),INDEX(AU29:CB29,1,$AT$1),INDEX(AU29:CB29,1,$AT$1)),"*叠1*")=1,4*25-加速!$L$11,AB28-A29+A28)-IF(OR(COUNTIF(OFFSET(AT29,0,$AT$1,1,1),"*听雷*")&gt;0,AND(碧归&gt;0,COUNTIF(OFFSET(AT29,0,$AT$1,1,1),"*风来*")&gt;0)),0,1)*1.5)</f>
        <v>25.65</v>
      </c>
      <c r="AC29">
        <f ca="1" t="shared" si="5"/>
        <v>0</v>
      </c>
      <c r="AD29">
        <f ca="1">IF(COUNTIF(IF(AND(配装计算器!$K$30&lt;&gt;"∞",0),INDEX(AU29:CB29,1,$AT$1),INDEX(AU30:CB30,1,$AT$1)),"*叠1*")=1,AB29*0+AE28,0)</f>
        <v>0</v>
      </c>
      <c r="AE29">
        <f ca="1">IF($AN$11&gt;0,IF(COUNTIF(B30,"*叠1*")&gt;0,50-加速!$L$11,MAX(0,AE28-(A30-A29))),0)</f>
        <v>13.36</v>
      </c>
      <c r="AG29">
        <f ca="1" t="shared" si="6"/>
        <v>1</v>
      </c>
      <c r="AH29" t="s">
        <v>1825</v>
      </c>
      <c r="AI29" s="161" t="s">
        <v>2772</v>
      </c>
      <c r="AJ29">
        <f ca="1">AJ19+AJ23+AJ64</f>
        <v>0</v>
      </c>
      <c r="AK29" t="s">
        <v>3044</v>
      </c>
      <c r="AM29" t="s">
        <v>3062</v>
      </c>
      <c r="AN29">
        <v>307</v>
      </c>
      <c r="AU29" t="s">
        <v>2768</v>
      </c>
      <c r="AV29">
        <v>1</v>
      </c>
      <c r="AW29" t="s">
        <v>2768</v>
      </c>
      <c r="AX29">
        <v>2</v>
      </c>
      <c r="AY29" t="s">
        <v>2768</v>
      </c>
      <c r="AZ29">
        <v>1</v>
      </c>
      <c r="BA29" t="s">
        <v>2768</v>
      </c>
      <c r="BB29">
        <v>1</v>
      </c>
      <c r="BC29" t="s">
        <v>2776</v>
      </c>
      <c r="BD29">
        <v>2</v>
      </c>
      <c r="BE29" t="s">
        <v>2794</v>
      </c>
      <c r="BF29">
        <v>1</v>
      </c>
      <c r="BG29" t="s">
        <v>2776</v>
      </c>
      <c r="BH29">
        <v>1</v>
      </c>
      <c r="BI29" t="s">
        <v>2776</v>
      </c>
      <c r="BJ29">
        <v>1</v>
      </c>
      <c r="BK29" t="s">
        <v>2768</v>
      </c>
      <c r="BL29">
        <v>1</v>
      </c>
      <c r="BM29" t="s">
        <v>1886</v>
      </c>
      <c r="BN29">
        <v>2</v>
      </c>
      <c r="BO29" t="s">
        <v>2853</v>
      </c>
      <c r="BP29">
        <v>2</v>
      </c>
      <c r="BQ29" t="s">
        <v>2768</v>
      </c>
      <c r="BR29">
        <v>0</v>
      </c>
      <c r="BS29" t="str">
        <f>IF(秋,"云栖松","泉凝月")</f>
        <v>泉凝月</v>
      </c>
      <c r="BT29">
        <v>1</v>
      </c>
      <c r="BU29" t="s">
        <v>2776</v>
      </c>
      <c r="BV29">
        <v>1</v>
      </c>
      <c r="BW29" s="179" t="s">
        <v>2853</v>
      </c>
      <c r="BX29" s="179">
        <v>2</v>
      </c>
      <c r="BY29" t="s">
        <v>1886</v>
      </c>
      <c r="BZ29">
        <v>2</v>
      </c>
      <c r="CA29" s="176" t="s">
        <v>2768</v>
      </c>
      <c r="CB29">
        <v>2</v>
      </c>
    </row>
    <row r="30" spans="1:80">
      <c r="A30" s="178">
        <f ca="1">IFERROR(IF(AG29&lt;5+金蛇*2,IF(COUNTIF(B29,"*轻*")&gt;0,A29+加速!$L$9,A29+加速!$L$11)+V29,""),"")</f>
        <v>35.35</v>
      </c>
      <c r="B30" s="167" t="str">
        <f ca="1" t="shared" si="0"/>
        <v>夕照雷峰</v>
      </c>
      <c r="C30">
        <f ca="1" t="shared" si="10"/>
        <v>15</v>
      </c>
      <c r="D30">
        <f ca="1">IF(B30&lt;&gt;"",IF(C29&lt;=加速!$L$11*(1-E30),0,1),"")</f>
        <v>1</v>
      </c>
      <c r="E30">
        <f ca="1" t="shared" si="7"/>
        <v>0</v>
      </c>
      <c r="G30">
        <f ca="1" t="shared" si="8"/>
        <v>0</v>
      </c>
      <c r="H30">
        <f ca="1">IF(B30&lt;&gt;"",IF(AND(COUNTIF(B29,"*轻*莺鸣柳*")&gt;0,COUNTIF(B30,"*轻*")&lt;1),MAX(0,15+I29-(A30-A29)+COUNTIF(B29,"*平湖*")*0),IF(AND(E30=0,MAX(0,H29-(A30-A29))&lt;=加速!$H$11),0,MAX(0,H29-(A30-A29)))),"")</f>
        <v>0</v>
      </c>
      <c r="I30">
        <f ca="1" t="shared" si="14"/>
        <v>0</v>
      </c>
      <c r="J30">
        <f ca="1" t="shared" si="15"/>
        <v>1</v>
      </c>
      <c r="K30">
        <f ca="1" t="shared" si="1"/>
        <v>1</v>
      </c>
      <c r="L30">
        <f ca="1">IFERROR(IF(AND(COUNTIF(B30,"*-峰插*"),技能数据库!$M$72&gt;0),0,IF(COUNTIF(B30,"*鹤归*")&gt;0,16-加速!$L$11,MAX(0,L29-(A30-A29)))),0)</f>
        <v>8.26000000000001</v>
      </c>
      <c r="M30">
        <f ca="1" t="shared" si="3"/>
        <v>0</v>
      </c>
      <c r="N30">
        <f ca="1">IFERROR(IF(AND(COUNTIF(B30,"*-峰插*"),技能数据库!$M$72&gt;0),0,IF(COUNTIF(B30,"*云飞*")&gt;0,4-COUNTIF(B30,"*玉山揽云*")*4--COUNTIF(B30,"*烟流暮景*")*4-COUNTIF(B30,"*云景*")*加速!$L$11-IF(J30&gt;0,2,0),MAX(0,N29-(A30-A29)-IF(J30&gt;0,2,0)))),0)</f>
        <v>0</v>
      </c>
      <c r="O30">
        <f ca="1">IF(AND(COUNTIF(IF(AND(配装计算器!$K$30&lt;&gt;"∞",0),INDEX(AU29:CB29,1,$AT$1),INDEX(AU31:CB31,1,$AT$1)),"*云飞*")=1,COUNTIF(IF(AND(配装计算器!$K$30&lt;&gt;"∞",0),INDEX(AU29:CB29,1,$AT$1),INDEX(AU31:CB31,1,$AT$1)),"*玉山*")=0),N30,0)</f>
        <v>0</v>
      </c>
      <c r="P30">
        <f ca="1">IFERROR(IF(COUNTIF(B30,"*云栖松*")&gt;0,50-加速!$L$11,MAX(0,P29-(A30-A29))),0)</f>
        <v>0</v>
      </c>
      <c r="Q30">
        <f ca="1">IF(COUNTIF(IF(AND(配装计算器!$K$30&lt;&gt;"∞",0),INDEX(AU29:CB29,1,$AT$1),INDEX(AU31:CB31,1,$AT$1)),"*云栖松*")=1,P30,0)</f>
        <v>0</v>
      </c>
      <c r="R30">
        <f ca="1">IFERROR(IF(COUNTIF(B30,"*莺鸣柳*")&gt;0,45-加速!$L$9,MAX(0,R29-(A30-A29))),0)</f>
        <v>0</v>
      </c>
      <c r="S30">
        <f ca="1">IF(COUNTIF(IF(AND(配装计算器!$K$30&lt;&gt;"∞",0),INDEX(AU29:CB29,1,$AT$1),INDEX(AU31:CB31,1,$AT$1)),"*莺鸣柳*")=1,R30,0)</f>
        <v>0</v>
      </c>
      <c r="T30">
        <f ca="1" t="shared" si="11"/>
        <v>0</v>
      </c>
      <c r="U30">
        <f ca="1">IF(金蛇,IF(COUNTIF(B30,"*金环戴*")+COUNTIF(B30,"*吹风醒*")&gt;0,IF(A30&lt;=3,7.125-2.625-A30-加速!$L$11,7.125+加速!$K$9-(A30+加速!$L$11-T30)),0),0)+IF(金蛇,IF(COUNTIF(B30,"*千切子裂光*")&gt;0,2+加速!$K$9-(A30+加速!$L$11-T30),0),0)</f>
        <v>0</v>
      </c>
      <c r="V30">
        <f ca="1" t="shared" si="12"/>
        <v>0</v>
      </c>
      <c r="W30">
        <f ca="1" t="shared" si="4"/>
        <v>0</v>
      </c>
      <c r="X30">
        <f ca="1">INDEX(加速!$I$13:$I$21,W30+1)</f>
        <v>0</v>
      </c>
      <c r="Y30">
        <f ca="1" t="shared" si="13"/>
        <v>0.5</v>
      </c>
      <c r="Z30">
        <f ca="1" t="shared" si="9"/>
        <v>0</v>
      </c>
      <c r="AA30">
        <f ca="1">MAX(0,IFERROR(IF(COUNTIF(B30,"*叠*")&gt;0,IF(AC29&lt;3,8-A31+A30,AA29+6.875-A31+A30),AA29-A31+A30),AA29-加速!$L$11))</f>
        <v>0</v>
      </c>
      <c r="AB30">
        <f ca="1">MAX(0,IF(COUNTIF(IF(AND(配装计算器!$K$30&lt;&gt;"∞",0),INDEX(AU30:CB30,1,$AT$1),INDEX(AU30:CB30,1,$AT$1)),"*叠1*")=1,4*25-加速!$L$11,AB29-A30+A29)-IF(OR(COUNTIF(OFFSET(AT30,0,$AT$1,1,1),"*听雷*")&gt;0,AND(碧归&gt;0,COUNTIF(OFFSET(AT30,0,$AT$1,1,1),"*风来*")&gt;0)),0,1)*1.5)</f>
        <v>22.86</v>
      </c>
      <c r="AC30">
        <f ca="1" t="shared" si="5"/>
        <v>0</v>
      </c>
      <c r="AD30">
        <f ca="1">IF(COUNTIF(IF(AND(配装计算器!$K$30&lt;&gt;"∞",0),INDEX(AU30:CB30,1,$AT$1),INDEX(AU31:CB31,1,$AT$1)),"*叠1*")=1,AB30*0+AE29,0)</f>
        <v>0</v>
      </c>
      <c r="AE30">
        <f ca="1">IF($AN$11&gt;0,IF(COUNTIF(B31,"*叠1*")&gt;0,50-加速!$L$11,MAX(0,AE29-(A31-A30))),0)</f>
        <v>12.07</v>
      </c>
      <c r="AG30">
        <f ca="1" t="shared" si="6"/>
        <v>1</v>
      </c>
      <c r="AH30" t="s">
        <v>1825</v>
      </c>
      <c r="AI30" t="s">
        <v>2776</v>
      </c>
      <c r="AJ30">
        <f ca="1">长时间循环比*COUNTIFS($B$3:$B$515,AI30&amp;"*",$D$3:$D$515,"&gt;0",$H$3:$H$515,"=0",$G$3:$G$515,"=0",$K$3:$K$515,"=0",$AC$3:$AC$515,"=0")</f>
        <v>8</v>
      </c>
      <c r="AK30" t="s">
        <v>2750</v>
      </c>
      <c r="AM30" t="s">
        <v>2827</v>
      </c>
      <c r="AN30">
        <f ca="1">AN29/1024*(COUNTIF(B3:B515,"*云飞*")*长时间循环比+AN27)*技能数据库!M66</f>
        <v>21.2861328125</v>
      </c>
      <c r="AU30" t="s">
        <v>3063</v>
      </c>
      <c r="AV30">
        <v>2</v>
      </c>
      <c r="AW30" t="s">
        <v>2776</v>
      </c>
      <c r="AX30">
        <v>2</v>
      </c>
      <c r="AY30" t="s">
        <v>2768</v>
      </c>
      <c r="AZ30">
        <v>0</v>
      </c>
      <c r="BA30" t="s">
        <v>2768</v>
      </c>
      <c r="BB30">
        <v>0</v>
      </c>
      <c r="BC30" t="s">
        <v>2768</v>
      </c>
      <c r="BD30">
        <v>1</v>
      </c>
      <c r="BE30" t="s">
        <v>2776</v>
      </c>
      <c r="BF30">
        <v>2</v>
      </c>
      <c r="BG30" t="s">
        <v>2768</v>
      </c>
      <c r="BH30">
        <v>0</v>
      </c>
      <c r="BI30" t="s">
        <v>2768</v>
      </c>
      <c r="BJ30">
        <v>1</v>
      </c>
      <c r="BK30" t="s">
        <v>2794</v>
      </c>
      <c r="BL30">
        <v>0</v>
      </c>
      <c r="BM30" t="s">
        <v>2853</v>
      </c>
      <c r="BN30">
        <v>2</v>
      </c>
      <c r="BO30" s="176" t="s">
        <v>2850</v>
      </c>
      <c r="BP30">
        <f>IF(0,2,0)</f>
        <v>0</v>
      </c>
      <c r="BQ30" t="str">
        <f>IF(秋,"云栖松","泉凝月")</f>
        <v>泉凝月</v>
      </c>
      <c r="BR30">
        <v>0</v>
      </c>
      <c r="BS30" t="s">
        <v>2768</v>
      </c>
      <c r="BT30">
        <v>0</v>
      </c>
      <c r="BU30" t="str">
        <f>IF(秋,"云栖松","泉凝月")</f>
        <v>泉凝月</v>
      </c>
      <c r="BV30">
        <v>0</v>
      </c>
      <c r="BW30" s="182" t="s">
        <v>2850</v>
      </c>
      <c r="BX30" s="179">
        <v>2</v>
      </c>
      <c r="BY30" t="s">
        <v>2853</v>
      </c>
      <c r="BZ30">
        <v>2</v>
      </c>
      <c r="CA30" s="176" t="str">
        <f>IF(秋,"云飞玉皇","云飞玉皇·云景")</f>
        <v>云飞玉皇·云景</v>
      </c>
      <c r="CB30">
        <v>2</v>
      </c>
    </row>
    <row r="31" spans="1:80">
      <c r="A31" s="178">
        <f ca="1">IFERROR(IF(AG30&lt;5+金蛇*2,IF(COUNTIF(B30,"*轻*")&gt;0,A30+加速!$L$9,A30+加速!$L$11)+V30,""),"")</f>
        <v>36.64</v>
      </c>
      <c r="B31" s="167" t="str">
        <f ca="1" t="shared" si="0"/>
        <v>云飞玉皇</v>
      </c>
      <c r="C31">
        <f ca="1" t="shared" si="10"/>
        <v>13.71</v>
      </c>
      <c r="D31">
        <f ca="1">IF(B31&lt;&gt;"",IF(C30&lt;=加速!$L$11*(1-E31),0,1),"")</f>
        <v>1</v>
      </c>
      <c r="E31">
        <f ca="1" t="shared" si="7"/>
        <v>0</v>
      </c>
      <c r="G31">
        <f ca="1" t="shared" si="8"/>
        <v>0</v>
      </c>
      <c r="H31">
        <f ca="1">IF(B31&lt;&gt;"",IF(AND(COUNTIF(B30,"*轻*莺鸣柳*")&gt;0,COUNTIF(B31,"*轻*")&lt;1),MAX(0,15+I30-(A31-A30)+COUNTIF(B30,"*平湖*")*0),IF(AND(E31=0,MAX(0,H30-(A31-A30))&lt;=加速!$H$11),0,MAX(0,H30-(A31-A30)))),"")</f>
        <v>0</v>
      </c>
      <c r="I31">
        <f ca="1" t="shared" si="14"/>
        <v>0</v>
      </c>
      <c r="J31">
        <f ca="1" t="shared" si="15"/>
        <v>0</v>
      </c>
      <c r="K31">
        <f ca="1" t="shared" si="1"/>
        <v>0</v>
      </c>
      <c r="L31">
        <f ca="1">IFERROR(IF(AND(COUNTIF(B31,"*-峰插*"),技能数据库!$M$72&gt;0),0,IF(COUNTIF(B31,"*鹤归*")&gt;0,16-加速!$L$11,MAX(0,L30-(A31-A30)))),0)</f>
        <v>6.97000000000001</v>
      </c>
      <c r="M31">
        <f ca="1" t="shared" si="3"/>
        <v>0</v>
      </c>
      <c r="N31">
        <f ca="1">IFERROR(IF(AND(COUNTIF(B31,"*-峰插*"),技能数据库!$M$72&gt;0),0,IF(COUNTIF(B31,"*云飞*")&gt;0,4-COUNTIF(B31,"*玉山揽云*")*4--COUNTIF(B31,"*烟流暮景*")*4-COUNTIF(B31,"*云景*")*加速!$L$11-IF(J31&gt;0,2,0),MAX(0,N30-(A31-A30)-IF(J31&gt;0,2,0)))),0)</f>
        <v>4</v>
      </c>
      <c r="O31">
        <f ca="1">IF(AND(COUNTIF(IF(AND(配装计算器!$K$30&lt;&gt;"∞",0),INDEX(AU30:CB30,1,$AT$1),INDEX(AU32:CB32,1,$AT$1)),"*云飞*")=1,COUNTIF(IF(AND(配装计算器!$K$30&lt;&gt;"∞",0),INDEX(AU30:CB30,1,$AT$1),INDEX(AU32:CB32,1,$AT$1)),"*玉山*")=0),N31,0)</f>
        <v>0</v>
      </c>
      <c r="P31">
        <f ca="1">IFERROR(IF(COUNTIF(B31,"*云栖松*")&gt;0,50-加速!$L$11,MAX(0,P30-(A31-A30))),0)</f>
        <v>0</v>
      </c>
      <c r="Q31">
        <f ca="1">IF(COUNTIF(IF(AND(配装计算器!$K$30&lt;&gt;"∞",0),INDEX(AU30:CB30,1,$AT$1),INDEX(AU32:CB32,1,$AT$1)),"*云栖松*")=1,P31,0)</f>
        <v>0</v>
      </c>
      <c r="R31">
        <f ca="1">IFERROR(IF(COUNTIF(B31,"*莺鸣柳*")&gt;0,45-加速!$L$9,MAX(0,R30-(A31-A30))),0)</f>
        <v>0</v>
      </c>
      <c r="S31">
        <f ca="1">IF(COUNTIF(IF(AND(配装计算器!$K$30&lt;&gt;"∞",0),INDEX(AU30:CB30,1,$AT$1),INDEX(AU32:CB32,1,$AT$1)),"*莺鸣柳*")=1,R31,0)</f>
        <v>0</v>
      </c>
      <c r="T31">
        <f ca="1" t="shared" si="11"/>
        <v>0</v>
      </c>
      <c r="U31">
        <f ca="1">IF(金蛇,IF(COUNTIF(B31,"*金环戴*")+COUNTIF(B31,"*吹风醒*")&gt;0,IF(A31&lt;=3,7.125-2.625-A31-加速!$L$11,7.125+加速!$K$9-(A31+加速!$L$11-T31)),0),0)+IF(金蛇,IF(COUNTIF(B31,"*千切子裂光*")&gt;0,2+加速!$K$9-(A31+加速!$L$11-T31),0),0)</f>
        <v>0</v>
      </c>
      <c r="V31">
        <f ca="1" t="shared" si="12"/>
        <v>0</v>
      </c>
      <c r="W31">
        <f ca="1" t="shared" si="4"/>
        <v>0</v>
      </c>
      <c r="X31">
        <f ca="1">INDEX(加速!$I$13:$I$21,W31+1)</f>
        <v>0</v>
      </c>
      <c r="Y31">
        <f ca="1" t="shared" si="13"/>
        <v>0.5</v>
      </c>
      <c r="Z31">
        <f ca="1" t="shared" si="9"/>
        <v>0</v>
      </c>
      <c r="AA31">
        <f ca="1">MAX(0,IFERROR(IF(COUNTIF(B31,"*叠*")&gt;0,IF(AC30&lt;3,8-A32+A31,AA30+6.875-A32+A31),AA30-A32+A31),AA30-加速!$L$11))</f>
        <v>0</v>
      </c>
      <c r="AB31">
        <f ca="1">MAX(0,IF(COUNTIF(IF(AND(配装计算器!$K$30&lt;&gt;"∞",0),INDEX(AU31:CB31,1,$AT$1),INDEX(AU31:CB31,1,$AT$1)),"*叠1*")=1,4*25-加速!$L$11,AB30-A31+A30)-IF(OR(COUNTIF(OFFSET(AT31,0,$AT$1,1,1),"*听雷*")&gt;0,AND(碧归&gt;0,COUNTIF(OFFSET(AT31,0,$AT$1,1,1),"*风来*")&gt;0)),0,1)*1.5)</f>
        <v>20.07</v>
      </c>
      <c r="AC31">
        <f ca="1" t="shared" si="5"/>
        <v>0</v>
      </c>
      <c r="AD31">
        <f ca="1">IF(COUNTIF(IF(AND(配装计算器!$K$30&lt;&gt;"∞",0),INDEX(AU31:CB31,1,$AT$1),INDEX(AU32:CB32,1,$AT$1)),"*叠1*")=1,AB31*0+AE30,0)</f>
        <v>0</v>
      </c>
      <c r="AE31">
        <f ca="1">IF($AN$11&gt;0,IF(COUNTIF(B32,"*叠1*")&gt;0,50-加速!$L$11,MAX(0,AE30-(A32-A31))),0)</f>
        <v>10.78</v>
      </c>
      <c r="AG31">
        <f ca="1" t="shared" si="6"/>
        <v>1</v>
      </c>
      <c r="AH31" t="s">
        <v>1825</v>
      </c>
      <c r="AI31" t="s">
        <v>2776</v>
      </c>
      <c r="AJ31">
        <f ca="1">长时间循环比*COUNTIFS($B$3:$B$515,AI31&amp;"*",$D$3:$D$515,"&gt;0",$H$3:$H$515,"&gt;0",$G$3:$G$515,"=0",$K$3:$K$515,"=0")</f>
        <v>0</v>
      </c>
      <c r="AK31" t="s">
        <v>3044</v>
      </c>
      <c r="AM31" s="167" t="s">
        <v>3064</v>
      </c>
      <c r="AN31">
        <f ca="1">COUNTIF(H3:H515,"&gt;0")/AN12-AN32</f>
        <v>0</v>
      </c>
      <c r="AU31" t="s">
        <v>2776</v>
      </c>
      <c r="AV31">
        <v>1</v>
      </c>
      <c r="AW31" t="s">
        <v>2768</v>
      </c>
      <c r="AX31">
        <v>2</v>
      </c>
      <c r="AY31" t="s">
        <v>2722</v>
      </c>
      <c r="AZ31">
        <v>0</v>
      </c>
      <c r="BA31" t="s">
        <v>2722</v>
      </c>
      <c r="BB31">
        <v>0</v>
      </c>
      <c r="BC31" t="s">
        <v>2768</v>
      </c>
      <c r="BD31">
        <v>1</v>
      </c>
      <c r="BE31" t="s">
        <v>2768</v>
      </c>
      <c r="BF31">
        <v>2</v>
      </c>
      <c r="BG31" t="s">
        <v>2768</v>
      </c>
      <c r="BH31">
        <v>0</v>
      </c>
      <c r="BI31" t="s">
        <v>2776</v>
      </c>
      <c r="BJ31">
        <v>0</v>
      </c>
      <c r="BK31" t="s">
        <v>2776</v>
      </c>
      <c r="BL31">
        <v>0</v>
      </c>
      <c r="BM31" s="176" t="s">
        <v>2850</v>
      </c>
      <c r="BN31">
        <f>IF(0,2,0)</f>
        <v>0</v>
      </c>
      <c r="BO31" s="176" t="str">
        <f>IF(秋,"金环戴","吹风醒")</f>
        <v>吹风醒</v>
      </c>
      <c r="BP31">
        <v>2</v>
      </c>
      <c r="BQ31" t="s">
        <v>2768</v>
      </c>
      <c r="BR31">
        <v>0</v>
      </c>
      <c r="BS31" t="s">
        <v>2776</v>
      </c>
      <c r="BT31">
        <v>0</v>
      </c>
      <c r="BU31" t="s">
        <v>2768</v>
      </c>
      <c r="BV31">
        <v>0</v>
      </c>
      <c r="BW31" s="182" t="str">
        <f>IF(秋,"金环戴","吹风醒")</f>
        <v>吹风醒</v>
      </c>
      <c r="BX31" s="179">
        <v>2</v>
      </c>
      <c r="BY31" s="176" t="s">
        <v>2850</v>
      </c>
      <c r="BZ31">
        <f>IF(0,2,0)</f>
        <v>0</v>
      </c>
      <c r="CA31" t="str">
        <f>IF(0,"云飞玉皇","夕照雷峰")</f>
        <v>夕照雷峰</v>
      </c>
      <c r="CB31">
        <f>IF(0,2,2)</f>
        <v>2</v>
      </c>
    </row>
    <row r="32" spans="1:80">
      <c r="A32" s="178">
        <f ca="1">IFERROR(IF(AG31&lt;5+金蛇*2,IF(COUNTIF(B31,"*轻*")&gt;0,A31+加速!$L$9,A31+加速!$L$11)+V31,""),"")</f>
        <v>37.93</v>
      </c>
      <c r="B32" s="167" t="str">
        <f ca="1" t="shared" si="0"/>
        <v>夕照雷峰</v>
      </c>
      <c r="C32">
        <f ca="1" t="shared" si="10"/>
        <v>15</v>
      </c>
      <c r="D32">
        <f ca="1">IF(B32&lt;&gt;"",IF(C31&lt;=加速!$L$11*(1-E32),0,1),"")</f>
        <v>1</v>
      </c>
      <c r="E32">
        <f ca="1" t="shared" si="7"/>
        <v>0</v>
      </c>
      <c r="G32">
        <f ca="1" t="shared" si="8"/>
        <v>0</v>
      </c>
      <c r="H32">
        <f ca="1">IF(B32&lt;&gt;"",IF(AND(COUNTIF(B31,"*轻*莺鸣柳*")&gt;0,COUNTIF(B32,"*轻*")&lt;1),MAX(0,15+I31-(A32-A31)+COUNTIF(B31,"*平湖*")*0),IF(AND(E32=0,MAX(0,H31-(A32-A31))&lt;=加速!$H$11),0,MAX(0,H31-(A32-A31)))),"")</f>
        <v>0</v>
      </c>
      <c r="I32">
        <f ca="1" t="shared" si="14"/>
        <v>0</v>
      </c>
      <c r="J32">
        <f ca="1" t="shared" si="15"/>
        <v>0</v>
      </c>
      <c r="K32">
        <f ca="1" t="shared" si="1"/>
        <v>0</v>
      </c>
      <c r="L32">
        <f ca="1">IFERROR(IF(AND(COUNTIF(B32,"*-峰插*"),技能数据库!$M$72&gt;0),0,IF(COUNTIF(B32,"*鹤归*")&gt;0,16-加速!$L$11,MAX(0,L31-(A32-A31)))),0)</f>
        <v>5.68000000000001</v>
      </c>
      <c r="M32">
        <f ca="1" t="shared" si="3"/>
        <v>0</v>
      </c>
      <c r="N32">
        <f ca="1">IFERROR(IF(AND(COUNTIF(B32,"*-峰插*"),技能数据库!$M$72&gt;0),0,IF(COUNTIF(B32,"*云飞*")&gt;0,4-COUNTIF(B32,"*玉山揽云*")*4--COUNTIF(B32,"*烟流暮景*")*4-COUNTIF(B32,"*云景*")*加速!$L$11-IF(J32&gt;0,2,0),MAX(0,N31-(A32-A31)-IF(J32&gt;0,2,0)))),0)</f>
        <v>2.71</v>
      </c>
      <c r="O32">
        <f ca="1">IF(AND(COUNTIF(IF(AND(配装计算器!$K$30&lt;&gt;"∞",0),INDEX(AU31:CB31,1,$AT$1),INDEX(AU33:CB33,1,$AT$1)),"*云飞*")=1,COUNTIF(IF(AND(配装计算器!$K$30&lt;&gt;"∞",0),INDEX(AU31:CB31,1,$AT$1),INDEX(AU33:CB33,1,$AT$1)),"*玉山*")=0),N32,0)</f>
        <v>0</v>
      </c>
      <c r="P32">
        <f ca="1">IFERROR(IF(COUNTIF(B32,"*云栖松*")&gt;0,50-加速!$L$11,MAX(0,P31-(A32-A31))),0)</f>
        <v>0</v>
      </c>
      <c r="Q32">
        <f ca="1">IF(COUNTIF(IF(AND(配装计算器!$K$30&lt;&gt;"∞",0),INDEX(AU31:CB31,1,$AT$1),INDEX(AU33:CB33,1,$AT$1)),"*云栖松*")=1,P32,0)</f>
        <v>0</v>
      </c>
      <c r="R32">
        <f ca="1">IFERROR(IF(COUNTIF(B32,"*莺鸣柳*")&gt;0,45-加速!$L$9,MAX(0,R31-(A32-A31))),0)</f>
        <v>0</v>
      </c>
      <c r="S32">
        <f ca="1">IF(COUNTIF(IF(AND(配装计算器!$K$30&lt;&gt;"∞",0),INDEX(AU31:CB31,1,$AT$1),INDEX(AU33:CB33,1,$AT$1)),"*莺鸣柳*")=1,R32,0)</f>
        <v>0</v>
      </c>
      <c r="T32">
        <f ca="1" t="shared" si="11"/>
        <v>0</v>
      </c>
      <c r="U32">
        <f ca="1">IF(金蛇,IF(COUNTIF(B32,"*金环戴*")+COUNTIF(B32,"*吹风醒*")&gt;0,IF(A32&lt;=3,7.125-2.625-A32-加速!$L$11,7.125+加速!$K$9-(A32+加速!$L$11-T32)),0),0)+IF(金蛇,IF(COUNTIF(B32,"*千切子裂光*")&gt;0,2+加速!$K$9-(A32+加速!$L$11-T32),0),0)</f>
        <v>0</v>
      </c>
      <c r="V32">
        <f ca="1" t="shared" si="12"/>
        <v>0</v>
      </c>
      <c r="W32">
        <f ca="1" t="shared" si="4"/>
        <v>0</v>
      </c>
      <c r="X32">
        <f ca="1">INDEX(加速!$I$13:$I$21,W32+1)</f>
        <v>0</v>
      </c>
      <c r="Y32">
        <f ca="1" t="shared" si="13"/>
        <v>0.5</v>
      </c>
      <c r="Z32">
        <f ca="1" t="shared" si="9"/>
        <v>0</v>
      </c>
      <c r="AA32">
        <f ca="1">MAX(0,IFERROR(IF(COUNTIF(B32,"*叠*")&gt;0,IF(AC31&lt;3,8-A33+A32,AA31+6.875-A33+A32),AA31-A33+A32),AA31-加速!$L$11))</f>
        <v>0</v>
      </c>
      <c r="AB32">
        <f ca="1">MAX(0,IF(COUNTIF(IF(AND(配装计算器!$K$30&lt;&gt;"∞",0),INDEX(AU32:CB32,1,$AT$1),INDEX(AU32:CB32,1,$AT$1)),"*叠1*")=1,4*25-加速!$L$11,AB31-A32+A31)-IF(OR(COUNTIF(OFFSET(AT32,0,$AT$1,1,1),"*听雷*")&gt;0,AND(碧归&gt;0,COUNTIF(OFFSET(AT32,0,$AT$1,1,1),"*风来*")&gt;0)),0,1)*1.5)</f>
        <v>17.28</v>
      </c>
      <c r="AC32">
        <f ca="1" t="shared" si="5"/>
        <v>0</v>
      </c>
      <c r="AD32">
        <f ca="1">IF(COUNTIF(IF(AND(配装计算器!$K$30&lt;&gt;"∞",0),INDEX(AU32:CB32,1,$AT$1),INDEX(AU33:CB33,1,$AT$1)),"*叠1*")=1,AB32*0+AE31,0)</f>
        <v>0</v>
      </c>
      <c r="AE32">
        <f ca="1">IF($AN$11&gt;0,IF(COUNTIF(B33,"*叠1*")&gt;0,50-加速!$L$11,MAX(0,AE31-(A33-A32))),0)</f>
        <v>9.49000000000002</v>
      </c>
      <c r="AG32">
        <f ca="1" t="shared" si="6"/>
        <v>1</v>
      </c>
      <c r="AH32" t="s">
        <v>1825</v>
      </c>
      <c r="AI32" t="s">
        <v>2780</v>
      </c>
      <c r="AJ32">
        <f ca="1">AJ30+AJ84</f>
        <v>8</v>
      </c>
      <c r="AK32" t="s">
        <v>2750</v>
      </c>
      <c r="AM32" s="167" t="s">
        <v>3065</v>
      </c>
      <c r="AN32">
        <f ca="1">COUNTIFS(H3:H515,"&gt;0",G3:G515,"&gt;0")/AN12</f>
        <v>0</v>
      </c>
      <c r="AU32" t="s">
        <v>2768</v>
      </c>
      <c r="AV32">
        <v>2</v>
      </c>
      <c r="AW32" t="s">
        <v>2768</v>
      </c>
      <c r="AX32">
        <v>2</v>
      </c>
      <c r="AY32" t="s">
        <v>2776</v>
      </c>
      <c r="AZ32">
        <v>2</v>
      </c>
      <c r="BA32" t="s">
        <v>2776</v>
      </c>
      <c r="BB32">
        <v>2</v>
      </c>
      <c r="BC32" t="s">
        <v>2813</v>
      </c>
      <c r="BD32">
        <v>0</v>
      </c>
      <c r="BE32" t="s">
        <v>2776</v>
      </c>
      <c r="BF32">
        <v>2</v>
      </c>
      <c r="BG32" t="s">
        <v>2776</v>
      </c>
      <c r="BH32">
        <v>0</v>
      </c>
      <c r="BI32" t="s">
        <v>2768</v>
      </c>
      <c r="BJ32">
        <v>0</v>
      </c>
      <c r="BK32" t="s">
        <v>2768</v>
      </c>
      <c r="BL32">
        <v>0</v>
      </c>
      <c r="BM32" s="176" t="str">
        <f>IF(秋,"金环戴","吹风醒")</f>
        <v>吹风醒</v>
      </c>
      <c r="BN32">
        <v>2</v>
      </c>
      <c r="BO32" t="str">
        <f>IF(秋,"夕照雷峰","云飞玉皇")</f>
        <v>云飞玉皇</v>
      </c>
      <c r="BP32">
        <v>2</v>
      </c>
      <c r="BQ32" t="s">
        <v>2776</v>
      </c>
      <c r="BR32">
        <v>2</v>
      </c>
      <c r="BS32" t="s">
        <v>1886</v>
      </c>
      <c r="BT32">
        <v>0</v>
      </c>
      <c r="BU32" t="s">
        <v>2776</v>
      </c>
      <c r="BV32">
        <v>0</v>
      </c>
      <c r="BW32" s="182" t="s">
        <v>2768</v>
      </c>
      <c r="BX32" s="179">
        <v>2</v>
      </c>
      <c r="BY32" s="176" t="str">
        <f>IF(秋,"金环戴","吹风醒")</f>
        <v>吹风醒</v>
      </c>
      <c r="BZ32">
        <v>2</v>
      </c>
      <c r="CA32" t="str">
        <f>IF(0,"云飞玉皇","夕照雷峰")</f>
        <v>夕照雷峰</v>
      </c>
      <c r="CB32">
        <v>2</v>
      </c>
    </row>
    <row r="33" spans="1:80">
      <c r="A33" s="178">
        <f ca="1">IFERROR(IF(AG32&lt;5+金蛇*2,IF(COUNTIF(B32,"*轻*")&gt;0,A32+加速!$L$9,A32+加速!$L$11)+V32,""),"")</f>
        <v>39.22</v>
      </c>
      <c r="B33" s="167" t="str">
        <f ca="1" t="shared" si="0"/>
        <v>夕照雷峰</v>
      </c>
      <c r="C33">
        <f ca="1" t="shared" si="10"/>
        <v>15</v>
      </c>
      <c r="D33">
        <f ca="1">IF(B33&lt;&gt;"",IF(C32&lt;=加速!$L$11*(1-E33),0,1),"")</f>
        <v>1</v>
      </c>
      <c r="E33">
        <f ca="1" t="shared" si="7"/>
        <v>0</v>
      </c>
      <c r="G33">
        <f ca="1" t="shared" si="8"/>
        <v>0</v>
      </c>
      <c r="H33">
        <f ca="1">IF(B33&lt;&gt;"",IF(AND(COUNTIF(B32,"*轻*莺鸣柳*")&gt;0,COUNTIF(B33,"*轻*")&lt;1),MAX(0,15+I32-(A33-A32)+COUNTIF(B32,"*平湖*")*0),IF(AND(E33=0,MAX(0,H32-(A33-A32))&lt;=加速!$H$11),0,MAX(0,H32-(A33-A32)))),"")</f>
        <v>0</v>
      </c>
      <c r="I33">
        <f ca="1" t="shared" si="14"/>
        <v>0</v>
      </c>
      <c r="J33">
        <f ca="1" t="shared" si="15"/>
        <v>0</v>
      </c>
      <c r="K33">
        <f ca="1" t="shared" si="1"/>
        <v>0</v>
      </c>
      <c r="L33">
        <f ca="1">IFERROR(IF(AND(COUNTIF(B33,"*-峰插*"),技能数据库!$M$72&gt;0),0,IF(COUNTIF(B33,"*鹤归*")&gt;0,16-加速!$L$11,MAX(0,L32-(A33-A32)))),0)</f>
        <v>4.39000000000001</v>
      </c>
      <c r="M33">
        <f ca="1" t="shared" si="3"/>
        <v>0</v>
      </c>
      <c r="N33">
        <f ca="1">IFERROR(IF(AND(COUNTIF(B33,"*-峰插*"),技能数据库!$M$72&gt;0),0,IF(COUNTIF(B33,"*云飞*")&gt;0,4-COUNTIF(B33,"*玉山揽云*")*4--COUNTIF(B33,"*烟流暮景*")*4-COUNTIF(B33,"*云景*")*加速!$L$11-IF(J33&gt;0,2,0),MAX(0,N32-(A33-A32)-IF(J33&gt;0,2,0)))),0)</f>
        <v>1.42</v>
      </c>
      <c r="O33">
        <f ca="1">IF(AND(COUNTIF(IF(AND(配装计算器!$K$30&lt;&gt;"∞",0),INDEX(AU32:CB32,1,$AT$1),INDEX(AU34:CB34,1,$AT$1)),"*云飞*")=1,COUNTIF(IF(AND(配装计算器!$K$30&lt;&gt;"∞",0),INDEX(AU32:CB32,1,$AT$1),INDEX(AU34:CB34,1,$AT$1)),"*玉山*")=0),N33,0)</f>
        <v>0</v>
      </c>
      <c r="P33">
        <f ca="1">IFERROR(IF(COUNTIF(B33,"*云栖松*")&gt;0,50-加速!$L$11,MAX(0,P32-(A33-A32))),0)</f>
        <v>0</v>
      </c>
      <c r="Q33">
        <f ca="1">IF(COUNTIF(IF(AND(配装计算器!$K$30&lt;&gt;"∞",0),INDEX(AU32:CB32,1,$AT$1),INDEX(AU34:CB34,1,$AT$1)),"*云栖松*")=1,P33,0)</f>
        <v>0</v>
      </c>
      <c r="R33">
        <f ca="1">IFERROR(IF(COUNTIF(B33,"*莺鸣柳*")&gt;0,45-加速!$L$9,MAX(0,R32-(A33-A32))),0)</f>
        <v>0</v>
      </c>
      <c r="S33">
        <f ca="1">IF(COUNTIF(IF(AND(配装计算器!$K$30&lt;&gt;"∞",0),INDEX(AU32:CB32,1,$AT$1),INDEX(AU34:CB34,1,$AT$1)),"*莺鸣柳*")=1,R33,0)</f>
        <v>0</v>
      </c>
      <c r="T33">
        <f ca="1" t="shared" si="11"/>
        <v>0</v>
      </c>
      <c r="U33">
        <f ca="1">IF(金蛇,IF(COUNTIF(B33,"*金环戴*")+COUNTIF(B33,"*吹风醒*")&gt;0,IF(A33&lt;=3,7.125-2.625-A33-加速!$L$11,7.125+加速!$K$9-(A33+加速!$L$11-T33)),0),0)+IF(金蛇,IF(COUNTIF(B33,"*千切子裂光*")&gt;0,2+加速!$K$9-(A33+加速!$L$11-T33),0),0)</f>
        <v>0</v>
      </c>
      <c r="V33">
        <f ca="1" t="shared" si="12"/>
        <v>0</v>
      </c>
      <c r="W33">
        <f ca="1" t="shared" si="4"/>
        <v>0</v>
      </c>
      <c r="X33">
        <f ca="1">INDEX(加速!$I$13:$I$21,W33+1)</f>
        <v>0</v>
      </c>
      <c r="Y33">
        <f ca="1" t="shared" si="13"/>
        <v>0.5</v>
      </c>
      <c r="Z33">
        <f ca="1" t="shared" si="9"/>
        <v>0</v>
      </c>
      <c r="AA33">
        <f ca="1">MAX(0,IFERROR(IF(COUNTIF(B33,"*叠*")&gt;0,IF(AC32&lt;3,8-A34+A33,AA32+6.875-A34+A33),AA32-A34+A33),AA32-加速!$L$11))</f>
        <v>0</v>
      </c>
      <c r="AB33">
        <f ca="1">MAX(0,IF(COUNTIF(IF(AND(配装计算器!$K$30&lt;&gt;"∞",0),INDEX(AU33:CB33,1,$AT$1),INDEX(AU33:CB33,1,$AT$1)),"*叠1*")=1,4*25-加速!$L$11,AB32-A33+A32)-IF(OR(COUNTIF(OFFSET(AT33,0,$AT$1,1,1),"*听雷*")&gt;0,AND(碧归&gt;0,COUNTIF(OFFSET(AT33,0,$AT$1,1,1),"*风来*")&gt;0)),0,1)*1.5)</f>
        <v>14.49</v>
      </c>
      <c r="AC33">
        <f ca="1" t="shared" si="5"/>
        <v>0</v>
      </c>
      <c r="AD33">
        <f ca="1">IF(COUNTIF(IF(AND(配装计算器!$K$30&lt;&gt;"∞",0),INDEX(AU33:CB33,1,$AT$1),INDEX(AU34:CB34,1,$AT$1)),"*叠1*")=1,AB33*0+AE32,0)</f>
        <v>0</v>
      </c>
      <c r="AE33">
        <f ca="1">IF($AN$11&gt;0,IF(COUNTIF(B34,"*叠1*")&gt;0,50-加速!$L$11,MAX(0,AE32-(A34-A33))),0)</f>
        <v>8.20000000000002</v>
      </c>
      <c r="AG33">
        <f ca="1" t="shared" si="6"/>
        <v>1</v>
      </c>
      <c r="AH33" t="s">
        <v>1825</v>
      </c>
      <c r="AI33" t="s">
        <v>2780</v>
      </c>
      <c r="AJ33">
        <f ca="1">AJ31</f>
        <v>0</v>
      </c>
      <c r="AK33" t="s">
        <v>3044</v>
      </c>
      <c r="AM33" s="167" t="s">
        <v>3066</v>
      </c>
      <c r="AN33">
        <f ca="1">1-(AN31+AN32)</f>
        <v>1</v>
      </c>
      <c r="AU33" t="s">
        <v>2768</v>
      </c>
      <c r="AV33">
        <v>2</v>
      </c>
      <c r="AW33" t="s">
        <v>2768</v>
      </c>
      <c r="AX33">
        <v>2</v>
      </c>
      <c r="AY33" t="s">
        <v>2768</v>
      </c>
      <c r="AZ33">
        <v>2</v>
      </c>
      <c r="BA33" t="s">
        <v>2768</v>
      </c>
      <c r="BB33">
        <v>2</v>
      </c>
      <c r="BC33" t="s">
        <v>2776</v>
      </c>
      <c r="BD33">
        <v>2</v>
      </c>
      <c r="BE33" t="s">
        <v>2768</v>
      </c>
      <c r="BF33">
        <v>2</v>
      </c>
      <c r="BG33" t="s">
        <v>3067</v>
      </c>
      <c r="BH33">
        <v>0</v>
      </c>
      <c r="BI33" t="s">
        <v>2768</v>
      </c>
      <c r="BJ33">
        <v>0</v>
      </c>
      <c r="BK33" t="s">
        <v>3068</v>
      </c>
      <c r="BL33">
        <v>2</v>
      </c>
      <c r="BM33" t="str">
        <f>IF(秋,"夕照雷峰","云飞玉皇")</f>
        <v>云飞玉皇</v>
      </c>
      <c r="BN33">
        <v>2</v>
      </c>
      <c r="BO33" s="176" t="str">
        <f>IF(秋,"梦泉虎跑-轻","夕照雷峰")</f>
        <v>夕照雷峰</v>
      </c>
      <c r="BP33">
        <v>2</v>
      </c>
      <c r="BQ33" t="s">
        <v>1886</v>
      </c>
      <c r="BR33">
        <v>2</v>
      </c>
      <c r="BS33" t="s">
        <v>2853</v>
      </c>
      <c r="BT33">
        <v>1</v>
      </c>
      <c r="BU33" t="s">
        <v>1886</v>
      </c>
      <c r="BV33">
        <v>0</v>
      </c>
      <c r="BW33" s="182" t="str">
        <f>IF(秋,"云飞玉皇","云飞玉皇·云景")</f>
        <v>云飞玉皇·云景</v>
      </c>
      <c r="BX33" s="179">
        <v>2</v>
      </c>
      <c r="BY33" t="str">
        <f>IF(秋,"夕照雷峰","云飞玉皇")</f>
        <v>云飞玉皇</v>
      </c>
      <c r="BZ33">
        <v>2</v>
      </c>
      <c r="CA33" s="176" t="str">
        <f>IF(秋,"夕照雷峰","云飞玉皇")</f>
        <v>云飞玉皇</v>
      </c>
      <c r="CB33">
        <v>2</v>
      </c>
    </row>
    <row r="34" spans="1:80">
      <c r="A34" s="178">
        <f ca="1">IFERROR(IF(AG33&lt;5+金蛇*2,IF(COUNTIF(B33,"*轻*")&gt;0,A33+加速!$L$9,A33+加速!$L$11)+V33,""),"")</f>
        <v>40.51</v>
      </c>
      <c r="B34" s="167" t="str">
        <f ca="1" t="shared" si="0"/>
        <v>听雷-轻</v>
      </c>
      <c r="C34">
        <f ca="1" t="shared" si="10"/>
        <v>13.71</v>
      </c>
      <c r="D34">
        <f ca="1">IF(B34&lt;&gt;"",IF(C33&lt;=加速!$L$11*(1-E34),0,1),"")</f>
        <v>1</v>
      </c>
      <c r="E34">
        <f ca="1" t="shared" si="7"/>
        <v>1</v>
      </c>
      <c r="G34">
        <f ca="1" t="shared" si="8"/>
        <v>0</v>
      </c>
      <c r="H34">
        <f ca="1">IF(B34&lt;&gt;"",IF(AND(COUNTIF(B33,"*轻*莺鸣柳*")&gt;0,COUNTIF(B34,"*轻*")&lt;1),MAX(0,15+I33-(A34-A33)+COUNTIF(B33,"*平湖*")*0),IF(AND(E34=0,MAX(0,H33-(A34-A33))&lt;=加速!$H$11),0,MAX(0,H33-(A34-A33)))),"")</f>
        <v>0</v>
      </c>
      <c r="I34">
        <f ca="1" t="shared" si="14"/>
        <v>0</v>
      </c>
      <c r="J34">
        <f ca="1" t="shared" si="15"/>
        <v>0</v>
      </c>
      <c r="K34">
        <f ca="1" t="shared" si="1"/>
        <v>0</v>
      </c>
      <c r="L34">
        <f ca="1">IFERROR(IF(AND(COUNTIF(B34,"*-峰插*"),技能数据库!$M$72&gt;0),0,IF(COUNTIF(B34,"*鹤归*")&gt;0,16-加速!$L$11,MAX(0,L33-(A34-A33)))),0)</f>
        <v>3.10000000000001</v>
      </c>
      <c r="M34">
        <f ca="1" t="shared" si="3"/>
        <v>0</v>
      </c>
      <c r="N34">
        <f ca="1">IFERROR(IF(AND(COUNTIF(B34,"*-峰插*"),技能数据库!$M$72&gt;0),0,IF(COUNTIF(B34,"*云飞*")&gt;0,4-COUNTIF(B34,"*玉山揽云*")*4--COUNTIF(B34,"*烟流暮景*")*4-COUNTIF(B34,"*云景*")*加速!$L$11-IF(J34&gt;0,2,0),MAX(0,N33-(A34-A33)-IF(J34&gt;0,2,0)))),0)</f>
        <v>0.130000000000003</v>
      </c>
      <c r="O34">
        <f ca="1">IF(AND(COUNTIF(IF(AND(配装计算器!$K$30&lt;&gt;"∞",0),INDEX(AU33:CB33,1,$AT$1),INDEX(AU35:CB35,1,$AT$1)),"*云飞*")=1,COUNTIF(IF(AND(配装计算器!$K$30&lt;&gt;"∞",0),INDEX(AU33:CB33,1,$AT$1),INDEX(AU35:CB35,1,$AT$1)),"*玉山*")=0),N34,0)</f>
        <v>0.130000000000003</v>
      </c>
      <c r="P34">
        <f ca="1">IFERROR(IF(COUNTIF(B34,"*云栖松*")&gt;0,50-加速!$L$11,MAX(0,P33-(A34-A33))),0)</f>
        <v>0</v>
      </c>
      <c r="Q34">
        <f ca="1">IF(COUNTIF(IF(AND(配装计算器!$K$30&lt;&gt;"∞",0),INDEX(AU33:CB33,1,$AT$1),INDEX(AU35:CB35,1,$AT$1)),"*云栖松*")=1,P34,0)</f>
        <v>0</v>
      </c>
      <c r="R34">
        <f ca="1">IFERROR(IF(COUNTIF(B34,"*莺鸣柳*")&gt;0,45-加速!$L$9,MAX(0,R33-(A34-A33))),0)</f>
        <v>0</v>
      </c>
      <c r="S34">
        <f ca="1">IF(COUNTIF(IF(AND(配装计算器!$K$30&lt;&gt;"∞",0),INDEX(AU33:CB33,1,$AT$1),INDEX(AU35:CB35,1,$AT$1)),"*莺鸣柳*")=1,R34,0)</f>
        <v>0</v>
      </c>
      <c r="T34">
        <f ca="1" t="shared" si="11"/>
        <v>0</v>
      </c>
      <c r="U34">
        <f ca="1">IF(金蛇,IF(COUNTIF(B34,"*金环戴*")+COUNTIF(B34,"*吹风醒*")&gt;0,IF(A34&lt;=3,7.125-2.625-A34-加速!$L$11,7.125+加速!$K$9-(A34+加速!$L$11-T34)),0),0)+IF(金蛇,IF(COUNTIF(B34,"*千切子裂光*")&gt;0,2+加速!$K$9-(A34+加速!$L$11-T34),0),0)</f>
        <v>0</v>
      </c>
      <c r="V34">
        <f ca="1" t="shared" si="12"/>
        <v>0.130000000000003</v>
      </c>
      <c r="W34">
        <f ca="1" t="shared" si="4"/>
        <v>0</v>
      </c>
      <c r="X34">
        <f ca="1">INDEX(加速!$I$13:$I$21,W34+1)</f>
        <v>0</v>
      </c>
      <c r="Y34">
        <f ca="1" t="shared" si="13"/>
        <v>0.5</v>
      </c>
      <c r="Z34">
        <f ca="1" t="shared" si="9"/>
        <v>0</v>
      </c>
      <c r="AA34">
        <f ca="1">MAX(0,IFERROR(IF(COUNTIF(B34,"*叠*")&gt;0,IF(AC33&lt;3,8-A35+A34,AA33+6.875-A35+A34),AA33-A35+A34),AA33-加速!$L$11))</f>
        <v>0</v>
      </c>
      <c r="AB34">
        <f ca="1">MAX(0,IF(COUNTIF(IF(AND(配装计算器!$K$30&lt;&gt;"∞",0),INDEX(AU34:CB34,1,$AT$1),INDEX(AU34:CB34,1,$AT$1)),"*叠1*")=1,4*25-加速!$L$11,AB33-A34+A33)-IF(OR(COUNTIF(OFFSET(AT34,0,$AT$1,1,1),"*听雷*")&gt;0,AND(碧归&gt;0,COUNTIF(OFFSET(AT34,0,$AT$1,1,1),"*风来*")&gt;0)),0,1)*1.5)</f>
        <v>13.2</v>
      </c>
      <c r="AC34">
        <f ca="1" t="shared" si="5"/>
        <v>0</v>
      </c>
      <c r="AD34">
        <f ca="1">IF(COUNTIF(IF(AND(配装计算器!$K$30&lt;&gt;"∞",0),INDEX(AU34:CB34,1,$AT$1),INDEX(AU35:CB35,1,$AT$1)),"*叠1*")=1,AB34*0+AE33,0)</f>
        <v>0</v>
      </c>
      <c r="AE34">
        <f ca="1">IF($AN$11&gt;0,IF(COUNTIF(B35,"*叠1*")&gt;0,50-加速!$L$11,MAX(0,AE33-(A35-A34))),0)</f>
        <v>6.78000000000002</v>
      </c>
      <c r="AG34">
        <f ca="1" t="shared" si="6"/>
        <v>1</v>
      </c>
      <c r="AH34" t="s">
        <v>1825</v>
      </c>
      <c r="AI34" t="s">
        <v>2776</v>
      </c>
      <c r="AJ34">
        <f ca="1">长时间循环比*COUNTIFS($B$3:$B$515,AI34&amp;"*",$D$3:$D$515,"&gt;0",$H$3:$H$515,"=0",$G$3:$G$515,"=0",$K$3:$K$515,"=2",$AC$3:$AC$515,"=0")+AN37</f>
        <v>12</v>
      </c>
      <c r="AK34" t="s">
        <v>3069</v>
      </c>
      <c r="AU34" s="176" t="s">
        <v>2794</v>
      </c>
      <c r="AV34">
        <v>2</v>
      </c>
      <c r="AW34" t="s">
        <v>2776</v>
      </c>
      <c r="AX34">
        <v>2</v>
      </c>
      <c r="AY34" t="s">
        <v>2768</v>
      </c>
      <c r="AZ34">
        <v>2</v>
      </c>
      <c r="BA34" t="s">
        <v>2768</v>
      </c>
      <c r="BB34">
        <v>2</v>
      </c>
      <c r="BC34" t="s">
        <v>2768</v>
      </c>
      <c r="BD34">
        <v>2</v>
      </c>
      <c r="BE34" t="s">
        <v>2776</v>
      </c>
      <c r="BF34">
        <v>1</v>
      </c>
      <c r="BG34" t="s">
        <v>2768</v>
      </c>
      <c r="BH34">
        <v>2</v>
      </c>
      <c r="BI34" t="s">
        <v>2722</v>
      </c>
      <c r="BJ34">
        <v>0</v>
      </c>
      <c r="BK34" t="s">
        <v>2768</v>
      </c>
      <c r="BL34">
        <v>2</v>
      </c>
      <c r="BM34" s="176" t="str">
        <f>IF(秋,"梦泉虎跑-轻","夕照雷峰")</f>
        <v>夕照雷峰</v>
      </c>
      <c r="BN34">
        <v>2</v>
      </c>
      <c r="BO34" s="176" t="str">
        <f>IF(秋,"九溪弥烟-轻-血毒金蛇锥","梦泉虎跑-轻")</f>
        <v>梦泉虎跑-轻</v>
      </c>
      <c r="BP34">
        <v>0</v>
      </c>
      <c r="BQ34" t="s">
        <v>2853</v>
      </c>
      <c r="BR34">
        <v>2</v>
      </c>
      <c r="BS34" s="176" t="str">
        <f>IF(秋,"金蛇锥-金环戴","金蛇锥-吹风醒")</f>
        <v>金蛇锥-吹风醒</v>
      </c>
      <c r="BT34">
        <v>0</v>
      </c>
      <c r="BU34" t="s">
        <v>2853</v>
      </c>
      <c r="BV34">
        <v>2</v>
      </c>
      <c r="BW34" s="179" t="s">
        <v>2722</v>
      </c>
      <c r="BX34" s="179">
        <v>2</v>
      </c>
      <c r="BY34" s="176" t="str">
        <f>IF(秋,"梦泉虎跑-轻","夕照雷峰")</f>
        <v>夕照雷峰</v>
      </c>
      <c r="BZ34">
        <v>2</v>
      </c>
      <c r="CA34" s="176" t="str">
        <f>IF(秋,"梦泉虎跑-轻","夕照雷峰")</f>
        <v>夕照雷峰</v>
      </c>
      <c r="CB34">
        <v>1</v>
      </c>
    </row>
    <row r="35" spans="1:80">
      <c r="A35" s="178">
        <f ca="1">IFERROR(IF(AG34&lt;5+金蛇*2,IF(COUNTIF(B34,"*轻*")&gt;0,A34+加速!$L$9,A34+加速!$L$11)+V34,""),"")</f>
        <v>41.93</v>
      </c>
      <c r="B35" s="167" t="str">
        <f ca="1" t="shared" si="0"/>
        <v>云飞玉皇</v>
      </c>
      <c r="C35">
        <f ca="1" t="shared" si="10"/>
        <v>12.29</v>
      </c>
      <c r="D35">
        <f ca="1">IF(B35&lt;&gt;"",IF(C34&lt;=加速!$L$11*(1-E35),0,1),"")</f>
        <v>1</v>
      </c>
      <c r="E35">
        <f ca="1" t="shared" si="7"/>
        <v>0</v>
      </c>
      <c r="G35">
        <f ca="1" t="shared" si="8"/>
        <v>0</v>
      </c>
      <c r="H35">
        <f ca="1">IF(B35&lt;&gt;"",IF(AND(COUNTIF(B34,"*轻*莺鸣柳*")&gt;0,COUNTIF(B35,"*轻*")&lt;1),MAX(0,15+I34-(A35-A34)+COUNTIF(B34,"*平湖*")*0),IF(AND(E35=0,MAX(0,H34-(A35-A34))&lt;=加速!$H$11),0,MAX(0,H34-(A35-A34)))),"")</f>
        <v>0</v>
      </c>
      <c r="I35">
        <f ca="1" t="shared" si="14"/>
        <v>0</v>
      </c>
      <c r="J35">
        <f ca="1" t="shared" si="15"/>
        <v>0</v>
      </c>
      <c r="K35">
        <f ca="1" t="shared" si="1"/>
        <v>2</v>
      </c>
      <c r="L35">
        <f ca="1">IFERROR(IF(AND(COUNTIF(B35,"*-峰插*"),技能数据库!$M$72&gt;0),0,IF(COUNTIF(B35,"*鹤归*")&gt;0,16-加速!$L$11,MAX(0,L34-(A35-A34)))),0)</f>
        <v>1.68000000000001</v>
      </c>
      <c r="M35">
        <f ca="1" t="shared" si="3"/>
        <v>0</v>
      </c>
      <c r="N35">
        <f ca="1">IFERROR(IF(AND(COUNTIF(B35,"*-峰插*"),技能数据库!$M$72&gt;0),0,IF(COUNTIF(B35,"*云飞*")&gt;0,4-COUNTIF(B35,"*玉山揽云*")*4--COUNTIF(B35,"*烟流暮景*")*4-COUNTIF(B35,"*云景*")*加速!$L$11-IF(J35&gt;0,2,0),MAX(0,N34-(A35-A34)-IF(J35&gt;0,2,0)))),0)</f>
        <v>4</v>
      </c>
      <c r="O35">
        <f ca="1">IF(AND(COUNTIF(IF(AND(配装计算器!$K$30&lt;&gt;"∞",0),INDEX(AU34:CB34,1,$AT$1),INDEX(AU36:CB36,1,$AT$1)),"*云飞*")=1,COUNTIF(IF(AND(配装计算器!$K$30&lt;&gt;"∞",0),INDEX(AU34:CB34,1,$AT$1),INDEX(AU36:CB36,1,$AT$1)),"*玉山*")=0),N35,0)</f>
        <v>0</v>
      </c>
      <c r="P35">
        <f ca="1">IFERROR(IF(COUNTIF(B35,"*云栖松*")&gt;0,50-加速!$L$11,MAX(0,P34-(A35-A34))),0)</f>
        <v>0</v>
      </c>
      <c r="Q35">
        <f ca="1">IF(COUNTIF(IF(AND(配装计算器!$K$30&lt;&gt;"∞",0),INDEX(AU34:CB34,1,$AT$1),INDEX(AU36:CB36,1,$AT$1)),"*云栖松*")=1,P35,0)</f>
        <v>0</v>
      </c>
      <c r="R35">
        <f ca="1">IFERROR(IF(COUNTIF(B35,"*莺鸣柳*")&gt;0,45-加速!$L$9,MAX(0,R34-(A35-A34))),0)</f>
        <v>0</v>
      </c>
      <c r="S35">
        <f ca="1">IF(COUNTIF(IF(AND(配装计算器!$K$30&lt;&gt;"∞",0),INDEX(AU34:CB34,1,$AT$1),INDEX(AU36:CB36,1,$AT$1)),"*莺鸣柳*")=1,R35,0)</f>
        <v>0</v>
      </c>
      <c r="T35">
        <f ca="1" t="shared" si="11"/>
        <v>0</v>
      </c>
      <c r="U35">
        <f ca="1">IF(金蛇,IF(COUNTIF(B35,"*金环戴*")+COUNTIF(B35,"*吹风醒*")&gt;0,IF(A35&lt;=3,7.125-2.625-A35-加速!$L$11,7.125+加速!$K$9-(A35+加速!$L$11-T35)),0),0)+IF(金蛇,IF(COUNTIF(B35,"*千切子裂光*")&gt;0,2+加速!$K$9-(A35+加速!$L$11-T35),0),0)</f>
        <v>0</v>
      </c>
      <c r="V35">
        <f ca="1" t="shared" si="12"/>
        <v>0</v>
      </c>
      <c r="W35">
        <f ca="1" t="shared" si="4"/>
        <v>0</v>
      </c>
      <c r="X35">
        <f ca="1">INDEX(加速!$I$13:$I$21,W35+1)</f>
        <v>0</v>
      </c>
      <c r="Y35">
        <f ca="1" t="shared" si="13"/>
        <v>0.5</v>
      </c>
      <c r="Z35">
        <f ca="1" t="shared" si="9"/>
        <v>0</v>
      </c>
      <c r="AA35">
        <f ca="1">MAX(0,IFERROR(IF(COUNTIF(B35,"*叠*")&gt;0,IF(AC34&lt;3,8-A36+A35,AA34+6.875-A36+A35),AA34-A36+A35),AA34-加速!$L$11))</f>
        <v>0</v>
      </c>
      <c r="AB35">
        <f ca="1">MAX(0,IF(COUNTIF(IF(AND(配装计算器!$K$30&lt;&gt;"∞",0),INDEX(AU35:CB35,1,$AT$1),INDEX(AU35:CB35,1,$AT$1)),"*叠1*")=1,4*25-加速!$L$11,AB34-A35+A34)-IF(OR(COUNTIF(OFFSET(AT35,0,$AT$1,1,1),"*听雷*")&gt;0,AND(碧归&gt;0,COUNTIF(OFFSET(AT35,0,$AT$1,1,1),"*风来*")&gt;0)),0,1)*1.5)</f>
        <v>10.28</v>
      </c>
      <c r="AC35">
        <f ca="1" t="shared" si="5"/>
        <v>0</v>
      </c>
      <c r="AD35">
        <f ca="1">IF(COUNTIF(IF(AND(配装计算器!$K$30&lt;&gt;"∞",0),INDEX(AU35:CB35,1,$AT$1),INDEX(AU36:CB36,1,$AT$1)),"*叠1*")=1,AB35*0+AE34,0)</f>
        <v>0</v>
      </c>
      <c r="AE35">
        <f ca="1">IF($AN$11&gt;0,IF(COUNTIF(B36,"*叠1*")&gt;0,50-加速!$L$11,MAX(0,AE34-(A36-A35))),0)</f>
        <v>5.49000000000002</v>
      </c>
      <c r="AG35">
        <f ca="1" t="shared" si="6"/>
        <v>1</v>
      </c>
      <c r="AH35" t="s">
        <v>1825</v>
      </c>
      <c r="AI35" t="s">
        <v>2776</v>
      </c>
      <c r="AJ35">
        <f ca="1">长时间循环比*COUNTIFS($B$3:$B$515,AI35&amp;"*",$D$3:$D$515,"&gt;0",$H$3:$H$515,"&gt;0",$G$3:$G$515,"=0",$K$3:$K$515,"=2")+AN36</f>
        <v>0</v>
      </c>
      <c r="AK35" t="s">
        <v>3070</v>
      </c>
      <c r="AM35" s="167" t="s">
        <v>3071</v>
      </c>
      <c r="AN35">
        <f ca="1">AN32*AN27</f>
        <v>0</v>
      </c>
      <c r="AO35" t="s">
        <v>3072</v>
      </c>
      <c r="AU35" s="176" t="s">
        <v>2776</v>
      </c>
      <c r="AV35">
        <v>2</v>
      </c>
      <c r="AW35" t="s">
        <v>2768</v>
      </c>
      <c r="AX35">
        <v>2</v>
      </c>
      <c r="AY35" t="s">
        <v>2768</v>
      </c>
      <c r="AZ35">
        <v>1</v>
      </c>
      <c r="BA35" t="s">
        <v>2768</v>
      </c>
      <c r="BB35">
        <v>1</v>
      </c>
      <c r="BC35" t="s">
        <v>2768</v>
      </c>
      <c r="BD35">
        <v>2</v>
      </c>
      <c r="BE35" t="s">
        <v>2768</v>
      </c>
      <c r="BF35">
        <v>1</v>
      </c>
      <c r="BG35" t="s">
        <v>2768</v>
      </c>
      <c r="BH35">
        <v>2</v>
      </c>
      <c r="BI35" t="s">
        <v>2776</v>
      </c>
      <c r="BJ35">
        <v>2</v>
      </c>
      <c r="BK35" t="s">
        <v>2776</v>
      </c>
      <c r="BL35">
        <v>2</v>
      </c>
      <c r="BM35" s="176" t="str">
        <f>IF(秋,"九溪弥烟-轻-血毒金蛇锥","梦泉虎跑-轻")</f>
        <v>梦泉虎跑-轻</v>
      </c>
      <c r="BN35">
        <v>0</v>
      </c>
      <c r="BO35" t="s">
        <v>3009</v>
      </c>
      <c r="BP35">
        <v>2</v>
      </c>
      <c r="BQ35" s="176" t="s">
        <v>2850</v>
      </c>
      <c r="BR35">
        <v>2</v>
      </c>
      <c r="BS35" t="s">
        <v>2773</v>
      </c>
      <c r="BT35">
        <v>2</v>
      </c>
      <c r="BU35" s="176" t="str">
        <f>IF(秋,"金蛇锥-金环戴","金蛇锥-吹风醒")</f>
        <v>金蛇锥-吹风醒</v>
      </c>
      <c r="BV35">
        <v>2</v>
      </c>
      <c r="BW35" s="179" t="s">
        <v>3009</v>
      </c>
      <c r="BX35" s="179">
        <v>2</v>
      </c>
      <c r="BY35" s="176" t="str">
        <f>IF(秋,"九溪弥烟-轻-血毒金蛇锥","梦泉虎跑-轻")</f>
        <v>梦泉虎跑-轻</v>
      </c>
      <c r="BZ35">
        <v>0</v>
      </c>
      <c r="CA35" s="176" t="str">
        <f>IF(秋,"九溪弥烟-轻-血毒金蛇锥","梦泉虎跑-轻")</f>
        <v>梦泉虎跑-轻</v>
      </c>
      <c r="CB35">
        <v>0</v>
      </c>
    </row>
    <row r="36" spans="1:80">
      <c r="A36" s="178">
        <f ca="1">IFERROR(IF(AG35&lt;5+金蛇*2,IF(COUNTIF(B35,"*轻*")&gt;0,A35+加速!$L$9,A35+加速!$L$11)+V35,""),"")</f>
        <v>43.22</v>
      </c>
      <c r="B36" s="167" t="str">
        <f ca="1" t="shared" si="0"/>
        <v>夕照雷峰</v>
      </c>
      <c r="C36">
        <f ca="1" t="shared" si="10"/>
        <v>15</v>
      </c>
      <c r="D36">
        <f ca="1">IF(B36&lt;&gt;"",IF(C35&lt;=加速!$L$11*(1-E36),0,1),"")</f>
        <v>1</v>
      </c>
      <c r="E36">
        <f ca="1" t="shared" si="7"/>
        <v>0</v>
      </c>
      <c r="G36">
        <f ca="1" t="shared" si="8"/>
        <v>0</v>
      </c>
      <c r="H36">
        <f ca="1">IF(B36&lt;&gt;"",IF(AND(COUNTIF(B35,"*轻*莺鸣柳*")&gt;0,COUNTIF(B36,"*轻*")&lt;1),MAX(0,15+I35-(A36-A35)+COUNTIF(B35,"*平湖*")*0),IF(AND(E36=0,MAX(0,H35-(A36-A35))&lt;=加速!$H$11),0,MAX(0,H35-(A36-A35)))),"")</f>
        <v>0</v>
      </c>
      <c r="I36">
        <f ca="1" t="shared" si="14"/>
        <v>0</v>
      </c>
      <c r="J36">
        <f ca="1" t="shared" si="15"/>
        <v>0</v>
      </c>
      <c r="K36">
        <f ca="1" t="shared" si="1"/>
        <v>2</v>
      </c>
      <c r="L36">
        <f ca="1">IFERROR(IF(AND(COUNTIF(B36,"*-峰插*"),技能数据库!$M$72&gt;0),0,IF(COUNTIF(B36,"*鹤归*")&gt;0,16-加速!$L$11,MAX(0,L35-(A36-A35)))),0)</f>
        <v>0.390000000000008</v>
      </c>
      <c r="M36">
        <f ca="1" t="shared" si="3"/>
        <v>0</v>
      </c>
      <c r="N36">
        <f ca="1">IFERROR(IF(AND(COUNTIF(B36,"*-峰插*"),技能数据库!$M$72&gt;0),0,IF(COUNTIF(B36,"*云飞*")&gt;0,4-COUNTIF(B36,"*玉山揽云*")*4--COUNTIF(B36,"*烟流暮景*")*4-COUNTIF(B36,"*云景*")*加速!$L$11-IF(J36&gt;0,2,0),MAX(0,N35-(A36-A35)-IF(J36&gt;0,2,0)))),0)</f>
        <v>2.71</v>
      </c>
      <c r="O36">
        <f ca="1">IF(AND(COUNTIF(IF(AND(配装计算器!$K$30&lt;&gt;"∞",0),INDEX(AU35:CB35,1,$AT$1),INDEX(AU37:CB37,1,$AT$1)),"*云飞*")=1,COUNTIF(IF(AND(配装计算器!$K$30&lt;&gt;"∞",0),INDEX(AU35:CB35,1,$AT$1),INDEX(AU37:CB37,1,$AT$1)),"*玉山*")=0),N36,0)</f>
        <v>0</v>
      </c>
      <c r="P36">
        <f ca="1">IFERROR(IF(COUNTIF(B36,"*云栖松*")&gt;0,50-加速!$L$11,MAX(0,P35-(A36-A35))),0)</f>
        <v>0</v>
      </c>
      <c r="Q36">
        <f ca="1">IF(COUNTIF(IF(AND(配装计算器!$K$30&lt;&gt;"∞",0),INDEX(AU35:CB35,1,$AT$1),INDEX(AU37:CB37,1,$AT$1)),"*云栖松*")=1,P36,0)</f>
        <v>0</v>
      </c>
      <c r="R36">
        <f ca="1">IFERROR(IF(COUNTIF(B36,"*莺鸣柳*")&gt;0,45-加速!$L$9,MAX(0,R35-(A36-A35))),0)</f>
        <v>0</v>
      </c>
      <c r="S36">
        <f ca="1">IF(COUNTIF(IF(AND(配装计算器!$K$30&lt;&gt;"∞",0),INDEX(AU35:CB35,1,$AT$1),INDEX(AU37:CB37,1,$AT$1)),"*莺鸣柳*")=1,R36,0)</f>
        <v>0</v>
      </c>
      <c r="T36">
        <f ca="1" t="shared" si="11"/>
        <v>0</v>
      </c>
      <c r="U36">
        <f ca="1">IF(金蛇,IF(COUNTIF(B36,"*金环戴*")+COUNTIF(B36,"*吹风醒*")&gt;0,IF(A36&lt;=3,7.125-2.625-A36-加速!$L$11,7.125+加速!$K$9-(A36+加速!$L$11-T36)),0),0)+IF(金蛇,IF(COUNTIF(B36,"*千切子裂光*")&gt;0,2+加速!$K$9-(A36+加速!$L$11-T36),0),0)</f>
        <v>0</v>
      </c>
      <c r="V36">
        <f ca="1" t="shared" si="12"/>
        <v>0</v>
      </c>
      <c r="W36">
        <f ca="1" t="shared" si="4"/>
        <v>0</v>
      </c>
      <c r="X36">
        <f ca="1">INDEX(加速!$I$13:$I$21,W36+1)</f>
        <v>0</v>
      </c>
      <c r="Y36">
        <f ca="1" t="shared" si="13"/>
        <v>0.5</v>
      </c>
      <c r="Z36">
        <f ca="1" t="shared" si="9"/>
        <v>0</v>
      </c>
      <c r="AA36">
        <f ca="1">MAX(0,IFERROR(IF(COUNTIF(B36,"*叠*")&gt;0,IF(AC35&lt;3,8-A37+A36,AA35+6.875-A37+A36),AA35-A37+A36),AA35-加速!$L$11))</f>
        <v>0</v>
      </c>
      <c r="AB36">
        <f ca="1">MAX(0,IF(COUNTIF(IF(AND(配装计算器!$K$30&lt;&gt;"∞",0),INDEX(AU36:CB36,1,$AT$1),INDEX(AU36:CB36,1,$AT$1)),"*叠1*")=1,4*25-加速!$L$11,AB35-A36+A35)-IF(OR(COUNTIF(OFFSET(AT36,0,$AT$1,1,1),"*听雷*")&gt;0,AND(碧归&gt;0,COUNTIF(OFFSET(AT36,0,$AT$1,1,1),"*风来*")&gt;0)),0,1)*1.5)</f>
        <v>7.49000000000002</v>
      </c>
      <c r="AC36">
        <f ca="1" t="shared" si="5"/>
        <v>0</v>
      </c>
      <c r="AD36">
        <f ca="1">IF(COUNTIF(IF(AND(配装计算器!$K$30&lt;&gt;"∞",0),INDEX(AU36:CB36,1,$AT$1),INDEX(AU37:CB37,1,$AT$1)),"*叠1*")=1,AB36*0+AE35,0)</f>
        <v>0</v>
      </c>
      <c r="AE36">
        <f ca="1">IF($AN$11&gt;0,IF(COUNTIF(B37,"*叠1*")&gt;0,50-加速!$L$11,MAX(0,AE35-(A37-A36))),0)</f>
        <v>4.20000000000002</v>
      </c>
      <c r="AG36">
        <f ca="1" t="shared" si="6"/>
        <v>1</v>
      </c>
      <c r="AH36" t="s">
        <v>1825</v>
      </c>
      <c r="AI36" t="s">
        <v>2780</v>
      </c>
      <c r="AJ36">
        <f ca="1">AJ34+AJ87</f>
        <v>12</v>
      </c>
      <c r="AK36" t="s">
        <v>3157</v>
      </c>
      <c r="AM36" s="167" t="s">
        <v>3073</v>
      </c>
      <c r="AN36">
        <f ca="1">AN31*AN27</f>
        <v>0</v>
      </c>
      <c r="AO36" t="s">
        <v>3072</v>
      </c>
      <c r="AU36" s="176" t="s">
        <v>2768</v>
      </c>
      <c r="AV36">
        <v>1</v>
      </c>
      <c r="AW36" t="s">
        <v>2722</v>
      </c>
      <c r="AX36">
        <v>0</v>
      </c>
      <c r="AY36" t="s">
        <v>2776</v>
      </c>
      <c r="AZ36">
        <v>1</v>
      </c>
      <c r="BA36" t="s">
        <v>2776</v>
      </c>
      <c r="BB36">
        <v>1</v>
      </c>
      <c r="BC36" t="s">
        <v>2768</v>
      </c>
      <c r="BD36">
        <v>1</v>
      </c>
      <c r="BE36" t="s">
        <v>2768</v>
      </c>
      <c r="BF36">
        <v>1</v>
      </c>
      <c r="BG36" s="176" t="s">
        <v>2794</v>
      </c>
      <c r="BH36">
        <v>1</v>
      </c>
      <c r="BI36" t="s">
        <v>2768</v>
      </c>
      <c r="BJ36">
        <v>2</v>
      </c>
      <c r="BK36" t="s">
        <v>2768</v>
      </c>
      <c r="BL36">
        <v>2</v>
      </c>
      <c r="BM36" t="s">
        <v>3009</v>
      </c>
      <c r="BN36">
        <v>2</v>
      </c>
      <c r="BO36" s="176" t="str">
        <f>IF(秋,"云飞玉皇-蛇牙锥心","云飞玉皇-血毒金蛇锥")</f>
        <v>云飞玉皇-血毒金蛇锥</v>
      </c>
      <c r="BP36">
        <v>2</v>
      </c>
      <c r="BQ36" s="176" t="str">
        <f>IF(秋,"金环戴","吹风醒")</f>
        <v>吹风醒</v>
      </c>
      <c r="BR36">
        <v>1</v>
      </c>
      <c r="BS36" t="s">
        <v>2776</v>
      </c>
      <c r="BT36">
        <v>2</v>
      </c>
      <c r="BU36" t="s">
        <v>2773</v>
      </c>
      <c r="BV36">
        <v>2</v>
      </c>
      <c r="BW36" s="179" t="s">
        <v>2768</v>
      </c>
      <c r="BX36" s="179">
        <v>2</v>
      </c>
      <c r="BY36" t="s">
        <v>3009</v>
      </c>
      <c r="BZ36">
        <v>2</v>
      </c>
      <c r="CA36" t="s">
        <v>3009</v>
      </c>
      <c r="CB36">
        <v>2</v>
      </c>
    </row>
    <row r="37" spans="1:80">
      <c r="A37" s="178">
        <f ca="1">IFERROR(IF(AG36&lt;5+金蛇*2,IF(COUNTIF(B36,"*轻*")&gt;0,A36+加速!$L$9,A36+加速!$L$11)+V36,""),"")</f>
        <v>44.51</v>
      </c>
      <c r="B37" s="167" t="str">
        <f ca="1" t="shared" si="0"/>
        <v>夕照雷峰</v>
      </c>
      <c r="C37">
        <f ca="1" t="shared" si="10"/>
        <v>15</v>
      </c>
      <c r="D37">
        <f ca="1">IF(B37&lt;&gt;"",IF(C36&lt;=加速!$L$11*(1-E37),0,1),"")</f>
        <v>1</v>
      </c>
      <c r="E37">
        <f ca="1" t="shared" si="7"/>
        <v>0</v>
      </c>
      <c r="G37">
        <f ca="1" t="shared" si="8"/>
        <v>0</v>
      </c>
      <c r="H37">
        <f ca="1">IF(B37&lt;&gt;"",IF(AND(COUNTIF(B36,"*轻*莺鸣柳*")&gt;0,COUNTIF(B37,"*轻*")&lt;1),MAX(0,15+I36-(A37-A36)+COUNTIF(B36,"*平湖*")*0),IF(AND(E37=0,MAX(0,H36-(A37-A36))&lt;=加速!$H$11),0,MAX(0,H36-(A37-A36)))),"")</f>
        <v>0</v>
      </c>
      <c r="I37">
        <f ca="1" t="shared" si="14"/>
        <v>0</v>
      </c>
      <c r="J37">
        <f ca="1" t="shared" si="15"/>
        <v>0</v>
      </c>
      <c r="K37">
        <f ca="1" t="shared" si="1"/>
        <v>2</v>
      </c>
      <c r="L37">
        <f ca="1">IFERROR(IF(AND(COUNTIF(B37,"*-峰插*"),技能数据库!$M$72&gt;0),0,IF(COUNTIF(B37,"*鹤归*")&gt;0,16-加速!$L$11,MAX(0,L36-(A37-A36)))),0)</f>
        <v>0</v>
      </c>
      <c r="M37">
        <f ca="1" t="shared" si="3"/>
        <v>0</v>
      </c>
      <c r="N37">
        <f ca="1">IFERROR(IF(AND(COUNTIF(B37,"*-峰插*"),技能数据库!$M$72&gt;0),0,IF(COUNTIF(B37,"*云飞*")&gt;0,4-COUNTIF(B37,"*玉山揽云*")*4--COUNTIF(B37,"*烟流暮景*")*4-COUNTIF(B37,"*云景*")*加速!$L$11-IF(J37&gt;0,2,0),MAX(0,N36-(A37-A36)-IF(J37&gt;0,2,0)))),0)</f>
        <v>1.42</v>
      </c>
      <c r="O37">
        <f ca="1">IF(AND(COUNTIF(IF(AND(配装计算器!$K$30&lt;&gt;"∞",0),INDEX(AU36:CB36,1,$AT$1),INDEX(AU38:CB38,1,$AT$1)),"*云飞*")=1,COUNTIF(IF(AND(配装计算器!$K$30&lt;&gt;"∞",0),INDEX(AU36:CB36,1,$AT$1),INDEX(AU38:CB38,1,$AT$1)),"*玉山*")=0),N37,0)</f>
        <v>0</v>
      </c>
      <c r="P37">
        <f ca="1">IFERROR(IF(COUNTIF(B37,"*云栖松*")&gt;0,50-加速!$L$11,MAX(0,P36-(A37-A36))),0)</f>
        <v>0</v>
      </c>
      <c r="Q37">
        <f ca="1">IF(COUNTIF(IF(AND(配装计算器!$K$30&lt;&gt;"∞",0),INDEX(AU36:CB36,1,$AT$1),INDEX(AU38:CB38,1,$AT$1)),"*云栖松*")=1,P37,0)</f>
        <v>0</v>
      </c>
      <c r="R37">
        <f ca="1">IFERROR(IF(COUNTIF(B37,"*莺鸣柳*")&gt;0,45-加速!$L$9,MAX(0,R36-(A37-A36))),0)</f>
        <v>0</v>
      </c>
      <c r="S37">
        <f ca="1">IF(COUNTIF(IF(AND(配装计算器!$K$30&lt;&gt;"∞",0),INDEX(AU36:CB36,1,$AT$1),INDEX(AU38:CB38,1,$AT$1)),"*莺鸣柳*")=1,R37,0)</f>
        <v>0</v>
      </c>
      <c r="T37">
        <f ca="1" t="shared" si="11"/>
        <v>0</v>
      </c>
      <c r="U37">
        <f ca="1">IF(金蛇,IF(COUNTIF(B37,"*金环戴*")+COUNTIF(B37,"*吹风醒*")&gt;0,IF(A37&lt;=3,7.125-2.625-A37-加速!$L$11,7.125+加速!$K$9-(A37+加速!$L$11-T37)),0),0)+IF(金蛇,IF(COUNTIF(B37,"*千切子裂光*")&gt;0,2+加速!$K$9-(A37+加速!$L$11-T37),0),0)</f>
        <v>0</v>
      </c>
      <c r="V37">
        <f ca="1" t="shared" si="12"/>
        <v>0</v>
      </c>
      <c r="W37">
        <f ca="1" t="shared" si="4"/>
        <v>0</v>
      </c>
      <c r="X37">
        <f ca="1">INDEX(加速!$I$13:$I$21,W37+1)</f>
        <v>0</v>
      </c>
      <c r="Y37">
        <f ca="1" t="shared" si="13"/>
        <v>0.5</v>
      </c>
      <c r="Z37">
        <f ca="1" t="shared" si="9"/>
        <v>0</v>
      </c>
      <c r="AA37">
        <f ca="1">MAX(0,IFERROR(IF(COUNTIF(B37,"*叠*")&gt;0,IF(AC36&lt;3,8-A38+A37,AA36+6.875-A38+A37),AA36-A38+A37),AA36-加速!$L$11))</f>
        <v>0</v>
      </c>
      <c r="AB37">
        <f ca="1">MAX(0,IF(COUNTIF(IF(AND(配装计算器!$K$30&lt;&gt;"∞",0),INDEX(AU37:CB37,1,$AT$1),INDEX(AU37:CB37,1,$AT$1)),"*叠1*")=1,4*25-加速!$L$11,AB36-A37+A36)-IF(OR(COUNTIF(OFFSET(AT37,0,$AT$1,1,1),"*听雷*")&gt;0,AND(碧归&gt;0,COUNTIF(OFFSET(AT37,0,$AT$1,1,1),"*风来*")&gt;0)),0,1)*1.5)</f>
        <v>4.70000000000002</v>
      </c>
      <c r="AC37">
        <f ca="1" t="shared" si="5"/>
        <v>0</v>
      </c>
      <c r="AD37">
        <f ca="1">IF(COUNTIF(IF(AND(配装计算器!$K$30&lt;&gt;"∞",0),INDEX(AU37:CB37,1,$AT$1),INDEX(AU38:CB38,1,$AT$1)),"*叠1*")=1,AB37*0+AE36,0)</f>
        <v>0</v>
      </c>
      <c r="AE37">
        <f ca="1">IF($AN$11&gt;0,IF(COUNTIF(B38,"*叠1*")&gt;0,50-加速!$L$11,MAX(0,AE36-(A38-A37))),0)</f>
        <v>2.91000000000002</v>
      </c>
      <c r="AG37">
        <f ca="1" t="shared" si="6"/>
        <v>1</v>
      </c>
      <c r="AH37" t="s">
        <v>1825</v>
      </c>
      <c r="AI37" t="s">
        <v>2780</v>
      </c>
      <c r="AJ37">
        <f ca="1">AJ35+AJ71</f>
        <v>0</v>
      </c>
      <c r="AK37" t="s">
        <v>3070</v>
      </c>
      <c r="AM37" s="167" t="s">
        <v>2776</v>
      </c>
      <c r="AN37">
        <f ca="1">AN33*AN27</f>
        <v>0</v>
      </c>
      <c r="AO37" t="s">
        <v>3072</v>
      </c>
      <c r="AU37" s="176" t="s">
        <v>2776</v>
      </c>
      <c r="AV37">
        <v>2</v>
      </c>
      <c r="AW37" t="s">
        <v>3009</v>
      </c>
      <c r="AX37">
        <v>2</v>
      </c>
      <c r="AY37" t="s">
        <v>2768</v>
      </c>
      <c r="AZ37">
        <v>1</v>
      </c>
      <c r="BA37" t="s">
        <v>2768</v>
      </c>
      <c r="BB37">
        <v>1</v>
      </c>
      <c r="BC37" t="s">
        <v>2776</v>
      </c>
      <c r="BD37">
        <v>1</v>
      </c>
      <c r="BE37" t="s">
        <v>2776</v>
      </c>
      <c r="BF37">
        <v>0</v>
      </c>
      <c r="BG37" t="s">
        <v>2776</v>
      </c>
      <c r="BH37">
        <v>1</v>
      </c>
      <c r="BI37" t="s">
        <v>2768</v>
      </c>
      <c r="BJ37">
        <v>2</v>
      </c>
      <c r="BK37" t="s">
        <v>2768</v>
      </c>
      <c r="BL37">
        <v>2</v>
      </c>
      <c r="BM37" s="176" t="str">
        <f>IF(秋,"云飞玉皇-蛇牙锥心","云飞玉皇-血毒金蛇锥")</f>
        <v>云飞玉皇-血毒金蛇锥</v>
      </c>
      <c r="BN37">
        <v>2</v>
      </c>
      <c r="BO37" t="s">
        <v>2768</v>
      </c>
      <c r="BP37">
        <v>2</v>
      </c>
      <c r="BQ37" s="176" t="str">
        <f>IF(秋,"梦泉虎跑-轻","夕照雷峰")</f>
        <v>夕照雷峰</v>
      </c>
      <c r="BR37">
        <v>1</v>
      </c>
      <c r="BS37" t="s">
        <v>2768</v>
      </c>
      <c r="BT37">
        <v>2</v>
      </c>
      <c r="BU37" s="176" t="s">
        <v>2794</v>
      </c>
      <c r="BV37">
        <v>1</v>
      </c>
      <c r="BW37" s="179" t="s">
        <v>2776</v>
      </c>
      <c r="BX37" s="179">
        <v>2</v>
      </c>
      <c r="BY37" t="str">
        <f>IF(秋,"夕照雷峰-蛇牙锥心","夕照雷峰")</f>
        <v>夕照雷峰</v>
      </c>
      <c r="BZ37">
        <v>2</v>
      </c>
      <c r="CA37" s="176" t="str">
        <f>IF(秋,"鹤归孤山-蛇牙锥心","鹤归孤山")</f>
        <v>鹤归孤山</v>
      </c>
      <c r="CB37">
        <v>2</v>
      </c>
    </row>
    <row r="38" spans="1:80">
      <c r="A38" s="178">
        <f ca="1">IFERROR(IF(AG37&lt;5+金蛇*2,IF(COUNTIF(B37,"*轻*")&gt;0,A37+加速!$L$9,A37+加速!$L$11)+V37,""),"")</f>
        <v>45.8</v>
      </c>
      <c r="B38" s="167" t="str">
        <f ca="1" t="shared" si="0"/>
        <v>鹤归孤山</v>
      </c>
      <c r="C38">
        <f ca="1" t="shared" si="10"/>
        <v>13.71</v>
      </c>
      <c r="D38">
        <f ca="1">IF(B38&lt;&gt;"",IF(C37&lt;=加速!$L$11*(1-E38),0,1),"")</f>
        <v>1</v>
      </c>
      <c r="E38">
        <f ca="1" t="shared" si="7"/>
        <v>1</v>
      </c>
      <c r="G38">
        <f ca="1" t="shared" si="8"/>
        <v>0</v>
      </c>
      <c r="H38">
        <f ca="1">IF(B38&lt;&gt;"",IF(AND(COUNTIF(B37,"*轻*莺鸣柳*")&gt;0,COUNTIF(B38,"*轻*")&lt;1),MAX(0,15+I37-(A38-A37)+COUNTIF(B37,"*平湖*")*0),IF(AND(E38=0,MAX(0,H37-(A38-A37))&lt;=加速!$H$11),0,MAX(0,H37-(A38-A37)))),"")</f>
        <v>0</v>
      </c>
      <c r="I38">
        <f ca="1" t="shared" si="14"/>
        <v>0</v>
      </c>
      <c r="J38">
        <f ca="1" t="shared" si="15"/>
        <v>0</v>
      </c>
      <c r="K38">
        <f ca="1" t="shared" si="1"/>
        <v>1</v>
      </c>
      <c r="L38">
        <f ca="1">IFERROR(IF(AND(COUNTIF(B38,"*-峰插*"),技能数据库!$M$72&gt;0),0,IF(COUNTIF(B38,"*鹤归*")&gt;0,16-加速!$L$11,MAX(0,L37-(A38-A37)))),0)</f>
        <v>14.71</v>
      </c>
      <c r="M38">
        <f ca="1" t="shared" si="3"/>
        <v>0</v>
      </c>
      <c r="N38">
        <f ca="1">IFERROR(IF(AND(COUNTIF(B38,"*-峰插*"),技能数据库!$M$72&gt;0),0,IF(COUNTIF(B38,"*云飞*")&gt;0,4-COUNTIF(B38,"*玉山揽云*")*4--COUNTIF(B38,"*烟流暮景*")*4-COUNTIF(B38,"*云景*")*加速!$L$11-IF(J38&gt;0,2,0),MAX(0,N37-(A38-A37)-IF(J38&gt;0,2,0)))),0)</f>
        <v>0.130000000000003</v>
      </c>
      <c r="O38">
        <f ca="1">IF(AND(COUNTIF(IF(AND(配装计算器!$K$30&lt;&gt;"∞",0),INDEX(AU37:CB37,1,$AT$1),INDEX(AU39:CB39,1,$AT$1)),"*云飞*")=1,COUNTIF(IF(AND(配装计算器!$K$30&lt;&gt;"∞",0),INDEX(AU37:CB37,1,$AT$1),INDEX(AU39:CB39,1,$AT$1)),"*玉山*")=0),N38,0)</f>
        <v>0.130000000000003</v>
      </c>
      <c r="P38">
        <f ca="1">IFERROR(IF(COUNTIF(B38,"*云栖松*")&gt;0,50-加速!$L$11,MAX(0,P37-(A38-A37))),0)</f>
        <v>0</v>
      </c>
      <c r="Q38">
        <f ca="1">IF(COUNTIF(IF(AND(配装计算器!$K$30&lt;&gt;"∞",0),INDEX(AU37:CB37,1,$AT$1),INDEX(AU39:CB39,1,$AT$1)),"*云栖松*")=1,P38,0)</f>
        <v>0</v>
      </c>
      <c r="R38">
        <f ca="1">IFERROR(IF(COUNTIF(B38,"*莺鸣柳*")&gt;0,45-加速!$L$9,MAX(0,R37-(A38-A37))),0)</f>
        <v>0</v>
      </c>
      <c r="S38">
        <f ca="1">IF(COUNTIF(IF(AND(配装计算器!$K$30&lt;&gt;"∞",0),INDEX(AU37:CB37,1,$AT$1),INDEX(AU39:CB39,1,$AT$1)),"*莺鸣柳*")=1,R38,0)</f>
        <v>0</v>
      </c>
      <c r="T38">
        <f ca="1" t="shared" si="11"/>
        <v>0</v>
      </c>
      <c r="U38">
        <f ca="1">IF(金蛇,IF(COUNTIF(B38,"*金环戴*")+COUNTIF(B38,"*吹风醒*")&gt;0,IF(A38&lt;=3,7.125-2.625-A38-加速!$L$11,7.125+加速!$K$9-(A38+加速!$L$11-T38)),0),0)+IF(金蛇,IF(COUNTIF(B38,"*千切子裂光*")&gt;0,2+加速!$K$9-(A38+加速!$L$11-T38),0),0)</f>
        <v>0</v>
      </c>
      <c r="V38">
        <f ca="1" t="shared" si="12"/>
        <v>0.130000000000003</v>
      </c>
      <c r="W38">
        <f ca="1" t="shared" si="4"/>
        <v>0</v>
      </c>
      <c r="X38">
        <f ca="1">INDEX(加速!$I$13:$I$21,W38+1)</f>
        <v>0</v>
      </c>
      <c r="Y38">
        <f ca="1" t="shared" si="13"/>
        <v>0.5</v>
      </c>
      <c r="Z38">
        <f ca="1" t="shared" si="9"/>
        <v>0</v>
      </c>
      <c r="AA38">
        <f ca="1">MAX(0,IFERROR(IF(COUNTIF(B38,"*叠*")&gt;0,IF(AC37&lt;3,8-A39+A38,AA37+6.875-A39+A38),AA37-A39+A38),AA37-加速!$L$11))</f>
        <v>0</v>
      </c>
      <c r="AB38">
        <f ca="1">MAX(0,IF(COUNTIF(IF(AND(配装计算器!$K$30&lt;&gt;"∞",0),INDEX(AU38:CB38,1,$AT$1),INDEX(AU38:CB38,1,$AT$1)),"*叠1*")=1,4*25-加速!$L$11,AB37-A38+A37)-IF(OR(COUNTIF(OFFSET(AT38,0,$AT$1,1,1),"*听雷*")&gt;0,AND(碧归&gt;0,COUNTIF(OFFSET(AT38,0,$AT$1,1,1),"*风来*")&gt;0)),0,1)*1.5)</f>
        <v>1.91000000000003</v>
      </c>
      <c r="AC38">
        <f ca="1" t="shared" si="5"/>
        <v>0</v>
      </c>
      <c r="AD38">
        <f ca="1">IF(COUNTIF(IF(AND(配装计算器!$K$30&lt;&gt;"∞",0),INDEX(AU38:CB38,1,$AT$1),INDEX(AU39:CB39,1,$AT$1)),"*叠1*")=1,AB38*0+AE37,0)</f>
        <v>0</v>
      </c>
      <c r="AE38">
        <f ca="1">IF($AN$11&gt;0,IF(COUNTIF(B39,"*叠1*")&gt;0,50-加速!$L$11,MAX(0,AE37-(A39-A38))),0)</f>
        <v>1.49000000000002</v>
      </c>
      <c r="AG38">
        <f ca="1" t="shared" si="6"/>
        <v>1</v>
      </c>
      <c r="AH38" t="s">
        <v>1825</v>
      </c>
      <c r="AI38" t="s">
        <v>2776</v>
      </c>
      <c r="AJ38">
        <f ca="1">长时间循环比*COUNTIFS($B$3:$B$515,AI38&amp;"*",$D$3:$D$515,"&gt;0",$H$3:$H$515,"=0",$G$3:$G$515,"=0",$K$3:$K$515,"=1",$AC$3:$AC$515,"=0")</f>
        <v>8</v>
      </c>
      <c r="AK38" t="s">
        <v>3057</v>
      </c>
      <c r="AM38" s="167" t="s">
        <v>3075</v>
      </c>
      <c r="AN38">
        <f ca="1">AN32*AN28</f>
        <v>0</v>
      </c>
      <c r="AO38" t="s">
        <v>3072</v>
      </c>
      <c r="AU38" s="176" t="s">
        <v>2768</v>
      </c>
      <c r="AV38">
        <v>1</v>
      </c>
      <c r="AW38" t="s">
        <v>2776</v>
      </c>
      <c r="AX38">
        <v>2</v>
      </c>
      <c r="AY38" t="s">
        <v>2768</v>
      </c>
      <c r="AZ38">
        <v>0</v>
      </c>
      <c r="BA38" t="s">
        <v>2768</v>
      </c>
      <c r="BB38">
        <v>0</v>
      </c>
      <c r="BC38" t="s">
        <v>2768</v>
      </c>
      <c r="BD38">
        <v>1</v>
      </c>
      <c r="BE38" t="s">
        <v>2722</v>
      </c>
      <c r="BF38">
        <v>0</v>
      </c>
      <c r="BG38" t="s">
        <v>2768</v>
      </c>
      <c r="BH38">
        <v>1</v>
      </c>
      <c r="BI38" s="176" t="s">
        <v>2794</v>
      </c>
      <c r="BJ38">
        <v>1</v>
      </c>
      <c r="BK38" s="176" t="s">
        <v>3056</v>
      </c>
      <c r="BL38">
        <v>2</v>
      </c>
      <c r="BM38" t="s">
        <v>2768</v>
      </c>
      <c r="BN38">
        <v>2</v>
      </c>
      <c r="BO38" t="str">
        <f>IF(山重水复,"风来吴山","夕照雷峰")</f>
        <v>夕照雷峰</v>
      </c>
      <c r="BP38">
        <v>2</v>
      </c>
      <c r="BQ38" t="s">
        <v>3028</v>
      </c>
      <c r="BR38">
        <v>2</v>
      </c>
      <c r="BS38" t="s">
        <v>2768</v>
      </c>
      <c r="BT38">
        <v>2</v>
      </c>
      <c r="BU38" t="s">
        <v>3028</v>
      </c>
      <c r="BV38">
        <v>1</v>
      </c>
      <c r="BW38" s="179" t="s">
        <v>2768</v>
      </c>
      <c r="BX38" s="179">
        <v>2</v>
      </c>
      <c r="BY38" s="176" t="str">
        <f>IF(秋,"云飞玉皇","云飞玉皇-血毒金蛇锥")</f>
        <v>云飞玉皇-血毒金蛇锥</v>
      </c>
      <c r="BZ38">
        <v>2</v>
      </c>
      <c r="CA38" s="176" t="str">
        <f>IF(秋,"云飞玉皇","云飞玉皇-血毒金蛇锥")</f>
        <v>云飞玉皇-血毒金蛇锥</v>
      </c>
      <c r="CB38">
        <v>2</v>
      </c>
    </row>
    <row r="39" spans="1:80">
      <c r="A39" s="178">
        <f ca="1">IFERROR(IF(AG38&lt;5+金蛇*2,IF(COUNTIF(B38,"*轻*")&gt;0,A38+加速!$L$9,A38+加速!$L$11)+V38,""),"")</f>
        <v>47.22</v>
      </c>
      <c r="B39" s="167" t="str">
        <f ca="1" t="shared" si="0"/>
        <v>云飞玉皇</v>
      </c>
      <c r="C39">
        <f ca="1" t="shared" si="10"/>
        <v>12.29</v>
      </c>
      <c r="D39">
        <f ca="1">IF(B39&lt;&gt;"",IF(C38&lt;=加速!$L$11*(1-E39),0,1),"")</f>
        <v>1</v>
      </c>
      <c r="E39">
        <f ca="1" t="shared" si="7"/>
        <v>0</v>
      </c>
      <c r="G39">
        <f ca="1" t="shared" si="8"/>
        <v>0</v>
      </c>
      <c r="H39">
        <f ca="1">IF(B39&lt;&gt;"",IF(AND(COUNTIF(B38,"*轻*莺鸣柳*")&gt;0,COUNTIF(B39,"*轻*")&lt;1),MAX(0,15+I38-(A39-A38)+COUNTIF(B38,"*平湖*")*0),IF(AND(E39=0,MAX(0,H38-(A39-A38))&lt;=加速!$H$11),0,MAX(0,H38-(A39-A38)))),"")</f>
        <v>0</v>
      </c>
      <c r="I39">
        <f ca="1" t="shared" si="14"/>
        <v>0</v>
      </c>
      <c r="J39">
        <f ca="1" t="shared" si="15"/>
        <v>4</v>
      </c>
      <c r="K39">
        <f ca="1" t="shared" si="1"/>
        <v>1</v>
      </c>
      <c r="L39">
        <f ca="1">IFERROR(IF(AND(COUNTIF(B39,"*-峰插*"),技能数据库!$M$72&gt;0),0,IF(COUNTIF(B39,"*鹤归*")&gt;0,16-加速!$L$11,MAX(0,L38-(A39-A38)))),0)</f>
        <v>13.29</v>
      </c>
      <c r="M39">
        <f ca="1" t="shared" si="3"/>
        <v>0</v>
      </c>
      <c r="N39">
        <f ca="1">IFERROR(IF(AND(COUNTIF(B39,"*-峰插*"),技能数据库!$M$72&gt;0),0,IF(COUNTIF(B39,"*云飞*")&gt;0,4-COUNTIF(B39,"*玉山揽云*")*4--COUNTIF(B39,"*烟流暮景*")*4-COUNTIF(B39,"*云景*")*加速!$L$11-IF(J39&gt;0,2,0),MAX(0,N38-(A39-A38)-IF(J39&gt;0,2,0)))),0)</f>
        <v>2</v>
      </c>
      <c r="O39">
        <f ca="1">IF(AND(COUNTIF(IF(AND(配装计算器!$K$30&lt;&gt;"∞",0),INDEX(AU38:CB38,1,$AT$1),INDEX(AU40:CB40,1,$AT$1)),"*云飞*")=1,COUNTIF(IF(AND(配装计算器!$K$30&lt;&gt;"∞",0),INDEX(AU38:CB38,1,$AT$1),INDEX(AU40:CB40,1,$AT$1)),"*玉山*")=0),N39,0)</f>
        <v>0</v>
      </c>
      <c r="P39">
        <f ca="1">IFERROR(IF(COUNTIF(B39,"*云栖松*")&gt;0,50-加速!$L$11,MAX(0,P38-(A39-A38))),0)</f>
        <v>0</v>
      </c>
      <c r="Q39">
        <f ca="1">IF(COUNTIF(IF(AND(配装计算器!$K$30&lt;&gt;"∞",0),INDEX(AU38:CB38,1,$AT$1),INDEX(AU40:CB40,1,$AT$1)),"*云栖松*")=1,P39,0)</f>
        <v>0</v>
      </c>
      <c r="R39">
        <f ca="1">IFERROR(IF(COUNTIF(B39,"*莺鸣柳*")&gt;0,45-加速!$L$9,MAX(0,R38-(A39-A38))),0)</f>
        <v>0</v>
      </c>
      <c r="S39">
        <f ca="1">IF(COUNTIF(IF(AND(配装计算器!$K$30&lt;&gt;"∞",0),INDEX(AU38:CB38,1,$AT$1),INDEX(AU40:CB40,1,$AT$1)),"*莺鸣柳*")=1,R39,0)</f>
        <v>0</v>
      </c>
      <c r="T39">
        <f ca="1" t="shared" si="11"/>
        <v>0</v>
      </c>
      <c r="U39">
        <f ca="1">IF(金蛇,IF(COUNTIF(B39,"*金环戴*")+COUNTIF(B39,"*吹风醒*")&gt;0,IF(A39&lt;=3,7.125-2.625-A39-加速!$L$11,7.125+加速!$K$9-(A39+加速!$L$11-T39)),0),0)+IF(金蛇,IF(COUNTIF(B39,"*千切子裂光*")&gt;0,2+加速!$K$9-(A39+加速!$L$11-T39),0),0)</f>
        <v>0</v>
      </c>
      <c r="V39">
        <f ca="1" t="shared" si="12"/>
        <v>0</v>
      </c>
      <c r="W39">
        <f ca="1" t="shared" si="4"/>
        <v>0</v>
      </c>
      <c r="X39">
        <f ca="1">INDEX(加速!$I$13:$I$21,W39+1)</f>
        <v>0</v>
      </c>
      <c r="Y39">
        <f ca="1" t="shared" si="13"/>
        <v>0.5</v>
      </c>
      <c r="Z39">
        <f ca="1" t="shared" si="9"/>
        <v>0</v>
      </c>
      <c r="AA39">
        <f ca="1">MAX(0,IFERROR(IF(COUNTIF(B39,"*叠*")&gt;0,IF(AC38&lt;3,8-A40+A39,AA38+6.875-A40+A39),AA38-A40+A39),AA38-加速!$L$11))</f>
        <v>0</v>
      </c>
      <c r="AB39">
        <f ca="1">MAX(0,IF(COUNTIF(IF(AND(配装计算器!$K$30&lt;&gt;"∞",0),INDEX(AU39:CB39,1,$AT$1),INDEX(AU39:CB39,1,$AT$1)),"*叠1*")=1,4*25-加速!$L$11,AB38-A39+A38)-IF(OR(COUNTIF(OFFSET(AT39,0,$AT$1,1,1),"*听雷*")&gt;0,AND(碧归&gt;0,COUNTIF(OFFSET(AT39,0,$AT$1,1,1),"*风来*")&gt;0)),0,1)*1.5)</f>
        <v>0</v>
      </c>
      <c r="AC39">
        <f ca="1" t="shared" si="5"/>
        <v>0</v>
      </c>
      <c r="AD39">
        <f ca="1">IF(COUNTIF(IF(AND(配装计算器!$K$30&lt;&gt;"∞",0),INDEX(AU39:CB39,1,$AT$1),INDEX(AU40:CB40,1,$AT$1)),"*叠1*")=1,AB39*0+AE38,0)</f>
        <v>0</v>
      </c>
      <c r="AE39">
        <f ca="1">IF($AN$11&gt;0,IF(COUNTIF(B40,"*叠1*")&gt;0,50-加速!$L$11,MAX(0,AE38-(A40-A39))),0)</f>
        <v>0.200000000000017</v>
      </c>
      <c r="AG39">
        <f ca="1" t="shared" si="6"/>
        <v>1</v>
      </c>
      <c r="AH39" t="s">
        <v>1825</v>
      </c>
      <c r="AI39" t="s">
        <v>2780</v>
      </c>
      <c r="AJ39">
        <f ca="1">AJ38+AJ70</f>
        <v>8</v>
      </c>
      <c r="AK39" t="s">
        <v>3057</v>
      </c>
      <c r="AM39" s="167" t="s">
        <v>3076</v>
      </c>
      <c r="AN39">
        <f ca="1">AN31*AN28</f>
        <v>0</v>
      </c>
      <c r="AO39" t="s">
        <v>3072</v>
      </c>
      <c r="AU39" s="176" t="s">
        <v>2776</v>
      </c>
      <c r="AV39">
        <v>1</v>
      </c>
      <c r="AW39" t="s">
        <v>2768</v>
      </c>
      <c r="AX39">
        <v>2</v>
      </c>
      <c r="AY39" t="s">
        <v>3010</v>
      </c>
      <c r="AZ39">
        <v>2</v>
      </c>
      <c r="BA39" t="s">
        <v>3010</v>
      </c>
      <c r="BB39">
        <v>2</v>
      </c>
      <c r="BC39" t="s">
        <v>2768</v>
      </c>
      <c r="BD39">
        <v>0</v>
      </c>
      <c r="BE39" t="s">
        <v>2722</v>
      </c>
      <c r="BF39">
        <v>2</v>
      </c>
      <c r="BG39" t="s">
        <v>3011</v>
      </c>
      <c r="BH39">
        <v>2</v>
      </c>
      <c r="BI39" t="s">
        <v>2776</v>
      </c>
      <c r="BJ39">
        <v>1</v>
      </c>
      <c r="BK39" s="176" t="s">
        <v>2768</v>
      </c>
      <c r="BL39">
        <v>2</v>
      </c>
      <c r="BM39" t="str">
        <f>IF(山重水复,"风来吴山","夕照雷峰")</f>
        <v>夕照雷峰</v>
      </c>
      <c r="BN39">
        <v>2</v>
      </c>
      <c r="BO39" s="176" t="s">
        <v>2794</v>
      </c>
      <c r="BP39">
        <v>2</v>
      </c>
      <c r="BQ39" t="s">
        <v>2768</v>
      </c>
      <c r="BR39">
        <v>2</v>
      </c>
      <c r="BS39" t="s">
        <v>2768</v>
      </c>
      <c r="BT39">
        <v>1</v>
      </c>
      <c r="BU39" t="s">
        <v>2768</v>
      </c>
      <c r="BV39">
        <v>1</v>
      </c>
      <c r="BW39" s="179" t="s">
        <v>2768</v>
      </c>
      <c r="BX39" s="179">
        <v>2</v>
      </c>
      <c r="BY39" t="s">
        <v>2768</v>
      </c>
      <c r="BZ39">
        <v>2</v>
      </c>
      <c r="CA39" s="176" t="s">
        <v>2768</v>
      </c>
      <c r="CB39">
        <v>2</v>
      </c>
    </row>
    <row r="40" spans="1:80">
      <c r="A40" s="178">
        <f ca="1">IFERROR(IF(AG39&lt;5+金蛇*2,IF(COUNTIF(B39,"*轻*")&gt;0,A39+加速!$L$9,A39+加速!$L$11)+V39,""),"")</f>
        <v>48.51</v>
      </c>
      <c r="B40" s="167" t="str">
        <f ca="1" t="shared" si="0"/>
        <v>夕照雷峰</v>
      </c>
      <c r="C40">
        <f ca="1" t="shared" si="10"/>
        <v>15</v>
      </c>
      <c r="D40">
        <f ca="1">IF(B40&lt;&gt;"",IF(C39&lt;=加速!$L$11*(1-E40),0,1),"")</f>
        <v>1</v>
      </c>
      <c r="E40">
        <f ca="1" t="shared" si="7"/>
        <v>0</v>
      </c>
      <c r="G40">
        <f ca="1" t="shared" si="8"/>
        <v>0</v>
      </c>
      <c r="H40">
        <f ca="1">IF(B40&lt;&gt;"",IF(AND(COUNTIF(B39,"*轻*莺鸣柳*")&gt;0,COUNTIF(B40,"*轻*")&lt;1),MAX(0,15+I39-(A40-A39)+COUNTIF(B39,"*平湖*")*0),IF(AND(E40=0,MAX(0,H39-(A40-A39))&lt;=加速!$H$11),0,MAX(0,H39-(A40-A39)))),"")</f>
        <v>0</v>
      </c>
      <c r="I40">
        <f ca="1" t="shared" si="14"/>
        <v>0</v>
      </c>
      <c r="J40">
        <f ca="1" t="shared" si="15"/>
        <v>3</v>
      </c>
      <c r="K40">
        <f ca="1" t="shared" si="1"/>
        <v>0</v>
      </c>
      <c r="L40">
        <f ca="1">IFERROR(IF(AND(COUNTIF(B40,"*-峰插*"),技能数据库!$M$72&gt;0),0,IF(COUNTIF(B40,"*鹤归*")&gt;0,16-加速!$L$11,MAX(0,L39-(A40-A39)))),0)</f>
        <v>12</v>
      </c>
      <c r="M40">
        <f ca="1" t="shared" si="3"/>
        <v>0</v>
      </c>
      <c r="N40">
        <f ca="1">IFERROR(IF(AND(COUNTIF(B40,"*-峰插*"),技能数据库!$M$72&gt;0),0,IF(COUNTIF(B40,"*云飞*")&gt;0,4-COUNTIF(B40,"*玉山揽云*")*4--COUNTIF(B40,"*烟流暮景*")*4-COUNTIF(B40,"*云景*")*加速!$L$11-IF(J40&gt;0,2,0),MAX(0,N39-(A40-A39)-IF(J40&gt;0,2,0)))),0)</f>
        <v>0</v>
      </c>
      <c r="O40">
        <f ca="1">IF(AND(COUNTIF(IF(AND(配装计算器!$K$30&lt;&gt;"∞",0),INDEX(AU39:CB39,1,$AT$1),INDEX(AU41:CB41,1,$AT$1)),"*云飞*")=1,COUNTIF(IF(AND(配装计算器!$K$30&lt;&gt;"∞",0),INDEX(AU39:CB39,1,$AT$1),INDEX(AU41:CB41,1,$AT$1)),"*玉山*")=0),N40,0)</f>
        <v>0</v>
      </c>
      <c r="P40">
        <f ca="1">IFERROR(IF(COUNTIF(B40,"*云栖松*")&gt;0,50-加速!$L$11,MAX(0,P39-(A40-A39))),0)</f>
        <v>0</v>
      </c>
      <c r="Q40">
        <f ca="1">IF(COUNTIF(IF(AND(配装计算器!$K$30&lt;&gt;"∞",0),INDEX(AU39:CB39,1,$AT$1),INDEX(AU41:CB41,1,$AT$1)),"*云栖松*")=1,P40,0)</f>
        <v>0</v>
      </c>
      <c r="R40">
        <f ca="1">IFERROR(IF(COUNTIF(B40,"*莺鸣柳*")&gt;0,45-加速!$L$9,MAX(0,R39-(A40-A39))),0)</f>
        <v>0</v>
      </c>
      <c r="S40">
        <f ca="1">IF(COUNTIF(IF(AND(配装计算器!$K$30&lt;&gt;"∞",0),INDEX(AU39:CB39,1,$AT$1),INDEX(AU41:CB41,1,$AT$1)),"*莺鸣柳*")=1,R40,0)</f>
        <v>0</v>
      </c>
      <c r="T40">
        <f ca="1" t="shared" si="11"/>
        <v>0</v>
      </c>
      <c r="U40">
        <f ca="1">IF(金蛇,IF(COUNTIF(B40,"*金环戴*")+COUNTIF(B40,"*吹风醒*")&gt;0,IF(A40&lt;=3,7.125-2.625-A40-加速!$L$11,7.125+加速!$K$9-(A40+加速!$L$11-T40)),0),0)+IF(金蛇,IF(COUNTIF(B40,"*千切子裂光*")&gt;0,2+加速!$K$9-(A40+加速!$L$11-T40),0),0)</f>
        <v>0</v>
      </c>
      <c r="V40">
        <f ca="1" t="shared" si="12"/>
        <v>0.200000000000017</v>
      </c>
      <c r="W40">
        <f ca="1" t="shared" si="4"/>
        <v>0</v>
      </c>
      <c r="X40">
        <f ca="1">INDEX(加速!$I$13:$I$21,W40+1)</f>
        <v>0</v>
      </c>
      <c r="Y40">
        <f ca="1" t="shared" si="13"/>
        <v>0.5</v>
      </c>
      <c r="Z40">
        <f ca="1" t="shared" si="9"/>
        <v>0</v>
      </c>
      <c r="AA40">
        <f ca="1">MAX(0,IFERROR(IF(COUNTIF(B40,"*叠*")&gt;0,IF(AC39&lt;3,8-A41+A40,AA39+6.875-A41+A40),AA39-A41+A40),AA39-加速!$L$11))</f>
        <v>0</v>
      </c>
      <c r="AB40">
        <f ca="1">MAX(0,IF(COUNTIF(IF(AND(配装计算器!$K$30&lt;&gt;"∞",0),INDEX(AU40:CB40,1,$AT$1),INDEX(AU40:CB40,1,$AT$1)),"*叠1*")=1,4*25-加速!$L$11,AB39-A40+A39)-IF(OR(COUNTIF(OFFSET(AT40,0,$AT$1,1,1),"*听雷*")&gt;0,AND(碧归&gt;0,COUNTIF(OFFSET(AT40,0,$AT$1,1,1),"*风来*")&gt;0)),0,1)*1.5)</f>
        <v>0</v>
      </c>
      <c r="AC40">
        <f ca="1" t="shared" si="5"/>
        <v>0</v>
      </c>
      <c r="AD40">
        <f ca="1">IF(COUNTIF(IF(AND(配装计算器!$K$30&lt;&gt;"∞",0),INDEX(AU40:CB40,1,$AT$1),INDEX(AU41:CB41,1,$AT$1)),"*叠1*")=1,AB40*0+AE39,0)</f>
        <v>0.200000000000017</v>
      </c>
      <c r="AE40">
        <f ca="1">IF($AN$11&gt;0,IF(COUNTIF(B41,"*叠1*")&gt;0,50-加速!$L$11,MAX(0,AE39-(A41-A40))),0)</f>
        <v>48.71</v>
      </c>
      <c r="AG40">
        <f ca="1" t="shared" si="6"/>
        <v>2</v>
      </c>
      <c r="AH40" t="s">
        <v>1825</v>
      </c>
      <c r="AI40" s="161" t="s">
        <v>2783</v>
      </c>
      <c r="AJ40">
        <f ca="1">AJ30+AJ34+AJ38+AJ70+AJ84+AJ87+AJ91</f>
        <v>28</v>
      </c>
      <c r="AK40" t="s">
        <v>2750</v>
      </c>
      <c r="AM40" s="167" t="s">
        <v>2768</v>
      </c>
      <c r="AN40">
        <f ca="1">AN33*AN28</f>
        <v>0</v>
      </c>
      <c r="AO40" t="s">
        <v>3072</v>
      </c>
      <c r="AU40" t="s">
        <v>2722</v>
      </c>
      <c r="AV40">
        <v>0</v>
      </c>
      <c r="AW40" t="str">
        <f>IF(山重水复,"风来吴山","夕照雷峰")</f>
        <v>夕照雷峰</v>
      </c>
      <c r="AX40">
        <v>2</v>
      </c>
      <c r="AY40" t="s">
        <v>3013</v>
      </c>
      <c r="AZ40">
        <v>2</v>
      </c>
      <c r="BA40" t="s">
        <v>3013</v>
      </c>
      <c r="BB40">
        <v>2</v>
      </c>
      <c r="BC40" t="s">
        <v>2768</v>
      </c>
      <c r="BD40">
        <v>0</v>
      </c>
      <c r="BE40" t="s">
        <v>2768</v>
      </c>
      <c r="BF40">
        <v>2</v>
      </c>
      <c r="BG40" t="s">
        <v>2768</v>
      </c>
      <c r="BH40">
        <v>2</v>
      </c>
      <c r="BI40" t="s">
        <v>2768</v>
      </c>
      <c r="BJ40">
        <v>0</v>
      </c>
      <c r="BK40" s="176" t="s">
        <v>2768</v>
      </c>
      <c r="BL40">
        <v>2</v>
      </c>
      <c r="BM40" s="176" t="s">
        <v>2794</v>
      </c>
      <c r="BN40">
        <v>2</v>
      </c>
      <c r="BO40" s="176" t="s">
        <v>2776</v>
      </c>
      <c r="BP40">
        <v>2</v>
      </c>
      <c r="BQ40" t="s">
        <v>2768</v>
      </c>
      <c r="BR40">
        <v>2</v>
      </c>
      <c r="BS40" t="s">
        <v>2776</v>
      </c>
      <c r="BT40">
        <v>1</v>
      </c>
      <c r="BU40" t="s">
        <v>3011</v>
      </c>
      <c r="BV40">
        <v>2</v>
      </c>
      <c r="BW40" s="182" t="s">
        <v>2794</v>
      </c>
      <c r="BX40" s="179">
        <v>2</v>
      </c>
      <c r="BY40" t="str">
        <f>IF(山重水复,"风来吴山","夕照雷峰")</f>
        <v>夕照雷峰</v>
      </c>
      <c r="BZ40">
        <v>2</v>
      </c>
      <c r="CA40" s="176" t="s">
        <v>2776</v>
      </c>
      <c r="CB40">
        <v>2</v>
      </c>
    </row>
    <row r="41" spans="1:80">
      <c r="A41" s="178">
        <f ca="1">IFERROR(IF(AG40&lt;5+金蛇*2,IF(COUNTIF(B40,"*轻*")&gt;0,A40+加速!$L$9,A40+加速!$L$11)+V40,""),"")</f>
        <v>50</v>
      </c>
      <c r="B41" s="167" t="str">
        <f ca="1" t="shared" si="0"/>
        <v>叠1-云飞玉皇</v>
      </c>
      <c r="C41">
        <f ca="1" t="shared" si="10"/>
        <v>13.51</v>
      </c>
      <c r="D41">
        <f ca="1">IF(B41&lt;&gt;"",IF(C40&lt;=加速!$L$11*(1-E41),0,1),"")</f>
        <v>1</v>
      </c>
      <c r="E41">
        <f ca="1" t="shared" si="7"/>
        <v>1</v>
      </c>
      <c r="G41">
        <f ca="1" t="shared" si="8"/>
        <v>0</v>
      </c>
      <c r="H41">
        <f ca="1">IF(B41&lt;&gt;"",IF(AND(COUNTIF(B40,"*轻*莺鸣柳*")&gt;0,COUNTIF(B41,"*轻*")&lt;1),MAX(0,15+I40-(A41-A40)+COUNTIF(B40,"*平湖*")*0),IF(AND(E41=0,MAX(0,H40-(A41-A40))&lt;=加速!$H$11),0,MAX(0,H40-(A41-A40)))),"")</f>
        <v>0</v>
      </c>
      <c r="I41">
        <f ca="1" t="shared" si="14"/>
        <v>0</v>
      </c>
      <c r="J41">
        <f ca="1" t="shared" si="15"/>
        <v>2</v>
      </c>
      <c r="K41">
        <f ca="1" t="shared" si="1"/>
        <v>2</v>
      </c>
      <c r="L41">
        <f ca="1">IFERROR(IF(AND(COUNTIF(B41,"*-峰插*"),技能数据库!$M$72&gt;0),0,IF(COUNTIF(B41,"*鹤归*")&gt;0,16-加速!$L$11,MAX(0,L40-(A41-A40)))),0)</f>
        <v>10.51</v>
      </c>
      <c r="M41">
        <f ca="1" t="shared" si="3"/>
        <v>0</v>
      </c>
      <c r="N41">
        <f ca="1">IFERROR(IF(AND(COUNTIF(B41,"*-峰插*"),技能数据库!$M$72&gt;0),0,IF(COUNTIF(B41,"*云飞*")&gt;0,4-COUNTIF(B41,"*玉山揽云*")*4--COUNTIF(B41,"*烟流暮景*")*4-COUNTIF(B41,"*云景*")*加速!$L$11-IF(J41&gt;0,2,0),MAX(0,N40-(A41-A40)-IF(J41&gt;0,2,0)))),0)</f>
        <v>2</v>
      </c>
      <c r="O41">
        <f ca="1">IF(AND(COUNTIF(IF(AND(配装计算器!$K$30&lt;&gt;"∞",0),INDEX(AU40:CB40,1,$AT$1),INDEX(AU42:CB42,1,$AT$1)),"*云飞*")=1,COUNTIF(IF(AND(配装计算器!$K$30&lt;&gt;"∞",0),INDEX(AU40:CB40,1,$AT$1),INDEX(AU42:CB42,1,$AT$1)),"*玉山*")=0),N41,0)</f>
        <v>0</v>
      </c>
      <c r="P41">
        <f ca="1">IFERROR(IF(COUNTIF(B41,"*云栖松*")&gt;0,50-加速!$L$11,MAX(0,P40-(A41-A40))),0)</f>
        <v>0</v>
      </c>
      <c r="Q41">
        <f ca="1">IF(COUNTIF(IF(AND(配装计算器!$K$30&lt;&gt;"∞",0),INDEX(AU40:CB40,1,$AT$1),INDEX(AU42:CB42,1,$AT$1)),"*云栖松*")=1,P41,0)</f>
        <v>0</v>
      </c>
      <c r="R41">
        <f ca="1">IFERROR(IF(COUNTIF(B41,"*莺鸣柳*")&gt;0,45-加速!$L$9,MAX(0,R40-(A41-A40))),0)</f>
        <v>0</v>
      </c>
      <c r="S41">
        <f ca="1">IF(COUNTIF(IF(AND(配装计算器!$K$30&lt;&gt;"∞",0),INDEX(AU40:CB40,1,$AT$1),INDEX(AU42:CB42,1,$AT$1)),"*莺鸣柳*")=1,R41,0)</f>
        <v>0</v>
      </c>
      <c r="T41">
        <f ca="1" t="shared" si="11"/>
        <v>0</v>
      </c>
      <c r="U41">
        <f ca="1">IF(金蛇,IF(COUNTIF(B41,"*金环戴*")+COUNTIF(B41,"*吹风醒*")&gt;0,IF(A41&lt;=3,7.125-2.625-A41-加速!$L$11,7.125+加速!$K$9-(A41+加速!$L$11-T41)),0),0)+IF(金蛇,IF(COUNTIF(B41,"*千切子裂光*")&gt;0,2+加速!$K$9-(A41+加速!$L$11-T41),0),0)</f>
        <v>0</v>
      </c>
      <c r="V41">
        <f ca="1" t="shared" si="12"/>
        <v>0</v>
      </c>
      <c r="W41">
        <f ca="1" t="shared" si="4"/>
        <v>0</v>
      </c>
      <c r="X41">
        <f ca="1">INDEX(加速!$I$13:$I$21,W41+1)</f>
        <v>0</v>
      </c>
      <c r="Y41">
        <f ca="1" t="shared" si="13"/>
        <v>0.5</v>
      </c>
      <c r="Z41">
        <f ca="1" t="shared" si="9"/>
        <v>0</v>
      </c>
      <c r="AA41">
        <f ca="1">MAX(0,IFERROR(IF(COUNTIF(B41,"*叠*")&gt;0,IF(AC40&lt;3,8-A42+A41,AA40+6.875-A42+A41),AA40-A42+A41),AA40-加速!$L$11))</f>
        <v>6.71</v>
      </c>
      <c r="AB41">
        <f ca="1">MAX(0,IF(COUNTIF(IF(AND(配装计算器!$K$30&lt;&gt;"∞",0),INDEX(AU41:CB41,1,$AT$1),INDEX(AU41:CB41,1,$AT$1)),"*叠1*")=1,4*25-加速!$L$11,AB40-A41+A40)-IF(OR(COUNTIF(OFFSET(AT41,0,$AT$1,1,1),"*听雷*")&gt;0,AND(碧归&gt;0,COUNTIF(OFFSET(AT41,0,$AT$1,1,1),"*风来*")&gt;0)),0,1)*1.5)</f>
        <v>97.21</v>
      </c>
      <c r="AC41">
        <f ca="1" t="shared" si="5"/>
        <v>1</v>
      </c>
      <c r="AD41">
        <f ca="1">IF(COUNTIF(IF(AND(配装计算器!$K$30&lt;&gt;"∞",0),INDEX(AU41:CB41,1,$AT$1),INDEX(AU42:CB42,1,$AT$1)),"*叠1*")=1,AB41*0+AE40,0)</f>
        <v>0</v>
      </c>
      <c r="AE41">
        <f ca="1">IF($AN$11&gt;0,IF(COUNTIF(B42,"*叠1*")&gt;0,50-加速!$L$11,MAX(0,AE40-(A42-A41))),0)</f>
        <v>47.42</v>
      </c>
      <c r="AG41">
        <f ca="1" t="shared" si="6"/>
        <v>2</v>
      </c>
      <c r="AH41" t="s">
        <v>1825</v>
      </c>
      <c r="AI41" s="161" t="s">
        <v>2783</v>
      </c>
      <c r="AJ41">
        <f ca="1">AJ31+AJ35+AJ66+AJ69+AJ71</f>
        <v>0</v>
      </c>
      <c r="AK41" t="s">
        <v>3044</v>
      </c>
      <c r="AM41" s="167" t="s">
        <v>3077</v>
      </c>
      <c r="AN41">
        <f ca="1">(AN15-AN16)*AN24*(AN31+AN32)</f>
        <v>0</v>
      </c>
      <c r="AU41" t="s">
        <v>3009</v>
      </c>
      <c r="AV41">
        <v>2</v>
      </c>
      <c r="AW41" s="176" t="s">
        <v>2794</v>
      </c>
      <c r="AX41">
        <v>2</v>
      </c>
      <c r="AY41" t="s">
        <v>3017</v>
      </c>
      <c r="AZ41">
        <v>2</v>
      </c>
      <c r="BA41" t="s">
        <v>3017</v>
      </c>
      <c r="BB41">
        <v>2</v>
      </c>
      <c r="BC41" t="s">
        <v>3010</v>
      </c>
      <c r="BD41">
        <v>2</v>
      </c>
      <c r="BE41" t="s">
        <v>2776</v>
      </c>
      <c r="BF41">
        <v>2</v>
      </c>
      <c r="BG41" t="s">
        <v>3018</v>
      </c>
      <c r="BH41">
        <v>2</v>
      </c>
      <c r="BI41" t="s">
        <v>3011</v>
      </c>
      <c r="BJ41">
        <v>2</v>
      </c>
      <c r="BK41" s="176" t="s">
        <v>2776</v>
      </c>
      <c r="BL41">
        <v>2</v>
      </c>
      <c r="BM41" s="176" t="s">
        <v>2776</v>
      </c>
      <c r="BN41">
        <v>2</v>
      </c>
      <c r="BO41" s="176" t="s">
        <v>2768</v>
      </c>
      <c r="BP41">
        <v>2</v>
      </c>
      <c r="BQ41" t="s">
        <v>3010</v>
      </c>
      <c r="BR41">
        <v>2</v>
      </c>
      <c r="BS41" t="s">
        <v>2768</v>
      </c>
      <c r="BT41">
        <v>0</v>
      </c>
      <c r="BU41" t="s">
        <v>2768</v>
      </c>
      <c r="BV41">
        <v>2</v>
      </c>
      <c r="BW41" s="182" t="s">
        <v>2776</v>
      </c>
      <c r="BX41" s="179">
        <v>2</v>
      </c>
      <c r="BY41" s="176" t="s">
        <v>2794</v>
      </c>
      <c r="BZ41">
        <v>2</v>
      </c>
      <c r="CA41" s="176" t="s">
        <v>2768</v>
      </c>
      <c r="CB41">
        <v>2</v>
      </c>
    </row>
    <row r="42" spans="1:80">
      <c r="A42" s="178">
        <f ca="1">IFERROR(IF(AG41&lt;5+金蛇*2,IF(COUNTIF(B41,"*轻*")&gt;0,A41+加速!$L$9,A41+加速!$L$11)+V41,""),"")</f>
        <v>51.29</v>
      </c>
      <c r="B42" s="167" t="str">
        <f ca="1" t="shared" si="0"/>
        <v>夕照雷峰</v>
      </c>
      <c r="C42">
        <f ca="1" t="shared" si="10"/>
        <v>15</v>
      </c>
      <c r="D42">
        <f ca="1">IF(B42&lt;&gt;"",IF(C41&lt;=加速!$L$11*(1-E42),0,1),"")</f>
        <v>1</v>
      </c>
      <c r="E42">
        <f ca="1" t="shared" si="7"/>
        <v>0</v>
      </c>
      <c r="G42">
        <f ca="1" t="shared" si="8"/>
        <v>0</v>
      </c>
      <c r="H42">
        <f ca="1">IF(B42&lt;&gt;"",IF(AND(COUNTIF(B41,"*轻*莺鸣柳*")&gt;0,COUNTIF(B42,"*轻*")&lt;1),MAX(0,15+I41-(A42-A41)+COUNTIF(B41,"*平湖*")*0),IF(AND(E42=0,MAX(0,H41-(A42-A41))&lt;=加速!$H$11),0,MAX(0,H41-(A42-A41)))),"")</f>
        <v>0</v>
      </c>
      <c r="I42">
        <f ca="1" t="shared" si="14"/>
        <v>0</v>
      </c>
      <c r="J42">
        <f ca="1" t="shared" si="15"/>
        <v>1</v>
      </c>
      <c r="K42">
        <f ca="1" t="shared" si="1"/>
        <v>2</v>
      </c>
      <c r="L42">
        <f ca="1">IFERROR(IF(AND(COUNTIF(B42,"*-峰插*"),技能数据库!$M$72&gt;0),0,IF(COUNTIF(B42,"*鹤归*")&gt;0,16-加速!$L$11,MAX(0,L41-(A42-A41)))),0)</f>
        <v>9.21999999999998</v>
      </c>
      <c r="M42">
        <f ca="1" t="shared" si="3"/>
        <v>0</v>
      </c>
      <c r="N42">
        <f ca="1">IFERROR(IF(AND(COUNTIF(B42,"*-峰插*"),技能数据库!$M$72&gt;0),0,IF(COUNTIF(B42,"*云飞*")&gt;0,4-COUNTIF(B42,"*玉山揽云*")*4--COUNTIF(B42,"*烟流暮景*")*4-COUNTIF(B42,"*云景*")*加速!$L$11-IF(J42&gt;0,2,0),MAX(0,N41-(A42-A41)-IF(J42&gt;0,2,0)))),0)</f>
        <v>0</v>
      </c>
      <c r="O42">
        <f ca="1">IF(AND(COUNTIF(IF(AND(配装计算器!$K$30&lt;&gt;"∞",0),INDEX(AU41:CB41,1,$AT$1),INDEX(AU43:CB43,1,$AT$1)),"*云飞*")=1,COUNTIF(IF(AND(配装计算器!$K$30&lt;&gt;"∞",0),INDEX(AU41:CB41,1,$AT$1),INDEX(AU43:CB43,1,$AT$1)),"*玉山*")=0),N42,0)</f>
        <v>0</v>
      </c>
      <c r="P42">
        <f ca="1">IFERROR(IF(COUNTIF(B42,"*云栖松*")&gt;0,50-加速!$L$11,MAX(0,P41-(A42-A41))),0)</f>
        <v>0</v>
      </c>
      <c r="Q42">
        <f ca="1">IF(COUNTIF(IF(AND(配装计算器!$K$30&lt;&gt;"∞",0),INDEX(AU41:CB41,1,$AT$1),INDEX(AU43:CB43,1,$AT$1)),"*云栖松*")=1,P42,0)</f>
        <v>0</v>
      </c>
      <c r="R42">
        <f ca="1">IFERROR(IF(COUNTIF(B42,"*莺鸣柳*")&gt;0,45-加速!$L$9,MAX(0,R41-(A42-A41))),0)</f>
        <v>0</v>
      </c>
      <c r="S42">
        <f ca="1">IF(COUNTIF(IF(AND(配装计算器!$K$30&lt;&gt;"∞",0),INDEX(AU41:CB41,1,$AT$1),INDEX(AU43:CB43,1,$AT$1)),"*莺鸣柳*")=1,R42,0)</f>
        <v>0</v>
      </c>
      <c r="T42">
        <f ca="1" t="shared" si="11"/>
        <v>0</v>
      </c>
      <c r="U42">
        <f ca="1">IF(金蛇,IF(COUNTIF(B42,"*金环戴*")+COUNTIF(B42,"*吹风醒*")&gt;0,IF(A42&lt;=3,7.125-2.625-A42-加速!$L$11,7.125+加速!$K$9-(A42+加速!$L$11-T42)),0),0)+IF(金蛇,IF(COUNTIF(B42,"*千切子裂光*")&gt;0,2+加速!$K$9-(A42+加速!$L$11-T42),0),0)</f>
        <v>0</v>
      </c>
      <c r="V42">
        <f ca="1" t="shared" si="12"/>
        <v>0</v>
      </c>
      <c r="W42">
        <f ca="1" t="shared" si="4"/>
        <v>0</v>
      </c>
      <c r="X42">
        <f ca="1">INDEX(加速!$I$13:$I$21,W42+1)</f>
        <v>0</v>
      </c>
      <c r="Y42">
        <f ca="1" t="shared" si="13"/>
        <v>0.5</v>
      </c>
      <c r="Z42">
        <f ca="1" t="shared" si="9"/>
        <v>0</v>
      </c>
      <c r="AA42">
        <f ca="1">MAX(0,IFERROR(IF(COUNTIF(B42,"*叠*")&gt;0,IF(AC41&lt;3,8-A43+A42,AA41+6.875-A43+A42),AA41-A43+A42),AA41-加速!$L$11))</f>
        <v>5.42</v>
      </c>
      <c r="AB42">
        <f ca="1">MAX(0,IF(COUNTIF(IF(AND(配装计算器!$K$30&lt;&gt;"∞",0),INDEX(AU42:CB42,1,$AT$1),INDEX(AU42:CB42,1,$AT$1)),"*叠1*")=1,4*25-加速!$L$11,AB41-A42+A41)-IF(OR(COUNTIF(OFFSET(AT42,0,$AT$1,1,1),"*听雷*")&gt;0,AND(碧归&gt;0,COUNTIF(OFFSET(AT42,0,$AT$1,1,1),"*风来*")&gt;0)),0,1)*1.5)</f>
        <v>94.42</v>
      </c>
      <c r="AC42">
        <f ca="1" t="shared" si="5"/>
        <v>1</v>
      </c>
      <c r="AD42">
        <f ca="1">IF(COUNTIF(IF(AND(配装计算器!$K$30&lt;&gt;"∞",0),INDEX(AU42:CB42,1,$AT$1),INDEX(AU43:CB43,1,$AT$1)),"*叠1*")=1,AB42*0+AE41,0)</f>
        <v>0</v>
      </c>
      <c r="AE42">
        <f ca="1">IF($AN$11&gt;0,IF(COUNTIF(B43,"*叠1*")&gt;0,50-加速!$L$11,MAX(0,AE41-(A43-A42))),0)</f>
        <v>46.13</v>
      </c>
      <c r="AG42">
        <f ca="1" t="shared" si="6"/>
        <v>2</v>
      </c>
      <c r="AH42" t="s">
        <v>1825</v>
      </c>
      <c r="AI42" t="s">
        <v>2786</v>
      </c>
      <c r="AJ42">
        <f ca="1">AJ30+AJ34+AJ38+AJ70+AJ84+AJ87+AJ91</f>
        <v>28</v>
      </c>
      <c r="AK42" t="s">
        <v>2750</v>
      </c>
      <c r="AM42" s="167" t="s">
        <v>2902</v>
      </c>
      <c r="AN42">
        <f ca="1">(AN15-AN16)*AN24*AN33</f>
        <v>0</v>
      </c>
      <c r="AU42" t="s">
        <v>2768</v>
      </c>
      <c r="AV42">
        <v>2</v>
      </c>
      <c r="AW42" s="176" t="s">
        <v>2776</v>
      </c>
      <c r="AX42">
        <v>2</v>
      </c>
      <c r="AY42" t="s">
        <v>2808</v>
      </c>
      <c r="AZ42">
        <v>2</v>
      </c>
      <c r="BA42" t="s">
        <v>2808</v>
      </c>
      <c r="BB42">
        <v>2</v>
      </c>
      <c r="BC42" t="s">
        <v>3013</v>
      </c>
      <c r="BD42">
        <v>2</v>
      </c>
      <c r="BE42" t="s">
        <v>2794</v>
      </c>
      <c r="BF42">
        <v>1</v>
      </c>
      <c r="BG42" t="s">
        <v>2768</v>
      </c>
      <c r="BH42">
        <v>2</v>
      </c>
      <c r="BI42" t="s">
        <v>2768</v>
      </c>
      <c r="BJ42">
        <v>2</v>
      </c>
      <c r="BK42" t="s">
        <v>2768</v>
      </c>
      <c r="BL42">
        <v>1</v>
      </c>
      <c r="BM42" s="176" t="s">
        <v>2768</v>
      </c>
      <c r="BN42">
        <v>2</v>
      </c>
      <c r="BO42" s="176" t="s">
        <v>2776</v>
      </c>
      <c r="BP42">
        <v>2</v>
      </c>
      <c r="BQ42" t="s">
        <v>3013</v>
      </c>
      <c r="BR42">
        <v>2</v>
      </c>
      <c r="BS42" t="s">
        <v>3012</v>
      </c>
      <c r="BT42">
        <v>2</v>
      </c>
      <c r="BU42" t="s">
        <v>3018</v>
      </c>
      <c r="BV42">
        <v>2</v>
      </c>
      <c r="BW42" s="182" t="s">
        <v>2768</v>
      </c>
      <c r="BX42" s="179">
        <v>2</v>
      </c>
      <c r="BY42" s="176" t="s">
        <v>2776</v>
      </c>
      <c r="BZ42">
        <v>2</v>
      </c>
      <c r="CA42" s="176" t="s">
        <v>2808</v>
      </c>
      <c r="CB42">
        <v>2</v>
      </c>
    </row>
    <row r="43" spans="1:80">
      <c r="A43" s="178">
        <f ca="1">IFERROR(IF(AG42&lt;5+金蛇*2,IF(COUNTIF(B42,"*轻*")&gt;0,A42+加速!$L$9,A42+加速!$L$11)+V42,""),"")</f>
        <v>52.58</v>
      </c>
      <c r="B43" s="167" t="str">
        <f ca="1" t="shared" si="0"/>
        <v>叠2-云景·云飞玉皇</v>
      </c>
      <c r="C43">
        <f ca="1" t="shared" si="10"/>
        <v>13.71</v>
      </c>
      <c r="D43">
        <f ca="1">IF(B43&lt;&gt;"",IF(C42&lt;=加速!$L$11*(1-E43),0,1),"")</f>
        <v>1</v>
      </c>
      <c r="E43">
        <f ca="1" t="shared" si="7"/>
        <v>1</v>
      </c>
      <c r="G43">
        <f ca="1" t="shared" si="8"/>
        <v>0</v>
      </c>
      <c r="H43">
        <f ca="1">IF(B43&lt;&gt;"",IF(AND(COUNTIF(B42,"*轻*莺鸣柳*")&gt;0,COUNTIF(B43,"*轻*")&lt;1),MAX(0,15+I42-(A43-A42)+COUNTIF(B42,"*平湖*")*0),IF(AND(E43=0,MAX(0,H42-(A43-A42))&lt;=加速!$H$11),0,MAX(0,H42-(A43-A42)))),"")</f>
        <v>0</v>
      </c>
      <c r="I43">
        <f ca="1" t="shared" si="14"/>
        <v>0</v>
      </c>
      <c r="J43">
        <f ca="1" t="shared" si="15"/>
        <v>1</v>
      </c>
      <c r="K43">
        <f ca="1" t="shared" si="1"/>
        <v>2</v>
      </c>
      <c r="L43">
        <f ca="1">IFERROR(IF(AND(COUNTIF(B43,"*-峰插*"),技能数据库!$M$72&gt;0),0,IF(COUNTIF(B43,"*鹤归*")&gt;0,16-加速!$L$11,MAX(0,L42-(A43-A42)))),0)</f>
        <v>7.92999999999999</v>
      </c>
      <c r="M43">
        <f ca="1" t="shared" si="3"/>
        <v>0</v>
      </c>
      <c r="N43">
        <f ca="1">IFERROR(IF(AND(COUNTIF(B43,"*-峰插*"),技能数据库!$M$72&gt;0),0,IF(COUNTIF(B43,"*云飞*")&gt;0,4-COUNTIF(B43,"*玉山揽云*")*4--COUNTIF(B43,"*烟流暮景*")*4-COUNTIF(B43,"*云景*")*加速!$L$11-IF(J43&gt;0,2,0),MAX(0,N42-(A43-A42)-IF(J43&gt;0,2,0)))),0)</f>
        <v>0.71</v>
      </c>
      <c r="O43">
        <f ca="1">IF(AND(COUNTIF(IF(AND(配装计算器!$K$30&lt;&gt;"∞",0),INDEX(AU42:CB42,1,$AT$1),INDEX(AU44:CB44,1,$AT$1)),"*云飞*")=1,COUNTIF(IF(AND(配装计算器!$K$30&lt;&gt;"∞",0),INDEX(AU42:CB42,1,$AT$1),INDEX(AU44:CB44,1,$AT$1)),"*玉山*")=0),N43,0)</f>
        <v>0</v>
      </c>
      <c r="P43">
        <f ca="1">IFERROR(IF(COUNTIF(B43,"*云栖松*")&gt;0,50-加速!$L$11,MAX(0,P42-(A43-A42))),0)</f>
        <v>0</v>
      </c>
      <c r="Q43">
        <f ca="1">IF(COUNTIF(IF(AND(配装计算器!$K$30&lt;&gt;"∞",0),INDEX(AU42:CB42,1,$AT$1),INDEX(AU44:CB44,1,$AT$1)),"*云栖松*")=1,P43,0)</f>
        <v>0</v>
      </c>
      <c r="R43">
        <f ca="1">IFERROR(IF(COUNTIF(B43,"*莺鸣柳*")&gt;0,45-加速!$L$9,MAX(0,R42-(A43-A42))),0)</f>
        <v>0</v>
      </c>
      <c r="S43">
        <f ca="1">IF(COUNTIF(IF(AND(配装计算器!$K$30&lt;&gt;"∞",0),INDEX(AU42:CB42,1,$AT$1),INDEX(AU44:CB44,1,$AT$1)),"*莺鸣柳*")=1,R43,0)</f>
        <v>0</v>
      </c>
      <c r="T43">
        <f ca="1" t="shared" si="11"/>
        <v>0</v>
      </c>
      <c r="U43">
        <f ca="1">IF(金蛇,IF(COUNTIF(B43,"*金环戴*")+COUNTIF(B43,"*吹风醒*")&gt;0,IF(A43&lt;=3,7.125-2.625-A43-加速!$L$11,7.125+加速!$K$9-(A43+加速!$L$11-T43)),0),0)+IF(金蛇,IF(COUNTIF(B43,"*千切子裂光*")&gt;0,2+加速!$K$9-(A43+加速!$L$11-T43),0),0)</f>
        <v>0</v>
      </c>
      <c r="V43">
        <f ca="1" t="shared" si="12"/>
        <v>0</v>
      </c>
      <c r="W43">
        <f ca="1" t="shared" si="4"/>
        <v>0</v>
      </c>
      <c r="X43">
        <f ca="1">INDEX(加速!$I$13:$I$21,W43+1)</f>
        <v>0</v>
      </c>
      <c r="Y43">
        <f ca="1" t="shared" si="13"/>
        <v>0.5</v>
      </c>
      <c r="Z43">
        <f ca="1" t="shared" si="9"/>
        <v>0</v>
      </c>
      <c r="AA43">
        <f ca="1">MAX(0,IFERROR(IF(COUNTIF(B43,"*叠*")&gt;0,IF(AC42&lt;3,8-A44+A43,AA42+6.875-A44+A43),AA42-A44+A43),AA42-加速!$L$11))</f>
        <v>6.71</v>
      </c>
      <c r="AB43">
        <f ca="1">MAX(0,IF(COUNTIF(IF(AND(配装计算器!$K$30&lt;&gt;"∞",0),INDEX(AU43:CB43,1,$AT$1),INDEX(AU43:CB43,1,$AT$1)),"*叠1*")=1,4*25-加速!$L$11,AB42-A43+A42)-IF(OR(COUNTIF(OFFSET(AT43,0,$AT$1,1,1),"*听雷*")&gt;0,AND(碧归&gt;0,COUNTIF(OFFSET(AT43,0,$AT$1,1,1),"*风来*")&gt;0)),0,1)*1.5)</f>
        <v>91.63</v>
      </c>
      <c r="AC43">
        <f ca="1" t="shared" si="5"/>
        <v>2</v>
      </c>
      <c r="AD43">
        <f ca="1">IF(COUNTIF(IF(AND(配装计算器!$K$30&lt;&gt;"∞",0),INDEX(AU43:CB43,1,$AT$1),INDEX(AU44:CB44,1,$AT$1)),"*叠1*")=1,AB43*0+AE42,0)</f>
        <v>0</v>
      </c>
      <c r="AE43">
        <f ca="1">IF($AN$11&gt;0,IF(COUNTIF(B44,"*叠1*")&gt;0,50-加速!$L$11,MAX(0,AE42-(A44-A43))),0)</f>
        <v>44.84</v>
      </c>
      <c r="AG43">
        <f ca="1" t="shared" si="6"/>
        <v>2</v>
      </c>
      <c r="AH43" t="s">
        <v>1825</v>
      </c>
      <c r="AI43" t="s">
        <v>2786</v>
      </c>
      <c r="AJ43">
        <f ca="1">AJ31+AJ35+AJ66+AJ69+AJ71</f>
        <v>0</v>
      </c>
      <c r="AK43" t="s">
        <v>3044</v>
      </c>
      <c r="AM43" s="167" t="s">
        <v>3079</v>
      </c>
      <c r="AN43">
        <f ca="1">AN16*AN24*(AN31+AN32)</f>
        <v>0</v>
      </c>
      <c r="AU43" t="s">
        <v>2776</v>
      </c>
      <c r="AV43">
        <v>2</v>
      </c>
      <c r="AW43" s="176" t="s">
        <v>2768</v>
      </c>
      <c r="AX43">
        <v>2</v>
      </c>
      <c r="AY43" t="s">
        <v>3022</v>
      </c>
      <c r="AZ43">
        <v>2</v>
      </c>
      <c r="BA43" t="s">
        <v>3022</v>
      </c>
      <c r="BB43">
        <v>2</v>
      </c>
      <c r="BC43" t="s">
        <v>3018</v>
      </c>
      <c r="BD43">
        <v>2</v>
      </c>
      <c r="BE43" t="s">
        <v>2768</v>
      </c>
      <c r="BF43">
        <v>1</v>
      </c>
      <c r="BG43" s="182" t="s">
        <v>3023</v>
      </c>
      <c r="BH43">
        <v>2</v>
      </c>
      <c r="BI43" t="s">
        <v>3018</v>
      </c>
      <c r="BJ43">
        <v>2</v>
      </c>
      <c r="BK43" s="176" t="s">
        <v>2768</v>
      </c>
      <c r="BL43">
        <v>1</v>
      </c>
      <c r="BM43" s="176" t="s">
        <v>2776</v>
      </c>
      <c r="BN43">
        <v>2</v>
      </c>
      <c r="BO43" s="176" t="s">
        <v>2768</v>
      </c>
      <c r="BP43">
        <v>2</v>
      </c>
      <c r="BQ43" t="s">
        <v>3018</v>
      </c>
      <c r="BR43">
        <v>2</v>
      </c>
      <c r="BS43" s="179" t="s">
        <v>2794</v>
      </c>
      <c r="BT43">
        <v>2</v>
      </c>
      <c r="BU43" t="s">
        <v>2768</v>
      </c>
      <c r="BV43">
        <v>2</v>
      </c>
      <c r="BW43" s="182" t="s">
        <v>2776</v>
      </c>
      <c r="BX43" s="179">
        <v>2</v>
      </c>
      <c r="BY43" s="176" t="s">
        <v>2768</v>
      </c>
      <c r="BZ43">
        <v>2</v>
      </c>
      <c r="CA43" t="str">
        <f>IF(山重水复,"风来吴山","夕照雷峰")</f>
        <v>夕照雷峰</v>
      </c>
      <c r="CB43">
        <v>2</v>
      </c>
    </row>
    <row r="44" spans="1:80">
      <c r="A44" s="178">
        <f ca="1">IFERROR(IF(AG43&lt;5+金蛇*2,IF(COUNTIF(B43,"*轻*")&gt;0,A43+加速!$L$9,A43+加速!$L$11)+V43,""),"")</f>
        <v>53.87</v>
      </c>
      <c r="B44" s="167" t="str">
        <f ca="1" t="shared" si="0"/>
        <v>夕照雷峰</v>
      </c>
      <c r="C44">
        <f ca="1" t="shared" si="10"/>
        <v>15</v>
      </c>
      <c r="D44">
        <f ca="1">IF(B44&lt;&gt;"",IF(C43&lt;=加速!$L$11*(1-E44),0,1),"")</f>
        <v>1</v>
      </c>
      <c r="E44">
        <f ca="1" t="shared" si="7"/>
        <v>0</v>
      </c>
      <c r="G44">
        <f ca="1" t="shared" si="8"/>
        <v>0</v>
      </c>
      <c r="H44">
        <f ca="1">IF(B44&lt;&gt;"",IF(AND(COUNTIF(B43,"*轻*莺鸣柳*")&gt;0,COUNTIF(B44,"*轻*")&lt;1),MAX(0,15+I43-(A44-A43)+COUNTIF(B43,"*平湖*")*0),IF(AND(E44=0,MAX(0,H43-(A44-A43))&lt;=加速!$H$11),0,MAX(0,H43-(A44-A43)))),"")</f>
        <v>0</v>
      </c>
      <c r="I44">
        <f ca="1" t="shared" si="14"/>
        <v>0</v>
      </c>
      <c r="J44">
        <f ca="1" t="shared" si="15"/>
        <v>0</v>
      </c>
      <c r="K44">
        <f ca="1" t="shared" si="1"/>
        <v>2</v>
      </c>
      <c r="L44">
        <f ca="1">IFERROR(IF(AND(COUNTIF(B44,"*-峰插*"),技能数据库!$M$72&gt;0),0,IF(COUNTIF(B44,"*鹤归*")&gt;0,16-加速!$L$11,MAX(0,L43-(A44-A43)))),0)</f>
        <v>6.63999999999999</v>
      </c>
      <c r="M44">
        <f ca="1" t="shared" si="3"/>
        <v>0</v>
      </c>
      <c r="N44">
        <f ca="1">IFERROR(IF(AND(COUNTIF(B44,"*-峰插*"),技能数据库!$M$72&gt;0),0,IF(COUNTIF(B44,"*云飞*")&gt;0,4-COUNTIF(B44,"*玉山揽云*")*4--COUNTIF(B44,"*烟流暮景*")*4-COUNTIF(B44,"*云景*")*加速!$L$11-IF(J44&gt;0,2,0),MAX(0,N43-(A44-A43)-IF(J44&gt;0,2,0)))),0)</f>
        <v>0</v>
      </c>
      <c r="O44">
        <f ca="1">IF(AND(COUNTIF(IF(AND(配装计算器!$K$30&lt;&gt;"∞",0),INDEX(AU43:CB43,1,$AT$1),INDEX(AU45:CB45,1,$AT$1)),"*云飞*")=1,COUNTIF(IF(AND(配装计算器!$K$30&lt;&gt;"∞",0),INDEX(AU43:CB43,1,$AT$1),INDEX(AU45:CB45,1,$AT$1)),"*玉山*")=0),N44,0)</f>
        <v>0</v>
      </c>
      <c r="P44">
        <f ca="1">IFERROR(IF(COUNTIF(B44,"*云栖松*")&gt;0,50-加速!$L$11,MAX(0,P43-(A44-A43))),0)</f>
        <v>0</v>
      </c>
      <c r="Q44">
        <f ca="1">IF(COUNTIF(IF(AND(配装计算器!$K$30&lt;&gt;"∞",0),INDEX(AU43:CB43,1,$AT$1),INDEX(AU45:CB45,1,$AT$1)),"*云栖松*")=1,P44,0)</f>
        <v>0</v>
      </c>
      <c r="R44">
        <f ca="1">IFERROR(IF(COUNTIF(B44,"*莺鸣柳*")&gt;0,45-加速!$L$9,MAX(0,R43-(A44-A43))),0)</f>
        <v>0</v>
      </c>
      <c r="S44">
        <f ca="1">IF(COUNTIF(IF(AND(配装计算器!$K$30&lt;&gt;"∞",0),INDEX(AU43:CB43,1,$AT$1),INDEX(AU45:CB45,1,$AT$1)),"*莺鸣柳*")=1,R44,0)</f>
        <v>0</v>
      </c>
      <c r="T44">
        <f ca="1" t="shared" si="11"/>
        <v>0</v>
      </c>
      <c r="U44">
        <f ca="1">IF(金蛇,IF(COUNTIF(B44,"*金环戴*")+COUNTIF(B44,"*吹风醒*")&gt;0,IF(A44&lt;=3,7.125-2.625-A44-加速!$L$11,7.125+加速!$K$9-(A44+加速!$L$11-T44)),0),0)+IF(金蛇,IF(COUNTIF(B44,"*千切子裂光*")&gt;0,2+加速!$K$9-(A44+加速!$L$11-T44),0),0)</f>
        <v>0</v>
      </c>
      <c r="V44">
        <f ca="1" t="shared" si="12"/>
        <v>0</v>
      </c>
      <c r="W44">
        <f ca="1" t="shared" si="4"/>
        <v>0</v>
      </c>
      <c r="X44">
        <f ca="1">INDEX(加速!$I$13:$I$21,W44+1)</f>
        <v>0</v>
      </c>
      <c r="Y44">
        <f ca="1" t="shared" si="13"/>
        <v>0.5</v>
      </c>
      <c r="Z44">
        <f ca="1" t="shared" si="9"/>
        <v>0</v>
      </c>
      <c r="AA44">
        <f ca="1">MAX(0,IFERROR(IF(COUNTIF(B44,"*叠*")&gt;0,IF(AC43&lt;3,8-A45+A44,AA43+6.875-A45+A44),AA43-A45+A44),AA43-加速!$L$11))</f>
        <v>5.42</v>
      </c>
      <c r="AB44">
        <f ca="1">MAX(0,IF(COUNTIF(IF(AND(配装计算器!$K$30&lt;&gt;"∞",0),INDEX(AU44:CB44,1,$AT$1),INDEX(AU44:CB44,1,$AT$1)),"*叠1*")=1,4*25-加速!$L$11,AB43-A44+A43)-IF(OR(COUNTIF(OFFSET(AT44,0,$AT$1,1,1),"*听雷*")&gt;0,AND(碧归&gt;0,COUNTIF(OFFSET(AT44,0,$AT$1,1,1),"*风来*")&gt;0)),0,1)*1.5)</f>
        <v>88.84</v>
      </c>
      <c r="AC44">
        <f ca="1" t="shared" si="5"/>
        <v>2</v>
      </c>
      <c r="AD44">
        <f ca="1">IF(COUNTIF(IF(AND(配装计算器!$K$30&lt;&gt;"∞",0),INDEX(AU44:CB44,1,$AT$1),INDEX(AU45:CB45,1,$AT$1)),"*叠1*")=1,AB44*0+AE43,0)</f>
        <v>0</v>
      </c>
      <c r="AE44">
        <f ca="1">IF($AN$11&gt;0,IF(COUNTIF(B45,"*叠1*")&gt;0,50-加速!$L$11,MAX(0,AE43-(A45-A44))),0)</f>
        <v>43.55</v>
      </c>
      <c r="AG44">
        <f ca="1" t="shared" si="6"/>
        <v>2</v>
      </c>
      <c r="AH44" t="s">
        <v>1825</v>
      </c>
      <c r="AI44" t="s">
        <v>2723</v>
      </c>
      <c r="AM44" s="167" t="s">
        <v>2906</v>
      </c>
      <c r="AN44">
        <f ca="1">AN16*AN24*AN33</f>
        <v>0</v>
      </c>
      <c r="AU44" t="s">
        <v>2768</v>
      </c>
      <c r="AV44">
        <v>2</v>
      </c>
      <c r="AW44" s="176" t="s">
        <v>2776</v>
      </c>
      <c r="AX44">
        <v>2</v>
      </c>
      <c r="AY44" t="s">
        <v>2776</v>
      </c>
      <c r="AZ44">
        <v>2</v>
      </c>
      <c r="BA44" t="s">
        <v>2776</v>
      </c>
      <c r="BB44">
        <v>2</v>
      </c>
      <c r="BC44" t="s">
        <v>2768</v>
      </c>
      <c r="BD44">
        <v>2</v>
      </c>
      <c r="BE44" t="s">
        <v>2776</v>
      </c>
      <c r="BF44">
        <v>1</v>
      </c>
      <c r="BG44" s="176" t="s">
        <v>2768</v>
      </c>
      <c r="BH44">
        <v>2</v>
      </c>
      <c r="BI44" t="s">
        <v>2768</v>
      </c>
      <c r="BJ44">
        <v>2</v>
      </c>
      <c r="BK44" s="176" t="s">
        <v>2768</v>
      </c>
      <c r="BL44">
        <v>0</v>
      </c>
      <c r="BM44" s="176" t="s">
        <v>2768</v>
      </c>
      <c r="BN44">
        <v>2</v>
      </c>
      <c r="BO44" s="176" t="s">
        <v>2808</v>
      </c>
      <c r="BP44">
        <v>2</v>
      </c>
      <c r="BQ44" t="s">
        <v>2768</v>
      </c>
      <c r="BR44">
        <v>2</v>
      </c>
      <c r="BS44" s="179" t="s">
        <v>3030</v>
      </c>
      <c r="BT44">
        <v>2</v>
      </c>
      <c r="BU44" s="182" t="s">
        <v>3023</v>
      </c>
      <c r="BV44">
        <v>2</v>
      </c>
      <c r="BW44" s="182" t="s">
        <v>2768</v>
      </c>
      <c r="BX44" s="179">
        <v>2</v>
      </c>
      <c r="BY44" s="176" t="s">
        <v>2776</v>
      </c>
      <c r="BZ44">
        <v>2</v>
      </c>
      <c r="CA44" t="str">
        <f>IF(0,"云飞玉皇-玉山揽云","云飞玉皇")</f>
        <v>云飞玉皇</v>
      </c>
      <c r="CB44">
        <v>2</v>
      </c>
    </row>
    <row r="45" spans="1:80">
      <c r="A45" s="178">
        <f ca="1">IFERROR(IF(AG44&lt;5+金蛇*2,IF(COUNTIF(B44,"*轻*")&gt;0,A44+加速!$L$9,A44+加速!$L$11)+V44,""),"")</f>
        <v>55.16</v>
      </c>
      <c r="B45" s="167" t="str">
        <f ca="1" t="shared" si="0"/>
        <v>叠3-云飞玉皇</v>
      </c>
      <c r="C45">
        <f ca="1" t="shared" si="10"/>
        <v>13.71</v>
      </c>
      <c r="D45">
        <f ca="1">IF(B45&lt;&gt;"",IF(C44&lt;=加速!$L$11*(1-E45),0,1),"")</f>
        <v>1</v>
      </c>
      <c r="E45">
        <f ca="1" t="shared" si="7"/>
        <v>1</v>
      </c>
      <c r="G45">
        <f ca="1" t="shared" si="8"/>
        <v>0</v>
      </c>
      <c r="H45">
        <f ca="1">IF(B45&lt;&gt;"",IF(AND(COUNTIF(B44,"*轻*莺鸣柳*")&gt;0,COUNTIF(B45,"*轻*")&lt;1),MAX(0,15+I44-(A45-A44)+COUNTIF(B44,"*平湖*")*0),IF(AND(E45=0,MAX(0,H44-(A45-A44))&lt;=加速!$H$11),0,MAX(0,H44-(A45-A44)))),"")</f>
        <v>0</v>
      </c>
      <c r="I45">
        <f ca="1" t="shared" si="14"/>
        <v>0</v>
      </c>
      <c r="J45">
        <f ca="1" t="shared" si="15"/>
        <v>0</v>
      </c>
      <c r="K45">
        <f ca="1" t="shared" si="1"/>
        <v>2</v>
      </c>
      <c r="L45">
        <f ca="1">IFERROR(IF(AND(COUNTIF(B45,"*-峰插*"),技能数据库!$M$72&gt;0),0,IF(COUNTIF(B45,"*鹤归*")&gt;0,16-加速!$L$11,MAX(0,L44-(A45-A44)))),0)</f>
        <v>5.34999999999999</v>
      </c>
      <c r="M45">
        <f ca="1" t="shared" si="3"/>
        <v>0</v>
      </c>
      <c r="N45">
        <f ca="1">IFERROR(IF(AND(COUNTIF(B45,"*-峰插*"),技能数据库!$M$72&gt;0),0,IF(COUNTIF(B45,"*云飞*")&gt;0,4-COUNTIF(B45,"*玉山揽云*")*4--COUNTIF(B45,"*烟流暮景*")*4-COUNTIF(B45,"*云景*")*加速!$L$11-IF(J45&gt;0,2,0),MAX(0,N44-(A45-A44)-IF(J45&gt;0,2,0)))),0)</f>
        <v>4</v>
      </c>
      <c r="O45">
        <f ca="1">IF(AND(COUNTIF(IF(AND(配装计算器!$K$30&lt;&gt;"∞",0),INDEX(AU44:CB44,1,$AT$1),INDEX(AU46:CB46,1,$AT$1)),"*云飞*")=1,COUNTIF(IF(AND(配装计算器!$K$30&lt;&gt;"∞",0),INDEX(AU44:CB44,1,$AT$1),INDEX(AU46:CB46,1,$AT$1)),"*玉山*")=0),N45,0)</f>
        <v>0</v>
      </c>
      <c r="P45">
        <f ca="1">IFERROR(IF(COUNTIF(B45,"*云栖松*")&gt;0,50-加速!$L$11,MAX(0,P44-(A45-A44))),0)</f>
        <v>0</v>
      </c>
      <c r="Q45">
        <f ca="1">IF(COUNTIF(IF(AND(配装计算器!$K$30&lt;&gt;"∞",0),INDEX(AU44:CB44,1,$AT$1),INDEX(AU46:CB46,1,$AT$1)),"*云栖松*")=1,P45,0)</f>
        <v>0</v>
      </c>
      <c r="R45">
        <f ca="1">IFERROR(IF(COUNTIF(B45,"*莺鸣柳*")&gt;0,45-加速!$L$9,MAX(0,R44-(A45-A44))),0)</f>
        <v>0</v>
      </c>
      <c r="S45">
        <f ca="1">IF(COUNTIF(IF(AND(配装计算器!$K$30&lt;&gt;"∞",0),INDEX(AU44:CB44,1,$AT$1),INDEX(AU46:CB46,1,$AT$1)),"*莺鸣柳*")=1,R45,0)</f>
        <v>0</v>
      </c>
      <c r="T45">
        <f ca="1" t="shared" si="11"/>
        <v>0</v>
      </c>
      <c r="U45">
        <f ca="1">IF(金蛇,IF(COUNTIF(B45,"*金环戴*")+COUNTIF(B45,"*吹风醒*")&gt;0,IF(A45&lt;=3,7.125-2.625-A45-加速!$L$11,7.125+加速!$K$9-(A45+加速!$L$11-T45)),0),0)+IF(金蛇,IF(COUNTIF(B45,"*千切子裂光*")&gt;0,2+加速!$K$9-(A45+加速!$L$11-T45),0),0)</f>
        <v>0</v>
      </c>
      <c r="V45">
        <f ca="1" t="shared" si="12"/>
        <v>0</v>
      </c>
      <c r="W45">
        <f ca="1" t="shared" si="4"/>
        <v>0</v>
      </c>
      <c r="X45">
        <f ca="1">INDEX(加速!$I$13:$I$21,W45+1)</f>
        <v>0</v>
      </c>
      <c r="Y45">
        <f ca="1" t="shared" si="13"/>
        <v>0.5</v>
      </c>
      <c r="Z45">
        <f ca="1" t="shared" si="9"/>
        <v>0</v>
      </c>
      <c r="AA45">
        <f ca="1">MAX(0,IFERROR(IF(COUNTIF(B45,"*叠*")&gt;0,IF(AC44&lt;3,8-A46+A45,AA44+6.875-A46+A45),AA44-A46+A45),AA44-加速!$L$11))</f>
        <v>6.71</v>
      </c>
      <c r="AB45">
        <f ca="1">MAX(0,IF(COUNTIF(IF(AND(配装计算器!$K$30&lt;&gt;"∞",0),INDEX(AU45:CB45,1,$AT$1),INDEX(AU45:CB45,1,$AT$1)),"*叠1*")=1,4*25-加速!$L$11,AB44-A45+A44)-IF(OR(COUNTIF(OFFSET(AT45,0,$AT$1,1,1),"*听雷*")&gt;0,AND(碧归&gt;0,COUNTIF(OFFSET(AT45,0,$AT$1,1,1),"*风来*")&gt;0)),0,1)*1.5)</f>
        <v>86.05</v>
      </c>
      <c r="AC45">
        <f ca="1" t="shared" si="5"/>
        <v>3</v>
      </c>
      <c r="AD45">
        <f ca="1">IF(COUNTIF(IF(AND(配装计算器!$K$30&lt;&gt;"∞",0),INDEX(AU45:CB45,1,$AT$1),INDEX(AU46:CB46,1,$AT$1)),"*叠1*")=1,AB45*0+AE44,0)</f>
        <v>0</v>
      </c>
      <c r="AE45">
        <f ca="1">IF($AN$11&gt;0,IF(COUNTIF(B46,"*叠1*")&gt;0,50-加速!$L$11,MAX(0,AE44-(A46-A45))),0)</f>
        <v>42.26</v>
      </c>
      <c r="AG45">
        <f ca="1" t="shared" si="6"/>
        <v>2</v>
      </c>
      <c r="AH45" t="s">
        <v>1825</v>
      </c>
      <c r="AI45" t="s">
        <v>2723</v>
      </c>
      <c r="AK45" t="s">
        <v>2750</v>
      </c>
      <c r="AM45" s="167" t="s">
        <v>3080</v>
      </c>
      <c r="AN45">
        <f ca="1">AN30*(AN31+AN32)</f>
        <v>0</v>
      </c>
      <c r="AU45" t="s">
        <v>2768</v>
      </c>
      <c r="AV45">
        <v>2</v>
      </c>
      <c r="AW45" s="176" t="s">
        <v>2768</v>
      </c>
      <c r="AX45">
        <v>2</v>
      </c>
      <c r="AY45" t="s">
        <v>2768</v>
      </c>
      <c r="AZ45">
        <v>2</v>
      </c>
      <c r="BA45" t="s">
        <v>2768</v>
      </c>
      <c r="BB45">
        <v>2</v>
      </c>
      <c r="BC45" t="s">
        <v>3023</v>
      </c>
      <c r="BD45">
        <v>2</v>
      </c>
      <c r="BE45" t="s">
        <v>2768</v>
      </c>
      <c r="BF45">
        <v>0</v>
      </c>
      <c r="BG45" s="176" t="s">
        <v>2768</v>
      </c>
      <c r="BH45">
        <v>2</v>
      </c>
      <c r="BI45" s="182" t="s">
        <v>3023</v>
      </c>
      <c r="BJ45">
        <v>2</v>
      </c>
      <c r="BK45" s="176" t="s">
        <v>2776</v>
      </c>
      <c r="BL45">
        <v>0</v>
      </c>
      <c r="BM45" s="176" t="s">
        <v>2808</v>
      </c>
      <c r="BN45">
        <v>2</v>
      </c>
      <c r="BO45" t="str">
        <f>IF(0,"云飞玉皇-玉山揽云","夕照雷峰")</f>
        <v>夕照雷峰</v>
      </c>
      <c r="BP45">
        <v>2</v>
      </c>
      <c r="BQ45" t="s">
        <v>3023</v>
      </c>
      <c r="BR45">
        <v>2</v>
      </c>
      <c r="BS45" s="179" t="s">
        <v>2768</v>
      </c>
      <c r="BT45">
        <v>2</v>
      </c>
      <c r="BU45" s="186" t="str">
        <f>IF(秋,"夕照雷峰","千切子寒光")</f>
        <v>千切子寒光</v>
      </c>
      <c r="BV45">
        <v>2</v>
      </c>
      <c r="BW45" s="182" t="s">
        <v>2808</v>
      </c>
      <c r="BX45" s="179">
        <v>2</v>
      </c>
      <c r="BY45" s="176" t="s">
        <v>2768</v>
      </c>
      <c r="BZ45">
        <v>2</v>
      </c>
      <c r="CA45" s="180" t="str">
        <f>IF(0,"云飞玉皇-玉山揽云","夕照雷峰")</f>
        <v>夕照雷峰</v>
      </c>
      <c r="CB45">
        <v>2</v>
      </c>
    </row>
    <row r="46" spans="1:80">
      <c r="A46" s="178">
        <f ca="1">IFERROR(IF(AG45&lt;5+金蛇*2,IF(COUNTIF(B45,"*轻*")&gt;0,A45+加速!$L$9,A45+加速!$L$11)+V45,""),"")</f>
        <v>56.45</v>
      </c>
      <c r="B46" s="167" t="str">
        <f ca="1" t="shared" si="0"/>
        <v>云飞玉皇-玉山揽云</v>
      </c>
      <c r="C46">
        <f ca="1" t="shared" si="10"/>
        <v>12.42</v>
      </c>
      <c r="D46">
        <f ca="1">IF(B46&lt;&gt;"",IF(C45&lt;=加速!$L$11*(1-E46),0,1),"")</f>
        <v>1</v>
      </c>
      <c r="E46">
        <f ca="1" t="shared" si="7"/>
        <v>1</v>
      </c>
      <c r="G46">
        <f ca="1" t="shared" si="8"/>
        <v>0</v>
      </c>
      <c r="H46">
        <f ca="1">IF(B46&lt;&gt;"",IF(AND(COUNTIF(B45,"*轻*莺鸣柳*")&gt;0,COUNTIF(B46,"*轻*")&lt;1),MAX(0,15+I45-(A46-A45)+COUNTIF(B45,"*平湖*")*0),IF(AND(E46=0,MAX(0,H45-(A46-A45))&lt;=加速!$H$11),0,MAX(0,H45-(A46-A45)))),"")</f>
        <v>0</v>
      </c>
      <c r="I46">
        <f ca="1" t="shared" si="14"/>
        <v>0</v>
      </c>
      <c r="J46">
        <f ca="1" t="shared" si="15"/>
        <v>0</v>
      </c>
      <c r="K46">
        <f ca="1" t="shared" si="1"/>
        <v>2</v>
      </c>
      <c r="L46">
        <f ca="1">IFERROR(IF(AND(COUNTIF(B46,"*-峰插*"),技能数据库!$M$72&gt;0),0,IF(COUNTIF(B46,"*鹤归*")&gt;0,16-加速!$L$11,MAX(0,L45-(A46-A45)))),0)</f>
        <v>4.05999999999999</v>
      </c>
      <c r="M46">
        <f ca="1" t="shared" si="3"/>
        <v>0</v>
      </c>
      <c r="N46">
        <f ca="1">IFERROR(IF(AND(COUNTIF(B46,"*-峰插*"),技能数据库!$M$72&gt;0),0,IF(COUNTIF(B46,"*云飞*")&gt;0,4-COUNTIF(B46,"*玉山揽云*")*4--COUNTIF(B46,"*烟流暮景*")*4-COUNTIF(B46,"*云景*")*加速!$L$11-IF(J46&gt;0,2,0),MAX(0,N45-(A46-A45)-IF(J46&gt;0,2,0)))),0)</f>
        <v>0</v>
      </c>
      <c r="O46">
        <f ca="1">IF(AND(COUNTIF(IF(AND(配装计算器!$K$30&lt;&gt;"∞",0),INDEX(AU45:CB45,1,$AT$1),INDEX(AU47:CB47,1,$AT$1)),"*云飞*")=1,COUNTIF(IF(AND(配装计算器!$K$30&lt;&gt;"∞",0),INDEX(AU45:CB45,1,$AT$1),INDEX(AU47:CB47,1,$AT$1)),"*玉山*")=0),N46,0)</f>
        <v>0</v>
      </c>
      <c r="P46">
        <f ca="1">IFERROR(IF(COUNTIF(B46,"*云栖松*")&gt;0,50-加速!$L$11,MAX(0,P45-(A46-A45))),0)</f>
        <v>0</v>
      </c>
      <c r="Q46">
        <f ca="1">IF(COUNTIF(IF(AND(配装计算器!$K$30&lt;&gt;"∞",0),INDEX(AU45:CB45,1,$AT$1),INDEX(AU47:CB47,1,$AT$1)),"*云栖松*")=1,P46,0)</f>
        <v>0</v>
      </c>
      <c r="R46">
        <f ca="1">IFERROR(IF(COUNTIF(B46,"*莺鸣柳*")&gt;0,45-加速!$L$9,MAX(0,R45-(A46-A45))),0)</f>
        <v>0</v>
      </c>
      <c r="S46">
        <f ca="1">IF(COUNTIF(IF(AND(配装计算器!$K$30&lt;&gt;"∞",0),INDEX(AU45:CB45,1,$AT$1),INDEX(AU47:CB47,1,$AT$1)),"*莺鸣柳*")=1,R46,0)</f>
        <v>0</v>
      </c>
      <c r="T46">
        <f ca="1" t="shared" si="11"/>
        <v>0</v>
      </c>
      <c r="U46">
        <f ca="1">IF(金蛇,IF(COUNTIF(B46,"*金环戴*")+COUNTIF(B46,"*吹风醒*")&gt;0,IF(A46&lt;=3,7.125-2.625-A46-加速!$L$11,7.125+加速!$K$9-(A46+加速!$L$11-T46)),0),0)+IF(金蛇,IF(COUNTIF(B46,"*千切子裂光*")&gt;0,2+加速!$K$9-(A46+加速!$L$11-T46),0),0)</f>
        <v>0</v>
      </c>
      <c r="V46">
        <f ca="1" t="shared" si="12"/>
        <v>0</v>
      </c>
      <c r="W46">
        <f ca="1" t="shared" si="4"/>
        <v>0</v>
      </c>
      <c r="X46">
        <f ca="1">INDEX(加速!$I$13:$I$21,W46+1)</f>
        <v>0</v>
      </c>
      <c r="Y46">
        <f ca="1" t="shared" si="13"/>
        <v>0.5</v>
      </c>
      <c r="Z46">
        <f ca="1" t="shared" si="9"/>
        <v>0</v>
      </c>
      <c r="AA46">
        <f ca="1">MAX(0,IFERROR(IF(COUNTIF(B46,"*叠*")&gt;0,IF(AC45&lt;3,8-A47+A46,AA45+6.875-A47+A46),AA45-A47+A46),AA45-加速!$L$11))</f>
        <v>5.42</v>
      </c>
      <c r="AB46">
        <f ca="1">MAX(0,IF(COUNTIF(IF(AND(配装计算器!$K$30&lt;&gt;"∞",0),INDEX(AU46:CB46,1,$AT$1),INDEX(AU46:CB46,1,$AT$1)),"*叠1*")=1,4*25-加速!$L$11,AB45-A46+A45)-IF(OR(COUNTIF(OFFSET(AT46,0,$AT$1,1,1),"*听雷*")&gt;0,AND(碧归&gt;0,COUNTIF(OFFSET(AT46,0,$AT$1,1,1),"*风来*")&gt;0)),0,1)*1.5)</f>
        <v>83.26</v>
      </c>
      <c r="AC46">
        <f ca="1" t="shared" si="5"/>
        <v>3</v>
      </c>
      <c r="AD46">
        <f ca="1">IF(COUNTIF(IF(AND(配装计算器!$K$30&lt;&gt;"∞",0),INDEX(AU46:CB46,1,$AT$1),INDEX(AU47:CB47,1,$AT$1)),"*叠1*")=1,AB46*0+AE45,0)</f>
        <v>0</v>
      </c>
      <c r="AE46">
        <f ca="1">IF($AN$11&gt;0,IF(COUNTIF(B47,"*叠1*")&gt;0,50-加速!$L$11,MAX(0,AE45-(A47-A46))),0)</f>
        <v>40.97</v>
      </c>
      <c r="AG46">
        <f ca="1" t="shared" si="6"/>
        <v>2</v>
      </c>
      <c r="AH46" t="s">
        <v>1825</v>
      </c>
      <c r="AI46" t="s">
        <v>2723</v>
      </c>
      <c r="AK46" t="s">
        <v>2948</v>
      </c>
      <c r="AM46" s="167" t="s">
        <v>2827</v>
      </c>
      <c r="AN46">
        <f ca="1">AN30*AN33</f>
        <v>21.2861328125</v>
      </c>
      <c r="AU46" s="176" t="s">
        <v>2794</v>
      </c>
      <c r="AV46">
        <v>2</v>
      </c>
      <c r="AW46" s="176" t="s">
        <v>2808</v>
      </c>
      <c r="AX46">
        <v>2</v>
      </c>
      <c r="AY46" t="s">
        <v>2768</v>
      </c>
      <c r="AZ46">
        <v>2</v>
      </c>
      <c r="BA46" t="s">
        <v>2768</v>
      </c>
      <c r="BB46">
        <v>2</v>
      </c>
      <c r="BC46" t="s">
        <v>2768</v>
      </c>
      <c r="BD46">
        <v>2</v>
      </c>
      <c r="BE46" t="s">
        <v>3011</v>
      </c>
      <c r="BF46">
        <v>2</v>
      </c>
      <c r="BG46" s="176" t="s">
        <v>2768</v>
      </c>
      <c r="BH46">
        <v>2</v>
      </c>
      <c r="BI46" s="176" t="s">
        <v>3026</v>
      </c>
      <c r="BJ46">
        <v>2</v>
      </c>
      <c r="BK46" s="176" t="s">
        <v>2768</v>
      </c>
      <c r="BL46">
        <v>0</v>
      </c>
      <c r="BM46" t="str">
        <f>IF(0,"云飞玉皇-玉山揽云","夕照雷峰")</f>
        <v>夕照雷峰</v>
      </c>
      <c r="BN46">
        <v>2</v>
      </c>
      <c r="BO46" t="str">
        <f>IF(0,"云飞玉皇-玉山揽云","云飞玉皇")</f>
        <v>云飞玉皇</v>
      </c>
      <c r="BP46">
        <v>2</v>
      </c>
      <c r="BQ46" t="s">
        <v>2768</v>
      </c>
      <c r="BR46">
        <v>2</v>
      </c>
      <c r="BS46" s="182" t="s">
        <v>3023</v>
      </c>
      <c r="BT46">
        <v>2</v>
      </c>
      <c r="BU46" s="186" t="str">
        <f>IF(秋,"夕照雷峰","千切子裂光")</f>
        <v>千切子裂光</v>
      </c>
      <c r="BV46">
        <v>2</v>
      </c>
      <c r="BW46" s="179" t="s">
        <v>2768</v>
      </c>
      <c r="BX46" s="179">
        <v>2</v>
      </c>
      <c r="BY46" s="176" t="s">
        <v>2808</v>
      </c>
      <c r="BZ46">
        <v>2</v>
      </c>
      <c r="CA46" s="176" t="str">
        <f>IF(秋,"夕照雷峰","千切子寒光")</f>
        <v>千切子寒光</v>
      </c>
      <c r="CB46">
        <v>2</v>
      </c>
    </row>
    <row r="47" spans="1:80">
      <c r="A47" s="178">
        <f ca="1">IFERROR(IF(AG46&lt;5+金蛇*2,IF(COUNTIF(B46,"*轻*")&gt;0,A46+加速!$L$9,A46+加速!$L$11)+V46,""),"")</f>
        <v>57.74</v>
      </c>
      <c r="B47" s="167" t="str">
        <f ca="1" t="shared" si="0"/>
        <v>云飞玉皇-玉山揽云</v>
      </c>
      <c r="C47">
        <f ca="1" t="shared" si="10"/>
        <v>11.13</v>
      </c>
      <c r="D47">
        <f ca="1">IF(B47&lt;&gt;"",IF(C46&lt;=加速!$L$11*(1-E47),0,1),"")</f>
        <v>1</v>
      </c>
      <c r="E47">
        <f ca="1" t="shared" si="7"/>
        <v>1</v>
      </c>
      <c r="G47">
        <f ca="1" t="shared" si="8"/>
        <v>0</v>
      </c>
      <c r="H47">
        <f ca="1">IF(B47&lt;&gt;"",IF(AND(COUNTIF(B46,"*轻*莺鸣柳*")&gt;0,COUNTIF(B47,"*轻*")&lt;1),MAX(0,15+I46-(A47-A46)+COUNTIF(B46,"*平湖*")*0),IF(AND(E47=0,MAX(0,H46-(A47-A46))&lt;=加速!$H$11),0,MAX(0,H46-(A47-A46)))),"")</f>
        <v>0</v>
      </c>
      <c r="I47">
        <f ca="1" t="shared" si="14"/>
        <v>0</v>
      </c>
      <c r="J47">
        <f ca="1" t="shared" si="15"/>
        <v>0</v>
      </c>
      <c r="K47">
        <f ca="1" t="shared" si="1"/>
        <v>2</v>
      </c>
      <c r="L47">
        <f ca="1">IFERROR(IF(AND(COUNTIF(B47,"*-峰插*"),技能数据库!$M$72&gt;0),0,IF(COUNTIF(B47,"*鹤归*")&gt;0,16-加速!$L$11,MAX(0,L46-(A47-A46)))),0)</f>
        <v>2.76999999999999</v>
      </c>
      <c r="M47">
        <f ca="1" t="shared" si="3"/>
        <v>0</v>
      </c>
      <c r="N47">
        <f ca="1">IFERROR(IF(AND(COUNTIF(B47,"*-峰插*"),技能数据库!$M$72&gt;0),0,IF(COUNTIF(B47,"*云飞*")&gt;0,4-COUNTIF(B47,"*玉山揽云*")*4--COUNTIF(B47,"*烟流暮景*")*4-COUNTIF(B47,"*云景*")*加速!$L$11-IF(J47&gt;0,2,0),MAX(0,N46-(A47-A46)-IF(J47&gt;0,2,0)))),0)</f>
        <v>0</v>
      </c>
      <c r="O47">
        <f ca="1">IF(AND(COUNTIF(IF(AND(配装计算器!$K$30&lt;&gt;"∞",0),INDEX(AU46:CB46,1,$AT$1),INDEX(AU48:CB48,1,$AT$1)),"*云飞*")=1,COUNTIF(IF(AND(配装计算器!$K$30&lt;&gt;"∞",0),INDEX(AU46:CB46,1,$AT$1),INDEX(AU48:CB48,1,$AT$1)),"*玉山*")=0),N47,0)</f>
        <v>0</v>
      </c>
      <c r="P47">
        <f ca="1">IFERROR(IF(COUNTIF(B47,"*云栖松*")&gt;0,50-加速!$L$11,MAX(0,P46-(A47-A46))),0)</f>
        <v>0</v>
      </c>
      <c r="Q47">
        <f ca="1">IF(COUNTIF(IF(AND(配装计算器!$K$30&lt;&gt;"∞",0),INDEX(AU46:CB46,1,$AT$1),INDEX(AU48:CB48,1,$AT$1)),"*云栖松*")=1,P47,0)</f>
        <v>0</v>
      </c>
      <c r="R47">
        <f ca="1">IFERROR(IF(COUNTIF(B47,"*莺鸣柳*")&gt;0,45-加速!$L$9,MAX(0,R46-(A47-A46))),0)</f>
        <v>0</v>
      </c>
      <c r="S47">
        <f ca="1">IF(COUNTIF(IF(AND(配装计算器!$K$30&lt;&gt;"∞",0),INDEX(AU46:CB46,1,$AT$1),INDEX(AU48:CB48,1,$AT$1)),"*莺鸣柳*")=1,R47,0)</f>
        <v>0</v>
      </c>
      <c r="T47">
        <f ca="1" t="shared" si="11"/>
        <v>0</v>
      </c>
      <c r="U47">
        <f ca="1">IF(金蛇,IF(COUNTIF(B47,"*金环戴*")+COUNTIF(B47,"*吹风醒*")&gt;0,IF(A47&lt;=3,7.125-2.625-A47-加速!$L$11,7.125+加速!$K$9-(A47+加速!$L$11-T47)),0),0)+IF(金蛇,IF(COUNTIF(B47,"*千切子裂光*")&gt;0,2+加速!$K$9-(A47+加速!$L$11-T47),0),0)</f>
        <v>0</v>
      </c>
      <c r="V47">
        <f ca="1" t="shared" si="12"/>
        <v>0</v>
      </c>
      <c r="W47">
        <f ca="1" t="shared" si="4"/>
        <v>0</v>
      </c>
      <c r="X47">
        <f ca="1">INDEX(加速!$I$13:$I$21,W47+1)</f>
        <v>0</v>
      </c>
      <c r="Y47">
        <f ca="1" t="shared" si="13"/>
        <v>0.5</v>
      </c>
      <c r="Z47">
        <f ca="1" t="shared" si="9"/>
        <v>0</v>
      </c>
      <c r="AA47">
        <f ca="1">MAX(0,IFERROR(IF(COUNTIF(B47,"*叠*")&gt;0,IF(AC46&lt;3,8-A48+A47,AA46+6.875-A48+A47),AA46-A48+A47),AA46-加速!$L$11))</f>
        <v>4.13</v>
      </c>
      <c r="AB47">
        <f ca="1">MAX(0,IF(COUNTIF(IF(AND(配装计算器!$K$30&lt;&gt;"∞",0),INDEX(AU47:CB47,1,$AT$1),INDEX(AU47:CB47,1,$AT$1)),"*叠1*")=1,4*25-加速!$L$11,AB46-A47+A46)-IF(OR(COUNTIF(OFFSET(AT47,0,$AT$1,1,1),"*听雷*")&gt;0,AND(碧归&gt;0,COUNTIF(OFFSET(AT47,0,$AT$1,1,1),"*风来*")&gt;0)),0,1)*1.5)</f>
        <v>80.47</v>
      </c>
      <c r="AC47">
        <f ca="1" t="shared" si="5"/>
        <v>3</v>
      </c>
      <c r="AD47">
        <f ca="1">IF(COUNTIF(IF(AND(配装计算器!$K$30&lt;&gt;"∞",0),INDEX(AU47:CB47,1,$AT$1),INDEX(AU48:CB48,1,$AT$1)),"*叠1*")=1,AB47*0+AE46,0)</f>
        <v>0</v>
      </c>
      <c r="AE47">
        <f ca="1">IF($AN$11&gt;0,IF(COUNTIF(B48,"*叠1*")&gt;0,50-加速!$L$11,MAX(0,AE46-(A48-A47))),0)</f>
        <v>39.68</v>
      </c>
      <c r="AG47">
        <f ca="1" t="shared" si="6"/>
        <v>2</v>
      </c>
      <c r="AH47" t="s">
        <v>1825</v>
      </c>
      <c r="AI47" t="s">
        <v>2723</v>
      </c>
      <c r="AK47" t="s">
        <v>3044</v>
      </c>
      <c r="AU47" s="176" t="s">
        <v>2776</v>
      </c>
      <c r="AV47">
        <v>2</v>
      </c>
      <c r="AW47" t="s">
        <v>2768</v>
      </c>
      <c r="AX47">
        <v>2</v>
      </c>
      <c r="AY47" t="s">
        <v>2776</v>
      </c>
      <c r="AZ47">
        <v>2</v>
      </c>
      <c r="BA47" t="s">
        <v>2776</v>
      </c>
      <c r="BB47">
        <v>2</v>
      </c>
      <c r="BC47" t="s">
        <v>2776</v>
      </c>
      <c r="BD47">
        <v>2</v>
      </c>
      <c r="BE47" t="s">
        <v>2768</v>
      </c>
      <c r="BF47">
        <v>2</v>
      </c>
      <c r="BG47" s="176" t="s">
        <v>2776</v>
      </c>
      <c r="BH47">
        <v>2</v>
      </c>
      <c r="BI47" s="176" t="s">
        <v>3026</v>
      </c>
      <c r="BJ47">
        <v>2</v>
      </c>
      <c r="BK47" s="176" t="s">
        <v>3012</v>
      </c>
      <c r="BL47">
        <v>2</v>
      </c>
      <c r="BM47" t="str">
        <f>IF(0,"云飞玉皇-玉山揽云","云飞玉皇")</f>
        <v>云飞玉皇</v>
      </c>
      <c r="BN47">
        <v>2</v>
      </c>
      <c r="BO47" s="176" t="str">
        <f>IF(秋,"夕照雷峰","千切子寒光-千切子裂光")</f>
        <v>千切子寒光-千切子裂光</v>
      </c>
      <c r="BP47">
        <v>2</v>
      </c>
      <c r="BQ47" t="s">
        <v>2776</v>
      </c>
      <c r="BR47">
        <v>2</v>
      </c>
      <c r="BS47" s="182" t="s">
        <v>2768</v>
      </c>
      <c r="BT47">
        <v>2</v>
      </c>
      <c r="BU47" s="176" t="s">
        <v>2768</v>
      </c>
      <c r="BV47">
        <v>2</v>
      </c>
      <c r="BW47" s="179" t="s">
        <v>2776</v>
      </c>
      <c r="BX47" s="179">
        <v>2</v>
      </c>
      <c r="BY47" t="str">
        <f>IF(0,"云飞玉皇-玉山揽云","夕照雷峰")</f>
        <v>夕照雷峰</v>
      </c>
      <c r="BZ47">
        <v>2</v>
      </c>
      <c r="CA47" s="176" t="str">
        <f>IF(秋,"夕照雷峰","千切子裂光")</f>
        <v>千切子裂光</v>
      </c>
      <c r="CB47">
        <v>2</v>
      </c>
    </row>
    <row r="48" spans="1:80">
      <c r="A48" s="178">
        <f ca="1">IFERROR(IF(AG47&lt;5+金蛇*2,IF(COUNTIF(B47,"*轻*")&gt;0,A47+加速!$L$9,A47+加速!$L$11)+V47,""),"")</f>
        <v>59.03</v>
      </c>
      <c r="B48" s="167" t="str">
        <f ca="1" t="shared" si="0"/>
        <v>云飞玉皇-玉山揽云</v>
      </c>
      <c r="C48">
        <f ca="1" t="shared" si="10"/>
        <v>9.84</v>
      </c>
      <c r="D48">
        <f ca="1">IF(B48&lt;&gt;"",IF(C47&lt;=加速!$L$11*(1-E48),0,1),"")</f>
        <v>1</v>
      </c>
      <c r="E48">
        <f ca="1" t="shared" si="7"/>
        <v>1</v>
      </c>
      <c r="G48">
        <f ca="1" t="shared" si="8"/>
        <v>0</v>
      </c>
      <c r="H48">
        <f ca="1">IF(B48&lt;&gt;"",IF(AND(COUNTIF(B47,"*轻*莺鸣柳*")&gt;0,COUNTIF(B48,"*轻*")&lt;1),MAX(0,15+I47-(A48-A47)+COUNTIF(B47,"*平湖*")*0),IF(AND(E48=0,MAX(0,H47-(A48-A47))&lt;=加速!$H$11),0,MAX(0,H47-(A48-A47)))),"")</f>
        <v>0</v>
      </c>
      <c r="I48">
        <f ca="1" t="shared" si="14"/>
        <v>0</v>
      </c>
      <c r="J48">
        <f ca="1" t="shared" si="15"/>
        <v>0</v>
      </c>
      <c r="K48">
        <f ca="1" t="shared" si="1"/>
        <v>2</v>
      </c>
      <c r="L48">
        <f ca="1">IFERROR(IF(AND(COUNTIF(B48,"*-峰插*"),技能数据库!$M$72&gt;0),0,IF(COUNTIF(B48,"*鹤归*")&gt;0,16-加速!$L$11,MAX(0,L47-(A48-A47)))),0)</f>
        <v>1.47999999999999</v>
      </c>
      <c r="M48">
        <f ca="1" t="shared" si="3"/>
        <v>0</v>
      </c>
      <c r="N48">
        <f ca="1">IFERROR(IF(AND(COUNTIF(B48,"*-峰插*"),技能数据库!$M$72&gt;0),0,IF(COUNTIF(B48,"*云飞*")&gt;0,4-COUNTIF(B48,"*玉山揽云*")*4--COUNTIF(B48,"*烟流暮景*")*4-COUNTIF(B48,"*云景*")*加速!$L$11-IF(J48&gt;0,2,0),MAX(0,N47-(A48-A47)-IF(J48&gt;0,2,0)))),0)</f>
        <v>0</v>
      </c>
      <c r="O48">
        <f ca="1">IF(AND(COUNTIF(IF(AND(配装计算器!$K$30&lt;&gt;"∞",0),INDEX(AU47:CB47,1,$AT$1),INDEX(AU49:CB49,1,$AT$1)),"*云飞*")=1,COUNTIF(IF(AND(配装计算器!$K$30&lt;&gt;"∞",0),INDEX(AU47:CB47,1,$AT$1),INDEX(AU49:CB49,1,$AT$1)),"*玉山*")=0),N48,0)</f>
        <v>0</v>
      </c>
      <c r="P48">
        <f ca="1">IFERROR(IF(COUNTIF(B48,"*云栖松*")&gt;0,50-加速!$L$11,MAX(0,P47-(A48-A47))),0)</f>
        <v>0</v>
      </c>
      <c r="Q48">
        <f ca="1">IF(COUNTIF(IF(AND(配装计算器!$K$30&lt;&gt;"∞",0),INDEX(AU47:CB47,1,$AT$1),INDEX(AU49:CB49,1,$AT$1)),"*云栖松*")=1,P48,0)</f>
        <v>0</v>
      </c>
      <c r="R48">
        <f ca="1">IFERROR(IF(COUNTIF(B48,"*莺鸣柳*")&gt;0,45-加速!$L$9,MAX(0,R47-(A48-A47))),0)</f>
        <v>0</v>
      </c>
      <c r="S48">
        <f ca="1">IF(COUNTIF(IF(AND(配装计算器!$K$30&lt;&gt;"∞",0),INDEX(AU47:CB47,1,$AT$1),INDEX(AU49:CB49,1,$AT$1)),"*莺鸣柳*")=1,R48,0)</f>
        <v>0</v>
      </c>
      <c r="T48">
        <f ca="1" t="shared" si="11"/>
        <v>0</v>
      </c>
      <c r="U48">
        <f ca="1">IF(金蛇,IF(COUNTIF(B48,"*金环戴*")+COUNTIF(B48,"*吹风醒*")&gt;0,IF(A48&lt;=3,7.125-2.625-A48-加速!$L$11,7.125+加速!$K$9-(A48+加速!$L$11-T48)),0),0)+IF(金蛇,IF(COUNTIF(B48,"*千切子裂光*")&gt;0,2+加速!$K$9-(A48+加速!$L$11-T48),0),0)</f>
        <v>0</v>
      </c>
      <c r="V48">
        <f ca="1" t="shared" si="12"/>
        <v>0</v>
      </c>
      <c r="W48">
        <f ca="1" t="shared" si="4"/>
        <v>0</v>
      </c>
      <c r="X48">
        <f ca="1">INDEX(加速!$I$13:$I$21,W48+1)</f>
        <v>0</v>
      </c>
      <c r="Y48">
        <f ca="1" t="shared" si="13"/>
        <v>0.5</v>
      </c>
      <c r="Z48">
        <f ca="1" t="shared" si="9"/>
        <v>0</v>
      </c>
      <c r="AA48">
        <f ca="1">MAX(0,IFERROR(IF(COUNTIF(B48,"*叠*")&gt;0,IF(AC47&lt;3,8-A49+A48,AA47+6.875-A49+A48),AA47-A49+A48),AA47-加速!$L$11))</f>
        <v>2.84</v>
      </c>
      <c r="AB48">
        <f ca="1">MAX(0,IF(COUNTIF(IF(AND(配装计算器!$K$30&lt;&gt;"∞",0),INDEX(AU48:CB48,1,$AT$1),INDEX(AU48:CB48,1,$AT$1)),"*叠1*")=1,4*25-加速!$L$11,AB47-A48+A47)-IF(OR(COUNTIF(OFFSET(AT48,0,$AT$1,1,1),"*听雷*")&gt;0,AND(碧归&gt;0,COUNTIF(OFFSET(AT48,0,$AT$1,1,1),"*风来*")&gt;0)),0,1)*1.5)</f>
        <v>77.68</v>
      </c>
      <c r="AC48">
        <f ca="1" t="shared" si="5"/>
        <v>3</v>
      </c>
      <c r="AD48">
        <f ca="1">IF(COUNTIF(IF(AND(配装计算器!$K$30&lt;&gt;"∞",0),INDEX(AU48:CB48,1,$AT$1),INDEX(AU49:CB49,1,$AT$1)),"*叠1*")=1,AB48*0+AE47,0)</f>
        <v>0</v>
      </c>
      <c r="AE48">
        <f ca="1">IF($AN$11&gt;0,IF(COUNTIF(B49,"*叠1*")&gt;0,50-加速!$L$11,MAX(0,AE47-(A49-A48))),0)</f>
        <v>38.39</v>
      </c>
      <c r="AG48">
        <f ca="1" t="shared" si="6"/>
        <v>2</v>
      </c>
      <c r="AH48" t="s">
        <v>1825</v>
      </c>
      <c r="AI48" t="s">
        <v>2789</v>
      </c>
      <c r="AJ48">
        <f ca="1">SUMIFS($X$4:$X$515,$D$4:$D$515,"&gt;0",$H$4:$H$515,"&gt;0")</f>
        <v>0</v>
      </c>
      <c r="AK48" t="s">
        <v>3044</v>
      </c>
      <c r="AU48" s="176" t="s">
        <v>2768</v>
      </c>
      <c r="AV48">
        <v>2</v>
      </c>
      <c r="AW48" t="s">
        <v>2776</v>
      </c>
      <c r="AX48">
        <v>2</v>
      </c>
      <c r="AY48" t="s">
        <v>3035</v>
      </c>
      <c r="AZ48">
        <v>2</v>
      </c>
      <c r="BA48" t="s">
        <v>3035</v>
      </c>
      <c r="BB48">
        <v>2</v>
      </c>
      <c r="BC48" t="s">
        <v>2768</v>
      </c>
      <c r="BD48">
        <v>2</v>
      </c>
      <c r="BE48" t="s">
        <v>3019</v>
      </c>
      <c r="BF48">
        <v>2</v>
      </c>
      <c r="BG48" s="176" t="s">
        <v>3035</v>
      </c>
      <c r="BH48">
        <v>2</v>
      </c>
      <c r="BI48" s="176" t="s">
        <v>3026</v>
      </c>
      <c r="BJ48">
        <v>2</v>
      </c>
      <c r="BK48" s="176" t="s">
        <v>2794</v>
      </c>
      <c r="BL48">
        <v>2</v>
      </c>
      <c r="BM48" s="176" t="str">
        <f>IF(秋,"夕照雷峰","千切子寒光")</f>
        <v>千切子寒光</v>
      </c>
      <c r="BN48">
        <v>2</v>
      </c>
      <c r="BO48" s="176" t="str">
        <f>IF(秋,"夕照雷峰","夕照雷峰")</f>
        <v>夕照雷峰</v>
      </c>
      <c r="BP48">
        <v>2</v>
      </c>
      <c r="BQ48" t="str">
        <f>IF(秋,"夕照雷峰","千切子寒光")</f>
        <v>千切子寒光</v>
      </c>
      <c r="BR48">
        <v>2</v>
      </c>
      <c r="BS48" s="182" t="s">
        <v>2776</v>
      </c>
      <c r="BT48">
        <v>2</v>
      </c>
      <c r="BU48" s="176" t="s">
        <v>2776</v>
      </c>
      <c r="BV48">
        <v>2</v>
      </c>
      <c r="BW48" s="179" t="s">
        <v>2768</v>
      </c>
      <c r="BX48" s="179">
        <v>2</v>
      </c>
      <c r="BY48" t="str">
        <f>IF(0,"云飞玉皇-玉山揽云","云飞玉皇")</f>
        <v>云飞玉皇</v>
      </c>
      <c r="BZ48">
        <v>2</v>
      </c>
      <c r="CA48" t="s">
        <v>2776</v>
      </c>
      <c r="CB48">
        <v>2</v>
      </c>
    </row>
    <row r="49" spans="1:80">
      <c r="A49" s="178">
        <f ca="1">IFERROR(IF(AG48&lt;5+金蛇*2,IF(COUNTIF(B48,"*轻*")&gt;0,A48+加速!$L$9,A48+加速!$L$11)+V48,""),"")</f>
        <v>60.32</v>
      </c>
      <c r="B49" s="167" t="str">
        <f ca="1" t="shared" si="0"/>
        <v>云飞玉皇-玉山揽云</v>
      </c>
      <c r="C49">
        <f ca="1" t="shared" si="10"/>
        <v>8.55</v>
      </c>
      <c r="D49">
        <f ca="1">IF(B49&lt;&gt;"",IF(C48&lt;=加速!$L$11*(1-E49),0,1),"")</f>
        <v>1</v>
      </c>
      <c r="E49">
        <f ca="1" t="shared" si="7"/>
        <v>1</v>
      </c>
      <c r="G49">
        <f ca="1" t="shared" si="8"/>
        <v>0</v>
      </c>
      <c r="H49">
        <f ca="1">IF(B49&lt;&gt;"",IF(AND(COUNTIF(B48,"*轻*莺鸣柳*")&gt;0,COUNTIF(B49,"*轻*")&lt;1),MAX(0,15+I48-(A49-A48)+COUNTIF(B48,"*平湖*")*0),IF(AND(E49=0,MAX(0,H48-(A49-A48))&lt;=加速!$H$11),0,MAX(0,H48-(A49-A48)))),"")</f>
        <v>0</v>
      </c>
      <c r="I49">
        <f ca="1" t="shared" si="14"/>
        <v>0</v>
      </c>
      <c r="J49">
        <f ca="1" t="shared" si="15"/>
        <v>0</v>
      </c>
      <c r="K49">
        <f ca="1" t="shared" si="1"/>
        <v>2</v>
      </c>
      <c r="L49">
        <f ca="1">IFERROR(IF(AND(COUNTIF(B49,"*-峰插*"),技能数据库!$M$72&gt;0),0,IF(COUNTIF(B49,"*鹤归*")&gt;0,16-加速!$L$11,MAX(0,L48-(A49-A48)))),0)</f>
        <v>0.189999999999991</v>
      </c>
      <c r="M49">
        <f ca="1" t="shared" si="3"/>
        <v>0</v>
      </c>
      <c r="N49">
        <f ca="1">IFERROR(IF(AND(COUNTIF(B49,"*-峰插*"),技能数据库!$M$72&gt;0),0,IF(COUNTIF(B49,"*云飞*")&gt;0,4-COUNTIF(B49,"*玉山揽云*")*4--COUNTIF(B49,"*烟流暮景*")*4-COUNTIF(B49,"*云景*")*加速!$L$11-IF(J49&gt;0,2,0),MAX(0,N48-(A49-A48)-IF(J49&gt;0,2,0)))),0)</f>
        <v>0</v>
      </c>
      <c r="O49">
        <f ca="1">IF(AND(COUNTIF(IF(AND(配装计算器!$K$30&lt;&gt;"∞",0),INDEX(AU48:CB48,1,$AT$1),INDEX(AU50:CB50,1,$AT$1)),"*云飞*")=1,COUNTIF(IF(AND(配装计算器!$K$30&lt;&gt;"∞",0),INDEX(AU48:CB48,1,$AT$1),INDEX(AU50:CB50,1,$AT$1)),"*玉山*")=0),N49,0)</f>
        <v>0</v>
      </c>
      <c r="P49">
        <f ca="1">IFERROR(IF(COUNTIF(B49,"*云栖松*")&gt;0,50-加速!$L$11,MAX(0,P48-(A49-A48))),0)</f>
        <v>0</v>
      </c>
      <c r="Q49">
        <f ca="1">IF(COUNTIF(IF(AND(配装计算器!$K$30&lt;&gt;"∞",0),INDEX(AU48:CB48,1,$AT$1),INDEX(AU50:CB50,1,$AT$1)),"*云栖松*")=1,P49,0)</f>
        <v>0</v>
      </c>
      <c r="R49">
        <f ca="1">IFERROR(IF(COUNTIF(B49,"*莺鸣柳*")&gt;0,45-加速!$L$9,MAX(0,R48-(A49-A48))),0)</f>
        <v>0</v>
      </c>
      <c r="S49">
        <f ca="1">IF(COUNTIF(IF(AND(配装计算器!$K$30&lt;&gt;"∞",0),INDEX(AU48:CB48,1,$AT$1),INDEX(AU50:CB50,1,$AT$1)),"*莺鸣柳*")=1,R49,0)</f>
        <v>0</v>
      </c>
      <c r="T49">
        <f ca="1" t="shared" si="11"/>
        <v>0</v>
      </c>
      <c r="U49">
        <f ca="1">IF(金蛇,IF(COUNTIF(B49,"*金环戴*")+COUNTIF(B49,"*吹风醒*")&gt;0,IF(A49&lt;=3,7.125-2.625-A49-加速!$L$11,7.125+加速!$K$9-(A49+加速!$L$11-T49)),0),0)+IF(金蛇,IF(COUNTIF(B49,"*千切子裂光*")&gt;0,2+加速!$K$9-(A49+加速!$L$11-T49),0),0)</f>
        <v>0</v>
      </c>
      <c r="V49">
        <f ca="1" t="shared" si="12"/>
        <v>0</v>
      </c>
      <c r="W49">
        <f ca="1" t="shared" si="4"/>
        <v>0</v>
      </c>
      <c r="X49">
        <f ca="1">INDEX(加速!$I$13:$I$21,W49+1)</f>
        <v>0</v>
      </c>
      <c r="Y49">
        <f ca="1" t="shared" si="13"/>
        <v>0.5</v>
      </c>
      <c r="Z49">
        <f ca="1" t="shared" si="9"/>
        <v>0</v>
      </c>
      <c r="AA49">
        <f ca="1">MAX(0,IFERROR(IF(COUNTIF(B49,"*叠*")&gt;0,IF(AC48&lt;3,8-A50+A49,AA48+6.875-A50+A49),AA48-A50+A49),AA48-加速!$L$11))</f>
        <v>1.55</v>
      </c>
      <c r="AB49">
        <f ca="1">MAX(0,IF(COUNTIF(IF(AND(配装计算器!$K$30&lt;&gt;"∞",0),INDEX(AU49:CB49,1,$AT$1),INDEX(AU49:CB49,1,$AT$1)),"*叠1*")=1,4*25-加速!$L$11,AB48-A49+A48)-IF(OR(COUNTIF(OFFSET(AT49,0,$AT$1,1,1),"*听雷*")&gt;0,AND(碧归&gt;0,COUNTIF(OFFSET(AT49,0,$AT$1,1,1),"*风来*")&gt;0)),0,1)*1.5)</f>
        <v>74.89</v>
      </c>
      <c r="AC49">
        <f ca="1" t="shared" si="5"/>
        <v>3</v>
      </c>
      <c r="AD49">
        <f ca="1">IF(COUNTIF(IF(AND(配装计算器!$K$30&lt;&gt;"∞",0),INDEX(AU49:CB49,1,$AT$1),INDEX(AU50:CB50,1,$AT$1)),"*叠1*")=1,AB49*0+AE48,0)</f>
        <v>0</v>
      </c>
      <c r="AE49">
        <f ca="1">IF($AN$11&gt;0,IF(COUNTIF(B50,"*叠1*")&gt;0,50-加速!$L$11,MAX(0,AE48-(A50-A49))),0)</f>
        <v>37.1</v>
      </c>
      <c r="AG49">
        <f ca="1" t="shared" si="6"/>
        <v>2</v>
      </c>
      <c r="AH49" t="s">
        <v>1825</v>
      </c>
      <c r="AI49" t="s">
        <v>2794</v>
      </c>
      <c r="AJ49">
        <f ca="1">长时间循环比*COUNTIFS($B$3:$B$515,"*"&amp;AI49&amp;"*",$D$3:$D$515,"&gt;0",$H$3:$H$515,"=0",$G$3:$G$515,"=0",$AC$3:$AC$515,"=0")</f>
        <v>8</v>
      </c>
      <c r="AK49" t="s">
        <v>2750</v>
      </c>
      <c r="AM49" s="167" t="s">
        <v>3081</v>
      </c>
      <c r="AN49">
        <f ca="1">COUNTIF(B3:B515,"*听雷-轻*")+COUNTIF(B3:B515,"*平湖*")+COUNTIF(B3:B515,"*虎跑*")</f>
        <v>4</v>
      </c>
      <c r="AU49" s="176" t="s">
        <v>2776</v>
      </c>
      <c r="AV49">
        <v>2</v>
      </c>
      <c r="AW49" t="s">
        <v>2768</v>
      </c>
      <c r="AX49">
        <v>2</v>
      </c>
      <c r="AY49" t="s">
        <v>2768</v>
      </c>
      <c r="AZ49">
        <v>2</v>
      </c>
      <c r="BA49" t="s">
        <v>2768</v>
      </c>
      <c r="BB49">
        <v>2</v>
      </c>
      <c r="BC49" t="s">
        <v>2794</v>
      </c>
      <c r="BD49">
        <v>2</v>
      </c>
      <c r="BE49" t="s">
        <v>2768</v>
      </c>
      <c r="BF49">
        <v>2</v>
      </c>
      <c r="BG49" t="s">
        <v>2768</v>
      </c>
      <c r="BH49">
        <v>2</v>
      </c>
      <c r="BI49" s="176" t="s">
        <v>3026</v>
      </c>
      <c r="BJ49">
        <v>2</v>
      </c>
      <c r="BK49" s="176" t="s">
        <v>3019</v>
      </c>
      <c r="BL49">
        <v>2</v>
      </c>
      <c r="BM49" s="176" t="str">
        <f>IF(秋,"夕照雷峰","千切子裂光")</f>
        <v>千切子裂光</v>
      </c>
      <c r="BN49">
        <v>2</v>
      </c>
      <c r="BO49" t="str">
        <f>IF(0,"云飞玉皇-玉山揽云","夕照雷峰")</f>
        <v>夕照雷峰</v>
      </c>
      <c r="BP49">
        <v>2</v>
      </c>
      <c r="BQ49" t="str">
        <f>IF(秋,"夕照雷峰","千切子裂光")</f>
        <v>千切子裂光</v>
      </c>
      <c r="BR49">
        <v>2</v>
      </c>
      <c r="BS49" s="182" t="s">
        <v>2768</v>
      </c>
      <c r="BT49">
        <v>2</v>
      </c>
      <c r="BU49" t="str">
        <f>IF(秋,"鹤归孤山-叠-蛇牙锥心","鹤归孤山-叠")</f>
        <v>鹤归孤山-叠</v>
      </c>
      <c r="BV49">
        <v>2</v>
      </c>
      <c r="BW49" s="179" t="s">
        <v>2768</v>
      </c>
      <c r="BX49" s="179">
        <v>2</v>
      </c>
      <c r="BY49" s="176" t="str">
        <f>IF(秋,"夕照雷峰","千切子寒光")</f>
        <v>千切子寒光</v>
      </c>
      <c r="BZ49">
        <v>2</v>
      </c>
      <c r="CA49" s="176" t="s">
        <v>2794</v>
      </c>
      <c r="CB49">
        <v>2</v>
      </c>
    </row>
    <row r="50" spans="1:80">
      <c r="A50" s="178">
        <f ca="1">IFERROR(IF(AG49&lt;5+金蛇*2,IF(COUNTIF(B49,"*轻*")&gt;0,A49+加速!$L$9,A49+加速!$L$11)+V49,""),"")</f>
        <v>61.61</v>
      </c>
      <c r="B50" s="167" t="str">
        <f ca="1" t="shared" si="0"/>
        <v>云飞玉皇-玉山揽云-叠</v>
      </c>
      <c r="C50">
        <f ca="1" t="shared" si="10"/>
        <v>7.26000000000001</v>
      </c>
      <c r="D50">
        <f ca="1">IF(B50&lt;&gt;"",IF(C49&lt;=加速!$L$11*(1-E50),0,1),"")</f>
        <v>1</v>
      </c>
      <c r="E50">
        <f ca="1" t="shared" si="7"/>
        <v>1</v>
      </c>
      <c r="G50">
        <f ca="1" t="shared" si="8"/>
        <v>0</v>
      </c>
      <c r="H50">
        <f ca="1">IF(B50&lt;&gt;"",IF(AND(COUNTIF(B49,"*轻*莺鸣柳*")&gt;0,COUNTIF(B50,"*轻*")&lt;1),MAX(0,15+I49-(A50-A49)+COUNTIF(B49,"*平湖*")*0),IF(AND(E50=0,MAX(0,H49-(A50-A49))&lt;=加速!$H$11),0,MAX(0,H49-(A50-A49)))),"")</f>
        <v>0</v>
      </c>
      <c r="I50">
        <f ca="1" t="shared" si="14"/>
        <v>0</v>
      </c>
      <c r="J50">
        <f ca="1" t="shared" si="15"/>
        <v>0</v>
      </c>
      <c r="K50">
        <f ca="1" t="shared" si="1"/>
        <v>2</v>
      </c>
      <c r="L50">
        <f ca="1">IFERROR(IF(AND(COUNTIF(B50,"*-峰插*"),技能数据库!$M$72&gt;0),0,IF(COUNTIF(B50,"*鹤归*")&gt;0,16-加速!$L$11,MAX(0,L49-(A50-A49)))),0)</f>
        <v>0</v>
      </c>
      <c r="M50">
        <f ca="1" t="shared" si="3"/>
        <v>0</v>
      </c>
      <c r="N50">
        <f ca="1">IFERROR(IF(AND(COUNTIF(B50,"*-峰插*"),技能数据库!$M$72&gt;0),0,IF(COUNTIF(B50,"*云飞*")&gt;0,4-COUNTIF(B50,"*玉山揽云*")*4--COUNTIF(B50,"*烟流暮景*")*4-COUNTIF(B50,"*云景*")*加速!$L$11-IF(J50&gt;0,2,0),MAX(0,N49-(A50-A49)-IF(J50&gt;0,2,0)))),0)</f>
        <v>0</v>
      </c>
      <c r="O50">
        <f ca="1">IF(AND(COUNTIF(IF(AND(配装计算器!$K$30&lt;&gt;"∞",0),INDEX(AU49:CB49,1,$AT$1),INDEX(AU51:CB51,1,$AT$1)),"*云飞*")=1,COUNTIF(IF(AND(配装计算器!$K$30&lt;&gt;"∞",0),INDEX(AU49:CB49,1,$AT$1),INDEX(AU51:CB51,1,$AT$1)),"*玉山*")=0),N50,0)</f>
        <v>0</v>
      </c>
      <c r="P50">
        <f ca="1">IFERROR(IF(COUNTIF(B50,"*云栖松*")&gt;0,50-加速!$L$11,MAX(0,P49-(A50-A49))),0)</f>
        <v>0</v>
      </c>
      <c r="Q50">
        <f ca="1">IF(COUNTIF(IF(AND(配装计算器!$K$30&lt;&gt;"∞",0),INDEX(AU49:CB49,1,$AT$1),INDEX(AU51:CB51,1,$AT$1)),"*云栖松*")=1,P50,0)</f>
        <v>0</v>
      </c>
      <c r="R50">
        <f ca="1">IFERROR(IF(COUNTIF(B50,"*莺鸣柳*")&gt;0,45-加速!$L$9,MAX(0,R49-(A50-A49))),0)</f>
        <v>0</v>
      </c>
      <c r="S50">
        <f ca="1">IF(COUNTIF(IF(AND(配装计算器!$K$30&lt;&gt;"∞",0),INDEX(AU49:CB49,1,$AT$1),INDEX(AU51:CB51,1,$AT$1)),"*莺鸣柳*")=1,R50,0)</f>
        <v>0</v>
      </c>
      <c r="T50">
        <f ca="1" t="shared" si="11"/>
        <v>0</v>
      </c>
      <c r="U50">
        <f ca="1">IF(金蛇,IF(COUNTIF(B50,"*金环戴*")+COUNTIF(B50,"*吹风醒*")&gt;0,IF(A50&lt;=3,7.125-2.625-A50-加速!$L$11,7.125+加速!$K$9-(A50+加速!$L$11-T50)),0),0)+IF(金蛇,IF(COUNTIF(B50,"*千切子裂光*")&gt;0,2+加速!$K$9-(A50+加速!$L$11-T50),0),0)</f>
        <v>0</v>
      </c>
      <c r="V50">
        <f ca="1" t="shared" si="12"/>
        <v>0</v>
      </c>
      <c r="W50">
        <f ca="1" t="shared" si="4"/>
        <v>0</v>
      </c>
      <c r="X50">
        <f ca="1">INDEX(加速!$I$13:$I$21,W50+1)</f>
        <v>0</v>
      </c>
      <c r="Y50">
        <f ca="1" t="shared" si="13"/>
        <v>0.5</v>
      </c>
      <c r="Z50">
        <f ca="1" t="shared" si="9"/>
        <v>0</v>
      </c>
      <c r="AA50">
        <f ca="1">MAX(0,IFERROR(IF(COUNTIF(B50,"*叠*")&gt;0,IF(AC49&lt;3,8-A51+A50,AA49+6.875-A51+A50),AA49-A51+A50),AA49-加速!$L$11))</f>
        <v>7.13500000000001</v>
      </c>
      <c r="AB50">
        <f ca="1">MAX(0,IF(COUNTIF(IF(AND(配装计算器!$K$30&lt;&gt;"∞",0),INDEX(AU50:CB50,1,$AT$1),INDEX(AU50:CB50,1,$AT$1)),"*叠1*")=1,4*25-加速!$L$11,AB49-A50+A49)-IF(OR(COUNTIF(OFFSET(AT50,0,$AT$1,1,1),"*听雷*")&gt;0,AND(碧归&gt;0,COUNTIF(OFFSET(AT50,0,$AT$1,1,1),"*风来*")&gt;0)),0,1)*1.5)</f>
        <v>72.1000000000001</v>
      </c>
      <c r="AC50">
        <f ca="1" t="shared" si="5"/>
        <v>3</v>
      </c>
      <c r="AD50">
        <f ca="1">IF(COUNTIF(IF(AND(配装计算器!$K$30&lt;&gt;"∞",0),INDEX(AU50:CB50,1,$AT$1),INDEX(AU51:CB51,1,$AT$1)),"*叠1*")=1,AB50*0+AE49,0)</f>
        <v>0</v>
      </c>
      <c r="AE50">
        <f ca="1">IF($AN$11&gt;0,IF(COUNTIF(B51,"*叠1*")&gt;0,50-加速!$L$11,MAX(0,AE49-(A51-A50))),0)</f>
        <v>35.81</v>
      </c>
      <c r="AG50">
        <f ca="1" t="shared" si="6"/>
        <v>2</v>
      </c>
      <c r="AH50" t="s">
        <v>1825</v>
      </c>
      <c r="AI50" t="s">
        <v>2794</v>
      </c>
      <c r="AJ50">
        <f ca="1">长时间循环比*COUNTIFS($B$3:$B$515,"*"&amp;AI50&amp;"*",$D$3:$D$515,"&gt;0",$H$3:$H$515,"&gt;0",$G$3:$G$515,"=0")</f>
        <v>0</v>
      </c>
      <c r="AK50" t="s">
        <v>3044</v>
      </c>
      <c r="AM50" s="167" t="s">
        <v>3082</v>
      </c>
      <c r="AN50">
        <f ca="1">COUNTIF(B3:B515,"*莺鸣柳*")</f>
        <v>0</v>
      </c>
      <c r="AU50" s="176" t="s">
        <v>2768</v>
      </c>
      <c r="AV50">
        <v>2</v>
      </c>
      <c r="AW50" t="str">
        <f>IF($AR$11=1,"云飞玉皇-玉山揽云","夕照雷峰")</f>
        <v>夕照雷峰</v>
      </c>
      <c r="AX50">
        <v>2</v>
      </c>
      <c r="AY50" t="s">
        <v>2776</v>
      </c>
      <c r="AZ50">
        <v>2</v>
      </c>
      <c r="BA50" t="s">
        <v>2776</v>
      </c>
      <c r="BB50">
        <v>2</v>
      </c>
      <c r="BC50" s="182" t="s">
        <v>3036</v>
      </c>
      <c r="BD50">
        <v>2</v>
      </c>
      <c r="BE50" t="s">
        <v>2768</v>
      </c>
      <c r="BF50">
        <v>2</v>
      </c>
      <c r="BG50" t="s">
        <v>2776</v>
      </c>
      <c r="BH50">
        <v>2</v>
      </c>
      <c r="BI50" s="176" t="s">
        <v>3036</v>
      </c>
      <c r="BJ50">
        <v>2</v>
      </c>
      <c r="BK50" t="s">
        <v>2768</v>
      </c>
      <c r="BL50">
        <v>2</v>
      </c>
      <c r="BM50" t="str">
        <f>IF(0,"云飞玉皇-玉山揽云","夕照雷峰")</f>
        <v>夕照雷峰</v>
      </c>
      <c r="BN50">
        <v>2</v>
      </c>
      <c r="BO50" t="s">
        <v>2776</v>
      </c>
      <c r="BP50">
        <v>2</v>
      </c>
      <c r="BQ50" t="str">
        <f>IF(秋,"鹤归孤山-叠-蛇牙锥心","鹤归孤山-叠")</f>
        <v>鹤归孤山-叠</v>
      </c>
      <c r="BR50">
        <v>2</v>
      </c>
      <c r="BS50" s="182" t="s">
        <v>2768</v>
      </c>
      <c r="BT50">
        <v>2</v>
      </c>
      <c r="BU50" t="s">
        <v>2768</v>
      </c>
      <c r="BV50">
        <v>2</v>
      </c>
      <c r="BW50" s="179" t="s">
        <v>3021</v>
      </c>
      <c r="BX50" s="179">
        <v>2</v>
      </c>
      <c r="BY50" s="176" t="str">
        <f>IF(秋,"夕照雷峰","千切子裂光")</f>
        <v>千切子裂光</v>
      </c>
      <c r="BZ50">
        <v>2</v>
      </c>
      <c r="CA50" s="176" t="s">
        <v>2768</v>
      </c>
      <c r="CB50">
        <v>2</v>
      </c>
    </row>
    <row r="51" spans="1:80">
      <c r="A51" s="178">
        <f ca="1">IFERROR(IF(AG50&lt;5+金蛇*2,IF(COUNTIF(B50,"*轻*")&gt;0,A50+加速!$L$9,A50+加速!$L$11)+V50,""),"")</f>
        <v>62.9</v>
      </c>
      <c r="B51" s="167" t="str">
        <f ca="1" t="shared" si="0"/>
        <v>鹤归孤山</v>
      </c>
      <c r="C51">
        <f ca="1" t="shared" si="10"/>
        <v>5.97000000000001</v>
      </c>
      <c r="D51">
        <f ca="1">IF(B51&lt;&gt;"",IF(C50&lt;=加速!$L$11*(1-E51),0,1),"")</f>
        <v>1</v>
      </c>
      <c r="E51">
        <f ca="1" t="shared" si="7"/>
        <v>1</v>
      </c>
      <c r="G51">
        <f ca="1" t="shared" si="8"/>
        <v>0</v>
      </c>
      <c r="H51">
        <f ca="1">IF(B51&lt;&gt;"",IF(AND(COUNTIF(B50,"*轻*莺鸣柳*")&gt;0,COUNTIF(B51,"*轻*")&lt;1),MAX(0,15+I50-(A51-A50)+COUNTIF(B50,"*平湖*")*0),IF(AND(E51=0,MAX(0,H50-(A51-A50))&lt;=加速!$H$11),0,MAX(0,H50-(A51-A50)))),"")</f>
        <v>0</v>
      </c>
      <c r="I51">
        <f ca="1" t="shared" si="14"/>
        <v>0</v>
      </c>
      <c r="J51">
        <f ca="1" t="shared" si="15"/>
        <v>0</v>
      </c>
      <c r="K51">
        <f ca="1" t="shared" si="1"/>
        <v>2</v>
      </c>
      <c r="L51">
        <f ca="1">IFERROR(IF(AND(COUNTIF(B51,"*-峰插*"),技能数据库!$M$72&gt;0),0,IF(COUNTIF(B51,"*鹤归*")&gt;0,16-加速!$L$11,MAX(0,L50-(A51-A50)))),0)</f>
        <v>14.71</v>
      </c>
      <c r="M51">
        <f ca="1" t="shared" si="3"/>
        <v>0</v>
      </c>
      <c r="N51">
        <f ca="1">IFERROR(IF(AND(COUNTIF(B51,"*-峰插*"),技能数据库!$M$72&gt;0),0,IF(COUNTIF(B51,"*云飞*")&gt;0,4-COUNTIF(B51,"*玉山揽云*")*4--COUNTIF(B51,"*烟流暮景*")*4-COUNTIF(B51,"*云景*")*加速!$L$11-IF(J51&gt;0,2,0),MAX(0,N50-(A51-A50)-IF(J51&gt;0,2,0)))),0)</f>
        <v>0</v>
      </c>
      <c r="O51">
        <f ca="1">IF(AND(COUNTIF(IF(AND(配装计算器!$K$30&lt;&gt;"∞",0),INDEX(AU50:CB50,1,$AT$1),INDEX(AU52:CB52,1,$AT$1)),"*云飞*")=1,COUNTIF(IF(AND(配装计算器!$K$30&lt;&gt;"∞",0),INDEX(AU50:CB50,1,$AT$1),INDEX(AU52:CB52,1,$AT$1)),"*玉山*")=0),N51,0)</f>
        <v>0</v>
      </c>
      <c r="P51">
        <f ca="1">IFERROR(IF(COUNTIF(B51,"*云栖松*")&gt;0,50-加速!$L$11,MAX(0,P50-(A51-A50))),0)</f>
        <v>0</v>
      </c>
      <c r="Q51">
        <f ca="1">IF(COUNTIF(IF(AND(配装计算器!$K$30&lt;&gt;"∞",0),INDEX(AU50:CB50,1,$AT$1),INDEX(AU52:CB52,1,$AT$1)),"*云栖松*")=1,P51,0)</f>
        <v>0</v>
      </c>
      <c r="R51">
        <f ca="1">IFERROR(IF(COUNTIF(B51,"*莺鸣柳*")&gt;0,45-加速!$L$9,MAX(0,R50-(A51-A50))),0)</f>
        <v>0</v>
      </c>
      <c r="S51">
        <f ca="1">IF(COUNTIF(IF(AND(配装计算器!$K$30&lt;&gt;"∞",0),INDEX(AU50:CB50,1,$AT$1),INDEX(AU52:CB52,1,$AT$1)),"*莺鸣柳*")=1,R51,0)</f>
        <v>0</v>
      </c>
      <c r="T51">
        <f ca="1" t="shared" si="11"/>
        <v>0</v>
      </c>
      <c r="U51">
        <f ca="1">IF(金蛇,IF(COUNTIF(B51,"*金环戴*")+COUNTIF(B51,"*吹风醒*")&gt;0,IF(A51&lt;=3,7.125-2.625-A51-加速!$L$11,7.125+加速!$K$9-(A51+加速!$L$11-T51)),0),0)+IF(金蛇,IF(COUNTIF(B51,"*千切子裂光*")&gt;0,2+加速!$K$9-(A51+加速!$L$11-T51),0),0)</f>
        <v>0</v>
      </c>
      <c r="V51">
        <f ca="1" t="shared" si="12"/>
        <v>0</v>
      </c>
      <c r="W51">
        <f ca="1" t="shared" si="4"/>
        <v>0</v>
      </c>
      <c r="X51">
        <f ca="1">INDEX(加速!$I$13:$I$21,W51+1)</f>
        <v>0</v>
      </c>
      <c r="Y51">
        <f ca="1" t="shared" si="13"/>
        <v>0.5</v>
      </c>
      <c r="Z51">
        <f ca="1" t="shared" si="9"/>
        <v>0</v>
      </c>
      <c r="AA51">
        <f ca="1">MAX(0,IFERROR(IF(COUNTIF(B51,"*叠*")&gt;0,IF(AC50&lt;3,8-A52+A51,AA50+6.875-A52+A51),AA50-A52+A51),AA50-加速!$L$11))</f>
        <v>5.84500000000001</v>
      </c>
      <c r="AB51">
        <f ca="1">MAX(0,IF(COUNTIF(IF(AND(配装计算器!$K$30&lt;&gt;"∞",0),INDEX(AU51:CB51,1,$AT$1),INDEX(AU51:CB51,1,$AT$1)),"*叠1*")=1,4*25-加速!$L$11,AB50-A51+A50)-IF(OR(COUNTIF(OFFSET(AT51,0,$AT$1,1,1),"*听雷*")&gt;0,AND(碧归&gt;0,COUNTIF(OFFSET(AT51,0,$AT$1,1,1),"*风来*")&gt;0)),0,1)*1.5)</f>
        <v>69.3100000000001</v>
      </c>
      <c r="AC51">
        <f ca="1" t="shared" si="5"/>
        <v>3</v>
      </c>
      <c r="AD51">
        <f ca="1">IF(COUNTIF(IF(AND(配装计算器!$K$30&lt;&gt;"∞",0),INDEX(AU51:CB51,1,$AT$1),INDEX(AU52:CB52,1,$AT$1)),"*叠1*")=1,AB51*0+AE50,0)</f>
        <v>0</v>
      </c>
      <c r="AE51">
        <f ca="1">IF($AN$11&gt;0,IF(COUNTIF(B52,"*叠1*")&gt;0,50-加速!$L$11,MAX(0,AE50-(A52-A51))),0)</f>
        <v>34.52</v>
      </c>
      <c r="AG51">
        <f ca="1" t="shared" si="6"/>
        <v>2</v>
      </c>
      <c r="AH51" t="s">
        <v>1825</v>
      </c>
      <c r="AI51" t="s">
        <v>2798</v>
      </c>
      <c r="AJ51">
        <f ca="1">AJ49</f>
        <v>8</v>
      </c>
      <c r="AK51" t="s">
        <v>2750</v>
      </c>
      <c r="AM51" s="167" t="s">
        <v>3049</v>
      </c>
      <c r="AN51">
        <v>25</v>
      </c>
      <c r="AU51" s="176" t="s">
        <v>2776</v>
      </c>
      <c r="AV51">
        <v>2</v>
      </c>
      <c r="AW51" t="str">
        <f>IF($AR$11=1,"云飞玉皇-玉山揽云","夕照雷峰")</f>
        <v>夕照雷峰</v>
      </c>
      <c r="AX51">
        <v>2</v>
      </c>
      <c r="AY51" t="s">
        <v>2768</v>
      </c>
      <c r="AZ51">
        <v>2</v>
      </c>
      <c r="BA51" t="s">
        <v>2768</v>
      </c>
      <c r="BB51">
        <v>2</v>
      </c>
      <c r="BC51" s="176" t="s">
        <v>3026</v>
      </c>
      <c r="BD51">
        <v>2</v>
      </c>
      <c r="BE51" t="s">
        <v>2768</v>
      </c>
      <c r="BF51">
        <v>2</v>
      </c>
      <c r="BG51" t="s">
        <v>2768</v>
      </c>
      <c r="BH51">
        <v>2</v>
      </c>
      <c r="BI51" t="s">
        <v>2794</v>
      </c>
      <c r="BJ51">
        <v>2</v>
      </c>
      <c r="BK51" t="s">
        <v>3023</v>
      </c>
      <c r="BL51">
        <v>2</v>
      </c>
      <c r="BM51" s="176" t="str">
        <f>IF(秋,"云飞玉皇","夕照雷峰")</f>
        <v>夕照雷峰</v>
      </c>
      <c r="BN51">
        <v>2</v>
      </c>
      <c r="BO51" s="176" t="s">
        <v>2794</v>
      </c>
      <c r="BP51">
        <v>2</v>
      </c>
      <c r="BQ51" t="s">
        <v>2776</v>
      </c>
      <c r="BR51">
        <v>2</v>
      </c>
      <c r="BS51" s="187" t="str">
        <f>IF(秋,"云景·云飞玉皇-叠-蛇牙锥心","云景·云飞玉皇-叠")</f>
        <v>云景·云飞玉皇-叠</v>
      </c>
      <c r="BT51">
        <v>2</v>
      </c>
      <c r="BU51" t="s">
        <v>2776</v>
      </c>
      <c r="BV51">
        <v>2</v>
      </c>
      <c r="BW51" s="179" t="s">
        <v>2722</v>
      </c>
      <c r="BX51" s="179">
        <v>2</v>
      </c>
      <c r="BY51" t="str">
        <f>IF(0,"云飞玉皇-玉山揽云","夕照雷峰")</f>
        <v>夕照雷峰</v>
      </c>
      <c r="BZ51">
        <v>2</v>
      </c>
      <c r="CA51" s="176" t="s">
        <v>2776</v>
      </c>
      <c r="CB51">
        <v>2</v>
      </c>
    </row>
    <row r="52" spans="1:80">
      <c r="A52" s="178">
        <f ca="1">IFERROR(IF(AG51&lt;5+金蛇*2,IF(COUNTIF(B51,"*轻*")&gt;0,A51+加速!$L$9,A51+加速!$L$11)+V51,""),"")</f>
        <v>64.19</v>
      </c>
      <c r="B52" s="167" t="str">
        <f ca="1" t="shared" si="0"/>
        <v>云飞玉皇</v>
      </c>
      <c r="C52">
        <f ca="1" t="shared" si="10"/>
        <v>4.68000000000001</v>
      </c>
      <c r="D52">
        <f ca="1">IF(B52&lt;&gt;"",IF(C51&lt;=加速!$L$11*(1-E52),0,1),"")</f>
        <v>1</v>
      </c>
      <c r="E52">
        <f ca="1" t="shared" si="7"/>
        <v>0</v>
      </c>
      <c r="G52">
        <f ca="1" t="shared" si="8"/>
        <v>0</v>
      </c>
      <c r="H52">
        <f ca="1">IF(B52&lt;&gt;"",IF(AND(COUNTIF(B51,"*轻*莺鸣柳*")&gt;0,COUNTIF(B52,"*轻*")&lt;1),MAX(0,15+I51-(A52-A51)+COUNTIF(B51,"*平湖*")*0),IF(AND(E52=0,MAX(0,H51-(A52-A51))&lt;=加速!$H$11),0,MAX(0,H51-(A52-A51)))),"")</f>
        <v>0</v>
      </c>
      <c r="I52">
        <f ca="1" t="shared" si="14"/>
        <v>0</v>
      </c>
      <c r="J52">
        <f ca="1" t="shared" si="15"/>
        <v>4</v>
      </c>
      <c r="K52">
        <f ca="1" t="shared" si="1"/>
        <v>2</v>
      </c>
      <c r="L52">
        <f ca="1">IFERROR(IF(AND(COUNTIF(B52,"*-峰插*"),技能数据库!$M$72&gt;0),0,IF(COUNTIF(B52,"*鹤归*")&gt;0,16-加速!$L$11,MAX(0,L51-(A52-A51)))),0)</f>
        <v>13.42</v>
      </c>
      <c r="M52">
        <f ca="1" t="shared" si="3"/>
        <v>0</v>
      </c>
      <c r="N52">
        <f ca="1">IFERROR(IF(AND(COUNTIF(B52,"*-峰插*"),技能数据库!$M$72&gt;0),0,IF(COUNTIF(B52,"*云飞*")&gt;0,4-COUNTIF(B52,"*玉山揽云*")*4--COUNTIF(B52,"*烟流暮景*")*4-COUNTIF(B52,"*云景*")*加速!$L$11-IF(J52&gt;0,2,0),MAX(0,N51-(A52-A51)-IF(J52&gt;0,2,0)))),0)</f>
        <v>2</v>
      </c>
      <c r="O52">
        <f ca="1">IF(AND(COUNTIF(IF(AND(配装计算器!$K$30&lt;&gt;"∞",0),INDEX(AU51:CB51,1,$AT$1),INDEX(AU53:CB53,1,$AT$1)),"*云飞*")=1,COUNTIF(IF(AND(配装计算器!$K$30&lt;&gt;"∞",0),INDEX(AU51:CB51,1,$AT$1),INDEX(AU53:CB53,1,$AT$1)),"*玉山*")=0),N52,0)</f>
        <v>0</v>
      </c>
      <c r="P52">
        <f ca="1">IFERROR(IF(COUNTIF(B52,"*云栖松*")&gt;0,50-加速!$L$11,MAX(0,P51-(A52-A51))),0)</f>
        <v>0</v>
      </c>
      <c r="Q52">
        <f ca="1">IF(COUNTIF(IF(AND(配装计算器!$K$30&lt;&gt;"∞",0),INDEX(AU51:CB51,1,$AT$1),INDEX(AU53:CB53,1,$AT$1)),"*云栖松*")=1,P52,0)</f>
        <v>0</v>
      </c>
      <c r="R52">
        <f ca="1">IFERROR(IF(COUNTIF(B52,"*莺鸣柳*")&gt;0,45-加速!$L$9,MAX(0,R51-(A52-A51))),0)</f>
        <v>0</v>
      </c>
      <c r="S52">
        <f ca="1">IF(COUNTIF(IF(AND(配装计算器!$K$30&lt;&gt;"∞",0),INDEX(AU51:CB51,1,$AT$1),INDEX(AU53:CB53,1,$AT$1)),"*莺鸣柳*")=1,R52,0)</f>
        <v>0</v>
      </c>
      <c r="T52">
        <f ca="1" t="shared" si="11"/>
        <v>0</v>
      </c>
      <c r="U52">
        <f ca="1">IF(金蛇,IF(COUNTIF(B52,"*金环戴*")+COUNTIF(B52,"*吹风醒*")&gt;0,IF(A52&lt;=3,7.125-2.625-A52-加速!$L$11,7.125+加速!$K$9-(A52+加速!$L$11-T52)),0),0)+IF(金蛇,IF(COUNTIF(B52,"*千切子裂光*")&gt;0,2+加速!$K$9-(A52+加速!$L$11-T52),0),0)</f>
        <v>0</v>
      </c>
      <c r="V52">
        <f ca="1" t="shared" si="12"/>
        <v>0</v>
      </c>
      <c r="W52">
        <f ca="1" t="shared" si="4"/>
        <v>0</v>
      </c>
      <c r="X52">
        <f ca="1">INDEX(加速!$I$13:$I$21,W52+1)</f>
        <v>0</v>
      </c>
      <c r="Y52">
        <f ca="1" t="shared" si="13"/>
        <v>0.5</v>
      </c>
      <c r="Z52">
        <f ca="1" t="shared" si="9"/>
        <v>0</v>
      </c>
      <c r="AA52">
        <f ca="1">MAX(0,IFERROR(IF(COUNTIF(B52,"*叠*")&gt;0,IF(AC51&lt;3,8-A53+A52,AA51+6.875-A53+A52),AA51-A53+A52),AA51-加速!$L$11))</f>
        <v>4.555</v>
      </c>
      <c r="AB52">
        <f ca="1">MAX(0,IF(COUNTIF(IF(AND(配装计算器!$K$30&lt;&gt;"∞",0),INDEX(AU52:CB52,1,$AT$1),INDEX(AU52:CB52,1,$AT$1)),"*叠1*")=1,4*25-加速!$L$11,AB51-A52+A51)-IF(OR(COUNTIF(OFFSET(AT52,0,$AT$1,1,1),"*听雷*")&gt;0,AND(碧归&gt;0,COUNTIF(OFFSET(AT52,0,$AT$1,1,1),"*风来*")&gt;0)),0,1)*1.5)</f>
        <v>66.5200000000001</v>
      </c>
      <c r="AC52">
        <f ca="1" t="shared" si="5"/>
        <v>3</v>
      </c>
      <c r="AD52">
        <f ca="1">IF(COUNTIF(IF(AND(配装计算器!$K$30&lt;&gt;"∞",0),INDEX(AU52:CB52,1,$AT$1),INDEX(AU53:CB53,1,$AT$1)),"*叠1*")=1,AB52*0+AE51,0)</f>
        <v>0</v>
      </c>
      <c r="AE52">
        <f ca="1">IF($AN$11&gt;0,IF(COUNTIF(B53,"*叠1*")&gt;0,50-加速!$L$11,MAX(0,AE51-(A53-A52))),0)</f>
        <v>33.23</v>
      </c>
      <c r="AG52">
        <f ca="1" t="shared" si="6"/>
        <v>2</v>
      </c>
      <c r="AH52" t="s">
        <v>1825</v>
      </c>
      <c r="AI52" t="s">
        <v>2798</v>
      </c>
      <c r="AJ52">
        <f ca="1">AJ50+AJ65</f>
        <v>0</v>
      </c>
      <c r="AK52" t="s">
        <v>3044</v>
      </c>
      <c r="AM52" s="167" t="s">
        <v>3083</v>
      </c>
      <c r="AN52">
        <f ca="1">AN50*AN51/1024*$AN$8</f>
        <v>0</v>
      </c>
      <c r="AU52" t="s">
        <v>2768</v>
      </c>
      <c r="AV52">
        <v>2</v>
      </c>
      <c r="AW52" t="str">
        <f>IF($AR$11=1,"云飞玉皇-玉山揽云","云飞玉皇")</f>
        <v>云飞玉皇</v>
      </c>
      <c r="AX52">
        <v>2</v>
      </c>
      <c r="AY52" t="s">
        <v>2776</v>
      </c>
      <c r="AZ52">
        <v>2</v>
      </c>
      <c r="BA52" t="s">
        <v>2776</v>
      </c>
      <c r="BB52">
        <v>2</v>
      </c>
      <c r="BC52" s="176" t="s">
        <v>3026</v>
      </c>
      <c r="BD52">
        <v>2</v>
      </c>
      <c r="BE52" t="s">
        <v>3042</v>
      </c>
      <c r="BF52">
        <v>2</v>
      </c>
      <c r="BG52" t="s">
        <v>2776</v>
      </c>
      <c r="BH52">
        <v>2</v>
      </c>
      <c r="BI52" t="s">
        <v>2776</v>
      </c>
      <c r="BJ52">
        <v>2</v>
      </c>
      <c r="BK52" t="s">
        <v>2768</v>
      </c>
      <c r="BL52">
        <v>2</v>
      </c>
      <c r="BM52" s="176" t="str">
        <f>IF(秋,"夕照雷峰","云飞玉皇")</f>
        <v>云飞玉皇</v>
      </c>
      <c r="BN52">
        <v>2</v>
      </c>
      <c r="BO52" s="176" t="s">
        <v>2768</v>
      </c>
      <c r="BP52">
        <v>2</v>
      </c>
      <c r="BQ52" t="s">
        <v>2768</v>
      </c>
      <c r="BR52">
        <v>2</v>
      </c>
      <c r="BS52" s="186" t="str">
        <f>IF(秋,"夕照雷峰","千切子寒光")</f>
        <v>千切子寒光</v>
      </c>
      <c r="BT52">
        <v>2</v>
      </c>
      <c r="BU52" t="s">
        <v>2768</v>
      </c>
      <c r="BV52">
        <v>2</v>
      </c>
      <c r="BW52" s="179" t="s">
        <v>3028</v>
      </c>
      <c r="BX52" s="179">
        <v>2</v>
      </c>
      <c r="BY52" t="s">
        <v>2776</v>
      </c>
      <c r="BZ52">
        <v>2</v>
      </c>
      <c r="CA52" s="176" t="s">
        <v>2768</v>
      </c>
      <c r="CB52">
        <v>2</v>
      </c>
    </row>
    <row r="53" spans="1:80">
      <c r="A53" s="178">
        <f ca="1">IFERROR(IF(AG52&lt;5+金蛇*2,IF(COUNTIF(B52,"*轻*")&gt;0,A52+加速!$L$9,A52+加速!$L$11)+V52,""),"")</f>
        <v>65.48</v>
      </c>
      <c r="B53" s="167" t="str">
        <f ca="1" t="shared" si="0"/>
        <v>夕照雷峰</v>
      </c>
      <c r="C53">
        <f ca="1" t="shared" si="10"/>
        <v>15</v>
      </c>
      <c r="D53">
        <f ca="1">IF(B53&lt;&gt;"",IF(C52&lt;=加速!$L$11*(1-E53),0,1),"")</f>
        <v>1</v>
      </c>
      <c r="E53">
        <f ca="1" t="shared" si="7"/>
        <v>0</v>
      </c>
      <c r="G53">
        <f ca="1" t="shared" si="8"/>
        <v>0</v>
      </c>
      <c r="H53">
        <f ca="1">IF(B53&lt;&gt;"",IF(AND(COUNTIF(B52,"*轻*莺鸣柳*")&gt;0,COUNTIF(B53,"*轻*")&lt;1),MAX(0,15+I52-(A53-A52)+COUNTIF(B52,"*平湖*")*0),IF(AND(E53=0,MAX(0,H52-(A53-A52))&lt;=加速!$H$11),0,MAX(0,H52-(A53-A52)))),"")</f>
        <v>0</v>
      </c>
      <c r="I53">
        <f ca="1" t="shared" si="14"/>
        <v>0</v>
      </c>
      <c r="J53">
        <f ca="1" t="shared" si="15"/>
        <v>3</v>
      </c>
      <c r="K53">
        <f ca="1" t="shared" si="1"/>
        <v>2</v>
      </c>
      <c r="L53">
        <f ca="1">IFERROR(IF(AND(COUNTIF(B53,"*-峰插*"),技能数据库!$M$72&gt;0),0,IF(COUNTIF(B53,"*鹤归*")&gt;0,16-加速!$L$11,MAX(0,L52-(A53-A52)))),0)</f>
        <v>12.13</v>
      </c>
      <c r="M53">
        <f ca="1" t="shared" si="3"/>
        <v>0</v>
      </c>
      <c r="N53">
        <f ca="1">IFERROR(IF(AND(COUNTIF(B53,"*-峰插*"),技能数据库!$M$72&gt;0),0,IF(COUNTIF(B53,"*云飞*")&gt;0,4-COUNTIF(B53,"*玉山揽云*")*4--COUNTIF(B53,"*烟流暮景*")*4-COUNTIF(B53,"*云景*")*加速!$L$11-IF(J53&gt;0,2,0),MAX(0,N52-(A53-A52)-IF(J53&gt;0,2,0)))),0)</f>
        <v>0</v>
      </c>
      <c r="O53">
        <f ca="1">IF(AND(COUNTIF(IF(AND(配装计算器!$K$30&lt;&gt;"∞",0),INDEX(AU52:CB52,1,$AT$1),INDEX(AU54:CB54,1,$AT$1)),"*云飞*")=1,COUNTIF(IF(AND(配装计算器!$K$30&lt;&gt;"∞",0),INDEX(AU52:CB52,1,$AT$1),INDEX(AU54:CB54,1,$AT$1)),"*玉山*")=0),N53,0)</f>
        <v>0</v>
      </c>
      <c r="P53">
        <f ca="1">IFERROR(IF(COUNTIF(B53,"*云栖松*")&gt;0,50-加速!$L$11,MAX(0,P52-(A53-A52))),0)</f>
        <v>0</v>
      </c>
      <c r="Q53">
        <f ca="1">IF(COUNTIF(IF(AND(配装计算器!$K$30&lt;&gt;"∞",0),INDEX(AU52:CB52,1,$AT$1),INDEX(AU54:CB54,1,$AT$1)),"*云栖松*")=1,P53,0)</f>
        <v>0</v>
      </c>
      <c r="R53">
        <f ca="1">IFERROR(IF(COUNTIF(B53,"*莺鸣柳*")&gt;0,45-加速!$L$9,MAX(0,R52-(A53-A52))),0)</f>
        <v>0</v>
      </c>
      <c r="S53">
        <f ca="1">IF(COUNTIF(IF(AND(配装计算器!$K$30&lt;&gt;"∞",0),INDEX(AU52:CB52,1,$AT$1),INDEX(AU54:CB54,1,$AT$1)),"*莺鸣柳*")=1,R53,0)</f>
        <v>0</v>
      </c>
      <c r="T53">
        <f ca="1" t="shared" si="11"/>
        <v>0</v>
      </c>
      <c r="U53">
        <f ca="1">IF(金蛇,IF(COUNTIF(B53,"*金环戴*")+COUNTIF(B53,"*吹风醒*")&gt;0,IF(A53&lt;=3,7.125-2.625-A53-加速!$L$11,7.125+加速!$K$9-(A53+加速!$L$11-T53)),0),0)+IF(金蛇,IF(COUNTIF(B53,"*千切子裂光*")&gt;0,2+加速!$K$9-(A53+加速!$L$11-T53),0),0)</f>
        <v>0</v>
      </c>
      <c r="V53">
        <f ca="1" t="shared" si="12"/>
        <v>0</v>
      </c>
      <c r="W53">
        <f ca="1" t="shared" si="4"/>
        <v>0</v>
      </c>
      <c r="X53">
        <f ca="1">INDEX(加速!$I$13:$I$21,W53+1)</f>
        <v>0</v>
      </c>
      <c r="Y53">
        <f ca="1" t="shared" si="13"/>
        <v>0.5</v>
      </c>
      <c r="Z53">
        <f ca="1" t="shared" si="9"/>
        <v>0</v>
      </c>
      <c r="AA53">
        <f ca="1">MAX(0,IFERROR(IF(COUNTIF(B53,"*叠*")&gt;0,IF(AC52&lt;3,8-A54+A53,AA52+6.875-A54+A53),AA52-A54+A53),AA52-加速!$L$11))</f>
        <v>3.26499999999999</v>
      </c>
      <c r="AB53">
        <f ca="1">MAX(0,IF(COUNTIF(IF(AND(配装计算器!$K$30&lt;&gt;"∞",0),INDEX(AU53:CB53,1,$AT$1),INDEX(AU53:CB53,1,$AT$1)),"*叠1*")=1,4*25-加速!$L$11,AB52-A53+A52)-IF(OR(COUNTIF(OFFSET(AT53,0,$AT$1,1,1),"*听雷*")&gt;0,AND(碧归&gt;0,COUNTIF(OFFSET(AT53,0,$AT$1,1,1),"*风来*")&gt;0)),0,1)*1.5)</f>
        <v>63.7300000000001</v>
      </c>
      <c r="AC53">
        <f ca="1" t="shared" si="5"/>
        <v>3</v>
      </c>
      <c r="AD53">
        <f ca="1">IF(COUNTIF(IF(AND(配装计算器!$K$30&lt;&gt;"∞",0),INDEX(AU53:CB53,1,$AT$1),INDEX(AU54:CB54,1,$AT$1)),"*叠1*")=1,AB53*0+AE52,0)</f>
        <v>0</v>
      </c>
      <c r="AE53">
        <f ca="1">IF($AN$11&gt;0,IF(COUNTIF(B54,"*叠1*")&gt;0,50-加速!$L$11,MAX(0,AE52-(A54-A53))),0)</f>
        <v>31.94</v>
      </c>
      <c r="AG53">
        <f ca="1" t="shared" si="6"/>
        <v>2</v>
      </c>
      <c r="AH53" t="s">
        <v>1825</v>
      </c>
      <c r="AI53" t="s">
        <v>2801</v>
      </c>
      <c r="AJ53">
        <f ca="1">长时间循环比*COUNTIFS($J$3:$J$515,"&gt;0",$D$3:$D$515,"=0",$H$3:$H$515,"=0")</f>
        <v>0</v>
      </c>
      <c r="AU53" t="str">
        <f>IF($AN$11=1,"云飞玉皇-玉山揽云","夕照雷峰")</f>
        <v>云飞玉皇-玉山揽云</v>
      </c>
      <c r="AV53">
        <v>2</v>
      </c>
      <c r="AW53" t="str">
        <f>IF($AR$11=1,"云飞玉皇-玉山揽云","夕照雷峰")</f>
        <v>夕照雷峰</v>
      </c>
      <c r="AX53">
        <v>2</v>
      </c>
      <c r="AY53" t="s">
        <v>3042</v>
      </c>
      <c r="AZ53">
        <v>2</v>
      </c>
      <c r="BA53" t="s">
        <v>3042</v>
      </c>
      <c r="BB53">
        <v>2</v>
      </c>
      <c r="BC53" s="176" t="s">
        <v>3026</v>
      </c>
      <c r="BD53">
        <v>2</v>
      </c>
      <c r="BE53" t="s">
        <v>3084</v>
      </c>
      <c r="BF53">
        <v>2</v>
      </c>
      <c r="BG53" t="s">
        <v>2768</v>
      </c>
      <c r="BH53">
        <v>2</v>
      </c>
      <c r="BI53" t="s">
        <v>2768</v>
      </c>
      <c r="BJ53">
        <v>2</v>
      </c>
      <c r="BK53" t="s">
        <v>2808</v>
      </c>
      <c r="BL53">
        <v>2</v>
      </c>
      <c r="BM53" s="176" t="s">
        <v>2794</v>
      </c>
      <c r="BN53">
        <v>2</v>
      </c>
      <c r="BO53" s="176" t="s">
        <v>2776</v>
      </c>
      <c r="BP53">
        <v>2</v>
      </c>
      <c r="BQ53" t="s">
        <v>2776</v>
      </c>
      <c r="BR53">
        <v>2</v>
      </c>
      <c r="BS53" s="186" t="str">
        <f>IF(秋,"夕照雷峰","千切子裂光")</f>
        <v>千切子裂光</v>
      </c>
      <c r="BT53">
        <v>2</v>
      </c>
      <c r="BU53" t="s">
        <v>2776</v>
      </c>
      <c r="BV53">
        <v>2</v>
      </c>
      <c r="BW53" s="179" t="s">
        <v>2768</v>
      </c>
      <c r="BX53" s="179">
        <v>2</v>
      </c>
      <c r="BY53" s="176" t="s">
        <v>2794</v>
      </c>
      <c r="BZ53">
        <v>2</v>
      </c>
      <c r="CA53" s="176" t="s">
        <v>2808</v>
      </c>
      <c r="CB53">
        <v>2</v>
      </c>
    </row>
    <row r="54" spans="1:80">
      <c r="A54" s="178">
        <f ca="1">IFERROR(IF(AG53&lt;5+金蛇*2,IF(COUNTIF(B53,"*轻*")&gt;0,A53+加速!$L$9,A53+加速!$L$11)+V53,""),"")</f>
        <v>66.77</v>
      </c>
      <c r="B54" s="167" t="str">
        <f ca="1" t="shared" si="0"/>
        <v>云飞玉皇</v>
      </c>
      <c r="C54">
        <f ca="1" t="shared" si="10"/>
        <v>13.71</v>
      </c>
      <c r="D54">
        <f ca="1">IF(B54&lt;&gt;"",IF(C53&lt;=加速!$L$11*(1-E54),0,1),"")</f>
        <v>1</v>
      </c>
      <c r="E54">
        <f ca="1" t="shared" si="7"/>
        <v>0</v>
      </c>
      <c r="G54">
        <f ca="1" t="shared" si="8"/>
        <v>0</v>
      </c>
      <c r="H54">
        <f ca="1">IF(B54&lt;&gt;"",IF(AND(COUNTIF(B53,"*轻*莺鸣柳*")&gt;0,COUNTIF(B54,"*轻*")&lt;1),MAX(0,15+I53-(A54-A53)+COUNTIF(B53,"*平湖*")*0),IF(AND(E54=0,MAX(0,H53-(A54-A53))&lt;=加速!$H$11),0,MAX(0,H53-(A54-A53)))),"")</f>
        <v>0</v>
      </c>
      <c r="I54">
        <f ca="1" t="shared" si="14"/>
        <v>0</v>
      </c>
      <c r="J54">
        <f ca="1" t="shared" si="15"/>
        <v>2</v>
      </c>
      <c r="K54">
        <f ca="1" t="shared" si="1"/>
        <v>2</v>
      </c>
      <c r="L54">
        <f ca="1">IFERROR(IF(AND(COUNTIF(B54,"*-峰插*"),技能数据库!$M$72&gt;0),0,IF(COUNTIF(B54,"*鹤归*")&gt;0,16-加速!$L$11,MAX(0,L53-(A54-A53)))),0)</f>
        <v>10.84</v>
      </c>
      <c r="M54">
        <f ca="1" t="shared" si="3"/>
        <v>0</v>
      </c>
      <c r="N54">
        <f ca="1">IFERROR(IF(AND(COUNTIF(B54,"*-峰插*"),技能数据库!$M$72&gt;0),0,IF(COUNTIF(B54,"*云飞*")&gt;0,4-COUNTIF(B54,"*玉山揽云*")*4--COUNTIF(B54,"*烟流暮景*")*4-COUNTIF(B54,"*云景*")*加速!$L$11-IF(J54&gt;0,2,0),MAX(0,N53-(A54-A53)-IF(J54&gt;0,2,0)))),0)</f>
        <v>2</v>
      </c>
      <c r="O54">
        <f ca="1">IF(AND(COUNTIF(IF(AND(配装计算器!$K$30&lt;&gt;"∞",0),INDEX(AU53:CB53,1,$AT$1),INDEX(AU55:CB55,1,$AT$1)),"*云飞*")=1,COUNTIF(IF(AND(配装计算器!$K$30&lt;&gt;"∞",0),INDEX(AU53:CB53,1,$AT$1),INDEX(AU55:CB55,1,$AT$1)),"*玉山*")=0),N54,0)</f>
        <v>0</v>
      </c>
      <c r="P54">
        <f ca="1">IFERROR(IF(COUNTIF(B54,"*云栖松*")&gt;0,50-加速!$L$11,MAX(0,P53-(A54-A53))),0)</f>
        <v>0</v>
      </c>
      <c r="Q54">
        <f ca="1">IF(COUNTIF(IF(AND(配装计算器!$K$30&lt;&gt;"∞",0),INDEX(AU53:CB53,1,$AT$1),INDEX(AU55:CB55,1,$AT$1)),"*云栖松*")=1,P54,0)</f>
        <v>0</v>
      </c>
      <c r="R54">
        <f ca="1">IFERROR(IF(COUNTIF(B54,"*莺鸣柳*")&gt;0,45-加速!$L$9,MAX(0,R53-(A54-A53))),0)</f>
        <v>0</v>
      </c>
      <c r="S54">
        <f ca="1">IF(COUNTIF(IF(AND(配装计算器!$K$30&lt;&gt;"∞",0),INDEX(AU53:CB53,1,$AT$1),INDEX(AU55:CB55,1,$AT$1)),"*莺鸣柳*")=1,R54,0)</f>
        <v>0</v>
      </c>
      <c r="T54">
        <f ca="1" t="shared" si="11"/>
        <v>0</v>
      </c>
      <c r="U54">
        <f ca="1">IF(金蛇,IF(COUNTIF(B54,"*金环戴*")+COUNTIF(B54,"*吹风醒*")&gt;0,IF(A54&lt;=3,7.125-2.625-A54-加速!$L$11,7.125+加速!$K$9-(A54+加速!$L$11-T54)),0),0)+IF(金蛇,IF(COUNTIF(B54,"*千切子裂光*")&gt;0,2+加速!$K$9-(A54+加速!$L$11-T54),0),0)</f>
        <v>0</v>
      </c>
      <c r="V54">
        <f ca="1" t="shared" si="12"/>
        <v>0</v>
      </c>
      <c r="W54">
        <f ca="1" t="shared" si="4"/>
        <v>0</v>
      </c>
      <c r="X54">
        <f ca="1">INDEX(加速!$I$13:$I$21,W54+1)</f>
        <v>0</v>
      </c>
      <c r="Y54">
        <f ca="1" t="shared" si="13"/>
        <v>0.5</v>
      </c>
      <c r="Z54">
        <f ca="1" t="shared" si="9"/>
        <v>0</v>
      </c>
      <c r="AA54">
        <f ca="1">MAX(0,IFERROR(IF(COUNTIF(B54,"*叠*")&gt;0,IF(AC53&lt;3,8-A55+A54,AA53+6.875-A55+A54),AA53-A55+A54),AA53-加速!$L$11))</f>
        <v>1.97499999999999</v>
      </c>
      <c r="AB54">
        <f ca="1">MAX(0,IF(COUNTIF(IF(AND(配装计算器!$K$30&lt;&gt;"∞",0),INDEX(AU54:CB54,1,$AT$1),INDEX(AU54:CB54,1,$AT$1)),"*叠1*")=1,4*25-加速!$L$11,AB53-A54+A53)-IF(OR(COUNTIF(OFFSET(AT54,0,$AT$1,1,1),"*听雷*")&gt;0,AND(碧归&gt;0,COUNTIF(OFFSET(AT54,0,$AT$1,1,1),"*风来*")&gt;0)),0,1)*1.5)</f>
        <v>60.9400000000001</v>
      </c>
      <c r="AC54">
        <f ca="1" t="shared" si="5"/>
        <v>3</v>
      </c>
      <c r="AD54">
        <f ca="1">IF(COUNTIF(IF(AND(配装计算器!$K$30&lt;&gt;"∞",0),INDEX(AU54:CB54,1,$AT$1),INDEX(AU55:CB55,1,$AT$1)),"*叠1*")=1,AB54*0+AE53,0)</f>
        <v>0</v>
      </c>
      <c r="AE54">
        <f ca="1">IF($AN$11&gt;0,IF(COUNTIF(B55,"*叠1*")&gt;0,50-加速!$L$11,MAX(0,AE53-(A55-A54))),0)</f>
        <v>30.65</v>
      </c>
      <c r="AG54">
        <f ca="1" t="shared" si="6"/>
        <v>2</v>
      </c>
      <c r="AH54" t="s">
        <v>1825</v>
      </c>
      <c r="AI54" t="s">
        <v>2801</v>
      </c>
      <c r="AJ54">
        <f ca="1">长时间循环比*COUNTIFS($J$3:$J$515,"&gt;0",$D$3:$D$515,"&gt;0",$H$3:$H$515,"=0",$AC$3:$AC$515,"=0")</f>
        <v>28</v>
      </c>
      <c r="AK54" t="s">
        <v>2750</v>
      </c>
      <c r="AM54" s="167" t="s">
        <v>2915</v>
      </c>
      <c r="AN54">
        <f ca="1">AN52</f>
        <v>0</v>
      </c>
      <c r="AU54" t="str">
        <f>IF($AN$11=1,"云飞玉皇-玉山揽云","云飞玉皇")</f>
        <v>云飞玉皇-玉山揽云</v>
      </c>
      <c r="AV54">
        <v>2</v>
      </c>
      <c r="AW54" t="str">
        <f>IF($AR$11=1,橙武补雾锁,"鹤归孤山")</f>
        <v>鹤归孤山</v>
      </c>
      <c r="AX54">
        <v>2</v>
      </c>
      <c r="AY54" t="s">
        <v>2808</v>
      </c>
      <c r="AZ54">
        <v>2</v>
      </c>
      <c r="BA54" t="s">
        <v>2808</v>
      </c>
      <c r="BB54">
        <v>2</v>
      </c>
      <c r="BC54" s="176" t="s">
        <v>3026</v>
      </c>
      <c r="BD54">
        <v>2</v>
      </c>
      <c r="BE54" t="s">
        <v>2768</v>
      </c>
      <c r="BF54">
        <v>2</v>
      </c>
      <c r="BG54" t="s">
        <v>2808</v>
      </c>
      <c r="BH54">
        <v>2</v>
      </c>
      <c r="BI54" t="s">
        <v>2776</v>
      </c>
      <c r="BJ54">
        <v>2</v>
      </c>
      <c r="BK54" t="s">
        <v>2768</v>
      </c>
      <c r="BL54">
        <v>2</v>
      </c>
      <c r="BM54" s="176" t="s">
        <v>2768</v>
      </c>
      <c r="BN54">
        <v>2</v>
      </c>
      <c r="BO54" s="176" t="s">
        <v>2768</v>
      </c>
      <c r="BP54">
        <v>2</v>
      </c>
      <c r="BQ54" t="s">
        <v>2768</v>
      </c>
      <c r="BR54">
        <v>2</v>
      </c>
      <c r="BS54" s="176" t="s">
        <v>2768</v>
      </c>
      <c r="BT54">
        <v>2</v>
      </c>
      <c r="BU54" t="s">
        <v>2768</v>
      </c>
      <c r="BV54">
        <v>2</v>
      </c>
      <c r="BW54" s="179" t="str">
        <f>IF(山重水复,"风来吴山","夕照雷峰")</f>
        <v>夕照雷峰</v>
      </c>
      <c r="BX54" s="179">
        <v>2</v>
      </c>
      <c r="BY54" s="176" t="s">
        <v>2768</v>
      </c>
      <c r="BZ54">
        <v>2</v>
      </c>
      <c r="CA54" t="s">
        <v>2768</v>
      </c>
      <c r="CB54">
        <v>2</v>
      </c>
    </row>
    <row r="55" spans="1:80">
      <c r="A55" s="178">
        <f ca="1">IFERROR(IF(AG54&lt;5+金蛇*2,IF(COUNTIF(B54,"*轻*")&gt;0,A54+加速!$L$9,A54+加速!$L$11)+V54,""),"")</f>
        <v>68.06</v>
      </c>
      <c r="B55" s="167" t="str">
        <f ca="1" t="shared" si="0"/>
        <v>夕照雷峰</v>
      </c>
      <c r="C55">
        <f ca="1" t="shared" si="10"/>
        <v>15</v>
      </c>
      <c r="D55">
        <f ca="1">IF(B55&lt;&gt;"",IF(C54&lt;=加速!$L$11*(1-E55),0,1),"")</f>
        <v>1</v>
      </c>
      <c r="E55">
        <f ca="1" t="shared" si="7"/>
        <v>0</v>
      </c>
      <c r="G55">
        <f ca="1" t="shared" si="8"/>
        <v>0</v>
      </c>
      <c r="H55">
        <f ca="1">IF(B55&lt;&gt;"",IF(AND(COUNTIF(B54,"*轻*莺鸣柳*")&gt;0,COUNTIF(B55,"*轻*")&lt;1),MAX(0,15+I54-(A55-A54)+COUNTIF(B54,"*平湖*")*0),IF(AND(E55=0,MAX(0,H54-(A55-A54))&lt;=加速!$H$11),0,MAX(0,H54-(A55-A54)))),"")</f>
        <v>0</v>
      </c>
      <c r="I55">
        <f ca="1" t="shared" si="14"/>
        <v>0</v>
      </c>
      <c r="J55">
        <f ca="1" t="shared" si="15"/>
        <v>1</v>
      </c>
      <c r="K55">
        <f ca="1" t="shared" si="1"/>
        <v>2</v>
      </c>
      <c r="L55">
        <f ca="1">IFERROR(IF(AND(COUNTIF(B55,"*-峰插*"),技能数据库!$M$72&gt;0),0,IF(COUNTIF(B55,"*鹤归*")&gt;0,16-加速!$L$11,MAX(0,L54-(A55-A54)))),0)</f>
        <v>9.54999999999998</v>
      </c>
      <c r="M55">
        <f ca="1" t="shared" si="3"/>
        <v>0</v>
      </c>
      <c r="N55">
        <f ca="1">IFERROR(IF(AND(COUNTIF(B55,"*-峰插*"),技能数据库!$M$72&gt;0),0,IF(COUNTIF(B55,"*云飞*")&gt;0,4-COUNTIF(B55,"*玉山揽云*")*4--COUNTIF(B55,"*烟流暮景*")*4-COUNTIF(B55,"*云景*")*加速!$L$11-IF(J55&gt;0,2,0),MAX(0,N54-(A55-A54)-IF(J55&gt;0,2,0)))),0)</f>
        <v>0</v>
      </c>
      <c r="O55">
        <f ca="1">IF(AND(COUNTIF(IF(AND(配装计算器!$K$30&lt;&gt;"∞",0),INDEX(AU54:CB54,1,$AT$1),INDEX(AU56:CB56,1,$AT$1)),"*云飞*")=1,COUNTIF(IF(AND(配装计算器!$K$30&lt;&gt;"∞",0),INDEX(AU54:CB54,1,$AT$1),INDEX(AU56:CB56,1,$AT$1)),"*玉山*")=0),N55,0)</f>
        <v>0</v>
      </c>
      <c r="P55">
        <f ca="1">IFERROR(IF(COUNTIF(B55,"*云栖松*")&gt;0,50-加速!$L$11,MAX(0,P54-(A55-A54))),0)</f>
        <v>0</v>
      </c>
      <c r="Q55">
        <f ca="1">IF(COUNTIF(IF(AND(配装计算器!$K$30&lt;&gt;"∞",0),INDEX(AU54:CB54,1,$AT$1),INDEX(AU56:CB56,1,$AT$1)),"*云栖松*")=1,P55,0)</f>
        <v>0</v>
      </c>
      <c r="R55">
        <f ca="1">IFERROR(IF(COUNTIF(B55,"*莺鸣柳*")&gt;0,45-加速!$L$9,MAX(0,R54-(A55-A54))),0)</f>
        <v>0</v>
      </c>
      <c r="S55">
        <f ca="1">IF(COUNTIF(IF(AND(配装计算器!$K$30&lt;&gt;"∞",0),INDEX(AU54:CB54,1,$AT$1),INDEX(AU56:CB56,1,$AT$1)),"*莺鸣柳*")=1,R55,0)</f>
        <v>0</v>
      </c>
      <c r="T55">
        <f ca="1" t="shared" si="11"/>
        <v>0</v>
      </c>
      <c r="U55">
        <f ca="1">IF(金蛇,IF(COUNTIF(B55,"*金环戴*")+COUNTIF(B55,"*吹风醒*")&gt;0,IF(A55&lt;=3,7.125-2.625-A55-加速!$L$11,7.125+加速!$K$9-(A55+加速!$L$11-T55)),0),0)+IF(金蛇,IF(COUNTIF(B55,"*千切子裂光*")&gt;0,2+加速!$K$9-(A55+加速!$L$11-T55),0),0)</f>
        <v>0</v>
      </c>
      <c r="V55">
        <f ca="1" t="shared" si="12"/>
        <v>0</v>
      </c>
      <c r="W55">
        <f ca="1" t="shared" si="4"/>
        <v>0</v>
      </c>
      <c r="X55">
        <f ca="1">INDEX(加速!$I$13:$I$21,W55+1)</f>
        <v>0</v>
      </c>
      <c r="Y55">
        <f ca="1" t="shared" si="13"/>
        <v>0.5</v>
      </c>
      <c r="Z55">
        <f ca="1" t="shared" si="9"/>
        <v>0</v>
      </c>
      <c r="AA55">
        <f ca="1">MAX(0,IFERROR(IF(COUNTIF(B55,"*叠*")&gt;0,IF(AC54&lt;3,8-A56+A55,AA54+6.875-A56+A55),AA54-A56+A55),AA54-加速!$L$11))</f>
        <v>0.684999999999988</v>
      </c>
      <c r="AB55">
        <f ca="1">MAX(0,IF(COUNTIF(IF(AND(配装计算器!$K$30&lt;&gt;"∞",0),INDEX(AU55:CB55,1,$AT$1),INDEX(AU55:CB55,1,$AT$1)),"*叠1*")=1,4*25-加速!$L$11,AB54-A55+A54)-IF(OR(COUNTIF(OFFSET(AT55,0,$AT$1,1,1),"*听雷*")&gt;0,AND(碧归&gt;0,COUNTIF(OFFSET(AT55,0,$AT$1,1,1),"*风来*")&gt;0)),0,1)*1.5)</f>
        <v>58.15</v>
      </c>
      <c r="AC55">
        <f ca="1" t="shared" si="5"/>
        <v>3</v>
      </c>
      <c r="AD55">
        <f ca="1">IF(COUNTIF(IF(AND(配装计算器!$K$30&lt;&gt;"∞",0),INDEX(AU55:CB55,1,$AT$1),INDEX(AU56:CB56,1,$AT$1)),"*叠1*")=1,AB55*0+AE54,0)</f>
        <v>0</v>
      </c>
      <c r="AE55">
        <f ca="1">IF($AN$11&gt;0,IF(COUNTIF(B56,"*叠1*")&gt;0,50-加速!$L$11,MAX(0,AE54-(A56-A55))),0)</f>
        <v>29.36</v>
      </c>
      <c r="AG55">
        <f ca="1" t="shared" si="6"/>
        <v>2</v>
      </c>
      <c r="AH55" t="s">
        <v>1825</v>
      </c>
      <c r="AI55" t="s">
        <v>2801</v>
      </c>
      <c r="AJ55">
        <f ca="1">长时间循环比*COUNTIFS($J$3:$J$515,"&gt;0",$D$3:$D$515,"=0",$H$3:$H$515,"&gt;0")</f>
        <v>0</v>
      </c>
      <c r="AK55" t="s">
        <v>2948</v>
      </c>
      <c r="AM55" t="s">
        <v>3086</v>
      </c>
      <c r="AN55">
        <v>205</v>
      </c>
      <c r="AU55" t="str">
        <f>IF($AN$11=1,"云飞玉皇-玉山揽云","夕照雷峰")</f>
        <v>云飞玉皇-玉山揽云</v>
      </c>
      <c r="AV55">
        <v>2</v>
      </c>
      <c r="AW55" s="176" t="str">
        <f>IF($AR$11=1,"夕照雷峰","夕照雷峰")</f>
        <v>夕照雷峰</v>
      </c>
      <c r="AX55">
        <v>2</v>
      </c>
      <c r="AY55" t="s">
        <v>2768</v>
      </c>
      <c r="AZ55">
        <v>2</v>
      </c>
      <c r="BA55" t="s">
        <v>2768</v>
      </c>
      <c r="BB55">
        <v>2</v>
      </c>
      <c r="BC55" t="s">
        <v>3013</v>
      </c>
      <c r="BD55">
        <v>2</v>
      </c>
      <c r="BE55" t="s">
        <v>2794</v>
      </c>
      <c r="BF55">
        <v>2</v>
      </c>
      <c r="BG55" t="s">
        <v>2768</v>
      </c>
      <c r="BH55">
        <v>2</v>
      </c>
      <c r="BI55" t="s">
        <v>2768</v>
      </c>
      <c r="BJ55">
        <v>2</v>
      </c>
      <c r="BK55" t="s">
        <v>2776</v>
      </c>
      <c r="BL55">
        <v>2</v>
      </c>
      <c r="BM55" s="176" t="s">
        <v>2776</v>
      </c>
      <c r="BN55">
        <v>2</v>
      </c>
      <c r="BO55" s="176" t="s">
        <v>2776</v>
      </c>
      <c r="BP55">
        <v>2</v>
      </c>
      <c r="BQ55" t="s">
        <v>3013</v>
      </c>
      <c r="BR55">
        <v>2</v>
      </c>
      <c r="BS55" s="176" t="s">
        <v>2776</v>
      </c>
      <c r="BT55">
        <v>2</v>
      </c>
      <c r="BU55" t="s">
        <v>2808</v>
      </c>
      <c r="BV55">
        <v>2</v>
      </c>
      <c r="BW55" s="182" t="s">
        <v>2794</v>
      </c>
      <c r="BX55" s="179">
        <v>2</v>
      </c>
      <c r="BY55" s="176" t="s">
        <v>2776</v>
      </c>
      <c r="BZ55">
        <v>2</v>
      </c>
      <c r="CA55" t="s">
        <v>2776</v>
      </c>
      <c r="CB55">
        <v>2</v>
      </c>
    </row>
    <row r="56" spans="1:80">
      <c r="A56" s="178">
        <f ca="1">IFERROR(IF(AG55&lt;5+金蛇*2,IF(COUNTIF(B55,"*轻*")&gt;0,A55+加速!$L$9,A55+加速!$L$11)+V55,""),"")</f>
        <v>69.35</v>
      </c>
      <c r="B56" s="167" t="str">
        <f ca="1" t="shared" si="0"/>
        <v>云景·云飞玉皇</v>
      </c>
      <c r="C56">
        <f ca="1" t="shared" si="10"/>
        <v>13.71</v>
      </c>
      <c r="D56">
        <f ca="1">IF(B56&lt;&gt;"",IF(C55&lt;=加速!$L$11*(1-E56),0,1),"")</f>
        <v>1</v>
      </c>
      <c r="E56">
        <f ca="1" t="shared" si="7"/>
        <v>1</v>
      </c>
      <c r="G56">
        <f ca="1" t="shared" si="8"/>
        <v>0</v>
      </c>
      <c r="H56">
        <f ca="1">IF(B56&lt;&gt;"",IF(AND(COUNTIF(B55,"*轻*莺鸣柳*")&gt;0,COUNTIF(B56,"*轻*")&lt;1),MAX(0,15+I55-(A56-A55)+COUNTIF(B55,"*平湖*")*0),IF(AND(E56=0,MAX(0,H55-(A56-A55))&lt;=加速!$H$11),0,MAX(0,H55-(A56-A55)))),"")</f>
        <v>0</v>
      </c>
      <c r="I56">
        <f ca="1" t="shared" si="14"/>
        <v>0</v>
      </c>
      <c r="J56">
        <f ca="1" t="shared" si="15"/>
        <v>1</v>
      </c>
      <c r="K56">
        <f ca="1" t="shared" si="1"/>
        <v>2</v>
      </c>
      <c r="L56">
        <f ca="1">IFERROR(IF(AND(COUNTIF(B56,"*-峰插*"),技能数据库!$M$72&gt;0),0,IF(COUNTIF(B56,"*鹤归*")&gt;0,16-加速!$L$11,MAX(0,L55-(A56-A55)))),0)</f>
        <v>8.25999999999998</v>
      </c>
      <c r="M56">
        <f ca="1" t="shared" si="3"/>
        <v>0</v>
      </c>
      <c r="N56">
        <f ca="1">IFERROR(IF(AND(COUNTIF(B56,"*-峰插*"),技能数据库!$M$72&gt;0),0,IF(COUNTIF(B56,"*云飞*")&gt;0,4-COUNTIF(B56,"*玉山揽云*")*4--COUNTIF(B56,"*烟流暮景*")*4-COUNTIF(B56,"*云景*")*加速!$L$11-IF(J56&gt;0,2,0),MAX(0,N55-(A56-A55)-IF(J56&gt;0,2,0)))),0)</f>
        <v>0.71</v>
      </c>
      <c r="O56">
        <f ca="1">IF(AND(COUNTIF(IF(AND(配装计算器!$K$30&lt;&gt;"∞",0),INDEX(AU55:CB55,1,$AT$1),INDEX(AU57:CB57,1,$AT$1)),"*云飞*")=1,COUNTIF(IF(AND(配装计算器!$K$30&lt;&gt;"∞",0),INDEX(AU55:CB55,1,$AT$1),INDEX(AU57:CB57,1,$AT$1)),"*玉山*")=0),N56,0)</f>
        <v>0</v>
      </c>
      <c r="P56">
        <f ca="1">IFERROR(IF(COUNTIF(B56,"*云栖松*")&gt;0,50-加速!$L$11,MAX(0,P55-(A56-A55))),0)</f>
        <v>0</v>
      </c>
      <c r="Q56">
        <f ca="1">IF(COUNTIF(IF(AND(配装计算器!$K$30&lt;&gt;"∞",0),INDEX(AU55:CB55,1,$AT$1),INDEX(AU57:CB57,1,$AT$1)),"*云栖松*")=1,P56,0)</f>
        <v>0</v>
      </c>
      <c r="R56">
        <f ca="1">IFERROR(IF(COUNTIF(B56,"*莺鸣柳*")&gt;0,45-加速!$L$9,MAX(0,R55-(A56-A55))),0)</f>
        <v>0</v>
      </c>
      <c r="S56">
        <f ca="1">IF(COUNTIF(IF(AND(配装计算器!$K$30&lt;&gt;"∞",0),INDEX(AU55:CB55,1,$AT$1),INDEX(AU57:CB57,1,$AT$1)),"*莺鸣柳*")=1,R56,0)</f>
        <v>0</v>
      </c>
      <c r="T56">
        <f ca="1" t="shared" si="11"/>
        <v>0</v>
      </c>
      <c r="U56">
        <f ca="1">IF(金蛇,IF(COUNTIF(B56,"*金环戴*")+COUNTIF(B56,"*吹风醒*")&gt;0,IF(A56&lt;=3,7.125-2.625-A56-加速!$L$11,7.125+加速!$K$9-(A56+加速!$L$11-T56)),0),0)+IF(金蛇,IF(COUNTIF(B56,"*千切子裂光*")&gt;0,2+加速!$K$9-(A56+加速!$L$11-T56),0),0)</f>
        <v>0</v>
      </c>
      <c r="V56">
        <f ca="1" t="shared" si="12"/>
        <v>0</v>
      </c>
      <c r="W56">
        <f ca="1" t="shared" si="4"/>
        <v>0</v>
      </c>
      <c r="X56">
        <f ca="1">INDEX(加速!$I$13:$I$21,W56+1)</f>
        <v>0</v>
      </c>
      <c r="Y56">
        <f ca="1" t="shared" si="13"/>
        <v>0.5</v>
      </c>
      <c r="Z56">
        <f ca="1" t="shared" si="9"/>
        <v>0</v>
      </c>
      <c r="AA56">
        <f ca="1">MAX(0,IFERROR(IF(COUNTIF(B56,"*叠*")&gt;0,IF(AC55&lt;3,8-A57+A56,AA55+6.875-A57+A56),AA55-A57+A56),AA55-加速!$L$11))</f>
        <v>0</v>
      </c>
      <c r="AB56">
        <f ca="1">MAX(0,IF(COUNTIF(IF(AND(配装计算器!$K$30&lt;&gt;"∞",0),INDEX(AU56:CB56,1,$AT$1),INDEX(AU56:CB56,1,$AT$1)),"*叠1*")=1,4*25-加速!$L$11,AB55-A56+A55)-IF(OR(COUNTIF(OFFSET(AT56,0,$AT$1,1,1),"*听雷*")&gt;0,AND(碧归&gt;0,COUNTIF(OFFSET(AT56,0,$AT$1,1,1),"*风来*")&gt;0)),0,1)*1.5)</f>
        <v>55.36</v>
      </c>
      <c r="AC56">
        <f ca="1" t="shared" si="5"/>
        <v>3</v>
      </c>
      <c r="AD56">
        <f ca="1">IF(COUNTIF(IF(AND(配装计算器!$K$30&lt;&gt;"∞",0),INDEX(AU56:CB56,1,$AT$1),INDEX(AU57:CB57,1,$AT$1)),"*叠1*")=1,AB56*0+AE55,0)</f>
        <v>0</v>
      </c>
      <c r="AE56">
        <f ca="1">IF($AN$11&gt;0,IF(COUNTIF(B57,"*叠1*")&gt;0,50-加速!$L$11,MAX(0,AE55-(A57-A56))),0)</f>
        <v>28.07</v>
      </c>
      <c r="AG56">
        <f ca="1" t="shared" si="6"/>
        <v>2</v>
      </c>
      <c r="AH56" t="s">
        <v>1825</v>
      </c>
      <c r="AI56" t="s">
        <v>2801</v>
      </c>
      <c r="AJ56">
        <f ca="1">长时间循环比*COUNTIFS($J$3:$J$515,"&gt;0",$D$3:$D$515,"&gt;0",$H$3:$H$515,"&gt;0")</f>
        <v>0</v>
      </c>
      <c r="AK56" t="s">
        <v>3044</v>
      </c>
      <c r="AM56" t="s">
        <v>2920</v>
      </c>
      <c r="AN56">
        <f ca="1">AN55/1024*(COUNTIF(B29:B541,"*听雷*")*长时间循环比)*技能数据库!M65</f>
        <v>0.80078125</v>
      </c>
      <c r="AU56" t="str">
        <f>IF($AN$11=1,橙武补雾锁,"夕照雷峰")</f>
        <v>云飞玉皇-玉山揽云</v>
      </c>
      <c r="AV56">
        <v>2</v>
      </c>
      <c r="AW56" t="str">
        <f>IF($AR$11=1,"鹤归孤山","云飞玉皇")</f>
        <v>云飞玉皇</v>
      </c>
      <c r="AX56">
        <v>2</v>
      </c>
      <c r="AY56" t="s">
        <v>2768</v>
      </c>
      <c r="AZ56">
        <v>2</v>
      </c>
      <c r="BA56" t="s">
        <v>2768</v>
      </c>
      <c r="BB56">
        <v>2</v>
      </c>
      <c r="BC56" t="s">
        <v>2808</v>
      </c>
      <c r="BD56">
        <v>2</v>
      </c>
      <c r="BE56" t="s">
        <v>2768</v>
      </c>
      <c r="BF56">
        <v>2</v>
      </c>
      <c r="BG56" s="176" t="s">
        <v>2768</v>
      </c>
      <c r="BH56">
        <v>2</v>
      </c>
      <c r="BI56" t="s">
        <v>2808</v>
      </c>
      <c r="BJ56">
        <v>2</v>
      </c>
      <c r="BK56" t="s">
        <v>3036</v>
      </c>
      <c r="BL56">
        <v>2</v>
      </c>
      <c r="BM56" s="176" t="s">
        <v>2768</v>
      </c>
      <c r="BN56">
        <v>2</v>
      </c>
      <c r="BO56" s="176" t="s">
        <v>2768</v>
      </c>
      <c r="BP56">
        <v>2</v>
      </c>
      <c r="BQ56" t="s">
        <v>2808</v>
      </c>
      <c r="BR56">
        <v>2</v>
      </c>
      <c r="BS56" s="176" t="s">
        <v>2768</v>
      </c>
      <c r="BT56">
        <v>2</v>
      </c>
      <c r="BU56" t="s">
        <v>2768</v>
      </c>
      <c r="BV56">
        <v>2</v>
      </c>
      <c r="BW56" s="182" t="s">
        <v>2776</v>
      </c>
      <c r="BX56" s="179">
        <v>2</v>
      </c>
      <c r="BY56" s="176" t="s">
        <v>2768</v>
      </c>
      <c r="BZ56">
        <v>2</v>
      </c>
      <c r="CA56" t="s">
        <v>2768</v>
      </c>
      <c r="CB56">
        <v>2</v>
      </c>
    </row>
    <row r="57" spans="1:80">
      <c r="A57" s="178">
        <f ca="1">IFERROR(IF(AG56&lt;5+金蛇*2,IF(COUNTIF(B56,"*轻*")&gt;0,A56+加速!$L$9,A56+加速!$L$11)+V56,""),"")</f>
        <v>70.64</v>
      </c>
      <c r="B57" s="167" t="str">
        <f ca="1" t="shared" si="0"/>
        <v>夕照雷峰</v>
      </c>
      <c r="C57">
        <f ca="1" t="shared" si="10"/>
        <v>15</v>
      </c>
      <c r="D57">
        <f ca="1">IF(B57&lt;&gt;"",IF(C56&lt;=加速!$L$11*(1-E57),0,1),"")</f>
        <v>1</v>
      </c>
      <c r="E57">
        <f ca="1" t="shared" si="7"/>
        <v>0</v>
      </c>
      <c r="G57">
        <f ca="1" t="shared" si="8"/>
        <v>0</v>
      </c>
      <c r="H57">
        <f ca="1">IF(B57&lt;&gt;"",IF(AND(COUNTIF(B56,"*轻*莺鸣柳*")&gt;0,COUNTIF(B57,"*轻*")&lt;1),MAX(0,15+I56-(A57-A56)+COUNTIF(B56,"*平湖*")*0),IF(AND(E57=0,MAX(0,H56-(A57-A56))&lt;=加速!$H$11),0,MAX(0,H56-(A57-A56)))),"")</f>
        <v>0</v>
      </c>
      <c r="I57">
        <f ca="1" t="shared" si="14"/>
        <v>0</v>
      </c>
      <c r="J57">
        <f ca="1" t="shared" si="15"/>
        <v>0</v>
      </c>
      <c r="K57">
        <f ca="1" t="shared" si="1"/>
        <v>2</v>
      </c>
      <c r="L57">
        <f ca="1">IFERROR(IF(AND(COUNTIF(B57,"*-峰插*"),技能数据库!$M$72&gt;0),0,IF(COUNTIF(B57,"*鹤归*")&gt;0,16-加速!$L$11,MAX(0,L56-(A57-A56)))),0)</f>
        <v>6.96999999999997</v>
      </c>
      <c r="M57">
        <f ca="1" t="shared" si="3"/>
        <v>0</v>
      </c>
      <c r="N57">
        <f ca="1">IFERROR(IF(AND(COUNTIF(B57,"*-峰插*"),技能数据库!$M$72&gt;0),0,IF(COUNTIF(B57,"*云飞*")&gt;0,4-COUNTIF(B57,"*玉山揽云*")*4--COUNTIF(B57,"*烟流暮景*")*4-COUNTIF(B57,"*云景*")*加速!$L$11-IF(J57&gt;0,2,0),MAX(0,N56-(A57-A56)-IF(J57&gt;0,2,0)))),0)</f>
        <v>0</v>
      </c>
      <c r="O57">
        <f ca="1">IF(AND(COUNTIF(IF(AND(配装计算器!$K$30&lt;&gt;"∞",0),INDEX(AU56:CB56,1,$AT$1),INDEX(AU58:CB58,1,$AT$1)),"*云飞*")=1,COUNTIF(IF(AND(配装计算器!$K$30&lt;&gt;"∞",0),INDEX(AU56:CB56,1,$AT$1),INDEX(AU58:CB58,1,$AT$1)),"*玉山*")=0),N57,0)</f>
        <v>0</v>
      </c>
      <c r="P57">
        <f ca="1">IFERROR(IF(COUNTIF(B57,"*云栖松*")&gt;0,50-加速!$L$11,MAX(0,P56-(A57-A56))),0)</f>
        <v>0</v>
      </c>
      <c r="Q57">
        <f ca="1">IF(COUNTIF(IF(AND(配装计算器!$K$30&lt;&gt;"∞",0),INDEX(AU56:CB56,1,$AT$1),INDEX(AU58:CB58,1,$AT$1)),"*云栖松*")=1,P57,0)</f>
        <v>0</v>
      </c>
      <c r="R57">
        <f ca="1">IFERROR(IF(COUNTIF(B57,"*莺鸣柳*")&gt;0,45-加速!$L$9,MAX(0,R56-(A57-A56))),0)</f>
        <v>0</v>
      </c>
      <c r="S57">
        <f ca="1">IF(COUNTIF(IF(AND(配装计算器!$K$30&lt;&gt;"∞",0),INDEX(AU56:CB56,1,$AT$1),INDEX(AU58:CB58,1,$AT$1)),"*莺鸣柳*")=1,R57,0)</f>
        <v>0</v>
      </c>
      <c r="T57">
        <f ca="1" t="shared" si="11"/>
        <v>0</v>
      </c>
      <c r="U57">
        <f ca="1">IF(金蛇,IF(COUNTIF(B57,"*金环戴*")+COUNTIF(B57,"*吹风醒*")&gt;0,IF(A57&lt;=3,7.125-2.625-A57-加速!$L$11,7.125+加速!$K$9-(A57+加速!$L$11-T57)),0),0)+IF(金蛇,IF(COUNTIF(B57,"*千切子裂光*")&gt;0,2+加速!$K$9-(A57+加速!$L$11-T57),0),0)</f>
        <v>0</v>
      </c>
      <c r="V57">
        <f ca="1" t="shared" si="12"/>
        <v>0</v>
      </c>
      <c r="W57">
        <f ca="1" t="shared" si="4"/>
        <v>0</v>
      </c>
      <c r="X57">
        <f ca="1">INDEX(加速!$I$13:$I$21,W57+1)</f>
        <v>0</v>
      </c>
      <c r="Y57">
        <f ca="1" t="shared" si="13"/>
        <v>0.5</v>
      </c>
      <c r="Z57">
        <f ca="1" t="shared" si="9"/>
        <v>0</v>
      </c>
      <c r="AA57">
        <f ca="1">MAX(0,IFERROR(IF(COUNTIF(B57,"*叠*")&gt;0,IF(AC56&lt;3,8-A58+A57,AA56+6.875-A58+A57),AA56-A58+A57),AA56-加速!$L$11))</f>
        <v>0</v>
      </c>
      <c r="AB57">
        <f ca="1">MAX(0,IF(COUNTIF(IF(AND(配装计算器!$K$30&lt;&gt;"∞",0),INDEX(AU57:CB57,1,$AT$1),INDEX(AU57:CB57,1,$AT$1)),"*叠1*")=1,4*25-加速!$L$11,AB56-A57+A56)-IF(OR(COUNTIF(OFFSET(AT57,0,$AT$1,1,1),"*听雷*")&gt;0,AND(碧归&gt;0,COUNTIF(OFFSET(AT57,0,$AT$1,1,1),"*风来*")&gt;0)),0,1)*1.5)</f>
        <v>52.57</v>
      </c>
      <c r="AC57">
        <f ca="1" t="shared" si="5"/>
        <v>0</v>
      </c>
      <c r="AD57">
        <f ca="1">IF(COUNTIF(IF(AND(配装计算器!$K$30&lt;&gt;"∞",0),INDEX(AU57:CB57,1,$AT$1),INDEX(AU58:CB58,1,$AT$1)),"*叠1*")=1,AB57*0+AE56,0)</f>
        <v>0</v>
      </c>
      <c r="AE57">
        <f ca="1">IF($AN$11&gt;0,IF(COUNTIF(B58,"*叠1*")&gt;0,50-加速!$L$11,MAX(0,AE56-(A58-A57))),0)</f>
        <v>26.78</v>
      </c>
      <c r="AG57">
        <f ca="1" t="shared" si="6"/>
        <v>2</v>
      </c>
      <c r="AH57" t="s">
        <v>1825</v>
      </c>
      <c r="AI57" t="s">
        <v>2792</v>
      </c>
      <c r="AJ57">
        <f ca="1">AJ26/2</f>
        <v>0</v>
      </c>
      <c r="AM57" t="s">
        <v>3064</v>
      </c>
      <c r="AN57">
        <f ca="1">IFERROR(COUNTIF(I3:I515,"&gt;0")/COUNTIF($B$3:$B$515,"*听雷*"),0)</f>
        <v>0</v>
      </c>
      <c r="AU57" t="str">
        <f>IF($AN$11=1,"云飞玉皇-玉山揽云","夕照雷峰")</f>
        <v>云飞玉皇-玉山揽云</v>
      </c>
      <c r="AV57">
        <v>2</v>
      </c>
      <c r="AW57" t="str">
        <f>IF($AR$11=1,"云飞玉皇","夕照雷峰")</f>
        <v>夕照雷峰</v>
      </c>
      <c r="AX57">
        <v>2</v>
      </c>
      <c r="AY57" t="s">
        <v>2776</v>
      </c>
      <c r="AZ57">
        <v>2</v>
      </c>
      <c r="BA57" t="s">
        <v>2776</v>
      </c>
      <c r="BB57">
        <v>2</v>
      </c>
      <c r="BC57" t="s">
        <v>2768</v>
      </c>
      <c r="BD57">
        <v>2</v>
      </c>
      <c r="BE57" t="s">
        <v>2776</v>
      </c>
      <c r="BF57">
        <v>2</v>
      </c>
      <c r="BG57" s="176" t="s">
        <v>2776</v>
      </c>
      <c r="BH57">
        <v>2</v>
      </c>
      <c r="BI57" t="s">
        <v>2768</v>
      </c>
      <c r="BJ57">
        <v>2</v>
      </c>
      <c r="BK57" t="s">
        <v>3026</v>
      </c>
      <c r="BL57">
        <v>2</v>
      </c>
      <c r="BM57" s="176" t="s">
        <v>2776</v>
      </c>
      <c r="BN57">
        <v>2</v>
      </c>
      <c r="BO57" t="s">
        <v>3056</v>
      </c>
      <c r="BP57">
        <v>1</v>
      </c>
      <c r="BQ57" t="s">
        <v>2768</v>
      </c>
      <c r="BR57">
        <v>2</v>
      </c>
      <c r="BS57" s="176" t="s">
        <v>2794</v>
      </c>
      <c r="BT57">
        <v>2</v>
      </c>
      <c r="BU57" s="176" t="s">
        <v>2768</v>
      </c>
      <c r="BV57">
        <v>2</v>
      </c>
      <c r="BW57" s="182" t="s">
        <v>2768</v>
      </c>
      <c r="BX57" s="179">
        <v>1</v>
      </c>
      <c r="BY57" s="176" t="s">
        <v>2776</v>
      </c>
      <c r="BZ57">
        <v>2</v>
      </c>
      <c r="CA57" t="s">
        <v>2768</v>
      </c>
      <c r="CB57">
        <v>2</v>
      </c>
    </row>
    <row r="58" spans="1:80">
      <c r="A58" s="178">
        <f ca="1">IFERROR(IF(AG57&lt;5+金蛇*2,IF(COUNTIF(B57,"*轻*")&gt;0,A57+加速!$L$9,A57+加速!$L$11)+V57,""),"")</f>
        <v>71.93</v>
      </c>
      <c r="B58" s="167" t="str">
        <f ca="1" t="shared" si="0"/>
        <v>云飞玉皇</v>
      </c>
      <c r="C58">
        <f ca="1" t="shared" si="10"/>
        <v>13.71</v>
      </c>
      <c r="D58">
        <f ca="1">IF(B58&lt;&gt;"",IF(C57&lt;=加速!$L$11*(1-E58),0,1),"")</f>
        <v>1</v>
      </c>
      <c r="E58">
        <f ca="1" t="shared" si="7"/>
        <v>0</v>
      </c>
      <c r="G58">
        <f ca="1" t="shared" si="8"/>
        <v>0</v>
      </c>
      <c r="H58">
        <f ca="1">IF(B58&lt;&gt;"",IF(AND(COUNTIF(B57,"*轻*莺鸣柳*")&gt;0,COUNTIF(B58,"*轻*")&lt;1),MAX(0,15+I57-(A58-A57)+COUNTIF(B57,"*平湖*")*0),IF(AND(E58=0,MAX(0,H57-(A58-A57))&lt;=加速!$H$11),0,MAX(0,H57-(A58-A57)))),"")</f>
        <v>0</v>
      </c>
      <c r="I58">
        <f ca="1" t="shared" si="14"/>
        <v>0</v>
      </c>
      <c r="J58">
        <f ca="1" t="shared" si="15"/>
        <v>0</v>
      </c>
      <c r="K58">
        <f ca="1" t="shared" si="1"/>
        <v>2</v>
      </c>
      <c r="L58">
        <f ca="1">IFERROR(IF(AND(COUNTIF(B58,"*-峰插*"),技能数据库!$M$72&gt;0),0,IF(COUNTIF(B58,"*鹤归*")&gt;0,16-加速!$L$11,MAX(0,L57-(A58-A57)))),0)</f>
        <v>5.67999999999996</v>
      </c>
      <c r="M58">
        <f ca="1" t="shared" si="3"/>
        <v>0</v>
      </c>
      <c r="N58">
        <f ca="1">IFERROR(IF(AND(COUNTIF(B58,"*-峰插*"),技能数据库!$M$72&gt;0),0,IF(COUNTIF(B58,"*云飞*")&gt;0,4-COUNTIF(B58,"*玉山揽云*")*4--COUNTIF(B58,"*烟流暮景*")*4-COUNTIF(B58,"*云景*")*加速!$L$11-IF(J58&gt;0,2,0),MAX(0,N57-(A58-A57)-IF(J58&gt;0,2,0)))),0)</f>
        <v>4</v>
      </c>
      <c r="O58">
        <f ca="1">IF(AND(COUNTIF(IF(AND(配装计算器!$K$30&lt;&gt;"∞",0),INDEX(AU57:CB57,1,$AT$1),INDEX(AU59:CB59,1,$AT$1)),"*云飞*")=1,COUNTIF(IF(AND(配装计算器!$K$30&lt;&gt;"∞",0),INDEX(AU57:CB57,1,$AT$1),INDEX(AU59:CB59,1,$AT$1)),"*玉山*")=0),N58,0)</f>
        <v>0</v>
      </c>
      <c r="P58">
        <f ca="1">IFERROR(IF(COUNTIF(B58,"*云栖松*")&gt;0,50-加速!$L$11,MAX(0,P57-(A58-A57))),0)</f>
        <v>0</v>
      </c>
      <c r="Q58">
        <f ca="1">IF(COUNTIF(IF(AND(配装计算器!$K$30&lt;&gt;"∞",0),INDEX(AU57:CB57,1,$AT$1),INDEX(AU59:CB59,1,$AT$1)),"*云栖松*")=1,P58,0)</f>
        <v>0</v>
      </c>
      <c r="R58">
        <f ca="1">IFERROR(IF(COUNTIF(B58,"*莺鸣柳*")&gt;0,45-加速!$L$9,MAX(0,R57-(A58-A57))),0)</f>
        <v>0</v>
      </c>
      <c r="S58">
        <f ca="1">IF(COUNTIF(IF(AND(配装计算器!$K$30&lt;&gt;"∞",0),INDEX(AU57:CB57,1,$AT$1),INDEX(AU59:CB59,1,$AT$1)),"*莺鸣柳*")=1,R58,0)</f>
        <v>0</v>
      </c>
      <c r="T58">
        <f ca="1" t="shared" si="11"/>
        <v>0</v>
      </c>
      <c r="U58">
        <f ca="1">IF(金蛇,IF(COUNTIF(B58,"*金环戴*")+COUNTIF(B58,"*吹风醒*")&gt;0,IF(A58&lt;=3,7.125-2.625-A58-加速!$L$11,7.125+加速!$K$9-(A58+加速!$L$11-T58)),0),0)+IF(金蛇,IF(COUNTIF(B58,"*千切子裂光*")&gt;0,2+加速!$K$9-(A58+加速!$L$11-T58),0),0)</f>
        <v>0</v>
      </c>
      <c r="V58">
        <f ca="1" t="shared" si="12"/>
        <v>0</v>
      </c>
      <c r="W58">
        <f ca="1" t="shared" si="4"/>
        <v>0</v>
      </c>
      <c r="X58">
        <f ca="1">INDEX(加速!$I$13:$I$21,W58+1)</f>
        <v>0</v>
      </c>
      <c r="Y58">
        <f ca="1" t="shared" si="13"/>
        <v>0.5</v>
      </c>
      <c r="Z58">
        <f ca="1" t="shared" si="9"/>
        <v>0</v>
      </c>
      <c r="AA58">
        <f ca="1">MAX(0,IFERROR(IF(COUNTIF(B58,"*叠*")&gt;0,IF(AC57&lt;3,8-A59+A58,AA57+6.875-A59+A58),AA57-A59+A58),AA57-加速!$L$11))</f>
        <v>0</v>
      </c>
      <c r="AB58">
        <f ca="1">MAX(0,IF(COUNTIF(IF(AND(配装计算器!$K$30&lt;&gt;"∞",0),INDEX(AU58:CB58,1,$AT$1),INDEX(AU58:CB58,1,$AT$1)),"*叠1*")=1,4*25-加速!$L$11,AB57-A58+A57)-IF(OR(COUNTIF(OFFSET(AT58,0,$AT$1,1,1),"*听雷*")&gt;0,AND(碧归&gt;0,COUNTIF(OFFSET(AT58,0,$AT$1,1,1),"*风来*")&gt;0)),0,1)*1.5)</f>
        <v>49.78</v>
      </c>
      <c r="AC58">
        <f ca="1" t="shared" si="5"/>
        <v>0</v>
      </c>
      <c r="AD58">
        <f ca="1">IF(COUNTIF(IF(AND(配装计算器!$K$30&lt;&gt;"∞",0),INDEX(AU58:CB58,1,$AT$1),INDEX(AU59:CB59,1,$AT$1)),"*叠1*")=1,AB58*0+AE57,0)</f>
        <v>0</v>
      </c>
      <c r="AE58">
        <f ca="1">IF($AN$11&gt;0,IF(COUNTIF(B59,"*叠1*")&gt;0,50-加速!$L$11,MAX(0,AE57-(A59-A58))),0)</f>
        <v>25.49</v>
      </c>
      <c r="AG58">
        <f ca="1" t="shared" si="6"/>
        <v>2</v>
      </c>
      <c r="AH58" t="s">
        <v>1825</v>
      </c>
      <c r="AI58" t="s">
        <v>2792</v>
      </c>
      <c r="AJ58">
        <f ca="1">(AJ27+AJ40)/2+AJ49</f>
        <v>46</v>
      </c>
      <c r="AK58" t="s">
        <v>2750</v>
      </c>
      <c r="AM58" t="s">
        <v>3087</v>
      </c>
      <c r="AN58">
        <f ca="1">AN56*AN57</f>
        <v>0</v>
      </c>
      <c r="AU58" t="s">
        <v>2776</v>
      </c>
      <c r="AV58">
        <v>2</v>
      </c>
      <c r="AW58" t="str">
        <f>IF($AR$11=1,"夕照雷峰","云飞玉皇")</f>
        <v>云飞玉皇</v>
      </c>
      <c r="AX58">
        <v>2</v>
      </c>
      <c r="AY58" t="s">
        <v>2794</v>
      </c>
      <c r="AZ58">
        <v>2</v>
      </c>
      <c r="BA58" t="s">
        <v>2794</v>
      </c>
      <c r="BB58">
        <v>2</v>
      </c>
      <c r="BC58" t="s">
        <v>2768</v>
      </c>
      <c r="BD58">
        <v>2</v>
      </c>
      <c r="BE58" t="s">
        <v>2768</v>
      </c>
      <c r="BF58">
        <v>2</v>
      </c>
      <c r="BG58" t="s">
        <v>2768</v>
      </c>
      <c r="BH58">
        <v>1</v>
      </c>
      <c r="BI58" s="176" t="s">
        <v>2776</v>
      </c>
      <c r="BJ58">
        <v>2</v>
      </c>
      <c r="BK58" t="s">
        <v>3026</v>
      </c>
      <c r="BL58">
        <v>2</v>
      </c>
      <c r="BM58" s="176" t="s">
        <v>2768</v>
      </c>
      <c r="BN58">
        <v>2</v>
      </c>
      <c r="BO58" t="s">
        <v>2768</v>
      </c>
      <c r="BP58">
        <v>2</v>
      </c>
      <c r="BQ58" t="s">
        <v>2768</v>
      </c>
      <c r="BR58">
        <v>2</v>
      </c>
      <c r="BS58" t="s">
        <v>2768</v>
      </c>
      <c r="BT58">
        <v>2</v>
      </c>
      <c r="BU58" s="176" t="s">
        <v>2776</v>
      </c>
      <c r="BV58">
        <v>2</v>
      </c>
      <c r="BW58" s="182" t="s">
        <v>2776</v>
      </c>
      <c r="BX58" s="179">
        <v>1</v>
      </c>
      <c r="BY58" t="s">
        <v>2768</v>
      </c>
      <c r="BZ58">
        <v>2</v>
      </c>
      <c r="CA58" t="s">
        <v>2768</v>
      </c>
      <c r="CB58">
        <v>2</v>
      </c>
    </row>
    <row r="59" spans="1:80">
      <c r="A59" s="178">
        <f ca="1">IFERROR(IF(AG58&lt;5+金蛇*2,IF(COUNTIF(B58,"*轻*")&gt;0,A58+加速!$L$9,A58+加速!$L$11)+V58,""),"")</f>
        <v>73.22</v>
      </c>
      <c r="B59" s="167" t="str">
        <f ca="1" t="shared" si="0"/>
        <v>夕照雷峰</v>
      </c>
      <c r="C59">
        <f ca="1" t="shared" si="10"/>
        <v>15</v>
      </c>
      <c r="D59">
        <f ca="1">IF(B59&lt;&gt;"",IF(C58&lt;=加速!$L$11*(1-E59),0,1),"")</f>
        <v>1</v>
      </c>
      <c r="E59">
        <f ca="1" t="shared" si="7"/>
        <v>0</v>
      </c>
      <c r="G59">
        <f ca="1" t="shared" si="8"/>
        <v>0</v>
      </c>
      <c r="H59">
        <f ca="1">IF(B59&lt;&gt;"",IF(AND(COUNTIF(B58,"*轻*莺鸣柳*")&gt;0,COUNTIF(B59,"*轻*")&lt;1),MAX(0,15+I58-(A59-A58)+COUNTIF(B58,"*平湖*")*0),IF(AND(E59=0,MAX(0,H58-(A59-A58))&lt;=加速!$H$11),0,MAX(0,H58-(A59-A58)))),"")</f>
        <v>0</v>
      </c>
      <c r="I59">
        <f ca="1" t="shared" si="14"/>
        <v>0</v>
      </c>
      <c r="J59">
        <f ca="1" t="shared" si="15"/>
        <v>0</v>
      </c>
      <c r="K59">
        <f ca="1" t="shared" si="1"/>
        <v>2</v>
      </c>
      <c r="L59">
        <f ca="1">IFERROR(IF(AND(COUNTIF(B59,"*-峰插*"),技能数据库!$M$72&gt;0),0,IF(COUNTIF(B59,"*鹤归*")&gt;0,16-加速!$L$11,MAX(0,L58-(A59-A58)))),0)</f>
        <v>4.38999999999996</v>
      </c>
      <c r="M59">
        <f ca="1" t="shared" si="3"/>
        <v>0</v>
      </c>
      <c r="N59">
        <f ca="1">IFERROR(IF(AND(COUNTIF(B59,"*-峰插*"),技能数据库!$M$72&gt;0),0,IF(COUNTIF(B59,"*云飞*")&gt;0,4-COUNTIF(B59,"*玉山揽云*")*4--COUNTIF(B59,"*烟流暮景*")*4-COUNTIF(B59,"*云景*")*加速!$L$11-IF(J59&gt;0,2,0),MAX(0,N58-(A59-A58)-IF(J59&gt;0,2,0)))),0)</f>
        <v>2.70999999999999</v>
      </c>
      <c r="O59">
        <f ca="1">IF(AND(COUNTIF(IF(AND(配装计算器!$K$30&lt;&gt;"∞",0),INDEX(AU58:CB58,1,$AT$1),INDEX(AU60:CB60,1,$AT$1)),"*云飞*")=1,COUNTIF(IF(AND(配装计算器!$K$30&lt;&gt;"∞",0),INDEX(AU58:CB58,1,$AT$1),INDEX(AU60:CB60,1,$AT$1)),"*玉山*")=0),N59,0)</f>
        <v>0</v>
      </c>
      <c r="P59">
        <f ca="1">IFERROR(IF(COUNTIF(B59,"*云栖松*")&gt;0,50-加速!$L$11,MAX(0,P58-(A59-A58))),0)</f>
        <v>0</v>
      </c>
      <c r="Q59">
        <f ca="1">IF(COUNTIF(IF(AND(配装计算器!$K$30&lt;&gt;"∞",0),INDEX(AU58:CB58,1,$AT$1),INDEX(AU60:CB60,1,$AT$1)),"*云栖松*")=1,P59,0)</f>
        <v>0</v>
      </c>
      <c r="R59">
        <f ca="1">IFERROR(IF(COUNTIF(B59,"*莺鸣柳*")&gt;0,45-加速!$L$9,MAX(0,R58-(A59-A58))),0)</f>
        <v>0</v>
      </c>
      <c r="S59">
        <f ca="1">IF(COUNTIF(IF(AND(配装计算器!$K$30&lt;&gt;"∞",0),INDEX(AU58:CB58,1,$AT$1),INDEX(AU60:CB60,1,$AT$1)),"*莺鸣柳*")=1,R59,0)</f>
        <v>0</v>
      </c>
      <c r="T59">
        <f ca="1" t="shared" si="11"/>
        <v>0</v>
      </c>
      <c r="U59">
        <f ca="1">IF(金蛇,IF(COUNTIF(B59,"*金环戴*")+COUNTIF(B59,"*吹风醒*")&gt;0,IF(A59&lt;=3,7.125-2.625-A59-加速!$L$11,7.125+加速!$K$9-(A59+加速!$L$11-T59)),0),0)+IF(金蛇,IF(COUNTIF(B59,"*千切子裂光*")&gt;0,2+加速!$K$9-(A59+加速!$L$11-T59),0),0)</f>
        <v>0</v>
      </c>
      <c r="V59">
        <f ca="1" t="shared" si="12"/>
        <v>0</v>
      </c>
      <c r="W59">
        <f ca="1" t="shared" si="4"/>
        <v>0</v>
      </c>
      <c r="X59">
        <f ca="1">INDEX(加速!$I$13:$I$21,W59+1)</f>
        <v>0</v>
      </c>
      <c r="Y59">
        <f ca="1" t="shared" si="13"/>
        <v>0.5</v>
      </c>
      <c r="Z59">
        <f ca="1" t="shared" si="9"/>
        <v>0</v>
      </c>
      <c r="AA59">
        <f ca="1">MAX(0,IFERROR(IF(COUNTIF(B59,"*叠*")&gt;0,IF(AC58&lt;3,8-A60+A59,AA58+6.875-A60+A59),AA58-A60+A59),AA58-加速!$L$11))</f>
        <v>0</v>
      </c>
      <c r="AB59">
        <f ca="1">MAX(0,IF(COUNTIF(IF(AND(配装计算器!$K$30&lt;&gt;"∞",0),INDEX(AU59:CB59,1,$AT$1),INDEX(AU59:CB59,1,$AT$1)),"*叠1*")=1,4*25-加速!$L$11,AB58-A59+A58)-IF(OR(COUNTIF(OFFSET(AT59,0,$AT$1,1,1),"*听雷*")&gt;0,AND(碧归&gt;0,COUNTIF(OFFSET(AT59,0,$AT$1,1,1),"*风来*")&gt;0)),0,1)*1.5)</f>
        <v>46.99</v>
      </c>
      <c r="AC59">
        <f ca="1" t="shared" si="5"/>
        <v>0</v>
      </c>
      <c r="AD59">
        <f ca="1">IF(COUNTIF(IF(AND(配装计算器!$K$30&lt;&gt;"∞",0),INDEX(AU59:CB59,1,$AT$1),INDEX(AU60:CB60,1,$AT$1)),"*叠1*")=1,AB59*0+AE58,0)</f>
        <v>0</v>
      </c>
      <c r="AE59">
        <f ca="1">IF($AN$11&gt;0,IF(COUNTIF(B60,"*叠1*")&gt;0,50-加速!$L$11,MAX(0,AE58-(A60-A59))),0)</f>
        <v>24.2</v>
      </c>
      <c r="AG59">
        <f ca="1" t="shared" si="6"/>
        <v>2</v>
      </c>
      <c r="AH59" t="s">
        <v>1825</v>
      </c>
      <c r="AI59" t="s">
        <v>2792</v>
      </c>
      <c r="AJ59">
        <f ca="1">AJ28/2+AJ97/2+AJ93+AJ102</f>
        <v>0</v>
      </c>
      <c r="AK59" t="s">
        <v>2948</v>
      </c>
      <c r="AM59" t="s">
        <v>2920</v>
      </c>
      <c r="AN59">
        <f ca="1">AN56-AN58</f>
        <v>0.80078125</v>
      </c>
      <c r="AU59" s="176" t="s">
        <v>2794</v>
      </c>
      <c r="AV59">
        <v>2</v>
      </c>
      <c r="AW59" t="str">
        <f>IF($AR$11=1,"云飞玉皇","夕照雷峰")</f>
        <v>夕照雷峰</v>
      </c>
      <c r="AX59">
        <v>2</v>
      </c>
      <c r="AY59" t="s">
        <v>2768</v>
      </c>
      <c r="AZ59">
        <v>2</v>
      </c>
      <c r="BA59" t="s">
        <v>2768</v>
      </c>
      <c r="BB59">
        <v>2</v>
      </c>
      <c r="BC59" t="s">
        <v>2776</v>
      </c>
      <c r="BD59">
        <v>1</v>
      </c>
      <c r="BE59" t="s">
        <v>2776</v>
      </c>
      <c r="BF59">
        <v>2</v>
      </c>
      <c r="BG59" s="176" t="s">
        <v>2768</v>
      </c>
      <c r="BH59">
        <v>1</v>
      </c>
      <c r="BI59" t="s">
        <v>2768</v>
      </c>
      <c r="BJ59">
        <v>2</v>
      </c>
      <c r="BK59" t="s">
        <v>3026</v>
      </c>
      <c r="BL59">
        <v>2</v>
      </c>
      <c r="BM59" t="s">
        <v>3056</v>
      </c>
      <c r="BN59">
        <v>1</v>
      </c>
      <c r="BO59" t="s">
        <v>2768</v>
      </c>
      <c r="BP59">
        <v>2</v>
      </c>
      <c r="BQ59" t="s">
        <v>2776</v>
      </c>
      <c r="BR59">
        <v>1</v>
      </c>
      <c r="BS59" t="s">
        <v>2776</v>
      </c>
      <c r="BT59">
        <v>2</v>
      </c>
      <c r="BU59" t="s">
        <v>2768</v>
      </c>
      <c r="BV59">
        <v>1</v>
      </c>
      <c r="BW59" s="182" t="s">
        <v>2768</v>
      </c>
      <c r="BX59" s="179">
        <v>1</v>
      </c>
      <c r="BY59" t="s">
        <v>2776</v>
      </c>
      <c r="BZ59">
        <v>2</v>
      </c>
      <c r="CA59" t="s">
        <v>2776</v>
      </c>
      <c r="CB59">
        <v>2</v>
      </c>
    </row>
    <row r="60" spans="1:80">
      <c r="A60" s="178">
        <f ca="1">IFERROR(IF(AG59&lt;5+金蛇*2,IF(COUNTIF(B59,"*轻*")&gt;0,A59+加速!$L$9,A59+加速!$L$11)+V59,""),"")</f>
        <v>74.51</v>
      </c>
      <c r="B60" s="167" t="str">
        <f ca="1" t="shared" si="0"/>
        <v>夕照雷峰</v>
      </c>
      <c r="C60">
        <f ca="1" t="shared" si="10"/>
        <v>15</v>
      </c>
      <c r="D60">
        <f ca="1">IF(B60&lt;&gt;"",IF(C59&lt;=加速!$L$11*(1-E60),0,1),"")</f>
        <v>1</v>
      </c>
      <c r="E60">
        <f ca="1" t="shared" si="7"/>
        <v>0</v>
      </c>
      <c r="G60">
        <f ca="1" t="shared" si="8"/>
        <v>0</v>
      </c>
      <c r="H60">
        <f ca="1">IF(B60&lt;&gt;"",IF(AND(COUNTIF(B59,"*轻*莺鸣柳*")&gt;0,COUNTIF(B60,"*轻*")&lt;1),MAX(0,15+I59-(A60-A59)+COUNTIF(B59,"*平湖*")*0),IF(AND(E60=0,MAX(0,H59-(A60-A59))&lt;=加速!$H$11),0,MAX(0,H59-(A60-A59)))),"")</f>
        <v>0</v>
      </c>
      <c r="I60">
        <f ca="1" t="shared" si="14"/>
        <v>0</v>
      </c>
      <c r="J60">
        <f ca="1" t="shared" si="15"/>
        <v>0</v>
      </c>
      <c r="K60">
        <f ca="1" t="shared" si="1"/>
        <v>1</v>
      </c>
      <c r="L60">
        <f ca="1">IFERROR(IF(AND(COUNTIF(B60,"*-峰插*"),技能数据库!$M$72&gt;0),0,IF(COUNTIF(B60,"*鹤归*")&gt;0,16-加速!$L$11,MAX(0,L59-(A60-A59)))),0)</f>
        <v>3.09999999999995</v>
      </c>
      <c r="M60">
        <f ca="1" t="shared" si="3"/>
        <v>0</v>
      </c>
      <c r="N60">
        <f ca="1">IFERROR(IF(AND(COUNTIF(B60,"*-峰插*"),技能数据库!$M$72&gt;0),0,IF(COUNTIF(B60,"*云飞*")&gt;0,4-COUNTIF(B60,"*玉山揽云*")*4--COUNTIF(B60,"*烟流暮景*")*4-COUNTIF(B60,"*云景*")*加速!$L$11-IF(J60&gt;0,2,0),MAX(0,N59-(A60-A59)-IF(J60&gt;0,2,0)))),0)</f>
        <v>1.41999999999999</v>
      </c>
      <c r="O60">
        <f ca="1">IF(AND(COUNTIF(IF(AND(配装计算器!$K$30&lt;&gt;"∞",0),INDEX(AU59:CB59,1,$AT$1),INDEX(AU61:CB61,1,$AT$1)),"*云飞*")=1,COUNTIF(IF(AND(配装计算器!$K$30&lt;&gt;"∞",0),INDEX(AU59:CB59,1,$AT$1),INDEX(AU61:CB61,1,$AT$1)),"*玉山*")=0),N60,0)</f>
        <v>0</v>
      </c>
      <c r="P60">
        <f ca="1">IFERROR(IF(COUNTIF(B60,"*云栖松*")&gt;0,50-加速!$L$11,MAX(0,P59-(A60-A59))),0)</f>
        <v>0</v>
      </c>
      <c r="Q60">
        <f ca="1">IF(COUNTIF(IF(AND(配装计算器!$K$30&lt;&gt;"∞",0),INDEX(AU59:CB59,1,$AT$1),INDEX(AU61:CB61,1,$AT$1)),"*云栖松*")=1,P60,0)</f>
        <v>0</v>
      </c>
      <c r="R60">
        <f ca="1">IFERROR(IF(COUNTIF(B60,"*莺鸣柳*")&gt;0,45-加速!$L$9,MAX(0,R59-(A60-A59))),0)</f>
        <v>0</v>
      </c>
      <c r="S60">
        <f ca="1">IF(COUNTIF(IF(AND(配装计算器!$K$30&lt;&gt;"∞",0),INDEX(AU59:CB59,1,$AT$1),INDEX(AU61:CB61,1,$AT$1)),"*莺鸣柳*")=1,R60,0)</f>
        <v>0</v>
      </c>
      <c r="T60">
        <f ca="1" t="shared" si="11"/>
        <v>0</v>
      </c>
      <c r="U60">
        <f ca="1">IF(金蛇,IF(COUNTIF(B60,"*金环戴*")+COUNTIF(B60,"*吹风醒*")&gt;0,IF(A60&lt;=3,7.125-2.625-A60-加速!$L$11,7.125+加速!$K$9-(A60+加速!$L$11-T60)),0),0)+IF(金蛇,IF(COUNTIF(B60,"*千切子裂光*")&gt;0,2+加速!$K$9-(A60+加速!$L$11-T60),0),0)</f>
        <v>0</v>
      </c>
      <c r="V60">
        <f ca="1" t="shared" si="12"/>
        <v>0</v>
      </c>
      <c r="W60">
        <f ca="1" t="shared" si="4"/>
        <v>0</v>
      </c>
      <c r="X60">
        <f ca="1">INDEX(加速!$I$13:$I$21,W60+1)</f>
        <v>0</v>
      </c>
      <c r="Y60">
        <f ca="1" t="shared" si="13"/>
        <v>0.5</v>
      </c>
      <c r="Z60">
        <f ca="1" t="shared" si="9"/>
        <v>0</v>
      </c>
      <c r="AA60">
        <f ca="1">MAX(0,IFERROR(IF(COUNTIF(B60,"*叠*")&gt;0,IF(AC59&lt;3,8-A61+A60,AA59+6.875-A61+A60),AA59-A61+A60),AA59-加速!$L$11))</f>
        <v>0</v>
      </c>
      <c r="AB60">
        <f ca="1">MAX(0,IF(COUNTIF(IF(AND(配装计算器!$K$30&lt;&gt;"∞",0),INDEX(AU60:CB60,1,$AT$1),INDEX(AU60:CB60,1,$AT$1)),"*叠1*")=1,4*25-加速!$L$11,AB59-A60+A59)-IF(OR(COUNTIF(OFFSET(AT60,0,$AT$1,1,1),"*听雷*")&gt;0,AND(碧归&gt;0,COUNTIF(OFFSET(AT60,0,$AT$1,1,1),"*风来*")&gt;0)),0,1)*1.5)</f>
        <v>44.2</v>
      </c>
      <c r="AC60">
        <f ca="1" t="shared" si="5"/>
        <v>0</v>
      </c>
      <c r="AD60">
        <f ca="1">IF(COUNTIF(IF(AND(配装计算器!$K$30&lt;&gt;"∞",0),INDEX(AU60:CB60,1,$AT$1),INDEX(AU61:CB61,1,$AT$1)),"*叠1*")=1,AB60*0+AE59,0)</f>
        <v>0</v>
      </c>
      <c r="AE60">
        <f ca="1">IF($AN$11&gt;0,IF(COUNTIF(B61,"*叠1*")&gt;0,50-加速!$L$11,MAX(0,AE59-(A61-A60))),0)</f>
        <v>22.91</v>
      </c>
      <c r="AG60">
        <f ca="1" t="shared" si="6"/>
        <v>2</v>
      </c>
      <c r="AH60" t="s">
        <v>1825</v>
      </c>
      <c r="AI60" t="s">
        <v>2792</v>
      </c>
      <c r="AJ60">
        <f ca="1">(AJ29+AJ41)/2+AJ65+AJ50+AJ48/16</f>
        <v>0</v>
      </c>
      <c r="AK60" t="s">
        <v>3044</v>
      </c>
      <c r="AU60" s="176" t="s">
        <v>2768</v>
      </c>
      <c r="AV60">
        <v>2</v>
      </c>
      <c r="AW60" t="str">
        <f>IF($AR$11=1,"夕照雷峰","云景·云飞玉皇-黄龙吐翠")</f>
        <v>云景·云飞玉皇-黄龙吐翠</v>
      </c>
      <c r="AX60">
        <f>IF($AR$11=1,2,1)</f>
        <v>1</v>
      </c>
      <c r="AY60" t="s">
        <v>2776</v>
      </c>
      <c r="AZ60">
        <v>2</v>
      </c>
      <c r="BA60" t="s">
        <v>2776</v>
      </c>
      <c r="BB60">
        <v>2</v>
      </c>
      <c r="BC60" t="s">
        <v>2768</v>
      </c>
      <c r="BD60">
        <v>1</v>
      </c>
      <c r="BE60" t="s">
        <v>2768</v>
      </c>
      <c r="BF60">
        <v>2</v>
      </c>
      <c r="BG60" t="s">
        <v>3055</v>
      </c>
      <c r="BH60">
        <v>0</v>
      </c>
      <c r="BI60" t="s">
        <v>2768</v>
      </c>
      <c r="BJ60">
        <v>1</v>
      </c>
      <c r="BK60" t="s">
        <v>3026</v>
      </c>
      <c r="BL60">
        <v>2</v>
      </c>
      <c r="BM60" t="s">
        <v>2768</v>
      </c>
      <c r="BN60">
        <v>2</v>
      </c>
      <c r="BO60" t="s">
        <v>2768</v>
      </c>
      <c r="BP60">
        <v>2</v>
      </c>
      <c r="BQ60" t="s">
        <v>3055</v>
      </c>
      <c r="BR60">
        <v>2</v>
      </c>
      <c r="BS60" t="s">
        <v>2768</v>
      </c>
      <c r="BT60">
        <v>2</v>
      </c>
      <c r="BU60" s="176" t="s">
        <v>2768</v>
      </c>
      <c r="BV60">
        <v>1</v>
      </c>
      <c r="BW60" s="182" t="s">
        <v>2776</v>
      </c>
      <c r="BX60" s="179">
        <v>1</v>
      </c>
      <c r="BY60" t="s">
        <v>2718</v>
      </c>
      <c r="BZ60">
        <v>0</v>
      </c>
      <c r="CA60" t="s">
        <v>2718</v>
      </c>
      <c r="CB60">
        <v>0</v>
      </c>
    </row>
    <row r="61" spans="1:80">
      <c r="A61" s="178">
        <f ca="1">IFERROR(IF(AG60&lt;5+金蛇*2,IF(COUNTIF(B60,"*轻*")&gt;0,A60+加速!$L$9,A60+加速!$L$11)+V60,""),"")</f>
        <v>75.8000000000001</v>
      </c>
      <c r="B61" s="167" t="str">
        <f ca="1" t="shared" si="0"/>
        <v>夕照雷峰</v>
      </c>
      <c r="C61">
        <f ca="1" t="shared" si="10"/>
        <v>15</v>
      </c>
      <c r="D61">
        <f ca="1">IF(B61&lt;&gt;"",IF(C60&lt;=加速!$L$11*(1-E61),0,1),"")</f>
        <v>1</v>
      </c>
      <c r="E61">
        <f ca="1" t="shared" si="7"/>
        <v>0</v>
      </c>
      <c r="G61">
        <f ca="1" t="shared" si="8"/>
        <v>0</v>
      </c>
      <c r="H61">
        <f ca="1">IF(B61&lt;&gt;"",IF(AND(COUNTIF(B60,"*轻*莺鸣柳*")&gt;0,COUNTIF(B61,"*轻*")&lt;1),MAX(0,15+I60-(A61-A60)+COUNTIF(B60,"*平湖*")*0),IF(AND(E61=0,MAX(0,H60-(A61-A60))&lt;=加速!$H$11),0,MAX(0,H60-(A61-A60)))),"")</f>
        <v>0</v>
      </c>
      <c r="I61">
        <f ca="1" t="shared" si="14"/>
        <v>0</v>
      </c>
      <c r="J61">
        <f ca="1" t="shared" si="15"/>
        <v>0</v>
      </c>
      <c r="K61">
        <f ca="1" t="shared" si="1"/>
        <v>1</v>
      </c>
      <c r="L61">
        <f ca="1">IFERROR(IF(AND(COUNTIF(B61,"*-峰插*"),技能数据库!$M$72&gt;0),0,IF(COUNTIF(B61,"*鹤归*")&gt;0,16-加速!$L$11,MAX(0,L60-(A61-A60)))),0)</f>
        <v>1.80999999999995</v>
      </c>
      <c r="M61">
        <f ca="1" t="shared" si="3"/>
        <v>0</v>
      </c>
      <c r="N61">
        <f ca="1">IFERROR(IF(AND(COUNTIF(B61,"*-峰插*"),技能数据库!$M$72&gt;0),0,IF(COUNTIF(B61,"*云飞*")&gt;0,4-COUNTIF(B61,"*玉山揽云*")*4--COUNTIF(B61,"*烟流暮景*")*4-COUNTIF(B61,"*云景*")*加速!$L$11-IF(J61&gt;0,2,0),MAX(0,N60-(A61-A60)-IF(J61&gt;0,2,0)))),0)</f>
        <v>0.129999999999981</v>
      </c>
      <c r="O61">
        <f ca="1">IF(AND(COUNTIF(IF(AND(配装计算器!$K$30&lt;&gt;"∞",0),INDEX(AU60:CB60,1,$AT$1),INDEX(AU62:CB62,1,$AT$1)),"*云飞*")=1,COUNTIF(IF(AND(配装计算器!$K$30&lt;&gt;"∞",0),INDEX(AU60:CB60,1,$AT$1),INDEX(AU62:CB62,1,$AT$1)),"*玉山*")=0),N61,0)</f>
        <v>0.129999999999981</v>
      </c>
      <c r="P61">
        <f ca="1">IFERROR(IF(COUNTIF(B61,"*云栖松*")&gt;0,50-加速!$L$11,MAX(0,P60-(A61-A60))),0)</f>
        <v>0</v>
      </c>
      <c r="Q61">
        <f ca="1">IF(COUNTIF(IF(AND(配装计算器!$K$30&lt;&gt;"∞",0),INDEX(AU60:CB60,1,$AT$1),INDEX(AU62:CB62,1,$AT$1)),"*云栖松*")=1,P61,0)</f>
        <v>0</v>
      </c>
      <c r="R61">
        <f ca="1">IFERROR(IF(COUNTIF(B61,"*莺鸣柳*")&gt;0,45-加速!$L$9,MAX(0,R60-(A61-A60))),0)</f>
        <v>0</v>
      </c>
      <c r="S61">
        <f ca="1">IF(COUNTIF(IF(AND(配装计算器!$K$30&lt;&gt;"∞",0),INDEX(AU60:CB60,1,$AT$1),INDEX(AU62:CB62,1,$AT$1)),"*莺鸣柳*")=1,R61,0)</f>
        <v>0</v>
      </c>
      <c r="T61">
        <f ca="1" t="shared" si="11"/>
        <v>0</v>
      </c>
      <c r="U61">
        <f ca="1">IF(金蛇,IF(COUNTIF(B61,"*金环戴*")+COUNTIF(B61,"*吹风醒*")&gt;0,IF(A61&lt;=3,7.125-2.625-A61-加速!$L$11,7.125+加速!$K$9-(A61+加速!$L$11-T61)),0),0)+IF(金蛇,IF(COUNTIF(B61,"*千切子裂光*")&gt;0,2+加速!$K$9-(A61+加速!$L$11-T61),0),0)</f>
        <v>0</v>
      </c>
      <c r="V61">
        <f ca="1" t="shared" si="12"/>
        <v>0.129999999999981</v>
      </c>
      <c r="W61">
        <f ca="1" t="shared" si="4"/>
        <v>0</v>
      </c>
      <c r="X61">
        <f ca="1">INDEX(加速!$I$13:$I$21,W61+1)</f>
        <v>0</v>
      </c>
      <c r="Y61">
        <f ca="1" t="shared" si="13"/>
        <v>0.5</v>
      </c>
      <c r="Z61">
        <f ca="1" t="shared" si="9"/>
        <v>0</v>
      </c>
      <c r="AA61">
        <f ca="1">MAX(0,IFERROR(IF(COUNTIF(B61,"*叠*")&gt;0,IF(AC60&lt;3,8-A62+A61,AA60+6.875-A62+A61),AA60-A62+A61),AA60-加速!$L$11))</f>
        <v>0</v>
      </c>
      <c r="AB61">
        <f ca="1">MAX(0,IF(COUNTIF(IF(AND(配装计算器!$K$30&lt;&gt;"∞",0),INDEX(AU61:CB61,1,$AT$1),INDEX(AU61:CB61,1,$AT$1)),"*叠1*")=1,4*25-加速!$L$11,AB60-A61+A60)-IF(OR(COUNTIF(OFFSET(AT61,0,$AT$1,1,1),"*听雷*")&gt;0,AND(碧归&gt;0,COUNTIF(OFFSET(AT61,0,$AT$1,1,1),"*风来*")&gt;0)),0,1)*1.5)</f>
        <v>41.41</v>
      </c>
      <c r="AC61">
        <f ca="1" t="shared" si="5"/>
        <v>0</v>
      </c>
      <c r="AD61">
        <f ca="1">IF(COUNTIF(IF(AND(配装计算器!$K$30&lt;&gt;"∞",0),INDEX(AU61:CB61,1,$AT$1),INDEX(AU62:CB62,1,$AT$1)),"*叠1*")=1,AB61*0+AE60,0)</f>
        <v>0</v>
      </c>
      <c r="AE61">
        <f ca="1">IF($AN$11&gt;0,IF(COUNTIF(B62,"*叠1*")&gt;0,50-加速!$L$11,MAX(0,AE60-(A62-A61))),0)</f>
        <v>21.49</v>
      </c>
      <c r="AG61">
        <f ca="1" t="shared" si="6"/>
        <v>2</v>
      </c>
      <c r="AH61" t="s">
        <v>1028</v>
      </c>
      <c r="AI61" t="s">
        <v>2723</v>
      </c>
      <c r="AM61" t="s">
        <v>3088</v>
      </c>
      <c r="AN61">
        <f ca="1">INT(AS1/(6+(加速!L11*(1+2/3))/2))*IF(MAX(额外属性!D171,额外属性!D172)&gt;1,1,0)+COUNTIF($B:$B,"*莺鸣柳*")*IF(MAX(额外属性!D171,额外属性!D171)=1,1,0)</f>
        <v>0</v>
      </c>
      <c r="AU61" s="176" t="s">
        <v>2776</v>
      </c>
      <c r="AV61">
        <v>2</v>
      </c>
      <c r="AW61" t="str">
        <f>IF($AR$11=1,"云飞玉皇","夕照雷峰")</f>
        <v>夕照雷峰</v>
      </c>
      <c r="AX61">
        <v>2</v>
      </c>
      <c r="AY61" t="s">
        <v>2768</v>
      </c>
      <c r="AZ61">
        <v>2</v>
      </c>
      <c r="BA61" t="s">
        <v>2768</v>
      </c>
      <c r="BB61">
        <v>2</v>
      </c>
      <c r="BC61" t="s">
        <v>2794</v>
      </c>
      <c r="BD61">
        <v>2</v>
      </c>
      <c r="BE61" t="s">
        <v>2776</v>
      </c>
      <c r="BF61">
        <v>2</v>
      </c>
      <c r="BG61" t="s">
        <v>2776</v>
      </c>
      <c r="BH61">
        <v>2</v>
      </c>
      <c r="BI61" s="176" t="s">
        <v>2768</v>
      </c>
      <c r="BJ61">
        <v>1</v>
      </c>
      <c r="BK61" t="s">
        <v>2776</v>
      </c>
      <c r="BL61">
        <v>2</v>
      </c>
      <c r="BM61" t="s">
        <v>2768</v>
      </c>
      <c r="BN61">
        <v>2</v>
      </c>
      <c r="BO61" t="s">
        <v>2776</v>
      </c>
      <c r="BP61">
        <v>2</v>
      </c>
      <c r="BQ61" t="s">
        <v>2768</v>
      </c>
      <c r="BR61">
        <v>2</v>
      </c>
      <c r="BS61" t="s">
        <v>2776</v>
      </c>
      <c r="BT61">
        <v>1</v>
      </c>
      <c r="BU61" t="s">
        <v>3055</v>
      </c>
      <c r="BV61">
        <v>0</v>
      </c>
      <c r="BW61" s="179" t="s">
        <v>2718</v>
      </c>
      <c r="BX61" s="179">
        <v>1</v>
      </c>
      <c r="BY61" t="s">
        <v>2768</v>
      </c>
      <c r="BZ61">
        <v>2</v>
      </c>
      <c r="CA61" t="s">
        <v>2768</v>
      </c>
      <c r="CB61">
        <v>2</v>
      </c>
    </row>
    <row r="62" spans="1:80">
      <c r="A62" s="178">
        <f ca="1">IFERROR(IF(AG61&lt;5+金蛇*2,IF(COUNTIF(B61,"*轻*")&gt;0,A61+加速!$L$9,A61+加速!$L$11)+V61,""),"")</f>
        <v>77.22</v>
      </c>
      <c r="B62" s="167" t="str">
        <f ca="1" t="shared" si="0"/>
        <v>云飞玉皇</v>
      </c>
      <c r="C62">
        <f ca="1" t="shared" si="10"/>
        <v>13.58</v>
      </c>
      <c r="D62">
        <f ca="1">IF(B62&lt;&gt;"",IF(C61&lt;=加速!$L$11*(1-E62),0,1),"")</f>
        <v>1</v>
      </c>
      <c r="E62">
        <f ca="1" t="shared" si="7"/>
        <v>0</v>
      </c>
      <c r="G62">
        <f ca="1" t="shared" si="8"/>
        <v>0</v>
      </c>
      <c r="H62">
        <f ca="1">IF(B62&lt;&gt;"",IF(AND(COUNTIF(B61,"*轻*莺鸣柳*")&gt;0,COUNTIF(B62,"*轻*")&lt;1),MAX(0,15+I61-(A62-A61)+COUNTIF(B61,"*平湖*")*0),IF(AND(E62=0,MAX(0,H61-(A62-A61))&lt;=加速!$H$11),0,MAX(0,H61-(A62-A61)))),"")</f>
        <v>0</v>
      </c>
      <c r="I62">
        <f ca="1" t="shared" si="14"/>
        <v>0</v>
      </c>
      <c r="J62">
        <f ca="1" t="shared" si="15"/>
        <v>0</v>
      </c>
      <c r="K62">
        <f ca="1" t="shared" si="1"/>
        <v>0</v>
      </c>
      <c r="L62">
        <f ca="1">IFERROR(IF(AND(COUNTIF(B62,"*-峰插*"),技能数据库!$M$72&gt;0),0,IF(COUNTIF(B62,"*鹤归*")&gt;0,16-加速!$L$11,MAX(0,L61-(A62-A61)))),0)</f>
        <v>0.389999999999958</v>
      </c>
      <c r="M62">
        <f ca="1" t="shared" si="3"/>
        <v>0.389999999999958</v>
      </c>
      <c r="N62">
        <f ca="1">IFERROR(IF(AND(COUNTIF(B62,"*-峰插*"),技能数据库!$M$72&gt;0),0,IF(COUNTIF(B62,"*云飞*")&gt;0,4-COUNTIF(B62,"*玉山揽云*")*4--COUNTIF(B62,"*烟流暮景*")*4-COUNTIF(B62,"*云景*")*加速!$L$11-IF(J62&gt;0,2,0),MAX(0,N61-(A62-A61)-IF(J62&gt;0,2,0)))),0)</f>
        <v>4</v>
      </c>
      <c r="O62">
        <f ca="1">IF(AND(COUNTIF(IF(AND(配装计算器!$K$30&lt;&gt;"∞",0),INDEX(AU61:CB61,1,$AT$1),INDEX(AU63:CB63,1,$AT$1)),"*云飞*")=1,COUNTIF(IF(AND(配装计算器!$K$30&lt;&gt;"∞",0),INDEX(AU61:CB61,1,$AT$1),INDEX(AU63:CB63,1,$AT$1)),"*玉山*")=0),N62,0)</f>
        <v>0</v>
      </c>
      <c r="P62">
        <f ca="1">IFERROR(IF(COUNTIF(B62,"*云栖松*")&gt;0,50-加速!$L$11,MAX(0,P61-(A62-A61))),0)</f>
        <v>0</v>
      </c>
      <c r="Q62">
        <f ca="1">IF(COUNTIF(IF(AND(配装计算器!$K$30&lt;&gt;"∞",0),INDEX(AU61:CB61,1,$AT$1),INDEX(AU63:CB63,1,$AT$1)),"*云栖松*")=1,P62,0)</f>
        <v>0</v>
      </c>
      <c r="R62">
        <f ca="1">IFERROR(IF(COUNTIF(B62,"*莺鸣柳*")&gt;0,45-加速!$L$9,MAX(0,R61-(A62-A61))),0)</f>
        <v>0</v>
      </c>
      <c r="S62">
        <f ca="1">IF(COUNTIF(IF(AND(配装计算器!$K$30&lt;&gt;"∞",0),INDEX(AU61:CB61,1,$AT$1),INDEX(AU63:CB63,1,$AT$1)),"*莺鸣柳*")=1,R62,0)</f>
        <v>0</v>
      </c>
      <c r="T62">
        <f ca="1" t="shared" si="11"/>
        <v>0</v>
      </c>
      <c r="U62">
        <f ca="1">IF(金蛇,IF(COUNTIF(B62,"*金环戴*")+COUNTIF(B62,"*吹风醒*")&gt;0,IF(A62&lt;=3,7.125-2.625-A62-加速!$L$11,7.125+加速!$K$9-(A62+加速!$L$11-T62)),0),0)+IF(金蛇,IF(COUNTIF(B62,"*千切子裂光*")&gt;0,2+加速!$K$9-(A62+加速!$L$11-T62),0),0)</f>
        <v>0</v>
      </c>
      <c r="V62">
        <f ca="1" t="shared" si="12"/>
        <v>0.389999999999958</v>
      </c>
      <c r="W62">
        <f ca="1" t="shared" si="4"/>
        <v>0</v>
      </c>
      <c r="X62">
        <f ca="1">INDEX(加速!$I$13:$I$21,W62+1)</f>
        <v>0</v>
      </c>
      <c r="Y62">
        <f ca="1" t="shared" si="13"/>
        <v>0.5</v>
      </c>
      <c r="Z62">
        <f ca="1" t="shared" si="9"/>
        <v>0</v>
      </c>
      <c r="AA62">
        <f ca="1">MAX(0,IFERROR(IF(COUNTIF(B62,"*叠*")&gt;0,IF(AC61&lt;3,8-A63+A62,AA61+6.875-A63+A62),AA61-A63+A62),AA61-加速!$L$11))</f>
        <v>0</v>
      </c>
      <c r="AB62">
        <f ca="1">MAX(0,IF(COUNTIF(IF(AND(配装计算器!$K$30&lt;&gt;"∞",0),INDEX(AU62:CB62,1,$AT$1),INDEX(AU62:CB62,1,$AT$1)),"*叠1*")=1,4*25-加速!$L$11,AB61-A62+A61)-IF(OR(COUNTIF(OFFSET(AT62,0,$AT$1,1,1),"*听雷*")&gt;0,AND(碧归&gt;0,COUNTIF(OFFSET(AT62,0,$AT$1,1,1),"*风来*")&gt;0)),0,1)*1.5)</f>
        <v>38.49</v>
      </c>
      <c r="AC62">
        <f ca="1" t="shared" si="5"/>
        <v>0</v>
      </c>
      <c r="AD62">
        <f ca="1">IF(COUNTIF(IF(AND(配装计算器!$K$30&lt;&gt;"∞",0),INDEX(AU62:CB62,1,$AT$1),INDEX(AU63:CB63,1,$AT$1)),"*叠1*")=1,AB62*0+AE61,0)</f>
        <v>0</v>
      </c>
      <c r="AE62">
        <f ca="1">IF($AN$11&gt;0,IF(COUNTIF(B63,"*叠1*")&gt;0,50-加速!$L$11,MAX(0,AE61-(A63-A62))),0)</f>
        <v>19.81</v>
      </c>
      <c r="AG62">
        <f ca="1" t="shared" si="6"/>
        <v>2</v>
      </c>
      <c r="AH62" t="s">
        <v>1028</v>
      </c>
      <c r="AI62" t="s">
        <v>2723</v>
      </c>
      <c r="AK62" t="s">
        <v>2949</v>
      </c>
      <c r="AM62" t="s">
        <v>2750</v>
      </c>
      <c r="AN62">
        <f ca="1">AN61*AN33*听晓</f>
        <v>0</v>
      </c>
      <c r="AU62" s="176" t="s">
        <v>2768</v>
      </c>
      <c r="AV62">
        <v>2</v>
      </c>
      <c r="AW62" t="s">
        <v>2768</v>
      </c>
      <c r="AX62">
        <v>2</v>
      </c>
      <c r="AY62" t="s">
        <v>2776</v>
      </c>
      <c r="AZ62">
        <v>2</v>
      </c>
      <c r="BA62" t="s">
        <v>2776</v>
      </c>
      <c r="BB62">
        <v>2</v>
      </c>
      <c r="BC62" t="s">
        <v>2768</v>
      </c>
      <c r="BD62">
        <v>2</v>
      </c>
      <c r="BE62" t="s">
        <v>2768</v>
      </c>
      <c r="BF62">
        <v>1</v>
      </c>
      <c r="BG62" t="s">
        <v>2768</v>
      </c>
      <c r="BH62">
        <v>2</v>
      </c>
      <c r="BI62" s="176" t="s">
        <v>2776</v>
      </c>
      <c r="BJ62">
        <v>0</v>
      </c>
      <c r="BK62" t="s">
        <v>2794</v>
      </c>
      <c r="BL62">
        <v>2</v>
      </c>
      <c r="BM62" t="s">
        <v>2768</v>
      </c>
      <c r="BN62">
        <v>2</v>
      </c>
      <c r="BO62" t="s">
        <v>2768</v>
      </c>
      <c r="BP62">
        <v>2</v>
      </c>
      <c r="BQ62" t="s">
        <v>2776</v>
      </c>
      <c r="BR62">
        <v>2</v>
      </c>
      <c r="BS62" t="s">
        <v>2768</v>
      </c>
      <c r="BT62">
        <v>1</v>
      </c>
      <c r="BU62" t="s">
        <v>2776</v>
      </c>
      <c r="BV62">
        <v>2</v>
      </c>
      <c r="BW62" s="179" t="s">
        <v>2718</v>
      </c>
      <c r="BX62" s="179">
        <v>1</v>
      </c>
      <c r="BY62" t="s">
        <v>2768</v>
      </c>
      <c r="BZ62">
        <v>2</v>
      </c>
      <c r="CA62" t="s">
        <v>2768</v>
      </c>
      <c r="CB62">
        <v>2</v>
      </c>
    </row>
    <row r="63" spans="1:80">
      <c r="A63" s="178">
        <f ca="1">IFERROR(IF(AG62&lt;5+金蛇*2,IF(COUNTIF(B62,"*轻*")&gt;0,A62+加速!$L$9,A62+加速!$L$11)+V62,""),"")</f>
        <v>78.9</v>
      </c>
      <c r="B63" s="167" t="str">
        <f ca="1" t="shared" si="0"/>
        <v>鹤归孤山</v>
      </c>
      <c r="C63">
        <f ca="1" t="shared" si="10"/>
        <v>11.9</v>
      </c>
      <c r="D63">
        <f ca="1">IF(B63&lt;&gt;"",IF(C62&lt;=加速!$L$11*(1-E63),0,1),"")</f>
        <v>1</v>
      </c>
      <c r="E63">
        <f ca="1" t="shared" si="7"/>
        <v>1</v>
      </c>
      <c r="G63">
        <f ca="1" t="shared" si="8"/>
        <v>0</v>
      </c>
      <c r="H63">
        <f ca="1">IF(B63&lt;&gt;"",IF(AND(COUNTIF(B62,"*轻*莺鸣柳*")&gt;0,COUNTIF(B63,"*轻*")&lt;1),MAX(0,15+I62-(A63-A62)+COUNTIF(B62,"*平湖*")*0),IF(AND(E63=0,MAX(0,H62-(A63-A62))&lt;=加速!$H$11),0,MAX(0,H62-(A63-A62)))),"")</f>
        <v>0</v>
      </c>
      <c r="I63">
        <f ca="1" t="shared" si="14"/>
        <v>0</v>
      </c>
      <c r="J63">
        <f ca="1" t="shared" si="15"/>
        <v>0</v>
      </c>
      <c r="K63">
        <f ca="1" t="shared" si="1"/>
        <v>0</v>
      </c>
      <c r="L63">
        <f ca="1">IFERROR(IF(AND(COUNTIF(B63,"*-峰插*"),技能数据库!$M$72&gt;0),0,IF(COUNTIF(B63,"*鹤归*")&gt;0,16-加速!$L$11,MAX(0,L62-(A63-A62)))),0)</f>
        <v>14.71</v>
      </c>
      <c r="M63">
        <f ca="1" t="shared" si="3"/>
        <v>0</v>
      </c>
      <c r="N63">
        <f ca="1">IFERROR(IF(AND(COUNTIF(B63,"*-峰插*"),技能数据库!$M$72&gt;0),0,IF(COUNTIF(B63,"*云飞*")&gt;0,4-COUNTIF(B63,"*玉山揽云*")*4--COUNTIF(B63,"*烟流暮景*")*4-COUNTIF(B63,"*云景*")*加速!$L$11-IF(J63&gt;0,2,0),MAX(0,N62-(A63-A62)-IF(J63&gt;0,2,0)))),0)</f>
        <v>2.32000000000004</v>
      </c>
      <c r="O63">
        <f ca="1">IF(AND(COUNTIF(IF(AND(配装计算器!$K$30&lt;&gt;"∞",0),INDEX(AU62:CB62,1,$AT$1),INDEX(AU64:CB64,1,$AT$1)),"*云飞*")=1,COUNTIF(IF(AND(配装计算器!$K$30&lt;&gt;"∞",0),INDEX(AU62:CB62,1,$AT$1),INDEX(AU64:CB64,1,$AT$1)),"*玉山*")=0),N63,0)</f>
        <v>0</v>
      </c>
      <c r="P63">
        <f ca="1">IFERROR(IF(COUNTIF(B63,"*云栖松*")&gt;0,50-加速!$L$11,MAX(0,P62-(A63-A62))),0)</f>
        <v>0</v>
      </c>
      <c r="Q63">
        <f ca="1">IF(COUNTIF(IF(AND(配装计算器!$K$30&lt;&gt;"∞",0),INDEX(AU62:CB62,1,$AT$1),INDEX(AU64:CB64,1,$AT$1)),"*云栖松*")=1,P63,0)</f>
        <v>0</v>
      </c>
      <c r="R63">
        <f ca="1">IFERROR(IF(COUNTIF(B63,"*莺鸣柳*")&gt;0,45-加速!$L$9,MAX(0,R62-(A63-A62))),0)</f>
        <v>0</v>
      </c>
      <c r="S63">
        <f ca="1">IF(COUNTIF(IF(AND(配装计算器!$K$30&lt;&gt;"∞",0),INDEX(AU62:CB62,1,$AT$1),INDEX(AU64:CB64,1,$AT$1)),"*莺鸣柳*")=1,R63,0)</f>
        <v>0</v>
      </c>
      <c r="T63">
        <f ca="1" t="shared" si="11"/>
        <v>0</v>
      </c>
      <c r="U63">
        <f ca="1">IF(金蛇,IF(COUNTIF(B63,"*金环戴*")+COUNTIF(B63,"*吹风醒*")&gt;0,IF(A63&lt;=3,7.125-2.625-A63-加速!$L$11,7.125+加速!$K$9-(A63+加速!$L$11-T63)),0),0)+IF(金蛇,IF(COUNTIF(B63,"*千切子裂光*")&gt;0,2+加速!$K$9-(A63+加速!$L$11-T63),0),0)</f>
        <v>0</v>
      </c>
      <c r="V63">
        <f ca="1" t="shared" si="12"/>
        <v>0</v>
      </c>
      <c r="W63">
        <f ca="1" t="shared" si="4"/>
        <v>0</v>
      </c>
      <c r="X63">
        <f ca="1">INDEX(加速!$I$13:$I$21,W63+1)</f>
        <v>0</v>
      </c>
      <c r="Y63">
        <f ca="1" t="shared" si="13"/>
        <v>0.5</v>
      </c>
      <c r="Z63">
        <f ca="1" t="shared" si="9"/>
        <v>0</v>
      </c>
      <c r="AA63">
        <f ca="1">MAX(0,IFERROR(IF(COUNTIF(B63,"*叠*")&gt;0,IF(AC62&lt;3,8-A64+A63,AA62+6.875-A64+A63),AA62-A64+A63),AA62-加速!$L$11))</f>
        <v>0</v>
      </c>
      <c r="AB63">
        <f ca="1">MAX(0,IF(COUNTIF(IF(AND(配装计算器!$K$30&lt;&gt;"∞",0),INDEX(AU63:CB63,1,$AT$1),INDEX(AU63:CB63,1,$AT$1)),"*叠1*")=1,4*25-加速!$L$11,AB62-A63+A62)-IF(OR(COUNTIF(OFFSET(AT63,0,$AT$1,1,1),"*听雷*")&gt;0,AND(碧归&gt;0,COUNTIF(OFFSET(AT63,0,$AT$1,1,1),"*风来*")&gt;0)),0,1)*1.5)</f>
        <v>35.3100000000001</v>
      </c>
      <c r="AC63">
        <f ca="1" t="shared" si="5"/>
        <v>0</v>
      </c>
      <c r="AD63">
        <f ca="1">IF(COUNTIF(IF(AND(配装计算器!$K$30&lt;&gt;"∞",0),INDEX(AU63:CB63,1,$AT$1),INDEX(AU64:CB64,1,$AT$1)),"*叠1*")=1,AB63*0+AE62,0)</f>
        <v>0</v>
      </c>
      <c r="AE63">
        <f ca="1">IF($AN$11&gt;0,IF(COUNTIF(B64,"*叠1*")&gt;0,50-加速!$L$11,MAX(0,AE62-(A64-A63))),0)</f>
        <v>18.52</v>
      </c>
      <c r="AG63">
        <f ca="1" t="shared" si="6"/>
        <v>2</v>
      </c>
      <c r="AH63" t="s">
        <v>1028</v>
      </c>
      <c r="AI63" t="s">
        <v>2723</v>
      </c>
      <c r="AK63" t="s">
        <v>3014</v>
      </c>
      <c r="AM63" t="s">
        <v>3233</v>
      </c>
      <c r="AN63">
        <f ca="1">(AN61-AN62)*听晓</f>
        <v>0</v>
      </c>
      <c r="AU63" s="176" t="s">
        <v>2776</v>
      </c>
      <c r="AV63">
        <v>2</v>
      </c>
      <c r="AW63" t="s">
        <v>2768</v>
      </c>
      <c r="AX63">
        <v>2</v>
      </c>
      <c r="AY63" t="s">
        <v>2768</v>
      </c>
      <c r="AZ63">
        <v>2</v>
      </c>
      <c r="BA63" t="s">
        <v>2768</v>
      </c>
      <c r="BB63">
        <v>2</v>
      </c>
      <c r="BC63" t="s">
        <v>2776</v>
      </c>
      <c r="BD63">
        <v>2</v>
      </c>
      <c r="BE63" t="s">
        <v>2768</v>
      </c>
      <c r="BF63">
        <v>1</v>
      </c>
      <c r="BG63" t="s">
        <v>2776</v>
      </c>
      <c r="BH63">
        <v>2</v>
      </c>
      <c r="BI63" t="s">
        <v>2794</v>
      </c>
      <c r="BJ63">
        <v>0</v>
      </c>
      <c r="BK63" t="s">
        <v>2768</v>
      </c>
      <c r="BL63">
        <v>2</v>
      </c>
      <c r="BM63" t="s">
        <v>2776</v>
      </c>
      <c r="BN63">
        <v>2</v>
      </c>
      <c r="BO63" t="s">
        <v>2768</v>
      </c>
      <c r="BP63">
        <v>2</v>
      </c>
      <c r="BQ63" t="s">
        <v>2768</v>
      </c>
      <c r="BR63">
        <v>2</v>
      </c>
      <c r="BS63" t="s">
        <v>3056</v>
      </c>
      <c r="BT63">
        <v>0</v>
      </c>
      <c r="BU63" t="s">
        <v>2768</v>
      </c>
      <c r="BV63">
        <v>2</v>
      </c>
      <c r="BW63" s="179" t="s">
        <v>2776</v>
      </c>
      <c r="BX63" s="179">
        <v>2</v>
      </c>
      <c r="BY63" t="s">
        <v>2776</v>
      </c>
      <c r="BZ63">
        <v>2</v>
      </c>
      <c r="CA63" t="s">
        <v>2776</v>
      </c>
      <c r="CB63">
        <v>2</v>
      </c>
    </row>
    <row r="64" spans="1:80">
      <c r="A64" s="178">
        <f ca="1">IFERROR(IF(AG63&lt;5+金蛇*2,IF(COUNTIF(B63,"*轻*")&gt;0,A63+加速!$L$9,A63+加速!$L$11)+V63,""),"")</f>
        <v>80.19</v>
      </c>
      <c r="B64" s="167" t="str">
        <f ca="1" t="shared" si="0"/>
        <v>夕照雷峰</v>
      </c>
      <c r="C64">
        <f ca="1" t="shared" si="10"/>
        <v>15</v>
      </c>
      <c r="D64">
        <f ca="1">IF(B64&lt;&gt;"",IF(C63&lt;=加速!$L$11*(1-E64),0,1),"")</f>
        <v>1</v>
      </c>
      <c r="E64">
        <f ca="1" t="shared" si="7"/>
        <v>0</v>
      </c>
      <c r="G64">
        <f ca="1" t="shared" si="8"/>
        <v>0</v>
      </c>
      <c r="H64">
        <f ca="1">IF(B64&lt;&gt;"",IF(AND(COUNTIF(B63,"*轻*莺鸣柳*")&gt;0,COUNTIF(B64,"*轻*")&lt;1),MAX(0,15+I63-(A64-A63)+COUNTIF(B63,"*平湖*")*0),IF(AND(E64=0,MAX(0,H63-(A64-A63))&lt;=加速!$H$11),0,MAX(0,H63-(A64-A63)))),"")</f>
        <v>0</v>
      </c>
      <c r="I64">
        <f ca="1" t="shared" si="14"/>
        <v>0</v>
      </c>
      <c r="J64">
        <f ca="1" t="shared" si="15"/>
        <v>4</v>
      </c>
      <c r="K64">
        <f ca="1" t="shared" si="1"/>
        <v>2</v>
      </c>
      <c r="L64">
        <f ca="1">IFERROR(IF(AND(COUNTIF(B64,"*-峰插*"),技能数据库!$M$72&gt;0),0,IF(COUNTIF(B64,"*鹤归*")&gt;0,16-加速!$L$11,MAX(0,L63-(A64-A63)))),0)</f>
        <v>13.42</v>
      </c>
      <c r="M64">
        <f ca="1" t="shared" si="3"/>
        <v>0</v>
      </c>
      <c r="N64">
        <f ca="1">IFERROR(IF(AND(COUNTIF(B64,"*-峰插*"),技能数据库!$M$72&gt;0),0,IF(COUNTIF(B64,"*云飞*")&gt;0,4-COUNTIF(B64,"*玉山揽云*")*4--COUNTIF(B64,"*烟流暮景*")*4-COUNTIF(B64,"*云景*")*加速!$L$11-IF(J64&gt;0,2,0),MAX(0,N63-(A64-A63)-IF(J64&gt;0,2,0)))),0)</f>
        <v>0</v>
      </c>
      <c r="O64">
        <f ca="1">IF(AND(COUNTIF(IF(AND(配装计算器!$K$30&lt;&gt;"∞",0),INDEX(AU63:CB63,1,$AT$1),INDEX(AU65:CB65,1,$AT$1)),"*云飞*")=1,COUNTIF(IF(AND(配装计算器!$K$30&lt;&gt;"∞",0),INDEX(AU63:CB63,1,$AT$1),INDEX(AU65:CB65,1,$AT$1)),"*玉山*")=0),N64,0)</f>
        <v>0</v>
      </c>
      <c r="P64">
        <f ca="1">IFERROR(IF(COUNTIF(B64,"*云栖松*")&gt;0,50-加速!$L$11,MAX(0,P63-(A64-A63))),0)</f>
        <v>0</v>
      </c>
      <c r="Q64">
        <f ca="1">IF(COUNTIF(IF(AND(配装计算器!$K$30&lt;&gt;"∞",0),INDEX(AU63:CB63,1,$AT$1),INDEX(AU65:CB65,1,$AT$1)),"*云栖松*")=1,P64,0)</f>
        <v>0</v>
      </c>
      <c r="R64">
        <f ca="1">IFERROR(IF(COUNTIF(B64,"*莺鸣柳*")&gt;0,45-加速!$L$9,MAX(0,R63-(A64-A63))),0)</f>
        <v>0</v>
      </c>
      <c r="S64">
        <f ca="1">IF(COUNTIF(IF(AND(配装计算器!$K$30&lt;&gt;"∞",0),INDEX(AU63:CB63,1,$AT$1),INDEX(AU65:CB65,1,$AT$1)),"*莺鸣柳*")=1,R64,0)</f>
        <v>0</v>
      </c>
      <c r="T64">
        <f ca="1" t="shared" si="11"/>
        <v>0</v>
      </c>
      <c r="U64">
        <f ca="1">IF(金蛇,IF(COUNTIF(B64,"*金环戴*")+COUNTIF(B64,"*吹风醒*")&gt;0,IF(A64&lt;=3,7.125-2.625-A64-加速!$L$11,7.125+加速!$K$9-(A64+加速!$L$11-T64)),0),0)+IF(金蛇,IF(COUNTIF(B64,"*千切子裂光*")&gt;0,2+加速!$K$9-(A64+加速!$L$11-T64),0),0)</f>
        <v>0</v>
      </c>
      <c r="V64">
        <f ca="1" t="shared" si="12"/>
        <v>0</v>
      </c>
      <c r="W64">
        <f ca="1" t="shared" si="4"/>
        <v>0</v>
      </c>
      <c r="X64">
        <f ca="1">INDEX(加速!$I$13:$I$21,W64+1)</f>
        <v>0</v>
      </c>
      <c r="Y64">
        <f ca="1" t="shared" si="13"/>
        <v>0.5</v>
      </c>
      <c r="Z64">
        <f ca="1" t="shared" si="9"/>
        <v>0</v>
      </c>
      <c r="AA64">
        <f ca="1">MAX(0,IFERROR(IF(COUNTIF(B64,"*叠*")&gt;0,IF(AC63&lt;3,8-A65+A64,AA63+6.875-A65+A64),AA63-A65+A64),AA63-加速!$L$11))</f>
        <v>0</v>
      </c>
      <c r="AB64">
        <f ca="1">MAX(0,IF(COUNTIF(IF(AND(配装计算器!$K$30&lt;&gt;"∞",0),INDEX(AU64:CB64,1,$AT$1),INDEX(AU64:CB64,1,$AT$1)),"*叠1*")=1,4*25-加速!$L$11,AB63-A64+A63)-IF(OR(COUNTIF(OFFSET(AT64,0,$AT$1,1,1),"*听雷*")&gt;0,AND(碧归&gt;0,COUNTIF(OFFSET(AT64,0,$AT$1,1,1),"*风来*")&gt;0)),0,1)*1.5)</f>
        <v>32.5200000000001</v>
      </c>
      <c r="AC64">
        <f ca="1" t="shared" si="5"/>
        <v>0</v>
      </c>
      <c r="AD64">
        <f ca="1">IF(COUNTIF(IF(AND(配装计算器!$K$30&lt;&gt;"∞",0),INDEX(AU64:CB64,1,$AT$1),INDEX(AU65:CB65,1,$AT$1)),"*叠1*")=1,AB64*0+AE63,0)</f>
        <v>0</v>
      </c>
      <c r="AE64">
        <f ca="1">IF($AN$11&gt;0,IF(COUNTIF(B65,"*叠1*")&gt;0,50-加速!$L$11,MAX(0,AE63-(A65-A64))),0)</f>
        <v>17.23</v>
      </c>
      <c r="AG64">
        <f ca="1" t="shared" si="6"/>
        <v>2</v>
      </c>
      <c r="AH64" t="s">
        <v>1825</v>
      </c>
      <c r="AI64" t="s">
        <v>2768</v>
      </c>
      <c r="AJ64">
        <f ca="1">长时间循环比*COUNTIFS($B$3:$B$515,"*"&amp;AI64&amp;"*",$D$3:$D$515,"&gt;0",$H$3:$H$515,"&gt;0",$G$3:$G$515,"&gt;0",$K$3:$K$515,"=2")+AN38</f>
        <v>0</v>
      </c>
      <c r="AK64" t="s">
        <v>3090</v>
      </c>
      <c r="AM64" t="s">
        <v>3091</v>
      </c>
      <c r="AN64">
        <f ca="1">IF((8.875)-5*加速!L11&gt;加速!M9,1,0)</f>
        <v>1</v>
      </c>
      <c r="AU64" s="176" t="s">
        <v>2768</v>
      </c>
      <c r="AV64">
        <v>1</v>
      </c>
      <c r="AW64" t="s">
        <v>2776</v>
      </c>
      <c r="AX64">
        <v>2</v>
      </c>
      <c r="AY64" t="s">
        <v>2776</v>
      </c>
      <c r="AZ64">
        <v>1</v>
      </c>
      <c r="BA64" t="s">
        <v>2776</v>
      </c>
      <c r="BB64">
        <v>1</v>
      </c>
      <c r="BC64" t="s">
        <v>2768</v>
      </c>
      <c r="BD64">
        <v>2</v>
      </c>
      <c r="BE64" t="s">
        <v>3042</v>
      </c>
      <c r="BF64">
        <v>0</v>
      </c>
      <c r="BG64" t="s">
        <v>2768</v>
      </c>
      <c r="BH64">
        <v>1</v>
      </c>
      <c r="BI64" t="s">
        <v>2768</v>
      </c>
      <c r="BJ64">
        <v>2</v>
      </c>
      <c r="BK64" t="s">
        <v>2776</v>
      </c>
      <c r="BL64">
        <v>2</v>
      </c>
      <c r="BM64" t="s">
        <v>2768</v>
      </c>
      <c r="BN64">
        <v>2</v>
      </c>
      <c r="BO64" t="s">
        <v>2768</v>
      </c>
      <c r="BP64">
        <v>2</v>
      </c>
      <c r="BQ64" t="s">
        <v>2776</v>
      </c>
      <c r="BR64">
        <v>1</v>
      </c>
      <c r="BS64" t="s">
        <v>2768</v>
      </c>
      <c r="BT64">
        <v>2</v>
      </c>
      <c r="BU64" t="s">
        <v>2776</v>
      </c>
      <c r="BV64">
        <v>2</v>
      </c>
      <c r="BW64" s="179" t="s">
        <v>2768</v>
      </c>
      <c r="BX64" s="179">
        <v>2</v>
      </c>
      <c r="BY64" t="s">
        <v>2718</v>
      </c>
      <c r="BZ64">
        <v>0</v>
      </c>
      <c r="CA64" t="s">
        <v>2718</v>
      </c>
      <c r="CB64">
        <v>0</v>
      </c>
    </row>
    <row r="65" spans="1:80">
      <c r="A65" s="178">
        <f ca="1">IFERROR(IF(AG64&lt;5+金蛇*2,IF(COUNTIF(B64,"*轻*")&gt;0,A64+加速!$L$9,A64+加速!$L$11)+V64,""),"")</f>
        <v>81.48</v>
      </c>
      <c r="B65" s="167" t="str">
        <f ca="1" t="shared" si="0"/>
        <v>云飞玉皇</v>
      </c>
      <c r="C65">
        <f ca="1" t="shared" si="10"/>
        <v>13.71</v>
      </c>
      <c r="D65">
        <f ca="1">IF(B65&lt;&gt;"",IF(C64&lt;=加速!$L$11*(1-E65),0,1),"")</f>
        <v>1</v>
      </c>
      <c r="E65">
        <f ca="1" t="shared" si="7"/>
        <v>0</v>
      </c>
      <c r="G65">
        <f ca="1" t="shared" si="8"/>
        <v>0</v>
      </c>
      <c r="H65">
        <f ca="1">IF(B65&lt;&gt;"",IF(AND(COUNTIF(B64,"*轻*莺鸣柳*")&gt;0,COUNTIF(B65,"*轻*")&lt;1),MAX(0,15+I64-(A65-A64)+COUNTIF(B64,"*平湖*")*0),IF(AND(E65=0,MAX(0,H64-(A65-A64))&lt;=加速!$H$11),0,MAX(0,H64-(A65-A64)))),"")</f>
        <v>0</v>
      </c>
      <c r="I65">
        <f ca="1" t="shared" si="14"/>
        <v>0</v>
      </c>
      <c r="J65">
        <f ca="1" t="shared" si="15"/>
        <v>3</v>
      </c>
      <c r="K65">
        <f ca="1" t="shared" si="1"/>
        <v>2</v>
      </c>
      <c r="L65">
        <f ca="1">IFERROR(IF(AND(COUNTIF(B65,"*-峰插*"),技能数据库!$M$72&gt;0),0,IF(COUNTIF(B65,"*鹤归*")&gt;0,16-加速!$L$11,MAX(0,L64-(A65-A64)))),0)</f>
        <v>12.13</v>
      </c>
      <c r="M65">
        <f ca="1" t="shared" si="3"/>
        <v>0</v>
      </c>
      <c r="N65">
        <f ca="1">IFERROR(IF(AND(COUNTIF(B65,"*-峰插*"),技能数据库!$M$72&gt;0),0,IF(COUNTIF(B65,"*云飞*")&gt;0,4-COUNTIF(B65,"*玉山揽云*")*4--COUNTIF(B65,"*烟流暮景*")*4-COUNTIF(B65,"*云景*")*加速!$L$11-IF(J65&gt;0,2,0),MAX(0,N64-(A65-A64)-IF(J65&gt;0,2,0)))),0)</f>
        <v>2</v>
      </c>
      <c r="O65">
        <f ca="1">IF(AND(COUNTIF(IF(AND(配装计算器!$K$30&lt;&gt;"∞",0),INDEX(AU64:CB64,1,$AT$1),INDEX(AU66:CB66,1,$AT$1)),"*云飞*")=1,COUNTIF(IF(AND(配装计算器!$K$30&lt;&gt;"∞",0),INDEX(AU64:CB64,1,$AT$1),INDEX(AU66:CB66,1,$AT$1)),"*玉山*")=0),N65,0)</f>
        <v>0</v>
      </c>
      <c r="P65">
        <f ca="1">IFERROR(IF(COUNTIF(B65,"*云栖松*")&gt;0,50-加速!$L$11,MAX(0,P64-(A65-A64))),0)</f>
        <v>0</v>
      </c>
      <c r="Q65">
        <f ca="1">IF(COUNTIF(IF(AND(配装计算器!$K$30&lt;&gt;"∞",0),INDEX(AU64:CB64,1,$AT$1),INDEX(AU66:CB66,1,$AT$1)),"*云栖松*")=1,P65,0)</f>
        <v>0</v>
      </c>
      <c r="R65">
        <f ca="1">IFERROR(IF(COUNTIF(B65,"*莺鸣柳*")&gt;0,45-加速!$L$9,MAX(0,R64-(A65-A64))),0)</f>
        <v>0</v>
      </c>
      <c r="S65">
        <f ca="1">IF(COUNTIF(IF(AND(配装计算器!$K$30&lt;&gt;"∞",0),INDEX(AU64:CB64,1,$AT$1),INDEX(AU66:CB66,1,$AT$1)),"*莺鸣柳*")=1,R65,0)</f>
        <v>0</v>
      </c>
      <c r="T65">
        <f ca="1" t="shared" si="11"/>
        <v>0</v>
      </c>
      <c r="U65">
        <f ca="1">IF(金蛇,IF(COUNTIF(B65,"*金环戴*")+COUNTIF(B65,"*吹风醒*")&gt;0,IF(A65&lt;=3,7.125-2.625-A65-加速!$L$11,7.125+加速!$K$9-(A65+加速!$L$11-T65)),0),0)+IF(金蛇,IF(COUNTIF(B65,"*千切子裂光*")&gt;0,2+加速!$K$9-(A65+加速!$L$11-T65),0),0)</f>
        <v>0</v>
      </c>
      <c r="V65">
        <f ca="1" t="shared" si="12"/>
        <v>0</v>
      </c>
      <c r="W65">
        <f ca="1" t="shared" si="4"/>
        <v>0</v>
      </c>
      <c r="X65">
        <f ca="1">INDEX(加速!$I$13:$I$21,W65+1)</f>
        <v>0</v>
      </c>
      <c r="Y65">
        <f ca="1" t="shared" si="13"/>
        <v>0.5</v>
      </c>
      <c r="Z65">
        <f ca="1" t="shared" si="9"/>
        <v>0</v>
      </c>
      <c r="AA65">
        <f ca="1">MAX(0,IFERROR(IF(COUNTIF(B65,"*叠*")&gt;0,IF(AC64&lt;3,8-A66+A65,AA64+6.875-A66+A65),AA64-A66+A65),AA64-加速!$L$11))</f>
        <v>0</v>
      </c>
      <c r="AB65">
        <f ca="1">MAX(0,IF(COUNTIF(IF(AND(配装计算器!$K$30&lt;&gt;"∞",0),INDEX(AU65:CB65,1,$AT$1),INDEX(AU65:CB65,1,$AT$1)),"*叠1*")=1,4*25-加速!$L$11,AB64-A65+A64)-IF(OR(COUNTIF(OFFSET(AT65,0,$AT$1,1,1),"*听雷*")&gt;0,AND(碧归&gt;0,COUNTIF(OFFSET(AT65,0,$AT$1,1,1),"*风来*")&gt;0)),0,1)*1.5)</f>
        <v>29.73</v>
      </c>
      <c r="AC65">
        <f ca="1" t="shared" si="5"/>
        <v>0</v>
      </c>
      <c r="AD65">
        <f ca="1">IF(COUNTIF(IF(AND(配装计算器!$K$30&lt;&gt;"∞",0),INDEX(AU65:CB65,1,$AT$1),INDEX(AU66:CB66,1,$AT$1)),"*叠1*")=1,AB65*0+AE64,0)</f>
        <v>0</v>
      </c>
      <c r="AE65">
        <f ca="1">IF($AN$11&gt;0,IF(COUNTIF(B66,"*叠1*")&gt;0,50-加速!$L$11,MAX(0,AE64-(A66-A65))),0)</f>
        <v>15.94</v>
      </c>
      <c r="AG65">
        <f ca="1" t="shared" si="6"/>
        <v>2</v>
      </c>
      <c r="AH65" t="s">
        <v>1825</v>
      </c>
      <c r="AI65" t="s">
        <v>2794</v>
      </c>
      <c r="AJ65">
        <f ca="1">长时间循环比*COUNTIFS($B$3:$B$515,"*"&amp;AI65&amp;"*",$D$3:$D$515,"&gt;0",$H$3:$H$515,"&gt;0",$G$3:$G$515,"&gt;0")</f>
        <v>0</v>
      </c>
      <c r="AK65" t="s">
        <v>3092</v>
      </c>
      <c r="AU65" t="s">
        <v>2776</v>
      </c>
      <c r="AV65">
        <v>1</v>
      </c>
      <c r="AW65" t="s">
        <v>2768</v>
      </c>
      <c r="AX65">
        <v>2</v>
      </c>
      <c r="AY65" t="s">
        <v>2768</v>
      </c>
      <c r="AZ65">
        <v>1</v>
      </c>
      <c r="BA65" t="s">
        <v>2768</v>
      </c>
      <c r="BB65">
        <v>1</v>
      </c>
      <c r="BC65" t="s">
        <v>2776</v>
      </c>
      <c r="BD65">
        <v>2</v>
      </c>
      <c r="BE65" t="s">
        <v>2776</v>
      </c>
      <c r="BF65">
        <v>0</v>
      </c>
      <c r="BG65" t="s">
        <v>2776</v>
      </c>
      <c r="BH65">
        <v>1</v>
      </c>
      <c r="BI65" t="s">
        <v>2776</v>
      </c>
      <c r="BJ65">
        <v>2</v>
      </c>
      <c r="BK65" t="s">
        <v>2768</v>
      </c>
      <c r="BL65">
        <v>1</v>
      </c>
      <c r="BM65" t="s">
        <v>2768</v>
      </c>
      <c r="BN65">
        <v>2</v>
      </c>
      <c r="BO65" t="s">
        <v>2776</v>
      </c>
      <c r="BP65">
        <v>2</v>
      </c>
      <c r="BQ65" t="s">
        <v>2768</v>
      </c>
      <c r="BR65">
        <v>1</v>
      </c>
      <c r="BS65" t="s">
        <v>2768</v>
      </c>
      <c r="BT65">
        <v>2</v>
      </c>
      <c r="BU65" t="s">
        <v>2768</v>
      </c>
      <c r="BV65">
        <v>1</v>
      </c>
      <c r="BW65" s="179" t="s">
        <v>2768</v>
      </c>
      <c r="BX65" s="179">
        <v>1</v>
      </c>
      <c r="BY65" t="s">
        <v>2768</v>
      </c>
      <c r="BZ65">
        <v>2</v>
      </c>
      <c r="CA65" t="s">
        <v>2768</v>
      </c>
      <c r="CB65">
        <v>2</v>
      </c>
    </row>
    <row r="66" spans="1:80">
      <c r="A66" s="178">
        <f ca="1">IFERROR(IF(AG65&lt;5+金蛇*2,IF(COUNTIF(B65,"*轻*")&gt;0,A65+加速!$L$9,A65+加速!$L$11)+V65,""),"")</f>
        <v>82.77</v>
      </c>
      <c r="B66" s="167" t="str">
        <f ca="1" t="shared" ref="B66:B129" si="17">IF(A66&lt;&gt;"",INDEX(AU66:CB66,1,$AT$1),"")</f>
        <v>夕照雷峰</v>
      </c>
      <c r="C66">
        <f ca="1" t="shared" si="10"/>
        <v>15</v>
      </c>
      <c r="D66">
        <f ca="1">IF(B66&lt;&gt;"",IF(C65&lt;=加速!$L$11*(1-E66),0,1),"")</f>
        <v>1</v>
      </c>
      <c r="E66">
        <f ca="1" t="shared" si="7"/>
        <v>0</v>
      </c>
      <c r="G66">
        <f ca="1" t="shared" si="8"/>
        <v>0</v>
      </c>
      <c r="H66">
        <f ca="1">IF(B66&lt;&gt;"",IF(AND(COUNTIF(B65,"*轻*莺鸣柳*")&gt;0,COUNTIF(B66,"*轻*")&lt;1),MAX(0,15+I65-(A66-A65)+COUNTIF(B65,"*平湖*")*0),IF(AND(E66=0,MAX(0,H65-(A66-A65))&lt;=加速!$H$11),0,MAX(0,H65-(A66-A65)))),"")</f>
        <v>0</v>
      </c>
      <c r="I66">
        <f ca="1" t="shared" si="14"/>
        <v>0</v>
      </c>
      <c r="J66">
        <f ca="1" t="shared" si="15"/>
        <v>2</v>
      </c>
      <c r="K66">
        <f ca="1" t="shared" ref="K66:K129" si="18">IF(A66&lt;&gt;"",INDEX(AU66:CB66,1,$AT$2),"")</f>
        <v>2</v>
      </c>
      <c r="L66">
        <f ca="1">IFERROR(IF(AND(COUNTIF(B66,"*-峰插*"),技能数据库!$M$72&gt;0),0,IF(COUNTIF(B66,"*鹤归*")&gt;0,16-加速!$L$11,MAX(0,L65-(A66-A65)))),0)</f>
        <v>10.84</v>
      </c>
      <c r="M66">
        <f ca="1" t="shared" si="3"/>
        <v>0</v>
      </c>
      <c r="N66">
        <f ca="1">IFERROR(IF(AND(COUNTIF(B66,"*-峰插*"),技能数据库!$M$72&gt;0),0,IF(COUNTIF(B66,"*云飞*")&gt;0,4-COUNTIF(B66,"*玉山揽云*")*4--COUNTIF(B66,"*烟流暮景*")*4-COUNTIF(B66,"*云景*")*加速!$L$11-IF(J66&gt;0,2,0),MAX(0,N65-(A66-A65)-IF(J66&gt;0,2,0)))),0)</f>
        <v>0</v>
      </c>
      <c r="O66">
        <f ca="1">IF(AND(COUNTIF(IF(AND(配装计算器!$K$30&lt;&gt;"∞",0),INDEX(AU65:CB65,1,$AT$1),INDEX(AU67:CB67,1,$AT$1)),"*云飞*")=1,COUNTIF(IF(AND(配装计算器!$K$30&lt;&gt;"∞",0),INDEX(AU65:CB65,1,$AT$1),INDEX(AU67:CB67,1,$AT$1)),"*玉山*")=0),N66,0)</f>
        <v>0</v>
      </c>
      <c r="P66">
        <f ca="1">IFERROR(IF(COUNTIF(B66,"*云栖松*")&gt;0,50-加速!$L$11,MAX(0,P65-(A66-A65))),0)</f>
        <v>0</v>
      </c>
      <c r="Q66">
        <f ca="1">IF(COUNTIF(IF(AND(配装计算器!$K$30&lt;&gt;"∞",0),INDEX(AU65:CB65,1,$AT$1),INDEX(AU67:CB67,1,$AT$1)),"*云栖松*")=1,P66,0)</f>
        <v>0</v>
      </c>
      <c r="R66">
        <f ca="1">IFERROR(IF(COUNTIF(B66,"*莺鸣柳*")&gt;0,45-加速!$L$9,MAX(0,R65-(A66-A65))),0)</f>
        <v>0</v>
      </c>
      <c r="S66">
        <f ca="1">IF(COUNTIF(IF(AND(配装计算器!$K$30&lt;&gt;"∞",0),INDEX(AU65:CB65,1,$AT$1),INDEX(AU67:CB67,1,$AT$1)),"*莺鸣柳*")=1,R66,0)</f>
        <v>0</v>
      </c>
      <c r="T66">
        <f ca="1" t="shared" si="11"/>
        <v>0</v>
      </c>
      <c r="U66">
        <f ca="1">IF(金蛇,IF(COUNTIF(B66,"*金环戴*")+COUNTIF(B66,"*吹风醒*")&gt;0,IF(A66&lt;=3,7.125-2.625-A66-加速!$L$11,7.125+加速!$K$9-(A66+加速!$L$11-T66)),0),0)+IF(金蛇,IF(COUNTIF(B66,"*千切子裂光*")&gt;0,2+加速!$K$9-(A66+加速!$L$11-T66),0),0)</f>
        <v>0</v>
      </c>
      <c r="V66">
        <f ca="1" t="shared" si="12"/>
        <v>0</v>
      </c>
      <c r="W66">
        <f ca="1" t="shared" si="4"/>
        <v>0</v>
      </c>
      <c r="X66">
        <f ca="1">INDEX(加速!$I$13:$I$21,W66+1)</f>
        <v>0</v>
      </c>
      <c r="Y66">
        <f ca="1" t="shared" si="13"/>
        <v>0.5</v>
      </c>
      <c r="Z66">
        <f ca="1" t="shared" si="9"/>
        <v>0</v>
      </c>
      <c r="AA66">
        <f ca="1">MAX(0,IFERROR(IF(COUNTIF(B66,"*叠*")&gt;0,IF(AC65&lt;3,8-A67+A66,AA65+6.875-A67+A66),AA65-A67+A66),AA65-加速!$L$11))</f>
        <v>0</v>
      </c>
      <c r="AB66">
        <f ca="1">MAX(0,IF(COUNTIF(IF(AND(配装计算器!$K$30&lt;&gt;"∞",0),INDEX(AU66:CB66,1,$AT$1),INDEX(AU66:CB66,1,$AT$1)),"*叠1*")=1,4*25-加速!$L$11,AB65-A66+A65)-IF(OR(COUNTIF(OFFSET(AT66,0,$AT$1,1,1),"*听雷*")&gt;0,AND(碧归&gt;0,COUNTIF(OFFSET(AT66,0,$AT$1,1,1),"*风来*")&gt;0)),0,1)*1.5)</f>
        <v>26.94</v>
      </c>
      <c r="AC66">
        <f ca="1" t="shared" si="5"/>
        <v>0</v>
      </c>
      <c r="AD66">
        <f ca="1">IF(COUNTIF(IF(AND(配装计算器!$K$30&lt;&gt;"∞",0),INDEX(AU66:CB66,1,$AT$1),INDEX(AU67:CB67,1,$AT$1)),"*叠1*")=1,AB66*0+AE65,0)</f>
        <v>0</v>
      </c>
      <c r="AE66">
        <f ca="1">IF($AN$11&gt;0,IF(COUNTIF(B67,"*叠1*")&gt;0,50-加速!$L$11,MAX(0,AE65-(A67-A66))),0)</f>
        <v>14.65</v>
      </c>
      <c r="AG66">
        <f ca="1" t="shared" si="6"/>
        <v>2</v>
      </c>
      <c r="AH66" t="s">
        <v>1825</v>
      </c>
      <c r="AI66" t="s">
        <v>2776</v>
      </c>
      <c r="AJ66">
        <f ca="1">长时间循环比*COUNTIFS($B$3:$B$515,AI66&amp;"*",$D$3:$D$515,"&gt;0",$H$3:$H$515,"&gt;0",$G$3:$G$515,"&gt;0",$K$3:$K$515,"=2")+AN35</f>
        <v>0</v>
      </c>
      <c r="AK66" t="s">
        <v>3093</v>
      </c>
      <c r="AU66" t="s">
        <v>2768</v>
      </c>
      <c r="AV66">
        <v>1</v>
      </c>
      <c r="AW66" t="s">
        <v>2768</v>
      </c>
      <c r="AX66">
        <v>2</v>
      </c>
      <c r="AY66" t="s">
        <v>2768</v>
      </c>
      <c r="AZ66">
        <v>0</v>
      </c>
      <c r="BA66" t="s">
        <v>2768</v>
      </c>
      <c r="BB66">
        <v>0</v>
      </c>
      <c r="BC66" t="s">
        <v>2768</v>
      </c>
      <c r="BD66">
        <v>2</v>
      </c>
      <c r="BE66" t="s">
        <v>2768</v>
      </c>
      <c r="BF66">
        <v>1</v>
      </c>
      <c r="BG66" t="s">
        <v>2768</v>
      </c>
      <c r="BH66">
        <v>0</v>
      </c>
      <c r="BI66" t="s">
        <v>2768</v>
      </c>
      <c r="BJ66">
        <v>2</v>
      </c>
      <c r="BK66" t="s">
        <v>2776</v>
      </c>
      <c r="BL66">
        <v>1</v>
      </c>
      <c r="BM66" t="s">
        <v>2768</v>
      </c>
      <c r="BN66">
        <v>2</v>
      </c>
      <c r="BO66" t="s">
        <v>2768</v>
      </c>
      <c r="BP66">
        <v>1</v>
      </c>
      <c r="BQ66" t="s">
        <v>2776</v>
      </c>
      <c r="BR66">
        <v>1</v>
      </c>
      <c r="BS66" t="s">
        <v>2776</v>
      </c>
      <c r="BT66">
        <v>2</v>
      </c>
      <c r="BU66" t="s">
        <v>2776</v>
      </c>
      <c r="BV66">
        <v>1</v>
      </c>
      <c r="BW66" s="179" t="s">
        <v>2768</v>
      </c>
      <c r="BX66" s="179">
        <v>1</v>
      </c>
      <c r="BY66" t="s">
        <v>2768</v>
      </c>
      <c r="BZ66">
        <v>1</v>
      </c>
      <c r="CA66" t="s">
        <v>2768</v>
      </c>
      <c r="CB66">
        <v>1</v>
      </c>
    </row>
    <row r="67" spans="1:80">
      <c r="A67" s="178">
        <f ca="1">IFERROR(IF(AG66&lt;5+金蛇*2,IF(COUNTIF(B66,"*轻*")&gt;0,A66+加速!$L$9,A66+加速!$L$11)+V66,""),"")</f>
        <v>84.06</v>
      </c>
      <c r="B67" s="167" t="str">
        <f ca="1" t="shared" si="17"/>
        <v>云飞玉皇</v>
      </c>
      <c r="C67">
        <f ca="1" t="shared" si="10"/>
        <v>13.71</v>
      </c>
      <c r="D67">
        <f ca="1">IF(B67&lt;&gt;"",IF(C66&lt;=加速!$L$11*(1-E67),0,1),"")</f>
        <v>1</v>
      </c>
      <c r="E67">
        <f ca="1" t="shared" si="7"/>
        <v>0</v>
      </c>
      <c r="G67">
        <f ca="1" t="shared" si="8"/>
        <v>0</v>
      </c>
      <c r="H67">
        <f ca="1">IF(B67&lt;&gt;"",IF(AND(COUNTIF(B66,"*轻*莺鸣柳*")&gt;0,COUNTIF(B67,"*轻*")&lt;1),MAX(0,15+I66-(A67-A66)+COUNTIF(B66,"*平湖*")*0),IF(AND(E67=0,MAX(0,H66-(A67-A66))&lt;=加速!$H$11),0,MAX(0,H66-(A67-A66)))),"")</f>
        <v>0</v>
      </c>
      <c r="I67">
        <f ca="1" t="shared" si="14"/>
        <v>0</v>
      </c>
      <c r="J67">
        <f ca="1" t="shared" si="15"/>
        <v>1</v>
      </c>
      <c r="K67">
        <f ca="1" t="shared" si="18"/>
        <v>1</v>
      </c>
      <c r="L67">
        <f ca="1">IFERROR(IF(AND(COUNTIF(B67,"*-峰插*"),技能数据库!$M$72&gt;0),0,IF(COUNTIF(B67,"*鹤归*")&gt;0,16-加速!$L$11,MAX(0,L66-(A67-A66)))),0)</f>
        <v>9.54999999999998</v>
      </c>
      <c r="M67">
        <f ca="1" t="shared" ref="M67:M130" si="19">IF(COUNTIF(INDEX(AU68:CB68,1,$AT$1),"*鹤归*")=1,L67,0)</f>
        <v>0</v>
      </c>
      <c r="N67">
        <f ca="1">IFERROR(IF(AND(COUNTIF(B67,"*-峰插*"),技能数据库!$M$72&gt;0),0,IF(COUNTIF(B67,"*云飞*")&gt;0,4-COUNTIF(B67,"*玉山揽云*")*4--COUNTIF(B67,"*烟流暮景*")*4-COUNTIF(B67,"*云景*")*加速!$L$11-IF(J67&gt;0,2,0),MAX(0,N66-(A67-A66)-IF(J67&gt;0,2,0)))),0)</f>
        <v>2</v>
      </c>
      <c r="O67">
        <f ca="1">IF(AND(COUNTIF(IF(AND(配装计算器!$K$30&lt;&gt;"∞",0),INDEX(AU66:CB66,1,$AT$1),INDEX(AU68:CB68,1,$AT$1)),"*云飞*")=1,COUNTIF(IF(AND(配装计算器!$K$30&lt;&gt;"∞",0),INDEX(AU66:CB66,1,$AT$1),INDEX(AU68:CB68,1,$AT$1)),"*玉山*")=0),N67,0)</f>
        <v>0</v>
      </c>
      <c r="P67">
        <f ca="1">IFERROR(IF(COUNTIF(B67,"*云栖松*")&gt;0,50-加速!$L$11,MAX(0,P66-(A67-A66))),0)</f>
        <v>0</v>
      </c>
      <c r="Q67">
        <f ca="1">IF(COUNTIF(IF(AND(配装计算器!$K$30&lt;&gt;"∞",0),INDEX(AU66:CB66,1,$AT$1),INDEX(AU68:CB68,1,$AT$1)),"*云栖松*")=1,P67,0)</f>
        <v>0</v>
      </c>
      <c r="R67">
        <f ca="1">IFERROR(IF(COUNTIF(B67,"*莺鸣柳*")&gt;0,45-加速!$L$9,MAX(0,R66-(A67-A66))),0)</f>
        <v>0</v>
      </c>
      <c r="S67">
        <f ca="1">IF(COUNTIF(IF(AND(配装计算器!$K$30&lt;&gt;"∞",0),INDEX(AU66:CB66,1,$AT$1),INDEX(AU68:CB68,1,$AT$1)),"*莺鸣柳*")=1,R67,0)</f>
        <v>0</v>
      </c>
      <c r="T67">
        <f ca="1" t="shared" si="11"/>
        <v>0</v>
      </c>
      <c r="U67">
        <f ca="1">IF(金蛇,IF(COUNTIF(B67,"*金环戴*")+COUNTIF(B67,"*吹风醒*")&gt;0,IF(A67&lt;=3,7.125-2.625-A67-加速!$L$11,7.125+加速!$K$9-(A67+加速!$L$11-T67)),0),0)+IF(金蛇,IF(COUNTIF(B67,"*千切子裂光*")&gt;0,2+加速!$K$9-(A67+加速!$L$11-T67),0),0)</f>
        <v>0</v>
      </c>
      <c r="V67">
        <f ca="1" t="shared" si="12"/>
        <v>0</v>
      </c>
      <c r="W67">
        <f ca="1" t="shared" ref="W67:W130" si="20">IF(COUNTIF(B67,"*风来吴山*")&gt;0,1,IF(W66+1&gt;风车GCD,0,IF(W66&gt;0,W66+1,0)))</f>
        <v>0</v>
      </c>
      <c r="X67">
        <f ca="1">INDEX(加速!$I$13:$I$21,W67+1)</f>
        <v>0</v>
      </c>
      <c r="Y67">
        <f ca="1" t="shared" si="13"/>
        <v>0.5</v>
      </c>
      <c r="Z67">
        <f ca="1" t="shared" si="9"/>
        <v>0</v>
      </c>
      <c r="AA67">
        <f ca="1">MAX(0,IFERROR(IF(COUNTIF(B67,"*叠*")&gt;0,IF(AC66&lt;3,8-A68+A67,AA66+6.875-A68+A67),AA66-A68+A67),AA66-加速!$L$11))</f>
        <v>0</v>
      </c>
      <c r="AB67">
        <f ca="1">MAX(0,IF(COUNTIF(IF(AND(配装计算器!$K$30&lt;&gt;"∞",0),INDEX(AU67:CB67,1,$AT$1),INDEX(AU67:CB67,1,$AT$1)),"*叠1*")=1,4*25-加速!$L$11,AB66-A67+A66)-IF(OR(COUNTIF(OFFSET(AT67,0,$AT$1,1,1),"*听雷*")&gt;0,AND(碧归&gt;0,COUNTIF(OFFSET(AT67,0,$AT$1,1,1),"*风来*")&gt;0)),0,1)*1.5)</f>
        <v>24.15</v>
      </c>
      <c r="AC67">
        <f ca="1" t="shared" ref="AC67:AC130" si="21">IF(AND(AA67=0,E67=0),0,IF(AND(COUNTIF(B67,"*叠*")&gt;0,OR(AA66=0,AA66&gt;=5)),AC66+1,AC66))</f>
        <v>0</v>
      </c>
      <c r="AD67">
        <f ca="1">IF(COUNTIF(IF(AND(配装计算器!$K$30&lt;&gt;"∞",0),INDEX(AU67:CB67,1,$AT$1),INDEX(AU68:CB68,1,$AT$1)),"*叠1*")=1,AB67*0+AE66,0)</f>
        <v>0</v>
      </c>
      <c r="AE67">
        <f ca="1">IF($AN$11&gt;0,IF(COUNTIF(B68,"*叠1*")&gt;0,50-加速!$L$11,MAX(0,AE66-(A68-A67))),0)</f>
        <v>13.36</v>
      </c>
      <c r="AG67">
        <f ca="1" t="shared" ref="AG67:AG130" si="22">COUNTIF(INDEX(AU68:CB68,1,$AT$1),"*莺鸣柳*")+COUNTIF(INDEX(AU68:CB68,1,$AT$1),"*叠1*")+AG66</f>
        <v>2</v>
      </c>
      <c r="AH67" t="s">
        <v>1825</v>
      </c>
      <c r="AI67" t="s">
        <v>2780</v>
      </c>
      <c r="AJ67">
        <f ca="1">AJ66+AJ69</f>
        <v>0</v>
      </c>
      <c r="AK67" t="s">
        <v>3093</v>
      </c>
      <c r="AU67" t="s">
        <v>2768</v>
      </c>
      <c r="AV67">
        <v>1</v>
      </c>
      <c r="AW67" t="s">
        <v>2768</v>
      </c>
      <c r="AX67">
        <v>2</v>
      </c>
      <c r="AY67" t="s">
        <v>2722</v>
      </c>
      <c r="AZ67">
        <v>0</v>
      </c>
      <c r="BA67" t="s">
        <v>2722</v>
      </c>
      <c r="BB67">
        <v>0</v>
      </c>
      <c r="BC67" t="s">
        <v>2776</v>
      </c>
      <c r="BD67">
        <v>2</v>
      </c>
      <c r="BE67" t="s">
        <v>2768</v>
      </c>
      <c r="BF67">
        <v>1</v>
      </c>
      <c r="BG67" t="s">
        <v>2768</v>
      </c>
      <c r="BH67">
        <v>0</v>
      </c>
      <c r="BI67" t="s">
        <v>2776</v>
      </c>
      <c r="BJ67">
        <v>1</v>
      </c>
      <c r="BK67" t="s">
        <v>2768</v>
      </c>
      <c r="BL67">
        <v>0</v>
      </c>
      <c r="BM67" t="s">
        <v>2776</v>
      </c>
      <c r="BN67">
        <v>2</v>
      </c>
      <c r="BO67" t="s">
        <v>2722</v>
      </c>
      <c r="BP67">
        <v>0</v>
      </c>
      <c r="BQ67" t="s">
        <v>2768</v>
      </c>
      <c r="BR67">
        <v>0</v>
      </c>
      <c r="BS67" t="s">
        <v>2768</v>
      </c>
      <c r="BT67">
        <v>1</v>
      </c>
      <c r="BU67" t="s">
        <v>2768</v>
      </c>
      <c r="BV67">
        <v>0</v>
      </c>
      <c r="BW67" s="179" t="s">
        <v>2776</v>
      </c>
      <c r="BX67" s="179">
        <v>1</v>
      </c>
      <c r="BY67" t="s">
        <v>2776</v>
      </c>
      <c r="BZ67">
        <v>1</v>
      </c>
      <c r="CA67" t="s">
        <v>2776</v>
      </c>
      <c r="CB67">
        <v>1</v>
      </c>
    </row>
    <row r="68" spans="1:80">
      <c r="A68" s="178">
        <f ca="1">IFERROR(IF(AG67&lt;5+金蛇*2,IF(COUNTIF(B67,"*轻*")&gt;0,A67+加速!$L$9,A67+加速!$L$11)+V67,""),"")</f>
        <v>85.35</v>
      </c>
      <c r="B68" s="167" t="str">
        <f ca="1" t="shared" si="17"/>
        <v>夕照雷峰</v>
      </c>
      <c r="C68">
        <f ca="1" t="shared" si="10"/>
        <v>15</v>
      </c>
      <c r="D68">
        <f ca="1">IF(B68&lt;&gt;"",IF(C67&lt;=加速!$L$11*(1-E68),0,1),"")</f>
        <v>1</v>
      </c>
      <c r="E68">
        <f ca="1" t="shared" ref="E68:E131" si="23">IF(OR(COUNTIF(B68,"夕照雷峰*")&gt;0,COUNTIF(B68,"云飞玉皇*")&gt;0,COUNTIF(B68,"风来吴山*")&gt;0),COUNTIF(B68,"*云景*")+COUNTIF(B68,"*玉山揽云*")+COUNTIF(B68,"*烟流暮景*"),1)</f>
        <v>0</v>
      </c>
      <c r="G68">
        <f ca="1" t="shared" ref="G68:G131" si="24">IF(B68&lt;&gt;"",IF(AND(碧归&gt;0,COUNTIF(B67,"*风来吴山*")&gt;0),8,MAX(0,G67-COUNTIF(B68,"*云飞*")-COUNTIF(B68,"*鹤*")-COUNTIF(B68,"*夕*"))),"")</f>
        <v>0</v>
      </c>
      <c r="H68">
        <f ca="1">IF(B68&lt;&gt;"",IF(AND(COUNTIF(B67,"*轻*莺鸣柳*")&gt;0,COUNTIF(B68,"*轻*")&lt;1),MAX(0,15+I67-(A68-A67)+COUNTIF(B67,"*平湖*")*0),IF(AND(E68=0,MAX(0,H67-(A68-A67))&lt;=加速!$H$11),0,MAX(0,H67-(A68-A67)))),"")</f>
        <v>0</v>
      </c>
      <c r="I68">
        <f ca="1" t="shared" si="14"/>
        <v>0</v>
      </c>
      <c r="J68">
        <f ca="1" t="shared" si="15"/>
        <v>1</v>
      </c>
      <c r="K68">
        <f ca="1" t="shared" si="18"/>
        <v>1</v>
      </c>
      <c r="L68">
        <f ca="1">IFERROR(IF(AND(COUNTIF(B68,"*-峰插*"),技能数据库!$M$72&gt;0),0,IF(COUNTIF(B68,"*鹤归*")&gt;0,16-加速!$L$11,MAX(0,L67-(A68-A67)))),0)</f>
        <v>8.25999999999997</v>
      </c>
      <c r="M68">
        <f ca="1" t="shared" si="19"/>
        <v>0</v>
      </c>
      <c r="N68">
        <f ca="1">IFERROR(IF(AND(COUNTIF(B68,"*-峰插*"),技能数据库!$M$72&gt;0),0,IF(COUNTIF(B68,"*云飞*")&gt;0,4-COUNTIF(B68,"*玉山揽云*")*4--COUNTIF(B68,"*烟流暮景*")*4-COUNTIF(B68,"*云景*")*加速!$L$11-IF(J68&gt;0,2,0),MAX(0,N67-(A68-A67)-IF(J68&gt;0,2,0)))),0)</f>
        <v>0</v>
      </c>
      <c r="O68">
        <f ca="1">IF(AND(COUNTIF(IF(AND(配装计算器!$K$30&lt;&gt;"∞",0),INDEX(AU67:CB67,1,$AT$1),INDEX(AU69:CB69,1,$AT$1)),"*云飞*")=1,COUNTIF(IF(AND(配装计算器!$K$30&lt;&gt;"∞",0),INDEX(AU67:CB67,1,$AT$1),INDEX(AU69:CB69,1,$AT$1)),"*玉山*")=0),N68,0)</f>
        <v>0</v>
      </c>
      <c r="P68">
        <f ca="1">IFERROR(IF(COUNTIF(B68,"*云栖松*")&gt;0,50-加速!$L$11,MAX(0,P67-(A68-A67))),0)</f>
        <v>0</v>
      </c>
      <c r="Q68">
        <f ca="1">IF(COUNTIF(IF(AND(配装计算器!$K$30&lt;&gt;"∞",0),INDEX(AU67:CB67,1,$AT$1),INDEX(AU69:CB69,1,$AT$1)),"*云栖松*")=1,P68,0)</f>
        <v>0</v>
      </c>
      <c r="R68">
        <f ca="1">IFERROR(IF(COUNTIF(B68,"*莺鸣柳*")&gt;0,45-加速!$L$9,MAX(0,R67-(A68-A67))),0)</f>
        <v>0</v>
      </c>
      <c r="S68">
        <f ca="1">IF(COUNTIF(IF(AND(配装计算器!$K$30&lt;&gt;"∞",0),INDEX(AU67:CB67,1,$AT$1),INDEX(AU69:CB69,1,$AT$1)),"*莺鸣柳*")=1,R68,0)</f>
        <v>0</v>
      </c>
      <c r="T68">
        <f ca="1" t="shared" si="11"/>
        <v>0</v>
      </c>
      <c r="U68">
        <f ca="1">IF(金蛇,IF(COUNTIF(B68,"*金环戴*")+COUNTIF(B68,"*吹风醒*")&gt;0,IF(A68&lt;=3,7.125-2.625-A68-加速!$L$11,7.125+加速!$K$9-(A68+加速!$L$11-T68)),0),0)+IF(金蛇,IF(COUNTIF(B68,"*千切子裂光*")&gt;0,2+加速!$K$9-(A68+加速!$L$11-T68),0),0)</f>
        <v>0</v>
      </c>
      <c r="V68">
        <f ca="1" t="shared" si="12"/>
        <v>0</v>
      </c>
      <c r="W68">
        <f ca="1" t="shared" si="20"/>
        <v>0</v>
      </c>
      <c r="X68">
        <f ca="1">INDEX(加速!$I$13:$I$21,W68+1)</f>
        <v>0</v>
      </c>
      <c r="Y68">
        <f ca="1" t="shared" si="13"/>
        <v>0.5</v>
      </c>
      <c r="Z68">
        <f ca="1" t="shared" ref="Z68:Z131" si="25">IF(金蛇,IF(COUNTIF(B68,"*虎跑*")&gt;0,INT((A68-Y68)/3),0),0)</f>
        <v>0</v>
      </c>
      <c r="AA68">
        <f ca="1">MAX(0,IFERROR(IF(COUNTIF(B68,"*叠*")&gt;0,IF(AC67&lt;3,8-A69+A68,AA67+6.875-A69+A68),AA67-A69+A68),AA67-加速!$L$11))</f>
        <v>0</v>
      </c>
      <c r="AB68">
        <f ca="1">MAX(0,IF(COUNTIF(IF(AND(配装计算器!$K$30&lt;&gt;"∞",0),INDEX(AU68:CB68,1,$AT$1),INDEX(AU68:CB68,1,$AT$1)),"*叠1*")=1,4*25-加速!$L$11,AB67-A68+A67)-IF(OR(COUNTIF(OFFSET(AT68,0,$AT$1,1,1),"*听雷*")&gt;0,AND(碧归&gt;0,COUNTIF(OFFSET(AT68,0,$AT$1,1,1),"*风来*")&gt;0)),0,1)*1.5)</f>
        <v>21.36</v>
      </c>
      <c r="AC68">
        <f ca="1" t="shared" si="21"/>
        <v>0</v>
      </c>
      <c r="AD68">
        <f ca="1">IF(COUNTIF(IF(AND(配装计算器!$K$30&lt;&gt;"∞",0),INDEX(AU68:CB68,1,$AT$1),INDEX(AU69:CB69,1,$AT$1)),"*叠1*")=1,AB68*0+AE67,0)</f>
        <v>0</v>
      </c>
      <c r="AE68">
        <f ca="1">IF($AN$11&gt;0,IF(COUNTIF(B69,"*叠1*")&gt;0,50-加速!$L$11,MAX(0,AE67-(A69-A68))),0)</f>
        <v>12.07</v>
      </c>
      <c r="AG68">
        <f ca="1" t="shared" si="22"/>
        <v>2</v>
      </c>
      <c r="AH68" t="s">
        <v>1028</v>
      </c>
      <c r="AI68" t="s">
        <v>2723</v>
      </c>
      <c r="AK68" t="s">
        <v>2750</v>
      </c>
      <c r="AU68" t="s">
        <v>3063</v>
      </c>
      <c r="AV68">
        <v>2</v>
      </c>
      <c r="AW68" t="s">
        <v>2776</v>
      </c>
      <c r="AX68">
        <v>2</v>
      </c>
      <c r="AY68" t="s">
        <v>2776</v>
      </c>
      <c r="AZ68">
        <v>2</v>
      </c>
      <c r="BA68" t="s">
        <v>2776</v>
      </c>
      <c r="BB68">
        <v>2</v>
      </c>
      <c r="BC68" t="s">
        <v>2768</v>
      </c>
      <c r="BD68">
        <v>1</v>
      </c>
      <c r="BE68" t="s">
        <v>2794</v>
      </c>
      <c r="BF68">
        <v>0</v>
      </c>
      <c r="BG68" t="s">
        <v>2776</v>
      </c>
      <c r="BH68">
        <v>0</v>
      </c>
      <c r="BI68" t="s">
        <v>2768</v>
      </c>
      <c r="BJ68">
        <v>1</v>
      </c>
      <c r="BK68" t="s">
        <v>3056</v>
      </c>
      <c r="BL68">
        <v>0</v>
      </c>
      <c r="BM68" t="s">
        <v>2768</v>
      </c>
      <c r="BN68">
        <v>1</v>
      </c>
      <c r="BO68" t="s">
        <v>3009</v>
      </c>
      <c r="BP68">
        <v>2</v>
      </c>
      <c r="BQ68" t="s">
        <v>2768</v>
      </c>
      <c r="BR68">
        <v>0</v>
      </c>
      <c r="BS68" t="s">
        <v>2768</v>
      </c>
      <c r="BT68">
        <v>1</v>
      </c>
      <c r="BU68" t="s">
        <v>2768</v>
      </c>
      <c r="BV68">
        <v>0</v>
      </c>
      <c r="BW68" s="179" t="s">
        <v>2768</v>
      </c>
      <c r="BX68" s="179">
        <v>1</v>
      </c>
      <c r="BY68" t="s">
        <v>2768</v>
      </c>
      <c r="BZ68">
        <v>1</v>
      </c>
      <c r="CA68" t="s">
        <v>2768</v>
      </c>
      <c r="CB68">
        <v>1</v>
      </c>
    </row>
    <row r="69" spans="1:80">
      <c r="A69" s="178">
        <f ca="1">IFERROR(IF(AG68&lt;5+金蛇*2,IF(COUNTIF(B68,"*轻*")&gt;0,A68+加速!$L$9,A68+加速!$L$11)+V68,""),"")</f>
        <v>86.64</v>
      </c>
      <c r="B69" s="167" t="str">
        <f ca="1" t="shared" si="17"/>
        <v>云飞玉皇</v>
      </c>
      <c r="C69">
        <f ca="1" t="shared" ref="C69:C132" si="26">IFERROR(IF(COUNTIF(B69,"*夕照雷峰*")&gt;0,15,MAX(0,C68-(A69-A68))),"")</f>
        <v>13.71</v>
      </c>
      <c r="D69">
        <f ca="1">IF(B69&lt;&gt;"",IF(C68&lt;=加速!$L$11*(1-E69),0,1),"")</f>
        <v>1</v>
      </c>
      <c r="E69">
        <f ca="1" t="shared" si="23"/>
        <v>0</v>
      </c>
      <c r="G69">
        <f ca="1" t="shared" si="24"/>
        <v>0</v>
      </c>
      <c r="H69">
        <f ca="1">IF(B69&lt;&gt;"",IF(AND(COUNTIF(B68,"*轻*莺鸣柳*")&gt;0,COUNTIF(B69,"*轻*")&lt;1),MAX(0,15+I68-(A69-A68)+COUNTIF(B68,"*平湖*")*0),IF(AND(E69=0,MAX(0,H68-(A69-A68))&lt;=加速!$H$11),0,MAX(0,H68-(A69-A68)))),"")</f>
        <v>0</v>
      </c>
      <c r="I69">
        <f ca="1" t="shared" si="14"/>
        <v>0</v>
      </c>
      <c r="J69">
        <f ca="1" t="shared" si="15"/>
        <v>0</v>
      </c>
      <c r="K69">
        <f ca="1" t="shared" si="18"/>
        <v>0</v>
      </c>
      <c r="L69">
        <f ca="1">IFERROR(IF(AND(COUNTIF(B69,"*-峰插*"),技能数据库!$M$72&gt;0),0,IF(COUNTIF(B69,"*鹤归*")&gt;0,16-加速!$L$11,MAX(0,L68-(A69-A68)))),0)</f>
        <v>6.96999999999996</v>
      </c>
      <c r="M69">
        <f ca="1" t="shared" si="19"/>
        <v>0</v>
      </c>
      <c r="N69">
        <f ca="1">IFERROR(IF(AND(COUNTIF(B69,"*-峰插*"),技能数据库!$M$72&gt;0),0,IF(COUNTIF(B69,"*云飞*")&gt;0,4-COUNTIF(B69,"*玉山揽云*")*4--COUNTIF(B69,"*烟流暮景*")*4-COUNTIF(B69,"*云景*")*加速!$L$11-IF(J69&gt;0,2,0),MAX(0,N68-(A69-A68)-IF(J69&gt;0,2,0)))),0)</f>
        <v>4</v>
      </c>
      <c r="O69">
        <f ca="1">IF(AND(COUNTIF(IF(AND(配装计算器!$K$30&lt;&gt;"∞",0),INDEX(AU68:CB68,1,$AT$1),INDEX(AU70:CB70,1,$AT$1)),"*云飞*")=1,COUNTIF(IF(AND(配装计算器!$K$30&lt;&gt;"∞",0),INDEX(AU68:CB68,1,$AT$1),INDEX(AU70:CB70,1,$AT$1)),"*玉山*")=0),N69,0)</f>
        <v>0</v>
      </c>
      <c r="P69">
        <f ca="1">IFERROR(IF(COUNTIF(B69,"*云栖松*")&gt;0,50-加速!$L$11,MAX(0,P68-(A69-A68))),0)</f>
        <v>0</v>
      </c>
      <c r="Q69">
        <f ca="1">IF(COUNTIF(IF(AND(配装计算器!$K$30&lt;&gt;"∞",0),INDEX(AU68:CB68,1,$AT$1),INDEX(AU70:CB70,1,$AT$1)),"*云栖松*")=1,P69,0)</f>
        <v>0</v>
      </c>
      <c r="R69">
        <f ca="1">IFERROR(IF(COUNTIF(B69,"*莺鸣柳*")&gt;0,45-加速!$L$9,MAX(0,R68-(A69-A68))),0)</f>
        <v>0</v>
      </c>
      <c r="S69">
        <f ca="1">IF(COUNTIF(IF(AND(配装计算器!$K$30&lt;&gt;"∞",0),INDEX(AU68:CB68,1,$AT$1),INDEX(AU70:CB70,1,$AT$1)),"*莺鸣柳*")=1,R69,0)</f>
        <v>0</v>
      </c>
      <c r="T69">
        <f ca="1" t="shared" ref="T69:T132" si="27">IF(COUNTIF(B69,"*岚尘金蛇*")+COUNTIF(B69,"*千切子寒光*")&gt;0,A69,T68)</f>
        <v>0</v>
      </c>
      <c r="U69">
        <f ca="1">IF(金蛇,IF(COUNTIF(B69,"*金环戴*")+COUNTIF(B69,"*吹风醒*")&gt;0,IF(A69&lt;=3,7.125-2.625-A69-加速!$L$11,7.125+加速!$K$9-(A69+加速!$L$11-T69)),0),0)+IF(金蛇,IF(COUNTIF(B69,"*千切子裂光*")&gt;0,2+加速!$K$9-(A69+加速!$L$11-T69),0),0)</f>
        <v>0</v>
      </c>
      <c r="V69">
        <f ca="1" t="shared" ref="V69:V132" si="28">MAX(0,M69+O69+Q69+S69+AD69)+U69</f>
        <v>0</v>
      </c>
      <c r="W69">
        <f ca="1" t="shared" si="20"/>
        <v>0</v>
      </c>
      <c r="X69">
        <f ca="1">INDEX(加速!$I$13:$I$21,W69+1)</f>
        <v>0</v>
      </c>
      <c r="Y69">
        <f ca="1" t="shared" ref="Y69:Y132" si="29">IF(COUNTIF(B69,"*岚尘金蛇*"),A69+2.6125+0.5,Y68)</f>
        <v>0.5</v>
      </c>
      <c r="Z69">
        <f ca="1" t="shared" si="25"/>
        <v>0</v>
      </c>
      <c r="AA69">
        <f ca="1">MAX(0,IFERROR(IF(COUNTIF(B69,"*叠*")&gt;0,IF(AC68&lt;3,8-A70+A69,AA68+6.875-A70+A69),AA68-A70+A69),AA68-加速!$L$11))</f>
        <v>0</v>
      </c>
      <c r="AB69">
        <f ca="1">MAX(0,IF(COUNTIF(IF(AND(配装计算器!$K$30&lt;&gt;"∞",0),INDEX(AU69:CB69,1,$AT$1),INDEX(AU69:CB69,1,$AT$1)),"*叠1*")=1,4*25-加速!$L$11,AB68-A69+A68)-IF(OR(COUNTIF(OFFSET(AT69,0,$AT$1,1,1),"*听雷*")&gt;0,AND(碧归&gt;0,COUNTIF(OFFSET(AT69,0,$AT$1,1,1),"*风来*")&gt;0)),0,1)*1.5)</f>
        <v>18.57</v>
      </c>
      <c r="AC69">
        <f ca="1" t="shared" si="21"/>
        <v>0</v>
      </c>
      <c r="AD69">
        <f ca="1">IF(COUNTIF(IF(AND(配装计算器!$K$30&lt;&gt;"∞",0),INDEX(AU69:CB69,1,$AT$1),INDEX(AU70:CB70,1,$AT$1)),"*叠1*")=1,AB69*0+AE68,0)</f>
        <v>0</v>
      </c>
      <c r="AE69">
        <f ca="1">IF($AN$11&gt;0,IF(COUNTIF(B70,"*叠1*")&gt;0,50-加速!$L$11,MAX(0,AE68-(A70-A69))),0)</f>
        <v>10.78</v>
      </c>
      <c r="AG69">
        <f ca="1" t="shared" si="22"/>
        <v>2</v>
      </c>
      <c r="AH69" t="s">
        <v>1825</v>
      </c>
      <c r="AI69" t="s">
        <v>2808</v>
      </c>
      <c r="AJ69">
        <f ca="1">长时间循环比*COUNTIFS($B$3:$B$515,AI69&amp;"*",$D$3:$D$515,"&gt;0",$H$3:$H$515,"&gt;0",$G$3:$G$515,"&gt;0",$K$3:$K$515,"=2")</f>
        <v>0</v>
      </c>
      <c r="AK69" t="s">
        <v>3093</v>
      </c>
      <c r="AM69" t="s">
        <v>2750</v>
      </c>
      <c r="AN69">
        <f ca="1">COUNTIFS($D$3:$D$515,"&gt;0",$AC$3:$AC$515,0)</f>
        <v>88</v>
      </c>
      <c r="AO69">
        <f ca="1">IFERROR(AN69/SUM($AN$69:$AN$72),0)*叠峰意</f>
        <v>0.578947368421053</v>
      </c>
      <c r="AU69" t="s">
        <v>2776</v>
      </c>
      <c r="AV69">
        <v>1</v>
      </c>
      <c r="AW69" t="s">
        <v>2768</v>
      </c>
      <c r="AX69">
        <v>2</v>
      </c>
      <c r="AY69" t="s">
        <v>2768</v>
      </c>
      <c r="AZ69">
        <v>2</v>
      </c>
      <c r="BA69" t="s">
        <v>2768</v>
      </c>
      <c r="BB69">
        <v>2</v>
      </c>
      <c r="BC69" t="s">
        <v>2768</v>
      </c>
      <c r="BD69">
        <v>1</v>
      </c>
      <c r="BE69" t="s">
        <v>2776</v>
      </c>
      <c r="BF69">
        <v>0</v>
      </c>
      <c r="BG69" t="s">
        <v>3067</v>
      </c>
      <c r="BH69">
        <v>0</v>
      </c>
      <c r="BI69" t="s">
        <v>2776</v>
      </c>
      <c r="BJ69">
        <v>0</v>
      </c>
      <c r="BK69" t="s">
        <v>2768</v>
      </c>
      <c r="BL69">
        <v>2</v>
      </c>
      <c r="BM69" t="s">
        <v>2722</v>
      </c>
      <c r="BN69">
        <v>0</v>
      </c>
      <c r="BO69" t="s">
        <v>2776</v>
      </c>
      <c r="BP69">
        <v>2</v>
      </c>
      <c r="BQ69" t="s">
        <v>3067</v>
      </c>
      <c r="BR69">
        <v>0</v>
      </c>
      <c r="BS69" t="s">
        <v>2768</v>
      </c>
      <c r="BT69">
        <v>0</v>
      </c>
      <c r="BU69" t="s">
        <v>2776</v>
      </c>
      <c r="BV69">
        <v>0</v>
      </c>
      <c r="BW69" s="179" t="s">
        <v>2722</v>
      </c>
      <c r="BX69" s="179">
        <v>2</v>
      </c>
      <c r="BY69" t="s">
        <v>2722</v>
      </c>
      <c r="BZ69">
        <v>0</v>
      </c>
      <c r="CA69" t="s">
        <v>2722</v>
      </c>
      <c r="CB69">
        <v>0</v>
      </c>
    </row>
    <row r="70" spans="1:80">
      <c r="A70" s="178">
        <f ca="1">IFERROR(IF(AG69&lt;5+金蛇*2,IF(COUNTIF(B69,"*轻*")&gt;0,A69+加速!$L$9,A69+加速!$L$11)+V69,""),"")</f>
        <v>87.93</v>
      </c>
      <c r="B70" s="167" t="str">
        <f ca="1" t="shared" si="17"/>
        <v>夕照雷峰</v>
      </c>
      <c r="C70">
        <f ca="1" t="shared" si="26"/>
        <v>15</v>
      </c>
      <c r="D70">
        <f ca="1">IF(B70&lt;&gt;"",IF(C69&lt;=加速!$L$11*(1-E70),0,1),"")</f>
        <v>1</v>
      </c>
      <c r="E70">
        <f ca="1" t="shared" si="23"/>
        <v>0</v>
      </c>
      <c r="G70">
        <f ca="1" t="shared" si="24"/>
        <v>0</v>
      </c>
      <c r="H70">
        <f ca="1">IF(B70&lt;&gt;"",IF(AND(COUNTIF(B69,"*轻*莺鸣柳*")&gt;0,COUNTIF(B70,"*轻*")&lt;1),MAX(0,15+I69-(A70-A69)+COUNTIF(B69,"*平湖*")*0),IF(AND(E70=0,MAX(0,H69-(A70-A69))&lt;=加速!$H$11),0,MAX(0,H69-(A70-A69)))),"")</f>
        <v>0</v>
      </c>
      <c r="I70">
        <f ca="1" t="shared" ref="I70:I133" si="30">IF(B70&lt;&gt;"",IF(COUNTIF(B70,"*轻*")&lt;1,0,IF(COUNTIF(B70,"*莺鸣*")&gt;0,8,MAX(0,I69-(A70-A69)))),"")</f>
        <v>0</v>
      </c>
      <c r="J70">
        <f ca="1" t="shared" ref="J70:J133" si="31">IF(B70&lt;&gt;"",IF(AND(J69=1,OR(AND(COUNTIF(B70,"*云景*")&gt;0,COUNTIF(B65:B69,"*鹤归*")&gt;0),AND(落剑5=1,COUNTIF(B65:B69,"*鹤归*")&gt;0))),1,IF(COUNTIF(B69,"*鹤归*")&gt;0,4+_666三听,MAX(J69-1,0))),"")</f>
        <v>0</v>
      </c>
      <c r="K70">
        <f ca="1" t="shared" si="18"/>
        <v>0</v>
      </c>
      <c r="L70">
        <f ca="1">IFERROR(IF(AND(COUNTIF(B70,"*-峰插*"),技能数据库!$M$72&gt;0),0,IF(COUNTIF(B70,"*鹤归*")&gt;0,16-加速!$L$11,MAX(0,L69-(A70-A69)))),0)</f>
        <v>5.67999999999996</v>
      </c>
      <c r="M70">
        <f ca="1" t="shared" si="19"/>
        <v>0</v>
      </c>
      <c r="N70">
        <f ca="1">IFERROR(IF(AND(COUNTIF(B70,"*-峰插*"),技能数据库!$M$72&gt;0),0,IF(COUNTIF(B70,"*云飞*")&gt;0,4-COUNTIF(B70,"*玉山揽云*")*4--COUNTIF(B70,"*烟流暮景*")*4-COUNTIF(B70,"*云景*")*加速!$L$11-IF(J70&gt;0,2,0),MAX(0,N69-(A70-A69)-IF(J70&gt;0,2,0)))),0)</f>
        <v>2.70999999999999</v>
      </c>
      <c r="O70">
        <f ca="1">IF(AND(COUNTIF(IF(AND(配装计算器!$K$30&lt;&gt;"∞",0),INDEX(AU69:CB69,1,$AT$1),INDEX(AU71:CB71,1,$AT$1)),"*云飞*")=1,COUNTIF(IF(AND(配装计算器!$K$30&lt;&gt;"∞",0),INDEX(AU69:CB69,1,$AT$1),INDEX(AU71:CB71,1,$AT$1)),"*玉山*")=0),N70,0)</f>
        <v>0</v>
      </c>
      <c r="P70">
        <f ca="1">IFERROR(IF(COUNTIF(B70,"*云栖松*")&gt;0,50-加速!$L$11,MAX(0,P69-(A70-A69))),0)</f>
        <v>0</v>
      </c>
      <c r="Q70">
        <f ca="1">IF(COUNTIF(IF(AND(配装计算器!$K$30&lt;&gt;"∞",0),INDEX(AU69:CB69,1,$AT$1),INDEX(AU71:CB71,1,$AT$1)),"*云栖松*")=1,P70,0)</f>
        <v>0</v>
      </c>
      <c r="R70">
        <f ca="1">IFERROR(IF(COUNTIF(B70,"*莺鸣柳*")&gt;0,45-加速!$L$9,MAX(0,R69-(A70-A69))),0)</f>
        <v>0</v>
      </c>
      <c r="S70">
        <f ca="1">IF(COUNTIF(IF(AND(配装计算器!$K$30&lt;&gt;"∞",0),INDEX(AU69:CB69,1,$AT$1),INDEX(AU71:CB71,1,$AT$1)),"*莺鸣柳*")=1,R70,0)</f>
        <v>0</v>
      </c>
      <c r="T70">
        <f ca="1" t="shared" si="27"/>
        <v>0</v>
      </c>
      <c r="U70">
        <f ca="1">IF(金蛇,IF(COUNTIF(B70,"*金环戴*")+COUNTIF(B70,"*吹风醒*")&gt;0,IF(A70&lt;=3,7.125-2.625-A70-加速!$L$11,7.125+加速!$K$9-(A70+加速!$L$11-T70)),0),0)+IF(金蛇,IF(COUNTIF(B70,"*千切子裂光*")&gt;0,2+加速!$K$9-(A70+加速!$L$11-T70),0),0)</f>
        <v>0</v>
      </c>
      <c r="V70">
        <f ca="1" t="shared" si="28"/>
        <v>0</v>
      </c>
      <c r="W70">
        <f ca="1" t="shared" si="20"/>
        <v>0</v>
      </c>
      <c r="X70">
        <f ca="1">INDEX(加速!$I$13:$I$21,W70+1)</f>
        <v>0</v>
      </c>
      <c r="Y70">
        <f ca="1" t="shared" si="29"/>
        <v>0.5</v>
      </c>
      <c r="Z70">
        <f ca="1" t="shared" si="25"/>
        <v>0</v>
      </c>
      <c r="AA70">
        <f ca="1">MAX(0,IFERROR(IF(COUNTIF(B70,"*叠*")&gt;0,IF(AC69&lt;3,8-A71+A70,AA69+6.875-A71+A70),AA69-A71+A70),AA69-加速!$L$11))</f>
        <v>0</v>
      </c>
      <c r="AB70">
        <f ca="1">MAX(0,IF(COUNTIF(IF(AND(配装计算器!$K$30&lt;&gt;"∞",0),INDEX(AU70:CB70,1,$AT$1),INDEX(AU70:CB70,1,$AT$1)),"*叠1*")=1,4*25-加速!$L$11,AB69-A70+A69)-IF(OR(COUNTIF(OFFSET(AT70,0,$AT$1,1,1),"*听雷*")&gt;0,AND(碧归&gt;0,COUNTIF(OFFSET(AT70,0,$AT$1,1,1),"*风来*")&gt;0)),0,1)*1.5)</f>
        <v>15.78</v>
      </c>
      <c r="AC70">
        <f ca="1" t="shared" si="21"/>
        <v>0</v>
      </c>
      <c r="AD70">
        <f ca="1">IF(COUNTIF(IF(AND(配装计算器!$K$30&lt;&gt;"∞",0),INDEX(AU70:CB70,1,$AT$1),INDEX(AU71:CB71,1,$AT$1)),"*叠1*")=1,AB70*0+AE69,0)</f>
        <v>0</v>
      </c>
      <c r="AE70">
        <f ca="1">IF($AN$11&gt;0,IF(COUNTIF(B71,"*叠1*")&gt;0,50-加速!$L$11,MAX(0,AE69-(A71-A70))),0)</f>
        <v>9.48999999999995</v>
      </c>
      <c r="AG70">
        <f ca="1" t="shared" si="22"/>
        <v>2</v>
      </c>
      <c r="AH70" t="s">
        <v>1825</v>
      </c>
      <c r="AI70" t="s">
        <v>2808</v>
      </c>
      <c r="AJ70">
        <f ca="1">长时间循环比*COUNTIFS($B$3:$B$515,AI70&amp;"*",$D$3:$D$515,"&gt;0",$H$3:$H$515,"=0",$G$3:$G$515,"=0",$K$3:$K$515,"=1",$AC$3:$AC$515,"=0")</f>
        <v>0</v>
      </c>
      <c r="AK70" t="s">
        <v>3057</v>
      </c>
      <c r="AM70" t="s">
        <v>3096</v>
      </c>
      <c r="AN70">
        <f ca="1">COUNTIFS($D$3:$D$515,"&gt;0",$AC$3:$AC$515,1)</f>
        <v>8</v>
      </c>
      <c r="AO70">
        <f ca="1">IFERROR(AN70/SUM($AN$69:$AN$72),0)*叠峰意</f>
        <v>0.0526315789473684</v>
      </c>
      <c r="AU70" t="s">
        <v>2768</v>
      </c>
      <c r="AV70">
        <v>2</v>
      </c>
      <c r="AW70" t="s">
        <v>2722</v>
      </c>
      <c r="AX70">
        <v>0</v>
      </c>
      <c r="AY70" t="s">
        <v>2768</v>
      </c>
      <c r="AZ70">
        <v>2</v>
      </c>
      <c r="BA70" t="s">
        <v>2768</v>
      </c>
      <c r="BB70">
        <v>2</v>
      </c>
      <c r="BC70" t="s">
        <v>2813</v>
      </c>
      <c r="BD70">
        <v>0</v>
      </c>
      <c r="BE70" t="s">
        <v>2768</v>
      </c>
      <c r="BF70">
        <v>0</v>
      </c>
      <c r="BG70" t="s">
        <v>2768</v>
      </c>
      <c r="BH70">
        <v>2</v>
      </c>
      <c r="BI70" t="s">
        <v>2768</v>
      </c>
      <c r="BJ70">
        <v>0</v>
      </c>
      <c r="BK70" t="s">
        <v>2768</v>
      </c>
      <c r="BL70">
        <v>2</v>
      </c>
      <c r="BM70" t="s">
        <v>3009</v>
      </c>
      <c r="BN70">
        <v>2</v>
      </c>
      <c r="BO70" t="s">
        <v>2768</v>
      </c>
      <c r="BP70">
        <v>2</v>
      </c>
      <c r="BQ70" t="s">
        <v>2776</v>
      </c>
      <c r="BR70">
        <v>2</v>
      </c>
      <c r="BS70" t="s">
        <v>2776</v>
      </c>
      <c r="BT70">
        <v>0</v>
      </c>
      <c r="BU70" t="s">
        <v>3067</v>
      </c>
      <c r="BV70">
        <v>0</v>
      </c>
      <c r="BW70" s="179" t="s">
        <v>3009</v>
      </c>
      <c r="BX70" s="179">
        <v>2</v>
      </c>
      <c r="BY70" t="s">
        <v>3009</v>
      </c>
      <c r="BZ70">
        <v>2</v>
      </c>
      <c r="CA70" t="s">
        <v>3009</v>
      </c>
      <c r="CB70">
        <v>2</v>
      </c>
    </row>
    <row r="71" spans="1:80">
      <c r="A71" s="178">
        <f ca="1">IFERROR(IF(AG70&lt;5+金蛇*2,IF(COUNTIF(B70,"*轻*")&gt;0,A70+加速!$L$9,A70+加速!$L$11)+V70,""),"")</f>
        <v>89.2200000000001</v>
      </c>
      <c r="B71" s="167" t="str">
        <f ca="1" t="shared" si="17"/>
        <v>夕照雷峰</v>
      </c>
      <c r="C71">
        <f ca="1" t="shared" si="26"/>
        <v>15</v>
      </c>
      <c r="D71">
        <f ca="1">IF(B71&lt;&gt;"",IF(C70&lt;=加速!$L$11*(1-E71),0,1),"")</f>
        <v>1</v>
      </c>
      <c r="E71">
        <f ca="1" t="shared" si="23"/>
        <v>0</v>
      </c>
      <c r="G71">
        <f ca="1" t="shared" si="24"/>
        <v>0</v>
      </c>
      <c r="H71">
        <f ca="1">IF(B71&lt;&gt;"",IF(AND(COUNTIF(B70,"*轻*莺鸣柳*")&gt;0,COUNTIF(B71,"*轻*")&lt;1),MAX(0,15+I70-(A71-A70)+COUNTIF(B70,"*平湖*")*0),IF(AND(E71=0,MAX(0,H70-(A71-A70))&lt;=加速!$H$11),0,MAX(0,H70-(A71-A70)))),"")</f>
        <v>0</v>
      </c>
      <c r="I71">
        <f ca="1" t="shared" si="30"/>
        <v>0</v>
      </c>
      <c r="J71">
        <f ca="1" t="shared" si="31"/>
        <v>0</v>
      </c>
      <c r="K71">
        <f ca="1" t="shared" si="18"/>
        <v>0</v>
      </c>
      <c r="L71">
        <f ca="1">IFERROR(IF(AND(COUNTIF(B71,"*-峰插*"),技能数据库!$M$72&gt;0),0,IF(COUNTIF(B71,"*鹤归*")&gt;0,16-加速!$L$11,MAX(0,L70-(A71-A70)))),0)</f>
        <v>4.38999999999995</v>
      </c>
      <c r="M71">
        <f ca="1" t="shared" si="19"/>
        <v>0</v>
      </c>
      <c r="N71">
        <f ca="1">IFERROR(IF(AND(COUNTIF(B71,"*-峰插*"),技能数据库!$M$72&gt;0),0,IF(COUNTIF(B71,"*云飞*")&gt;0,4-COUNTIF(B71,"*玉山揽云*")*4--COUNTIF(B71,"*烟流暮景*")*4-COUNTIF(B71,"*云景*")*加速!$L$11-IF(J71&gt;0,2,0),MAX(0,N70-(A71-A70)-IF(J71&gt;0,2,0)))),0)</f>
        <v>1.41999999999999</v>
      </c>
      <c r="O71">
        <f ca="1">IF(AND(COUNTIF(IF(AND(配装计算器!$K$30&lt;&gt;"∞",0),INDEX(AU70:CB70,1,$AT$1),INDEX(AU72:CB72,1,$AT$1)),"*云飞*")=1,COUNTIF(IF(AND(配装计算器!$K$30&lt;&gt;"∞",0),INDEX(AU70:CB70,1,$AT$1),INDEX(AU72:CB72,1,$AT$1)),"*玉山*")=0),N71,0)</f>
        <v>0</v>
      </c>
      <c r="P71">
        <f ca="1">IFERROR(IF(COUNTIF(B71,"*云栖松*")&gt;0,50-加速!$L$11,MAX(0,P70-(A71-A70))),0)</f>
        <v>0</v>
      </c>
      <c r="Q71">
        <f ca="1">IF(COUNTIF(IF(AND(配装计算器!$K$30&lt;&gt;"∞",0),INDEX(AU70:CB70,1,$AT$1),INDEX(AU72:CB72,1,$AT$1)),"*云栖松*")=1,P71,0)</f>
        <v>0</v>
      </c>
      <c r="R71">
        <f ca="1">IFERROR(IF(COUNTIF(B71,"*莺鸣柳*")&gt;0,45-加速!$L$9,MAX(0,R70-(A71-A70))),0)</f>
        <v>0</v>
      </c>
      <c r="S71">
        <f ca="1">IF(COUNTIF(IF(AND(配装计算器!$K$30&lt;&gt;"∞",0),INDEX(AU70:CB70,1,$AT$1),INDEX(AU72:CB72,1,$AT$1)),"*莺鸣柳*")=1,R71,0)</f>
        <v>0</v>
      </c>
      <c r="T71">
        <f ca="1" t="shared" si="27"/>
        <v>0</v>
      </c>
      <c r="U71">
        <f ca="1">IF(金蛇,IF(COUNTIF(B71,"*金环戴*")+COUNTIF(B71,"*吹风醒*")&gt;0,IF(A71&lt;=3,7.125-2.625-A71-加速!$L$11,7.125+加速!$K$9-(A71+加速!$L$11-T71)),0),0)+IF(金蛇,IF(COUNTIF(B71,"*千切子裂光*")&gt;0,2+加速!$K$9-(A71+加速!$L$11-T71),0),0)</f>
        <v>0</v>
      </c>
      <c r="V71">
        <f ca="1" t="shared" si="28"/>
        <v>0</v>
      </c>
      <c r="W71">
        <f ca="1" t="shared" si="20"/>
        <v>0</v>
      </c>
      <c r="X71">
        <f ca="1">INDEX(加速!$I$13:$I$21,W71+1)</f>
        <v>0</v>
      </c>
      <c r="Y71">
        <f ca="1" t="shared" si="29"/>
        <v>0.5</v>
      </c>
      <c r="Z71">
        <f ca="1" t="shared" si="25"/>
        <v>0</v>
      </c>
      <c r="AA71">
        <f ca="1">MAX(0,IFERROR(IF(COUNTIF(B71,"*叠*")&gt;0,IF(AC70&lt;3,8-A72+A71,AA70+6.875-A72+A71),AA70-A72+A71),AA70-加速!$L$11))</f>
        <v>0</v>
      </c>
      <c r="AB71">
        <f ca="1">MAX(0,IF(COUNTIF(IF(AND(配装计算器!$K$30&lt;&gt;"∞",0),INDEX(AU71:CB71,1,$AT$1),INDEX(AU71:CB71,1,$AT$1)),"*叠1*")=1,4*25-加速!$L$11,AB70-A71+A70)-IF(OR(COUNTIF(OFFSET(AT71,0,$AT$1,1,1),"*听雷*")&gt;0,AND(碧归&gt;0,COUNTIF(OFFSET(AT71,0,$AT$1,1,1),"*风来*")&gt;0)),0,1)*1.5)</f>
        <v>12.99</v>
      </c>
      <c r="AC71">
        <f ca="1" t="shared" si="21"/>
        <v>0</v>
      </c>
      <c r="AD71">
        <f ca="1">IF(COUNTIF(IF(AND(配装计算器!$K$30&lt;&gt;"∞",0),INDEX(AU71:CB71,1,$AT$1),INDEX(AU72:CB72,1,$AT$1)),"*叠1*")=1,AB71*0+AE70,0)</f>
        <v>0</v>
      </c>
      <c r="AE71">
        <f ca="1">IF($AN$11&gt;0,IF(COUNTIF(B72,"*叠1*")&gt;0,50-加速!$L$11,MAX(0,AE70-(A72-A71))),0)</f>
        <v>8.19999999999995</v>
      </c>
      <c r="AG71">
        <f ca="1" t="shared" si="22"/>
        <v>2</v>
      </c>
      <c r="AH71" t="s">
        <v>1825</v>
      </c>
      <c r="AI71" t="s">
        <v>2808</v>
      </c>
      <c r="AJ71">
        <f ca="1">长时间循环比*COUNTIFS($B$3:$B$515,AI71&amp;"*",$D$3:$D$515,"&gt;0",$H$3:$H$515,"&gt;0",$G$3:$G$515,"=0",$K$3:$K$515,"=2")</f>
        <v>0</v>
      </c>
      <c r="AK71" t="s">
        <v>3070</v>
      </c>
      <c r="AM71" t="s">
        <v>3097</v>
      </c>
      <c r="AN71">
        <f ca="1">COUNTIFS($D$3:$D$515,"&gt;0",$AC$3:$AC$515,2)</f>
        <v>8</v>
      </c>
      <c r="AO71">
        <f ca="1">IFERROR(AN71/SUM($AN$69:$AN$72),0)*叠峰意</f>
        <v>0.0526315789473684</v>
      </c>
      <c r="AU71" t="s">
        <v>2768</v>
      </c>
      <c r="AV71">
        <v>2</v>
      </c>
      <c r="AW71" t="s">
        <v>3009</v>
      </c>
      <c r="AX71">
        <v>2</v>
      </c>
      <c r="AY71" t="s">
        <v>2768</v>
      </c>
      <c r="AZ71">
        <v>1</v>
      </c>
      <c r="BA71" t="s">
        <v>2768</v>
      </c>
      <c r="BB71">
        <v>1</v>
      </c>
      <c r="BC71" t="s">
        <v>2776</v>
      </c>
      <c r="BD71">
        <v>2</v>
      </c>
      <c r="BE71" t="s">
        <v>2776</v>
      </c>
      <c r="BF71">
        <v>0</v>
      </c>
      <c r="BG71" t="s">
        <v>2768</v>
      </c>
      <c r="BH71">
        <v>2</v>
      </c>
      <c r="BI71" t="s">
        <v>2768</v>
      </c>
      <c r="BJ71">
        <v>0</v>
      </c>
      <c r="BK71" t="s">
        <v>2776</v>
      </c>
      <c r="BL71">
        <v>2</v>
      </c>
      <c r="BM71" t="s">
        <v>2776</v>
      </c>
      <c r="BN71">
        <v>2</v>
      </c>
      <c r="BO71" s="180" t="s">
        <v>2789</v>
      </c>
      <c r="BP71">
        <v>2</v>
      </c>
      <c r="BQ71" t="s">
        <v>2768</v>
      </c>
      <c r="BR71">
        <v>2</v>
      </c>
      <c r="BS71" t="s">
        <v>2768</v>
      </c>
      <c r="BT71">
        <v>0</v>
      </c>
      <c r="BU71" t="s">
        <v>2768</v>
      </c>
      <c r="BV71">
        <v>2</v>
      </c>
      <c r="BW71" s="179" t="s">
        <v>3078</v>
      </c>
      <c r="BX71" s="179">
        <v>2</v>
      </c>
      <c r="BY71" s="176" t="s">
        <v>2794</v>
      </c>
      <c r="BZ71">
        <v>2</v>
      </c>
      <c r="CA71" s="176" t="s">
        <v>2794</v>
      </c>
      <c r="CB71">
        <v>2</v>
      </c>
    </row>
    <row r="72" spans="1:80">
      <c r="A72" s="178">
        <f ca="1">IFERROR(IF(AG71&lt;5+金蛇*2,IF(COUNTIF(B71,"*轻*")&gt;0,A71+加速!$L$9,A71+加速!$L$11)+V71,""),"")</f>
        <v>90.5100000000001</v>
      </c>
      <c r="B72" s="167" t="str">
        <f ca="1" t="shared" si="17"/>
        <v>听雷-轻</v>
      </c>
      <c r="C72">
        <f ca="1" t="shared" si="26"/>
        <v>13.71</v>
      </c>
      <c r="D72">
        <f ca="1">IF(B72&lt;&gt;"",IF(C71&lt;=加速!$L$11*(1-E72),0,1),"")</f>
        <v>1</v>
      </c>
      <c r="E72">
        <f ca="1" t="shared" si="23"/>
        <v>1</v>
      </c>
      <c r="G72">
        <f ca="1" t="shared" si="24"/>
        <v>0</v>
      </c>
      <c r="H72">
        <f ca="1">IF(B72&lt;&gt;"",IF(AND(COUNTIF(B71,"*轻*莺鸣柳*")&gt;0,COUNTIF(B72,"*轻*")&lt;1),MAX(0,15+I71-(A72-A71)+COUNTIF(B71,"*平湖*")*0),IF(AND(E72=0,MAX(0,H71-(A72-A71))&lt;=加速!$H$11),0,MAX(0,H71-(A72-A71)))),"")</f>
        <v>0</v>
      </c>
      <c r="I72">
        <f ca="1" t="shared" si="30"/>
        <v>0</v>
      </c>
      <c r="J72">
        <f ca="1" t="shared" si="31"/>
        <v>0</v>
      </c>
      <c r="K72">
        <f ca="1" t="shared" si="18"/>
        <v>0</v>
      </c>
      <c r="L72">
        <f ca="1">IFERROR(IF(AND(COUNTIF(B72,"*-峰插*"),技能数据库!$M$72&gt;0),0,IF(COUNTIF(B72,"*鹤归*")&gt;0,16-加速!$L$11,MAX(0,L71-(A72-A71)))),0)</f>
        <v>3.09999999999994</v>
      </c>
      <c r="M72">
        <f ca="1" t="shared" si="19"/>
        <v>0</v>
      </c>
      <c r="N72">
        <f ca="1">IFERROR(IF(AND(COUNTIF(B72,"*-峰插*"),技能数据库!$M$72&gt;0),0,IF(COUNTIF(B72,"*云飞*")&gt;0,4-COUNTIF(B72,"*玉山揽云*")*4--COUNTIF(B72,"*烟流暮景*")*4-COUNTIF(B72,"*云景*")*加速!$L$11-IF(J72&gt;0,2,0),MAX(0,N71-(A72-A71)-IF(J72&gt;0,2,0)))),0)</f>
        <v>0.129999999999981</v>
      </c>
      <c r="O72">
        <f ca="1">IF(AND(COUNTIF(IF(AND(配装计算器!$K$30&lt;&gt;"∞",0),INDEX(AU71:CB71,1,$AT$1),INDEX(AU73:CB73,1,$AT$1)),"*云飞*")=1,COUNTIF(IF(AND(配装计算器!$K$30&lt;&gt;"∞",0),INDEX(AU71:CB71,1,$AT$1),INDEX(AU73:CB73,1,$AT$1)),"*玉山*")=0),N72,0)</f>
        <v>0.129999999999981</v>
      </c>
      <c r="P72">
        <f ca="1">IFERROR(IF(COUNTIF(B72,"*云栖松*")&gt;0,50-加速!$L$11,MAX(0,P71-(A72-A71))),0)</f>
        <v>0</v>
      </c>
      <c r="Q72">
        <f ca="1">IF(COUNTIF(IF(AND(配装计算器!$K$30&lt;&gt;"∞",0),INDEX(AU71:CB71,1,$AT$1),INDEX(AU73:CB73,1,$AT$1)),"*云栖松*")=1,P72,0)</f>
        <v>0</v>
      </c>
      <c r="R72">
        <f ca="1">IFERROR(IF(COUNTIF(B72,"*莺鸣柳*")&gt;0,45-加速!$L$9,MAX(0,R71-(A72-A71))),0)</f>
        <v>0</v>
      </c>
      <c r="S72">
        <f ca="1">IF(COUNTIF(IF(AND(配装计算器!$K$30&lt;&gt;"∞",0),INDEX(AU71:CB71,1,$AT$1),INDEX(AU73:CB73,1,$AT$1)),"*莺鸣柳*")=1,R72,0)</f>
        <v>0</v>
      </c>
      <c r="T72">
        <f ca="1" t="shared" si="27"/>
        <v>0</v>
      </c>
      <c r="U72">
        <f ca="1">IF(金蛇,IF(COUNTIF(B72,"*金环戴*")+COUNTIF(B72,"*吹风醒*")&gt;0,IF(A72&lt;=3,7.125-2.625-A72-加速!$L$11,7.125+加速!$K$9-(A72+加速!$L$11-T72)),0),0)+IF(金蛇,IF(COUNTIF(B72,"*千切子裂光*")&gt;0,2+加速!$K$9-(A72+加速!$L$11-T72),0),0)</f>
        <v>0</v>
      </c>
      <c r="V72">
        <f ca="1" t="shared" si="28"/>
        <v>0.129999999999981</v>
      </c>
      <c r="W72">
        <f ca="1" t="shared" si="20"/>
        <v>0</v>
      </c>
      <c r="X72">
        <f ca="1">INDEX(加速!$I$13:$I$21,W72+1)</f>
        <v>0</v>
      </c>
      <c r="Y72">
        <f ca="1" t="shared" si="29"/>
        <v>0.5</v>
      </c>
      <c r="Z72">
        <f ca="1" t="shared" si="25"/>
        <v>0</v>
      </c>
      <c r="AA72">
        <f ca="1">MAX(0,IFERROR(IF(COUNTIF(B72,"*叠*")&gt;0,IF(AC71&lt;3,8-A73+A72,AA71+6.875-A73+A72),AA71-A73+A72),AA71-加速!$L$11))</f>
        <v>0</v>
      </c>
      <c r="AB72">
        <f ca="1">MAX(0,IF(COUNTIF(IF(AND(配装计算器!$K$30&lt;&gt;"∞",0),INDEX(AU72:CB72,1,$AT$1),INDEX(AU72:CB72,1,$AT$1)),"*叠1*")=1,4*25-加速!$L$11,AB71-A72+A71)-IF(OR(COUNTIF(OFFSET(AT72,0,$AT$1,1,1),"*听雷*")&gt;0,AND(碧归&gt;0,COUNTIF(OFFSET(AT72,0,$AT$1,1,1),"*风来*")&gt;0)),0,1)*1.5)</f>
        <v>11.7</v>
      </c>
      <c r="AC72">
        <f ca="1" t="shared" si="21"/>
        <v>0</v>
      </c>
      <c r="AD72">
        <f ca="1">IF(COUNTIF(IF(AND(配装计算器!$K$30&lt;&gt;"∞",0),INDEX(AU72:CB72,1,$AT$1),INDEX(AU73:CB73,1,$AT$1)),"*叠1*")=1,AB72*0+AE71,0)</f>
        <v>0</v>
      </c>
      <c r="AE72">
        <f ca="1">IF($AN$11&gt;0,IF(COUNTIF(B73,"*叠1*")&gt;0,50-加速!$L$11,MAX(0,AE71-(A73-A72))),0)</f>
        <v>6.77999999999996</v>
      </c>
      <c r="AG72">
        <f ca="1" t="shared" si="22"/>
        <v>2</v>
      </c>
      <c r="AH72" t="s">
        <v>1825</v>
      </c>
      <c r="AI72" s="161" t="s">
        <v>2810</v>
      </c>
      <c r="AJ72">
        <f ca="1">AS1/(1/(407/240*0.1)+10)</f>
        <v>12.5685625965997</v>
      </c>
      <c r="AK72" t="s">
        <v>3098</v>
      </c>
      <c r="AM72" t="s">
        <v>3099</v>
      </c>
      <c r="AN72">
        <f ca="1">COUNTIFS($D$3:$D$515,"&gt;0",$AC$3:$AC$515,3)</f>
        <v>48</v>
      </c>
      <c r="AO72">
        <f ca="1">IFERROR(AN72/SUM($AN$69:$AN$72),0)*叠峰意</f>
        <v>0.315789473684211</v>
      </c>
      <c r="AU72" s="176" t="s">
        <v>2794</v>
      </c>
      <c r="AV72">
        <v>2</v>
      </c>
      <c r="AW72" t="s">
        <v>2776</v>
      </c>
      <c r="AX72">
        <v>2</v>
      </c>
      <c r="AY72" t="s">
        <v>2776</v>
      </c>
      <c r="AZ72">
        <v>1</v>
      </c>
      <c r="BA72" t="s">
        <v>2776</v>
      </c>
      <c r="BB72">
        <v>1</v>
      </c>
      <c r="BC72" t="s">
        <v>2768</v>
      </c>
      <c r="BD72">
        <v>2</v>
      </c>
      <c r="BE72" t="s">
        <v>3012</v>
      </c>
      <c r="BF72">
        <v>2</v>
      </c>
      <c r="BG72" s="176" t="s">
        <v>2794</v>
      </c>
      <c r="BH72">
        <v>1</v>
      </c>
      <c r="BI72" t="s">
        <v>2722</v>
      </c>
      <c r="BJ72">
        <v>0</v>
      </c>
      <c r="BK72" t="s">
        <v>2768</v>
      </c>
      <c r="BL72">
        <v>1</v>
      </c>
      <c r="BM72" t="s">
        <v>2768</v>
      </c>
      <c r="BN72">
        <v>2</v>
      </c>
      <c r="BO72" s="176" t="s">
        <v>2794</v>
      </c>
      <c r="BP72">
        <v>2</v>
      </c>
      <c r="BQ72" t="s">
        <v>2768</v>
      </c>
      <c r="BR72">
        <v>2</v>
      </c>
      <c r="BS72" t="s">
        <v>3074</v>
      </c>
      <c r="BT72">
        <v>2</v>
      </c>
      <c r="BU72" t="s">
        <v>2768</v>
      </c>
      <c r="BV72">
        <v>2</v>
      </c>
      <c r="BW72" s="179" t="s">
        <v>2768</v>
      </c>
      <c r="BX72" s="179">
        <v>2</v>
      </c>
      <c r="BY72" s="176" t="s">
        <v>2776</v>
      </c>
      <c r="BZ72">
        <v>2</v>
      </c>
      <c r="CA72" s="176" t="s">
        <v>2776</v>
      </c>
      <c r="CB72">
        <v>2</v>
      </c>
    </row>
    <row r="73" spans="1:80">
      <c r="A73" s="178">
        <f ca="1">IFERROR(IF(AG72&lt;5+金蛇*2,IF(COUNTIF(B72,"*轻*")&gt;0,A72+加速!$L$9,A72+加速!$L$11)+V72,""),"")</f>
        <v>91.93</v>
      </c>
      <c r="B73" s="167" t="str">
        <f ca="1" t="shared" si="17"/>
        <v>云飞玉皇</v>
      </c>
      <c r="C73">
        <f ca="1" t="shared" si="26"/>
        <v>12.29</v>
      </c>
      <c r="D73">
        <f ca="1">IF(B73&lt;&gt;"",IF(C72&lt;=加速!$L$11*(1-E73),0,1),"")</f>
        <v>1</v>
      </c>
      <c r="E73">
        <f ca="1" t="shared" si="23"/>
        <v>0</v>
      </c>
      <c r="G73">
        <f ca="1" t="shared" si="24"/>
        <v>0</v>
      </c>
      <c r="H73">
        <f ca="1">IF(B73&lt;&gt;"",IF(AND(COUNTIF(B72,"*轻*莺鸣柳*")&gt;0,COUNTIF(B73,"*轻*")&lt;1),MAX(0,15+I72-(A73-A72)+COUNTIF(B72,"*平湖*")*0),IF(AND(E73=0,MAX(0,H72-(A73-A72))&lt;=加速!$H$11),0,MAX(0,H72-(A73-A72)))),"")</f>
        <v>0</v>
      </c>
      <c r="I73">
        <f ca="1" t="shared" si="30"/>
        <v>0</v>
      </c>
      <c r="J73">
        <f ca="1" t="shared" si="31"/>
        <v>0</v>
      </c>
      <c r="K73">
        <f ca="1" t="shared" si="18"/>
        <v>2</v>
      </c>
      <c r="L73">
        <f ca="1">IFERROR(IF(AND(COUNTIF(B73,"*-峰插*"),技能数据库!$M$72&gt;0),0,IF(COUNTIF(B73,"*鹤归*")&gt;0,16-加速!$L$11,MAX(0,L72-(A73-A72)))),0)</f>
        <v>1.67999999999996</v>
      </c>
      <c r="M73">
        <f ca="1" t="shared" si="19"/>
        <v>0</v>
      </c>
      <c r="N73">
        <f ca="1">IFERROR(IF(AND(COUNTIF(B73,"*-峰插*"),技能数据库!$M$72&gt;0),0,IF(COUNTIF(B73,"*云飞*")&gt;0,4-COUNTIF(B73,"*玉山揽云*")*4--COUNTIF(B73,"*烟流暮景*")*4-COUNTIF(B73,"*云景*")*加速!$L$11-IF(J73&gt;0,2,0),MAX(0,N72-(A73-A72)-IF(J73&gt;0,2,0)))),0)</f>
        <v>4</v>
      </c>
      <c r="O73">
        <f ca="1">IF(AND(COUNTIF(IF(AND(配装计算器!$K$30&lt;&gt;"∞",0),INDEX(AU72:CB72,1,$AT$1),INDEX(AU74:CB74,1,$AT$1)),"*云飞*")=1,COUNTIF(IF(AND(配装计算器!$K$30&lt;&gt;"∞",0),INDEX(AU72:CB72,1,$AT$1),INDEX(AU74:CB74,1,$AT$1)),"*玉山*")=0),N73,0)</f>
        <v>0</v>
      </c>
      <c r="P73">
        <f ca="1">IFERROR(IF(COUNTIF(B73,"*云栖松*")&gt;0,50-加速!$L$11,MAX(0,P72-(A73-A72))),0)</f>
        <v>0</v>
      </c>
      <c r="Q73">
        <f ca="1">IF(COUNTIF(IF(AND(配装计算器!$K$30&lt;&gt;"∞",0),INDEX(AU72:CB72,1,$AT$1),INDEX(AU74:CB74,1,$AT$1)),"*云栖松*")=1,P73,0)</f>
        <v>0</v>
      </c>
      <c r="R73">
        <f ca="1">IFERROR(IF(COUNTIF(B73,"*莺鸣柳*")&gt;0,45-加速!$L$9,MAX(0,R72-(A73-A72))),0)</f>
        <v>0</v>
      </c>
      <c r="S73">
        <f ca="1">IF(COUNTIF(IF(AND(配装计算器!$K$30&lt;&gt;"∞",0),INDEX(AU72:CB72,1,$AT$1),INDEX(AU74:CB74,1,$AT$1)),"*莺鸣柳*")=1,R73,0)</f>
        <v>0</v>
      </c>
      <c r="T73">
        <f ca="1" t="shared" si="27"/>
        <v>0</v>
      </c>
      <c r="U73">
        <f ca="1">IF(金蛇,IF(COUNTIF(B73,"*金环戴*")+COUNTIF(B73,"*吹风醒*")&gt;0,IF(A73&lt;=3,7.125-2.625-A73-加速!$L$11,7.125+加速!$K$9-(A73+加速!$L$11-T73)),0),0)+IF(金蛇,IF(COUNTIF(B73,"*千切子裂光*")&gt;0,2+加速!$K$9-(A73+加速!$L$11-T73),0),0)</f>
        <v>0</v>
      </c>
      <c r="V73">
        <f ca="1" t="shared" si="28"/>
        <v>0</v>
      </c>
      <c r="W73">
        <f ca="1" t="shared" si="20"/>
        <v>0</v>
      </c>
      <c r="X73">
        <f ca="1">INDEX(加速!$I$13:$I$21,W73+1)</f>
        <v>0</v>
      </c>
      <c r="Y73">
        <f ca="1" t="shared" si="29"/>
        <v>0.5</v>
      </c>
      <c r="Z73">
        <f ca="1" t="shared" si="25"/>
        <v>0</v>
      </c>
      <c r="AA73">
        <f ca="1">MAX(0,IFERROR(IF(COUNTIF(B73,"*叠*")&gt;0,IF(AC72&lt;3,8-A74+A73,AA72+6.875-A74+A73),AA72-A74+A73),AA72-加速!$L$11))</f>
        <v>0</v>
      </c>
      <c r="AB73">
        <f ca="1">MAX(0,IF(COUNTIF(IF(AND(配装计算器!$K$30&lt;&gt;"∞",0),INDEX(AU73:CB73,1,$AT$1),INDEX(AU73:CB73,1,$AT$1)),"*叠1*")=1,4*25-加速!$L$11,AB72-A73+A72)-IF(OR(COUNTIF(OFFSET(AT73,0,$AT$1,1,1),"*听雷*")&gt;0,AND(碧归&gt;0,COUNTIF(OFFSET(AT73,0,$AT$1,1,1),"*风来*")&gt;0)),0,1)*1.5)</f>
        <v>8.78000000000002</v>
      </c>
      <c r="AC73">
        <f ca="1" t="shared" si="21"/>
        <v>0</v>
      </c>
      <c r="AD73">
        <f ca="1">IF(COUNTIF(IF(AND(配装计算器!$K$30&lt;&gt;"∞",0),INDEX(AU73:CB73,1,$AT$1),INDEX(AU74:CB74,1,$AT$1)),"*叠1*")=1,AB73*0+AE72,0)</f>
        <v>0</v>
      </c>
      <c r="AE73">
        <f ca="1">IF($AN$11&gt;0,IF(COUNTIF(B74,"*叠1*")&gt;0,50-加速!$L$11,MAX(0,AE72-(A74-A73))),0)</f>
        <v>5.48999999999995</v>
      </c>
      <c r="AG73">
        <f ca="1" t="shared" si="22"/>
        <v>2</v>
      </c>
      <c r="AH73" t="s">
        <v>1825</v>
      </c>
      <c r="AI73" s="161" t="s">
        <v>2815</v>
      </c>
      <c r="AJ73">
        <f ca="1">AS1/(1/(407/240*(额外属性!Y8+0.13+0.2*23/51))+10)</f>
        <v>18.8174706368939</v>
      </c>
      <c r="AK73" t="s">
        <v>3098</v>
      </c>
      <c r="AU73" s="176" t="s">
        <v>2776</v>
      </c>
      <c r="AV73">
        <v>2</v>
      </c>
      <c r="AW73" t="s">
        <v>2768</v>
      </c>
      <c r="AX73">
        <v>2</v>
      </c>
      <c r="AY73" t="s">
        <v>2768</v>
      </c>
      <c r="AZ73">
        <v>1</v>
      </c>
      <c r="BA73" t="s">
        <v>2768</v>
      </c>
      <c r="BB73">
        <v>1</v>
      </c>
      <c r="BC73" t="s">
        <v>2768</v>
      </c>
      <c r="BD73">
        <v>2</v>
      </c>
      <c r="BE73" t="s">
        <v>2776</v>
      </c>
      <c r="BF73">
        <v>2</v>
      </c>
      <c r="BG73" t="s">
        <v>2776</v>
      </c>
      <c r="BH73">
        <v>1</v>
      </c>
      <c r="BI73" t="s">
        <v>2776</v>
      </c>
      <c r="BJ73">
        <v>2</v>
      </c>
      <c r="BK73" t="s">
        <v>2768</v>
      </c>
      <c r="BL73">
        <v>1</v>
      </c>
      <c r="BM73" s="180" t="s">
        <v>2789</v>
      </c>
      <c r="BN73">
        <v>2</v>
      </c>
      <c r="BO73" s="176" t="s">
        <v>2776</v>
      </c>
      <c r="BP73">
        <v>2</v>
      </c>
      <c r="BQ73" t="s">
        <v>2768</v>
      </c>
      <c r="BR73">
        <v>1</v>
      </c>
      <c r="BS73" t="s">
        <v>2768</v>
      </c>
      <c r="BT73">
        <v>2</v>
      </c>
      <c r="BU73" s="176" t="s">
        <v>2794</v>
      </c>
      <c r="BV73">
        <v>1</v>
      </c>
      <c r="BW73" s="188" t="s">
        <v>2789</v>
      </c>
      <c r="BX73" s="179">
        <v>2</v>
      </c>
      <c r="BY73" s="176" t="s">
        <v>2768</v>
      </c>
      <c r="BZ73">
        <v>2</v>
      </c>
      <c r="CA73" s="176" t="s">
        <v>2768</v>
      </c>
      <c r="CB73">
        <v>2</v>
      </c>
    </row>
    <row r="74" spans="1:80">
      <c r="A74" s="178">
        <f ca="1">IFERROR(IF(AG73&lt;5+金蛇*2,IF(COUNTIF(B73,"*轻*")&gt;0,A73+加速!$L$9,A73+加速!$L$11)+V73,""),"")</f>
        <v>93.2200000000001</v>
      </c>
      <c r="B74" s="167" t="str">
        <f ca="1" t="shared" si="17"/>
        <v>夕照雷峰</v>
      </c>
      <c r="C74">
        <f ca="1" t="shared" si="26"/>
        <v>15</v>
      </c>
      <c r="D74">
        <f ca="1">IF(B74&lt;&gt;"",IF(C73&lt;=加速!$L$11*(1-E74),0,1),"")</f>
        <v>1</v>
      </c>
      <c r="E74">
        <f ca="1" t="shared" si="23"/>
        <v>0</v>
      </c>
      <c r="G74">
        <f ca="1" t="shared" si="24"/>
        <v>0</v>
      </c>
      <c r="H74">
        <f ca="1">IF(B74&lt;&gt;"",IF(AND(COUNTIF(B73,"*轻*莺鸣柳*")&gt;0,COUNTIF(B74,"*轻*")&lt;1),MAX(0,15+I73-(A74-A73)+COUNTIF(B73,"*平湖*")*0),IF(AND(E74=0,MAX(0,H73-(A74-A73))&lt;=加速!$H$11),0,MAX(0,H73-(A74-A73)))),"")</f>
        <v>0</v>
      </c>
      <c r="I74">
        <f ca="1" t="shared" si="30"/>
        <v>0</v>
      </c>
      <c r="J74">
        <f ca="1" t="shared" si="31"/>
        <v>0</v>
      </c>
      <c r="K74">
        <f ca="1" t="shared" si="18"/>
        <v>2</v>
      </c>
      <c r="L74">
        <f ca="1">IFERROR(IF(AND(COUNTIF(B74,"*-峰插*"),技能数据库!$M$72&gt;0),0,IF(COUNTIF(B74,"*鹤归*")&gt;0,16-加速!$L$11,MAX(0,L73-(A74-A73)))),0)</f>
        <v>0.389999999999951</v>
      </c>
      <c r="M74">
        <f ca="1" t="shared" si="19"/>
        <v>0</v>
      </c>
      <c r="N74">
        <f ca="1">IFERROR(IF(AND(COUNTIF(B74,"*-峰插*"),技能数据库!$M$72&gt;0),0,IF(COUNTIF(B74,"*云飞*")&gt;0,4-COUNTIF(B74,"*玉山揽云*")*4--COUNTIF(B74,"*烟流暮景*")*4-COUNTIF(B74,"*云景*")*加速!$L$11-IF(J74&gt;0,2,0),MAX(0,N73-(A74-A73)-IF(J74&gt;0,2,0)))),0)</f>
        <v>2.70999999999999</v>
      </c>
      <c r="O74">
        <f ca="1">IF(AND(COUNTIF(IF(AND(配装计算器!$K$30&lt;&gt;"∞",0),INDEX(AU73:CB73,1,$AT$1),INDEX(AU75:CB75,1,$AT$1)),"*云飞*")=1,COUNTIF(IF(AND(配装计算器!$K$30&lt;&gt;"∞",0),INDEX(AU73:CB73,1,$AT$1),INDEX(AU75:CB75,1,$AT$1)),"*玉山*")=0),N74,0)</f>
        <v>0</v>
      </c>
      <c r="P74">
        <f ca="1">IFERROR(IF(COUNTIF(B74,"*云栖松*")&gt;0,50-加速!$L$11,MAX(0,P73-(A74-A73))),0)</f>
        <v>0</v>
      </c>
      <c r="Q74">
        <f ca="1">IF(COUNTIF(IF(AND(配装计算器!$K$30&lt;&gt;"∞",0),INDEX(AU73:CB73,1,$AT$1),INDEX(AU75:CB75,1,$AT$1)),"*云栖松*")=1,P74,0)</f>
        <v>0</v>
      </c>
      <c r="R74">
        <f ca="1">IFERROR(IF(COUNTIF(B74,"*莺鸣柳*")&gt;0,45-加速!$L$9,MAX(0,R73-(A74-A73))),0)</f>
        <v>0</v>
      </c>
      <c r="S74">
        <f ca="1">IF(COUNTIF(IF(AND(配装计算器!$K$30&lt;&gt;"∞",0),INDEX(AU73:CB73,1,$AT$1),INDEX(AU75:CB75,1,$AT$1)),"*莺鸣柳*")=1,R74,0)</f>
        <v>0</v>
      </c>
      <c r="T74">
        <f ca="1" t="shared" si="27"/>
        <v>0</v>
      </c>
      <c r="U74">
        <f ca="1">IF(金蛇,IF(COUNTIF(B74,"*金环戴*")+COUNTIF(B74,"*吹风醒*")&gt;0,IF(A74&lt;=3,7.125-2.625-A74-加速!$L$11,7.125+加速!$K$9-(A74+加速!$L$11-T74)),0),0)+IF(金蛇,IF(COUNTIF(B74,"*千切子裂光*")&gt;0,2+加速!$K$9-(A74+加速!$L$11-T74),0),0)</f>
        <v>0</v>
      </c>
      <c r="V74">
        <f ca="1" t="shared" si="28"/>
        <v>0</v>
      </c>
      <c r="W74">
        <f ca="1" t="shared" si="20"/>
        <v>0</v>
      </c>
      <c r="X74">
        <f ca="1">INDEX(加速!$I$13:$I$21,W74+1)</f>
        <v>0</v>
      </c>
      <c r="Y74">
        <f ca="1" t="shared" si="29"/>
        <v>0.5</v>
      </c>
      <c r="Z74">
        <f ca="1" t="shared" si="25"/>
        <v>0</v>
      </c>
      <c r="AA74">
        <f ca="1">MAX(0,IFERROR(IF(COUNTIF(B74,"*叠*")&gt;0,IF(AC73&lt;3,8-A75+A74,AA73+6.875-A75+A74),AA73-A75+A74),AA73-加速!$L$11))</f>
        <v>0</v>
      </c>
      <c r="AB74">
        <f ca="1">MAX(0,IF(COUNTIF(IF(AND(配装计算器!$K$30&lt;&gt;"∞",0),INDEX(AU74:CB74,1,$AT$1),INDEX(AU74:CB74,1,$AT$1)),"*叠1*")=1,4*25-加速!$L$11,AB73-A74+A73)-IF(OR(COUNTIF(OFFSET(AT74,0,$AT$1,1,1),"*听雷*")&gt;0,AND(碧归&gt;0,COUNTIF(OFFSET(AT74,0,$AT$1,1,1),"*风来*")&gt;0)),0,1)*1.5)</f>
        <v>5.99000000000001</v>
      </c>
      <c r="AC74">
        <f ca="1" t="shared" si="21"/>
        <v>0</v>
      </c>
      <c r="AD74">
        <f ca="1">IF(COUNTIF(IF(AND(配装计算器!$K$30&lt;&gt;"∞",0),INDEX(AU74:CB74,1,$AT$1),INDEX(AU75:CB75,1,$AT$1)),"*叠1*")=1,AB74*0+AE73,0)</f>
        <v>0</v>
      </c>
      <c r="AE74">
        <f ca="1">IF($AN$11&gt;0,IF(COUNTIF(B75,"*叠1*")&gt;0,50-加速!$L$11,MAX(0,AE73-(A75-A74))),0)</f>
        <v>4.19999999999995</v>
      </c>
      <c r="AG74">
        <f ca="1" t="shared" si="22"/>
        <v>2</v>
      </c>
      <c r="AH74" t="s">
        <v>1825</v>
      </c>
      <c r="AI74" s="161" t="s">
        <v>2832</v>
      </c>
      <c r="AJ74">
        <f ca="1">12*(((AS1)/51.5))</f>
        <v>46.5553398058252</v>
      </c>
      <c r="AK74" t="s">
        <v>3098</v>
      </c>
      <c r="AU74" s="176" t="s">
        <v>2768</v>
      </c>
      <c r="AV74">
        <v>1</v>
      </c>
      <c r="AW74" s="180" t="s">
        <v>2789</v>
      </c>
      <c r="AX74">
        <v>2</v>
      </c>
      <c r="AY74" t="s">
        <v>2768</v>
      </c>
      <c r="AZ74">
        <v>0</v>
      </c>
      <c r="BA74" t="s">
        <v>2768</v>
      </c>
      <c r="BB74">
        <v>0</v>
      </c>
      <c r="BC74" t="s">
        <v>2768</v>
      </c>
      <c r="BD74">
        <v>1</v>
      </c>
      <c r="BE74" t="s">
        <v>3017</v>
      </c>
      <c r="BF74">
        <v>2</v>
      </c>
      <c r="BG74" t="s">
        <v>2768</v>
      </c>
      <c r="BH74">
        <v>1</v>
      </c>
      <c r="BI74" t="s">
        <v>2768</v>
      </c>
      <c r="BJ74">
        <v>2</v>
      </c>
      <c r="BK74" t="s">
        <v>2768</v>
      </c>
      <c r="BL74">
        <v>0</v>
      </c>
      <c r="BM74" s="176" t="s">
        <v>2794</v>
      </c>
      <c r="BN74">
        <v>2</v>
      </c>
      <c r="BO74" s="176" t="s">
        <v>2768</v>
      </c>
      <c r="BP74">
        <v>2</v>
      </c>
      <c r="BQ74" t="s">
        <v>2776</v>
      </c>
      <c r="BR74">
        <v>1</v>
      </c>
      <c r="BS74" t="s">
        <v>2776</v>
      </c>
      <c r="BT74">
        <v>2</v>
      </c>
      <c r="BU74" t="s">
        <v>2776</v>
      </c>
      <c r="BV74">
        <v>1</v>
      </c>
      <c r="BW74" s="182" t="s">
        <v>2794</v>
      </c>
      <c r="BX74" s="179">
        <v>2</v>
      </c>
      <c r="BY74" s="176" t="s">
        <v>2776</v>
      </c>
      <c r="BZ74">
        <v>2</v>
      </c>
      <c r="CA74" s="176" t="s">
        <v>2776</v>
      </c>
      <c r="CB74">
        <v>2</v>
      </c>
    </row>
    <row r="75" spans="1:80">
      <c r="A75" s="178">
        <f ca="1">IFERROR(IF(AG74&lt;5+金蛇*2,IF(COUNTIF(B74,"*轻*")&gt;0,A74+加速!$L$9,A74+加速!$L$11)+V74,""),"")</f>
        <v>94.5100000000001</v>
      </c>
      <c r="B75" s="167" t="str">
        <f ca="1" t="shared" si="17"/>
        <v>夕照雷峰</v>
      </c>
      <c r="C75">
        <f ca="1" t="shared" si="26"/>
        <v>15</v>
      </c>
      <c r="D75">
        <f ca="1">IF(B75&lt;&gt;"",IF(C74&lt;=加速!$L$11*(1-E75),0,1),"")</f>
        <v>1</v>
      </c>
      <c r="E75">
        <f ca="1" t="shared" si="23"/>
        <v>0</v>
      </c>
      <c r="G75">
        <f ca="1" t="shared" si="24"/>
        <v>0</v>
      </c>
      <c r="H75">
        <f ca="1">IF(B75&lt;&gt;"",IF(AND(COUNTIF(B74,"*轻*莺鸣柳*")&gt;0,COUNTIF(B75,"*轻*")&lt;1),MAX(0,15+I74-(A75-A74)+COUNTIF(B74,"*平湖*")*0),IF(AND(E75=0,MAX(0,H74-(A75-A74))&lt;=加速!$H$11),0,MAX(0,H74-(A75-A74)))),"")</f>
        <v>0</v>
      </c>
      <c r="I75">
        <f ca="1" t="shared" si="30"/>
        <v>0</v>
      </c>
      <c r="J75">
        <f ca="1" t="shared" si="31"/>
        <v>0</v>
      </c>
      <c r="K75">
        <f ca="1" t="shared" si="18"/>
        <v>2</v>
      </c>
      <c r="L75">
        <f ca="1">IFERROR(IF(AND(COUNTIF(B75,"*-峰插*"),技能数据库!$M$72&gt;0),0,IF(COUNTIF(B75,"*鹤归*")&gt;0,16-加速!$L$11,MAX(0,L74-(A75-A74)))),0)</f>
        <v>0</v>
      </c>
      <c r="M75">
        <f ca="1" t="shared" si="19"/>
        <v>0</v>
      </c>
      <c r="N75">
        <f ca="1">IFERROR(IF(AND(COUNTIF(B75,"*-峰插*"),技能数据库!$M$72&gt;0),0,IF(COUNTIF(B75,"*云飞*")&gt;0,4-COUNTIF(B75,"*玉山揽云*")*4--COUNTIF(B75,"*烟流暮景*")*4-COUNTIF(B75,"*云景*")*加速!$L$11-IF(J75&gt;0,2,0),MAX(0,N74-(A75-A74)-IF(J75&gt;0,2,0)))),0)</f>
        <v>1.41999999999999</v>
      </c>
      <c r="O75">
        <f ca="1">IF(AND(COUNTIF(IF(AND(配装计算器!$K$30&lt;&gt;"∞",0),INDEX(AU74:CB74,1,$AT$1),INDEX(AU76:CB76,1,$AT$1)),"*云飞*")=1,COUNTIF(IF(AND(配装计算器!$K$30&lt;&gt;"∞",0),INDEX(AU74:CB74,1,$AT$1),INDEX(AU76:CB76,1,$AT$1)),"*玉山*")=0),N75,0)</f>
        <v>0</v>
      </c>
      <c r="P75">
        <f ca="1">IFERROR(IF(COUNTIF(B75,"*云栖松*")&gt;0,50-加速!$L$11,MAX(0,P74-(A75-A74))),0)</f>
        <v>0</v>
      </c>
      <c r="Q75">
        <f ca="1">IF(COUNTIF(IF(AND(配装计算器!$K$30&lt;&gt;"∞",0),INDEX(AU74:CB74,1,$AT$1),INDEX(AU76:CB76,1,$AT$1)),"*云栖松*")=1,P75,0)</f>
        <v>0</v>
      </c>
      <c r="R75">
        <f ca="1">IFERROR(IF(COUNTIF(B75,"*莺鸣柳*")&gt;0,45-加速!$L$9,MAX(0,R74-(A75-A74))),0)</f>
        <v>0</v>
      </c>
      <c r="S75">
        <f ca="1">IF(COUNTIF(IF(AND(配装计算器!$K$30&lt;&gt;"∞",0),INDEX(AU74:CB74,1,$AT$1),INDEX(AU76:CB76,1,$AT$1)),"*莺鸣柳*")=1,R75,0)</f>
        <v>0</v>
      </c>
      <c r="T75">
        <f ca="1" t="shared" si="27"/>
        <v>0</v>
      </c>
      <c r="U75">
        <f ca="1">IF(金蛇,IF(COUNTIF(B75,"*金环戴*")+COUNTIF(B75,"*吹风醒*")&gt;0,IF(A75&lt;=3,7.125-2.625-A75-加速!$L$11,7.125+加速!$K$9-(A75+加速!$L$11-T75)),0),0)+IF(金蛇,IF(COUNTIF(B75,"*千切子裂光*")&gt;0,2+加速!$K$9-(A75+加速!$L$11-T75),0),0)</f>
        <v>0</v>
      </c>
      <c r="V75">
        <f ca="1" t="shared" si="28"/>
        <v>0</v>
      </c>
      <c r="W75">
        <f ca="1" t="shared" si="20"/>
        <v>0</v>
      </c>
      <c r="X75">
        <f ca="1">INDEX(加速!$I$13:$I$21,W75+1)</f>
        <v>0</v>
      </c>
      <c r="Y75">
        <f ca="1" t="shared" si="29"/>
        <v>0.5</v>
      </c>
      <c r="Z75">
        <f ca="1" t="shared" si="25"/>
        <v>0</v>
      </c>
      <c r="AA75">
        <f ca="1">MAX(0,IFERROR(IF(COUNTIF(B75,"*叠*")&gt;0,IF(AC74&lt;3,8-A76+A75,AA74+6.875-A76+A75),AA74-A76+A75),AA74-加速!$L$11))</f>
        <v>0</v>
      </c>
      <c r="AB75">
        <f ca="1">MAX(0,IF(COUNTIF(IF(AND(配装计算器!$K$30&lt;&gt;"∞",0),INDEX(AU75:CB75,1,$AT$1),INDEX(AU75:CB75,1,$AT$1)),"*叠1*")=1,4*25-加速!$L$11,AB74-A75+A74)-IF(OR(COUNTIF(OFFSET(AT75,0,$AT$1,1,1),"*听雷*")&gt;0,AND(碧归&gt;0,COUNTIF(OFFSET(AT75,0,$AT$1,1,1),"*风来*")&gt;0)),0,1)*1.5)</f>
        <v>3.2</v>
      </c>
      <c r="AC75">
        <f ca="1" t="shared" si="21"/>
        <v>0</v>
      </c>
      <c r="AD75">
        <f ca="1">IF(COUNTIF(IF(AND(配装计算器!$K$30&lt;&gt;"∞",0),INDEX(AU75:CB75,1,$AT$1),INDEX(AU76:CB76,1,$AT$1)),"*叠1*")=1,AB75*0+AE74,0)</f>
        <v>0</v>
      </c>
      <c r="AE75">
        <f ca="1">IF($AN$11&gt;0,IF(COUNTIF(B76,"*叠1*")&gt;0,50-加速!$L$11,MAX(0,AE74-(A76-A75))),0)</f>
        <v>2.90999999999994</v>
      </c>
      <c r="AG75">
        <f ca="1" t="shared" si="22"/>
        <v>2</v>
      </c>
      <c r="AH75" t="s">
        <v>1825</v>
      </c>
      <c r="AI75" t="s">
        <v>2902</v>
      </c>
      <c r="AJ75">
        <f ca="1">循环比*COUNTIFS($B$3:$B$515,"*"&amp;AI75&amp;"*",$D$3:$D$515,"&gt;0",$H$3:$H$515,"=0",$AC$3:$AC$515,"=0")</f>
        <v>0</v>
      </c>
      <c r="AK75" t="s">
        <v>2750</v>
      </c>
      <c r="AU75" s="176" t="s">
        <v>2776</v>
      </c>
      <c r="AV75">
        <v>2</v>
      </c>
      <c r="AW75" s="176" t="s">
        <v>2794</v>
      </c>
      <c r="AX75">
        <v>2</v>
      </c>
      <c r="AY75" t="s">
        <v>3010</v>
      </c>
      <c r="AZ75">
        <v>2</v>
      </c>
      <c r="BA75" t="s">
        <v>3010</v>
      </c>
      <c r="BB75">
        <v>2</v>
      </c>
      <c r="BC75" t="s">
        <v>2776</v>
      </c>
      <c r="BD75">
        <v>1</v>
      </c>
      <c r="BE75" t="s">
        <v>2768</v>
      </c>
      <c r="BF75">
        <v>2</v>
      </c>
      <c r="BG75" t="s">
        <v>3011</v>
      </c>
      <c r="BH75">
        <v>2</v>
      </c>
      <c r="BI75" t="s">
        <v>2768</v>
      </c>
      <c r="BJ75">
        <v>2</v>
      </c>
      <c r="BK75" t="s">
        <v>2776</v>
      </c>
      <c r="BL75">
        <v>0</v>
      </c>
      <c r="BM75" s="176" t="s">
        <v>2776</v>
      </c>
      <c r="BN75">
        <v>2</v>
      </c>
      <c r="BO75" s="176" t="s">
        <v>2776</v>
      </c>
      <c r="BP75">
        <v>2</v>
      </c>
      <c r="BQ75" t="s">
        <v>2768</v>
      </c>
      <c r="BR75">
        <v>1</v>
      </c>
      <c r="BS75" t="s">
        <v>2768</v>
      </c>
      <c r="BT75">
        <v>2</v>
      </c>
      <c r="BU75" t="s">
        <v>2768</v>
      </c>
      <c r="BV75">
        <v>1</v>
      </c>
      <c r="BW75" s="182" t="s">
        <v>2776</v>
      </c>
      <c r="BX75" s="179">
        <v>2</v>
      </c>
      <c r="BY75" s="176" t="s">
        <v>2768</v>
      </c>
      <c r="BZ75">
        <v>2</v>
      </c>
      <c r="CA75" s="176" t="s">
        <v>2768</v>
      </c>
      <c r="CB75">
        <v>2</v>
      </c>
    </row>
    <row r="76" spans="1:80">
      <c r="A76" s="178">
        <f ca="1">IFERROR(IF(AG75&lt;5+金蛇*2,IF(COUNTIF(B75,"*轻*")&gt;0,A75+加速!$L$9,A75+加速!$L$11)+V75,""),"")</f>
        <v>95.8000000000001</v>
      </c>
      <c r="B76" s="167" t="str">
        <f ca="1" t="shared" si="17"/>
        <v>鹤归孤山</v>
      </c>
      <c r="C76">
        <f ca="1" t="shared" si="26"/>
        <v>13.71</v>
      </c>
      <c r="D76">
        <f ca="1">IF(B76&lt;&gt;"",IF(C75&lt;=加速!$L$11*(1-E76),0,1),"")</f>
        <v>1</v>
      </c>
      <c r="E76">
        <f ca="1" t="shared" si="23"/>
        <v>1</v>
      </c>
      <c r="G76">
        <f ca="1" t="shared" si="24"/>
        <v>0</v>
      </c>
      <c r="H76">
        <f ca="1">IF(B76&lt;&gt;"",IF(AND(COUNTIF(B75,"*轻*莺鸣柳*")&gt;0,COUNTIF(B76,"*轻*")&lt;1),MAX(0,15+I75-(A76-A75)+COUNTIF(B75,"*平湖*")*0),IF(AND(E76=0,MAX(0,H75-(A76-A75))&lt;=加速!$H$11),0,MAX(0,H75-(A76-A75)))),"")</f>
        <v>0</v>
      </c>
      <c r="I76">
        <f ca="1" t="shared" si="30"/>
        <v>0</v>
      </c>
      <c r="J76">
        <f ca="1" t="shared" si="31"/>
        <v>0</v>
      </c>
      <c r="K76">
        <f ca="1" t="shared" si="18"/>
        <v>1</v>
      </c>
      <c r="L76">
        <f ca="1">IFERROR(IF(AND(COUNTIF(B76,"*-峰插*"),技能数据库!$M$72&gt;0),0,IF(COUNTIF(B76,"*鹤归*")&gt;0,16-加速!$L$11,MAX(0,L75-(A76-A75)))),0)</f>
        <v>14.71</v>
      </c>
      <c r="M76">
        <f ca="1" t="shared" si="19"/>
        <v>0</v>
      </c>
      <c r="N76">
        <f ca="1">IFERROR(IF(AND(COUNTIF(B76,"*-峰插*"),技能数据库!$M$72&gt;0),0,IF(COUNTIF(B76,"*云飞*")&gt;0,4-COUNTIF(B76,"*玉山揽云*")*4--COUNTIF(B76,"*烟流暮景*")*4-COUNTIF(B76,"*云景*")*加速!$L$11-IF(J76&gt;0,2,0),MAX(0,N75-(A76-A75)-IF(J76&gt;0,2,0)))),0)</f>
        <v>0.129999999999981</v>
      </c>
      <c r="O76">
        <f ca="1">IF(AND(COUNTIF(IF(AND(配装计算器!$K$30&lt;&gt;"∞",0),INDEX(AU75:CB75,1,$AT$1),INDEX(AU77:CB77,1,$AT$1)),"*云飞*")=1,COUNTIF(IF(AND(配装计算器!$K$30&lt;&gt;"∞",0),INDEX(AU75:CB75,1,$AT$1),INDEX(AU77:CB77,1,$AT$1)),"*玉山*")=0),N76,0)</f>
        <v>0.129999999999981</v>
      </c>
      <c r="P76">
        <f ca="1">IFERROR(IF(COUNTIF(B76,"*云栖松*")&gt;0,50-加速!$L$11,MAX(0,P75-(A76-A75))),0)</f>
        <v>0</v>
      </c>
      <c r="Q76">
        <f ca="1">IF(COUNTIF(IF(AND(配装计算器!$K$30&lt;&gt;"∞",0),INDEX(AU75:CB75,1,$AT$1),INDEX(AU77:CB77,1,$AT$1)),"*云栖松*")=1,P76,0)</f>
        <v>0</v>
      </c>
      <c r="R76">
        <f ca="1">IFERROR(IF(COUNTIF(B76,"*莺鸣柳*")&gt;0,45-加速!$L$9,MAX(0,R75-(A76-A75))),0)</f>
        <v>0</v>
      </c>
      <c r="S76">
        <f ca="1">IF(COUNTIF(IF(AND(配装计算器!$K$30&lt;&gt;"∞",0),INDEX(AU75:CB75,1,$AT$1),INDEX(AU77:CB77,1,$AT$1)),"*莺鸣柳*")=1,R76,0)</f>
        <v>0</v>
      </c>
      <c r="T76">
        <f ca="1" t="shared" si="27"/>
        <v>0</v>
      </c>
      <c r="U76">
        <f ca="1">IF(金蛇,IF(COUNTIF(B76,"*金环戴*")+COUNTIF(B76,"*吹风醒*")&gt;0,IF(A76&lt;=3,7.125-2.625-A76-加速!$L$11,7.125+加速!$K$9-(A76+加速!$L$11-T76)),0),0)+IF(金蛇,IF(COUNTIF(B76,"*千切子裂光*")&gt;0,2+加速!$K$9-(A76+加速!$L$11-T76),0),0)</f>
        <v>0</v>
      </c>
      <c r="V76">
        <f ca="1" t="shared" si="28"/>
        <v>0.129999999999981</v>
      </c>
      <c r="W76">
        <f ca="1" t="shared" si="20"/>
        <v>0</v>
      </c>
      <c r="X76">
        <f ca="1">INDEX(加速!$I$13:$I$21,W76+1)</f>
        <v>0</v>
      </c>
      <c r="Y76">
        <f ca="1" t="shared" si="29"/>
        <v>0.5</v>
      </c>
      <c r="Z76">
        <f ca="1" t="shared" si="25"/>
        <v>0</v>
      </c>
      <c r="AA76">
        <f ca="1">MAX(0,IFERROR(IF(COUNTIF(B76,"*叠*")&gt;0,IF(AC75&lt;3,8-A77+A76,AA75+6.875-A77+A76),AA75-A77+A76),AA75-加速!$L$11))</f>
        <v>0</v>
      </c>
      <c r="AB76">
        <f ca="1">MAX(0,IF(COUNTIF(IF(AND(配装计算器!$K$30&lt;&gt;"∞",0),INDEX(AU76:CB76,1,$AT$1),INDEX(AU76:CB76,1,$AT$1)),"*叠1*")=1,4*25-加速!$L$11,AB75-A76+A75)-IF(OR(COUNTIF(OFFSET(AT76,0,$AT$1,1,1),"*听雷*")&gt;0,AND(碧归&gt;0,COUNTIF(OFFSET(AT76,0,$AT$1,1,1),"*风来*")&gt;0)),0,1)*1.5)</f>
        <v>0.409999999999997</v>
      </c>
      <c r="AC76">
        <f ca="1" t="shared" si="21"/>
        <v>0</v>
      </c>
      <c r="AD76">
        <f ca="1">IF(COUNTIF(IF(AND(配装计算器!$K$30&lt;&gt;"∞",0),INDEX(AU76:CB76,1,$AT$1),INDEX(AU77:CB77,1,$AT$1)),"*叠1*")=1,AB76*0+AE75,0)</f>
        <v>0</v>
      </c>
      <c r="AE76">
        <f ca="1">IF($AN$11&gt;0,IF(COUNTIF(B77,"*叠1*")&gt;0,50-加速!$L$11,MAX(0,AE75-(A77-A76))),0)</f>
        <v>1.48999999999995</v>
      </c>
      <c r="AG76">
        <f ca="1" t="shared" si="22"/>
        <v>2</v>
      </c>
      <c r="AH76" t="s">
        <v>1825</v>
      </c>
      <c r="AI76" t="s">
        <v>2902</v>
      </c>
      <c r="AJ76">
        <f ca="1">循环比*COUNTIFS($B$3:$B$515,"*"&amp;AI76&amp;"*",$D$3:$D$515,"&gt;0",$H$3:$H$515,"&gt;0")</f>
        <v>0</v>
      </c>
      <c r="AK76" t="s">
        <v>3044</v>
      </c>
      <c r="AU76" s="176" t="s">
        <v>2768</v>
      </c>
      <c r="AV76">
        <v>1</v>
      </c>
      <c r="AW76" s="176" t="s">
        <v>2776</v>
      </c>
      <c r="AX76">
        <v>2</v>
      </c>
      <c r="AY76" t="s">
        <v>3013</v>
      </c>
      <c r="AZ76">
        <v>2</v>
      </c>
      <c r="BA76" t="s">
        <v>3013</v>
      </c>
      <c r="BB76">
        <v>2</v>
      </c>
      <c r="BC76" t="s">
        <v>2768</v>
      </c>
      <c r="BD76">
        <v>1</v>
      </c>
      <c r="BE76" t="s">
        <v>3023</v>
      </c>
      <c r="BF76">
        <v>2</v>
      </c>
      <c r="BG76" t="s">
        <v>2768</v>
      </c>
      <c r="BH76">
        <v>2</v>
      </c>
      <c r="BI76" s="176" t="s">
        <v>2794</v>
      </c>
      <c r="BJ76">
        <v>1</v>
      </c>
      <c r="BK76" t="s">
        <v>2768</v>
      </c>
      <c r="BL76">
        <v>0</v>
      </c>
      <c r="BM76" s="176" t="s">
        <v>2768</v>
      </c>
      <c r="BN76">
        <v>2</v>
      </c>
      <c r="BO76" s="176" t="s">
        <v>2768</v>
      </c>
      <c r="BP76">
        <v>2</v>
      </c>
      <c r="BQ76" t="s">
        <v>2768</v>
      </c>
      <c r="BR76">
        <v>0</v>
      </c>
      <c r="BS76" t="s">
        <v>2768</v>
      </c>
      <c r="BT76">
        <v>1</v>
      </c>
      <c r="BU76" t="s">
        <v>3011</v>
      </c>
      <c r="BV76">
        <v>2</v>
      </c>
      <c r="BW76" s="182" t="s">
        <v>2768</v>
      </c>
      <c r="BX76" s="179">
        <v>2</v>
      </c>
      <c r="BY76" s="176" t="s">
        <v>2808</v>
      </c>
      <c r="BZ76">
        <v>2</v>
      </c>
      <c r="CA76" s="176" t="s">
        <v>2808</v>
      </c>
      <c r="CB76">
        <v>2</v>
      </c>
    </row>
    <row r="77" spans="1:80">
      <c r="A77" s="178">
        <f ca="1">IFERROR(IF(AG76&lt;5+金蛇*2,IF(COUNTIF(B76,"*轻*")&gt;0,A76+加速!$L$9,A76+加速!$L$11)+V76,""),"")</f>
        <v>97.2200000000001</v>
      </c>
      <c r="B77" s="167" t="str">
        <f ca="1" t="shared" si="17"/>
        <v>云飞玉皇</v>
      </c>
      <c r="C77">
        <f ca="1" t="shared" si="26"/>
        <v>12.29</v>
      </c>
      <c r="D77">
        <f ca="1">IF(B77&lt;&gt;"",IF(C76&lt;=加速!$L$11*(1-E77),0,1),"")</f>
        <v>1</v>
      </c>
      <c r="E77">
        <f ca="1" t="shared" si="23"/>
        <v>0</v>
      </c>
      <c r="G77">
        <f ca="1" t="shared" si="24"/>
        <v>0</v>
      </c>
      <c r="H77">
        <f ca="1">IF(B77&lt;&gt;"",IF(AND(COUNTIF(B76,"*轻*莺鸣柳*")&gt;0,COUNTIF(B77,"*轻*")&lt;1),MAX(0,15+I76-(A77-A76)+COUNTIF(B76,"*平湖*")*0),IF(AND(E77=0,MAX(0,H76-(A77-A76))&lt;=加速!$H$11),0,MAX(0,H76-(A77-A76)))),"")</f>
        <v>0</v>
      </c>
      <c r="I77">
        <f ca="1" t="shared" si="30"/>
        <v>0</v>
      </c>
      <c r="J77">
        <f ca="1" t="shared" si="31"/>
        <v>4</v>
      </c>
      <c r="K77">
        <f ca="1" t="shared" si="18"/>
        <v>1</v>
      </c>
      <c r="L77">
        <f ca="1">IFERROR(IF(AND(COUNTIF(B77,"*-峰插*"),技能数据库!$M$72&gt;0),0,IF(COUNTIF(B77,"*鹤归*")&gt;0,16-加速!$L$11,MAX(0,L76-(A77-A76)))),0)</f>
        <v>13.29</v>
      </c>
      <c r="M77">
        <f ca="1" t="shared" si="19"/>
        <v>0</v>
      </c>
      <c r="N77">
        <f ca="1">IFERROR(IF(AND(COUNTIF(B77,"*-峰插*"),技能数据库!$M$72&gt;0),0,IF(COUNTIF(B77,"*云飞*")&gt;0,4-COUNTIF(B77,"*玉山揽云*")*4--COUNTIF(B77,"*烟流暮景*")*4-COUNTIF(B77,"*云景*")*加速!$L$11-IF(J77&gt;0,2,0),MAX(0,N76-(A77-A76)-IF(J77&gt;0,2,0)))),0)</f>
        <v>2</v>
      </c>
      <c r="O77">
        <f ca="1">IF(AND(COUNTIF(IF(AND(配装计算器!$K$30&lt;&gt;"∞",0),INDEX(AU76:CB76,1,$AT$1),INDEX(AU78:CB78,1,$AT$1)),"*云飞*")=1,COUNTIF(IF(AND(配装计算器!$K$30&lt;&gt;"∞",0),INDEX(AU76:CB76,1,$AT$1),INDEX(AU78:CB78,1,$AT$1)),"*玉山*")=0),N77,0)</f>
        <v>0</v>
      </c>
      <c r="P77">
        <f ca="1">IFERROR(IF(COUNTIF(B77,"*云栖松*")&gt;0,50-加速!$L$11,MAX(0,P76-(A77-A76))),0)</f>
        <v>0</v>
      </c>
      <c r="Q77">
        <f ca="1">IF(COUNTIF(IF(AND(配装计算器!$K$30&lt;&gt;"∞",0),INDEX(AU76:CB76,1,$AT$1),INDEX(AU78:CB78,1,$AT$1)),"*云栖松*")=1,P77,0)</f>
        <v>0</v>
      </c>
      <c r="R77">
        <f ca="1">IFERROR(IF(COUNTIF(B77,"*莺鸣柳*")&gt;0,45-加速!$L$9,MAX(0,R76-(A77-A76))),0)</f>
        <v>0</v>
      </c>
      <c r="S77">
        <f ca="1">IF(COUNTIF(IF(AND(配装计算器!$K$30&lt;&gt;"∞",0),INDEX(AU76:CB76,1,$AT$1),INDEX(AU78:CB78,1,$AT$1)),"*莺鸣柳*")=1,R77,0)</f>
        <v>0</v>
      </c>
      <c r="T77">
        <f ca="1" t="shared" si="27"/>
        <v>0</v>
      </c>
      <c r="U77">
        <f ca="1">IF(金蛇,IF(COUNTIF(B77,"*金环戴*")+COUNTIF(B77,"*吹风醒*")&gt;0,IF(A77&lt;=3,7.125-2.625-A77-加速!$L$11,7.125+加速!$K$9-(A77+加速!$L$11-T77)),0),0)+IF(金蛇,IF(COUNTIF(B77,"*千切子裂光*")&gt;0,2+加速!$K$9-(A77+加速!$L$11-T77),0),0)</f>
        <v>0</v>
      </c>
      <c r="V77">
        <f ca="1" t="shared" si="28"/>
        <v>0</v>
      </c>
      <c r="W77">
        <f ca="1" t="shared" si="20"/>
        <v>0</v>
      </c>
      <c r="X77">
        <f ca="1">INDEX(加速!$I$13:$I$21,W77+1)</f>
        <v>0</v>
      </c>
      <c r="Y77">
        <f ca="1" t="shared" si="29"/>
        <v>0.5</v>
      </c>
      <c r="Z77">
        <f ca="1" t="shared" si="25"/>
        <v>0</v>
      </c>
      <c r="AA77">
        <f ca="1">MAX(0,IFERROR(IF(COUNTIF(B77,"*叠*")&gt;0,IF(AC76&lt;3,8-A78+A77,AA76+6.875-A78+A77),AA76-A78+A77),AA76-加速!$L$11))</f>
        <v>0</v>
      </c>
      <c r="AB77">
        <f ca="1">MAX(0,IF(COUNTIF(IF(AND(配装计算器!$K$30&lt;&gt;"∞",0),INDEX(AU77:CB77,1,$AT$1),INDEX(AU77:CB77,1,$AT$1)),"*叠1*")=1,4*25-加速!$L$11,AB76-A77+A76)-IF(OR(COUNTIF(OFFSET(AT77,0,$AT$1,1,1),"*听雷*")&gt;0,AND(碧归&gt;0,COUNTIF(OFFSET(AT77,0,$AT$1,1,1),"*风来*")&gt;0)),0,1)*1.5)</f>
        <v>0</v>
      </c>
      <c r="AC77">
        <f ca="1" t="shared" si="21"/>
        <v>0</v>
      </c>
      <c r="AD77">
        <f ca="1">IF(COUNTIF(IF(AND(配装计算器!$K$30&lt;&gt;"∞",0),INDEX(AU77:CB77,1,$AT$1),INDEX(AU78:CB78,1,$AT$1)),"*叠1*")=1,AB77*0+AE76,0)</f>
        <v>0</v>
      </c>
      <c r="AE77">
        <f ca="1">IF($AN$11&gt;0,IF(COUNTIF(B78,"*叠1*")&gt;0,50-加速!$L$11,MAX(0,AE76-(A78-A77))),0)</f>
        <v>0.199999999999946</v>
      </c>
      <c r="AG77">
        <f ca="1" t="shared" si="22"/>
        <v>2</v>
      </c>
      <c r="AH77" t="s">
        <v>1825</v>
      </c>
      <c r="AI77" t="s">
        <v>2906</v>
      </c>
      <c r="AJ77">
        <f ca="1">循环比*COUNTIFS($B$3:$B$515,"*"&amp;AI77&amp;"*",$D$3:$D$515,"&gt;0",$H$3:$H$515,"=0",$AC$3:$AC$515,"=0")</f>
        <v>0</v>
      </c>
      <c r="AK77" t="s">
        <v>2750</v>
      </c>
      <c r="AU77" s="176" t="s">
        <v>2776</v>
      </c>
      <c r="AV77">
        <v>1</v>
      </c>
      <c r="AW77" s="176" t="s">
        <v>2768</v>
      </c>
      <c r="AX77">
        <v>2</v>
      </c>
      <c r="AY77" t="s">
        <v>3017</v>
      </c>
      <c r="AZ77">
        <v>2</v>
      </c>
      <c r="BA77" t="s">
        <v>3017</v>
      </c>
      <c r="BB77">
        <v>2</v>
      </c>
      <c r="BC77" t="s">
        <v>2768</v>
      </c>
      <c r="BD77">
        <v>0</v>
      </c>
      <c r="BE77" s="182" t="s">
        <v>2768</v>
      </c>
      <c r="BF77">
        <v>2</v>
      </c>
      <c r="BG77" t="s">
        <v>3018</v>
      </c>
      <c r="BH77">
        <v>2</v>
      </c>
      <c r="BI77" t="s">
        <v>2776</v>
      </c>
      <c r="BJ77">
        <v>1</v>
      </c>
      <c r="BK77" t="s">
        <v>3067</v>
      </c>
      <c r="BL77">
        <v>2</v>
      </c>
      <c r="BM77" s="176" t="s">
        <v>2776</v>
      </c>
      <c r="BN77">
        <v>2</v>
      </c>
      <c r="BO77" s="176" t="s">
        <v>2808</v>
      </c>
      <c r="BP77">
        <v>2</v>
      </c>
      <c r="BQ77" t="s">
        <v>3010</v>
      </c>
      <c r="BR77">
        <v>2</v>
      </c>
      <c r="BS77" t="s">
        <v>2768</v>
      </c>
      <c r="BT77">
        <v>1</v>
      </c>
      <c r="BU77" t="s">
        <v>2768</v>
      </c>
      <c r="BV77">
        <v>2</v>
      </c>
      <c r="BW77" s="182" t="s">
        <v>2776</v>
      </c>
      <c r="BX77" s="179">
        <v>2</v>
      </c>
      <c r="BY77" t="s">
        <v>2768</v>
      </c>
      <c r="BZ77">
        <v>2</v>
      </c>
      <c r="CA77" t="str">
        <f>IF(0,"风来吴山","夕照雷峰")</f>
        <v>夕照雷峰</v>
      </c>
      <c r="CB77">
        <v>2</v>
      </c>
    </row>
    <row r="78" spans="1:80">
      <c r="A78" s="178">
        <f ca="1">IFERROR(IF(AG77&lt;5+金蛇*2,IF(COUNTIF(B77,"*轻*")&gt;0,A77+加速!$L$9,A77+加速!$L$11)+V77,""),"")</f>
        <v>98.5100000000001</v>
      </c>
      <c r="B78" s="167" t="str">
        <f ca="1" t="shared" si="17"/>
        <v>夕照雷峰</v>
      </c>
      <c r="C78">
        <f ca="1" t="shared" si="26"/>
        <v>15</v>
      </c>
      <c r="D78">
        <f ca="1">IF(B78&lt;&gt;"",IF(C77&lt;=加速!$L$11*(1-E78),0,1),"")</f>
        <v>1</v>
      </c>
      <c r="E78">
        <f ca="1" t="shared" si="23"/>
        <v>0</v>
      </c>
      <c r="G78">
        <f ca="1" t="shared" si="24"/>
        <v>0</v>
      </c>
      <c r="H78">
        <f ca="1">IF(B78&lt;&gt;"",IF(AND(COUNTIF(B77,"*轻*莺鸣柳*")&gt;0,COUNTIF(B78,"*轻*")&lt;1),MAX(0,15+I77-(A78-A77)+COUNTIF(B77,"*平湖*")*0),IF(AND(E78=0,MAX(0,H77-(A78-A77))&lt;=加速!$H$11),0,MAX(0,H77-(A78-A77)))),"")</f>
        <v>0</v>
      </c>
      <c r="I78">
        <f ca="1" t="shared" si="30"/>
        <v>0</v>
      </c>
      <c r="J78">
        <f ca="1" t="shared" si="31"/>
        <v>3</v>
      </c>
      <c r="K78">
        <f ca="1" t="shared" si="18"/>
        <v>0</v>
      </c>
      <c r="L78">
        <f ca="1">IFERROR(IF(AND(COUNTIF(B78,"*-峰插*"),技能数据库!$M$72&gt;0),0,IF(COUNTIF(B78,"*鹤归*")&gt;0,16-加速!$L$11,MAX(0,L77-(A78-A77)))),0)</f>
        <v>12</v>
      </c>
      <c r="M78">
        <f ca="1" t="shared" si="19"/>
        <v>0</v>
      </c>
      <c r="N78">
        <f ca="1">IFERROR(IF(AND(COUNTIF(B78,"*-峰插*"),技能数据库!$M$72&gt;0),0,IF(COUNTIF(B78,"*云飞*")&gt;0,4-COUNTIF(B78,"*玉山揽云*")*4--COUNTIF(B78,"*烟流暮景*")*4-COUNTIF(B78,"*云景*")*加速!$L$11-IF(J78&gt;0,2,0),MAX(0,N77-(A78-A77)-IF(J78&gt;0,2,0)))),0)</f>
        <v>0</v>
      </c>
      <c r="O78">
        <f ca="1">IF(AND(COUNTIF(IF(AND(配装计算器!$K$30&lt;&gt;"∞",0),INDEX(AU77:CB77,1,$AT$1),INDEX(AU79:CB79,1,$AT$1)),"*云飞*")=1,COUNTIF(IF(AND(配装计算器!$K$30&lt;&gt;"∞",0),INDEX(AU77:CB77,1,$AT$1),INDEX(AU79:CB79,1,$AT$1)),"*玉山*")=0),N78,0)</f>
        <v>0</v>
      </c>
      <c r="P78">
        <f ca="1">IFERROR(IF(COUNTIF(B78,"*云栖松*")&gt;0,50-加速!$L$11,MAX(0,P77-(A78-A77))),0)</f>
        <v>0</v>
      </c>
      <c r="Q78">
        <f ca="1">IF(COUNTIF(IF(AND(配装计算器!$K$30&lt;&gt;"∞",0),INDEX(AU77:CB77,1,$AT$1),INDEX(AU79:CB79,1,$AT$1)),"*云栖松*")=1,P78,0)</f>
        <v>0</v>
      </c>
      <c r="R78">
        <f ca="1">IFERROR(IF(COUNTIF(B78,"*莺鸣柳*")&gt;0,45-加速!$L$9,MAX(0,R77-(A78-A77))),0)</f>
        <v>0</v>
      </c>
      <c r="S78">
        <f ca="1">IF(COUNTIF(IF(AND(配装计算器!$K$30&lt;&gt;"∞",0),INDEX(AU77:CB77,1,$AT$1),INDEX(AU79:CB79,1,$AT$1)),"*莺鸣柳*")=1,R78,0)</f>
        <v>0</v>
      </c>
      <c r="T78">
        <f ca="1" t="shared" si="27"/>
        <v>0</v>
      </c>
      <c r="U78">
        <f ca="1">IF(金蛇,IF(COUNTIF(B78,"*金环戴*")+COUNTIF(B78,"*吹风醒*")&gt;0,IF(A78&lt;=3,7.125-2.625-A78-加速!$L$11,7.125+加速!$K$9-(A78+加速!$L$11-T78)),0),0)+IF(金蛇,IF(COUNTIF(B78,"*千切子裂光*")&gt;0,2+加速!$K$9-(A78+加速!$L$11-T78),0),0)</f>
        <v>0</v>
      </c>
      <c r="V78">
        <f ca="1" t="shared" si="28"/>
        <v>0.199999999999946</v>
      </c>
      <c r="W78">
        <f ca="1" t="shared" si="20"/>
        <v>0</v>
      </c>
      <c r="X78">
        <f ca="1">INDEX(加速!$I$13:$I$21,W78+1)</f>
        <v>0</v>
      </c>
      <c r="Y78">
        <f ca="1" t="shared" si="29"/>
        <v>0.5</v>
      </c>
      <c r="Z78">
        <f ca="1" t="shared" si="25"/>
        <v>0</v>
      </c>
      <c r="AA78">
        <f ca="1">MAX(0,IFERROR(IF(COUNTIF(B78,"*叠*")&gt;0,IF(AC77&lt;3,8-A79+A78,AA77+6.875-A79+A78),AA77-A79+A78),AA77-加速!$L$11))</f>
        <v>0</v>
      </c>
      <c r="AB78">
        <f ca="1">MAX(0,IF(COUNTIF(IF(AND(配装计算器!$K$30&lt;&gt;"∞",0),INDEX(AU78:CB78,1,$AT$1),INDEX(AU78:CB78,1,$AT$1)),"*叠1*")=1,4*25-加速!$L$11,AB77-A78+A77)-IF(OR(COUNTIF(OFFSET(AT78,0,$AT$1,1,1),"*听雷*")&gt;0,AND(碧归&gt;0,COUNTIF(OFFSET(AT78,0,$AT$1,1,1),"*风来*")&gt;0)),0,1)*1.5)</f>
        <v>0</v>
      </c>
      <c r="AC78">
        <f ca="1" t="shared" si="21"/>
        <v>0</v>
      </c>
      <c r="AD78">
        <f ca="1">IF(COUNTIF(IF(AND(配装计算器!$K$30&lt;&gt;"∞",0),INDEX(AU78:CB78,1,$AT$1),INDEX(AU79:CB79,1,$AT$1)),"*叠1*")=1,AB78*0+AE77,0)</f>
        <v>0.199999999999946</v>
      </c>
      <c r="AE78">
        <f ca="1">IF($AN$11&gt;0,IF(COUNTIF(B79,"*叠1*")&gt;0,50-加速!$L$11,MAX(0,AE77-(A79-A78))),0)</f>
        <v>48.71</v>
      </c>
      <c r="AG78">
        <f ca="1" t="shared" si="22"/>
        <v>3</v>
      </c>
      <c r="AH78" t="s">
        <v>1825</v>
      </c>
      <c r="AI78" t="s">
        <v>2906</v>
      </c>
      <c r="AJ78">
        <f ca="1">循环比*COUNTIFS($B$3:$B$515,"*"&amp;AI78&amp;"*",$D$3:$D$515,"&gt;0",$H$3:$H$515,"&gt;0")</f>
        <v>0</v>
      </c>
      <c r="AK78" t="s">
        <v>3044</v>
      </c>
      <c r="AU78" t="s">
        <v>2722</v>
      </c>
      <c r="AV78">
        <v>0</v>
      </c>
      <c r="AW78" s="176" t="s">
        <v>2776</v>
      </c>
      <c r="AX78">
        <v>2</v>
      </c>
      <c r="AY78" t="s">
        <v>2808</v>
      </c>
      <c r="AZ78">
        <v>2</v>
      </c>
      <c r="BA78" t="s">
        <v>2808</v>
      </c>
      <c r="BB78">
        <v>2</v>
      </c>
      <c r="BC78" t="s">
        <v>2768</v>
      </c>
      <c r="BD78">
        <v>0</v>
      </c>
      <c r="BE78" s="176" t="s">
        <v>2768</v>
      </c>
      <c r="BF78">
        <v>2</v>
      </c>
      <c r="BG78" t="s">
        <v>2768</v>
      </c>
      <c r="BH78">
        <v>2</v>
      </c>
      <c r="BI78" t="s">
        <v>2768</v>
      </c>
      <c r="BJ78">
        <v>0</v>
      </c>
      <c r="BK78" s="176" t="s">
        <v>2768</v>
      </c>
      <c r="BL78">
        <v>2</v>
      </c>
      <c r="BM78" s="176" t="s">
        <v>2768</v>
      </c>
      <c r="BN78">
        <v>2</v>
      </c>
      <c r="BO78" t="str">
        <f>IF(0,"云飞玉皇-玉山揽云","夕照雷峰")</f>
        <v>夕照雷峰</v>
      </c>
      <c r="BP78">
        <v>2</v>
      </c>
      <c r="BQ78" t="s">
        <v>3013</v>
      </c>
      <c r="BR78">
        <v>2</v>
      </c>
      <c r="BS78" t="s">
        <v>2776</v>
      </c>
      <c r="BT78">
        <v>0</v>
      </c>
      <c r="BU78" t="s">
        <v>3018</v>
      </c>
      <c r="BV78">
        <v>2</v>
      </c>
      <c r="BW78" s="182" t="s">
        <v>2768</v>
      </c>
      <c r="BX78" s="179">
        <v>2</v>
      </c>
      <c r="BY78" t="s">
        <v>2776</v>
      </c>
      <c r="BZ78">
        <v>2</v>
      </c>
      <c r="CA78" t="str">
        <f>IF(0,"云飞玉皇-玉山揽云","云飞玉皇")</f>
        <v>云飞玉皇</v>
      </c>
      <c r="CB78">
        <v>2</v>
      </c>
    </row>
    <row r="79" spans="1:80">
      <c r="A79" s="178">
        <f ca="1">IFERROR(IF(AG78&lt;5+金蛇*2,IF(COUNTIF(B78,"*轻*")&gt;0,A78+加速!$L$9,A78+加速!$L$11)+V78,""),"")</f>
        <v>100</v>
      </c>
      <c r="B79" s="167" t="str">
        <f ca="1" t="shared" si="17"/>
        <v>叠1-云飞玉皇</v>
      </c>
      <c r="C79">
        <f ca="1" t="shared" si="26"/>
        <v>13.51</v>
      </c>
      <c r="D79">
        <f ca="1">IF(B79&lt;&gt;"",IF(C78&lt;=加速!$L$11*(1-E79),0,1),"")</f>
        <v>1</v>
      </c>
      <c r="E79">
        <f ca="1" t="shared" si="23"/>
        <v>1</v>
      </c>
      <c r="G79">
        <f ca="1" t="shared" si="24"/>
        <v>0</v>
      </c>
      <c r="H79">
        <f ca="1">IF(B79&lt;&gt;"",IF(AND(COUNTIF(B78,"*轻*莺鸣柳*")&gt;0,COUNTIF(B79,"*轻*")&lt;1),MAX(0,15+I78-(A79-A78)+COUNTIF(B78,"*平湖*")*0),IF(AND(E79=0,MAX(0,H78-(A79-A78))&lt;=加速!$H$11),0,MAX(0,H78-(A79-A78)))),"")</f>
        <v>0</v>
      </c>
      <c r="I79">
        <f ca="1" t="shared" si="30"/>
        <v>0</v>
      </c>
      <c r="J79">
        <f ca="1" t="shared" si="31"/>
        <v>2</v>
      </c>
      <c r="K79">
        <f ca="1" t="shared" si="18"/>
        <v>2</v>
      </c>
      <c r="L79">
        <f ca="1">IFERROR(IF(AND(COUNTIF(B79,"*-峰插*"),技能数据库!$M$72&gt;0),0,IF(COUNTIF(B79,"*鹤归*")&gt;0,16-加速!$L$11,MAX(0,L78-(A79-A78)))),0)</f>
        <v>10.5100000000001</v>
      </c>
      <c r="M79">
        <f ca="1" t="shared" si="19"/>
        <v>0</v>
      </c>
      <c r="N79">
        <f ca="1">IFERROR(IF(AND(COUNTIF(B79,"*-峰插*"),技能数据库!$M$72&gt;0),0,IF(COUNTIF(B79,"*云飞*")&gt;0,4-COUNTIF(B79,"*玉山揽云*")*4--COUNTIF(B79,"*烟流暮景*")*4-COUNTIF(B79,"*云景*")*加速!$L$11-IF(J79&gt;0,2,0),MAX(0,N78-(A79-A78)-IF(J79&gt;0,2,0)))),0)</f>
        <v>2</v>
      </c>
      <c r="O79">
        <f ca="1">IF(AND(COUNTIF(IF(AND(配装计算器!$K$30&lt;&gt;"∞",0),INDEX(AU78:CB78,1,$AT$1),INDEX(AU80:CB80,1,$AT$1)),"*云飞*")=1,COUNTIF(IF(AND(配装计算器!$K$30&lt;&gt;"∞",0),INDEX(AU78:CB78,1,$AT$1),INDEX(AU80:CB80,1,$AT$1)),"*玉山*")=0),N79,0)</f>
        <v>0</v>
      </c>
      <c r="P79">
        <f ca="1">IFERROR(IF(COUNTIF(B79,"*云栖松*")&gt;0,50-加速!$L$11,MAX(0,P78-(A79-A78))),0)</f>
        <v>0</v>
      </c>
      <c r="Q79">
        <f ca="1">IF(COUNTIF(IF(AND(配装计算器!$K$30&lt;&gt;"∞",0),INDEX(AU78:CB78,1,$AT$1),INDEX(AU80:CB80,1,$AT$1)),"*云栖松*")=1,P79,0)</f>
        <v>0</v>
      </c>
      <c r="R79">
        <f ca="1">IFERROR(IF(COUNTIF(B79,"*莺鸣柳*")&gt;0,45-加速!$L$9,MAX(0,R78-(A79-A78))),0)</f>
        <v>0</v>
      </c>
      <c r="S79">
        <f ca="1">IF(COUNTIF(IF(AND(配装计算器!$K$30&lt;&gt;"∞",0),INDEX(AU78:CB78,1,$AT$1),INDEX(AU80:CB80,1,$AT$1)),"*莺鸣柳*")=1,R79,0)</f>
        <v>0</v>
      </c>
      <c r="T79">
        <f ca="1" t="shared" si="27"/>
        <v>0</v>
      </c>
      <c r="U79">
        <f ca="1">IF(金蛇,IF(COUNTIF(B79,"*金环戴*")+COUNTIF(B79,"*吹风醒*")&gt;0,IF(A79&lt;=3,7.125-2.625-A79-加速!$L$11,7.125+加速!$K$9-(A79+加速!$L$11-T79)),0),0)+IF(金蛇,IF(COUNTIF(B79,"*千切子裂光*")&gt;0,2+加速!$K$9-(A79+加速!$L$11-T79),0),0)</f>
        <v>0</v>
      </c>
      <c r="V79">
        <f ca="1" t="shared" si="28"/>
        <v>0</v>
      </c>
      <c r="W79">
        <f ca="1" t="shared" si="20"/>
        <v>0</v>
      </c>
      <c r="X79">
        <f ca="1">INDEX(加速!$I$13:$I$21,W79+1)</f>
        <v>0</v>
      </c>
      <c r="Y79">
        <f ca="1" t="shared" si="29"/>
        <v>0.5</v>
      </c>
      <c r="Z79">
        <f ca="1" t="shared" si="25"/>
        <v>0</v>
      </c>
      <c r="AA79">
        <f ca="1">MAX(0,IFERROR(IF(COUNTIF(B79,"*叠*")&gt;0,IF(AC78&lt;3,8-A80+A79,AA78+6.875-A80+A79),AA78-A80+A79),AA78-加速!$L$11))</f>
        <v>6.70999999999999</v>
      </c>
      <c r="AB79">
        <f ca="1">MAX(0,IF(COUNTIF(IF(AND(配装计算器!$K$30&lt;&gt;"∞",0),INDEX(AU79:CB79,1,$AT$1),INDEX(AU79:CB79,1,$AT$1)),"*叠1*")=1,4*25-加速!$L$11,AB78-A79+A78)-IF(OR(COUNTIF(OFFSET(AT79,0,$AT$1,1,1),"*听雷*")&gt;0,AND(碧归&gt;0,COUNTIF(OFFSET(AT79,0,$AT$1,1,1),"*风来*")&gt;0)),0,1)*1.5)</f>
        <v>97.21</v>
      </c>
      <c r="AC79">
        <f ca="1" t="shared" si="21"/>
        <v>1</v>
      </c>
      <c r="AD79">
        <f ca="1">IF(COUNTIF(IF(AND(配装计算器!$K$30&lt;&gt;"∞",0),INDEX(AU79:CB79,1,$AT$1),INDEX(AU80:CB80,1,$AT$1)),"*叠1*")=1,AB79*0+AE78,0)</f>
        <v>0</v>
      </c>
      <c r="AE79">
        <f ca="1">IF($AN$11&gt;0,IF(COUNTIF(B80,"*叠1*")&gt;0,50-加速!$L$11,MAX(0,AE78-(A80-A79))),0)</f>
        <v>47.42</v>
      </c>
      <c r="AG79">
        <f ca="1" t="shared" si="22"/>
        <v>3</v>
      </c>
      <c r="AH79" t="s">
        <v>1825</v>
      </c>
      <c r="AI79" t="s">
        <v>2827</v>
      </c>
      <c r="AJ79">
        <f ca="1">AN46</f>
        <v>21.2861328125</v>
      </c>
      <c r="AK79" t="s">
        <v>2750</v>
      </c>
      <c r="AU79" t="s">
        <v>3009</v>
      </c>
      <c r="AV79">
        <v>2</v>
      </c>
      <c r="AW79" s="176" t="s">
        <v>2768</v>
      </c>
      <c r="AX79">
        <v>2</v>
      </c>
      <c r="AY79" t="s">
        <v>3022</v>
      </c>
      <c r="AZ79">
        <v>2</v>
      </c>
      <c r="BA79" t="s">
        <v>3022</v>
      </c>
      <c r="BB79">
        <v>2</v>
      </c>
      <c r="BC79" t="s">
        <v>3010</v>
      </c>
      <c r="BD79">
        <v>2</v>
      </c>
      <c r="BE79" s="176" t="s">
        <v>2789</v>
      </c>
      <c r="BF79">
        <v>2</v>
      </c>
      <c r="BG79" s="182" t="s">
        <v>3023</v>
      </c>
      <c r="BH79">
        <v>2</v>
      </c>
      <c r="BI79" t="s">
        <v>3011</v>
      </c>
      <c r="BJ79">
        <v>2</v>
      </c>
      <c r="BK79" s="176" t="s">
        <v>2776</v>
      </c>
      <c r="BL79">
        <v>2</v>
      </c>
      <c r="BM79" s="176" t="s">
        <v>2808</v>
      </c>
      <c r="BN79">
        <v>2</v>
      </c>
      <c r="BO79" t="str">
        <f>IF(0,"云飞玉皇-玉山揽云","云飞玉皇")</f>
        <v>云飞玉皇</v>
      </c>
      <c r="BP79">
        <v>2</v>
      </c>
      <c r="BQ79" t="s">
        <v>3018</v>
      </c>
      <c r="BR79">
        <v>2</v>
      </c>
      <c r="BS79" t="s">
        <v>2768</v>
      </c>
      <c r="BT79">
        <v>0</v>
      </c>
      <c r="BU79" t="s">
        <v>2768</v>
      </c>
      <c r="BV79">
        <v>2</v>
      </c>
      <c r="BW79" s="182" t="s">
        <v>2808</v>
      </c>
      <c r="BX79" s="179">
        <v>2</v>
      </c>
      <c r="BY79" s="175" t="s">
        <v>2789</v>
      </c>
      <c r="BZ79">
        <v>2</v>
      </c>
      <c r="CA79" s="180" t="str">
        <f>IF(0,"云飞玉皇-玉山揽云","风来吴山")</f>
        <v>风来吴山</v>
      </c>
      <c r="CB79">
        <v>2</v>
      </c>
    </row>
    <row r="80" spans="1:80">
      <c r="A80" s="178">
        <f ca="1">IFERROR(IF(AG79&lt;5+金蛇*2,IF(COUNTIF(B79,"*轻*")&gt;0,A79+加速!$L$9,A79+加速!$L$11)+V79,""),"")</f>
        <v>101.29</v>
      </c>
      <c r="B80" s="167" t="str">
        <f ca="1" t="shared" si="17"/>
        <v>夕照雷峰</v>
      </c>
      <c r="C80">
        <f ca="1" t="shared" si="26"/>
        <v>15</v>
      </c>
      <c r="D80">
        <f ca="1">IF(B80&lt;&gt;"",IF(C79&lt;=加速!$L$11*(1-E80),0,1),"")</f>
        <v>1</v>
      </c>
      <c r="E80">
        <f ca="1" t="shared" si="23"/>
        <v>0</v>
      </c>
      <c r="G80">
        <f ca="1" t="shared" si="24"/>
        <v>0</v>
      </c>
      <c r="H80">
        <f ca="1">IF(B80&lt;&gt;"",IF(AND(COUNTIF(B79,"*轻*莺鸣柳*")&gt;0,COUNTIF(B80,"*轻*")&lt;1),MAX(0,15+I79-(A80-A79)+COUNTIF(B79,"*平湖*")*0),IF(AND(E80=0,MAX(0,H79-(A80-A79))&lt;=加速!$H$11),0,MAX(0,H79-(A80-A79)))),"")</f>
        <v>0</v>
      </c>
      <c r="I80">
        <f ca="1" t="shared" si="30"/>
        <v>0</v>
      </c>
      <c r="J80">
        <f ca="1" t="shared" si="31"/>
        <v>1</v>
      </c>
      <c r="K80">
        <f ca="1" t="shared" si="18"/>
        <v>2</v>
      </c>
      <c r="L80">
        <f ca="1">IFERROR(IF(AND(COUNTIF(B80,"*-峰插*"),技能数据库!$M$72&gt;0),0,IF(COUNTIF(B80,"*鹤归*")&gt;0,16-加速!$L$11,MAX(0,L79-(A80-A79)))),0)</f>
        <v>9.22000000000005</v>
      </c>
      <c r="M80">
        <f ca="1" t="shared" si="19"/>
        <v>0</v>
      </c>
      <c r="N80">
        <f ca="1">IFERROR(IF(AND(COUNTIF(B80,"*-峰插*"),技能数据库!$M$72&gt;0),0,IF(COUNTIF(B80,"*云飞*")&gt;0,4-COUNTIF(B80,"*玉山揽云*")*4--COUNTIF(B80,"*烟流暮景*")*4-COUNTIF(B80,"*云景*")*加速!$L$11-IF(J80&gt;0,2,0),MAX(0,N79-(A80-A79)-IF(J80&gt;0,2,0)))),0)</f>
        <v>0</v>
      </c>
      <c r="O80">
        <f ca="1">IF(AND(COUNTIF(IF(AND(配装计算器!$K$30&lt;&gt;"∞",0),INDEX(AU79:CB79,1,$AT$1),INDEX(AU81:CB81,1,$AT$1)),"*云飞*")=1,COUNTIF(IF(AND(配装计算器!$K$30&lt;&gt;"∞",0),INDEX(AU79:CB79,1,$AT$1),INDEX(AU81:CB81,1,$AT$1)),"*玉山*")=0),N80,0)</f>
        <v>0</v>
      </c>
      <c r="P80">
        <f ca="1">IFERROR(IF(COUNTIF(B80,"*云栖松*")&gt;0,50-加速!$L$11,MAX(0,P79-(A80-A79))),0)</f>
        <v>0</v>
      </c>
      <c r="Q80">
        <f ca="1">IF(COUNTIF(IF(AND(配装计算器!$K$30&lt;&gt;"∞",0),INDEX(AU79:CB79,1,$AT$1),INDEX(AU81:CB81,1,$AT$1)),"*云栖松*")=1,P80,0)</f>
        <v>0</v>
      </c>
      <c r="R80">
        <f ca="1">IFERROR(IF(COUNTIF(B80,"*莺鸣柳*")&gt;0,45-加速!$L$9,MAX(0,R79-(A80-A79))),0)</f>
        <v>0</v>
      </c>
      <c r="S80">
        <f ca="1">IF(COUNTIF(IF(AND(配装计算器!$K$30&lt;&gt;"∞",0),INDEX(AU79:CB79,1,$AT$1),INDEX(AU81:CB81,1,$AT$1)),"*莺鸣柳*")=1,R80,0)</f>
        <v>0</v>
      </c>
      <c r="T80">
        <f ca="1" t="shared" si="27"/>
        <v>0</v>
      </c>
      <c r="U80">
        <f ca="1">IF(金蛇,IF(COUNTIF(B80,"*金环戴*")+COUNTIF(B80,"*吹风醒*")&gt;0,IF(A80&lt;=3,7.125-2.625-A80-加速!$L$11,7.125+加速!$K$9-(A80+加速!$L$11-T80)),0),0)+IF(金蛇,IF(COUNTIF(B80,"*千切子裂光*")&gt;0,2+加速!$K$9-(A80+加速!$L$11-T80),0),0)</f>
        <v>0</v>
      </c>
      <c r="V80">
        <f ca="1" t="shared" si="28"/>
        <v>0</v>
      </c>
      <c r="W80">
        <f ca="1" t="shared" si="20"/>
        <v>0</v>
      </c>
      <c r="X80">
        <f ca="1">INDEX(加速!$I$13:$I$21,W80+1)</f>
        <v>0</v>
      </c>
      <c r="Y80">
        <f ca="1" t="shared" si="29"/>
        <v>0.5</v>
      </c>
      <c r="Z80">
        <f ca="1" t="shared" si="25"/>
        <v>0</v>
      </c>
      <c r="AA80">
        <f ca="1">MAX(0,IFERROR(IF(COUNTIF(B80,"*叠*")&gt;0,IF(AC79&lt;3,8-A81+A80,AA79+6.875-A81+A80),AA79-A81+A80),AA79-加速!$L$11))</f>
        <v>5.41999999999999</v>
      </c>
      <c r="AB80">
        <f ca="1">MAX(0,IF(COUNTIF(IF(AND(配装计算器!$K$30&lt;&gt;"∞",0),INDEX(AU80:CB80,1,$AT$1),INDEX(AU80:CB80,1,$AT$1)),"*叠1*")=1,4*25-加速!$L$11,AB79-A80+A79)-IF(OR(COUNTIF(OFFSET(AT80,0,$AT$1,1,1),"*听雷*")&gt;0,AND(碧归&gt;0,COUNTIF(OFFSET(AT80,0,$AT$1,1,1),"*风来*")&gt;0)),0,1)*1.5)</f>
        <v>94.42</v>
      </c>
      <c r="AC80">
        <f ca="1" t="shared" si="21"/>
        <v>1</v>
      </c>
      <c r="AD80">
        <f ca="1">IF(COUNTIF(IF(AND(配装计算器!$K$30&lt;&gt;"∞",0),INDEX(AU80:CB80,1,$AT$1),INDEX(AU81:CB81,1,$AT$1)),"*叠1*")=1,AB80*0+AE79,0)</f>
        <v>0</v>
      </c>
      <c r="AE80">
        <f ca="1">IF($AN$11&gt;0,IF(COUNTIF(B81,"*叠1*")&gt;0,50-加速!$L$11,MAX(0,AE79-(A81-A80))),0)</f>
        <v>46.13</v>
      </c>
      <c r="AG80">
        <f ca="1" t="shared" si="22"/>
        <v>3</v>
      </c>
      <c r="AH80" t="s">
        <v>1825</v>
      </c>
      <c r="AI80" t="s">
        <v>2827</v>
      </c>
      <c r="AJ80">
        <f ca="1">AN45</f>
        <v>0</v>
      </c>
      <c r="AK80" t="s">
        <v>3044</v>
      </c>
      <c r="AU80" t="s">
        <v>2768</v>
      </c>
      <c r="AV80">
        <v>2</v>
      </c>
      <c r="AW80" s="176" t="s">
        <v>2808</v>
      </c>
      <c r="AX80">
        <v>2</v>
      </c>
      <c r="AY80" t="s">
        <v>2776</v>
      </c>
      <c r="AZ80">
        <v>2</v>
      </c>
      <c r="BA80" t="s">
        <v>2776</v>
      </c>
      <c r="BB80">
        <v>2</v>
      </c>
      <c r="BC80" t="s">
        <v>3013</v>
      </c>
      <c r="BD80">
        <v>2</v>
      </c>
      <c r="BE80" s="176" t="s">
        <v>2776</v>
      </c>
      <c r="BF80">
        <v>2</v>
      </c>
      <c r="BG80" s="176" t="s">
        <v>2768</v>
      </c>
      <c r="BH80">
        <v>2</v>
      </c>
      <c r="BI80" t="s">
        <v>2768</v>
      </c>
      <c r="BJ80">
        <v>2</v>
      </c>
      <c r="BK80" s="176" t="s">
        <v>2768</v>
      </c>
      <c r="BL80">
        <v>2</v>
      </c>
      <c r="BM80" t="str">
        <f>IF(0,"云飞玉皇-玉山揽云","夕照雷峰")</f>
        <v>夕照雷峰</v>
      </c>
      <c r="BN80">
        <v>2</v>
      </c>
      <c r="BO80" t="str">
        <f>IF(0,"云飞玉皇-玉山揽云","夕照雷峰")</f>
        <v>夕照雷峰</v>
      </c>
      <c r="BP80">
        <v>2</v>
      </c>
      <c r="BQ80" t="s">
        <v>2768</v>
      </c>
      <c r="BR80">
        <v>2</v>
      </c>
      <c r="BS80" t="s">
        <v>3024</v>
      </c>
      <c r="BT80">
        <v>2</v>
      </c>
      <c r="BU80" s="182" t="s">
        <v>3023</v>
      </c>
      <c r="BV80">
        <v>2</v>
      </c>
      <c r="BW80" s="179" t="s">
        <v>2768</v>
      </c>
      <c r="BX80" s="179">
        <v>2</v>
      </c>
      <c r="BY80" t="s">
        <v>2768</v>
      </c>
      <c r="BZ80">
        <v>2</v>
      </c>
      <c r="CA80" t="str">
        <f>IF(0,橙武补雾锁,"夕照雷峰")</f>
        <v>夕照雷峰</v>
      </c>
      <c r="CB80">
        <v>2</v>
      </c>
    </row>
    <row r="81" spans="1:80">
      <c r="A81" s="178">
        <f ca="1">IFERROR(IF(AG80&lt;5+金蛇*2,IF(COUNTIF(B80,"*轻*")&gt;0,A80+加速!$L$9,A80+加速!$L$11)+V80,""),"")</f>
        <v>102.58</v>
      </c>
      <c r="B81" s="167" t="str">
        <f ca="1" t="shared" si="17"/>
        <v>叠2-云景·云飞玉皇</v>
      </c>
      <c r="C81">
        <f ca="1" t="shared" si="26"/>
        <v>13.71</v>
      </c>
      <c r="D81">
        <f ca="1">IF(B81&lt;&gt;"",IF(C80&lt;=加速!$L$11*(1-E81),0,1),"")</f>
        <v>1</v>
      </c>
      <c r="E81">
        <f ca="1" t="shared" si="23"/>
        <v>1</v>
      </c>
      <c r="G81">
        <f ca="1" t="shared" si="24"/>
        <v>0</v>
      </c>
      <c r="H81">
        <f ca="1">IF(B81&lt;&gt;"",IF(AND(COUNTIF(B80,"*轻*莺鸣柳*")&gt;0,COUNTIF(B81,"*轻*")&lt;1),MAX(0,15+I80-(A81-A80)+COUNTIF(B80,"*平湖*")*0),IF(AND(E81=0,MAX(0,H80-(A81-A80))&lt;=加速!$H$11),0,MAX(0,H80-(A81-A80)))),"")</f>
        <v>0</v>
      </c>
      <c r="I81">
        <f ca="1" t="shared" si="30"/>
        <v>0</v>
      </c>
      <c r="J81">
        <f ca="1" t="shared" si="31"/>
        <v>1</v>
      </c>
      <c r="K81">
        <f ca="1" t="shared" si="18"/>
        <v>2</v>
      </c>
      <c r="L81">
        <f ca="1">IFERROR(IF(AND(COUNTIF(B81,"*-峰插*"),技能数据库!$M$72&gt;0),0,IF(COUNTIF(B81,"*鹤归*")&gt;0,16-加速!$L$11,MAX(0,L80-(A81-A80)))),0)</f>
        <v>7.93000000000004</v>
      </c>
      <c r="M81">
        <f ca="1" t="shared" si="19"/>
        <v>0</v>
      </c>
      <c r="N81">
        <f ca="1">IFERROR(IF(AND(COUNTIF(B81,"*-峰插*"),技能数据库!$M$72&gt;0),0,IF(COUNTIF(B81,"*云飞*")&gt;0,4-COUNTIF(B81,"*玉山揽云*")*4--COUNTIF(B81,"*烟流暮景*")*4-COUNTIF(B81,"*云景*")*加速!$L$11-IF(J81&gt;0,2,0),MAX(0,N80-(A81-A80)-IF(J81&gt;0,2,0)))),0)</f>
        <v>0.71</v>
      </c>
      <c r="O81">
        <f ca="1">IF(AND(COUNTIF(IF(AND(配装计算器!$K$30&lt;&gt;"∞",0),INDEX(AU80:CB80,1,$AT$1),INDEX(AU82:CB82,1,$AT$1)),"*云飞*")=1,COUNTIF(IF(AND(配装计算器!$K$30&lt;&gt;"∞",0),INDEX(AU80:CB80,1,$AT$1),INDEX(AU82:CB82,1,$AT$1)),"*玉山*")=0),N81,0)</f>
        <v>0</v>
      </c>
      <c r="P81">
        <f ca="1">IFERROR(IF(COUNTIF(B81,"*云栖松*")&gt;0,50-加速!$L$11,MAX(0,P80-(A81-A80))),0)</f>
        <v>0</v>
      </c>
      <c r="Q81">
        <f ca="1">IF(COUNTIF(IF(AND(配装计算器!$K$30&lt;&gt;"∞",0),INDEX(AU80:CB80,1,$AT$1),INDEX(AU82:CB82,1,$AT$1)),"*云栖松*")=1,P81,0)</f>
        <v>0</v>
      </c>
      <c r="R81">
        <f ca="1">IFERROR(IF(COUNTIF(B81,"*莺鸣柳*")&gt;0,45-加速!$L$9,MAX(0,R80-(A81-A80))),0)</f>
        <v>0</v>
      </c>
      <c r="S81">
        <f ca="1">IF(COUNTIF(IF(AND(配装计算器!$K$30&lt;&gt;"∞",0),INDEX(AU80:CB80,1,$AT$1),INDEX(AU82:CB82,1,$AT$1)),"*莺鸣柳*")=1,R81,0)</f>
        <v>0</v>
      </c>
      <c r="T81">
        <f ca="1" t="shared" si="27"/>
        <v>0</v>
      </c>
      <c r="U81">
        <f ca="1">IF(金蛇,IF(COUNTIF(B81,"*金环戴*")+COUNTIF(B81,"*吹风醒*")&gt;0,IF(A81&lt;=3,7.125-2.625-A81-加速!$L$11,7.125+加速!$K$9-(A81+加速!$L$11-T81)),0),0)+IF(金蛇,IF(COUNTIF(B81,"*千切子裂光*")&gt;0,2+加速!$K$9-(A81+加速!$L$11-T81),0),0)</f>
        <v>0</v>
      </c>
      <c r="V81">
        <f ca="1" t="shared" si="28"/>
        <v>0</v>
      </c>
      <c r="W81">
        <f ca="1" t="shared" si="20"/>
        <v>0</v>
      </c>
      <c r="X81">
        <f ca="1">INDEX(加速!$I$13:$I$21,W81+1)</f>
        <v>0</v>
      </c>
      <c r="Y81">
        <f ca="1" t="shared" si="29"/>
        <v>0.5</v>
      </c>
      <c r="Z81">
        <f ca="1" t="shared" si="25"/>
        <v>0</v>
      </c>
      <c r="AA81">
        <f ca="1">MAX(0,IFERROR(IF(COUNTIF(B81,"*叠*")&gt;0,IF(AC80&lt;3,8-A82+A81,AA80+6.875-A82+A81),AA80-A82+A81),AA80-加速!$L$11))</f>
        <v>6.70999999999999</v>
      </c>
      <c r="AB81">
        <f ca="1">MAX(0,IF(COUNTIF(IF(AND(配装计算器!$K$30&lt;&gt;"∞",0),INDEX(AU81:CB81,1,$AT$1),INDEX(AU81:CB81,1,$AT$1)),"*叠1*")=1,4*25-加速!$L$11,AB80-A81+A80)-IF(OR(COUNTIF(OFFSET(AT81,0,$AT$1,1,1),"*听雷*")&gt;0,AND(碧归&gt;0,COUNTIF(OFFSET(AT81,0,$AT$1,1,1),"*风来*")&gt;0)),0,1)*1.5)</f>
        <v>91.63</v>
      </c>
      <c r="AC81">
        <f ca="1" t="shared" si="21"/>
        <v>2</v>
      </c>
      <c r="AD81">
        <f ca="1">IF(COUNTIF(IF(AND(配装计算器!$K$30&lt;&gt;"∞",0),INDEX(AU81:CB81,1,$AT$1),INDEX(AU82:CB82,1,$AT$1)),"*叠1*")=1,AB81*0+AE80,0)</f>
        <v>0</v>
      </c>
      <c r="AE81">
        <f ca="1">IF($AN$11&gt;0,IF(COUNTIF(B82,"*叠1*")&gt;0,50-加速!$L$11,MAX(0,AE80-(A82-A81))),0)</f>
        <v>44.84</v>
      </c>
      <c r="AG81">
        <f ca="1" t="shared" si="22"/>
        <v>3</v>
      </c>
      <c r="AH81" t="s">
        <v>1028</v>
      </c>
      <c r="AI81" t="s">
        <v>2915</v>
      </c>
      <c r="AJ81">
        <f ca="1">AN54</f>
        <v>0</v>
      </c>
      <c r="AK81" t="s">
        <v>3014</v>
      </c>
      <c r="AU81" t="s">
        <v>2776</v>
      </c>
      <c r="AV81">
        <v>2</v>
      </c>
      <c r="AW81" t="s">
        <v>2768</v>
      </c>
      <c r="AX81">
        <v>2</v>
      </c>
      <c r="AY81" t="s">
        <v>2768</v>
      </c>
      <c r="AZ81">
        <v>2</v>
      </c>
      <c r="BA81" t="s">
        <v>2768</v>
      </c>
      <c r="BB81">
        <v>2</v>
      </c>
      <c r="BC81" t="s">
        <v>3018</v>
      </c>
      <c r="BD81">
        <v>2</v>
      </c>
      <c r="BE81" s="176" t="s">
        <v>3035</v>
      </c>
      <c r="BF81">
        <v>2</v>
      </c>
      <c r="BG81" s="176" t="s">
        <v>2768</v>
      </c>
      <c r="BH81">
        <v>2</v>
      </c>
      <c r="BI81" t="s">
        <v>3018</v>
      </c>
      <c r="BJ81">
        <v>2</v>
      </c>
      <c r="BK81" s="176" t="s">
        <v>2768</v>
      </c>
      <c r="BL81">
        <v>1</v>
      </c>
      <c r="BM81" t="str">
        <f>IF(0,"云飞玉皇-玉山揽云","云飞玉皇")</f>
        <v>云飞玉皇</v>
      </c>
      <c r="BN81">
        <v>2</v>
      </c>
      <c r="BO81" t="str">
        <f>IF(0,橙武补雾锁,"夕照雷峰")</f>
        <v>夕照雷峰</v>
      </c>
      <c r="BP81">
        <v>2</v>
      </c>
      <c r="BQ81" t="s">
        <v>3023</v>
      </c>
      <c r="BR81">
        <v>2</v>
      </c>
      <c r="BS81" s="179" t="s">
        <v>2794</v>
      </c>
      <c r="BT81">
        <v>2</v>
      </c>
      <c r="BU81" s="176" t="s">
        <v>2768</v>
      </c>
      <c r="BV81">
        <v>2</v>
      </c>
      <c r="BW81" s="179" t="s">
        <v>2776</v>
      </c>
      <c r="BX81" s="179">
        <v>2</v>
      </c>
      <c r="BY81" t="s">
        <v>2768</v>
      </c>
      <c r="BZ81">
        <v>2</v>
      </c>
      <c r="CA81" t="str">
        <f>IF(0,"云飞玉皇-玉山揽云","夕照雷峰")</f>
        <v>夕照雷峰</v>
      </c>
      <c r="CB81">
        <v>2</v>
      </c>
    </row>
    <row r="82" spans="1:80">
      <c r="A82" s="178">
        <f ca="1">IFERROR(IF(AG81&lt;5+金蛇*2,IF(COUNTIF(B81,"*轻*")&gt;0,A81+加速!$L$9,A81+加速!$L$11)+V81,""),"")</f>
        <v>103.87</v>
      </c>
      <c r="B82" s="167" t="str">
        <f ca="1" t="shared" si="17"/>
        <v>风来吴山</v>
      </c>
      <c r="C82">
        <f ca="1" t="shared" si="26"/>
        <v>12.42</v>
      </c>
      <c r="D82">
        <f ca="1">IF(B82&lt;&gt;"",IF(C81&lt;=加速!$L$11*(1-E82),0,1),"")</f>
        <v>1</v>
      </c>
      <c r="E82">
        <f ca="1" t="shared" si="23"/>
        <v>0</v>
      </c>
      <c r="G82">
        <f ca="1" t="shared" si="24"/>
        <v>0</v>
      </c>
      <c r="H82">
        <f ca="1">IF(B82&lt;&gt;"",IF(AND(COUNTIF(B81,"*轻*莺鸣柳*")&gt;0,COUNTIF(B82,"*轻*")&lt;1),MAX(0,15+I81-(A82-A81)+COUNTIF(B81,"*平湖*")*0),IF(AND(E82=0,MAX(0,H81-(A82-A81))&lt;=加速!$H$11),0,MAX(0,H81-(A82-A81)))),"")</f>
        <v>0</v>
      </c>
      <c r="I82">
        <f ca="1" t="shared" si="30"/>
        <v>0</v>
      </c>
      <c r="J82">
        <f ca="1" t="shared" si="31"/>
        <v>0</v>
      </c>
      <c r="K82">
        <f ca="1" t="shared" si="18"/>
        <v>2</v>
      </c>
      <c r="L82">
        <f ca="1">IFERROR(IF(AND(COUNTIF(B82,"*-峰插*"),技能数据库!$M$72&gt;0),0,IF(COUNTIF(B82,"*鹤归*")&gt;0,16-加速!$L$11,MAX(0,L81-(A82-A81)))),0)</f>
        <v>6.64000000000004</v>
      </c>
      <c r="M82">
        <f ca="1" t="shared" si="19"/>
        <v>0</v>
      </c>
      <c r="N82">
        <f ca="1">IFERROR(IF(AND(COUNTIF(B82,"*-峰插*"),技能数据库!$M$72&gt;0),0,IF(COUNTIF(B82,"*云飞*")&gt;0,4-COUNTIF(B82,"*玉山揽云*")*4--COUNTIF(B82,"*烟流暮景*")*4-COUNTIF(B82,"*云景*")*加速!$L$11-IF(J82&gt;0,2,0),MAX(0,N81-(A82-A81)-IF(J82&gt;0,2,0)))),0)</f>
        <v>0</v>
      </c>
      <c r="O82">
        <f ca="1">IF(AND(COUNTIF(IF(AND(配装计算器!$K$30&lt;&gt;"∞",0),INDEX(AU81:CB81,1,$AT$1),INDEX(AU83:CB83,1,$AT$1)),"*云飞*")=1,COUNTIF(IF(AND(配装计算器!$K$30&lt;&gt;"∞",0),INDEX(AU81:CB81,1,$AT$1),INDEX(AU83:CB83,1,$AT$1)),"*玉山*")=0),N82,0)</f>
        <v>0</v>
      </c>
      <c r="P82">
        <f ca="1">IFERROR(IF(COUNTIF(B82,"*云栖松*")&gt;0,50-加速!$L$11,MAX(0,P81-(A82-A81))),0)</f>
        <v>0</v>
      </c>
      <c r="Q82">
        <f ca="1">IF(COUNTIF(IF(AND(配装计算器!$K$30&lt;&gt;"∞",0),INDEX(AU81:CB81,1,$AT$1),INDEX(AU83:CB83,1,$AT$1)),"*云栖松*")=1,P82,0)</f>
        <v>0</v>
      </c>
      <c r="R82">
        <f ca="1">IFERROR(IF(COUNTIF(B82,"*莺鸣柳*")&gt;0,45-加速!$L$9,MAX(0,R81-(A82-A81))),0)</f>
        <v>0</v>
      </c>
      <c r="S82">
        <f ca="1">IF(COUNTIF(IF(AND(配装计算器!$K$30&lt;&gt;"∞",0),INDEX(AU81:CB81,1,$AT$1),INDEX(AU83:CB83,1,$AT$1)),"*莺鸣柳*")=1,R82,0)</f>
        <v>0</v>
      </c>
      <c r="T82">
        <f ca="1" t="shared" si="27"/>
        <v>0</v>
      </c>
      <c r="U82">
        <f ca="1">IF(金蛇,IF(COUNTIF(B82,"*金环戴*")+COUNTIF(B82,"*吹风醒*")&gt;0,IF(A82&lt;=3,7.125-2.625-A82-加速!$L$11,7.125+加速!$K$9-(A82+加速!$L$11-T82)),0),0)+IF(金蛇,IF(COUNTIF(B82,"*千切子裂光*")&gt;0,2+加速!$K$9-(A82+加速!$L$11-T82),0),0)</f>
        <v>0</v>
      </c>
      <c r="V82">
        <f ca="1" t="shared" si="28"/>
        <v>0</v>
      </c>
      <c r="W82">
        <f ca="1" t="shared" si="20"/>
        <v>1</v>
      </c>
      <c r="X82">
        <f ca="1">INDEX(加速!$I$13:$I$21,W82+1)</f>
        <v>1</v>
      </c>
      <c r="Y82">
        <f ca="1" t="shared" si="29"/>
        <v>0.5</v>
      </c>
      <c r="Z82">
        <f ca="1" t="shared" si="25"/>
        <v>0</v>
      </c>
      <c r="AA82">
        <f ca="1">MAX(0,IFERROR(IF(COUNTIF(B82,"*叠*")&gt;0,IF(AC81&lt;3,8-A83+A82,AA81+6.875-A83+A82),AA81-A83+A82),AA81-加速!$L$11))</f>
        <v>5.41999999999999</v>
      </c>
      <c r="AB82">
        <f ca="1">MAX(0,IF(COUNTIF(IF(AND(配装计算器!$K$30&lt;&gt;"∞",0),INDEX(AU82:CB82,1,$AT$1),INDEX(AU82:CB82,1,$AT$1)),"*叠1*")=1,4*25-加速!$L$11,AB81-A82+A81)-IF(OR(COUNTIF(OFFSET(AT82,0,$AT$1,1,1),"*听雷*")&gt;0,AND(碧归&gt;0,COUNTIF(OFFSET(AT82,0,$AT$1,1,1),"*风来*")&gt;0)),0,1)*1.5)</f>
        <v>90.34</v>
      </c>
      <c r="AC82">
        <f ca="1" t="shared" si="21"/>
        <v>2</v>
      </c>
      <c r="AD82">
        <f ca="1">IF(COUNTIF(IF(AND(配装计算器!$K$30&lt;&gt;"∞",0),INDEX(AU82:CB82,1,$AT$1),INDEX(AU83:CB83,1,$AT$1)),"*叠1*")=1,AB82*0+AE81,0)</f>
        <v>0</v>
      </c>
      <c r="AE82">
        <f ca="1">IF($AN$11&gt;0,IF(COUNTIF(B83,"*叠1*")&gt;0,50-加速!$L$11,MAX(0,AE81-(A83-A82))),0)</f>
        <v>43.55</v>
      </c>
      <c r="AG82">
        <f ca="1" t="shared" si="22"/>
        <v>3</v>
      </c>
      <c r="AH82" t="s">
        <v>1825</v>
      </c>
      <c r="AI82" t="s">
        <v>2917</v>
      </c>
      <c r="AJ82">
        <f ca="1">AS1/(1/(407/240)+10)</f>
        <v>18.8674245939675</v>
      </c>
      <c r="AK82" t="s">
        <v>3098</v>
      </c>
      <c r="AU82" t="s">
        <v>2768</v>
      </c>
      <c r="AV82">
        <v>2</v>
      </c>
      <c r="AW82" t="s">
        <v>2776</v>
      </c>
      <c r="AX82">
        <v>2</v>
      </c>
      <c r="AY82" t="s">
        <v>2789</v>
      </c>
      <c r="AZ82">
        <v>2</v>
      </c>
      <c r="BA82" t="s">
        <v>2789</v>
      </c>
      <c r="BB82">
        <v>2</v>
      </c>
      <c r="BC82" t="s">
        <v>2768</v>
      </c>
      <c r="BD82">
        <v>2</v>
      </c>
      <c r="BE82" t="s">
        <v>2768</v>
      </c>
      <c r="BF82">
        <v>2</v>
      </c>
      <c r="BG82" s="176" t="s">
        <v>2789</v>
      </c>
      <c r="BH82">
        <v>2</v>
      </c>
      <c r="BI82" t="s">
        <v>2789</v>
      </c>
      <c r="BJ82">
        <v>2</v>
      </c>
      <c r="BK82" s="176" t="s">
        <v>2768</v>
      </c>
      <c r="BL82">
        <v>1</v>
      </c>
      <c r="BM82" t="str">
        <f>IF(0,"云飞玉皇-玉山揽云","夕照雷峰")</f>
        <v>夕照雷峰</v>
      </c>
      <c r="BN82">
        <v>2</v>
      </c>
      <c r="BO82" t="str">
        <f>IF(0,"云飞玉皇-玉山揽云","夕照雷峰")</f>
        <v>夕照雷峰</v>
      </c>
      <c r="BP82">
        <v>2</v>
      </c>
      <c r="BQ82" t="s">
        <v>2768</v>
      </c>
      <c r="BR82">
        <v>2</v>
      </c>
      <c r="BS82" s="179" t="s">
        <v>3019</v>
      </c>
      <c r="BT82">
        <v>2</v>
      </c>
      <c r="BU82" s="176" t="s">
        <v>2768</v>
      </c>
      <c r="BV82">
        <v>2</v>
      </c>
      <c r="BW82" s="179" t="s">
        <v>2768</v>
      </c>
      <c r="BX82" s="179">
        <v>2</v>
      </c>
      <c r="BY82" t="s">
        <v>2776</v>
      </c>
      <c r="BZ82">
        <v>2</v>
      </c>
      <c r="CA82" t="str">
        <f>IF(0,"云飞玉皇-玉山揽云","云飞玉皇")</f>
        <v>云飞玉皇</v>
      </c>
      <c r="CB82">
        <v>2</v>
      </c>
    </row>
    <row r="83" spans="1:80">
      <c r="A83" s="178">
        <f ca="1">IFERROR(IF(AG82&lt;5+金蛇*2,IF(COUNTIF(B82,"*轻*")&gt;0,A82+加速!$L$9,A82+加速!$L$11)+V82,""),"")</f>
        <v>105.16</v>
      </c>
      <c r="B83" s="167" t="str">
        <f ca="1" t="shared" si="17"/>
        <v>叠3-云飞玉皇</v>
      </c>
      <c r="C83">
        <f ca="1" t="shared" si="26"/>
        <v>11.13</v>
      </c>
      <c r="D83">
        <f ca="1">IF(B83&lt;&gt;"",IF(C82&lt;=加速!$L$11*(1-E83),0,1),"")</f>
        <v>1</v>
      </c>
      <c r="E83">
        <f ca="1" t="shared" si="23"/>
        <v>1</v>
      </c>
      <c r="G83">
        <f ca="1" t="shared" si="24"/>
        <v>8</v>
      </c>
      <c r="H83">
        <f ca="1">IF(B83&lt;&gt;"",IF(AND(COUNTIF(B82,"*轻*莺鸣柳*")&gt;0,COUNTIF(B83,"*轻*")&lt;1),MAX(0,15+I82-(A83-A82)+COUNTIF(B82,"*平湖*")*0),IF(AND(E83=0,MAX(0,H82-(A83-A82))&lt;=加速!$H$11),0,MAX(0,H82-(A83-A82)))),"")</f>
        <v>0</v>
      </c>
      <c r="I83">
        <f ca="1" t="shared" si="30"/>
        <v>0</v>
      </c>
      <c r="J83">
        <f ca="1" t="shared" si="31"/>
        <v>0</v>
      </c>
      <c r="K83">
        <f ca="1" t="shared" si="18"/>
        <v>2</v>
      </c>
      <c r="L83">
        <f ca="1">IFERROR(IF(AND(COUNTIF(B83,"*-峰插*"),技能数据库!$M$72&gt;0),0,IF(COUNTIF(B83,"*鹤归*")&gt;0,16-加速!$L$11,MAX(0,L82-(A83-A82)))),0)</f>
        <v>5.35000000000003</v>
      </c>
      <c r="M83">
        <f ca="1" t="shared" si="19"/>
        <v>0</v>
      </c>
      <c r="N83">
        <f ca="1">IFERROR(IF(AND(COUNTIF(B83,"*-峰插*"),技能数据库!$M$72&gt;0),0,IF(COUNTIF(B83,"*云飞*")&gt;0,4-COUNTIF(B83,"*玉山揽云*")*4--COUNTIF(B83,"*烟流暮景*")*4-COUNTIF(B83,"*云景*")*加速!$L$11-IF(J83&gt;0,2,0),MAX(0,N82-(A83-A82)-IF(J83&gt;0,2,0)))),0)</f>
        <v>4</v>
      </c>
      <c r="O83">
        <f ca="1">IF(AND(COUNTIF(IF(AND(配装计算器!$K$30&lt;&gt;"∞",0),INDEX(AU82:CB82,1,$AT$1),INDEX(AU84:CB84,1,$AT$1)),"*云飞*")=1,COUNTIF(IF(AND(配装计算器!$K$30&lt;&gt;"∞",0),INDEX(AU82:CB82,1,$AT$1),INDEX(AU84:CB84,1,$AT$1)),"*玉山*")=0),N83,0)</f>
        <v>0</v>
      </c>
      <c r="P83">
        <f ca="1">IFERROR(IF(COUNTIF(B83,"*云栖松*")&gt;0,50-加速!$L$11,MAX(0,P82-(A83-A82))),0)</f>
        <v>0</v>
      </c>
      <c r="Q83">
        <f ca="1">IF(COUNTIF(IF(AND(配装计算器!$K$30&lt;&gt;"∞",0),INDEX(AU82:CB82,1,$AT$1),INDEX(AU84:CB84,1,$AT$1)),"*云栖松*")=1,P83,0)</f>
        <v>0</v>
      </c>
      <c r="R83">
        <f ca="1">IFERROR(IF(COUNTIF(B83,"*莺鸣柳*")&gt;0,45-加速!$L$9,MAX(0,R82-(A83-A82))),0)</f>
        <v>0</v>
      </c>
      <c r="S83">
        <f ca="1">IF(COUNTIF(IF(AND(配装计算器!$K$30&lt;&gt;"∞",0),INDEX(AU82:CB82,1,$AT$1),INDEX(AU84:CB84,1,$AT$1)),"*莺鸣柳*")=1,R83,0)</f>
        <v>0</v>
      </c>
      <c r="T83">
        <f ca="1" t="shared" si="27"/>
        <v>0</v>
      </c>
      <c r="U83">
        <f ca="1">IF(金蛇,IF(COUNTIF(B83,"*金环戴*")+COUNTIF(B83,"*吹风醒*")&gt;0,IF(A83&lt;=3,7.125-2.625-A83-加速!$L$11,7.125+加速!$K$9-(A83+加速!$L$11-T83)),0),0)+IF(金蛇,IF(COUNTIF(B83,"*千切子裂光*")&gt;0,2+加速!$K$9-(A83+加速!$L$11-T83),0),0)</f>
        <v>0</v>
      </c>
      <c r="V83">
        <f ca="1" t="shared" si="28"/>
        <v>0</v>
      </c>
      <c r="W83">
        <f ca="1" t="shared" si="20"/>
        <v>2</v>
      </c>
      <c r="X83">
        <f ca="1">INDEX(加速!$I$13:$I$21,W83+1)</f>
        <v>3</v>
      </c>
      <c r="Y83">
        <f ca="1" t="shared" si="29"/>
        <v>0.5</v>
      </c>
      <c r="Z83">
        <f ca="1" t="shared" si="25"/>
        <v>0</v>
      </c>
      <c r="AA83">
        <f ca="1">MAX(0,IFERROR(IF(COUNTIF(B83,"*叠*")&gt;0,IF(AC82&lt;3,8-A84+A83,AA82+6.875-A84+A83),AA82-A84+A83),AA82-加速!$L$11))</f>
        <v>6.70999999999999</v>
      </c>
      <c r="AB83">
        <f ca="1">MAX(0,IF(COUNTIF(IF(AND(配装计算器!$K$30&lt;&gt;"∞",0),INDEX(AU83:CB83,1,$AT$1),INDEX(AU83:CB83,1,$AT$1)),"*叠1*")=1,4*25-加速!$L$11,AB82-A83+A82)-IF(OR(COUNTIF(OFFSET(AT83,0,$AT$1,1,1),"*听雷*")&gt;0,AND(碧归&gt;0,COUNTIF(OFFSET(AT83,0,$AT$1,1,1),"*风来*")&gt;0)),0,1)*1.5)</f>
        <v>87.55</v>
      </c>
      <c r="AC83">
        <f ca="1" t="shared" si="21"/>
        <v>3</v>
      </c>
      <c r="AD83">
        <f ca="1">IF(COUNTIF(IF(AND(配装计算器!$K$30&lt;&gt;"∞",0),INDEX(AU83:CB83,1,$AT$1),INDEX(AU84:CB84,1,$AT$1)),"*叠1*")=1,AB83*0+AE82,0)</f>
        <v>0</v>
      </c>
      <c r="AE83">
        <f ca="1">IF($AN$11&gt;0,IF(COUNTIF(B84,"*叠1*")&gt;0,50-加速!$L$11,MAX(0,AE82-(A84-A83))),0)</f>
        <v>42.26</v>
      </c>
      <c r="AG83">
        <f ca="1" t="shared" si="22"/>
        <v>3</v>
      </c>
      <c r="AH83" t="s">
        <v>1028</v>
      </c>
      <c r="AI83" t="s">
        <v>2773</v>
      </c>
      <c r="AJ83">
        <f ca="1">长时间循环比*COUNTIFS($B$3:$B$515,"*"&amp;AI83&amp;"*",$I$3:$I$515,"=0")*(5+COUNTIF(配装计算器!N24,"*双听*"))</f>
        <v>0</v>
      </c>
      <c r="AU83" s="180" t="s">
        <v>2789</v>
      </c>
      <c r="AV83">
        <v>2</v>
      </c>
      <c r="AW83" t="s">
        <v>2768</v>
      </c>
      <c r="AX83">
        <v>2</v>
      </c>
      <c r="AY83" t="s">
        <v>2776</v>
      </c>
      <c r="AZ83">
        <v>2</v>
      </c>
      <c r="BA83" t="s">
        <v>2776</v>
      </c>
      <c r="BB83">
        <v>2</v>
      </c>
      <c r="BC83" t="s">
        <v>3023</v>
      </c>
      <c r="BD83">
        <v>2</v>
      </c>
      <c r="BE83" t="s">
        <v>2776</v>
      </c>
      <c r="BF83">
        <v>2</v>
      </c>
      <c r="BG83" s="176" t="s">
        <v>2776</v>
      </c>
      <c r="BH83">
        <v>2</v>
      </c>
      <c r="BI83" s="182" t="s">
        <v>3023</v>
      </c>
      <c r="BJ83">
        <v>2</v>
      </c>
      <c r="BK83" s="176" t="s">
        <v>2776</v>
      </c>
      <c r="BL83">
        <v>0</v>
      </c>
      <c r="BM83" t="str">
        <f>IF(0,橙武补雾锁,"夕照雷峰")</f>
        <v>夕照雷峰</v>
      </c>
      <c r="BN83">
        <v>2</v>
      </c>
      <c r="BO83" t="s">
        <v>2776</v>
      </c>
      <c r="BP83">
        <v>2</v>
      </c>
      <c r="BQ83" t="s">
        <v>2776</v>
      </c>
      <c r="BR83">
        <v>2</v>
      </c>
      <c r="BS83" s="179" t="s">
        <v>2768</v>
      </c>
      <c r="BT83">
        <v>2</v>
      </c>
      <c r="BU83" s="176" t="s">
        <v>2789</v>
      </c>
      <c r="BV83">
        <v>2</v>
      </c>
      <c r="BW83" s="179" t="s">
        <v>2768</v>
      </c>
      <c r="BX83" s="179">
        <v>2</v>
      </c>
      <c r="BY83" s="176" t="s">
        <v>2794</v>
      </c>
      <c r="BZ83">
        <v>2</v>
      </c>
      <c r="CA83" s="176" t="s">
        <v>2794</v>
      </c>
      <c r="CB83">
        <v>2</v>
      </c>
    </row>
    <row r="84" spans="1:80">
      <c r="A84" s="178">
        <f ca="1">IFERROR(IF(AG83&lt;5+金蛇*2,IF(COUNTIF(B83,"*轻*")&gt;0,A83+加速!$L$9,A83+加速!$L$11)+V83,""),"")</f>
        <v>106.45</v>
      </c>
      <c r="B84" s="167" t="str">
        <f ca="1" t="shared" si="17"/>
        <v>云飞玉皇-玉山揽云</v>
      </c>
      <c r="C84">
        <f ca="1" t="shared" si="26"/>
        <v>9.83999999999997</v>
      </c>
      <c r="D84">
        <f ca="1">IF(B84&lt;&gt;"",IF(C83&lt;=加速!$L$11*(1-E84),0,1),"")</f>
        <v>1</v>
      </c>
      <c r="E84">
        <f ca="1" t="shared" si="23"/>
        <v>1</v>
      </c>
      <c r="G84">
        <f ca="1" t="shared" si="24"/>
        <v>7</v>
      </c>
      <c r="H84">
        <f ca="1">IF(B84&lt;&gt;"",IF(AND(COUNTIF(B83,"*轻*莺鸣柳*")&gt;0,COUNTIF(B84,"*轻*")&lt;1),MAX(0,15+I83-(A84-A83)+COUNTIF(B83,"*平湖*")*0),IF(AND(E84=0,MAX(0,H83-(A84-A83))&lt;=加速!$H$11),0,MAX(0,H83-(A84-A83)))),"")</f>
        <v>0</v>
      </c>
      <c r="I84">
        <f ca="1" t="shared" si="30"/>
        <v>0</v>
      </c>
      <c r="J84">
        <f ca="1" t="shared" si="31"/>
        <v>0</v>
      </c>
      <c r="K84">
        <f ca="1" t="shared" si="18"/>
        <v>2</v>
      </c>
      <c r="L84">
        <f ca="1">IFERROR(IF(AND(COUNTIF(B84,"*-峰插*"),技能数据库!$M$72&gt;0),0,IF(COUNTIF(B84,"*鹤归*")&gt;0,16-加速!$L$11,MAX(0,L83-(A84-A83)))),0)</f>
        <v>4.06000000000002</v>
      </c>
      <c r="M84">
        <f ca="1" t="shared" si="19"/>
        <v>0</v>
      </c>
      <c r="N84">
        <f ca="1">IFERROR(IF(AND(COUNTIF(B84,"*-峰插*"),技能数据库!$M$72&gt;0),0,IF(COUNTIF(B84,"*云飞*")&gt;0,4-COUNTIF(B84,"*玉山揽云*")*4--COUNTIF(B84,"*烟流暮景*")*4-COUNTIF(B84,"*云景*")*加速!$L$11-IF(J84&gt;0,2,0),MAX(0,N83-(A84-A83)-IF(J84&gt;0,2,0)))),0)</f>
        <v>0</v>
      </c>
      <c r="O84">
        <f ca="1">IF(AND(COUNTIF(IF(AND(配装计算器!$K$30&lt;&gt;"∞",0),INDEX(AU83:CB83,1,$AT$1),INDEX(AU85:CB85,1,$AT$1)),"*云飞*")=1,COUNTIF(IF(AND(配装计算器!$K$30&lt;&gt;"∞",0),INDEX(AU83:CB83,1,$AT$1),INDEX(AU85:CB85,1,$AT$1)),"*玉山*")=0),N84,0)</f>
        <v>0</v>
      </c>
      <c r="P84">
        <f ca="1">IFERROR(IF(COUNTIF(B84,"*云栖松*")&gt;0,50-加速!$L$11,MAX(0,P83-(A84-A83))),0)</f>
        <v>0</v>
      </c>
      <c r="Q84">
        <f ca="1">IF(COUNTIF(IF(AND(配装计算器!$K$30&lt;&gt;"∞",0),INDEX(AU83:CB83,1,$AT$1),INDEX(AU85:CB85,1,$AT$1)),"*云栖松*")=1,P84,0)</f>
        <v>0</v>
      </c>
      <c r="R84">
        <f ca="1">IFERROR(IF(COUNTIF(B84,"*莺鸣柳*")&gt;0,45-加速!$L$9,MAX(0,R83-(A84-A83))),0)</f>
        <v>0</v>
      </c>
      <c r="S84">
        <f ca="1">IF(COUNTIF(IF(AND(配装计算器!$K$30&lt;&gt;"∞",0),INDEX(AU83:CB83,1,$AT$1),INDEX(AU85:CB85,1,$AT$1)),"*莺鸣柳*")=1,R84,0)</f>
        <v>0</v>
      </c>
      <c r="T84">
        <f ca="1" t="shared" si="27"/>
        <v>0</v>
      </c>
      <c r="U84">
        <f ca="1">IF(金蛇,IF(COUNTIF(B84,"*金环戴*")+COUNTIF(B84,"*吹风醒*")&gt;0,IF(A84&lt;=3,7.125-2.625-A84-加速!$L$11,7.125+加速!$K$9-(A84+加速!$L$11-T84)),0),0)+IF(金蛇,IF(COUNTIF(B84,"*千切子裂光*")&gt;0,2+加速!$K$9-(A84+加速!$L$11-T84),0),0)</f>
        <v>0</v>
      </c>
      <c r="V84">
        <f ca="1" t="shared" si="28"/>
        <v>0</v>
      </c>
      <c r="W84">
        <f ca="1" t="shared" si="20"/>
        <v>3</v>
      </c>
      <c r="X84">
        <f ca="1">INDEX(加速!$I$13:$I$21,W84+1)</f>
        <v>2</v>
      </c>
      <c r="Y84">
        <f ca="1" t="shared" si="29"/>
        <v>0.5</v>
      </c>
      <c r="Z84">
        <f ca="1" t="shared" si="25"/>
        <v>0</v>
      </c>
      <c r="AA84">
        <f ca="1">MAX(0,IFERROR(IF(COUNTIF(B84,"*叠*")&gt;0,IF(AC83&lt;3,8-A85+A84,AA83+6.875-A85+A84),AA83-A85+A84),AA83-加速!$L$11))</f>
        <v>5.41999999999999</v>
      </c>
      <c r="AB84">
        <f ca="1">MAX(0,IF(COUNTIF(IF(AND(配装计算器!$K$30&lt;&gt;"∞",0),INDEX(AU84:CB84,1,$AT$1),INDEX(AU84:CB84,1,$AT$1)),"*叠1*")=1,4*25-加速!$L$11,AB83-A84+A83)-IF(OR(COUNTIF(OFFSET(AT84,0,$AT$1,1,1),"*听雷*")&gt;0,AND(碧归&gt;0,COUNTIF(OFFSET(AT84,0,$AT$1,1,1),"*风来*")&gt;0)),0,1)*1.5)</f>
        <v>84.76</v>
      </c>
      <c r="AC84">
        <f ca="1" t="shared" si="21"/>
        <v>3</v>
      </c>
      <c r="AD84">
        <f ca="1">IF(COUNTIF(IF(AND(配装计算器!$K$30&lt;&gt;"∞",0),INDEX(AU84:CB84,1,$AT$1),INDEX(AU85:CB85,1,$AT$1)),"*叠1*")=1,AB84*0+AE83,0)</f>
        <v>0</v>
      </c>
      <c r="AE84">
        <f ca="1">IF($AN$11&gt;0,IF(COUNTIF(B85,"*叠1*")&gt;0,50-加速!$L$11,MAX(0,AE83-(A85-A84))),0)</f>
        <v>40.97</v>
      </c>
      <c r="AG84">
        <f ca="1" t="shared" si="22"/>
        <v>3</v>
      </c>
      <c r="AH84" t="s">
        <v>1825</v>
      </c>
      <c r="AI84" t="s">
        <v>2808</v>
      </c>
      <c r="AJ84">
        <f ca="1">长时间循环比*COUNTIFS($B$3:$B$515,AI84&amp;"*",$D$3:$D$515,"&gt;0",$H$3:$H$515,"=0",$G$3:$G$515,"=0",$K$3:$K$515,"=0",$AC$3:$AC$515,"=0")</f>
        <v>0</v>
      </c>
      <c r="AK84" t="s">
        <v>2750</v>
      </c>
      <c r="AU84" s="176" t="s">
        <v>2794</v>
      </c>
      <c r="AV84">
        <v>2</v>
      </c>
      <c r="AW84" t="s">
        <v>2768</v>
      </c>
      <c r="AX84">
        <v>2</v>
      </c>
      <c r="AY84" t="s">
        <v>3035</v>
      </c>
      <c r="AZ84">
        <v>2</v>
      </c>
      <c r="BA84" t="s">
        <v>3035</v>
      </c>
      <c r="BB84">
        <v>2</v>
      </c>
      <c r="BC84" t="s">
        <v>2768</v>
      </c>
      <c r="BD84">
        <v>2</v>
      </c>
      <c r="BE84" t="s">
        <v>2768</v>
      </c>
      <c r="BF84">
        <v>2</v>
      </c>
      <c r="BG84" s="176" t="s">
        <v>3035</v>
      </c>
      <c r="BH84">
        <v>2</v>
      </c>
      <c r="BI84" s="176" t="s">
        <v>3026</v>
      </c>
      <c r="BJ84">
        <v>2</v>
      </c>
      <c r="BK84" t="s">
        <v>2768</v>
      </c>
      <c r="BL84">
        <v>0</v>
      </c>
      <c r="BM84" t="str">
        <f>IF(0,"云飞玉皇-玉山揽云","夕照雷峰")</f>
        <v>夕照雷峰</v>
      </c>
      <c r="BN84">
        <v>2</v>
      </c>
      <c r="BO84" s="176" t="s">
        <v>2794</v>
      </c>
      <c r="BP84">
        <v>2</v>
      </c>
      <c r="BQ84" t="s">
        <v>2789</v>
      </c>
      <c r="BR84">
        <v>2</v>
      </c>
      <c r="BS84" s="182" t="s">
        <v>3023</v>
      </c>
      <c r="BT84">
        <v>2</v>
      </c>
      <c r="BU84" s="176" t="s">
        <v>2776</v>
      </c>
      <c r="BV84">
        <v>2</v>
      </c>
      <c r="BW84" s="179" t="s">
        <v>2768</v>
      </c>
      <c r="BX84" s="179">
        <v>2</v>
      </c>
      <c r="BY84" s="176" t="str">
        <f>IF(0,"云飞玉皇-玉山揽云","夕照雷峰")</f>
        <v>夕照雷峰</v>
      </c>
      <c r="BZ84">
        <v>2</v>
      </c>
      <c r="CA84" s="176" t="s">
        <v>2768</v>
      </c>
      <c r="CB84">
        <v>2</v>
      </c>
    </row>
    <row r="85" spans="1:80">
      <c r="A85" s="178">
        <f ca="1">IFERROR(IF(AG84&lt;5+金蛇*2,IF(COUNTIF(B84,"*轻*")&gt;0,A84+加速!$L$9,A84+加速!$L$11)+V84,""),"")</f>
        <v>107.74</v>
      </c>
      <c r="B85" s="167" t="str">
        <f ca="1" t="shared" si="17"/>
        <v>云飞玉皇-玉山揽云</v>
      </c>
      <c r="C85">
        <f ca="1" t="shared" si="26"/>
        <v>8.54999999999997</v>
      </c>
      <c r="D85">
        <f ca="1">IF(B85&lt;&gt;"",IF(C84&lt;=加速!$L$11*(1-E85),0,1),"")</f>
        <v>1</v>
      </c>
      <c r="E85">
        <f ca="1" t="shared" si="23"/>
        <v>1</v>
      </c>
      <c r="G85">
        <f ca="1" t="shared" si="24"/>
        <v>6</v>
      </c>
      <c r="H85">
        <f ca="1">IF(B85&lt;&gt;"",IF(AND(COUNTIF(B84,"*轻*莺鸣柳*")&gt;0,COUNTIF(B85,"*轻*")&lt;1),MAX(0,15+I84-(A85-A84)+COUNTIF(B84,"*平湖*")*0),IF(AND(E85=0,MAX(0,H84-(A85-A84))&lt;=加速!$H$11),0,MAX(0,H84-(A85-A84)))),"")</f>
        <v>0</v>
      </c>
      <c r="I85">
        <f ca="1" t="shared" si="30"/>
        <v>0</v>
      </c>
      <c r="J85">
        <f ca="1" t="shared" si="31"/>
        <v>0</v>
      </c>
      <c r="K85">
        <f ca="1" t="shared" si="18"/>
        <v>2</v>
      </c>
      <c r="L85">
        <f ca="1">IFERROR(IF(AND(COUNTIF(B85,"*-峰插*"),技能数据库!$M$72&gt;0),0,IF(COUNTIF(B85,"*鹤归*")&gt;0,16-加速!$L$11,MAX(0,L84-(A85-A84)))),0)</f>
        <v>2.77000000000002</v>
      </c>
      <c r="M85">
        <f ca="1" t="shared" si="19"/>
        <v>0</v>
      </c>
      <c r="N85">
        <f ca="1">IFERROR(IF(AND(COUNTIF(B85,"*-峰插*"),技能数据库!$M$72&gt;0),0,IF(COUNTIF(B85,"*云飞*")&gt;0,4-COUNTIF(B85,"*玉山揽云*")*4--COUNTIF(B85,"*烟流暮景*")*4-COUNTIF(B85,"*云景*")*加速!$L$11-IF(J85&gt;0,2,0),MAX(0,N84-(A85-A84)-IF(J85&gt;0,2,0)))),0)</f>
        <v>0</v>
      </c>
      <c r="O85">
        <f ca="1">IF(AND(COUNTIF(IF(AND(配装计算器!$K$30&lt;&gt;"∞",0),INDEX(AU84:CB84,1,$AT$1),INDEX(AU86:CB86,1,$AT$1)),"*云飞*")=1,COUNTIF(IF(AND(配装计算器!$K$30&lt;&gt;"∞",0),INDEX(AU84:CB84,1,$AT$1),INDEX(AU86:CB86,1,$AT$1)),"*玉山*")=0),N85,0)</f>
        <v>0</v>
      </c>
      <c r="P85">
        <f ca="1">IFERROR(IF(COUNTIF(B85,"*云栖松*")&gt;0,50-加速!$L$11,MAX(0,P84-(A85-A84))),0)</f>
        <v>0</v>
      </c>
      <c r="Q85">
        <f ca="1">IF(COUNTIF(IF(AND(配装计算器!$K$30&lt;&gt;"∞",0),INDEX(AU84:CB84,1,$AT$1),INDEX(AU86:CB86,1,$AT$1)),"*云栖松*")=1,P85,0)</f>
        <v>0</v>
      </c>
      <c r="R85">
        <f ca="1">IFERROR(IF(COUNTIF(B85,"*莺鸣柳*")&gt;0,45-加速!$L$9,MAX(0,R84-(A85-A84))),0)</f>
        <v>0</v>
      </c>
      <c r="S85">
        <f ca="1">IF(COUNTIF(IF(AND(配装计算器!$K$30&lt;&gt;"∞",0),INDEX(AU84:CB84,1,$AT$1),INDEX(AU86:CB86,1,$AT$1)),"*莺鸣柳*")=1,R85,0)</f>
        <v>0</v>
      </c>
      <c r="T85">
        <f ca="1" t="shared" si="27"/>
        <v>0</v>
      </c>
      <c r="U85">
        <f ca="1">IF(金蛇,IF(COUNTIF(B85,"*金环戴*")+COUNTIF(B85,"*吹风醒*")&gt;0,IF(A85&lt;=3,7.125-2.625-A85-加速!$L$11,7.125+加速!$K$9-(A85+加速!$L$11-T85)),0),0)+IF(金蛇,IF(COUNTIF(B85,"*千切子裂光*")&gt;0,2+加速!$K$9-(A85+加速!$L$11-T85),0),0)</f>
        <v>0</v>
      </c>
      <c r="V85">
        <f ca="1" t="shared" si="28"/>
        <v>0</v>
      </c>
      <c r="W85">
        <f ca="1" t="shared" si="20"/>
        <v>4</v>
      </c>
      <c r="X85">
        <f ca="1">INDEX(加速!$I$13:$I$21,W85+1)</f>
        <v>3</v>
      </c>
      <c r="Y85">
        <f ca="1" t="shared" si="29"/>
        <v>0.5</v>
      </c>
      <c r="Z85">
        <f ca="1" t="shared" si="25"/>
        <v>0</v>
      </c>
      <c r="AA85">
        <f ca="1">MAX(0,IFERROR(IF(COUNTIF(B85,"*叠*")&gt;0,IF(AC84&lt;3,8-A86+A85,AA84+6.875-A86+A85),AA84-A86+A85),AA84-加速!$L$11))</f>
        <v>4.12999999999998</v>
      </c>
      <c r="AB85">
        <f ca="1">MAX(0,IF(COUNTIF(IF(AND(配装计算器!$K$30&lt;&gt;"∞",0),INDEX(AU85:CB85,1,$AT$1),INDEX(AU85:CB85,1,$AT$1)),"*叠1*")=1,4*25-加速!$L$11,AB84-A85+A84)-IF(OR(COUNTIF(OFFSET(AT85,0,$AT$1,1,1),"*听雷*")&gt;0,AND(碧归&gt;0,COUNTIF(OFFSET(AT85,0,$AT$1,1,1),"*风来*")&gt;0)),0,1)*1.5)</f>
        <v>81.97</v>
      </c>
      <c r="AC85">
        <f ca="1" t="shared" si="21"/>
        <v>3</v>
      </c>
      <c r="AD85">
        <f ca="1">IF(COUNTIF(IF(AND(配装计算器!$K$30&lt;&gt;"∞",0),INDEX(AU85:CB85,1,$AT$1),INDEX(AU86:CB86,1,$AT$1)),"*叠1*")=1,AB85*0+AE84,0)</f>
        <v>0</v>
      </c>
      <c r="AE85">
        <f ca="1">IF($AN$11&gt;0,IF(COUNTIF(B86,"*叠1*")&gt;0,50-加速!$L$11,MAX(0,AE84-(A86-A85))),0)</f>
        <v>39.68</v>
      </c>
      <c r="AG85">
        <f ca="1" t="shared" si="22"/>
        <v>3</v>
      </c>
      <c r="AH85" t="s">
        <v>1028</v>
      </c>
      <c r="AI85" t="s">
        <v>2920</v>
      </c>
      <c r="AJ85">
        <f ca="1">AN59</f>
        <v>0.80078125</v>
      </c>
      <c r="AK85" t="s">
        <v>2750</v>
      </c>
      <c r="AU85" s="176" t="s">
        <v>2776</v>
      </c>
      <c r="AV85">
        <v>2</v>
      </c>
      <c r="AW85" t="s">
        <v>2768</v>
      </c>
      <c r="AX85">
        <v>2</v>
      </c>
      <c r="AY85" t="s">
        <v>2768</v>
      </c>
      <c r="AZ85">
        <v>2</v>
      </c>
      <c r="BA85" t="s">
        <v>2768</v>
      </c>
      <c r="BB85">
        <v>2</v>
      </c>
      <c r="BC85" t="s">
        <v>2776</v>
      </c>
      <c r="BD85">
        <v>2</v>
      </c>
      <c r="BE85" t="s">
        <v>2776</v>
      </c>
      <c r="BF85">
        <v>2</v>
      </c>
      <c r="BG85" t="s">
        <v>2768</v>
      </c>
      <c r="BH85">
        <v>2</v>
      </c>
      <c r="BI85" s="176" t="s">
        <v>3026</v>
      </c>
      <c r="BJ85">
        <v>2</v>
      </c>
      <c r="BK85" t="s">
        <v>3012</v>
      </c>
      <c r="BL85">
        <v>2</v>
      </c>
      <c r="BM85" t="s">
        <v>2776</v>
      </c>
      <c r="BN85">
        <v>2</v>
      </c>
      <c r="BO85" s="176" t="s">
        <v>2768</v>
      </c>
      <c r="BP85">
        <v>2</v>
      </c>
      <c r="BQ85" t="s">
        <v>2768</v>
      </c>
      <c r="BR85">
        <v>2</v>
      </c>
      <c r="BS85" s="182" t="s">
        <v>2768</v>
      </c>
      <c r="BT85">
        <v>2</v>
      </c>
      <c r="BU85" s="176" t="s">
        <v>3035</v>
      </c>
      <c r="BV85">
        <v>2</v>
      </c>
      <c r="BW85" s="179" t="s">
        <v>2776</v>
      </c>
      <c r="BX85" s="179">
        <v>2</v>
      </c>
      <c r="BY85" s="176" t="str">
        <f>IF(0,"云飞玉皇-玉山揽云","云飞玉皇")</f>
        <v>云飞玉皇</v>
      </c>
      <c r="BZ85">
        <v>2</v>
      </c>
      <c r="CA85" s="176" t="s">
        <v>2776</v>
      </c>
      <c r="CB85">
        <v>2</v>
      </c>
    </row>
    <row r="86" spans="1:80">
      <c r="A86" s="178">
        <f ca="1">IFERROR(IF(AG85&lt;5+金蛇*2,IF(COUNTIF(B85,"*轻*")&gt;0,A85+加速!$L$9,A85+加速!$L$11)+V85,""),"")</f>
        <v>109.03</v>
      </c>
      <c r="B86" s="167" t="str">
        <f ca="1" t="shared" si="17"/>
        <v>云飞玉皇-玉山揽云</v>
      </c>
      <c r="C86">
        <f ca="1" t="shared" si="26"/>
        <v>7.25999999999996</v>
      </c>
      <c r="D86">
        <f ca="1">IF(B86&lt;&gt;"",IF(C85&lt;=加速!$L$11*(1-E86),0,1),"")</f>
        <v>1</v>
      </c>
      <c r="E86">
        <f ca="1" t="shared" si="23"/>
        <v>1</v>
      </c>
      <c r="G86">
        <f ca="1" t="shared" si="24"/>
        <v>5</v>
      </c>
      <c r="H86">
        <f ca="1">IF(B86&lt;&gt;"",IF(AND(COUNTIF(B85,"*轻*莺鸣柳*")&gt;0,COUNTIF(B86,"*轻*")&lt;1),MAX(0,15+I85-(A86-A85)+COUNTIF(B85,"*平湖*")*0),IF(AND(E86=0,MAX(0,H85-(A86-A85))&lt;=加速!$H$11),0,MAX(0,H85-(A86-A85)))),"")</f>
        <v>0</v>
      </c>
      <c r="I86">
        <f ca="1" t="shared" si="30"/>
        <v>0</v>
      </c>
      <c r="J86">
        <f ca="1" t="shared" si="31"/>
        <v>0</v>
      </c>
      <c r="K86">
        <f ca="1" t="shared" si="18"/>
        <v>2</v>
      </c>
      <c r="L86">
        <f ca="1">IFERROR(IF(AND(COUNTIF(B86,"*-峰插*"),技能数据库!$M$72&gt;0),0,IF(COUNTIF(B86,"*鹤归*")&gt;0,16-加速!$L$11,MAX(0,L85-(A86-A85)))),0)</f>
        <v>1.48000000000001</v>
      </c>
      <c r="M86">
        <f ca="1" t="shared" si="19"/>
        <v>0</v>
      </c>
      <c r="N86">
        <f ca="1">IFERROR(IF(AND(COUNTIF(B86,"*-峰插*"),技能数据库!$M$72&gt;0),0,IF(COUNTIF(B86,"*云飞*")&gt;0,4-COUNTIF(B86,"*玉山揽云*")*4--COUNTIF(B86,"*烟流暮景*")*4-COUNTIF(B86,"*云景*")*加速!$L$11-IF(J86&gt;0,2,0),MAX(0,N85-(A86-A85)-IF(J86&gt;0,2,0)))),0)</f>
        <v>0</v>
      </c>
      <c r="O86">
        <f ca="1">IF(AND(COUNTIF(IF(AND(配装计算器!$K$30&lt;&gt;"∞",0),INDEX(AU85:CB85,1,$AT$1),INDEX(AU87:CB87,1,$AT$1)),"*云飞*")=1,COUNTIF(IF(AND(配装计算器!$K$30&lt;&gt;"∞",0),INDEX(AU85:CB85,1,$AT$1),INDEX(AU87:CB87,1,$AT$1)),"*玉山*")=0),N86,0)</f>
        <v>0</v>
      </c>
      <c r="P86">
        <f ca="1">IFERROR(IF(COUNTIF(B86,"*云栖松*")&gt;0,50-加速!$L$11,MAX(0,P85-(A86-A85))),0)</f>
        <v>0</v>
      </c>
      <c r="Q86">
        <f ca="1">IF(COUNTIF(IF(AND(配装计算器!$K$30&lt;&gt;"∞",0),INDEX(AU85:CB85,1,$AT$1),INDEX(AU87:CB87,1,$AT$1)),"*云栖松*")=1,P86,0)</f>
        <v>0</v>
      </c>
      <c r="R86">
        <f ca="1">IFERROR(IF(COUNTIF(B86,"*莺鸣柳*")&gt;0,45-加速!$L$9,MAX(0,R85-(A86-A85))),0)</f>
        <v>0</v>
      </c>
      <c r="S86">
        <f ca="1">IF(COUNTIF(IF(AND(配装计算器!$K$30&lt;&gt;"∞",0),INDEX(AU85:CB85,1,$AT$1),INDEX(AU87:CB87,1,$AT$1)),"*莺鸣柳*")=1,R86,0)</f>
        <v>0</v>
      </c>
      <c r="T86">
        <f ca="1" t="shared" si="27"/>
        <v>0</v>
      </c>
      <c r="U86">
        <f ca="1">IF(金蛇,IF(COUNTIF(B86,"*金环戴*")+COUNTIF(B86,"*吹风醒*")&gt;0,IF(A86&lt;=3,7.125-2.625-A86-加速!$L$11,7.125+加速!$K$9-(A86+加速!$L$11-T86)),0),0)+IF(金蛇,IF(COUNTIF(B86,"*千切子裂光*")&gt;0,2+加速!$K$9-(A86+加速!$L$11-T86),0),0)</f>
        <v>0</v>
      </c>
      <c r="V86">
        <f ca="1" t="shared" si="28"/>
        <v>0</v>
      </c>
      <c r="W86">
        <f ca="1" t="shared" si="20"/>
        <v>5</v>
      </c>
      <c r="X86">
        <f ca="1">INDEX(加速!$I$13:$I$21,W86+1)</f>
        <v>2</v>
      </c>
      <c r="Y86">
        <f ca="1" t="shared" si="29"/>
        <v>0.5</v>
      </c>
      <c r="Z86">
        <f ca="1" t="shared" si="25"/>
        <v>0</v>
      </c>
      <c r="AA86">
        <f ca="1">MAX(0,IFERROR(IF(COUNTIF(B86,"*叠*")&gt;0,IF(AC85&lt;3,8-A87+A86,AA85+6.875-A87+A86),AA85-A87+A86),AA85-加速!$L$11))</f>
        <v>2.83999999999997</v>
      </c>
      <c r="AB86">
        <f ca="1">MAX(0,IF(COUNTIF(IF(AND(配装计算器!$K$30&lt;&gt;"∞",0),INDEX(AU86:CB86,1,$AT$1),INDEX(AU86:CB86,1,$AT$1)),"*叠1*")=1,4*25-加速!$L$11,AB85-A86+A85)-IF(OR(COUNTIF(OFFSET(AT86,0,$AT$1,1,1),"*听雷*")&gt;0,AND(碧归&gt;0,COUNTIF(OFFSET(AT86,0,$AT$1,1,1),"*风来*")&gt;0)),0,1)*1.5)</f>
        <v>79.1799999999999</v>
      </c>
      <c r="AC86">
        <f ca="1" t="shared" si="21"/>
        <v>3</v>
      </c>
      <c r="AD86">
        <f ca="1">IF(COUNTIF(IF(AND(配装计算器!$K$30&lt;&gt;"∞",0),INDEX(AU86:CB86,1,$AT$1),INDEX(AU87:CB87,1,$AT$1)),"*叠1*")=1,AB86*0+AE85,0)</f>
        <v>0</v>
      </c>
      <c r="AE86">
        <f ca="1">IF($AN$11&gt;0,IF(COUNTIF(B87,"*叠1*")&gt;0,50-加速!$L$11,MAX(0,AE85-(A87-A86))),0)</f>
        <v>38.39</v>
      </c>
      <c r="AG86">
        <f ca="1" t="shared" si="22"/>
        <v>3</v>
      </c>
      <c r="AH86" t="s">
        <v>1028</v>
      </c>
      <c r="AI86" t="s">
        <v>2920</v>
      </c>
      <c r="AJ86">
        <f ca="1">AN58</f>
        <v>0</v>
      </c>
      <c r="AK86" t="s">
        <v>3014</v>
      </c>
      <c r="AU86" s="176" t="s">
        <v>2768</v>
      </c>
      <c r="AV86">
        <v>2</v>
      </c>
      <c r="AW86" t="s">
        <v>2776</v>
      </c>
      <c r="AX86">
        <v>2</v>
      </c>
      <c r="AY86" t="s">
        <v>2776</v>
      </c>
      <c r="AZ86">
        <v>2</v>
      </c>
      <c r="BA86" t="s">
        <v>2776</v>
      </c>
      <c r="BB86">
        <v>2</v>
      </c>
      <c r="BC86" t="s">
        <v>2789</v>
      </c>
      <c r="BD86">
        <v>2</v>
      </c>
      <c r="BE86" t="s">
        <v>3042</v>
      </c>
      <c r="BF86">
        <v>2</v>
      </c>
      <c r="BG86" t="s">
        <v>2776</v>
      </c>
      <c r="BH86">
        <v>2</v>
      </c>
      <c r="BI86" s="176" t="s">
        <v>3026</v>
      </c>
      <c r="BJ86">
        <v>2</v>
      </c>
      <c r="BK86" s="176" t="s">
        <v>2794</v>
      </c>
      <c r="BL86">
        <v>2</v>
      </c>
      <c r="BM86" t="str">
        <f>IF(0,"云飞玉皇-玉山揽云","夕照雷峰")</f>
        <v>夕照雷峰</v>
      </c>
      <c r="BN86">
        <v>2</v>
      </c>
      <c r="BO86" s="176" t="s">
        <v>2776</v>
      </c>
      <c r="BP86">
        <v>2</v>
      </c>
      <c r="BQ86" t="s">
        <v>3035</v>
      </c>
      <c r="BR86">
        <v>2</v>
      </c>
      <c r="BS86" s="182" t="s">
        <v>2776</v>
      </c>
      <c r="BT86">
        <v>2</v>
      </c>
      <c r="BU86" t="s">
        <v>2768</v>
      </c>
      <c r="BV86">
        <v>2</v>
      </c>
      <c r="BW86" s="182" t="s">
        <v>2794</v>
      </c>
      <c r="BX86" s="179">
        <v>2</v>
      </c>
      <c r="BY86" s="176" t="str">
        <f>IF(0,橙武补雾锁,"夕照雷峰")</f>
        <v>夕照雷峰</v>
      </c>
      <c r="BZ86">
        <v>2</v>
      </c>
      <c r="CA86" s="176" t="s">
        <v>2768</v>
      </c>
      <c r="CB86">
        <v>2</v>
      </c>
    </row>
    <row r="87" spans="1:80">
      <c r="A87" s="178">
        <f ca="1">IFERROR(IF(AG86&lt;5+金蛇*2,IF(COUNTIF(B86,"*轻*")&gt;0,A86+加速!$L$9,A86+加速!$L$11)+V86,""),"")</f>
        <v>110.32</v>
      </c>
      <c r="B87" s="167" t="str">
        <f ca="1" t="shared" si="17"/>
        <v>云飞玉皇-玉山揽云</v>
      </c>
      <c r="C87">
        <f ca="1" t="shared" si="26"/>
        <v>5.96999999999996</v>
      </c>
      <c r="D87">
        <f ca="1">IF(B87&lt;&gt;"",IF(C86&lt;=加速!$L$11*(1-E87),0,1),"")</f>
        <v>1</v>
      </c>
      <c r="E87">
        <f ca="1" t="shared" si="23"/>
        <v>1</v>
      </c>
      <c r="G87">
        <f ca="1" t="shared" si="24"/>
        <v>4</v>
      </c>
      <c r="H87">
        <f ca="1">IF(B87&lt;&gt;"",IF(AND(COUNTIF(B86,"*轻*莺鸣柳*")&gt;0,COUNTIF(B87,"*轻*")&lt;1),MAX(0,15+I86-(A87-A86)+COUNTIF(B86,"*平湖*")*0),IF(AND(E87=0,MAX(0,H86-(A87-A86))&lt;=加速!$H$11),0,MAX(0,H86-(A87-A86)))),"")</f>
        <v>0</v>
      </c>
      <c r="I87">
        <f ca="1" t="shared" si="30"/>
        <v>0</v>
      </c>
      <c r="J87">
        <f ca="1" t="shared" si="31"/>
        <v>0</v>
      </c>
      <c r="K87">
        <f ca="1" t="shared" si="18"/>
        <v>2</v>
      </c>
      <c r="L87">
        <f ca="1">IFERROR(IF(AND(COUNTIF(B87,"*-峰插*"),技能数据库!$M$72&gt;0),0,IF(COUNTIF(B87,"*鹤归*")&gt;0,16-加速!$L$11,MAX(0,L86-(A87-A86)))),0)</f>
        <v>0.190000000000005</v>
      </c>
      <c r="M87">
        <f ca="1" t="shared" si="19"/>
        <v>0</v>
      </c>
      <c r="N87">
        <f ca="1">IFERROR(IF(AND(COUNTIF(B87,"*-峰插*"),技能数据库!$M$72&gt;0),0,IF(COUNTIF(B87,"*云飞*")&gt;0,4-COUNTIF(B87,"*玉山揽云*")*4--COUNTIF(B87,"*烟流暮景*")*4-COUNTIF(B87,"*云景*")*加速!$L$11-IF(J87&gt;0,2,0),MAX(0,N86-(A87-A86)-IF(J87&gt;0,2,0)))),0)</f>
        <v>0</v>
      </c>
      <c r="O87">
        <f ca="1">IF(AND(COUNTIF(IF(AND(配装计算器!$K$30&lt;&gt;"∞",0),INDEX(AU86:CB86,1,$AT$1),INDEX(AU88:CB88,1,$AT$1)),"*云飞*")=1,COUNTIF(IF(AND(配装计算器!$K$30&lt;&gt;"∞",0),INDEX(AU86:CB86,1,$AT$1),INDEX(AU88:CB88,1,$AT$1)),"*玉山*")=0),N87,0)</f>
        <v>0</v>
      </c>
      <c r="P87">
        <f ca="1">IFERROR(IF(COUNTIF(B87,"*云栖松*")&gt;0,50-加速!$L$11,MAX(0,P86-(A87-A86))),0)</f>
        <v>0</v>
      </c>
      <c r="Q87">
        <f ca="1">IF(COUNTIF(IF(AND(配装计算器!$K$30&lt;&gt;"∞",0),INDEX(AU86:CB86,1,$AT$1),INDEX(AU88:CB88,1,$AT$1)),"*云栖松*")=1,P87,0)</f>
        <v>0</v>
      </c>
      <c r="R87">
        <f ca="1">IFERROR(IF(COUNTIF(B87,"*莺鸣柳*")&gt;0,45-加速!$L$9,MAX(0,R86-(A87-A86))),0)</f>
        <v>0</v>
      </c>
      <c r="S87">
        <f ca="1">IF(COUNTIF(IF(AND(配装计算器!$K$30&lt;&gt;"∞",0),INDEX(AU86:CB86,1,$AT$1),INDEX(AU88:CB88,1,$AT$1)),"*莺鸣柳*")=1,R87,0)</f>
        <v>0</v>
      </c>
      <c r="T87">
        <f ca="1" t="shared" si="27"/>
        <v>0</v>
      </c>
      <c r="U87">
        <f ca="1">IF(金蛇,IF(COUNTIF(B87,"*金环戴*")+COUNTIF(B87,"*吹风醒*")&gt;0,IF(A87&lt;=3,7.125-2.625-A87-加速!$L$11,7.125+加速!$K$9-(A87+加速!$L$11-T87)),0),0)+IF(金蛇,IF(COUNTIF(B87,"*千切子裂光*")&gt;0,2+加速!$K$9-(A87+加速!$L$11-T87),0),0)</f>
        <v>0</v>
      </c>
      <c r="V87">
        <f ca="1" t="shared" si="28"/>
        <v>0</v>
      </c>
      <c r="W87">
        <f ca="1" t="shared" si="20"/>
        <v>6</v>
      </c>
      <c r="X87">
        <f ca="1">INDEX(加速!$I$13:$I$21,W87+1)</f>
        <v>3</v>
      </c>
      <c r="Y87">
        <f ca="1" t="shared" si="29"/>
        <v>0.5</v>
      </c>
      <c r="Z87">
        <f ca="1" t="shared" si="25"/>
        <v>0</v>
      </c>
      <c r="AA87">
        <f ca="1">MAX(0,IFERROR(IF(COUNTIF(B87,"*叠*")&gt;0,IF(AC86&lt;3,8-A88+A87,AA86+6.875-A88+A87),AA86-A88+A87),AA86-加速!$L$11))</f>
        <v>1.54999999999997</v>
      </c>
      <c r="AB87">
        <f ca="1">MAX(0,IF(COUNTIF(IF(AND(配装计算器!$K$30&lt;&gt;"∞",0),INDEX(AU87:CB87,1,$AT$1),INDEX(AU87:CB87,1,$AT$1)),"*叠1*")=1,4*25-加速!$L$11,AB86-A87+A86)-IF(OR(COUNTIF(OFFSET(AT87,0,$AT$1,1,1),"*听雷*")&gt;0,AND(碧归&gt;0,COUNTIF(OFFSET(AT87,0,$AT$1,1,1),"*风来*")&gt;0)),0,1)*1.5)</f>
        <v>76.3899999999999</v>
      </c>
      <c r="AC87">
        <f ca="1" t="shared" si="21"/>
        <v>3</v>
      </c>
      <c r="AD87">
        <f ca="1">IF(COUNTIF(IF(AND(配装计算器!$K$30&lt;&gt;"∞",0),INDEX(AU87:CB87,1,$AT$1),INDEX(AU88:CB88,1,$AT$1)),"*叠1*")=1,AB87*0+AE86,0)</f>
        <v>0</v>
      </c>
      <c r="AE87">
        <f ca="1">IF($AN$11&gt;0,IF(COUNTIF(B88,"*叠1*")&gt;0,50-加速!$L$11,MAX(0,AE86-(A88-A87))),0)</f>
        <v>37.0999999999999</v>
      </c>
      <c r="AG87">
        <f ca="1" t="shared" si="22"/>
        <v>3</v>
      </c>
      <c r="AH87" t="s">
        <v>1825</v>
      </c>
      <c r="AI87" t="s">
        <v>2808</v>
      </c>
      <c r="AJ87">
        <f ca="1">长时间循环比*COUNTIFS($B$3:$B$515,AI87&amp;"*",$D$3:$D$515,"&gt;0",$H$3:$H$515,"=0",$G$3:$G$515,"=0",$K$3:$K$515,"=2",$AC$3:$AC$515,"=0")</f>
        <v>0</v>
      </c>
      <c r="AK87" t="s">
        <v>3069</v>
      </c>
      <c r="AU87" s="176" t="s">
        <v>2776</v>
      </c>
      <c r="AV87">
        <v>2</v>
      </c>
      <c r="AW87" t="s">
        <v>2768</v>
      </c>
      <c r="AX87">
        <v>2</v>
      </c>
      <c r="AY87" t="s">
        <v>2768</v>
      </c>
      <c r="AZ87">
        <v>2</v>
      </c>
      <c r="BA87" t="s">
        <v>2768</v>
      </c>
      <c r="BB87">
        <v>2</v>
      </c>
      <c r="BC87" t="s">
        <v>2794</v>
      </c>
      <c r="BD87">
        <v>2</v>
      </c>
      <c r="BE87" t="s">
        <v>2808</v>
      </c>
      <c r="BF87">
        <v>2</v>
      </c>
      <c r="BG87" t="s">
        <v>2768</v>
      </c>
      <c r="BH87">
        <v>2</v>
      </c>
      <c r="BI87" s="176" t="s">
        <v>3026</v>
      </c>
      <c r="BJ87">
        <v>2</v>
      </c>
      <c r="BK87" s="176" t="s">
        <v>3019</v>
      </c>
      <c r="BL87">
        <v>2</v>
      </c>
      <c r="BM87" s="176" t="s">
        <v>2794</v>
      </c>
      <c r="BN87">
        <v>2</v>
      </c>
      <c r="BO87" s="176" t="s">
        <v>2768</v>
      </c>
      <c r="BP87">
        <v>2</v>
      </c>
      <c r="BQ87" t="s">
        <v>2776</v>
      </c>
      <c r="BR87">
        <v>2</v>
      </c>
      <c r="BS87" s="182" t="s">
        <v>2768</v>
      </c>
      <c r="BT87">
        <v>2</v>
      </c>
      <c r="BU87" t="s">
        <v>2776</v>
      </c>
      <c r="BV87">
        <v>2</v>
      </c>
      <c r="BW87" s="182" t="s">
        <v>2768</v>
      </c>
      <c r="BX87" s="179">
        <v>2</v>
      </c>
      <c r="BY87" s="176" t="str">
        <f>IF(0,"云飞玉皇-玉山揽云","云景·云飞玉皇")</f>
        <v>云景·云飞玉皇</v>
      </c>
      <c r="BZ87">
        <v>2</v>
      </c>
      <c r="CA87" s="176" t="s">
        <v>2808</v>
      </c>
      <c r="CB87">
        <v>2</v>
      </c>
    </row>
    <row r="88" spans="1:80">
      <c r="A88" s="178">
        <f ca="1">IFERROR(IF(AG87&lt;5+金蛇*2,IF(COUNTIF(B87,"*轻*")&gt;0,A87+加速!$L$9,A87+加速!$L$11)+V87,""),"")</f>
        <v>111.61</v>
      </c>
      <c r="B88" s="167" t="str">
        <f ca="1" t="shared" si="17"/>
        <v>云飞玉皇-玉山揽云-叠</v>
      </c>
      <c r="C88">
        <f ca="1" t="shared" si="26"/>
        <v>4.67999999999995</v>
      </c>
      <c r="D88">
        <f ca="1">IF(B88&lt;&gt;"",IF(C87&lt;=加速!$L$11*(1-E88),0,1),"")</f>
        <v>1</v>
      </c>
      <c r="E88">
        <f ca="1" t="shared" si="23"/>
        <v>1</v>
      </c>
      <c r="G88">
        <f ca="1" t="shared" si="24"/>
        <v>3</v>
      </c>
      <c r="H88">
        <f ca="1">IF(B88&lt;&gt;"",IF(AND(COUNTIF(B87,"*轻*莺鸣柳*")&gt;0,COUNTIF(B88,"*轻*")&lt;1),MAX(0,15+I87-(A88-A87)+COUNTIF(B87,"*平湖*")*0),IF(AND(E88=0,MAX(0,H87-(A88-A87))&lt;=加速!$H$11),0,MAX(0,H87-(A88-A87)))),"")</f>
        <v>0</v>
      </c>
      <c r="I88">
        <f ca="1" t="shared" si="30"/>
        <v>0</v>
      </c>
      <c r="J88">
        <f ca="1" t="shared" si="31"/>
        <v>0</v>
      </c>
      <c r="K88">
        <f ca="1" t="shared" si="18"/>
        <v>2</v>
      </c>
      <c r="L88">
        <f ca="1">IFERROR(IF(AND(COUNTIF(B88,"*-峰插*"),技能数据库!$M$72&gt;0),0,IF(COUNTIF(B88,"*鹤归*")&gt;0,16-加速!$L$11,MAX(0,L87-(A88-A87)))),0)</f>
        <v>0</v>
      </c>
      <c r="M88">
        <f ca="1" t="shared" si="19"/>
        <v>0</v>
      </c>
      <c r="N88">
        <f ca="1">IFERROR(IF(AND(COUNTIF(B88,"*-峰插*"),技能数据库!$M$72&gt;0),0,IF(COUNTIF(B88,"*云飞*")&gt;0,4-COUNTIF(B88,"*玉山揽云*")*4--COUNTIF(B88,"*烟流暮景*")*4-COUNTIF(B88,"*云景*")*加速!$L$11-IF(J88&gt;0,2,0),MAX(0,N87-(A88-A87)-IF(J88&gt;0,2,0)))),0)</f>
        <v>0</v>
      </c>
      <c r="O88">
        <f ca="1">IF(AND(COUNTIF(IF(AND(配装计算器!$K$30&lt;&gt;"∞",0),INDEX(AU87:CB87,1,$AT$1),INDEX(AU89:CB89,1,$AT$1)),"*云飞*")=1,COUNTIF(IF(AND(配装计算器!$K$30&lt;&gt;"∞",0),INDEX(AU87:CB87,1,$AT$1),INDEX(AU89:CB89,1,$AT$1)),"*玉山*")=0),N88,0)</f>
        <v>0</v>
      </c>
      <c r="P88">
        <f ca="1">IFERROR(IF(COUNTIF(B88,"*云栖松*")&gt;0,50-加速!$L$11,MAX(0,P87-(A88-A87))),0)</f>
        <v>0</v>
      </c>
      <c r="Q88">
        <f ca="1">IF(COUNTIF(IF(AND(配装计算器!$K$30&lt;&gt;"∞",0),INDEX(AU87:CB87,1,$AT$1),INDEX(AU89:CB89,1,$AT$1)),"*云栖松*")=1,P88,0)</f>
        <v>0</v>
      </c>
      <c r="R88">
        <f ca="1">IFERROR(IF(COUNTIF(B88,"*莺鸣柳*")&gt;0,45-加速!$L$9,MAX(0,R87-(A88-A87))),0)</f>
        <v>0</v>
      </c>
      <c r="S88">
        <f ca="1">IF(COUNTIF(IF(AND(配装计算器!$K$30&lt;&gt;"∞",0),INDEX(AU87:CB87,1,$AT$1),INDEX(AU89:CB89,1,$AT$1)),"*莺鸣柳*")=1,R88,0)</f>
        <v>0</v>
      </c>
      <c r="T88">
        <f ca="1" t="shared" si="27"/>
        <v>0</v>
      </c>
      <c r="U88">
        <f ca="1">IF(金蛇,IF(COUNTIF(B88,"*金环戴*")+COUNTIF(B88,"*吹风醒*")&gt;0,IF(A88&lt;=3,7.125-2.625-A88-加速!$L$11,7.125+加速!$K$9-(A88+加速!$L$11-T88)),0),0)+IF(金蛇,IF(COUNTIF(B88,"*千切子裂光*")&gt;0,2+加速!$K$9-(A88+加速!$L$11-T88),0),0)</f>
        <v>0</v>
      </c>
      <c r="V88">
        <f ca="1" t="shared" si="28"/>
        <v>0</v>
      </c>
      <c r="W88">
        <f ca="1" t="shared" si="20"/>
        <v>7</v>
      </c>
      <c r="X88">
        <f ca="1">INDEX(加速!$I$13:$I$21,W88+1)</f>
        <v>2</v>
      </c>
      <c r="Y88">
        <f ca="1" t="shared" si="29"/>
        <v>0.5</v>
      </c>
      <c r="Z88">
        <f ca="1" t="shared" si="25"/>
        <v>0</v>
      </c>
      <c r="AA88">
        <f ca="1">MAX(0,IFERROR(IF(COUNTIF(B88,"*叠*")&gt;0,IF(AC87&lt;3,8-A89+A88,AA87+6.875-A89+A88),AA87-A89+A88),AA87-加速!$L$11))</f>
        <v>7.13499999999996</v>
      </c>
      <c r="AB88">
        <f ca="1">MAX(0,IF(COUNTIF(IF(AND(配装计算器!$K$30&lt;&gt;"∞",0),INDEX(AU88:CB88,1,$AT$1),INDEX(AU88:CB88,1,$AT$1)),"*叠1*")=1,4*25-加速!$L$11,AB87-A88+A87)-IF(OR(COUNTIF(OFFSET(AT88,0,$AT$1,1,1),"*听雷*")&gt;0,AND(碧归&gt;0,COUNTIF(OFFSET(AT88,0,$AT$1,1,1),"*风来*")&gt;0)),0,1)*1.5)</f>
        <v>73.5999999999999</v>
      </c>
      <c r="AC88">
        <f ca="1" t="shared" si="21"/>
        <v>3</v>
      </c>
      <c r="AD88">
        <f ca="1">IF(COUNTIF(IF(AND(配装计算器!$K$30&lt;&gt;"∞",0),INDEX(AU88:CB88,1,$AT$1),INDEX(AU89:CB89,1,$AT$1)),"*叠1*")=1,AB88*0+AE87,0)</f>
        <v>0</v>
      </c>
      <c r="AE88">
        <f ca="1">IF($AN$11&gt;0,IF(COUNTIF(B89,"*叠1*")&gt;0,50-加速!$L$11,MAX(0,AE87-(A89-A88))),0)</f>
        <v>35.8099999999999</v>
      </c>
      <c r="AG88">
        <f ca="1" t="shared" si="22"/>
        <v>3</v>
      </c>
      <c r="AH88" t="s">
        <v>1825</v>
      </c>
      <c r="AI88" t="s">
        <v>2820</v>
      </c>
      <c r="AJ88">
        <f ca="1">AN62</f>
        <v>0</v>
      </c>
      <c r="AK88" t="s">
        <v>2750</v>
      </c>
      <c r="AU88" s="176" t="s">
        <v>2768</v>
      </c>
      <c r="AV88">
        <v>2</v>
      </c>
      <c r="AW88" s="176" t="s">
        <v>2794</v>
      </c>
      <c r="AX88">
        <v>2</v>
      </c>
      <c r="AY88" t="s">
        <v>2776</v>
      </c>
      <c r="AZ88">
        <v>2</v>
      </c>
      <c r="BA88" t="s">
        <v>2776</v>
      </c>
      <c r="BB88">
        <v>2</v>
      </c>
      <c r="BC88" s="182" t="s">
        <v>3036</v>
      </c>
      <c r="BD88">
        <v>2</v>
      </c>
      <c r="BE88" t="s">
        <v>2768</v>
      </c>
      <c r="BF88">
        <v>2</v>
      </c>
      <c r="BG88" t="s">
        <v>2776</v>
      </c>
      <c r="BH88">
        <v>2</v>
      </c>
      <c r="BI88" s="176" t="s">
        <v>3036</v>
      </c>
      <c r="BJ88">
        <v>2</v>
      </c>
      <c r="BK88" s="176" t="s">
        <v>2768</v>
      </c>
      <c r="BL88">
        <v>2</v>
      </c>
      <c r="BM88" s="176" t="s">
        <v>2768</v>
      </c>
      <c r="BN88">
        <v>2</v>
      </c>
      <c r="BO88" s="176" t="s">
        <v>2776</v>
      </c>
      <c r="BP88">
        <v>2</v>
      </c>
      <c r="BQ88" t="s">
        <v>2768</v>
      </c>
      <c r="BR88">
        <v>2</v>
      </c>
      <c r="BS88" s="182" t="s">
        <v>3085</v>
      </c>
      <c r="BT88">
        <v>2</v>
      </c>
      <c r="BU88" t="s">
        <v>2768</v>
      </c>
      <c r="BV88">
        <v>2</v>
      </c>
      <c r="BW88" s="182" t="s">
        <v>2776</v>
      </c>
      <c r="BX88" s="179">
        <v>2</v>
      </c>
      <c r="BY88" s="176" t="str">
        <f>IF(0,"云飞玉皇-玉山揽云","夕照雷峰")</f>
        <v>夕照雷峰</v>
      </c>
      <c r="BZ88">
        <v>2</v>
      </c>
      <c r="CA88" t="s">
        <v>2768</v>
      </c>
      <c r="CB88">
        <v>2</v>
      </c>
    </row>
    <row r="89" spans="1:80">
      <c r="A89" s="178">
        <f ca="1">IFERROR(IF(AG88&lt;5+金蛇*2,IF(COUNTIF(B88,"*轻*")&gt;0,A88+加速!$L$9,A88+加速!$L$11)+V88,""),"")</f>
        <v>112.9</v>
      </c>
      <c r="B89" s="167" t="str">
        <f ca="1" t="shared" si="17"/>
        <v>鹤归孤山</v>
      </c>
      <c r="C89">
        <f ca="1" t="shared" si="26"/>
        <v>3.38999999999994</v>
      </c>
      <c r="D89">
        <f ca="1">IF(B89&lt;&gt;"",IF(C88&lt;=加速!$L$11*(1-E89),0,1),"")</f>
        <v>1</v>
      </c>
      <c r="E89">
        <f ca="1" t="shared" si="23"/>
        <v>1</v>
      </c>
      <c r="G89">
        <f ca="1" t="shared" si="24"/>
        <v>2</v>
      </c>
      <c r="H89">
        <f ca="1">IF(B89&lt;&gt;"",IF(AND(COUNTIF(B88,"*轻*莺鸣柳*")&gt;0,COUNTIF(B89,"*轻*")&lt;1),MAX(0,15+I88-(A89-A88)+COUNTIF(B88,"*平湖*")*0),IF(AND(E89=0,MAX(0,H88-(A89-A88))&lt;=加速!$H$11),0,MAX(0,H88-(A89-A88)))),"")</f>
        <v>0</v>
      </c>
      <c r="I89">
        <f ca="1" t="shared" si="30"/>
        <v>0</v>
      </c>
      <c r="J89">
        <f ca="1" t="shared" si="31"/>
        <v>0</v>
      </c>
      <c r="K89">
        <f ca="1" t="shared" si="18"/>
        <v>2</v>
      </c>
      <c r="L89">
        <f ca="1">IFERROR(IF(AND(COUNTIF(B89,"*-峰插*"),技能数据库!$M$72&gt;0),0,IF(COUNTIF(B89,"*鹤归*")&gt;0,16-加速!$L$11,MAX(0,L88-(A89-A88)))),0)</f>
        <v>14.71</v>
      </c>
      <c r="M89">
        <f ca="1" t="shared" si="19"/>
        <v>0</v>
      </c>
      <c r="N89">
        <f ca="1">IFERROR(IF(AND(COUNTIF(B89,"*-峰插*"),技能数据库!$M$72&gt;0),0,IF(COUNTIF(B89,"*云飞*")&gt;0,4-COUNTIF(B89,"*玉山揽云*")*4--COUNTIF(B89,"*烟流暮景*")*4-COUNTIF(B89,"*云景*")*加速!$L$11-IF(J89&gt;0,2,0),MAX(0,N88-(A89-A88)-IF(J89&gt;0,2,0)))),0)</f>
        <v>0</v>
      </c>
      <c r="O89">
        <f ca="1">IF(AND(COUNTIF(IF(AND(配装计算器!$K$30&lt;&gt;"∞",0),INDEX(AU88:CB88,1,$AT$1),INDEX(AU90:CB90,1,$AT$1)),"*云飞*")=1,COUNTIF(IF(AND(配装计算器!$K$30&lt;&gt;"∞",0),INDEX(AU88:CB88,1,$AT$1),INDEX(AU90:CB90,1,$AT$1)),"*玉山*")=0),N89,0)</f>
        <v>0</v>
      </c>
      <c r="P89">
        <f ca="1">IFERROR(IF(COUNTIF(B89,"*云栖松*")&gt;0,50-加速!$L$11,MAX(0,P88-(A89-A88))),0)</f>
        <v>0</v>
      </c>
      <c r="Q89">
        <f ca="1">IF(COUNTIF(IF(AND(配装计算器!$K$30&lt;&gt;"∞",0),INDEX(AU88:CB88,1,$AT$1),INDEX(AU90:CB90,1,$AT$1)),"*云栖松*")=1,P89,0)</f>
        <v>0</v>
      </c>
      <c r="R89">
        <f ca="1">IFERROR(IF(COUNTIF(B89,"*莺鸣柳*")&gt;0,45-加速!$L$9,MAX(0,R88-(A89-A88))),0)</f>
        <v>0</v>
      </c>
      <c r="S89">
        <f ca="1">IF(COUNTIF(IF(AND(配装计算器!$K$30&lt;&gt;"∞",0),INDEX(AU88:CB88,1,$AT$1),INDEX(AU90:CB90,1,$AT$1)),"*莺鸣柳*")=1,R89,0)</f>
        <v>0</v>
      </c>
      <c r="T89">
        <f ca="1" t="shared" si="27"/>
        <v>0</v>
      </c>
      <c r="U89">
        <f ca="1">IF(金蛇,IF(COUNTIF(B89,"*金环戴*")+COUNTIF(B89,"*吹风醒*")&gt;0,IF(A89&lt;=3,7.125-2.625-A89-加速!$L$11,7.125+加速!$K$9-(A89+加速!$L$11-T89)),0),0)+IF(金蛇,IF(COUNTIF(B89,"*千切子裂光*")&gt;0,2+加速!$K$9-(A89+加速!$L$11-T89),0),0)</f>
        <v>0</v>
      </c>
      <c r="V89">
        <f ca="1" t="shared" si="28"/>
        <v>0</v>
      </c>
      <c r="W89">
        <f ca="1" t="shared" si="20"/>
        <v>0</v>
      </c>
      <c r="X89">
        <f ca="1">INDEX(加速!$I$13:$I$21,W89+1)</f>
        <v>0</v>
      </c>
      <c r="Y89">
        <f ca="1" t="shared" si="29"/>
        <v>0.5</v>
      </c>
      <c r="Z89">
        <f ca="1" t="shared" si="25"/>
        <v>0</v>
      </c>
      <c r="AA89">
        <f ca="1">MAX(0,IFERROR(IF(COUNTIF(B89,"*叠*")&gt;0,IF(AC88&lt;3,8-A90+A89,AA88+6.875-A90+A89),AA88-A90+A89),AA88-加速!$L$11))</f>
        <v>5.84499999999996</v>
      </c>
      <c r="AB89">
        <f ca="1">MAX(0,IF(COUNTIF(IF(AND(配装计算器!$K$30&lt;&gt;"∞",0),INDEX(AU89:CB89,1,$AT$1),INDEX(AU89:CB89,1,$AT$1)),"*叠1*")=1,4*25-加速!$L$11,AB88-A89+A88)-IF(OR(COUNTIF(OFFSET(AT89,0,$AT$1,1,1),"*听雷*")&gt;0,AND(碧归&gt;0,COUNTIF(OFFSET(AT89,0,$AT$1,1,1),"*风来*")&gt;0)),0,1)*1.5)</f>
        <v>70.8099999999999</v>
      </c>
      <c r="AC89">
        <f ca="1" t="shared" si="21"/>
        <v>3</v>
      </c>
      <c r="AD89">
        <f ca="1">IF(COUNTIF(IF(AND(配装计算器!$K$30&lt;&gt;"∞",0),INDEX(AU89:CB89,1,$AT$1),INDEX(AU90:CB90,1,$AT$1)),"*叠1*")=1,AB89*0+AE88,0)</f>
        <v>0</v>
      </c>
      <c r="AE89">
        <f ca="1">IF($AN$11&gt;0,IF(COUNTIF(B90,"*叠1*")&gt;0,50-加速!$L$11,MAX(0,AE88-(A90-A89))),0)</f>
        <v>34.5199999999999</v>
      </c>
      <c r="AG89">
        <f ca="1" t="shared" si="22"/>
        <v>3</v>
      </c>
      <c r="AH89" t="s">
        <v>1825</v>
      </c>
      <c r="AI89" t="s">
        <v>2820</v>
      </c>
      <c r="AJ89">
        <f ca="1">AN63</f>
        <v>0</v>
      </c>
      <c r="AK89" t="s">
        <v>3044</v>
      </c>
      <c r="AU89" s="176" t="s">
        <v>2776</v>
      </c>
      <c r="AV89">
        <v>2</v>
      </c>
      <c r="AW89" s="176" t="s">
        <v>2768</v>
      </c>
      <c r="AX89">
        <v>2</v>
      </c>
      <c r="AY89" t="s">
        <v>3042</v>
      </c>
      <c r="AZ89">
        <v>2</v>
      </c>
      <c r="BA89" t="s">
        <v>3042</v>
      </c>
      <c r="BB89">
        <v>2</v>
      </c>
      <c r="BC89" s="176" t="s">
        <v>3026</v>
      </c>
      <c r="BD89">
        <v>2</v>
      </c>
      <c r="BE89" t="s">
        <v>2768</v>
      </c>
      <c r="BF89">
        <v>2</v>
      </c>
      <c r="BG89" t="s">
        <v>2768</v>
      </c>
      <c r="BH89">
        <v>2</v>
      </c>
      <c r="BI89" t="s">
        <v>2794</v>
      </c>
      <c r="BJ89">
        <v>2</v>
      </c>
      <c r="BK89" s="176" t="s">
        <v>3023</v>
      </c>
      <c r="BL89">
        <v>2</v>
      </c>
      <c r="BM89" s="176" t="s">
        <v>2776</v>
      </c>
      <c r="BN89">
        <v>2</v>
      </c>
      <c r="BO89" s="176" t="s">
        <v>2768</v>
      </c>
      <c r="BP89">
        <v>2</v>
      </c>
      <c r="BQ89" t="s">
        <v>2776</v>
      </c>
      <c r="BR89">
        <v>2</v>
      </c>
      <c r="BS89" s="182" t="s">
        <v>3084</v>
      </c>
      <c r="BT89">
        <v>2</v>
      </c>
      <c r="BU89" t="s">
        <v>2776</v>
      </c>
      <c r="BV89">
        <v>2</v>
      </c>
      <c r="BW89" s="182" t="s">
        <v>2768</v>
      </c>
      <c r="BX89" s="179">
        <v>2</v>
      </c>
      <c r="BY89" t="s">
        <v>2776</v>
      </c>
      <c r="BZ89">
        <v>2</v>
      </c>
      <c r="CA89" t="s">
        <v>2776</v>
      </c>
      <c r="CB89">
        <v>2</v>
      </c>
    </row>
    <row r="90" spans="1:80">
      <c r="A90" s="178">
        <f ca="1">IFERROR(IF(AG89&lt;5+金蛇*2,IF(COUNTIF(B89,"*轻*")&gt;0,A89+加速!$L$9,A89+加速!$L$11)+V89,""),"")</f>
        <v>114.19</v>
      </c>
      <c r="B90" s="167" t="str">
        <f ca="1" t="shared" si="17"/>
        <v>云飞玉皇</v>
      </c>
      <c r="C90">
        <f ca="1" t="shared" si="26"/>
        <v>2.09999999999994</v>
      </c>
      <c r="D90">
        <f ca="1">IF(B90&lt;&gt;"",IF(C89&lt;=加速!$L$11*(1-E90),0,1),"")</f>
        <v>1</v>
      </c>
      <c r="E90">
        <f ca="1" t="shared" si="23"/>
        <v>0</v>
      </c>
      <c r="G90">
        <f ca="1" t="shared" si="24"/>
        <v>1</v>
      </c>
      <c r="H90">
        <f ca="1">IF(B90&lt;&gt;"",IF(AND(COUNTIF(B89,"*轻*莺鸣柳*")&gt;0,COUNTIF(B90,"*轻*")&lt;1),MAX(0,15+I89-(A90-A89)+COUNTIF(B89,"*平湖*")*0),IF(AND(E90=0,MAX(0,H89-(A90-A89))&lt;=加速!$H$11),0,MAX(0,H89-(A90-A89)))),"")</f>
        <v>0</v>
      </c>
      <c r="I90">
        <f ca="1" t="shared" si="30"/>
        <v>0</v>
      </c>
      <c r="J90">
        <f ca="1" t="shared" si="31"/>
        <v>4</v>
      </c>
      <c r="K90">
        <f ca="1" t="shared" si="18"/>
        <v>2</v>
      </c>
      <c r="L90">
        <f ca="1">IFERROR(IF(AND(COUNTIF(B90,"*-峰插*"),技能数据库!$M$72&gt;0),0,IF(COUNTIF(B90,"*鹤归*")&gt;0,16-加速!$L$11,MAX(0,L89-(A90-A89)))),0)</f>
        <v>13.42</v>
      </c>
      <c r="M90">
        <f ca="1" t="shared" si="19"/>
        <v>0</v>
      </c>
      <c r="N90">
        <f ca="1">IFERROR(IF(AND(COUNTIF(B90,"*-峰插*"),技能数据库!$M$72&gt;0),0,IF(COUNTIF(B90,"*云飞*")&gt;0,4-COUNTIF(B90,"*玉山揽云*")*4--COUNTIF(B90,"*烟流暮景*")*4-COUNTIF(B90,"*云景*")*加速!$L$11-IF(J90&gt;0,2,0),MAX(0,N89-(A90-A89)-IF(J90&gt;0,2,0)))),0)</f>
        <v>2</v>
      </c>
      <c r="O90">
        <f ca="1">IF(AND(COUNTIF(IF(AND(配装计算器!$K$30&lt;&gt;"∞",0),INDEX(AU89:CB89,1,$AT$1),INDEX(AU91:CB91,1,$AT$1)),"*云飞*")=1,COUNTIF(IF(AND(配装计算器!$K$30&lt;&gt;"∞",0),INDEX(AU89:CB89,1,$AT$1),INDEX(AU91:CB91,1,$AT$1)),"*玉山*")=0),N90,0)</f>
        <v>0</v>
      </c>
      <c r="P90">
        <f ca="1">IFERROR(IF(COUNTIF(B90,"*云栖松*")&gt;0,50-加速!$L$11,MAX(0,P89-(A90-A89))),0)</f>
        <v>0</v>
      </c>
      <c r="Q90">
        <f ca="1">IF(COUNTIF(IF(AND(配装计算器!$K$30&lt;&gt;"∞",0),INDEX(AU89:CB89,1,$AT$1),INDEX(AU91:CB91,1,$AT$1)),"*云栖松*")=1,P90,0)</f>
        <v>0</v>
      </c>
      <c r="R90">
        <f ca="1">IFERROR(IF(COUNTIF(B90,"*莺鸣柳*")&gt;0,45-加速!$L$9,MAX(0,R89-(A90-A89))),0)</f>
        <v>0</v>
      </c>
      <c r="S90">
        <f ca="1">IF(COUNTIF(IF(AND(配装计算器!$K$30&lt;&gt;"∞",0),INDEX(AU89:CB89,1,$AT$1),INDEX(AU91:CB91,1,$AT$1)),"*莺鸣柳*")=1,R90,0)</f>
        <v>0</v>
      </c>
      <c r="T90">
        <f ca="1" t="shared" si="27"/>
        <v>0</v>
      </c>
      <c r="U90">
        <f ca="1">IF(金蛇,IF(COUNTIF(B90,"*金环戴*")+COUNTIF(B90,"*吹风醒*")&gt;0,IF(A90&lt;=3,7.125-2.625-A90-加速!$L$11,7.125+加速!$K$9-(A90+加速!$L$11-T90)),0),0)+IF(金蛇,IF(COUNTIF(B90,"*千切子裂光*")&gt;0,2+加速!$K$9-(A90+加速!$L$11-T90),0),0)</f>
        <v>0</v>
      </c>
      <c r="V90">
        <f ca="1" t="shared" si="28"/>
        <v>0</v>
      </c>
      <c r="W90">
        <f ca="1" t="shared" si="20"/>
        <v>0</v>
      </c>
      <c r="X90">
        <f ca="1">INDEX(加速!$I$13:$I$21,W90+1)</f>
        <v>0</v>
      </c>
      <c r="Y90">
        <f ca="1" t="shared" si="29"/>
        <v>0.5</v>
      </c>
      <c r="Z90">
        <f ca="1" t="shared" si="25"/>
        <v>0</v>
      </c>
      <c r="AA90">
        <f ca="1">MAX(0,IFERROR(IF(COUNTIF(B90,"*叠*")&gt;0,IF(AC89&lt;3,8-A91+A90,AA89+6.875-A91+A90),AA89-A91+A90),AA89-加速!$L$11))</f>
        <v>4.55499999999995</v>
      </c>
      <c r="AB90">
        <f ca="1">MAX(0,IF(COUNTIF(IF(AND(配装计算器!$K$30&lt;&gt;"∞",0),INDEX(AU90:CB90,1,$AT$1),INDEX(AU90:CB90,1,$AT$1)),"*叠1*")=1,4*25-加速!$L$11,AB89-A90+A89)-IF(OR(COUNTIF(OFFSET(AT90,0,$AT$1,1,1),"*听雷*")&gt;0,AND(碧归&gt;0,COUNTIF(OFFSET(AT90,0,$AT$1,1,1),"*风来*")&gt;0)),0,1)*1.5)</f>
        <v>68.0199999999999</v>
      </c>
      <c r="AC90">
        <f ca="1" t="shared" si="21"/>
        <v>3</v>
      </c>
      <c r="AD90">
        <f ca="1">IF(COUNTIF(IF(AND(配装计算器!$K$30&lt;&gt;"∞",0),INDEX(AU90:CB90,1,$AT$1),INDEX(AU91:CB91,1,$AT$1)),"*叠1*")=1,AB90*0+AE89,0)</f>
        <v>0</v>
      </c>
      <c r="AE90">
        <f ca="1">IF($AN$11&gt;0,IF(COUNTIF(B91,"*叠1*")&gt;0,50-加速!$L$11,MAX(0,AE89-(A91-A90))),0)</f>
        <v>33.2299999999999</v>
      </c>
      <c r="AG90">
        <f ca="1" t="shared" si="22"/>
        <v>3</v>
      </c>
      <c r="AH90" t="s">
        <v>1825</v>
      </c>
      <c r="AI90" t="s">
        <v>2768</v>
      </c>
      <c r="AJ90">
        <f ca="1">长时间循环比*COUNTIFS($B$3:$B$515,"*"&amp;AI90&amp;"*",$D$3:$D$515,"&gt;0",$H$3:$H$515,"=0",$G$3:$G$515,"&gt;0",$K$3:$K$515,"=2",$AC$3:$AC$515,"=0")</f>
        <v>0</v>
      </c>
      <c r="AK90" t="s">
        <v>3234</v>
      </c>
      <c r="AU90" t="s">
        <v>2768</v>
      </c>
      <c r="AV90">
        <v>2</v>
      </c>
      <c r="AW90" s="176" t="s">
        <v>2776</v>
      </c>
      <c r="AX90">
        <v>2</v>
      </c>
      <c r="AY90" t="s">
        <v>2808</v>
      </c>
      <c r="AZ90">
        <v>2</v>
      </c>
      <c r="BA90" t="s">
        <v>2808</v>
      </c>
      <c r="BB90">
        <v>2</v>
      </c>
      <c r="BC90" s="176" t="s">
        <v>3026</v>
      </c>
      <c r="BD90">
        <v>2</v>
      </c>
      <c r="BE90" t="s">
        <v>2768</v>
      </c>
      <c r="BF90">
        <v>2</v>
      </c>
      <c r="BG90" t="s">
        <v>2808</v>
      </c>
      <c r="BH90">
        <v>2</v>
      </c>
      <c r="BI90" t="s">
        <v>2776</v>
      </c>
      <c r="BJ90">
        <v>2</v>
      </c>
      <c r="BK90" s="176" t="s">
        <v>2768</v>
      </c>
      <c r="BL90">
        <v>2</v>
      </c>
      <c r="BM90" s="176" t="s">
        <v>2768</v>
      </c>
      <c r="BN90">
        <v>2</v>
      </c>
      <c r="BO90" t="s">
        <v>3056</v>
      </c>
      <c r="BP90">
        <v>1</v>
      </c>
      <c r="BQ90" t="s">
        <v>2768</v>
      </c>
      <c r="BR90">
        <v>2</v>
      </c>
      <c r="BS90" s="176" t="s">
        <v>2768</v>
      </c>
      <c r="BT90">
        <v>2</v>
      </c>
      <c r="BU90" t="s">
        <v>2768</v>
      </c>
      <c r="BV90">
        <v>2</v>
      </c>
      <c r="BW90" s="182" t="s">
        <v>2776</v>
      </c>
      <c r="BX90" s="179">
        <v>2</v>
      </c>
      <c r="BY90" t="s">
        <v>2768</v>
      </c>
      <c r="BZ90">
        <v>2</v>
      </c>
      <c r="CA90" t="s">
        <v>2768</v>
      </c>
      <c r="CB90">
        <v>2</v>
      </c>
    </row>
    <row r="91" spans="1:80">
      <c r="A91" s="178">
        <f ca="1">IFERROR(IF(AG90&lt;5+金蛇*2,IF(COUNTIF(B90,"*轻*")&gt;0,A90+加速!$L$9,A90+加速!$L$11)+V90,""),"")</f>
        <v>115.48</v>
      </c>
      <c r="B91" s="167" t="str">
        <f ca="1" t="shared" si="17"/>
        <v>夕照雷峰</v>
      </c>
      <c r="C91">
        <f ca="1" t="shared" si="26"/>
        <v>15</v>
      </c>
      <c r="D91">
        <f ca="1">IF(B91&lt;&gt;"",IF(C90&lt;=加速!$L$11*(1-E91),0,1),"")</f>
        <v>1</v>
      </c>
      <c r="E91">
        <f ca="1" t="shared" si="23"/>
        <v>0</v>
      </c>
      <c r="G91">
        <f ca="1" t="shared" si="24"/>
        <v>0</v>
      </c>
      <c r="H91">
        <f ca="1">IF(B91&lt;&gt;"",IF(AND(COUNTIF(B90,"*轻*莺鸣柳*")&gt;0,COUNTIF(B91,"*轻*")&lt;1),MAX(0,15+I90-(A91-A90)+COUNTIF(B90,"*平湖*")*0),IF(AND(E91=0,MAX(0,H90-(A91-A90))&lt;=加速!$H$11),0,MAX(0,H90-(A91-A90)))),"")</f>
        <v>0</v>
      </c>
      <c r="I91">
        <f ca="1" t="shared" si="30"/>
        <v>0</v>
      </c>
      <c r="J91">
        <f ca="1" t="shared" si="31"/>
        <v>3</v>
      </c>
      <c r="K91">
        <f ca="1" t="shared" si="18"/>
        <v>2</v>
      </c>
      <c r="L91">
        <f ca="1">IFERROR(IF(AND(COUNTIF(B91,"*-峰插*"),技能数据库!$M$72&gt;0),0,IF(COUNTIF(B91,"*鹤归*")&gt;0,16-加速!$L$11,MAX(0,L90-(A91-A90)))),0)</f>
        <v>12.13</v>
      </c>
      <c r="M91">
        <f ca="1" t="shared" si="19"/>
        <v>0</v>
      </c>
      <c r="N91">
        <f ca="1">IFERROR(IF(AND(COUNTIF(B91,"*-峰插*"),技能数据库!$M$72&gt;0),0,IF(COUNTIF(B91,"*云飞*")&gt;0,4-COUNTIF(B91,"*玉山揽云*")*4--COUNTIF(B91,"*烟流暮景*")*4-COUNTIF(B91,"*云景*")*加速!$L$11-IF(J91&gt;0,2,0),MAX(0,N90-(A91-A90)-IF(J91&gt;0,2,0)))),0)</f>
        <v>0</v>
      </c>
      <c r="O91">
        <f ca="1">IF(AND(COUNTIF(IF(AND(配装计算器!$K$30&lt;&gt;"∞",0),INDEX(AU90:CB90,1,$AT$1),INDEX(AU92:CB92,1,$AT$1)),"*云飞*")=1,COUNTIF(IF(AND(配装计算器!$K$30&lt;&gt;"∞",0),INDEX(AU90:CB90,1,$AT$1),INDEX(AU92:CB92,1,$AT$1)),"*玉山*")=0),N91,0)</f>
        <v>0</v>
      </c>
      <c r="P91">
        <f ca="1">IFERROR(IF(COUNTIF(B91,"*云栖松*")&gt;0,50-加速!$L$11,MAX(0,P90-(A91-A90))),0)</f>
        <v>0</v>
      </c>
      <c r="Q91">
        <f ca="1">IF(COUNTIF(IF(AND(配装计算器!$K$30&lt;&gt;"∞",0),INDEX(AU90:CB90,1,$AT$1),INDEX(AU92:CB92,1,$AT$1)),"*云栖松*")=1,P91,0)</f>
        <v>0</v>
      </c>
      <c r="R91">
        <f ca="1">IFERROR(IF(COUNTIF(B91,"*莺鸣柳*")&gt;0,45-加速!$L$9,MAX(0,R90-(A91-A90))),0)</f>
        <v>0</v>
      </c>
      <c r="S91">
        <f ca="1">IF(COUNTIF(IF(AND(配装计算器!$K$30&lt;&gt;"∞",0),INDEX(AU90:CB90,1,$AT$1),INDEX(AU92:CB92,1,$AT$1)),"*莺鸣柳*")=1,R91,0)</f>
        <v>0</v>
      </c>
      <c r="T91">
        <f ca="1" t="shared" si="27"/>
        <v>0</v>
      </c>
      <c r="U91">
        <f ca="1">IF(金蛇,IF(COUNTIF(B91,"*金环戴*")+COUNTIF(B91,"*吹风醒*")&gt;0,IF(A91&lt;=3,7.125-2.625-A91-加速!$L$11,7.125+加速!$K$9-(A91+加速!$L$11-T91)),0),0)+IF(金蛇,IF(COUNTIF(B91,"*千切子裂光*")&gt;0,2+加速!$K$9-(A91+加速!$L$11-T91),0),0)</f>
        <v>0</v>
      </c>
      <c r="V91">
        <f ca="1" t="shared" si="28"/>
        <v>0</v>
      </c>
      <c r="W91">
        <f ca="1" t="shared" si="20"/>
        <v>0</v>
      </c>
      <c r="X91">
        <f ca="1">INDEX(加速!$I$13:$I$21,W91+1)</f>
        <v>0</v>
      </c>
      <c r="Y91">
        <f ca="1" t="shared" si="29"/>
        <v>0.5</v>
      </c>
      <c r="Z91">
        <f ca="1" t="shared" si="25"/>
        <v>0</v>
      </c>
      <c r="AA91">
        <f ca="1">MAX(0,IFERROR(IF(COUNTIF(B91,"*叠*")&gt;0,IF(AC90&lt;3,8-A92+A91,AA90+6.875-A92+A91),AA90-A92+A91),AA90-加速!$L$11))</f>
        <v>3.26499999999994</v>
      </c>
      <c r="AB91">
        <f ca="1">MAX(0,IF(COUNTIF(IF(AND(配装计算器!$K$30&lt;&gt;"∞",0),INDEX(AU91:CB91,1,$AT$1),INDEX(AU91:CB91,1,$AT$1)),"*叠1*")=1,4*25-加速!$L$11,AB90-A91+A90)-IF(OR(COUNTIF(OFFSET(AT91,0,$AT$1,1,1),"*听雷*")&gt;0,AND(碧归&gt;0,COUNTIF(OFFSET(AT91,0,$AT$1,1,1),"*风来*")&gt;0)),0,1)*1.5)</f>
        <v>65.2299999999999</v>
      </c>
      <c r="AC91">
        <f ca="1" t="shared" si="21"/>
        <v>3</v>
      </c>
      <c r="AD91">
        <f ca="1">IF(COUNTIF(IF(AND(配装计算器!$K$30&lt;&gt;"∞",0),INDEX(AU91:CB91,1,$AT$1),INDEX(AU92:CB92,1,$AT$1)),"*叠1*")=1,AB91*0+AE90,0)</f>
        <v>0</v>
      </c>
      <c r="AE91">
        <f ca="1">IF($AN$11&gt;0,IF(COUNTIF(B92,"*叠1*")&gt;0,50-加速!$L$11,MAX(0,AE90-(A92-A91))),0)</f>
        <v>31.9399999999999</v>
      </c>
      <c r="AG91">
        <f ca="1" t="shared" si="22"/>
        <v>3</v>
      </c>
      <c r="AH91" t="s">
        <v>1825</v>
      </c>
      <c r="AI91" t="s">
        <v>2776</v>
      </c>
      <c r="AJ91">
        <f ca="1">长时间循环比*COUNTIFS($B$3:$B$515,"*"&amp;AI91&amp;"*",$D$3:$D$515,"&gt;0",$H$3:$H$515,"=0",$G$3:$G$515,"&gt;0",$K$3:$K$515,"=2",$AC$3:$AC$515,"=0")</f>
        <v>0</v>
      </c>
      <c r="AK91" t="s">
        <v>3234</v>
      </c>
      <c r="AU91" t="str">
        <f>IF($AN$11=1,"云飞玉皇-玉山揽云","夕照雷峰")</f>
        <v>云飞玉皇-玉山揽云</v>
      </c>
      <c r="AV91">
        <v>2</v>
      </c>
      <c r="AW91" s="176" t="s">
        <v>2768</v>
      </c>
      <c r="AX91">
        <v>2</v>
      </c>
      <c r="AY91" t="s">
        <v>2768</v>
      </c>
      <c r="AZ91">
        <v>2</v>
      </c>
      <c r="BA91" t="s">
        <v>2768</v>
      </c>
      <c r="BB91">
        <v>2</v>
      </c>
      <c r="BC91" s="176" t="s">
        <v>3026</v>
      </c>
      <c r="BD91">
        <v>2</v>
      </c>
      <c r="BE91" t="s">
        <v>2776</v>
      </c>
      <c r="BF91">
        <v>2</v>
      </c>
      <c r="BG91" t="s">
        <v>2768</v>
      </c>
      <c r="BH91">
        <v>2</v>
      </c>
      <c r="BI91" t="s">
        <v>2768</v>
      </c>
      <c r="BJ91">
        <v>2</v>
      </c>
      <c r="BK91" s="176" t="s">
        <v>2808</v>
      </c>
      <c r="BL91">
        <v>2</v>
      </c>
      <c r="BM91" s="176" t="s">
        <v>2776</v>
      </c>
      <c r="BN91">
        <v>2</v>
      </c>
      <c r="BO91" t="s">
        <v>2768</v>
      </c>
      <c r="BP91">
        <v>2</v>
      </c>
      <c r="BQ91" t="s">
        <v>3013</v>
      </c>
      <c r="BR91">
        <v>2</v>
      </c>
      <c r="BS91" s="176" t="s">
        <v>2768</v>
      </c>
      <c r="BT91">
        <v>2</v>
      </c>
      <c r="BU91" t="s">
        <v>2808</v>
      </c>
      <c r="BV91">
        <v>2</v>
      </c>
      <c r="BW91" s="182" t="str">
        <f t="shared" ref="BW91:BW95" si="32">IF($AN$11=1,"云飞玉皇-玉山揽云","夕照雷峰")</f>
        <v>云飞玉皇-玉山揽云</v>
      </c>
      <c r="BX91" s="179">
        <v>2</v>
      </c>
      <c r="BY91" t="s">
        <v>2718</v>
      </c>
      <c r="BZ91">
        <v>0</v>
      </c>
      <c r="CA91" t="s">
        <v>2768</v>
      </c>
      <c r="CB91">
        <v>2</v>
      </c>
    </row>
    <row r="92" spans="1:80">
      <c r="A92" s="178">
        <f ca="1">IFERROR(IF(AG91&lt;5+金蛇*2,IF(COUNTIF(B91,"*轻*")&gt;0,A91+加速!$L$9,A91+加速!$L$11)+V91,""),"")</f>
        <v>116.77</v>
      </c>
      <c r="B92" s="167" t="str">
        <f ca="1" t="shared" si="17"/>
        <v>云飞玉皇</v>
      </c>
      <c r="C92">
        <f ca="1" t="shared" si="26"/>
        <v>13.71</v>
      </c>
      <c r="D92">
        <f ca="1">IF(B92&lt;&gt;"",IF(C91&lt;=加速!$L$11*(1-E92),0,1),"")</f>
        <v>1</v>
      </c>
      <c r="E92">
        <f ca="1" t="shared" si="23"/>
        <v>0</v>
      </c>
      <c r="G92">
        <f ca="1" t="shared" si="24"/>
        <v>0</v>
      </c>
      <c r="H92">
        <f ca="1">IF(B92&lt;&gt;"",IF(AND(COUNTIF(B91,"*轻*莺鸣柳*")&gt;0,COUNTIF(B92,"*轻*")&lt;1),MAX(0,15+I91-(A92-A91)+COUNTIF(B91,"*平湖*")*0),IF(AND(E92=0,MAX(0,H91-(A92-A91))&lt;=加速!$H$11),0,MAX(0,H91-(A92-A91)))),"")</f>
        <v>0</v>
      </c>
      <c r="I92">
        <f ca="1" t="shared" si="30"/>
        <v>0</v>
      </c>
      <c r="J92">
        <f ca="1" t="shared" si="31"/>
        <v>2</v>
      </c>
      <c r="K92">
        <f ca="1" t="shared" si="18"/>
        <v>2</v>
      </c>
      <c r="L92">
        <f ca="1">IFERROR(IF(AND(COUNTIF(B92,"*-峰插*"),技能数据库!$M$72&gt;0),0,IF(COUNTIF(B92,"*鹤归*")&gt;0,16-加速!$L$11,MAX(0,L91-(A92-A91)))),0)</f>
        <v>10.84</v>
      </c>
      <c r="M92">
        <f ca="1" t="shared" si="19"/>
        <v>0</v>
      </c>
      <c r="N92">
        <f ca="1">IFERROR(IF(AND(COUNTIF(B92,"*-峰插*"),技能数据库!$M$72&gt;0),0,IF(COUNTIF(B92,"*云飞*")&gt;0,4-COUNTIF(B92,"*玉山揽云*")*4--COUNTIF(B92,"*烟流暮景*")*4-COUNTIF(B92,"*云景*")*加速!$L$11-IF(J92&gt;0,2,0),MAX(0,N91-(A92-A91)-IF(J92&gt;0,2,0)))),0)</f>
        <v>2</v>
      </c>
      <c r="O92">
        <f ca="1">IF(AND(COUNTIF(IF(AND(配装计算器!$K$30&lt;&gt;"∞",0),INDEX(AU91:CB91,1,$AT$1),INDEX(AU93:CB93,1,$AT$1)),"*云飞*")=1,COUNTIF(IF(AND(配装计算器!$K$30&lt;&gt;"∞",0),INDEX(AU91:CB91,1,$AT$1),INDEX(AU93:CB93,1,$AT$1)),"*玉山*")=0),N92,0)</f>
        <v>0</v>
      </c>
      <c r="P92">
        <f ca="1">IFERROR(IF(COUNTIF(B92,"*云栖松*")&gt;0,50-加速!$L$11,MAX(0,P91-(A92-A91))),0)</f>
        <v>0</v>
      </c>
      <c r="Q92">
        <f ca="1">IF(COUNTIF(IF(AND(配装计算器!$K$30&lt;&gt;"∞",0),INDEX(AU91:CB91,1,$AT$1),INDEX(AU93:CB93,1,$AT$1)),"*云栖松*")=1,P92,0)</f>
        <v>0</v>
      </c>
      <c r="R92">
        <f ca="1">IFERROR(IF(COUNTIF(B92,"*莺鸣柳*")&gt;0,45-加速!$L$9,MAX(0,R91-(A92-A91))),0)</f>
        <v>0</v>
      </c>
      <c r="S92">
        <f ca="1">IF(COUNTIF(IF(AND(配装计算器!$K$30&lt;&gt;"∞",0),INDEX(AU91:CB91,1,$AT$1),INDEX(AU93:CB93,1,$AT$1)),"*莺鸣柳*")=1,R92,0)</f>
        <v>0</v>
      </c>
      <c r="T92">
        <f ca="1" t="shared" si="27"/>
        <v>0</v>
      </c>
      <c r="U92">
        <f ca="1">IF(金蛇,IF(COUNTIF(B92,"*金环戴*")+COUNTIF(B92,"*吹风醒*")&gt;0,IF(A92&lt;=3,7.125-2.625-A92-加速!$L$11,7.125+加速!$K$9-(A92+加速!$L$11-T92)),0),0)+IF(金蛇,IF(COUNTIF(B92,"*千切子裂光*")&gt;0,2+加速!$K$9-(A92+加速!$L$11-T92),0),0)</f>
        <v>0</v>
      </c>
      <c r="V92">
        <f ca="1" t="shared" si="28"/>
        <v>0</v>
      </c>
      <c r="W92">
        <f ca="1" t="shared" si="20"/>
        <v>0</v>
      </c>
      <c r="X92">
        <f ca="1">INDEX(加速!$I$13:$I$21,W92+1)</f>
        <v>0</v>
      </c>
      <c r="Y92">
        <f ca="1" t="shared" si="29"/>
        <v>0.5</v>
      </c>
      <c r="Z92">
        <f ca="1" t="shared" si="25"/>
        <v>0</v>
      </c>
      <c r="AA92">
        <f ca="1">MAX(0,IFERROR(IF(COUNTIF(B92,"*叠*")&gt;0,IF(AC91&lt;3,8-A93+A92,AA91+6.875-A93+A92),AA91-A93+A92),AA91-加速!$L$11))</f>
        <v>1.97499999999994</v>
      </c>
      <c r="AB92">
        <f ca="1">MAX(0,IF(COUNTIF(IF(AND(配装计算器!$K$30&lt;&gt;"∞",0),INDEX(AU92:CB92,1,$AT$1),INDEX(AU92:CB92,1,$AT$1)),"*叠1*")=1,4*25-加速!$L$11,AB91-A92+A91)-IF(OR(COUNTIF(OFFSET(AT92,0,$AT$1,1,1),"*听雷*")&gt;0,AND(碧归&gt;0,COUNTIF(OFFSET(AT92,0,$AT$1,1,1),"*风来*")&gt;0)),0,1)*1.5)</f>
        <v>62.4399999999999</v>
      </c>
      <c r="AC92">
        <f ca="1" t="shared" si="21"/>
        <v>3</v>
      </c>
      <c r="AD92">
        <f ca="1">IF(COUNTIF(IF(AND(配装计算器!$K$30&lt;&gt;"∞",0),INDEX(AU92:CB92,1,$AT$1),INDEX(AU93:CB93,1,$AT$1)),"*叠1*")=1,AB92*0+AE91,0)</f>
        <v>0</v>
      </c>
      <c r="AE92">
        <f ca="1">IF($AN$11&gt;0,IF(COUNTIF(B93,"*叠1*")&gt;0,50-加速!$L$11,MAX(0,AE91-(A93-A92))),0)</f>
        <v>30.6499999999999</v>
      </c>
      <c r="AG92">
        <f ca="1" t="shared" si="22"/>
        <v>3</v>
      </c>
      <c r="AH92" t="s">
        <v>1825</v>
      </c>
      <c r="AI92" t="s">
        <v>2780</v>
      </c>
      <c r="AJ92">
        <f ca="1">AJ91</f>
        <v>0</v>
      </c>
      <c r="AK92" t="s">
        <v>3234</v>
      </c>
      <c r="AU92" t="str">
        <f>IF($AN$11=1,"云飞玉皇-玉山揽云","云飞玉皇")</f>
        <v>云飞玉皇-玉山揽云</v>
      </c>
      <c r="AV92">
        <v>2</v>
      </c>
      <c r="AW92" s="176" t="s">
        <v>2776</v>
      </c>
      <c r="AX92">
        <v>2</v>
      </c>
      <c r="AY92" t="s">
        <v>2768</v>
      </c>
      <c r="AZ92">
        <v>2</v>
      </c>
      <c r="BA92" t="s">
        <v>2768</v>
      </c>
      <c r="BB92">
        <v>2</v>
      </c>
      <c r="BC92" s="176" t="s">
        <v>3026</v>
      </c>
      <c r="BD92">
        <v>2</v>
      </c>
      <c r="BE92" t="s">
        <v>2768</v>
      </c>
      <c r="BF92">
        <v>1</v>
      </c>
      <c r="BG92" s="176" t="s">
        <v>2768</v>
      </c>
      <c r="BH92">
        <v>2</v>
      </c>
      <c r="BI92" t="s">
        <v>2776</v>
      </c>
      <c r="BJ92">
        <v>2</v>
      </c>
      <c r="BK92" t="s">
        <v>2789</v>
      </c>
      <c r="BL92">
        <v>2</v>
      </c>
      <c r="BM92" s="176" t="s">
        <v>2768</v>
      </c>
      <c r="BN92">
        <v>2</v>
      </c>
      <c r="BO92" t="s">
        <v>2768</v>
      </c>
      <c r="BP92">
        <v>2</v>
      </c>
      <c r="BQ92" t="s">
        <v>2808</v>
      </c>
      <c r="BR92">
        <v>2</v>
      </c>
      <c r="BS92" s="176" t="s">
        <v>2768</v>
      </c>
      <c r="BT92">
        <v>2</v>
      </c>
      <c r="BU92" t="s">
        <v>2768</v>
      </c>
      <c r="BV92">
        <v>2</v>
      </c>
      <c r="BW92" s="179" t="str">
        <f>IF($AN$11=1,"云飞玉皇-玉山揽云","云飞玉皇")</f>
        <v>云飞玉皇-玉山揽云</v>
      </c>
      <c r="BX92" s="179">
        <v>2</v>
      </c>
      <c r="BY92" t="s">
        <v>2768</v>
      </c>
      <c r="BZ92">
        <v>2</v>
      </c>
      <c r="CA92" t="s">
        <v>2768</v>
      </c>
      <c r="CB92">
        <v>2</v>
      </c>
    </row>
    <row r="93" spans="1:80">
      <c r="A93" s="178">
        <f ca="1">IFERROR(IF(AG92&lt;5+金蛇*2,IF(COUNTIF(B92,"*轻*")&gt;0,A92+加速!$L$9,A92+加速!$L$11)+V92,""),"")</f>
        <v>118.06</v>
      </c>
      <c r="B93" s="167" t="str">
        <f ca="1" t="shared" si="17"/>
        <v>夕照雷峰</v>
      </c>
      <c r="C93">
        <f ca="1" t="shared" si="26"/>
        <v>15</v>
      </c>
      <c r="D93">
        <f ca="1">IF(B93&lt;&gt;"",IF(C92&lt;=加速!$L$11*(1-E93),0,1),"")</f>
        <v>1</v>
      </c>
      <c r="E93">
        <f ca="1" t="shared" si="23"/>
        <v>0</v>
      </c>
      <c r="G93">
        <f ca="1" t="shared" si="24"/>
        <v>0</v>
      </c>
      <c r="H93">
        <f ca="1">IF(B93&lt;&gt;"",IF(AND(COUNTIF(B92,"*轻*莺鸣柳*")&gt;0,COUNTIF(B93,"*轻*")&lt;1),MAX(0,15+I92-(A93-A92)+COUNTIF(B92,"*平湖*")*0),IF(AND(E93=0,MAX(0,H92-(A93-A92))&lt;=加速!$H$11),0,MAX(0,H92-(A93-A92)))),"")</f>
        <v>0</v>
      </c>
      <c r="I93">
        <f ca="1" t="shared" si="30"/>
        <v>0</v>
      </c>
      <c r="J93">
        <f ca="1" t="shared" si="31"/>
        <v>1</v>
      </c>
      <c r="K93">
        <f ca="1" t="shared" si="18"/>
        <v>2</v>
      </c>
      <c r="L93">
        <f ca="1">IFERROR(IF(AND(COUNTIF(B93,"*-峰插*"),技能数据库!$M$72&gt;0),0,IF(COUNTIF(B93,"*鹤归*")&gt;0,16-加速!$L$11,MAX(0,L92-(A93-A92)))),0)</f>
        <v>9.54999999999998</v>
      </c>
      <c r="M93">
        <f ca="1" t="shared" si="19"/>
        <v>0</v>
      </c>
      <c r="N93">
        <f ca="1">IFERROR(IF(AND(COUNTIF(B93,"*-峰插*"),技能数据库!$M$72&gt;0),0,IF(COUNTIF(B93,"*云飞*")&gt;0,4-COUNTIF(B93,"*玉山揽云*")*4--COUNTIF(B93,"*烟流暮景*")*4-COUNTIF(B93,"*云景*")*加速!$L$11-IF(J93&gt;0,2,0),MAX(0,N92-(A93-A92)-IF(J93&gt;0,2,0)))),0)</f>
        <v>0</v>
      </c>
      <c r="O93">
        <f ca="1">IF(AND(COUNTIF(IF(AND(配装计算器!$K$30&lt;&gt;"∞",0),INDEX(AU92:CB92,1,$AT$1),INDEX(AU94:CB94,1,$AT$1)),"*云飞*")=1,COUNTIF(IF(AND(配装计算器!$K$30&lt;&gt;"∞",0),INDEX(AU92:CB92,1,$AT$1),INDEX(AU94:CB94,1,$AT$1)),"*玉山*")=0),N93,0)</f>
        <v>0</v>
      </c>
      <c r="P93">
        <f ca="1">IFERROR(IF(COUNTIF(B93,"*云栖松*")&gt;0,50-加速!$L$11,MAX(0,P92-(A93-A92))),0)</f>
        <v>0</v>
      </c>
      <c r="Q93">
        <f ca="1">IF(COUNTIF(IF(AND(配装计算器!$K$30&lt;&gt;"∞",0),INDEX(AU92:CB92,1,$AT$1),INDEX(AU94:CB94,1,$AT$1)),"*云栖松*")=1,P93,0)</f>
        <v>0</v>
      </c>
      <c r="R93">
        <f ca="1">IFERROR(IF(COUNTIF(B93,"*莺鸣柳*")&gt;0,45-加速!$L$9,MAX(0,R92-(A93-A92))),0)</f>
        <v>0</v>
      </c>
      <c r="S93">
        <f ca="1">IF(COUNTIF(IF(AND(配装计算器!$K$30&lt;&gt;"∞",0),INDEX(AU92:CB92,1,$AT$1),INDEX(AU94:CB94,1,$AT$1)),"*莺鸣柳*")=1,R93,0)</f>
        <v>0</v>
      </c>
      <c r="T93">
        <f ca="1" t="shared" si="27"/>
        <v>0</v>
      </c>
      <c r="U93">
        <f ca="1">IF(金蛇,IF(COUNTIF(B93,"*金环戴*")+COUNTIF(B93,"*吹风醒*")&gt;0,IF(A93&lt;=3,7.125-2.625-A93-加速!$L$11,7.125+加速!$K$9-(A93+加速!$L$11-T93)),0),0)+IF(金蛇,IF(COUNTIF(B93,"*千切子裂光*")&gt;0,2+加速!$K$9-(A93+加速!$L$11-T93),0),0)</f>
        <v>0</v>
      </c>
      <c r="V93">
        <f ca="1" t="shared" si="28"/>
        <v>0</v>
      </c>
      <c r="W93">
        <f ca="1" t="shared" si="20"/>
        <v>0</v>
      </c>
      <c r="X93">
        <f ca="1">INDEX(加速!$I$13:$I$21,W93+1)</f>
        <v>0</v>
      </c>
      <c r="Y93">
        <f ca="1" t="shared" si="29"/>
        <v>0.5</v>
      </c>
      <c r="Z93">
        <f ca="1" t="shared" si="25"/>
        <v>0</v>
      </c>
      <c r="AA93">
        <f ca="1">MAX(0,IFERROR(IF(COUNTIF(B93,"*叠*")&gt;0,IF(AC92&lt;3,8-A94+A93,AA92+6.875-A94+A93),AA92-A94+A93),AA92-加速!$L$11))</f>
        <v>0.684999999999931</v>
      </c>
      <c r="AB93">
        <f ca="1">MAX(0,IF(COUNTIF(IF(AND(配装计算器!$K$30&lt;&gt;"∞",0),INDEX(AU93:CB93,1,$AT$1),INDEX(AU93:CB93,1,$AT$1)),"*叠1*")=1,4*25-加速!$L$11,AB92-A93+A92)-IF(OR(COUNTIF(OFFSET(AT93,0,$AT$1,1,1),"*听雷*")&gt;0,AND(碧归&gt;0,COUNTIF(OFFSET(AT93,0,$AT$1,1,1),"*风来*")&gt;0)),0,1)*1.5)</f>
        <v>59.6499999999999</v>
      </c>
      <c r="AC93">
        <f ca="1" t="shared" si="21"/>
        <v>3</v>
      </c>
      <c r="AD93">
        <f ca="1">IF(COUNTIF(IF(AND(配装计算器!$K$30&lt;&gt;"∞",0),INDEX(AU93:CB93,1,$AT$1),INDEX(AU94:CB94,1,$AT$1)),"*叠1*")=1,AB93*0+AE92,0)</f>
        <v>0</v>
      </c>
      <c r="AE93">
        <f ca="1">IF($AN$11&gt;0,IF(COUNTIF(B94,"*叠1*")&gt;0,50-加速!$L$11,MAX(0,AE92-(A94-A93))),0)</f>
        <v>29.3599999999999</v>
      </c>
      <c r="AG93">
        <f ca="1" t="shared" si="22"/>
        <v>3</v>
      </c>
      <c r="AH93" t="s">
        <v>1825</v>
      </c>
      <c r="AI93" t="s">
        <v>2794</v>
      </c>
      <c r="AJ93">
        <f ca="1">循环比*COUNTIFS($B$3:$B$515,"*"&amp;AI93&amp;"*",$D$3:$D$515,"=0",$H$3:$H$515,"&gt;0",$G$3:$G$515,"=0")</f>
        <v>0</v>
      </c>
      <c r="AK93" t="s">
        <v>2948</v>
      </c>
      <c r="AU93" t="str">
        <f>IF($AN$11=1,"云飞玉皇-玉山揽云","夕照雷峰")</f>
        <v>云飞玉皇-玉山揽云</v>
      </c>
      <c r="AV93">
        <v>2</v>
      </c>
      <c r="AW93" s="176" t="str">
        <f t="shared" ref="AW93:AW97" si="33">IF($AR$11=1,"云飞玉皇-玉山揽云","夕照雷峰")</f>
        <v>夕照雷峰</v>
      </c>
      <c r="AX93">
        <v>2</v>
      </c>
      <c r="AY93" t="s">
        <v>2776</v>
      </c>
      <c r="AZ93">
        <v>2</v>
      </c>
      <c r="BA93" t="s">
        <v>2776</v>
      </c>
      <c r="BB93">
        <v>2</v>
      </c>
      <c r="BC93" t="s">
        <v>3013</v>
      </c>
      <c r="BD93">
        <v>2</v>
      </c>
      <c r="BE93" t="s">
        <v>2768</v>
      </c>
      <c r="BF93">
        <v>1</v>
      </c>
      <c r="BG93" s="176" t="s">
        <v>2776</v>
      </c>
      <c r="BH93">
        <v>2</v>
      </c>
      <c r="BI93" t="s">
        <v>2768</v>
      </c>
      <c r="BJ93">
        <v>2</v>
      </c>
      <c r="BK93" t="s">
        <v>2776</v>
      </c>
      <c r="BL93">
        <v>2</v>
      </c>
      <c r="BM93" t="s">
        <v>3056</v>
      </c>
      <c r="BN93">
        <v>1</v>
      </c>
      <c r="BO93" t="s">
        <v>2768</v>
      </c>
      <c r="BP93">
        <v>2</v>
      </c>
      <c r="BQ93" t="s">
        <v>2768</v>
      </c>
      <c r="BR93">
        <v>2</v>
      </c>
      <c r="BS93" s="176" t="s">
        <v>2776</v>
      </c>
      <c r="BT93">
        <v>2</v>
      </c>
      <c r="BU93" s="176" t="s">
        <v>2768</v>
      </c>
      <c r="BV93">
        <v>2</v>
      </c>
      <c r="BW93" s="179" t="str">
        <f>IF($AN$11=1,橙武补雾锁,"听雷-重")</f>
        <v>云飞玉皇-玉山揽云</v>
      </c>
      <c r="BX93" s="179">
        <v>0</v>
      </c>
      <c r="BY93" t="s">
        <v>2776</v>
      </c>
      <c r="BZ93">
        <v>2</v>
      </c>
      <c r="CA93" t="s">
        <v>2776</v>
      </c>
      <c r="CB93">
        <v>2</v>
      </c>
    </row>
    <row r="94" spans="1:80">
      <c r="A94" s="178">
        <f ca="1">IFERROR(IF(AG93&lt;5+金蛇*2,IF(COUNTIF(B93,"*轻*")&gt;0,A93+加速!$L$9,A93+加速!$L$11)+V93,""),"")</f>
        <v>119.35</v>
      </c>
      <c r="B94" s="167" t="str">
        <f ca="1" t="shared" si="17"/>
        <v>云景·云飞玉皇</v>
      </c>
      <c r="C94">
        <f ca="1" t="shared" si="26"/>
        <v>13.71</v>
      </c>
      <c r="D94">
        <f ca="1">IF(B94&lt;&gt;"",IF(C93&lt;=加速!$L$11*(1-E94),0,1),"")</f>
        <v>1</v>
      </c>
      <c r="E94">
        <f ca="1" t="shared" si="23"/>
        <v>1</v>
      </c>
      <c r="G94">
        <f ca="1" t="shared" si="24"/>
        <v>0</v>
      </c>
      <c r="H94">
        <f ca="1">IF(B94&lt;&gt;"",IF(AND(COUNTIF(B93,"*轻*莺鸣柳*")&gt;0,COUNTIF(B94,"*轻*")&lt;1),MAX(0,15+I93-(A94-A93)+COUNTIF(B93,"*平湖*")*0),IF(AND(E94=0,MAX(0,H93-(A94-A93))&lt;=加速!$H$11),0,MAX(0,H93-(A94-A93)))),"")</f>
        <v>0</v>
      </c>
      <c r="I94">
        <f ca="1" t="shared" si="30"/>
        <v>0</v>
      </c>
      <c r="J94">
        <f ca="1" t="shared" si="31"/>
        <v>1</v>
      </c>
      <c r="K94">
        <f ca="1" t="shared" si="18"/>
        <v>2</v>
      </c>
      <c r="L94">
        <f ca="1">IFERROR(IF(AND(COUNTIF(B94,"*-峰插*"),技能数据库!$M$72&gt;0),0,IF(COUNTIF(B94,"*鹤归*")&gt;0,16-加速!$L$11,MAX(0,L93-(A94-A93)))),0)</f>
        <v>8.25999999999997</v>
      </c>
      <c r="M94">
        <f ca="1" t="shared" si="19"/>
        <v>0</v>
      </c>
      <c r="N94">
        <f ca="1">IFERROR(IF(AND(COUNTIF(B94,"*-峰插*"),技能数据库!$M$72&gt;0),0,IF(COUNTIF(B94,"*云飞*")&gt;0,4-COUNTIF(B94,"*玉山揽云*")*4--COUNTIF(B94,"*烟流暮景*")*4-COUNTIF(B94,"*云景*")*加速!$L$11-IF(J94&gt;0,2,0),MAX(0,N93-(A94-A93)-IF(J94&gt;0,2,0)))),0)</f>
        <v>0.71</v>
      </c>
      <c r="O94">
        <f ca="1">IF(AND(COUNTIF(IF(AND(配装计算器!$K$30&lt;&gt;"∞",0),INDEX(AU93:CB93,1,$AT$1),INDEX(AU95:CB95,1,$AT$1)),"*云飞*")=1,COUNTIF(IF(AND(配装计算器!$K$30&lt;&gt;"∞",0),INDEX(AU93:CB93,1,$AT$1),INDEX(AU95:CB95,1,$AT$1)),"*玉山*")=0),N94,0)</f>
        <v>0</v>
      </c>
      <c r="P94">
        <f ca="1">IFERROR(IF(COUNTIF(B94,"*云栖松*")&gt;0,50-加速!$L$11,MAX(0,P93-(A94-A93))),0)</f>
        <v>0</v>
      </c>
      <c r="Q94">
        <f ca="1">IF(COUNTIF(IF(AND(配装计算器!$K$30&lt;&gt;"∞",0),INDEX(AU93:CB93,1,$AT$1),INDEX(AU95:CB95,1,$AT$1)),"*云栖松*")=1,P94,0)</f>
        <v>0</v>
      </c>
      <c r="R94">
        <f ca="1">IFERROR(IF(COUNTIF(B94,"*莺鸣柳*")&gt;0,45-加速!$L$9,MAX(0,R93-(A94-A93))),0)</f>
        <v>0</v>
      </c>
      <c r="S94">
        <f ca="1">IF(COUNTIF(IF(AND(配装计算器!$K$30&lt;&gt;"∞",0),INDEX(AU93:CB93,1,$AT$1),INDEX(AU95:CB95,1,$AT$1)),"*莺鸣柳*")=1,R94,0)</f>
        <v>0</v>
      </c>
      <c r="T94">
        <f ca="1" t="shared" si="27"/>
        <v>0</v>
      </c>
      <c r="U94">
        <f ca="1">IF(金蛇,IF(COUNTIF(B94,"*金环戴*")+COUNTIF(B94,"*吹风醒*")&gt;0,IF(A94&lt;=3,7.125-2.625-A94-加速!$L$11,7.125+加速!$K$9-(A94+加速!$L$11-T94)),0),0)+IF(金蛇,IF(COUNTIF(B94,"*千切子裂光*")&gt;0,2+加速!$K$9-(A94+加速!$L$11-T94),0),0)</f>
        <v>0</v>
      </c>
      <c r="V94">
        <f ca="1" t="shared" si="28"/>
        <v>0</v>
      </c>
      <c r="W94">
        <f ca="1" t="shared" si="20"/>
        <v>0</v>
      </c>
      <c r="X94">
        <f ca="1">INDEX(加速!$I$13:$I$21,W94+1)</f>
        <v>0</v>
      </c>
      <c r="Y94">
        <f ca="1" t="shared" si="29"/>
        <v>0.5</v>
      </c>
      <c r="Z94">
        <f ca="1" t="shared" si="25"/>
        <v>0</v>
      </c>
      <c r="AA94">
        <f ca="1">MAX(0,IFERROR(IF(COUNTIF(B94,"*叠*")&gt;0,IF(AC93&lt;3,8-A95+A94,AA93+6.875-A95+A94),AA93-A95+A94),AA93-加速!$L$11))</f>
        <v>0</v>
      </c>
      <c r="AB94">
        <f ca="1">MAX(0,IF(COUNTIF(IF(AND(配装计算器!$K$30&lt;&gt;"∞",0),INDEX(AU94:CB94,1,$AT$1),INDEX(AU94:CB94,1,$AT$1)),"*叠1*")=1,4*25-加速!$L$11,AB93-A94+A93)-IF(OR(COUNTIF(OFFSET(AT94,0,$AT$1,1,1),"*听雷*")&gt;0,AND(碧归&gt;0,COUNTIF(OFFSET(AT94,0,$AT$1,1,1),"*风来*")&gt;0)),0,1)*1.5)</f>
        <v>56.8599999999999</v>
      </c>
      <c r="AC94">
        <f ca="1" t="shared" si="21"/>
        <v>3</v>
      </c>
      <c r="AD94">
        <f ca="1">IF(COUNTIF(IF(AND(配装计算器!$K$30&lt;&gt;"∞",0),INDEX(AU94:CB94,1,$AT$1),INDEX(AU95:CB95,1,$AT$1)),"*叠1*")=1,AB94*0+AE93,0)</f>
        <v>0</v>
      </c>
      <c r="AE94">
        <f ca="1">IF($AN$11&gt;0,IF(COUNTIF(B95,"*叠1*")&gt;0,50-加速!$L$11,MAX(0,AE93-(A95-A94))),0)</f>
        <v>28.0699999999999</v>
      </c>
      <c r="AG94">
        <f ca="1" t="shared" si="22"/>
        <v>3</v>
      </c>
      <c r="AH94" t="s">
        <v>1825</v>
      </c>
      <c r="AI94" t="s">
        <v>2798</v>
      </c>
      <c r="AJ94">
        <f ca="1">AJ93</f>
        <v>0</v>
      </c>
      <c r="AK94" t="s">
        <v>2948</v>
      </c>
      <c r="AU94" t="str">
        <f>IF($AN$11=1,橙武补雾锁,"夕照雷峰")</f>
        <v>云飞玉皇-玉山揽云</v>
      </c>
      <c r="AV94">
        <v>2</v>
      </c>
      <c r="AW94" t="str">
        <f>IF($AR$11=1,"云飞玉皇-玉山揽云","云景·云飞玉皇-黄龙吐翠")</f>
        <v>云景·云飞玉皇-黄龙吐翠</v>
      </c>
      <c r="AX94">
        <f>IF($AR$11=1,2,1)</f>
        <v>1</v>
      </c>
      <c r="AY94" t="s">
        <v>2794</v>
      </c>
      <c r="AZ94">
        <v>2</v>
      </c>
      <c r="BA94" t="s">
        <v>2794</v>
      </c>
      <c r="BB94">
        <v>2</v>
      </c>
      <c r="BC94" t="s">
        <v>2808</v>
      </c>
      <c r="BD94">
        <v>2</v>
      </c>
      <c r="BE94" t="s">
        <v>2794</v>
      </c>
      <c r="BF94">
        <v>1</v>
      </c>
      <c r="BG94" t="s">
        <v>2768</v>
      </c>
      <c r="BH94">
        <v>1</v>
      </c>
      <c r="BI94" t="s">
        <v>2808</v>
      </c>
      <c r="BJ94">
        <v>2</v>
      </c>
      <c r="BK94" s="180" t="s">
        <v>3036</v>
      </c>
      <c r="BL94">
        <v>2</v>
      </c>
      <c r="BM94" t="s">
        <v>2768</v>
      </c>
      <c r="BN94">
        <v>2</v>
      </c>
      <c r="BO94" t="s">
        <v>2776</v>
      </c>
      <c r="BP94">
        <v>2</v>
      </c>
      <c r="BQ94" t="s">
        <v>2768</v>
      </c>
      <c r="BR94">
        <v>2</v>
      </c>
      <c r="BS94" s="176" t="s">
        <v>2768</v>
      </c>
      <c r="BT94">
        <v>2</v>
      </c>
      <c r="BU94" s="176" t="s">
        <v>2776</v>
      </c>
      <c r="BV94">
        <v>2</v>
      </c>
      <c r="BW94" s="179" t="str">
        <f t="shared" si="32"/>
        <v>云飞玉皇-玉山揽云</v>
      </c>
      <c r="BX94" s="179">
        <v>2</v>
      </c>
      <c r="BY94" t="s">
        <v>2718</v>
      </c>
      <c r="BZ94">
        <v>0</v>
      </c>
      <c r="CA94" t="s">
        <v>2718</v>
      </c>
      <c r="CB94">
        <v>0</v>
      </c>
    </row>
    <row r="95" spans="1:80">
      <c r="A95" s="178">
        <f ca="1">IFERROR(IF(AG94&lt;5+金蛇*2,IF(COUNTIF(B94,"*轻*")&gt;0,A94+加速!$L$9,A94+加速!$L$11)+V94,""),"")</f>
        <v>120.64</v>
      </c>
      <c r="B95" s="167" t="str">
        <f ca="1" t="shared" si="17"/>
        <v>夕照雷峰</v>
      </c>
      <c r="C95">
        <f ca="1" t="shared" si="26"/>
        <v>15</v>
      </c>
      <c r="D95">
        <f ca="1">IF(B95&lt;&gt;"",IF(C94&lt;=加速!$L$11*(1-E95),0,1),"")</f>
        <v>1</v>
      </c>
      <c r="E95">
        <f ca="1" t="shared" si="23"/>
        <v>0</v>
      </c>
      <c r="G95">
        <f ca="1" t="shared" si="24"/>
        <v>0</v>
      </c>
      <c r="H95">
        <f ca="1">IF(B95&lt;&gt;"",IF(AND(COUNTIF(B94,"*轻*莺鸣柳*")&gt;0,COUNTIF(B95,"*轻*")&lt;1),MAX(0,15+I94-(A95-A94)+COUNTIF(B94,"*平湖*")*0),IF(AND(E95=0,MAX(0,H94-(A95-A94))&lt;=加速!$H$11),0,MAX(0,H94-(A95-A94)))),"")</f>
        <v>0</v>
      </c>
      <c r="I95">
        <f ca="1" t="shared" si="30"/>
        <v>0</v>
      </c>
      <c r="J95">
        <f ca="1" t="shared" si="31"/>
        <v>0</v>
      </c>
      <c r="K95">
        <f ca="1" t="shared" si="18"/>
        <v>2</v>
      </c>
      <c r="L95">
        <f ca="1">IFERROR(IF(AND(COUNTIF(B95,"*-峰插*"),技能数据库!$M$72&gt;0),0,IF(COUNTIF(B95,"*鹤归*")&gt;0,16-加速!$L$11,MAX(0,L94-(A95-A94)))),0)</f>
        <v>6.96999999999996</v>
      </c>
      <c r="M95">
        <f ca="1" t="shared" si="19"/>
        <v>0</v>
      </c>
      <c r="N95">
        <f ca="1">IFERROR(IF(AND(COUNTIF(B95,"*-峰插*"),技能数据库!$M$72&gt;0),0,IF(COUNTIF(B95,"*云飞*")&gt;0,4-COUNTIF(B95,"*玉山揽云*")*4--COUNTIF(B95,"*烟流暮景*")*4-COUNTIF(B95,"*云景*")*加速!$L$11-IF(J95&gt;0,2,0),MAX(0,N94-(A95-A94)-IF(J95&gt;0,2,0)))),0)</f>
        <v>0</v>
      </c>
      <c r="O95">
        <f ca="1">IF(AND(COUNTIF(IF(AND(配装计算器!$K$30&lt;&gt;"∞",0),INDEX(AU94:CB94,1,$AT$1),INDEX(AU96:CB96,1,$AT$1)),"*云飞*")=1,COUNTIF(IF(AND(配装计算器!$K$30&lt;&gt;"∞",0),INDEX(AU94:CB94,1,$AT$1),INDEX(AU96:CB96,1,$AT$1)),"*玉山*")=0),N95,0)</f>
        <v>0</v>
      </c>
      <c r="P95">
        <f ca="1">IFERROR(IF(COUNTIF(B95,"*云栖松*")&gt;0,50-加速!$L$11,MAX(0,P94-(A95-A94))),0)</f>
        <v>0</v>
      </c>
      <c r="Q95">
        <f ca="1">IF(COUNTIF(IF(AND(配装计算器!$K$30&lt;&gt;"∞",0),INDEX(AU94:CB94,1,$AT$1),INDEX(AU96:CB96,1,$AT$1)),"*云栖松*")=1,P95,0)</f>
        <v>0</v>
      </c>
      <c r="R95">
        <f ca="1">IFERROR(IF(COUNTIF(B95,"*莺鸣柳*")&gt;0,45-加速!$L$9,MAX(0,R94-(A95-A94))),0)</f>
        <v>0</v>
      </c>
      <c r="S95">
        <f ca="1">IF(COUNTIF(IF(AND(配装计算器!$K$30&lt;&gt;"∞",0),INDEX(AU94:CB94,1,$AT$1),INDEX(AU96:CB96,1,$AT$1)),"*莺鸣柳*")=1,R95,0)</f>
        <v>0</v>
      </c>
      <c r="T95">
        <f ca="1" t="shared" si="27"/>
        <v>0</v>
      </c>
      <c r="U95">
        <f ca="1">IF(金蛇,IF(COUNTIF(B95,"*金环戴*")+COUNTIF(B95,"*吹风醒*")&gt;0,IF(A95&lt;=3,7.125-2.625-A95-加速!$L$11,7.125+加速!$K$9-(A95+加速!$L$11-T95)),0),0)+IF(金蛇,IF(COUNTIF(B95,"*千切子裂光*")&gt;0,2+加速!$K$9-(A95+加速!$L$11-T95),0),0)</f>
        <v>0</v>
      </c>
      <c r="V95">
        <f ca="1" t="shared" si="28"/>
        <v>0</v>
      </c>
      <c r="W95">
        <f ca="1" t="shared" si="20"/>
        <v>0</v>
      </c>
      <c r="X95">
        <f ca="1">INDEX(加速!$I$13:$I$21,W95+1)</f>
        <v>0</v>
      </c>
      <c r="Y95">
        <f ca="1" t="shared" si="29"/>
        <v>0.5</v>
      </c>
      <c r="Z95">
        <f ca="1" t="shared" si="25"/>
        <v>0</v>
      </c>
      <c r="AA95">
        <f ca="1">MAX(0,IFERROR(IF(COUNTIF(B95,"*叠*")&gt;0,IF(AC94&lt;3,8-A96+A95,AA94+6.875-A96+A95),AA94-A96+A95),AA94-加速!$L$11))</f>
        <v>0</v>
      </c>
      <c r="AB95">
        <f ca="1">MAX(0,IF(COUNTIF(IF(AND(配装计算器!$K$30&lt;&gt;"∞",0),INDEX(AU95:CB95,1,$AT$1),INDEX(AU95:CB95,1,$AT$1)),"*叠1*")=1,4*25-加速!$L$11,AB94-A95+A94)-IF(OR(COUNTIF(OFFSET(AT95,0,$AT$1,1,1),"*听雷*")&gt;0,AND(碧归&gt;0,COUNTIF(OFFSET(AT95,0,$AT$1,1,1),"*风来*")&gt;0)),0,1)*1.5)</f>
        <v>54.0699999999999</v>
      </c>
      <c r="AC95">
        <f ca="1" t="shared" si="21"/>
        <v>0</v>
      </c>
      <c r="AD95">
        <f ca="1">IF(COUNTIF(IF(AND(配装计算器!$K$30&lt;&gt;"∞",0),INDEX(AU95:CB95,1,$AT$1),INDEX(AU96:CB96,1,$AT$1)),"*叠1*")=1,AB95*0+AE94,0)</f>
        <v>0</v>
      </c>
      <c r="AE95">
        <f ca="1">IF($AN$11&gt;0,IF(COUNTIF(B96,"*叠1*")&gt;0,50-加速!$L$11,MAX(0,AE94-(A96-A95))),0)</f>
        <v>26.7799999999999</v>
      </c>
      <c r="AG95">
        <f ca="1" t="shared" si="22"/>
        <v>3</v>
      </c>
      <c r="AH95" t="s">
        <v>1825</v>
      </c>
      <c r="AI95" t="s">
        <v>2776</v>
      </c>
      <c r="AJ95">
        <f ca="1">循环比*COUNTIFS($B$3:$B$515,"*"&amp;AI95&amp;"*",$D$3:$D$515,"=0",$H$3:$H$515,"&gt;0",$G$3:$G$515,"=0",$K$3:$K$515,"=2")</f>
        <v>0</v>
      </c>
      <c r="AK95" t="s">
        <v>3101</v>
      </c>
      <c r="AU95" t="str">
        <f>IF($AN$11=1,"云飞玉皇-玉山揽云","夕照雷峰")</f>
        <v>云飞玉皇-玉山揽云</v>
      </c>
      <c r="AV95">
        <v>2</v>
      </c>
      <c r="AW95" t="str">
        <f>IF($AR$11=1,橙武补雾锁,"夕照雷峰")</f>
        <v>夕照雷峰</v>
      </c>
      <c r="AX95">
        <v>2</v>
      </c>
      <c r="AY95" t="s">
        <v>2768</v>
      </c>
      <c r="AZ95">
        <v>2</v>
      </c>
      <c r="BA95" t="s">
        <v>2768</v>
      </c>
      <c r="BB95">
        <v>2</v>
      </c>
      <c r="BC95" t="s">
        <v>2768</v>
      </c>
      <c r="BD95">
        <v>2</v>
      </c>
      <c r="BE95" t="s">
        <v>2776</v>
      </c>
      <c r="BF95">
        <v>2</v>
      </c>
      <c r="BG95" s="176" t="s">
        <v>2768</v>
      </c>
      <c r="BH95">
        <v>1</v>
      </c>
      <c r="BI95" s="176" t="s">
        <v>2768</v>
      </c>
      <c r="BJ95">
        <v>2</v>
      </c>
      <c r="BK95" t="s">
        <v>3026</v>
      </c>
      <c r="BL95">
        <v>2</v>
      </c>
      <c r="BM95" t="s">
        <v>2768</v>
      </c>
      <c r="BN95">
        <v>2</v>
      </c>
      <c r="BO95" t="s">
        <v>2768</v>
      </c>
      <c r="BP95">
        <v>2</v>
      </c>
      <c r="BQ95" t="s">
        <v>2776</v>
      </c>
      <c r="BR95">
        <v>1</v>
      </c>
      <c r="BS95" s="176" t="s">
        <v>2794</v>
      </c>
      <c r="BT95">
        <v>2</v>
      </c>
      <c r="BU95" t="s">
        <v>2768</v>
      </c>
      <c r="BV95">
        <v>1</v>
      </c>
      <c r="BW95" s="179" t="str">
        <f t="shared" si="32"/>
        <v>云飞玉皇-玉山揽云</v>
      </c>
      <c r="BX95" s="179">
        <v>2</v>
      </c>
      <c r="BY95" s="176" t="s">
        <v>2794</v>
      </c>
      <c r="BZ95">
        <v>0</v>
      </c>
      <c r="CA95" t="s">
        <v>2768</v>
      </c>
      <c r="CB95">
        <v>2</v>
      </c>
    </row>
    <row r="96" spans="1:80">
      <c r="A96" s="178">
        <f ca="1">IFERROR(IF(AG95&lt;5+金蛇*2,IF(COUNTIF(B95,"*轻*")&gt;0,A95+加速!$L$9,A95+加速!$L$11)+V95,""),"")</f>
        <v>121.93</v>
      </c>
      <c r="B96" s="167" t="str">
        <f ca="1" t="shared" si="17"/>
        <v>云飞玉皇</v>
      </c>
      <c r="C96">
        <f ca="1" t="shared" si="26"/>
        <v>13.71</v>
      </c>
      <c r="D96">
        <f ca="1">IF(B96&lt;&gt;"",IF(C95&lt;=加速!$L$11*(1-E96),0,1),"")</f>
        <v>1</v>
      </c>
      <c r="E96">
        <f ca="1" t="shared" si="23"/>
        <v>0</v>
      </c>
      <c r="G96">
        <f ca="1" t="shared" si="24"/>
        <v>0</v>
      </c>
      <c r="H96">
        <f ca="1">IF(B96&lt;&gt;"",IF(AND(COUNTIF(B95,"*轻*莺鸣柳*")&gt;0,COUNTIF(B96,"*轻*")&lt;1),MAX(0,15+I95-(A96-A95)+COUNTIF(B95,"*平湖*")*0),IF(AND(E96=0,MAX(0,H95-(A96-A95))&lt;=加速!$H$11),0,MAX(0,H95-(A96-A95)))),"")</f>
        <v>0</v>
      </c>
      <c r="I96">
        <f ca="1" t="shared" si="30"/>
        <v>0</v>
      </c>
      <c r="J96">
        <f ca="1" t="shared" si="31"/>
        <v>0</v>
      </c>
      <c r="K96">
        <f ca="1" t="shared" si="18"/>
        <v>2</v>
      </c>
      <c r="L96">
        <f ca="1">IFERROR(IF(AND(COUNTIF(B96,"*-峰插*"),技能数据库!$M$72&gt;0),0,IF(COUNTIF(B96,"*鹤归*")&gt;0,16-加速!$L$11,MAX(0,L95-(A96-A95)))),0)</f>
        <v>5.67999999999996</v>
      </c>
      <c r="M96">
        <f ca="1" t="shared" si="19"/>
        <v>0</v>
      </c>
      <c r="N96">
        <f ca="1">IFERROR(IF(AND(COUNTIF(B96,"*-峰插*"),技能数据库!$M$72&gt;0),0,IF(COUNTIF(B96,"*云飞*")&gt;0,4-COUNTIF(B96,"*玉山揽云*")*4--COUNTIF(B96,"*烟流暮景*")*4-COUNTIF(B96,"*云景*")*加速!$L$11-IF(J96&gt;0,2,0),MAX(0,N95-(A96-A95)-IF(J96&gt;0,2,0)))),0)</f>
        <v>4</v>
      </c>
      <c r="O96">
        <f ca="1">IF(AND(COUNTIF(IF(AND(配装计算器!$K$30&lt;&gt;"∞",0),INDEX(AU95:CB95,1,$AT$1),INDEX(AU97:CB97,1,$AT$1)),"*云飞*")=1,COUNTIF(IF(AND(配装计算器!$K$30&lt;&gt;"∞",0),INDEX(AU95:CB95,1,$AT$1),INDEX(AU97:CB97,1,$AT$1)),"*玉山*")=0),N96,0)</f>
        <v>0</v>
      </c>
      <c r="P96">
        <f ca="1">IFERROR(IF(COUNTIF(B96,"*云栖松*")&gt;0,50-加速!$L$11,MAX(0,P95-(A96-A95))),0)</f>
        <v>0</v>
      </c>
      <c r="Q96">
        <f ca="1">IF(COUNTIF(IF(AND(配装计算器!$K$30&lt;&gt;"∞",0),INDEX(AU95:CB95,1,$AT$1),INDEX(AU97:CB97,1,$AT$1)),"*云栖松*")=1,P96,0)</f>
        <v>0</v>
      </c>
      <c r="R96">
        <f ca="1">IFERROR(IF(COUNTIF(B96,"*莺鸣柳*")&gt;0,45-加速!$L$9,MAX(0,R95-(A96-A95))),0)</f>
        <v>0</v>
      </c>
      <c r="S96">
        <f ca="1">IF(COUNTIF(IF(AND(配装计算器!$K$30&lt;&gt;"∞",0),INDEX(AU95:CB95,1,$AT$1),INDEX(AU97:CB97,1,$AT$1)),"*莺鸣柳*")=1,R96,0)</f>
        <v>0</v>
      </c>
      <c r="T96">
        <f ca="1" t="shared" si="27"/>
        <v>0</v>
      </c>
      <c r="U96">
        <f ca="1">IF(金蛇,IF(COUNTIF(B96,"*金环戴*")+COUNTIF(B96,"*吹风醒*")&gt;0,IF(A96&lt;=3,7.125-2.625-A96-加速!$L$11,7.125+加速!$K$9-(A96+加速!$L$11-T96)),0),0)+IF(金蛇,IF(COUNTIF(B96,"*千切子裂光*")&gt;0,2+加速!$K$9-(A96+加速!$L$11-T96),0),0)</f>
        <v>0</v>
      </c>
      <c r="V96">
        <f ca="1" t="shared" si="28"/>
        <v>0</v>
      </c>
      <c r="W96">
        <f ca="1" t="shared" si="20"/>
        <v>0</v>
      </c>
      <c r="X96">
        <f ca="1">INDEX(加速!$I$13:$I$21,W96+1)</f>
        <v>0</v>
      </c>
      <c r="Y96">
        <f ca="1" t="shared" si="29"/>
        <v>0.5</v>
      </c>
      <c r="Z96">
        <f ca="1" t="shared" si="25"/>
        <v>0</v>
      </c>
      <c r="AA96">
        <f ca="1">MAX(0,IFERROR(IF(COUNTIF(B96,"*叠*")&gt;0,IF(AC95&lt;3,8-A97+A96,AA95+6.875-A97+A96),AA95-A97+A96),AA95-加速!$L$11))</f>
        <v>0</v>
      </c>
      <c r="AB96">
        <f ca="1">MAX(0,IF(COUNTIF(IF(AND(配装计算器!$K$30&lt;&gt;"∞",0),INDEX(AU96:CB96,1,$AT$1),INDEX(AU96:CB96,1,$AT$1)),"*叠1*")=1,4*25-加速!$L$11,AB95-A96+A95)-IF(OR(COUNTIF(OFFSET(AT96,0,$AT$1,1,1),"*听雷*")&gt;0,AND(碧归&gt;0,COUNTIF(OFFSET(AT96,0,$AT$1,1,1),"*风来*")&gt;0)),0,1)*1.5)</f>
        <v>51.2799999999999</v>
      </c>
      <c r="AC96">
        <f ca="1" t="shared" si="21"/>
        <v>0</v>
      </c>
      <c r="AD96">
        <f ca="1">IF(COUNTIF(IF(AND(配装计算器!$K$30&lt;&gt;"∞",0),INDEX(AU96:CB96,1,$AT$1),INDEX(AU97:CB97,1,$AT$1)),"*叠1*")=1,AB96*0+AE95,0)</f>
        <v>0</v>
      </c>
      <c r="AE96">
        <f ca="1">IF($AN$11&gt;0,IF(COUNTIF(B97,"*叠1*")&gt;0,50-加速!$L$11,MAX(0,AE95-(A97-A96))),0)</f>
        <v>25.4899999999999</v>
      </c>
      <c r="AG96">
        <f ca="1" t="shared" si="22"/>
        <v>3</v>
      </c>
      <c r="AH96" t="s">
        <v>1825</v>
      </c>
      <c r="AI96" t="s">
        <v>2780</v>
      </c>
      <c r="AJ96">
        <f ca="1">AJ95</f>
        <v>0</v>
      </c>
      <c r="AK96" t="s">
        <v>3101</v>
      </c>
      <c r="AU96" t="s">
        <v>2776</v>
      </c>
      <c r="AV96">
        <v>2</v>
      </c>
      <c r="AW96" t="str">
        <f t="shared" si="33"/>
        <v>夕照雷峰</v>
      </c>
      <c r="AX96">
        <v>2</v>
      </c>
      <c r="AY96" t="s">
        <v>2776</v>
      </c>
      <c r="AZ96">
        <v>2</v>
      </c>
      <c r="BA96" t="s">
        <v>2776</v>
      </c>
      <c r="BB96">
        <v>2</v>
      </c>
      <c r="BC96" t="s">
        <v>2768</v>
      </c>
      <c r="BD96">
        <v>2</v>
      </c>
      <c r="BE96" t="s">
        <v>2768</v>
      </c>
      <c r="BF96">
        <v>2</v>
      </c>
      <c r="BG96" t="s">
        <v>3055</v>
      </c>
      <c r="BH96">
        <v>0</v>
      </c>
      <c r="BI96" s="176" t="s">
        <v>2776</v>
      </c>
      <c r="BJ96">
        <v>2</v>
      </c>
      <c r="BK96" t="s">
        <v>3026</v>
      </c>
      <c r="BL96">
        <v>2</v>
      </c>
      <c r="BM96" t="s">
        <v>2768</v>
      </c>
      <c r="BN96">
        <v>2</v>
      </c>
      <c r="BO96" t="s">
        <v>2768</v>
      </c>
      <c r="BP96">
        <v>2</v>
      </c>
      <c r="BQ96" t="s">
        <v>3055</v>
      </c>
      <c r="BR96">
        <v>2</v>
      </c>
      <c r="BS96" t="s">
        <v>2768</v>
      </c>
      <c r="BT96">
        <v>2</v>
      </c>
      <c r="BU96" s="176" t="s">
        <v>2768</v>
      </c>
      <c r="BV96">
        <v>1</v>
      </c>
      <c r="BW96" s="179" t="s">
        <v>2776</v>
      </c>
      <c r="BX96" s="179">
        <v>2</v>
      </c>
      <c r="BY96" s="176" t="s">
        <v>2768</v>
      </c>
      <c r="BZ96">
        <v>2</v>
      </c>
      <c r="CA96" t="s">
        <v>2768</v>
      </c>
      <c r="CB96">
        <v>2</v>
      </c>
    </row>
    <row r="97" spans="1:80">
      <c r="A97" s="178">
        <f ca="1">IFERROR(IF(AG96&lt;5+金蛇*2,IF(COUNTIF(B96,"*轻*")&gt;0,A96+加速!$L$9,A96+加速!$L$11)+V96,""),"")</f>
        <v>123.22</v>
      </c>
      <c r="B97" s="167" t="str">
        <f ca="1" t="shared" si="17"/>
        <v>夕照雷峰</v>
      </c>
      <c r="C97">
        <f ca="1" t="shared" si="26"/>
        <v>15</v>
      </c>
      <c r="D97">
        <f ca="1">IF(B97&lt;&gt;"",IF(C96&lt;=加速!$L$11*(1-E97),0,1),"")</f>
        <v>1</v>
      </c>
      <c r="E97">
        <f ca="1" t="shared" si="23"/>
        <v>0</v>
      </c>
      <c r="G97">
        <f ca="1" t="shared" si="24"/>
        <v>0</v>
      </c>
      <c r="H97">
        <f ca="1">IF(B97&lt;&gt;"",IF(AND(COUNTIF(B96,"*轻*莺鸣柳*")&gt;0,COUNTIF(B97,"*轻*")&lt;1),MAX(0,15+I96-(A97-A96)+COUNTIF(B96,"*平湖*")*0),IF(AND(E97=0,MAX(0,H96-(A97-A96))&lt;=加速!$H$11),0,MAX(0,H96-(A97-A96)))),"")</f>
        <v>0</v>
      </c>
      <c r="I97">
        <f ca="1" t="shared" si="30"/>
        <v>0</v>
      </c>
      <c r="J97">
        <f ca="1" t="shared" si="31"/>
        <v>0</v>
      </c>
      <c r="K97">
        <f ca="1" t="shared" si="18"/>
        <v>2</v>
      </c>
      <c r="L97">
        <f ca="1">IFERROR(IF(AND(COUNTIF(B97,"*-峰插*"),技能数据库!$M$72&gt;0),0,IF(COUNTIF(B97,"*鹤归*")&gt;0,16-加速!$L$11,MAX(0,L96-(A97-A96)))),0)</f>
        <v>4.38999999999995</v>
      </c>
      <c r="M97">
        <f ca="1" t="shared" si="19"/>
        <v>0</v>
      </c>
      <c r="N97">
        <f ca="1">IFERROR(IF(AND(COUNTIF(B97,"*-峰插*"),技能数据库!$M$72&gt;0),0,IF(COUNTIF(B97,"*云飞*")&gt;0,4-COUNTIF(B97,"*玉山揽云*")*4--COUNTIF(B97,"*烟流暮景*")*4-COUNTIF(B97,"*云景*")*加速!$L$11-IF(J97&gt;0,2,0),MAX(0,N96-(A97-A96)-IF(J97&gt;0,2,0)))),0)</f>
        <v>2.70999999999999</v>
      </c>
      <c r="O97">
        <f ca="1">IF(AND(COUNTIF(IF(AND(配装计算器!$K$30&lt;&gt;"∞",0),INDEX(AU96:CB96,1,$AT$1),INDEX(AU98:CB98,1,$AT$1)),"*云飞*")=1,COUNTIF(IF(AND(配装计算器!$K$30&lt;&gt;"∞",0),INDEX(AU96:CB96,1,$AT$1),INDEX(AU98:CB98,1,$AT$1)),"*玉山*")=0),N97,0)</f>
        <v>0</v>
      </c>
      <c r="P97">
        <f ca="1">IFERROR(IF(COUNTIF(B97,"*云栖松*")&gt;0,50-加速!$L$11,MAX(0,P96-(A97-A96))),0)</f>
        <v>0</v>
      </c>
      <c r="Q97">
        <f ca="1">IF(COUNTIF(IF(AND(配装计算器!$K$30&lt;&gt;"∞",0),INDEX(AU96:CB96,1,$AT$1),INDEX(AU98:CB98,1,$AT$1)),"*云栖松*")=1,P97,0)</f>
        <v>0</v>
      </c>
      <c r="R97">
        <f ca="1">IFERROR(IF(COUNTIF(B97,"*莺鸣柳*")&gt;0,45-加速!$L$9,MAX(0,R96-(A97-A96))),0)</f>
        <v>0</v>
      </c>
      <c r="S97">
        <f ca="1">IF(COUNTIF(IF(AND(配装计算器!$K$30&lt;&gt;"∞",0),INDEX(AU96:CB96,1,$AT$1),INDEX(AU98:CB98,1,$AT$1)),"*莺鸣柳*")=1,R97,0)</f>
        <v>0</v>
      </c>
      <c r="T97">
        <f ca="1" t="shared" si="27"/>
        <v>0</v>
      </c>
      <c r="U97">
        <f ca="1">IF(金蛇,IF(COUNTIF(B97,"*金环戴*")+COUNTIF(B97,"*吹风醒*")&gt;0,IF(A97&lt;=3,7.125-2.625-A97-加速!$L$11,7.125+加速!$K$9-(A97+加速!$L$11-T97)),0),0)+IF(金蛇,IF(COUNTIF(B97,"*千切子裂光*")&gt;0,2+加速!$K$9-(A97+加速!$L$11-T97),0),0)</f>
        <v>0</v>
      </c>
      <c r="V97">
        <f ca="1" t="shared" si="28"/>
        <v>0</v>
      </c>
      <c r="W97">
        <f ca="1" t="shared" si="20"/>
        <v>0</v>
      </c>
      <c r="X97">
        <f ca="1">INDEX(加速!$I$13:$I$21,W97+1)</f>
        <v>0</v>
      </c>
      <c r="Y97">
        <f ca="1" t="shared" si="29"/>
        <v>0.5</v>
      </c>
      <c r="Z97">
        <f ca="1" t="shared" si="25"/>
        <v>0</v>
      </c>
      <c r="AA97">
        <f ca="1">MAX(0,IFERROR(IF(COUNTIF(B97,"*叠*")&gt;0,IF(AC96&lt;3,8-A98+A97,AA96+6.875-A98+A97),AA96-A98+A97),AA96-加速!$L$11))</f>
        <v>0</v>
      </c>
      <c r="AB97">
        <f ca="1">MAX(0,IF(COUNTIF(IF(AND(配装计算器!$K$30&lt;&gt;"∞",0),INDEX(AU97:CB97,1,$AT$1),INDEX(AU97:CB97,1,$AT$1)),"*叠1*")=1,4*25-加速!$L$11,AB96-A97+A96)-IF(OR(COUNTIF(OFFSET(AT97,0,$AT$1,1,1),"*听雷*")&gt;0,AND(碧归&gt;0,COUNTIF(OFFSET(AT97,0,$AT$1,1,1),"*风来*")&gt;0)),0,1)*1.5)</f>
        <v>48.4899999999999</v>
      </c>
      <c r="AC97">
        <f ca="1" t="shared" si="21"/>
        <v>0</v>
      </c>
      <c r="AD97">
        <f ca="1">IF(COUNTIF(IF(AND(配装计算器!$K$30&lt;&gt;"∞",0),INDEX(AU97:CB97,1,$AT$1),INDEX(AU98:CB98,1,$AT$1)),"*叠1*")=1,AB97*0+AE96,0)</f>
        <v>0</v>
      </c>
      <c r="AE97">
        <f ca="1">IF($AN$11&gt;0,IF(COUNTIF(B98,"*叠1*")&gt;0,50-加速!$L$11,MAX(0,AE96-(A98-A97))),0)</f>
        <v>24.1999999999999</v>
      </c>
      <c r="AG97">
        <f ca="1" t="shared" si="22"/>
        <v>3</v>
      </c>
      <c r="AH97" t="s">
        <v>1825</v>
      </c>
      <c r="AI97" s="161" t="s">
        <v>2783</v>
      </c>
      <c r="AJ97">
        <f ca="1">AJ95+AJ100</f>
        <v>0</v>
      </c>
      <c r="AK97" t="s">
        <v>2948</v>
      </c>
      <c r="AU97" s="176" t="s">
        <v>2794</v>
      </c>
      <c r="AV97">
        <v>2</v>
      </c>
      <c r="AW97" t="str">
        <f t="shared" si="33"/>
        <v>夕照雷峰</v>
      </c>
      <c r="AX97">
        <v>2</v>
      </c>
      <c r="AY97" t="s">
        <v>2768</v>
      </c>
      <c r="AZ97">
        <v>2</v>
      </c>
      <c r="BA97" t="s">
        <v>2768</v>
      </c>
      <c r="BB97">
        <v>2</v>
      </c>
      <c r="BC97" t="s">
        <v>2776</v>
      </c>
      <c r="BD97">
        <v>1</v>
      </c>
      <c r="BE97" t="s">
        <v>2776</v>
      </c>
      <c r="BF97">
        <v>2</v>
      </c>
      <c r="BG97" t="s">
        <v>2776</v>
      </c>
      <c r="BH97">
        <v>2</v>
      </c>
      <c r="BI97" t="s">
        <v>2768</v>
      </c>
      <c r="BJ97">
        <v>2</v>
      </c>
      <c r="BK97" t="s">
        <v>3026</v>
      </c>
      <c r="BL97">
        <v>2</v>
      </c>
      <c r="BM97" t="s">
        <v>2776</v>
      </c>
      <c r="BN97">
        <v>2</v>
      </c>
      <c r="BO97" t="s">
        <v>2768</v>
      </c>
      <c r="BP97">
        <v>2</v>
      </c>
      <c r="BQ97" t="s">
        <v>2768</v>
      </c>
      <c r="BR97">
        <v>2</v>
      </c>
      <c r="BS97" t="s">
        <v>2776</v>
      </c>
      <c r="BT97">
        <v>2</v>
      </c>
      <c r="BU97" t="s">
        <v>3055</v>
      </c>
      <c r="BV97">
        <v>0</v>
      </c>
      <c r="BW97" s="179" t="s">
        <v>2768</v>
      </c>
      <c r="BX97" s="179">
        <v>2</v>
      </c>
      <c r="BY97" s="176" t="s">
        <v>2776</v>
      </c>
      <c r="BZ97">
        <v>2</v>
      </c>
      <c r="CA97" t="s">
        <v>2776</v>
      </c>
      <c r="CB97">
        <v>2</v>
      </c>
    </row>
    <row r="98" spans="1:80">
      <c r="A98" s="178">
        <f ca="1">IFERROR(IF(AG97&lt;5+金蛇*2,IF(COUNTIF(B97,"*轻*")&gt;0,A97+加速!$L$9,A97+加速!$L$11)+V97,""),"")</f>
        <v>124.51</v>
      </c>
      <c r="B98" s="167" t="str">
        <f ca="1" t="shared" si="17"/>
        <v>夕照雷峰</v>
      </c>
      <c r="C98">
        <f ca="1" t="shared" si="26"/>
        <v>15</v>
      </c>
      <c r="D98">
        <f ca="1">IF(B98&lt;&gt;"",IF(C97&lt;=加速!$L$11*(1-E98),0,1),"")</f>
        <v>1</v>
      </c>
      <c r="E98">
        <f ca="1" t="shared" si="23"/>
        <v>0</v>
      </c>
      <c r="G98">
        <f ca="1" t="shared" si="24"/>
        <v>0</v>
      </c>
      <c r="H98">
        <f ca="1">IF(B98&lt;&gt;"",IF(AND(COUNTIF(B97,"*轻*莺鸣柳*")&gt;0,COUNTIF(B98,"*轻*")&lt;1),MAX(0,15+I97-(A98-A97)+COUNTIF(B97,"*平湖*")*0),IF(AND(E98=0,MAX(0,H97-(A98-A97))&lt;=加速!$H$11),0,MAX(0,H97-(A98-A97)))),"")</f>
        <v>0</v>
      </c>
      <c r="I98">
        <f ca="1" t="shared" si="30"/>
        <v>0</v>
      </c>
      <c r="J98">
        <f ca="1" t="shared" si="31"/>
        <v>0</v>
      </c>
      <c r="K98">
        <f ca="1" t="shared" si="18"/>
        <v>1</v>
      </c>
      <c r="L98">
        <f ca="1">IFERROR(IF(AND(COUNTIF(B98,"*-峰插*"),技能数据库!$M$72&gt;0),0,IF(COUNTIF(B98,"*鹤归*")&gt;0,16-加速!$L$11,MAX(0,L97-(A98-A97)))),0)</f>
        <v>3.09999999999994</v>
      </c>
      <c r="M98">
        <f ca="1" t="shared" si="19"/>
        <v>0</v>
      </c>
      <c r="N98">
        <f ca="1">IFERROR(IF(AND(COUNTIF(B98,"*-峰插*"),技能数据库!$M$72&gt;0),0,IF(COUNTIF(B98,"*云飞*")&gt;0,4-COUNTIF(B98,"*玉山揽云*")*4--COUNTIF(B98,"*烟流暮景*")*4-COUNTIF(B98,"*云景*")*加速!$L$11-IF(J98&gt;0,2,0),MAX(0,N97-(A98-A97)-IF(J98&gt;0,2,0)))),0)</f>
        <v>1.41999999999999</v>
      </c>
      <c r="O98">
        <f ca="1">IF(AND(COUNTIF(IF(AND(配装计算器!$K$30&lt;&gt;"∞",0),INDEX(AU97:CB97,1,$AT$1),INDEX(AU99:CB99,1,$AT$1)),"*云飞*")=1,COUNTIF(IF(AND(配装计算器!$K$30&lt;&gt;"∞",0),INDEX(AU97:CB97,1,$AT$1),INDEX(AU99:CB99,1,$AT$1)),"*玉山*")=0),N98,0)</f>
        <v>0</v>
      </c>
      <c r="P98">
        <f ca="1">IFERROR(IF(COUNTIF(B98,"*云栖松*")&gt;0,50-加速!$L$11,MAX(0,P97-(A98-A97))),0)</f>
        <v>0</v>
      </c>
      <c r="Q98">
        <f ca="1">IF(COUNTIF(IF(AND(配装计算器!$K$30&lt;&gt;"∞",0),INDEX(AU97:CB97,1,$AT$1),INDEX(AU99:CB99,1,$AT$1)),"*云栖松*")=1,P98,0)</f>
        <v>0</v>
      </c>
      <c r="R98">
        <f ca="1">IFERROR(IF(COUNTIF(B98,"*莺鸣柳*")&gt;0,45-加速!$L$9,MAX(0,R97-(A98-A97))),0)</f>
        <v>0</v>
      </c>
      <c r="S98">
        <f ca="1">IF(COUNTIF(IF(AND(配装计算器!$K$30&lt;&gt;"∞",0),INDEX(AU97:CB97,1,$AT$1),INDEX(AU99:CB99,1,$AT$1)),"*莺鸣柳*")=1,R98,0)</f>
        <v>0</v>
      </c>
      <c r="T98">
        <f ca="1" t="shared" si="27"/>
        <v>0</v>
      </c>
      <c r="U98">
        <f ca="1">IF(金蛇,IF(COUNTIF(B98,"*金环戴*")+COUNTIF(B98,"*吹风醒*")&gt;0,IF(A98&lt;=3,7.125-2.625-A98-加速!$L$11,7.125+加速!$K$9-(A98+加速!$L$11-T98)),0),0)+IF(金蛇,IF(COUNTIF(B98,"*千切子裂光*")&gt;0,2+加速!$K$9-(A98+加速!$L$11-T98),0),0)</f>
        <v>0</v>
      </c>
      <c r="V98">
        <f ca="1" t="shared" si="28"/>
        <v>0</v>
      </c>
      <c r="W98">
        <f ca="1" t="shared" si="20"/>
        <v>0</v>
      </c>
      <c r="X98">
        <f ca="1">INDEX(加速!$I$13:$I$21,W98+1)</f>
        <v>0</v>
      </c>
      <c r="Y98">
        <f ca="1" t="shared" si="29"/>
        <v>0.5</v>
      </c>
      <c r="Z98">
        <f ca="1" t="shared" si="25"/>
        <v>0</v>
      </c>
      <c r="AA98">
        <f ca="1">MAX(0,IFERROR(IF(COUNTIF(B98,"*叠*")&gt;0,IF(AC97&lt;3,8-A99+A98,AA97+6.875-A99+A98),AA97-A99+A98),AA97-加速!$L$11))</f>
        <v>0</v>
      </c>
      <c r="AB98">
        <f ca="1">MAX(0,IF(COUNTIF(IF(AND(配装计算器!$K$30&lt;&gt;"∞",0),INDEX(AU98:CB98,1,$AT$1),INDEX(AU98:CB98,1,$AT$1)),"*叠1*")=1,4*25-加速!$L$11,AB97-A98+A97)-IF(OR(COUNTIF(OFFSET(AT98,0,$AT$1,1,1),"*听雷*")&gt;0,AND(碧归&gt;0,COUNTIF(OFFSET(AT98,0,$AT$1,1,1),"*风来*")&gt;0)),0,1)*1.5)</f>
        <v>45.6999999999999</v>
      </c>
      <c r="AC98">
        <f ca="1" t="shared" si="21"/>
        <v>0</v>
      </c>
      <c r="AD98">
        <f ca="1">IF(COUNTIF(IF(AND(配装计算器!$K$30&lt;&gt;"∞",0),INDEX(AU98:CB98,1,$AT$1),INDEX(AU99:CB99,1,$AT$1)),"*叠1*")=1,AB98*0+AE97,0)</f>
        <v>0</v>
      </c>
      <c r="AE98">
        <f ca="1">IF($AN$11&gt;0,IF(COUNTIF(B99,"*叠1*")&gt;0,50-加速!$L$11,MAX(0,AE97-(A99-A98))),0)</f>
        <v>22.9099999999999</v>
      </c>
      <c r="AG98">
        <f ca="1" t="shared" si="22"/>
        <v>3</v>
      </c>
      <c r="AH98" t="s">
        <v>1825</v>
      </c>
      <c r="AI98" t="s">
        <v>2786</v>
      </c>
      <c r="AJ98">
        <f ca="1">AJ95+AJ100</f>
        <v>0</v>
      </c>
      <c r="AK98" t="s">
        <v>2948</v>
      </c>
      <c r="AU98" s="176" t="s">
        <v>2768</v>
      </c>
      <c r="AV98">
        <v>2</v>
      </c>
      <c r="AW98" t="s">
        <v>2776</v>
      </c>
      <c r="AX98">
        <v>2</v>
      </c>
      <c r="AY98" t="s">
        <v>2776</v>
      </c>
      <c r="AZ98">
        <v>2</v>
      </c>
      <c r="BA98" t="s">
        <v>2776</v>
      </c>
      <c r="BB98">
        <v>2</v>
      </c>
      <c r="BC98" t="s">
        <v>2768</v>
      </c>
      <c r="BD98">
        <v>1</v>
      </c>
      <c r="BE98" t="s">
        <v>2768</v>
      </c>
      <c r="BF98">
        <v>2</v>
      </c>
      <c r="BG98" t="s">
        <v>2768</v>
      </c>
      <c r="BH98">
        <v>2</v>
      </c>
      <c r="BI98" s="176" t="s">
        <v>2768</v>
      </c>
      <c r="BJ98">
        <v>1</v>
      </c>
      <c r="BK98" s="176" t="s">
        <v>3026</v>
      </c>
      <c r="BL98">
        <v>2</v>
      </c>
      <c r="BM98" t="s">
        <v>2768</v>
      </c>
      <c r="BN98">
        <v>2</v>
      </c>
      <c r="BO98" t="s">
        <v>2776</v>
      </c>
      <c r="BP98">
        <v>2</v>
      </c>
      <c r="BQ98" t="s">
        <v>2776</v>
      </c>
      <c r="BR98">
        <v>2</v>
      </c>
      <c r="BS98" t="s">
        <v>2768</v>
      </c>
      <c r="BT98">
        <v>2</v>
      </c>
      <c r="BU98" t="s">
        <v>2776</v>
      </c>
      <c r="BV98">
        <v>2</v>
      </c>
      <c r="BW98" s="179" t="s">
        <v>2768</v>
      </c>
      <c r="BX98" s="179">
        <v>1</v>
      </c>
      <c r="BY98" s="176" t="s">
        <v>2768</v>
      </c>
      <c r="BZ98">
        <v>1</v>
      </c>
      <c r="CA98" t="s">
        <v>2718</v>
      </c>
      <c r="CB98">
        <v>0</v>
      </c>
    </row>
    <row r="99" spans="1:80">
      <c r="A99" s="178">
        <f ca="1">IFERROR(IF(AG98&lt;5+金蛇*2,IF(COUNTIF(B98,"*轻*")&gt;0,A98+加速!$L$9,A98+加速!$L$11)+V98,""),"")</f>
        <v>125.8</v>
      </c>
      <c r="B99" s="167" t="str">
        <f ca="1" t="shared" si="17"/>
        <v>夕照雷峰</v>
      </c>
      <c r="C99">
        <f ca="1" t="shared" si="26"/>
        <v>15</v>
      </c>
      <c r="D99">
        <f ca="1">IF(B99&lt;&gt;"",IF(C98&lt;=加速!$L$11*(1-E99),0,1),"")</f>
        <v>1</v>
      </c>
      <c r="E99">
        <f ca="1" t="shared" si="23"/>
        <v>0</v>
      </c>
      <c r="G99">
        <f ca="1" t="shared" si="24"/>
        <v>0</v>
      </c>
      <c r="H99">
        <f ca="1">IF(B99&lt;&gt;"",IF(AND(COUNTIF(B98,"*轻*莺鸣柳*")&gt;0,COUNTIF(B99,"*轻*")&lt;1),MAX(0,15+I98-(A99-A98)+COUNTIF(B98,"*平湖*")*0),IF(AND(E99=0,MAX(0,H98-(A99-A98))&lt;=加速!$H$11),0,MAX(0,H98-(A99-A98)))),"")</f>
        <v>0</v>
      </c>
      <c r="I99">
        <f ca="1" t="shared" si="30"/>
        <v>0</v>
      </c>
      <c r="J99">
        <f ca="1" t="shared" si="31"/>
        <v>0</v>
      </c>
      <c r="K99">
        <f ca="1" t="shared" si="18"/>
        <v>1</v>
      </c>
      <c r="L99">
        <f ca="1">IFERROR(IF(AND(COUNTIF(B99,"*-峰插*"),技能数据库!$M$72&gt;0),0,IF(COUNTIF(B99,"*鹤归*")&gt;0,16-加速!$L$11,MAX(0,L98-(A99-A98)))),0)</f>
        <v>1.80999999999994</v>
      </c>
      <c r="M99">
        <f ca="1" t="shared" si="19"/>
        <v>0</v>
      </c>
      <c r="N99">
        <f ca="1">IFERROR(IF(AND(COUNTIF(B99,"*-峰插*"),技能数据库!$M$72&gt;0),0,IF(COUNTIF(B99,"*云飞*")&gt;0,4-COUNTIF(B99,"*玉山揽云*")*4--COUNTIF(B99,"*烟流暮景*")*4-COUNTIF(B99,"*云景*")*加速!$L$11-IF(J99&gt;0,2,0),MAX(0,N98-(A99-A98)-IF(J99&gt;0,2,0)))),0)</f>
        <v>0.129999999999981</v>
      </c>
      <c r="O99">
        <f ca="1">IF(AND(COUNTIF(IF(AND(配装计算器!$K$30&lt;&gt;"∞",0),INDEX(AU98:CB98,1,$AT$1),INDEX(AU100:CB100,1,$AT$1)),"*云飞*")=1,COUNTIF(IF(AND(配装计算器!$K$30&lt;&gt;"∞",0),INDEX(AU98:CB98,1,$AT$1),INDEX(AU100:CB100,1,$AT$1)),"*玉山*")=0),N99,0)</f>
        <v>0.129999999999981</v>
      </c>
      <c r="P99">
        <f ca="1">IFERROR(IF(COUNTIF(B99,"*云栖松*")&gt;0,50-加速!$L$11,MAX(0,P98-(A99-A98))),0)</f>
        <v>0</v>
      </c>
      <c r="Q99">
        <f ca="1">IF(COUNTIF(IF(AND(配装计算器!$K$30&lt;&gt;"∞",0),INDEX(AU98:CB98,1,$AT$1),INDEX(AU100:CB100,1,$AT$1)),"*云栖松*")=1,P99,0)</f>
        <v>0</v>
      </c>
      <c r="R99">
        <f ca="1">IFERROR(IF(COUNTIF(B99,"*莺鸣柳*")&gt;0,45-加速!$L$9,MAX(0,R98-(A99-A98))),0)</f>
        <v>0</v>
      </c>
      <c r="S99">
        <f ca="1">IF(COUNTIF(IF(AND(配装计算器!$K$30&lt;&gt;"∞",0),INDEX(AU98:CB98,1,$AT$1),INDEX(AU100:CB100,1,$AT$1)),"*莺鸣柳*")=1,R99,0)</f>
        <v>0</v>
      </c>
      <c r="T99">
        <f ca="1" t="shared" si="27"/>
        <v>0</v>
      </c>
      <c r="U99">
        <f ca="1">IF(金蛇,IF(COUNTIF(B99,"*金环戴*")+COUNTIF(B99,"*吹风醒*")&gt;0,IF(A99&lt;=3,7.125-2.625-A99-加速!$L$11,7.125+加速!$K$9-(A99+加速!$L$11-T99)),0),0)+IF(金蛇,IF(COUNTIF(B99,"*千切子裂光*")&gt;0,2+加速!$K$9-(A99+加速!$L$11-T99),0),0)</f>
        <v>0</v>
      </c>
      <c r="V99">
        <f ca="1" t="shared" si="28"/>
        <v>0.129999999999981</v>
      </c>
      <c r="W99">
        <f ca="1" t="shared" si="20"/>
        <v>0</v>
      </c>
      <c r="X99">
        <f ca="1">INDEX(加速!$I$13:$I$21,W99+1)</f>
        <v>0</v>
      </c>
      <c r="Y99">
        <f ca="1" t="shared" si="29"/>
        <v>0.5</v>
      </c>
      <c r="Z99">
        <f ca="1" t="shared" si="25"/>
        <v>0</v>
      </c>
      <c r="AA99">
        <f ca="1">MAX(0,IFERROR(IF(COUNTIF(B99,"*叠*")&gt;0,IF(AC98&lt;3,8-A100+A99,AA98+6.875-A100+A99),AA98-A100+A99),AA98-加速!$L$11))</f>
        <v>0</v>
      </c>
      <c r="AB99">
        <f ca="1">MAX(0,IF(COUNTIF(IF(AND(配装计算器!$K$30&lt;&gt;"∞",0),INDEX(AU99:CB99,1,$AT$1),INDEX(AU99:CB99,1,$AT$1)),"*叠1*")=1,4*25-加速!$L$11,AB98-A99+A98)-IF(OR(COUNTIF(OFFSET(AT99,0,$AT$1,1,1),"*听雷*")&gt;0,AND(碧归&gt;0,COUNTIF(OFFSET(AT99,0,$AT$1,1,1),"*风来*")&gt;0)),0,1)*1.5)</f>
        <v>42.9099999999999</v>
      </c>
      <c r="AC99">
        <f ca="1" t="shared" si="21"/>
        <v>0</v>
      </c>
      <c r="AD99">
        <f ca="1">IF(COUNTIF(IF(AND(配装计算器!$K$30&lt;&gt;"∞",0),INDEX(AU99:CB99,1,$AT$1),INDEX(AU100:CB100,1,$AT$1)),"*叠1*")=1,AB99*0+AE98,0)</f>
        <v>0</v>
      </c>
      <c r="AE99">
        <f ca="1">IF($AN$11&gt;0,IF(COUNTIF(B100,"*叠1*")&gt;0,50-加速!$L$11,MAX(0,AE98-(A100-A99))),0)</f>
        <v>21.4899999999999</v>
      </c>
      <c r="AG99">
        <f ca="1" t="shared" si="22"/>
        <v>3</v>
      </c>
      <c r="AH99" t="s">
        <v>1825</v>
      </c>
      <c r="AI99" t="s">
        <v>2718</v>
      </c>
      <c r="AJ99">
        <f ca="1">循环比*COUNTIFS($B$3:$B$515,"*"&amp;AI99&amp;"*",$D$3:$D$515,"&gt;0",$H$3:$H$515,"=0",$G$3:$G$515,"=0",$K$3:$K$515,"&gt;=0",$AC$3:$AC$515,"=0")</f>
        <v>0</v>
      </c>
      <c r="AK99" t="s">
        <v>2750</v>
      </c>
      <c r="AU99" s="176" t="s">
        <v>2776</v>
      </c>
      <c r="AV99">
        <v>2</v>
      </c>
      <c r="AW99" t="s">
        <v>2768</v>
      </c>
      <c r="AX99">
        <v>2</v>
      </c>
      <c r="AY99" t="s">
        <v>2768</v>
      </c>
      <c r="AZ99">
        <v>2</v>
      </c>
      <c r="BA99" t="s">
        <v>2768</v>
      </c>
      <c r="BB99">
        <v>2</v>
      </c>
      <c r="BC99" t="s">
        <v>2794</v>
      </c>
      <c r="BD99">
        <v>2</v>
      </c>
      <c r="BE99" t="s">
        <v>2776</v>
      </c>
      <c r="BF99">
        <v>1</v>
      </c>
      <c r="BG99" t="s">
        <v>2776</v>
      </c>
      <c r="BH99">
        <v>2</v>
      </c>
      <c r="BI99" s="176" t="s">
        <v>2768</v>
      </c>
      <c r="BJ99">
        <v>1</v>
      </c>
      <c r="BK99" s="176" t="s">
        <v>2776</v>
      </c>
      <c r="BL99">
        <v>2</v>
      </c>
      <c r="BM99" t="s">
        <v>2768</v>
      </c>
      <c r="BN99">
        <v>2</v>
      </c>
      <c r="BO99" t="s">
        <v>2768</v>
      </c>
      <c r="BP99">
        <v>1</v>
      </c>
      <c r="BQ99" t="s">
        <v>2768</v>
      </c>
      <c r="BR99">
        <v>2</v>
      </c>
      <c r="BS99" t="s">
        <v>2776</v>
      </c>
      <c r="BT99">
        <v>1</v>
      </c>
      <c r="BU99" t="s">
        <v>2768</v>
      </c>
      <c r="BV99">
        <v>2</v>
      </c>
      <c r="BW99" s="179" t="s">
        <v>2768</v>
      </c>
      <c r="BX99" s="179">
        <v>1</v>
      </c>
      <c r="BY99" s="176" t="s">
        <v>2776</v>
      </c>
      <c r="BZ99">
        <v>1</v>
      </c>
      <c r="CA99" t="s">
        <v>2768</v>
      </c>
      <c r="CB99">
        <v>2</v>
      </c>
    </row>
    <row r="100" spans="1:80">
      <c r="A100" s="178">
        <f ca="1">IFERROR(IF(AG99&lt;5+金蛇*2,IF(COUNTIF(B99,"*轻*")&gt;0,A99+加速!$L$9,A99+加速!$L$11)+V99,""),"")</f>
        <v>127.22</v>
      </c>
      <c r="B100" s="167" t="str">
        <f ca="1" t="shared" si="17"/>
        <v>云飞玉皇</v>
      </c>
      <c r="C100">
        <f ca="1" t="shared" si="26"/>
        <v>13.58</v>
      </c>
      <c r="D100">
        <f ca="1">IF(B100&lt;&gt;"",IF(C99&lt;=加速!$L$11*(1-E100),0,1),"")</f>
        <v>1</v>
      </c>
      <c r="E100">
        <f ca="1" t="shared" si="23"/>
        <v>0</v>
      </c>
      <c r="G100">
        <f ca="1" t="shared" si="24"/>
        <v>0</v>
      </c>
      <c r="H100">
        <f ca="1">IF(B100&lt;&gt;"",IF(AND(COUNTIF(B99,"*轻*莺鸣柳*")&gt;0,COUNTIF(B100,"*轻*")&lt;1),MAX(0,15+I99-(A100-A99)+COUNTIF(B99,"*平湖*")*0),IF(AND(E100=0,MAX(0,H99-(A100-A99))&lt;=加速!$H$11),0,MAX(0,H99-(A100-A99)))),"")</f>
        <v>0</v>
      </c>
      <c r="I100">
        <f ca="1" t="shared" si="30"/>
        <v>0</v>
      </c>
      <c r="J100">
        <f ca="1" t="shared" si="31"/>
        <v>0</v>
      </c>
      <c r="K100">
        <f ca="1" t="shared" si="18"/>
        <v>0</v>
      </c>
      <c r="L100">
        <f ca="1">IFERROR(IF(AND(COUNTIF(B100,"*-峰插*"),技能数据库!$M$72&gt;0),0,IF(COUNTIF(B100,"*鹤归*")&gt;0,16-加速!$L$11,MAX(0,L99-(A100-A99)))),0)</f>
        <v>0.389999999999951</v>
      </c>
      <c r="M100">
        <f ca="1" t="shared" si="19"/>
        <v>0.389999999999951</v>
      </c>
      <c r="N100">
        <f ca="1">IFERROR(IF(AND(COUNTIF(B100,"*-峰插*"),技能数据库!$M$72&gt;0),0,IF(COUNTIF(B100,"*云飞*")&gt;0,4-COUNTIF(B100,"*玉山揽云*")*4--COUNTIF(B100,"*烟流暮景*")*4-COUNTIF(B100,"*云景*")*加速!$L$11-IF(J100&gt;0,2,0),MAX(0,N99-(A100-A99)-IF(J100&gt;0,2,0)))),0)</f>
        <v>4</v>
      </c>
      <c r="O100">
        <f ca="1">IF(AND(COUNTIF(IF(AND(配装计算器!$K$30&lt;&gt;"∞",0),INDEX(AU99:CB99,1,$AT$1),INDEX(AU101:CB101,1,$AT$1)),"*云飞*")=1,COUNTIF(IF(AND(配装计算器!$K$30&lt;&gt;"∞",0),INDEX(AU99:CB99,1,$AT$1),INDEX(AU101:CB101,1,$AT$1)),"*玉山*")=0),N100,0)</f>
        <v>0</v>
      </c>
      <c r="P100">
        <f ca="1">IFERROR(IF(COUNTIF(B100,"*云栖松*")&gt;0,50-加速!$L$11,MAX(0,P99-(A100-A99))),0)</f>
        <v>0</v>
      </c>
      <c r="Q100">
        <f ca="1">IF(COUNTIF(IF(AND(配装计算器!$K$30&lt;&gt;"∞",0),INDEX(AU99:CB99,1,$AT$1),INDEX(AU101:CB101,1,$AT$1)),"*云栖松*")=1,P100,0)</f>
        <v>0</v>
      </c>
      <c r="R100">
        <f ca="1">IFERROR(IF(COUNTIF(B100,"*莺鸣柳*")&gt;0,45-加速!$L$9,MAX(0,R99-(A100-A99))),0)</f>
        <v>0</v>
      </c>
      <c r="S100">
        <f ca="1">IF(COUNTIF(IF(AND(配装计算器!$K$30&lt;&gt;"∞",0),INDEX(AU99:CB99,1,$AT$1),INDEX(AU101:CB101,1,$AT$1)),"*莺鸣柳*")=1,R100,0)</f>
        <v>0</v>
      </c>
      <c r="T100">
        <f ca="1" t="shared" si="27"/>
        <v>0</v>
      </c>
      <c r="U100">
        <f ca="1">IF(金蛇,IF(COUNTIF(B100,"*金环戴*")+COUNTIF(B100,"*吹风醒*")&gt;0,IF(A100&lt;=3,7.125-2.625-A100-加速!$L$11,7.125+加速!$K$9-(A100+加速!$L$11-T100)),0),0)+IF(金蛇,IF(COUNTIF(B100,"*千切子裂光*")&gt;0,2+加速!$K$9-(A100+加速!$L$11-T100),0),0)</f>
        <v>0</v>
      </c>
      <c r="V100">
        <f ca="1" t="shared" si="28"/>
        <v>0.389999999999951</v>
      </c>
      <c r="W100">
        <f ca="1" t="shared" si="20"/>
        <v>0</v>
      </c>
      <c r="X100">
        <f ca="1">INDEX(加速!$I$13:$I$21,W100+1)</f>
        <v>0</v>
      </c>
      <c r="Y100">
        <f ca="1" t="shared" si="29"/>
        <v>0.5</v>
      </c>
      <c r="Z100">
        <f ca="1" t="shared" si="25"/>
        <v>0</v>
      </c>
      <c r="AA100">
        <f ca="1">MAX(0,IFERROR(IF(COUNTIF(B100,"*叠*")&gt;0,IF(AC99&lt;3,8-A101+A100,AA99+6.875-A101+A100),AA99-A101+A100),AA99-加速!$L$11))</f>
        <v>0</v>
      </c>
      <c r="AB100">
        <f ca="1">MAX(0,IF(COUNTIF(IF(AND(配装计算器!$K$30&lt;&gt;"∞",0),INDEX(AU100:CB100,1,$AT$1),INDEX(AU100:CB100,1,$AT$1)),"*叠1*")=1,4*25-加速!$L$11,AB99-A100+A99)-IF(OR(COUNTIF(OFFSET(AT100,0,$AT$1,1,1),"*听雷*")&gt;0,AND(碧归&gt;0,COUNTIF(OFFSET(AT100,0,$AT$1,1,1),"*风来*")&gt;0)),0,1)*1.5)</f>
        <v>39.9899999999999</v>
      </c>
      <c r="AC100">
        <f ca="1" t="shared" si="21"/>
        <v>0</v>
      </c>
      <c r="AD100">
        <f ca="1">IF(COUNTIF(IF(AND(配装计算器!$K$30&lt;&gt;"∞",0),INDEX(AU100:CB100,1,$AT$1),INDEX(AU101:CB101,1,$AT$1)),"*叠1*")=1,AB100*0+AE99,0)</f>
        <v>0</v>
      </c>
      <c r="AE100">
        <f ca="1">IF($AN$11&gt;0,IF(COUNTIF(B101,"*叠1*")&gt;0,50-加速!$L$11,MAX(0,AE99-(A101-A100))),0)</f>
        <v>19.8099999999999</v>
      </c>
      <c r="AG100">
        <f ca="1" t="shared" si="22"/>
        <v>3</v>
      </c>
      <c r="AH100" t="s">
        <v>1825</v>
      </c>
      <c r="AI100" t="s">
        <v>2776</v>
      </c>
      <c r="AJ100">
        <f ca="1">循环比*COUNTIFS($B$3:$B$515,"*"&amp;AI100&amp;"*",$D$3:$D$515,"=0",$H$3:$H$515,"&gt;0",$G$3:$G$515,"&gt;0",$K$3:$K$515,"=2")</f>
        <v>0</v>
      </c>
      <c r="AK100" t="s">
        <v>3102</v>
      </c>
      <c r="AU100" s="176" t="s">
        <v>2768</v>
      </c>
      <c r="AV100">
        <v>2</v>
      </c>
      <c r="AW100" t="s">
        <v>2768</v>
      </c>
      <c r="AX100">
        <v>2</v>
      </c>
      <c r="AY100" t="s">
        <v>2776</v>
      </c>
      <c r="AZ100">
        <v>1</v>
      </c>
      <c r="BA100" t="s">
        <v>2776</v>
      </c>
      <c r="BB100">
        <v>1</v>
      </c>
      <c r="BC100" t="s">
        <v>2768</v>
      </c>
      <c r="BD100">
        <v>2</v>
      </c>
      <c r="BE100" t="s">
        <v>2768</v>
      </c>
      <c r="BF100">
        <v>1</v>
      </c>
      <c r="BG100" t="s">
        <v>2768</v>
      </c>
      <c r="BH100">
        <v>1</v>
      </c>
      <c r="BI100" s="176" t="s">
        <v>2776</v>
      </c>
      <c r="BJ100">
        <v>0</v>
      </c>
      <c r="BK100" s="176" t="s">
        <v>2794</v>
      </c>
      <c r="BL100">
        <v>2</v>
      </c>
      <c r="BM100" t="s">
        <v>2768</v>
      </c>
      <c r="BN100">
        <v>2</v>
      </c>
      <c r="BO100" t="s">
        <v>2722</v>
      </c>
      <c r="BP100">
        <v>0</v>
      </c>
      <c r="BQ100" t="s">
        <v>2776</v>
      </c>
      <c r="BR100">
        <v>1</v>
      </c>
      <c r="BS100" t="s">
        <v>2768</v>
      </c>
      <c r="BT100">
        <v>1</v>
      </c>
      <c r="BU100" t="s">
        <v>2776</v>
      </c>
      <c r="BV100">
        <v>2</v>
      </c>
      <c r="BW100" s="179" t="s">
        <v>2776</v>
      </c>
      <c r="BX100" s="179">
        <v>1</v>
      </c>
      <c r="BY100" s="176" t="s">
        <v>2768</v>
      </c>
      <c r="BZ100">
        <v>1</v>
      </c>
      <c r="CA100" t="s">
        <v>2768</v>
      </c>
      <c r="CB100">
        <v>1</v>
      </c>
    </row>
    <row r="101" spans="1:80">
      <c r="A101" s="178">
        <f ca="1">IFERROR(IF(AG100&lt;5+金蛇*2,IF(COUNTIF(B100,"*轻*")&gt;0,A100+加速!$L$9,A100+加速!$L$11)+V100,""),"")</f>
        <v>128.9</v>
      </c>
      <c r="B101" s="167" t="str">
        <f ca="1" t="shared" si="17"/>
        <v>鹤归孤山</v>
      </c>
      <c r="C101">
        <f ca="1" t="shared" si="26"/>
        <v>11.9</v>
      </c>
      <c r="D101">
        <f ca="1">IF(B101&lt;&gt;"",IF(C100&lt;=加速!$L$11*(1-E101),0,1),"")</f>
        <v>1</v>
      </c>
      <c r="E101">
        <f ca="1" t="shared" si="23"/>
        <v>1</v>
      </c>
      <c r="G101">
        <f ca="1" t="shared" si="24"/>
        <v>0</v>
      </c>
      <c r="H101">
        <f ca="1">IF(B101&lt;&gt;"",IF(AND(COUNTIF(B100,"*轻*莺鸣柳*")&gt;0,COUNTIF(B101,"*轻*")&lt;1),MAX(0,15+I100-(A101-A100)+COUNTIF(B100,"*平湖*")*0),IF(AND(E101=0,MAX(0,H100-(A101-A100))&lt;=加速!$H$11),0,MAX(0,H100-(A101-A100)))),"")</f>
        <v>0</v>
      </c>
      <c r="I101">
        <f ca="1" t="shared" si="30"/>
        <v>0</v>
      </c>
      <c r="J101">
        <f ca="1" t="shared" si="31"/>
        <v>0</v>
      </c>
      <c r="K101">
        <f ca="1" t="shared" si="18"/>
        <v>0</v>
      </c>
      <c r="L101">
        <f ca="1">IFERROR(IF(AND(COUNTIF(B101,"*-峰插*"),技能数据库!$M$72&gt;0),0,IF(COUNTIF(B101,"*鹤归*")&gt;0,16-加速!$L$11,MAX(0,L100-(A101-A100)))),0)</f>
        <v>14.71</v>
      </c>
      <c r="M101">
        <f ca="1" t="shared" si="19"/>
        <v>0</v>
      </c>
      <c r="N101">
        <f ca="1">IFERROR(IF(AND(COUNTIF(B101,"*-峰插*"),技能数据库!$M$72&gt;0),0,IF(COUNTIF(B101,"*云飞*")&gt;0,4-COUNTIF(B101,"*玉山揽云*")*4--COUNTIF(B101,"*烟流暮景*")*4-COUNTIF(B101,"*云景*")*加速!$L$11-IF(J101&gt;0,2,0),MAX(0,N100-(A101-A100)-IF(J101&gt;0,2,0)))),0)</f>
        <v>2.32000000000004</v>
      </c>
      <c r="O101">
        <f ca="1">IF(AND(COUNTIF(IF(AND(配装计算器!$K$30&lt;&gt;"∞",0),INDEX(AU100:CB100,1,$AT$1),INDEX(AU102:CB102,1,$AT$1)),"*云飞*")=1,COUNTIF(IF(AND(配装计算器!$K$30&lt;&gt;"∞",0),INDEX(AU100:CB100,1,$AT$1),INDEX(AU102:CB102,1,$AT$1)),"*玉山*")=0),N101,0)</f>
        <v>0</v>
      </c>
      <c r="P101">
        <f ca="1">IFERROR(IF(COUNTIF(B101,"*云栖松*")&gt;0,50-加速!$L$11,MAX(0,P100-(A101-A100))),0)</f>
        <v>0</v>
      </c>
      <c r="Q101">
        <f ca="1">IF(COUNTIF(IF(AND(配装计算器!$K$30&lt;&gt;"∞",0),INDEX(AU100:CB100,1,$AT$1),INDEX(AU102:CB102,1,$AT$1)),"*云栖松*")=1,P101,0)</f>
        <v>0</v>
      </c>
      <c r="R101">
        <f ca="1">IFERROR(IF(COUNTIF(B101,"*莺鸣柳*")&gt;0,45-加速!$L$9,MAX(0,R100-(A101-A100))),0)</f>
        <v>0</v>
      </c>
      <c r="S101">
        <f ca="1">IF(COUNTIF(IF(AND(配装计算器!$K$30&lt;&gt;"∞",0),INDEX(AU100:CB100,1,$AT$1),INDEX(AU102:CB102,1,$AT$1)),"*莺鸣柳*")=1,R101,0)</f>
        <v>0</v>
      </c>
      <c r="T101">
        <f ca="1" t="shared" si="27"/>
        <v>0</v>
      </c>
      <c r="U101">
        <f ca="1">IF(金蛇,IF(COUNTIF(B101,"*金环戴*")+COUNTIF(B101,"*吹风醒*")&gt;0,IF(A101&lt;=3,7.125-2.625-A101-加速!$L$11,7.125+加速!$K$9-(A101+加速!$L$11-T101)),0),0)+IF(金蛇,IF(COUNTIF(B101,"*千切子裂光*")&gt;0,2+加速!$K$9-(A101+加速!$L$11-T101),0),0)</f>
        <v>0</v>
      </c>
      <c r="V101">
        <f ca="1" t="shared" si="28"/>
        <v>0</v>
      </c>
      <c r="W101">
        <f ca="1" t="shared" si="20"/>
        <v>0</v>
      </c>
      <c r="X101">
        <f ca="1">INDEX(加速!$I$13:$I$21,W101+1)</f>
        <v>0</v>
      </c>
      <c r="Y101">
        <f ca="1" t="shared" si="29"/>
        <v>0.5</v>
      </c>
      <c r="Z101">
        <f ca="1" t="shared" si="25"/>
        <v>0</v>
      </c>
      <c r="AA101">
        <f ca="1">MAX(0,IFERROR(IF(COUNTIF(B101,"*叠*")&gt;0,IF(AC100&lt;3,8-A102+A101,AA100+6.875-A102+A101),AA100-A102+A101),AA100-加速!$L$11))</f>
        <v>0</v>
      </c>
      <c r="AB101">
        <f ca="1">MAX(0,IF(COUNTIF(IF(AND(配装计算器!$K$30&lt;&gt;"∞",0),INDEX(AU101:CB101,1,$AT$1),INDEX(AU101:CB101,1,$AT$1)),"*叠1*")=1,4*25-加速!$L$11,AB100-A101+A100)-IF(OR(COUNTIF(OFFSET(AT101,0,$AT$1,1,1),"*听雷*")&gt;0,AND(碧归&gt;0,COUNTIF(OFFSET(AT101,0,$AT$1,1,1),"*风来*")&gt;0)),0,1)*1.5)</f>
        <v>36.8099999999999</v>
      </c>
      <c r="AC101">
        <f ca="1" t="shared" si="21"/>
        <v>0</v>
      </c>
      <c r="AD101">
        <f ca="1">IF(COUNTIF(IF(AND(配装计算器!$K$30&lt;&gt;"∞",0),INDEX(AU101:CB101,1,$AT$1),INDEX(AU102:CB102,1,$AT$1)),"*叠1*")=1,AB101*0+AE100,0)</f>
        <v>0</v>
      </c>
      <c r="AE101">
        <f ca="1">IF($AN$11&gt;0,IF(COUNTIF(B102,"*叠1*")&gt;0,50-加速!$L$11,MAX(0,AE100-(A102-A101))),0)</f>
        <v>18.5199999999999</v>
      </c>
      <c r="AG101">
        <f ca="1" t="shared" si="22"/>
        <v>3</v>
      </c>
      <c r="AH101" t="s">
        <v>1825</v>
      </c>
      <c r="AI101" t="s">
        <v>2780</v>
      </c>
      <c r="AJ101">
        <f ca="1">AJ100</f>
        <v>0</v>
      </c>
      <c r="AK101" t="s">
        <v>3102</v>
      </c>
      <c r="AU101" s="176" t="s">
        <v>2776</v>
      </c>
      <c r="AV101">
        <v>2</v>
      </c>
      <c r="AW101" t="s">
        <v>2768</v>
      </c>
      <c r="AX101">
        <v>2</v>
      </c>
      <c r="AY101" t="s">
        <v>2768</v>
      </c>
      <c r="AZ101">
        <v>1</v>
      </c>
      <c r="BA101" t="s">
        <v>2768</v>
      </c>
      <c r="BB101">
        <v>1</v>
      </c>
      <c r="BC101" t="s">
        <v>2776</v>
      </c>
      <c r="BD101">
        <v>2</v>
      </c>
      <c r="BE101" t="s">
        <v>2768</v>
      </c>
      <c r="BF101">
        <v>1</v>
      </c>
      <c r="BG101" t="s">
        <v>2776</v>
      </c>
      <c r="BH101">
        <v>1</v>
      </c>
      <c r="BI101" t="s">
        <v>2794</v>
      </c>
      <c r="BJ101">
        <v>0</v>
      </c>
      <c r="BK101" s="176" t="s">
        <v>2768</v>
      </c>
      <c r="BL101">
        <v>2</v>
      </c>
      <c r="BM101" t="s">
        <v>2776</v>
      </c>
      <c r="BN101">
        <v>2</v>
      </c>
      <c r="BO101" t="s">
        <v>3009</v>
      </c>
      <c r="BP101">
        <v>2</v>
      </c>
      <c r="BQ101" t="s">
        <v>2768</v>
      </c>
      <c r="BR101">
        <v>1</v>
      </c>
      <c r="BS101" t="s">
        <v>3056</v>
      </c>
      <c r="BT101">
        <v>0</v>
      </c>
      <c r="BU101" t="s">
        <v>2768</v>
      </c>
      <c r="BV101">
        <v>1</v>
      </c>
      <c r="BW101" s="179" t="s">
        <v>2768</v>
      </c>
      <c r="BX101" s="179">
        <v>1</v>
      </c>
      <c r="BY101" t="s">
        <v>2776</v>
      </c>
      <c r="BZ101">
        <v>1</v>
      </c>
      <c r="CA101" t="s">
        <v>2776</v>
      </c>
      <c r="CB101">
        <v>1</v>
      </c>
    </row>
    <row r="102" spans="1:80">
      <c r="A102" s="178">
        <f ca="1">IFERROR(IF(AG101&lt;5+金蛇*2,IF(COUNTIF(B101,"*轻*")&gt;0,A101+加速!$L$9,A101+加速!$L$11)+V101,""),"")</f>
        <v>130.19</v>
      </c>
      <c r="B102" s="167" t="str">
        <f ca="1" t="shared" si="17"/>
        <v>夕照雷峰</v>
      </c>
      <c r="C102">
        <f ca="1" t="shared" si="26"/>
        <v>15</v>
      </c>
      <c r="D102">
        <f ca="1">IF(B102&lt;&gt;"",IF(C101&lt;=加速!$L$11*(1-E102),0,1),"")</f>
        <v>1</v>
      </c>
      <c r="E102">
        <f ca="1" t="shared" si="23"/>
        <v>0</v>
      </c>
      <c r="G102">
        <f ca="1" t="shared" si="24"/>
        <v>0</v>
      </c>
      <c r="H102">
        <f ca="1">IF(B102&lt;&gt;"",IF(AND(COUNTIF(B101,"*轻*莺鸣柳*")&gt;0,COUNTIF(B102,"*轻*")&lt;1),MAX(0,15+I101-(A102-A101)+COUNTIF(B101,"*平湖*")*0),IF(AND(E102=0,MAX(0,H101-(A102-A101))&lt;=加速!$H$11),0,MAX(0,H101-(A102-A101)))),"")</f>
        <v>0</v>
      </c>
      <c r="I102">
        <f ca="1" t="shared" si="30"/>
        <v>0</v>
      </c>
      <c r="J102">
        <f ca="1" t="shared" si="31"/>
        <v>4</v>
      </c>
      <c r="K102">
        <f ca="1" t="shared" si="18"/>
        <v>2</v>
      </c>
      <c r="L102">
        <f ca="1">IFERROR(IF(AND(COUNTIF(B102,"*-峰插*"),技能数据库!$M$72&gt;0),0,IF(COUNTIF(B102,"*鹤归*")&gt;0,16-加速!$L$11,MAX(0,L101-(A102-A101)))),0)</f>
        <v>13.42</v>
      </c>
      <c r="M102">
        <f ca="1" t="shared" si="19"/>
        <v>0</v>
      </c>
      <c r="N102">
        <f ca="1">IFERROR(IF(AND(COUNTIF(B102,"*-峰插*"),技能数据库!$M$72&gt;0),0,IF(COUNTIF(B102,"*云飞*")&gt;0,4-COUNTIF(B102,"*玉山揽云*")*4--COUNTIF(B102,"*烟流暮景*")*4-COUNTIF(B102,"*云景*")*加速!$L$11-IF(J102&gt;0,2,0),MAX(0,N101-(A102-A101)-IF(J102&gt;0,2,0)))),0)</f>
        <v>0</v>
      </c>
      <c r="O102">
        <f ca="1">IF(AND(COUNTIF(IF(AND(配装计算器!$K$30&lt;&gt;"∞",0),INDEX(AU101:CB101,1,$AT$1),INDEX(AU103:CB103,1,$AT$1)),"*云飞*")=1,COUNTIF(IF(AND(配装计算器!$K$30&lt;&gt;"∞",0),INDEX(AU101:CB101,1,$AT$1),INDEX(AU103:CB103,1,$AT$1)),"*玉山*")=0),N102,0)</f>
        <v>0</v>
      </c>
      <c r="P102">
        <f ca="1">IFERROR(IF(COUNTIF(B102,"*云栖松*")&gt;0,50-加速!$L$11,MAX(0,P101-(A102-A101))),0)</f>
        <v>0</v>
      </c>
      <c r="Q102">
        <f ca="1">IF(COUNTIF(IF(AND(配装计算器!$K$30&lt;&gt;"∞",0),INDEX(AU101:CB101,1,$AT$1),INDEX(AU103:CB103,1,$AT$1)),"*云栖松*")=1,P102,0)</f>
        <v>0</v>
      </c>
      <c r="R102">
        <f ca="1">IFERROR(IF(COUNTIF(B102,"*莺鸣柳*")&gt;0,45-加速!$L$9,MAX(0,R101-(A102-A101))),0)</f>
        <v>0</v>
      </c>
      <c r="S102">
        <f ca="1">IF(COUNTIF(IF(AND(配装计算器!$K$30&lt;&gt;"∞",0),INDEX(AU101:CB101,1,$AT$1),INDEX(AU103:CB103,1,$AT$1)),"*莺鸣柳*")=1,R102,0)</f>
        <v>0</v>
      </c>
      <c r="T102">
        <f ca="1" t="shared" si="27"/>
        <v>0</v>
      </c>
      <c r="U102">
        <f ca="1">IF(金蛇,IF(COUNTIF(B102,"*金环戴*")+COUNTIF(B102,"*吹风醒*")&gt;0,IF(A102&lt;=3,7.125-2.625-A102-加速!$L$11,7.125+加速!$K$9-(A102+加速!$L$11-T102)),0),0)+IF(金蛇,IF(COUNTIF(B102,"*千切子裂光*")&gt;0,2+加速!$K$9-(A102+加速!$L$11-T102),0),0)</f>
        <v>0</v>
      </c>
      <c r="V102">
        <f ca="1" t="shared" si="28"/>
        <v>0</v>
      </c>
      <c r="W102">
        <f ca="1" t="shared" si="20"/>
        <v>0</v>
      </c>
      <c r="X102">
        <f ca="1">INDEX(加速!$I$13:$I$21,W102+1)</f>
        <v>0</v>
      </c>
      <c r="Y102">
        <f ca="1" t="shared" si="29"/>
        <v>0.5</v>
      </c>
      <c r="Z102">
        <f ca="1" t="shared" si="25"/>
        <v>0</v>
      </c>
      <c r="AA102">
        <f ca="1">MAX(0,IFERROR(IF(COUNTIF(B102,"*叠*")&gt;0,IF(AC101&lt;3,8-A103+A102,AA101+6.875-A103+A102),AA101-A103+A102),AA101-加速!$L$11))</f>
        <v>0</v>
      </c>
      <c r="AB102">
        <f ca="1">MAX(0,IF(COUNTIF(IF(AND(配装计算器!$K$30&lt;&gt;"∞",0),INDEX(AU102:CB102,1,$AT$1),INDEX(AU102:CB102,1,$AT$1)),"*叠1*")=1,4*25-加速!$L$11,AB101-A102+A101)-IF(OR(COUNTIF(OFFSET(AT102,0,$AT$1,1,1),"*听雷*")&gt;0,AND(碧归&gt;0,COUNTIF(OFFSET(AT102,0,$AT$1,1,1),"*风来*")&gt;0)),0,1)*1.5)</f>
        <v>34.0199999999999</v>
      </c>
      <c r="AC102">
        <f ca="1" t="shared" si="21"/>
        <v>0</v>
      </c>
      <c r="AD102">
        <f ca="1">IF(COUNTIF(IF(AND(配装计算器!$K$30&lt;&gt;"∞",0),INDEX(AU102:CB102,1,$AT$1),INDEX(AU103:CB103,1,$AT$1)),"*叠1*")=1,AB102*0+AE101,0)</f>
        <v>0</v>
      </c>
      <c r="AE102">
        <f ca="1">IF($AN$11&gt;0,IF(COUNTIF(B103,"*叠1*")&gt;0,50-加速!$L$11,MAX(0,AE101-(A103-A102))),0)</f>
        <v>17.2299999999999</v>
      </c>
      <c r="AG102">
        <f ca="1" t="shared" si="22"/>
        <v>3</v>
      </c>
      <c r="AH102" t="s">
        <v>1825</v>
      </c>
      <c r="AI102" t="s">
        <v>2794</v>
      </c>
      <c r="AJ102">
        <f ca="1">循环比*COUNTIFS($B$3:$B$515,"*"&amp;AI102&amp;"*",$D$3:$D$515,"=0",$H$3:$H$515,"&gt;0",$G$3:$G$515,"&gt;0")</f>
        <v>0</v>
      </c>
      <c r="AK102" t="s">
        <v>3103</v>
      </c>
      <c r="AU102" s="176" t="s">
        <v>2768</v>
      </c>
      <c r="AV102">
        <v>1</v>
      </c>
      <c r="AW102" t="s">
        <v>2776</v>
      </c>
      <c r="AX102">
        <v>2</v>
      </c>
      <c r="AY102" t="s">
        <v>2768</v>
      </c>
      <c r="AZ102">
        <v>0</v>
      </c>
      <c r="BA102" t="s">
        <v>2768</v>
      </c>
      <c r="BB102">
        <v>0</v>
      </c>
      <c r="BC102" t="s">
        <v>2768</v>
      </c>
      <c r="BD102">
        <v>2</v>
      </c>
      <c r="BE102" t="s">
        <v>2776</v>
      </c>
      <c r="BF102">
        <v>0</v>
      </c>
      <c r="BG102" t="s">
        <v>2768</v>
      </c>
      <c r="BH102">
        <v>0</v>
      </c>
      <c r="BI102" t="s">
        <v>2768</v>
      </c>
      <c r="BJ102">
        <v>2</v>
      </c>
      <c r="BK102" s="176" t="s">
        <v>2776</v>
      </c>
      <c r="BL102">
        <v>2</v>
      </c>
      <c r="BM102" t="s">
        <v>2768</v>
      </c>
      <c r="BN102">
        <v>1</v>
      </c>
      <c r="BO102" t="s">
        <v>2776</v>
      </c>
      <c r="BP102">
        <v>2</v>
      </c>
      <c r="BQ102" t="s">
        <v>2776</v>
      </c>
      <c r="BR102">
        <v>1</v>
      </c>
      <c r="BS102" t="s">
        <v>2768</v>
      </c>
      <c r="BT102">
        <v>2</v>
      </c>
      <c r="BU102" t="s">
        <v>2776</v>
      </c>
      <c r="BV102">
        <v>1</v>
      </c>
      <c r="BW102" s="182" t="s">
        <v>2722</v>
      </c>
      <c r="BX102" s="179">
        <v>0</v>
      </c>
      <c r="BY102" t="s">
        <v>2768</v>
      </c>
      <c r="BZ102">
        <v>1</v>
      </c>
      <c r="CA102" t="s">
        <v>2768</v>
      </c>
      <c r="CB102">
        <v>1</v>
      </c>
    </row>
    <row r="103" spans="1:80">
      <c r="A103" s="178">
        <f ca="1">IFERROR(IF(AG102&lt;5+金蛇*2,IF(COUNTIF(B102,"*轻*")&gt;0,A102+加速!$L$9,A102+加速!$L$11)+V102,""),"")</f>
        <v>131.48</v>
      </c>
      <c r="B103" s="167" t="str">
        <f ca="1" t="shared" si="17"/>
        <v>云飞玉皇</v>
      </c>
      <c r="C103">
        <f ca="1" t="shared" si="26"/>
        <v>13.71</v>
      </c>
      <c r="D103">
        <f ca="1">IF(B103&lt;&gt;"",IF(C102&lt;=加速!$L$11*(1-E103),0,1),"")</f>
        <v>1</v>
      </c>
      <c r="E103">
        <f ca="1" t="shared" si="23"/>
        <v>0</v>
      </c>
      <c r="G103">
        <f ca="1" t="shared" si="24"/>
        <v>0</v>
      </c>
      <c r="H103">
        <f ca="1">IF(B103&lt;&gt;"",IF(AND(COUNTIF(B102,"*轻*莺鸣柳*")&gt;0,COUNTIF(B103,"*轻*")&lt;1),MAX(0,15+I102-(A103-A102)+COUNTIF(B102,"*平湖*")*0),IF(AND(E103=0,MAX(0,H102-(A103-A102))&lt;=加速!$H$11),0,MAX(0,H102-(A103-A102)))),"")</f>
        <v>0</v>
      </c>
      <c r="I103">
        <f ca="1" t="shared" si="30"/>
        <v>0</v>
      </c>
      <c r="J103">
        <f ca="1" t="shared" si="31"/>
        <v>3</v>
      </c>
      <c r="K103">
        <f ca="1" t="shared" si="18"/>
        <v>2</v>
      </c>
      <c r="L103">
        <f ca="1">IFERROR(IF(AND(COUNTIF(B103,"*-峰插*"),技能数据库!$M$72&gt;0),0,IF(COUNTIF(B103,"*鹤归*")&gt;0,16-加速!$L$11,MAX(0,L102-(A103-A102)))),0)</f>
        <v>12.13</v>
      </c>
      <c r="M103">
        <f ca="1" t="shared" si="19"/>
        <v>0</v>
      </c>
      <c r="N103">
        <f ca="1">IFERROR(IF(AND(COUNTIF(B103,"*-峰插*"),技能数据库!$M$72&gt;0),0,IF(COUNTIF(B103,"*云飞*")&gt;0,4-COUNTIF(B103,"*玉山揽云*")*4--COUNTIF(B103,"*烟流暮景*")*4-COUNTIF(B103,"*云景*")*加速!$L$11-IF(J103&gt;0,2,0),MAX(0,N102-(A103-A102)-IF(J103&gt;0,2,0)))),0)</f>
        <v>2</v>
      </c>
      <c r="O103">
        <f ca="1">IF(AND(COUNTIF(IF(AND(配装计算器!$K$30&lt;&gt;"∞",0),INDEX(AU102:CB102,1,$AT$1),INDEX(AU104:CB104,1,$AT$1)),"*云飞*")=1,COUNTIF(IF(AND(配装计算器!$K$30&lt;&gt;"∞",0),INDEX(AU102:CB102,1,$AT$1),INDEX(AU104:CB104,1,$AT$1)),"*玉山*")=0),N103,0)</f>
        <v>0</v>
      </c>
      <c r="P103">
        <f ca="1">IFERROR(IF(COUNTIF(B103,"*云栖松*")&gt;0,50-加速!$L$11,MAX(0,P102-(A103-A102))),0)</f>
        <v>0</v>
      </c>
      <c r="Q103">
        <f ca="1">IF(COUNTIF(IF(AND(配装计算器!$K$30&lt;&gt;"∞",0),INDEX(AU102:CB102,1,$AT$1),INDEX(AU104:CB104,1,$AT$1)),"*云栖松*")=1,P103,0)</f>
        <v>0</v>
      </c>
      <c r="R103">
        <f ca="1">IFERROR(IF(COUNTIF(B103,"*莺鸣柳*")&gt;0,45-加速!$L$9,MAX(0,R102-(A103-A102))),0)</f>
        <v>0</v>
      </c>
      <c r="S103">
        <f ca="1">IF(COUNTIF(IF(AND(配装计算器!$K$30&lt;&gt;"∞",0),INDEX(AU102:CB102,1,$AT$1),INDEX(AU104:CB104,1,$AT$1)),"*莺鸣柳*")=1,R103,0)</f>
        <v>0</v>
      </c>
      <c r="T103">
        <f ca="1" t="shared" si="27"/>
        <v>0</v>
      </c>
      <c r="U103">
        <f ca="1">IF(金蛇,IF(COUNTIF(B103,"*金环戴*")+COUNTIF(B103,"*吹风醒*")&gt;0,IF(A103&lt;=3,7.125-2.625-A103-加速!$L$11,7.125+加速!$K$9-(A103+加速!$L$11-T103)),0),0)+IF(金蛇,IF(COUNTIF(B103,"*千切子裂光*")&gt;0,2+加速!$K$9-(A103+加速!$L$11-T103),0),0)</f>
        <v>0</v>
      </c>
      <c r="V103">
        <f ca="1" t="shared" si="28"/>
        <v>0</v>
      </c>
      <c r="W103">
        <f ca="1" t="shared" si="20"/>
        <v>0</v>
      </c>
      <c r="X103">
        <f ca="1">INDEX(加速!$I$13:$I$21,W103+1)</f>
        <v>0</v>
      </c>
      <c r="Y103">
        <f ca="1" t="shared" si="29"/>
        <v>0.5</v>
      </c>
      <c r="Z103">
        <f ca="1" t="shared" si="25"/>
        <v>0</v>
      </c>
      <c r="AA103">
        <f ca="1">MAX(0,IFERROR(IF(COUNTIF(B103,"*叠*")&gt;0,IF(AC102&lt;3,8-A104+A103,AA102+6.875-A104+A103),AA102-A104+A103),AA102-加速!$L$11))</f>
        <v>0</v>
      </c>
      <c r="AB103">
        <f ca="1">MAX(0,IF(COUNTIF(IF(AND(配装计算器!$K$30&lt;&gt;"∞",0),INDEX(AU103:CB103,1,$AT$1),INDEX(AU103:CB103,1,$AT$1)),"*叠1*")=1,4*25-加速!$L$11,AB102-A103+A102)-IF(OR(COUNTIF(OFFSET(AT103,0,$AT$1,1,1),"*听雷*")&gt;0,AND(碧归&gt;0,COUNTIF(OFFSET(AT103,0,$AT$1,1,1),"*风来*")&gt;0)),0,1)*1.5)</f>
        <v>31.2299999999999</v>
      </c>
      <c r="AC103">
        <f ca="1" t="shared" si="21"/>
        <v>0</v>
      </c>
      <c r="AD103">
        <f ca="1">IF(COUNTIF(IF(AND(配装计算器!$K$30&lt;&gt;"∞",0),INDEX(AU103:CB103,1,$AT$1),INDEX(AU104:CB104,1,$AT$1)),"*叠1*")=1,AB103*0+AE102,0)</f>
        <v>0</v>
      </c>
      <c r="AE103">
        <f ca="1">IF($AN$11&gt;0,IF(COUNTIF(B104,"*叠1*")&gt;0,50-加速!$L$11,MAX(0,AE102-(A104-A103))),0)</f>
        <v>15.9399999999999</v>
      </c>
      <c r="AG103">
        <f ca="1" t="shared" si="22"/>
        <v>3</v>
      </c>
      <c r="AH103" t="s">
        <v>1825</v>
      </c>
      <c r="AI103" t="s">
        <v>2798</v>
      </c>
      <c r="AJ103">
        <f ca="1">AJ102</f>
        <v>0</v>
      </c>
      <c r="AK103" t="s">
        <v>3103</v>
      </c>
      <c r="AU103" t="s">
        <v>2776</v>
      </c>
      <c r="AV103">
        <v>1</v>
      </c>
      <c r="AW103" t="s">
        <v>2768</v>
      </c>
      <c r="AX103">
        <v>2</v>
      </c>
      <c r="AY103" t="s">
        <v>2722</v>
      </c>
      <c r="AZ103">
        <v>0</v>
      </c>
      <c r="BA103" t="s">
        <v>2722</v>
      </c>
      <c r="BB103">
        <v>0</v>
      </c>
      <c r="BC103" t="s">
        <v>2776</v>
      </c>
      <c r="BD103">
        <v>2</v>
      </c>
      <c r="BE103" t="s">
        <v>2722</v>
      </c>
      <c r="BF103">
        <v>0</v>
      </c>
      <c r="BG103" t="s">
        <v>2768</v>
      </c>
      <c r="BH103">
        <v>0</v>
      </c>
      <c r="BI103" t="s">
        <v>2776</v>
      </c>
      <c r="BJ103">
        <v>2</v>
      </c>
      <c r="BK103" t="s">
        <v>2768</v>
      </c>
      <c r="BL103">
        <v>1</v>
      </c>
      <c r="BM103" t="s">
        <v>2722</v>
      </c>
      <c r="BN103">
        <v>0</v>
      </c>
      <c r="BO103" t="s">
        <v>2768</v>
      </c>
      <c r="BP103">
        <v>2</v>
      </c>
      <c r="BQ103" t="s">
        <v>2768</v>
      </c>
      <c r="BR103">
        <v>0</v>
      </c>
      <c r="BS103" t="s">
        <v>2768</v>
      </c>
      <c r="BT103">
        <v>2</v>
      </c>
      <c r="BU103" t="s">
        <v>2768</v>
      </c>
      <c r="BV103">
        <v>0</v>
      </c>
      <c r="BW103" s="179" t="s">
        <v>3009</v>
      </c>
      <c r="BX103" s="179">
        <v>2</v>
      </c>
      <c r="BY103" t="s">
        <v>2722</v>
      </c>
      <c r="BZ103">
        <v>0</v>
      </c>
      <c r="CA103" t="s">
        <v>2722</v>
      </c>
      <c r="CB103">
        <v>0</v>
      </c>
    </row>
    <row r="104" spans="1:80">
      <c r="A104" s="178">
        <f ca="1">IFERROR(IF(AG103&lt;5+金蛇*2,IF(COUNTIF(B103,"*轻*")&gt;0,A103+加速!$L$9,A103+加速!$L$11)+V103,""),"")</f>
        <v>132.77</v>
      </c>
      <c r="B104" s="167" t="str">
        <f ca="1" t="shared" si="17"/>
        <v>夕照雷峰</v>
      </c>
      <c r="C104">
        <f ca="1" t="shared" si="26"/>
        <v>15</v>
      </c>
      <c r="D104">
        <f ca="1">IF(B104&lt;&gt;"",IF(C103&lt;=加速!$L$11*(1-E104),0,1),"")</f>
        <v>1</v>
      </c>
      <c r="E104">
        <f ca="1" t="shared" si="23"/>
        <v>0</v>
      </c>
      <c r="G104">
        <f ca="1" t="shared" si="24"/>
        <v>0</v>
      </c>
      <c r="H104">
        <f ca="1">IF(B104&lt;&gt;"",IF(AND(COUNTIF(B103,"*轻*莺鸣柳*")&gt;0,COUNTIF(B104,"*轻*")&lt;1),MAX(0,15+I103-(A104-A103)+COUNTIF(B103,"*平湖*")*0),IF(AND(E104=0,MAX(0,H103-(A104-A103))&lt;=加速!$H$11),0,MAX(0,H103-(A104-A103)))),"")</f>
        <v>0</v>
      </c>
      <c r="I104">
        <f ca="1" t="shared" si="30"/>
        <v>0</v>
      </c>
      <c r="J104">
        <f ca="1" t="shared" si="31"/>
        <v>2</v>
      </c>
      <c r="K104">
        <f ca="1" t="shared" si="18"/>
        <v>2</v>
      </c>
      <c r="L104">
        <f ca="1">IFERROR(IF(AND(COUNTIF(B104,"*-峰插*"),技能数据库!$M$72&gt;0),0,IF(COUNTIF(B104,"*鹤归*")&gt;0,16-加速!$L$11,MAX(0,L103-(A104-A103)))),0)</f>
        <v>10.84</v>
      </c>
      <c r="M104">
        <f ca="1" t="shared" si="19"/>
        <v>0</v>
      </c>
      <c r="N104">
        <f ca="1">IFERROR(IF(AND(COUNTIF(B104,"*-峰插*"),技能数据库!$M$72&gt;0),0,IF(COUNTIF(B104,"*云飞*")&gt;0,4-COUNTIF(B104,"*玉山揽云*")*4--COUNTIF(B104,"*烟流暮景*")*4-COUNTIF(B104,"*云景*")*加速!$L$11-IF(J104&gt;0,2,0),MAX(0,N103-(A104-A103)-IF(J104&gt;0,2,0)))),0)</f>
        <v>0</v>
      </c>
      <c r="O104">
        <f ca="1">IF(AND(COUNTIF(IF(AND(配装计算器!$K$30&lt;&gt;"∞",0),INDEX(AU103:CB103,1,$AT$1),INDEX(AU105:CB105,1,$AT$1)),"*云飞*")=1,COUNTIF(IF(AND(配装计算器!$K$30&lt;&gt;"∞",0),INDEX(AU103:CB103,1,$AT$1),INDEX(AU105:CB105,1,$AT$1)),"*玉山*")=0),N104,0)</f>
        <v>0</v>
      </c>
      <c r="P104">
        <f ca="1">IFERROR(IF(COUNTIF(B104,"*云栖松*")&gt;0,50-加速!$L$11,MAX(0,P103-(A104-A103))),0)</f>
        <v>0</v>
      </c>
      <c r="Q104">
        <f ca="1">IF(COUNTIF(IF(AND(配装计算器!$K$30&lt;&gt;"∞",0),INDEX(AU103:CB103,1,$AT$1),INDEX(AU105:CB105,1,$AT$1)),"*云栖松*")=1,P104,0)</f>
        <v>0</v>
      </c>
      <c r="R104">
        <f ca="1">IFERROR(IF(COUNTIF(B104,"*莺鸣柳*")&gt;0,45-加速!$L$9,MAX(0,R103-(A104-A103))),0)</f>
        <v>0</v>
      </c>
      <c r="S104">
        <f ca="1">IF(COUNTIF(IF(AND(配装计算器!$K$30&lt;&gt;"∞",0),INDEX(AU103:CB103,1,$AT$1),INDEX(AU105:CB105,1,$AT$1)),"*莺鸣柳*")=1,R104,0)</f>
        <v>0</v>
      </c>
      <c r="T104">
        <f ca="1" t="shared" si="27"/>
        <v>0</v>
      </c>
      <c r="U104">
        <f ca="1">IF(金蛇,IF(COUNTIF(B104,"*金环戴*")+COUNTIF(B104,"*吹风醒*")&gt;0,IF(A104&lt;=3,7.125-2.625-A104-加速!$L$11,7.125+加速!$K$9-(A104+加速!$L$11-T104)),0),0)+IF(金蛇,IF(COUNTIF(B104,"*千切子裂光*")&gt;0,2+加速!$K$9-(A104+加速!$L$11-T104),0),0)</f>
        <v>0</v>
      </c>
      <c r="V104">
        <f ca="1" t="shared" si="28"/>
        <v>0</v>
      </c>
      <c r="W104">
        <f ca="1" t="shared" si="20"/>
        <v>0</v>
      </c>
      <c r="X104">
        <f ca="1">INDEX(加速!$I$13:$I$21,W104+1)</f>
        <v>0</v>
      </c>
      <c r="Y104">
        <f ca="1" t="shared" si="29"/>
        <v>0.5</v>
      </c>
      <c r="Z104">
        <f ca="1" t="shared" si="25"/>
        <v>0</v>
      </c>
      <c r="AA104">
        <f ca="1">MAX(0,IFERROR(IF(COUNTIF(B104,"*叠*")&gt;0,IF(AC103&lt;3,8-A105+A104,AA103+6.875-A105+A104),AA103-A105+A104),AA103-加速!$L$11))</f>
        <v>0</v>
      </c>
      <c r="AB104">
        <f ca="1">MAX(0,IF(COUNTIF(IF(AND(配装计算器!$K$30&lt;&gt;"∞",0),INDEX(AU104:CB104,1,$AT$1),INDEX(AU104:CB104,1,$AT$1)),"*叠1*")=1,4*25-加速!$L$11,AB103-A104+A103)-IF(OR(COUNTIF(OFFSET(AT104,0,$AT$1,1,1),"*听雷*")&gt;0,AND(碧归&gt;0,COUNTIF(OFFSET(AT104,0,$AT$1,1,1),"*风来*")&gt;0)),0,1)*1.5)</f>
        <v>28.4399999999999</v>
      </c>
      <c r="AC104">
        <f ca="1" t="shared" si="21"/>
        <v>0</v>
      </c>
      <c r="AD104">
        <f ca="1">IF(COUNTIF(IF(AND(配装计算器!$K$30&lt;&gt;"∞",0),INDEX(AU104:CB104,1,$AT$1),INDEX(AU105:CB105,1,$AT$1)),"*叠1*")=1,AB104*0+AE103,0)</f>
        <v>0</v>
      </c>
      <c r="AE104">
        <f ca="1">IF($AN$11&gt;0,IF(COUNTIF(B105,"*叠1*")&gt;0,50-加速!$L$11,MAX(0,AE103-(A105-A104))),0)</f>
        <v>14.65</v>
      </c>
      <c r="AG104">
        <f ca="1" t="shared" si="22"/>
        <v>3</v>
      </c>
      <c r="AH104" t="s">
        <v>1825</v>
      </c>
      <c r="AI104" t="s">
        <v>2768</v>
      </c>
      <c r="AJ104">
        <f ca="1">循环比*COUNTIFS($B$3:$B$515,"*"&amp;AI104&amp;"*",$D$3:$D$515,"=0",$H$3:$H$515,"&gt;0",$G$3:$G$515,"&gt;0",$K$3:$K$515,"=2")</f>
        <v>0</v>
      </c>
      <c r="AK104" t="s">
        <v>3102</v>
      </c>
      <c r="AU104" t="s">
        <v>2768</v>
      </c>
      <c r="AV104">
        <v>1</v>
      </c>
      <c r="AW104" t="s">
        <v>2722</v>
      </c>
      <c r="AX104">
        <v>0</v>
      </c>
      <c r="AY104" t="s">
        <v>2776</v>
      </c>
      <c r="AZ104">
        <v>2</v>
      </c>
      <c r="BA104" t="s">
        <v>2776</v>
      </c>
      <c r="BB104">
        <v>2</v>
      </c>
      <c r="BC104" t="s">
        <v>2768</v>
      </c>
      <c r="BD104">
        <v>2</v>
      </c>
      <c r="BE104" t="s">
        <v>2722</v>
      </c>
      <c r="BF104">
        <v>2</v>
      </c>
      <c r="BG104" t="s">
        <v>2776</v>
      </c>
      <c r="BH104">
        <v>0</v>
      </c>
      <c r="BI104" t="s">
        <v>2768</v>
      </c>
      <c r="BJ104">
        <v>2</v>
      </c>
      <c r="BK104" t="s">
        <v>2776</v>
      </c>
      <c r="BL104">
        <v>1</v>
      </c>
      <c r="BM104" t="s">
        <v>3009</v>
      </c>
      <c r="BN104">
        <v>2</v>
      </c>
      <c r="BO104" t="str">
        <f>IF(山重水复,"风来吴山","夕照雷峰")</f>
        <v>夕照雷峰</v>
      </c>
      <c r="BP104">
        <v>2</v>
      </c>
      <c r="BQ104" t="s">
        <v>2768</v>
      </c>
      <c r="BR104">
        <v>0</v>
      </c>
      <c r="BS104" t="s">
        <v>2776</v>
      </c>
      <c r="BT104">
        <v>2</v>
      </c>
      <c r="BU104" t="s">
        <v>2768</v>
      </c>
      <c r="BV104">
        <v>0</v>
      </c>
      <c r="BW104" s="179" t="s">
        <v>2776</v>
      </c>
      <c r="BX104" s="179">
        <v>2</v>
      </c>
      <c r="BY104" t="s">
        <v>3009</v>
      </c>
      <c r="BZ104">
        <v>2</v>
      </c>
      <c r="CA104" t="s">
        <v>3009</v>
      </c>
      <c r="CB104">
        <v>2</v>
      </c>
    </row>
    <row r="105" spans="1:80">
      <c r="A105" s="178">
        <f ca="1">IFERROR(IF(AG104&lt;5+金蛇*2,IF(COUNTIF(B104,"*轻*")&gt;0,A104+加速!$L$9,A104+加速!$L$11)+V104,""),"")</f>
        <v>134.06</v>
      </c>
      <c r="B105" s="167" t="str">
        <f ca="1" t="shared" si="17"/>
        <v>云飞玉皇</v>
      </c>
      <c r="C105">
        <f ca="1" t="shared" si="26"/>
        <v>13.71</v>
      </c>
      <c r="D105">
        <f ca="1">IF(B105&lt;&gt;"",IF(C104&lt;=加速!$L$11*(1-E105),0,1),"")</f>
        <v>1</v>
      </c>
      <c r="E105">
        <f ca="1" t="shared" si="23"/>
        <v>0</v>
      </c>
      <c r="G105">
        <f ca="1" t="shared" si="24"/>
        <v>0</v>
      </c>
      <c r="H105">
        <f ca="1">IF(B105&lt;&gt;"",IF(AND(COUNTIF(B104,"*轻*莺鸣柳*")&gt;0,COUNTIF(B105,"*轻*")&lt;1),MAX(0,15+I104-(A105-A104)+COUNTIF(B104,"*平湖*")*0),IF(AND(E105=0,MAX(0,H104-(A105-A104))&lt;=加速!$H$11),0,MAX(0,H104-(A105-A104)))),"")</f>
        <v>0</v>
      </c>
      <c r="I105">
        <f ca="1" t="shared" si="30"/>
        <v>0</v>
      </c>
      <c r="J105">
        <f ca="1" t="shared" si="31"/>
        <v>1</v>
      </c>
      <c r="K105">
        <f ca="1" t="shared" si="18"/>
        <v>1</v>
      </c>
      <c r="L105">
        <f ca="1">IFERROR(IF(AND(COUNTIF(B105,"*-峰插*"),技能数据库!$M$72&gt;0),0,IF(COUNTIF(B105,"*鹤归*")&gt;0,16-加速!$L$11,MAX(0,L104-(A105-A104)))),0)</f>
        <v>9.55000000000003</v>
      </c>
      <c r="M105">
        <f ca="1" t="shared" si="19"/>
        <v>0</v>
      </c>
      <c r="N105">
        <f ca="1">IFERROR(IF(AND(COUNTIF(B105,"*-峰插*"),技能数据库!$M$72&gt;0),0,IF(COUNTIF(B105,"*云飞*")&gt;0,4-COUNTIF(B105,"*玉山揽云*")*4--COUNTIF(B105,"*烟流暮景*")*4-COUNTIF(B105,"*云景*")*加速!$L$11-IF(J105&gt;0,2,0),MAX(0,N104-(A105-A104)-IF(J105&gt;0,2,0)))),0)</f>
        <v>2</v>
      </c>
      <c r="O105">
        <f ca="1">IF(AND(COUNTIF(IF(AND(配装计算器!$K$30&lt;&gt;"∞",0),INDEX(AU104:CB104,1,$AT$1),INDEX(AU106:CB106,1,$AT$1)),"*云飞*")=1,COUNTIF(IF(AND(配装计算器!$K$30&lt;&gt;"∞",0),INDEX(AU104:CB104,1,$AT$1),INDEX(AU106:CB106,1,$AT$1)),"*玉山*")=0),N105,0)</f>
        <v>0</v>
      </c>
      <c r="P105">
        <f ca="1">IFERROR(IF(COUNTIF(B105,"*云栖松*")&gt;0,50-加速!$L$11,MAX(0,P104-(A105-A104))),0)</f>
        <v>0</v>
      </c>
      <c r="Q105">
        <f ca="1">IF(COUNTIF(IF(AND(配装计算器!$K$30&lt;&gt;"∞",0),INDEX(AU104:CB104,1,$AT$1),INDEX(AU106:CB106,1,$AT$1)),"*云栖松*")=1,P105,0)</f>
        <v>0</v>
      </c>
      <c r="R105">
        <f ca="1">IFERROR(IF(COUNTIF(B105,"*莺鸣柳*")&gt;0,45-加速!$L$9,MAX(0,R104-(A105-A104))),0)</f>
        <v>0</v>
      </c>
      <c r="S105">
        <f ca="1">IF(COUNTIF(IF(AND(配装计算器!$K$30&lt;&gt;"∞",0),INDEX(AU104:CB104,1,$AT$1),INDEX(AU106:CB106,1,$AT$1)),"*莺鸣柳*")=1,R105,0)</f>
        <v>0</v>
      </c>
      <c r="T105">
        <f ca="1" t="shared" si="27"/>
        <v>0</v>
      </c>
      <c r="U105">
        <f ca="1">IF(金蛇,IF(COUNTIF(B105,"*金环戴*")+COUNTIF(B105,"*吹风醒*")&gt;0,IF(A105&lt;=3,7.125-2.625-A105-加速!$L$11,7.125+加速!$K$9-(A105+加速!$L$11-T105)),0),0)+IF(金蛇,IF(COUNTIF(B105,"*千切子裂光*")&gt;0,2+加速!$K$9-(A105+加速!$L$11-T105),0),0)</f>
        <v>0</v>
      </c>
      <c r="V105">
        <f ca="1" t="shared" si="28"/>
        <v>0</v>
      </c>
      <c r="W105">
        <f ca="1" t="shared" si="20"/>
        <v>0</v>
      </c>
      <c r="X105">
        <f ca="1">INDEX(加速!$I$13:$I$21,W105+1)</f>
        <v>0</v>
      </c>
      <c r="Y105">
        <f ca="1" t="shared" si="29"/>
        <v>0.5</v>
      </c>
      <c r="Z105">
        <f ca="1" t="shared" si="25"/>
        <v>0</v>
      </c>
      <c r="AA105">
        <f ca="1">MAX(0,IFERROR(IF(COUNTIF(B105,"*叠*")&gt;0,IF(AC104&lt;3,8-A106+A105,AA104+6.875-A106+A105),AA104-A106+A105),AA104-加速!$L$11))</f>
        <v>0</v>
      </c>
      <c r="AB105">
        <f ca="1">MAX(0,IF(COUNTIF(IF(AND(配装计算器!$K$30&lt;&gt;"∞",0),INDEX(AU105:CB105,1,$AT$1),INDEX(AU105:CB105,1,$AT$1)),"*叠1*")=1,4*25-加速!$L$11,AB104-A105+A104)-IF(OR(COUNTIF(OFFSET(AT105,0,$AT$1,1,1),"*听雷*")&gt;0,AND(碧归&gt;0,COUNTIF(OFFSET(AT105,0,$AT$1,1,1),"*风来*")&gt;0)),0,1)*1.5)</f>
        <v>25.6499999999999</v>
      </c>
      <c r="AC105">
        <f ca="1" t="shared" si="21"/>
        <v>0</v>
      </c>
      <c r="AD105">
        <f ca="1">IF(COUNTIF(IF(AND(配装计算器!$K$30&lt;&gt;"∞",0),INDEX(AU105:CB105,1,$AT$1),INDEX(AU106:CB106,1,$AT$1)),"*叠1*")=1,AB105*0+AE104,0)</f>
        <v>0</v>
      </c>
      <c r="AE105">
        <f ca="1">IF($AN$11&gt;0,IF(COUNTIF(B106,"*叠1*")&gt;0,50-加速!$L$11,MAX(0,AE104-(A106-A105))),0)</f>
        <v>13.36</v>
      </c>
      <c r="AG105">
        <f ca="1" t="shared" si="22"/>
        <v>3</v>
      </c>
      <c r="AH105" t="s">
        <v>1825</v>
      </c>
      <c r="AI105" t="s">
        <v>2902</v>
      </c>
      <c r="AJ105">
        <f ca="1">循环比*COUNTIFS($B$3:$B$515,"*"&amp;AI105&amp;"*",$D$3:$D$515,"=0",$H$3:$H$515,"&gt;0")</f>
        <v>0</v>
      </c>
      <c r="AK105" t="s">
        <v>2948</v>
      </c>
      <c r="AU105" t="s">
        <v>2768</v>
      </c>
      <c r="AV105">
        <v>1</v>
      </c>
      <c r="AW105" t="s">
        <v>3009</v>
      </c>
      <c r="AX105">
        <v>2</v>
      </c>
      <c r="AY105" t="s">
        <v>2768</v>
      </c>
      <c r="AZ105">
        <v>2</v>
      </c>
      <c r="BA105" t="s">
        <v>2768</v>
      </c>
      <c r="BB105">
        <v>2</v>
      </c>
      <c r="BC105" t="s">
        <v>2776</v>
      </c>
      <c r="BD105">
        <v>2</v>
      </c>
      <c r="BE105" t="s">
        <v>2768</v>
      </c>
      <c r="BF105">
        <v>2</v>
      </c>
      <c r="BG105" t="s">
        <v>3067</v>
      </c>
      <c r="BH105">
        <v>0</v>
      </c>
      <c r="BI105" t="s">
        <v>2776</v>
      </c>
      <c r="BJ105">
        <v>1</v>
      </c>
      <c r="BK105" t="s">
        <v>2768</v>
      </c>
      <c r="BL105">
        <v>0</v>
      </c>
      <c r="BM105" t="s">
        <v>2776</v>
      </c>
      <c r="BN105">
        <v>2</v>
      </c>
      <c r="BO105" s="176" t="s">
        <v>2794</v>
      </c>
      <c r="BP105">
        <v>2</v>
      </c>
      <c r="BQ105" t="s">
        <v>3067</v>
      </c>
      <c r="BR105">
        <v>0</v>
      </c>
      <c r="BS105" t="s">
        <v>2768</v>
      </c>
      <c r="BT105">
        <v>1</v>
      </c>
      <c r="BU105" t="s">
        <v>2776</v>
      </c>
      <c r="BV105">
        <v>0</v>
      </c>
      <c r="BW105" s="179" t="s">
        <v>2768</v>
      </c>
      <c r="BX105" s="179">
        <v>2</v>
      </c>
      <c r="BY105" t="s">
        <v>2768</v>
      </c>
      <c r="BZ105">
        <v>2</v>
      </c>
      <c r="CA105" s="176" t="s">
        <v>2794</v>
      </c>
      <c r="CB105">
        <v>2</v>
      </c>
    </row>
    <row r="106" spans="1:80">
      <c r="A106" s="178">
        <f ca="1">IFERROR(IF(AG105&lt;5+金蛇*2,IF(COUNTIF(B105,"*轻*")&gt;0,A105+加速!$L$9,A105+加速!$L$11)+V105,""),"")</f>
        <v>135.35</v>
      </c>
      <c r="B106" s="167" t="str">
        <f ca="1" t="shared" si="17"/>
        <v>夕照雷峰</v>
      </c>
      <c r="C106">
        <f ca="1" t="shared" si="26"/>
        <v>15</v>
      </c>
      <c r="D106">
        <f ca="1">IF(B106&lt;&gt;"",IF(C105&lt;=加速!$L$11*(1-E106),0,1),"")</f>
        <v>1</v>
      </c>
      <c r="E106">
        <f ca="1" t="shared" si="23"/>
        <v>0</v>
      </c>
      <c r="G106">
        <f ca="1" t="shared" si="24"/>
        <v>0</v>
      </c>
      <c r="H106">
        <f ca="1">IF(B106&lt;&gt;"",IF(AND(COUNTIF(B105,"*轻*莺鸣柳*")&gt;0,COUNTIF(B106,"*轻*")&lt;1),MAX(0,15+I105-(A106-A105)+COUNTIF(B105,"*平湖*")*0),IF(AND(E106=0,MAX(0,H105-(A106-A105))&lt;=加速!$H$11),0,MAX(0,H105-(A106-A105)))),"")</f>
        <v>0</v>
      </c>
      <c r="I106">
        <f ca="1" t="shared" si="30"/>
        <v>0</v>
      </c>
      <c r="J106">
        <f ca="1" t="shared" si="31"/>
        <v>1</v>
      </c>
      <c r="K106">
        <f ca="1" t="shared" si="18"/>
        <v>1</v>
      </c>
      <c r="L106">
        <f ca="1">IFERROR(IF(AND(COUNTIF(B106,"*-峰插*"),技能数据库!$M$72&gt;0),0,IF(COUNTIF(B106,"*鹤归*")&gt;0,16-加速!$L$11,MAX(0,L105-(A106-A105)))),0)</f>
        <v>8.26000000000004</v>
      </c>
      <c r="M106">
        <f ca="1" t="shared" si="19"/>
        <v>0</v>
      </c>
      <c r="N106">
        <f ca="1">IFERROR(IF(AND(COUNTIF(B106,"*-峰插*"),技能数据库!$M$72&gt;0),0,IF(COUNTIF(B106,"*云飞*")&gt;0,4-COUNTIF(B106,"*玉山揽云*")*4--COUNTIF(B106,"*烟流暮景*")*4-COUNTIF(B106,"*云景*")*加速!$L$11-IF(J106&gt;0,2,0),MAX(0,N105-(A106-A105)-IF(J106&gt;0,2,0)))),0)</f>
        <v>0</v>
      </c>
      <c r="O106">
        <f ca="1">IF(AND(COUNTIF(IF(AND(配装计算器!$K$30&lt;&gt;"∞",0),INDEX(AU105:CB105,1,$AT$1),INDEX(AU107:CB107,1,$AT$1)),"*云飞*")=1,COUNTIF(IF(AND(配装计算器!$K$30&lt;&gt;"∞",0),INDEX(AU105:CB105,1,$AT$1),INDEX(AU107:CB107,1,$AT$1)),"*玉山*")=0),N106,0)</f>
        <v>0</v>
      </c>
      <c r="P106">
        <f ca="1">IFERROR(IF(COUNTIF(B106,"*云栖松*")&gt;0,50-加速!$L$11,MAX(0,P105-(A106-A105))),0)</f>
        <v>0</v>
      </c>
      <c r="Q106">
        <f ca="1">IF(COUNTIF(IF(AND(配装计算器!$K$30&lt;&gt;"∞",0),INDEX(AU105:CB105,1,$AT$1),INDEX(AU107:CB107,1,$AT$1)),"*云栖松*")=1,P106,0)</f>
        <v>0</v>
      </c>
      <c r="R106">
        <f ca="1">IFERROR(IF(COUNTIF(B106,"*莺鸣柳*")&gt;0,45-加速!$L$9,MAX(0,R105-(A106-A105))),0)</f>
        <v>0</v>
      </c>
      <c r="S106">
        <f ca="1">IF(COUNTIF(IF(AND(配装计算器!$K$30&lt;&gt;"∞",0),INDEX(AU105:CB105,1,$AT$1),INDEX(AU107:CB107,1,$AT$1)),"*莺鸣柳*")=1,R106,0)</f>
        <v>0</v>
      </c>
      <c r="T106">
        <f ca="1" t="shared" si="27"/>
        <v>0</v>
      </c>
      <c r="U106">
        <f ca="1">IF(金蛇,IF(COUNTIF(B106,"*金环戴*")+COUNTIF(B106,"*吹风醒*")&gt;0,IF(A106&lt;=3,7.125-2.625-A106-加速!$L$11,7.125+加速!$K$9-(A106+加速!$L$11-T106)),0),0)+IF(金蛇,IF(COUNTIF(B106,"*千切子裂光*")&gt;0,2+加速!$K$9-(A106+加速!$L$11-T106),0),0)</f>
        <v>0</v>
      </c>
      <c r="V106">
        <f ca="1" t="shared" si="28"/>
        <v>0</v>
      </c>
      <c r="W106">
        <f ca="1" t="shared" si="20"/>
        <v>0</v>
      </c>
      <c r="X106">
        <f ca="1">INDEX(加速!$I$13:$I$21,W106+1)</f>
        <v>0</v>
      </c>
      <c r="Y106">
        <f ca="1" t="shared" si="29"/>
        <v>0.5</v>
      </c>
      <c r="Z106">
        <f ca="1" t="shared" si="25"/>
        <v>0</v>
      </c>
      <c r="AA106">
        <f ca="1">MAX(0,IFERROR(IF(COUNTIF(B106,"*叠*")&gt;0,IF(AC105&lt;3,8-A107+A106,AA105+6.875-A107+A106),AA105-A107+A106),AA105-加速!$L$11))</f>
        <v>0</v>
      </c>
      <c r="AB106">
        <f ca="1">MAX(0,IF(COUNTIF(IF(AND(配装计算器!$K$30&lt;&gt;"∞",0),INDEX(AU106:CB106,1,$AT$1),INDEX(AU106:CB106,1,$AT$1)),"*叠1*")=1,4*25-加速!$L$11,AB105-A106+A105)-IF(OR(COUNTIF(OFFSET(AT106,0,$AT$1,1,1),"*听雷*")&gt;0,AND(碧归&gt;0,COUNTIF(OFFSET(AT106,0,$AT$1,1,1),"*风来*")&gt;0)),0,1)*1.5)</f>
        <v>22.86</v>
      </c>
      <c r="AC106">
        <f ca="1" t="shared" si="21"/>
        <v>0</v>
      </c>
      <c r="AD106">
        <f ca="1">IF(COUNTIF(IF(AND(配装计算器!$K$30&lt;&gt;"∞",0),INDEX(AU106:CB106,1,$AT$1),INDEX(AU107:CB107,1,$AT$1)),"*叠1*")=1,AB106*0+AE105,0)</f>
        <v>0</v>
      </c>
      <c r="AE106">
        <f ca="1">IF($AN$11&gt;0,IF(COUNTIF(B107,"*叠1*")&gt;0,50-加速!$L$11,MAX(0,AE105-(A107-A106))),0)</f>
        <v>12.07</v>
      </c>
      <c r="AG106">
        <f ca="1" t="shared" si="22"/>
        <v>3</v>
      </c>
      <c r="AH106" t="s">
        <v>1825</v>
      </c>
      <c r="AI106" t="s">
        <v>2922</v>
      </c>
      <c r="AJ106">
        <f ca="1">AS1/(1/(407/240)+10)</f>
        <v>18.8674245939675</v>
      </c>
      <c r="AK106" t="s">
        <v>3098</v>
      </c>
      <c r="AU106" t="s">
        <v>3063</v>
      </c>
      <c r="AV106">
        <v>2</v>
      </c>
      <c r="AW106" t="s">
        <v>2776</v>
      </c>
      <c r="AX106">
        <v>2</v>
      </c>
      <c r="AY106" t="s">
        <v>2768</v>
      </c>
      <c r="AZ106">
        <v>2</v>
      </c>
      <c r="BA106" t="s">
        <v>2768</v>
      </c>
      <c r="BB106">
        <v>2</v>
      </c>
      <c r="BC106" t="s">
        <v>2768</v>
      </c>
      <c r="BD106">
        <v>1</v>
      </c>
      <c r="BE106" t="s">
        <v>2776</v>
      </c>
      <c r="BF106">
        <v>2</v>
      </c>
      <c r="BG106" t="s">
        <v>2768</v>
      </c>
      <c r="BH106">
        <v>2</v>
      </c>
      <c r="BI106" t="s">
        <v>2768</v>
      </c>
      <c r="BJ106">
        <v>1</v>
      </c>
      <c r="BK106" t="s">
        <v>3056</v>
      </c>
      <c r="BL106">
        <v>0</v>
      </c>
      <c r="BM106" t="s">
        <v>2768</v>
      </c>
      <c r="BN106">
        <v>2</v>
      </c>
      <c r="BO106" s="176" t="s">
        <v>2776</v>
      </c>
      <c r="BP106">
        <v>2</v>
      </c>
      <c r="BQ106" t="s">
        <v>2776</v>
      </c>
      <c r="BR106">
        <v>2</v>
      </c>
      <c r="BS106" t="s">
        <v>2768</v>
      </c>
      <c r="BT106">
        <v>1</v>
      </c>
      <c r="BU106" t="s">
        <v>3067</v>
      </c>
      <c r="BV106">
        <v>0</v>
      </c>
      <c r="BW106" s="181" t="s">
        <v>2768</v>
      </c>
      <c r="BX106" s="179">
        <v>2</v>
      </c>
      <c r="BY106" t="s">
        <v>2776</v>
      </c>
      <c r="BZ106">
        <v>2</v>
      </c>
      <c r="CA106" s="176" t="s">
        <v>2776</v>
      </c>
      <c r="CB106">
        <v>2</v>
      </c>
    </row>
    <row r="107" spans="1:80">
      <c r="A107" s="178">
        <f ca="1">IFERROR(IF(AG106&lt;5+金蛇*2,IF(COUNTIF(B106,"*轻*")&gt;0,A106+加速!$L$9,A106+加速!$L$11)+V106,""),"")</f>
        <v>136.64</v>
      </c>
      <c r="B107" s="167" t="str">
        <f ca="1" t="shared" si="17"/>
        <v>云飞玉皇</v>
      </c>
      <c r="C107">
        <f ca="1" t="shared" si="26"/>
        <v>13.71</v>
      </c>
      <c r="D107">
        <f ca="1">IF(B107&lt;&gt;"",IF(C106&lt;=加速!$L$11*(1-E107),0,1),"")</f>
        <v>1</v>
      </c>
      <c r="E107">
        <f ca="1" t="shared" si="23"/>
        <v>0</v>
      </c>
      <c r="G107">
        <f ca="1" t="shared" si="24"/>
        <v>0</v>
      </c>
      <c r="H107">
        <f ca="1">IF(B107&lt;&gt;"",IF(AND(COUNTIF(B106,"*轻*莺鸣柳*")&gt;0,COUNTIF(B107,"*轻*")&lt;1),MAX(0,15+I106-(A107-A106)+COUNTIF(B106,"*平湖*")*0),IF(AND(E107=0,MAX(0,H106-(A107-A106))&lt;=加速!$H$11),0,MAX(0,H106-(A107-A106)))),"")</f>
        <v>0</v>
      </c>
      <c r="I107">
        <f ca="1" t="shared" si="30"/>
        <v>0</v>
      </c>
      <c r="J107">
        <f ca="1" t="shared" si="31"/>
        <v>0</v>
      </c>
      <c r="K107">
        <f ca="1" t="shared" si="18"/>
        <v>0</v>
      </c>
      <c r="L107">
        <f ca="1">IFERROR(IF(AND(COUNTIF(B107,"*-峰插*"),技能数据库!$M$72&gt;0),0,IF(COUNTIF(B107,"*鹤归*")&gt;0,16-加速!$L$11,MAX(0,L106-(A107-A106)))),0)</f>
        <v>6.97000000000005</v>
      </c>
      <c r="M107">
        <f ca="1" t="shared" si="19"/>
        <v>0</v>
      </c>
      <c r="N107">
        <f ca="1">IFERROR(IF(AND(COUNTIF(B107,"*-峰插*"),技能数据库!$M$72&gt;0),0,IF(COUNTIF(B107,"*云飞*")&gt;0,4-COUNTIF(B107,"*玉山揽云*")*4--COUNTIF(B107,"*烟流暮景*")*4-COUNTIF(B107,"*云景*")*加速!$L$11-IF(J107&gt;0,2,0),MAX(0,N106-(A107-A106)-IF(J107&gt;0,2,0)))),0)</f>
        <v>4</v>
      </c>
      <c r="O107">
        <f ca="1">IF(AND(COUNTIF(IF(AND(配装计算器!$K$30&lt;&gt;"∞",0),INDEX(AU106:CB106,1,$AT$1),INDEX(AU108:CB108,1,$AT$1)),"*云飞*")=1,COUNTIF(IF(AND(配装计算器!$K$30&lt;&gt;"∞",0),INDEX(AU106:CB106,1,$AT$1),INDEX(AU108:CB108,1,$AT$1)),"*玉山*")=0),N107,0)</f>
        <v>0</v>
      </c>
      <c r="P107">
        <f ca="1">IFERROR(IF(COUNTIF(B107,"*云栖松*")&gt;0,50-加速!$L$11,MAX(0,P106-(A107-A106))),0)</f>
        <v>0</v>
      </c>
      <c r="Q107">
        <f ca="1">IF(COUNTIF(IF(AND(配装计算器!$K$30&lt;&gt;"∞",0),INDEX(AU106:CB106,1,$AT$1),INDEX(AU108:CB108,1,$AT$1)),"*云栖松*")=1,P107,0)</f>
        <v>0</v>
      </c>
      <c r="R107">
        <f ca="1">IFERROR(IF(COUNTIF(B107,"*莺鸣柳*")&gt;0,45-加速!$L$9,MAX(0,R106-(A107-A106))),0)</f>
        <v>0</v>
      </c>
      <c r="S107">
        <f ca="1">IF(COUNTIF(IF(AND(配装计算器!$K$30&lt;&gt;"∞",0),INDEX(AU106:CB106,1,$AT$1),INDEX(AU108:CB108,1,$AT$1)),"*莺鸣柳*")=1,R107,0)</f>
        <v>0</v>
      </c>
      <c r="T107">
        <f ca="1" t="shared" si="27"/>
        <v>0</v>
      </c>
      <c r="U107">
        <f ca="1">IF(金蛇,IF(COUNTIF(B107,"*金环戴*")+COUNTIF(B107,"*吹风醒*")&gt;0,IF(A107&lt;=3,7.125-2.625-A107-加速!$L$11,7.125+加速!$K$9-(A107+加速!$L$11-T107)),0),0)+IF(金蛇,IF(COUNTIF(B107,"*千切子裂光*")&gt;0,2+加速!$K$9-(A107+加速!$L$11-T107),0),0)</f>
        <v>0</v>
      </c>
      <c r="V107">
        <f ca="1" t="shared" si="28"/>
        <v>0</v>
      </c>
      <c r="W107">
        <f ca="1" t="shared" si="20"/>
        <v>0</v>
      </c>
      <c r="X107">
        <f ca="1">INDEX(加速!$I$13:$I$21,W107+1)</f>
        <v>0</v>
      </c>
      <c r="Y107">
        <f ca="1" t="shared" si="29"/>
        <v>0.5</v>
      </c>
      <c r="Z107">
        <f ca="1" t="shared" si="25"/>
        <v>0</v>
      </c>
      <c r="AA107">
        <f ca="1">MAX(0,IFERROR(IF(COUNTIF(B107,"*叠*")&gt;0,IF(AC106&lt;3,8-A108+A107,AA106+6.875-A108+A107),AA106-A108+A107),AA106-加速!$L$11))</f>
        <v>0</v>
      </c>
      <c r="AB107">
        <f ca="1">MAX(0,IF(COUNTIF(IF(AND(配装计算器!$K$30&lt;&gt;"∞",0),INDEX(AU107:CB107,1,$AT$1),INDEX(AU107:CB107,1,$AT$1)),"*叠1*")=1,4*25-加速!$L$11,AB106-A107+A106)-IF(OR(COUNTIF(OFFSET(AT107,0,$AT$1,1,1),"*听雷*")&gt;0,AND(碧归&gt;0,COUNTIF(OFFSET(AT107,0,$AT$1,1,1),"*风来*")&gt;0)),0,1)*1.5)</f>
        <v>20.07</v>
      </c>
      <c r="AC107">
        <f ca="1" t="shared" si="21"/>
        <v>0</v>
      </c>
      <c r="AD107">
        <f ca="1">IF(COUNTIF(IF(AND(配装计算器!$K$30&lt;&gt;"∞",0),INDEX(AU107:CB107,1,$AT$1),INDEX(AU108:CB108,1,$AT$1)),"*叠1*")=1,AB107*0+AE106,0)</f>
        <v>0</v>
      </c>
      <c r="AE107">
        <f ca="1">IF($AN$11&gt;0,IF(COUNTIF(B108,"*叠1*")&gt;0,50-加速!$L$11,MAX(0,AE106-(A108-A107))),0)</f>
        <v>10.78</v>
      </c>
      <c r="AG107">
        <f ca="1" t="shared" si="22"/>
        <v>3</v>
      </c>
      <c r="AH107" t="s">
        <v>1825</v>
      </c>
      <c r="AI107" s="161" t="s">
        <v>2844</v>
      </c>
      <c r="AJ107">
        <f ca="1">循环比*COUNTIFS($B$3:$B$515,"*"&amp;AI107&amp;"*",$D$3:$D$515,"=0")</f>
        <v>0</v>
      </c>
      <c r="AU107" t="s">
        <v>2776</v>
      </c>
      <c r="AV107">
        <v>1</v>
      </c>
      <c r="AW107" t="s">
        <v>2768</v>
      </c>
      <c r="AX107">
        <v>2</v>
      </c>
      <c r="AY107" t="s">
        <v>2768</v>
      </c>
      <c r="AZ107">
        <v>1</v>
      </c>
      <c r="BA107" t="s">
        <v>2768</v>
      </c>
      <c r="BB107">
        <v>1</v>
      </c>
      <c r="BC107" t="s">
        <v>2768</v>
      </c>
      <c r="BD107">
        <v>1</v>
      </c>
      <c r="BE107" t="s">
        <v>2794</v>
      </c>
      <c r="BF107">
        <v>1</v>
      </c>
      <c r="BG107" t="s">
        <v>2768</v>
      </c>
      <c r="BH107">
        <v>2</v>
      </c>
      <c r="BI107" t="s">
        <v>2776</v>
      </c>
      <c r="BJ107">
        <v>0</v>
      </c>
      <c r="BK107" t="s">
        <v>2768</v>
      </c>
      <c r="BL107">
        <v>2</v>
      </c>
      <c r="BM107" t="str">
        <f>IF(山重水复,"风来吴山","夕照雷峰")</f>
        <v>夕照雷峰</v>
      </c>
      <c r="BN107">
        <v>2</v>
      </c>
      <c r="BO107" s="176" t="s">
        <v>2768</v>
      </c>
      <c r="BP107">
        <v>2</v>
      </c>
      <c r="BQ107" t="s">
        <v>2768</v>
      </c>
      <c r="BR107">
        <v>2</v>
      </c>
      <c r="BS107" t="s">
        <v>2768</v>
      </c>
      <c r="BT107">
        <v>0</v>
      </c>
      <c r="BU107" t="s">
        <v>2768</v>
      </c>
      <c r="BV107">
        <v>2</v>
      </c>
      <c r="BW107" s="182" t="s">
        <v>2794</v>
      </c>
      <c r="BX107" s="179">
        <v>2</v>
      </c>
      <c r="BY107" t="s">
        <v>2768</v>
      </c>
      <c r="BZ107">
        <v>2</v>
      </c>
      <c r="CA107" s="176" t="s">
        <v>2768</v>
      </c>
      <c r="CB107">
        <v>2</v>
      </c>
    </row>
    <row r="108" spans="1:80">
      <c r="A108" s="178">
        <f ca="1">IFERROR(IF(AG107&lt;5+金蛇*2,IF(COUNTIF(B107,"*轻*")&gt;0,A107+加速!$L$9,A107+加速!$L$11)+V107,""),"")</f>
        <v>137.93</v>
      </c>
      <c r="B108" s="167" t="str">
        <f ca="1" t="shared" si="17"/>
        <v>夕照雷峰</v>
      </c>
      <c r="C108">
        <f ca="1" t="shared" si="26"/>
        <v>15</v>
      </c>
      <c r="D108">
        <f ca="1">IF(B108&lt;&gt;"",IF(C107&lt;=加速!$L$11*(1-E108),0,1),"")</f>
        <v>1</v>
      </c>
      <c r="E108">
        <f ca="1" t="shared" si="23"/>
        <v>0</v>
      </c>
      <c r="G108">
        <f ca="1" t="shared" si="24"/>
        <v>0</v>
      </c>
      <c r="H108">
        <f ca="1">IF(B108&lt;&gt;"",IF(AND(COUNTIF(B107,"*轻*莺鸣柳*")&gt;0,COUNTIF(B108,"*轻*")&lt;1),MAX(0,15+I107-(A108-A107)+COUNTIF(B107,"*平湖*")*0),IF(AND(E108=0,MAX(0,H107-(A108-A107))&lt;=加速!$H$11),0,MAX(0,H107-(A108-A107)))),"")</f>
        <v>0</v>
      </c>
      <c r="I108">
        <f ca="1" t="shared" si="30"/>
        <v>0</v>
      </c>
      <c r="J108">
        <f ca="1" t="shared" si="31"/>
        <v>0</v>
      </c>
      <c r="K108">
        <f ca="1" t="shared" si="18"/>
        <v>0</v>
      </c>
      <c r="L108">
        <f ca="1">IFERROR(IF(AND(COUNTIF(B108,"*-峰插*"),技能数据库!$M$72&gt;0),0,IF(COUNTIF(B108,"*鹤归*")&gt;0,16-加速!$L$11,MAX(0,L107-(A108-A107)))),0)</f>
        <v>5.68000000000006</v>
      </c>
      <c r="M108">
        <f ca="1" t="shared" si="19"/>
        <v>0</v>
      </c>
      <c r="N108">
        <f ca="1">IFERROR(IF(AND(COUNTIF(B108,"*-峰插*"),技能数据库!$M$72&gt;0),0,IF(COUNTIF(B108,"*云飞*")&gt;0,4-COUNTIF(B108,"*玉山揽云*")*4--COUNTIF(B108,"*烟流暮景*")*4-COUNTIF(B108,"*云景*")*加速!$L$11-IF(J108&gt;0,2,0),MAX(0,N107-(A108-A107)-IF(J108&gt;0,2,0)))),0)</f>
        <v>2.71000000000001</v>
      </c>
      <c r="O108">
        <f ca="1">IF(AND(COUNTIF(IF(AND(配装计算器!$K$30&lt;&gt;"∞",0),INDEX(AU107:CB107,1,$AT$1),INDEX(AU109:CB109,1,$AT$1)),"*云飞*")=1,COUNTIF(IF(AND(配装计算器!$K$30&lt;&gt;"∞",0),INDEX(AU107:CB107,1,$AT$1),INDEX(AU109:CB109,1,$AT$1)),"*玉山*")=0),N108,0)</f>
        <v>0</v>
      </c>
      <c r="P108">
        <f ca="1">IFERROR(IF(COUNTIF(B108,"*云栖松*")&gt;0,50-加速!$L$11,MAX(0,P107-(A108-A107))),0)</f>
        <v>0</v>
      </c>
      <c r="Q108">
        <f ca="1">IF(COUNTIF(IF(AND(配装计算器!$K$30&lt;&gt;"∞",0),INDEX(AU107:CB107,1,$AT$1),INDEX(AU109:CB109,1,$AT$1)),"*云栖松*")=1,P108,0)</f>
        <v>0</v>
      </c>
      <c r="R108">
        <f ca="1">IFERROR(IF(COUNTIF(B108,"*莺鸣柳*")&gt;0,45-加速!$L$9,MAX(0,R107-(A108-A107))),0)</f>
        <v>0</v>
      </c>
      <c r="S108">
        <f ca="1">IF(COUNTIF(IF(AND(配装计算器!$K$30&lt;&gt;"∞",0),INDEX(AU107:CB107,1,$AT$1),INDEX(AU109:CB109,1,$AT$1)),"*莺鸣柳*")=1,R108,0)</f>
        <v>0</v>
      </c>
      <c r="T108">
        <f ca="1" t="shared" si="27"/>
        <v>0</v>
      </c>
      <c r="U108">
        <f ca="1">IF(金蛇,IF(COUNTIF(B108,"*金环戴*")+COUNTIF(B108,"*吹风醒*")&gt;0,IF(A108&lt;=3,7.125-2.625-A108-加速!$L$11,7.125+加速!$K$9-(A108+加速!$L$11-T108)),0),0)+IF(金蛇,IF(COUNTIF(B108,"*千切子裂光*")&gt;0,2+加速!$K$9-(A108+加速!$L$11-T108),0),0)</f>
        <v>0</v>
      </c>
      <c r="V108">
        <f ca="1" t="shared" si="28"/>
        <v>0</v>
      </c>
      <c r="W108">
        <f ca="1" t="shared" si="20"/>
        <v>0</v>
      </c>
      <c r="X108">
        <f ca="1">INDEX(加速!$I$13:$I$21,W108+1)</f>
        <v>0</v>
      </c>
      <c r="Y108">
        <f ca="1" t="shared" si="29"/>
        <v>0.5</v>
      </c>
      <c r="Z108">
        <f ca="1" t="shared" si="25"/>
        <v>0</v>
      </c>
      <c r="AA108">
        <f ca="1">MAX(0,IFERROR(IF(COUNTIF(B108,"*叠*")&gt;0,IF(AC107&lt;3,8-A109+A108,AA107+6.875-A109+A108),AA107-A109+A108),AA107-加速!$L$11))</f>
        <v>0</v>
      </c>
      <c r="AB108">
        <f ca="1">MAX(0,IF(COUNTIF(IF(AND(配装计算器!$K$30&lt;&gt;"∞",0),INDEX(AU108:CB108,1,$AT$1),INDEX(AU108:CB108,1,$AT$1)),"*叠1*")=1,4*25-加速!$L$11,AB107-A108+A107)-IF(OR(COUNTIF(OFFSET(AT108,0,$AT$1,1,1),"*听雷*")&gt;0,AND(碧归&gt;0,COUNTIF(OFFSET(AT108,0,$AT$1,1,1),"*风来*")&gt;0)),0,1)*1.5)</f>
        <v>17.28</v>
      </c>
      <c r="AC108">
        <f ca="1" t="shared" si="21"/>
        <v>0</v>
      </c>
      <c r="AD108">
        <f ca="1">IF(COUNTIF(IF(AND(配装计算器!$K$30&lt;&gt;"∞",0),INDEX(AU108:CB108,1,$AT$1),INDEX(AU109:CB109,1,$AT$1)),"*叠1*")=1,AB108*0+AE107,0)</f>
        <v>0</v>
      </c>
      <c r="AE108">
        <f ca="1">IF($AN$11&gt;0,IF(COUNTIF(B109,"*叠1*")&gt;0,50-加速!$L$11,MAX(0,AE107-(A109-A108))),0)</f>
        <v>9.48999999999999</v>
      </c>
      <c r="AG108">
        <f ca="1" t="shared" si="22"/>
        <v>3</v>
      </c>
      <c r="AH108" t="s">
        <v>1825</v>
      </c>
      <c r="AI108" s="161" t="s">
        <v>2847</v>
      </c>
      <c r="AJ108">
        <f ca="1">循环比*COUNTIFS($B$3:$B$515,"*"&amp;AI108&amp;"*",$D$3:$D$515,"=0")</f>
        <v>0</v>
      </c>
      <c r="AU108" t="s">
        <v>2768</v>
      </c>
      <c r="AV108">
        <v>2</v>
      </c>
      <c r="AW108" t="str">
        <f>IF(山重水复,"风来吴山","夕照雷峰")</f>
        <v>夕照雷峰</v>
      </c>
      <c r="AX108">
        <v>2</v>
      </c>
      <c r="AY108" t="s">
        <v>2776</v>
      </c>
      <c r="AZ108">
        <v>1</v>
      </c>
      <c r="BA108" t="s">
        <v>2776</v>
      </c>
      <c r="BB108">
        <v>1</v>
      </c>
      <c r="BC108" t="s">
        <v>2813</v>
      </c>
      <c r="BD108">
        <v>0</v>
      </c>
      <c r="BE108" t="s">
        <v>2768</v>
      </c>
      <c r="BF108">
        <v>1</v>
      </c>
      <c r="BG108" s="176" t="s">
        <v>2794</v>
      </c>
      <c r="BH108">
        <v>1</v>
      </c>
      <c r="BI108" t="s">
        <v>2768</v>
      </c>
      <c r="BJ108">
        <v>0</v>
      </c>
      <c r="BK108" t="s">
        <v>2768</v>
      </c>
      <c r="BL108">
        <v>2</v>
      </c>
      <c r="BM108" s="176" t="s">
        <v>2794</v>
      </c>
      <c r="BN108">
        <v>2</v>
      </c>
      <c r="BO108" s="176" t="s">
        <v>2776</v>
      </c>
      <c r="BP108">
        <v>2</v>
      </c>
      <c r="BQ108" t="s">
        <v>2768</v>
      </c>
      <c r="BR108">
        <v>2</v>
      </c>
      <c r="BS108" t="s">
        <v>2776</v>
      </c>
      <c r="BT108">
        <v>0</v>
      </c>
      <c r="BU108" t="s">
        <v>2768</v>
      </c>
      <c r="BV108">
        <v>2</v>
      </c>
      <c r="BW108" s="182" t="s">
        <v>2776</v>
      </c>
      <c r="BX108" s="179">
        <v>2</v>
      </c>
      <c r="BY108" t="str">
        <f>IF(山重水复,"风来吴山","夕照雷峰")</f>
        <v>夕照雷峰</v>
      </c>
      <c r="BZ108">
        <v>2</v>
      </c>
      <c r="CA108" s="176" t="s">
        <v>2776</v>
      </c>
      <c r="CB108">
        <v>2</v>
      </c>
    </row>
    <row r="109" spans="1:80">
      <c r="A109" s="178">
        <f ca="1">IFERROR(IF(AG108&lt;5+金蛇*2,IF(COUNTIF(B108,"*轻*")&gt;0,A108+加速!$L$9,A108+加速!$L$11)+V108,""),"")</f>
        <v>139.22</v>
      </c>
      <c r="B109" s="167" t="str">
        <f ca="1" t="shared" si="17"/>
        <v>夕照雷峰</v>
      </c>
      <c r="C109">
        <f ca="1" t="shared" si="26"/>
        <v>15</v>
      </c>
      <c r="D109">
        <f ca="1">IF(B109&lt;&gt;"",IF(C108&lt;=加速!$L$11*(1-E109),0,1),"")</f>
        <v>1</v>
      </c>
      <c r="E109">
        <f ca="1" t="shared" si="23"/>
        <v>0</v>
      </c>
      <c r="G109">
        <f ca="1" t="shared" si="24"/>
        <v>0</v>
      </c>
      <c r="H109">
        <f ca="1">IF(B109&lt;&gt;"",IF(AND(COUNTIF(B108,"*轻*莺鸣柳*")&gt;0,COUNTIF(B109,"*轻*")&lt;1),MAX(0,15+I108-(A109-A108)+COUNTIF(B108,"*平湖*")*0),IF(AND(E109=0,MAX(0,H108-(A109-A108))&lt;=加速!$H$11),0,MAX(0,H108-(A109-A108)))),"")</f>
        <v>0</v>
      </c>
      <c r="I109">
        <f ca="1" t="shared" si="30"/>
        <v>0</v>
      </c>
      <c r="J109">
        <f ca="1" t="shared" si="31"/>
        <v>0</v>
      </c>
      <c r="K109">
        <f ca="1" t="shared" si="18"/>
        <v>0</v>
      </c>
      <c r="L109">
        <f ca="1">IFERROR(IF(AND(COUNTIF(B109,"*-峰插*"),技能数据库!$M$72&gt;0),0,IF(COUNTIF(B109,"*鹤归*")&gt;0,16-加速!$L$11,MAX(0,L108-(A109-A108)))),0)</f>
        <v>4.39000000000006</v>
      </c>
      <c r="M109">
        <f ca="1" t="shared" si="19"/>
        <v>0</v>
      </c>
      <c r="N109">
        <f ca="1">IFERROR(IF(AND(COUNTIF(B109,"*-峰插*"),技能数据库!$M$72&gt;0),0,IF(COUNTIF(B109,"*云飞*")&gt;0,4-COUNTIF(B109,"*玉山揽云*")*4--COUNTIF(B109,"*烟流暮景*")*4-COUNTIF(B109,"*云景*")*加速!$L$11-IF(J109&gt;0,2,0),MAX(0,N108-(A109-A108)-IF(J109&gt;0,2,0)))),0)</f>
        <v>1.42000000000002</v>
      </c>
      <c r="O109">
        <f ca="1">IF(AND(COUNTIF(IF(AND(配装计算器!$K$30&lt;&gt;"∞",0),INDEX(AU108:CB108,1,$AT$1),INDEX(AU110:CB110,1,$AT$1)),"*云飞*")=1,COUNTIF(IF(AND(配装计算器!$K$30&lt;&gt;"∞",0),INDEX(AU108:CB108,1,$AT$1),INDEX(AU110:CB110,1,$AT$1)),"*玉山*")=0),N109,0)</f>
        <v>0</v>
      </c>
      <c r="P109">
        <f ca="1">IFERROR(IF(COUNTIF(B109,"*云栖松*")&gt;0,50-加速!$L$11,MAX(0,P108-(A109-A108))),0)</f>
        <v>0</v>
      </c>
      <c r="Q109">
        <f ca="1">IF(COUNTIF(IF(AND(配装计算器!$K$30&lt;&gt;"∞",0),INDEX(AU108:CB108,1,$AT$1),INDEX(AU110:CB110,1,$AT$1)),"*云栖松*")=1,P109,0)</f>
        <v>0</v>
      </c>
      <c r="R109">
        <f ca="1">IFERROR(IF(COUNTIF(B109,"*莺鸣柳*")&gt;0,45-加速!$L$9,MAX(0,R108-(A109-A108))),0)</f>
        <v>0</v>
      </c>
      <c r="S109">
        <f ca="1">IF(COUNTIF(IF(AND(配装计算器!$K$30&lt;&gt;"∞",0),INDEX(AU108:CB108,1,$AT$1),INDEX(AU110:CB110,1,$AT$1)),"*莺鸣柳*")=1,R109,0)</f>
        <v>0</v>
      </c>
      <c r="T109">
        <f ca="1" t="shared" si="27"/>
        <v>0</v>
      </c>
      <c r="U109">
        <f ca="1">IF(金蛇,IF(COUNTIF(B109,"*金环戴*")+COUNTIF(B109,"*吹风醒*")&gt;0,IF(A109&lt;=3,7.125-2.625-A109-加速!$L$11,7.125+加速!$K$9-(A109+加速!$L$11-T109)),0),0)+IF(金蛇,IF(COUNTIF(B109,"*千切子裂光*")&gt;0,2+加速!$K$9-(A109+加速!$L$11-T109),0),0)</f>
        <v>0</v>
      </c>
      <c r="V109">
        <f ca="1" t="shared" si="28"/>
        <v>0</v>
      </c>
      <c r="W109">
        <f ca="1" t="shared" si="20"/>
        <v>0</v>
      </c>
      <c r="X109">
        <f ca="1">INDEX(加速!$I$13:$I$21,W109+1)</f>
        <v>0</v>
      </c>
      <c r="Y109">
        <f ca="1" t="shared" si="29"/>
        <v>0.5</v>
      </c>
      <c r="Z109">
        <f ca="1" t="shared" si="25"/>
        <v>0</v>
      </c>
      <c r="AA109">
        <f ca="1">MAX(0,IFERROR(IF(COUNTIF(B109,"*叠*")&gt;0,IF(AC108&lt;3,8-A110+A109,AA108+6.875-A110+A109),AA108-A110+A109),AA108-加速!$L$11))</f>
        <v>0</v>
      </c>
      <c r="AB109">
        <f ca="1">MAX(0,IF(COUNTIF(IF(AND(配装计算器!$K$30&lt;&gt;"∞",0),INDEX(AU109:CB109,1,$AT$1),INDEX(AU109:CB109,1,$AT$1)),"*叠1*")=1,4*25-加速!$L$11,AB108-A109+A108)-IF(OR(COUNTIF(OFFSET(AT109,0,$AT$1,1,1),"*听雷*")&gt;0,AND(碧归&gt;0,COUNTIF(OFFSET(AT109,0,$AT$1,1,1),"*风来*")&gt;0)),0,1)*1.5)</f>
        <v>14.49</v>
      </c>
      <c r="AC109">
        <f ca="1" t="shared" si="21"/>
        <v>0</v>
      </c>
      <c r="AD109">
        <f ca="1">IF(COUNTIF(IF(AND(配装计算器!$K$30&lt;&gt;"∞",0),INDEX(AU109:CB109,1,$AT$1),INDEX(AU110:CB110,1,$AT$1)),"*叠1*")=1,AB109*0+AE108,0)</f>
        <v>0</v>
      </c>
      <c r="AE109">
        <f ca="1">IF($AN$11&gt;0,IF(COUNTIF(B110,"*叠1*")&gt;0,50-加速!$L$11,MAX(0,AE108-(A110-A109))),0)</f>
        <v>8.2</v>
      </c>
      <c r="AG109">
        <f ca="1" t="shared" si="22"/>
        <v>3</v>
      </c>
      <c r="AH109" t="s">
        <v>1825</v>
      </c>
      <c r="AI109" s="161" t="s">
        <v>2850</v>
      </c>
      <c r="AJ109">
        <f ca="1">循环比*COUNTIFS($B$3:$B$515,AI109&amp;"*",$D$3:$D$515,"=0")</f>
        <v>0</v>
      </c>
      <c r="AU109" t="s">
        <v>2768</v>
      </c>
      <c r="AV109">
        <v>2</v>
      </c>
      <c r="AW109" s="176" t="s">
        <v>2794</v>
      </c>
      <c r="AX109">
        <v>2</v>
      </c>
      <c r="AY109" t="s">
        <v>2768</v>
      </c>
      <c r="AZ109">
        <v>1</v>
      </c>
      <c r="BA109" t="s">
        <v>2768</v>
      </c>
      <c r="BB109">
        <v>1</v>
      </c>
      <c r="BC109" t="s">
        <v>2776</v>
      </c>
      <c r="BD109">
        <v>2</v>
      </c>
      <c r="BE109" t="s">
        <v>2776</v>
      </c>
      <c r="BF109">
        <v>1</v>
      </c>
      <c r="BG109" t="s">
        <v>2776</v>
      </c>
      <c r="BH109">
        <v>1</v>
      </c>
      <c r="BI109" t="s">
        <v>2768</v>
      </c>
      <c r="BJ109">
        <v>0</v>
      </c>
      <c r="BK109" t="s">
        <v>2776</v>
      </c>
      <c r="BL109">
        <v>2</v>
      </c>
      <c r="BM109" s="176" t="s">
        <v>2776</v>
      </c>
      <c r="BN109">
        <v>2</v>
      </c>
      <c r="BO109" s="176" t="s">
        <v>2768</v>
      </c>
      <c r="BP109">
        <v>2</v>
      </c>
      <c r="BQ109" t="s">
        <v>2768</v>
      </c>
      <c r="BR109">
        <v>1</v>
      </c>
      <c r="BS109" t="s">
        <v>2768</v>
      </c>
      <c r="BT109">
        <v>0</v>
      </c>
      <c r="BU109" s="176" t="s">
        <v>2794</v>
      </c>
      <c r="BV109">
        <v>1</v>
      </c>
      <c r="BW109" s="182" t="s">
        <v>2768</v>
      </c>
      <c r="BX109" s="179">
        <v>2</v>
      </c>
      <c r="BY109" s="176" t="s">
        <v>2794</v>
      </c>
      <c r="BZ109">
        <v>2</v>
      </c>
      <c r="CA109" s="176" t="s">
        <v>2768</v>
      </c>
      <c r="CB109">
        <v>2</v>
      </c>
    </row>
    <row r="110" spans="1:80">
      <c r="A110" s="178">
        <f ca="1">IFERROR(IF(AG109&lt;5+金蛇*2,IF(COUNTIF(B109,"*轻*")&gt;0,A109+加速!$L$9,A109+加速!$L$11)+V109,""),"")</f>
        <v>140.51</v>
      </c>
      <c r="B110" s="167" t="str">
        <f ca="1" t="shared" si="17"/>
        <v>听雷-轻</v>
      </c>
      <c r="C110">
        <f ca="1" t="shared" si="26"/>
        <v>13.71</v>
      </c>
      <c r="D110">
        <f ca="1">IF(B110&lt;&gt;"",IF(C109&lt;=加速!$L$11*(1-E110),0,1),"")</f>
        <v>1</v>
      </c>
      <c r="E110">
        <f ca="1" t="shared" si="23"/>
        <v>1</v>
      </c>
      <c r="G110">
        <f ca="1" t="shared" si="24"/>
        <v>0</v>
      </c>
      <c r="H110">
        <f ca="1">IF(B110&lt;&gt;"",IF(AND(COUNTIF(B109,"*轻*莺鸣柳*")&gt;0,COUNTIF(B110,"*轻*")&lt;1),MAX(0,15+I109-(A110-A109)+COUNTIF(B109,"*平湖*")*0),IF(AND(E110=0,MAX(0,H109-(A110-A109))&lt;=加速!$H$11),0,MAX(0,H109-(A110-A109)))),"")</f>
        <v>0</v>
      </c>
      <c r="I110">
        <f ca="1" t="shared" si="30"/>
        <v>0</v>
      </c>
      <c r="J110">
        <f ca="1" t="shared" si="31"/>
        <v>0</v>
      </c>
      <c r="K110">
        <f ca="1" t="shared" si="18"/>
        <v>0</v>
      </c>
      <c r="L110">
        <f ca="1">IFERROR(IF(AND(COUNTIF(B110,"*-峰插*"),技能数据库!$M$72&gt;0),0,IF(COUNTIF(B110,"*鹤归*")&gt;0,16-加速!$L$11,MAX(0,L109-(A110-A109)))),0)</f>
        <v>3.10000000000007</v>
      </c>
      <c r="M110">
        <f ca="1" t="shared" si="19"/>
        <v>0</v>
      </c>
      <c r="N110">
        <f ca="1">IFERROR(IF(AND(COUNTIF(B110,"*-峰插*"),技能数据库!$M$72&gt;0),0,IF(COUNTIF(B110,"*云飞*")&gt;0,4-COUNTIF(B110,"*玉山揽云*")*4--COUNTIF(B110,"*烟流暮景*")*4-COUNTIF(B110,"*云景*")*加速!$L$11-IF(J110&gt;0,2,0),MAX(0,N109-(A110-A109)-IF(J110&gt;0,2,0)))),0)</f>
        <v>0.130000000000024</v>
      </c>
      <c r="O110">
        <f ca="1">IF(AND(COUNTIF(IF(AND(配装计算器!$K$30&lt;&gt;"∞",0),INDEX(AU109:CB109,1,$AT$1),INDEX(AU111:CB111,1,$AT$1)),"*云飞*")=1,COUNTIF(IF(AND(配装计算器!$K$30&lt;&gt;"∞",0),INDEX(AU109:CB109,1,$AT$1),INDEX(AU111:CB111,1,$AT$1)),"*玉山*")=0),N110,0)</f>
        <v>0.130000000000024</v>
      </c>
      <c r="P110">
        <f ca="1">IFERROR(IF(COUNTIF(B110,"*云栖松*")&gt;0,50-加速!$L$11,MAX(0,P109-(A110-A109))),0)</f>
        <v>0</v>
      </c>
      <c r="Q110">
        <f ca="1">IF(COUNTIF(IF(AND(配装计算器!$K$30&lt;&gt;"∞",0),INDEX(AU109:CB109,1,$AT$1),INDEX(AU111:CB111,1,$AT$1)),"*云栖松*")=1,P110,0)</f>
        <v>0</v>
      </c>
      <c r="R110">
        <f ca="1">IFERROR(IF(COUNTIF(B110,"*莺鸣柳*")&gt;0,45-加速!$L$9,MAX(0,R109-(A110-A109))),0)</f>
        <v>0</v>
      </c>
      <c r="S110">
        <f ca="1">IF(COUNTIF(IF(AND(配装计算器!$K$30&lt;&gt;"∞",0),INDEX(AU109:CB109,1,$AT$1),INDEX(AU111:CB111,1,$AT$1)),"*莺鸣柳*")=1,R110,0)</f>
        <v>0</v>
      </c>
      <c r="T110">
        <f ca="1" t="shared" si="27"/>
        <v>0</v>
      </c>
      <c r="U110">
        <f ca="1">IF(金蛇,IF(COUNTIF(B110,"*金环戴*")+COUNTIF(B110,"*吹风醒*")&gt;0,IF(A110&lt;=3,7.125-2.625-A110-加速!$L$11,7.125+加速!$K$9-(A110+加速!$L$11-T110)),0),0)+IF(金蛇,IF(COUNTIF(B110,"*千切子裂光*")&gt;0,2+加速!$K$9-(A110+加速!$L$11-T110),0),0)</f>
        <v>0</v>
      </c>
      <c r="V110">
        <f ca="1" t="shared" si="28"/>
        <v>0.130000000000024</v>
      </c>
      <c r="W110">
        <f ca="1" t="shared" si="20"/>
        <v>0</v>
      </c>
      <c r="X110">
        <f ca="1">INDEX(加速!$I$13:$I$21,W110+1)</f>
        <v>0</v>
      </c>
      <c r="Y110">
        <f ca="1" t="shared" si="29"/>
        <v>0.5</v>
      </c>
      <c r="Z110">
        <f ca="1" t="shared" si="25"/>
        <v>0</v>
      </c>
      <c r="AA110">
        <f ca="1">MAX(0,IFERROR(IF(COUNTIF(B110,"*叠*")&gt;0,IF(AC109&lt;3,8-A111+A110,AA109+6.875-A111+A110),AA109-A111+A110),AA109-加速!$L$11))</f>
        <v>0</v>
      </c>
      <c r="AB110">
        <f ca="1">MAX(0,IF(COUNTIF(IF(AND(配装计算器!$K$30&lt;&gt;"∞",0),INDEX(AU110:CB110,1,$AT$1),INDEX(AU110:CB110,1,$AT$1)),"*叠1*")=1,4*25-加速!$L$11,AB109-A110+A109)-IF(OR(COUNTIF(OFFSET(AT110,0,$AT$1,1,1),"*听雷*")&gt;0,AND(碧归&gt;0,COUNTIF(OFFSET(AT110,0,$AT$1,1,1),"*风来*")&gt;0)),0,1)*1.5)</f>
        <v>13.2</v>
      </c>
      <c r="AC110">
        <f ca="1" t="shared" si="21"/>
        <v>0</v>
      </c>
      <c r="AD110">
        <f ca="1">IF(COUNTIF(IF(AND(配装计算器!$K$30&lt;&gt;"∞",0),INDEX(AU110:CB110,1,$AT$1),INDEX(AU111:CB111,1,$AT$1)),"*叠1*")=1,AB110*0+AE109,0)</f>
        <v>0</v>
      </c>
      <c r="AE110">
        <f ca="1">IF($AN$11&gt;0,IF(COUNTIF(B111,"*叠1*")&gt;0,50-加速!$L$11,MAX(0,AE109-(A111-A110))),0)</f>
        <v>6.77999999999998</v>
      </c>
      <c r="AG110">
        <f ca="1" t="shared" si="22"/>
        <v>3</v>
      </c>
      <c r="AH110" t="s">
        <v>1825</v>
      </c>
      <c r="AI110" s="161" t="s">
        <v>2853</v>
      </c>
      <c r="AJ110">
        <f ca="1">循环比*COUNTIFS($B$3:$B$515,"*"&amp;AI110&amp;"*",$D$3:$D$515,"=0")</f>
        <v>0</v>
      </c>
      <c r="AU110" s="176" t="s">
        <v>2794</v>
      </c>
      <c r="AV110">
        <v>2</v>
      </c>
      <c r="AW110" s="176" t="s">
        <v>2776</v>
      </c>
      <c r="AX110">
        <v>2</v>
      </c>
      <c r="AY110" t="s">
        <v>2768</v>
      </c>
      <c r="AZ110">
        <v>0</v>
      </c>
      <c r="BA110" t="s">
        <v>2768</v>
      </c>
      <c r="BB110">
        <v>0</v>
      </c>
      <c r="BC110" t="s">
        <v>2768</v>
      </c>
      <c r="BD110">
        <v>2</v>
      </c>
      <c r="BE110" t="s">
        <v>2768</v>
      </c>
      <c r="BF110">
        <v>0</v>
      </c>
      <c r="BG110" t="s">
        <v>2768</v>
      </c>
      <c r="BH110">
        <v>1</v>
      </c>
      <c r="BI110" t="s">
        <v>2722</v>
      </c>
      <c r="BJ110">
        <v>0</v>
      </c>
      <c r="BK110" t="s">
        <v>2768</v>
      </c>
      <c r="BL110">
        <v>1</v>
      </c>
      <c r="BM110" s="176" t="s">
        <v>2768</v>
      </c>
      <c r="BN110">
        <v>2</v>
      </c>
      <c r="BO110" s="176" t="s">
        <v>2808</v>
      </c>
      <c r="BP110">
        <v>2</v>
      </c>
      <c r="BQ110" t="s">
        <v>2776</v>
      </c>
      <c r="BR110">
        <v>1</v>
      </c>
      <c r="BS110" t="s">
        <v>3074</v>
      </c>
      <c r="BT110">
        <v>2</v>
      </c>
      <c r="BU110" t="s">
        <v>2776</v>
      </c>
      <c r="BV110">
        <v>1</v>
      </c>
      <c r="BW110" s="182" t="s">
        <v>2776</v>
      </c>
      <c r="BX110" s="179">
        <v>2</v>
      </c>
      <c r="BY110" s="176" t="s">
        <v>2776</v>
      </c>
      <c r="BZ110">
        <v>2</v>
      </c>
      <c r="CA110" s="176" t="s">
        <v>2808</v>
      </c>
      <c r="CB110">
        <v>2</v>
      </c>
    </row>
    <row r="111" spans="1:80">
      <c r="A111" s="178">
        <f ca="1">IFERROR(IF(AG110&lt;5+金蛇*2,IF(COUNTIF(B110,"*轻*")&gt;0,A110+加速!$L$9,A110+加速!$L$11)+V110,""),"")</f>
        <v>141.93</v>
      </c>
      <c r="B111" s="167" t="str">
        <f ca="1" t="shared" si="17"/>
        <v>云飞玉皇</v>
      </c>
      <c r="C111">
        <f ca="1" t="shared" si="26"/>
        <v>12.29</v>
      </c>
      <c r="D111">
        <f ca="1">IF(B111&lt;&gt;"",IF(C110&lt;=加速!$L$11*(1-E111),0,1),"")</f>
        <v>1</v>
      </c>
      <c r="E111">
        <f ca="1" t="shared" si="23"/>
        <v>0</v>
      </c>
      <c r="G111">
        <f ca="1" t="shared" si="24"/>
        <v>0</v>
      </c>
      <c r="H111">
        <f ca="1">IF(B111&lt;&gt;"",IF(AND(COUNTIF(B110,"*轻*莺鸣柳*")&gt;0,COUNTIF(B111,"*轻*")&lt;1),MAX(0,15+I110-(A111-A110)+COUNTIF(B110,"*平湖*")*0),IF(AND(E111=0,MAX(0,H110-(A111-A110))&lt;=加速!$H$11),0,MAX(0,H110-(A111-A110)))),"")</f>
        <v>0</v>
      </c>
      <c r="I111">
        <f ca="1" t="shared" si="30"/>
        <v>0</v>
      </c>
      <c r="J111">
        <f ca="1" t="shared" si="31"/>
        <v>0</v>
      </c>
      <c r="K111">
        <f ca="1" t="shared" si="18"/>
        <v>2</v>
      </c>
      <c r="L111">
        <f ca="1">IFERROR(IF(AND(COUNTIF(B111,"*-峰插*"),技能数据库!$M$72&gt;0),0,IF(COUNTIF(B111,"*鹤归*")&gt;0,16-加速!$L$11,MAX(0,L110-(A111-A110)))),0)</f>
        <v>1.68000000000006</v>
      </c>
      <c r="M111">
        <f ca="1" t="shared" si="19"/>
        <v>0</v>
      </c>
      <c r="N111">
        <f ca="1">IFERROR(IF(AND(COUNTIF(B111,"*-峰插*"),技能数据库!$M$72&gt;0),0,IF(COUNTIF(B111,"*云飞*")&gt;0,4-COUNTIF(B111,"*玉山揽云*")*4--COUNTIF(B111,"*烟流暮景*")*4-COUNTIF(B111,"*云景*")*加速!$L$11-IF(J111&gt;0,2,0),MAX(0,N110-(A111-A110)-IF(J111&gt;0,2,0)))),0)</f>
        <v>4</v>
      </c>
      <c r="O111">
        <f ca="1">IF(AND(COUNTIF(IF(AND(配装计算器!$K$30&lt;&gt;"∞",0),INDEX(AU110:CB110,1,$AT$1),INDEX(AU112:CB112,1,$AT$1)),"*云飞*")=1,COUNTIF(IF(AND(配装计算器!$K$30&lt;&gt;"∞",0),INDEX(AU110:CB110,1,$AT$1),INDEX(AU112:CB112,1,$AT$1)),"*玉山*")=0),N111,0)</f>
        <v>0</v>
      </c>
      <c r="P111">
        <f ca="1">IFERROR(IF(COUNTIF(B111,"*云栖松*")&gt;0,50-加速!$L$11,MAX(0,P110-(A111-A110))),0)</f>
        <v>0</v>
      </c>
      <c r="Q111">
        <f ca="1">IF(COUNTIF(IF(AND(配装计算器!$K$30&lt;&gt;"∞",0),INDEX(AU110:CB110,1,$AT$1),INDEX(AU112:CB112,1,$AT$1)),"*云栖松*")=1,P111,0)</f>
        <v>0</v>
      </c>
      <c r="R111">
        <f ca="1">IFERROR(IF(COUNTIF(B111,"*莺鸣柳*")&gt;0,45-加速!$L$9,MAX(0,R110-(A111-A110))),0)</f>
        <v>0</v>
      </c>
      <c r="S111">
        <f ca="1">IF(COUNTIF(IF(AND(配装计算器!$K$30&lt;&gt;"∞",0),INDEX(AU110:CB110,1,$AT$1),INDEX(AU112:CB112,1,$AT$1)),"*莺鸣柳*")=1,R111,0)</f>
        <v>0</v>
      </c>
      <c r="T111">
        <f ca="1" t="shared" si="27"/>
        <v>0</v>
      </c>
      <c r="U111">
        <f ca="1">IF(金蛇,IF(COUNTIF(B111,"*金环戴*")+COUNTIF(B111,"*吹风醒*")&gt;0,IF(A111&lt;=3,7.125-2.625-A111-加速!$L$11,7.125+加速!$K$9-(A111+加速!$L$11-T111)),0),0)+IF(金蛇,IF(COUNTIF(B111,"*千切子裂光*")&gt;0,2+加速!$K$9-(A111+加速!$L$11-T111),0),0)</f>
        <v>0</v>
      </c>
      <c r="V111">
        <f ca="1" t="shared" si="28"/>
        <v>0</v>
      </c>
      <c r="W111">
        <f ca="1" t="shared" si="20"/>
        <v>0</v>
      </c>
      <c r="X111">
        <f ca="1">INDEX(加速!$I$13:$I$21,W111+1)</f>
        <v>0</v>
      </c>
      <c r="Y111">
        <f ca="1" t="shared" si="29"/>
        <v>0.5</v>
      </c>
      <c r="Z111">
        <f ca="1" t="shared" si="25"/>
        <v>0</v>
      </c>
      <c r="AA111">
        <f ca="1">MAX(0,IFERROR(IF(COUNTIF(B111,"*叠*")&gt;0,IF(AC110&lt;3,8-A112+A111,AA110+6.875-A112+A111),AA110-A112+A111),AA110-加速!$L$11))</f>
        <v>0</v>
      </c>
      <c r="AB111">
        <f ca="1">MAX(0,IF(COUNTIF(IF(AND(配装计算器!$K$30&lt;&gt;"∞",0),INDEX(AU111:CB111,1,$AT$1),INDEX(AU111:CB111,1,$AT$1)),"*叠1*")=1,4*25-加速!$L$11,AB110-A111+A110)-IF(OR(COUNTIF(OFFSET(AT111,0,$AT$1,1,1),"*听雷*")&gt;0,AND(碧归&gt;0,COUNTIF(OFFSET(AT111,0,$AT$1,1,1),"*风来*")&gt;0)),0,1)*1.5)</f>
        <v>10.28</v>
      </c>
      <c r="AC111">
        <f ca="1" t="shared" si="21"/>
        <v>0</v>
      </c>
      <c r="AD111">
        <f ca="1">IF(COUNTIF(IF(AND(配装计算器!$K$30&lt;&gt;"∞",0),INDEX(AU111:CB111,1,$AT$1),INDEX(AU112:CB112,1,$AT$1)),"*叠1*")=1,AB111*0+AE110,0)</f>
        <v>0</v>
      </c>
      <c r="AE111">
        <f ca="1">IF($AN$11&gt;0,IF(COUNTIF(B112,"*叠1*")&gt;0,50-加速!$L$11,MAX(0,AE110-(A112-A111))),0)</f>
        <v>5.48999999999999</v>
      </c>
      <c r="AG111">
        <f ca="1" t="shared" si="22"/>
        <v>3</v>
      </c>
      <c r="AH111" t="s">
        <v>1825</v>
      </c>
      <c r="AI111" s="161" t="s">
        <v>2855</v>
      </c>
      <c r="AJ111">
        <f ca="1">AJ109*10</f>
        <v>0</v>
      </c>
      <c r="AU111" s="176" t="s">
        <v>2776</v>
      </c>
      <c r="AV111">
        <v>2</v>
      </c>
      <c r="AW111" s="176" t="s">
        <v>2768</v>
      </c>
      <c r="AX111">
        <v>2</v>
      </c>
      <c r="AY111" t="s">
        <v>3010</v>
      </c>
      <c r="AZ111">
        <v>2</v>
      </c>
      <c r="BA111" t="s">
        <v>3010</v>
      </c>
      <c r="BB111">
        <v>2</v>
      </c>
      <c r="BC111" t="s">
        <v>2768</v>
      </c>
      <c r="BD111">
        <v>2</v>
      </c>
      <c r="BE111" t="s">
        <v>3011</v>
      </c>
      <c r="BF111">
        <v>2</v>
      </c>
      <c r="BG111" t="s">
        <v>3011</v>
      </c>
      <c r="BH111">
        <v>2</v>
      </c>
      <c r="BI111" t="s">
        <v>2776</v>
      </c>
      <c r="BJ111">
        <v>2</v>
      </c>
      <c r="BK111" t="s">
        <v>2768</v>
      </c>
      <c r="BL111">
        <v>1</v>
      </c>
      <c r="BM111" s="176" t="s">
        <v>2776</v>
      </c>
      <c r="BN111">
        <v>2</v>
      </c>
      <c r="BO111" t="s">
        <v>2768</v>
      </c>
      <c r="BP111">
        <v>2</v>
      </c>
      <c r="BQ111" t="s">
        <v>2768</v>
      </c>
      <c r="BR111">
        <v>1</v>
      </c>
      <c r="BS111" t="s">
        <v>2768</v>
      </c>
      <c r="BT111">
        <v>2</v>
      </c>
      <c r="BU111" t="s">
        <v>2768</v>
      </c>
      <c r="BV111">
        <v>1</v>
      </c>
      <c r="BW111" s="182" t="s">
        <v>2768</v>
      </c>
      <c r="BX111" s="179">
        <v>2</v>
      </c>
      <c r="BY111" s="176" t="s">
        <v>2768</v>
      </c>
      <c r="BZ111">
        <v>2</v>
      </c>
      <c r="CA111" t="s">
        <v>2768</v>
      </c>
      <c r="CB111">
        <v>2</v>
      </c>
    </row>
    <row r="112" spans="1:80">
      <c r="A112" s="178">
        <f ca="1">IFERROR(IF(AG111&lt;5+金蛇*2,IF(COUNTIF(B111,"*轻*")&gt;0,A111+加速!$L$9,A111+加速!$L$11)+V111,""),"")</f>
        <v>143.22</v>
      </c>
      <c r="B112" s="167" t="str">
        <f ca="1" t="shared" si="17"/>
        <v>夕照雷峰</v>
      </c>
      <c r="C112">
        <f ca="1" t="shared" si="26"/>
        <v>15</v>
      </c>
      <c r="D112">
        <f ca="1">IF(B112&lt;&gt;"",IF(C111&lt;=加速!$L$11*(1-E112),0,1),"")</f>
        <v>1</v>
      </c>
      <c r="E112">
        <f ca="1" t="shared" si="23"/>
        <v>0</v>
      </c>
      <c r="G112">
        <f ca="1" t="shared" si="24"/>
        <v>0</v>
      </c>
      <c r="H112">
        <f ca="1">IF(B112&lt;&gt;"",IF(AND(COUNTIF(B111,"*轻*莺鸣柳*")&gt;0,COUNTIF(B112,"*轻*")&lt;1),MAX(0,15+I111-(A112-A111)+COUNTIF(B111,"*平湖*")*0),IF(AND(E112=0,MAX(0,H111-(A112-A111))&lt;=加速!$H$11),0,MAX(0,H111-(A112-A111)))),"")</f>
        <v>0</v>
      </c>
      <c r="I112">
        <f ca="1" t="shared" si="30"/>
        <v>0</v>
      </c>
      <c r="J112">
        <f ca="1" t="shared" si="31"/>
        <v>0</v>
      </c>
      <c r="K112">
        <f ca="1" t="shared" si="18"/>
        <v>2</v>
      </c>
      <c r="L112">
        <f ca="1">IFERROR(IF(AND(COUNTIF(B112,"*-峰插*"),技能数据库!$M$72&gt;0),0,IF(COUNTIF(B112,"*鹤归*")&gt;0,16-加速!$L$11,MAX(0,L111-(A112-A111)))),0)</f>
        <v>0.390000000000065</v>
      </c>
      <c r="M112">
        <f ca="1" t="shared" si="19"/>
        <v>0</v>
      </c>
      <c r="N112">
        <f ca="1">IFERROR(IF(AND(COUNTIF(B112,"*-峰插*"),技能数据库!$M$72&gt;0),0,IF(COUNTIF(B112,"*云飞*")&gt;0,4-COUNTIF(B112,"*玉山揽云*")*4--COUNTIF(B112,"*烟流暮景*")*4-COUNTIF(B112,"*云景*")*加速!$L$11-IF(J112&gt;0,2,0),MAX(0,N111-(A112-A111)-IF(J112&gt;0,2,0)))),0)</f>
        <v>2.71000000000001</v>
      </c>
      <c r="O112">
        <f ca="1">IF(AND(COUNTIF(IF(AND(配装计算器!$K$30&lt;&gt;"∞",0),INDEX(AU111:CB111,1,$AT$1),INDEX(AU113:CB113,1,$AT$1)),"*云飞*")=1,COUNTIF(IF(AND(配装计算器!$K$30&lt;&gt;"∞",0),INDEX(AU111:CB111,1,$AT$1),INDEX(AU113:CB113,1,$AT$1)),"*玉山*")=0),N112,0)</f>
        <v>0</v>
      </c>
      <c r="P112">
        <f ca="1">IFERROR(IF(COUNTIF(B112,"*云栖松*")&gt;0,50-加速!$L$11,MAX(0,P111-(A112-A111))),0)</f>
        <v>0</v>
      </c>
      <c r="Q112">
        <f ca="1">IF(COUNTIF(IF(AND(配装计算器!$K$30&lt;&gt;"∞",0),INDEX(AU111:CB111,1,$AT$1),INDEX(AU113:CB113,1,$AT$1)),"*云栖松*")=1,P112,0)</f>
        <v>0</v>
      </c>
      <c r="R112">
        <f ca="1">IFERROR(IF(COUNTIF(B112,"*莺鸣柳*")&gt;0,45-加速!$L$9,MAX(0,R111-(A112-A111))),0)</f>
        <v>0</v>
      </c>
      <c r="S112">
        <f ca="1">IF(COUNTIF(IF(AND(配装计算器!$K$30&lt;&gt;"∞",0),INDEX(AU111:CB111,1,$AT$1),INDEX(AU113:CB113,1,$AT$1)),"*莺鸣柳*")=1,R112,0)</f>
        <v>0</v>
      </c>
      <c r="T112">
        <f ca="1" t="shared" si="27"/>
        <v>0</v>
      </c>
      <c r="U112">
        <f ca="1">IF(金蛇,IF(COUNTIF(B112,"*金环戴*")+COUNTIF(B112,"*吹风醒*")&gt;0,IF(A112&lt;=3,7.125-2.625-A112-加速!$L$11,7.125+加速!$K$9-(A112+加速!$L$11-T112)),0),0)+IF(金蛇,IF(COUNTIF(B112,"*千切子裂光*")&gt;0,2+加速!$K$9-(A112+加速!$L$11-T112),0),0)</f>
        <v>0</v>
      </c>
      <c r="V112">
        <f ca="1" t="shared" si="28"/>
        <v>0</v>
      </c>
      <c r="W112">
        <f ca="1" t="shared" si="20"/>
        <v>0</v>
      </c>
      <c r="X112">
        <f ca="1">INDEX(加速!$I$13:$I$21,W112+1)</f>
        <v>0</v>
      </c>
      <c r="Y112">
        <f ca="1" t="shared" si="29"/>
        <v>0.5</v>
      </c>
      <c r="Z112">
        <f ca="1" t="shared" si="25"/>
        <v>0</v>
      </c>
      <c r="AA112">
        <f ca="1">MAX(0,IFERROR(IF(COUNTIF(B112,"*叠*")&gt;0,IF(AC111&lt;3,8-A113+A112,AA111+6.875-A113+A112),AA111-A113+A112),AA111-加速!$L$11))</f>
        <v>0</v>
      </c>
      <c r="AB112">
        <f ca="1">MAX(0,IF(COUNTIF(IF(AND(配装计算器!$K$30&lt;&gt;"∞",0),INDEX(AU112:CB112,1,$AT$1),INDEX(AU112:CB112,1,$AT$1)),"*叠1*")=1,4*25-加速!$L$11,AB111-A112+A111)-IF(OR(COUNTIF(OFFSET(AT112,0,$AT$1,1,1),"*听雷*")&gt;0,AND(碧归&gt;0,COUNTIF(OFFSET(AT112,0,$AT$1,1,1),"*风来*")&gt;0)),0,1)*1.5)</f>
        <v>7.48999999999998</v>
      </c>
      <c r="AC112">
        <f ca="1" t="shared" si="21"/>
        <v>0</v>
      </c>
      <c r="AD112">
        <f ca="1">IF(COUNTIF(IF(AND(配装计算器!$K$30&lt;&gt;"∞",0),INDEX(AU112:CB112,1,$AT$1),INDEX(AU113:CB113,1,$AT$1)),"*叠1*")=1,AB112*0+AE111,0)</f>
        <v>0</v>
      </c>
      <c r="AE112">
        <f ca="1">IF($AN$11&gt;0,IF(COUNTIF(B113,"*叠1*")&gt;0,50-加速!$L$11,MAX(0,AE111-(A113-A112))),0)</f>
        <v>4.2</v>
      </c>
      <c r="AG112">
        <f ca="1" t="shared" si="22"/>
        <v>3</v>
      </c>
      <c r="AH112" t="s">
        <v>1825</v>
      </c>
      <c r="AI112" s="161" t="s">
        <v>2857</v>
      </c>
      <c r="AJ112">
        <f>0</f>
        <v>0</v>
      </c>
      <c r="AU112" s="176" t="s">
        <v>2768</v>
      </c>
      <c r="AV112">
        <v>1</v>
      </c>
      <c r="AW112" s="176" t="s">
        <v>2776</v>
      </c>
      <c r="AX112">
        <v>2</v>
      </c>
      <c r="AY112" t="s">
        <v>3013</v>
      </c>
      <c r="AZ112">
        <v>2</v>
      </c>
      <c r="BA112" t="s">
        <v>3013</v>
      </c>
      <c r="BB112">
        <v>2</v>
      </c>
      <c r="BC112" t="s">
        <v>2768</v>
      </c>
      <c r="BD112">
        <v>1</v>
      </c>
      <c r="BE112" t="s">
        <v>2768</v>
      </c>
      <c r="BF112">
        <v>2</v>
      </c>
      <c r="BG112" t="s">
        <v>2768</v>
      </c>
      <c r="BH112">
        <v>2</v>
      </c>
      <c r="BI112" t="s">
        <v>2768</v>
      </c>
      <c r="BJ112">
        <v>2</v>
      </c>
      <c r="BK112" t="s">
        <v>2794</v>
      </c>
      <c r="BL112">
        <v>0</v>
      </c>
      <c r="BM112" s="176" t="s">
        <v>2768</v>
      </c>
      <c r="BN112">
        <v>2</v>
      </c>
      <c r="BO112" t="s">
        <v>2776</v>
      </c>
      <c r="BP112">
        <v>2</v>
      </c>
      <c r="BQ112" t="s">
        <v>2768</v>
      </c>
      <c r="BR112">
        <v>0</v>
      </c>
      <c r="BS112" t="s">
        <v>2776</v>
      </c>
      <c r="BT112">
        <v>2</v>
      </c>
      <c r="BU112" t="s">
        <v>3011</v>
      </c>
      <c r="BV112">
        <v>2</v>
      </c>
      <c r="BW112" s="182" t="s">
        <v>2808</v>
      </c>
      <c r="BX112" s="179">
        <v>2</v>
      </c>
      <c r="BY112" s="176" t="s">
        <v>2776</v>
      </c>
      <c r="BZ112">
        <v>2</v>
      </c>
      <c r="CA112" t="s">
        <v>2776</v>
      </c>
      <c r="CB112">
        <v>2</v>
      </c>
    </row>
    <row r="113" spans="1:80">
      <c r="A113" s="178">
        <f ca="1">IFERROR(IF(AG112&lt;5+金蛇*2,IF(COUNTIF(B112,"*轻*")&gt;0,A112+加速!$L$9,A112+加速!$L$11)+V112,""),"")</f>
        <v>144.51</v>
      </c>
      <c r="B113" s="167" t="str">
        <f ca="1" t="shared" si="17"/>
        <v>夕照雷峰</v>
      </c>
      <c r="C113">
        <f ca="1" t="shared" si="26"/>
        <v>15</v>
      </c>
      <c r="D113">
        <f ca="1">IF(B113&lt;&gt;"",IF(C112&lt;=加速!$L$11*(1-E113),0,1),"")</f>
        <v>1</v>
      </c>
      <c r="E113">
        <f ca="1" t="shared" si="23"/>
        <v>0</v>
      </c>
      <c r="G113">
        <f ca="1" t="shared" si="24"/>
        <v>0</v>
      </c>
      <c r="H113">
        <f ca="1">IF(B113&lt;&gt;"",IF(AND(COUNTIF(B112,"*轻*莺鸣柳*")&gt;0,COUNTIF(B113,"*轻*")&lt;1),MAX(0,15+I112-(A113-A112)+COUNTIF(B112,"*平湖*")*0),IF(AND(E113=0,MAX(0,H112-(A113-A112))&lt;=加速!$H$11),0,MAX(0,H112-(A113-A112)))),"")</f>
        <v>0</v>
      </c>
      <c r="I113">
        <f ca="1" t="shared" si="30"/>
        <v>0</v>
      </c>
      <c r="J113">
        <f ca="1" t="shared" si="31"/>
        <v>0</v>
      </c>
      <c r="K113">
        <f ca="1" t="shared" si="18"/>
        <v>2</v>
      </c>
      <c r="L113">
        <f ca="1">IFERROR(IF(AND(COUNTIF(B113,"*-峰插*"),技能数据库!$M$72&gt;0),0,IF(COUNTIF(B113,"*鹤归*")&gt;0,16-加速!$L$11,MAX(0,L112-(A113-A112)))),0)</f>
        <v>0</v>
      </c>
      <c r="M113">
        <f ca="1" t="shared" si="19"/>
        <v>0</v>
      </c>
      <c r="N113">
        <f ca="1">IFERROR(IF(AND(COUNTIF(B113,"*-峰插*"),技能数据库!$M$72&gt;0),0,IF(COUNTIF(B113,"*云飞*")&gt;0,4-COUNTIF(B113,"*玉山揽云*")*4--COUNTIF(B113,"*烟流暮景*")*4-COUNTIF(B113,"*云景*")*加速!$L$11-IF(J113&gt;0,2,0),MAX(0,N112-(A113-A112)-IF(J113&gt;0,2,0)))),0)</f>
        <v>1.42000000000002</v>
      </c>
      <c r="O113">
        <f ca="1">IF(AND(COUNTIF(IF(AND(配装计算器!$K$30&lt;&gt;"∞",0),INDEX(AU112:CB112,1,$AT$1),INDEX(AU114:CB114,1,$AT$1)),"*云飞*")=1,COUNTIF(IF(AND(配装计算器!$K$30&lt;&gt;"∞",0),INDEX(AU112:CB112,1,$AT$1),INDEX(AU114:CB114,1,$AT$1)),"*玉山*")=0),N113,0)</f>
        <v>0</v>
      </c>
      <c r="P113">
        <f ca="1">IFERROR(IF(COUNTIF(B113,"*云栖松*")&gt;0,50-加速!$L$11,MAX(0,P112-(A113-A112))),0)</f>
        <v>0</v>
      </c>
      <c r="Q113">
        <f ca="1">IF(COUNTIF(IF(AND(配装计算器!$K$30&lt;&gt;"∞",0),INDEX(AU112:CB112,1,$AT$1),INDEX(AU114:CB114,1,$AT$1)),"*云栖松*")=1,P113,0)</f>
        <v>0</v>
      </c>
      <c r="R113">
        <f ca="1">IFERROR(IF(COUNTIF(B113,"*莺鸣柳*")&gt;0,45-加速!$L$9,MAX(0,R112-(A113-A112))),0)</f>
        <v>0</v>
      </c>
      <c r="S113">
        <f ca="1">IF(COUNTIF(IF(AND(配装计算器!$K$30&lt;&gt;"∞",0),INDEX(AU112:CB112,1,$AT$1),INDEX(AU114:CB114,1,$AT$1)),"*莺鸣柳*")=1,R113,0)</f>
        <v>0</v>
      </c>
      <c r="T113">
        <f ca="1" t="shared" si="27"/>
        <v>0</v>
      </c>
      <c r="U113">
        <f ca="1">IF(金蛇,IF(COUNTIF(B113,"*金环戴*")+COUNTIF(B113,"*吹风醒*")&gt;0,IF(A113&lt;=3,7.125-2.625-A113-加速!$L$11,7.125+加速!$K$9-(A113+加速!$L$11-T113)),0),0)+IF(金蛇,IF(COUNTIF(B113,"*千切子裂光*")&gt;0,2+加速!$K$9-(A113+加速!$L$11-T113),0),0)</f>
        <v>0</v>
      </c>
      <c r="V113">
        <f ca="1" t="shared" si="28"/>
        <v>0</v>
      </c>
      <c r="W113">
        <f ca="1" t="shared" si="20"/>
        <v>0</v>
      </c>
      <c r="X113">
        <f ca="1">INDEX(加速!$I$13:$I$21,W113+1)</f>
        <v>0</v>
      </c>
      <c r="Y113">
        <f ca="1" t="shared" si="29"/>
        <v>0.5</v>
      </c>
      <c r="Z113">
        <f ca="1" t="shared" si="25"/>
        <v>0</v>
      </c>
      <c r="AA113">
        <f ca="1">MAX(0,IFERROR(IF(COUNTIF(B113,"*叠*")&gt;0,IF(AC112&lt;3,8-A114+A113,AA112+6.875-A114+A113),AA112-A114+A113),AA112-加速!$L$11))</f>
        <v>0</v>
      </c>
      <c r="AB113">
        <f ca="1">MAX(0,IF(COUNTIF(IF(AND(配装计算器!$K$30&lt;&gt;"∞",0),INDEX(AU113:CB113,1,$AT$1),INDEX(AU113:CB113,1,$AT$1)),"*叠1*")=1,4*25-加速!$L$11,AB112-A113+A112)-IF(OR(COUNTIF(OFFSET(AT113,0,$AT$1,1,1),"*听雷*")&gt;0,AND(碧归&gt;0,COUNTIF(OFFSET(AT113,0,$AT$1,1,1),"*风来*")&gt;0)),0,1)*1.5)</f>
        <v>4.69999999999999</v>
      </c>
      <c r="AC113">
        <f ca="1" t="shared" si="21"/>
        <v>0</v>
      </c>
      <c r="AD113">
        <f ca="1">IF(COUNTIF(IF(AND(配装计算器!$K$30&lt;&gt;"∞",0),INDEX(AU113:CB113,1,$AT$1),INDEX(AU114:CB114,1,$AT$1)),"*叠1*")=1,AB113*0+AE112,0)</f>
        <v>0</v>
      </c>
      <c r="AE113">
        <f ca="1">IF($AN$11&gt;0,IF(COUNTIF(B114,"*叠1*")&gt;0,50-加速!$L$11,MAX(0,AE112-(A114-A113))),0)</f>
        <v>2.91</v>
      </c>
      <c r="AG113">
        <f ca="1" t="shared" si="22"/>
        <v>3</v>
      </c>
      <c r="AH113" t="s">
        <v>1825</v>
      </c>
      <c r="AI113" s="161" t="s">
        <v>2844</v>
      </c>
      <c r="AJ113">
        <f ca="1">循环比*COUNTIFS($B$3:$B$515,"*"&amp;AI113&amp;"*",$D$3:$D$515,"&gt;0")</f>
        <v>0</v>
      </c>
      <c r="AK113" t="s">
        <v>2750</v>
      </c>
      <c r="AU113" s="176" t="s">
        <v>2776</v>
      </c>
      <c r="AV113">
        <v>2</v>
      </c>
      <c r="AW113" s="176" t="s">
        <v>2768</v>
      </c>
      <c r="AX113">
        <v>2</v>
      </c>
      <c r="AY113" t="s">
        <v>3017</v>
      </c>
      <c r="AZ113">
        <v>2</v>
      </c>
      <c r="BA113" t="s">
        <v>3017</v>
      </c>
      <c r="BB113">
        <v>2</v>
      </c>
      <c r="BC113" t="s">
        <v>2776</v>
      </c>
      <c r="BD113">
        <v>1</v>
      </c>
      <c r="BE113" t="s">
        <v>3019</v>
      </c>
      <c r="BF113">
        <v>2</v>
      </c>
      <c r="BG113" t="s">
        <v>3018</v>
      </c>
      <c r="BH113">
        <v>2</v>
      </c>
      <c r="BI113" t="s">
        <v>2768</v>
      </c>
      <c r="BJ113">
        <v>2</v>
      </c>
      <c r="BK113" t="s">
        <v>2776</v>
      </c>
      <c r="BL113">
        <v>0</v>
      </c>
      <c r="BM113" s="176" t="s">
        <v>2808</v>
      </c>
      <c r="BN113">
        <v>2</v>
      </c>
      <c r="BO113" t="s">
        <v>2768</v>
      </c>
      <c r="BP113">
        <v>2</v>
      </c>
      <c r="BQ113" t="s">
        <v>3010</v>
      </c>
      <c r="BR113">
        <v>2</v>
      </c>
      <c r="BS113" t="s">
        <v>2768</v>
      </c>
      <c r="BT113">
        <v>2</v>
      </c>
      <c r="BU113" t="s">
        <v>2768</v>
      </c>
      <c r="BV113">
        <v>2</v>
      </c>
      <c r="BW113" s="179" t="s">
        <v>2768</v>
      </c>
      <c r="BX113" s="179">
        <v>2</v>
      </c>
      <c r="BY113" s="176" t="s">
        <v>2768</v>
      </c>
      <c r="BZ113">
        <v>2</v>
      </c>
      <c r="CA113" t="str">
        <f>IF(山重水复,"风来吴山","夕照雷峰")</f>
        <v>夕照雷峰</v>
      </c>
      <c r="CB113">
        <v>2</v>
      </c>
    </row>
    <row r="114" spans="1:80">
      <c r="A114" s="178">
        <f ca="1">IFERROR(IF(AG113&lt;5+金蛇*2,IF(COUNTIF(B113,"*轻*")&gt;0,A113+加速!$L$9,A113+加速!$L$11)+V113,""),"")</f>
        <v>145.8</v>
      </c>
      <c r="B114" s="167" t="str">
        <f ca="1" t="shared" si="17"/>
        <v>鹤归孤山</v>
      </c>
      <c r="C114">
        <f ca="1" t="shared" si="26"/>
        <v>13.71</v>
      </c>
      <c r="D114">
        <f ca="1">IF(B114&lt;&gt;"",IF(C113&lt;=加速!$L$11*(1-E114),0,1),"")</f>
        <v>1</v>
      </c>
      <c r="E114">
        <f ca="1" t="shared" si="23"/>
        <v>1</v>
      </c>
      <c r="G114">
        <f ca="1" t="shared" si="24"/>
        <v>0</v>
      </c>
      <c r="H114">
        <f ca="1">IF(B114&lt;&gt;"",IF(AND(COUNTIF(B113,"*轻*莺鸣柳*")&gt;0,COUNTIF(B114,"*轻*")&lt;1),MAX(0,15+I113-(A114-A113)+COUNTIF(B113,"*平湖*")*0),IF(AND(E114=0,MAX(0,H113-(A114-A113))&lt;=加速!$H$11),0,MAX(0,H113-(A114-A113)))),"")</f>
        <v>0</v>
      </c>
      <c r="I114">
        <f ca="1" t="shared" si="30"/>
        <v>0</v>
      </c>
      <c r="J114">
        <f ca="1" t="shared" si="31"/>
        <v>0</v>
      </c>
      <c r="K114">
        <f ca="1" t="shared" si="18"/>
        <v>1</v>
      </c>
      <c r="L114">
        <f ca="1">IFERROR(IF(AND(COUNTIF(B114,"*-峰插*"),技能数据库!$M$72&gt;0),0,IF(COUNTIF(B114,"*鹤归*")&gt;0,16-加速!$L$11,MAX(0,L113-(A114-A113)))),0)</f>
        <v>14.71</v>
      </c>
      <c r="M114">
        <f ca="1" t="shared" si="19"/>
        <v>0</v>
      </c>
      <c r="N114">
        <f ca="1">IFERROR(IF(AND(COUNTIF(B114,"*-峰插*"),技能数据库!$M$72&gt;0),0,IF(COUNTIF(B114,"*云飞*")&gt;0,4-COUNTIF(B114,"*玉山揽云*")*4--COUNTIF(B114,"*烟流暮景*")*4-COUNTIF(B114,"*云景*")*加速!$L$11-IF(J114&gt;0,2,0),MAX(0,N113-(A114-A113)-IF(J114&gt;0,2,0)))),0)</f>
        <v>0.130000000000024</v>
      </c>
      <c r="O114">
        <f ca="1">IF(AND(COUNTIF(IF(AND(配装计算器!$K$30&lt;&gt;"∞",0),INDEX(AU113:CB113,1,$AT$1),INDEX(AU115:CB115,1,$AT$1)),"*云飞*")=1,COUNTIF(IF(AND(配装计算器!$K$30&lt;&gt;"∞",0),INDEX(AU113:CB113,1,$AT$1),INDEX(AU115:CB115,1,$AT$1)),"*玉山*")=0),N114,0)</f>
        <v>0.130000000000024</v>
      </c>
      <c r="P114">
        <f ca="1">IFERROR(IF(COUNTIF(B114,"*云栖松*")&gt;0,50-加速!$L$11,MAX(0,P113-(A114-A113))),0)</f>
        <v>0</v>
      </c>
      <c r="Q114">
        <f ca="1">IF(COUNTIF(IF(AND(配装计算器!$K$30&lt;&gt;"∞",0),INDEX(AU113:CB113,1,$AT$1),INDEX(AU115:CB115,1,$AT$1)),"*云栖松*")=1,P114,0)</f>
        <v>0</v>
      </c>
      <c r="R114">
        <f ca="1">IFERROR(IF(COUNTIF(B114,"*莺鸣柳*")&gt;0,45-加速!$L$9,MAX(0,R113-(A114-A113))),0)</f>
        <v>0</v>
      </c>
      <c r="S114">
        <f ca="1">IF(COUNTIF(IF(AND(配装计算器!$K$30&lt;&gt;"∞",0),INDEX(AU113:CB113,1,$AT$1),INDEX(AU115:CB115,1,$AT$1)),"*莺鸣柳*")=1,R114,0)</f>
        <v>0</v>
      </c>
      <c r="T114">
        <f ca="1" t="shared" si="27"/>
        <v>0</v>
      </c>
      <c r="U114">
        <f ca="1">IF(金蛇,IF(COUNTIF(B114,"*金环戴*")+COUNTIF(B114,"*吹风醒*")&gt;0,IF(A114&lt;=3,7.125-2.625-A114-加速!$L$11,7.125+加速!$K$9-(A114+加速!$L$11-T114)),0),0)+IF(金蛇,IF(COUNTIF(B114,"*千切子裂光*")&gt;0,2+加速!$K$9-(A114+加速!$L$11-T114),0),0)</f>
        <v>0</v>
      </c>
      <c r="V114">
        <f ca="1" t="shared" si="28"/>
        <v>0.130000000000024</v>
      </c>
      <c r="W114">
        <f ca="1" t="shared" si="20"/>
        <v>0</v>
      </c>
      <c r="X114">
        <f ca="1">INDEX(加速!$I$13:$I$21,W114+1)</f>
        <v>0</v>
      </c>
      <c r="Y114">
        <f ca="1" t="shared" si="29"/>
        <v>0.5</v>
      </c>
      <c r="Z114">
        <f ca="1" t="shared" si="25"/>
        <v>0</v>
      </c>
      <c r="AA114">
        <f ca="1">MAX(0,IFERROR(IF(COUNTIF(B114,"*叠*")&gt;0,IF(AC113&lt;3,8-A115+A114,AA113+6.875-A115+A114),AA113-A115+A114),AA113-加速!$L$11))</f>
        <v>0</v>
      </c>
      <c r="AB114">
        <f ca="1">MAX(0,IF(COUNTIF(IF(AND(配装计算器!$K$30&lt;&gt;"∞",0),INDEX(AU114:CB114,1,$AT$1),INDEX(AU114:CB114,1,$AT$1)),"*叠1*")=1,4*25-加速!$L$11,AB113-A114+A113)-IF(OR(COUNTIF(OFFSET(AT114,0,$AT$1,1,1),"*听雷*")&gt;0,AND(碧归&gt;0,COUNTIF(OFFSET(AT114,0,$AT$1,1,1),"*风来*")&gt;0)),0,1)*1.5)</f>
        <v>1.91</v>
      </c>
      <c r="AC114">
        <f ca="1" t="shared" si="21"/>
        <v>0</v>
      </c>
      <c r="AD114">
        <f ca="1">IF(COUNTIF(IF(AND(配装计算器!$K$30&lt;&gt;"∞",0),INDEX(AU114:CB114,1,$AT$1),INDEX(AU115:CB115,1,$AT$1)),"*叠1*")=1,AB114*0+AE113,0)</f>
        <v>0</v>
      </c>
      <c r="AE114">
        <f ca="1">IF($AN$11&gt;0,IF(COUNTIF(B115,"*叠1*")&gt;0,50-加速!$L$11,MAX(0,AE113-(A115-A114))),0)</f>
        <v>1.48999999999999</v>
      </c>
      <c r="AG114">
        <f ca="1" t="shared" si="22"/>
        <v>3</v>
      </c>
      <c r="AH114" t="s">
        <v>1825</v>
      </c>
      <c r="AI114" s="161" t="s">
        <v>2847</v>
      </c>
      <c r="AJ114">
        <f ca="1">循环比*COUNTIFS($B$3:$B$515,"*"&amp;AI114&amp;"*",$D$3:$D$515,"&gt;0")</f>
        <v>0</v>
      </c>
      <c r="AK114" t="s">
        <v>2750</v>
      </c>
      <c r="AU114" s="176" t="s">
        <v>2768</v>
      </c>
      <c r="AV114">
        <v>1</v>
      </c>
      <c r="AW114" s="176" t="s">
        <v>2808</v>
      </c>
      <c r="AX114">
        <v>2</v>
      </c>
      <c r="AY114" t="s">
        <v>2808</v>
      </c>
      <c r="AZ114">
        <v>2</v>
      </c>
      <c r="BA114" t="s">
        <v>2808</v>
      </c>
      <c r="BB114">
        <v>2</v>
      </c>
      <c r="BC114" t="s">
        <v>2768</v>
      </c>
      <c r="BD114">
        <v>1</v>
      </c>
      <c r="BE114" t="s">
        <v>2768</v>
      </c>
      <c r="BF114">
        <v>2</v>
      </c>
      <c r="BG114" t="s">
        <v>2768</v>
      </c>
      <c r="BH114">
        <v>2</v>
      </c>
      <c r="BI114" s="176" t="s">
        <v>2794</v>
      </c>
      <c r="BJ114">
        <v>1</v>
      </c>
      <c r="BK114" t="s">
        <v>2768</v>
      </c>
      <c r="BL114">
        <v>0</v>
      </c>
      <c r="BM114" t="s">
        <v>2768</v>
      </c>
      <c r="BN114">
        <v>2</v>
      </c>
      <c r="BO114" t="s">
        <v>2768</v>
      </c>
      <c r="BP114">
        <v>2</v>
      </c>
      <c r="BQ114" t="s">
        <v>3013</v>
      </c>
      <c r="BR114">
        <v>2</v>
      </c>
      <c r="BS114" t="s">
        <v>2768</v>
      </c>
      <c r="BT114">
        <v>1</v>
      </c>
      <c r="BU114" t="s">
        <v>3018</v>
      </c>
      <c r="BV114">
        <v>2</v>
      </c>
      <c r="BW114" s="179" t="s">
        <v>2776</v>
      </c>
      <c r="BX114" s="179">
        <v>2</v>
      </c>
      <c r="BY114" s="176" t="s">
        <v>2808</v>
      </c>
      <c r="BZ114">
        <v>2</v>
      </c>
      <c r="CA114" t="s">
        <v>2768</v>
      </c>
      <c r="CB114">
        <v>2</v>
      </c>
    </row>
    <row r="115" spans="1:80">
      <c r="A115" s="178">
        <f ca="1">IFERROR(IF(AG114&lt;5+金蛇*2,IF(COUNTIF(B114,"*轻*")&gt;0,A114+加速!$L$9,A114+加速!$L$11)+V114,""),"")</f>
        <v>147.22</v>
      </c>
      <c r="B115" s="167" t="str">
        <f ca="1" t="shared" si="17"/>
        <v>云飞玉皇</v>
      </c>
      <c r="C115">
        <f ca="1" t="shared" si="26"/>
        <v>12.29</v>
      </c>
      <c r="D115">
        <f ca="1">IF(B115&lt;&gt;"",IF(C114&lt;=加速!$L$11*(1-E115),0,1),"")</f>
        <v>1</v>
      </c>
      <c r="E115">
        <f ca="1" t="shared" si="23"/>
        <v>0</v>
      </c>
      <c r="G115">
        <f ca="1" t="shared" si="24"/>
        <v>0</v>
      </c>
      <c r="H115">
        <f ca="1">IF(B115&lt;&gt;"",IF(AND(COUNTIF(B114,"*轻*莺鸣柳*")&gt;0,COUNTIF(B115,"*轻*")&lt;1),MAX(0,15+I114-(A115-A114)+COUNTIF(B114,"*平湖*")*0),IF(AND(E115=0,MAX(0,H114-(A115-A114))&lt;=加速!$H$11),0,MAX(0,H114-(A115-A114)))),"")</f>
        <v>0</v>
      </c>
      <c r="I115">
        <f ca="1" t="shared" si="30"/>
        <v>0</v>
      </c>
      <c r="J115">
        <f ca="1" t="shared" si="31"/>
        <v>4</v>
      </c>
      <c r="K115">
        <f ca="1" t="shared" si="18"/>
        <v>1</v>
      </c>
      <c r="L115">
        <f ca="1">IFERROR(IF(AND(COUNTIF(B115,"*-峰插*"),技能数据库!$M$72&gt;0),0,IF(COUNTIF(B115,"*鹤归*")&gt;0,16-加速!$L$11,MAX(0,L114-(A115-A114)))),0)</f>
        <v>13.29</v>
      </c>
      <c r="M115">
        <f ca="1" t="shared" si="19"/>
        <v>0</v>
      </c>
      <c r="N115">
        <f ca="1">IFERROR(IF(AND(COUNTIF(B115,"*-峰插*"),技能数据库!$M$72&gt;0),0,IF(COUNTIF(B115,"*云飞*")&gt;0,4-COUNTIF(B115,"*玉山揽云*")*4--COUNTIF(B115,"*烟流暮景*")*4-COUNTIF(B115,"*云景*")*加速!$L$11-IF(J115&gt;0,2,0),MAX(0,N114-(A115-A114)-IF(J115&gt;0,2,0)))),0)</f>
        <v>2</v>
      </c>
      <c r="O115">
        <f ca="1">IF(AND(COUNTIF(IF(AND(配装计算器!$K$30&lt;&gt;"∞",0),INDEX(AU114:CB114,1,$AT$1),INDEX(AU116:CB116,1,$AT$1)),"*云飞*")=1,COUNTIF(IF(AND(配装计算器!$K$30&lt;&gt;"∞",0),INDEX(AU114:CB114,1,$AT$1),INDEX(AU116:CB116,1,$AT$1)),"*玉山*")=0),N115,0)</f>
        <v>0</v>
      </c>
      <c r="P115">
        <f ca="1">IFERROR(IF(COUNTIF(B115,"*云栖松*")&gt;0,50-加速!$L$11,MAX(0,P114-(A115-A114))),0)</f>
        <v>0</v>
      </c>
      <c r="Q115">
        <f ca="1">IF(COUNTIF(IF(AND(配装计算器!$K$30&lt;&gt;"∞",0),INDEX(AU114:CB114,1,$AT$1),INDEX(AU116:CB116,1,$AT$1)),"*云栖松*")=1,P115,0)</f>
        <v>0</v>
      </c>
      <c r="R115">
        <f ca="1">IFERROR(IF(COUNTIF(B115,"*莺鸣柳*")&gt;0,45-加速!$L$9,MAX(0,R114-(A115-A114))),0)</f>
        <v>0</v>
      </c>
      <c r="S115">
        <f ca="1">IF(COUNTIF(IF(AND(配装计算器!$K$30&lt;&gt;"∞",0),INDEX(AU114:CB114,1,$AT$1),INDEX(AU116:CB116,1,$AT$1)),"*莺鸣柳*")=1,R115,0)</f>
        <v>0</v>
      </c>
      <c r="T115">
        <f ca="1" t="shared" si="27"/>
        <v>0</v>
      </c>
      <c r="U115">
        <f ca="1">IF(金蛇,IF(COUNTIF(B115,"*金环戴*")+COUNTIF(B115,"*吹风醒*")&gt;0,IF(A115&lt;=3,7.125-2.625-A115-加速!$L$11,7.125+加速!$K$9-(A115+加速!$L$11-T115)),0),0)+IF(金蛇,IF(COUNTIF(B115,"*千切子裂光*")&gt;0,2+加速!$K$9-(A115+加速!$L$11-T115),0),0)</f>
        <v>0</v>
      </c>
      <c r="V115">
        <f ca="1" t="shared" si="28"/>
        <v>0</v>
      </c>
      <c r="W115">
        <f ca="1" t="shared" si="20"/>
        <v>0</v>
      </c>
      <c r="X115">
        <f ca="1">INDEX(加速!$I$13:$I$21,W115+1)</f>
        <v>0</v>
      </c>
      <c r="Y115">
        <f ca="1" t="shared" si="29"/>
        <v>0.5</v>
      </c>
      <c r="Z115">
        <f ca="1" t="shared" si="25"/>
        <v>0</v>
      </c>
      <c r="AA115">
        <f ca="1">MAX(0,IFERROR(IF(COUNTIF(B115,"*叠*")&gt;0,IF(AC114&lt;3,8-A116+A115,AA114+6.875-A116+A115),AA114-A116+A115),AA114-加速!$L$11))</f>
        <v>0</v>
      </c>
      <c r="AB115">
        <f ca="1">MAX(0,IF(COUNTIF(IF(AND(配装计算器!$K$30&lt;&gt;"∞",0),INDEX(AU115:CB115,1,$AT$1),INDEX(AU115:CB115,1,$AT$1)),"*叠1*")=1,4*25-加速!$L$11,AB114-A115+A114)-IF(OR(COUNTIF(OFFSET(AT115,0,$AT$1,1,1),"*听雷*")&gt;0,AND(碧归&gt;0,COUNTIF(OFFSET(AT115,0,$AT$1,1,1),"*风来*")&gt;0)),0,1)*1.5)</f>
        <v>0</v>
      </c>
      <c r="AC115">
        <f ca="1" t="shared" si="21"/>
        <v>0</v>
      </c>
      <c r="AD115">
        <f ca="1">IF(COUNTIF(IF(AND(配装计算器!$K$30&lt;&gt;"∞",0),INDEX(AU115:CB115,1,$AT$1),INDEX(AU116:CB116,1,$AT$1)),"*叠1*")=1,AB115*0+AE114,0)</f>
        <v>0</v>
      </c>
      <c r="AE115">
        <f ca="1">IF($AN$11&gt;0,IF(COUNTIF(B116,"*叠1*")&gt;0,50-加速!$L$11,MAX(0,AE114-(A116-A115))),0)</f>
        <v>0.199999999999996</v>
      </c>
      <c r="AG115">
        <f ca="1" t="shared" si="22"/>
        <v>3</v>
      </c>
      <c r="AH115" t="s">
        <v>1825</v>
      </c>
      <c r="AI115" s="161" t="s">
        <v>2850</v>
      </c>
      <c r="AJ115">
        <f ca="1">循环比*COUNTIFS($B$3:$B$515,AI115&amp;"*",$D$3:$D$515,"&gt;0")</f>
        <v>0</v>
      </c>
      <c r="AK115" t="s">
        <v>2750</v>
      </c>
      <c r="AU115" s="176" t="s">
        <v>2776</v>
      </c>
      <c r="AV115">
        <v>1</v>
      </c>
      <c r="AW115" t="s">
        <v>2768</v>
      </c>
      <c r="AX115">
        <v>2</v>
      </c>
      <c r="AY115" t="s">
        <v>3022</v>
      </c>
      <c r="AZ115">
        <v>2</v>
      </c>
      <c r="BA115" t="s">
        <v>3022</v>
      </c>
      <c r="BB115">
        <v>2</v>
      </c>
      <c r="BC115" t="s">
        <v>2768</v>
      </c>
      <c r="BD115">
        <v>0</v>
      </c>
      <c r="BE115" t="s">
        <v>2768</v>
      </c>
      <c r="BF115">
        <v>2</v>
      </c>
      <c r="BG115" s="182" t="s">
        <v>3023</v>
      </c>
      <c r="BH115">
        <v>2</v>
      </c>
      <c r="BI115" t="s">
        <v>2776</v>
      </c>
      <c r="BJ115">
        <v>1</v>
      </c>
      <c r="BK115" t="s">
        <v>3068</v>
      </c>
      <c r="BL115">
        <v>2</v>
      </c>
      <c r="BM115" t="s">
        <v>2776</v>
      </c>
      <c r="BN115">
        <v>2</v>
      </c>
      <c r="BO115" t="s">
        <v>2768</v>
      </c>
      <c r="BP115">
        <v>2</v>
      </c>
      <c r="BQ115" t="s">
        <v>3018</v>
      </c>
      <c r="BR115">
        <v>2</v>
      </c>
      <c r="BS115" t="s">
        <v>2768</v>
      </c>
      <c r="BT115">
        <v>1</v>
      </c>
      <c r="BU115" t="s">
        <v>2768</v>
      </c>
      <c r="BV115">
        <v>2</v>
      </c>
      <c r="BW115" s="179" t="s">
        <v>2768</v>
      </c>
      <c r="BX115" s="179">
        <v>2</v>
      </c>
      <c r="BY115" t="s">
        <v>2768</v>
      </c>
      <c r="BZ115">
        <v>2</v>
      </c>
      <c r="CA115" t="s">
        <v>2768</v>
      </c>
      <c r="CB115">
        <v>2</v>
      </c>
    </row>
    <row r="116" spans="1:80">
      <c r="A116" s="178">
        <f ca="1">IFERROR(IF(AG115&lt;5+金蛇*2,IF(COUNTIF(B115,"*轻*")&gt;0,A115+加速!$L$9,A115+加速!$L$11)+V115,""),"")</f>
        <v>148.51</v>
      </c>
      <c r="B116" s="167" t="str">
        <f ca="1" t="shared" si="17"/>
        <v>夕照雷峰</v>
      </c>
      <c r="C116">
        <f ca="1" t="shared" si="26"/>
        <v>15</v>
      </c>
      <c r="D116">
        <f ca="1">IF(B116&lt;&gt;"",IF(C115&lt;=加速!$L$11*(1-E116),0,1),"")</f>
        <v>1</v>
      </c>
      <c r="E116">
        <f ca="1" t="shared" si="23"/>
        <v>0</v>
      </c>
      <c r="G116">
        <f ca="1" t="shared" si="24"/>
        <v>0</v>
      </c>
      <c r="H116">
        <f ca="1">IF(B116&lt;&gt;"",IF(AND(COUNTIF(B115,"*轻*莺鸣柳*")&gt;0,COUNTIF(B116,"*轻*")&lt;1),MAX(0,15+I115-(A116-A115)+COUNTIF(B115,"*平湖*")*0),IF(AND(E116=0,MAX(0,H115-(A116-A115))&lt;=加速!$H$11),0,MAX(0,H115-(A116-A115)))),"")</f>
        <v>0</v>
      </c>
      <c r="I116">
        <f ca="1" t="shared" si="30"/>
        <v>0</v>
      </c>
      <c r="J116">
        <f ca="1" t="shared" si="31"/>
        <v>3</v>
      </c>
      <c r="K116">
        <f ca="1" t="shared" si="18"/>
        <v>0</v>
      </c>
      <c r="L116">
        <f ca="1">IFERROR(IF(AND(COUNTIF(B116,"*-峰插*"),技能数据库!$M$72&gt;0),0,IF(COUNTIF(B116,"*鹤归*")&gt;0,16-加速!$L$11,MAX(0,L115-(A116-A115)))),0)</f>
        <v>12</v>
      </c>
      <c r="M116">
        <f ca="1" t="shared" si="19"/>
        <v>0</v>
      </c>
      <c r="N116">
        <f ca="1">IFERROR(IF(AND(COUNTIF(B116,"*-峰插*"),技能数据库!$M$72&gt;0),0,IF(COUNTIF(B116,"*云飞*")&gt;0,4-COUNTIF(B116,"*玉山揽云*")*4--COUNTIF(B116,"*烟流暮景*")*4-COUNTIF(B116,"*云景*")*加速!$L$11-IF(J116&gt;0,2,0),MAX(0,N115-(A116-A115)-IF(J116&gt;0,2,0)))),0)</f>
        <v>0</v>
      </c>
      <c r="O116">
        <f ca="1">IF(AND(COUNTIF(IF(AND(配装计算器!$K$30&lt;&gt;"∞",0),INDEX(AU115:CB115,1,$AT$1),INDEX(AU117:CB117,1,$AT$1)),"*云飞*")=1,COUNTIF(IF(AND(配装计算器!$K$30&lt;&gt;"∞",0),INDEX(AU115:CB115,1,$AT$1),INDEX(AU117:CB117,1,$AT$1)),"*玉山*")=0),N116,0)</f>
        <v>0</v>
      </c>
      <c r="P116">
        <f ca="1">IFERROR(IF(COUNTIF(B116,"*云栖松*")&gt;0,50-加速!$L$11,MAX(0,P115-(A116-A115))),0)</f>
        <v>0</v>
      </c>
      <c r="Q116">
        <f ca="1">IF(COUNTIF(IF(AND(配装计算器!$K$30&lt;&gt;"∞",0),INDEX(AU115:CB115,1,$AT$1),INDEX(AU117:CB117,1,$AT$1)),"*云栖松*")=1,P116,0)</f>
        <v>0</v>
      </c>
      <c r="R116">
        <f ca="1">IFERROR(IF(COUNTIF(B116,"*莺鸣柳*")&gt;0,45-加速!$L$9,MAX(0,R115-(A116-A115))),0)</f>
        <v>0</v>
      </c>
      <c r="S116">
        <f ca="1">IF(COUNTIF(IF(AND(配装计算器!$K$30&lt;&gt;"∞",0),INDEX(AU115:CB115,1,$AT$1),INDEX(AU117:CB117,1,$AT$1)),"*莺鸣柳*")=1,R116,0)</f>
        <v>0</v>
      </c>
      <c r="T116">
        <f ca="1" t="shared" si="27"/>
        <v>0</v>
      </c>
      <c r="U116">
        <f ca="1">IF(金蛇,IF(COUNTIF(B116,"*金环戴*")+COUNTIF(B116,"*吹风醒*")&gt;0,IF(A116&lt;=3,7.125-2.625-A116-加速!$L$11,7.125+加速!$K$9-(A116+加速!$L$11-T116)),0),0)+IF(金蛇,IF(COUNTIF(B116,"*千切子裂光*")&gt;0,2+加速!$K$9-(A116+加速!$L$11-T116),0),0)</f>
        <v>0</v>
      </c>
      <c r="V116">
        <f ca="1" t="shared" si="28"/>
        <v>0.199999999999996</v>
      </c>
      <c r="W116">
        <f ca="1" t="shared" si="20"/>
        <v>0</v>
      </c>
      <c r="X116">
        <f ca="1">INDEX(加速!$I$13:$I$21,W116+1)</f>
        <v>0</v>
      </c>
      <c r="Y116">
        <f ca="1" t="shared" si="29"/>
        <v>0.5</v>
      </c>
      <c r="Z116">
        <f ca="1" t="shared" si="25"/>
        <v>0</v>
      </c>
      <c r="AA116">
        <f ca="1">MAX(0,IFERROR(IF(COUNTIF(B116,"*叠*")&gt;0,IF(AC115&lt;3,8-A117+A116,AA115+6.875-A117+A116),AA115-A117+A116),AA115-加速!$L$11))</f>
        <v>0</v>
      </c>
      <c r="AB116">
        <f ca="1">MAX(0,IF(COUNTIF(IF(AND(配装计算器!$K$30&lt;&gt;"∞",0),INDEX(AU116:CB116,1,$AT$1),INDEX(AU116:CB116,1,$AT$1)),"*叠1*")=1,4*25-加速!$L$11,AB115-A116+A115)-IF(OR(COUNTIF(OFFSET(AT116,0,$AT$1,1,1),"*听雷*")&gt;0,AND(碧归&gt;0,COUNTIF(OFFSET(AT116,0,$AT$1,1,1),"*风来*")&gt;0)),0,1)*1.5)</f>
        <v>0</v>
      </c>
      <c r="AC116">
        <f ca="1" t="shared" si="21"/>
        <v>0</v>
      </c>
      <c r="AD116">
        <f ca="1">IF(COUNTIF(IF(AND(配装计算器!$K$30&lt;&gt;"∞",0),INDEX(AU116:CB116,1,$AT$1),INDEX(AU117:CB117,1,$AT$1)),"*叠1*")=1,AB116*0+AE115,0)</f>
        <v>0.199999999999996</v>
      </c>
      <c r="AE116">
        <f ca="1">IF($AN$11&gt;0,IF(COUNTIF(B117,"*叠1*")&gt;0,50-加速!$L$11,MAX(0,AE115-(A117-A116))),0)</f>
        <v>48.71</v>
      </c>
      <c r="AG116">
        <f ca="1" t="shared" si="22"/>
        <v>4</v>
      </c>
      <c r="AH116" t="s">
        <v>1825</v>
      </c>
      <c r="AI116" s="161" t="s">
        <v>2853</v>
      </c>
      <c r="AJ116">
        <f ca="1">循环比*COUNTIFS($B$3:$B$515,"*"&amp;AI116&amp;"*",$D$3:$D$515,"&gt;0")</f>
        <v>0</v>
      </c>
      <c r="AK116" t="s">
        <v>2750</v>
      </c>
      <c r="AU116" t="s">
        <v>2722</v>
      </c>
      <c r="AV116">
        <v>0</v>
      </c>
      <c r="AW116" t="s">
        <v>2776</v>
      </c>
      <c r="AX116">
        <v>2</v>
      </c>
      <c r="AY116" t="s">
        <v>2776</v>
      </c>
      <c r="AZ116">
        <v>2</v>
      </c>
      <c r="BA116" t="s">
        <v>2776</v>
      </c>
      <c r="BB116">
        <v>2</v>
      </c>
      <c r="BC116" t="s">
        <v>2768</v>
      </c>
      <c r="BD116">
        <v>0</v>
      </c>
      <c r="BE116" t="s">
        <v>2768</v>
      </c>
      <c r="BF116">
        <v>2</v>
      </c>
      <c r="BG116" s="176" t="s">
        <v>2768</v>
      </c>
      <c r="BH116">
        <v>2</v>
      </c>
      <c r="BI116" t="s">
        <v>2768</v>
      </c>
      <c r="BJ116">
        <v>0</v>
      </c>
      <c r="BK116" t="s">
        <v>2768</v>
      </c>
      <c r="BL116">
        <v>2</v>
      </c>
      <c r="BM116" t="s">
        <v>2768</v>
      </c>
      <c r="BN116">
        <v>2</v>
      </c>
      <c r="BO116" t="s">
        <v>2776</v>
      </c>
      <c r="BP116">
        <v>2</v>
      </c>
      <c r="BQ116" t="s">
        <v>2768</v>
      </c>
      <c r="BR116">
        <v>2</v>
      </c>
      <c r="BS116" t="s">
        <v>2776</v>
      </c>
      <c r="BT116">
        <v>0</v>
      </c>
      <c r="BU116" s="182" t="s">
        <v>3023</v>
      </c>
      <c r="BV116">
        <v>2</v>
      </c>
      <c r="BW116" s="179" t="s">
        <v>2768</v>
      </c>
      <c r="BX116" s="179">
        <v>2</v>
      </c>
      <c r="BY116" t="s">
        <v>2776</v>
      </c>
      <c r="BZ116">
        <v>2</v>
      </c>
      <c r="CA116" t="s">
        <v>2776</v>
      </c>
      <c r="CB116">
        <v>2</v>
      </c>
    </row>
    <row r="117" spans="1:80">
      <c r="A117" s="178">
        <f ca="1">IFERROR(IF(AG116&lt;5+金蛇*2,IF(COUNTIF(B116,"*轻*")&gt;0,A116+加速!$L$9,A116+加速!$L$11)+V116,""),"")</f>
        <v>150</v>
      </c>
      <c r="B117" s="167" t="str">
        <f ca="1" t="shared" si="17"/>
        <v>叠1-云飞玉皇</v>
      </c>
      <c r="C117">
        <f ca="1" t="shared" si="26"/>
        <v>13.51</v>
      </c>
      <c r="D117">
        <f ca="1">IF(B117&lt;&gt;"",IF(C116&lt;=加速!$L$11*(1-E117),0,1),"")</f>
        <v>1</v>
      </c>
      <c r="E117">
        <f ca="1" t="shared" si="23"/>
        <v>1</v>
      </c>
      <c r="G117">
        <f ca="1" t="shared" si="24"/>
        <v>0</v>
      </c>
      <c r="H117">
        <f ca="1">IF(B117&lt;&gt;"",IF(AND(COUNTIF(B116,"*轻*莺鸣柳*")&gt;0,COUNTIF(B117,"*轻*")&lt;1),MAX(0,15+I116-(A117-A116)+COUNTIF(B116,"*平湖*")*0),IF(AND(E117=0,MAX(0,H116-(A117-A116))&lt;=加速!$H$11),0,MAX(0,H116-(A117-A116)))),"")</f>
        <v>0</v>
      </c>
      <c r="I117">
        <f ca="1" t="shared" si="30"/>
        <v>0</v>
      </c>
      <c r="J117">
        <f ca="1" t="shared" si="31"/>
        <v>2</v>
      </c>
      <c r="K117">
        <f ca="1" t="shared" si="18"/>
        <v>2</v>
      </c>
      <c r="L117">
        <f ca="1">IFERROR(IF(AND(COUNTIF(B117,"*-峰插*"),技能数据库!$M$72&gt;0),0,IF(COUNTIF(B117,"*鹤归*")&gt;0,16-加速!$L$11,MAX(0,L116-(A117-A116)))),0)</f>
        <v>10.51</v>
      </c>
      <c r="M117">
        <f ca="1" t="shared" si="19"/>
        <v>0</v>
      </c>
      <c r="N117">
        <f ca="1">IFERROR(IF(AND(COUNTIF(B117,"*-峰插*"),技能数据库!$M$72&gt;0),0,IF(COUNTIF(B117,"*云飞*")&gt;0,4-COUNTIF(B117,"*玉山揽云*")*4--COUNTIF(B117,"*烟流暮景*")*4-COUNTIF(B117,"*云景*")*加速!$L$11-IF(J117&gt;0,2,0),MAX(0,N116-(A117-A116)-IF(J117&gt;0,2,0)))),0)</f>
        <v>2</v>
      </c>
      <c r="O117">
        <f ca="1">IF(AND(COUNTIF(IF(AND(配装计算器!$K$30&lt;&gt;"∞",0),INDEX(AU116:CB116,1,$AT$1),INDEX(AU118:CB118,1,$AT$1)),"*云飞*")=1,COUNTIF(IF(AND(配装计算器!$K$30&lt;&gt;"∞",0),INDEX(AU116:CB116,1,$AT$1),INDEX(AU118:CB118,1,$AT$1)),"*玉山*")=0),N117,0)</f>
        <v>0</v>
      </c>
      <c r="P117">
        <f ca="1">IFERROR(IF(COUNTIF(B117,"*云栖松*")&gt;0,50-加速!$L$11,MAX(0,P116-(A117-A116))),0)</f>
        <v>0</v>
      </c>
      <c r="Q117">
        <f ca="1">IF(COUNTIF(IF(AND(配装计算器!$K$30&lt;&gt;"∞",0),INDEX(AU116:CB116,1,$AT$1),INDEX(AU118:CB118,1,$AT$1)),"*云栖松*")=1,P117,0)</f>
        <v>0</v>
      </c>
      <c r="R117">
        <f ca="1">IFERROR(IF(COUNTIF(B117,"*莺鸣柳*")&gt;0,45-加速!$L$9,MAX(0,R116-(A117-A116))),0)</f>
        <v>0</v>
      </c>
      <c r="S117">
        <f ca="1">IF(COUNTIF(IF(AND(配装计算器!$K$30&lt;&gt;"∞",0),INDEX(AU116:CB116,1,$AT$1),INDEX(AU118:CB118,1,$AT$1)),"*莺鸣柳*")=1,R117,0)</f>
        <v>0</v>
      </c>
      <c r="T117">
        <f ca="1" t="shared" si="27"/>
        <v>0</v>
      </c>
      <c r="U117">
        <f ca="1">IF(金蛇,IF(COUNTIF(B117,"*金环戴*")+COUNTIF(B117,"*吹风醒*")&gt;0,IF(A117&lt;=3,7.125-2.625-A117-加速!$L$11,7.125+加速!$K$9-(A117+加速!$L$11-T117)),0),0)+IF(金蛇,IF(COUNTIF(B117,"*千切子裂光*")&gt;0,2+加速!$K$9-(A117+加速!$L$11-T117),0),0)</f>
        <v>0</v>
      </c>
      <c r="V117">
        <f ca="1" t="shared" si="28"/>
        <v>0</v>
      </c>
      <c r="W117">
        <f ca="1" t="shared" si="20"/>
        <v>0</v>
      </c>
      <c r="X117">
        <f ca="1">INDEX(加速!$I$13:$I$21,W117+1)</f>
        <v>0</v>
      </c>
      <c r="Y117">
        <f ca="1" t="shared" si="29"/>
        <v>0.5</v>
      </c>
      <c r="Z117">
        <f ca="1" t="shared" si="25"/>
        <v>0</v>
      </c>
      <c r="AA117">
        <f ca="1">MAX(0,IFERROR(IF(COUNTIF(B117,"*叠*")&gt;0,IF(AC116&lt;3,8-A118+A117,AA116+6.875-A118+A117),AA116-A118+A117),AA116-加速!$L$11))</f>
        <v>6.71000000000001</v>
      </c>
      <c r="AB117">
        <f ca="1">MAX(0,IF(COUNTIF(IF(AND(配装计算器!$K$30&lt;&gt;"∞",0),INDEX(AU117:CB117,1,$AT$1),INDEX(AU117:CB117,1,$AT$1)),"*叠1*")=1,4*25-加速!$L$11,AB116-A117+A116)-IF(OR(COUNTIF(OFFSET(AT117,0,$AT$1,1,1),"*听雷*")&gt;0,AND(碧归&gt;0,COUNTIF(OFFSET(AT117,0,$AT$1,1,1),"*风来*")&gt;0)),0,1)*1.5)</f>
        <v>97.21</v>
      </c>
      <c r="AC117">
        <f ca="1" t="shared" si="21"/>
        <v>1</v>
      </c>
      <c r="AD117">
        <f ca="1">IF(COUNTIF(IF(AND(配装计算器!$K$30&lt;&gt;"∞",0),INDEX(AU117:CB117,1,$AT$1),INDEX(AU118:CB118,1,$AT$1)),"*叠1*")=1,AB117*0+AE116,0)</f>
        <v>0</v>
      </c>
      <c r="AE117">
        <f ca="1">IF($AN$11&gt;0,IF(COUNTIF(B118,"*叠1*")&gt;0,50-加速!$L$11,MAX(0,AE116-(A118-A117))),0)</f>
        <v>47.42</v>
      </c>
      <c r="AG117">
        <f ca="1" t="shared" si="22"/>
        <v>4</v>
      </c>
      <c r="AH117" t="s">
        <v>1825</v>
      </c>
      <c r="AI117" s="161" t="s">
        <v>2855</v>
      </c>
      <c r="AJ117">
        <f ca="1">AJ115*5</f>
        <v>0</v>
      </c>
      <c r="AK117" t="s">
        <v>2750</v>
      </c>
      <c r="AU117" t="s">
        <v>3009</v>
      </c>
      <c r="AV117">
        <v>2</v>
      </c>
      <c r="AW117" t="s">
        <v>2768</v>
      </c>
      <c r="AX117">
        <v>2</v>
      </c>
      <c r="AY117" t="s">
        <v>2768</v>
      </c>
      <c r="AZ117">
        <v>2</v>
      </c>
      <c r="BA117" t="s">
        <v>2768</v>
      </c>
      <c r="BB117">
        <v>2</v>
      </c>
      <c r="BC117" t="s">
        <v>3010</v>
      </c>
      <c r="BD117">
        <v>2</v>
      </c>
      <c r="BE117" t="s">
        <v>3042</v>
      </c>
      <c r="BF117">
        <v>2</v>
      </c>
      <c r="BG117" s="176" t="s">
        <v>2768</v>
      </c>
      <c r="BH117">
        <v>2</v>
      </c>
      <c r="BI117" t="s">
        <v>3011</v>
      </c>
      <c r="BJ117">
        <v>2</v>
      </c>
      <c r="BK117" t="s">
        <v>2776</v>
      </c>
      <c r="BL117">
        <v>2</v>
      </c>
      <c r="BM117" t="s">
        <v>2768</v>
      </c>
      <c r="BN117">
        <v>2</v>
      </c>
      <c r="BO117" s="176" t="s">
        <v>2794</v>
      </c>
      <c r="BP117">
        <v>2</v>
      </c>
      <c r="BQ117" t="s">
        <v>3023</v>
      </c>
      <c r="BR117">
        <v>2</v>
      </c>
      <c r="BS117" t="s">
        <v>2768</v>
      </c>
      <c r="BT117">
        <v>0</v>
      </c>
      <c r="BU117" s="176" t="s">
        <v>2768</v>
      </c>
      <c r="BV117">
        <v>2</v>
      </c>
      <c r="BW117" s="179" t="s">
        <v>2768</v>
      </c>
      <c r="BX117" s="179">
        <v>2</v>
      </c>
      <c r="BY117" t="s">
        <v>2768</v>
      </c>
      <c r="BZ117">
        <v>2</v>
      </c>
      <c r="CA117" s="176" t="s">
        <v>2794</v>
      </c>
      <c r="CB117">
        <v>2</v>
      </c>
    </row>
    <row r="118" spans="1:80">
      <c r="A118" s="178">
        <f ca="1">IFERROR(IF(AG117&lt;5+金蛇*2,IF(COUNTIF(B117,"*轻*")&gt;0,A117+加速!$L$9,A117+加速!$L$11)+V117,""),"")</f>
        <v>151.29</v>
      </c>
      <c r="B118" s="167" t="str">
        <f ca="1" t="shared" si="17"/>
        <v>夕照雷峰</v>
      </c>
      <c r="C118">
        <f ca="1" t="shared" si="26"/>
        <v>15</v>
      </c>
      <c r="D118">
        <f ca="1">IF(B118&lt;&gt;"",IF(C117&lt;=加速!$L$11*(1-E118),0,1),"")</f>
        <v>1</v>
      </c>
      <c r="E118">
        <f ca="1" t="shared" si="23"/>
        <v>0</v>
      </c>
      <c r="G118">
        <f ca="1" t="shared" si="24"/>
        <v>0</v>
      </c>
      <c r="H118">
        <f ca="1">IF(B118&lt;&gt;"",IF(AND(COUNTIF(B117,"*轻*莺鸣柳*")&gt;0,COUNTIF(B118,"*轻*")&lt;1),MAX(0,15+I117-(A118-A117)+COUNTIF(B117,"*平湖*")*0),IF(AND(E118=0,MAX(0,H117-(A118-A117))&lt;=加速!$H$11),0,MAX(0,H117-(A118-A117)))),"")</f>
        <v>0</v>
      </c>
      <c r="I118">
        <f ca="1" t="shared" si="30"/>
        <v>0</v>
      </c>
      <c r="J118">
        <f ca="1" t="shared" si="31"/>
        <v>1</v>
      </c>
      <c r="K118">
        <f ca="1" t="shared" si="18"/>
        <v>2</v>
      </c>
      <c r="L118">
        <f ca="1">IFERROR(IF(AND(COUNTIF(B118,"*-峰插*"),技能数据库!$M$72&gt;0),0,IF(COUNTIF(B118,"*鹤归*")&gt;0,16-加速!$L$11,MAX(0,L117-(A118-A117)))),0)</f>
        <v>9.22000000000002</v>
      </c>
      <c r="M118">
        <f ca="1" t="shared" si="19"/>
        <v>0</v>
      </c>
      <c r="N118">
        <f ca="1">IFERROR(IF(AND(COUNTIF(B118,"*-峰插*"),技能数据库!$M$72&gt;0),0,IF(COUNTIF(B118,"*云飞*")&gt;0,4-COUNTIF(B118,"*玉山揽云*")*4--COUNTIF(B118,"*烟流暮景*")*4-COUNTIF(B118,"*云景*")*加速!$L$11-IF(J118&gt;0,2,0),MAX(0,N117-(A118-A117)-IF(J118&gt;0,2,0)))),0)</f>
        <v>0</v>
      </c>
      <c r="O118">
        <f ca="1">IF(AND(COUNTIF(IF(AND(配装计算器!$K$30&lt;&gt;"∞",0),INDEX(AU117:CB117,1,$AT$1),INDEX(AU119:CB119,1,$AT$1)),"*云飞*")=1,COUNTIF(IF(AND(配装计算器!$K$30&lt;&gt;"∞",0),INDEX(AU117:CB117,1,$AT$1),INDEX(AU119:CB119,1,$AT$1)),"*玉山*")=0),N118,0)</f>
        <v>0</v>
      </c>
      <c r="P118">
        <f ca="1">IFERROR(IF(COUNTIF(B118,"*云栖松*")&gt;0,50-加速!$L$11,MAX(0,P117-(A118-A117))),0)</f>
        <v>0</v>
      </c>
      <c r="Q118">
        <f ca="1">IF(COUNTIF(IF(AND(配装计算器!$K$30&lt;&gt;"∞",0),INDEX(AU117:CB117,1,$AT$1),INDEX(AU119:CB119,1,$AT$1)),"*云栖松*")=1,P118,0)</f>
        <v>0</v>
      </c>
      <c r="R118">
        <f ca="1">IFERROR(IF(COUNTIF(B118,"*莺鸣柳*")&gt;0,45-加速!$L$9,MAX(0,R117-(A118-A117))),0)</f>
        <v>0</v>
      </c>
      <c r="S118">
        <f ca="1">IF(COUNTIF(IF(AND(配装计算器!$K$30&lt;&gt;"∞",0),INDEX(AU117:CB117,1,$AT$1),INDEX(AU119:CB119,1,$AT$1)),"*莺鸣柳*")=1,R118,0)</f>
        <v>0</v>
      </c>
      <c r="T118">
        <f ca="1" t="shared" si="27"/>
        <v>0</v>
      </c>
      <c r="U118">
        <f ca="1">IF(金蛇,IF(COUNTIF(B118,"*金环戴*")+COUNTIF(B118,"*吹风醒*")&gt;0,IF(A118&lt;=3,7.125-2.625-A118-加速!$L$11,7.125+加速!$K$9-(A118+加速!$L$11-T118)),0),0)+IF(金蛇,IF(COUNTIF(B118,"*千切子裂光*")&gt;0,2+加速!$K$9-(A118+加速!$L$11-T118),0),0)</f>
        <v>0</v>
      </c>
      <c r="V118">
        <f ca="1" t="shared" si="28"/>
        <v>0</v>
      </c>
      <c r="W118">
        <f ca="1" t="shared" si="20"/>
        <v>0</v>
      </c>
      <c r="X118">
        <f ca="1">INDEX(加速!$I$13:$I$21,W118+1)</f>
        <v>0</v>
      </c>
      <c r="Y118">
        <f ca="1" t="shared" si="29"/>
        <v>0.5</v>
      </c>
      <c r="Z118">
        <f ca="1" t="shared" si="25"/>
        <v>0</v>
      </c>
      <c r="AA118">
        <f ca="1">MAX(0,IFERROR(IF(COUNTIF(B118,"*叠*")&gt;0,IF(AC117&lt;3,8-A119+A118,AA117+6.875-A119+A118),AA117-A119+A118),AA117-加速!$L$11))</f>
        <v>5.42000000000002</v>
      </c>
      <c r="AB118">
        <f ca="1">MAX(0,IF(COUNTIF(IF(AND(配装计算器!$K$30&lt;&gt;"∞",0),INDEX(AU118:CB118,1,$AT$1),INDEX(AU118:CB118,1,$AT$1)),"*叠1*")=1,4*25-加速!$L$11,AB117-A118+A117)-IF(OR(COUNTIF(OFFSET(AT118,0,$AT$1,1,1),"*听雷*")&gt;0,AND(碧归&gt;0,COUNTIF(OFFSET(AT118,0,$AT$1,1,1),"*风来*")&gt;0)),0,1)*1.5)</f>
        <v>94.42</v>
      </c>
      <c r="AC118">
        <f ca="1" t="shared" si="21"/>
        <v>1</v>
      </c>
      <c r="AD118">
        <f ca="1">IF(COUNTIF(IF(AND(配装计算器!$K$30&lt;&gt;"∞",0),INDEX(AU118:CB118,1,$AT$1),INDEX(AU119:CB119,1,$AT$1)),"*叠1*")=1,AB118*0+AE117,0)</f>
        <v>0</v>
      </c>
      <c r="AE118">
        <f ca="1">IF($AN$11&gt;0,IF(COUNTIF(B119,"*叠1*")&gt;0,50-加速!$L$11,MAX(0,AE117-(A119-A118))),0)</f>
        <v>46.13</v>
      </c>
      <c r="AG118">
        <f ca="1" t="shared" si="22"/>
        <v>4</v>
      </c>
      <c r="AH118" t="s">
        <v>1825</v>
      </c>
      <c r="AI118" s="161" t="s">
        <v>2857</v>
      </c>
      <c r="AJ118">
        <f ca="1">SUM(Z4:Z515)</f>
        <v>0</v>
      </c>
      <c r="AK118" t="s">
        <v>2750</v>
      </c>
      <c r="AU118" t="s">
        <v>2768</v>
      </c>
      <c r="AV118">
        <v>2</v>
      </c>
      <c r="AW118" t="s">
        <v>2768</v>
      </c>
      <c r="AX118">
        <v>2</v>
      </c>
      <c r="AY118" t="s">
        <v>2768</v>
      </c>
      <c r="AZ118">
        <v>2</v>
      </c>
      <c r="BA118" t="s">
        <v>2768</v>
      </c>
      <c r="BB118">
        <v>2</v>
      </c>
      <c r="BC118" t="s">
        <v>3013</v>
      </c>
      <c r="BD118">
        <v>2</v>
      </c>
      <c r="BE118" t="s">
        <v>3084</v>
      </c>
      <c r="BF118">
        <v>2</v>
      </c>
      <c r="BG118" s="176" t="s">
        <v>2768</v>
      </c>
      <c r="BH118">
        <v>2</v>
      </c>
      <c r="BI118" t="s">
        <v>2768</v>
      </c>
      <c r="BJ118">
        <v>2</v>
      </c>
      <c r="BK118" t="s">
        <v>2768</v>
      </c>
      <c r="BL118">
        <v>2</v>
      </c>
      <c r="BM118" t="s">
        <v>2768</v>
      </c>
      <c r="BN118">
        <v>2</v>
      </c>
      <c r="BO118" s="176" t="s">
        <v>2768</v>
      </c>
      <c r="BP118">
        <v>2</v>
      </c>
      <c r="BQ118" t="s">
        <v>2768</v>
      </c>
      <c r="BR118">
        <v>2</v>
      </c>
      <c r="BS118" t="s">
        <v>3012</v>
      </c>
      <c r="BT118">
        <v>2</v>
      </c>
      <c r="BU118" s="176" t="s">
        <v>2768</v>
      </c>
      <c r="BV118">
        <v>2</v>
      </c>
      <c r="BW118" s="179" t="s">
        <v>2776</v>
      </c>
      <c r="BX118" s="179">
        <v>2</v>
      </c>
      <c r="BY118" t="s">
        <v>2768</v>
      </c>
      <c r="BZ118">
        <v>2</v>
      </c>
      <c r="CA118" t="str">
        <f>IF(0,"云飞玉皇-玉山揽云","夕照雷峰")</f>
        <v>夕照雷峰</v>
      </c>
      <c r="CB118">
        <v>2</v>
      </c>
    </row>
    <row r="119" spans="1:80">
      <c r="A119" s="178">
        <f ca="1">IFERROR(IF(AG118&lt;5+金蛇*2,IF(COUNTIF(B118,"*轻*")&gt;0,A118+加速!$L$9,A118+加速!$L$11)+V118,""),"")</f>
        <v>152.58</v>
      </c>
      <c r="B119" s="167" t="str">
        <f ca="1" t="shared" si="17"/>
        <v>叠2-云景·云飞玉皇</v>
      </c>
      <c r="C119">
        <f ca="1" t="shared" si="26"/>
        <v>13.71</v>
      </c>
      <c r="D119">
        <f ca="1">IF(B119&lt;&gt;"",IF(C118&lt;=加速!$L$11*(1-E119),0,1),"")</f>
        <v>1</v>
      </c>
      <c r="E119">
        <f ca="1" t="shared" si="23"/>
        <v>1</v>
      </c>
      <c r="G119">
        <f ca="1" t="shared" si="24"/>
        <v>0</v>
      </c>
      <c r="H119">
        <f ca="1">IF(B119&lt;&gt;"",IF(AND(COUNTIF(B118,"*轻*莺鸣柳*")&gt;0,COUNTIF(B119,"*轻*")&lt;1),MAX(0,15+I118-(A119-A118)+COUNTIF(B118,"*平湖*")*0),IF(AND(E119=0,MAX(0,H118-(A119-A118))&lt;=加速!$H$11),0,MAX(0,H118-(A119-A118)))),"")</f>
        <v>0</v>
      </c>
      <c r="I119">
        <f ca="1" t="shared" si="30"/>
        <v>0</v>
      </c>
      <c r="J119">
        <f ca="1" t="shared" si="31"/>
        <v>1</v>
      </c>
      <c r="K119">
        <f ca="1" t="shared" si="18"/>
        <v>2</v>
      </c>
      <c r="L119">
        <f ca="1">IFERROR(IF(AND(COUNTIF(B119,"*-峰插*"),技能数据库!$M$72&gt;0),0,IF(COUNTIF(B119,"*鹤归*")&gt;0,16-加速!$L$11,MAX(0,L118-(A119-A118)))),0)</f>
        <v>7.93000000000003</v>
      </c>
      <c r="M119">
        <f ca="1" t="shared" si="19"/>
        <v>0</v>
      </c>
      <c r="N119">
        <f ca="1">IFERROR(IF(AND(COUNTIF(B119,"*-峰插*"),技能数据库!$M$72&gt;0),0,IF(COUNTIF(B119,"*云飞*")&gt;0,4-COUNTIF(B119,"*玉山揽云*")*4--COUNTIF(B119,"*烟流暮景*")*4-COUNTIF(B119,"*云景*")*加速!$L$11-IF(J119&gt;0,2,0),MAX(0,N118-(A119-A118)-IF(J119&gt;0,2,0)))),0)</f>
        <v>0.71</v>
      </c>
      <c r="O119">
        <f ca="1">IF(AND(COUNTIF(IF(AND(配装计算器!$K$30&lt;&gt;"∞",0),INDEX(AU118:CB118,1,$AT$1),INDEX(AU120:CB120,1,$AT$1)),"*云飞*")=1,COUNTIF(IF(AND(配装计算器!$K$30&lt;&gt;"∞",0),INDEX(AU118:CB118,1,$AT$1),INDEX(AU120:CB120,1,$AT$1)),"*玉山*")=0),N119,0)</f>
        <v>0</v>
      </c>
      <c r="P119">
        <f ca="1">IFERROR(IF(COUNTIF(B119,"*云栖松*")&gt;0,50-加速!$L$11,MAX(0,P118-(A119-A118))),0)</f>
        <v>0</v>
      </c>
      <c r="Q119">
        <f ca="1">IF(COUNTIF(IF(AND(配装计算器!$K$30&lt;&gt;"∞",0),INDEX(AU118:CB118,1,$AT$1),INDEX(AU120:CB120,1,$AT$1)),"*云栖松*")=1,P119,0)</f>
        <v>0</v>
      </c>
      <c r="R119">
        <f ca="1">IFERROR(IF(COUNTIF(B119,"*莺鸣柳*")&gt;0,45-加速!$L$9,MAX(0,R118-(A119-A118))),0)</f>
        <v>0</v>
      </c>
      <c r="S119">
        <f ca="1">IF(COUNTIF(IF(AND(配装计算器!$K$30&lt;&gt;"∞",0),INDEX(AU118:CB118,1,$AT$1),INDEX(AU120:CB120,1,$AT$1)),"*莺鸣柳*")=1,R119,0)</f>
        <v>0</v>
      </c>
      <c r="T119">
        <f ca="1" t="shared" si="27"/>
        <v>0</v>
      </c>
      <c r="U119">
        <f ca="1">IF(金蛇,IF(COUNTIF(B119,"*金环戴*")+COUNTIF(B119,"*吹风醒*")&gt;0,IF(A119&lt;=3,7.125-2.625-A119-加速!$L$11,7.125+加速!$K$9-(A119+加速!$L$11-T119)),0),0)+IF(金蛇,IF(COUNTIF(B119,"*千切子裂光*")&gt;0,2+加速!$K$9-(A119+加速!$L$11-T119),0),0)</f>
        <v>0</v>
      </c>
      <c r="V119">
        <f ca="1" t="shared" si="28"/>
        <v>0</v>
      </c>
      <c r="W119">
        <f ca="1" t="shared" si="20"/>
        <v>0</v>
      </c>
      <c r="X119">
        <f ca="1">INDEX(加速!$I$13:$I$21,W119+1)</f>
        <v>0</v>
      </c>
      <c r="Y119">
        <f ca="1" t="shared" si="29"/>
        <v>0.5</v>
      </c>
      <c r="Z119">
        <f ca="1" t="shared" si="25"/>
        <v>0</v>
      </c>
      <c r="AA119">
        <f ca="1">MAX(0,IFERROR(IF(COUNTIF(B119,"*叠*")&gt;0,IF(AC118&lt;3,8-A120+A119,AA118+6.875-A120+A119),AA118-A120+A119),AA118-加速!$L$11))</f>
        <v>6.71000000000001</v>
      </c>
      <c r="AB119">
        <f ca="1">MAX(0,IF(COUNTIF(IF(AND(配装计算器!$K$30&lt;&gt;"∞",0),INDEX(AU119:CB119,1,$AT$1),INDEX(AU119:CB119,1,$AT$1)),"*叠1*")=1,4*25-加速!$L$11,AB118-A119+A118)-IF(OR(COUNTIF(OFFSET(AT119,0,$AT$1,1,1),"*听雷*")&gt;0,AND(碧归&gt;0,COUNTIF(OFFSET(AT119,0,$AT$1,1,1),"*风来*")&gt;0)),0,1)*1.5)</f>
        <v>91.63</v>
      </c>
      <c r="AC119">
        <f ca="1" t="shared" si="21"/>
        <v>2</v>
      </c>
      <c r="AD119">
        <f ca="1">IF(COUNTIF(IF(AND(配装计算器!$K$30&lt;&gt;"∞",0),INDEX(AU119:CB119,1,$AT$1),INDEX(AU120:CB120,1,$AT$1)),"*叠1*")=1,AB119*0+AE118,0)</f>
        <v>0</v>
      </c>
      <c r="AE119">
        <f ca="1">IF($AN$11&gt;0,IF(COUNTIF(B120,"*叠1*")&gt;0,50-加速!$L$11,MAX(0,AE118-(A120-A119))),0)</f>
        <v>44.84</v>
      </c>
      <c r="AG119">
        <f ca="1" t="shared" si="22"/>
        <v>4</v>
      </c>
      <c r="AH119" t="s">
        <v>1028</v>
      </c>
      <c r="AI119" s="161" t="s">
        <v>2859</v>
      </c>
      <c r="AJ119">
        <f ca="1">循环比*COUNTIFS($B$3:$B$515,"*轻*"&amp;AI119&amp;"*",$D$3:$D$515,"&gt;0",$AC$3:$AC$515,"=0")/3</f>
        <v>0</v>
      </c>
      <c r="AK119" t="s">
        <v>2750</v>
      </c>
      <c r="AU119" t="s">
        <v>2776</v>
      </c>
      <c r="AV119">
        <v>2</v>
      </c>
      <c r="AW119" t="s">
        <v>2768</v>
      </c>
      <c r="AX119">
        <v>2</v>
      </c>
      <c r="AY119" t="s">
        <v>2776</v>
      </c>
      <c r="AZ119">
        <v>2</v>
      </c>
      <c r="BA119" t="s">
        <v>2776</v>
      </c>
      <c r="BB119">
        <v>2</v>
      </c>
      <c r="BC119" t="s">
        <v>3018</v>
      </c>
      <c r="BD119">
        <v>2</v>
      </c>
      <c r="BE119" t="s">
        <v>2768</v>
      </c>
      <c r="BF119">
        <v>2</v>
      </c>
      <c r="BG119" s="176" t="s">
        <v>2776</v>
      </c>
      <c r="BH119">
        <v>2</v>
      </c>
      <c r="BI119" t="s">
        <v>3018</v>
      </c>
      <c r="BJ119">
        <v>2</v>
      </c>
      <c r="BK119" t="s">
        <v>2768</v>
      </c>
      <c r="BL119">
        <v>2</v>
      </c>
      <c r="BM119" t="s">
        <v>2776</v>
      </c>
      <c r="BN119">
        <v>2</v>
      </c>
      <c r="BO119" s="176" t="s">
        <v>2776</v>
      </c>
      <c r="BP119">
        <v>2</v>
      </c>
      <c r="BQ119" t="s">
        <v>2776</v>
      </c>
      <c r="BR119">
        <v>2</v>
      </c>
      <c r="BS119" s="179" t="s">
        <v>2794</v>
      </c>
      <c r="BT119">
        <v>2</v>
      </c>
      <c r="BU119" s="176" t="s">
        <v>2768</v>
      </c>
      <c r="BV119">
        <v>2</v>
      </c>
      <c r="BW119" s="182" t="s">
        <v>2794</v>
      </c>
      <c r="BX119" s="179">
        <v>2</v>
      </c>
      <c r="BY119" t="s">
        <v>2768</v>
      </c>
      <c r="BZ119">
        <v>2</v>
      </c>
      <c r="CA119" t="str">
        <f>IF(0,"云飞玉皇-玉山揽云","云飞玉皇")</f>
        <v>云飞玉皇</v>
      </c>
      <c r="CB119">
        <v>2</v>
      </c>
    </row>
    <row r="120" spans="1:80">
      <c r="A120" s="178">
        <f ca="1">IFERROR(IF(AG119&lt;5+金蛇*2,IF(COUNTIF(B119,"*轻*")&gt;0,A119+加速!$L$9,A119+加速!$L$11)+V119,""),"")</f>
        <v>153.87</v>
      </c>
      <c r="B120" s="167" t="str">
        <f ca="1" t="shared" si="17"/>
        <v>夕照雷峰</v>
      </c>
      <c r="C120">
        <f ca="1" t="shared" si="26"/>
        <v>15</v>
      </c>
      <c r="D120">
        <f ca="1">IF(B120&lt;&gt;"",IF(C119&lt;=加速!$L$11*(1-E120),0,1),"")</f>
        <v>1</v>
      </c>
      <c r="E120">
        <f ca="1" t="shared" si="23"/>
        <v>0</v>
      </c>
      <c r="G120">
        <f ca="1" t="shared" si="24"/>
        <v>0</v>
      </c>
      <c r="H120">
        <f ca="1">IF(B120&lt;&gt;"",IF(AND(COUNTIF(B119,"*轻*莺鸣柳*")&gt;0,COUNTIF(B120,"*轻*")&lt;1),MAX(0,15+I119-(A120-A119)+COUNTIF(B119,"*平湖*")*0),IF(AND(E120=0,MAX(0,H119-(A120-A119))&lt;=加速!$H$11),0,MAX(0,H119-(A120-A119)))),"")</f>
        <v>0</v>
      </c>
      <c r="I120">
        <f ca="1" t="shared" si="30"/>
        <v>0</v>
      </c>
      <c r="J120">
        <f ca="1" t="shared" si="31"/>
        <v>0</v>
      </c>
      <c r="K120">
        <f ca="1" t="shared" si="18"/>
        <v>2</v>
      </c>
      <c r="L120">
        <f ca="1">IFERROR(IF(AND(COUNTIF(B120,"*-峰插*"),技能数据库!$M$72&gt;0),0,IF(COUNTIF(B120,"*鹤归*")&gt;0,16-加速!$L$11,MAX(0,L119-(A120-A119)))),0)</f>
        <v>6.64000000000004</v>
      </c>
      <c r="M120">
        <f ca="1" t="shared" si="19"/>
        <v>0</v>
      </c>
      <c r="N120">
        <f ca="1">IFERROR(IF(AND(COUNTIF(B120,"*-峰插*"),技能数据库!$M$72&gt;0),0,IF(COUNTIF(B120,"*云飞*")&gt;0,4-COUNTIF(B120,"*玉山揽云*")*4--COUNTIF(B120,"*烟流暮景*")*4-COUNTIF(B120,"*云景*")*加速!$L$11-IF(J120&gt;0,2,0),MAX(0,N119-(A120-A119)-IF(J120&gt;0,2,0)))),0)</f>
        <v>0</v>
      </c>
      <c r="O120">
        <f ca="1">IF(AND(COUNTIF(IF(AND(配装计算器!$K$30&lt;&gt;"∞",0),INDEX(AU119:CB119,1,$AT$1),INDEX(AU121:CB121,1,$AT$1)),"*云飞*")=1,COUNTIF(IF(AND(配装计算器!$K$30&lt;&gt;"∞",0),INDEX(AU119:CB119,1,$AT$1),INDEX(AU121:CB121,1,$AT$1)),"*玉山*")=0),N120,0)</f>
        <v>0</v>
      </c>
      <c r="P120">
        <f ca="1">IFERROR(IF(COUNTIF(B120,"*云栖松*")&gt;0,50-加速!$L$11,MAX(0,P119-(A120-A119))),0)</f>
        <v>0</v>
      </c>
      <c r="Q120">
        <f ca="1">IF(COUNTIF(IF(AND(配装计算器!$K$30&lt;&gt;"∞",0),INDEX(AU119:CB119,1,$AT$1),INDEX(AU121:CB121,1,$AT$1)),"*云栖松*")=1,P120,0)</f>
        <v>0</v>
      </c>
      <c r="R120">
        <f ca="1">IFERROR(IF(COUNTIF(B120,"*莺鸣柳*")&gt;0,45-加速!$L$9,MAX(0,R119-(A120-A119))),0)</f>
        <v>0</v>
      </c>
      <c r="S120">
        <f ca="1">IF(COUNTIF(IF(AND(配装计算器!$K$30&lt;&gt;"∞",0),INDEX(AU119:CB119,1,$AT$1),INDEX(AU121:CB121,1,$AT$1)),"*莺鸣柳*")=1,R120,0)</f>
        <v>0</v>
      </c>
      <c r="T120">
        <f ca="1" t="shared" si="27"/>
        <v>0</v>
      </c>
      <c r="U120">
        <f ca="1">IF(金蛇,IF(COUNTIF(B120,"*金环戴*")+COUNTIF(B120,"*吹风醒*")&gt;0,IF(A120&lt;=3,7.125-2.625-A120-加速!$L$11,7.125+加速!$K$9-(A120+加速!$L$11-T120)),0),0)+IF(金蛇,IF(COUNTIF(B120,"*千切子裂光*")&gt;0,2+加速!$K$9-(A120+加速!$L$11-T120),0),0)</f>
        <v>0</v>
      </c>
      <c r="V120">
        <f ca="1" t="shared" si="28"/>
        <v>0</v>
      </c>
      <c r="W120">
        <f ca="1" t="shared" si="20"/>
        <v>0</v>
      </c>
      <c r="X120">
        <f ca="1">INDEX(加速!$I$13:$I$21,W120+1)</f>
        <v>0</v>
      </c>
      <c r="Y120">
        <f ca="1" t="shared" si="29"/>
        <v>0.5</v>
      </c>
      <c r="Z120">
        <f ca="1" t="shared" si="25"/>
        <v>0</v>
      </c>
      <c r="AA120">
        <f ca="1">MAX(0,IFERROR(IF(COUNTIF(B120,"*叠*")&gt;0,IF(AC119&lt;3,8-A121+A120,AA119+6.875-A121+A120),AA119-A121+A120),AA119-加速!$L$11))</f>
        <v>5.42000000000002</v>
      </c>
      <c r="AB120">
        <f ca="1">MAX(0,IF(COUNTIF(IF(AND(配装计算器!$K$30&lt;&gt;"∞",0),INDEX(AU120:CB120,1,$AT$1),INDEX(AU120:CB120,1,$AT$1)),"*叠1*")=1,4*25-加速!$L$11,AB119-A120+A119)-IF(OR(COUNTIF(OFFSET(AT120,0,$AT$1,1,1),"*听雷*")&gt;0,AND(碧归&gt;0,COUNTIF(OFFSET(AT120,0,$AT$1,1,1),"*风来*")&gt;0)),0,1)*1.5)</f>
        <v>88.84</v>
      </c>
      <c r="AC120">
        <f ca="1" t="shared" si="21"/>
        <v>2</v>
      </c>
      <c r="AD120">
        <f ca="1">IF(COUNTIF(IF(AND(配装计算器!$K$30&lt;&gt;"∞",0),INDEX(AU120:CB120,1,$AT$1),INDEX(AU121:CB121,1,$AT$1)),"*叠1*")=1,AB120*0+AE119,0)</f>
        <v>0</v>
      </c>
      <c r="AE120">
        <f ca="1">IF($AN$11&gt;0,IF(COUNTIF(B121,"*叠1*")&gt;0,50-加速!$L$11,MAX(0,AE119-(A121-A120))),0)</f>
        <v>43.55</v>
      </c>
      <c r="AG120">
        <f ca="1" t="shared" si="22"/>
        <v>4</v>
      </c>
      <c r="AH120" t="s">
        <v>1028</v>
      </c>
      <c r="AI120" s="161" t="s">
        <v>2859</v>
      </c>
      <c r="AJ120">
        <f ca="1">循环比*COUNTIFS($B$3:$B$515,"*轻*"&amp;AI120&amp;"*",$D$3:$D$515,"&gt;0",$AC$3:$AC$515,"=0")*2/3</f>
        <v>0</v>
      </c>
      <c r="AK120" t="s">
        <v>2750</v>
      </c>
      <c r="AU120" t="s">
        <v>2768</v>
      </c>
      <c r="AV120">
        <v>2</v>
      </c>
      <c r="AW120" t="s">
        <v>2776</v>
      </c>
      <c r="AX120">
        <v>2</v>
      </c>
      <c r="AY120" t="s">
        <v>3035</v>
      </c>
      <c r="AZ120">
        <v>2</v>
      </c>
      <c r="BA120" t="s">
        <v>3035</v>
      </c>
      <c r="BB120">
        <v>2</v>
      </c>
      <c r="BC120" t="s">
        <v>2768</v>
      </c>
      <c r="BD120">
        <v>2</v>
      </c>
      <c r="BE120" t="s">
        <v>2794</v>
      </c>
      <c r="BF120">
        <v>2</v>
      </c>
      <c r="BG120" s="176" t="s">
        <v>3035</v>
      </c>
      <c r="BH120">
        <v>2</v>
      </c>
      <c r="BI120" t="s">
        <v>2768</v>
      </c>
      <c r="BJ120">
        <v>2</v>
      </c>
      <c r="BK120" s="176" t="s">
        <v>3056</v>
      </c>
      <c r="BL120">
        <v>2</v>
      </c>
      <c r="BM120" t="s">
        <v>2768</v>
      </c>
      <c r="BN120">
        <v>2</v>
      </c>
      <c r="BO120" s="176" t="s">
        <v>2768</v>
      </c>
      <c r="BP120">
        <v>2</v>
      </c>
      <c r="BQ120" t="s">
        <v>2768</v>
      </c>
      <c r="BR120">
        <v>2</v>
      </c>
      <c r="BS120" s="179" t="s">
        <v>3019</v>
      </c>
      <c r="BT120">
        <v>2</v>
      </c>
      <c r="BU120" s="176" t="s">
        <v>2776</v>
      </c>
      <c r="BV120">
        <v>2</v>
      </c>
      <c r="BW120" s="182" t="s">
        <v>2768</v>
      </c>
      <c r="BX120" s="179">
        <v>2</v>
      </c>
      <c r="BY120" t="s">
        <v>2776</v>
      </c>
      <c r="BZ120">
        <v>2</v>
      </c>
      <c r="CA120" t="str">
        <f>IF(0,橙武补雾锁,"夕照雷峰")</f>
        <v>夕照雷峰</v>
      </c>
      <c r="CB120">
        <v>2</v>
      </c>
    </row>
    <row r="121" spans="1:80">
      <c r="A121" s="178">
        <f ca="1">IFERROR(IF(AG120&lt;5+金蛇*2,IF(COUNTIF(B120,"*轻*")&gt;0,A120+加速!$L$9,A120+加速!$L$11)+V120,""),"")</f>
        <v>155.16</v>
      </c>
      <c r="B121" s="167" t="str">
        <f ca="1" t="shared" si="17"/>
        <v>叠3-云飞玉皇</v>
      </c>
      <c r="C121">
        <f ca="1" t="shared" si="26"/>
        <v>13.71</v>
      </c>
      <c r="D121">
        <f ca="1">IF(B121&lt;&gt;"",IF(C120&lt;=加速!$L$11*(1-E121),0,1),"")</f>
        <v>1</v>
      </c>
      <c r="E121">
        <f ca="1" t="shared" si="23"/>
        <v>1</v>
      </c>
      <c r="G121">
        <f ca="1" t="shared" si="24"/>
        <v>0</v>
      </c>
      <c r="H121">
        <f ca="1">IF(B121&lt;&gt;"",IF(AND(COUNTIF(B120,"*轻*莺鸣柳*")&gt;0,COUNTIF(B121,"*轻*")&lt;1),MAX(0,15+I120-(A121-A120)+COUNTIF(B120,"*平湖*")*0),IF(AND(E121=0,MAX(0,H120-(A121-A120))&lt;=加速!$H$11),0,MAX(0,H120-(A121-A120)))),"")</f>
        <v>0</v>
      </c>
      <c r="I121">
        <f ca="1" t="shared" si="30"/>
        <v>0</v>
      </c>
      <c r="J121">
        <f ca="1" t="shared" si="31"/>
        <v>0</v>
      </c>
      <c r="K121">
        <f ca="1" t="shared" si="18"/>
        <v>2</v>
      </c>
      <c r="L121">
        <f ca="1">IFERROR(IF(AND(COUNTIF(B121,"*-峰插*"),技能数据库!$M$72&gt;0),0,IF(COUNTIF(B121,"*鹤归*")&gt;0,16-加速!$L$11,MAX(0,L120-(A121-A120)))),0)</f>
        <v>5.35000000000004</v>
      </c>
      <c r="M121">
        <f ca="1" t="shared" si="19"/>
        <v>0</v>
      </c>
      <c r="N121">
        <f ca="1">IFERROR(IF(AND(COUNTIF(B121,"*-峰插*"),技能数据库!$M$72&gt;0),0,IF(COUNTIF(B121,"*云飞*")&gt;0,4-COUNTIF(B121,"*玉山揽云*")*4--COUNTIF(B121,"*烟流暮景*")*4-COUNTIF(B121,"*云景*")*加速!$L$11-IF(J121&gt;0,2,0),MAX(0,N120-(A121-A120)-IF(J121&gt;0,2,0)))),0)</f>
        <v>4</v>
      </c>
      <c r="O121">
        <f ca="1">IF(AND(COUNTIF(IF(AND(配装计算器!$K$30&lt;&gt;"∞",0),INDEX(AU120:CB120,1,$AT$1),INDEX(AU122:CB122,1,$AT$1)),"*云飞*")=1,COUNTIF(IF(AND(配装计算器!$K$30&lt;&gt;"∞",0),INDEX(AU120:CB120,1,$AT$1),INDEX(AU122:CB122,1,$AT$1)),"*玉山*")=0),N121,0)</f>
        <v>0</v>
      </c>
      <c r="P121">
        <f ca="1">IFERROR(IF(COUNTIF(B121,"*云栖松*")&gt;0,50-加速!$L$11,MAX(0,P120-(A121-A120))),0)</f>
        <v>0</v>
      </c>
      <c r="Q121">
        <f ca="1">IF(COUNTIF(IF(AND(配装计算器!$K$30&lt;&gt;"∞",0),INDEX(AU120:CB120,1,$AT$1),INDEX(AU122:CB122,1,$AT$1)),"*云栖松*")=1,P121,0)</f>
        <v>0</v>
      </c>
      <c r="R121">
        <f ca="1">IFERROR(IF(COUNTIF(B121,"*莺鸣柳*")&gt;0,45-加速!$L$9,MAX(0,R120-(A121-A120))),0)</f>
        <v>0</v>
      </c>
      <c r="S121">
        <f ca="1">IF(COUNTIF(IF(AND(配装计算器!$K$30&lt;&gt;"∞",0),INDEX(AU120:CB120,1,$AT$1),INDEX(AU122:CB122,1,$AT$1)),"*莺鸣柳*")=1,R121,0)</f>
        <v>0</v>
      </c>
      <c r="T121">
        <f ca="1" t="shared" si="27"/>
        <v>0</v>
      </c>
      <c r="U121">
        <f ca="1">IF(金蛇,IF(COUNTIF(B121,"*金环戴*")+COUNTIF(B121,"*吹风醒*")&gt;0,IF(A121&lt;=3,7.125-2.625-A121-加速!$L$11,7.125+加速!$K$9-(A121+加速!$L$11-T121)),0),0)+IF(金蛇,IF(COUNTIF(B121,"*千切子裂光*")&gt;0,2+加速!$K$9-(A121+加速!$L$11-T121),0),0)</f>
        <v>0</v>
      </c>
      <c r="V121">
        <f ca="1" t="shared" si="28"/>
        <v>0</v>
      </c>
      <c r="W121">
        <f ca="1" t="shared" si="20"/>
        <v>0</v>
      </c>
      <c r="X121">
        <f ca="1">INDEX(加速!$I$13:$I$21,W121+1)</f>
        <v>0</v>
      </c>
      <c r="Y121">
        <f ca="1" t="shared" si="29"/>
        <v>0.5</v>
      </c>
      <c r="Z121">
        <f ca="1" t="shared" si="25"/>
        <v>0</v>
      </c>
      <c r="AA121">
        <f ca="1">MAX(0,IFERROR(IF(COUNTIF(B121,"*叠*")&gt;0,IF(AC120&lt;3,8-A122+A121,AA120+6.875-A122+A121),AA120-A122+A121),AA120-加速!$L$11))</f>
        <v>6.71000000000001</v>
      </c>
      <c r="AB121">
        <f ca="1">MAX(0,IF(COUNTIF(IF(AND(配装计算器!$K$30&lt;&gt;"∞",0),INDEX(AU121:CB121,1,$AT$1),INDEX(AU121:CB121,1,$AT$1)),"*叠1*")=1,4*25-加速!$L$11,AB120-A121+A120)-IF(OR(COUNTIF(OFFSET(AT121,0,$AT$1,1,1),"*听雷*")&gt;0,AND(碧归&gt;0,COUNTIF(OFFSET(AT121,0,$AT$1,1,1),"*风来*")&gt;0)),0,1)*1.5)</f>
        <v>86.05</v>
      </c>
      <c r="AC121">
        <f ca="1" t="shared" si="21"/>
        <v>3</v>
      </c>
      <c r="AD121">
        <f ca="1">IF(COUNTIF(IF(AND(配装计算器!$K$30&lt;&gt;"∞",0),INDEX(AU121:CB121,1,$AT$1),INDEX(AU122:CB122,1,$AT$1)),"*叠1*")=1,AB121*0+AE120,0)</f>
        <v>0</v>
      </c>
      <c r="AE121">
        <f ca="1">IF($AN$11&gt;0,IF(COUNTIF(B122,"*叠1*")&gt;0,50-加速!$L$11,MAX(0,AE120-(A122-A121))),0)</f>
        <v>42.26</v>
      </c>
      <c r="AG121">
        <f ca="1" t="shared" si="22"/>
        <v>4</v>
      </c>
      <c r="AH121" t="s">
        <v>1825</v>
      </c>
      <c r="AI121" s="161" t="s">
        <v>2859</v>
      </c>
      <c r="AJ121">
        <f ca="1">循环比*COUNTIFS($B$3:$B$515,"*皇*"&amp;AI121&amp;"*",$D$3:$D$515,"&gt;0")/3</f>
        <v>0</v>
      </c>
      <c r="AK121" t="s">
        <v>3044</v>
      </c>
      <c r="AU121" t="s">
        <v>2768</v>
      </c>
      <c r="AV121">
        <v>2</v>
      </c>
      <c r="AW121" t="s">
        <v>2768</v>
      </c>
      <c r="AX121">
        <v>2</v>
      </c>
      <c r="AY121" t="s">
        <v>2768</v>
      </c>
      <c r="AZ121">
        <v>2</v>
      </c>
      <c r="BA121" t="s">
        <v>2768</v>
      </c>
      <c r="BB121">
        <v>2</v>
      </c>
      <c r="BC121" t="s">
        <v>3023</v>
      </c>
      <c r="BD121">
        <v>2</v>
      </c>
      <c r="BE121" t="s">
        <v>2768</v>
      </c>
      <c r="BF121">
        <v>2</v>
      </c>
      <c r="BG121" t="s">
        <v>2768</v>
      </c>
      <c r="BH121">
        <v>2</v>
      </c>
      <c r="BI121" s="182" t="s">
        <v>3023</v>
      </c>
      <c r="BJ121">
        <v>2</v>
      </c>
      <c r="BK121" s="176" t="s">
        <v>2768</v>
      </c>
      <c r="BL121">
        <v>2</v>
      </c>
      <c r="BM121" s="176" t="s">
        <v>2794</v>
      </c>
      <c r="BN121">
        <v>2</v>
      </c>
      <c r="BO121" s="176" t="s">
        <v>2776</v>
      </c>
      <c r="BP121">
        <v>2</v>
      </c>
      <c r="BQ121" t="s">
        <v>2768</v>
      </c>
      <c r="BR121">
        <v>2</v>
      </c>
      <c r="BS121" s="179" t="s">
        <v>2768</v>
      </c>
      <c r="BT121">
        <v>2</v>
      </c>
      <c r="BU121" s="176" t="s">
        <v>3035</v>
      </c>
      <c r="BV121">
        <v>2</v>
      </c>
      <c r="BW121" s="182" t="s">
        <v>2776</v>
      </c>
      <c r="BX121" s="179">
        <v>2</v>
      </c>
      <c r="BY121" s="176" t="s">
        <v>2794</v>
      </c>
      <c r="BZ121">
        <v>2</v>
      </c>
      <c r="CA121" t="str">
        <f>IF(0,"云飞玉皇-玉山揽云","云景·云飞玉皇")</f>
        <v>云景·云飞玉皇</v>
      </c>
      <c r="CB121">
        <v>2</v>
      </c>
    </row>
    <row r="122" spans="1:80">
      <c r="A122" s="178">
        <f ca="1">IFERROR(IF(AG121&lt;5+金蛇*2,IF(COUNTIF(B121,"*轻*")&gt;0,A121+加速!$L$9,A121+加速!$L$11)+V121,""),"")</f>
        <v>156.45</v>
      </c>
      <c r="B122" s="167" t="str">
        <f ca="1" t="shared" si="17"/>
        <v>云飞玉皇-玉山揽云</v>
      </c>
      <c r="C122">
        <f ca="1" t="shared" si="26"/>
        <v>12.42</v>
      </c>
      <c r="D122">
        <f ca="1">IF(B122&lt;&gt;"",IF(C121&lt;=加速!$L$11*(1-E122),0,1),"")</f>
        <v>1</v>
      </c>
      <c r="E122">
        <f ca="1" t="shared" si="23"/>
        <v>1</v>
      </c>
      <c r="G122">
        <f ca="1" t="shared" si="24"/>
        <v>0</v>
      </c>
      <c r="H122">
        <f ca="1">IF(B122&lt;&gt;"",IF(AND(COUNTIF(B121,"*轻*莺鸣柳*")&gt;0,COUNTIF(B122,"*轻*")&lt;1),MAX(0,15+I121-(A122-A121)+COUNTIF(B121,"*平湖*")*0),IF(AND(E122=0,MAX(0,H121-(A122-A121))&lt;=加速!$H$11),0,MAX(0,H121-(A122-A121)))),"")</f>
        <v>0</v>
      </c>
      <c r="I122">
        <f ca="1" t="shared" si="30"/>
        <v>0</v>
      </c>
      <c r="J122">
        <f ca="1" t="shared" si="31"/>
        <v>0</v>
      </c>
      <c r="K122">
        <f ca="1" t="shared" si="18"/>
        <v>2</v>
      </c>
      <c r="L122">
        <f ca="1">IFERROR(IF(AND(COUNTIF(B122,"*-峰插*"),技能数据库!$M$72&gt;0),0,IF(COUNTIF(B122,"*鹤归*")&gt;0,16-加速!$L$11,MAX(0,L121-(A122-A121)))),0)</f>
        <v>4.06000000000005</v>
      </c>
      <c r="M122">
        <f ca="1" t="shared" si="19"/>
        <v>0</v>
      </c>
      <c r="N122">
        <f ca="1">IFERROR(IF(AND(COUNTIF(B122,"*-峰插*"),技能数据库!$M$72&gt;0),0,IF(COUNTIF(B122,"*云飞*")&gt;0,4-COUNTIF(B122,"*玉山揽云*")*4--COUNTIF(B122,"*烟流暮景*")*4-COUNTIF(B122,"*云景*")*加速!$L$11-IF(J122&gt;0,2,0),MAX(0,N121-(A122-A121)-IF(J122&gt;0,2,0)))),0)</f>
        <v>0</v>
      </c>
      <c r="O122">
        <f ca="1">IF(AND(COUNTIF(IF(AND(配装计算器!$K$30&lt;&gt;"∞",0),INDEX(AU121:CB121,1,$AT$1),INDEX(AU123:CB123,1,$AT$1)),"*云飞*")=1,COUNTIF(IF(AND(配装计算器!$K$30&lt;&gt;"∞",0),INDEX(AU121:CB121,1,$AT$1),INDEX(AU123:CB123,1,$AT$1)),"*玉山*")=0),N122,0)</f>
        <v>0</v>
      </c>
      <c r="P122">
        <f ca="1">IFERROR(IF(COUNTIF(B122,"*云栖松*")&gt;0,50-加速!$L$11,MAX(0,P121-(A122-A121))),0)</f>
        <v>0</v>
      </c>
      <c r="Q122">
        <f ca="1">IF(COUNTIF(IF(AND(配装计算器!$K$30&lt;&gt;"∞",0),INDEX(AU121:CB121,1,$AT$1),INDEX(AU123:CB123,1,$AT$1)),"*云栖松*")=1,P122,0)</f>
        <v>0</v>
      </c>
      <c r="R122">
        <f ca="1">IFERROR(IF(COUNTIF(B122,"*莺鸣柳*")&gt;0,45-加速!$L$9,MAX(0,R121-(A122-A121))),0)</f>
        <v>0</v>
      </c>
      <c r="S122">
        <f ca="1">IF(COUNTIF(IF(AND(配装计算器!$K$30&lt;&gt;"∞",0),INDEX(AU121:CB121,1,$AT$1),INDEX(AU123:CB123,1,$AT$1)),"*莺鸣柳*")=1,R122,0)</f>
        <v>0</v>
      </c>
      <c r="T122">
        <f ca="1" t="shared" si="27"/>
        <v>0</v>
      </c>
      <c r="U122">
        <f ca="1">IF(金蛇,IF(COUNTIF(B122,"*金环戴*")+COUNTIF(B122,"*吹风醒*")&gt;0,IF(A122&lt;=3,7.125-2.625-A122-加速!$L$11,7.125+加速!$K$9-(A122+加速!$L$11-T122)),0),0)+IF(金蛇,IF(COUNTIF(B122,"*千切子裂光*")&gt;0,2+加速!$K$9-(A122+加速!$L$11-T122),0),0)</f>
        <v>0</v>
      </c>
      <c r="V122">
        <f ca="1" t="shared" si="28"/>
        <v>0</v>
      </c>
      <c r="W122">
        <f ca="1" t="shared" si="20"/>
        <v>0</v>
      </c>
      <c r="X122">
        <f ca="1">INDEX(加速!$I$13:$I$21,W122+1)</f>
        <v>0</v>
      </c>
      <c r="Y122">
        <f ca="1" t="shared" si="29"/>
        <v>0.5</v>
      </c>
      <c r="Z122">
        <f ca="1" t="shared" si="25"/>
        <v>0</v>
      </c>
      <c r="AA122">
        <f ca="1">MAX(0,IFERROR(IF(COUNTIF(B122,"*叠*")&gt;0,IF(AC121&lt;3,8-A123+A122,AA121+6.875-A123+A122),AA121-A123+A122),AA121-加速!$L$11))</f>
        <v>5.42000000000002</v>
      </c>
      <c r="AB122">
        <f ca="1">MAX(0,IF(COUNTIF(IF(AND(配装计算器!$K$30&lt;&gt;"∞",0),INDEX(AU122:CB122,1,$AT$1),INDEX(AU122:CB122,1,$AT$1)),"*叠1*")=1,4*25-加速!$L$11,AB121-A122+A121)-IF(OR(COUNTIF(OFFSET(AT122,0,$AT$1,1,1),"*听雷*")&gt;0,AND(碧归&gt;0,COUNTIF(OFFSET(AT122,0,$AT$1,1,1),"*风来*")&gt;0)),0,1)*1.5)</f>
        <v>83.26</v>
      </c>
      <c r="AC122">
        <f ca="1" t="shared" si="21"/>
        <v>3</v>
      </c>
      <c r="AD122">
        <f ca="1">IF(COUNTIF(IF(AND(配装计算器!$K$30&lt;&gt;"∞",0),INDEX(AU122:CB122,1,$AT$1),INDEX(AU123:CB123,1,$AT$1)),"*叠1*")=1,AB122*0+AE121,0)</f>
        <v>0</v>
      </c>
      <c r="AE122">
        <f ca="1">IF($AN$11&gt;0,IF(COUNTIF(B123,"*叠1*")&gt;0,50-加速!$L$11,MAX(0,AE121-(A123-A122))),0)</f>
        <v>40.97</v>
      </c>
      <c r="AG122">
        <f ca="1" t="shared" si="22"/>
        <v>4</v>
      </c>
      <c r="AH122" t="s">
        <v>1825</v>
      </c>
      <c r="AI122" s="161" t="s">
        <v>2859</v>
      </c>
      <c r="AJ122">
        <f ca="1">循环比*COUNTIFS($B$3:$B$515,"*皇*"&amp;AI122&amp;"*",$D$3:$D$515,"&gt;0")*2/3</f>
        <v>0</v>
      </c>
      <c r="AK122" t="s">
        <v>3044</v>
      </c>
      <c r="AU122" s="176" t="s">
        <v>2794</v>
      </c>
      <c r="AV122">
        <v>2</v>
      </c>
      <c r="AW122" s="176" t="s">
        <v>2794</v>
      </c>
      <c r="AX122">
        <v>2</v>
      </c>
      <c r="AY122" t="s">
        <v>2776</v>
      </c>
      <c r="AZ122">
        <v>2</v>
      </c>
      <c r="BA122" t="s">
        <v>2776</v>
      </c>
      <c r="BB122">
        <v>2</v>
      </c>
      <c r="BC122" t="s">
        <v>2768</v>
      </c>
      <c r="BD122">
        <v>2</v>
      </c>
      <c r="BE122" t="s">
        <v>2776</v>
      </c>
      <c r="BF122">
        <v>2</v>
      </c>
      <c r="BG122" t="s">
        <v>2776</v>
      </c>
      <c r="BH122">
        <v>2</v>
      </c>
      <c r="BI122" s="176" t="s">
        <v>3026</v>
      </c>
      <c r="BJ122">
        <v>2</v>
      </c>
      <c r="BK122" s="176" t="s">
        <v>2768</v>
      </c>
      <c r="BL122">
        <v>2</v>
      </c>
      <c r="BM122" s="176" t="s">
        <v>2768</v>
      </c>
      <c r="BN122">
        <v>2</v>
      </c>
      <c r="BO122" s="176" t="str">
        <f>IF(0,"云飞玉皇-玉山揽云","夕照雷峰")</f>
        <v>夕照雷峰</v>
      </c>
      <c r="BP122">
        <v>2</v>
      </c>
      <c r="BQ122" t="s">
        <v>3035</v>
      </c>
      <c r="BR122">
        <v>2</v>
      </c>
      <c r="BS122" s="182" t="s">
        <v>3023</v>
      </c>
      <c r="BT122">
        <v>2</v>
      </c>
      <c r="BU122" t="s">
        <v>2768</v>
      </c>
      <c r="BV122">
        <v>2</v>
      </c>
      <c r="BW122" s="182" t="s">
        <v>2768</v>
      </c>
      <c r="BX122" s="179">
        <v>2</v>
      </c>
      <c r="BY122" s="176" t="s">
        <v>2768</v>
      </c>
      <c r="BZ122">
        <v>2</v>
      </c>
      <c r="CA122" t="str">
        <f>IF(0,"云飞玉皇-玉山揽云","夕照雷峰")</f>
        <v>夕照雷峰</v>
      </c>
      <c r="CB122">
        <v>2</v>
      </c>
    </row>
    <row r="123" spans="1:80">
      <c r="A123" s="178">
        <f ca="1">IFERROR(IF(AG122&lt;5+金蛇*2,IF(COUNTIF(B122,"*轻*")&gt;0,A122+加速!$L$9,A122+加速!$L$11)+V122,""),"")</f>
        <v>157.74</v>
      </c>
      <c r="B123" s="167" t="str">
        <f ca="1" t="shared" si="17"/>
        <v>云飞玉皇-玉山揽云</v>
      </c>
      <c r="C123">
        <f ca="1" t="shared" si="26"/>
        <v>11.13</v>
      </c>
      <c r="D123">
        <f ca="1">IF(B123&lt;&gt;"",IF(C122&lt;=加速!$L$11*(1-E123),0,1),"")</f>
        <v>1</v>
      </c>
      <c r="E123">
        <f ca="1" t="shared" si="23"/>
        <v>1</v>
      </c>
      <c r="G123">
        <f ca="1" t="shared" si="24"/>
        <v>0</v>
      </c>
      <c r="H123">
        <f ca="1">IF(B123&lt;&gt;"",IF(AND(COUNTIF(B122,"*轻*莺鸣柳*")&gt;0,COUNTIF(B123,"*轻*")&lt;1),MAX(0,15+I122-(A123-A122)+COUNTIF(B122,"*平湖*")*0),IF(AND(E123=0,MAX(0,H122-(A123-A122))&lt;=加速!$H$11),0,MAX(0,H122-(A123-A122)))),"")</f>
        <v>0</v>
      </c>
      <c r="I123">
        <f ca="1" t="shared" si="30"/>
        <v>0</v>
      </c>
      <c r="J123">
        <f ca="1" t="shared" si="31"/>
        <v>0</v>
      </c>
      <c r="K123">
        <f ca="1" t="shared" si="18"/>
        <v>2</v>
      </c>
      <c r="L123">
        <f ca="1">IFERROR(IF(AND(COUNTIF(B123,"*-峰插*"),技能数据库!$M$72&gt;0),0,IF(COUNTIF(B123,"*鹤归*")&gt;0,16-加速!$L$11,MAX(0,L122-(A123-A122)))),0)</f>
        <v>2.77000000000006</v>
      </c>
      <c r="M123">
        <f ca="1" t="shared" si="19"/>
        <v>0</v>
      </c>
      <c r="N123">
        <f ca="1">IFERROR(IF(AND(COUNTIF(B123,"*-峰插*"),技能数据库!$M$72&gt;0),0,IF(COUNTIF(B123,"*云飞*")&gt;0,4-COUNTIF(B123,"*玉山揽云*")*4--COUNTIF(B123,"*烟流暮景*")*4-COUNTIF(B123,"*云景*")*加速!$L$11-IF(J123&gt;0,2,0),MAX(0,N122-(A123-A122)-IF(J123&gt;0,2,0)))),0)</f>
        <v>0</v>
      </c>
      <c r="O123">
        <f ca="1">IF(AND(COUNTIF(IF(AND(配装计算器!$K$30&lt;&gt;"∞",0),INDEX(AU122:CB122,1,$AT$1),INDEX(AU124:CB124,1,$AT$1)),"*云飞*")=1,COUNTIF(IF(AND(配装计算器!$K$30&lt;&gt;"∞",0),INDEX(AU122:CB122,1,$AT$1),INDEX(AU124:CB124,1,$AT$1)),"*玉山*")=0),N123,0)</f>
        <v>0</v>
      </c>
      <c r="P123">
        <f ca="1">IFERROR(IF(COUNTIF(B123,"*云栖松*")&gt;0,50-加速!$L$11,MAX(0,P122-(A123-A122))),0)</f>
        <v>0</v>
      </c>
      <c r="Q123">
        <f ca="1">IF(COUNTIF(IF(AND(配装计算器!$K$30&lt;&gt;"∞",0),INDEX(AU122:CB122,1,$AT$1),INDEX(AU124:CB124,1,$AT$1)),"*云栖松*")=1,P123,0)</f>
        <v>0</v>
      </c>
      <c r="R123">
        <f ca="1">IFERROR(IF(COUNTIF(B123,"*莺鸣柳*")&gt;0,45-加速!$L$9,MAX(0,R122-(A123-A122))),0)</f>
        <v>0</v>
      </c>
      <c r="S123">
        <f ca="1">IF(COUNTIF(IF(AND(配装计算器!$K$30&lt;&gt;"∞",0),INDEX(AU122:CB122,1,$AT$1),INDEX(AU124:CB124,1,$AT$1)),"*莺鸣柳*")=1,R123,0)</f>
        <v>0</v>
      </c>
      <c r="T123">
        <f ca="1" t="shared" si="27"/>
        <v>0</v>
      </c>
      <c r="U123">
        <f ca="1">IF(金蛇,IF(COUNTIF(B123,"*金环戴*")+COUNTIF(B123,"*吹风醒*")&gt;0,IF(A123&lt;=3,7.125-2.625-A123-加速!$L$11,7.125+加速!$K$9-(A123+加速!$L$11-T123)),0),0)+IF(金蛇,IF(COUNTIF(B123,"*千切子裂光*")&gt;0,2+加速!$K$9-(A123+加速!$L$11-T123),0),0)</f>
        <v>0</v>
      </c>
      <c r="V123">
        <f ca="1" t="shared" si="28"/>
        <v>0</v>
      </c>
      <c r="W123">
        <f ca="1" t="shared" si="20"/>
        <v>0</v>
      </c>
      <c r="X123">
        <f ca="1">INDEX(加速!$I$13:$I$21,W123+1)</f>
        <v>0</v>
      </c>
      <c r="Y123">
        <f ca="1" t="shared" si="29"/>
        <v>0.5</v>
      </c>
      <c r="Z123">
        <f ca="1" t="shared" si="25"/>
        <v>0</v>
      </c>
      <c r="AA123">
        <f ca="1">MAX(0,IFERROR(IF(COUNTIF(B123,"*叠*")&gt;0,IF(AC122&lt;3,8-A124+A123,AA122+6.875-A124+A123),AA122-A124+A123),AA122-加速!$L$11))</f>
        <v>4.13000000000002</v>
      </c>
      <c r="AB123">
        <f ca="1">MAX(0,IF(COUNTIF(IF(AND(配装计算器!$K$30&lt;&gt;"∞",0),INDEX(AU123:CB123,1,$AT$1),INDEX(AU123:CB123,1,$AT$1)),"*叠1*")=1,4*25-加速!$L$11,AB122-A123+A122)-IF(OR(COUNTIF(OFFSET(AT123,0,$AT$1,1,1),"*听雷*")&gt;0,AND(碧归&gt;0,COUNTIF(OFFSET(AT123,0,$AT$1,1,1),"*风来*")&gt;0)),0,1)*1.5)</f>
        <v>80.47</v>
      </c>
      <c r="AC123">
        <f ca="1" t="shared" si="21"/>
        <v>3</v>
      </c>
      <c r="AD123">
        <f ca="1">IF(COUNTIF(IF(AND(配装计算器!$K$30&lt;&gt;"∞",0),INDEX(AU123:CB123,1,$AT$1),INDEX(AU124:CB124,1,$AT$1)),"*叠1*")=1,AB123*0+AE122,0)</f>
        <v>0</v>
      </c>
      <c r="AE123">
        <f ca="1">IF($AN$11&gt;0,IF(COUNTIF(B124,"*叠1*")&gt;0,50-加速!$L$11,MAX(0,AE122-(A124-A123))),0)</f>
        <v>39.6800000000001</v>
      </c>
      <c r="AG123">
        <f ca="1" t="shared" si="22"/>
        <v>4</v>
      </c>
      <c r="AH123" t="s">
        <v>1028</v>
      </c>
      <c r="AI123" s="161" t="s">
        <v>2861</v>
      </c>
      <c r="AJ123">
        <f ca="1">SUM(AJ119:AJ120)</f>
        <v>0</v>
      </c>
      <c r="AK123" t="s">
        <v>2750</v>
      </c>
      <c r="AU123" s="176" t="s">
        <v>2776</v>
      </c>
      <c r="AV123">
        <v>2</v>
      </c>
      <c r="AW123" s="176" t="s">
        <v>2768</v>
      </c>
      <c r="AX123">
        <v>2</v>
      </c>
      <c r="AY123" t="s">
        <v>2768</v>
      </c>
      <c r="AZ123">
        <v>2</v>
      </c>
      <c r="BA123" t="s">
        <v>2768</v>
      </c>
      <c r="BB123">
        <v>2</v>
      </c>
      <c r="BC123" t="s">
        <v>2776</v>
      </c>
      <c r="BD123">
        <v>2</v>
      </c>
      <c r="BE123" t="s">
        <v>2768</v>
      </c>
      <c r="BF123">
        <v>2</v>
      </c>
      <c r="BG123" t="s">
        <v>2768</v>
      </c>
      <c r="BH123">
        <v>2</v>
      </c>
      <c r="BI123" s="176" t="s">
        <v>3026</v>
      </c>
      <c r="BJ123">
        <v>2</v>
      </c>
      <c r="BK123" s="176" t="s">
        <v>2776</v>
      </c>
      <c r="BL123">
        <v>2</v>
      </c>
      <c r="BM123" s="176" t="s">
        <v>2776</v>
      </c>
      <c r="BN123">
        <v>2</v>
      </c>
      <c r="BO123" t="str">
        <f>IF(0,"云飞玉皇-玉山揽云","云飞玉皇")</f>
        <v>云飞玉皇</v>
      </c>
      <c r="BP123">
        <v>2</v>
      </c>
      <c r="BQ123" t="s">
        <v>2776</v>
      </c>
      <c r="BR123">
        <v>2</v>
      </c>
      <c r="BS123" s="182" t="s">
        <v>2768</v>
      </c>
      <c r="BT123">
        <v>2</v>
      </c>
      <c r="BU123" t="s">
        <v>2776</v>
      </c>
      <c r="BV123">
        <v>2</v>
      </c>
      <c r="BW123" s="182" t="s">
        <v>2776</v>
      </c>
      <c r="BX123" s="179">
        <v>2</v>
      </c>
      <c r="BY123" s="176" t="s">
        <v>2776</v>
      </c>
      <c r="BZ123">
        <v>2</v>
      </c>
      <c r="CA123" t="s">
        <v>2776</v>
      </c>
      <c r="CB123">
        <v>2</v>
      </c>
    </row>
    <row r="124" spans="1:80">
      <c r="A124" s="178">
        <f ca="1">IFERROR(IF(AG123&lt;5+金蛇*2,IF(COUNTIF(B123,"*轻*")&gt;0,A123+加速!$L$9,A123+加速!$L$11)+V123,""),"")</f>
        <v>159.03</v>
      </c>
      <c r="B124" s="167" t="str">
        <f ca="1" t="shared" si="17"/>
        <v>云飞玉皇-玉山揽云</v>
      </c>
      <c r="C124">
        <f ca="1" t="shared" si="26"/>
        <v>9.84000000000003</v>
      </c>
      <c r="D124">
        <f ca="1">IF(B124&lt;&gt;"",IF(C123&lt;=加速!$L$11*(1-E124),0,1),"")</f>
        <v>1</v>
      </c>
      <c r="E124">
        <f ca="1" t="shared" si="23"/>
        <v>1</v>
      </c>
      <c r="G124">
        <f ca="1" t="shared" si="24"/>
        <v>0</v>
      </c>
      <c r="H124">
        <f ca="1">IF(B124&lt;&gt;"",IF(AND(COUNTIF(B123,"*轻*莺鸣柳*")&gt;0,COUNTIF(B124,"*轻*")&lt;1),MAX(0,15+I123-(A124-A123)+COUNTIF(B123,"*平湖*")*0),IF(AND(E124=0,MAX(0,H123-(A124-A123))&lt;=加速!$H$11),0,MAX(0,H123-(A124-A123)))),"")</f>
        <v>0</v>
      </c>
      <c r="I124">
        <f ca="1" t="shared" si="30"/>
        <v>0</v>
      </c>
      <c r="J124">
        <f ca="1" t="shared" si="31"/>
        <v>0</v>
      </c>
      <c r="K124">
        <f ca="1" t="shared" si="18"/>
        <v>2</v>
      </c>
      <c r="L124">
        <f ca="1">IFERROR(IF(AND(COUNTIF(B124,"*-峰插*"),技能数据库!$M$72&gt;0),0,IF(COUNTIF(B124,"*鹤归*")&gt;0,16-加速!$L$11,MAX(0,L123-(A124-A123)))),0)</f>
        <v>1.48000000000007</v>
      </c>
      <c r="M124">
        <f ca="1" t="shared" si="19"/>
        <v>0</v>
      </c>
      <c r="N124">
        <f ca="1">IFERROR(IF(AND(COUNTIF(B124,"*-峰插*"),技能数据库!$M$72&gt;0),0,IF(COUNTIF(B124,"*云飞*")&gt;0,4-COUNTIF(B124,"*玉山揽云*")*4--COUNTIF(B124,"*烟流暮景*")*4-COUNTIF(B124,"*云景*")*加速!$L$11-IF(J124&gt;0,2,0),MAX(0,N123-(A124-A123)-IF(J124&gt;0,2,0)))),0)</f>
        <v>0</v>
      </c>
      <c r="O124">
        <f ca="1">IF(AND(COUNTIF(IF(AND(配装计算器!$K$30&lt;&gt;"∞",0),INDEX(AU123:CB123,1,$AT$1),INDEX(AU125:CB125,1,$AT$1)),"*云飞*")=1,COUNTIF(IF(AND(配装计算器!$K$30&lt;&gt;"∞",0),INDEX(AU123:CB123,1,$AT$1),INDEX(AU125:CB125,1,$AT$1)),"*玉山*")=0),N124,0)</f>
        <v>0</v>
      </c>
      <c r="P124">
        <f ca="1">IFERROR(IF(COUNTIF(B124,"*云栖松*")&gt;0,50-加速!$L$11,MAX(0,P123-(A124-A123))),0)</f>
        <v>0</v>
      </c>
      <c r="Q124">
        <f ca="1">IF(COUNTIF(IF(AND(配装计算器!$K$30&lt;&gt;"∞",0),INDEX(AU123:CB123,1,$AT$1),INDEX(AU125:CB125,1,$AT$1)),"*云栖松*")=1,P124,0)</f>
        <v>0</v>
      </c>
      <c r="R124">
        <f ca="1">IFERROR(IF(COUNTIF(B124,"*莺鸣柳*")&gt;0,45-加速!$L$9,MAX(0,R123-(A124-A123))),0)</f>
        <v>0</v>
      </c>
      <c r="S124">
        <f ca="1">IF(COUNTIF(IF(AND(配装计算器!$K$30&lt;&gt;"∞",0),INDEX(AU123:CB123,1,$AT$1),INDEX(AU125:CB125,1,$AT$1)),"*莺鸣柳*")=1,R124,0)</f>
        <v>0</v>
      </c>
      <c r="T124">
        <f ca="1" t="shared" si="27"/>
        <v>0</v>
      </c>
      <c r="U124">
        <f ca="1">IF(金蛇,IF(COUNTIF(B124,"*金环戴*")+COUNTIF(B124,"*吹风醒*")&gt;0,IF(A124&lt;=3,7.125-2.625-A124-加速!$L$11,7.125+加速!$K$9-(A124+加速!$L$11-T124)),0),0)+IF(金蛇,IF(COUNTIF(B124,"*千切子裂光*")&gt;0,2+加速!$K$9-(A124+加速!$L$11-T124),0),0)</f>
        <v>0</v>
      </c>
      <c r="V124">
        <f ca="1" t="shared" si="28"/>
        <v>0</v>
      </c>
      <c r="W124">
        <f ca="1" t="shared" si="20"/>
        <v>0</v>
      </c>
      <c r="X124">
        <f ca="1">INDEX(加速!$I$13:$I$21,W124+1)</f>
        <v>0</v>
      </c>
      <c r="Y124">
        <f ca="1" t="shared" si="29"/>
        <v>0.5</v>
      </c>
      <c r="Z124">
        <f ca="1" t="shared" si="25"/>
        <v>0</v>
      </c>
      <c r="AA124">
        <f ca="1">MAX(0,IFERROR(IF(COUNTIF(B124,"*叠*")&gt;0,IF(AC123&lt;3,8-A125+A124,AA123+6.875-A125+A124),AA123-A125+A124),AA123-加速!$L$11))</f>
        <v>2.84000000000003</v>
      </c>
      <c r="AB124">
        <f ca="1">MAX(0,IF(COUNTIF(IF(AND(配装计算器!$K$30&lt;&gt;"∞",0),INDEX(AU124:CB124,1,$AT$1),INDEX(AU124:CB124,1,$AT$1)),"*叠1*")=1,4*25-加速!$L$11,AB123-A124+A123)-IF(OR(COUNTIF(OFFSET(AT124,0,$AT$1,1,1),"*听雷*")&gt;0,AND(碧归&gt;0,COUNTIF(OFFSET(AT124,0,$AT$1,1,1),"*风来*")&gt;0)),0,1)*1.5)</f>
        <v>77.68</v>
      </c>
      <c r="AC124">
        <f ca="1" t="shared" si="21"/>
        <v>3</v>
      </c>
      <c r="AD124">
        <f ca="1">IF(COUNTIF(IF(AND(配装计算器!$K$30&lt;&gt;"∞",0),INDEX(AU124:CB124,1,$AT$1),INDEX(AU125:CB125,1,$AT$1)),"*叠1*")=1,AB124*0+AE123,0)</f>
        <v>0</v>
      </c>
      <c r="AE124">
        <f ca="1">IF($AN$11&gt;0,IF(COUNTIF(B125,"*叠1*")&gt;0,50-加速!$L$11,MAX(0,AE123-(A125-A124))),0)</f>
        <v>38.3900000000001</v>
      </c>
      <c r="AG124">
        <f ca="1" t="shared" si="22"/>
        <v>4</v>
      </c>
      <c r="AH124" t="s">
        <v>1825</v>
      </c>
      <c r="AI124" s="161" t="s">
        <v>2861</v>
      </c>
      <c r="AJ124">
        <f ca="1">SUM(AJ121:AJ122)</f>
        <v>0</v>
      </c>
      <c r="AK124" t="s">
        <v>3044</v>
      </c>
      <c r="AU124" s="176" t="s">
        <v>2768</v>
      </c>
      <c r="AV124">
        <v>2</v>
      </c>
      <c r="AW124" s="176" t="s">
        <v>2776</v>
      </c>
      <c r="AX124">
        <v>2</v>
      </c>
      <c r="AY124" t="s">
        <v>2776</v>
      </c>
      <c r="AZ124">
        <v>2</v>
      </c>
      <c r="BA124" t="s">
        <v>2776</v>
      </c>
      <c r="BB124">
        <v>2</v>
      </c>
      <c r="BC124" t="s">
        <v>2768</v>
      </c>
      <c r="BD124">
        <v>2</v>
      </c>
      <c r="BE124" t="s">
        <v>2776</v>
      </c>
      <c r="BF124">
        <v>2</v>
      </c>
      <c r="BG124" t="s">
        <v>2776</v>
      </c>
      <c r="BH124">
        <v>2</v>
      </c>
      <c r="BI124" s="176" t="s">
        <v>3026</v>
      </c>
      <c r="BJ124">
        <v>2</v>
      </c>
      <c r="BK124" t="s">
        <v>2768</v>
      </c>
      <c r="BL124">
        <v>1</v>
      </c>
      <c r="BM124" s="176" t="s">
        <v>2768</v>
      </c>
      <c r="BN124">
        <v>2</v>
      </c>
      <c r="BO124" t="str">
        <f>IF(秋,"云栖松","泉凝月")</f>
        <v>泉凝月</v>
      </c>
      <c r="BP124">
        <v>2</v>
      </c>
      <c r="BQ124" t="s">
        <v>2768</v>
      </c>
      <c r="BR124">
        <v>2</v>
      </c>
      <c r="BS124" s="182" t="s">
        <v>2776</v>
      </c>
      <c r="BT124">
        <v>2</v>
      </c>
      <c r="BU124" t="s">
        <v>2768</v>
      </c>
      <c r="BV124">
        <v>2</v>
      </c>
      <c r="BW124" s="182" t="str">
        <f t="shared" ref="BW124" si="34">IF($AN$11=1,"云飞玉皇-玉山揽云","夕照雷峰")</f>
        <v>云飞玉皇-玉山揽云</v>
      </c>
      <c r="BX124" s="179">
        <v>2</v>
      </c>
      <c r="BY124" s="176" t="s">
        <v>2768</v>
      </c>
      <c r="BZ124">
        <v>2</v>
      </c>
      <c r="CA124" t="str">
        <f>IF(秋,"云栖松","泉凝月")</f>
        <v>泉凝月</v>
      </c>
      <c r="CB124">
        <v>2</v>
      </c>
    </row>
    <row r="125" spans="1:80">
      <c r="A125" s="178">
        <f ca="1">IFERROR(IF(AG124&lt;5+金蛇*2,IF(COUNTIF(B124,"*轻*")&gt;0,A124+加速!$L$9,A124+加速!$L$11)+V124,""),"")</f>
        <v>160.32</v>
      </c>
      <c r="B125" s="167" t="str">
        <f ca="1" t="shared" si="17"/>
        <v>云飞玉皇-玉山揽云</v>
      </c>
      <c r="C125">
        <f ca="1" t="shared" si="26"/>
        <v>8.55000000000004</v>
      </c>
      <c r="D125">
        <f ca="1">IF(B125&lt;&gt;"",IF(C124&lt;=加速!$L$11*(1-E125),0,1),"")</f>
        <v>1</v>
      </c>
      <c r="E125">
        <f ca="1" t="shared" si="23"/>
        <v>1</v>
      </c>
      <c r="G125">
        <f ca="1" t="shared" si="24"/>
        <v>0</v>
      </c>
      <c r="H125">
        <f ca="1">IF(B125&lt;&gt;"",IF(AND(COUNTIF(B124,"*轻*莺鸣柳*")&gt;0,COUNTIF(B125,"*轻*")&lt;1),MAX(0,15+I124-(A125-A124)+COUNTIF(B124,"*平湖*")*0),IF(AND(E125=0,MAX(0,H124-(A125-A124))&lt;=加速!$H$11),0,MAX(0,H124-(A125-A124)))),"")</f>
        <v>0</v>
      </c>
      <c r="I125">
        <f ca="1" t="shared" si="30"/>
        <v>0</v>
      </c>
      <c r="J125">
        <f ca="1" t="shared" si="31"/>
        <v>0</v>
      </c>
      <c r="K125">
        <f ca="1" t="shared" si="18"/>
        <v>2</v>
      </c>
      <c r="L125">
        <f ca="1">IFERROR(IF(AND(COUNTIF(B125,"*-峰插*"),技能数据库!$M$72&gt;0),0,IF(COUNTIF(B125,"*鹤归*")&gt;0,16-加速!$L$11,MAX(0,L124-(A125-A124)))),0)</f>
        <v>0.190000000000076</v>
      </c>
      <c r="M125">
        <f ca="1" t="shared" si="19"/>
        <v>0</v>
      </c>
      <c r="N125">
        <f ca="1">IFERROR(IF(AND(COUNTIF(B125,"*-峰插*"),技能数据库!$M$72&gt;0),0,IF(COUNTIF(B125,"*云飞*")&gt;0,4-COUNTIF(B125,"*玉山揽云*")*4--COUNTIF(B125,"*烟流暮景*")*4-COUNTIF(B125,"*云景*")*加速!$L$11-IF(J125&gt;0,2,0),MAX(0,N124-(A125-A124)-IF(J125&gt;0,2,0)))),0)</f>
        <v>0</v>
      </c>
      <c r="O125">
        <f ca="1">IF(AND(COUNTIF(IF(AND(配装计算器!$K$30&lt;&gt;"∞",0),INDEX(AU124:CB124,1,$AT$1),INDEX(AU126:CB126,1,$AT$1)),"*云飞*")=1,COUNTIF(IF(AND(配装计算器!$K$30&lt;&gt;"∞",0),INDEX(AU124:CB124,1,$AT$1),INDEX(AU126:CB126,1,$AT$1)),"*玉山*")=0),N125,0)</f>
        <v>0</v>
      </c>
      <c r="P125">
        <f ca="1">IFERROR(IF(COUNTIF(B125,"*云栖松*")&gt;0,50-加速!$L$11,MAX(0,P124-(A125-A124))),0)</f>
        <v>0</v>
      </c>
      <c r="Q125">
        <f ca="1">IF(COUNTIF(IF(AND(配装计算器!$K$30&lt;&gt;"∞",0),INDEX(AU124:CB124,1,$AT$1),INDEX(AU126:CB126,1,$AT$1)),"*云栖松*")=1,P125,0)</f>
        <v>0</v>
      </c>
      <c r="R125">
        <f ca="1">IFERROR(IF(COUNTIF(B125,"*莺鸣柳*")&gt;0,45-加速!$L$9,MAX(0,R124-(A125-A124))),0)</f>
        <v>0</v>
      </c>
      <c r="S125">
        <f ca="1">IF(COUNTIF(IF(AND(配装计算器!$K$30&lt;&gt;"∞",0),INDEX(AU124:CB124,1,$AT$1),INDEX(AU126:CB126,1,$AT$1)),"*莺鸣柳*")=1,R125,0)</f>
        <v>0</v>
      </c>
      <c r="T125">
        <f ca="1" t="shared" si="27"/>
        <v>0</v>
      </c>
      <c r="U125">
        <f ca="1">IF(金蛇,IF(COUNTIF(B125,"*金环戴*")+COUNTIF(B125,"*吹风醒*")&gt;0,IF(A125&lt;=3,7.125-2.625-A125-加速!$L$11,7.125+加速!$K$9-(A125+加速!$L$11-T125)),0),0)+IF(金蛇,IF(COUNTIF(B125,"*千切子裂光*")&gt;0,2+加速!$K$9-(A125+加速!$L$11-T125),0),0)</f>
        <v>0</v>
      </c>
      <c r="V125">
        <f ca="1" t="shared" si="28"/>
        <v>0</v>
      </c>
      <c r="W125">
        <f ca="1" t="shared" si="20"/>
        <v>0</v>
      </c>
      <c r="X125">
        <f ca="1">INDEX(加速!$I$13:$I$21,W125+1)</f>
        <v>0</v>
      </c>
      <c r="Y125">
        <f ca="1" t="shared" si="29"/>
        <v>0.5</v>
      </c>
      <c r="Z125">
        <f ca="1" t="shared" si="25"/>
        <v>0</v>
      </c>
      <c r="AA125">
        <f ca="1">MAX(0,IFERROR(IF(COUNTIF(B125,"*叠*")&gt;0,IF(AC124&lt;3,8-A126+A125,AA124+6.875-A126+A125),AA124-A126+A125),AA124-加速!$L$11))</f>
        <v>1.55000000000004</v>
      </c>
      <c r="AB125">
        <f ca="1">MAX(0,IF(COUNTIF(IF(AND(配装计算器!$K$30&lt;&gt;"∞",0),INDEX(AU125:CB125,1,$AT$1),INDEX(AU125:CB125,1,$AT$1)),"*叠1*")=1,4*25-加速!$L$11,AB124-A125+A124)-IF(OR(COUNTIF(OFFSET(AT125,0,$AT$1,1,1),"*听雷*")&gt;0,AND(碧归&gt;0,COUNTIF(OFFSET(AT125,0,$AT$1,1,1),"*风来*")&gt;0)),0,1)*1.5)</f>
        <v>74.8900000000001</v>
      </c>
      <c r="AC125">
        <f ca="1" t="shared" si="21"/>
        <v>3</v>
      </c>
      <c r="AD125">
        <f ca="1">IF(COUNTIF(IF(AND(配装计算器!$K$30&lt;&gt;"∞",0),INDEX(AU125:CB125,1,$AT$1),INDEX(AU126:CB126,1,$AT$1)),"*叠1*")=1,AB125*0+AE124,0)</f>
        <v>0</v>
      </c>
      <c r="AE125">
        <f ca="1">IF($AN$11&gt;0,IF(COUNTIF(B126,"*叠1*")&gt;0,50-加速!$L$11,MAX(0,AE124-(A126-A125))),0)</f>
        <v>37.1000000000001</v>
      </c>
      <c r="AG125">
        <f ca="1" t="shared" si="22"/>
        <v>4</v>
      </c>
      <c r="AH125" t="s">
        <v>1825</v>
      </c>
      <c r="AI125" s="161" t="s">
        <v>2869</v>
      </c>
      <c r="AJ125">
        <f ca="1">AJ126</f>
        <v>0</v>
      </c>
      <c r="AK125" t="s">
        <v>3044</v>
      </c>
      <c r="AU125" s="176" t="s">
        <v>2776</v>
      </c>
      <c r="AV125">
        <v>2</v>
      </c>
      <c r="AW125" s="176" t="s">
        <v>2768</v>
      </c>
      <c r="AX125">
        <v>2</v>
      </c>
      <c r="AY125" t="s">
        <v>3042</v>
      </c>
      <c r="AZ125">
        <v>2</v>
      </c>
      <c r="BA125" t="s">
        <v>3042</v>
      </c>
      <c r="BB125">
        <v>2</v>
      </c>
      <c r="BC125" t="s">
        <v>2794</v>
      </c>
      <c r="BD125">
        <v>2</v>
      </c>
      <c r="BE125" t="s">
        <v>2768</v>
      </c>
      <c r="BF125">
        <v>2</v>
      </c>
      <c r="BG125" t="s">
        <v>2768</v>
      </c>
      <c r="BH125">
        <v>2</v>
      </c>
      <c r="BI125" s="176" t="s">
        <v>3026</v>
      </c>
      <c r="BJ125">
        <v>2</v>
      </c>
      <c r="BK125" s="176" t="s">
        <v>2768</v>
      </c>
      <c r="BL125">
        <v>1</v>
      </c>
      <c r="BM125" s="176" t="s">
        <v>2776</v>
      </c>
      <c r="BN125">
        <v>2</v>
      </c>
      <c r="BO125" t="s">
        <v>2768</v>
      </c>
      <c r="BP125">
        <v>2</v>
      </c>
      <c r="BQ125" t="s">
        <v>2776</v>
      </c>
      <c r="BR125">
        <v>2</v>
      </c>
      <c r="BS125" s="182" t="s">
        <v>2768</v>
      </c>
      <c r="BT125">
        <v>2</v>
      </c>
      <c r="BU125" t="s">
        <v>2776</v>
      </c>
      <c r="BV125">
        <v>2</v>
      </c>
      <c r="BW125" s="179" t="str">
        <f>IF($AN$11=1,"云飞玉皇-玉山揽云","云飞玉皇")</f>
        <v>云飞玉皇-玉山揽云</v>
      </c>
      <c r="BX125" s="179">
        <v>2</v>
      </c>
      <c r="BY125" s="176" t="s">
        <v>2776</v>
      </c>
      <c r="BZ125">
        <v>2</v>
      </c>
      <c r="CA125" t="s">
        <v>2768</v>
      </c>
      <c r="CB125">
        <v>2</v>
      </c>
    </row>
    <row r="126" spans="1:80">
      <c r="A126" s="178">
        <f ca="1">IFERROR(IF(AG125&lt;5+金蛇*2,IF(COUNTIF(B125,"*轻*")&gt;0,A125+加速!$L$9,A125+加速!$L$11)+V125,""),"")</f>
        <v>161.61</v>
      </c>
      <c r="B126" s="167" t="str">
        <f ca="1" t="shared" si="17"/>
        <v>云飞玉皇-玉山揽云-叠</v>
      </c>
      <c r="C126">
        <f ca="1" t="shared" si="26"/>
        <v>7.26000000000005</v>
      </c>
      <c r="D126">
        <f ca="1">IF(B126&lt;&gt;"",IF(C125&lt;=加速!$L$11*(1-E126),0,1),"")</f>
        <v>1</v>
      </c>
      <c r="E126">
        <f ca="1" t="shared" si="23"/>
        <v>1</v>
      </c>
      <c r="G126">
        <f ca="1" t="shared" si="24"/>
        <v>0</v>
      </c>
      <c r="H126">
        <f ca="1">IF(B126&lt;&gt;"",IF(AND(COUNTIF(B125,"*轻*莺鸣柳*")&gt;0,COUNTIF(B126,"*轻*")&lt;1),MAX(0,15+I125-(A126-A125)+COUNTIF(B125,"*平湖*")*0),IF(AND(E126=0,MAX(0,H125-(A126-A125))&lt;=加速!$H$11),0,MAX(0,H125-(A126-A125)))),"")</f>
        <v>0</v>
      </c>
      <c r="I126">
        <f ca="1" t="shared" si="30"/>
        <v>0</v>
      </c>
      <c r="J126">
        <f ca="1" t="shared" si="31"/>
        <v>0</v>
      </c>
      <c r="K126">
        <f ca="1" t="shared" si="18"/>
        <v>2</v>
      </c>
      <c r="L126">
        <f ca="1">IFERROR(IF(AND(COUNTIF(B126,"*-峰插*"),技能数据库!$M$72&gt;0),0,IF(COUNTIF(B126,"*鹤归*")&gt;0,16-加速!$L$11,MAX(0,L125-(A126-A125)))),0)</f>
        <v>0</v>
      </c>
      <c r="M126">
        <f ca="1" t="shared" si="19"/>
        <v>0</v>
      </c>
      <c r="N126">
        <f ca="1">IFERROR(IF(AND(COUNTIF(B126,"*-峰插*"),技能数据库!$M$72&gt;0),0,IF(COUNTIF(B126,"*云飞*")&gt;0,4-COUNTIF(B126,"*玉山揽云*")*4--COUNTIF(B126,"*烟流暮景*")*4-COUNTIF(B126,"*云景*")*加速!$L$11-IF(J126&gt;0,2,0),MAX(0,N125-(A126-A125)-IF(J126&gt;0,2,0)))),0)</f>
        <v>0</v>
      </c>
      <c r="O126">
        <f ca="1">IF(AND(COUNTIF(IF(AND(配装计算器!$K$30&lt;&gt;"∞",0),INDEX(AU125:CB125,1,$AT$1),INDEX(AU127:CB127,1,$AT$1)),"*云飞*")=1,COUNTIF(IF(AND(配装计算器!$K$30&lt;&gt;"∞",0),INDEX(AU125:CB125,1,$AT$1),INDEX(AU127:CB127,1,$AT$1)),"*玉山*")=0),N126,0)</f>
        <v>0</v>
      </c>
      <c r="P126">
        <f ca="1">IFERROR(IF(COUNTIF(B126,"*云栖松*")&gt;0,50-加速!$L$11,MAX(0,P125-(A126-A125))),0)</f>
        <v>0</v>
      </c>
      <c r="Q126">
        <f ca="1">IF(COUNTIF(IF(AND(配装计算器!$K$30&lt;&gt;"∞",0),INDEX(AU125:CB125,1,$AT$1),INDEX(AU127:CB127,1,$AT$1)),"*云栖松*")=1,P126,0)</f>
        <v>0</v>
      </c>
      <c r="R126">
        <f ca="1">IFERROR(IF(COUNTIF(B126,"*莺鸣柳*")&gt;0,45-加速!$L$9,MAX(0,R125-(A126-A125))),0)</f>
        <v>0</v>
      </c>
      <c r="S126">
        <f ca="1">IF(COUNTIF(IF(AND(配装计算器!$K$30&lt;&gt;"∞",0),INDEX(AU125:CB125,1,$AT$1),INDEX(AU127:CB127,1,$AT$1)),"*莺鸣柳*")=1,R126,0)</f>
        <v>0</v>
      </c>
      <c r="T126">
        <f ca="1" t="shared" si="27"/>
        <v>0</v>
      </c>
      <c r="U126">
        <f ca="1">IF(金蛇,IF(COUNTIF(B126,"*金环戴*")+COUNTIF(B126,"*吹风醒*")&gt;0,IF(A126&lt;=3,7.125-2.625-A126-加速!$L$11,7.125+加速!$K$9-(A126+加速!$L$11-T126)),0),0)+IF(金蛇,IF(COUNTIF(B126,"*千切子裂光*")&gt;0,2+加速!$K$9-(A126+加速!$L$11-T126),0),0)</f>
        <v>0</v>
      </c>
      <c r="V126">
        <f ca="1" t="shared" si="28"/>
        <v>0</v>
      </c>
      <c r="W126">
        <f ca="1" t="shared" si="20"/>
        <v>0</v>
      </c>
      <c r="X126">
        <f ca="1">INDEX(加速!$I$13:$I$21,W126+1)</f>
        <v>0</v>
      </c>
      <c r="Y126">
        <f ca="1" t="shared" si="29"/>
        <v>0.5</v>
      </c>
      <c r="Z126">
        <f ca="1" t="shared" si="25"/>
        <v>0</v>
      </c>
      <c r="AA126">
        <f ca="1">MAX(0,IFERROR(IF(COUNTIF(B126,"*叠*")&gt;0,IF(AC125&lt;3,8-A127+A126,AA125+6.875-A127+A126),AA125-A127+A126),AA125-加速!$L$11))</f>
        <v>7.13500000000005</v>
      </c>
      <c r="AB126">
        <f ca="1">MAX(0,IF(COUNTIF(IF(AND(配装计算器!$K$30&lt;&gt;"∞",0),INDEX(AU126:CB126,1,$AT$1),INDEX(AU126:CB126,1,$AT$1)),"*叠1*")=1,4*25-加速!$L$11,AB125-A126+A125)-IF(OR(COUNTIF(OFFSET(AT126,0,$AT$1,1,1),"*听雷*")&gt;0,AND(碧归&gt;0,COUNTIF(OFFSET(AT126,0,$AT$1,1,1),"*风来*")&gt;0)),0,1)*1.5)</f>
        <v>72.1000000000001</v>
      </c>
      <c r="AC126">
        <f ca="1" t="shared" si="21"/>
        <v>3</v>
      </c>
      <c r="AD126">
        <f ca="1">IF(COUNTIF(IF(AND(配装计算器!$K$30&lt;&gt;"∞",0),INDEX(AU126:CB126,1,$AT$1),INDEX(AU127:CB127,1,$AT$1)),"*叠1*")=1,AB126*0+AE125,0)</f>
        <v>0</v>
      </c>
      <c r="AE126">
        <f ca="1">IF($AN$11&gt;0,IF(COUNTIF(B127,"*叠1*")&gt;0,50-加速!$L$11,MAX(0,AE125-(A127-A126))),0)</f>
        <v>35.8100000000001</v>
      </c>
      <c r="AG126">
        <f ca="1" t="shared" si="22"/>
        <v>4</v>
      </c>
      <c r="AH126" t="s">
        <v>1825</v>
      </c>
      <c r="AI126" s="161" t="s">
        <v>2871</v>
      </c>
      <c r="AJ126">
        <f ca="1">循环比*COUNTIFS($B$3:$B$515,"*蛇牙锥心*",$D$3:$D$515,"&gt;0")</f>
        <v>0</v>
      </c>
      <c r="AK126" t="s">
        <v>3044</v>
      </c>
      <c r="AU126" s="176" t="s">
        <v>2768</v>
      </c>
      <c r="AV126">
        <v>2</v>
      </c>
      <c r="AW126" s="176" t="s">
        <v>2776</v>
      </c>
      <c r="AX126">
        <v>2</v>
      </c>
      <c r="AY126" t="s">
        <v>2808</v>
      </c>
      <c r="AZ126">
        <v>2</v>
      </c>
      <c r="BA126" t="s">
        <v>2808</v>
      </c>
      <c r="BB126">
        <v>2</v>
      </c>
      <c r="BC126" s="182" t="s">
        <v>3036</v>
      </c>
      <c r="BD126">
        <v>2</v>
      </c>
      <c r="BE126" t="s">
        <v>2776</v>
      </c>
      <c r="BF126">
        <v>2</v>
      </c>
      <c r="BG126" t="s">
        <v>2808</v>
      </c>
      <c r="BH126">
        <v>2</v>
      </c>
      <c r="BI126" s="176" t="s">
        <v>3036</v>
      </c>
      <c r="BJ126">
        <v>2</v>
      </c>
      <c r="BK126" s="176" t="s">
        <v>2768</v>
      </c>
      <c r="BL126">
        <v>0</v>
      </c>
      <c r="BM126" s="176" t="str">
        <f>IF(0,"云飞玉皇-玉山揽云","夕照雷峰")</f>
        <v>夕照雷峰</v>
      </c>
      <c r="BN126">
        <v>2</v>
      </c>
      <c r="BO126" t="s">
        <v>1886</v>
      </c>
      <c r="BP126">
        <v>2</v>
      </c>
      <c r="BQ126" t="s">
        <v>2768</v>
      </c>
      <c r="BR126">
        <v>2</v>
      </c>
      <c r="BS126" s="182" t="s">
        <v>3085</v>
      </c>
      <c r="BT126">
        <v>2</v>
      </c>
      <c r="BU126" t="s">
        <v>2768</v>
      </c>
      <c r="BV126">
        <v>2</v>
      </c>
      <c r="BW126" s="182" t="s">
        <v>3063</v>
      </c>
      <c r="BX126" s="179">
        <v>0</v>
      </c>
      <c r="BY126" s="176" t="str">
        <f>IF(0,"云飞玉皇-玉山揽云","夕照雷峰")</f>
        <v>夕照雷峰</v>
      </c>
      <c r="BZ126">
        <v>2</v>
      </c>
      <c r="CA126" t="s">
        <v>1886</v>
      </c>
      <c r="CB126">
        <v>2</v>
      </c>
    </row>
    <row r="127" spans="1:80">
      <c r="A127" s="178">
        <f ca="1">IFERROR(IF(AG126&lt;5+金蛇*2,IF(COUNTIF(B126,"*轻*")&gt;0,A126+加速!$L$9,A126+加速!$L$11)+V126,""),"")</f>
        <v>162.9</v>
      </c>
      <c r="B127" s="167" t="str">
        <f ca="1" t="shared" si="17"/>
        <v>鹤归孤山</v>
      </c>
      <c r="C127">
        <f ca="1" t="shared" si="26"/>
        <v>5.97000000000006</v>
      </c>
      <c r="D127">
        <f ca="1">IF(B127&lt;&gt;"",IF(C126&lt;=加速!$L$11*(1-E127),0,1),"")</f>
        <v>1</v>
      </c>
      <c r="E127">
        <f ca="1" t="shared" si="23"/>
        <v>1</v>
      </c>
      <c r="G127">
        <f ca="1" t="shared" si="24"/>
        <v>0</v>
      </c>
      <c r="H127">
        <f ca="1">IF(B127&lt;&gt;"",IF(AND(COUNTIF(B126,"*轻*莺鸣柳*")&gt;0,COUNTIF(B127,"*轻*")&lt;1),MAX(0,15+I126-(A127-A126)+COUNTIF(B126,"*平湖*")*0),IF(AND(E127=0,MAX(0,H126-(A127-A126))&lt;=加速!$H$11),0,MAX(0,H126-(A127-A126)))),"")</f>
        <v>0</v>
      </c>
      <c r="I127">
        <f ca="1" t="shared" si="30"/>
        <v>0</v>
      </c>
      <c r="J127">
        <f ca="1" t="shared" si="31"/>
        <v>0</v>
      </c>
      <c r="K127">
        <f ca="1" t="shared" si="18"/>
        <v>2</v>
      </c>
      <c r="L127">
        <f ca="1">IFERROR(IF(AND(COUNTIF(B127,"*-峰插*"),技能数据库!$M$72&gt;0),0,IF(COUNTIF(B127,"*鹤归*")&gt;0,16-加速!$L$11,MAX(0,L126-(A127-A126)))),0)</f>
        <v>14.71</v>
      </c>
      <c r="M127">
        <f ca="1" t="shared" si="19"/>
        <v>0</v>
      </c>
      <c r="N127">
        <f ca="1">IFERROR(IF(AND(COUNTIF(B127,"*-峰插*"),技能数据库!$M$72&gt;0),0,IF(COUNTIF(B127,"*云飞*")&gt;0,4-COUNTIF(B127,"*玉山揽云*")*4--COUNTIF(B127,"*烟流暮景*")*4-COUNTIF(B127,"*云景*")*加速!$L$11-IF(J127&gt;0,2,0),MAX(0,N126-(A127-A126)-IF(J127&gt;0,2,0)))),0)</f>
        <v>0</v>
      </c>
      <c r="O127">
        <f ca="1">IF(AND(COUNTIF(IF(AND(配装计算器!$K$30&lt;&gt;"∞",0),INDEX(AU126:CB126,1,$AT$1),INDEX(AU128:CB128,1,$AT$1)),"*云飞*")=1,COUNTIF(IF(AND(配装计算器!$K$30&lt;&gt;"∞",0),INDEX(AU126:CB126,1,$AT$1),INDEX(AU128:CB128,1,$AT$1)),"*玉山*")=0),N127,0)</f>
        <v>0</v>
      </c>
      <c r="P127">
        <f ca="1">IFERROR(IF(COUNTIF(B127,"*云栖松*")&gt;0,50-加速!$L$11,MAX(0,P126-(A127-A126))),0)</f>
        <v>0</v>
      </c>
      <c r="Q127">
        <f ca="1">IF(COUNTIF(IF(AND(配装计算器!$K$30&lt;&gt;"∞",0),INDEX(AU126:CB126,1,$AT$1),INDEX(AU128:CB128,1,$AT$1)),"*云栖松*")=1,P127,0)</f>
        <v>0</v>
      </c>
      <c r="R127">
        <f ca="1">IFERROR(IF(COUNTIF(B127,"*莺鸣柳*")&gt;0,45-加速!$L$9,MAX(0,R126-(A127-A126))),0)</f>
        <v>0</v>
      </c>
      <c r="S127">
        <f ca="1">IF(COUNTIF(IF(AND(配装计算器!$K$30&lt;&gt;"∞",0),INDEX(AU126:CB126,1,$AT$1),INDEX(AU128:CB128,1,$AT$1)),"*莺鸣柳*")=1,R127,0)</f>
        <v>0</v>
      </c>
      <c r="T127">
        <f ca="1" t="shared" si="27"/>
        <v>0</v>
      </c>
      <c r="U127">
        <f ca="1">IF(金蛇,IF(COUNTIF(B127,"*金环戴*")+COUNTIF(B127,"*吹风醒*")&gt;0,IF(A127&lt;=3,7.125-2.625-A127-加速!$L$11,7.125+加速!$K$9-(A127+加速!$L$11-T127)),0),0)+IF(金蛇,IF(COUNTIF(B127,"*千切子裂光*")&gt;0,2+加速!$K$9-(A127+加速!$L$11-T127),0),0)</f>
        <v>0</v>
      </c>
      <c r="V127">
        <f ca="1" t="shared" si="28"/>
        <v>0</v>
      </c>
      <c r="W127">
        <f ca="1" t="shared" si="20"/>
        <v>0</v>
      </c>
      <c r="X127">
        <f ca="1">INDEX(加速!$I$13:$I$21,W127+1)</f>
        <v>0</v>
      </c>
      <c r="Y127">
        <f ca="1" t="shared" si="29"/>
        <v>0.5</v>
      </c>
      <c r="Z127">
        <f ca="1" t="shared" si="25"/>
        <v>0</v>
      </c>
      <c r="AA127">
        <f ca="1">MAX(0,IFERROR(IF(COUNTIF(B127,"*叠*")&gt;0,IF(AC126&lt;3,8-A128+A127,AA126+6.875-A128+A127),AA126-A128+A127),AA126-加速!$L$11))</f>
        <v>5.84500000000006</v>
      </c>
      <c r="AB127">
        <f ca="1">MAX(0,IF(COUNTIF(IF(AND(配装计算器!$K$30&lt;&gt;"∞",0),INDEX(AU127:CB127,1,$AT$1),INDEX(AU127:CB127,1,$AT$1)),"*叠1*")=1,4*25-加速!$L$11,AB126-A127+A126)-IF(OR(COUNTIF(OFFSET(AT127,0,$AT$1,1,1),"*听雷*")&gt;0,AND(碧归&gt;0,COUNTIF(OFFSET(AT127,0,$AT$1,1,1),"*风来*")&gt;0)),0,1)*1.5)</f>
        <v>69.3100000000001</v>
      </c>
      <c r="AC127">
        <f ca="1" t="shared" si="21"/>
        <v>3</v>
      </c>
      <c r="AD127">
        <f ca="1">IF(COUNTIF(IF(AND(配装计算器!$K$30&lt;&gt;"∞",0),INDEX(AU127:CB127,1,$AT$1),INDEX(AU128:CB128,1,$AT$1)),"*叠1*")=1,AB127*0+AE126,0)</f>
        <v>0</v>
      </c>
      <c r="AE127">
        <f ca="1">IF($AN$11&gt;0,IF(COUNTIF(B128,"*叠1*")&gt;0,50-加速!$L$11,MAX(0,AE126-(A128-A127))),0)</f>
        <v>34.5200000000001</v>
      </c>
      <c r="AG127">
        <f ca="1" t="shared" si="22"/>
        <v>4</v>
      </c>
      <c r="AH127" t="s">
        <v>1825</v>
      </c>
      <c r="AI127" s="161" t="s">
        <v>2885</v>
      </c>
      <c r="AJ127">
        <f ca="1">循环比*COUNTIFS($B$3:$B$515,"*千切子寒光*",$D$3:$D$515,"&gt;0")</f>
        <v>0</v>
      </c>
      <c r="AK127" t="s">
        <v>3044</v>
      </c>
      <c r="AU127" s="176" t="s">
        <v>2776</v>
      </c>
      <c r="AV127">
        <v>2</v>
      </c>
      <c r="AW127" s="176" t="s">
        <v>2768</v>
      </c>
      <c r="AX127">
        <v>2</v>
      </c>
      <c r="AY127" t="s">
        <v>2768</v>
      </c>
      <c r="AZ127">
        <v>2</v>
      </c>
      <c r="BA127" t="s">
        <v>2768</v>
      </c>
      <c r="BB127">
        <v>2</v>
      </c>
      <c r="BC127" s="176" t="s">
        <v>3026</v>
      </c>
      <c r="BD127">
        <v>2</v>
      </c>
      <c r="BE127" t="s">
        <v>2768</v>
      </c>
      <c r="BF127">
        <v>1</v>
      </c>
      <c r="BG127" t="s">
        <v>2768</v>
      </c>
      <c r="BH127">
        <v>2</v>
      </c>
      <c r="BI127" t="s">
        <v>2794</v>
      </c>
      <c r="BJ127">
        <v>2</v>
      </c>
      <c r="BK127" s="176" t="s">
        <v>2776</v>
      </c>
      <c r="BL127">
        <v>0</v>
      </c>
      <c r="BM127" t="str">
        <f>IF(0,"云飞玉皇-玉山揽云","云飞玉皇")</f>
        <v>云飞玉皇</v>
      </c>
      <c r="BN127">
        <v>2</v>
      </c>
      <c r="BO127" t="s">
        <v>2853</v>
      </c>
      <c r="BP127">
        <v>2</v>
      </c>
      <c r="BQ127" t="s">
        <v>3013</v>
      </c>
      <c r="BR127">
        <v>2</v>
      </c>
      <c r="BS127" s="182" t="s">
        <v>3084</v>
      </c>
      <c r="BT127">
        <v>2</v>
      </c>
      <c r="BU127" t="s">
        <v>2808</v>
      </c>
      <c r="BV127">
        <v>2</v>
      </c>
      <c r="BW127" s="179" t="s">
        <v>2768</v>
      </c>
      <c r="BX127" s="179">
        <v>2</v>
      </c>
      <c r="BY127" t="str">
        <f>IF(0,"云飞玉皇-玉山揽云","云飞玉皇")</f>
        <v>云飞玉皇</v>
      </c>
      <c r="BZ127">
        <v>2</v>
      </c>
      <c r="CA127" t="s">
        <v>2853</v>
      </c>
      <c r="CB127">
        <v>2</v>
      </c>
    </row>
    <row r="128" spans="1:80">
      <c r="A128" s="178">
        <f ca="1">IFERROR(IF(AG127&lt;5+金蛇*2,IF(COUNTIF(B127,"*轻*")&gt;0,A127+加速!$L$9,A127+加速!$L$11)+V127,""),"")</f>
        <v>164.19</v>
      </c>
      <c r="B128" s="167" t="str">
        <f ca="1" t="shared" si="17"/>
        <v>云飞玉皇</v>
      </c>
      <c r="C128">
        <f ca="1" t="shared" si="26"/>
        <v>4.68000000000006</v>
      </c>
      <c r="D128">
        <f ca="1">IF(B128&lt;&gt;"",IF(C127&lt;=加速!$L$11*(1-E128),0,1),"")</f>
        <v>1</v>
      </c>
      <c r="E128">
        <f ca="1" t="shared" si="23"/>
        <v>0</v>
      </c>
      <c r="G128">
        <f ca="1" t="shared" si="24"/>
        <v>0</v>
      </c>
      <c r="H128">
        <f ca="1">IF(B128&lt;&gt;"",IF(AND(COUNTIF(B127,"*轻*莺鸣柳*")&gt;0,COUNTIF(B128,"*轻*")&lt;1),MAX(0,15+I127-(A128-A127)+COUNTIF(B127,"*平湖*")*0),IF(AND(E128=0,MAX(0,H127-(A128-A127))&lt;=加速!$H$11),0,MAX(0,H127-(A128-A127)))),"")</f>
        <v>0</v>
      </c>
      <c r="I128">
        <f ca="1" t="shared" si="30"/>
        <v>0</v>
      </c>
      <c r="J128">
        <f ca="1" t="shared" si="31"/>
        <v>4</v>
      </c>
      <c r="K128">
        <f ca="1" t="shared" si="18"/>
        <v>2</v>
      </c>
      <c r="L128">
        <f ca="1">IFERROR(IF(AND(COUNTIF(B128,"*-峰插*"),技能数据库!$M$72&gt;0),0,IF(COUNTIF(B128,"*鹤归*")&gt;0,16-加速!$L$11,MAX(0,L127-(A128-A127)))),0)</f>
        <v>13.42</v>
      </c>
      <c r="M128">
        <f ca="1" t="shared" si="19"/>
        <v>0</v>
      </c>
      <c r="N128">
        <f ca="1">IFERROR(IF(AND(COUNTIF(B128,"*-峰插*"),技能数据库!$M$72&gt;0),0,IF(COUNTIF(B128,"*云飞*")&gt;0,4-COUNTIF(B128,"*玉山揽云*")*4--COUNTIF(B128,"*烟流暮景*")*4-COUNTIF(B128,"*云景*")*加速!$L$11-IF(J128&gt;0,2,0),MAX(0,N127-(A128-A127)-IF(J128&gt;0,2,0)))),0)</f>
        <v>2</v>
      </c>
      <c r="O128">
        <f ca="1">IF(AND(COUNTIF(IF(AND(配装计算器!$K$30&lt;&gt;"∞",0),INDEX(AU127:CB127,1,$AT$1),INDEX(AU129:CB129,1,$AT$1)),"*云飞*")=1,COUNTIF(IF(AND(配装计算器!$K$30&lt;&gt;"∞",0),INDEX(AU127:CB127,1,$AT$1),INDEX(AU129:CB129,1,$AT$1)),"*玉山*")=0),N128,0)</f>
        <v>0</v>
      </c>
      <c r="P128">
        <f ca="1">IFERROR(IF(COUNTIF(B128,"*云栖松*")&gt;0,50-加速!$L$11,MAX(0,P127-(A128-A127))),0)</f>
        <v>0</v>
      </c>
      <c r="Q128">
        <f ca="1">IF(COUNTIF(IF(AND(配装计算器!$K$30&lt;&gt;"∞",0),INDEX(AU127:CB127,1,$AT$1),INDEX(AU129:CB129,1,$AT$1)),"*云栖松*")=1,P128,0)</f>
        <v>0</v>
      </c>
      <c r="R128">
        <f ca="1">IFERROR(IF(COUNTIF(B128,"*莺鸣柳*")&gt;0,45-加速!$L$9,MAX(0,R127-(A128-A127))),0)</f>
        <v>0</v>
      </c>
      <c r="S128">
        <f ca="1">IF(COUNTIF(IF(AND(配装计算器!$K$30&lt;&gt;"∞",0),INDEX(AU127:CB127,1,$AT$1),INDEX(AU129:CB129,1,$AT$1)),"*莺鸣柳*")=1,R128,0)</f>
        <v>0</v>
      </c>
      <c r="T128">
        <f ca="1" t="shared" si="27"/>
        <v>0</v>
      </c>
      <c r="U128">
        <f ca="1">IF(金蛇,IF(COUNTIF(B128,"*金环戴*")+COUNTIF(B128,"*吹风醒*")&gt;0,IF(A128&lt;=3,7.125-2.625-A128-加速!$L$11,7.125+加速!$K$9-(A128+加速!$L$11-T128)),0),0)+IF(金蛇,IF(COUNTIF(B128,"*千切子裂光*")&gt;0,2+加速!$K$9-(A128+加速!$L$11-T128),0),0)</f>
        <v>0</v>
      </c>
      <c r="V128">
        <f ca="1" t="shared" si="28"/>
        <v>0</v>
      </c>
      <c r="W128">
        <f ca="1" t="shared" si="20"/>
        <v>0</v>
      </c>
      <c r="X128">
        <f ca="1">INDEX(加速!$I$13:$I$21,W128+1)</f>
        <v>0</v>
      </c>
      <c r="Y128">
        <f ca="1" t="shared" si="29"/>
        <v>0.5</v>
      </c>
      <c r="Z128">
        <f ca="1" t="shared" si="25"/>
        <v>0</v>
      </c>
      <c r="AA128">
        <f ca="1">MAX(0,IFERROR(IF(COUNTIF(B128,"*叠*")&gt;0,IF(AC127&lt;3,8-A129+A128,AA127+6.875-A129+A128),AA127-A129+A128),AA127-加速!$L$11))</f>
        <v>4.55500000000006</v>
      </c>
      <c r="AB128">
        <f ca="1">MAX(0,IF(COUNTIF(IF(AND(配装计算器!$K$30&lt;&gt;"∞",0),INDEX(AU128:CB128,1,$AT$1),INDEX(AU128:CB128,1,$AT$1)),"*叠1*")=1,4*25-加速!$L$11,AB127-A128+A127)-IF(OR(COUNTIF(OFFSET(AT128,0,$AT$1,1,1),"*听雷*")&gt;0,AND(碧归&gt;0,COUNTIF(OFFSET(AT128,0,$AT$1,1,1),"*风来*")&gt;0)),0,1)*1.5)</f>
        <v>66.5200000000001</v>
      </c>
      <c r="AC128">
        <f ca="1" t="shared" si="21"/>
        <v>3</v>
      </c>
      <c r="AD128">
        <f ca="1">IF(COUNTIF(IF(AND(配装计算器!$K$30&lt;&gt;"∞",0),INDEX(AU128:CB128,1,$AT$1),INDEX(AU129:CB129,1,$AT$1)),"*叠1*")=1,AB128*0+AE127,0)</f>
        <v>0</v>
      </c>
      <c r="AE128">
        <f ca="1">IF($AN$11&gt;0,IF(COUNTIF(B129,"*叠1*")&gt;0,50-加速!$L$11,MAX(0,AE127-(A129-A128))),0)</f>
        <v>33.2300000000001</v>
      </c>
      <c r="AG128">
        <f ca="1" t="shared" si="22"/>
        <v>4</v>
      </c>
      <c r="AH128" t="s">
        <v>1825</v>
      </c>
      <c r="AI128" s="161" t="s">
        <v>2897</v>
      </c>
      <c r="AJ128">
        <f ca="1">循环比*COUNTIFS($B$3:$B$515,"*千切子裂光*",$D$3:$D$515,"&gt;0")</f>
        <v>0</v>
      </c>
      <c r="AK128" t="s">
        <v>3044</v>
      </c>
      <c r="AU128" t="s">
        <v>2768</v>
      </c>
      <c r="AV128">
        <v>2</v>
      </c>
      <c r="AW128" t="s">
        <v>3056</v>
      </c>
      <c r="AX128">
        <v>1</v>
      </c>
      <c r="AY128" t="s">
        <v>2768</v>
      </c>
      <c r="AZ128">
        <v>2</v>
      </c>
      <c r="BA128" t="s">
        <v>2768</v>
      </c>
      <c r="BB128">
        <v>2</v>
      </c>
      <c r="BC128" s="176" t="s">
        <v>3026</v>
      </c>
      <c r="BD128">
        <v>2</v>
      </c>
      <c r="BE128" t="s">
        <v>2768</v>
      </c>
      <c r="BF128">
        <v>1</v>
      </c>
      <c r="BG128" s="176" t="s">
        <v>2768</v>
      </c>
      <c r="BH128">
        <v>2</v>
      </c>
      <c r="BI128" t="s">
        <v>2776</v>
      </c>
      <c r="BJ128">
        <v>2</v>
      </c>
      <c r="BK128" s="176" t="s">
        <v>2768</v>
      </c>
      <c r="BL128">
        <v>0</v>
      </c>
      <c r="BM128" t="str">
        <f>IF(秋,"云栖松","泉凝月")</f>
        <v>泉凝月</v>
      </c>
      <c r="BN128">
        <v>2</v>
      </c>
      <c r="BO128" s="176" t="s">
        <v>2850</v>
      </c>
      <c r="BP128">
        <f>IF(0,2,0)</f>
        <v>0</v>
      </c>
      <c r="BQ128" t="s">
        <v>2808</v>
      </c>
      <c r="BR128">
        <v>2</v>
      </c>
      <c r="BS128" s="176" t="s">
        <v>2768</v>
      </c>
      <c r="BT128">
        <v>2</v>
      </c>
      <c r="BU128" t="s">
        <v>2768</v>
      </c>
      <c r="BV128">
        <v>2</v>
      </c>
      <c r="BW128" s="179" t="s">
        <v>1886</v>
      </c>
      <c r="BX128" s="179">
        <v>2</v>
      </c>
      <c r="BY128" t="str">
        <f>IF(秋,"云栖松","泉凝月")</f>
        <v>泉凝月</v>
      </c>
      <c r="BZ128">
        <v>2</v>
      </c>
      <c r="CA128" s="176" t="s">
        <v>2850</v>
      </c>
      <c r="CB128">
        <f>IF(0,2,0)</f>
        <v>0</v>
      </c>
    </row>
    <row r="129" spans="1:80">
      <c r="A129" s="178">
        <f ca="1">IFERROR(IF(AG128&lt;5+金蛇*2,IF(COUNTIF(B128,"*轻*")&gt;0,A128+加速!$L$9,A128+加速!$L$11)+V128,""),"")</f>
        <v>165.48</v>
      </c>
      <c r="B129" s="167" t="str">
        <f ca="1" t="shared" si="17"/>
        <v>夕照雷峰</v>
      </c>
      <c r="C129">
        <f ca="1" t="shared" si="26"/>
        <v>15</v>
      </c>
      <c r="D129">
        <f ca="1">IF(B129&lt;&gt;"",IF(C128&lt;=加速!$L$11*(1-E129),0,1),"")</f>
        <v>1</v>
      </c>
      <c r="E129">
        <f ca="1" t="shared" si="23"/>
        <v>0</v>
      </c>
      <c r="G129">
        <f ca="1" t="shared" si="24"/>
        <v>0</v>
      </c>
      <c r="H129">
        <f ca="1">IF(B129&lt;&gt;"",IF(AND(COUNTIF(B128,"*轻*莺鸣柳*")&gt;0,COUNTIF(B129,"*轻*")&lt;1),MAX(0,15+I128-(A129-A128)+COUNTIF(B128,"*平湖*")*0),IF(AND(E129=0,MAX(0,H128-(A129-A128))&lt;=加速!$H$11),0,MAX(0,H128-(A129-A128)))),"")</f>
        <v>0</v>
      </c>
      <c r="I129">
        <f ca="1" t="shared" si="30"/>
        <v>0</v>
      </c>
      <c r="J129">
        <f ca="1" t="shared" si="31"/>
        <v>3</v>
      </c>
      <c r="K129">
        <f ca="1" t="shared" si="18"/>
        <v>2</v>
      </c>
      <c r="L129">
        <f ca="1">IFERROR(IF(AND(COUNTIF(B129,"*-峰插*"),技能数据库!$M$72&gt;0),0,IF(COUNTIF(B129,"*鹤归*")&gt;0,16-加速!$L$11,MAX(0,L128-(A129-A128)))),0)</f>
        <v>12.13</v>
      </c>
      <c r="M129">
        <f ca="1" t="shared" si="19"/>
        <v>0</v>
      </c>
      <c r="N129">
        <f ca="1">IFERROR(IF(AND(COUNTIF(B129,"*-峰插*"),技能数据库!$M$72&gt;0),0,IF(COUNTIF(B129,"*云飞*")&gt;0,4-COUNTIF(B129,"*玉山揽云*")*4--COUNTIF(B129,"*烟流暮景*")*4-COUNTIF(B129,"*云景*")*加速!$L$11-IF(J129&gt;0,2,0),MAX(0,N128-(A129-A128)-IF(J129&gt;0,2,0)))),0)</f>
        <v>0</v>
      </c>
      <c r="O129">
        <f ca="1">IF(AND(COUNTIF(IF(AND(配装计算器!$K$30&lt;&gt;"∞",0),INDEX(AU128:CB128,1,$AT$1),INDEX(AU130:CB130,1,$AT$1)),"*云飞*")=1,COUNTIF(IF(AND(配装计算器!$K$30&lt;&gt;"∞",0),INDEX(AU128:CB128,1,$AT$1),INDEX(AU130:CB130,1,$AT$1)),"*玉山*")=0),N129,0)</f>
        <v>0</v>
      </c>
      <c r="P129">
        <f ca="1">IFERROR(IF(COUNTIF(B129,"*云栖松*")&gt;0,50-加速!$L$11,MAX(0,P128-(A129-A128))),0)</f>
        <v>0</v>
      </c>
      <c r="Q129">
        <f ca="1">IF(COUNTIF(IF(AND(配装计算器!$K$30&lt;&gt;"∞",0),INDEX(AU128:CB128,1,$AT$1),INDEX(AU130:CB130,1,$AT$1)),"*云栖松*")=1,P129,0)</f>
        <v>0</v>
      </c>
      <c r="R129">
        <f ca="1">IFERROR(IF(COUNTIF(B129,"*莺鸣柳*")&gt;0,45-加速!$L$9,MAX(0,R128-(A129-A128))),0)</f>
        <v>0</v>
      </c>
      <c r="S129">
        <f ca="1">IF(COUNTIF(IF(AND(配装计算器!$K$30&lt;&gt;"∞",0),INDEX(AU128:CB128,1,$AT$1),INDEX(AU130:CB130,1,$AT$1)),"*莺鸣柳*")=1,R129,0)</f>
        <v>0</v>
      </c>
      <c r="T129">
        <f ca="1" t="shared" si="27"/>
        <v>0</v>
      </c>
      <c r="U129">
        <f ca="1">IF(金蛇,IF(COUNTIF(B129,"*金环戴*")+COUNTIF(B129,"*吹风醒*")&gt;0,IF(A129&lt;=3,7.125-2.625-A129-加速!$L$11,7.125+加速!$K$9-(A129+加速!$L$11-T129)),0),0)+IF(金蛇,IF(COUNTIF(B129,"*千切子裂光*")&gt;0,2+加速!$K$9-(A129+加速!$L$11-T129),0),0)</f>
        <v>0</v>
      </c>
      <c r="V129">
        <f ca="1" t="shared" si="28"/>
        <v>0</v>
      </c>
      <c r="W129">
        <f ca="1" t="shared" si="20"/>
        <v>0</v>
      </c>
      <c r="X129">
        <f ca="1">INDEX(加速!$I$13:$I$21,W129+1)</f>
        <v>0</v>
      </c>
      <c r="Y129">
        <f ca="1" t="shared" si="29"/>
        <v>0.5</v>
      </c>
      <c r="Z129">
        <f ca="1" t="shared" si="25"/>
        <v>0</v>
      </c>
      <c r="AA129">
        <f ca="1">MAX(0,IFERROR(IF(COUNTIF(B129,"*叠*")&gt;0,IF(AC128&lt;3,8-A130+A129,AA128+6.875-A130+A129),AA128-A130+A129),AA128-加速!$L$11))</f>
        <v>3.26500000000007</v>
      </c>
      <c r="AB129">
        <f ca="1">MAX(0,IF(COUNTIF(IF(AND(配装计算器!$K$30&lt;&gt;"∞",0),INDEX(AU129:CB129,1,$AT$1),INDEX(AU129:CB129,1,$AT$1)),"*叠1*")=1,4*25-加速!$L$11,AB128-A129+A128)-IF(OR(COUNTIF(OFFSET(AT129,0,$AT$1,1,1),"*听雷*")&gt;0,AND(碧归&gt;0,COUNTIF(OFFSET(AT129,0,$AT$1,1,1),"*风来*")&gt;0)),0,1)*1.5)</f>
        <v>63.7300000000001</v>
      </c>
      <c r="AC129">
        <f ca="1" t="shared" si="21"/>
        <v>3</v>
      </c>
      <c r="AD129">
        <f ca="1">IF(COUNTIF(IF(AND(配装计算器!$K$30&lt;&gt;"∞",0),INDEX(AU129:CB129,1,$AT$1),INDEX(AU130:CB130,1,$AT$1)),"*叠1*")=1,AB129*0+AE128,0)</f>
        <v>0</v>
      </c>
      <c r="AE129">
        <f ca="1">IF($AN$11&gt;0,IF(COUNTIF(B130,"*叠1*")&gt;0,50-加速!$L$11,MAX(0,AE128-(A130-A129))),0)</f>
        <v>31.9400000000001</v>
      </c>
      <c r="AG129">
        <f ca="1" t="shared" si="22"/>
        <v>4</v>
      </c>
      <c r="AH129" t="s">
        <v>1825</v>
      </c>
      <c r="AI129" t="s">
        <v>2776</v>
      </c>
      <c r="AJ129">
        <f ca="1">循环比*COUNTIFS($B$3:$B$515,"*"&amp;AI129&amp;"*",$D$3:$D$515,"=0",$H$3:$H$515,"=0",$G$3:$G$515,"=0",$K$3:$K$515,"=2",$AC$3:$AC$515,"=0")</f>
        <v>0</v>
      </c>
      <c r="AK129" t="s">
        <v>3046</v>
      </c>
      <c r="AU129" t="str">
        <f>IF($AN$11=1,"云飞玉皇-玉山揽云","夕照雷峰")</f>
        <v>云飞玉皇-玉山揽云</v>
      </c>
      <c r="AV129">
        <v>2</v>
      </c>
      <c r="AW129" t="s">
        <v>2768</v>
      </c>
      <c r="AX129">
        <v>2</v>
      </c>
      <c r="AY129" t="s">
        <v>2776</v>
      </c>
      <c r="AZ129">
        <v>2</v>
      </c>
      <c r="BA129" t="s">
        <v>2776</v>
      </c>
      <c r="BB129">
        <v>2</v>
      </c>
      <c r="BC129" s="176" t="s">
        <v>3026</v>
      </c>
      <c r="BD129">
        <v>2</v>
      </c>
      <c r="BE129" t="s">
        <v>3042</v>
      </c>
      <c r="BF129">
        <v>0</v>
      </c>
      <c r="BG129" s="176" t="s">
        <v>2776</v>
      </c>
      <c r="BH129">
        <v>2</v>
      </c>
      <c r="BI129" t="s">
        <v>2768</v>
      </c>
      <c r="BJ129">
        <v>2</v>
      </c>
      <c r="BK129" s="176" t="s">
        <v>3012</v>
      </c>
      <c r="BL129">
        <v>2</v>
      </c>
      <c r="BM129" t="s">
        <v>2768</v>
      </c>
      <c r="BN129">
        <v>2</v>
      </c>
      <c r="BO129" s="176" t="str">
        <f>IF(秋,"金环戴","吹风醒")</f>
        <v>吹风醒</v>
      </c>
      <c r="BP129">
        <v>2</v>
      </c>
      <c r="BQ129" t="s">
        <v>2768</v>
      </c>
      <c r="BR129">
        <v>2</v>
      </c>
      <c r="BS129" s="176" t="s">
        <v>2768</v>
      </c>
      <c r="BT129">
        <v>2</v>
      </c>
      <c r="BU129" s="176" t="s">
        <v>2768</v>
      </c>
      <c r="BV129">
        <v>2</v>
      </c>
      <c r="BW129" s="179" t="s">
        <v>2853</v>
      </c>
      <c r="BX129" s="179">
        <v>2</v>
      </c>
      <c r="BY129" t="s">
        <v>2768</v>
      </c>
      <c r="BZ129">
        <v>2</v>
      </c>
      <c r="CA129" s="176" t="str">
        <f>IF(秋,"金环戴","吹风醒")</f>
        <v>吹风醒</v>
      </c>
      <c r="CB129">
        <v>2</v>
      </c>
    </row>
    <row r="130" spans="1:80">
      <c r="A130" s="178">
        <f ca="1">IFERROR(IF(AG129&lt;5+金蛇*2,IF(COUNTIF(B129,"*轻*")&gt;0,A129+加速!$L$9,A129+加速!$L$11)+V129,""),"")</f>
        <v>166.77</v>
      </c>
      <c r="B130" s="167" t="str">
        <f ca="1" t="shared" ref="B130:B193" si="35">IF(A130&lt;&gt;"",INDEX(AU130:CB130,1,$AT$1),"")</f>
        <v>云飞玉皇</v>
      </c>
      <c r="C130">
        <f ca="1" t="shared" si="26"/>
        <v>13.71</v>
      </c>
      <c r="D130">
        <f ca="1">IF(B130&lt;&gt;"",IF(C129&lt;=加速!$L$11*(1-E130),0,1),"")</f>
        <v>1</v>
      </c>
      <c r="E130">
        <f ca="1" t="shared" si="23"/>
        <v>0</v>
      </c>
      <c r="G130">
        <f ca="1" t="shared" si="24"/>
        <v>0</v>
      </c>
      <c r="H130">
        <f ca="1">IF(B130&lt;&gt;"",IF(AND(COUNTIF(B129,"*轻*莺鸣柳*")&gt;0,COUNTIF(B130,"*轻*")&lt;1),MAX(0,15+I129-(A130-A129)+COUNTIF(B129,"*平湖*")*0),IF(AND(E130=0,MAX(0,H129-(A130-A129))&lt;=加速!$H$11),0,MAX(0,H129-(A130-A129)))),"")</f>
        <v>0</v>
      </c>
      <c r="I130">
        <f ca="1" t="shared" si="30"/>
        <v>0</v>
      </c>
      <c r="J130">
        <f ca="1" t="shared" si="31"/>
        <v>2</v>
      </c>
      <c r="K130">
        <f ca="1" t="shared" ref="K130:K193" si="36">IF(A130&lt;&gt;"",INDEX(AU130:CB130,1,$AT$2),"")</f>
        <v>2</v>
      </c>
      <c r="L130">
        <f ca="1">IFERROR(IF(AND(COUNTIF(B130,"*-峰插*"),技能数据库!$M$72&gt;0),0,IF(COUNTIF(B130,"*鹤归*")&gt;0,16-加速!$L$11,MAX(0,L129-(A130-A129)))),0)</f>
        <v>10.84</v>
      </c>
      <c r="M130">
        <f ca="1" t="shared" si="19"/>
        <v>0</v>
      </c>
      <c r="N130">
        <f ca="1">IFERROR(IF(AND(COUNTIF(B130,"*-峰插*"),技能数据库!$M$72&gt;0),0,IF(COUNTIF(B130,"*云飞*")&gt;0,4-COUNTIF(B130,"*玉山揽云*")*4--COUNTIF(B130,"*烟流暮景*")*4-COUNTIF(B130,"*云景*")*加速!$L$11-IF(J130&gt;0,2,0),MAX(0,N129-(A130-A129)-IF(J130&gt;0,2,0)))),0)</f>
        <v>2</v>
      </c>
      <c r="O130">
        <f ca="1">IF(AND(COUNTIF(IF(AND(配装计算器!$K$30&lt;&gt;"∞",0),INDEX(AU129:CB129,1,$AT$1),INDEX(AU131:CB131,1,$AT$1)),"*云飞*")=1,COUNTIF(IF(AND(配装计算器!$K$30&lt;&gt;"∞",0),INDEX(AU129:CB129,1,$AT$1),INDEX(AU131:CB131,1,$AT$1)),"*玉山*")=0),N130,0)</f>
        <v>0</v>
      </c>
      <c r="P130">
        <f ca="1">IFERROR(IF(COUNTIF(B130,"*云栖松*")&gt;0,50-加速!$L$11,MAX(0,P129-(A130-A129))),0)</f>
        <v>0</v>
      </c>
      <c r="Q130">
        <f ca="1">IF(COUNTIF(IF(AND(配装计算器!$K$30&lt;&gt;"∞",0),INDEX(AU129:CB129,1,$AT$1),INDEX(AU131:CB131,1,$AT$1)),"*云栖松*")=1,P130,0)</f>
        <v>0</v>
      </c>
      <c r="R130">
        <f ca="1">IFERROR(IF(COUNTIF(B130,"*莺鸣柳*")&gt;0,45-加速!$L$9,MAX(0,R129-(A130-A129))),0)</f>
        <v>0</v>
      </c>
      <c r="S130">
        <f ca="1">IF(COUNTIF(IF(AND(配装计算器!$K$30&lt;&gt;"∞",0),INDEX(AU129:CB129,1,$AT$1),INDEX(AU131:CB131,1,$AT$1)),"*莺鸣柳*")=1,R130,0)</f>
        <v>0</v>
      </c>
      <c r="T130">
        <f ca="1" t="shared" si="27"/>
        <v>0</v>
      </c>
      <c r="U130">
        <f ca="1">IF(金蛇,IF(COUNTIF(B130,"*金环戴*")+COUNTIF(B130,"*吹风醒*")&gt;0,IF(A130&lt;=3,7.125-2.625-A130-加速!$L$11,7.125+加速!$K$9-(A130+加速!$L$11-T130)),0),0)+IF(金蛇,IF(COUNTIF(B130,"*千切子裂光*")&gt;0,2+加速!$K$9-(A130+加速!$L$11-T130),0),0)</f>
        <v>0</v>
      </c>
      <c r="V130">
        <f ca="1" t="shared" si="28"/>
        <v>0</v>
      </c>
      <c r="W130">
        <f ca="1" t="shared" si="20"/>
        <v>0</v>
      </c>
      <c r="X130">
        <f ca="1">INDEX(加速!$I$13:$I$21,W130+1)</f>
        <v>0</v>
      </c>
      <c r="Y130">
        <f ca="1" t="shared" si="29"/>
        <v>0.5</v>
      </c>
      <c r="Z130">
        <f ca="1" t="shared" si="25"/>
        <v>0</v>
      </c>
      <c r="AA130">
        <f ca="1">MAX(0,IFERROR(IF(COUNTIF(B130,"*叠*")&gt;0,IF(AC129&lt;3,8-A131+A130,AA129+6.875-A131+A130),AA129-A131+A130),AA129-加速!$L$11))</f>
        <v>1.97500000000008</v>
      </c>
      <c r="AB130">
        <f ca="1">MAX(0,IF(COUNTIF(IF(AND(配装计算器!$K$30&lt;&gt;"∞",0),INDEX(AU130:CB130,1,$AT$1),INDEX(AU130:CB130,1,$AT$1)),"*叠1*")=1,4*25-加速!$L$11,AB129-A130+A129)-IF(OR(COUNTIF(OFFSET(AT130,0,$AT$1,1,1),"*听雷*")&gt;0,AND(碧归&gt;0,COUNTIF(OFFSET(AT130,0,$AT$1,1,1),"*风来*")&gt;0)),0,1)*1.5)</f>
        <v>60.9400000000001</v>
      </c>
      <c r="AC130">
        <f ca="1" t="shared" si="21"/>
        <v>3</v>
      </c>
      <c r="AD130">
        <f ca="1">IF(COUNTIF(IF(AND(配装计算器!$K$30&lt;&gt;"∞",0),INDEX(AU130:CB130,1,$AT$1),INDEX(AU131:CB131,1,$AT$1)),"*叠1*")=1,AB130*0+AE129,0)</f>
        <v>0</v>
      </c>
      <c r="AE130">
        <f ca="1">IF($AN$11&gt;0,IF(COUNTIF(B131,"*叠1*")&gt;0,50-加速!$L$11,MAX(0,AE129-(A131-A130))),0)</f>
        <v>30.6500000000001</v>
      </c>
      <c r="AG130">
        <f ca="1" t="shared" si="22"/>
        <v>4</v>
      </c>
      <c r="AH130" t="s">
        <v>1825</v>
      </c>
      <c r="AI130" t="s">
        <v>2780</v>
      </c>
      <c r="AJ130">
        <f ca="1">AJ129</f>
        <v>0</v>
      </c>
      <c r="AK130" t="s">
        <v>3046</v>
      </c>
      <c r="AU130" t="str">
        <f>IF($AN$11=1,"云飞玉皇-玉山揽云","云飞玉皇")</f>
        <v>云飞玉皇-玉山揽云</v>
      </c>
      <c r="AV130">
        <v>2</v>
      </c>
      <c r="AW130" t="s">
        <v>2768</v>
      </c>
      <c r="AX130">
        <v>2</v>
      </c>
      <c r="AY130" t="s">
        <v>2768</v>
      </c>
      <c r="AZ130">
        <v>2</v>
      </c>
      <c r="BA130" t="s">
        <v>2794</v>
      </c>
      <c r="BB130">
        <v>2</v>
      </c>
      <c r="BC130" s="176" t="s">
        <v>3026</v>
      </c>
      <c r="BD130">
        <v>2</v>
      </c>
      <c r="BE130" t="s">
        <v>2776</v>
      </c>
      <c r="BF130">
        <v>0</v>
      </c>
      <c r="BG130" t="s">
        <v>2768</v>
      </c>
      <c r="BH130">
        <v>1</v>
      </c>
      <c r="BI130" t="s">
        <v>2776</v>
      </c>
      <c r="BJ130">
        <v>2</v>
      </c>
      <c r="BK130" s="176" t="s">
        <v>2794</v>
      </c>
      <c r="BL130">
        <v>2</v>
      </c>
      <c r="BM130" t="s">
        <v>1886</v>
      </c>
      <c r="BN130">
        <v>2</v>
      </c>
      <c r="BO130" t="str">
        <f>IF(秋,"夕照雷峰","云飞玉皇")</f>
        <v>云飞玉皇</v>
      </c>
      <c r="BP130">
        <v>2</v>
      </c>
      <c r="BQ130" t="s">
        <v>2768</v>
      </c>
      <c r="BR130">
        <v>2</v>
      </c>
      <c r="BS130" s="176" t="s">
        <v>2768</v>
      </c>
      <c r="BT130">
        <v>2</v>
      </c>
      <c r="BU130" s="176" t="s">
        <v>2776</v>
      </c>
      <c r="BV130">
        <v>2</v>
      </c>
      <c r="BW130" s="182" t="s">
        <v>2850</v>
      </c>
      <c r="BX130" s="179">
        <v>2</v>
      </c>
      <c r="BY130" t="s">
        <v>1886</v>
      </c>
      <c r="BZ130">
        <v>2</v>
      </c>
      <c r="CA130" s="176" t="s">
        <v>2768</v>
      </c>
      <c r="CB130">
        <v>2</v>
      </c>
    </row>
    <row r="131" spans="1:80">
      <c r="A131" s="178">
        <f ca="1">IFERROR(IF(AG130&lt;5+金蛇*2,IF(COUNTIF(B130,"*轻*")&gt;0,A130+加速!$L$9,A130+加速!$L$11)+V130,""),"")</f>
        <v>168.06</v>
      </c>
      <c r="B131" s="167" t="str">
        <f ca="1" t="shared" si="35"/>
        <v>夕照雷峰</v>
      </c>
      <c r="C131">
        <f ca="1" t="shared" si="26"/>
        <v>15</v>
      </c>
      <c r="D131">
        <f ca="1">IF(B131&lt;&gt;"",IF(C130&lt;=加速!$L$11*(1-E131),0,1),"")</f>
        <v>1</v>
      </c>
      <c r="E131">
        <f ca="1" t="shared" si="23"/>
        <v>0</v>
      </c>
      <c r="G131">
        <f ca="1" t="shared" si="24"/>
        <v>0</v>
      </c>
      <c r="H131">
        <f ca="1">IF(B131&lt;&gt;"",IF(AND(COUNTIF(B130,"*轻*莺鸣柳*")&gt;0,COUNTIF(B131,"*轻*")&lt;1),MAX(0,15+I130-(A131-A130)+COUNTIF(B130,"*平湖*")*0),IF(AND(E131=0,MAX(0,H130-(A131-A130))&lt;=加速!$H$11),0,MAX(0,H130-(A131-A130)))),"")</f>
        <v>0</v>
      </c>
      <c r="I131">
        <f ca="1" t="shared" si="30"/>
        <v>0</v>
      </c>
      <c r="J131">
        <f ca="1" t="shared" si="31"/>
        <v>1</v>
      </c>
      <c r="K131">
        <f ca="1" t="shared" si="36"/>
        <v>2</v>
      </c>
      <c r="L131">
        <f ca="1">IFERROR(IF(AND(COUNTIF(B131,"*-峰插*"),技能数据库!$M$72&gt;0),0,IF(COUNTIF(B131,"*鹤归*")&gt;0,16-加速!$L$11,MAX(0,L130-(A131-A130)))),0)</f>
        <v>9.55000000000003</v>
      </c>
      <c r="M131">
        <f ca="1" t="shared" ref="M131:M194" si="37">IF(COUNTIF(INDEX(AU132:CB132,1,$AT$1),"*鹤归*")=1,L131,0)</f>
        <v>0</v>
      </c>
      <c r="N131">
        <f ca="1">IFERROR(IF(AND(COUNTIF(B131,"*-峰插*"),技能数据库!$M$72&gt;0),0,IF(COUNTIF(B131,"*云飞*")&gt;0,4-COUNTIF(B131,"*玉山揽云*")*4--COUNTIF(B131,"*烟流暮景*")*4-COUNTIF(B131,"*云景*")*加速!$L$11-IF(J131&gt;0,2,0),MAX(0,N130-(A131-A130)-IF(J131&gt;0,2,0)))),0)</f>
        <v>0</v>
      </c>
      <c r="O131">
        <f ca="1">IF(AND(COUNTIF(IF(AND(配装计算器!$K$30&lt;&gt;"∞",0),INDEX(AU130:CB130,1,$AT$1),INDEX(AU132:CB132,1,$AT$1)),"*云飞*")=1,COUNTIF(IF(AND(配装计算器!$K$30&lt;&gt;"∞",0),INDEX(AU130:CB130,1,$AT$1),INDEX(AU132:CB132,1,$AT$1)),"*玉山*")=0),N131,0)</f>
        <v>0</v>
      </c>
      <c r="P131">
        <f ca="1">IFERROR(IF(COUNTIF(B131,"*云栖松*")&gt;0,50-加速!$L$11,MAX(0,P130-(A131-A130))),0)</f>
        <v>0</v>
      </c>
      <c r="Q131">
        <f ca="1">IF(COUNTIF(IF(AND(配装计算器!$K$30&lt;&gt;"∞",0),INDEX(AU130:CB130,1,$AT$1),INDEX(AU132:CB132,1,$AT$1)),"*云栖松*")=1,P131,0)</f>
        <v>0</v>
      </c>
      <c r="R131">
        <f ca="1">IFERROR(IF(COUNTIF(B131,"*莺鸣柳*")&gt;0,45-加速!$L$9,MAX(0,R130-(A131-A130))),0)</f>
        <v>0</v>
      </c>
      <c r="S131">
        <f ca="1">IF(COUNTIF(IF(AND(配装计算器!$K$30&lt;&gt;"∞",0),INDEX(AU130:CB130,1,$AT$1),INDEX(AU132:CB132,1,$AT$1)),"*莺鸣柳*")=1,R131,0)</f>
        <v>0</v>
      </c>
      <c r="T131">
        <f ca="1" t="shared" si="27"/>
        <v>0</v>
      </c>
      <c r="U131">
        <f ca="1">IF(金蛇,IF(COUNTIF(B131,"*金环戴*")+COUNTIF(B131,"*吹风醒*")&gt;0,IF(A131&lt;=3,7.125-2.625-A131-加速!$L$11,7.125+加速!$K$9-(A131+加速!$L$11-T131)),0),0)+IF(金蛇,IF(COUNTIF(B131,"*千切子裂光*")&gt;0,2+加速!$K$9-(A131+加速!$L$11-T131),0),0)</f>
        <v>0</v>
      </c>
      <c r="V131">
        <f ca="1" t="shared" si="28"/>
        <v>0</v>
      </c>
      <c r="W131">
        <f ca="1" t="shared" ref="W131:W194" si="38">IF(COUNTIF(B131,"*风来吴山*")&gt;0,1,IF(W130+1&gt;风车GCD,0,IF(W130&gt;0,W130+1,0)))</f>
        <v>0</v>
      </c>
      <c r="X131">
        <f ca="1">INDEX(加速!$I$13:$I$21,W131+1)</f>
        <v>0</v>
      </c>
      <c r="Y131">
        <f ca="1" t="shared" si="29"/>
        <v>0.5</v>
      </c>
      <c r="Z131">
        <f ca="1" t="shared" si="25"/>
        <v>0</v>
      </c>
      <c r="AA131">
        <f ca="1">MAX(0,IFERROR(IF(COUNTIF(B131,"*叠*")&gt;0,IF(AC130&lt;3,8-A132+A131,AA130+6.875-A132+A131),AA130-A132+A131),AA130-加速!$L$11))</f>
        <v>0.685000000000088</v>
      </c>
      <c r="AB131">
        <f ca="1">MAX(0,IF(COUNTIF(IF(AND(配装计算器!$K$30&lt;&gt;"∞",0),INDEX(AU131:CB131,1,$AT$1),INDEX(AU131:CB131,1,$AT$1)),"*叠1*")=1,4*25-加速!$L$11,AB130-A131+A130)-IF(OR(COUNTIF(OFFSET(AT131,0,$AT$1,1,1),"*听雷*")&gt;0,AND(碧归&gt;0,COUNTIF(OFFSET(AT131,0,$AT$1,1,1),"*风来*")&gt;0)),0,1)*1.5)</f>
        <v>58.1500000000001</v>
      </c>
      <c r="AC131">
        <f ca="1" t="shared" ref="AC131:AC194" si="39">IF(AND(AA131=0,E131=0),0,IF(AND(COUNTIF(B131,"*叠*")&gt;0,OR(AA130=0,AA130&gt;=5)),AC130+1,AC130))</f>
        <v>3</v>
      </c>
      <c r="AD131">
        <f ca="1">IF(COUNTIF(IF(AND(配装计算器!$K$30&lt;&gt;"∞",0),INDEX(AU131:CB131,1,$AT$1),INDEX(AU132:CB132,1,$AT$1)),"*叠1*")=1,AB131*0+AE130,0)</f>
        <v>0</v>
      </c>
      <c r="AE131">
        <f ca="1">IF($AN$11&gt;0,IF(COUNTIF(B132,"*叠1*")&gt;0,50-加速!$L$11,MAX(0,AE130-(A132-A131))),0)</f>
        <v>29.3600000000001</v>
      </c>
      <c r="AG131">
        <f ca="1" t="shared" ref="AG131:AG194" si="40">COUNTIF(INDEX(AU132:CB132,1,$AT$1),"*莺鸣柳*")+COUNTIF(INDEX(AU132:CB132,1,$AT$1),"*叠1*")+AG130</f>
        <v>4</v>
      </c>
      <c r="AH131" t="s">
        <v>1825</v>
      </c>
      <c r="AI131" s="161" t="s">
        <v>2783</v>
      </c>
      <c r="AJ131">
        <f ca="1">AJ129</f>
        <v>0</v>
      </c>
      <c r="AU131" t="str">
        <f>IF($AN$11=1,"云飞玉皇-玉山揽云","夕照雷峰")</f>
        <v>云飞玉皇-玉山揽云</v>
      </c>
      <c r="AV131">
        <v>2</v>
      </c>
      <c r="AW131" t="s">
        <v>2768</v>
      </c>
      <c r="AX131">
        <v>2</v>
      </c>
      <c r="AY131" t="s">
        <v>2794</v>
      </c>
      <c r="AZ131">
        <v>2</v>
      </c>
      <c r="BA131" t="s">
        <v>2768</v>
      </c>
      <c r="BB131">
        <v>2</v>
      </c>
      <c r="BC131" t="s">
        <v>3013</v>
      </c>
      <c r="BD131">
        <v>2</v>
      </c>
      <c r="BE131" t="s">
        <v>2768</v>
      </c>
      <c r="BF131">
        <v>1</v>
      </c>
      <c r="BG131" s="176" t="s">
        <v>2768</v>
      </c>
      <c r="BH131">
        <v>1</v>
      </c>
      <c r="BI131" t="s">
        <v>2768</v>
      </c>
      <c r="BJ131">
        <v>2</v>
      </c>
      <c r="BK131" s="176" t="s">
        <v>3019</v>
      </c>
      <c r="BL131">
        <v>2</v>
      </c>
      <c r="BM131" t="s">
        <v>2853</v>
      </c>
      <c r="BN131">
        <v>2</v>
      </c>
      <c r="BO131" s="176" t="str">
        <f>IF(秋,"梦泉虎跑-轻","夕照雷峰")</f>
        <v>夕照雷峰</v>
      </c>
      <c r="BP131">
        <v>2</v>
      </c>
      <c r="BQ131" t="s">
        <v>2776</v>
      </c>
      <c r="BR131">
        <v>1</v>
      </c>
      <c r="BS131" s="176" t="s">
        <v>2776</v>
      </c>
      <c r="BT131">
        <v>2</v>
      </c>
      <c r="BU131" t="s">
        <v>2768</v>
      </c>
      <c r="BV131">
        <v>1</v>
      </c>
      <c r="BW131" s="182" t="str">
        <f>IF(秋,"金环戴","吹风醒")</f>
        <v>吹风醒</v>
      </c>
      <c r="BX131" s="179">
        <v>2</v>
      </c>
      <c r="BY131" t="s">
        <v>2853</v>
      </c>
      <c r="BZ131">
        <v>2</v>
      </c>
      <c r="CA131" s="176" t="str">
        <f>IF(秋,"云飞玉皇","云飞玉皇·云景")</f>
        <v>云飞玉皇·云景</v>
      </c>
      <c r="CB131">
        <v>2</v>
      </c>
    </row>
    <row r="132" spans="1:80">
      <c r="A132" s="178">
        <f ca="1">IFERROR(IF(AG131&lt;5+金蛇*2,IF(COUNTIF(B131,"*轻*")&gt;0,A131+加速!$L$9,A131+加速!$L$11)+V131,""),"")</f>
        <v>169.35</v>
      </c>
      <c r="B132" s="167" t="str">
        <f ca="1" t="shared" si="35"/>
        <v>云景·云飞玉皇</v>
      </c>
      <c r="C132">
        <f ca="1" t="shared" si="26"/>
        <v>13.71</v>
      </c>
      <c r="D132">
        <f ca="1">IF(B132&lt;&gt;"",IF(C131&lt;=加速!$L$11*(1-E132),0,1),"")</f>
        <v>1</v>
      </c>
      <c r="E132">
        <f ca="1" t="shared" ref="E132:E195" si="41">IF(OR(COUNTIF(B132,"夕照雷峰*")&gt;0,COUNTIF(B132,"云飞玉皇*")&gt;0,COUNTIF(B132,"风来吴山*")&gt;0),COUNTIF(B132,"*云景*")+COUNTIF(B132,"*玉山揽云*")+COUNTIF(B132,"*烟流暮景*"),1)</f>
        <v>1</v>
      </c>
      <c r="G132">
        <f ca="1" t="shared" ref="G132:G195" si="42">IF(B132&lt;&gt;"",IF(AND(碧归&gt;0,COUNTIF(B131,"*风来吴山*")&gt;0),8,MAX(0,G131-COUNTIF(B132,"*云飞*")-COUNTIF(B132,"*鹤*")-COUNTIF(B132,"*夕*"))),"")</f>
        <v>0</v>
      </c>
      <c r="H132">
        <f ca="1">IF(B132&lt;&gt;"",IF(AND(COUNTIF(B131,"*轻*莺鸣柳*")&gt;0,COUNTIF(B132,"*轻*")&lt;1),MAX(0,15+I131-(A132-A131)+COUNTIF(B131,"*平湖*")*0),IF(AND(E132=0,MAX(0,H131-(A132-A131))&lt;=加速!$H$11),0,MAX(0,H131-(A132-A131)))),"")</f>
        <v>0</v>
      </c>
      <c r="I132">
        <f ca="1" t="shared" si="30"/>
        <v>0</v>
      </c>
      <c r="J132">
        <f ca="1" t="shared" si="31"/>
        <v>1</v>
      </c>
      <c r="K132">
        <f ca="1" t="shared" si="36"/>
        <v>2</v>
      </c>
      <c r="L132">
        <f ca="1">IFERROR(IF(AND(COUNTIF(B132,"*-峰插*"),技能数据库!$M$72&gt;0),0,IF(COUNTIF(B132,"*鹤归*")&gt;0,16-加速!$L$11,MAX(0,L131-(A132-A131)))),0)</f>
        <v>8.26000000000004</v>
      </c>
      <c r="M132">
        <f ca="1" t="shared" si="37"/>
        <v>0</v>
      </c>
      <c r="N132">
        <f ca="1">IFERROR(IF(AND(COUNTIF(B132,"*-峰插*"),技能数据库!$M$72&gt;0),0,IF(COUNTIF(B132,"*云飞*")&gt;0,4-COUNTIF(B132,"*玉山揽云*")*4--COUNTIF(B132,"*烟流暮景*")*4-COUNTIF(B132,"*云景*")*加速!$L$11-IF(J132&gt;0,2,0),MAX(0,N131-(A132-A131)-IF(J132&gt;0,2,0)))),0)</f>
        <v>0.71</v>
      </c>
      <c r="O132">
        <f ca="1">IF(AND(COUNTIF(IF(AND(配装计算器!$K$30&lt;&gt;"∞",0),INDEX(AU131:CB131,1,$AT$1),INDEX(AU133:CB133,1,$AT$1)),"*云飞*")=1,COUNTIF(IF(AND(配装计算器!$K$30&lt;&gt;"∞",0),INDEX(AU131:CB131,1,$AT$1),INDEX(AU133:CB133,1,$AT$1)),"*玉山*")=0),N132,0)</f>
        <v>0</v>
      </c>
      <c r="P132">
        <f ca="1">IFERROR(IF(COUNTIF(B132,"*云栖松*")&gt;0,50-加速!$L$11,MAX(0,P131-(A132-A131))),0)</f>
        <v>0</v>
      </c>
      <c r="Q132">
        <f ca="1">IF(COUNTIF(IF(AND(配装计算器!$K$30&lt;&gt;"∞",0),INDEX(AU131:CB131,1,$AT$1),INDEX(AU133:CB133,1,$AT$1)),"*云栖松*")=1,P132,0)</f>
        <v>0</v>
      </c>
      <c r="R132">
        <f ca="1">IFERROR(IF(COUNTIF(B132,"*莺鸣柳*")&gt;0,45-加速!$L$9,MAX(0,R131-(A132-A131))),0)</f>
        <v>0</v>
      </c>
      <c r="S132">
        <f ca="1">IF(COUNTIF(IF(AND(配装计算器!$K$30&lt;&gt;"∞",0),INDEX(AU131:CB131,1,$AT$1),INDEX(AU133:CB133,1,$AT$1)),"*莺鸣柳*")=1,R132,0)</f>
        <v>0</v>
      </c>
      <c r="T132">
        <f ca="1" t="shared" si="27"/>
        <v>0</v>
      </c>
      <c r="U132">
        <f ca="1">IF(金蛇,IF(COUNTIF(B132,"*金环戴*")+COUNTIF(B132,"*吹风醒*")&gt;0,IF(A132&lt;=3,7.125-2.625-A132-加速!$L$11,7.125+加速!$K$9-(A132+加速!$L$11-T132)),0),0)+IF(金蛇,IF(COUNTIF(B132,"*千切子裂光*")&gt;0,2+加速!$K$9-(A132+加速!$L$11-T132),0),0)</f>
        <v>0</v>
      </c>
      <c r="V132">
        <f ca="1" t="shared" si="28"/>
        <v>0</v>
      </c>
      <c r="W132">
        <f ca="1" t="shared" si="38"/>
        <v>0</v>
      </c>
      <c r="X132">
        <f ca="1">INDEX(加速!$I$13:$I$21,W132+1)</f>
        <v>0</v>
      </c>
      <c r="Y132">
        <f ca="1" t="shared" si="29"/>
        <v>0.5</v>
      </c>
      <c r="Z132">
        <f ca="1" t="shared" ref="Z132:Z195" si="43">IF(金蛇,IF(COUNTIF(B132,"*虎跑*")&gt;0,INT((A132-Y132)/3),0),0)</f>
        <v>0</v>
      </c>
      <c r="AA132">
        <f ca="1">MAX(0,IFERROR(IF(COUNTIF(B132,"*叠*")&gt;0,IF(AC131&lt;3,8-A133+A132,AA131+6.875-A133+A132),AA131-A133+A132),AA131-加速!$L$11))</f>
        <v>0</v>
      </c>
      <c r="AB132">
        <f ca="1">MAX(0,IF(COUNTIF(IF(AND(配装计算器!$K$30&lt;&gt;"∞",0),INDEX(AU132:CB132,1,$AT$1),INDEX(AU132:CB132,1,$AT$1)),"*叠1*")=1,4*25-加速!$L$11,AB131-A132+A131)-IF(OR(COUNTIF(OFFSET(AT132,0,$AT$1,1,1),"*听雷*")&gt;0,AND(碧归&gt;0,COUNTIF(OFFSET(AT132,0,$AT$1,1,1),"*风来*")&gt;0)),0,1)*1.5)</f>
        <v>55.3600000000001</v>
      </c>
      <c r="AC132">
        <f ca="1" t="shared" si="39"/>
        <v>3</v>
      </c>
      <c r="AD132">
        <f ca="1">IF(COUNTIF(IF(AND(配装计算器!$K$30&lt;&gt;"∞",0),INDEX(AU132:CB132,1,$AT$1),INDEX(AU133:CB133,1,$AT$1)),"*叠1*")=1,AB132*0+AE131,0)</f>
        <v>0</v>
      </c>
      <c r="AE132">
        <f ca="1">IF($AN$11&gt;0,IF(COUNTIF(B133,"*叠1*")&gt;0,50-加速!$L$11,MAX(0,AE131-(A133-A132))),0)</f>
        <v>28.0700000000001</v>
      </c>
      <c r="AG132">
        <f ca="1" t="shared" si="40"/>
        <v>4</v>
      </c>
      <c r="AH132" t="s">
        <v>1825</v>
      </c>
      <c r="AI132" t="s">
        <v>2786</v>
      </c>
      <c r="AJ132">
        <f ca="1">AJ129</f>
        <v>0</v>
      </c>
      <c r="AU132" t="str">
        <f>IF($AN$11=1,橙武补雾锁,"夕照雷峰")</f>
        <v>云飞玉皇-玉山揽云</v>
      </c>
      <c r="AV132">
        <v>2</v>
      </c>
      <c r="AW132" t="s">
        <v>2776</v>
      </c>
      <c r="AX132">
        <v>2</v>
      </c>
      <c r="AY132" t="s">
        <v>2768</v>
      </c>
      <c r="AZ132">
        <v>2</v>
      </c>
      <c r="BA132" t="s">
        <v>2776</v>
      </c>
      <c r="BB132">
        <v>2</v>
      </c>
      <c r="BC132" t="s">
        <v>2808</v>
      </c>
      <c r="BD132">
        <v>2</v>
      </c>
      <c r="BE132" t="s">
        <v>2768</v>
      </c>
      <c r="BF132">
        <v>1</v>
      </c>
      <c r="BG132" t="s">
        <v>3055</v>
      </c>
      <c r="BH132">
        <v>0</v>
      </c>
      <c r="BI132" t="s">
        <v>2808</v>
      </c>
      <c r="BJ132">
        <v>2</v>
      </c>
      <c r="BK132" t="s">
        <v>2768</v>
      </c>
      <c r="BL132">
        <v>2</v>
      </c>
      <c r="BM132" s="176" t="s">
        <v>2850</v>
      </c>
      <c r="BN132">
        <f>IF(0,2,0)</f>
        <v>0</v>
      </c>
      <c r="BO132" s="176" t="str">
        <f>IF(秋,"九溪弥烟-轻-血毒金蛇锥","梦泉虎跑-轻")</f>
        <v>梦泉虎跑-轻</v>
      </c>
      <c r="BP132">
        <v>0</v>
      </c>
      <c r="BQ132" t="s">
        <v>3055</v>
      </c>
      <c r="BR132">
        <v>2</v>
      </c>
      <c r="BS132" s="176" t="s">
        <v>2768</v>
      </c>
      <c r="BT132">
        <v>2</v>
      </c>
      <c r="BU132" s="176" t="s">
        <v>2768</v>
      </c>
      <c r="BV132">
        <v>1</v>
      </c>
      <c r="BW132" s="182" t="s">
        <v>2768</v>
      </c>
      <c r="BX132" s="179">
        <v>2</v>
      </c>
      <c r="BY132" s="176" t="s">
        <v>2850</v>
      </c>
      <c r="BZ132">
        <f>IF(0,2,0)</f>
        <v>0</v>
      </c>
      <c r="CA132" t="str">
        <f>IF(0,"云飞玉皇","夕照雷峰")</f>
        <v>夕照雷峰</v>
      </c>
      <c r="CB132">
        <f>IF(0,2,2)</f>
        <v>2</v>
      </c>
    </row>
    <row r="133" spans="1:80">
      <c r="A133" s="178">
        <f ca="1">IFERROR(IF(AG132&lt;5+金蛇*2,IF(COUNTIF(B132,"*轻*")&gt;0,A132+加速!$L$9,A132+加速!$L$11)+V132,""),"")</f>
        <v>170.64</v>
      </c>
      <c r="B133" s="167" t="str">
        <f ca="1" t="shared" si="35"/>
        <v>夕照雷峰</v>
      </c>
      <c r="C133">
        <f ca="1" t="shared" ref="C133:C196" si="44">IFERROR(IF(COUNTIF(B133,"*夕照雷峰*")&gt;0,15,MAX(0,C132-(A133-A132))),"")</f>
        <v>15</v>
      </c>
      <c r="D133">
        <f ca="1">IF(B133&lt;&gt;"",IF(C132&lt;=加速!$L$11*(1-E133),0,1),"")</f>
        <v>1</v>
      </c>
      <c r="E133">
        <f ca="1" t="shared" si="41"/>
        <v>0</v>
      </c>
      <c r="G133">
        <f ca="1" t="shared" si="42"/>
        <v>0</v>
      </c>
      <c r="H133">
        <f ca="1">IF(B133&lt;&gt;"",IF(AND(COUNTIF(B132,"*轻*莺鸣柳*")&gt;0,COUNTIF(B133,"*轻*")&lt;1),MAX(0,15+I132-(A133-A132)+COUNTIF(B132,"*平湖*")*0),IF(AND(E133=0,MAX(0,H132-(A133-A132))&lt;=加速!$H$11),0,MAX(0,H132-(A133-A132)))),"")</f>
        <v>0</v>
      </c>
      <c r="I133">
        <f ca="1" t="shared" si="30"/>
        <v>0</v>
      </c>
      <c r="J133">
        <f ca="1" t="shared" si="31"/>
        <v>0</v>
      </c>
      <c r="K133">
        <f ca="1" t="shared" si="36"/>
        <v>2</v>
      </c>
      <c r="L133">
        <f ca="1">IFERROR(IF(AND(COUNTIF(B133,"*-峰插*"),技能数据库!$M$72&gt;0),0,IF(COUNTIF(B133,"*鹤归*")&gt;0,16-加速!$L$11,MAX(0,L132-(A133-A132)))),0)</f>
        <v>6.97000000000005</v>
      </c>
      <c r="M133">
        <f ca="1" t="shared" si="37"/>
        <v>0</v>
      </c>
      <c r="N133">
        <f ca="1">IFERROR(IF(AND(COUNTIF(B133,"*-峰插*"),技能数据库!$M$72&gt;0),0,IF(COUNTIF(B133,"*云飞*")&gt;0,4-COUNTIF(B133,"*玉山揽云*")*4--COUNTIF(B133,"*烟流暮景*")*4-COUNTIF(B133,"*云景*")*加速!$L$11-IF(J133&gt;0,2,0),MAX(0,N132-(A133-A132)-IF(J133&gt;0,2,0)))),0)</f>
        <v>0</v>
      </c>
      <c r="O133">
        <f ca="1">IF(AND(COUNTIF(IF(AND(配装计算器!$K$30&lt;&gt;"∞",0),INDEX(AU132:CB132,1,$AT$1),INDEX(AU134:CB134,1,$AT$1)),"*云飞*")=1,COUNTIF(IF(AND(配装计算器!$K$30&lt;&gt;"∞",0),INDEX(AU132:CB132,1,$AT$1),INDEX(AU134:CB134,1,$AT$1)),"*玉山*")=0),N133,0)</f>
        <v>0</v>
      </c>
      <c r="P133">
        <f ca="1">IFERROR(IF(COUNTIF(B133,"*云栖松*")&gt;0,50-加速!$L$11,MAX(0,P132-(A133-A132))),0)</f>
        <v>0</v>
      </c>
      <c r="Q133">
        <f ca="1">IF(COUNTIF(IF(AND(配装计算器!$K$30&lt;&gt;"∞",0),INDEX(AU132:CB132,1,$AT$1),INDEX(AU134:CB134,1,$AT$1)),"*云栖松*")=1,P133,0)</f>
        <v>0</v>
      </c>
      <c r="R133">
        <f ca="1">IFERROR(IF(COUNTIF(B133,"*莺鸣柳*")&gt;0,45-加速!$L$9,MAX(0,R132-(A133-A132))),0)</f>
        <v>0</v>
      </c>
      <c r="S133">
        <f ca="1">IF(COUNTIF(IF(AND(配装计算器!$K$30&lt;&gt;"∞",0),INDEX(AU132:CB132,1,$AT$1),INDEX(AU134:CB134,1,$AT$1)),"*莺鸣柳*")=1,R133,0)</f>
        <v>0</v>
      </c>
      <c r="T133">
        <f ca="1" t="shared" ref="T133:T196" si="45">IF(COUNTIF(B133,"*岚尘金蛇*")+COUNTIF(B133,"*千切子寒光*")&gt;0,A133,T132)</f>
        <v>0</v>
      </c>
      <c r="U133">
        <f ca="1">IF(金蛇,IF(COUNTIF(B133,"*金环戴*")+COUNTIF(B133,"*吹风醒*")&gt;0,IF(A133&lt;=3,7.125-2.625-A133-加速!$L$11,7.125+加速!$K$9-(A133+加速!$L$11-T133)),0),0)+IF(金蛇,IF(COUNTIF(B133,"*千切子裂光*")&gt;0,2+加速!$K$9-(A133+加速!$L$11-T133),0),0)</f>
        <v>0</v>
      </c>
      <c r="V133">
        <f ca="1" t="shared" ref="V133:V196" si="46">MAX(0,M133+O133+Q133+S133+AD133)+U133</f>
        <v>0</v>
      </c>
      <c r="W133">
        <f ca="1" t="shared" si="38"/>
        <v>0</v>
      </c>
      <c r="X133">
        <f ca="1">INDEX(加速!$I$13:$I$21,W133+1)</f>
        <v>0</v>
      </c>
      <c r="Y133">
        <f ca="1" t="shared" ref="Y133:Y196" si="47">IF(COUNTIF(B133,"*岚尘金蛇*"),A133+2.6125+0.5,Y132)</f>
        <v>0.5</v>
      </c>
      <c r="Z133">
        <f ca="1" t="shared" si="43"/>
        <v>0</v>
      </c>
      <c r="AA133">
        <f ca="1">MAX(0,IFERROR(IF(COUNTIF(B133,"*叠*")&gt;0,IF(AC132&lt;3,8-A134+A133,AA132+6.875-A134+A133),AA132-A134+A133),AA132-加速!$L$11))</f>
        <v>0</v>
      </c>
      <c r="AB133">
        <f ca="1">MAX(0,IF(COUNTIF(IF(AND(配装计算器!$K$30&lt;&gt;"∞",0),INDEX(AU133:CB133,1,$AT$1),INDEX(AU133:CB133,1,$AT$1)),"*叠1*")=1,4*25-加速!$L$11,AB132-A133+A132)-IF(OR(COUNTIF(OFFSET(AT133,0,$AT$1,1,1),"*听雷*")&gt;0,AND(碧归&gt;0,COUNTIF(OFFSET(AT133,0,$AT$1,1,1),"*风来*")&gt;0)),0,1)*1.5)</f>
        <v>52.5700000000001</v>
      </c>
      <c r="AC133">
        <f ca="1" t="shared" si="39"/>
        <v>0</v>
      </c>
      <c r="AD133">
        <f ca="1">IF(COUNTIF(IF(AND(配装计算器!$K$30&lt;&gt;"∞",0),INDEX(AU133:CB133,1,$AT$1),INDEX(AU134:CB134,1,$AT$1)),"*叠1*")=1,AB133*0+AE132,0)</f>
        <v>0</v>
      </c>
      <c r="AE133">
        <f ca="1">IF($AN$11&gt;0,IF(COUNTIF(B134,"*叠1*")&gt;0,50-加速!$L$11,MAX(0,AE132-(A134-A133))),0)</f>
        <v>26.7800000000001</v>
      </c>
      <c r="AG133">
        <f ca="1" t="shared" si="40"/>
        <v>4</v>
      </c>
      <c r="AH133" t="s">
        <v>1825</v>
      </c>
      <c r="AI133" t="s">
        <v>2794</v>
      </c>
      <c r="AJ133">
        <f ca="1">循环比*COUNTIFS($B$3:$B$515,"*"&amp;AI133&amp;"*",$D$3:$D$515,"&gt;0",$H$3:$H$515,"=0",$G$3:$G$515,"&gt;0",$AC$3:$AC$515,"=0")</f>
        <v>0</v>
      </c>
      <c r="AK133" t="s">
        <v>3104</v>
      </c>
      <c r="AU133" t="str">
        <f>IF($AN$11=1,"云飞玉皇-玉山揽云","夕照雷峰")</f>
        <v>云飞玉皇-玉山揽云</v>
      </c>
      <c r="AV133">
        <v>2</v>
      </c>
      <c r="AW133" t="s">
        <v>2768</v>
      </c>
      <c r="AX133">
        <v>2</v>
      </c>
      <c r="AY133" t="s">
        <v>2776</v>
      </c>
      <c r="AZ133">
        <v>2</v>
      </c>
      <c r="BA133" t="s">
        <v>2768</v>
      </c>
      <c r="BB133">
        <v>2</v>
      </c>
      <c r="BC133" t="s">
        <v>2768</v>
      </c>
      <c r="BD133">
        <v>2</v>
      </c>
      <c r="BE133" t="s">
        <v>2794</v>
      </c>
      <c r="BF133">
        <v>0</v>
      </c>
      <c r="BG133" t="s">
        <v>2776</v>
      </c>
      <c r="BH133">
        <v>2</v>
      </c>
      <c r="BI133" t="s">
        <v>2768</v>
      </c>
      <c r="BJ133">
        <v>2</v>
      </c>
      <c r="BK133" t="s">
        <v>3023</v>
      </c>
      <c r="BL133">
        <v>2</v>
      </c>
      <c r="BM133" s="176" t="str">
        <f>IF(秋,"金环戴","吹风醒")</f>
        <v>吹风醒</v>
      </c>
      <c r="BN133">
        <v>2</v>
      </c>
      <c r="BO133" t="s">
        <v>3009</v>
      </c>
      <c r="BP133">
        <v>2</v>
      </c>
      <c r="BQ133" t="s">
        <v>2768</v>
      </c>
      <c r="BR133">
        <v>2</v>
      </c>
      <c r="BS133" s="176" t="s">
        <v>2794</v>
      </c>
      <c r="BT133">
        <v>2</v>
      </c>
      <c r="BU133" t="s">
        <v>3055</v>
      </c>
      <c r="BV133">
        <v>0</v>
      </c>
      <c r="BW133" s="182" t="str">
        <f>IF(秋,"云飞玉皇","云飞玉皇·云景")</f>
        <v>云飞玉皇·云景</v>
      </c>
      <c r="BX133" s="179">
        <v>2</v>
      </c>
      <c r="BY133" s="176" t="str">
        <f>IF(秋,"金环戴","吹风醒")</f>
        <v>吹风醒</v>
      </c>
      <c r="BZ133">
        <v>2</v>
      </c>
      <c r="CA133" t="str">
        <f>IF(0,"云飞玉皇","夕照雷峰")</f>
        <v>夕照雷峰</v>
      </c>
      <c r="CB133">
        <v>2</v>
      </c>
    </row>
    <row r="134" spans="1:80">
      <c r="A134" s="178">
        <f ca="1">IFERROR(IF(AG133&lt;5+金蛇*2,IF(COUNTIF(B133,"*轻*")&gt;0,A133+加速!$L$9,A133+加速!$L$11)+V133,""),"")</f>
        <v>171.93</v>
      </c>
      <c r="B134" s="167" t="str">
        <f ca="1" t="shared" si="35"/>
        <v>云飞玉皇</v>
      </c>
      <c r="C134">
        <f ca="1" t="shared" si="44"/>
        <v>13.71</v>
      </c>
      <c r="D134">
        <f ca="1">IF(B134&lt;&gt;"",IF(C133&lt;=加速!$L$11*(1-E134),0,1),"")</f>
        <v>1</v>
      </c>
      <c r="E134">
        <f ca="1" t="shared" si="41"/>
        <v>0</v>
      </c>
      <c r="G134">
        <f ca="1" t="shared" si="42"/>
        <v>0</v>
      </c>
      <c r="H134">
        <f ca="1">IF(B134&lt;&gt;"",IF(AND(COUNTIF(B133,"*轻*莺鸣柳*")&gt;0,COUNTIF(B134,"*轻*")&lt;1),MAX(0,15+I133-(A134-A133)+COUNTIF(B133,"*平湖*")*0),IF(AND(E134=0,MAX(0,H133-(A134-A133))&lt;=加速!$H$11),0,MAX(0,H133-(A134-A133)))),"")</f>
        <v>0</v>
      </c>
      <c r="I134">
        <f ca="1" t="shared" ref="I134:I197" si="48">IF(B134&lt;&gt;"",IF(COUNTIF(B134,"*轻*")&lt;1,0,IF(COUNTIF(B134,"*莺鸣*")&gt;0,8,MAX(0,I133-(A134-A133)))),"")</f>
        <v>0</v>
      </c>
      <c r="J134">
        <f ca="1" t="shared" ref="J134:J197" si="49">IF(B134&lt;&gt;"",IF(AND(J133=1,OR(AND(COUNTIF(B134,"*云景*")&gt;0,COUNTIF(B129:B133,"*鹤归*")&gt;0),AND(落剑5=1,COUNTIF(B129:B133,"*鹤归*")&gt;0))),1,IF(COUNTIF(B133,"*鹤归*")&gt;0,4+_666三听,MAX(J133-1,0))),"")</f>
        <v>0</v>
      </c>
      <c r="K134">
        <f ca="1" t="shared" si="36"/>
        <v>2</v>
      </c>
      <c r="L134">
        <f ca="1">IFERROR(IF(AND(COUNTIF(B134,"*-峰插*"),技能数据库!$M$72&gt;0),0,IF(COUNTIF(B134,"*鹤归*")&gt;0,16-加速!$L$11,MAX(0,L133-(A134-A133)))),0)</f>
        <v>5.68000000000006</v>
      </c>
      <c r="M134">
        <f ca="1" t="shared" si="37"/>
        <v>0</v>
      </c>
      <c r="N134">
        <f ca="1">IFERROR(IF(AND(COUNTIF(B134,"*-峰插*"),技能数据库!$M$72&gt;0),0,IF(COUNTIF(B134,"*云飞*")&gt;0,4-COUNTIF(B134,"*玉山揽云*")*4--COUNTIF(B134,"*烟流暮景*")*4-COUNTIF(B134,"*云景*")*加速!$L$11-IF(J134&gt;0,2,0),MAX(0,N133-(A134-A133)-IF(J134&gt;0,2,0)))),0)</f>
        <v>4</v>
      </c>
      <c r="O134">
        <f ca="1">IF(AND(COUNTIF(IF(AND(配装计算器!$K$30&lt;&gt;"∞",0),INDEX(AU133:CB133,1,$AT$1),INDEX(AU135:CB135,1,$AT$1)),"*云飞*")=1,COUNTIF(IF(AND(配装计算器!$K$30&lt;&gt;"∞",0),INDEX(AU133:CB133,1,$AT$1),INDEX(AU135:CB135,1,$AT$1)),"*玉山*")=0),N134,0)</f>
        <v>0</v>
      </c>
      <c r="P134">
        <f ca="1">IFERROR(IF(COUNTIF(B134,"*云栖松*")&gt;0,50-加速!$L$11,MAX(0,P133-(A134-A133))),0)</f>
        <v>0</v>
      </c>
      <c r="Q134">
        <f ca="1">IF(COUNTIF(IF(AND(配装计算器!$K$30&lt;&gt;"∞",0),INDEX(AU133:CB133,1,$AT$1),INDEX(AU135:CB135,1,$AT$1)),"*云栖松*")=1,P134,0)</f>
        <v>0</v>
      </c>
      <c r="R134">
        <f ca="1">IFERROR(IF(COUNTIF(B134,"*莺鸣柳*")&gt;0,45-加速!$L$9,MAX(0,R133-(A134-A133))),0)</f>
        <v>0</v>
      </c>
      <c r="S134">
        <f ca="1">IF(COUNTIF(IF(AND(配装计算器!$K$30&lt;&gt;"∞",0),INDEX(AU133:CB133,1,$AT$1),INDEX(AU135:CB135,1,$AT$1)),"*莺鸣柳*")=1,R134,0)</f>
        <v>0</v>
      </c>
      <c r="T134">
        <f ca="1" t="shared" si="45"/>
        <v>0</v>
      </c>
      <c r="U134">
        <f ca="1">IF(金蛇,IF(COUNTIF(B134,"*金环戴*")+COUNTIF(B134,"*吹风醒*")&gt;0,IF(A134&lt;=3,7.125-2.625-A134-加速!$L$11,7.125+加速!$K$9-(A134+加速!$L$11-T134)),0),0)+IF(金蛇,IF(COUNTIF(B134,"*千切子裂光*")&gt;0,2+加速!$K$9-(A134+加速!$L$11-T134),0),0)</f>
        <v>0</v>
      </c>
      <c r="V134">
        <f ca="1" t="shared" si="46"/>
        <v>0</v>
      </c>
      <c r="W134">
        <f ca="1" t="shared" si="38"/>
        <v>0</v>
      </c>
      <c r="X134">
        <f ca="1">INDEX(加速!$I$13:$I$21,W134+1)</f>
        <v>0</v>
      </c>
      <c r="Y134">
        <f ca="1" t="shared" si="47"/>
        <v>0.5</v>
      </c>
      <c r="Z134">
        <f ca="1" t="shared" si="43"/>
        <v>0</v>
      </c>
      <c r="AA134">
        <f ca="1">MAX(0,IFERROR(IF(COUNTIF(B134,"*叠*")&gt;0,IF(AC133&lt;3,8-A135+A134,AA133+6.875-A135+A134),AA133-A135+A134),AA133-加速!$L$11))</f>
        <v>0</v>
      </c>
      <c r="AB134">
        <f ca="1">MAX(0,IF(COUNTIF(IF(AND(配装计算器!$K$30&lt;&gt;"∞",0),INDEX(AU134:CB134,1,$AT$1),INDEX(AU134:CB134,1,$AT$1)),"*叠1*")=1,4*25-加速!$L$11,AB133-A134+A133)-IF(OR(COUNTIF(OFFSET(AT134,0,$AT$1,1,1),"*听雷*")&gt;0,AND(碧归&gt;0,COUNTIF(OFFSET(AT134,0,$AT$1,1,1),"*风来*")&gt;0)),0,1)*1.5)</f>
        <v>49.7800000000001</v>
      </c>
      <c r="AC134">
        <f ca="1" t="shared" si="39"/>
        <v>0</v>
      </c>
      <c r="AD134">
        <f ca="1">IF(COUNTIF(IF(AND(配装计算器!$K$30&lt;&gt;"∞",0),INDEX(AU134:CB134,1,$AT$1),INDEX(AU135:CB135,1,$AT$1)),"*叠1*")=1,AB134*0+AE133,0)</f>
        <v>0</v>
      </c>
      <c r="AE134">
        <f ca="1">IF($AN$11&gt;0,IF(COUNTIF(B135,"*叠1*")&gt;0,50-加速!$L$11,MAX(0,AE133-(A135-A134))),0)</f>
        <v>25.4900000000001</v>
      </c>
      <c r="AG134">
        <f ca="1" t="shared" si="40"/>
        <v>4</v>
      </c>
      <c r="AH134" t="s">
        <v>1825</v>
      </c>
      <c r="AI134" t="s">
        <v>2798</v>
      </c>
      <c r="AJ134">
        <f ca="1">AJ133</f>
        <v>0</v>
      </c>
      <c r="AK134" t="s">
        <v>3104</v>
      </c>
      <c r="AU134" t="s">
        <v>2776</v>
      </c>
      <c r="AV134">
        <v>2</v>
      </c>
      <c r="AW134" t="s">
        <v>2768</v>
      </c>
      <c r="AX134">
        <v>2</v>
      </c>
      <c r="AY134" t="s">
        <v>2768</v>
      </c>
      <c r="AZ134">
        <v>2</v>
      </c>
      <c r="BA134" t="s">
        <v>2776</v>
      </c>
      <c r="BB134">
        <v>2</v>
      </c>
      <c r="BC134" t="s">
        <v>2768</v>
      </c>
      <c r="BD134">
        <v>2</v>
      </c>
      <c r="BE134" t="s">
        <v>2776</v>
      </c>
      <c r="BF134">
        <v>0</v>
      </c>
      <c r="BG134" t="s">
        <v>2768</v>
      </c>
      <c r="BH134">
        <v>2</v>
      </c>
      <c r="BI134" s="176" t="s">
        <v>2776</v>
      </c>
      <c r="BJ134">
        <v>2</v>
      </c>
      <c r="BK134" t="s">
        <v>2768</v>
      </c>
      <c r="BL134">
        <v>2</v>
      </c>
      <c r="BM134" t="str">
        <f>IF(秋,"夕照雷峰","云飞玉皇")</f>
        <v>云飞玉皇</v>
      </c>
      <c r="BN134">
        <v>2</v>
      </c>
      <c r="BO134" s="176" t="str">
        <f>IF(秋,"云飞玉皇-蛇牙锥心","云飞玉皇-血毒金蛇锥")</f>
        <v>云飞玉皇-血毒金蛇锥</v>
      </c>
      <c r="BP134">
        <v>2</v>
      </c>
      <c r="BQ134" t="s">
        <v>2776</v>
      </c>
      <c r="BR134">
        <v>2</v>
      </c>
      <c r="BS134" t="s">
        <v>2768</v>
      </c>
      <c r="BT134">
        <v>2</v>
      </c>
      <c r="BU134" t="s">
        <v>2776</v>
      </c>
      <c r="BV134">
        <v>2</v>
      </c>
      <c r="BW134" s="179" t="s">
        <v>2722</v>
      </c>
      <c r="BX134" s="179">
        <v>2</v>
      </c>
      <c r="BY134" t="str">
        <f>IF(秋,"夕照雷峰","云飞玉皇")</f>
        <v>云飞玉皇</v>
      </c>
      <c r="BZ134">
        <v>2</v>
      </c>
      <c r="CA134" s="176" t="str">
        <f>IF(秋,"夕照雷峰","云飞玉皇")</f>
        <v>云飞玉皇</v>
      </c>
      <c r="CB134">
        <v>2</v>
      </c>
    </row>
    <row r="135" spans="1:80">
      <c r="A135" s="178">
        <f ca="1">IFERROR(IF(AG134&lt;5+金蛇*2,IF(COUNTIF(B134,"*轻*")&gt;0,A134+加速!$L$9,A134+加速!$L$11)+V134,""),"")</f>
        <v>173.22</v>
      </c>
      <c r="B135" s="167" t="str">
        <f ca="1" t="shared" si="35"/>
        <v>夕照雷峰</v>
      </c>
      <c r="C135">
        <f ca="1" t="shared" si="44"/>
        <v>15</v>
      </c>
      <c r="D135">
        <f ca="1">IF(B135&lt;&gt;"",IF(C134&lt;=加速!$L$11*(1-E135),0,1),"")</f>
        <v>1</v>
      </c>
      <c r="E135">
        <f ca="1" t="shared" si="41"/>
        <v>0</v>
      </c>
      <c r="G135">
        <f ca="1" t="shared" si="42"/>
        <v>0</v>
      </c>
      <c r="H135">
        <f ca="1">IF(B135&lt;&gt;"",IF(AND(COUNTIF(B134,"*轻*莺鸣柳*")&gt;0,COUNTIF(B135,"*轻*")&lt;1),MAX(0,15+I134-(A135-A134)+COUNTIF(B134,"*平湖*")*0),IF(AND(E135=0,MAX(0,H134-(A135-A134))&lt;=加速!$H$11),0,MAX(0,H134-(A135-A134)))),"")</f>
        <v>0</v>
      </c>
      <c r="I135">
        <f ca="1" t="shared" si="48"/>
        <v>0</v>
      </c>
      <c r="J135">
        <f ca="1" t="shared" si="49"/>
        <v>0</v>
      </c>
      <c r="K135">
        <f ca="1" t="shared" si="36"/>
        <v>2</v>
      </c>
      <c r="L135">
        <f ca="1">IFERROR(IF(AND(COUNTIF(B135,"*-峰插*"),技能数据库!$M$72&gt;0),0,IF(COUNTIF(B135,"*鹤归*")&gt;0,16-加速!$L$11,MAX(0,L134-(A135-A134)))),0)</f>
        <v>4.39000000000006</v>
      </c>
      <c r="M135">
        <f ca="1" t="shared" si="37"/>
        <v>0</v>
      </c>
      <c r="N135">
        <f ca="1">IFERROR(IF(AND(COUNTIF(B135,"*-峰插*"),技能数据库!$M$72&gt;0),0,IF(COUNTIF(B135,"*云飞*")&gt;0,4-COUNTIF(B135,"*玉山揽云*")*4--COUNTIF(B135,"*烟流暮景*")*4-COUNTIF(B135,"*云景*")*加速!$L$11-IF(J135&gt;0,2,0),MAX(0,N134-(A135-A134)-IF(J135&gt;0,2,0)))),0)</f>
        <v>2.71000000000001</v>
      </c>
      <c r="O135">
        <f ca="1">IF(AND(COUNTIF(IF(AND(配装计算器!$K$30&lt;&gt;"∞",0),INDEX(AU134:CB134,1,$AT$1),INDEX(AU136:CB136,1,$AT$1)),"*云飞*")=1,COUNTIF(IF(AND(配装计算器!$K$30&lt;&gt;"∞",0),INDEX(AU134:CB134,1,$AT$1),INDEX(AU136:CB136,1,$AT$1)),"*玉山*")=0),N135,0)</f>
        <v>0</v>
      </c>
      <c r="P135">
        <f ca="1">IFERROR(IF(COUNTIF(B135,"*云栖松*")&gt;0,50-加速!$L$11,MAX(0,P134-(A135-A134))),0)</f>
        <v>0</v>
      </c>
      <c r="Q135">
        <f ca="1">IF(COUNTIF(IF(AND(配装计算器!$K$30&lt;&gt;"∞",0),INDEX(AU134:CB134,1,$AT$1),INDEX(AU136:CB136,1,$AT$1)),"*云栖松*")=1,P135,0)</f>
        <v>0</v>
      </c>
      <c r="R135">
        <f ca="1">IFERROR(IF(COUNTIF(B135,"*莺鸣柳*")&gt;0,45-加速!$L$9,MAX(0,R134-(A135-A134))),0)</f>
        <v>0</v>
      </c>
      <c r="S135">
        <f ca="1">IF(COUNTIF(IF(AND(配装计算器!$K$30&lt;&gt;"∞",0),INDEX(AU134:CB134,1,$AT$1),INDEX(AU136:CB136,1,$AT$1)),"*莺鸣柳*")=1,R135,0)</f>
        <v>0</v>
      </c>
      <c r="T135">
        <f ca="1" t="shared" si="45"/>
        <v>0</v>
      </c>
      <c r="U135">
        <f ca="1">IF(金蛇,IF(COUNTIF(B135,"*金环戴*")+COUNTIF(B135,"*吹风醒*")&gt;0,IF(A135&lt;=3,7.125-2.625-A135-加速!$L$11,7.125+加速!$K$9-(A135+加速!$L$11-T135)),0),0)+IF(金蛇,IF(COUNTIF(B135,"*千切子裂光*")&gt;0,2+加速!$K$9-(A135+加速!$L$11-T135),0),0)</f>
        <v>0</v>
      </c>
      <c r="V135">
        <f ca="1" t="shared" si="46"/>
        <v>0</v>
      </c>
      <c r="W135">
        <f ca="1" t="shared" si="38"/>
        <v>0</v>
      </c>
      <c r="X135">
        <f ca="1">INDEX(加速!$I$13:$I$21,W135+1)</f>
        <v>0</v>
      </c>
      <c r="Y135">
        <f ca="1" t="shared" si="47"/>
        <v>0.5</v>
      </c>
      <c r="Z135">
        <f ca="1" t="shared" si="43"/>
        <v>0</v>
      </c>
      <c r="AA135">
        <f ca="1">MAX(0,IFERROR(IF(COUNTIF(B135,"*叠*")&gt;0,IF(AC134&lt;3,8-A136+A135,AA134+6.875-A136+A135),AA134-A136+A135),AA134-加速!$L$11))</f>
        <v>0</v>
      </c>
      <c r="AB135">
        <f ca="1">MAX(0,IF(COUNTIF(IF(AND(配装计算器!$K$30&lt;&gt;"∞",0),INDEX(AU135:CB135,1,$AT$1),INDEX(AU135:CB135,1,$AT$1)),"*叠1*")=1,4*25-加速!$L$11,AB134-A135+A134)-IF(OR(COUNTIF(OFFSET(AT135,0,$AT$1,1,1),"*听雷*")&gt;0,AND(碧归&gt;0,COUNTIF(OFFSET(AT135,0,$AT$1,1,1),"*风来*")&gt;0)),0,1)*1.5)</f>
        <v>46.9900000000001</v>
      </c>
      <c r="AC135">
        <f ca="1" t="shared" si="39"/>
        <v>0</v>
      </c>
      <c r="AD135">
        <f ca="1">IF(COUNTIF(IF(AND(配装计算器!$K$30&lt;&gt;"∞",0),INDEX(AU135:CB135,1,$AT$1),INDEX(AU136:CB136,1,$AT$1)),"*叠1*")=1,AB135*0+AE134,0)</f>
        <v>0</v>
      </c>
      <c r="AE135">
        <f ca="1">IF($AN$11&gt;0,IF(COUNTIF(B136,"*叠1*")&gt;0,50-加速!$L$11,MAX(0,AE134-(A136-A135))),0)</f>
        <v>24.2000000000002</v>
      </c>
      <c r="AG135">
        <f ca="1" t="shared" si="40"/>
        <v>4</v>
      </c>
      <c r="AH135" t="s">
        <v>1825</v>
      </c>
      <c r="AI135" t="s">
        <v>2924</v>
      </c>
      <c r="AJ135">
        <f ca="1">AS2*加速!P15/40</f>
        <v>0</v>
      </c>
      <c r="AK135" t="s">
        <v>3098</v>
      </c>
      <c r="AU135" s="176" t="s">
        <v>2794</v>
      </c>
      <c r="AV135">
        <v>2</v>
      </c>
      <c r="AW135" t="s">
        <v>2768</v>
      </c>
      <c r="AX135">
        <v>2</v>
      </c>
      <c r="AY135" t="s">
        <v>2776</v>
      </c>
      <c r="AZ135">
        <v>2</v>
      </c>
      <c r="BA135" t="s">
        <v>2768</v>
      </c>
      <c r="BB135">
        <v>2</v>
      </c>
      <c r="BC135" t="s">
        <v>2776</v>
      </c>
      <c r="BD135">
        <v>1</v>
      </c>
      <c r="BE135" t="s">
        <v>2768</v>
      </c>
      <c r="BF135">
        <v>0</v>
      </c>
      <c r="BG135" t="s">
        <v>2776</v>
      </c>
      <c r="BH135">
        <v>2</v>
      </c>
      <c r="BI135" t="s">
        <v>2768</v>
      </c>
      <c r="BJ135">
        <v>2</v>
      </c>
      <c r="BK135" t="s">
        <v>2808</v>
      </c>
      <c r="BL135">
        <v>2</v>
      </c>
      <c r="BM135" s="176" t="str">
        <f>IF(秋,"梦泉虎跑-轻","夕照雷峰")</f>
        <v>夕照雷峰</v>
      </c>
      <c r="BN135">
        <v>2</v>
      </c>
      <c r="BO135" t="s">
        <v>2768</v>
      </c>
      <c r="BP135">
        <v>2</v>
      </c>
      <c r="BQ135" t="s">
        <v>2768</v>
      </c>
      <c r="BR135">
        <v>2</v>
      </c>
      <c r="BS135" t="s">
        <v>2776</v>
      </c>
      <c r="BT135">
        <v>2</v>
      </c>
      <c r="BU135" t="s">
        <v>2768</v>
      </c>
      <c r="BV135">
        <v>2</v>
      </c>
      <c r="BW135" s="179" t="s">
        <v>3009</v>
      </c>
      <c r="BX135" s="179">
        <v>2</v>
      </c>
      <c r="BY135" s="176" t="str">
        <f>IF(秋,"梦泉虎跑-轻","夕照雷峰")</f>
        <v>夕照雷峰</v>
      </c>
      <c r="BZ135">
        <v>2</v>
      </c>
      <c r="CA135" s="176" t="str">
        <f>IF(秋,"梦泉虎跑-轻","夕照雷峰")</f>
        <v>夕照雷峰</v>
      </c>
      <c r="CB135">
        <v>1</v>
      </c>
    </row>
    <row r="136" spans="1:80">
      <c r="A136" s="178">
        <f ca="1">IFERROR(IF(AG135&lt;5+金蛇*2,IF(COUNTIF(B135,"*轻*")&gt;0,A135+加速!$L$9,A135+加速!$L$11)+V135,""),"")</f>
        <v>174.51</v>
      </c>
      <c r="B136" s="167" t="str">
        <f ca="1" t="shared" si="35"/>
        <v>夕照雷峰</v>
      </c>
      <c r="C136">
        <f ca="1" t="shared" si="44"/>
        <v>15</v>
      </c>
      <c r="D136">
        <f ca="1">IF(B136&lt;&gt;"",IF(C135&lt;=加速!$L$11*(1-E136),0,1),"")</f>
        <v>1</v>
      </c>
      <c r="E136">
        <f ca="1" t="shared" si="41"/>
        <v>0</v>
      </c>
      <c r="G136">
        <f ca="1" t="shared" si="42"/>
        <v>0</v>
      </c>
      <c r="H136">
        <f ca="1">IF(B136&lt;&gt;"",IF(AND(COUNTIF(B135,"*轻*莺鸣柳*")&gt;0,COUNTIF(B136,"*轻*")&lt;1),MAX(0,15+I135-(A136-A135)+COUNTIF(B135,"*平湖*")*0),IF(AND(E136=0,MAX(0,H135-(A136-A135))&lt;=加速!$H$11),0,MAX(0,H135-(A136-A135)))),"")</f>
        <v>0</v>
      </c>
      <c r="I136">
        <f ca="1" t="shared" si="48"/>
        <v>0</v>
      </c>
      <c r="J136">
        <f ca="1" t="shared" si="49"/>
        <v>0</v>
      </c>
      <c r="K136">
        <f ca="1" t="shared" si="36"/>
        <v>1</v>
      </c>
      <c r="L136">
        <f ca="1">IFERROR(IF(AND(COUNTIF(B136,"*-峰插*"),技能数据库!$M$72&gt;0),0,IF(COUNTIF(B136,"*鹤归*")&gt;0,16-加速!$L$11,MAX(0,L135-(A136-A135)))),0)</f>
        <v>3.10000000000007</v>
      </c>
      <c r="M136">
        <f ca="1" t="shared" si="37"/>
        <v>0</v>
      </c>
      <c r="N136">
        <f ca="1">IFERROR(IF(AND(COUNTIF(B136,"*-峰插*"),技能数据库!$M$72&gt;0),0,IF(COUNTIF(B136,"*云飞*")&gt;0,4-COUNTIF(B136,"*玉山揽云*")*4--COUNTIF(B136,"*烟流暮景*")*4-COUNTIF(B136,"*云景*")*加速!$L$11-IF(J136&gt;0,2,0),MAX(0,N135-(A136-A135)-IF(J136&gt;0,2,0)))),0)</f>
        <v>1.42000000000002</v>
      </c>
      <c r="O136">
        <f ca="1">IF(AND(COUNTIF(IF(AND(配装计算器!$K$30&lt;&gt;"∞",0),INDEX(AU135:CB135,1,$AT$1),INDEX(AU137:CB137,1,$AT$1)),"*云飞*")=1,COUNTIF(IF(AND(配装计算器!$K$30&lt;&gt;"∞",0),INDEX(AU135:CB135,1,$AT$1),INDEX(AU137:CB137,1,$AT$1)),"*玉山*")=0),N136,0)</f>
        <v>0</v>
      </c>
      <c r="P136">
        <f ca="1">IFERROR(IF(COUNTIF(B136,"*云栖松*")&gt;0,50-加速!$L$11,MAX(0,P135-(A136-A135))),0)</f>
        <v>0</v>
      </c>
      <c r="Q136">
        <f ca="1">IF(COUNTIF(IF(AND(配装计算器!$K$30&lt;&gt;"∞",0),INDEX(AU135:CB135,1,$AT$1),INDEX(AU137:CB137,1,$AT$1)),"*云栖松*")=1,P136,0)</f>
        <v>0</v>
      </c>
      <c r="R136">
        <f ca="1">IFERROR(IF(COUNTIF(B136,"*莺鸣柳*")&gt;0,45-加速!$L$9,MAX(0,R135-(A136-A135))),0)</f>
        <v>0</v>
      </c>
      <c r="S136">
        <f ca="1">IF(COUNTIF(IF(AND(配装计算器!$K$30&lt;&gt;"∞",0),INDEX(AU135:CB135,1,$AT$1),INDEX(AU137:CB137,1,$AT$1)),"*莺鸣柳*")=1,R136,0)</f>
        <v>0</v>
      </c>
      <c r="T136">
        <f ca="1" t="shared" si="45"/>
        <v>0</v>
      </c>
      <c r="U136">
        <f ca="1">IF(金蛇,IF(COUNTIF(B136,"*金环戴*")+COUNTIF(B136,"*吹风醒*")&gt;0,IF(A136&lt;=3,7.125-2.625-A136-加速!$L$11,7.125+加速!$K$9-(A136+加速!$L$11-T136)),0),0)+IF(金蛇,IF(COUNTIF(B136,"*千切子裂光*")&gt;0,2+加速!$K$9-(A136+加速!$L$11-T136),0),0)</f>
        <v>0</v>
      </c>
      <c r="V136">
        <f ca="1" t="shared" si="46"/>
        <v>0</v>
      </c>
      <c r="W136">
        <f ca="1" t="shared" si="38"/>
        <v>0</v>
      </c>
      <c r="X136">
        <f ca="1">INDEX(加速!$I$13:$I$21,W136+1)</f>
        <v>0</v>
      </c>
      <c r="Y136">
        <f ca="1" t="shared" si="47"/>
        <v>0.5</v>
      </c>
      <c r="Z136">
        <f ca="1" t="shared" si="43"/>
        <v>0</v>
      </c>
      <c r="AA136">
        <f ca="1">MAX(0,IFERROR(IF(COUNTIF(B136,"*叠*")&gt;0,IF(AC135&lt;3,8-A137+A136,AA135+6.875-A137+A136),AA135-A137+A136),AA135-加速!$L$11))</f>
        <v>0</v>
      </c>
      <c r="AB136">
        <f ca="1">MAX(0,IF(COUNTIF(IF(AND(配装计算器!$K$30&lt;&gt;"∞",0),INDEX(AU136:CB136,1,$AT$1),INDEX(AU136:CB136,1,$AT$1)),"*叠1*")=1,4*25-加速!$L$11,AB135-A136+A135)-IF(OR(COUNTIF(OFFSET(AT136,0,$AT$1,1,1),"*听雷*")&gt;0,AND(碧归&gt;0,COUNTIF(OFFSET(AT136,0,$AT$1,1,1),"*风来*")&gt;0)),0,1)*1.5)</f>
        <v>44.2000000000001</v>
      </c>
      <c r="AC136">
        <f ca="1" t="shared" si="39"/>
        <v>0</v>
      </c>
      <c r="AD136">
        <f ca="1">IF(COUNTIF(IF(AND(配装计算器!$K$30&lt;&gt;"∞",0),INDEX(AU136:CB136,1,$AT$1),INDEX(AU137:CB137,1,$AT$1)),"*叠1*")=1,AB136*0+AE135,0)</f>
        <v>0</v>
      </c>
      <c r="AE136">
        <f ca="1">IF($AN$11&gt;0,IF(COUNTIF(B137,"*叠1*")&gt;0,50-加速!$L$11,MAX(0,AE135-(A137-A136))),0)</f>
        <v>22.9100000000002</v>
      </c>
      <c r="AG136">
        <f ca="1" t="shared" si="40"/>
        <v>4</v>
      </c>
      <c r="AH136" t="s">
        <v>1825</v>
      </c>
      <c r="AI136" t="s">
        <v>2776</v>
      </c>
      <c r="AJ136">
        <f ca="1">循环比*COUNTIFS($B$3:$B$515,"*"&amp;AI136&amp;"*",$D$3:$D$515,"=1",$H$3:$H$515,"=0",$G$3:$G$515,"=0",$K$3:$K$515,"=2",$AC$3:$AC$515,"=1")-AJ142</f>
        <v>4</v>
      </c>
      <c r="AK136" t="s">
        <v>3105</v>
      </c>
      <c r="AU136" s="176" t="s">
        <v>2768</v>
      </c>
      <c r="AV136">
        <v>2</v>
      </c>
      <c r="AW136" t="s">
        <v>2776</v>
      </c>
      <c r="AX136">
        <v>2</v>
      </c>
      <c r="AY136" t="s">
        <v>2768</v>
      </c>
      <c r="AZ136">
        <v>2</v>
      </c>
      <c r="BA136" t="s">
        <v>2776</v>
      </c>
      <c r="BB136">
        <v>1</v>
      </c>
      <c r="BC136" t="s">
        <v>2768</v>
      </c>
      <c r="BD136">
        <v>1</v>
      </c>
      <c r="BE136" t="s">
        <v>2776</v>
      </c>
      <c r="BF136">
        <v>0</v>
      </c>
      <c r="BG136" t="s">
        <v>2768</v>
      </c>
      <c r="BH136">
        <v>1</v>
      </c>
      <c r="BI136" t="s">
        <v>2768</v>
      </c>
      <c r="BJ136">
        <v>1</v>
      </c>
      <c r="BK136" t="s">
        <v>2768</v>
      </c>
      <c r="BL136">
        <v>2</v>
      </c>
      <c r="BM136" s="176" t="str">
        <f>IF(秋,"九溪弥烟-轻-血毒金蛇锥","梦泉虎跑-轻")</f>
        <v>梦泉虎跑-轻</v>
      </c>
      <c r="BN136">
        <v>0</v>
      </c>
      <c r="BO136" s="180" t="s">
        <v>2789</v>
      </c>
      <c r="BP136">
        <v>2</v>
      </c>
      <c r="BQ136" t="s">
        <v>2776</v>
      </c>
      <c r="BR136">
        <v>1</v>
      </c>
      <c r="BS136" t="s">
        <v>2768</v>
      </c>
      <c r="BT136">
        <v>2</v>
      </c>
      <c r="BU136" t="s">
        <v>2776</v>
      </c>
      <c r="BV136">
        <v>2</v>
      </c>
      <c r="BW136" s="179" t="s">
        <v>2768</v>
      </c>
      <c r="BX136" s="179">
        <v>2</v>
      </c>
      <c r="BY136" s="176" t="str">
        <f>IF(秋,"九溪弥烟-轻-血毒金蛇锥","梦泉虎跑-轻")</f>
        <v>梦泉虎跑-轻</v>
      </c>
      <c r="BZ136">
        <v>0</v>
      </c>
      <c r="CA136" s="176" t="str">
        <f>IF(秋,"九溪弥烟-轻-血毒金蛇锥","梦泉虎跑-轻")</f>
        <v>梦泉虎跑-轻</v>
      </c>
      <c r="CB136">
        <v>0</v>
      </c>
    </row>
    <row r="137" spans="1:80">
      <c r="A137" s="178">
        <f ca="1">IFERROR(IF(AG136&lt;5+金蛇*2,IF(COUNTIF(B136,"*轻*")&gt;0,A136+加速!$L$9,A136+加速!$L$11)+V136,""),"")</f>
        <v>175.8</v>
      </c>
      <c r="B137" s="167" t="str">
        <f ca="1" t="shared" si="35"/>
        <v>夕照雷峰</v>
      </c>
      <c r="C137">
        <f ca="1" t="shared" si="44"/>
        <v>15</v>
      </c>
      <c r="D137">
        <f ca="1">IF(B137&lt;&gt;"",IF(C136&lt;=加速!$L$11*(1-E137),0,1),"")</f>
        <v>1</v>
      </c>
      <c r="E137">
        <f ca="1" t="shared" si="41"/>
        <v>0</v>
      </c>
      <c r="G137">
        <f ca="1" t="shared" si="42"/>
        <v>0</v>
      </c>
      <c r="H137">
        <f ca="1">IF(B137&lt;&gt;"",IF(AND(COUNTIF(B136,"*轻*莺鸣柳*")&gt;0,COUNTIF(B137,"*轻*")&lt;1),MAX(0,15+I136-(A137-A136)+COUNTIF(B136,"*平湖*")*0),IF(AND(E137=0,MAX(0,H136-(A137-A136))&lt;=加速!$H$11),0,MAX(0,H136-(A137-A136)))),"")</f>
        <v>0</v>
      </c>
      <c r="I137">
        <f ca="1" t="shared" si="48"/>
        <v>0</v>
      </c>
      <c r="J137">
        <f ca="1" t="shared" si="49"/>
        <v>0</v>
      </c>
      <c r="K137">
        <f ca="1" t="shared" si="36"/>
        <v>1</v>
      </c>
      <c r="L137">
        <f ca="1">IFERROR(IF(AND(COUNTIF(B137,"*-峰插*"),技能数据库!$M$72&gt;0),0,IF(COUNTIF(B137,"*鹤归*")&gt;0,16-加速!$L$11,MAX(0,L136-(A137-A136)))),0)</f>
        <v>1.81000000000008</v>
      </c>
      <c r="M137">
        <f ca="1" t="shared" si="37"/>
        <v>0</v>
      </c>
      <c r="N137">
        <f ca="1">IFERROR(IF(AND(COUNTIF(B137,"*-峰插*"),技能数据库!$M$72&gt;0),0,IF(COUNTIF(B137,"*云飞*")&gt;0,4-COUNTIF(B137,"*玉山揽云*")*4--COUNTIF(B137,"*烟流暮景*")*4-COUNTIF(B137,"*云景*")*加速!$L$11-IF(J137&gt;0,2,0),MAX(0,N136-(A137-A136)-IF(J137&gt;0,2,0)))),0)</f>
        <v>0.130000000000024</v>
      </c>
      <c r="O137">
        <f ca="1">IF(AND(COUNTIF(IF(AND(配装计算器!$K$30&lt;&gt;"∞",0),INDEX(AU136:CB136,1,$AT$1),INDEX(AU138:CB138,1,$AT$1)),"*云飞*")=1,COUNTIF(IF(AND(配装计算器!$K$30&lt;&gt;"∞",0),INDEX(AU136:CB136,1,$AT$1),INDEX(AU138:CB138,1,$AT$1)),"*玉山*")=0),N137,0)</f>
        <v>0.130000000000024</v>
      </c>
      <c r="P137">
        <f ca="1">IFERROR(IF(COUNTIF(B137,"*云栖松*")&gt;0,50-加速!$L$11,MAX(0,P136-(A137-A136))),0)</f>
        <v>0</v>
      </c>
      <c r="Q137">
        <f ca="1">IF(COUNTIF(IF(AND(配装计算器!$K$30&lt;&gt;"∞",0),INDEX(AU136:CB136,1,$AT$1),INDEX(AU138:CB138,1,$AT$1)),"*云栖松*")=1,P137,0)</f>
        <v>0</v>
      </c>
      <c r="R137">
        <f ca="1">IFERROR(IF(COUNTIF(B137,"*莺鸣柳*")&gt;0,45-加速!$L$9,MAX(0,R136-(A137-A136))),0)</f>
        <v>0</v>
      </c>
      <c r="S137">
        <f ca="1">IF(COUNTIF(IF(AND(配装计算器!$K$30&lt;&gt;"∞",0),INDEX(AU136:CB136,1,$AT$1),INDEX(AU138:CB138,1,$AT$1)),"*莺鸣柳*")=1,R137,0)</f>
        <v>0</v>
      </c>
      <c r="T137">
        <f ca="1" t="shared" si="45"/>
        <v>0</v>
      </c>
      <c r="U137">
        <f ca="1">IF(金蛇,IF(COUNTIF(B137,"*金环戴*")+COUNTIF(B137,"*吹风醒*")&gt;0,IF(A137&lt;=3,7.125-2.625-A137-加速!$L$11,7.125+加速!$K$9-(A137+加速!$L$11-T137)),0),0)+IF(金蛇,IF(COUNTIF(B137,"*千切子裂光*")&gt;0,2+加速!$K$9-(A137+加速!$L$11-T137),0),0)</f>
        <v>0</v>
      </c>
      <c r="V137">
        <f ca="1" t="shared" si="46"/>
        <v>0.130000000000024</v>
      </c>
      <c r="W137">
        <f ca="1" t="shared" si="38"/>
        <v>0</v>
      </c>
      <c r="X137">
        <f ca="1">INDEX(加速!$I$13:$I$21,W137+1)</f>
        <v>0</v>
      </c>
      <c r="Y137">
        <f ca="1" t="shared" si="47"/>
        <v>0.5</v>
      </c>
      <c r="Z137">
        <f ca="1" t="shared" si="43"/>
        <v>0</v>
      </c>
      <c r="AA137">
        <f ca="1">MAX(0,IFERROR(IF(COUNTIF(B137,"*叠*")&gt;0,IF(AC136&lt;3,8-A138+A137,AA136+6.875-A138+A137),AA136-A138+A137),AA136-加速!$L$11))</f>
        <v>0</v>
      </c>
      <c r="AB137">
        <f ca="1">MAX(0,IF(COUNTIF(IF(AND(配装计算器!$K$30&lt;&gt;"∞",0),INDEX(AU137:CB137,1,$AT$1),INDEX(AU137:CB137,1,$AT$1)),"*叠1*")=1,4*25-加速!$L$11,AB136-A137+A136)-IF(OR(COUNTIF(OFFSET(AT137,0,$AT$1,1,1),"*听雷*")&gt;0,AND(碧归&gt;0,COUNTIF(OFFSET(AT137,0,$AT$1,1,1),"*风来*")&gt;0)),0,1)*1.5)</f>
        <v>41.4100000000002</v>
      </c>
      <c r="AC137">
        <f ca="1" t="shared" si="39"/>
        <v>0</v>
      </c>
      <c r="AD137">
        <f ca="1">IF(COUNTIF(IF(AND(配装计算器!$K$30&lt;&gt;"∞",0),INDEX(AU137:CB137,1,$AT$1),INDEX(AU138:CB138,1,$AT$1)),"*叠1*")=1,AB137*0+AE136,0)</f>
        <v>0</v>
      </c>
      <c r="AE137">
        <f ca="1">IF($AN$11&gt;0,IF(COUNTIF(B138,"*叠1*")&gt;0,50-加速!$L$11,MAX(0,AE136-(A138-A137))),0)</f>
        <v>21.4900000000001</v>
      </c>
      <c r="AG137">
        <f ca="1" t="shared" si="40"/>
        <v>4</v>
      </c>
      <c r="AH137" t="s">
        <v>1825</v>
      </c>
      <c r="AI137" t="s">
        <v>2776</v>
      </c>
      <c r="AJ137">
        <f ca="1">循环比*COUNTIFS($B$3:$B$515,"*"&amp;AI137&amp;"*",$D$3:$D$515,"=1",$H$3:$H$515,"=0",$G$3:$G$515,"=0",$K$3:$K$515,"=2",$AC$3:$AC$515,"=2")-AJ143</f>
        <v>0</v>
      </c>
      <c r="AK137" t="s">
        <v>3106</v>
      </c>
      <c r="AU137" s="176" t="s">
        <v>2776</v>
      </c>
      <c r="AV137">
        <v>2</v>
      </c>
      <c r="AW137" t="s">
        <v>2768</v>
      </c>
      <c r="AX137">
        <v>2</v>
      </c>
      <c r="AY137" t="s">
        <v>2776</v>
      </c>
      <c r="AZ137">
        <v>1</v>
      </c>
      <c r="BA137" t="s">
        <v>2768</v>
      </c>
      <c r="BB137">
        <v>1</v>
      </c>
      <c r="BC137" t="s">
        <v>2794</v>
      </c>
      <c r="BD137">
        <v>2</v>
      </c>
      <c r="BE137" t="s">
        <v>3012</v>
      </c>
      <c r="BF137">
        <v>2</v>
      </c>
      <c r="BG137" t="s">
        <v>2776</v>
      </c>
      <c r="BH137">
        <v>1</v>
      </c>
      <c r="BI137" s="176" t="s">
        <v>2768</v>
      </c>
      <c r="BJ137">
        <v>1</v>
      </c>
      <c r="BK137" t="s">
        <v>2776</v>
      </c>
      <c r="BL137">
        <v>2</v>
      </c>
      <c r="BM137" t="s">
        <v>3009</v>
      </c>
      <c r="BN137">
        <v>2</v>
      </c>
      <c r="BO137" s="176" t="s">
        <v>2794</v>
      </c>
      <c r="BP137">
        <v>2</v>
      </c>
      <c r="BQ137" t="s">
        <v>2768</v>
      </c>
      <c r="BR137">
        <v>1</v>
      </c>
      <c r="BS137" t="s">
        <v>2776</v>
      </c>
      <c r="BT137">
        <v>1</v>
      </c>
      <c r="BU137" t="s">
        <v>2768</v>
      </c>
      <c r="BV137">
        <v>1</v>
      </c>
      <c r="BW137" s="179" t="s">
        <v>2776</v>
      </c>
      <c r="BX137" s="179">
        <v>2</v>
      </c>
      <c r="BY137" t="s">
        <v>3009</v>
      </c>
      <c r="BZ137">
        <v>2</v>
      </c>
      <c r="CA137" t="s">
        <v>3009</v>
      </c>
      <c r="CB137">
        <v>2</v>
      </c>
    </row>
    <row r="138" spans="1:80">
      <c r="A138" s="178">
        <f ca="1">IFERROR(IF(AG137&lt;5+金蛇*2,IF(COUNTIF(B137,"*轻*")&gt;0,A137+加速!$L$9,A137+加速!$L$11)+V137,""),"")</f>
        <v>177.22</v>
      </c>
      <c r="B138" s="167" t="str">
        <f ca="1" t="shared" si="35"/>
        <v>云飞玉皇</v>
      </c>
      <c r="C138">
        <f ca="1" t="shared" si="44"/>
        <v>13.58</v>
      </c>
      <c r="D138">
        <f ca="1">IF(B138&lt;&gt;"",IF(C137&lt;=加速!$L$11*(1-E138),0,1),"")</f>
        <v>1</v>
      </c>
      <c r="E138">
        <f ca="1" t="shared" si="41"/>
        <v>0</v>
      </c>
      <c r="G138">
        <f ca="1" t="shared" si="42"/>
        <v>0</v>
      </c>
      <c r="H138">
        <f ca="1">IF(B138&lt;&gt;"",IF(AND(COUNTIF(B137,"*轻*莺鸣柳*")&gt;0,COUNTIF(B138,"*轻*")&lt;1),MAX(0,15+I137-(A138-A137)+COUNTIF(B137,"*平湖*")*0),IF(AND(E138=0,MAX(0,H137-(A138-A137))&lt;=加速!$H$11),0,MAX(0,H137-(A138-A137)))),"")</f>
        <v>0</v>
      </c>
      <c r="I138">
        <f ca="1" t="shared" si="48"/>
        <v>0</v>
      </c>
      <c r="J138">
        <f ca="1" t="shared" si="49"/>
        <v>0</v>
      </c>
      <c r="K138">
        <f ca="1" t="shared" si="36"/>
        <v>0</v>
      </c>
      <c r="L138">
        <f ca="1">IFERROR(IF(AND(COUNTIF(B138,"*-峰插*"),技能数据库!$M$72&gt;0),0,IF(COUNTIF(B138,"*鹤归*")&gt;0,16-加速!$L$11,MAX(0,L137-(A138-A137)))),0)</f>
        <v>0.390000000000065</v>
      </c>
      <c r="M138">
        <f ca="1" t="shared" si="37"/>
        <v>0.390000000000065</v>
      </c>
      <c r="N138">
        <f ca="1">IFERROR(IF(AND(COUNTIF(B138,"*-峰插*"),技能数据库!$M$72&gt;0),0,IF(COUNTIF(B138,"*云飞*")&gt;0,4-COUNTIF(B138,"*玉山揽云*")*4--COUNTIF(B138,"*烟流暮景*")*4-COUNTIF(B138,"*云景*")*加速!$L$11-IF(J138&gt;0,2,0),MAX(0,N137-(A138-A137)-IF(J138&gt;0,2,0)))),0)</f>
        <v>4</v>
      </c>
      <c r="O138">
        <f ca="1">IF(AND(COUNTIF(IF(AND(配装计算器!$K$30&lt;&gt;"∞",0),INDEX(AU137:CB137,1,$AT$1),INDEX(AU139:CB139,1,$AT$1)),"*云飞*")=1,COUNTIF(IF(AND(配装计算器!$K$30&lt;&gt;"∞",0),INDEX(AU137:CB137,1,$AT$1),INDEX(AU139:CB139,1,$AT$1)),"*玉山*")=0),N138,0)</f>
        <v>0</v>
      </c>
      <c r="P138">
        <f ca="1">IFERROR(IF(COUNTIF(B138,"*云栖松*")&gt;0,50-加速!$L$11,MAX(0,P137-(A138-A137))),0)</f>
        <v>0</v>
      </c>
      <c r="Q138">
        <f ca="1">IF(COUNTIF(IF(AND(配装计算器!$K$30&lt;&gt;"∞",0),INDEX(AU137:CB137,1,$AT$1),INDEX(AU139:CB139,1,$AT$1)),"*云栖松*")=1,P138,0)</f>
        <v>0</v>
      </c>
      <c r="R138">
        <f ca="1">IFERROR(IF(COUNTIF(B138,"*莺鸣柳*")&gt;0,45-加速!$L$9,MAX(0,R137-(A138-A137))),0)</f>
        <v>0</v>
      </c>
      <c r="S138">
        <f ca="1">IF(COUNTIF(IF(AND(配装计算器!$K$30&lt;&gt;"∞",0),INDEX(AU137:CB137,1,$AT$1),INDEX(AU139:CB139,1,$AT$1)),"*莺鸣柳*")=1,R138,0)</f>
        <v>0</v>
      </c>
      <c r="T138">
        <f ca="1" t="shared" si="45"/>
        <v>0</v>
      </c>
      <c r="U138">
        <f ca="1">IF(金蛇,IF(COUNTIF(B138,"*金环戴*")+COUNTIF(B138,"*吹风醒*")&gt;0,IF(A138&lt;=3,7.125-2.625-A138-加速!$L$11,7.125+加速!$K$9-(A138+加速!$L$11-T138)),0),0)+IF(金蛇,IF(COUNTIF(B138,"*千切子裂光*")&gt;0,2+加速!$K$9-(A138+加速!$L$11-T138),0),0)</f>
        <v>0</v>
      </c>
      <c r="V138">
        <f ca="1" t="shared" si="46"/>
        <v>0.390000000000065</v>
      </c>
      <c r="W138">
        <f ca="1" t="shared" si="38"/>
        <v>0</v>
      </c>
      <c r="X138">
        <f ca="1">INDEX(加速!$I$13:$I$21,W138+1)</f>
        <v>0</v>
      </c>
      <c r="Y138">
        <f ca="1" t="shared" si="47"/>
        <v>0.5</v>
      </c>
      <c r="Z138">
        <f ca="1" t="shared" si="43"/>
        <v>0</v>
      </c>
      <c r="AA138">
        <f ca="1">MAX(0,IFERROR(IF(COUNTIF(B138,"*叠*")&gt;0,IF(AC137&lt;3,8-A139+A138,AA137+6.875-A139+A138),AA137-A139+A138),AA137-加速!$L$11))</f>
        <v>0</v>
      </c>
      <c r="AB138">
        <f ca="1">MAX(0,IF(COUNTIF(IF(AND(配装计算器!$K$30&lt;&gt;"∞",0),INDEX(AU138:CB138,1,$AT$1),INDEX(AU138:CB138,1,$AT$1)),"*叠1*")=1,4*25-加速!$L$11,AB137-A138+A137)-IF(OR(COUNTIF(OFFSET(AT138,0,$AT$1,1,1),"*听雷*")&gt;0,AND(碧归&gt;0,COUNTIF(OFFSET(AT138,0,$AT$1,1,1),"*风来*")&gt;0)),0,1)*1.5)</f>
        <v>38.4900000000002</v>
      </c>
      <c r="AC138">
        <f ca="1" t="shared" si="39"/>
        <v>0</v>
      </c>
      <c r="AD138">
        <f ca="1">IF(COUNTIF(IF(AND(配装计算器!$K$30&lt;&gt;"∞",0),INDEX(AU138:CB138,1,$AT$1),INDEX(AU139:CB139,1,$AT$1)),"*叠1*")=1,AB138*0+AE137,0)</f>
        <v>0</v>
      </c>
      <c r="AE138">
        <f ca="1">IF($AN$11&gt;0,IF(COUNTIF(B139,"*叠1*")&gt;0,50-加速!$L$11,MAX(0,AE137-(A139-A138))),0)</f>
        <v>19.8100000000001</v>
      </c>
      <c r="AG138">
        <f ca="1" t="shared" si="40"/>
        <v>4</v>
      </c>
      <c r="AH138" t="s">
        <v>1825</v>
      </c>
      <c r="AI138" t="s">
        <v>2776</v>
      </c>
      <c r="AJ138">
        <f ca="1">循环比*COUNTIFS($B$3:$B$515,"*"&amp;AI138&amp;"*",$D$3:$D$515,"=1",$H$3:$H$515,"=0",$G$3:$G$515,"=0",$K$3:$K$515,"=2",$AC$3:$AC$515,"=3")-AJ144</f>
        <v>18</v>
      </c>
      <c r="AK138" t="s">
        <v>3107</v>
      </c>
      <c r="AU138" s="176" t="s">
        <v>2768</v>
      </c>
      <c r="AV138">
        <v>2</v>
      </c>
      <c r="AW138" t="s">
        <v>2722</v>
      </c>
      <c r="AX138">
        <v>0</v>
      </c>
      <c r="AY138" t="s">
        <v>2768</v>
      </c>
      <c r="AZ138">
        <v>1</v>
      </c>
      <c r="BA138" t="s">
        <v>2768</v>
      </c>
      <c r="BB138">
        <v>0</v>
      </c>
      <c r="BC138" t="s">
        <v>2768</v>
      </c>
      <c r="BD138">
        <v>2</v>
      </c>
      <c r="BE138" t="s">
        <v>2776</v>
      </c>
      <c r="BF138">
        <v>2</v>
      </c>
      <c r="BG138" t="s">
        <v>2768</v>
      </c>
      <c r="BH138">
        <v>0</v>
      </c>
      <c r="BI138" s="176" t="s">
        <v>2776</v>
      </c>
      <c r="BJ138">
        <v>0</v>
      </c>
      <c r="BK138" t="s">
        <v>3036</v>
      </c>
      <c r="BL138">
        <v>2</v>
      </c>
      <c r="BM138" s="176" t="str">
        <f>IF(秋,"云飞玉皇-蛇牙锥心","云飞玉皇-血毒金蛇锥")</f>
        <v>云飞玉皇-血毒金蛇锥</v>
      </c>
      <c r="BN138">
        <v>2</v>
      </c>
      <c r="BO138" s="176" t="s">
        <v>2776</v>
      </c>
      <c r="BP138">
        <v>2</v>
      </c>
      <c r="BQ138" t="s">
        <v>2776</v>
      </c>
      <c r="BR138">
        <v>1</v>
      </c>
      <c r="BS138" t="s">
        <v>2768</v>
      </c>
      <c r="BT138">
        <v>1</v>
      </c>
      <c r="BU138" t="s">
        <v>2776</v>
      </c>
      <c r="BV138">
        <v>1</v>
      </c>
      <c r="BW138" s="179" t="s">
        <v>2768</v>
      </c>
      <c r="BX138" s="179">
        <v>2</v>
      </c>
      <c r="BY138" t="str">
        <f>IF(秋,"夕照雷峰-蛇牙锥心","夕照雷峰")</f>
        <v>夕照雷峰</v>
      </c>
      <c r="BZ138">
        <v>2</v>
      </c>
      <c r="CA138" s="176" t="str">
        <f>IF(秋,"鹤归孤山-蛇牙锥心","鹤归孤山")</f>
        <v>鹤归孤山</v>
      </c>
      <c r="CB138">
        <v>2</v>
      </c>
    </row>
    <row r="139" spans="1:80">
      <c r="A139" s="178">
        <f ca="1">IFERROR(IF(AG138&lt;5+金蛇*2,IF(COUNTIF(B138,"*轻*")&gt;0,A138+加速!$L$9,A138+加速!$L$11)+V138,""),"")</f>
        <v>178.9</v>
      </c>
      <c r="B139" s="167" t="str">
        <f ca="1" t="shared" si="35"/>
        <v>鹤归孤山</v>
      </c>
      <c r="C139">
        <f ca="1" t="shared" si="44"/>
        <v>11.8999999999999</v>
      </c>
      <c r="D139">
        <f ca="1">IF(B139&lt;&gt;"",IF(C138&lt;=加速!$L$11*(1-E139),0,1),"")</f>
        <v>1</v>
      </c>
      <c r="E139">
        <f ca="1" t="shared" si="41"/>
        <v>1</v>
      </c>
      <c r="G139">
        <f ca="1" t="shared" si="42"/>
        <v>0</v>
      </c>
      <c r="H139">
        <f ca="1">IF(B139&lt;&gt;"",IF(AND(COUNTIF(B138,"*轻*莺鸣柳*")&gt;0,COUNTIF(B139,"*轻*")&lt;1),MAX(0,15+I138-(A139-A138)+COUNTIF(B138,"*平湖*")*0),IF(AND(E139=0,MAX(0,H138-(A139-A138))&lt;=加速!$H$11),0,MAX(0,H138-(A139-A138)))),"")</f>
        <v>0</v>
      </c>
      <c r="I139">
        <f ca="1" t="shared" si="48"/>
        <v>0</v>
      </c>
      <c r="J139">
        <f ca="1" t="shared" si="49"/>
        <v>0</v>
      </c>
      <c r="K139">
        <f ca="1" t="shared" si="36"/>
        <v>0</v>
      </c>
      <c r="L139">
        <f ca="1">IFERROR(IF(AND(COUNTIF(B139,"*-峰插*"),技能数据库!$M$72&gt;0),0,IF(COUNTIF(B139,"*鹤归*")&gt;0,16-加速!$L$11,MAX(0,L138-(A139-A138)))),0)</f>
        <v>14.71</v>
      </c>
      <c r="M139">
        <f ca="1" t="shared" si="37"/>
        <v>0</v>
      </c>
      <c r="N139">
        <f ca="1">IFERROR(IF(AND(COUNTIF(B139,"*-峰插*"),技能数据库!$M$72&gt;0),0,IF(COUNTIF(B139,"*云飞*")&gt;0,4-COUNTIF(B139,"*玉山揽云*")*4--COUNTIF(B139,"*烟流暮景*")*4-COUNTIF(B139,"*云景*")*加速!$L$11-IF(J139&gt;0,2,0),MAX(0,N138-(A139-A138)-IF(J139&gt;0,2,0)))),0)</f>
        <v>2.31999999999994</v>
      </c>
      <c r="O139">
        <f ca="1">IF(AND(COUNTIF(IF(AND(配装计算器!$K$30&lt;&gt;"∞",0),INDEX(AU138:CB138,1,$AT$1),INDEX(AU140:CB140,1,$AT$1)),"*云飞*")=1,COUNTIF(IF(AND(配装计算器!$K$30&lt;&gt;"∞",0),INDEX(AU138:CB138,1,$AT$1),INDEX(AU140:CB140,1,$AT$1)),"*玉山*")=0),N139,0)</f>
        <v>0</v>
      </c>
      <c r="P139">
        <f ca="1">IFERROR(IF(COUNTIF(B139,"*云栖松*")&gt;0,50-加速!$L$11,MAX(0,P138-(A139-A138))),0)</f>
        <v>0</v>
      </c>
      <c r="Q139">
        <f ca="1">IF(COUNTIF(IF(AND(配装计算器!$K$30&lt;&gt;"∞",0),INDEX(AU138:CB138,1,$AT$1),INDEX(AU140:CB140,1,$AT$1)),"*云栖松*")=1,P139,0)</f>
        <v>0</v>
      </c>
      <c r="R139">
        <f ca="1">IFERROR(IF(COUNTIF(B139,"*莺鸣柳*")&gt;0,45-加速!$L$9,MAX(0,R138-(A139-A138))),0)</f>
        <v>0</v>
      </c>
      <c r="S139">
        <f ca="1">IF(COUNTIF(IF(AND(配装计算器!$K$30&lt;&gt;"∞",0),INDEX(AU138:CB138,1,$AT$1),INDEX(AU140:CB140,1,$AT$1)),"*莺鸣柳*")=1,R139,0)</f>
        <v>0</v>
      </c>
      <c r="T139">
        <f ca="1" t="shared" si="45"/>
        <v>0</v>
      </c>
      <c r="U139">
        <f ca="1">IF(金蛇,IF(COUNTIF(B139,"*金环戴*")+COUNTIF(B139,"*吹风醒*")&gt;0,IF(A139&lt;=3,7.125-2.625-A139-加速!$L$11,7.125+加速!$K$9-(A139+加速!$L$11-T139)),0),0)+IF(金蛇,IF(COUNTIF(B139,"*千切子裂光*")&gt;0,2+加速!$K$9-(A139+加速!$L$11-T139),0),0)</f>
        <v>0</v>
      </c>
      <c r="V139">
        <f ca="1" t="shared" si="46"/>
        <v>0</v>
      </c>
      <c r="W139">
        <f ca="1" t="shared" si="38"/>
        <v>0</v>
      </c>
      <c r="X139">
        <f ca="1">INDEX(加速!$I$13:$I$21,W139+1)</f>
        <v>0</v>
      </c>
      <c r="Y139">
        <f ca="1" t="shared" si="47"/>
        <v>0.5</v>
      </c>
      <c r="Z139">
        <f ca="1" t="shared" si="43"/>
        <v>0</v>
      </c>
      <c r="AA139">
        <f ca="1">MAX(0,IFERROR(IF(COUNTIF(B139,"*叠*")&gt;0,IF(AC138&lt;3,8-A140+A139,AA138+6.875-A140+A139),AA138-A140+A139),AA138-加速!$L$11))</f>
        <v>0</v>
      </c>
      <c r="AB139">
        <f ca="1">MAX(0,IF(COUNTIF(IF(AND(配装计算器!$K$30&lt;&gt;"∞",0),INDEX(AU139:CB139,1,$AT$1),INDEX(AU139:CB139,1,$AT$1)),"*叠1*")=1,4*25-加速!$L$11,AB138-A139+A138)-IF(OR(COUNTIF(OFFSET(AT139,0,$AT$1,1,1),"*听雷*")&gt;0,AND(碧归&gt;0,COUNTIF(OFFSET(AT139,0,$AT$1,1,1),"*风来*")&gt;0)),0,1)*1.5)</f>
        <v>35.3100000000001</v>
      </c>
      <c r="AC139">
        <f ca="1" t="shared" si="39"/>
        <v>0</v>
      </c>
      <c r="AD139">
        <f ca="1">IF(COUNTIF(IF(AND(配装计算器!$K$30&lt;&gt;"∞",0),INDEX(AU139:CB139,1,$AT$1),INDEX(AU140:CB140,1,$AT$1)),"*叠1*")=1,AB139*0+AE138,0)</f>
        <v>0</v>
      </c>
      <c r="AE139">
        <f ca="1">IF($AN$11&gt;0,IF(COUNTIF(B140,"*叠1*")&gt;0,50-加速!$L$11,MAX(0,AE138-(A140-A139))),0)</f>
        <v>18.5200000000001</v>
      </c>
      <c r="AG139">
        <f ca="1" t="shared" si="40"/>
        <v>4</v>
      </c>
      <c r="AH139" t="s">
        <v>1825</v>
      </c>
      <c r="AI139" t="s">
        <v>2780</v>
      </c>
      <c r="AJ139">
        <f ca="1">AJ136+AJ142</f>
        <v>4</v>
      </c>
      <c r="AK139" t="s">
        <v>3105</v>
      </c>
      <c r="AU139" s="176" t="s">
        <v>2776</v>
      </c>
      <c r="AV139">
        <v>2</v>
      </c>
      <c r="AW139" t="s">
        <v>3009</v>
      </c>
      <c r="AX139">
        <v>2</v>
      </c>
      <c r="AY139" t="s">
        <v>2768</v>
      </c>
      <c r="AZ139">
        <v>0</v>
      </c>
      <c r="BA139" t="s">
        <v>2722</v>
      </c>
      <c r="BB139">
        <v>0</v>
      </c>
      <c r="BC139" t="s">
        <v>2776</v>
      </c>
      <c r="BD139">
        <v>2</v>
      </c>
      <c r="BE139" t="s">
        <v>3017</v>
      </c>
      <c r="BF139">
        <v>2</v>
      </c>
      <c r="BG139" t="s">
        <v>2768</v>
      </c>
      <c r="BH139">
        <v>0</v>
      </c>
      <c r="BI139" t="s">
        <v>2794</v>
      </c>
      <c r="BJ139">
        <v>0</v>
      </c>
      <c r="BK139" t="s">
        <v>3026</v>
      </c>
      <c r="BL139">
        <v>2</v>
      </c>
      <c r="BM139" t="s">
        <v>2768</v>
      </c>
      <c r="BN139">
        <v>2</v>
      </c>
      <c r="BO139" s="176" t="s">
        <v>2768</v>
      </c>
      <c r="BP139">
        <v>2</v>
      </c>
      <c r="BQ139" t="s">
        <v>2768</v>
      </c>
      <c r="BR139">
        <v>0</v>
      </c>
      <c r="BS139" t="s">
        <v>3056</v>
      </c>
      <c r="BT139">
        <v>0</v>
      </c>
      <c r="BU139" t="str">
        <f>IF(秋,"云栖松","泉凝月")</f>
        <v>泉凝月</v>
      </c>
      <c r="BV139">
        <v>0</v>
      </c>
      <c r="BW139" s="179" t="s">
        <v>2789</v>
      </c>
      <c r="BX139" s="179">
        <v>2</v>
      </c>
      <c r="BY139" s="176" t="str">
        <f>IF(秋,"云飞玉皇","云飞玉皇-血毒金蛇锥")</f>
        <v>云飞玉皇-血毒金蛇锥</v>
      </c>
      <c r="BZ139">
        <v>2</v>
      </c>
      <c r="CA139" s="176" t="str">
        <f>IF(秋,"云飞玉皇","云飞玉皇-血毒金蛇锥")</f>
        <v>云飞玉皇-血毒金蛇锥</v>
      </c>
      <c r="CB139">
        <v>2</v>
      </c>
    </row>
    <row r="140" spans="1:80">
      <c r="A140" s="178">
        <f ca="1">IFERROR(IF(AG139&lt;5+金蛇*2,IF(COUNTIF(B139,"*轻*")&gt;0,A139+加速!$L$9,A139+加速!$L$11)+V139,""),"")</f>
        <v>180.19</v>
      </c>
      <c r="B140" s="167" t="str">
        <f ca="1" t="shared" si="35"/>
        <v>夕照雷峰</v>
      </c>
      <c r="C140">
        <f ca="1" t="shared" si="44"/>
        <v>15</v>
      </c>
      <c r="D140">
        <f ca="1">IF(B140&lt;&gt;"",IF(C139&lt;=加速!$L$11*(1-E140),0,1),"")</f>
        <v>1</v>
      </c>
      <c r="E140">
        <f ca="1" t="shared" si="41"/>
        <v>0</v>
      </c>
      <c r="G140">
        <f ca="1" t="shared" si="42"/>
        <v>0</v>
      </c>
      <c r="H140">
        <f ca="1">IF(B140&lt;&gt;"",IF(AND(COUNTIF(B139,"*轻*莺鸣柳*")&gt;0,COUNTIF(B140,"*轻*")&lt;1),MAX(0,15+I139-(A140-A139)+COUNTIF(B139,"*平湖*")*0),IF(AND(E140=0,MAX(0,H139-(A140-A139))&lt;=加速!$H$11),0,MAX(0,H139-(A140-A139)))),"")</f>
        <v>0</v>
      </c>
      <c r="I140">
        <f ca="1" t="shared" si="48"/>
        <v>0</v>
      </c>
      <c r="J140">
        <f ca="1" t="shared" si="49"/>
        <v>4</v>
      </c>
      <c r="K140">
        <f ca="1" t="shared" si="36"/>
        <v>2</v>
      </c>
      <c r="L140">
        <f ca="1">IFERROR(IF(AND(COUNTIF(B140,"*-峰插*"),技能数据库!$M$72&gt;0),0,IF(COUNTIF(B140,"*鹤归*")&gt;0,16-加速!$L$11,MAX(0,L139-(A140-A139)))),0)</f>
        <v>13.42</v>
      </c>
      <c r="M140">
        <f ca="1" t="shared" si="37"/>
        <v>0</v>
      </c>
      <c r="N140">
        <f ca="1">IFERROR(IF(AND(COUNTIF(B140,"*-峰插*"),技能数据库!$M$72&gt;0),0,IF(COUNTIF(B140,"*云飞*")&gt;0,4-COUNTIF(B140,"*玉山揽云*")*4--COUNTIF(B140,"*烟流暮景*")*4-COUNTIF(B140,"*云景*")*加速!$L$11-IF(J140&gt;0,2,0),MAX(0,N139-(A140-A139)-IF(J140&gt;0,2,0)))),0)</f>
        <v>0</v>
      </c>
      <c r="O140">
        <f ca="1">IF(AND(COUNTIF(IF(AND(配装计算器!$K$30&lt;&gt;"∞",0),INDEX(AU139:CB139,1,$AT$1),INDEX(AU141:CB141,1,$AT$1)),"*云飞*")=1,COUNTIF(IF(AND(配装计算器!$K$30&lt;&gt;"∞",0),INDEX(AU139:CB139,1,$AT$1),INDEX(AU141:CB141,1,$AT$1)),"*玉山*")=0),N140,0)</f>
        <v>0</v>
      </c>
      <c r="P140">
        <f ca="1">IFERROR(IF(COUNTIF(B140,"*云栖松*")&gt;0,50-加速!$L$11,MAX(0,P139-(A140-A139))),0)</f>
        <v>0</v>
      </c>
      <c r="Q140">
        <f ca="1">IF(COUNTIF(IF(AND(配装计算器!$K$30&lt;&gt;"∞",0),INDEX(AU139:CB139,1,$AT$1),INDEX(AU141:CB141,1,$AT$1)),"*云栖松*")=1,P140,0)</f>
        <v>0</v>
      </c>
      <c r="R140">
        <f ca="1">IFERROR(IF(COUNTIF(B140,"*莺鸣柳*")&gt;0,45-加速!$L$9,MAX(0,R139-(A140-A139))),0)</f>
        <v>0</v>
      </c>
      <c r="S140">
        <f ca="1">IF(COUNTIF(IF(AND(配装计算器!$K$30&lt;&gt;"∞",0),INDEX(AU139:CB139,1,$AT$1),INDEX(AU141:CB141,1,$AT$1)),"*莺鸣柳*")=1,R140,0)</f>
        <v>0</v>
      </c>
      <c r="T140">
        <f ca="1" t="shared" si="45"/>
        <v>0</v>
      </c>
      <c r="U140">
        <f ca="1">IF(金蛇,IF(COUNTIF(B140,"*金环戴*")+COUNTIF(B140,"*吹风醒*")&gt;0,IF(A140&lt;=3,7.125-2.625-A140-加速!$L$11,7.125+加速!$K$9-(A140+加速!$L$11-T140)),0),0)+IF(金蛇,IF(COUNTIF(B140,"*千切子裂光*")&gt;0,2+加速!$K$9-(A140+加速!$L$11-T140),0),0)</f>
        <v>0</v>
      </c>
      <c r="V140">
        <f ca="1" t="shared" si="46"/>
        <v>0</v>
      </c>
      <c r="W140">
        <f ca="1" t="shared" si="38"/>
        <v>0</v>
      </c>
      <c r="X140">
        <f ca="1">INDEX(加速!$I$13:$I$21,W140+1)</f>
        <v>0</v>
      </c>
      <c r="Y140">
        <f ca="1" t="shared" si="47"/>
        <v>0.5</v>
      </c>
      <c r="Z140">
        <f ca="1" t="shared" si="43"/>
        <v>0</v>
      </c>
      <c r="AA140">
        <f ca="1">MAX(0,IFERROR(IF(COUNTIF(B140,"*叠*")&gt;0,IF(AC139&lt;3,8-A141+A140,AA139+6.875-A141+A140),AA139-A141+A140),AA139-加速!$L$11))</f>
        <v>0</v>
      </c>
      <c r="AB140">
        <f ca="1">MAX(0,IF(COUNTIF(IF(AND(配装计算器!$K$30&lt;&gt;"∞",0),INDEX(AU140:CB140,1,$AT$1),INDEX(AU140:CB140,1,$AT$1)),"*叠1*")=1,4*25-加速!$L$11,AB139-A140+A139)-IF(OR(COUNTIF(OFFSET(AT140,0,$AT$1,1,1),"*听雷*")&gt;0,AND(碧归&gt;0,COUNTIF(OFFSET(AT140,0,$AT$1,1,1),"*风来*")&gt;0)),0,1)*1.5)</f>
        <v>32.5200000000001</v>
      </c>
      <c r="AC140">
        <f ca="1" t="shared" si="39"/>
        <v>0</v>
      </c>
      <c r="AD140">
        <f ca="1">IF(COUNTIF(IF(AND(配装计算器!$K$30&lt;&gt;"∞",0),INDEX(AU140:CB140,1,$AT$1),INDEX(AU141:CB141,1,$AT$1)),"*叠1*")=1,AB140*0+AE139,0)</f>
        <v>0</v>
      </c>
      <c r="AE140">
        <f ca="1">IF($AN$11&gt;0,IF(COUNTIF(B141,"*叠1*")&gt;0,50-加速!$L$11,MAX(0,AE139-(A141-A140))),0)</f>
        <v>17.2300000000001</v>
      </c>
      <c r="AG140">
        <f ca="1" t="shared" si="40"/>
        <v>4</v>
      </c>
      <c r="AH140" t="s">
        <v>1825</v>
      </c>
      <c r="AI140" t="s">
        <v>2780</v>
      </c>
      <c r="AJ140">
        <f ca="1" t="shared" ref="AJ140:AJ141" si="50">AJ137+AJ143</f>
        <v>3</v>
      </c>
      <c r="AK140" t="s">
        <v>3106</v>
      </c>
      <c r="AU140" s="176" t="s">
        <v>2768</v>
      </c>
      <c r="AV140">
        <v>1</v>
      </c>
      <c r="AW140" t="s">
        <v>2776</v>
      </c>
      <c r="AX140">
        <v>2</v>
      </c>
      <c r="AY140" t="s">
        <v>2722</v>
      </c>
      <c r="AZ140">
        <v>0</v>
      </c>
      <c r="BA140" t="s">
        <v>2776</v>
      </c>
      <c r="BB140">
        <v>2</v>
      </c>
      <c r="BC140" t="s">
        <v>2768</v>
      </c>
      <c r="BD140">
        <v>2</v>
      </c>
      <c r="BE140" t="s">
        <v>2768</v>
      </c>
      <c r="BF140">
        <v>2</v>
      </c>
      <c r="BG140" t="s">
        <v>2776</v>
      </c>
      <c r="BH140">
        <v>0</v>
      </c>
      <c r="BI140" t="s">
        <v>2768</v>
      </c>
      <c r="BJ140">
        <v>2</v>
      </c>
      <c r="BK140" t="s">
        <v>3026</v>
      </c>
      <c r="BL140">
        <v>2</v>
      </c>
      <c r="BM140" s="180" t="s">
        <v>2789</v>
      </c>
      <c r="BN140">
        <v>2</v>
      </c>
      <c r="BO140" s="176" t="s">
        <v>2776</v>
      </c>
      <c r="BP140">
        <v>2</v>
      </c>
      <c r="BQ140" t="str">
        <f>IF(秋,"云栖松","泉凝月")</f>
        <v>泉凝月</v>
      </c>
      <c r="BR140">
        <v>0</v>
      </c>
      <c r="BS140" t="s">
        <v>2768</v>
      </c>
      <c r="BT140">
        <v>2</v>
      </c>
      <c r="BU140" t="s">
        <v>2768</v>
      </c>
      <c r="BV140">
        <v>0</v>
      </c>
      <c r="BW140" s="182" t="s">
        <v>2794</v>
      </c>
      <c r="BX140" s="179">
        <v>2</v>
      </c>
      <c r="BY140" t="s">
        <v>2768</v>
      </c>
      <c r="BZ140">
        <v>2</v>
      </c>
      <c r="CA140" s="176" t="s">
        <v>2768</v>
      </c>
      <c r="CB140">
        <v>2</v>
      </c>
    </row>
    <row r="141" spans="1:80">
      <c r="A141" s="178">
        <f ca="1">IFERROR(IF(AG140&lt;5+金蛇*2,IF(COUNTIF(B140,"*轻*")&gt;0,A140+加速!$L$9,A140+加速!$L$11)+V140,""),"")</f>
        <v>181.48</v>
      </c>
      <c r="B141" s="167" t="str">
        <f ca="1" t="shared" si="35"/>
        <v>云飞玉皇</v>
      </c>
      <c r="C141">
        <f ca="1" t="shared" si="44"/>
        <v>13.71</v>
      </c>
      <c r="D141">
        <f ca="1">IF(B141&lt;&gt;"",IF(C140&lt;=加速!$L$11*(1-E141),0,1),"")</f>
        <v>1</v>
      </c>
      <c r="E141">
        <f ca="1" t="shared" si="41"/>
        <v>0</v>
      </c>
      <c r="G141">
        <f ca="1" t="shared" si="42"/>
        <v>0</v>
      </c>
      <c r="H141">
        <f ca="1">IF(B141&lt;&gt;"",IF(AND(COUNTIF(B140,"*轻*莺鸣柳*")&gt;0,COUNTIF(B141,"*轻*")&lt;1),MAX(0,15+I140-(A141-A140)+COUNTIF(B140,"*平湖*")*0),IF(AND(E141=0,MAX(0,H140-(A141-A140))&lt;=加速!$H$11),0,MAX(0,H140-(A141-A140)))),"")</f>
        <v>0</v>
      </c>
      <c r="I141">
        <f ca="1" t="shared" si="48"/>
        <v>0</v>
      </c>
      <c r="J141">
        <f ca="1" t="shared" si="49"/>
        <v>3</v>
      </c>
      <c r="K141">
        <f ca="1" t="shared" si="36"/>
        <v>2</v>
      </c>
      <c r="L141">
        <f ca="1">IFERROR(IF(AND(COUNTIF(B141,"*-峰插*"),技能数据库!$M$72&gt;0),0,IF(COUNTIF(B141,"*鹤归*")&gt;0,16-加速!$L$11,MAX(0,L140-(A141-A140)))),0)</f>
        <v>12.13</v>
      </c>
      <c r="M141">
        <f ca="1" t="shared" si="37"/>
        <v>0</v>
      </c>
      <c r="N141">
        <f ca="1">IFERROR(IF(AND(COUNTIF(B141,"*-峰插*"),技能数据库!$M$72&gt;0),0,IF(COUNTIF(B141,"*云飞*")&gt;0,4-COUNTIF(B141,"*玉山揽云*")*4--COUNTIF(B141,"*烟流暮景*")*4-COUNTIF(B141,"*云景*")*加速!$L$11-IF(J141&gt;0,2,0),MAX(0,N140-(A141-A140)-IF(J141&gt;0,2,0)))),0)</f>
        <v>2</v>
      </c>
      <c r="O141">
        <f ca="1">IF(AND(COUNTIF(IF(AND(配装计算器!$K$30&lt;&gt;"∞",0),INDEX(AU140:CB140,1,$AT$1),INDEX(AU142:CB142,1,$AT$1)),"*云飞*")=1,COUNTIF(IF(AND(配装计算器!$K$30&lt;&gt;"∞",0),INDEX(AU140:CB140,1,$AT$1),INDEX(AU142:CB142,1,$AT$1)),"*玉山*")=0),N141,0)</f>
        <v>0</v>
      </c>
      <c r="P141">
        <f ca="1">IFERROR(IF(COUNTIF(B141,"*云栖松*")&gt;0,50-加速!$L$11,MAX(0,P140-(A141-A140))),0)</f>
        <v>0</v>
      </c>
      <c r="Q141">
        <f ca="1">IF(COUNTIF(IF(AND(配装计算器!$K$30&lt;&gt;"∞",0),INDEX(AU140:CB140,1,$AT$1),INDEX(AU142:CB142,1,$AT$1)),"*云栖松*")=1,P141,0)</f>
        <v>0</v>
      </c>
      <c r="R141">
        <f ca="1">IFERROR(IF(COUNTIF(B141,"*莺鸣柳*")&gt;0,45-加速!$L$9,MAX(0,R140-(A141-A140))),0)</f>
        <v>0</v>
      </c>
      <c r="S141">
        <f ca="1">IF(COUNTIF(IF(AND(配装计算器!$K$30&lt;&gt;"∞",0),INDEX(AU140:CB140,1,$AT$1),INDEX(AU142:CB142,1,$AT$1)),"*莺鸣柳*")=1,R141,0)</f>
        <v>0</v>
      </c>
      <c r="T141">
        <f ca="1" t="shared" si="45"/>
        <v>0</v>
      </c>
      <c r="U141">
        <f ca="1">IF(金蛇,IF(COUNTIF(B141,"*金环戴*")+COUNTIF(B141,"*吹风醒*")&gt;0,IF(A141&lt;=3,7.125-2.625-A141-加速!$L$11,7.125+加速!$K$9-(A141+加速!$L$11-T141)),0),0)+IF(金蛇,IF(COUNTIF(B141,"*千切子裂光*")&gt;0,2+加速!$K$9-(A141+加速!$L$11-T141),0),0)</f>
        <v>0</v>
      </c>
      <c r="V141">
        <f ca="1" t="shared" si="46"/>
        <v>0</v>
      </c>
      <c r="W141">
        <f ca="1" t="shared" si="38"/>
        <v>0</v>
      </c>
      <c r="X141">
        <f ca="1">INDEX(加速!$I$13:$I$21,W141+1)</f>
        <v>0</v>
      </c>
      <c r="Y141">
        <f ca="1" t="shared" si="47"/>
        <v>0.5</v>
      </c>
      <c r="Z141">
        <f ca="1" t="shared" si="43"/>
        <v>0</v>
      </c>
      <c r="AA141">
        <f ca="1">MAX(0,IFERROR(IF(COUNTIF(B141,"*叠*")&gt;0,IF(AC140&lt;3,8-A142+A141,AA140+6.875-A142+A141),AA140-A142+A141),AA140-加速!$L$11))</f>
        <v>0</v>
      </c>
      <c r="AB141">
        <f ca="1">MAX(0,IF(COUNTIF(IF(AND(配装计算器!$K$30&lt;&gt;"∞",0),INDEX(AU141:CB141,1,$AT$1),INDEX(AU141:CB141,1,$AT$1)),"*叠1*")=1,4*25-加速!$L$11,AB140-A141+A140)-IF(OR(COUNTIF(OFFSET(AT141,0,$AT$1,1,1),"*听雷*")&gt;0,AND(碧归&gt;0,COUNTIF(OFFSET(AT141,0,$AT$1,1,1),"*风来*")&gt;0)),0,1)*1.5)</f>
        <v>29.7300000000001</v>
      </c>
      <c r="AC141">
        <f ca="1" t="shared" si="39"/>
        <v>0</v>
      </c>
      <c r="AD141">
        <f ca="1">IF(COUNTIF(IF(AND(配装计算器!$K$30&lt;&gt;"∞",0),INDEX(AU141:CB141,1,$AT$1),INDEX(AU142:CB142,1,$AT$1)),"*叠1*")=1,AB141*0+AE140,0)</f>
        <v>0</v>
      </c>
      <c r="AE141">
        <f ca="1">IF($AN$11&gt;0,IF(COUNTIF(B142,"*叠1*")&gt;0,50-加速!$L$11,MAX(0,AE140-(A142-A141))),0)</f>
        <v>15.9400000000001</v>
      </c>
      <c r="AG141">
        <f ca="1" t="shared" si="40"/>
        <v>4</v>
      </c>
      <c r="AH141" t="s">
        <v>1825</v>
      </c>
      <c r="AI141" t="s">
        <v>2780</v>
      </c>
      <c r="AJ141">
        <f ca="1" t="shared" si="50"/>
        <v>22</v>
      </c>
      <c r="AK141" t="s">
        <v>3107</v>
      </c>
      <c r="AU141" t="s">
        <v>2776</v>
      </c>
      <c r="AV141">
        <v>1</v>
      </c>
      <c r="AW141" t="s">
        <v>2768</v>
      </c>
      <c r="AX141">
        <v>2</v>
      </c>
      <c r="AY141" t="s">
        <v>2776</v>
      </c>
      <c r="AZ141">
        <v>2</v>
      </c>
      <c r="BA141" t="s">
        <v>2768</v>
      </c>
      <c r="BB141">
        <v>2</v>
      </c>
      <c r="BC141" t="s">
        <v>2776</v>
      </c>
      <c r="BD141">
        <v>2</v>
      </c>
      <c r="BE141" t="s">
        <v>3023</v>
      </c>
      <c r="BF141">
        <v>2</v>
      </c>
      <c r="BG141" t="s">
        <v>3067</v>
      </c>
      <c r="BH141">
        <v>0</v>
      </c>
      <c r="BI141" t="s">
        <v>2776</v>
      </c>
      <c r="BJ141">
        <v>2</v>
      </c>
      <c r="BK141" t="s">
        <v>3026</v>
      </c>
      <c r="BL141">
        <v>2</v>
      </c>
      <c r="BM141" s="176" t="s">
        <v>2794</v>
      </c>
      <c r="BN141">
        <v>2</v>
      </c>
      <c r="BO141" s="176" t="s">
        <v>2768</v>
      </c>
      <c r="BP141">
        <v>2</v>
      </c>
      <c r="BQ141" t="s">
        <v>2768</v>
      </c>
      <c r="BR141">
        <v>0</v>
      </c>
      <c r="BS141" t="s">
        <v>2768</v>
      </c>
      <c r="BT141">
        <v>2</v>
      </c>
      <c r="BU141" t="s">
        <v>2776</v>
      </c>
      <c r="BV141">
        <v>0</v>
      </c>
      <c r="BW141" s="182" t="s">
        <v>2776</v>
      </c>
      <c r="BX141" s="179">
        <v>2</v>
      </c>
      <c r="BY141" s="180" t="s">
        <v>2789</v>
      </c>
      <c r="BZ141">
        <v>2</v>
      </c>
      <c r="CA141" s="176" t="s">
        <v>2776</v>
      </c>
      <c r="CB141">
        <v>2</v>
      </c>
    </row>
    <row r="142" spans="1:80">
      <c r="A142" s="178">
        <f ca="1">IFERROR(IF(AG141&lt;5+金蛇*2,IF(COUNTIF(B141,"*轻*")&gt;0,A141+加速!$L$9,A141+加速!$L$11)+V141,""),"")</f>
        <v>182.77</v>
      </c>
      <c r="B142" s="167" t="str">
        <f ca="1" t="shared" si="35"/>
        <v>夕照雷峰</v>
      </c>
      <c r="C142">
        <f ca="1" t="shared" si="44"/>
        <v>15</v>
      </c>
      <c r="D142">
        <f ca="1">IF(B142&lt;&gt;"",IF(C141&lt;=加速!$L$11*(1-E142),0,1),"")</f>
        <v>1</v>
      </c>
      <c r="E142">
        <f ca="1" t="shared" si="41"/>
        <v>0</v>
      </c>
      <c r="G142">
        <f ca="1" t="shared" si="42"/>
        <v>0</v>
      </c>
      <c r="H142">
        <f ca="1">IF(B142&lt;&gt;"",IF(AND(COUNTIF(B141,"*轻*莺鸣柳*")&gt;0,COUNTIF(B142,"*轻*")&lt;1),MAX(0,15+I141-(A142-A141)+COUNTIF(B141,"*平湖*")*0),IF(AND(E142=0,MAX(0,H141-(A142-A141))&lt;=加速!$H$11),0,MAX(0,H141-(A142-A141)))),"")</f>
        <v>0</v>
      </c>
      <c r="I142">
        <f ca="1" t="shared" si="48"/>
        <v>0</v>
      </c>
      <c r="J142">
        <f ca="1" t="shared" si="49"/>
        <v>2</v>
      </c>
      <c r="K142">
        <f ca="1" t="shared" si="36"/>
        <v>2</v>
      </c>
      <c r="L142">
        <f ca="1">IFERROR(IF(AND(COUNTIF(B142,"*-峰插*"),技能数据库!$M$72&gt;0),0,IF(COUNTIF(B142,"*鹤归*")&gt;0,16-加速!$L$11,MAX(0,L141-(A142-A141)))),0)</f>
        <v>10.84</v>
      </c>
      <c r="M142">
        <f ca="1" t="shared" si="37"/>
        <v>0</v>
      </c>
      <c r="N142">
        <f ca="1">IFERROR(IF(AND(COUNTIF(B142,"*-峰插*"),技能数据库!$M$72&gt;0),0,IF(COUNTIF(B142,"*云飞*")&gt;0,4-COUNTIF(B142,"*玉山揽云*")*4--COUNTIF(B142,"*烟流暮景*")*4-COUNTIF(B142,"*云景*")*加速!$L$11-IF(J142&gt;0,2,0),MAX(0,N141-(A142-A141)-IF(J142&gt;0,2,0)))),0)</f>
        <v>0</v>
      </c>
      <c r="O142">
        <f ca="1">IF(AND(COUNTIF(IF(AND(配装计算器!$K$30&lt;&gt;"∞",0),INDEX(AU141:CB141,1,$AT$1),INDEX(AU143:CB143,1,$AT$1)),"*云飞*")=1,COUNTIF(IF(AND(配装计算器!$K$30&lt;&gt;"∞",0),INDEX(AU141:CB141,1,$AT$1),INDEX(AU143:CB143,1,$AT$1)),"*玉山*")=0),N142,0)</f>
        <v>0</v>
      </c>
      <c r="P142">
        <f ca="1">IFERROR(IF(COUNTIF(B142,"*云栖松*")&gt;0,50-加速!$L$11,MAX(0,P141-(A142-A141))),0)</f>
        <v>0</v>
      </c>
      <c r="Q142">
        <f ca="1">IF(COUNTIF(IF(AND(配装计算器!$K$30&lt;&gt;"∞",0),INDEX(AU141:CB141,1,$AT$1),INDEX(AU143:CB143,1,$AT$1)),"*云栖松*")=1,P142,0)</f>
        <v>0</v>
      </c>
      <c r="R142">
        <f ca="1">IFERROR(IF(COUNTIF(B142,"*莺鸣柳*")&gt;0,45-加速!$L$9,MAX(0,R141-(A142-A141))),0)</f>
        <v>0</v>
      </c>
      <c r="S142">
        <f ca="1">IF(COUNTIF(IF(AND(配装计算器!$K$30&lt;&gt;"∞",0),INDEX(AU141:CB141,1,$AT$1),INDEX(AU143:CB143,1,$AT$1)),"*莺鸣柳*")=1,R142,0)</f>
        <v>0</v>
      </c>
      <c r="T142">
        <f ca="1" t="shared" si="45"/>
        <v>0</v>
      </c>
      <c r="U142">
        <f ca="1">IF(金蛇,IF(COUNTIF(B142,"*金环戴*")+COUNTIF(B142,"*吹风醒*")&gt;0,IF(A142&lt;=3,7.125-2.625-A142-加速!$L$11,7.125+加速!$K$9-(A142+加速!$L$11-T142)),0),0)+IF(金蛇,IF(COUNTIF(B142,"*千切子裂光*")&gt;0,2+加速!$K$9-(A142+加速!$L$11-T142),0),0)</f>
        <v>0</v>
      </c>
      <c r="V142">
        <f ca="1" t="shared" si="46"/>
        <v>0</v>
      </c>
      <c r="W142">
        <f ca="1" t="shared" si="38"/>
        <v>0</v>
      </c>
      <c r="X142">
        <f ca="1">INDEX(加速!$I$13:$I$21,W142+1)</f>
        <v>0</v>
      </c>
      <c r="Y142">
        <f ca="1" t="shared" si="47"/>
        <v>0.5</v>
      </c>
      <c r="Z142">
        <f ca="1" t="shared" si="43"/>
        <v>0</v>
      </c>
      <c r="AA142">
        <f ca="1">MAX(0,IFERROR(IF(COUNTIF(B142,"*叠*")&gt;0,IF(AC141&lt;3,8-A143+A142,AA141+6.875-A143+A142),AA141-A143+A142),AA141-加速!$L$11))</f>
        <v>0</v>
      </c>
      <c r="AB142">
        <f ca="1">MAX(0,IF(COUNTIF(IF(AND(配装计算器!$K$30&lt;&gt;"∞",0),INDEX(AU142:CB142,1,$AT$1),INDEX(AU142:CB142,1,$AT$1)),"*叠1*")=1,4*25-加速!$L$11,AB141-A142+A141)-IF(OR(COUNTIF(OFFSET(AT142,0,$AT$1,1,1),"*听雷*")&gt;0,AND(碧归&gt;0,COUNTIF(OFFSET(AT142,0,$AT$1,1,1),"*风来*")&gt;0)),0,1)*1.5)</f>
        <v>26.9400000000001</v>
      </c>
      <c r="AC142">
        <f ca="1" t="shared" si="39"/>
        <v>0</v>
      </c>
      <c r="AD142">
        <f ca="1">IF(COUNTIF(IF(AND(配装计算器!$K$30&lt;&gt;"∞",0),INDEX(AU142:CB142,1,$AT$1),INDEX(AU143:CB143,1,$AT$1)),"*叠1*")=1,AB142*0+AE141,0)</f>
        <v>0</v>
      </c>
      <c r="AE142">
        <f ca="1">IF($AN$11&gt;0,IF(COUNTIF(B143,"*叠1*")&gt;0,50-加速!$L$11,MAX(0,AE141-(A143-A142))),0)</f>
        <v>14.6500000000001</v>
      </c>
      <c r="AG142">
        <f ca="1" t="shared" si="40"/>
        <v>4</v>
      </c>
      <c r="AH142" t="s">
        <v>1825</v>
      </c>
      <c r="AI142" t="s">
        <v>2808</v>
      </c>
      <c r="AJ142">
        <f ca="1">循环比*COUNTIFS($B$3:$B$515,"*"&amp;AI142&amp;"*",$D$3:$D$515,"=1",$H$3:$H$515,"=0",$G$3:$G$515,"=0",$K$3:$K$515,"=2",$AC$3:$AC$515,"=1")</f>
        <v>0</v>
      </c>
      <c r="AK142" t="s">
        <v>3105</v>
      </c>
      <c r="AU142" t="s">
        <v>2768</v>
      </c>
      <c r="AV142">
        <v>1</v>
      </c>
      <c r="AW142" s="180" t="s">
        <v>2789</v>
      </c>
      <c r="AX142">
        <v>2</v>
      </c>
      <c r="AY142" t="s">
        <v>2768</v>
      </c>
      <c r="AZ142">
        <v>2</v>
      </c>
      <c r="BA142" t="s">
        <v>2768</v>
      </c>
      <c r="BB142">
        <v>2</v>
      </c>
      <c r="BC142" t="s">
        <v>2768</v>
      </c>
      <c r="BD142">
        <v>2</v>
      </c>
      <c r="BE142" s="182" t="s">
        <v>2768</v>
      </c>
      <c r="BF142">
        <v>2</v>
      </c>
      <c r="BG142" t="s">
        <v>2768</v>
      </c>
      <c r="BH142">
        <v>2</v>
      </c>
      <c r="BI142" t="s">
        <v>2768</v>
      </c>
      <c r="BJ142">
        <v>2</v>
      </c>
      <c r="BK142" t="s">
        <v>3026</v>
      </c>
      <c r="BL142">
        <v>2</v>
      </c>
      <c r="BM142" s="176" t="s">
        <v>2776</v>
      </c>
      <c r="BN142">
        <v>2</v>
      </c>
      <c r="BO142" s="176" t="s">
        <v>2808</v>
      </c>
      <c r="BP142">
        <v>2</v>
      </c>
      <c r="BQ142" t="s">
        <v>2776</v>
      </c>
      <c r="BR142">
        <v>0</v>
      </c>
      <c r="BS142" t="s">
        <v>2776</v>
      </c>
      <c r="BT142">
        <v>2</v>
      </c>
      <c r="BU142" t="s">
        <v>1886</v>
      </c>
      <c r="BV142">
        <v>0</v>
      </c>
      <c r="BW142" s="182" t="s">
        <v>2768</v>
      </c>
      <c r="BX142" s="179">
        <v>2</v>
      </c>
      <c r="BY142" s="176" t="s">
        <v>2794</v>
      </c>
      <c r="BZ142">
        <v>2</v>
      </c>
      <c r="CA142" s="176" t="s">
        <v>2768</v>
      </c>
      <c r="CB142">
        <v>2</v>
      </c>
    </row>
    <row r="143" spans="1:80">
      <c r="A143" s="178">
        <f ca="1">IFERROR(IF(AG142&lt;5+金蛇*2,IF(COUNTIF(B142,"*轻*")&gt;0,A142+加速!$L$9,A142+加速!$L$11)+V142,""),"")</f>
        <v>184.06</v>
      </c>
      <c r="B143" s="167" t="str">
        <f ca="1" t="shared" si="35"/>
        <v>云飞玉皇</v>
      </c>
      <c r="C143">
        <f ca="1" t="shared" si="44"/>
        <v>13.71</v>
      </c>
      <c r="D143">
        <f ca="1">IF(B143&lt;&gt;"",IF(C142&lt;=加速!$L$11*(1-E143),0,1),"")</f>
        <v>1</v>
      </c>
      <c r="E143">
        <f ca="1" t="shared" si="41"/>
        <v>0</v>
      </c>
      <c r="G143">
        <f ca="1" t="shared" si="42"/>
        <v>0</v>
      </c>
      <c r="H143">
        <f ca="1">IF(B143&lt;&gt;"",IF(AND(COUNTIF(B142,"*轻*莺鸣柳*")&gt;0,COUNTIF(B143,"*轻*")&lt;1),MAX(0,15+I142-(A143-A142)+COUNTIF(B142,"*平湖*")*0),IF(AND(E143=0,MAX(0,H142-(A143-A142))&lt;=加速!$H$11),0,MAX(0,H142-(A143-A142)))),"")</f>
        <v>0</v>
      </c>
      <c r="I143">
        <f ca="1" t="shared" si="48"/>
        <v>0</v>
      </c>
      <c r="J143">
        <f ca="1" t="shared" si="49"/>
        <v>1</v>
      </c>
      <c r="K143">
        <f ca="1" t="shared" si="36"/>
        <v>1</v>
      </c>
      <c r="L143">
        <f ca="1">IFERROR(IF(AND(COUNTIF(B143,"*-峰插*"),技能数据库!$M$72&gt;0),0,IF(COUNTIF(B143,"*鹤归*")&gt;0,16-加速!$L$11,MAX(0,L142-(A143-A142)))),0)</f>
        <v>9.55000000000003</v>
      </c>
      <c r="M143">
        <f ca="1" t="shared" si="37"/>
        <v>0</v>
      </c>
      <c r="N143">
        <f ca="1">IFERROR(IF(AND(COUNTIF(B143,"*-峰插*"),技能数据库!$M$72&gt;0),0,IF(COUNTIF(B143,"*云飞*")&gt;0,4-COUNTIF(B143,"*玉山揽云*")*4--COUNTIF(B143,"*烟流暮景*")*4-COUNTIF(B143,"*云景*")*加速!$L$11-IF(J143&gt;0,2,0),MAX(0,N142-(A143-A142)-IF(J143&gt;0,2,0)))),0)</f>
        <v>2</v>
      </c>
      <c r="O143">
        <f ca="1">IF(AND(COUNTIF(IF(AND(配装计算器!$K$30&lt;&gt;"∞",0),INDEX(AU142:CB142,1,$AT$1),INDEX(AU144:CB144,1,$AT$1)),"*云飞*")=1,COUNTIF(IF(AND(配装计算器!$K$30&lt;&gt;"∞",0),INDEX(AU142:CB142,1,$AT$1),INDEX(AU144:CB144,1,$AT$1)),"*玉山*")=0),N143,0)</f>
        <v>0</v>
      </c>
      <c r="P143">
        <f ca="1">IFERROR(IF(COUNTIF(B143,"*云栖松*")&gt;0,50-加速!$L$11,MAX(0,P142-(A143-A142))),0)</f>
        <v>0</v>
      </c>
      <c r="Q143">
        <f ca="1">IF(COUNTIF(IF(AND(配装计算器!$K$30&lt;&gt;"∞",0),INDEX(AU142:CB142,1,$AT$1),INDEX(AU144:CB144,1,$AT$1)),"*云栖松*")=1,P143,0)</f>
        <v>0</v>
      </c>
      <c r="R143">
        <f ca="1">IFERROR(IF(COUNTIF(B143,"*莺鸣柳*")&gt;0,45-加速!$L$9,MAX(0,R142-(A143-A142))),0)</f>
        <v>0</v>
      </c>
      <c r="S143">
        <f ca="1">IF(COUNTIF(IF(AND(配装计算器!$K$30&lt;&gt;"∞",0),INDEX(AU142:CB142,1,$AT$1),INDEX(AU144:CB144,1,$AT$1)),"*莺鸣柳*")=1,R143,0)</f>
        <v>0</v>
      </c>
      <c r="T143">
        <f ca="1" t="shared" si="45"/>
        <v>0</v>
      </c>
      <c r="U143">
        <f ca="1">IF(金蛇,IF(COUNTIF(B143,"*金环戴*")+COUNTIF(B143,"*吹风醒*")&gt;0,IF(A143&lt;=3,7.125-2.625-A143-加速!$L$11,7.125+加速!$K$9-(A143+加速!$L$11-T143)),0),0)+IF(金蛇,IF(COUNTIF(B143,"*千切子裂光*")&gt;0,2+加速!$K$9-(A143+加速!$L$11-T143),0),0)</f>
        <v>0</v>
      </c>
      <c r="V143">
        <f ca="1" t="shared" si="46"/>
        <v>0</v>
      </c>
      <c r="W143">
        <f ca="1" t="shared" si="38"/>
        <v>0</v>
      </c>
      <c r="X143">
        <f ca="1">INDEX(加速!$I$13:$I$21,W143+1)</f>
        <v>0</v>
      </c>
      <c r="Y143">
        <f ca="1" t="shared" si="47"/>
        <v>0.5</v>
      </c>
      <c r="Z143">
        <f ca="1" t="shared" si="43"/>
        <v>0</v>
      </c>
      <c r="AA143">
        <f ca="1">MAX(0,IFERROR(IF(COUNTIF(B143,"*叠*")&gt;0,IF(AC142&lt;3,8-A144+A143,AA142+6.875-A144+A143),AA142-A144+A143),AA142-加速!$L$11))</f>
        <v>0</v>
      </c>
      <c r="AB143">
        <f ca="1">MAX(0,IF(COUNTIF(IF(AND(配装计算器!$K$30&lt;&gt;"∞",0),INDEX(AU143:CB143,1,$AT$1),INDEX(AU143:CB143,1,$AT$1)),"*叠1*")=1,4*25-加速!$L$11,AB142-A143+A142)-IF(OR(COUNTIF(OFFSET(AT143,0,$AT$1,1,1),"*听雷*")&gt;0,AND(碧归&gt;0,COUNTIF(OFFSET(AT143,0,$AT$1,1,1),"*风来*")&gt;0)),0,1)*1.5)</f>
        <v>24.1500000000001</v>
      </c>
      <c r="AC143">
        <f ca="1" t="shared" si="39"/>
        <v>0</v>
      </c>
      <c r="AD143">
        <f ca="1">IF(COUNTIF(IF(AND(配装计算器!$K$30&lt;&gt;"∞",0),INDEX(AU143:CB143,1,$AT$1),INDEX(AU144:CB144,1,$AT$1)),"*叠1*")=1,AB143*0+AE142,0)</f>
        <v>0</v>
      </c>
      <c r="AE143">
        <f ca="1">IF($AN$11&gt;0,IF(COUNTIF(B144,"*叠1*")&gt;0,50-加速!$L$11,MAX(0,AE142-(A144-A143))),0)</f>
        <v>13.3600000000001</v>
      </c>
      <c r="AG143">
        <f ca="1" t="shared" si="40"/>
        <v>4</v>
      </c>
      <c r="AH143" t="s">
        <v>1825</v>
      </c>
      <c r="AI143" t="s">
        <v>2808</v>
      </c>
      <c r="AJ143">
        <f ca="1">循环比*COUNTIFS($B$3:$B$515,"*"&amp;AI143&amp;"*",$D$3:$D$515,"=1",$H$3:$H$515,"=0",$G$3:$G$515,"=0",$K$3:$K$515,"=2",$AC$3:$AC$515,"=2")</f>
        <v>3</v>
      </c>
      <c r="AK143" t="s">
        <v>3106</v>
      </c>
      <c r="AU143" t="s">
        <v>2768</v>
      </c>
      <c r="AV143">
        <v>1</v>
      </c>
      <c r="AW143" s="176" t="s">
        <v>2794</v>
      </c>
      <c r="AX143">
        <v>2</v>
      </c>
      <c r="AY143" t="s">
        <v>2768</v>
      </c>
      <c r="AZ143">
        <v>2</v>
      </c>
      <c r="BA143" t="s">
        <v>2768</v>
      </c>
      <c r="BB143">
        <v>1</v>
      </c>
      <c r="BC143" t="s">
        <v>2776</v>
      </c>
      <c r="BD143">
        <v>2</v>
      </c>
      <c r="BE143" s="176" t="s">
        <v>2768</v>
      </c>
      <c r="BF143">
        <v>2</v>
      </c>
      <c r="BG143" t="s">
        <v>2768</v>
      </c>
      <c r="BH143">
        <v>2</v>
      </c>
      <c r="BI143" t="s">
        <v>2776</v>
      </c>
      <c r="BJ143">
        <v>1</v>
      </c>
      <c r="BK143" t="s">
        <v>2776</v>
      </c>
      <c r="BL143">
        <v>2</v>
      </c>
      <c r="BM143" s="176" t="s">
        <v>2768</v>
      </c>
      <c r="BN143">
        <v>2</v>
      </c>
      <c r="BO143" t="str">
        <f>IF(0,"云飞玉皇-玉山揽云","夕照雷峰")</f>
        <v>夕照雷峰</v>
      </c>
      <c r="BP143">
        <v>2</v>
      </c>
      <c r="BQ143" t="s">
        <v>1886</v>
      </c>
      <c r="BR143">
        <v>2</v>
      </c>
      <c r="BS143" t="s">
        <v>2768</v>
      </c>
      <c r="BT143">
        <v>1</v>
      </c>
      <c r="BU143" t="s">
        <v>2853</v>
      </c>
      <c r="BV143">
        <v>2</v>
      </c>
      <c r="BW143" s="182" t="s">
        <v>2776</v>
      </c>
      <c r="BX143" s="179">
        <v>2</v>
      </c>
      <c r="BY143" s="176" t="s">
        <v>2776</v>
      </c>
      <c r="BZ143">
        <v>2</v>
      </c>
      <c r="CA143" s="176" t="s">
        <v>2808</v>
      </c>
      <c r="CB143">
        <v>2</v>
      </c>
    </row>
    <row r="144" spans="1:80">
      <c r="A144" s="178">
        <f ca="1">IFERROR(IF(AG143&lt;5+金蛇*2,IF(COUNTIF(B143,"*轻*")&gt;0,A143+加速!$L$9,A143+加速!$L$11)+V143,""),"")</f>
        <v>185.35</v>
      </c>
      <c r="B144" s="167" t="str">
        <f ca="1" t="shared" si="35"/>
        <v>夕照雷峰</v>
      </c>
      <c r="C144">
        <f ca="1" t="shared" si="44"/>
        <v>15</v>
      </c>
      <c r="D144">
        <f ca="1">IF(B144&lt;&gt;"",IF(C143&lt;=加速!$L$11*(1-E144),0,1),"")</f>
        <v>1</v>
      </c>
      <c r="E144">
        <f ca="1" t="shared" si="41"/>
        <v>0</v>
      </c>
      <c r="G144">
        <f ca="1" t="shared" si="42"/>
        <v>0</v>
      </c>
      <c r="H144">
        <f ca="1">IF(B144&lt;&gt;"",IF(AND(COUNTIF(B143,"*轻*莺鸣柳*")&gt;0,COUNTIF(B144,"*轻*")&lt;1),MAX(0,15+I143-(A144-A143)+COUNTIF(B143,"*平湖*")*0),IF(AND(E144=0,MAX(0,H143-(A144-A143))&lt;=加速!$H$11),0,MAX(0,H143-(A144-A143)))),"")</f>
        <v>0</v>
      </c>
      <c r="I144">
        <f ca="1" t="shared" si="48"/>
        <v>0</v>
      </c>
      <c r="J144">
        <f ca="1" t="shared" si="49"/>
        <v>1</v>
      </c>
      <c r="K144">
        <f ca="1" t="shared" si="36"/>
        <v>1</v>
      </c>
      <c r="L144">
        <f ca="1">IFERROR(IF(AND(COUNTIF(B144,"*-峰插*"),技能数据库!$M$72&gt;0),0,IF(COUNTIF(B144,"*鹤归*")&gt;0,16-加速!$L$11,MAX(0,L143-(A144-A143)))),0)</f>
        <v>8.26000000000004</v>
      </c>
      <c r="M144">
        <f ca="1" t="shared" si="37"/>
        <v>0</v>
      </c>
      <c r="N144">
        <f ca="1">IFERROR(IF(AND(COUNTIF(B144,"*-峰插*"),技能数据库!$M$72&gt;0),0,IF(COUNTIF(B144,"*云飞*")&gt;0,4-COUNTIF(B144,"*玉山揽云*")*4--COUNTIF(B144,"*烟流暮景*")*4-COUNTIF(B144,"*云景*")*加速!$L$11-IF(J144&gt;0,2,0),MAX(0,N143-(A144-A143)-IF(J144&gt;0,2,0)))),0)</f>
        <v>0</v>
      </c>
      <c r="O144">
        <f ca="1">IF(AND(COUNTIF(IF(AND(配装计算器!$K$30&lt;&gt;"∞",0),INDEX(AU143:CB143,1,$AT$1),INDEX(AU145:CB145,1,$AT$1)),"*云飞*")=1,COUNTIF(IF(AND(配装计算器!$K$30&lt;&gt;"∞",0),INDEX(AU143:CB143,1,$AT$1),INDEX(AU145:CB145,1,$AT$1)),"*玉山*")=0),N144,0)</f>
        <v>0</v>
      </c>
      <c r="P144">
        <f ca="1">IFERROR(IF(COUNTIF(B144,"*云栖松*")&gt;0,50-加速!$L$11,MAX(0,P143-(A144-A143))),0)</f>
        <v>0</v>
      </c>
      <c r="Q144">
        <f ca="1">IF(COUNTIF(IF(AND(配装计算器!$K$30&lt;&gt;"∞",0),INDEX(AU143:CB143,1,$AT$1),INDEX(AU145:CB145,1,$AT$1)),"*云栖松*")=1,P144,0)</f>
        <v>0</v>
      </c>
      <c r="R144">
        <f ca="1">IFERROR(IF(COUNTIF(B144,"*莺鸣柳*")&gt;0,45-加速!$L$9,MAX(0,R143-(A144-A143))),0)</f>
        <v>0</v>
      </c>
      <c r="S144">
        <f ca="1">IF(COUNTIF(IF(AND(配装计算器!$K$30&lt;&gt;"∞",0),INDEX(AU143:CB143,1,$AT$1),INDEX(AU145:CB145,1,$AT$1)),"*莺鸣柳*")=1,R144,0)</f>
        <v>0</v>
      </c>
      <c r="T144">
        <f ca="1" t="shared" si="45"/>
        <v>0</v>
      </c>
      <c r="U144">
        <f ca="1">IF(金蛇,IF(COUNTIF(B144,"*金环戴*")+COUNTIF(B144,"*吹风醒*")&gt;0,IF(A144&lt;=3,7.125-2.625-A144-加速!$L$11,7.125+加速!$K$9-(A144+加速!$L$11-T144)),0),0)+IF(金蛇,IF(COUNTIF(B144,"*千切子裂光*")&gt;0,2+加速!$K$9-(A144+加速!$L$11-T144),0),0)</f>
        <v>0</v>
      </c>
      <c r="V144">
        <f ca="1" t="shared" si="46"/>
        <v>0</v>
      </c>
      <c r="W144">
        <f ca="1" t="shared" si="38"/>
        <v>0</v>
      </c>
      <c r="X144">
        <f ca="1">INDEX(加速!$I$13:$I$21,W144+1)</f>
        <v>0</v>
      </c>
      <c r="Y144">
        <f ca="1" t="shared" si="47"/>
        <v>0.5</v>
      </c>
      <c r="Z144">
        <f ca="1" t="shared" si="43"/>
        <v>0</v>
      </c>
      <c r="AA144">
        <f ca="1">MAX(0,IFERROR(IF(COUNTIF(B144,"*叠*")&gt;0,IF(AC143&lt;3,8-A145+A144,AA143+6.875-A145+A144),AA143-A145+A144),AA143-加速!$L$11))</f>
        <v>0</v>
      </c>
      <c r="AB144">
        <f ca="1">MAX(0,IF(COUNTIF(IF(AND(配装计算器!$K$30&lt;&gt;"∞",0),INDEX(AU144:CB144,1,$AT$1),INDEX(AU144:CB144,1,$AT$1)),"*叠1*")=1,4*25-加速!$L$11,AB143-A144+A143)-IF(OR(COUNTIF(OFFSET(AT144,0,$AT$1,1,1),"*听雷*")&gt;0,AND(碧归&gt;0,COUNTIF(OFFSET(AT144,0,$AT$1,1,1),"*风来*")&gt;0)),0,1)*1.5)</f>
        <v>21.3600000000001</v>
      </c>
      <c r="AC144">
        <f ca="1" t="shared" si="39"/>
        <v>0</v>
      </c>
      <c r="AD144">
        <f ca="1">IF(COUNTIF(IF(AND(配装计算器!$K$30&lt;&gt;"∞",0),INDEX(AU144:CB144,1,$AT$1),INDEX(AU145:CB145,1,$AT$1)),"*叠1*")=1,AB144*0+AE143,0)</f>
        <v>0</v>
      </c>
      <c r="AE144">
        <f ca="1">IF($AN$11&gt;0,IF(COUNTIF(B145,"*叠1*")&gt;0,50-加速!$L$11,MAX(0,AE143-(A145-A144))),0)</f>
        <v>12.0700000000001</v>
      </c>
      <c r="AG144">
        <f ca="1" t="shared" si="40"/>
        <v>4</v>
      </c>
      <c r="AH144" t="s">
        <v>1825</v>
      </c>
      <c r="AI144" t="s">
        <v>2808</v>
      </c>
      <c r="AJ144">
        <f ca="1">循环比*COUNTIFS($B$3:$B$515,"*"&amp;AI144&amp;"*",$D$3:$D$515,"=1",$H$3:$H$515,"=0",$G$3:$G$515,"=0",$K$3:$K$515,"=2",$AC$3:$AC$515,"=3")</f>
        <v>4</v>
      </c>
      <c r="AK144" t="s">
        <v>3107</v>
      </c>
      <c r="AU144" t="s">
        <v>3063</v>
      </c>
      <c r="AV144">
        <v>2</v>
      </c>
      <c r="AW144" s="176" t="s">
        <v>2776</v>
      </c>
      <c r="AX144">
        <v>2</v>
      </c>
      <c r="AY144" t="s">
        <v>2768</v>
      </c>
      <c r="AZ144">
        <v>1</v>
      </c>
      <c r="BA144" t="s">
        <v>2776</v>
      </c>
      <c r="BB144">
        <v>1</v>
      </c>
      <c r="BC144" t="s">
        <v>2768</v>
      </c>
      <c r="BD144">
        <v>1</v>
      </c>
      <c r="BE144" s="176" t="s">
        <v>2789</v>
      </c>
      <c r="BF144">
        <v>2</v>
      </c>
      <c r="BG144" s="176" t="s">
        <v>2794</v>
      </c>
      <c r="BH144">
        <v>1</v>
      </c>
      <c r="BI144" t="s">
        <v>2768</v>
      </c>
      <c r="BJ144">
        <v>1</v>
      </c>
      <c r="BK144" t="s">
        <v>2794</v>
      </c>
      <c r="BL144">
        <v>2</v>
      </c>
      <c r="BM144" s="176" t="s">
        <v>2776</v>
      </c>
      <c r="BN144">
        <v>2</v>
      </c>
      <c r="BO144" t="str">
        <f>IF(0,"云飞玉皇-玉山揽云","云飞玉皇")</f>
        <v>云飞玉皇</v>
      </c>
      <c r="BP144">
        <v>2</v>
      </c>
      <c r="BQ144" t="s">
        <v>2853</v>
      </c>
      <c r="BR144">
        <v>2</v>
      </c>
      <c r="BS144" t="str">
        <f>IF(秋,"云栖松","泉凝月")</f>
        <v>泉凝月</v>
      </c>
      <c r="BT144">
        <v>1</v>
      </c>
      <c r="BU144" s="176" t="str">
        <f>IF(秋,"金蛇锥-金环戴","金蛇锥-吹风醒")</f>
        <v>金蛇锥-吹风醒</v>
      </c>
      <c r="BV144">
        <v>2</v>
      </c>
      <c r="BW144" s="182" t="s">
        <v>2768</v>
      </c>
      <c r="BX144" s="179">
        <v>2</v>
      </c>
      <c r="BY144" s="176" t="s">
        <v>2768</v>
      </c>
      <c r="BZ144">
        <v>2</v>
      </c>
      <c r="CA144" t="str">
        <f>IF(0,"风来吴山","风来吴山")</f>
        <v>风来吴山</v>
      </c>
      <c r="CB144">
        <v>2</v>
      </c>
    </row>
    <row r="145" spans="1:80">
      <c r="A145" s="178">
        <f ca="1">IFERROR(IF(AG144&lt;5+金蛇*2,IF(COUNTIF(B144,"*轻*")&gt;0,A144+加速!$L$9,A144+加速!$L$11)+V144,""),"")</f>
        <v>186.64</v>
      </c>
      <c r="B145" s="167" t="str">
        <f ca="1" t="shared" si="35"/>
        <v>云飞玉皇</v>
      </c>
      <c r="C145">
        <f ca="1" t="shared" si="44"/>
        <v>13.71</v>
      </c>
      <c r="D145">
        <f ca="1">IF(B145&lt;&gt;"",IF(C144&lt;=加速!$L$11*(1-E145),0,1),"")</f>
        <v>1</v>
      </c>
      <c r="E145">
        <f ca="1" t="shared" si="41"/>
        <v>0</v>
      </c>
      <c r="G145">
        <f ca="1" t="shared" si="42"/>
        <v>0</v>
      </c>
      <c r="H145">
        <f ca="1">IF(B145&lt;&gt;"",IF(AND(COUNTIF(B144,"*轻*莺鸣柳*")&gt;0,COUNTIF(B145,"*轻*")&lt;1),MAX(0,15+I144-(A145-A144)+COUNTIF(B144,"*平湖*")*0),IF(AND(E145=0,MAX(0,H144-(A145-A144))&lt;=加速!$H$11),0,MAX(0,H144-(A145-A144)))),"")</f>
        <v>0</v>
      </c>
      <c r="I145">
        <f ca="1" t="shared" si="48"/>
        <v>0</v>
      </c>
      <c r="J145">
        <f ca="1" t="shared" si="49"/>
        <v>0</v>
      </c>
      <c r="K145">
        <f ca="1" t="shared" si="36"/>
        <v>0</v>
      </c>
      <c r="L145">
        <f ca="1">IFERROR(IF(AND(COUNTIF(B145,"*-峰插*"),技能数据库!$M$72&gt;0),0,IF(COUNTIF(B145,"*鹤归*")&gt;0,16-加速!$L$11,MAX(0,L144-(A145-A144)))),0)</f>
        <v>6.97000000000005</v>
      </c>
      <c r="M145">
        <f ca="1" t="shared" si="37"/>
        <v>0</v>
      </c>
      <c r="N145">
        <f ca="1">IFERROR(IF(AND(COUNTIF(B145,"*-峰插*"),技能数据库!$M$72&gt;0),0,IF(COUNTIF(B145,"*云飞*")&gt;0,4-COUNTIF(B145,"*玉山揽云*")*4--COUNTIF(B145,"*烟流暮景*")*4-COUNTIF(B145,"*云景*")*加速!$L$11-IF(J145&gt;0,2,0),MAX(0,N144-(A145-A144)-IF(J145&gt;0,2,0)))),0)</f>
        <v>4</v>
      </c>
      <c r="O145">
        <f ca="1">IF(AND(COUNTIF(IF(AND(配装计算器!$K$30&lt;&gt;"∞",0),INDEX(AU144:CB144,1,$AT$1),INDEX(AU146:CB146,1,$AT$1)),"*云飞*")=1,COUNTIF(IF(AND(配装计算器!$K$30&lt;&gt;"∞",0),INDEX(AU144:CB144,1,$AT$1),INDEX(AU146:CB146,1,$AT$1)),"*玉山*")=0),N145,0)</f>
        <v>0</v>
      </c>
      <c r="P145">
        <f ca="1">IFERROR(IF(COUNTIF(B145,"*云栖松*")&gt;0,50-加速!$L$11,MAX(0,P144-(A145-A144))),0)</f>
        <v>0</v>
      </c>
      <c r="Q145">
        <f ca="1">IF(COUNTIF(IF(AND(配装计算器!$K$30&lt;&gt;"∞",0),INDEX(AU144:CB144,1,$AT$1),INDEX(AU146:CB146,1,$AT$1)),"*云栖松*")=1,P145,0)</f>
        <v>0</v>
      </c>
      <c r="R145">
        <f ca="1">IFERROR(IF(COUNTIF(B145,"*莺鸣柳*")&gt;0,45-加速!$L$9,MAX(0,R144-(A145-A144))),0)</f>
        <v>0</v>
      </c>
      <c r="S145">
        <f ca="1">IF(COUNTIF(IF(AND(配装计算器!$K$30&lt;&gt;"∞",0),INDEX(AU144:CB144,1,$AT$1),INDEX(AU146:CB146,1,$AT$1)),"*莺鸣柳*")=1,R145,0)</f>
        <v>0</v>
      </c>
      <c r="T145">
        <f ca="1" t="shared" si="45"/>
        <v>0</v>
      </c>
      <c r="U145">
        <f ca="1">IF(金蛇,IF(COUNTIF(B145,"*金环戴*")+COUNTIF(B145,"*吹风醒*")&gt;0,IF(A145&lt;=3,7.125-2.625-A145-加速!$L$11,7.125+加速!$K$9-(A145+加速!$L$11-T145)),0),0)+IF(金蛇,IF(COUNTIF(B145,"*千切子裂光*")&gt;0,2+加速!$K$9-(A145+加速!$L$11-T145),0),0)</f>
        <v>0</v>
      </c>
      <c r="V145">
        <f ca="1" t="shared" si="46"/>
        <v>0</v>
      </c>
      <c r="W145">
        <f ca="1" t="shared" si="38"/>
        <v>0</v>
      </c>
      <c r="X145">
        <f ca="1">INDEX(加速!$I$13:$I$21,W145+1)</f>
        <v>0</v>
      </c>
      <c r="Y145">
        <f ca="1" t="shared" si="47"/>
        <v>0.5</v>
      </c>
      <c r="Z145">
        <f ca="1" t="shared" si="43"/>
        <v>0</v>
      </c>
      <c r="AA145">
        <f ca="1">MAX(0,IFERROR(IF(COUNTIF(B145,"*叠*")&gt;0,IF(AC144&lt;3,8-A146+A145,AA144+6.875-A146+A145),AA144-A146+A145),AA144-加速!$L$11))</f>
        <v>0</v>
      </c>
      <c r="AB145">
        <f ca="1">MAX(0,IF(COUNTIF(IF(AND(配装计算器!$K$30&lt;&gt;"∞",0),INDEX(AU145:CB145,1,$AT$1),INDEX(AU145:CB145,1,$AT$1)),"*叠1*")=1,4*25-加速!$L$11,AB144-A145+A144)-IF(OR(COUNTIF(OFFSET(AT145,0,$AT$1,1,1),"*听雷*")&gt;0,AND(碧归&gt;0,COUNTIF(OFFSET(AT145,0,$AT$1,1,1),"*风来*")&gt;0)),0,1)*1.5)</f>
        <v>18.5700000000001</v>
      </c>
      <c r="AC145">
        <f ca="1" t="shared" si="39"/>
        <v>0</v>
      </c>
      <c r="AD145">
        <f ca="1">IF(COUNTIF(IF(AND(配装计算器!$K$30&lt;&gt;"∞",0),INDEX(AU145:CB145,1,$AT$1),INDEX(AU146:CB146,1,$AT$1)),"*叠1*")=1,AB145*0+AE144,0)</f>
        <v>0</v>
      </c>
      <c r="AE145">
        <f ca="1">IF($AN$11&gt;0,IF(COUNTIF(B146,"*叠1*")&gt;0,50-加速!$L$11,MAX(0,AE144-(A146-A145))),0)</f>
        <v>10.7800000000001</v>
      </c>
      <c r="AG145">
        <f ca="1" t="shared" si="40"/>
        <v>4</v>
      </c>
      <c r="AH145" t="s">
        <v>1825</v>
      </c>
      <c r="AI145" t="s">
        <v>2768</v>
      </c>
      <c r="AJ145">
        <f ca="1">循环比*COUNTIFS($B$3:$B$515,"*"&amp;AI145&amp;"*",$D$3:$D$515,"=1",$H$3:$H$515,"=0",$G$3:$G$515,"=0",$K$3:$K$515,"=2",$AC$3:$AC$515,"=1")</f>
        <v>4</v>
      </c>
      <c r="AK145" t="s">
        <v>3105</v>
      </c>
      <c r="AU145" t="s">
        <v>2776</v>
      </c>
      <c r="AV145">
        <v>1</v>
      </c>
      <c r="AW145" s="176" t="s">
        <v>2768</v>
      </c>
      <c r="AX145">
        <v>2</v>
      </c>
      <c r="AY145" t="s">
        <v>2776</v>
      </c>
      <c r="AZ145">
        <v>1</v>
      </c>
      <c r="BA145" t="s">
        <v>2768</v>
      </c>
      <c r="BB145">
        <v>1</v>
      </c>
      <c r="BC145" t="s">
        <v>2768</v>
      </c>
      <c r="BD145">
        <v>1</v>
      </c>
      <c r="BE145" s="176" t="s">
        <v>2776</v>
      </c>
      <c r="BF145">
        <v>2</v>
      </c>
      <c r="BG145" t="s">
        <v>2776</v>
      </c>
      <c r="BH145">
        <v>1</v>
      </c>
      <c r="BI145" t="s">
        <v>2776</v>
      </c>
      <c r="BJ145">
        <v>0</v>
      </c>
      <c r="BK145" t="s">
        <v>2768</v>
      </c>
      <c r="BL145">
        <v>2</v>
      </c>
      <c r="BM145" s="176" t="s">
        <v>2768</v>
      </c>
      <c r="BN145">
        <v>2</v>
      </c>
      <c r="BO145" s="176" t="str">
        <f>IF(秋,"夕照雷峰","千切子寒光-千切子裂光")</f>
        <v>千切子寒光-千切子裂光</v>
      </c>
      <c r="BP145">
        <v>2</v>
      </c>
      <c r="BQ145" s="176" t="s">
        <v>2850</v>
      </c>
      <c r="BR145">
        <f>IF(0,2,0)</f>
        <v>0</v>
      </c>
      <c r="BS145" t="s">
        <v>2768</v>
      </c>
      <c r="BT145">
        <v>0</v>
      </c>
      <c r="BU145" t="s">
        <v>2773</v>
      </c>
      <c r="BV145">
        <v>2</v>
      </c>
      <c r="BW145" s="182" t="s">
        <v>2808</v>
      </c>
      <c r="BX145" s="179">
        <v>2</v>
      </c>
      <c r="BY145" s="176" t="s">
        <v>2776</v>
      </c>
      <c r="BZ145">
        <v>2</v>
      </c>
      <c r="CA145" t="str">
        <f>IF(0,"云飞玉皇-玉山揽云","云飞玉皇")</f>
        <v>云飞玉皇</v>
      </c>
      <c r="CB145">
        <v>2</v>
      </c>
    </row>
    <row r="146" spans="1:80">
      <c r="A146" s="178">
        <f ca="1">IFERROR(IF(AG145&lt;5+金蛇*2,IF(COUNTIF(B145,"*轻*")&gt;0,A145+加速!$L$9,A145+加速!$L$11)+V145,""),"")</f>
        <v>187.93</v>
      </c>
      <c r="B146" s="167" t="str">
        <f ca="1" t="shared" si="35"/>
        <v>夕照雷峰</v>
      </c>
      <c r="C146">
        <f ca="1" t="shared" si="44"/>
        <v>15</v>
      </c>
      <c r="D146">
        <f ca="1">IF(B146&lt;&gt;"",IF(C145&lt;=加速!$L$11*(1-E146),0,1),"")</f>
        <v>1</v>
      </c>
      <c r="E146">
        <f ca="1" t="shared" si="41"/>
        <v>0</v>
      </c>
      <c r="G146">
        <f ca="1" t="shared" si="42"/>
        <v>0</v>
      </c>
      <c r="H146">
        <f ca="1">IF(B146&lt;&gt;"",IF(AND(COUNTIF(B145,"*轻*莺鸣柳*")&gt;0,COUNTIF(B146,"*轻*")&lt;1),MAX(0,15+I145-(A146-A145)+COUNTIF(B145,"*平湖*")*0),IF(AND(E146=0,MAX(0,H145-(A146-A145))&lt;=加速!$H$11),0,MAX(0,H145-(A146-A145)))),"")</f>
        <v>0</v>
      </c>
      <c r="I146">
        <f ca="1" t="shared" si="48"/>
        <v>0</v>
      </c>
      <c r="J146">
        <f ca="1" t="shared" si="49"/>
        <v>0</v>
      </c>
      <c r="K146">
        <f ca="1" t="shared" si="36"/>
        <v>0</v>
      </c>
      <c r="L146">
        <f ca="1">IFERROR(IF(AND(COUNTIF(B146,"*-峰插*"),技能数据库!$M$72&gt;0),0,IF(COUNTIF(B146,"*鹤归*")&gt;0,16-加速!$L$11,MAX(0,L145-(A146-A145)))),0)</f>
        <v>5.68000000000006</v>
      </c>
      <c r="M146">
        <f ca="1" t="shared" si="37"/>
        <v>0</v>
      </c>
      <c r="N146">
        <f ca="1">IFERROR(IF(AND(COUNTIF(B146,"*-峰插*"),技能数据库!$M$72&gt;0),0,IF(COUNTIF(B146,"*云飞*")&gt;0,4-COUNTIF(B146,"*玉山揽云*")*4--COUNTIF(B146,"*烟流暮景*")*4-COUNTIF(B146,"*云景*")*加速!$L$11-IF(J146&gt;0,2,0),MAX(0,N145-(A146-A145)-IF(J146&gt;0,2,0)))),0)</f>
        <v>2.71000000000001</v>
      </c>
      <c r="O146">
        <f ca="1">IF(AND(COUNTIF(IF(AND(配装计算器!$K$30&lt;&gt;"∞",0),INDEX(AU145:CB145,1,$AT$1),INDEX(AU147:CB147,1,$AT$1)),"*云飞*")=1,COUNTIF(IF(AND(配装计算器!$K$30&lt;&gt;"∞",0),INDEX(AU145:CB145,1,$AT$1),INDEX(AU147:CB147,1,$AT$1)),"*玉山*")=0),N146,0)</f>
        <v>0</v>
      </c>
      <c r="P146">
        <f ca="1">IFERROR(IF(COUNTIF(B146,"*云栖松*")&gt;0,50-加速!$L$11,MAX(0,P145-(A146-A145))),0)</f>
        <v>0</v>
      </c>
      <c r="Q146">
        <f ca="1">IF(COUNTIF(IF(AND(配装计算器!$K$30&lt;&gt;"∞",0),INDEX(AU145:CB145,1,$AT$1),INDEX(AU147:CB147,1,$AT$1)),"*云栖松*")=1,P146,0)</f>
        <v>0</v>
      </c>
      <c r="R146">
        <f ca="1">IFERROR(IF(COUNTIF(B146,"*莺鸣柳*")&gt;0,45-加速!$L$9,MAX(0,R145-(A146-A145))),0)</f>
        <v>0</v>
      </c>
      <c r="S146">
        <f ca="1">IF(COUNTIF(IF(AND(配装计算器!$K$30&lt;&gt;"∞",0),INDEX(AU145:CB145,1,$AT$1),INDEX(AU147:CB147,1,$AT$1)),"*莺鸣柳*")=1,R146,0)</f>
        <v>0</v>
      </c>
      <c r="T146">
        <f ca="1" t="shared" si="45"/>
        <v>0</v>
      </c>
      <c r="U146">
        <f ca="1">IF(金蛇,IF(COUNTIF(B146,"*金环戴*")+COUNTIF(B146,"*吹风醒*")&gt;0,IF(A146&lt;=3,7.125-2.625-A146-加速!$L$11,7.125+加速!$K$9-(A146+加速!$L$11-T146)),0),0)+IF(金蛇,IF(COUNTIF(B146,"*千切子裂光*")&gt;0,2+加速!$K$9-(A146+加速!$L$11-T146),0),0)</f>
        <v>0</v>
      </c>
      <c r="V146">
        <f ca="1" t="shared" si="46"/>
        <v>0</v>
      </c>
      <c r="W146">
        <f ca="1" t="shared" si="38"/>
        <v>0</v>
      </c>
      <c r="X146">
        <f ca="1">INDEX(加速!$I$13:$I$21,W146+1)</f>
        <v>0</v>
      </c>
      <c r="Y146">
        <f ca="1" t="shared" si="47"/>
        <v>0.5</v>
      </c>
      <c r="Z146">
        <f ca="1" t="shared" si="43"/>
        <v>0</v>
      </c>
      <c r="AA146">
        <f ca="1">MAX(0,IFERROR(IF(COUNTIF(B146,"*叠*")&gt;0,IF(AC145&lt;3,8-A147+A146,AA145+6.875-A147+A146),AA145-A147+A146),AA145-加速!$L$11))</f>
        <v>0</v>
      </c>
      <c r="AB146">
        <f ca="1">MAX(0,IF(COUNTIF(IF(AND(配装计算器!$K$30&lt;&gt;"∞",0),INDEX(AU146:CB146,1,$AT$1),INDEX(AU146:CB146,1,$AT$1)),"*叠1*")=1,4*25-加速!$L$11,AB145-A146+A145)-IF(OR(COUNTIF(OFFSET(AT146,0,$AT$1,1,1),"*听雷*")&gt;0,AND(碧归&gt;0,COUNTIF(OFFSET(AT146,0,$AT$1,1,1),"*风来*")&gt;0)),0,1)*1.5)</f>
        <v>15.7800000000001</v>
      </c>
      <c r="AC146">
        <f ca="1" t="shared" si="39"/>
        <v>0</v>
      </c>
      <c r="AD146">
        <f ca="1">IF(COUNTIF(IF(AND(配装计算器!$K$30&lt;&gt;"∞",0),INDEX(AU146:CB146,1,$AT$1),INDEX(AU147:CB147,1,$AT$1)),"*叠1*")=1,AB146*0+AE145,0)</f>
        <v>0</v>
      </c>
      <c r="AE146">
        <f ca="1">IF($AN$11&gt;0,IF(COUNTIF(B147,"*叠1*")&gt;0,50-加速!$L$11,MAX(0,AE145-(A147-A146))),0)</f>
        <v>9.49000000000014</v>
      </c>
      <c r="AG146">
        <f ca="1" t="shared" si="40"/>
        <v>4</v>
      </c>
      <c r="AH146" t="s">
        <v>1825</v>
      </c>
      <c r="AI146" t="s">
        <v>2768</v>
      </c>
      <c r="AJ146">
        <f ca="1">循环比*COUNTIFS($B$3:$B$515,"*"&amp;AI146&amp;"*",$D$3:$D$515,"=1",$H$3:$H$515,"=0",$G$3:$G$515,"=0",$K$3:$K$515,"=2",$AC$3:$AC$515,"=2")</f>
        <v>3</v>
      </c>
      <c r="AK146" t="s">
        <v>3106</v>
      </c>
      <c r="AU146" t="s">
        <v>2768</v>
      </c>
      <c r="AV146">
        <v>2</v>
      </c>
      <c r="AW146" s="176" t="s">
        <v>2776</v>
      </c>
      <c r="AX146">
        <v>2</v>
      </c>
      <c r="AY146" t="s">
        <v>2768</v>
      </c>
      <c r="AZ146">
        <v>1</v>
      </c>
      <c r="BA146" t="s">
        <v>2768</v>
      </c>
      <c r="BB146">
        <v>0</v>
      </c>
      <c r="BC146" t="s">
        <v>2813</v>
      </c>
      <c r="BD146">
        <v>0</v>
      </c>
      <c r="BE146" s="176" t="s">
        <v>3035</v>
      </c>
      <c r="BF146">
        <v>2</v>
      </c>
      <c r="BG146" t="s">
        <v>2768</v>
      </c>
      <c r="BH146">
        <v>1</v>
      </c>
      <c r="BI146" t="s">
        <v>2768</v>
      </c>
      <c r="BJ146">
        <v>0</v>
      </c>
      <c r="BK146" t="s">
        <v>2776</v>
      </c>
      <c r="BL146">
        <v>2</v>
      </c>
      <c r="BM146" s="176" t="s">
        <v>2808</v>
      </c>
      <c r="BN146">
        <v>2</v>
      </c>
      <c r="BO146" s="176" t="str">
        <f>IF(秋,"夕照雷峰","夕照雷峰")</f>
        <v>夕照雷峰</v>
      </c>
      <c r="BP146">
        <v>2</v>
      </c>
      <c r="BQ146" s="176" t="str">
        <f>IF(秋,"金环戴","吹风醒")</f>
        <v>吹风醒</v>
      </c>
      <c r="BR146">
        <v>2</v>
      </c>
      <c r="BS146" t="s">
        <v>2776</v>
      </c>
      <c r="BT146">
        <v>0</v>
      </c>
      <c r="BU146" s="176" t="s">
        <v>2794</v>
      </c>
      <c r="BV146">
        <v>1</v>
      </c>
      <c r="BW146" s="179" t="s">
        <v>2768</v>
      </c>
      <c r="BX146" s="179">
        <v>2</v>
      </c>
      <c r="BY146" s="176" t="s">
        <v>2768</v>
      </c>
      <c r="BZ146">
        <v>2</v>
      </c>
      <c r="CA146" s="180" t="str">
        <f>IF(0,"云飞玉皇-玉山揽云","夕照雷峰")</f>
        <v>夕照雷峰</v>
      </c>
      <c r="CB146">
        <v>2</v>
      </c>
    </row>
    <row r="147" spans="1:80">
      <c r="A147" s="178">
        <f ca="1">IFERROR(IF(AG146&lt;5+金蛇*2,IF(COUNTIF(B146,"*轻*")&gt;0,A146+加速!$L$9,A146+加速!$L$11)+V146,""),"")</f>
        <v>189.22</v>
      </c>
      <c r="B147" s="167" t="str">
        <f ca="1" t="shared" si="35"/>
        <v>夕照雷峰</v>
      </c>
      <c r="C147">
        <f ca="1" t="shared" si="44"/>
        <v>15</v>
      </c>
      <c r="D147">
        <f ca="1">IF(B147&lt;&gt;"",IF(C146&lt;=加速!$L$11*(1-E147),0,1),"")</f>
        <v>1</v>
      </c>
      <c r="E147">
        <f ca="1" t="shared" si="41"/>
        <v>0</v>
      </c>
      <c r="G147">
        <f ca="1" t="shared" si="42"/>
        <v>0</v>
      </c>
      <c r="H147">
        <f ca="1">IF(B147&lt;&gt;"",IF(AND(COUNTIF(B146,"*轻*莺鸣柳*")&gt;0,COUNTIF(B147,"*轻*")&lt;1),MAX(0,15+I146-(A147-A146)+COUNTIF(B146,"*平湖*")*0),IF(AND(E147=0,MAX(0,H146-(A147-A146))&lt;=加速!$H$11),0,MAX(0,H146-(A147-A146)))),"")</f>
        <v>0</v>
      </c>
      <c r="I147">
        <f ca="1" t="shared" si="48"/>
        <v>0</v>
      </c>
      <c r="J147">
        <f ca="1" t="shared" si="49"/>
        <v>0</v>
      </c>
      <c r="K147">
        <f ca="1" t="shared" si="36"/>
        <v>0</v>
      </c>
      <c r="L147">
        <f ca="1">IFERROR(IF(AND(COUNTIF(B147,"*-峰插*"),技能数据库!$M$72&gt;0),0,IF(COUNTIF(B147,"*鹤归*")&gt;0,16-加速!$L$11,MAX(0,L146-(A147-A146)))),0)</f>
        <v>4.39000000000006</v>
      </c>
      <c r="M147">
        <f ca="1" t="shared" si="37"/>
        <v>0</v>
      </c>
      <c r="N147">
        <f ca="1">IFERROR(IF(AND(COUNTIF(B147,"*-峰插*"),技能数据库!$M$72&gt;0),0,IF(COUNTIF(B147,"*云飞*")&gt;0,4-COUNTIF(B147,"*玉山揽云*")*4--COUNTIF(B147,"*烟流暮景*")*4-COUNTIF(B147,"*云景*")*加速!$L$11-IF(J147&gt;0,2,0),MAX(0,N146-(A147-A146)-IF(J147&gt;0,2,0)))),0)</f>
        <v>1.42000000000002</v>
      </c>
      <c r="O147">
        <f ca="1">IF(AND(COUNTIF(IF(AND(配装计算器!$K$30&lt;&gt;"∞",0),INDEX(AU146:CB146,1,$AT$1),INDEX(AU148:CB148,1,$AT$1)),"*云飞*")=1,COUNTIF(IF(AND(配装计算器!$K$30&lt;&gt;"∞",0),INDEX(AU146:CB146,1,$AT$1),INDEX(AU148:CB148,1,$AT$1)),"*玉山*")=0),N147,0)</f>
        <v>0</v>
      </c>
      <c r="P147">
        <f ca="1">IFERROR(IF(COUNTIF(B147,"*云栖松*")&gt;0,50-加速!$L$11,MAX(0,P146-(A147-A146))),0)</f>
        <v>0</v>
      </c>
      <c r="Q147">
        <f ca="1">IF(COUNTIF(IF(AND(配装计算器!$K$30&lt;&gt;"∞",0),INDEX(AU146:CB146,1,$AT$1),INDEX(AU148:CB148,1,$AT$1)),"*云栖松*")=1,P147,0)</f>
        <v>0</v>
      </c>
      <c r="R147">
        <f ca="1">IFERROR(IF(COUNTIF(B147,"*莺鸣柳*")&gt;0,45-加速!$L$9,MAX(0,R146-(A147-A146))),0)</f>
        <v>0</v>
      </c>
      <c r="S147">
        <f ca="1">IF(COUNTIF(IF(AND(配装计算器!$K$30&lt;&gt;"∞",0),INDEX(AU146:CB146,1,$AT$1),INDEX(AU148:CB148,1,$AT$1)),"*莺鸣柳*")=1,R147,0)</f>
        <v>0</v>
      </c>
      <c r="T147">
        <f ca="1" t="shared" si="45"/>
        <v>0</v>
      </c>
      <c r="U147">
        <f ca="1">IF(金蛇,IF(COUNTIF(B147,"*金环戴*")+COUNTIF(B147,"*吹风醒*")&gt;0,IF(A147&lt;=3,7.125-2.625-A147-加速!$L$11,7.125+加速!$K$9-(A147+加速!$L$11-T147)),0),0)+IF(金蛇,IF(COUNTIF(B147,"*千切子裂光*")&gt;0,2+加速!$K$9-(A147+加速!$L$11-T147),0),0)</f>
        <v>0</v>
      </c>
      <c r="V147">
        <f ca="1" t="shared" si="46"/>
        <v>0</v>
      </c>
      <c r="W147">
        <f ca="1" t="shared" si="38"/>
        <v>0</v>
      </c>
      <c r="X147">
        <f ca="1">INDEX(加速!$I$13:$I$21,W147+1)</f>
        <v>0</v>
      </c>
      <c r="Y147">
        <f ca="1" t="shared" si="47"/>
        <v>0.5</v>
      </c>
      <c r="Z147">
        <f ca="1" t="shared" si="43"/>
        <v>0</v>
      </c>
      <c r="AA147">
        <f ca="1">MAX(0,IFERROR(IF(COUNTIF(B147,"*叠*")&gt;0,IF(AC146&lt;3,8-A148+A147,AA146+6.875-A148+A147),AA146-A148+A147),AA146-加速!$L$11))</f>
        <v>0</v>
      </c>
      <c r="AB147">
        <f ca="1">MAX(0,IF(COUNTIF(IF(AND(配装计算器!$K$30&lt;&gt;"∞",0),INDEX(AU147:CB147,1,$AT$1),INDEX(AU147:CB147,1,$AT$1)),"*叠1*")=1,4*25-加速!$L$11,AB146-A147+A146)-IF(OR(COUNTIF(OFFSET(AT147,0,$AT$1,1,1),"*听雷*")&gt;0,AND(碧归&gt;0,COUNTIF(OFFSET(AT147,0,$AT$1,1,1),"*风来*")&gt;0)),0,1)*1.5)</f>
        <v>12.9900000000002</v>
      </c>
      <c r="AC147">
        <f ca="1" t="shared" si="39"/>
        <v>0</v>
      </c>
      <c r="AD147">
        <f ca="1">IF(COUNTIF(IF(AND(配装计算器!$K$30&lt;&gt;"∞",0),INDEX(AU147:CB147,1,$AT$1),INDEX(AU148:CB148,1,$AT$1)),"*叠1*")=1,AB147*0+AE146,0)</f>
        <v>0</v>
      </c>
      <c r="AE147">
        <f ca="1">IF($AN$11&gt;0,IF(COUNTIF(B148,"*叠1*")&gt;0,50-加速!$L$11,MAX(0,AE146-(A148-A147))),0)</f>
        <v>8.20000000000015</v>
      </c>
      <c r="AG147">
        <f ca="1" t="shared" si="40"/>
        <v>4</v>
      </c>
      <c r="AH147" t="s">
        <v>1825</v>
      </c>
      <c r="AI147" t="s">
        <v>2768</v>
      </c>
      <c r="AJ147">
        <f ca="1">循环比*COUNTIFS($B$3:$B$515,"*"&amp;AI147&amp;"*",$D$3:$D$515,"=1",$H$3:$H$515,"=0",$G$3:$G$515,"=0",$K$3:$K$515,"=2",$AC$3:$AC$515,"=3")</f>
        <v>8</v>
      </c>
      <c r="AK147" t="s">
        <v>3107</v>
      </c>
      <c r="AU147" t="s">
        <v>2768</v>
      </c>
      <c r="AV147">
        <v>2</v>
      </c>
      <c r="AW147" s="176" t="s">
        <v>2768</v>
      </c>
      <c r="AX147">
        <v>2</v>
      </c>
      <c r="AY147" t="s">
        <v>2768</v>
      </c>
      <c r="AZ147">
        <v>0</v>
      </c>
      <c r="BA147" t="s">
        <v>3010</v>
      </c>
      <c r="BB147">
        <v>2</v>
      </c>
      <c r="BC147" t="s">
        <v>2776</v>
      </c>
      <c r="BD147">
        <v>2</v>
      </c>
      <c r="BE147" t="s">
        <v>2768</v>
      </c>
      <c r="BF147">
        <v>2</v>
      </c>
      <c r="BG147" t="s">
        <v>3011</v>
      </c>
      <c r="BH147">
        <v>2</v>
      </c>
      <c r="BI147" t="s">
        <v>2768</v>
      </c>
      <c r="BJ147">
        <v>0</v>
      </c>
      <c r="BK147" t="s">
        <v>2768</v>
      </c>
      <c r="BL147">
        <v>1</v>
      </c>
      <c r="BM147" t="str">
        <f>IF(0,"云飞玉皇-玉山揽云","夕照雷峰")</f>
        <v>夕照雷峰</v>
      </c>
      <c r="BN147">
        <v>2</v>
      </c>
      <c r="BO147" t="str">
        <f>IF(0,"云飞玉皇-玉山揽云","夕照雷峰")</f>
        <v>夕照雷峰</v>
      </c>
      <c r="BP147">
        <v>2</v>
      </c>
      <c r="BQ147" s="176" t="str">
        <f>IF(秋,"梦泉虎跑-轻","夕照雷峰")</f>
        <v>夕照雷峰</v>
      </c>
      <c r="BR147">
        <v>1</v>
      </c>
      <c r="BS147" t="s">
        <v>1886</v>
      </c>
      <c r="BT147">
        <v>0</v>
      </c>
      <c r="BU147" t="s">
        <v>3028</v>
      </c>
      <c r="BV147">
        <v>1</v>
      </c>
      <c r="BW147" s="179" t="s">
        <v>2776</v>
      </c>
      <c r="BX147" s="179">
        <v>2</v>
      </c>
      <c r="BY147" s="176" t="s">
        <v>2808</v>
      </c>
      <c r="BZ147">
        <v>2</v>
      </c>
      <c r="CA147" s="176" t="str">
        <f>IF(秋,"夕照雷峰","千切子寒光")</f>
        <v>千切子寒光</v>
      </c>
      <c r="CB147">
        <v>2</v>
      </c>
    </row>
    <row r="148" spans="1:80">
      <c r="A148" s="178">
        <f ca="1">IFERROR(IF(AG147&lt;5+金蛇*2,IF(COUNTIF(B147,"*轻*")&gt;0,A147+加速!$L$9,A147+加速!$L$11)+V147,""),"")</f>
        <v>190.51</v>
      </c>
      <c r="B148" s="167" t="str">
        <f ca="1" t="shared" si="35"/>
        <v>听雷-轻</v>
      </c>
      <c r="C148">
        <f ca="1" t="shared" si="44"/>
        <v>13.71</v>
      </c>
      <c r="D148">
        <f ca="1">IF(B148&lt;&gt;"",IF(C147&lt;=加速!$L$11*(1-E148),0,1),"")</f>
        <v>1</v>
      </c>
      <c r="E148">
        <f ca="1" t="shared" si="41"/>
        <v>1</v>
      </c>
      <c r="G148">
        <f ca="1" t="shared" si="42"/>
        <v>0</v>
      </c>
      <c r="H148">
        <f ca="1">IF(B148&lt;&gt;"",IF(AND(COUNTIF(B147,"*轻*莺鸣柳*")&gt;0,COUNTIF(B148,"*轻*")&lt;1),MAX(0,15+I147-(A148-A147)+COUNTIF(B147,"*平湖*")*0),IF(AND(E148=0,MAX(0,H147-(A148-A147))&lt;=加速!$H$11),0,MAX(0,H147-(A148-A147)))),"")</f>
        <v>0</v>
      </c>
      <c r="I148">
        <f ca="1" t="shared" si="48"/>
        <v>0</v>
      </c>
      <c r="J148">
        <f ca="1" t="shared" si="49"/>
        <v>0</v>
      </c>
      <c r="K148">
        <f ca="1" t="shared" si="36"/>
        <v>0</v>
      </c>
      <c r="L148">
        <f ca="1">IFERROR(IF(AND(COUNTIF(B148,"*-峰插*"),技能数据库!$M$72&gt;0),0,IF(COUNTIF(B148,"*鹤归*")&gt;0,16-加速!$L$11,MAX(0,L147-(A148-A147)))),0)</f>
        <v>3.10000000000007</v>
      </c>
      <c r="M148">
        <f ca="1" t="shared" si="37"/>
        <v>0</v>
      </c>
      <c r="N148">
        <f ca="1">IFERROR(IF(AND(COUNTIF(B148,"*-峰插*"),技能数据库!$M$72&gt;0),0,IF(COUNTIF(B148,"*云飞*")&gt;0,4-COUNTIF(B148,"*玉山揽云*")*4--COUNTIF(B148,"*烟流暮景*")*4-COUNTIF(B148,"*云景*")*加速!$L$11-IF(J148&gt;0,2,0),MAX(0,N147-(A148-A147)-IF(J148&gt;0,2,0)))),0)</f>
        <v>0.130000000000024</v>
      </c>
      <c r="O148">
        <f ca="1">IF(AND(COUNTIF(IF(AND(配装计算器!$K$30&lt;&gt;"∞",0),INDEX(AU147:CB147,1,$AT$1),INDEX(AU149:CB149,1,$AT$1)),"*云飞*")=1,COUNTIF(IF(AND(配装计算器!$K$30&lt;&gt;"∞",0),INDEX(AU147:CB147,1,$AT$1),INDEX(AU149:CB149,1,$AT$1)),"*玉山*")=0),N148,0)</f>
        <v>0.130000000000024</v>
      </c>
      <c r="P148">
        <f ca="1">IFERROR(IF(COUNTIF(B148,"*云栖松*")&gt;0,50-加速!$L$11,MAX(0,P147-(A148-A147))),0)</f>
        <v>0</v>
      </c>
      <c r="Q148">
        <f ca="1">IF(COUNTIF(IF(AND(配装计算器!$K$30&lt;&gt;"∞",0),INDEX(AU147:CB147,1,$AT$1),INDEX(AU149:CB149,1,$AT$1)),"*云栖松*")=1,P148,0)</f>
        <v>0</v>
      </c>
      <c r="R148">
        <f ca="1">IFERROR(IF(COUNTIF(B148,"*莺鸣柳*")&gt;0,45-加速!$L$9,MAX(0,R147-(A148-A147))),0)</f>
        <v>0</v>
      </c>
      <c r="S148">
        <f ca="1">IF(COUNTIF(IF(AND(配装计算器!$K$30&lt;&gt;"∞",0),INDEX(AU147:CB147,1,$AT$1),INDEX(AU149:CB149,1,$AT$1)),"*莺鸣柳*")=1,R148,0)</f>
        <v>0</v>
      </c>
      <c r="T148">
        <f ca="1" t="shared" si="45"/>
        <v>0</v>
      </c>
      <c r="U148">
        <f ca="1">IF(金蛇,IF(COUNTIF(B148,"*金环戴*")+COUNTIF(B148,"*吹风醒*")&gt;0,IF(A148&lt;=3,7.125-2.625-A148-加速!$L$11,7.125+加速!$K$9-(A148+加速!$L$11-T148)),0),0)+IF(金蛇,IF(COUNTIF(B148,"*千切子裂光*")&gt;0,2+加速!$K$9-(A148+加速!$L$11-T148),0),0)</f>
        <v>0</v>
      </c>
      <c r="V148">
        <f ca="1" t="shared" si="46"/>
        <v>0.130000000000024</v>
      </c>
      <c r="W148">
        <f ca="1" t="shared" si="38"/>
        <v>0</v>
      </c>
      <c r="X148">
        <f ca="1">INDEX(加速!$I$13:$I$21,W148+1)</f>
        <v>0</v>
      </c>
      <c r="Y148">
        <f ca="1" t="shared" si="47"/>
        <v>0.5</v>
      </c>
      <c r="Z148">
        <f ca="1" t="shared" si="43"/>
        <v>0</v>
      </c>
      <c r="AA148">
        <f ca="1">MAX(0,IFERROR(IF(COUNTIF(B148,"*叠*")&gt;0,IF(AC147&lt;3,8-A149+A148,AA147+6.875-A149+A148),AA147-A149+A148),AA147-加速!$L$11))</f>
        <v>0</v>
      </c>
      <c r="AB148">
        <f ca="1">MAX(0,IF(COUNTIF(IF(AND(配装计算器!$K$30&lt;&gt;"∞",0),INDEX(AU148:CB148,1,$AT$1),INDEX(AU148:CB148,1,$AT$1)),"*叠1*")=1,4*25-加速!$L$11,AB147-A148+A147)-IF(OR(COUNTIF(OFFSET(AT148,0,$AT$1,1,1),"*听雷*")&gt;0,AND(碧归&gt;0,COUNTIF(OFFSET(AT148,0,$AT$1,1,1),"*风来*")&gt;0)),0,1)*1.5)</f>
        <v>11.7000000000002</v>
      </c>
      <c r="AC148">
        <f ca="1" t="shared" si="39"/>
        <v>0</v>
      </c>
      <c r="AD148">
        <f ca="1">IF(COUNTIF(IF(AND(配装计算器!$K$30&lt;&gt;"∞",0),INDEX(AU148:CB148,1,$AT$1),INDEX(AU149:CB149,1,$AT$1)),"*叠1*")=1,AB148*0+AE147,0)</f>
        <v>0</v>
      </c>
      <c r="AE148">
        <f ca="1">IF($AN$11&gt;0,IF(COUNTIF(B149,"*叠1*")&gt;0,50-加速!$L$11,MAX(0,AE147-(A149-A148))),0)</f>
        <v>6.78000000000014</v>
      </c>
      <c r="AG148">
        <f ca="1" t="shared" si="40"/>
        <v>4</v>
      </c>
      <c r="AH148" t="s">
        <v>1825</v>
      </c>
      <c r="AI148" t="s">
        <v>2723</v>
      </c>
      <c r="AK148" t="s">
        <v>3108</v>
      </c>
      <c r="AU148" s="176" t="s">
        <v>2794</v>
      </c>
      <c r="AV148">
        <v>2</v>
      </c>
      <c r="AW148" s="176" t="s">
        <v>2808</v>
      </c>
      <c r="AX148">
        <v>2</v>
      </c>
      <c r="AY148" t="s">
        <v>3010</v>
      </c>
      <c r="AZ148">
        <v>2</v>
      </c>
      <c r="BA148" t="s">
        <v>3013</v>
      </c>
      <c r="BB148">
        <v>2</v>
      </c>
      <c r="BC148" t="s">
        <v>2768</v>
      </c>
      <c r="BD148">
        <v>2</v>
      </c>
      <c r="BE148" t="s">
        <v>2776</v>
      </c>
      <c r="BF148">
        <v>2</v>
      </c>
      <c r="BG148" t="s">
        <v>2768</v>
      </c>
      <c r="BH148">
        <v>2</v>
      </c>
      <c r="BI148" t="s">
        <v>2722</v>
      </c>
      <c r="BJ148">
        <v>0</v>
      </c>
      <c r="BK148" t="s">
        <v>2776</v>
      </c>
      <c r="BL148">
        <v>1</v>
      </c>
      <c r="BM148" t="str">
        <f>IF(0,"云飞玉皇-玉山揽云","云飞玉皇")</f>
        <v>云飞玉皇</v>
      </c>
      <c r="BN148">
        <v>2</v>
      </c>
      <c r="BO148" t="s">
        <v>2776</v>
      </c>
      <c r="BP148">
        <v>2</v>
      </c>
      <c r="BQ148" t="s">
        <v>3028</v>
      </c>
      <c r="BR148">
        <v>2</v>
      </c>
      <c r="BS148" t="s">
        <v>2853</v>
      </c>
      <c r="BT148">
        <v>1</v>
      </c>
      <c r="BU148" t="s">
        <v>2768</v>
      </c>
      <c r="BV148">
        <v>1</v>
      </c>
      <c r="BW148" s="179" t="s">
        <v>2768</v>
      </c>
      <c r="BX148" s="179">
        <v>2</v>
      </c>
      <c r="BY148" t="str">
        <f>IF(0,"云飞玉皇-玉山揽云","夕照雷峰")</f>
        <v>夕照雷峰</v>
      </c>
      <c r="BZ148">
        <v>2</v>
      </c>
      <c r="CA148" s="176" t="str">
        <f>IF(秋,"夕照雷峰","千切子裂光")</f>
        <v>千切子裂光</v>
      </c>
      <c r="CB148">
        <v>2</v>
      </c>
    </row>
    <row r="149" spans="1:80">
      <c r="A149" s="178">
        <f ca="1">IFERROR(IF(AG148&lt;5+金蛇*2,IF(COUNTIF(B148,"*轻*")&gt;0,A148+加速!$L$9,A148+加速!$L$11)+V148,""),"")</f>
        <v>191.93</v>
      </c>
      <c r="B149" s="167" t="str">
        <f ca="1" t="shared" si="35"/>
        <v>云飞玉皇</v>
      </c>
      <c r="C149">
        <f ca="1" t="shared" si="44"/>
        <v>12.29</v>
      </c>
      <c r="D149">
        <f ca="1">IF(B149&lt;&gt;"",IF(C148&lt;=加速!$L$11*(1-E149),0,1),"")</f>
        <v>1</v>
      </c>
      <c r="E149">
        <f ca="1" t="shared" si="41"/>
        <v>0</v>
      </c>
      <c r="G149">
        <f ca="1" t="shared" si="42"/>
        <v>0</v>
      </c>
      <c r="H149">
        <f ca="1">IF(B149&lt;&gt;"",IF(AND(COUNTIF(B148,"*轻*莺鸣柳*")&gt;0,COUNTIF(B149,"*轻*")&lt;1),MAX(0,15+I148-(A149-A148)+COUNTIF(B148,"*平湖*")*0),IF(AND(E149=0,MAX(0,H148-(A149-A148))&lt;=加速!$H$11),0,MAX(0,H148-(A149-A148)))),"")</f>
        <v>0</v>
      </c>
      <c r="I149">
        <f ca="1" t="shared" si="48"/>
        <v>0</v>
      </c>
      <c r="J149">
        <f ca="1" t="shared" si="49"/>
        <v>0</v>
      </c>
      <c r="K149">
        <f ca="1" t="shared" si="36"/>
        <v>2</v>
      </c>
      <c r="L149">
        <f ca="1">IFERROR(IF(AND(COUNTIF(B149,"*-峰插*"),技能数据库!$M$72&gt;0),0,IF(COUNTIF(B149,"*鹤归*")&gt;0,16-加速!$L$11,MAX(0,L148-(A149-A148)))),0)</f>
        <v>1.68000000000006</v>
      </c>
      <c r="M149">
        <f ca="1" t="shared" si="37"/>
        <v>0</v>
      </c>
      <c r="N149">
        <f ca="1">IFERROR(IF(AND(COUNTIF(B149,"*-峰插*"),技能数据库!$M$72&gt;0),0,IF(COUNTIF(B149,"*云飞*")&gt;0,4-COUNTIF(B149,"*玉山揽云*")*4--COUNTIF(B149,"*烟流暮景*")*4-COUNTIF(B149,"*云景*")*加速!$L$11-IF(J149&gt;0,2,0),MAX(0,N148-(A149-A148)-IF(J149&gt;0,2,0)))),0)</f>
        <v>4</v>
      </c>
      <c r="O149">
        <f ca="1">IF(AND(COUNTIF(IF(AND(配装计算器!$K$30&lt;&gt;"∞",0),INDEX(AU148:CB148,1,$AT$1),INDEX(AU150:CB150,1,$AT$1)),"*云飞*")=1,COUNTIF(IF(AND(配装计算器!$K$30&lt;&gt;"∞",0),INDEX(AU148:CB148,1,$AT$1),INDEX(AU150:CB150,1,$AT$1)),"*玉山*")=0),N149,0)</f>
        <v>0</v>
      </c>
      <c r="P149">
        <f ca="1">IFERROR(IF(COUNTIF(B149,"*云栖松*")&gt;0,50-加速!$L$11,MAX(0,P148-(A149-A148))),0)</f>
        <v>0</v>
      </c>
      <c r="Q149">
        <f ca="1">IF(COUNTIF(IF(AND(配装计算器!$K$30&lt;&gt;"∞",0),INDEX(AU148:CB148,1,$AT$1),INDEX(AU150:CB150,1,$AT$1)),"*云栖松*")=1,P149,0)</f>
        <v>0</v>
      </c>
      <c r="R149">
        <f ca="1">IFERROR(IF(COUNTIF(B149,"*莺鸣柳*")&gt;0,45-加速!$L$9,MAX(0,R148-(A149-A148))),0)</f>
        <v>0</v>
      </c>
      <c r="S149">
        <f ca="1">IF(COUNTIF(IF(AND(配装计算器!$K$30&lt;&gt;"∞",0),INDEX(AU148:CB148,1,$AT$1),INDEX(AU150:CB150,1,$AT$1)),"*莺鸣柳*")=1,R149,0)</f>
        <v>0</v>
      </c>
      <c r="T149">
        <f ca="1" t="shared" si="45"/>
        <v>0</v>
      </c>
      <c r="U149">
        <f ca="1">IF(金蛇,IF(COUNTIF(B149,"*金环戴*")+COUNTIF(B149,"*吹风醒*")&gt;0,IF(A149&lt;=3,7.125-2.625-A149-加速!$L$11,7.125+加速!$K$9-(A149+加速!$L$11-T149)),0),0)+IF(金蛇,IF(COUNTIF(B149,"*千切子裂光*")&gt;0,2+加速!$K$9-(A149+加速!$L$11-T149),0),0)</f>
        <v>0</v>
      </c>
      <c r="V149">
        <f ca="1" t="shared" si="46"/>
        <v>0</v>
      </c>
      <c r="W149">
        <f ca="1" t="shared" si="38"/>
        <v>0</v>
      </c>
      <c r="X149">
        <f ca="1">INDEX(加速!$I$13:$I$21,W149+1)</f>
        <v>0</v>
      </c>
      <c r="Y149">
        <f ca="1" t="shared" si="47"/>
        <v>0.5</v>
      </c>
      <c r="Z149">
        <f ca="1" t="shared" si="43"/>
        <v>0</v>
      </c>
      <c r="AA149">
        <f ca="1">MAX(0,IFERROR(IF(COUNTIF(B149,"*叠*")&gt;0,IF(AC148&lt;3,8-A150+A149,AA148+6.875-A150+A149),AA148-A150+A149),AA148-加速!$L$11))</f>
        <v>0</v>
      </c>
      <c r="AB149">
        <f ca="1">MAX(0,IF(COUNTIF(IF(AND(配装计算器!$K$30&lt;&gt;"∞",0),INDEX(AU149:CB149,1,$AT$1),INDEX(AU149:CB149,1,$AT$1)),"*叠1*")=1,4*25-加速!$L$11,AB148-A149+A148)-IF(OR(COUNTIF(OFFSET(AT149,0,$AT$1,1,1),"*听雷*")&gt;0,AND(碧归&gt;0,COUNTIF(OFFSET(AT149,0,$AT$1,1,1),"*风来*")&gt;0)),0,1)*1.5)</f>
        <v>8.78000000000014</v>
      </c>
      <c r="AC149">
        <f ca="1" t="shared" si="39"/>
        <v>0</v>
      </c>
      <c r="AD149">
        <f ca="1">IF(COUNTIF(IF(AND(配装计算器!$K$30&lt;&gt;"∞",0),INDEX(AU149:CB149,1,$AT$1),INDEX(AU150:CB150,1,$AT$1)),"*叠1*")=1,AB149*0+AE148,0)</f>
        <v>0</v>
      </c>
      <c r="AE149">
        <f ca="1">IF($AN$11&gt;0,IF(COUNTIF(B150,"*叠1*")&gt;0,50-加速!$L$11,MAX(0,AE148-(A150-A149))),0)</f>
        <v>5.49000000000014</v>
      </c>
      <c r="AG149">
        <f ca="1" t="shared" si="40"/>
        <v>4</v>
      </c>
      <c r="AH149" t="s">
        <v>1825</v>
      </c>
      <c r="AI149" t="s">
        <v>2723</v>
      </c>
      <c r="AK149" t="s">
        <v>3109</v>
      </c>
      <c r="AU149" s="176" t="s">
        <v>2776</v>
      </c>
      <c r="AV149">
        <v>2</v>
      </c>
      <c r="AW149" t="str">
        <f>IF($AR$11=1,"云飞玉皇-玉山揽云","夕照雷峰")</f>
        <v>夕照雷峰</v>
      </c>
      <c r="AX149">
        <v>2</v>
      </c>
      <c r="AY149" t="s">
        <v>3013</v>
      </c>
      <c r="AZ149">
        <v>2</v>
      </c>
      <c r="BA149" t="s">
        <v>3017</v>
      </c>
      <c r="BB149">
        <v>2</v>
      </c>
      <c r="BC149" t="s">
        <v>2768</v>
      </c>
      <c r="BD149">
        <v>2</v>
      </c>
      <c r="BE149" t="s">
        <v>2768</v>
      </c>
      <c r="BF149">
        <v>2</v>
      </c>
      <c r="BG149" t="s">
        <v>3018</v>
      </c>
      <c r="BH149">
        <v>2</v>
      </c>
      <c r="BI149" t="s">
        <v>2776</v>
      </c>
      <c r="BJ149">
        <v>2</v>
      </c>
      <c r="BK149" t="s">
        <v>2768</v>
      </c>
      <c r="BL149">
        <v>0</v>
      </c>
      <c r="BM149" s="176" t="str">
        <f>IF(秋,"夕照雷峰","千切子寒光")</f>
        <v>千切子寒光</v>
      </c>
      <c r="BN149">
        <v>2</v>
      </c>
      <c r="BO149" s="176" t="s">
        <v>2794</v>
      </c>
      <c r="BP149">
        <v>2</v>
      </c>
      <c r="BQ149" t="s">
        <v>2768</v>
      </c>
      <c r="BR149">
        <v>2</v>
      </c>
      <c r="BS149" s="176" t="str">
        <f>IF(秋,"金蛇锥-金环戴","金蛇锥-吹风醒")</f>
        <v>金蛇锥-吹风醒</v>
      </c>
      <c r="BT149">
        <v>0</v>
      </c>
      <c r="BU149" t="s">
        <v>3011</v>
      </c>
      <c r="BV149">
        <v>2</v>
      </c>
      <c r="BW149" s="179" t="s">
        <v>2768</v>
      </c>
      <c r="BX149" s="179">
        <v>2</v>
      </c>
      <c r="BY149" t="str">
        <f>IF(0,"云飞玉皇-玉山揽云","云飞玉皇")</f>
        <v>云飞玉皇</v>
      </c>
      <c r="BZ149">
        <v>2</v>
      </c>
      <c r="CA149" t="str">
        <f>IF(0,"云飞玉皇-玉山揽云","云飞玉皇")</f>
        <v>云飞玉皇</v>
      </c>
      <c r="CB149">
        <v>2</v>
      </c>
    </row>
    <row r="150" spans="1:80">
      <c r="A150" s="178">
        <f ca="1">IFERROR(IF(AG149&lt;5+金蛇*2,IF(COUNTIF(B149,"*轻*")&gt;0,A149+加速!$L$9,A149+加速!$L$11)+V149,""),"")</f>
        <v>193.22</v>
      </c>
      <c r="B150" s="167" t="str">
        <f ca="1" t="shared" si="35"/>
        <v>夕照雷峰</v>
      </c>
      <c r="C150">
        <f ca="1" t="shared" si="44"/>
        <v>15</v>
      </c>
      <c r="D150">
        <f ca="1">IF(B150&lt;&gt;"",IF(C149&lt;=加速!$L$11*(1-E150),0,1),"")</f>
        <v>1</v>
      </c>
      <c r="E150">
        <f ca="1" t="shared" si="41"/>
        <v>0</v>
      </c>
      <c r="G150">
        <f ca="1" t="shared" si="42"/>
        <v>0</v>
      </c>
      <c r="H150">
        <f ca="1">IF(B150&lt;&gt;"",IF(AND(COUNTIF(B149,"*轻*莺鸣柳*")&gt;0,COUNTIF(B150,"*轻*")&lt;1),MAX(0,15+I149-(A150-A149)+COUNTIF(B149,"*平湖*")*0),IF(AND(E150=0,MAX(0,H149-(A150-A149))&lt;=加速!$H$11),0,MAX(0,H149-(A150-A149)))),"")</f>
        <v>0</v>
      </c>
      <c r="I150">
        <f ca="1" t="shared" si="48"/>
        <v>0</v>
      </c>
      <c r="J150">
        <f ca="1" t="shared" si="49"/>
        <v>0</v>
      </c>
      <c r="K150">
        <f ca="1" t="shared" si="36"/>
        <v>2</v>
      </c>
      <c r="L150">
        <f ca="1">IFERROR(IF(AND(COUNTIF(B150,"*-峰插*"),技能数据库!$M$72&gt;0),0,IF(COUNTIF(B150,"*鹤归*")&gt;0,16-加速!$L$11,MAX(0,L149-(A150-A149)))),0)</f>
        <v>0.390000000000065</v>
      </c>
      <c r="M150">
        <f ca="1" t="shared" si="37"/>
        <v>0</v>
      </c>
      <c r="N150">
        <f ca="1">IFERROR(IF(AND(COUNTIF(B150,"*-峰插*"),技能数据库!$M$72&gt;0),0,IF(COUNTIF(B150,"*云飞*")&gt;0,4-COUNTIF(B150,"*玉山揽云*")*4--COUNTIF(B150,"*烟流暮景*")*4-COUNTIF(B150,"*云景*")*加速!$L$11-IF(J150&gt;0,2,0),MAX(0,N149-(A150-A149)-IF(J150&gt;0,2,0)))),0)</f>
        <v>2.71000000000001</v>
      </c>
      <c r="O150">
        <f ca="1">IF(AND(COUNTIF(IF(AND(配装计算器!$K$30&lt;&gt;"∞",0),INDEX(AU149:CB149,1,$AT$1),INDEX(AU151:CB151,1,$AT$1)),"*云飞*")=1,COUNTIF(IF(AND(配装计算器!$K$30&lt;&gt;"∞",0),INDEX(AU149:CB149,1,$AT$1),INDEX(AU151:CB151,1,$AT$1)),"*玉山*")=0),N150,0)</f>
        <v>0</v>
      </c>
      <c r="P150">
        <f ca="1">IFERROR(IF(COUNTIF(B150,"*云栖松*")&gt;0,50-加速!$L$11,MAX(0,P149-(A150-A149))),0)</f>
        <v>0</v>
      </c>
      <c r="Q150">
        <f ca="1">IF(COUNTIF(IF(AND(配装计算器!$K$30&lt;&gt;"∞",0),INDEX(AU149:CB149,1,$AT$1),INDEX(AU151:CB151,1,$AT$1)),"*云栖松*")=1,P150,0)</f>
        <v>0</v>
      </c>
      <c r="R150">
        <f ca="1">IFERROR(IF(COUNTIF(B150,"*莺鸣柳*")&gt;0,45-加速!$L$9,MAX(0,R149-(A150-A149))),0)</f>
        <v>0</v>
      </c>
      <c r="S150">
        <f ca="1">IF(COUNTIF(IF(AND(配装计算器!$K$30&lt;&gt;"∞",0),INDEX(AU149:CB149,1,$AT$1),INDEX(AU151:CB151,1,$AT$1)),"*莺鸣柳*")=1,R150,0)</f>
        <v>0</v>
      </c>
      <c r="T150">
        <f ca="1" t="shared" si="45"/>
        <v>0</v>
      </c>
      <c r="U150">
        <f ca="1">IF(金蛇,IF(COUNTIF(B150,"*金环戴*")+COUNTIF(B150,"*吹风醒*")&gt;0,IF(A150&lt;=3,7.125-2.625-A150-加速!$L$11,7.125+加速!$K$9-(A150+加速!$L$11-T150)),0),0)+IF(金蛇,IF(COUNTIF(B150,"*千切子裂光*")&gt;0,2+加速!$K$9-(A150+加速!$L$11-T150),0),0)</f>
        <v>0</v>
      </c>
      <c r="V150">
        <f ca="1" t="shared" si="46"/>
        <v>0</v>
      </c>
      <c r="W150">
        <f ca="1" t="shared" si="38"/>
        <v>0</v>
      </c>
      <c r="X150">
        <f ca="1">INDEX(加速!$I$13:$I$21,W150+1)</f>
        <v>0</v>
      </c>
      <c r="Y150">
        <f ca="1" t="shared" si="47"/>
        <v>0.5</v>
      </c>
      <c r="Z150">
        <f ca="1" t="shared" si="43"/>
        <v>0</v>
      </c>
      <c r="AA150">
        <f ca="1">MAX(0,IFERROR(IF(COUNTIF(B150,"*叠*")&gt;0,IF(AC149&lt;3,8-A151+A150,AA149+6.875-A151+A150),AA149-A151+A150),AA149-加速!$L$11))</f>
        <v>0</v>
      </c>
      <c r="AB150">
        <f ca="1">MAX(0,IF(COUNTIF(IF(AND(配装计算器!$K$30&lt;&gt;"∞",0),INDEX(AU150:CB150,1,$AT$1),INDEX(AU150:CB150,1,$AT$1)),"*叠1*")=1,4*25-加速!$L$11,AB149-A150+A149)-IF(OR(COUNTIF(OFFSET(AT150,0,$AT$1,1,1),"*听雷*")&gt;0,AND(碧归&gt;0,COUNTIF(OFFSET(AT150,0,$AT$1,1,1),"*风来*")&gt;0)),0,1)*1.5)</f>
        <v>5.99000000000015</v>
      </c>
      <c r="AC150">
        <f ca="1" t="shared" si="39"/>
        <v>0</v>
      </c>
      <c r="AD150">
        <f ca="1">IF(COUNTIF(IF(AND(配装计算器!$K$30&lt;&gt;"∞",0),INDEX(AU150:CB150,1,$AT$1),INDEX(AU151:CB151,1,$AT$1)),"*叠1*")=1,AB150*0+AE149,0)</f>
        <v>0</v>
      </c>
      <c r="AE150">
        <f ca="1">IF($AN$11&gt;0,IF(COUNTIF(B151,"*叠1*")&gt;0,50-加速!$L$11,MAX(0,AE149-(A151-A150))),0)</f>
        <v>4.20000000000015</v>
      </c>
      <c r="AG150">
        <f ca="1" t="shared" si="40"/>
        <v>4</v>
      </c>
      <c r="AH150" t="s">
        <v>1825</v>
      </c>
      <c r="AI150" t="s">
        <v>2723</v>
      </c>
      <c r="AK150" t="s">
        <v>3110</v>
      </c>
      <c r="AU150" s="176" t="s">
        <v>2768</v>
      </c>
      <c r="AV150">
        <v>1</v>
      </c>
      <c r="AW150" t="str">
        <f>IF($AR$11=1,"云飞玉皇-玉山揽云","云飞玉皇")</f>
        <v>云飞玉皇</v>
      </c>
      <c r="AX150">
        <v>2</v>
      </c>
      <c r="AY150" t="s">
        <v>3017</v>
      </c>
      <c r="AZ150">
        <v>2</v>
      </c>
      <c r="BA150" t="s">
        <v>2808</v>
      </c>
      <c r="BB150">
        <v>2</v>
      </c>
      <c r="BC150" t="s">
        <v>2768</v>
      </c>
      <c r="BD150">
        <v>1</v>
      </c>
      <c r="BE150" t="s">
        <v>2776</v>
      </c>
      <c r="BF150">
        <v>2</v>
      </c>
      <c r="BG150" t="s">
        <v>2768</v>
      </c>
      <c r="BH150">
        <v>2</v>
      </c>
      <c r="BI150" t="s">
        <v>2768</v>
      </c>
      <c r="BJ150">
        <v>2</v>
      </c>
      <c r="BK150" t="s">
        <v>3056</v>
      </c>
      <c r="BL150">
        <v>0</v>
      </c>
      <c r="BM150" s="176" t="str">
        <f>IF(秋,"夕照雷峰","千切子裂光")</f>
        <v>千切子裂光</v>
      </c>
      <c r="BN150">
        <v>2</v>
      </c>
      <c r="BO150" s="176" t="s">
        <v>2768</v>
      </c>
      <c r="BP150">
        <v>2</v>
      </c>
      <c r="BQ150" t="s">
        <v>2768</v>
      </c>
      <c r="BR150">
        <v>2</v>
      </c>
      <c r="BS150" t="s">
        <v>2773</v>
      </c>
      <c r="BT150">
        <v>2</v>
      </c>
      <c r="BU150" t="s">
        <v>2768</v>
      </c>
      <c r="BV150">
        <v>2</v>
      </c>
      <c r="BW150" s="179" t="s">
        <v>3021</v>
      </c>
      <c r="BX150" s="179">
        <v>2</v>
      </c>
      <c r="BY150" s="176" t="str">
        <f>IF(秋,"夕照雷峰","千切子寒光")</f>
        <v>千切子寒光</v>
      </c>
      <c r="BZ150">
        <v>2</v>
      </c>
      <c r="CA150" s="176" t="s">
        <v>2794</v>
      </c>
      <c r="CB150">
        <v>2</v>
      </c>
    </row>
    <row r="151" spans="1:80">
      <c r="A151" s="178">
        <f ca="1">IFERROR(IF(AG150&lt;5+金蛇*2,IF(COUNTIF(B150,"*轻*")&gt;0,A150+加速!$L$9,A150+加速!$L$11)+V150,""),"")</f>
        <v>194.51</v>
      </c>
      <c r="B151" s="167" t="str">
        <f ca="1" t="shared" si="35"/>
        <v>夕照雷峰</v>
      </c>
      <c r="C151">
        <f ca="1" t="shared" si="44"/>
        <v>15</v>
      </c>
      <c r="D151">
        <f ca="1">IF(B151&lt;&gt;"",IF(C150&lt;=加速!$L$11*(1-E151),0,1),"")</f>
        <v>1</v>
      </c>
      <c r="E151">
        <f ca="1" t="shared" si="41"/>
        <v>0</v>
      </c>
      <c r="G151">
        <f ca="1" t="shared" si="42"/>
        <v>0</v>
      </c>
      <c r="H151">
        <f ca="1">IF(B151&lt;&gt;"",IF(AND(COUNTIF(B150,"*轻*莺鸣柳*")&gt;0,COUNTIF(B151,"*轻*")&lt;1),MAX(0,15+I150-(A151-A150)+COUNTIF(B150,"*平湖*")*0),IF(AND(E151=0,MAX(0,H150-(A151-A150))&lt;=加速!$H$11),0,MAX(0,H150-(A151-A150)))),"")</f>
        <v>0</v>
      </c>
      <c r="I151">
        <f ca="1" t="shared" si="48"/>
        <v>0</v>
      </c>
      <c r="J151">
        <f ca="1" t="shared" si="49"/>
        <v>0</v>
      </c>
      <c r="K151">
        <f ca="1" t="shared" si="36"/>
        <v>2</v>
      </c>
      <c r="L151">
        <f ca="1">IFERROR(IF(AND(COUNTIF(B151,"*-峰插*"),技能数据库!$M$72&gt;0),0,IF(COUNTIF(B151,"*鹤归*")&gt;0,16-加速!$L$11,MAX(0,L150-(A151-A150)))),0)</f>
        <v>0</v>
      </c>
      <c r="M151">
        <f ca="1" t="shared" si="37"/>
        <v>0</v>
      </c>
      <c r="N151">
        <f ca="1">IFERROR(IF(AND(COUNTIF(B151,"*-峰插*"),技能数据库!$M$72&gt;0),0,IF(COUNTIF(B151,"*云飞*")&gt;0,4-COUNTIF(B151,"*玉山揽云*")*4--COUNTIF(B151,"*烟流暮景*")*4-COUNTIF(B151,"*云景*")*加速!$L$11-IF(J151&gt;0,2,0),MAX(0,N150-(A151-A150)-IF(J151&gt;0,2,0)))),0)</f>
        <v>1.42000000000002</v>
      </c>
      <c r="O151">
        <f ca="1">IF(AND(COUNTIF(IF(AND(配装计算器!$K$30&lt;&gt;"∞",0),INDEX(AU150:CB150,1,$AT$1),INDEX(AU152:CB152,1,$AT$1)),"*云飞*")=1,COUNTIF(IF(AND(配装计算器!$K$30&lt;&gt;"∞",0),INDEX(AU150:CB150,1,$AT$1),INDEX(AU152:CB152,1,$AT$1)),"*玉山*")=0),N151,0)</f>
        <v>0</v>
      </c>
      <c r="P151">
        <f ca="1">IFERROR(IF(COUNTIF(B151,"*云栖松*")&gt;0,50-加速!$L$11,MAX(0,P150-(A151-A150))),0)</f>
        <v>0</v>
      </c>
      <c r="Q151">
        <f ca="1">IF(COUNTIF(IF(AND(配装计算器!$K$30&lt;&gt;"∞",0),INDEX(AU150:CB150,1,$AT$1),INDEX(AU152:CB152,1,$AT$1)),"*云栖松*")=1,P151,0)</f>
        <v>0</v>
      </c>
      <c r="R151">
        <f ca="1">IFERROR(IF(COUNTIF(B151,"*莺鸣柳*")&gt;0,45-加速!$L$9,MAX(0,R150-(A151-A150))),0)</f>
        <v>0</v>
      </c>
      <c r="S151">
        <f ca="1">IF(COUNTIF(IF(AND(配装计算器!$K$30&lt;&gt;"∞",0),INDEX(AU150:CB150,1,$AT$1),INDEX(AU152:CB152,1,$AT$1)),"*莺鸣柳*")=1,R151,0)</f>
        <v>0</v>
      </c>
      <c r="T151">
        <f ca="1" t="shared" si="45"/>
        <v>0</v>
      </c>
      <c r="U151">
        <f ca="1">IF(金蛇,IF(COUNTIF(B151,"*金环戴*")+COUNTIF(B151,"*吹风醒*")&gt;0,IF(A151&lt;=3,7.125-2.625-A151-加速!$L$11,7.125+加速!$K$9-(A151+加速!$L$11-T151)),0),0)+IF(金蛇,IF(COUNTIF(B151,"*千切子裂光*")&gt;0,2+加速!$K$9-(A151+加速!$L$11-T151),0),0)</f>
        <v>0</v>
      </c>
      <c r="V151">
        <f ca="1" t="shared" si="46"/>
        <v>0</v>
      </c>
      <c r="W151">
        <f ca="1" t="shared" si="38"/>
        <v>0</v>
      </c>
      <c r="X151">
        <f ca="1">INDEX(加速!$I$13:$I$21,W151+1)</f>
        <v>0</v>
      </c>
      <c r="Y151">
        <f ca="1" t="shared" si="47"/>
        <v>0.5</v>
      </c>
      <c r="Z151">
        <f ca="1" t="shared" si="43"/>
        <v>0</v>
      </c>
      <c r="AA151">
        <f ca="1">MAX(0,IFERROR(IF(COUNTIF(B151,"*叠*")&gt;0,IF(AC150&lt;3,8-A152+A151,AA150+6.875-A152+A151),AA150-A152+A151),AA150-加速!$L$11))</f>
        <v>0</v>
      </c>
      <c r="AB151">
        <f ca="1">MAX(0,IF(COUNTIF(IF(AND(配装计算器!$K$30&lt;&gt;"∞",0),INDEX(AU151:CB151,1,$AT$1),INDEX(AU151:CB151,1,$AT$1)),"*叠1*")=1,4*25-加速!$L$11,AB150-A151+A150)-IF(OR(COUNTIF(OFFSET(AT151,0,$AT$1,1,1),"*听雷*")&gt;0,AND(碧归&gt;0,COUNTIF(OFFSET(AT151,0,$AT$1,1,1),"*风来*")&gt;0)),0,1)*1.5)</f>
        <v>3.20000000000016</v>
      </c>
      <c r="AC151">
        <f ca="1" t="shared" si="39"/>
        <v>0</v>
      </c>
      <c r="AD151">
        <f ca="1">IF(COUNTIF(IF(AND(配装计算器!$K$30&lt;&gt;"∞",0),INDEX(AU151:CB151,1,$AT$1),INDEX(AU152:CB152,1,$AT$1)),"*叠1*")=1,AB151*0+AE150,0)</f>
        <v>0</v>
      </c>
      <c r="AE151">
        <f ca="1">IF($AN$11&gt;0,IF(COUNTIF(B152,"*叠1*")&gt;0,50-加速!$L$11,MAX(0,AE150-(A152-A151))),0)</f>
        <v>2.91000000000016</v>
      </c>
      <c r="AG151">
        <f ca="1" t="shared" si="40"/>
        <v>4</v>
      </c>
      <c r="AH151" t="s">
        <v>1825</v>
      </c>
      <c r="AI151" t="s">
        <v>2792</v>
      </c>
      <c r="AJ151">
        <f ca="1">AJ154+AJ169/16+(AJ163+AJ166)/2+AJ198</f>
        <v>4</v>
      </c>
      <c r="AK151" t="s">
        <v>3108</v>
      </c>
      <c r="AU151" s="176" t="s">
        <v>2776</v>
      </c>
      <c r="AV151">
        <v>2</v>
      </c>
      <c r="AW151" t="str">
        <f>IF($AR$11=1,"云飞玉皇-玉山揽云","夕照雷峰")</f>
        <v>夕照雷峰</v>
      </c>
      <c r="AX151">
        <v>2</v>
      </c>
      <c r="AY151" t="s">
        <v>2808</v>
      </c>
      <c r="AZ151">
        <v>2</v>
      </c>
      <c r="BA151" t="s">
        <v>3022</v>
      </c>
      <c r="BB151">
        <v>2</v>
      </c>
      <c r="BC151" t="s">
        <v>2776</v>
      </c>
      <c r="BD151">
        <v>1</v>
      </c>
      <c r="BE151" t="s">
        <v>3042</v>
      </c>
      <c r="BF151">
        <v>2</v>
      </c>
      <c r="BG151" s="182" t="s">
        <v>3023</v>
      </c>
      <c r="BH151">
        <v>2</v>
      </c>
      <c r="BI151" t="s">
        <v>2768</v>
      </c>
      <c r="BJ151">
        <v>2</v>
      </c>
      <c r="BK151" t="s">
        <v>2768</v>
      </c>
      <c r="BL151">
        <v>2</v>
      </c>
      <c r="BM151" t="str">
        <f>IF(0,"云飞玉皇-玉山揽云","夕照雷峰")</f>
        <v>夕照雷峰</v>
      </c>
      <c r="BN151">
        <v>2</v>
      </c>
      <c r="BO151" s="176" t="s">
        <v>2776</v>
      </c>
      <c r="BP151">
        <v>2</v>
      </c>
      <c r="BQ151" t="s">
        <v>3010</v>
      </c>
      <c r="BR151">
        <v>2</v>
      </c>
      <c r="BS151" t="s">
        <v>2776</v>
      </c>
      <c r="BT151">
        <v>2</v>
      </c>
      <c r="BU151" t="s">
        <v>3018</v>
      </c>
      <c r="BV151">
        <v>2</v>
      </c>
      <c r="BW151" s="179" t="s">
        <v>2722</v>
      </c>
      <c r="BX151" s="179">
        <v>2</v>
      </c>
      <c r="BY151" s="176" t="str">
        <f>IF(秋,"夕照雷峰","千切子裂光")</f>
        <v>千切子裂光</v>
      </c>
      <c r="BZ151">
        <v>2</v>
      </c>
      <c r="CA151" s="176" t="s">
        <v>2768</v>
      </c>
      <c r="CB151">
        <v>2</v>
      </c>
    </row>
    <row r="152" spans="1:80">
      <c r="A152" s="178">
        <f ca="1">IFERROR(IF(AG151&lt;5+金蛇*2,IF(COUNTIF(B151,"*轻*")&gt;0,A151+加速!$L$9,A151+加速!$L$11)+V151,""),"")</f>
        <v>195.8</v>
      </c>
      <c r="B152" s="167" t="str">
        <f ca="1" t="shared" si="35"/>
        <v>鹤归孤山</v>
      </c>
      <c r="C152">
        <f ca="1" t="shared" si="44"/>
        <v>13.71</v>
      </c>
      <c r="D152">
        <f ca="1">IF(B152&lt;&gt;"",IF(C151&lt;=加速!$L$11*(1-E152),0,1),"")</f>
        <v>1</v>
      </c>
      <c r="E152">
        <f ca="1" t="shared" si="41"/>
        <v>1</v>
      </c>
      <c r="G152">
        <f ca="1" t="shared" si="42"/>
        <v>0</v>
      </c>
      <c r="H152">
        <f ca="1">IF(B152&lt;&gt;"",IF(AND(COUNTIF(B151,"*轻*莺鸣柳*")&gt;0,COUNTIF(B152,"*轻*")&lt;1),MAX(0,15+I151-(A152-A151)+COUNTIF(B151,"*平湖*")*0),IF(AND(E152=0,MAX(0,H151-(A152-A151))&lt;=加速!$H$11),0,MAX(0,H151-(A152-A151)))),"")</f>
        <v>0</v>
      </c>
      <c r="I152">
        <f ca="1" t="shared" si="48"/>
        <v>0</v>
      </c>
      <c r="J152">
        <f ca="1" t="shared" si="49"/>
        <v>0</v>
      </c>
      <c r="K152">
        <f ca="1" t="shared" si="36"/>
        <v>1</v>
      </c>
      <c r="L152">
        <f ca="1">IFERROR(IF(AND(COUNTIF(B152,"*-峰插*"),技能数据库!$M$72&gt;0),0,IF(COUNTIF(B152,"*鹤归*")&gt;0,16-加速!$L$11,MAX(0,L151-(A152-A151)))),0)</f>
        <v>14.71</v>
      </c>
      <c r="M152">
        <f ca="1" t="shared" si="37"/>
        <v>0</v>
      </c>
      <c r="N152">
        <f ca="1">IFERROR(IF(AND(COUNTIF(B152,"*-峰插*"),技能数据库!$M$72&gt;0),0,IF(COUNTIF(B152,"*云飞*")&gt;0,4-COUNTIF(B152,"*玉山揽云*")*4--COUNTIF(B152,"*烟流暮景*")*4-COUNTIF(B152,"*云景*")*加速!$L$11-IF(J152&gt;0,2,0),MAX(0,N151-(A152-A151)-IF(J152&gt;0,2,0)))),0)</f>
        <v>0.130000000000024</v>
      </c>
      <c r="O152">
        <f ca="1">IF(AND(COUNTIF(IF(AND(配装计算器!$K$30&lt;&gt;"∞",0),INDEX(AU151:CB151,1,$AT$1),INDEX(AU153:CB153,1,$AT$1)),"*云飞*")=1,COUNTIF(IF(AND(配装计算器!$K$30&lt;&gt;"∞",0),INDEX(AU151:CB151,1,$AT$1),INDEX(AU153:CB153,1,$AT$1)),"*玉山*")=0),N152,0)</f>
        <v>0.130000000000024</v>
      </c>
      <c r="P152">
        <f ca="1">IFERROR(IF(COUNTIF(B152,"*云栖松*")&gt;0,50-加速!$L$11,MAX(0,P151-(A152-A151))),0)</f>
        <v>0</v>
      </c>
      <c r="Q152">
        <f ca="1">IF(COUNTIF(IF(AND(配装计算器!$K$30&lt;&gt;"∞",0),INDEX(AU151:CB151,1,$AT$1),INDEX(AU153:CB153,1,$AT$1)),"*云栖松*")=1,P152,0)</f>
        <v>0</v>
      </c>
      <c r="R152">
        <f ca="1">IFERROR(IF(COUNTIF(B152,"*莺鸣柳*")&gt;0,45-加速!$L$9,MAX(0,R151-(A152-A151))),0)</f>
        <v>0</v>
      </c>
      <c r="S152">
        <f ca="1">IF(COUNTIF(IF(AND(配装计算器!$K$30&lt;&gt;"∞",0),INDEX(AU151:CB151,1,$AT$1),INDEX(AU153:CB153,1,$AT$1)),"*莺鸣柳*")=1,R152,0)</f>
        <v>0</v>
      </c>
      <c r="T152">
        <f ca="1" t="shared" si="45"/>
        <v>0</v>
      </c>
      <c r="U152">
        <f ca="1">IF(金蛇,IF(COUNTIF(B152,"*金环戴*")+COUNTIF(B152,"*吹风醒*")&gt;0,IF(A152&lt;=3,7.125-2.625-A152-加速!$L$11,7.125+加速!$K$9-(A152+加速!$L$11-T152)),0),0)+IF(金蛇,IF(COUNTIF(B152,"*千切子裂光*")&gt;0,2+加速!$K$9-(A152+加速!$L$11-T152),0),0)</f>
        <v>0</v>
      </c>
      <c r="V152">
        <f ca="1" t="shared" si="46"/>
        <v>0.130000000000024</v>
      </c>
      <c r="W152">
        <f ca="1" t="shared" si="38"/>
        <v>0</v>
      </c>
      <c r="X152">
        <f ca="1">INDEX(加速!$I$13:$I$21,W152+1)</f>
        <v>0</v>
      </c>
      <c r="Y152">
        <f ca="1" t="shared" si="47"/>
        <v>0.5</v>
      </c>
      <c r="Z152">
        <f ca="1" t="shared" si="43"/>
        <v>0</v>
      </c>
      <c r="AA152">
        <f ca="1">MAX(0,IFERROR(IF(COUNTIF(B152,"*叠*")&gt;0,IF(AC151&lt;3,8-A153+A152,AA151+6.875-A153+A152),AA151-A153+A152),AA151-加速!$L$11))</f>
        <v>0</v>
      </c>
      <c r="AB152">
        <f ca="1">MAX(0,IF(COUNTIF(IF(AND(配装计算器!$K$30&lt;&gt;"∞",0),INDEX(AU152:CB152,1,$AT$1),INDEX(AU152:CB152,1,$AT$1)),"*叠1*")=1,4*25-加速!$L$11,AB151-A152+A151)-IF(OR(COUNTIF(OFFSET(AT152,0,$AT$1,1,1),"*听雷*")&gt;0,AND(碧归&gt;0,COUNTIF(OFFSET(AT152,0,$AT$1,1,1),"*风来*")&gt;0)),0,1)*1.5)</f>
        <v>0.410000000000167</v>
      </c>
      <c r="AC152">
        <f ca="1" t="shared" si="39"/>
        <v>0</v>
      </c>
      <c r="AD152">
        <f ca="1">IF(COUNTIF(IF(AND(配装计算器!$K$30&lt;&gt;"∞",0),INDEX(AU152:CB152,1,$AT$1),INDEX(AU153:CB153,1,$AT$1)),"*叠1*")=1,AB152*0+AE151,0)</f>
        <v>0</v>
      </c>
      <c r="AE152">
        <f ca="1">IF($AN$11&gt;0,IF(COUNTIF(B153,"*叠1*")&gt;0,50-加速!$L$11,MAX(0,AE151-(A153-A152))),0)</f>
        <v>1.49000000000014</v>
      </c>
      <c r="AG152">
        <f ca="1" t="shared" si="40"/>
        <v>4</v>
      </c>
      <c r="AH152" t="s">
        <v>1825</v>
      </c>
      <c r="AI152" t="s">
        <v>2792</v>
      </c>
      <c r="AJ152">
        <f ca="1" t="shared" ref="AJ152:AJ153" si="51">AJ155+AJ170/16+(AJ164+AJ167)/2+AJ199</f>
        <v>3.125</v>
      </c>
      <c r="AK152" t="s">
        <v>3109</v>
      </c>
      <c r="AU152" s="176" t="s">
        <v>2768</v>
      </c>
      <c r="AV152">
        <v>1</v>
      </c>
      <c r="AW152" t="str">
        <f>IF($AR$11=1,橙武补雾锁,"夕照雷峰")</f>
        <v>夕照雷峰</v>
      </c>
      <c r="AX152">
        <v>2</v>
      </c>
      <c r="AY152" t="s">
        <v>3022</v>
      </c>
      <c r="AZ152">
        <v>2</v>
      </c>
      <c r="BA152" t="s">
        <v>2776</v>
      </c>
      <c r="BB152">
        <v>2</v>
      </c>
      <c r="BC152" t="s">
        <v>2768</v>
      </c>
      <c r="BD152">
        <v>1</v>
      </c>
      <c r="BE152" t="s">
        <v>2808</v>
      </c>
      <c r="BF152">
        <v>2</v>
      </c>
      <c r="BG152" s="176" t="s">
        <v>2768</v>
      </c>
      <c r="BH152">
        <v>2</v>
      </c>
      <c r="BI152" s="176" t="s">
        <v>2794</v>
      </c>
      <c r="BJ152">
        <v>1</v>
      </c>
      <c r="BK152" t="s">
        <v>2768</v>
      </c>
      <c r="BL152">
        <v>2</v>
      </c>
      <c r="BM152" s="176" t="str">
        <f>IF(秋,"云飞玉皇","夕照雷峰")</f>
        <v>夕照雷峰</v>
      </c>
      <c r="BN152">
        <v>2</v>
      </c>
      <c r="BO152" s="176" t="s">
        <v>2768</v>
      </c>
      <c r="BP152">
        <v>2</v>
      </c>
      <c r="BQ152" t="s">
        <v>3013</v>
      </c>
      <c r="BR152">
        <v>2</v>
      </c>
      <c r="BS152" t="s">
        <v>2768</v>
      </c>
      <c r="BT152">
        <v>2</v>
      </c>
      <c r="BU152" t="s">
        <v>2768</v>
      </c>
      <c r="BV152">
        <v>2</v>
      </c>
      <c r="BW152" s="179" t="s">
        <v>3028</v>
      </c>
      <c r="BX152" s="179">
        <v>2</v>
      </c>
      <c r="BY152" t="str">
        <f>IF(0,"云飞玉皇-玉山揽云","夕照雷峰")</f>
        <v>夕照雷峰</v>
      </c>
      <c r="BZ152">
        <v>2</v>
      </c>
      <c r="CA152" s="176" t="s">
        <v>2776</v>
      </c>
      <c r="CB152">
        <v>2</v>
      </c>
    </row>
    <row r="153" spans="1:80">
      <c r="A153" s="178">
        <f ca="1">IFERROR(IF(AG152&lt;5+金蛇*2,IF(COUNTIF(B152,"*轻*")&gt;0,A152+加速!$L$9,A152+加速!$L$11)+V152,""),"")</f>
        <v>197.22</v>
      </c>
      <c r="B153" s="167" t="str">
        <f ca="1" t="shared" si="35"/>
        <v>云飞玉皇</v>
      </c>
      <c r="C153">
        <f ca="1" t="shared" si="44"/>
        <v>12.29</v>
      </c>
      <c r="D153">
        <f ca="1">IF(B153&lt;&gt;"",IF(C152&lt;=加速!$L$11*(1-E153),0,1),"")</f>
        <v>1</v>
      </c>
      <c r="E153">
        <f ca="1" t="shared" si="41"/>
        <v>0</v>
      </c>
      <c r="G153">
        <f ca="1" t="shared" si="42"/>
        <v>0</v>
      </c>
      <c r="H153">
        <f ca="1">IF(B153&lt;&gt;"",IF(AND(COUNTIF(B152,"*轻*莺鸣柳*")&gt;0,COUNTIF(B153,"*轻*")&lt;1),MAX(0,15+I152-(A153-A152)+COUNTIF(B152,"*平湖*")*0),IF(AND(E153=0,MAX(0,H152-(A153-A152))&lt;=加速!$H$11),0,MAX(0,H152-(A153-A152)))),"")</f>
        <v>0</v>
      </c>
      <c r="I153">
        <f ca="1" t="shared" si="48"/>
        <v>0</v>
      </c>
      <c r="J153">
        <f ca="1" t="shared" si="49"/>
        <v>4</v>
      </c>
      <c r="K153">
        <f ca="1" t="shared" si="36"/>
        <v>1</v>
      </c>
      <c r="L153">
        <f ca="1">IFERROR(IF(AND(COUNTIF(B153,"*-峰插*"),技能数据库!$M$72&gt;0),0,IF(COUNTIF(B153,"*鹤归*")&gt;0,16-加速!$L$11,MAX(0,L152-(A153-A152)))),0)</f>
        <v>13.29</v>
      </c>
      <c r="M153">
        <f ca="1" t="shared" si="37"/>
        <v>0</v>
      </c>
      <c r="N153">
        <f ca="1">IFERROR(IF(AND(COUNTIF(B153,"*-峰插*"),技能数据库!$M$72&gt;0),0,IF(COUNTIF(B153,"*云飞*")&gt;0,4-COUNTIF(B153,"*玉山揽云*")*4--COUNTIF(B153,"*烟流暮景*")*4-COUNTIF(B153,"*云景*")*加速!$L$11-IF(J153&gt;0,2,0),MAX(0,N152-(A153-A152)-IF(J153&gt;0,2,0)))),0)</f>
        <v>2</v>
      </c>
      <c r="O153">
        <f ca="1">IF(AND(COUNTIF(IF(AND(配装计算器!$K$30&lt;&gt;"∞",0),INDEX(AU152:CB152,1,$AT$1),INDEX(AU154:CB154,1,$AT$1)),"*云飞*")=1,COUNTIF(IF(AND(配装计算器!$K$30&lt;&gt;"∞",0),INDEX(AU152:CB152,1,$AT$1),INDEX(AU154:CB154,1,$AT$1)),"*玉山*")=0),N153,0)</f>
        <v>0</v>
      </c>
      <c r="P153">
        <f ca="1">IFERROR(IF(COUNTIF(B153,"*云栖松*")&gt;0,50-加速!$L$11,MAX(0,P152-(A153-A152))),0)</f>
        <v>0</v>
      </c>
      <c r="Q153">
        <f ca="1">IF(COUNTIF(IF(AND(配装计算器!$K$30&lt;&gt;"∞",0),INDEX(AU152:CB152,1,$AT$1),INDEX(AU154:CB154,1,$AT$1)),"*云栖松*")=1,P153,0)</f>
        <v>0</v>
      </c>
      <c r="R153">
        <f ca="1">IFERROR(IF(COUNTIF(B153,"*莺鸣柳*")&gt;0,45-加速!$L$9,MAX(0,R152-(A153-A152))),0)</f>
        <v>0</v>
      </c>
      <c r="S153">
        <f ca="1">IF(COUNTIF(IF(AND(配装计算器!$K$30&lt;&gt;"∞",0),INDEX(AU152:CB152,1,$AT$1),INDEX(AU154:CB154,1,$AT$1)),"*莺鸣柳*")=1,R153,0)</f>
        <v>0</v>
      </c>
      <c r="T153">
        <f ca="1" t="shared" si="45"/>
        <v>0</v>
      </c>
      <c r="U153">
        <f ca="1">IF(金蛇,IF(COUNTIF(B153,"*金环戴*")+COUNTIF(B153,"*吹风醒*")&gt;0,IF(A153&lt;=3,7.125-2.625-A153-加速!$L$11,7.125+加速!$K$9-(A153+加速!$L$11-T153)),0),0)+IF(金蛇,IF(COUNTIF(B153,"*千切子裂光*")&gt;0,2+加速!$K$9-(A153+加速!$L$11-T153),0),0)</f>
        <v>0</v>
      </c>
      <c r="V153">
        <f ca="1" t="shared" si="46"/>
        <v>0</v>
      </c>
      <c r="W153">
        <f ca="1" t="shared" si="38"/>
        <v>0</v>
      </c>
      <c r="X153">
        <f ca="1">INDEX(加速!$I$13:$I$21,W153+1)</f>
        <v>0</v>
      </c>
      <c r="Y153">
        <f ca="1" t="shared" si="47"/>
        <v>0.5</v>
      </c>
      <c r="Z153">
        <f ca="1" t="shared" si="43"/>
        <v>0</v>
      </c>
      <c r="AA153">
        <f ca="1">MAX(0,IFERROR(IF(COUNTIF(B153,"*叠*")&gt;0,IF(AC152&lt;3,8-A154+A153,AA152+6.875-A154+A153),AA152-A154+A153),AA152-加速!$L$11))</f>
        <v>0</v>
      </c>
      <c r="AB153">
        <f ca="1">MAX(0,IF(COUNTIF(IF(AND(配装计算器!$K$30&lt;&gt;"∞",0),INDEX(AU153:CB153,1,$AT$1),INDEX(AU153:CB153,1,$AT$1)),"*叠1*")=1,4*25-加速!$L$11,AB152-A153+A152)-IF(OR(COUNTIF(OFFSET(AT153,0,$AT$1,1,1),"*听雷*")&gt;0,AND(碧归&gt;0,COUNTIF(OFFSET(AT153,0,$AT$1,1,1),"*风来*")&gt;0)),0,1)*1.5)</f>
        <v>0</v>
      </c>
      <c r="AC153">
        <f ca="1" t="shared" si="39"/>
        <v>0</v>
      </c>
      <c r="AD153">
        <f ca="1">IF(COUNTIF(IF(AND(配装计算器!$K$30&lt;&gt;"∞",0),INDEX(AU153:CB153,1,$AT$1),INDEX(AU154:CB154,1,$AT$1)),"*叠1*")=1,AB153*0+AE152,0)</f>
        <v>0</v>
      </c>
      <c r="AE153">
        <f ca="1">IF($AN$11&gt;0,IF(COUNTIF(B154,"*叠1*")&gt;0,50-加速!$L$11,MAX(0,AE152-(A154-A153))),0)</f>
        <v>0.200000000000152</v>
      </c>
      <c r="AG153">
        <f ca="1" t="shared" si="40"/>
        <v>4</v>
      </c>
      <c r="AH153" t="s">
        <v>1825</v>
      </c>
      <c r="AI153" t="s">
        <v>2792</v>
      </c>
      <c r="AJ153">
        <f ca="1" t="shared" si="51"/>
        <v>27.875</v>
      </c>
      <c r="AK153" t="s">
        <v>3110</v>
      </c>
      <c r="AU153" s="176" t="s">
        <v>2776</v>
      </c>
      <c r="AV153">
        <v>1</v>
      </c>
      <c r="AW153" t="str">
        <f>IF($AR$11=1,"云飞玉皇-玉山揽云","夕照雷峰")</f>
        <v>夕照雷峰</v>
      </c>
      <c r="AX153">
        <v>2</v>
      </c>
      <c r="AY153" t="s">
        <v>2776</v>
      </c>
      <c r="AZ153">
        <v>2</v>
      </c>
      <c r="BA153" t="s">
        <v>2768</v>
      </c>
      <c r="BB153">
        <v>2</v>
      </c>
      <c r="BC153" t="s">
        <v>2768</v>
      </c>
      <c r="BD153">
        <v>0</v>
      </c>
      <c r="BE153" t="s">
        <v>2768</v>
      </c>
      <c r="BF153">
        <v>2</v>
      </c>
      <c r="BG153" s="176" t="s">
        <v>2768</v>
      </c>
      <c r="BH153">
        <v>2</v>
      </c>
      <c r="BI153" t="s">
        <v>2776</v>
      </c>
      <c r="BJ153">
        <v>1</v>
      </c>
      <c r="BK153" t="s">
        <v>2776</v>
      </c>
      <c r="BL153">
        <v>2</v>
      </c>
      <c r="BM153" s="176" t="str">
        <f>IF(秋,"夕照雷峰","云飞玉皇")</f>
        <v>云飞玉皇</v>
      </c>
      <c r="BN153">
        <v>2</v>
      </c>
      <c r="BO153" s="176" t="s">
        <v>2776</v>
      </c>
      <c r="BP153">
        <v>2</v>
      </c>
      <c r="BQ153" t="s">
        <v>3018</v>
      </c>
      <c r="BR153">
        <v>2</v>
      </c>
      <c r="BS153" t="s">
        <v>2768</v>
      </c>
      <c r="BT153">
        <v>2</v>
      </c>
      <c r="BU153" s="182" t="s">
        <v>3023</v>
      </c>
      <c r="BV153">
        <v>2</v>
      </c>
      <c r="BW153" s="179" t="s">
        <v>2768</v>
      </c>
      <c r="BX153" s="179">
        <v>2</v>
      </c>
      <c r="BY153" t="s">
        <v>2776</v>
      </c>
      <c r="BZ153">
        <v>2</v>
      </c>
      <c r="CA153" s="176" t="s">
        <v>2768</v>
      </c>
      <c r="CB153">
        <v>2</v>
      </c>
    </row>
    <row r="154" spans="1:80">
      <c r="A154" s="178">
        <f ca="1">IFERROR(IF(AG153&lt;5+金蛇*2,IF(COUNTIF(B153,"*轻*")&gt;0,A153+加速!$L$9,A153+加速!$L$11)+V153,""),"")</f>
        <v>198.51</v>
      </c>
      <c r="B154" s="167" t="str">
        <f ca="1" t="shared" si="35"/>
        <v>夕照雷峰</v>
      </c>
      <c r="C154">
        <f ca="1" t="shared" si="44"/>
        <v>15</v>
      </c>
      <c r="D154">
        <f ca="1">IF(B154&lt;&gt;"",IF(C153&lt;=加速!$L$11*(1-E154),0,1),"")</f>
        <v>1</v>
      </c>
      <c r="E154">
        <f ca="1" t="shared" si="41"/>
        <v>0</v>
      </c>
      <c r="G154">
        <f ca="1" t="shared" si="42"/>
        <v>0</v>
      </c>
      <c r="H154">
        <f ca="1">IF(B154&lt;&gt;"",IF(AND(COUNTIF(B153,"*轻*莺鸣柳*")&gt;0,COUNTIF(B154,"*轻*")&lt;1),MAX(0,15+I153-(A154-A153)+COUNTIF(B153,"*平湖*")*0),IF(AND(E154=0,MAX(0,H153-(A154-A153))&lt;=加速!$H$11),0,MAX(0,H153-(A154-A153)))),"")</f>
        <v>0</v>
      </c>
      <c r="I154">
        <f ca="1" t="shared" si="48"/>
        <v>0</v>
      </c>
      <c r="J154">
        <f ca="1" t="shared" si="49"/>
        <v>3</v>
      </c>
      <c r="K154">
        <f ca="1" t="shared" si="36"/>
        <v>0</v>
      </c>
      <c r="L154">
        <f ca="1">IFERROR(IF(AND(COUNTIF(B154,"*-峰插*"),技能数据库!$M$72&gt;0),0,IF(COUNTIF(B154,"*鹤归*")&gt;0,16-加速!$L$11,MAX(0,L153-(A154-A153)))),0)</f>
        <v>12</v>
      </c>
      <c r="M154">
        <f ca="1" t="shared" si="37"/>
        <v>0</v>
      </c>
      <c r="N154">
        <f ca="1">IFERROR(IF(AND(COUNTIF(B154,"*-峰插*"),技能数据库!$M$72&gt;0),0,IF(COUNTIF(B154,"*云飞*")&gt;0,4-COUNTIF(B154,"*玉山揽云*")*4--COUNTIF(B154,"*烟流暮景*")*4-COUNTIF(B154,"*云景*")*加速!$L$11-IF(J154&gt;0,2,0),MAX(0,N153-(A154-A153)-IF(J154&gt;0,2,0)))),0)</f>
        <v>0</v>
      </c>
      <c r="O154">
        <f ca="1">IF(AND(COUNTIF(IF(AND(配装计算器!$K$30&lt;&gt;"∞",0),INDEX(AU153:CB153,1,$AT$1),INDEX(AU155:CB155,1,$AT$1)),"*云飞*")=1,COUNTIF(IF(AND(配装计算器!$K$30&lt;&gt;"∞",0),INDEX(AU153:CB153,1,$AT$1),INDEX(AU155:CB155,1,$AT$1)),"*玉山*")=0),N154,0)</f>
        <v>0</v>
      </c>
      <c r="P154">
        <f ca="1">IFERROR(IF(COUNTIF(B154,"*云栖松*")&gt;0,50-加速!$L$11,MAX(0,P153-(A154-A153))),0)</f>
        <v>0</v>
      </c>
      <c r="Q154">
        <f ca="1">IF(COUNTIF(IF(AND(配装计算器!$K$30&lt;&gt;"∞",0),INDEX(AU153:CB153,1,$AT$1),INDEX(AU155:CB155,1,$AT$1)),"*云栖松*")=1,P154,0)</f>
        <v>0</v>
      </c>
      <c r="R154">
        <f ca="1">IFERROR(IF(COUNTIF(B154,"*莺鸣柳*")&gt;0,45-加速!$L$9,MAX(0,R153-(A154-A153))),0)</f>
        <v>0</v>
      </c>
      <c r="S154">
        <f ca="1">IF(COUNTIF(IF(AND(配装计算器!$K$30&lt;&gt;"∞",0),INDEX(AU153:CB153,1,$AT$1),INDEX(AU155:CB155,1,$AT$1)),"*莺鸣柳*")=1,R154,0)</f>
        <v>0</v>
      </c>
      <c r="T154">
        <f ca="1" t="shared" si="45"/>
        <v>0</v>
      </c>
      <c r="U154">
        <f ca="1">IF(金蛇,IF(COUNTIF(B154,"*金环戴*")+COUNTIF(B154,"*吹风醒*")&gt;0,IF(A154&lt;=3,7.125-2.625-A154-加速!$L$11,7.125+加速!$K$9-(A154+加速!$L$11-T154)),0),0)+IF(金蛇,IF(COUNTIF(B154,"*千切子裂光*")&gt;0,2+加速!$K$9-(A154+加速!$L$11-T154),0),0)</f>
        <v>0</v>
      </c>
      <c r="V154">
        <f ca="1" t="shared" si="46"/>
        <v>0.200000000000152</v>
      </c>
      <c r="W154">
        <f ca="1" t="shared" si="38"/>
        <v>0</v>
      </c>
      <c r="X154">
        <f ca="1">INDEX(加速!$I$13:$I$21,W154+1)</f>
        <v>0</v>
      </c>
      <c r="Y154">
        <f ca="1" t="shared" si="47"/>
        <v>0.5</v>
      </c>
      <c r="Z154">
        <f ca="1" t="shared" si="43"/>
        <v>0</v>
      </c>
      <c r="AA154">
        <f ca="1">MAX(0,IFERROR(IF(COUNTIF(B154,"*叠*")&gt;0,IF(AC153&lt;3,8-A155+A154,AA153+6.875-A155+A154),AA153-A155+A154),AA153-加速!$L$11))</f>
        <v>0</v>
      </c>
      <c r="AB154">
        <f ca="1">MAX(0,IF(COUNTIF(IF(AND(配装计算器!$K$30&lt;&gt;"∞",0),INDEX(AU154:CB154,1,$AT$1),INDEX(AU154:CB154,1,$AT$1)),"*叠1*")=1,4*25-加速!$L$11,AB153-A154+A153)-IF(OR(COUNTIF(OFFSET(AT154,0,$AT$1,1,1),"*听雷*")&gt;0,AND(碧归&gt;0,COUNTIF(OFFSET(AT154,0,$AT$1,1,1),"*风来*")&gt;0)),0,1)*1.5)</f>
        <v>0</v>
      </c>
      <c r="AC154">
        <f ca="1" t="shared" si="39"/>
        <v>0</v>
      </c>
      <c r="AD154">
        <f ca="1">IF(COUNTIF(IF(AND(配装计算器!$K$30&lt;&gt;"∞",0),INDEX(AU154:CB154,1,$AT$1),INDEX(AU155:CB155,1,$AT$1)),"*叠1*")=1,AB154*0+AE153,0)</f>
        <v>0.200000000000152</v>
      </c>
      <c r="AE154" t="e">
        <f ca="1">IF($AN$11&gt;0,IF(COUNTIF(B155,"*叠1*")&gt;0,50-加速!$L$11,MAX(0,AE153-(A155-A154))),0)</f>
        <v>#VALUE!</v>
      </c>
      <c r="AG154">
        <f ca="1" t="shared" si="40"/>
        <v>5</v>
      </c>
      <c r="AH154" t="s">
        <v>1825</v>
      </c>
      <c r="AI154" t="s">
        <v>2794</v>
      </c>
      <c r="AJ154">
        <f ca="1">循环比*COUNTIFS($B$3:$B$515,"*"&amp;AI154&amp;"*",$D$3:$D$515,"=1",$H$3:$H$515,"=0",$G$3:$G$515,"=0",$K$3:$K$515,"=2",$AC$3:$AC$515,"=1")</f>
        <v>0</v>
      </c>
      <c r="AK154" t="s">
        <v>3108</v>
      </c>
      <c r="AU154" t="s">
        <v>2722</v>
      </c>
      <c r="AV154">
        <v>0</v>
      </c>
      <c r="AW154" t="s">
        <v>2776</v>
      </c>
      <c r="AX154">
        <v>2</v>
      </c>
      <c r="AY154" t="s">
        <v>2768</v>
      </c>
      <c r="AZ154">
        <v>2</v>
      </c>
      <c r="BA154" t="s">
        <v>2789</v>
      </c>
      <c r="BB154">
        <v>2</v>
      </c>
      <c r="BC154" t="s">
        <v>2768</v>
      </c>
      <c r="BD154">
        <v>0</v>
      </c>
      <c r="BE154" t="s">
        <v>2768</v>
      </c>
      <c r="BF154">
        <v>2</v>
      </c>
      <c r="BG154" s="176" t="s">
        <v>2789</v>
      </c>
      <c r="BH154">
        <v>2</v>
      </c>
      <c r="BI154" t="s">
        <v>2768</v>
      </c>
      <c r="BJ154">
        <v>0</v>
      </c>
      <c r="BK154" t="s">
        <v>2768</v>
      </c>
      <c r="BL154">
        <v>1</v>
      </c>
      <c r="BM154" s="176" t="s">
        <v>2794</v>
      </c>
      <c r="BN154">
        <v>2</v>
      </c>
      <c r="BO154" s="176" t="s">
        <v>2768</v>
      </c>
      <c r="BP154">
        <v>2</v>
      </c>
      <c r="BQ154" t="s">
        <v>2768</v>
      </c>
      <c r="BR154">
        <v>2</v>
      </c>
      <c r="BS154" t="s">
        <v>2768</v>
      </c>
      <c r="BT154">
        <v>1</v>
      </c>
      <c r="BU154" s="186" t="str">
        <f>IF(秋,"夕照雷峰","千切子寒光")</f>
        <v>千切子寒光</v>
      </c>
      <c r="BV154">
        <v>2</v>
      </c>
      <c r="BW154" s="179" t="str">
        <f>IF(山重水复,"风来吴山","夕照雷峰")</f>
        <v>夕照雷峰</v>
      </c>
      <c r="BX154" s="179">
        <v>2</v>
      </c>
      <c r="BY154" s="176" t="s">
        <v>2794</v>
      </c>
      <c r="BZ154">
        <v>2</v>
      </c>
      <c r="CA154" s="176" t="s">
        <v>2808</v>
      </c>
      <c r="CB154">
        <v>2</v>
      </c>
    </row>
    <row r="155" spans="1:80">
      <c r="A155" s="178" t="str">
        <f ca="1">IFERROR(IF(AG154&lt;5+金蛇*2,IF(COUNTIF(B154,"*轻*")&gt;0,A154+加速!$L$9,A154+加速!$L$11)+V154,""),"")</f>
        <v/>
      </c>
      <c r="B155" s="167" t="str">
        <f ca="1" t="shared" si="35"/>
        <v/>
      </c>
      <c r="C155" t="str">
        <f ca="1" t="shared" si="44"/>
        <v/>
      </c>
      <c r="D155" t="str">
        <f ca="1">IF(B155&lt;&gt;"",IF(C154&lt;=加速!$L$11*(1-E155),0,1),"")</f>
        <v/>
      </c>
      <c r="E155">
        <f ca="1" t="shared" si="41"/>
        <v>1</v>
      </c>
      <c r="G155" t="str">
        <f ca="1" t="shared" si="42"/>
        <v/>
      </c>
      <c r="H155" t="str">
        <f ca="1">IF(B155&lt;&gt;"",IF(AND(COUNTIF(B154,"*轻*莺鸣柳*")&gt;0,COUNTIF(B155,"*轻*")&lt;1),MAX(0,15+I154-(A155-A154)+COUNTIF(B154,"*平湖*")*0),IF(AND(E155=0,MAX(0,H154-(A155-A154))&lt;=加速!$H$11),0,MAX(0,H154-(A155-A154)))),"")</f>
        <v/>
      </c>
      <c r="I155" t="str">
        <f ca="1" t="shared" si="48"/>
        <v/>
      </c>
      <c r="J155" t="str">
        <f ca="1" t="shared" si="49"/>
        <v/>
      </c>
      <c r="K155" t="str">
        <f ca="1" t="shared" si="36"/>
        <v/>
      </c>
      <c r="L155">
        <f ca="1">IFERROR(IF(AND(COUNTIF(B155,"*-峰插*"),技能数据库!$M$72&gt;0),0,IF(COUNTIF(B155,"*鹤归*")&gt;0,16-加速!$L$11,MAX(0,L154-(A155-A154)))),0)</f>
        <v>0</v>
      </c>
      <c r="M155">
        <f ca="1" t="shared" si="37"/>
        <v>0</v>
      </c>
      <c r="N155">
        <f ca="1">IFERROR(IF(AND(COUNTIF(B155,"*-峰插*"),技能数据库!$M$72&gt;0),0,IF(COUNTIF(B155,"*云飞*")&gt;0,4-COUNTIF(B155,"*玉山揽云*")*4--COUNTIF(B155,"*烟流暮景*")*4-COUNTIF(B155,"*云景*")*加速!$L$11-IF(J155&gt;0,2,0),MAX(0,N154-(A155-A154)-IF(J155&gt;0,2,0)))),0)</f>
        <v>0</v>
      </c>
      <c r="O155">
        <f ca="1">IF(AND(COUNTIF(IF(AND(配装计算器!$K$30&lt;&gt;"∞",0),INDEX(AU154:CB154,1,$AT$1),INDEX(AU156:CB156,1,$AT$1)),"*云飞*")=1,COUNTIF(IF(AND(配装计算器!$K$30&lt;&gt;"∞",0),INDEX(AU154:CB154,1,$AT$1),INDEX(AU156:CB156,1,$AT$1)),"*玉山*")=0),N155,0)</f>
        <v>0</v>
      </c>
      <c r="P155">
        <f ca="1">IFERROR(IF(COUNTIF(B155,"*云栖松*")&gt;0,50-加速!$L$11,MAX(0,P154-(A155-A154))),0)</f>
        <v>0</v>
      </c>
      <c r="Q155">
        <f ca="1">IF(COUNTIF(IF(AND(配装计算器!$K$30&lt;&gt;"∞",0),INDEX(AU154:CB154,1,$AT$1),INDEX(AU156:CB156,1,$AT$1)),"*云栖松*")=1,P155,0)</f>
        <v>0</v>
      </c>
      <c r="R155">
        <f ca="1">IFERROR(IF(COUNTIF(B155,"*莺鸣柳*")&gt;0,45-加速!$L$9,MAX(0,R154-(A155-A154))),0)</f>
        <v>0</v>
      </c>
      <c r="S155">
        <f ca="1">IF(COUNTIF(IF(AND(配装计算器!$K$30&lt;&gt;"∞",0),INDEX(AU154:CB154,1,$AT$1),INDEX(AU156:CB156,1,$AT$1)),"*莺鸣柳*")=1,R155,0)</f>
        <v>0</v>
      </c>
      <c r="T155">
        <f ca="1" t="shared" si="45"/>
        <v>0</v>
      </c>
      <c r="U155">
        <f ca="1">IF(金蛇,IF(COUNTIF(B155,"*金环戴*")+COUNTIF(B155,"*吹风醒*")&gt;0,IF(A155&lt;=3,7.125-2.625-A155-加速!$L$11,7.125+加速!$K$9-(A155+加速!$L$11-T155)),0),0)+IF(金蛇,IF(COUNTIF(B155,"*千切子裂光*")&gt;0,2+加速!$K$9-(A155+加速!$L$11-T155),0),0)</f>
        <v>0</v>
      </c>
      <c r="V155">
        <f ca="1" t="shared" si="46"/>
        <v>0</v>
      </c>
      <c r="W155">
        <f ca="1" t="shared" si="38"/>
        <v>0</v>
      </c>
      <c r="X155">
        <f ca="1">INDEX(加速!$I$13:$I$21,W155+1)</f>
        <v>0</v>
      </c>
      <c r="Y155">
        <f ca="1" t="shared" si="47"/>
        <v>0.5</v>
      </c>
      <c r="Z155">
        <f ca="1" t="shared" si="43"/>
        <v>0</v>
      </c>
      <c r="AA155">
        <f ca="1">MAX(0,IFERROR(IF(COUNTIF(B155,"*叠*")&gt;0,IF(AC154&lt;3,8-A156+A155,AA154+6.875-A156+A155),AA154-A156+A155),AA154-加速!$L$11))</f>
        <v>0</v>
      </c>
      <c r="AB155">
        <f ca="1">MAX(0,IF(COUNTIF(IF(AND(配装计算器!$K$30&lt;&gt;"∞",0),INDEX(AU155:CB155,1,$AT$1),INDEX(AU155:CB155,1,$AT$1)),"*叠1*")=1,4*25-加速!$L$11,AB154-A155+A154)-IF(OR(COUNTIF(OFFSET(AT155,0,$AT$1,1,1),"*听雷*")&gt;0,AND(碧归&gt;0,COUNTIF(OFFSET(AT155,0,$AT$1,1,1),"*风来*")&gt;0)),0,1)*1.5)</f>
        <v>97.21</v>
      </c>
      <c r="AC155">
        <f ca="1" t="shared" si="39"/>
        <v>0</v>
      </c>
      <c r="AD155">
        <f ca="1">IF(COUNTIF(IF(AND(配装计算器!$K$30&lt;&gt;"∞",0),INDEX(AU155:CB155,1,$AT$1),INDEX(AU156:CB156,1,$AT$1)),"*叠1*")=1,AB155*0+AE154,0)</f>
        <v>0</v>
      </c>
      <c r="AE155" t="e">
        <f ca="1">IF($AN$11&gt;0,IF(COUNTIF(B156,"*叠1*")&gt;0,50-加速!$L$11,MAX(0,AE154-(A156-A155))),0)</f>
        <v>#VALUE!</v>
      </c>
      <c r="AG155">
        <f ca="1" t="shared" si="40"/>
        <v>5</v>
      </c>
      <c r="AH155" t="s">
        <v>1825</v>
      </c>
      <c r="AI155" t="s">
        <v>2794</v>
      </c>
      <c r="AJ155">
        <f ca="1">循环比*COUNTIFS($B$3:$B$515,"*"&amp;AI155&amp;"*",$D$3:$D$515,"=1",$H$3:$H$515,"=0",$G$3:$G$515,"=0",$K$3:$K$515,"=2",$AC$3:$AC$515,"=2")</f>
        <v>0</v>
      </c>
      <c r="AK155" t="s">
        <v>3109</v>
      </c>
      <c r="AU155" t="s">
        <v>3009</v>
      </c>
      <c r="AV155">
        <v>2</v>
      </c>
      <c r="AW155" t="s">
        <v>2768</v>
      </c>
      <c r="AX155">
        <v>2</v>
      </c>
      <c r="AY155" t="s">
        <v>2789</v>
      </c>
      <c r="AZ155">
        <v>2</v>
      </c>
      <c r="BA155" t="s">
        <v>2776</v>
      </c>
      <c r="BB155">
        <v>2</v>
      </c>
      <c r="BC155" t="s">
        <v>3010</v>
      </c>
      <c r="BD155">
        <v>2</v>
      </c>
      <c r="BE155" t="s">
        <v>2768</v>
      </c>
      <c r="BF155">
        <v>2</v>
      </c>
      <c r="BG155" s="176" t="s">
        <v>2776</v>
      </c>
      <c r="BH155">
        <v>2</v>
      </c>
      <c r="BI155" t="s">
        <v>3011</v>
      </c>
      <c r="BJ155">
        <v>2</v>
      </c>
      <c r="BK155" t="s">
        <v>2768</v>
      </c>
      <c r="BL155">
        <v>1</v>
      </c>
      <c r="BM155" s="176" t="s">
        <v>2768</v>
      </c>
      <c r="BN155">
        <v>2</v>
      </c>
      <c r="BO155" t="s">
        <v>3056</v>
      </c>
      <c r="BP155">
        <v>1</v>
      </c>
      <c r="BQ155" t="s">
        <v>3023</v>
      </c>
      <c r="BR155">
        <v>2</v>
      </c>
      <c r="BS155" t="s">
        <v>2776</v>
      </c>
      <c r="BT155">
        <v>1</v>
      </c>
      <c r="BU155" s="186" t="str">
        <f>IF(秋,"夕照雷峰","千切子裂光")</f>
        <v>千切子裂光</v>
      </c>
      <c r="BV155">
        <v>2</v>
      </c>
      <c r="BW155" s="182" t="s">
        <v>2794</v>
      </c>
      <c r="BX155" s="179">
        <v>2</v>
      </c>
      <c r="BY155" s="176" t="s">
        <v>2768</v>
      </c>
      <c r="BZ155">
        <v>2</v>
      </c>
      <c r="CA155" t="s">
        <v>2768</v>
      </c>
      <c r="CB155">
        <v>2</v>
      </c>
    </row>
    <row r="156" spans="1:80">
      <c r="A156" s="178" t="str">
        <f ca="1">IFERROR(IF(AG155&lt;5+金蛇*2,IF(COUNTIF(B155,"*轻*")&gt;0,A155+加速!$L$9,A155+加速!$L$11)+V155,""),"")</f>
        <v/>
      </c>
      <c r="B156" s="167" t="str">
        <f ca="1" t="shared" si="35"/>
        <v/>
      </c>
      <c r="C156" t="str">
        <f ca="1" t="shared" si="44"/>
        <v/>
      </c>
      <c r="D156" t="str">
        <f ca="1">IF(B156&lt;&gt;"",IF(C155&lt;=加速!$L$11*(1-E156),0,1),"")</f>
        <v/>
      </c>
      <c r="E156">
        <f ca="1" t="shared" si="41"/>
        <v>1</v>
      </c>
      <c r="G156" t="str">
        <f ca="1" t="shared" si="42"/>
        <v/>
      </c>
      <c r="H156" t="str">
        <f ca="1">IF(B156&lt;&gt;"",IF(AND(COUNTIF(B155,"*轻*莺鸣柳*")&gt;0,COUNTIF(B156,"*轻*")&lt;1),MAX(0,15+I155-(A156-A155)+COUNTIF(B155,"*平湖*")*0),IF(AND(E156=0,MAX(0,H155-(A156-A155))&lt;=加速!$H$11),0,MAX(0,H155-(A156-A155)))),"")</f>
        <v/>
      </c>
      <c r="I156" t="str">
        <f ca="1" t="shared" si="48"/>
        <v/>
      </c>
      <c r="J156" t="str">
        <f ca="1" t="shared" si="49"/>
        <v/>
      </c>
      <c r="K156" t="str">
        <f ca="1" t="shared" si="36"/>
        <v/>
      </c>
      <c r="L156">
        <f ca="1">IFERROR(IF(AND(COUNTIF(B156,"*-峰插*"),技能数据库!$M$72&gt;0),0,IF(COUNTIF(B156,"*鹤归*")&gt;0,16-加速!$L$11,MAX(0,L155-(A156-A155)))),0)</f>
        <v>0</v>
      </c>
      <c r="M156">
        <f ca="1" t="shared" si="37"/>
        <v>0</v>
      </c>
      <c r="N156">
        <f ca="1">IFERROR(IF(AND(COUNTIF(B156,"*-峰插*"),技能数据库!$M$72&gt;0),0,IF(COUNTIF(B156,"*云飞*")&gt;0,4-COUNTIF(B156,"*玉山揽云*")*4--COUNTIF(B156,"*烟流暮景*")*4-COUNTIF(B156,"*云景*")*加速!$L$11-IF(J156&gt;0,2,0),MAX(0,N155-(A156-A155)-IF(J156&gt;0,2,0)))),0)</f>
        <v>0</v>
      </c>
      <c r="O156">
        <f ca="1">IF(AND(COUNTIF(IF(AND(配装计算器!$K$30&lt;&gt;"∞",0),INDEX(AU155:CB155,1,$AT$1),INDEX(AU157:CB157,1,$AT$1)),"*云飞*")=1,COUNTIF(IF(AND(配装计算器!$K$30&lt;&gt;"∞",0),INDEX(AU155:CB155,1,$AT$1),INDEX(AU157:CB157,1,$AT$1)),"*玉山*")=0),N156,0)</f>
        <v>0</v>
      </c>
      <c r="P156">
        <f ca="1">IFERROR(IF(COUNTIF(B156,"*云栖松*")&gt;0,50-加速!$L$11,MAX(0,P155-(A156-A155))),0)</f>
        <v>0</v>
      </c>
      <c r="Q156">
        <f ca="1">IF(COUNTIF(IF(AND(配装计算器!$K$30&lt;&gt;"∞",0),INDEX(AU155:CB155,1,$AT$1),INDEX(AU157:CB157,1,$AT$1)),"*云栖松*")=1,P156,0)</f>
        <v>0</v>
      </c>
      <c r="R156">
        <f ca="1">IFERROR(IF(COUNTIF(B156,"*莺鸣柳*")&gt;0,45-加速!$L$9,MAX(0,R155-(A156-A155))),0)</f>
        <v>0</v>
      </c>
      <c r="S156">
        <f ca="1">IF(COUNTIF(IF(AND(配装计算器!$K$30&lt;&gt;"∞",0),INDEX(AU155:CB155,1,$AT$1),INDEX(AU157:CB157,1,$AT$1)),"*莺鸣柳*")=1,R156,0)</f>
        <v>0</v>
      </c>
      <c r="T156">
        <f ca="1" t="shared" si="45"/>
        <v>0</v>
      </c>
      <c r="U156">
        <f ca="1">IF(金蛇,IF(COUNTIF(B156,"*金环戴*")+COUNTIF(B156,"*吹风醒*")&gt;0,IF(A156&lt;=3,7.125-2.625-A156-加速!$L$11,7.125+加速!$K$9-(A156+加速!$L$11-T156)),0),0)+IF(金蛇,IF(COUNTIF(B156,"*千切子裂光*")&gt;0,2+加速!$K$9-(A156+加速!$L$11-T156),0),0)</f>
        <v>0</v>
      </c>
      <c r="V156">
        <f ca="1" t="shared" si="46"/>
        <v>0</v>
      </c>
      <c r="W156">
        <f ca="1" t="shared" si="38"/>
        <v>0</v>
      </c>
      <c r="X156">
        <f ca="1">INDEX(加速!$I$13:$I$21,W156+1)</f>
        <v>0</v>
      </c>
      <c r="Y156">
        <f ca="1" t="shared" si="47"/>
        <v>0.5</v>
      </c>
      <c r="Z156">
        <f ca="1" t="shared" si="43"/>
        <v>0</v>
      </c>
      <c r="AA156">
        <f ca="1">MAX(0,IFERROR(IF(COUNTIF(B156,"*叠*")&gt;0,IF(AC155&lt;3,8-A157+A156,AA155+6.875-A157+A156),AA155-A157+A156),AA155-加速!$L$11))</f>
        <v>0</v>
      </c>
      <c r="AB156" t="e">
        <f ca="1">MAX(0,IF(COUNTIF(IF(AND(配装计算器!$K$30&lt;&gt;"∞",0),INDEX(AU156:CB156,1,$AT$1),INDEX(AU156:CB156,1,$AT$1)),"*叠1*")=1,4*25-加速!$L$11,AB155-A156+A155)-IF(OR(COUNTIF(OFFSET(AT156,0,$AT$1,1,1),"*听雷*")&gt;0,AND(碧归&gt;0,COUNTIF(OFFSET(AT156,0,$AT$1,1,1),"*风来*")&gt;0)),0,1)*1.5)</f>
        <v>#VALUE!</v>
      </c>
      <c r="AC156">
        <f ca="1" t="shared" si="39"/>
        <v>0</v>
      </c>
      <c r="AD156">
        <f ca="1">IF(COUNTIF(IF(AND(配装计算器!$K$30&lt;&gt;"∞",0),INDEX(AU156:CB156,1,$AT$1),INDEX(AU157:CB157,1,$AT$1)),"*叠1*")=1,AB156*0+AE155,0)</f>
        <v>0</v>
      </c>
      <c r="AE156" t="e">
        <f ca="1">IF($AN$11&gt;0,IF(COUNTIF(B157,"*叠1*")&gt;0,50-加速!$L$11,MAX(0,AE155-(A157-A156))),0)</f>
        <v>#VALUE!</v>
      </c>
      <c r="AG156">
        <f ca="1" t="shared" si="40"/>
        <v>5</v>
      </c>
      <c r="AH156" t="s">
        <v>1825</v>
      </c>
      <c r="AI156" t="s">
        <v>2794</v>
      </c>
      <c r="AJ156">
        <f ca="1">循环比*COUNTIFS($B$3:$B$515,"*"&amp;AI156&amp;"*",$D$3:$D$515,"=1",$H$3:$H$515,"=0",$G$3:$G$515,"=0",$K$3:$K$515,"=2",$AC$3:$AC$515,"=3")</f>
        <v>2</v>
      </c>
      <c r="AK156" t="s">
        <v>3110</v>
      </c>
      <c r="AU156" t="s">
        <v>2768</v>
      </c>
      <c r="AV156">
        <v>2</v>
      </c>
      <c r="AW156" s="176" t="s">
        <v>2794</v>
      </c>
      <c r="AX156">
        <v>2</v>
      </c>
      <c r="AY156" t="s">
        <v>2776</v>
      </c>
      <c r="AZ156">
        <v>2</v>
      </c>
      <c r="BA156" t="s">
        <v>3035</v>
      </c>
      <c r="BB156">
        <v>2</v>
      </c>
      <c r="BC156" t="s">
        <v>3013</v>
      </c>
      <c r="BD156">
        <v>2</v>
      </c>
      <c r="BE156" t="s">
        <v>2776</v>
      </c>
      <c r="BF156">
        <v>2</v>
      </c>
      <c r="BG156" s="176" t="s">
        <v>3035</v>
      </c>
      <c r="BH156">
        <v>2</v>
      </c>
      <c r="BI156" t="s">
        <v>2768</v>
      </c>
      <c r="BJ156">
        <v>2</v>
      </c>
      <c r="BK156" t="s">
        <v>2768</v>
      </c>
      <c r="BL156">
        <v>0</v>
      </c>
      <c r="BM156" s="176" t="s">
        <v>2776</v>
      </c>
      <c r="BN156">
        <v>2</v>
      </c>
      <c r="BO156" t="s">
        <v>2768</v>
      </c>
      <c r="BP156">
        <v>2</v>
      </c>
      <c r="BQ156" t="s">
        <v>2768</v>
      </c>
      <c r="BR156">
        <v>2</v>
      </c>
      <c r="BS156" t="s">
        <v>2768</v>
      </c>
      <c r="BT156">
        <v>0</v>
      </c>
      <c r="BU156" s="176" t="s">
        <v>2789</v>
      </c>
      <c r="BV156">
        <v>2</v>
      </c>
      <c r="BW156" s="182" t="s">
        <v>2776</v>
      </c>
      <c r="BX156" s="179">
        <v>2</v>
      </c>
      <c r="BY156" s="176" t="s">
        <v>2776</v>
      </c>
      <c r="BZ156">
        <v>2</v>
      </c>
      <c r="CA156" t="s">
        <v>2776</v>
      </c>
      <c r="CB156">
        <v>2</v>
      </c>
    </row>
    <row r="157" spans="1:80">
      <c r="A157" s="178" t="str">
        <f ca="1">IFERROR(IF(AG156&lt;5+金蛇*2,IF(COUNTIF(B156,"*轻*")&gt;0,A156+加速!$L$9,A156+加速!$L$11)+V156,""),"")</f>
        <v/>
      </c>
      <c r="B157" s="167" t="str">
        <f ca="1" t="shared" si="35"/>
        <v/>
      </c>
      <c r="C157" t="str">
        <f ca="1" t="shared" si="44"/>
        <v/>
      </c>
      <c r="D157" t="str">
        <f ca="1">IF(B157&lt;&gt;"",IF(C156&lt;=加速!$L$11*(1-E157),0,1),"")</f>
        <v/>
      </c>
      <c r="E157">
        <f ca="1" t="shared" si="41"/>
        <v>1</v>
      </c>
      <c r="G157" t="str">
        <f ca="1" t="shared" si="42"/>
        <v/>
      </c>
      <c r="H157" t="str">
        <f ca="1">IF(B157&lt;&gt;"",IF(AND(COUNTIF(B156,"*轻*莺鸣柳*")&gt;0,COUNTIF(B157,"*轻*")&lt;1),MAX(0,15+I156-(A157-A156)+COUNTIF(B156,"*平湖*")*0),IF(AND(E157=0,MAX(0,H156-(A157-A156))&lt;=加速!$H$11),0,MAX(0,H156-(A157-A156)))),"")</f>
        <v/>
      </c>
      <c r="I157" t="str">
        <f ca="1" t="shared" si="48"/>
        <v/>
      </c>
      <c r="J157" t="str">
        <f ca="1" t="shared" si="49"/>
        <v/>
      </c>
      <c r="K157" t="str">
        <f ca="1" t="shared" si="36"/>
        <v/>
      </c>
      <c r="L157">
        <f ca="1">IFERROR(IF(AND(COUNTIF(B157,"*-峰插*"),技能数据库!$M$72&gt;0),0,IF(COUNTIF(B157,"*鹤归*")&gt;0,16-加速!$L$11,MAX(0,L156-(A157-A156)))),0)</f>
        <v>0</v>
      </c>
      <c r="M157">
        <f ca="1" t="shared" si="37"/>
        <v>0</v>
      </c>
      <c r="N157">
        <f ca="1">IFERROR(IF(AND(COUNTIF(B157,"*-峰插*"),技能数据库!$M$72&gt;0),0,IF(COUNTIF(B157,"*云飞*")&gt;0,4-COUNTIF(B157,"*玉山揽云*")*4--COUNTIF(B157,"*烟流暮景*")*4-COUNTIF(B157,"*云景*")*加速!$L$11-IF(J157&gt;0,2,0),MAX(0,N156-(A157-A156)-IF(J157&gt;0,2,0)))),0)</f>
        <v>0</v>
      </c>
      <c r="O157">
        <f ca="1">IF(AND(COUNTIF(IF(AND(配装计算器!$K$30&lt;&gt;"∞",0),INDEX(AU156:CB156,1,$AT$1),INDEX(AU158:CB158,1,$AT$1)),"*云飞*")=1,COUNTIF(IF(AND(配装计算器!$K$30&lt;&gt;"∞",0),INDEX(AU156:CB156,1,$AT$1),INDEX(AU158:CB158,1,$AT$1)),"*玉山*")=0),N157,0)</f>
        <v>0</v>
      </c>
      <c r="P157">
        <f ca="1">IFERROR(IF(COUNTIF(B157,"*云栖松*")&gt;0,50-加速!$L$11,MAX(0,P156-(A157-A156))),0)</f>
        <v>0</v>
      </c>
      <c r="Q157">
        <f ca="1">IF(COUNTIF(IF(AND(配装计算器!$K$30&lt;&gt;"∞",0),INDEX(AU156:CB156,1,$AT$1),INDEX(AU158:CB158,1,$AT$1)),"*云栖松*")=1,P157,0)</f>
        <v>0</v>
      </c>
      <c r="R157">
        <f ca="1">IFERROR(IF(COUNTIF(B157,"*莺鸣柳*")&gt;0,45-加速!$L$9,MAX(0,R156-(A157-A156))),0)</f>
        <v>0</v>
      </c>
      <c r="S157">
        <f ca="1">IF(COUNTIF(IF(AND(配装计算器!$K$30&lt;&gt;"∞",0),INDEX(AU156:CB156,1,$AT$1),INDEX(AU158:CB158,1,$AT$1)),"*莺鸣柳*")=1,R157,0)</f>
        <v>0</v>
      </c>
      <c r="T157">
        <f ca="1" t="shared" si="45"/>
        <v>0</v>
      </c>
      <c r="U157">
        <f ca="1">IF(金蛇,IF(COUNTIF(B157,"*金环戴*")+COUNTIF(B157,"*吹风醒*")&gt;0,IF(A157&lt;=3,7.125-2.625-A157-加速!$L$11,7.125+加速!$K$9-(A157+加速!$L$11-T157)),0),0)+IF(金蛇,IF(COUNTIF(B157,"*千切子裂光*")&gt;0,2+加速!$K$9-(A157+加速!$L$11-T157),0),0)</f>
        <v>0</v>
      </c>
      <c r="V157">
        <f ca="1" t="shared" si="46"/>
        <v>0</v>
      </c>
      <c r="W157">
        <f ca="1" t="shared" si="38"/>
        <v>0</v>
      </c>
      <c r="X157">
        <f ca="1">INDEX(加速!$I$13:$I$21,W157+1)</f>
        <v>0</v>
      </c>
      <c r="Y157">
        <f ca="1" t="shared" si="47"/>
        <v>0.5</v>
      </c>
      <c r="Z157">
        <f ca="1" t="shared" si="43"/>
        <v>0</v>
      </c>
      <c r="AA157">
        <f ca="1">MAX(0,IFERROR(IF(COUNTIF(B157,"*叠*")&gt;0,IF(AC156&lt;3,8-A158+A157,AA156+6.875-A158+A157),AA156-A158+A157),AA156-加速!$L$11))</f>
        <v>0</v>
      </c>
      <c r="AB157" t="e">
        <f ca="1">MAX(0,IF(COUNTIF(IF(AND(配装计算器!$K$30&lt;&gt;"∞",0),INDEX(AU157:CB157,1,$AT$1),INDEX(AU157:CB157,1,$AT$1)),"*叠1*")=1,4*25-加速!$L$11,AB156-A157+A156)-IF(OR(COUNTIF(OFFSET(AT157,0,$AT$1,1,1),"*听雷*")&gt;0,AND(碧归&gt;0,COUNTIF(OFFSET(AT157,0,$AT$1,1,1),"*风来*")&gt;0)),0,1)*1.5)</f>
        <v>#VALUE!</v>
      </c>
      <c r="AC157">
        <f ca="1" t="shared" si="39"/>
        <v>0</v>
      </c>
      <c r="AD157">
        <f ca="1">IF(COUNTIF(IF(AND(配装计算器!$K$30&lt;&gt;"∞",0),INDEX(AU157:CB157,1,$AT$1),INDEX(AU158:CB158,1,$AT$1)),"*叠1*")=1,AB157*0+AE156,0)</f>
        <v>0</v>
      </c>
      <c r="AE157" t="e">
        <f ca="1">IF($AN$11&gt;0,IF(COUNTIF(B158,"*叠1*")&gt;0,50-加速!$L$11,MAX(0,AE156-(A158-A157))),0)</f>
        <v>#VALUE!</v>
      </c>
      <c r="AG157">
        <f ca="1" t="shared" si="40"/>
        <v>5</v>
      </c>
      <c r="AH157" t="s">
        <v>1825</v>
      </c>
      <c r="AI157" t="s">
        <v>2798</v>
      </c>
      <c r="AJ157">
        <f ca="1">AJ154</f>
        <v>0</v>
      </c>
      <c r="AK157" t="s">
        <v>3108</v>
      </c>
      <c r="AU157" t="s">
        <v>2776</v>
      </c>
      <c r="AV157">
        <v>2</v>
      </c>
      <c r="AW157" s="176" t="s">
        <v>2768</v>
      </c>
      <c r="AX157">
        <v>2</v>
      </c>
      <c r="AY157" t="s">
        <v>3035</v>
      </c>
      <c r="AZ157">
        <v>2</v>
      </c>
      <c r="BA157" t="s">
        <v>2768</v>
      </c>
      <c r="BB157">
        <v>2</v>
      </c>
      <c r="BC157" t="s">
        <v>3018</v>
      </c>
      <c r="BD157">
        <v>2</v>
      </c>
      <c r="BE157" t="s">
        <v>2768</v>
      </c>
      <c r="BF157">
        <v>1</v>
      </c>
      <c r="BG157" t="s">
        <v>2768</v>
      </c>
      <c r="BH157">
        <v>2</v>
      </c>
      <c r="BI157" t="s">
        <v>3018</v>
      </c>
      <c r="BJ157">
        <v>2</v>
      </c>
      <c r="BK157" t="s">
        <v>2776</v>
      </c>
      <c r="BL157">
        <v>0</v>
      </c>
      <c r="BM157" s="176" t="s">
        <v>2768</v>
      </c>
      <c r="BN157">
        <v>2</v>
      </c>
      <c r="BO157" t="s">
        <v>2768</v>
      </c>
      <c r="BP157">
        <v>2</v>
      </c>
      <c r="BQ157" t="s">
        <v>2776</v>
      </c>
      <c r="BR157">
        <v>2</v>
      </c>
      <c r="BS157" t="s">
        <v>3024</v>
      </c>
      <c r="BT157">
        <v>2</v>
      </c>
      <c r="BU157" s="176" t="s">
        <v>2776</v>
      </c>
      <c r="BV157">
        <v>2</v>
      </c>
      <c r="BW157" s="182" t="s">
        <v>2768</v>
      </c>
      <c r="BX157" s="179">
        <v>1</v>
      </c>
      <c r="BY157" s="176" t="s">
        <v>2768</v>
      </c>
      <c r="BZ157">
        <v>2</v>
      </c>
      <c r="CA157" t="s">
        <v>2768</v>
      </c>
      <c r="CB157">
        <v>2</v>
      </c>
    </row>
    <row r="158" spans="1:80">
      <c r="A158" s="178" t="str">
        <f ca="1">IFERROR(IF(AG157&lt;5+金蛇*2,IF(COUNTIF(B157,"*轻*")&gt;0,A157+加速!$L$9,A157+加速!$L$11)+V157,""),"")</f>
        <v/>
      </c>
      <c r="B158" s="167" t="str">
        <f ca="1" t="shared" si="35"/>
        <v/>
      </c>
      <c r="C158" t="str">
        <f ca="1" t="shared" si="44"/>
        <v/>
      </c>
      <c r="D158" t="str">
        <f ca="1">IF(B158&lt;&gt;"",IF(C157&lt;=加速!$L$11*(1-E158),0,1),"")</f>
        <v/>
      </c>
      <c r="E158">
        <f ca="1" t="shared" si="41"/>
        <v>1</v>
      </c>
      <c r="G158" t="str">
        <f ca="1" t="shared" si="42"/>
        <v/>
      </c>
      <c r="H158" t="str">
        <f ca="1">IF(B158&lt;&gt;"",IF(AND(COUNTIF(B157,"*轻*莺鸣柳*")&gt;0,COUNTIF(B158,"*轻*")&lt;1),MAX(0,15+I157-(A158-A157)+COUNTIF(B157,"*平湖*")*0),IF(AND(E158=0,MAX(0,H157-(A158-A157))&lt;=加速!$H$11),0,MAX(0,H157-(A158-A157)))),"")</f>
        <v/>
      </c>
      <c r="I158" t="str">
        <f ca="1" t="shared" si="48"/>
        <v/>
      </c>
      <c r="J158" t="str">
        <f ca="1" t="shared" si="49"/>
        <v/>
      </c>
      <c r="K158" t="str">
        <f ca="1" t="shared" si="36"/>
        <v/>
      </c>
      <c r="L158">
        <f ca="1">IFERROR(IF(AND(COUNTIF(B158,"*-峰插*"),技能数据库!$M$72&gt;0),0,IF(COUNTIF(B158,"*鹤归*")&gt;0,16-加速!$L$11,MAX(0,L157-(A158-A157)))),0)</f>
        <v>0</v>
      </c>
      <c r="M158">
        <f ca="1" t="shared" si="37"/>
        <v>0</v>
      </c>
      <c r="N158">
        <f ca="1">IFERROR(IF(AND(COUNTIF(B158,"*-峰插*"),技能数据库!$M$72&gt;0),0,IF(COUNTIF(B158,"*云飞*")&gt;0,4-COUNTIF(B158,"*玉山揽云*")*4--COUNTIF(B158,"*烟流暮景*")*4-COUNTIF(B158,"*云景*")*加速!$L$11-IF(J158&gt;0,2,0),MAX(0,N157-(A158-A157)-IF(J158&gt;0,2,0)))),0)</f>
        <v>0</v>
      </c>
      <c r="O158">
        <f ca="1">IF(AND(COUNTIF(IF(AND(配装计算器!$K$30&lt;&gt;"∞",0),INDEX(AU157:CB157,1,$AT$1),INDEX(AU159:CB159,1,$AT$1)),"*云飞*")=1,COUNTIF(IF(AND(配装计算器!$K$30&lt;&gt;"∞",0),INDEX(AU157:CB157,1,$AT$1),INDEX(AU159:CB159,1,$AT$1)),"*玉山*")=0),N158,0)</f>
        <v>0</v>
      </c>
      <c r="P158">
        <f ca="1">IFERROR(IF(COUNTIF(B158,"*云栖松*")&gt;0,50-加速!$L$11,MAX(0,P157-(A158-A157))),0)</f>
        <v>0</v>
      </c>
      <c r="Q158">
        <f ca="1">IF(COUNTIF(IF(AND(配装计算器!$K$30&lt;&gt;"∞",0),INDEX(AU157:CB157,1,$AT$1),INDEX(AU159:CB159,1,$AT$1)),"*云栖松*")=1,P158,0)</f>
        <v>0</v>
      </c>
      <c r="R158">
        <f ca="1">IFERROR(IF(COUNTIF(B158,"*莺鸣柳*")&gt;0,45-加速!$L$9,MAX(0,R157-(A158-A157))),0)</f>
        <v>0</v>
      </c>
      <c r="S158">
        <f ca="1">IF(COUNTIF(IF(AND(配装计算器!$K$30&lt;&gt;"∞",0),INDEX(AU157:CB157,1,$AT$1),INDEX(AU159:CB159,1,$AT$1)),"*莺鸣柳*")=1,R158,0)</f>
        <v>0</v>
      </c>
      <c r="T158">
        <f ca="1" t="shared" si="45"/>
        <v>0</v>
      </c>
      <c r="U158">
        <f ca="1">IF(金蛇,IF(COUNTIF(B158,"*金环戴*")+COUNTIF(B158,"*吹风醒*")&gt;0,IF(A158&lt;=3,7.125-2.625-A158-加速!$L$11,7.125+加速!$K$9-(A158+加速!$L$11-T158)),0),0)+IF(金蛇,IF(COUNTIF(B158,"*千切子裂光*")&gt;0,2+加速!$K$9-(A158+加速!$L$11-T158),0),0)</f>
        <v>0</v>
      </c>
      <c r="V158">
        <f ca="1" t="shared" si="46"/>
        <v>0</v>
      </c>
      <c r="W158">
        <f ca="1" t="shared" si="38"/>
        <v>0</v>
      </c>
      <c r="X158">
        <f ca="1">INDEX(加速!$I$13:$I$21,W158+1)</f>
        <v>0</v>
      </c>
      <c r="Y158">
        <f ca="1" t="shared" si="47"/>
        <v>0.5</v>
      </c>
      <c r="Z158">
        <f ca="1" t="shared" si="43"/>
        <v>0</v>
      </c>
      <c r="AA158">
        <f ca="1">MAX(0,IFERROR(IF(COUNTIF(B158,"*叠*")&gt;0,IF(AC157&lt;3,8-A159+A158,AA157+6.875-A159+A158),AA157-A159+A158),AA157-加速!$L$11))</f>
        <v>0</v>
      </c>
      <c r="AB158" t="e">
        <f ca="1">MAX(0,IF(COUNTIF(IF(AND(配装计算器!$K$30&lt;&gt;"∞",0),INDEX(AU158:CB158,1,$AT$1),INDEX(AU158:CB158,1,$AT$1)),"*叠1*")=1,4*25-加速!$L$11,AB157-A158+A157)-IF(OR(COUNTIF(OFFSET(AT158,0,$AT$1,1,1),"*听雷*")&gt;0,AND(碧归&gt;0,COUNTIF(OFFSET(AT158,0,$AT$1,1,1),"*风来*")&gt;0)),0,1)*1.5)</f>
        <v>#VALUE!</v>
      </c>
      <c r="AC158">
        <f ca="1" t="shared" si="39"/>
        <v>0</v>
      </c>
      <c r="AD158">
        <f ca="1">IF(COUNTIF(IF(AND(配装计算器!$K$30&lt;&gt;"∞",0),INDEX(AU158:CB158,1,$AT$1),INDEX(AU159:CB159,1,$AT$1)),"*叠1*")=1,AB158*0+AE157,0)</f>
        <v>0</v>
      </c>
      <c r="AE158" t="e">
        <f ca="1">IF($AN$11&gt;0,IF(COUNTIF(B159,"*叠1*")&gt;0,50-加速!$L$11,MAX(0,AE157-(A159-A158))),0)</f>
        <v>#VALUE!</v>
      </c>
      <c r="AG158">
        <f ca="1" t="shared" si="40"/>
        <v>5</v>
      </c>
      <c r="AH158" t="s">
        <v>1825</v>
      </c>
      <c r="AI158" t="s">
        <v>2798</v>
      </c>
      <c r="AJ158">
        <f ca="1" t="shared" ref="AJ158:AJ159" si="52">AJ155</f>
        <v>0</v>
      </c>
      <c r="AK158" t="s">
        <v>3109</v>
      </c>
      <c r="AU158" t="s">
        <v>2768</v>
      </c>
      <c r="AV158">
        <v>2</v>
      </c>
      <c r="AW158" s="176" t="s">
        <v>2776</v>
      </c>
      <c r="AX158">
        <v>2</v>
      </c>
      <c r="AY158" t="s">
        <v>2768</v>
      </c>
      <c r="AZ158">
        <v>2</v>
      </c>
      <c r="BA158" t="s">
        <v>2776</v>
      </c>
      <c r="BB158">
        <v>2</v>
      </c>
      <c r="BC158" t="s">
        <v>2768</v>
      </c>
      <c r="BD158">
        <v>2</v>
      </c>
      <c r="BE158" t="s">
        <v>2768</v>
      </c>
      <c r="BF158">
        <v>1</v>
      </c>
      <c r="BG158" t="s">
        <v>2776</v>
      </c>
      <c r="BH158">
        <v>2</v>
      </c>
      <c r="BI158" t="s">
        <v>2789</v>
      </c>
      <c r="BJ158">
        <v>2</v>
      </c>
      <c r="BK158" t="s">
        <v>2768</v>
      </c>
      <c r="BL158">
        <v>0</v>
      </c>
      <c r="BM158" s="176" t="s">
        <v>2776</v>
      </c>
      <c r="BN158">
        <v>2</v>
      </c>
      <c r="BO158" t="s">
        <v>2768</v>
      </c>
      <c r="BP158">
        <v>2</v>
      </c>
      <c r="BQ158" t="s">
        <v>2789</v>
      </c>
      <c r="BR158">
        <v>2</v>
      </c>
      <c r="BS158" s="179" t="s">
        <v>2794</v>
      </c>
      <c r="BT158">
        <v>2</v>
      </c>
      <c r="BU158" t="str">
        <f>IF(秋,"鹤归孤山-叠-蛇牙锥心","鹤归孤山-叠")</f>
        <v>鹤归孤山-叠</v>
      </c>
      <c r="BV158">
        <v>2</v>
      </c>
      <c r="BW158" s="182" t="s">
        <v>2776</v>
      </c>
      <c r="BX158" s="179">
        <v>1</v>
      </c>
      <c r="BY158" s="176" t="s">
        <v>2776</v>
      </c>
      <c r="BZ158">
        <v>2</v>
      </c>
      <c r="CA158" t="s">
        <v>2768</v>
      </c>
      <c r="CB158">
        <v>2</v>
      </c>
    </row>
    <row r="159" spans="1:80">
      <c r="A159" s="178" t="str">
        <f ca="1">IFERROR(IF(AG158&lt;5+金蛇*2,IF(COUNTIF(B158,"*轻*")&gt;0,A158+加速!$L$9,A158+加速!$L$11)+V158,""),"")</f>
        <v/>
      </c>
      <c r="B159" s="167" t="str">
        <f ca="1" t="shared" si="35"/>
        <v/>
      </c>
      <c r="C159" t="str">
        <f ca="1" t="shared" si="44"/>
        <v/>
      </c>
      <c r="D159" t="str">
        <f ca="1">IF(B159&lt;&gt;"",IF(C158&lt;=加速!$L$11*(1-E159),0,1),"")</f>
        <v/>
      </c>
      <c r="E159">
        <f ca="1" t="shared" si="41"/>
        <v>1</v>
      </c>
      <c r="G159" t="str">
        <f ca="1" t="shared" si="42"/>
        <v/>
      </c>
      <c r="H159" t="str">
        <f ca="1">IF(B159&lt;&gt;"",IF(AND(COUNTIF(B158,"*轻*莺鸣柳*")&gt;0,COUNTIF(B159,"*轻*")&lt;1),MAX(0,15+I158-(A159-A158)+COUNTIF(B158,"*平湖*")*0),IF(AND(E159=0,MAX(0,H158-(A159-A158))&lt;=加速!$H$11),0,MAX(0,H158-(A159-A158)))),"")</f>
        <v/>
      </c>
      <c r="I159" t="str">
        <f ca="1" t="shared" si="48"/>
        <v/>
      </c>
      <c r="J159" t="str">
        <f ca="1" t="shared" si="49"/>
        <v/>
      </c>
      <c r="K159" t="str">
        <f ca="1" t="shared" si="36"/>
        <v/>
      </c>
      <c r="L159">
        <f ca="1">IFERROR(IF(AND(COUNTIF(B159,"*-峰插*"),技能数据库!$M$72&gt;0),0,IF(COUNTIF(B159,"*鹤归*")&gt;0,16-加速!$L$11,MAX(0,L158-(A159-A158)))),0)</f>
        <v>0</v>
      </c>
      <c r="M159">
        <f ca="1" t="shared" si="37"/>
        <v>0</v>
      </c>
      <c r="N159">
        <f ca="1">IFERROR(IF(AND(COUNTIF(B159,"*-峰插*"),技能数据库!$M$72&gt;0),0,IF(COUNTIF(B159,"*云飞*")&gt;0,4-COUNTIF(B159,"*玉山揽云*")*4--COUNTIF(B159,"*烟流暮景*")*4-COUNTIF(B159,"*云景*")*加速!$L$11-IF(J159&gt;0,2,0),MAX(0,N158-(A159-A158)-IF(J159&gt;0,2,0)))),0)</f>
        <v>0</v>
      </c>
      <c r="O159">
        <f ca="1">IF(AND(COUNTIF(IF(AND(配装计算器!$K$30&lt;&gt;"∞",0),INDEX(AU158:CB158,1,$AT$1),INDEX(AU160:CB160,1,$AT$1)),"*云飞*")=1,COUNTIF(IF(AND(配装计算器!$K$30&lt;&gt;"∞",0),INDEX(AU158:CB158,1,$AT$1),INDEX(AU160:CB160,1,$AT$1)),"*玉山*")=0),N159,0)</f>
        <v>0</v>
      </c>
      <c r="P159">
        <f ca="1">IFERROR(IF(COUNTIF(B159,"*云栖松*")&gt;0,50-加速!$L$11,MAX(0,P158-(A159-A158))),0)</f>
        <v>0</v>
      </c>
      <c r="Q159">
        <f ca="1">IF(COUNTIF(IF(AND(配装计算器!$K$30&lt;&gt;"∞",0),INDEX(AU158:CB158,1,$AT$1),INDEX(AU160:CB160,1,$AT$1)),"*云栖松*")=1,P159,0)</f>
        <v>0</v>
      </c>
      <c r="R159">
        <f ca="1">IFERROR(IF(COUNTIF(B159,"*莺鸣柳*")&gt;0,45-加速!$L$9,MAX(0,R158-(A159-A158))),0)</f>
        <v>0</v>
      </c>
      <c r="S159">
        <f ca="1">IF(COUNTIF(IF(AND(配装计算器!$K$30&lt;&gt;"∞",0),INDEX(AU158:CB158,1,$AT$1),INDEX(AU160:CB160,1,$AT$1)),"*莺鸣柳*")=1,R159,0)</f>
        <v>0</v>
      </c>
      <c r="T159">
        <f ca="1" t="shared" si="45"/>
        <v>0</v>
      </c>
      <c r="U159">
        <f ca="1">IF(金蛇,IF(COUNTIF(B159,"*金环戴*")+COUNTIF(B159,"*吹风醒*")&gt;0,IF(A159&lt;=3,7.125-2.625-A159-加速!$L$11,7.125+加速!$K$9-(A159+加速!$L$11-T159)),0),0)+IF(金蛇,IF(COUNTIF(B159,"*千切子裂光*")&gt;0,2+加速!$K$9-(A159+加速!$L$11-T159),0),0)</f>
        <v>0</v>
      </c>
      <c r="V159">
        <f ca="1" t="shared" si="46"/>
        <v>0</v>
      </c>
      <c r="W159">
        <f ca="1" t="shared" si="38"/>
        <v>0</v>
      </c>
      <c r="X159">
        <f ca="1">INDEX(加速!$I$13:$I$21,W159+1)</f>
        <v>0</v>
      </c>
      <c r="Y159">
        <f ca="1" t="shared" si="47"/>
        <v>0.5</v>
      </c>
      <c r="Z159">
        <f ca="1" t="shared" si="43"/>
        <v>0</v>
      </c>
      <c r="AA159">
        <f ca="1">MAX(0,IFERROR(IF(COUNTIF(B159,"*叠*")&gt;0,IF(AC158&lt;3,8-A160+A159,AA158+6.875-A160+A159),AA158-A160+A159),AA158-加速!$L$11))</f>
        <v>0</v>
      </c>
      <c r="AB159" t="e">
        <f ca="1">MAX(0,IF(COUNTIF(IF(AND(配装计算器!$K$30&lt;&gt;"∞",0),INDEX(AU159:CB159,1,$AT$1),INDEX(AU159:CB159,1,$AT$1)),"*叠1*")=1,4*25-加速!$L$11,AB158-A159+A158)-IF(OR(COUNTIF(OFFSET(AT159,0,$AT$1,1,1),"*听雷*")&gt;0,AND(碧归&gt;0,COUNTIF(OFFSET(AT159,0,$AT$1,1,1),"*风来*")&gt;0)),0,1)*1.5)</f>
        <v>#VALUE!</v>
      </c>
      <c r="AC159">
        <f ca="1" t="shared" si="39"/>
        <v>0</v>
      </c>
      <c r="AD159">
        <f ca="1">IF(COUNTIF(IF(AND(配装计算器!$K$30&lt;&gt;"∞",0),INDEX(AU159:CB159,1,$AT$1),INDEX(AU160:CB160,1,$AT$1)),"*叠1*")=1,AB159*0+AE158,0)</f>
        <v>0</v>
      </c>
      <c r="AE159" t="e">
        <f ca="1">IF($AN$11&gt;0,IF(COUNTIF(B160,"*叠1*")&gt;0,50-加速!$L$11,MAX(0,AE158-(A160-A159))),0)</f>
        <v>#VALUE!</v>
      </c>
      <c r="AG159">
        <f ca="1" t="shared" si="40"/>
        <v>5</v>
      </c>
      <c r="AH159" t="s">
        <v>1825</v>
      </c>
      <c r="AI159" t="s">
        <v>2798</v>
      </c>
      <c r="AJ159">
        <f ca="1" t="shared" si="52"/>
        <v>2</v>
      </c>
      <c r="AK159" t="s">
        <v>3110</v>
      </c>
      <c r="AU159" s="180" t="s">
        <v>2789</v>
      </c>
      <c r="AV159">
        <v>2</v>
      </c>
      <c r="AW159" s="176" t="s">
        <v>2768</v>
      </c>
      <c r="AX159">
        <v>2</v>
      </c>
      <c r="AY159" t="s">
        <v>2776</v>
      </c>
      <c r="AZ159">
        <v>2</v>
      </c>
      <c r="BA159" t="s">
        <v>2768</v>
      </c>
      <c r="BB159">
        <v>2</v>
      </c>
      <c r="BC159" t="s">
        <v>3023</v>
      </c>
      <c r="BD159">
        <v>2</v>
      </c>
      <c r="BE159" t="s">
        <v>2794</v>
      </c>
      <c r="BF159">
        <v>1</v>
      </c>
      <c r="BG159" t="s">
        <v>2768</v>
      </c>
      <c r="BH159">
        <v>2</v>
      </c>
      <c r="BI159" s="182" t="s">
        <v>3023</v>
      </c>
      <c r="BJ159">
        <v>2</v>
      </c>
      <c r="BK159" t="s">
        <v>3067</v>
      </c>
      <c r="BL159">
        <v>2</v>
      </c>
      <c r="BM159" s="176" t="s">
        <v>2768</v>
      </c>
      <c r="BN159">
        <v>2</v>
      </c>
      <c r="BO159" t="s">
        <v>2776</v>
      </c>
      <c r="BP159">
        <v>2</v>
      </c>
      <c r="BQ159" t="str">
        <f>IF(秋,"夕照雷峰","千切子寒光-千切子裂光")</f>
        <v>千切子寒光-千切子裂光</v>
      </c>
      <c r="BR159">
        <v>2</v>
      </c>
      <c r="BS159" s="179" t="s">
        <v>3030</v>
      </c>
      <c r="BT159">
        <v>2</v>
      </c>
      <c r="BU159" t="s">
        <v>2768</v>
      </c>
      <c r="BV159">
        <v>2</v>
      </c>
      <c r="BW159" s="182" t="s">
        <v>2768</v>
      </c>
      <c r="BX159" s="179">
        <v>1</v>
      </c>
      <c r="BY159" t="s">
        <v>2768</v>
      </c>
      <c r="BZ159">
        <v>2</v>
      </c>
      <c r="CA159" t="s">
        <v>2768</v>
      </c>
      <c r="CB159">
        <v>2</v>
      </c>
    </row>
    <row r="160" spans="1:80">
      <c r="A160" s="178" t="str">
        <f ca="1">IFERROR(IF(AG159&lt;5+金蛇*2,IF(COUNTIF(B159,"*轻*")&gt;0,A159+加速!$L$9,A159+加速!$L$11)+V159,""),"")</f>
        <v/>
      </c>
      <c r="B160" s="167" t="str">
        <f ca="1" t="shared" si="35"/>
        <v/>
      </c>
      <c r="C160" t="str">
        <f ca="1" t="shared" si="44"/>
        <v/>
      </c>
      <c r="D160" t="str">
        <f ca="1">IF(B160&lt;&gt;"",IF(C159&lt;=加速!$L$11*(1-E160),0,1),"")</f>
        <v/>
      </c>
      <c r="E160">
        <f ca="1" t="shared" si="41"/>
        <v>1</v>
      </c>
      <c r="G160" t="str">
        <f ca="1" t="shared" si="42"/>
        <v/>
      </c>
      <c r="H160" t="str">
        <f ca="1">IF(B160&lt;&gt;"",IF(AND(COUNTIF(B159,"*轻*莺鸣柳*")&gt;0,COUNTIF(B160,"*轻*")&lt;1),MAX(0,15+I159-(A160-A159)+COUNTIF(B159,"*平湖*")*0),IF(AND(E160=0,MAX(0,H159-(A160-A159))&lt;=加速!$H$11),0,MAX(0,H159-(A160-A159)))),"")</f>
        <v/>
      </c>
      <c r="I160" t="str">
        <f ca="1" t="shared" si="48"/>
        <v/>
      </c>
      <c r="J160" t="str">
        <f ca="1" t="shared" si="49"/>
        <v/>
      </c>
      <c r="K160" t="str">
        <f ca="1" t="shared" si="36"/>
        <v/>
      </c>
      <c r="L160">
        <f ca="1">IFERROR(IF(AND(COUNTIF(B160,"*-峰插*"),技能数据库!$M$72&gt;0),0,IF(COUNTIF(B160,"*鹤归*")&gt;0,16-加速!$L$11,MAX(0,L159-(A160-A159)))),0)</f>
        <v>0</v>
      </c>
      <c r="M160">
        <f ca="1" t="shared" si="37"/>
        <v>0</v>
      </c>
      <c r="N160">
        <f ca="1">IFERROR(IF(AND(COUNTIF(B160,"*-峰插*"),技能数据库!$M$72&gt;0),0,IF(COUNTIF(B160,"*云飞*")&gt;0,4-COUNTIF(B160,"*玉山揽云*")*4--COUNTIF(B160,"*烟流暮景*")*4-COUNTIF(B160,"*云景*")*加速!$L$11-IF(J160&gt;0,2,0),MAX(0,N159-(A160-A159)-IF(J160&gt;0,2,0)))),0)</f>
        <v>0</v>
      </c>
      <c r="O160">
        <f ca="1">IF(AND(COUNTIF(IF(AND(配装计算器!$K$30&lt;&gt;"∞",0),INDEX(AU159:CB159,1,$AT$1),INDEX(AU161:CB161,1,$AT$1)),"*云飞*")=1,COUNTIF(IF(AND(配装计算器!$K$30&lt;&gt;"∞",0),INDEX(AU159:CB159,1,$AT$1),INDEX(AU161:CB161,1,$AT$1)),"*玉山*")=0),N160,0)</f>
        <v>0</v>
      </c>
      <c r="P160">
        <f ca="1">IFERROR(IF(COUNTIF(B160,"*云栖松*")&gt;0,50-加速!$L$11,MAX(0,P159-(A160-A159))),0)</f>
        <v>0</v>
      </c>
      <c r="Q160">
        <f ca="1">IF(COUNTIF(IF(AND(配装计算器!$K$30&lt;&gt;"∞",0),INDEX(AU159:CB159,1,$AT$1),INDEX(AU161:CB161,1,$AT$1)),"*云栖松*")=1,P160,0)</f>
        <v>0</v>
      </c>
      <c r="R160">
        <f ca="1">IFERROR(IF(COUNTIF(B160,"*莺鸣柳*")&gt;0,45-加速!$L$9,MAX(0,R159-(A160-A159))),0)</f>
        <v>0</v>
      </c>
      <c r="S160">
        <f ca="1">IF(COUNTIF(IF(AND(配装计算器!$K$30&lt;&gt;"∞",0),INDEX(AU159:CB159,1,$AT$1),INDEX(AU161:CB161,1,$AT$1)),"*莺鸣柳*")=1,R160,0)</f>
        <v>0</v>
      </c>
      <c r="T160">
        <f ca="1" t="shared" si="45"/>
        <v>0</v>
      </c>
      <c r="U160">
        <f ca="1">IF(金蛇,IF(COUNTIF(B160,"*金环戴*")+COUNTIF(B160,"*吹风醒*")&gt;0,IF(A160&lt;=3,7.125-2.625-A160-加速!$L$11,7.125+加速!$K$9-(A160+加速!$L$11-T160)),0),0)+IF(金蛇,IF(COUNTIF(B160,"*千切子裂光*")&gt;0,2+加速!$K$9-(A160+加速!$L$11-T160),0),0)</f>
        <v>0</v>
      </c>
      <c r="V160">
        <f ca="1" t="shared" si="46"/>
        <v>0</v>
      </c>
      <c r="W160">
        <f ca="1" t="shared" si="38"/>
        <v>0</v>
      </c>
      <c r="X160">
        <f ca="1">INDEX(加速!$I$13:$I$21,W160+1)</f>
        <v>0</v>
      </c>
      <c r="Y160">
        <f ca="1" t="shared" si="47"/>
        <v>0.5</v>
      </c>
      <c r="Z160">
        <f ca="1" t="shared" si="43"/>
        <v>0</v>
      </c>
      <c r="AA160">
        <f ca="1">MAX(0,IFERROR(IF(COUNTIF(B160,"*叠*")&gt;0,IF(AC159&lt;3,8-A161+A160,AA159+6.875-A161+A160),AA159-A161+A160),AA159-加速!$L$11))</f>
        <v>0</v>
      </c>
      <c r="AB160" t="e">
        <f ca="1">MAX(0,IF(COUNTIF(IF(AND(配装计算器!$K$30&lt;&gt;"∞",0),INDEX(AU160:CB160,1,$AT$1),INDEX(AU160:CB160,1,$AT$1)),"*叠1*")=1,4*25-加速!$L$11,AB159-A160+A159)-IF(OR(COUNTIF(OFFSET(AT160,0,$AT$1,1,1),"*听雷*")&gt;0,AND(碧归&gt;0,COUNTIF(OFFSET(AT160,0,$AT$1,1,1),"*风来*")&gt;0)),0,1)*1.5)</f>
        <v>#VALUE!</v>
      </c>
      <c r="AC160">
        <f ca="1" t="shared" si="39"/>
        <v>0</v>
      </c>
      <c r="AD160">
        <f ca="1">IF(COUNTIF(IF(AND(配装计算器!$K$30&lt;&gt;"∞",0),INDEX(AU160:CB160,1,$AT$1),INDEX(AU161:CB161,1,$AT$1)),"*叠1*")=1,AB160*0+AE159,0)</f>
        <v>0</v>
      </c>
      <c r="AE160" t="e">
        <f ca="1">IF($AN$11&gt;0,IF(COUNTIF(B161,"*叠1*")&gt;0,50-加速!$L$11,MAX(0,AE159-(A161-A160))),0)</f>
        <v>#VALUE!</v>
      </c>
      <c r="AG160">
        <f ca="1" t="shared" si="40"/>
        <v>5</v>
      </c>
      <c r="AH160" t="s">
        <v>1825</v>
      </c>
      <c r="AI160" t="s">
        <v>2801</v>
      </c>
      <c r="AJ160">
        <f ca="1">循环比*COUNTIFS($J$3:$J$515,"&gt;0",$D$3:$D$515,"&gt;0",$AC$3:$AC$515,"=1")</f>
        <v>6</v>
      </c>
      <c r="AK160" t="s">
        <v>3108</v>
      </c>
      <c r="AU160" s="176" t="s">
        <v>2794</v>
      </c>
      <c r="AV160">
        <v>2</v>
      </c>
      <c r="AW160" s="176" t="s">
        <v>2776</v>
      </c>
      <c r="AX160">
        <v>2</v>
      </c>
      <c r="AY160" t="s">
        <v>2768</v>
      </c>
      <c r="AZ160">
        <v>2</v>
      </c>
      <c r="BA160" t="s">
        <v>2776</v>
      </c>
      <c r="BB160">
        <v>2</v>
      </c>
      <c r="BC160" t="s">
        <v>2768</v>
      </c>
      <c r="BD160">
        <v>2</v>
      </c>
      <c r="BE160" t="s">
        <v>2776</v>
      </c>
      <c r="BF160">
        <v>2</v>
      </c>
      <c r="BG160" t="s">
        <v>2776</v>
      </c>
      <c r="BH160">
        <v>2</v>
      </c>
      <c r="BI160" s="176" t="s">
        <v>3026</v>
      </c>
      <c r="BJ160">
        <v>2</v>
      </c>
      <c r="BK160" s="176" t="s">
        <v>2768</v>
      </c>
      <c r="BL160">
        <v>2</v>
      </c>
      <c r="BM160" t="s">
        <v>3056</v>
      </c>
      <c r="BN160">
        <v>1</v>
      </c>
      <c r="BO160" t="s">
        <v>2768</v>
      </c>
      <c r="BP160">
        <v>2</v>
      </c>
      <c r="BQ160" t="str">
        <f>IF(秋,"鹤归孤山-叠-蛇牙锥心","鹤归孤山-叠")</f>
        <v>鹤归孤山-叠</v>
      </c>
      <c r="BR160">
        <v>2</v>
      </c>
      <c r="BS160" s="179" t="s">
        <v>2768</v>
      </c>
      <c r="BT160">
        <v>2</v>
      </c>
      <c r="BU160" t="s">
        <v>2776</v>
      </c>
      <c r="BV160">
        <v>2</v>
      </c>
      <c r="BW160" s="182" t="s">
        <v>2776</v>
      </c>
      <c r="BX160" s="179">
        <v>1</v>
      </c>
      <c r="BY160" t="s">
        <v>2776</v>
      </c>
      <c r="BZ160">
        <v>2</v>
      </c>
      <c r="CA160" t="s">
        <v>2776</v>
      </c>
      <c r="CB160">
        <v>2</v>
      </c>
    </row>
    <row r="161" spans="1:80">
      <c r="A161" s="178" t="str">
        <f ca="1">IFERROR(IF(AG160&lt;5+金蛇*2,IF(COUNTIF(B160,"*轻*")&gt;0,A160+加速!$L$9,A160+加速!$L$11)+V160,""),"")</f>
        <v/>
      </c>
      <c r="B161" s="167" t="str">
        <f ca="1" t="shared" si="35"/>
        <v/>
      </c>
      <c r="C161" t="str">
        <f ca="1" t="shared" si="44"/>
        <v/>
      </c>
      <c r="D161" t="str">
        <f ca="1">IF(B161&lt;&gt;"",IF(C160&lt;=加速!$L$11*(1-E161),0,1),"")</f>
        <v/>
      </c>
      <c r="E161">
        <f ca="1" t="shared" si="41"/>
        <v>1</v>
      </c>
      <c r="G161" t="str">
        <f ca="1" t="shared" si="42"/>
        <v/>
      </c>
      <c r="H161" t="str">
        <f ca="1">IF(B161&lt;&gt;"",IF(AND(COUNTIF(B160,"*轻*莺鸣柳*")&gt;0,COUNTIF(B161,"*轻*")&lt;1),MAX(0,15+I160-(A161-A160)+COUNTIF(B160,"*平湖*")*0),IF(AND(E161=0,MAX(0,H160-(A161-A160))&lt;=加速!$H$11),0,MAX(0,H160-(A161-A160)))),"")</f>
        <v/>
      </c>
      <c r="I161" t="str">
        <f ca="1" t="shared" si="48"/>
        <v/>
      </c>
      <c r="J161" t="str">
        <f ca="1" t="shared" si="49"/>
        <v/>
      </c>
      <c r="K161" t="str">
        <f ca="1" t="shared" si="36"/>
        <v/>
      </c>
      <c r="L161">
        <f ca="1">IFERROR(IF(AND(COUNTIF(B161,"*-峰插*"),技能数据库!$M$72&gt;0),0,IF(COUNTIF(B161,"*鹤归*")&gt;0,16-加速!$L$11,MAX(0,L160-(A161-A160)))),0)</f>
        <v>0</v>
      </c>
      <c r="M161">
        <f ca="1" t="shared" si="37"/>
        <v>0</v>
      </c>
      <c r="N161">
        <f ca="1">IFERROR(IF(AND(COUNTIF(B161,"*-峰插*"),技能数据库!$M$72&gt;0),0,IF(COUNTIF(B161,"*云飞*")&gt;0,4-COUNTIF(B161,"*玉山揽云*")*4--COUNTIF(B161,"*烟流暮景*")*4-COUNTIF(B161,"*云景*")*加速!$L$11-IF(J161&gt;0,2,0),MAX(0,N160-(A161-A160)-IF(J161&gt;0,2,0)))),0)</f>
        <v>0</v>
      </c>
      <c r="O161">
        <f ca="1">IF(AND(COUNTIF(IF(AND(配装计算器!$K$30&lt;&gt;"∞",0),INDEX(AU160:CB160,1,$AT$1),INDEX(AU162:CB162,1,$AT$1)),"*云飞*")=1,COUNTIF(IF(AND(配装计算器!$K$30&lt;&gt;"∞",0),INDEX(AU160:CB160,1,$AT$1),INDEX(AU162:CB162,1,$AT$1)),"*玉山*")=0),N161,0)</f>
        <v>0</v>
      </c>
      <c r="P161">
        <f ca="1">IFERROR(IF(COUNTIF(B161,"*云栖松*")&gt;0,50-加速!$L$11,MAX(0,P160-(A161-A160))),0)</f>
        <v>0</v>
      </c>
      <c r="Q161">
        <f ca="1">IF(COUNTIF(IF(AND(配装计算器!$K$30&lt;&gt;"∞",0),INDEX(AU160:CB160,1,$AT$1),INDEX(AU162:CB162,1,$AT$1)),"*云栖松*")=1,P161,0)</f>
        <v>0</v>
      </c>
      <c r="R161">
        <f ca="1">IFERROR(IF(COUNTIF(B161,"*莺鸣柳*")&gt;0,45-加速!$L$9,MAX(0,R160-(A161-A160))),0)</f>
        <v>0</v>
      </c>
      <c r="S161">
        <f ca="1">IF(COUNTIF(IF(AND(配装计算器!$K$30&lt;&gt;"∞",0),INDEX(AU160:CB160,1,$AT$1),INDEX(AU162:CB162,1,$AT$1)),"*莺鸣柳*")=1,R161,0)</f>
        <v>0</v>
      </c>
      <c r="T161">
        <f ca="1" t="shared" si="45"/>
        <v>0</v>
      </c>
      <c r="U161">
        <f ca="1">IF(金蛇,IF(COUNTIF(B161,"*金环戴*")+COUNTIF(B161,"*吹风醒*")&gt;0,IF(A161&lt;=3,7.125-2.625-A161-加速!$L$11,7.125+加速!$K$9-(A161+加速!$L$11-T161)),0),0)+IF(金蛇,IF(COUNTIF(B161,"*千切子裂光*")&gt;0,2+加速!$K$9-(A161+加速!$L$11-T161),0),0)</f>
        <v>0</v>
      </c>
      <c r="V161">
        <f ca="1" t="shared" si="46"/>
        <v>0</v>
      </c>
      <c r="W161">
        <f ca="1" t="shared" si="38"/>
        <v>0</v>
      </c>
      <c r="X161">
        <f ca="1">INDEX(加速!$I$13:$I$21,W161+1)</f>
        <v>0</v>
      </c>
      <c r="Y161">
        <f ca="1" t="shared" si="47"/>
        <v>0.5</v>
      </c>
      <c r="Z161">
        <f ca="1" t="shared" si="43"/>
        <v>0</v>
      </c>
      <c r="AA161">
        <f ca="1">MAX(0,IFERROR(IF(COUNTIF(B161,"*叠*")&gt;0,IF(AC160&lt;3,8-A162+A161,AA160+6.875-A162+A161),AA160-A162+A161),AA160-加速!$L$11))</f>
        <v>0</v>
      </c>
      <c r="AB161" t="e">
        <f ca="1">MAX(0,IF(COUNTIF(IF(AND(配装计算器!$K$30&lt;&gt;"∞",0),INDEX(AU161:CB161,1,$AT$1),INDEX(AU161:CB161,1,$AT$1)),"*叠1*")=1,4*25-加速!$L$11,AB160-A161+A160)-IF(OR(COUNTIF(OFFSET(AT161,0,$AT$1,1,1),"*听雷*")&gt;0,AND(碧归&gt;0,COUNTIF(OFFSET(AT161,0,$AT$1,1,1),"*风来*")&gt;0)),0,1)*1.5)</f>
        <v>#VALUE!</v>
      </c>
      <c r="AC161">
        <f ca="1" t="shared" si="39"/>
        <v>0</v>
      </c>
      <c r="AD161">
        <f ca="1">IF(COUNTIF(IF(AND(配装计算器!$K$30&lt;&gt;"∞",0),INDEX(AU161:CB161,1,$AT$1),INDEX(AU162:CB162,1,$AT$1)),"*叠1*")=1,AB161*0+AE160,0)</f>
        <v>0</v>
      </c>
      <c r="AE161" t="e">
        <f ca="1">IF($AN$11&gt;0,IF(COUNTIF(B162,"*叠1*")&gt;0,50-加速!$L$11,MAX(0,AE160-(A162-A161))),0)</f>
        <v>#VALUE!</v>
      </c>
      <c r="AG161">
        <f ca="1" t="shared" si="40"/>
        <v>5</v>
      </c>
      <c r="AH161" t="s">
        <v>1825</v>
      </c>
      <c r="AI161" t="s">
        <v>2801</v>
      </c>
      <c r="AJ161">
        <f ca="1">循环比*COUNTIFS($J$3:$J$515,"&gt;0",$D$3:$D$515,"&gt;0",$AC$3:$AC$515,"=2")</f>
        <v>3</v>
      </c>
      <c r="AK161" t="s">
        <v>3109</v>
      </c>
      <c r="AU161" s="176" t="s">
        <v>2776</v>
      </c>
      <c r="AV161">
        <v>2</v>
      </c>
      <c r="AW161" s="176" t="s">
        <v>2768</v>
      </c>
      <c r="AX161">
        <v>2</v>
      </c>
      <c r="AY161" t="s">
        <v>2776</v>
      </c>
      <c r="AZ161">
        <v>2</v>
      </c>
      <c r="BA161" t="s">
        <v>3042</v>
      </c>
      <c r="BB161">
        <v>2</v>
      </c>
      <c r="BC161" t="s">
        <v>2776</v>
      </c>
      <c r="BD161">
        <v>2</v>
      </c>
      <c r="BE161" t="s">
        <v>2768</v>
      </c>
      <c r="BF161">
        <v>2</v>
      </c>
      <c r="BG161" t="s">
        <v>2768</v>
      </c>
      <c r="BH161">
        <v>2</v>
      </c>
      <c r="BI161" s="176" t="s">
        <v>3026</v>
      </c>
      <c r="BJ161">
        <v>2</v>
      </c>
      <c r="BK161" s="176" t="s">
        <v>2776</v>
      </c>
      <c r="BL161">
        <v>2</v>
      </c>
      <c r="BM161" t="s">
        <v>2768</v>
      </c>
      <c r="BN161">
        <v>2</v>
      </c>
      <c r="BO161" t="s">
        <v>2768</v>
      </c>
      <c r="BP161">
        <v>2</v>
      </c>
      <c r="BQ161" t="s">
        <v>2776</v>
      </c>
      <c r="BR161">
        <v>2</v>
      </c>
      <c r="BS161" s="182" t="s">
        <v>3023</v>
      </c>
      <c r="BT161">
        <v>2</v>
      </c>
      <c r="BU161" t="s">
        <v>2768</v>
      </c>
      <c r="BV161">
        <v>2</v>
      </c>
      <c r="BW161" s="179" t="s">
        <v>2718</v>
      </c>
      <c r="BX161" s="179">
        <v>1</v>
      </c>
      <c r="BY161" t="s">
        <v>2718</v>
      </c>
      <c r="BZ161">
        <v>0</v>
      </c>
      <c r="CA161" t="s">
        <v>2718</v>
      </c>
      <c r="CB161">
        <v>0</v>
      </c>
    </row>
    <row r="162" spans="1:80">
      <c r="A162" s="178" t="str">
        <f ca="1">IFERROR(IF(AG161&lt;5+金蛇*2,IF(COUNTIF(B161,"*轻*")&gt;0,A161+加速!$L$9,A161+加速!$L$11)+V161,""),"")</f>
        <v/>
      </c>
      <c r="B162" s="167" t="str">
        <f ca="1" t="shared" si="35"/>
        <v/>
      </c>
      <c r="C162" t="str">
        <f ca="1" t="shared" si="44"/>
        <v/>
      </c>
      <c r="D162" t="str">
        <f ca="1">IF(B162&lt;&gt;"",IF(C161&lt;=加速!$L$11*(1-E162),0,1),"")</f>
        <v/>
      </c>
      <c r="E162">
        <f ca="1" t="shared" si="41"/>
        <v>1</v>
      </c>
      <c r="G162" t="str">
        <f ca="1" t="shared" si="42"/>
        <v/>
      </c>
      <c r="H162" t="str">
        <f ca="1">IF(B162&lt;&gt;"",IF(AND(COUNTIF(B161,"*轻*莺鸣柳*")&gt;0,COUNTIF(B162,"*轻*")&lt;1),MAX(0,15+I161-(A162-A161)+COUNTIF(B161,"*平湖*")*0),IF(AND(E162=0,MAX(0,H161-(A162-A161))&lt;=加速!$H$11),0,MAX(0,H161-(A162-A161)))),"")</f>
        <v/>
      </c>
      <c r="I162" t="str">
        <f ca="1" t="shared" si="48"/>
        <v/>
      </c>
      <c r="J162" t="str">
        <f ca="1" t="shared" si="49"/>
        <v/>
      </c>
      <c r="K162" t="str">
        <f ca="1" t="shared" si="36"/>
        <v/>
      </c>
      <c r="L162">
        <f ca="1">IFERROR(IF(AND(COUNTIF(B162,"*-峰插*"),技能数据库!$M$72&gt;0),0,IF(COUNTIF(B162,"*鹤归*")&gt;0,16-加速!$L$11,MAX(0,L161-(A162-A161)))),0)</f>
        <v>0</v>
      </c>
      <c r="M162">
        <f ca="1" t="shared" si="37"/>
        <v>0</v>
      </c>
      <c r="N162">
        <f ca="1">IFERROR(IF(AND(COUNTIF(B162,"*-峰插*"),技能数据库!$M$72&gt;0),0,IF(COUNTIF(B162,"*云飞*")&gt;0,4-COUNTIF(B162,"*玉山揽云*")*4--COUNTIF(B162,"*烟流暮景*")*4-COUNTIF(B162,"*云景*")*加速!$L$11-IF(J162&gt;0,2,0),MAX(0,N161-(A162-A161)-IF(J162&gt;0,2,0)))),0)</f>
        <v>0</v>
      </c>
      <c r="O162">
        <f ca="1">IF(AND(COUNTIF(IF(AND(配装计算器!$K$30&lt;&gt;"∞",0),INDEX(AU161:CB161,1,$AT$1),INDEX(AU163:CB163,1,$AT$1)),"*云飞*")=1,COUNTIF(IF(AND(配装计算器!$K$30&lt;&gt;"∞",0),INDEX(AU161:CB161,1,$AT$1),INDEX(AU163:CB163,1,$AT$1)),"*玉山*")=0),N162,0)</f>
        <v>0</v>
      </c>
      <c r="P162">
        <f ca="1">IFERROR(IF(COUNTIF(B162,"*云栖松*")&gt;0,50-加速!$L$11,MAX(0,P161-(A162-A161))),0)</f>
        <v>0</v>
      </c>
      <c r="Q162">
        <f ca="1">IF(COUNTIF(IF(AND(配装计算器!$K$30&lt;&gt;"∞",0),INDEX(AU161:CB161,1,$AT$1),INDEX(AU163:CB163,1,$AT$1)),"*云栖松*")=1,P162,0)</f>
        <v>0</v>
      </c>
      <c r="R162">
        <f ca="1">IFERROR(IF(COUNTIF(B162,"*莺鸣柳*")&gt;0,45-加速!$L$9,MAX(0,R161-(A162-A161))),0)</f>
        <v>0</v>
      </c>
      <c r="S162">
        <f ca="1">IF(COUNTIF(IF(AND(配装计算器!$K$30&lt;&gt;"∞",0),INDEX(AU161:CB161,1,$AT$1),INDEX(AU163:CB163,1,$AT$1)),"*莺鸣柳*")=1,R162,0)</f>
        <v>0</v>
      </c>
      <c r="T162">
        <f ca="1" t="shared" si="45"/>
        <v>0</v>
      </c>
      <c r="U162">
        <f ca="1">IF(金蛇,IF(COUNTIF(B162,"*金环戴*")+COUNTIF(B162,"*吹风醒*")&gt;0,IF(A162&lt;=3,7.125-2.625-A162-加速!$L$11,7.125+加速!$K$9-(A162+加速!$L$11-T162)),0),0)+IF(金蛇,IF(COUNTIF(B162,"*千切子裂光*")&gt;0,2+加速!$K$9-(A162+加速!$L$11-T162),0),0)</f>
        <v>0</v>
      </c>
      <c r="V162">
        <f ca="1" t="shared" si="46"/>
        <v>0</v>
      </c>
      <c r="W162">
        <f ca="1" t="shared" si="38"/>
        <v>0</v>
      </c>
      <c r="X162">
        <f ca="1">INDEX(加速!$I$13:$I$21,W162+1)</f>
        <v>0</v>
      </c>
      <c r="Y162">
        <f ca="1" t="shared" si="47"/>
        <v>0.5</v>
      </c>
      <c r="Z162">
        <f ca="1" t="shared" si="43"/>
        <v>0</v>
      </c>
      <c r="AA162">
        <f ca="1">MAX(0,IFERROR(IF(COUNTIF(B162,"*叠*")&gt;0,IF(AC161&lt;3,8-A163+A162,AA161+6.875-A163+A162),AA161-A163+A162),AA161-加速!$L$11))</f>
        <v>0</v>
      </c>
      <c r="AB162" t="e">
        <f ca="1">MAX(0,IF(COUNTIF(IF(AND(配装计算器!$K$30&lt;&gt;"∞",0),INDEX(AU162:CB162,1,$AT$1),INDEX(AU162:CB162,1,$AT$1)),"*叠1*")=1,4*25-加速!$L$11,AB161-A162+A161)-IF(OR(COUNTIF(OFFSET(AT162,0,$AT$1,1,1),"*听雷*")&gt;0,AND(碧归&gt;0,COUNTIF(OFFSET(AT162,0,$AT$1,1,1),"*风来*")&gt;0)),0,1)*1.5)</f>
        <v>#VALUE!</v>
      </c>
      <c r="AC162">
        <f ca="1" t="shared" si="39"/>
        <v>0</v>
      </c>
      <c r="AD162">
        <f ca="1">IF(COUNTIF(IF(AND(配装计算器!$K$30&lt;&gt;"∞",0),INDEX(AU162:CB162,1,$AT$1),INDEX(AU163:CB163,1,$AT$1)),"*叠1*")=1,AB162*0+AE161,0)</f>
        <v>0</v>
      </c>
      <c r="AE162" t="e">
        <f ca="1">IF($AN$11&gt;0,IF(COUNTIF(B163,"*叠1*")&gt;0,50-加速!$L$11,MAX(0,AE161-(A163-A162))),0)</f>
        <v>#VALUE!</v>
      </c>
      <c r="AG162">
        <f ca="1" t="shared" si="40"/>
        <v>5</v>
      </c>
      <c r="AH162" t="s">
        <v>1825</v>
      </c>
      <c r="AI162" t="s">
        <v>2801</v>
      </c>
      <c r="AJ162">
        <f ca="1">循环比*COUNTIFS($J$3:$J$515,"&gt;0",$D$3:$D$515,"&gt;0",$AC$3:$AC$515,"=3")</f>
        <v>20</v>
      </c>
      <c r="AK162" t="s">
        <v>3110</v>
      </c>
      <c r="AU162" s="176" t="s">
        <v>2768</v>
      </c>
      <c r="AV162">
        <v>2</v>
      </c>
      <c r="AW162" t="s">
        <v>3056</v>
      </c>
      <c r="AX162">
        <v>1</v>
      </c>
      <c r="AY162" t="s">
        <v>3042</v>
      </c>
      <c r="AZ162">
        <v>2</v>
      </c>
      <c r="BA162" t="s">
        <v>2808</v>
      </c>
      <c r="BB162">
        <v>2</v>
      </c>
      <c r="BC162" t="s">
        <v>2789</v>
      </c>
      <c r="BD162">
        <v>2</v>
      </c>
      <c r="BE162" t="s">
        <v>2776</v>
      </c>
      <c r="BF162">
        <v>2</v>
      </c>
      <c r="BG162" t="s">
        <v>2808</v>
      </c>
      <c r="BH162">
        <v>2</v>
      </c>
      <c r="BI162" s="176" t="s">
        <v>3026</v>
      </c>
      <c r="BJ162">
        <v>2</v>
      </c>
      <c r="BK162" s="176" t="s">
        <v>2768</v>
      </c>
      <c r="BL162">
        <v>2</v>
      </c>
      <c r="BM162" t="s">
        <v>2768</v>
      </c>
      <c r="BN162">
        <v>2</v>
      </c>
      <c r="BO162" t="s">
        <v>2768</v>
      </c>
      <c r="BP162">
        <v>2</v>
      </c>
      <c r="BQ162" t="s">
        <v>2768</v>
      </c>
      <c r="BR162">
        <v>2</v>
      </c>
      <c r="BS162" s="182" t="s">
        <v>2768</v>
      </c>
      <c r="BT162">
        <v>2</v>
      </c>
      <c r="BU162" t="s">
        <v>2776</v>
      </c>
      <c r="BV162">
        <v>2</v>
      </c>
      <c r="BW162" s="179" t="s">
        <v>2718</v>
      </c>
      <c r="BX162" s="179">
        <v>1</v>
      </c>
      <c r="BY162" t="s">
        <v>2768</v>
      </c>
      <c r="BZ162">
        <v>2</v>
      </c>
      <c r="CA162" t="s">
        <v>2768</v>
      </c>
      <c r="CB162">
        <v>2</v>
      </c>
    </row>
    <row r="163" spans="1:80">
      <c r="A163" s="178" t="str">
        <f ca="1">IFERROR(IF(AG162&lt;5+金蛇*2,IF(COUNTIF(B162,"*轻*")&gt;0,A162+加速!$L$9,A162+加速!$L$11)+V162,""),"")</f>
        <v/>
      </c>
      <c r="B163" s="167" t="str">
        <f ca="1" t="shared" si="35"/>
        <v/>
      </c>
      <c r="C163" t="str">
        <f ca="1" t="shared" si="44"/>
        <v/>
      </c>
      <c r="D163" t="str">
        <f ca="1">IF(B163&lt;&gt;"",IF(C162&lt;=加速!$L$11*(1-E163),0,1),"")</f>
        <v/>
      </c>
      <c r="E163">
        <f ca="1" t="shared" si="41"/>
        <v>1</v>
      </c>
      <c r="G163" t="str">
        <f ca="1" t="shared" si="42"/>
        <v/>
      </c>
      <c r="H163" t="str">
        <f ca="1">IF(B163&lt;&gt;"",IF(AND(COUNTIF(B162,"*轻*莺鸣柳*")&gt;0,COUNTIF(B163,"*轻*")&lt;1),MAX(0,15+I162-(A163-A162)+COUNTIF(B162,"*平湖*")*0),IF(AND(E163=0,MAX(0,H162-(A163-A162))&lt;=加速!$H$11),0,MAX(0,H162-(A163-A162)))),"")</f>
        <v/>
      </c>
      <c r="I163" t="str">
        <f ca="1" t="shared" si="48"/>
        <v/>
      </c>
      <c r="J163" t="str">
        <f ca="1" t="shared" si="49"/>
        <v/>
      </c>
      <c r="K163" t="str">
        <f ca="1" t="shared" si="36"/>
        <v/>
      </c>
      <c r="L163">
        <f ca="1">IFERROR(IF(AND(COUNTIF(B163,"*-峰插*"),技能数据库!$M$72&gt;0),0,IF(COUNTIF(B163,"*鹤归*")&gt;0,16-加速!$L$11,MAX(0,L162-(A163-A162)))),0)</f>
        <v>0</v>
      </c>
      <c r="M163">
        <f ca="1" t="shared" si="37"/>
        <v>0</v>
      </c>
      <c r="N163">
        <f ca="1">IFERROR(IF(AND(COUNTIF(B163,"*-峰插*"),技能数据库!$M$72&gt;0),0,IF(COUNTIF(B163,"*云飞*")&gt;0,4-COUNTIF(B163,"*玉山揽云*")*4--COUNTIF(B163,"*烟流暮景*")*4-COUNTIF(B163,"*云景*")*加速!$L$11-IF(J163&gt;0,2,0),MAX(0,N162-(A163-A162)-IF(J163&gt;0,2,0)))),0)</f>
        <v>0</v>
      </c>
      <c r="O163">
        <f ca="1">IF(AND(COUNTIF(IF(AND(配装计算器!$K$30&lt;&gt;"∞",0),INDEX(AU162:CB162,1,$AT$1),INDEX(AU164:CB164,1,$AT$1)),"*云飞*")=1,COUNTIF(IF(AND(配装计算器!$K$30&lt;&gt;"∞",0),INDEX(AU162:CB162,1,$AT$1),INDEX(AU164:CB164,1,$AT$1)),"*玉山*")=0),N163,0)</f>
        <v>0</v>
      </c>
      <c r="P163">
        <f ca="1">IFERROR(IF(COUNTIF(B163,"*云栖松*")&gt;0,50-加速!$L$11,MAX(0,P162-(A163-A162))),0)</f>
        <v>0</v>
      </c>
      <c r="Q163">
        <f ca="1">IF(COUNTIF(IF(AND(配装计算器!$K$30&lt;&gt;"∞",0),INDEX(AU162:CB162,1,$AT$1),INDEX(AU164:CB164,1,$AT$1)),"*云栖松*")=1,P163,0)</f>
        <v>0</v>
      </c>
      <c r="R163">
        <f ca="1">IFERROR(IF(COUNTIF(B163,"*莺鸣柳*")&gt;0,45-加速!$L$9,MAX(0,R162-(A163-A162))),0)</f>
        <v>0</v>
      </c>
      <c r="S163">
        <f ca="1">IF(COUNTIF(IF(AND(配装计算器!$K$30&lt;&gt;"∞",0),INDEX(AU162:CB162,1,$AT$1),INDEX(AU164:CB164,1,$AT$1)),"*莺鸣柳*")=1,R163,0)</f>
        <v>0</v>
      </c>
      <c r="T163">
        <f ca="1" t="shared" si="45"/>
        <v>0</v>
      </c>
      <c r="U163">
        <f ca="1">IF(金蛇,IF(COUNTIF(B163,"*金环戴*")+COUNTIF(B163,"*吹风醒*")&gt;0,IF(A163&lt;=3,7.125-2.625-A163-加速!$L$11,7.125+加速!$K$9-(A163+加速!$L$11-T163)),0),0)+IF(金蛇,IF(COUNTIF(B163,"*千切子裂光*")&gt;0,2+加速!$K$9-(A163+加速!$L$11-T163),0),0)</f>
        <v>0</v>
      </c>
      <c r="V163">
        <f ca="1" t="shared" si="46"/>
        <v>0</v>
      </c>
      <c r="W163">
        <f ca="1" t="shared" si="38"/>
        <v>0</v>
      </c>
      <c r="X163">
        <f ca="1">INDEX(加速!$I$13:$I$21,W163+1)</f>
        <v>0</v>
      </c>
      <c r="Y163">
        <f ca="1" t="shared" si="47"/>
        <v>0.5</v>
      </c>
      <c r="Z163">
        <f ca="1" t="shared" si="43"/>
        <v>0</v>
      </c>
      <c r="AA163">
        <f ca="1">MAX(0,IFERROR(IF(COUNTIF(B163,"*叠*")&gt;0,IF(AC162&lt;3,8-A164+A163,AA162+6.875-A164+A163),AA162-A164+A163),AA162-加速!$L$11))</f>
        <v>0</v>
      </c>
      <c r="AB163" t="e">
        <f ca="1">MAX(0,IF(COUNTIF(IF(AND(配装计算器!$K$30&lt;&gt;"∞",0),INDEX(AU163:CB163,1,$AT$1),INDEX(AU163:CB163,1,$AT$1)),"*叠1*")=1,4*25-加速!$L$11,AB162-A163+A162)-IF(OR(COUNTIF(OFFSET(AT163,0,$AT$1,1,1),"*听雷*")&gt;0,AND(碧归&gt;0,COUNTIF(OFFSET(AT163,0,$AT$1,1,1),"*风来*")&gt;0)),0,1)*1.5)</f>
        <v>#VALUE!</v>
      </c>
      <c r="AC163">
        <f ca="1" t="shared" si="39"/>
        <v>0</v>
      </c>
      <c r="AD163">
        <f ca="1">IF(COUNTIF(IF(AND(配装计算器!$K$30&lt;&gt;"∞",0),INDEX(AU163:CB163,1,$AT$1),INDEX(AU164:CB164,1,$AT$1)),"*叠1*")=1,AB163*0+AE162,0)</f>
        <v>0</v>
      </c>
      <c r="AE163" t="e">
        <f ca="1">IF($AN$11&gt;0,IF(COUNTIF(B164,"*叠1*")&gt;0,50-加速!$L$11,MAX(0,AE162-(A164-A163))),0)</f>
        <v>#VALUE!</v>
      </c>
      <c r="AG163">
        <f ca="1" t="shared" si="40"/>
        <v>5</v>
      </c>
      <c r="AH163" t="s">
        <v>1825</v>
      </c>
      <c r="AI163" s="161" t="s">
        <v>2772</v>
      </c>
      <c r="AJ163">
        <f ca="1">AJ145+AJ195</f>
        <v>4</v>
      </c>
      <c r="AK163" t="s">
        <v>3108</v>
      </c>
      <c r="AU163" s="176" t="s">
        <v>2776</v>
      </c>
      <c r="AV163">
        <v>2</v>
      </c>
      <c r="AW163" t="s">
        <v>2768</v>
      </c>
      <c r="AX163">
        <v>2</v>
      </c>
      <c r="AY163" t="s">
        <v>2808</v>
      </c>
      <c r="AZ163">
        <v>2</v>
      </c>
      <c r="BA163" t="s">
        <v>2768</v>
      </c>
      <c r="BB163">
        <v>2</v>
      </c>
      <c r="BC163" t="s">
        <v>2794</v>
      </c>
      <c r="BD163">
        <v>2</v>
      </c>
      <c r="BE163" t="s">
        <v>2768</v>
      </c>
      <c r="BF163">
        <v>2</v>
      </c>
      <c r="BG163" t="s">
        <v>2768</v>
      </c>
      <c r="BH163">
        <v>2</v>
      </c>
      <c r="BI163" s="176" t="s">
        <v>3026</v>
      </c>
      <c r="BJ163">
        <v>2</v>
      </c>
      <c r="BK163" s="176" t="s">
        <v>2768</v>
      </c>
      <c r="BL163">
        <v>1</v>
      </c>
      <c r="BM163" t="s">
        <v>2768</v>
      </c>
      <c r="BN163">
        <v>2</v>
      </c>
      <c r="BO163" t="s">
        <v>2776</v>
      </c>
      <c r="BP163">
        <v>2</v>
      </c>
      <c r="BQ163" t="s">
        <v>2776</v>
      </c>
      <c r="BR163">
        <v>2</v>
      </c>
      <c r="BS163" s="182" t="s">
        <v>2776</v>
      </c>
      <c r="BT163">
        <v>2</v>
      </c>
      <c r="BU163" t="s">
        <v>2768</v>
      </c>
      <c r="BV163">
        <v>2</v>
      </c>
      <c r="BW163" s="179" t="s">
        <v>2776</v>
      </c>
      <c r="BX163" s="179">
        <v>2</v>
      </c>
      <c r="BY163" t="s">
        <v>2768</v>
      </c>
      <c r="BZ163">
        <v>2</v>
      </c>
      <c r="CA163" t="s">
        <v>2768</v>
      </c>
      <c r="CB163">
        <v>2</v>
      </c>
    </row>
    <row r="164" spans="1:80">
      <c r="A164" s="178" t="str">
        <f ca="1">IFERROR(IF(AG163&lt;5+金蛇*2,IF(COUNTIF(B163,"*轻*")&gt;0,A163+加速!$L$9,A163+加速!$L$11)+V163,""),"")</f>
        <v/>
      </c>
      <c r="B164" s="167" t="str">
        <f ca="1" t="shared" si="35"/>
        <v/>
      </c>
      <c r="C164" t="str">
        <f ca="1" t="shared" si="44"/>
        <v/>
      </c>
      <c r="D164" t="str">
        <f ca="1">IF(B164&lt;&gt;"",IF(C163&lt;=加速!$L$11*(1-E164),0,1),"")</f>
        <v/>
      </c>
      <c r="E164">
        <f ca="1" t="shared" si="41"/>
        <v>1</v>
      </c>
      <c r="G164" t="str">
        <f ca="1" t="shared" si="42"/>
        <v/>
      </c>
      <c r="H164" t="str">
        <f ca="1">IF(B164&lt;&gt;"",IF(AND(COUNTIF(B163,"*轻*莺鸣柳*")&gt;0,COUNTIF(B164,"*轻*")&lt;1),MAX(0,15+I163-(A164-A163)+COUNTIF(B163,"*平湖*")*0),IF(AND(E164=0,MAX(0,H163-(A164-A163))&lt;=加速!$H$11),0,MAX(0,H163-(A164-A163)))),"")</f>
        <v/>
      </c>
      <c r="I164" t="str">
        <f ca="1" t="shared" si="48"/>
        <v/>
      </c>
      <c r="J164" t="str">
        <f ca="1" t="shared" si="49"/>
        <v/>
      </c>
      <c r="K164" t="str">
        <f ca="1" t="shared" si="36"/>
        <v/>
      </c>
      <c r="L164">
        <f ca="1">IFERROR(IF(AND(COUNTIF(B164,"*-峰插*"),技能数据库!$M$72&gt;0),0,IF(COUNTIF(B164,"*鹤归*")&gt;0,16-加速!$L$11,MAX(0,L163-(A164-A163)))),0)</f>
        <v>0</v>
      </c>
      <c r="M164">
        <f ca="1" t="shared" si="37"/>
        <v>0</v>
      </c>
      <c r="N164">
        <f ca="1">IFERROR(IF(AND(COUNTIF(B164,"*-峰插*"),技能数据库!$M$72&gt;0),0,IF(COUNTIF(B164,"*云飞*")&gt;0,4-COUNTIF(B164,"*玉山揽云*")*4--COUNTIF(B164,"*烟流暮景*")*4-COUNTIF(B164,"*云景*")*加速!$L$11-IF(J164&gt;0,2,0),MAX(0,N163-(A164-A163)-IF(J164&gt;0,2,0)))),0)</f>
        <v>0</v>
      </c>
      <c r="O164">
        <f ca="1">IF(AND(COUNTIF(IF(AND(配装计算器!$K$30&lt;&gt;"∞",0),INDEX(AU163:CB163,1,$AT$1),INDEX(AU165:CB165,1,$AT$1)),"*云飞*")=1,COUNTIF(IF(AND(配装计算器!$K$30&lt;&gt;"∞",0),INDEX(AU163:CB163,1,$AT$1),INDEX(AU165:CB165,1,$AT$1)),"*玉山*")=0),N164,0)</f>
        <v>0</v>
      </c>
      <c r="P164">
        <f ca="1">IFERROR(IF(COUNTIF(B164,"*云栖松*")&gt;0,50-加速!$L$11,MAX(0,P163-(A164-A163))),0)</f>
        <v>0</v>
      </c>
      <c r="Q164">
        <f ca="1">IF(COUNTIF(IF(AND(配装计算器!$K$30&lt;&gt;"∞",0),INDEX(AU163:CB163,1,$AT$1),INDEX(AU165:CB165,1,$AT$1)),"*云栖松*")=1,P164,0)</f>
        <v>0</v>
      </c>
      <c r="R164">
        <f ca="1">IFERROR(IF(COUNTIF(B164,"*莺鸣柳*")&gt;0,45-加速!$L$9,MAX(0,R163-(A164-A163))),0)</f>
        <v>0</v>
      </c>
      <c r="S164">
        <f ca="1">IF(COUNTIF(IF(AND(配装计算器!$K$30&lt;&gt;"∞",0),INDEX(AU163:CB163,1,$AT$1),INDEX(AU165:CB165,1,$AT$1)),"*莺鸣柳*")=1,R164,0)</f>
        <v>0</v>
      </c>
      <c r="T164">
        <f ca="1" t="shared" si="45"/>
        <v>0</v>
      </c>
      <c r="U164">
        <f ca="1">IF(金蛇,IF(COUNTIF(B164,"*金环戴*")+COUNTIF(B164,"*吹风醒*")&gt;0,IF(A164&lt;=3,7.125-2.625-A164-加速!$L$11,7.125+加速!$K$9-(A164+加速!$L$11-T164)),0),0)+IF(金蛇,IF(COUNTIF(B164,"*千切子裂光*")&gt;0,2+加速!$K$9-(A164+加速!$L$11-T164),0),0)</f>
        <v>0</v>
      </c>
      <c r="V164">
        <f ca="1" t="shared" si="46"/>
        <v>0</v>
      </c>
      <c r="W164">
        <f ca="1" t="shared" si="38"/>
        <v>0</v>
      </c>
      <c r="X164">
        <f ca="1">INDEX(加速!$I$13:$I$21,W164+1)</f>
        <v>0</v>
      </c>
      <c r="Y164">
        <f ca="1" t="shared" si="47"/>
        <v>0.5</v>
      </c>
      <c r="Z164">
        <f ca="1" t="shared" si="43"/>
        <v>0</v>
      </c>
      <c r="AA164">
        <f ca="1">MAX(0,IFERROR(IF(COUNTIF(B164,"*叠*")&gt;0,IF(AC163&lt;3,8-A165+A164,AA163+6.875-A165+A164),AA163-A165+A164),AA163-加速!$L$11))</f>
        <v>0</v>
      </c>
      <c r="AB164" t="e">
        <f ca="1">MAX(0,IF(COUNTIF(IF(AND(配装计算器!$K$30&lt;&gt;"∞",0),INDEX(AU164:CB164,1,$AT$1),INDEX(AU164:CB164,1,$AT$1)),"*叠1*")=1,4*25-加速!$L$11,AB163-A164+A163)-IF(OR(COUNTIF(OFFSET(AT164,0,$AT$1,1,1),"*听雷*")&gt;0,AND(碧归&gt;0,COUNTIF(OFFSET(AT164,0,$AT$1,1,1),"*风来*")&gt;0)),0,1)*1.5)</f>
        <v>#VALUE!</v>
      </c>
      <c r="AC164">
        <f ca="1" t="shared" si="39"/>
        <v>0</v>
      </c>
      <c r="AD164">
        <f ca="1">IF(COUNTIF(IF(AND(配装计算器!$K$30&lt;&gt;"∞",0),INDEX(AU164:CB164,1,$AT$1),INDEX(AU165:CB165,1,$AT$1)),"*叠1*")=1,AB164*0+AE163,0)</f>
        <v>0</v>
      </c>
      <c r="AE164" t="e">
        <f ca="1">IF($AN$11&gt;0,IF(COUNTIF(B165,"*叠1*")&gt;0,50-加速!$L$11,MAX(0,AE163-(A165-A164))),0)</f>
        <v>#VALUE!</v>
      </c>
      <c r="AG164">
        <f ca="1" t="shared" si="40"/>
        <v>5</v>
      </c>
      <c r="AH164" t="s">
        <v>1825</v>
      </c>
      <c r="AI164" s="161" t="s">
        <v>2772</v>
      </c>
      <c r="AJ164">
        <f ca="1" t="shared" ref="AJ164:AJ165" si="53">AJ146+AJ196</f>
        <v>3</v>
      </c>
      <c r="AK164" t="s">
        <v>3109</v>
      </c>
      <c r="AU164" s="176" t="s">
        <v>2768</v>
      </c>
      <c r="AV164">
        <v>2</v>
      </c>
      <c r="AW164" t="s">
        <v>2768</v>
      </c>
      <c r="AX164">
        <v>2</v>
      </c>
      <c r="AY164" t="s">
        <v>2768</v>
      </c>
      <c r="AZ164">
        <v>2</v>
      </c>
      <c r="BA164" t="s">
        <v>2768</v>
      </c>
      <c r="BB164">
        <v>2</v>
      </c>
      <c r="BC164" s="182" t="s">
        <v>3036</v>
      </c>
      <c r="BD164">
        <v>2</v>
      </c>
      <c r="BE164" t="s">
        <v>2776</v>
      </c>
      <c r="BF164">
        <v>1</v>
      </c>
      <c r="BG164" s="176" t="s">
        <v>2768</v>
      </c>
      <c r="BH164">
        <v>2</v>
      </c>
      <c r="BI164" s="176" t="s">
        <v>3036</v>
      </c>
      <c r="BJ164">
        <v>2</v>
      </c>
      <c r="BK164" s="176" t="s">
        <v>2768</v>
      </c>
      <c r="BL164">
        <v>1</v>
      </c>
      <c r="BM164" t="s">
        <v>2776</v>
      </c>
      <c r="BN164">
        <v>2</v>
      </c>
      <c r="BO164" t="s">
        <v>2768</v>
      </c>
      <c r="BP164">
        <v>1</v>
      </c>
      <c r="BQ164" t="s">
        <v>2768</v>
      </c>
      <c r="BR164">
        <v>2</v>
      </c>
      <c r="BS164" s="182" t="s">
        <v>2768</v>
      </c>
      <c r="BT164">
        <v>2</v>
      </c>
      <c r="BU164" t="s">
        <v>2808</v>
      </c>
      <c r="BV164">
        <v>2</v>
      </c>
      <c r="BW164" s="179" t="s">
        <v>2768</v>
      </c>
      <c r="BX164" s="179">
        <v>2</v>
      </c>
      <c r="BY164" t="s">
        <v>2776</v>
      </c>
      <c r="BZ164">
        <v>2</v>
      </c>
      <c r="CA164" t="s">
        <v>2776</v>
      </c>
      <c r="CB164">
        <v>2</v>
      </c>
    </row>
    <row r="165" spans="1:80">
      <c r="A165" s="178" t="str">
        <f ca="1">IFERROR(IF(AG164&lt;5+金蛇*2,IF(COUNTIF(B164,"*轻*")&gt;0,A164+加速!$L$9,A164+加速!$L$11)+V164,""),"")</f>
        <v/>
      </c>
      <c r="B165" s="167" t="str">
        <f ca="1" t="shared" si="35"/>
        <v/>
      </c>
      <c r="C165" t="str">
        <f ca="1" t="shared" si="44"/>
        <v/>
      </c>
      <c r="D165" t="str">
        <f ca="1">IF(B165&lt;&gt;"",IF(C164&lt;=加速!$L$11*(1-E165),0,1),"")</f>
        <v/>
      </c>
      <c r="E165">
        <f ca="1" t="shared" si="41"/>
        <v>1</v>
      </c>
      <c r="G165" t="str">
        <f ca="1" t="shared" si="42"/>
        <v/>
      </c>
      <c r="H165" t="str">
        <f ca="1">IF(B165&lt;&gt;"",IF(AND(COUNTIF(B164,"*轻*莺鸣柳*")&gt;0,COUNTIF(B165,"*轻*")&lt;1),MAX(0,15+I164-(A165-A164)+COUNTIF(B164,"*平湖*")*0),IF(AND(E165=0,MAX(0,H164-(A165-A164))&lt;=加速!$H$11),0,MAX(0,H164-(A165-A164)))),"")</f>
        <v/>
      </c>
      <c r="I165" t="str">
        <f ca="1" t="shared" si="48"/>
        <v/>
      </c>
      <c r="J165" t="str">
        <f ca="1" t="shared" si="49"/>
        <v/>
      </c>
      <c r="K165" t="str">
        <f ca="1" t="shared" si="36"/>
        <v/>
      </c>
      <c r="L165">
        <f ca="1">IFERROR(IF(AND(COUNTIF(B165,"*-峰插*"),技能数据库!$M$72&gt;0),0,IF(COUNTIF(B165,"*鹤归*")&gt;0,16-加速!$L$11,MAX(0,L164-(A165-A164)))),0)</f>
        <v>0</v>
      </c>
      <c r="M165">
        <f ca="1" t="shared" si="37"/>
        <v>0</v>
      </c>
      <c r="N165">
        <f ca="1">IFERROR(IF(AND(COUNTIF(B165,"*-峰插*"),技能数据库!$M$72&gt;0),0,IF(COUNTIF(B165,"*云飞*")&gt;0,4-COUNTIF(B165,"*玉山揽云*")*4--COUNTIF(B165,"*烟流暮景*")*4-COUNTIF(B165,"*云景*")*加速!$L$11-IF(J165&gt;0,2,0),MAX(0,N164-(A165-A164)-IF(J165&gt;0,2,0)))),0)</f>
        <v>0</v>
      </c>
      <c r="O165">
        <f ca="1">IF(AND(COUNTIF(IF(AND(配装计算器!$K$30&lt;&gt;"∞",0),INDEX(AU164:CB164,1,$AT$1),INDEX(AU166:CB166,1,$AT$1)),"*云飞*")=1,COUNTIF(IF(AND(配装计算器!$K$30&lt;&gt;"∞",0),INDEX(AU164:CB164,1,$AT$1),INDEX(AU166:CB166,1,$AT$1)),"*玉山*")=0),N165,0)</f>
        <v>0</v>
      </c>
      <c r="P165">
        <f ca="1">IFERROR(IF(COUNTIF(B165,"*云栖松*")&gt;0,50-加速!$L$11,MAX(0,P164-(A165-A164))),0)</f>
        <v>0</v>
      </c>
      <c r="Q165">
        <f ca="1">IF(COUNTIF(IF(AND(配装计算器!$K$30&lt;&gt;"∞",0),INDEX(AU164:CB164,1,$AT$1),INDEX(AU166:CB166,1,$AT$1)),"*云栖松*")=1,P165,0)</f>
        <v>0</v>
      </c>
      <c r="R165">
        <f ca="1">IFERROR(IF(COUNTIF(B165,"*莺鸣柳*")&gt;0,45-加速!$L$9,MAX(0,R164-(A165-A164))),0)</f>
        <v>0</v>
      </c>
      <c r="S165">
        <f ca="1">IF(COUNTIF(IF(AND(配装计算器!$K$30&lt;&gt;"∞",0),INDEX(AU164:CB164,1,$AT$1),INDEX(AU166:CB166,1,$AT$1)),"*莺鸣柳*")=1,R165,0)</f>
        <v>0</v>
      </c>
      <c r="T165">
        <f ca="1" t="shared" si="45"/>
        <v>0</v>
      </c>
      <c r="U165">
        <f ca="1">IF(金蛇,IF(COUNTIF(B165,"*金环戴*")+COUNTIF(B165,"*吹风醒*")&gt;0,IF(A165&lt;=3,7.125-2.625-A165-加速!$L$11,7.125+加速!$K$9-(A165+加速!$L$11-T165)),0),0)+IF(金蛇,IF(COUNTIF(B165,"*千切子裂光*")&gt;0,2+加速!$K$9-(A165+加速!$L$11-T165),0),0)</f>
        <v>0</v>
      </c>
      <c r="V165">
        <f ca="1" t="shared" si="46"/>
        <v>0</v>
      </c>
      <c r="W165">
        <f ca="1" t="shared" si="38"/>
        <v>0</v>
      </c>
      <c r="X165">
        <f ca="1">INDEX(加速!$I$13:$I$21,W165+1)</f>
        <v>0</v>
      </c>
      <c r="Y165">
        <f ca="1" t="shared" si="47"/>
        <v>0.5</v>
      </c>
      <c r="Z165">
        <f ca="1" t="shared" si="43"/>
        <v>0</v>
      </c>
      <c r="AA165">
        <f ca="1">MAX(0,IFERROR(IF(COUNTIF(B165,"*叠*")&gt;0,IF(AC164&lt;3,8-A166+A165,AA164+6.875-A166+A165),AA164-A166+A165),AA164-加速!$L$11))</f>
        <v>0</v>
      </c>
      <c r="AB165" t="e">
        <f ca="1">MAX(0,IF(COUNTIF(IF(AND(配装计算器!$K$30&lt;&gt;"∞",0),INDEX(AU165:CB165,1,$AT$1),INDEX(AU165:CB165,1,$AT$1)),"*叠1*")=1,4*25-加速!$L$11,AB164-A165+A164)-IF(OR(COUNTIF(OFFSET(AT165,0,$AT$1,1,1),"*听雷*")&gt;0,AND(碧归&gt;0,COUNTIF(OFFSET(AT165,0,$AT$1,1,1),"*风来*")&gt;0)),0,1)*1.5)</f>
        <v>#VALUE!</v>
      </c>
      <c r="AC165">
        <f ca="1" t="shared" si="39"/>
        <v>0</v>
      </c>
      <c r="AD165">
        <f ca="1">IF(COUNTIF(IF(AND(配装计算器!$K$30&lt;&gt;"∞",0),INDEX(AU165:CB165,1,$AT$1),INDEX(AU166:CB166,1,$AT$1)),"*叠1*")=1,AB165*0+AE164,0)</f>
        <v>0</v>
      </c>
      <c r="AE165" t="e">
        <f ca="1">IF($AN$11&gt;0,IF(COUNTIF(B166,"*叠1*")&gt;0,50-加速!$L$11,MAX(0,AE164-(A166-A165))),0)</f>
        <v>#VALUE!</v>
      </c>
      <c r="AG165">
        <f ca="1" t="shared" si="40"/>
        <v>5</v>
      </c>
      <c r="AH165" t="s">
        <v>1825</v>
      </c>
      <c r="AI165" s="161" t="s">
        <v>2772</v>
      </c>
      <c r="AJ165">
        <f ca="1" t="shared" si="53"/>
        <v>8</v>
      </c>
      <c r="AK165" t="s">
        <v>3110</v>
      </c>
      <c r="AU165" s="176" t="s">
        <v>2776</v>
      </c>
      <c r="AV165">
        <v>2</v>
      </c>
      <c r="AW165" t="s">
        <v>2768</v>
      </c>
      <c r="AX165">
        <v>2</v>
      </c>
      <c r="AY165" t="s">
        <v>2768</v>
      </c>
      <c r="AZ165">
        <v>2</v>
      </c>
      <c r="BA165" t="s">
        <v>2776</v>
      </c>
      <c r="BB165">
        <v>2</v>
      </c>
      <c r="BC165" s="176" t="s">
        <v>3026</v>
      </c>
      <c r="BD165">
        <v>2</v>
      </c>
      <c r="BE165" t="s">
        <v>2768</v>
      </c>
      <c r="BF165">
        <v>1</v>
      </c>
      <c r="BG165" s="176" t="s">
        <v>2776</v>
      </c>
      <c r="BH165">
        <v>2</v>
      </c>
      <c r="BI165" t="s">
        <v>2794</v>
      </c>
      <c r="BJ165">
        <v>2</v>
      </c>
      <c r="BK165" s="176" t="s">
        <v>2776</v>
      </c>
      <c r="BL165">
        <v>0</v>
      </c>
      <c r="BM165" t="s">
        <v>2768</v>
      </c>
      <c r="BN165">
        <v>2</v>
      </c>
      <c r="BO165" t="s">
        <v>2722</v>
      </c>
      <c r="BP165">
        <v>0</v>
      </c>
      <c r="BQ165" t="s">
        <v>3013</v>
      </c>
      <c r="BR165">
        <v>2</v>
      </c>
      <c r="BS165" s="182" t="s">
        <v>2768</v>
      </c>
      <c r="BT165">
        <v>2</v>
      </c>
      <c r="BU165" t="s">
        <v>2768</v>
      </c>
      <c r="BV165">
        <v>2</v>
      </c>
      <c r="BW165" s="179" t="s">
        <v>2768</v>
      </c>
      <c r="BX165" s="179">
        <v>1</v>
      </c>
      <c r="BY165" t="s">
        <v>2718</v>
      </c>
      <c r="BZ165">
        <v>0</v>
      </c>
      <c r="CA165" t="s">
        <v>2718</v>
      </c>
      <c r="CB165">
        <v>0</v>
      </c>
    </row>
    <row r="166" spans="1:80">
      <c r="A166" s="178" t="str">
        <f ca="1">IFERROR(IF(AG165&lt;5+金蛇*2,IF(COUNTIF(B165,"*轻*")&gt;0,A165+加速!$L$9,A165+加速!$L$11)+V165,""),"")</f>
        <v/>
      </c>
      <c r="B166" s="167" t="str">
        <f ca="1" t="shared" si="35"/>
        <v/>
      </c>
      <c r="C166" t="str">
        <f ca="1" t="shared" si="44"/>
        <v/>
      </c>
      <c r="D166" t="str">
        <f ca="1">IF(B166&lt;&gt;"",IF(C165&lt;=加速!$L$11*(1-E166),0,1),"")</f>
        <v/>
      </c>
      <c r="E166">
        <f ca="1" t="shared" si="41"/>
        <v>1</v>
      </c>
      <c r="G166" t="str">
        <f ca="1" t="shared" si="42"/>
        <v/>
      </c>
      <c r="H166" t="str">
        <f ca="1">IF(B166&lt;&gt;"",IF(AND(COUNTIF(B165,"*轻*莺鸣柳*")&gt;0,COUNTIF(B166,"*轻*")&lt;1),MAX(0,15+I165-(A166-A165)+COUNTIF(B165,"*平湖*")*0),IF(AND(E166=0,MAX(0,H165-(A166-A165))&lt;=加速!$H$11),0,MAX(0,H165-(A166-A165)))),"")</f>
        <v/>
      </c>
      <c r="I166" t="str">
        <f ca="1" t="shared" si="48"/>
        <v/>
      </c>
      <c r="J166" t="str">
        <f ca="1" t="shared" si="49"/>
        <v/>
      </c>
      <c r="K166" t="str">
        <f ca="1" t="shared" si="36"/>
        <v/>
      </c>
      <c r="L166">
        <f ca="1">IFERROR(IF(AND(COUNTIF(B166,"*-峰插*"),技能数据库!$M$72&gt;0),0,IF(COUNTIF(B166,"*鹤归*")&gt;0,16-加速!$L$11,MAX(0,L165-(A166-A165)))),0)</f>
        <v>0</v>
      </c>
      <c r="M166">
        <f ca="1" t="shared" si="37"/>
        <v>0</v>
      </c>
      <c r="N166">
        <f ca="1">IFERROR(IF(AND(COUNTIF(B166,"*-峰插*"),技能数据库!$M$72&gt;0),0,IF(COUNTIF(B166,"*云飞*")&gt;0,4-COUNTIF(B166,"*玉山揽云*")*4--COUNTIF(B166,"*烟流暮景*")*4-COUNTIF(B166,"*云景*")*加速!$L$11-IF(J166&gt;0,2,0),MAX(0,N165-(A166-A165)-IF(J166&gt;0,2,0)))),0)</f>
        <v>0</v>
      </c>
      <c r="O166">
        <f ca="1">IF(AND(COUNTIF(IF(AND(配装计算器!$K$30&lt;&gt;"∞",0),INDEX(AU165:CB165,1,$AT$1),INDEX(AU167:CB167,1,$AT$1)),"*云飞*")=1,COUNTIF(IF(AND(配装计算器!$K$30&lt;&gt;"∞",0),INDEX(AU165:CB165,1,$AT$1),INDEX(AU167:CB167,1,$AT$1)),"*玉山*")=0),N166,0)</f>
        <v>0</v>
      </c>
      <c r="P166">
        <f ca="1">IFERROR(IF(COUNTIF(B166,"*云栖松*")&gt;0,50-加速!$L$11,MAX(0,P165-(A166-A165))),0)</f>
        <v>0</v>
      </c>
      <c r="Q166">
        <f ca="1">IF(COUNTIF(IF(AND(配装计算器!$K$30&lt;&gt;"∞",0),INDEX(AU165:CB165,1,$AT$1),INDEX(AU167:CB167,1,$AT$1)),"*云栖松*")=1,P166,0)</f>
        <v>0</v>
      </c>
      <c r="R166">
        <f ca="1">IFERROR(IF(COUNTIF(B166,"*莺鸣柳*")&gt;0,45-加速!$L$9,MAX(0,R165-(A166-A165))),0)</f>
        <v>0</v>
      </c>
      <c r="S166">
        <f ca="1">IF(COUNTIF(IF(AND(配装计算器!$K$30&lt;&gt;"∞",0),INDEX(AU165:CB165,1,$AT$1),INDEX(AU167:CB167,1,$AT$1)),"*莺鸣柳*")=1,R166,0)</f>
        <v>0</v>
      </c>
      <c r="T166">
        <f ca="1" t="shared" si="45"/>
        <v>0</v>
      </c>
      <c r="U166">
        <f ca="1">IF(金蛇,IF(COUNTIF(B166,"*金环戴*")+COUNTIF(B166,"*吹风醒*")&gt;0,IF(A166&lt;=3,7.125-2.625-A166-加速!$L$11,7.125+加速!$K$9-(A166+加速!$L$11-T166)),0),0)+IF(金蛇,IF(COUNTIF(B166,"*千切子裂光*")&gt;0,2+加速!$K$9-(A166+加速!$L$11-T166),0),0)</f>
        <v>0</v>
      </c>
      <c r="V166">
        <f ca="1" t="shared" si="46"/>
        <v>0</v>
      </c>
      <c r="W166">
        <f ca="1" t="shared" si="38"/>
        <v>0</v>
      </c>
      <c r="X166">
        <f ca="1">INDEX(加速!$I$13:$I$21,W166+1)</f>
        <v>0</v>
      </c>
      <c r="Y166">
        <f ca="1" t="shared" si="47"/>
        <v>0.5</v>
      </c>
      <c r="Z166">
        <f ca="1" t="shared" si="43"/>
        <v>0</v>
      </c>
      <c r="AA166">
        <f ca="1">MAX(0,IFERROR(IF(COUNTIF(B166,"*叠*")&gt;0,IF(AC165&lt;3,8-A167+A166,AA165+6.875-A167+A166),AA165-A167+A166),AA165-加速!$L$11))</f>
        <v>0</v>
      </c>
      <c r="AB166" t="e">
        <f ca="1">MAX(0,IF(COUNTIF(IF(AND(配装计算器!$K$30&lt;&gt;"∞",0),INDEX(AU166:CB166,1,$AT$1),INDEX(AU166:CB166,1,$AT$1)),"*叠1*")=1,4*25-加速!$L$11,AB165-A166+A165)-IF(OR(COUNTIF(OFFSET(AT166,0,$AT$1,1,1),"*听雷*")&gt;0,AND(碧归&gt;0,COUNTIF(OFFSET(AT166,0,$AT$1,1,1),"*风来*")&gt;0)),0,1)*1.5)</f>
        <v>#VALUE!</v>
      </c>
      <c r="AC166">
        <f ca="1" t="shared" si="39"/>
        <v>0</v>
      </c>
      <c r="AD166">
        <f ca="1">IF(COUNTIF(IF(AND(配装计算器!$K$30&lt;&gt;"∞",0),INDEX(AU166:CB166,1,$AT$1),INDEX(AU167:CB167,1,$AT$1)),"*叠1*")=1,AB166*0+AE165,0)</f>
        <v>0</v>
      </c>
      <c r="AE166" t="e">
        <f ca="1">IF($AN$11&gt;0,IF(COUNTIF(B167,"*叠1*")&gt;0,50-加速!$L$11,MAX(0,AE165-(A167-A166))),0)</f>
        <v>#VALUE!</v>
      </c>
      <c r="AG166">
        <f ca="1" t="shared" si="40"/>
        <v>5</v>
      </c>
      <c r="AH166" t="s">
        <v>1825</v>
      </c>
      <c r="AI166" s="161" t="s">
        <v>2783</v>
      </c>
      <c r="AJ166">
        <f ca="1">AJ139+AJ189</f>
        <v>4</v>
      </c>
      <c r="AK166" t="s">
        <v>3108</v>
      </c>
      <c r="AU166" t="s">
        <v>2768</v>
      </c>
      <c r="AV166">
        <v>2</v>
      </c>
      <c r="AW166" t="s">
        <v>2776</v>
      </c>
      <c r="AX166">
        <v>2</v>
      </c>
      <c r="AY166" t="s">
        <v>2776</v>
      </c>
      <c r="AZ166">
        <v>2</v>
      </c>
      <c r="BA166" t="s">
        <v>2794</v>
      </c>
      <c r="BB166">
        <v>2</v>
      </c>
      <c r="BC166" s="176" t="s">
        <v>3026</v>
      </c>
      <c r="BD166">
        <v>2</v>
      </c>
      <c r="BE166" t="s">
        <v>2768</v>
      </c>
      <c r="BF166">
        <v>1</v>
      </c>
      <c r="BG166" t="s">
        <v>2768</v>
      </c>
      <c r="BH166">
        <v>1</v>
      </c>
      <c r="BI166" t="s">
        <v>2776</v>
      </c>
      <c r="BJ166">
        <v>2</v>
      </c>
      <c r="BK166" t="s">
        <v>2768</v>
      </c>
      <c r="BL166">
        <v>0</v>
      </c>
      <c r="BM166" t="s">
        <v>2768</v>
      </c>
      <c r="BN166">
        <v>2</v>
      </c>
      <c r="BO166" t="s">
        <v>3009</v>
      </c>
      <c r="BP166">
        <v>2</v>
      </c>
      <c r="BQ166" t="s">
        <v>2808</v>
      </c>
      <c r="BR166">
        <v>2</v>
      </c>
      <c r="BS166" s="187" t="str">
        <f>IF(秋,"云景·云飞玉皇-叠-蛇牙锥心","云景·云飞玉皇-叠")</f>
        <v>云景·云飞玉皇-叠</v>
      </c>
      <c r="BT166">
        <v>2</v>
      </c>
      <c r="BU166" s="176" t="s">
        <v>2768</v>
      </c>
      <c r="BV166">
        <v>2</v>
      </c>
      <c r="BW166" s="179" t="s">
        <v>2768</v>
      </c>
      <c r="BX166" s="179">
        <v>1</v>
      </c>
      <c r="BY166" t="s">
        <v>2768</v>
      </c>
      <c r="BZ166">
        <v>2</v>
      </c>
      <c r="CA166" t="s">
        <v>2768</v>
      </c>
      <c r="CB166">
        <v>2</v>
      </c>
    </row>
    <row r="167" spans="1:80">
      <c r="A167" s="178" t="str">
        <f ca="1">IFERROR(IF(AG166&lt;5+金蛇*2,IF(COUNTIF(B166,"*轻*")&gt;0,A166+加速!$L$9,A166+加速!$L$11)+V166,""),"")</f>
        <v/>
      </c>
      <c r="B167" s="167" t="str">
        <f ca="1" t="shared" si="35"/>
        <v/>
      </c>
      <c r="C167" t="str">
        <f ca="1" t="shared" si="44"/>
        <v/>
      </c>
      <c r="D167" t="str">
        <f ca="1">IF(B167&lt;&gt;"",IF(C166&lt;=加速!$L$11*(1-E167),0,1),"")</f>
        <v/>
      </c>
      <c r="E167">
        <f ca="1" t="shared" si="41"/>
        <v>1</v>
      </c>
      <c r="G167" t="str">
        <f ca="1" t="shared" si="42"/>
        <v/>
      </c>
      <c r="H167" t="str">
        <f ca="1">IF(B167&lt;&gt;"",IF(AND(COUNTIF(B166,"*轻*莺鸣柳*")&gt;0,COUNTIF(B167,"*轻*")&lt;1),MAX(0,15+I166-(A167-A166)+COUNTIF(B166,"*平湖*")*0),IF(AND(E167=0,MAX(0,H166-(A167-A166))&lt;=加速!$H$11),0,MAX(0,H166-(A167-A166)))),"")</f>
        <v/>
      </c>
      <c r="I167" t="str">
        <f ca="1" t="shared" si="48"/>
        <v/>
      </c>
      <c r="J167" t="str">
        <f ca="1" t="shared" si="49"/>
        <v/>
      </c>
      <c r="K167" t="str">
        <f ca="1" t="shared" si="36"/>
        <v/>
      </c>
      <c r="L167">
        <f ca="1">IFERROR(IF(AND(COUNTIF(B167,"*-峰插*"),技能数据库!$M$72&gt;0),0,IF(COUNTIF(B167,"*鹤归*")&gt;0,16-加速!$L$11,MAX(0,L166-(A167-A166)))),0)</f>
        <v>0</v>
      </c>
      <c r="M167">
        <f ca="1" t="shared" si="37"/>
        <v>0</v>
      </c>
      <c r="N167">
        <f ca="1">IFERROR(IF(AND(COUNTIF(B167,"*-峰插*"),技能数据库!$M$72&gt;0),0,IF(COUNTIF(B167,"*云飞*")&gt;0,4-COUNTIF(B167,"*玉山揽云*")*4--COUNTIF(B167,"*烟流暮景*")*4-COUNTIF(B167,"*云景*")*加速!$L$11-IF(J167&gt;0,2,0),MAX(0,N166-(A167-A166)-IF(J167&gt;0,2,0)))),0)</f>
        <v>0</v>
      </c>
      <c r="O167">
        <f ca="1">IF(AND(COUNTIF(IF(AND(配装计算器!$K$30&lt;&gt;"∞",0),INDEX(AU166:CB166,1,$AT$1),INDEX(AU168:CB168,1,$AT$1)),"*云飞*")=1,COUNTIF(IF(AND(配装计算器!$K$30&lt;&gt;"∞",0),INDEX(AU166:CB166,1,$AT$1),INDEX(AU168:CB168,1,$AT$1)),"*玉山*")=0),N167,0)</f>
        <v>0</v>
      </c>
      <c r="P167">
        <f ca="1">IFERROR(IF(COUNTIF(B167,"*云栖松*")&gt;0,50-加速!$L$11,MAX(0,P166-(A167-A166))),0)</f>
        <v>0</v>
      </c>
      <c r="Q167">
        <f ca="1">IF(COUNTIF(IF(AND(配装计算器!$K$30&lt;&gt;"∞",0),INDEX(AU166:CB166,1,$AT$1),INDEX(AU168:CB168,1,$AT$1)),"*云栖松*")=1,P167,0)</f>
        <v>0</v>
      </c>
      <c r="R167">
        <f ca="1">IFERROR(IF(COUNTIF(B167,"*莺鸣柳*")&gt;0,45-加速!$L$9,MAX(0,R166-(A167-A166))),0)</f>
        <v>0</v>
      </c>
      <c r="S167">
        <f ca="1">IF(COUNTIF(IF(AND(配装计算器!$K$30&lt;&gt;"∞",0),INDEX(AU166:CB166,1,$AT$1),INDEX(AU168:CB168,1,$AT$1)),"*莺鸣柳*")=1,R167,0)</f>
        <v>0</v>
      </c>
      <c r="T167">
        <f ca="1" t="shared" si="45"/>
        <v>0</v>
      </c>
      <c r="U167">
        <f ca="1">IF(金蛇,IF(COUNTIF(B167,"*金环戴*")+COUNTIF(B167,"*吹风醒*")&gt;0,IF(A167&lt;=3,7.125-2.625-A167-加速!$L$11,7.125+加速!$K$9-(A167+加速!$L$11-T167)),0),0)+IF(金蛇,IF(COUNTIF(B167,"*千切子裂光*")&gt;0,2+加速!$K$9-(A167+加速!$L$11-T167),0),0)</f>
        <v>0</v>
      </c>
      <c r="V167">
        <f ca="1" t="shared" si="46"/>
        <v>0</v>
      </c>
      <c r="W167">
        <f ca="1" t="shared" si="38"/>
        <v>0</v>
      </c>
      <c r="X167">
        <f ca="1">INDEX(加速!$I$13:$I$21,W167+1)</f>
        <v>0</v>
      </c>
      <c r="Y167">
        <f ca="1" t="shared" si="47"/>
        <v>0.5</v>
      </c>
      <c r="Z167">
        <f ca="1" t="shared" si="43"/>
        <v>0</v>
      </c>
      <c r="AA167">
        <f ca="1">MAX(0,IFERROR(IF(COUNTIF(B167,"*叠*")&gt;0,IF(AC166&lt;3,8-A168+A167,AA166+6.875-A168+A167),AA166-A168+A167),AA166-加速!$L$11))</f>
        <v>0</v>
      </c>
      <c r="AB167" t="e">
        <f ca="1">MAX(0,IF(COUNTIF(IF(AND(配装计算器!$K$30&lt;&gt;"∞",0),INDEX(AU167:CB167,1,$AT$1),INDEX(AU167:CB167,1,$AT$1)),"*叠1*")=1,4*25-加速!$L$11,AB166-A167+A166)-IF(OR(COUNTIF(OFFSET(AT167,0,$AT$1,1,1),"*听雷*")&gt;0,AND(碧归&gt;0,COUNTIF(OFFSET(AT167,0,$AT$1,1,1),"*风来*")&gt;0)),0,1)*1.5)</f>
        <v>#VALUE!</v>
      </c>
      <c r="AC167">
        <f ca="1" t="shared" si="39"/>
        <v>0</v>
      </c>
      <c r="AD167">
        <f ca="1">IF(COUNTIF(IF(AND(配装计算器!$K$30&lt;&gt;"∞",0),INDEX(AU167:CB167,1,$AT$1),INDEX(AU168:CB168,1,$AT$1)),"*叠1*")=1,AB167*0+AE166,0)</f>
        <v>0</v>
      </c>
      <c r="AE167" t="e">
        <f ca="1">IF($AN$11&gt;0,IF(COUNTIF(B168,"*叠1*")&gt;0,50-加速!$L$11,MAX(0,AE166-(A168-A167))),0)</f>
        <v>#VALUE!</v>
      </c>
      <c r="AG167">
        <f ca="1" t="shared" si="40"/>
        <v>5</v>
      </c>
      <c r="AH167" t="s">
        <v>1825</v>
      </c>
      <c r="AI167" s="161" t="s">
        <v>2783</v>
      </c>
      <c r="AJ167">
        <f ca="1" t="shared" ref="AJ167:AJ168" si="54">AJ140+AJ190</f>
        <v>3</v>
      </c>
      <c r="AK167" t="s">
        <v>3109</v>
      </c>
      <c r="AU167" t="str">
        <f>IF($AN$11=1,"云飞玉皇-玉山揽云","夕照雷峰")</f>
        <v>云飞玉皇-玉山揽云</v>
      </c>
      <c r="AV167">
        <v>2</v>
      </c>
      <c r="AW167" t="s">
        <v>2768</v>
      </c>
      <c r="AX167">
        <v>2</v>
      </c>
      <c r="AY167" t="s">
        <v>2794</v>
      </c>
      <c r="AZ167">
        <v>2</v>
      </c>
      <c r="BA167" t="s">
        <v>2768</v>
      </c>
      <c r="BB167">
        <v>2</v>
      </c>
      <c r="BC167" s="176" t="s">
        <v>3026</v>
      </c>
      <c r="BD167">
        <v>2</v>
      </c>
      <c r="BE167" t="s">
        <v>2776</v>
      </c>
      <c r="BF167">
        <v>0</v>
      </c>
      <c r="BG167" s="176" t="s">
        <v>2768</v>
      </c>
      <c r="BH167">
        <v>1</v>
      </c>
      <c r="BI167" t="s">
        <v>2768</v>
      </c>
      <c r="BJ167">
        <v>2</v>
      </c>
      <c r="BK167" t="s">
        <v>3012</v>
      </c>
      <c r="BL167">
        <v>2</v>
      </c>
      <c r="BM167" t="s">
        <v>2768</v>
      </c>
      <c r="BN167">
        <v>2</v>
      </c>
      <c r="BO167" t="s">
        <v>2776</v>
      </c>
      <c r="BP167">
        <v>2</v>
      </c>
      <c r="BQ167" t="s">
        <v>2768</v>
      </c>
      <c r="BR167">
        <v>2</v>
      </c>
      <c r="BS167" s="186" t="str">
        <f>IF(秋,"夕照雷峰","千切子寒光")</f>
        <v>千切子寒光</v>
      </c>
      <c r="BT167">
        <v>2</v>
      </c>
      <c r="BU167" s="176" t="s">
        <v>2776</v>
      </c>
      <c r="BV167">
        <v>2</v>
      </c>
      <c r="BW167" s="179" t="s">
        <v>2776</v>
      </c>
      <c r="BX167" s="179">
        <v>1</v>
      </c>
      <c r="BY167" t="s">
        <v>2768</v>
      </c>
      <c r="BZ167">
        <v>1</v>
      </c>
      <c r="CA167" t="s">
        <v>2768</v>
      </c>
      <c r="CB167">
        <v>1</v>
      </c>
    </row>
    <row r="168" spans="1:80">
      <c r="A168" s="178" t="str">
        <f ca="1">IFERROR(IF(AG167&lt;5+金蛇*2,IF(COUNTIF(B167,"*轻*")&gt;0,A167+加速!$L$9,A167+加速!$L$11)+V167,""),"")</f>
        <v/>
      </c>
      <c r="B168" s="167" t="str">
        <f ca="1" t="shared" si="35"/>
        <v/>
      </c>
      <c r="C168" t="str">
        <f ca="1" t="shared" si="44"/>
        <v/>
      </c>
      <c r="D168" t="str">
        <f ca="1">IF(B168&lt;&gt;"",IF(C167&lt;=加速!$L$11*(1-E168),0,1),"")</f>
        <v/>
      </c>
      <c r="E168">
        <f ca="1" t="shared" si="41"/>
        <v>1</v>
      </c>
      <c r="G168" t="str">
        <f ca="1" t="shared" si="42"/>
        <v/>
      </c>
      <c r="H168" t="str">
        <f ca="1">IF(B168&lt;&gt;"",IF(AND(COUNTIF(B167,"*轻*莺鸣柳*")&gt;0,COUNTIF(B168,"*轻*")&lt;1),MAX(0,15+I167-(A168-A167)+COUNTIF(B167,"*平湖*")*0),IF(AND(E168=0,MAX(0,H167-(A168-A167))&lt;=加速!$H$11),0,MAX(0,H167-(A168-A167)))),"")</f>
        <v/>
      </c>
      <c r="I168" t="str">
        <f ca="1" t="shared" si="48"/>
        <v/>
      </c>
      <c r="J168" t="str">
        <f ca="1" t="shared" si="49"/>
        <v/>
      </c>
      <c r="K168" t="str">
        <f ca="1" t="shared" si="36"/>
        <v/>
      </c>
      <c r="L168">
        <f ca="1">IFERROR(IF(AND(COUNTIF(B168,"*-峰插*"),技能数据库!$M$72&gt;0),0,IF(COUNTIF(B168,"*鹤归*")&gt;0,16-加速!$L$11,MAX(0,L167-(A168-A167)))),0)</f>
        <v>0</v>
      </c>
      <c r="M168">
        <f ca="1" t="shared" si="37"/>
        <v>0</v>
      </c>
      <c r="N168">
        <f ca="1">IFERROR(IF(AND(COUNTIF(B168,"*-峰插*"),技能数据库!$M$72&gt;0),0,IF(COUNTIF(B168,"*云飞*")&gt;0,4-COUNTIF(B168,"*玉山揽云*")*4--COUNTIF(B168,"*烟流暮景*")*4-COUNTIF(B168,"*云景*")*加速!$L$11-IF(J168&gt;0,2,0),MAX(0,N167-(A168-A167)-IF(J168&gt;0,2,0)))),0)</f>
        <v>0</v>
      </c>
      <c r="O168">
        <f ca="1">IF(AND(COUNTIF(IF(AND(配装计算器!$K$30&lt;&gt;"∞",0),INDEX(AU167:CB167,1,$AT$1),INDEX(AU169:CB169,1,$AT$1)),"*云飞*")=1,COUNTIF(IF(AND(配装计算器!$K$30&lt;&gt;"∞",0),INDEX(AU167:CB167,1,$AT$1),INDEX(AU169:CB169,1,$AT$1)),"*玉山*")=0),N168,0)</f>
        <v>0</v>
      </c>
      <c r="P168">
        <f ca="1">IFERROR(IF(COUNTIF(B168,"*云栖松*")&gt;0,50-加速!$L$11,MAX(0,P167-(A168-A167))),0)</f>
        <v>0</v>
      </c>
      <c r="Q168">
        <f ca="1">IF(COUNTIF(IF(AND(配装计算器!$K$30&lt;&gt;"∞",0),INDEX(AU167:CB167,1,$AT$1),INDEX(AU169:CB169,1,$AT$1)),"*云栖松*")=1,P168,0)</f>
        <v>0</v>
      </c>
      <c r="R168">
        <f ca="1">IFERROR(IF(COUNTIF(B168,"*莺鸣柳*")&gt;0,45-加速!$L$9,MAX(0,R167-(A168-A167))),0)</f>
        <v>0</v>
      </c>
      <c r="S168">
        <f ca="1">IF(COUNTIF(IF(AND(配装计算器!$K$30&lt;&gt;"∞",0),INDEX(AU167:CB167,1,$AT$1),INDEX(AU169:CB169,1,$AT$1)),"*莺鸣柳*")=1,R168,0)</f>
        <v>0</v>
      </c>
      <c r="T168">
        <f ca="1" t="shared" si="45"/>
        <v>0</v>
      </c>
      <c r="U168">
        <f ca="1">IF(金蛇,IF(COUNTIF(B168,"*金环戴*")+COUNTIF(B168,"*吹风醒*")&gt;0,IF(A168&lt;=3,7.125-2.625-A168-加速!$L$11,7.125+加速!$K$9-(A168+加速!$L$11-T168)),0),0)+IF(金蛇,IF(COUNTIF(B168,"*千切子裂光*")&gt;0,2+加速!$K$9-(A168+加速!$L$11-T168),0),0)</f>
        <v>0</v>
      </c>
      <c r="V168">
        <f ca="1" t="shared" si="46"/>
        <v>0</v>
      </c>
      <c r="W168">
        <f ca="1" t="shared" si="38"/>
        <v>0</v>
      </c>
      <c r="X168">
        <f ca="1">INDEX(加速!$I$13:$I$21,W168+1)</f>
        <v>0</v>
      </c>
      <c r="Y168">
        <f ca="1" t="shared" si="47"/>
        <v>0.5</v>
      </c>
      <c r="Z168">
        <f ca="1" t="shared" si="43"/>
        <v>0</v>
      </c>
      <c r="AA168">
        <f ca="1">MAX(0,IFERROR(IF(COUNTIF(B168,"*叠*")&gt;0,IF(AC167&lt;3,8-A169+A168,AA167+6.875-A169+A168),AA167-A169+A168),AA167-加速!$L$11))</f>
        <v>0</v>
      </c>
      <c r="AB168" t="e">
        <f ca="1">MAX(0,IF(COUNTIF(IF(AND(配装计算器!$K$30&lt;&gt;"∞",0),INDEX(AU168:CB168,1,$AT$1),INDEX(AU168:CB168,1,$AT$1)),"*叠1*")=1,4*25-加速!$L$11,AB167-A168+A167)-IF(OR(COUNTIF(OFFSET(AT168,0,$AT$1,1,1),"*听雷*")&gt;0,AND(碧归&gt;0,COUNTIF(OFFSET(AT168,0,$AT$1,1,1),"*风来*")&gt;0)),0,1)*1.5)</f>
        <v>#VALUE!</v>
      </c>
      <c r="AC168">
        <f ca="1" t="shared" si="39"/>
        <v>0</v>
      </c>
      <c r="AD168">
        <f ca="1">IF(COUNTIF(IF(AND(配装计算器!$K$30&lt;&gt;"∞",0),INDEX(AU168:CB168,1,$AT$1),INDEX(AU169:CB169,1,$AT$1)),"*叠1*")=1,AB168*0+AE167,0)</f>
        <v>0</v>
      </c>
      <c r="AE168" t="e">
        <f ca="1">IF($AN$11&gt;0,IF(COUNTIF(B169,"*叠1*")&gt;0,50-加速!$L$11,MAX(0,AE167-(A169-A168))),0)</f>
        <v>#VALUE!</v>
      </c>
      <c r="AG168">
        <f ca="1" t="shared" si="40"/>
        <v>5</v>
      </c>
      <c r="AH168" t="s">
        <v>1825</v>
      </c>
      <c r="AI168" s="161" t="s">
        <v>2783</v>
      </c>
      <c r="AJ168">
        <f ca="1" t="shared" si="54"/>
        <v>36</v>
      </c>
      <c r="AK168" t="s">
        <v>3110</v>
      </c>
      <c r="AU168" t="str">
        <f>IF($AN$11=1,"云飞玉皇-玉山揽云","云飞玉皇")</f>
        <v>云飞玉皇-玉山揽云</v>
      </c>
      <c r="AV168">
        <v>2</v>
      </c>
      <c r="AW168" t="s">
        <v>2768</v>
      </c>
      <c r="AX168">
        <v>2</v>
      </c>
      <c r="AY168" t="s">
        <v>2768</v>
      </c>
      <c r="AZ168">
        <v>2</v>
      </c>
      <c r="BA168" t="s">
        <v>2776</v>
      </c>
      <c r="BB168">
        <v>2</v>
      </c>
      <c r="BC168" s="176" t="s">
        <v>3026</v>
      </c>
      <c r="BD168">
        <v>2</v>
      </c>
      <c r="BE168" t="s">
        <v>2722</v>
      </c>
      <c r="BF168">
        <v>0</v>
      </c>
      <c r="BG168" t="s">
        <v>3055</v>
      </c>
      <c r="BH168">
        <v>0</v>
      </c>
      <c r="BI168" t="s">
        <v>2776</v>
      </c>
      <c r="BJ168">
        <v>2</v>
      </c>
      <c r="BK168" s="176" t="s">
        <v>2794</v>
      </c>
      <c r="BL168">
        <v>2</v>
      </c>
      <c r="BM168" t="s">
        <v>2776</v>
      </c>
      <c r="BN168">
        <v>2</v>
      </c>
      <c r="BO168" t="s">
        <v>2768</v>
      </c>
      <c r="BP168">
        <v>2</v>
      </c>
      <c r="BQ168" t="s">
        <v>2768</v>
      </c>
      <c r="BR168">
        <v>2</v>
      </c>
      <c r="BS168" s="186" t="str">
        <f>IF(秋,"夕照雷峰","千切子裂光")</f>
        <v>千切子裂光</v>
      </c>
      <c r="BT168">
        <v>2</v>
      </c>
      <c r="BU168" t="s">
        <v>2768</v>
      </c>
      <c r="BV168">
        <v>1</v>
      </c>
      <c r="BW168" s="179" t="s">
        <v>2768</v>
      </c>
      <c r="BX168" s="179">
        <v>1</v>
      </c>
      <c r="BY168" t="s">
        <v>2776</v>
      </c>
      <c r="BZ168">
        <v>1</v>
      </c>
      <c r="CA168" t="s">
        <v>2776</v>
      </c>
      <c r="CB168">
        <v>1</v>
      </c>
    </row>
    <row r="169" spans="1:80">
      <c r="A169" s="178" t="str">
        <f ca="1">IFERROR(IF(AG168&lt;5+金蛇*2,IF(COUNTIF(B168,"*轻*")&gt;0,A168+加速!$L$9,A168+加速!$L$11)+V168,""),"")</f>
        <v/>
      </c>
      <c r="B169" s="167" t="str">
        <f ca="1" t="shared" si="35"/>
        <v/>
      </c>
      <c r="C169" t="str">
        <f ca="1" t="shared" si="44"/>
        <v/>
      </c>
      <c r="D169" t="str">
        <f ca="1">IF(B169&lt;&gt;"",IF(C168&lt;=加速!$L$11*(1-E169),0,1),"")</f>
        <v/>
      </c>
      <c r="E169">
        <f ca="1" t="shared" si="41"/>
        <v>1</v>
      </c>
      <c r="G169" t="str">
        <f ca="1" t="shared" si="42"/>
        <v/>
      </c>
      <c r="H169" t="str">
        <f ca="1">IF(B169&lt;&gt;"",IF(AND(COUNTIF(B168,"*轻*莺鸣柳*")&gt;0,COUNTIF(B169,"*轻*")&lt;1),MAX(0,15+I168-(A169-A168)+COUNTIF(B168,"*平湖*")*0),IF(AND(E169=0,MAX(0,H168-(A169-A168))&lt;=加速!$H$11),0,MAX(0,H168-(A169-A168)))),"")</f>
        <v/>
      </c>
      <c r="I169" t="str">
        <f ca="1" t="shared" si="48"/>
        <v/>
      </c>
      <c r="J169" t="str">
        <f ca="1" t="shared" si="49"/>
        <v/>
      </c>
      <c r="K169" t="str">
        <f ca="1" t="shared" si="36"/>
        <v/>
      </c>
      <c r="L169">
        <f ca="1">IFERROR(IF(AND(COUNTIF(B169,"*-峰插*"),技能数据库!$M$72&gt;0),0,IF(COUNTIF(B169,"*鹤归*")&gt;0,16-加速!$L$11,MAX(0,L168-(A169-A168)))),0)</f>
        <v>0</v>
      </c>
      <c r="M169">
        <f ca="1" t="shared" si="37"/>
        <v>0</v>
      </c>
      <c r="N169">
        <f ca="1">IFERROR(IF(AND(COUNTIF(B169,"*-峰插*"),技能数据库!$M$72&gt;0),0,IF(COUNTIF(B169,"*云飞*")&gt;0,4-COUNTIF(B169,"*玉山揽云*")*4--COUNTIF(B169,"*烟流暮景*")*4-COUNTIF(B169,"*云景*")*加速!$L$11-IF(J169&gt;0,2,0),MAX(0,N168-(A169-A168)-IF(J169&gt;0,2,0)))),0)</f>
        <v>0</v>
      </c>
      <c r="O169">
        <f ca="1">IF(AND(COUNTIF(IF(AND(配装计算器!$K$30&lt;&gt;"∞",0),INDEX(AU168:CB168,1,$AT$1),INDEX(AU170:CB170,1,$AT$1)),"*云飞*")=1,COUNTIF(IF(AND(配装计算器!$K$30&lt;&gt;"∞",0),INDEX(AU168:CB168,1,$AT$1),INDEX(AU170:CB170,1,$AT$1)),"*玉山*")=0),N169,0)</f>
        <v>0</v>
      </c>
      <c r="P169">
        <f ca="1">IFERROR(IF(COUNTIF(B169,"*云栖松*")&gt;0,50-加速!$L$11,MAX(0,P168-(A169-A168))),0)</f>
        <v>0</v>
      </c>
      <c r="Q169">
        <f ca="1">IF(COUNTIF(IF(AND(配装计算器!$K$30&lt;&gt;"∞",0),INDEX(AU168:CB168,1,$AT$1),INDEX(AU170:CB170,1,$AT$1)),"*云栖松*")=1,P169,0)</f>
        <v>0</v>
      </c>
      <c r="R169">
        <f ca="1">IFERROR(IF(COUNTIF(B169,"*莺鸣柳*")&gt;0,45-加速!$L$9,MAX(0,R168-(A169-A168))),0)</f>
        <v>0</v>
      </c>
      <c r="S169">
        <f ca="1">IF(COUNTIF(IF(AND(配装计算器!$K$30&lt;&gt;"∞",0),INDEX(AU168:CB168,1,$AT$1),INDEX(AU170:CB170,1,$AT$1)),"*莺鸣柳*")=1,R169,0)</f>
        <v>0</v>
      </c>
      <c r="T169">
        <f ca="1" t="shared" si="45"/>
        <v>0</v>
      </c>
      <c r="U169">
        <f ca="1">IF(金蛇,IF(COUNTIF(B169,"*金环戴*")+COUNTIF(B169,"*吹风醒*")&gt;0,IF(A169&lt;=3,7.125-2.625-A169-加速!$L$11,7.125+加速!$K$9-(A169+加速!$L$11-T169)),0),0)+IF(金蛇,IF(COUNTIF(B169,"*千切子裂光*")&gt;0,2+加速!$K$9-(A169+加速!$L$11-T169),0),0)</f>
        <v>0</v>
      </c>
      <c r="V169">
        <f ca="1" t="shared" si="46"/>
        <v>0</v>
      </c>
      <c r="W169">
        <f ca="1" t="shared" si="38"/>
        <v>0</v>
      </c>
      <c r="X169">
        <f ca="1">INDEX(加速!$I$13:$I$21,W169+1)</f>
        <v>0</v>
      </c>
      <c r="Y169">
        <f ca="1" t="shared" si="47"/>
        <v>0.5</v>
      </c>
      <c r="Z169">
        <f ca="1" t="shared" si="43"/>
        <v>0</v>
      </c>
      <c r="AA169">
        <f ca="1">MAX(0,IFERROR(IF(COUNTIF(B169,"*叠*")&gt;0,IF(AC168&lt;3,8-A170+A169,AA168+6.875-A170+A169),AA168-A170+A169),AA168-加速!$L$11))</f>
        <v>0</v>
      </c>
      <c r="AB169" t="e">
        <f ca="1">MAX(0,IF(COUNTIF(IF(AND(配装计算器!$K$30&lt;&gt;"∞",0),INDEX(AU169:CB169,1,$AT$1),INDEX(AU169:CB169,1,$AT$1)),"*叠1*")=1,4*25-加速!$L$11,AB168-A169+A168)-IF(OR(COUNTIF(OFFSET(AT169,0,$AT$1,1,1),"*听雷*")&gt;0,AND(碧归&gt;0,COUNTIF(OFFSET(AT169,0,$AT$1,1,1),"*风来*")&gt;0)),0,1)*1.5)</f>
        <v>#VALUE!</v>
      </c>
      <c r="AC169">
        <f ca="1" t="shared" si="39"/>
        <v>0</v>
      </c>
      <c r="AD169">
        <f ca="1">IF(COUNTIF(IF(AND(配装计算器!$K$30&lt;&gt;"∞",0),INDEX(AU169:CB169,1,$AT$1),INDEX(AU170:CB170,1,$AT$1)),"*叠1*")=1,AB169*0+AE168,0)</f>
        <v>0</v>
      </c>
      <c r="AE169" t="e">
        <f ca="1">IF($AN$11&gt;0,IF(COUNTIF(B170,"*叠1*")&gt;0,50-加速!$L$11,MAX(0,AE168-(A170-A169))),0)</f>
        <v>#VALUE!</v>
      </c>
      <c r="AG169">
        <f ca="1" t="shared" si="40"/>
        <v>5</v>
      </c>
      <c r="AH169" t="s">
        <v>1825</v>
      </c>
      <c r="AI169" s="161" t="s">
        <v>2789</v>
      </c>
      <c r="AJ169">
        <f ca="1">SUMIFS($X$3:$X$515,$D$3:$D$515,"&gt;0",$AC$3:$AC$515,"=1")</f>
        <v>0</v>
      </c>
      <c r="AK169" t="s">
        <v>3108</v>
      </c>
      <c r="AU169" t="str">
        <f>IF($AN$11=1,"云飞玉皇-玉山揽云","夕照雷峰")</f>
        <v>云飞玉皇-玉山揽云</v>
      </c>
      <c r="AV169">
        <v>2</v>
      </c>
      <c r="AW169" t="s">
        <v>2768</v>
      </c>
      <c r="AX169">
        <v>2</v>
      </c>
      <c r="AY169" t="s">
        <v>2776</v>
      </c>
      <c r="AZ169">
        <v>2</v>
      </c>
      <c r="BA169" t="s">
        <v>2768</v>
      </c>
      <c r="BB169">
        <v>2</v>
      </c>
      <c r="BC169" t="s">
        <v>3013</v>
      </c>
      <c r="BD169">
        <v>2</v>
      </c>
      <c r="BE169" t="s">
        <v>2722</v>
      </c>
      <c r="BF169">
        <v>2</v>
      </c>
      <c r="BG169" t="s">
        <v>2776</v>
      </c>
      <c r="BH169">
        <v>2</v>
      </c>
      <c r="BI169" t="s">
        <v>2768</v>
      </c>
      <c r="BJ169">
        <v>2</v>
      </c>
      <c r="BK169" s="176" t="s">
        <v>3019</v>
      </c>
      <c r="BL169">
        <v>2</v>
      </c>
      <c r="BM169" t="s">
        <v>2768</v>
      </c>
      <c r="BN169">
        <v>1</v>
      </c>
      <c r="BO169" t="str">
        <f>IF(山重水复,"风来吴山","夕照雷峰")</f>
        <v>夕照雷峰</v>
      </c>
      <c r="BP169">
        <v>2</v>
      </c>
      <c r="BQ169" t="s">
        <v>2776</v>
      </c>
      <c r="BR169">
        <v>1</v>
      </c>
      <c r="BS169" s="176" t="s">
        <v>2768</v>
      </c>
      <c r="BT169">
        <v>2</v>
      </c>
      <c r="BU169" s="176" t="s">
        <v>2768</v>
      </c>
      <c r="BV169">
        <v>1</v>
      </c>
      <c r="BW169" s="179" t="s">
        <v>2722</v>
      </c>
      <c r="BX169" s="179">
        <v>2</v>
      </c>
      <c r="BY169" t="s">
        <v>2768</v>
      </c>
      <c r="BZ169">
        <v>1</v>
      </c>
      <c r="CA169" t="s">
        <v>2768</v>
      </c>
      <c r="CB169">
        <v>1</v>
      </c>
    </row>
    <row r="170" spans="1:80">
      <c r="A170" s="178" t="str">
        <f ca="1">IFERROR(IF(AG169&lt;5+金蛇*2,IF(COUNTIF(B169,"*轻*")&gt;0,A169+加速!$L$9,A169+加速!$L$11)+V169,""),"")</f>
        <v/>
      </c>
      <c r="B170" s="167" t="str">
        <f ca="1" t="shared" si="35"/>
        <v/>
      </c>
      <c r="C170" t="str">
        <f ca="1" t="shared" si="44"/>
        <v/>
      </c>
      <c r="D170" t="str">
        <f ca="1">IF(B170&lt;&gt;"",IF(C169&lt;=加速!$L$11*(1-E170),0,1),"")</f>
        <v/>
      </c>
      <c r="E170">
        <f ca="1" t="shared" si="41"/>
        <v>1</v>
      </c>
      <c r="G170" t="str">
        <f ca="1" t="shared" si="42"/>
        <v/>
      </c>
      <c r="H170" t="str">
        <f ca="1">IF(B170&lt;&gt;"",IF(AND(COUNTIF(B169,"*轻*莺鸣柳*")&gt;0,COUNTIF(B170,"*轻*")&lt;1),MAX(0,15+I169-(A170-A169)+COUNTIF(B169,"*平湖*")*0),IF(AND(E170=0,MAX(0,H169-(A170-A169))&lt;=加速!$H$11),0,MAX(0,H169-(A170-A169)))),"")</f>
        <v/>
      </c>
      <c r="I170" t="str">
        <f ca="1" t="shared" si="48"/>
        <v/>
      </c>
      <c r="J170" t="str">
        <f ca="1" t="shared" si="49"/>
        <v/>
      </c>
      <c r="K170" t="str">
        <f ca="1" t="shared" si="36"/>
        <v/>
      </c>
      <c r="L170">
        <f ca="1">IFERROR(IF(AND(COUNTIF(B170,"*-峰插*"),技能数据库!$M$72&gt;0),0,IF(COUNTIF(B170,"*鹤归*")&gt;0,16-加速!$L$11,MAX(0,L169-(A170-A169)))),0)</f>
        <v>0</v>
      </c>
      <c r="M170">
        <f ca="1" t="shared" si="37"/>
        <v>0</v>
      </c>
      <c r="N170">
        <f ca="1">IFERROR(IF(AND(COUNTIF(B170,"*-峰插*"),技能数据库!$M$72&gt;0),0,IF(COUNTIF(B170,"*云飞*")&gt;0,4-COUNTIF(B170,"*玉山揽云*")*4--COUNTIF(B170,"*烟流暮景*")*4-COUNTIF(B170,"*云景*")*加速!$L$11-IF(J170&gt;0,2,0),MAX(0,N169-(A170-A169)-IF(J170&gt;0,2,0)))),0)</f>
        <v>0</v>
      </c>
      <c r="O170">
        <f ca="1">IF(AND(COUNTIF(IF(AND(配装计算器!$K$30&lt;&gt;"∞",0),INDEX(AU169:CB169,1,$AT$1),INDEX(AU171:CB171,1,$AT$1)),"*云飞*")=1,COUNTIF(IF(AND(配装计算器!$K$30&lt;&gt;"∞",0),INDEX(AU169:CB169,1,$AT$1),INDEX(AU171:CB171,1,$AT$1)),"*玉山*")=0),N170,0)</f>
        <v>0</v>
      </c>
      <c r="P170">
        <f ca="1">IFERROR(IF(COUNTIF(B170,"*云栖松*")&gt;0,50-加速!$L$11,MAX(0,P169-(A170-A169))),0)</f>
        <v>0</v>
      </c>
      <c r="Q170">
        <f ca="1">IF(COUNTIF(IF(AND(配装计算器!$K$30&lt;&gt;"∞",0),INDEX(AU169:CB169,1,$AT$1),INDEX(AU171:CB171,1,$AT$1)),"*云栖松*")=1,P170,0)</f>
        <v>0</v>
      </c>
      <c r="R170">
        <f ca="1">IFERROR(IF(COUNTIF(B170,"*莺鸣柳*")&gt;0,45-加速!$L$9,MAX(0,R169-(A170-A169))),0)</f>
        <v>0</v>
      </c>
      <c r="S170">
        <f ca="1">IF(COUNTIF(IF(AND(配装计算器!$K$30&lt;&gt;"∞",0),INDEX(AU169:CB169,1,$AT$1),INDEX(AU171:CB171,1,$AT$1)),"*莺鸣柳*")=1,R170,0)</f>
        <v>0</v>
      </c>
      <c r="T170">
        <f ca="1" t="shared" si="45"/>
        <v>0</v>
      </c>
      <c r="U170">
        <f ca="1">IF(金蛇,IF(COUNTIF(B170,"*金环戴*")+COUNTIF(B170,"*吹风醒*")&gt;0,IF(A170&lt;=3,7.125-2.625-A170-加速!$L$11,7.125+加速!$K$9-(A170+加速!$L$11-T170)),0),0)+IF(金蛇,IF(COUNTIF(B170,"*千切子裂光*")&gt;0,2+加速!$K$9-(A170+加速!$L$11-T170),0),0)</f>
        <v>0</v>
      </c>
      <c r="V170">
        <f ca="1" t="shared" si="46"/>
        <v>0</v>
      </c>
      <c r="W170">
        <f ca="1" t="shared" si="38"/>
        <v>0</v>
      </c>
      <c r="X170">
        <f ca="1">INDEX(加速!$I$13:$I$21,W170+1)</f>
        <v>0</v>
      </c>
      <c r="Y170">
        <f ca="1" t="shared" si="47"/>
        <v>0.5</v>
      </c>
      <c r="Z170">
        <f ca="1" t="shared" si="43"/>
        <v>0</v>
      </c>
      <c r="AA170">
        <f ca="1">MAX(0,IFERROR(IF(COUNTIF(B170,"*叠*")&gt;0,IF(AC169&lt;3,8-A171+A170,AA169+6.875-A171+A170),AA169-A171+A170),AA169-加速!$L$11))</f>
        <v>0</v>
      </c>
      <c r="AB170" t="e">
        <f ca="1">MAX(0,IF(COUNTIF(IF(AND(配装计算器!$K$30&lt;&gt;"∞",0),INDEX(AU170:CB170,1,$AT$1),INDEX(AU170:CB170,1,$AT$1)),"*叠1*")=1,4*25-加速!$L$11,AB169-A170+A169)-IF(OR(COUNTIF(OFFSET(AT170,0,$AT$1,1,1),"*听雷*")&gt;0,AND(碧归&gt;0,COUNTIF(OFFSET(AT170,0,$AT$1,1,1),"*风来*")&gt;0)),0,1)*1.5)</f>
        <v>#VALUE!</v>
      </c>
      <c r="AC170">
        <f ca="1" t="shared" si="39"/>
        <v>0</v>
      </c>
      <c r="AD170">
        <f ca="1">IF(COUNTIF(IF(AND(配装计算器!$K$30&lt;&gt;"∞",0),INDEX(AU170:CB170,1,$AT$1),INDEX(AU171:CB171,1,$AT$1)),"*叠1*")=1,AB170*0+AE169,0)</f>
        <v>0</v>
      </c>
      <c r="AE170" t="e">
        <f ca="1">IF($AN$11&gt;0,IF(COUNTIF(B171,"*叠1*")&gt;0,50-加速!$L$11,MAX(0,AE169-(A171-A170))),0)</f>
        <v>#VALUE!</v>
      </c>
      <c r="AG170">
        <f ca="1" t="shared" si="40"/>
        <v>5</v>
      </c>
      <c r="AH170" t="s">
        <v>1825</v>
      </c>
      <c r="AI170" s="161" t="s">
        <v>2789</v>
      </c>
      <c r="AJ170">
        <f ca="1">SUMIFS($X$4:$X$515,$D$4:$D$515,"&gt;0",$AC$4:$AC$515,"=2")</f>
        <v>2</v>
      </c>
      <c r="AK170" t="s">
        <v>3109</v>
      </c>
      <c r="AU170" t="str">
        <f>IF($AN$11=1,橙武补雾锁,"夕照雷峰")</f>
        <v>云飞玉皇-玉山揽云</v>
      </c>
      <c r="AV170">
        <v>2</v>
      </c>
      <c r="AW170" t="s">
        <v>2776</v>
      </c>
      <c r="AX170">
        <v>2</v>
      </c>
      <c r="AY170" t="s">
        <v>2768</v>
      </c>
      <c r="AZ170">
        <v>2</v>
      </c>
      <c r="BA170" t="s">
        <v>2776</v>
      </c>
      <c r="BB170">
        <v>2</v>
      </c>
      <c r="BC170" t="s">
        <v>2808</v>
      </c>
      <c r="BD170">
        <v>2</v>
      </c>
      <c r="BE170" t="s">
        <v>2768</v>
      </c>
      <c r="BF170">
        <v>2</v>
      </c>
      <c r="BG170" t="s">
        <v>2768</v>
      </c>
      <c r="BH170">
        <v>2</v>
      </c>
      <c r="BI170" t="s">
        <v>2808</v>
      </c>
      <c r="BJ170">
        <v>2</v>
      </c>
      <c r="BK170" s="176" t="s">
        <v>2768</v>
      </c>
      <c r="BL170">
        <v>2</v>
      </c>
      <c r="BM170" t="s">
        <v>2722</v>
      </c>
      <c r="BN170">
        <v>0</v>
      </c>
      <c r="BO170" s="176" t="s">
        <v>2794</v>
      </c>
      <c r="BP170">
        <v>2</v>
      </c>
      <c r="BQ170" t="s">
        <v>3055</v>
      </c>
      <c r="BR170">
        <v>2</v>
      </c>
      <c r="BS170" s="176" t="s">
        <v>2776</v>
      </c>
      <c r="BT170">
        <v>2</v>
      </c>
      <c r="BU170" t="s">
        <v>3055</v>
      </c>
      <c r="BV170">
        <v>0</v>
      </c>
      <c r="BW170" s="179" t="s">
        <v>3009</v>
      </c>
      <c r="BX170" s="179">
        <v>2</v>
      </c>
      <c r="BY170" t="s">
        <v>2722</v>
      </c>
      <c r="BZ170">
        <v>0</v>
      </c>
      <c r="CA170" t="s">
        <v>2722</v>
      </c>
      <c r="CB170">
        <v>0</v>
      </c>
    </row>
    <row r="171" spans="1:80">
      <c r="A171" s="178" t="str">
        <f ca="1">IFERROR(IF(AG170&lt;5+金蛇*2,IF(COUNTIF(B170,"*轻*")&gt;0,A170+加速!$L$9,A170+加速!$L$11)+V170,""),"")</f>
        <v/>
      </c>
      <c r="B171" s="167" t="str">
        <f ca="1" t="shared" si="35"/>
        <v/>
      </c>
      <c r="C171" t="str">
        <f ca="1" t="shared" si="44"/>
        <v/>
      </c>
      <c r="D171" t="str">
        <f ca="1">IF(B171&lt;&gt;"",IF(C170&lt;=加速!$L$11*(1-E171),0,1),"")</f>
        <v/>
      </c>
      <c r="E171">
        <f ca="1" t="shared" si="41"/>
        <v>1</v>
      </c>
      <c r="G171" t="str">
        <f ca="1" t="shared" si="42"/>
        <v/>
      </c>
      <c r="H171" t="str">
        <f ca="1">IF(B171&lt;&gt;"",IF(AND(COUNTIF(B170,"*轻*莺鸣柳*")&gt;0,COUNTIF(B171,"*轻*")&lt;1),MAX(0,15+I170-(A171-A170)+COUNTIF(B170,"*平湖*")*0),IF(AND(E171=0,MAX(0,H170-(A171-A170))&lt;=加速!$H$11),0,MAX(0,H170-(A171-A170)))),"")</f>
        <v/>
      </c>
      <c r="I171" t="str">
        <f ca="1" t="shared" si="48"/>
        <v/>
      </c>
      <c r="J171" t="str">
        <f ca="1" t="shared" si="49"/>
        <v/>
      </c>
      <c r="K171" t="str">
        <f ca="1" t="shared" si="36"/>
        <v/>
      </c>
      <c r="L171">
        <f ca="1">IFERROR(IF(AND(COUNTIF(B171,"*-峰插*"),技能数据库!$M$72&gt;0),0,IF(COUNTIF(B171,"*鹤归*")&gt;0,16-加速!$L$11,MAX(0,L170-(A171-A170)))),0)</f>
        <v>0</v>
      </c>
      <c r="M171">
        <f ca="1" t="shared" si="37"/>
        <v>0</v>
      </c>
      <c r="N171">
        <f ca="1">IFERROR(IF(AND(COUNTIF(B171,"*-峰插*"),技能数据库!$M$72&gt;0),0,IF(COUNTIF(B171,"*云飞*")&gt;0,4-COUNTIF(B171,"*玉山揽云*")*4--COUNTIF(B171,"*烟流暮景*")*4-COUNTIF(B171,"*云景*")*加速!$L$11-IF(J171&gt;0,2,0),MAX(0,N170-(A171-A170)-IF(J171&gt;0,2,0)))),0)</f>
        <v>0</v>
      </c>
      <c r="O171">
        <f ca="1">IF(AND(COUNTIF(IF(AND(配装计算器!$K$30&lt;&gt;"∞",0),INDEX(AU170:CB170,1,$AT$1),INDEX(AU172:CB172,1,$AT$1)),"*云飞*")=1,COUNTIF(IF(AND(配装计算器!$K$30&lt;&gt;"∞",0),INDEX(AU170:CB170,1,$AT$1),INDEX(AU172:CB172,1,$AT$1)),"*玉山*")=0),N171,0)</f>
        <v>0</v>
      </c>
      <c r="P171">
        <f ca="1">IFERROR(IF(COUNTIF(B171,"*云栖松*")&gt;0,50-加速!$L$11,MAX(0,P170-(A171-A170))),0)</f>
        <v>0</v>
      </c>
      <c r="Q171">
        <f ca="1">IF(COUNTIF(IF(AND(配装计算器!$K$30&lt;&gt;"∞",0),INDEX(AU170:CB170,1,$AT$1),INDEX(AU172:CB172,1,$AT$1)),"*云栖松*")=1,P171,0)</f>
        <v>0</v>
      </c>
      <c r="R171">
        <f ca="1">IFERROR(IF(COUNTIF(B171,"*莺鸣柳*")&gt;0,45-加速!$L$9,MAX(0,R170-(A171-A170))),0)</f>
        <v>0</v>
      </c>
      <c r="S171">
        <f ca="1">IF(COUNTIF(IF(AND(配装计算器!$K$30&lt;&gt;"∞",0),INDEX(AU170:CB170,1,$AT$1),INDEX(AU172:CB172,1,$AT$1)),"*莺鸣柳*")=1,R171,0)</f>
        <v>0</v>
      </c>
      <c r="T171">
        <f ca="1" t="shared" si="45"/>
        <v>0</v>
      </c>
      <c r="U171">
        <f ca="1">IF(金蛇,IF(COUNTIF(B171,"*金环戴*")+COUNTIF(B171,"*吹风醒*")&gt;0,IF(A171&lt;=3,7.125-2.625-A171-加速!$L$11,7.125+加速!$K$9-(A171+加速!$L$11-T171)),0),0)+IF(金蛇,IF(COUNTIF(B171,"*千切子裂光*")&gt;0,2+加速!$K$9-(A171+加速!$L$11-T171),0),0)</f>
        <v>0</v>
      </c>
      <c r="V171">
        <f ca="1" t="shared" si="46"/>
        <v>0</v>
      </c>
      <c r="W171">
        <f ca="1" t="shared" si="38"/>
        <v>0</v>
      </c>
      <c r="X171">
        <f ca="1">INDEX(加速!$I$13:$I$21,W171+1)</f>
        <v>0</v>
      </c>
      <c r="Y171">
        <f ca="1" t="shared" si="47"/>
        <v>0.5</v>
      </c>
      <c r="Z171">
        <f ca="1" t="shared" si="43"/>
        <v>0</v>
      </c>
      <c r="AA171">
        <f ca="1">MAX(0,IFERROR(IF(COUNTIF(B171,"*叠*")&gt;0,IF(AC170&lt;3,8-A172+A171,AA170+6.875-A172+A171),AA170-A172+A171),AA170-加速!$L$11))</f>
        <v>0</v>
      </c>
      <c r="AB171" t="e">
        <f ca="1">MAX(0,IF(COUNTIF(IF(AND(配装计算器!$K$30&lt;&gt;"∞",0),INDEX(AU171:CB171,1,$AT$1),INDEX(AU171:CB171,1,$AT$1)),"*叠1*")=1,4*25-加速!$L$11,AB170-A171+A170)-IF(OR(COUNTIF(OFFSET(AT171,0,$AT$1,1,1),"*听雷*")&gt;0,AND(碧归&gt;0,COUNTIF(OFFSET(AT171,0,$AT$1,1,1),"*风来*")&gt;0)),0,1)*1.5)</f>
        <v>#VALUE!</v>
      </c>
      <c r="AC171">
        <f ca="1" t="shared" si="39"/>
        <v>0</v>
      </c>
      <c r="AD171">
        <f ca="1">IF(COUNTIF(IF(AND(配装计算器!$K$30&lt;&gt;"∞",0),INDEX(AU171:CB171,1,$AT$1),INDEX(AU172:CB172,1,$AT$1)),"*叠1*")=1,AB171*0+AE170,0)</f>
        <v>0</v>
      </c>
      <c r="AE171" t="e">
        <f ca="1">IF($AN$11&gt;0,IF(COUNTIF(B172,"*叠1*")&gt;0,50-加速!$L$11,MAX(0,AE170-(A172-A171))),0)</f>
        <v>#VALUE!</v>
      </c>
      <c r="AG171">
        <f ca="1" t="shared" si="40"/>
        <v>5</v>
      </c>
      <c r="AH171" t="s">
        <v>1825</v>
      </c>
      <c r="AI171" s="161" t="s">
        <v>2789</v>
      </c>
      <c r="AJ171">
        <f ca="1">SUMIFS($X$4:$X$515,$D$4:$D$515,"&gt;0",$AC$4:$AC$515,"=3")</f>
        <v>30</v>
      </c>
      <c r="AK171" t="s">
        <v>3110</v>
      </c>
      <c r="AU171" t="str">
        <f>IF($AN$11=1,"云飞玉皇-玉山揽云","夕照雷峰")</f>
        <v>云飞玉皇-玉山揽云</v>
      </c>
      <c r="AV171">
        <v>2</v>
      </c>
      <c r="AW171" t="s">
        <v>2768</v>
      </c>
      <c r="AX171">
        <v>2</v>
      </c>
      <c r="AY171" t="s">
        <v>2776</v>
      </c>
      <c r="AZ171">
        <v>2</v>
      </c>
      <c r="BA171" t="s">
        <v>2768</v>
      </c>
      <c r="BB171">
        <v>2</v>
      </c>
      <c r="BC171" t="s">
        <v>2768</v>
      </c>
      <c r="BD171">
        <v>2</v>
      </c>
      <c r="BE171" t="s">
        <v>2776</v>
      </c>
      <c r="BF171">
        <v>2</v>
      </c>
      <c r="BG171" t="s">
        <v>2776</v>
      </c>
      <c r="BH171">
        <v>2</v>
      </c>
      <c r="BI171" s="176" t="s">
        <v>2768</v>
      </c>
      <c r="BJ171">
        <v>2</v>
      </c>
      <c r="BK171" s="176" t="s">
        <v>3023</v>
      </c>
      <c r="BL171">
        <v>2</v>
      </c>
      <c r="BM171" t="s">
        <v>3009</v>
      </c>
      <c r="BN171">
        <v>2</v>
      </c>
      <c r="BO171" s="176" t="s">
        <v>2776</v>
      </c>
      <c r="BP171">
        <v>2</v>
      </c>
      <c r="BQ171" t="s">
        <v>2768</v>
      </c>
      <c r="BR171">
        <v>2</v>
      </c>
      <c r="BS171" s="176" t="s">
        <v>2768</v>
      </c>
      <c r="BT171">
        <v>2</v>
      </c>
      <c r="BU171" t="s">
        <v>2776</v>
      </c>
      <c r="BV171">
        <v>2</v>
      </c>
      <c r="BW171" s="179" t="s">
        <v>3078</v>
      </c>
      <c r="BX171" s="179">
        <v>2</v>
      </c>
      <c r="BY171" t="s">
        <v>3009</v>
      </c>
      <c r="BZ171">
        <v>2</v>
      </c>
      <c r="CA171" t="s">
        <v>3009</v>
      </c>
      <c r="CB171">
        <v>2</v>
      </c>
    </row>
    <row r="172" spans="1:80">
      <c r="A172" s="178" t="str">
        <f ca="1">IFERROR(IF(AG171&lt;5+金蛇*2,IF(COUNTIF(B171,"*轻*")&gt;0,A171+加速!$L$9,A171+加速!$L$11)+V171,""),"")</f>
        <v/>
      </c>
      <c r="B172" s="167" t="str">
        <f ca="1" t="shared" si="35"/>
        <v/>
      </c>
      <c r="C172" t="str">
        <f ca="1" t="shared" si="44"/>
        <v/>
      </c>
      <c r="D172" t="str">
        <f ca="1">IF(B172&lt;&gt;"",IF(C171&lt;=加速!$L$11*(1-E172),0,1),"")</f>
        <v/>
      </c>
      <c r="E172">
        <f ca="1" t="shared" si="41"/>
        <v>1</v>
      </c>
      <c r="G172" t="str">
        <f ca="1" t="shared" si="42"/>
        <v/>
      </c>
      <c r="H172" t="str">
        <f ca="1">IF(B172&lt;&gt;"",IF(AND(COUNTIF(B171,"*轻*莺鸣柳*")&gt;0,COUNTIF(B172,"*轻*")&lt;1),MAX(0,15+I171-(A172-A171)+COUNTIF(B171,"*平湖*")*0),IF(AND(E172=0,MAX(0,H171-(A172-A171))&lt;=加速!$H$11),0,MAX(0,H171-(A172-A171)))),"")</f>
        <v/>
      </c>
      <c r="I172" t="str">
        <f ca="1" t="shared" si="48"/>
        <v/>
      </c>
      <c r="J172" t="str">
        <f ca="1" t="shared" si="49"/>
        <v/>
      </c>
      <c r="K172" t="str">
        <f ca="1" t="shared" si="36"/>
        <v/>
      </c>
      <c r="L172">
        <f ca="1">IFERROR(IF(AND(COUNTIF(B172,"*-峰插*"),技能数据库!$M$72&gt;0),0,IF(COUNTIF(B172,"*鹤归*")&gt;0,16-加速!$L$11,MAX(0,L171-(A172-A171)))),0)</f>
        <v>0</v>
      </c>
      <c r="M172">
        <f ca="1" t="shared" si="37"/>
        <v>0</v>
      </c>
      <c r="N172">
        <f ca="1">IFERROR(IF(AND(COUNTIF(B172,"*-峰插*"),技能数据库!$M$72&gt;0),0,IF(COUNTIF(B172,"*云飞*")&gt;0,4-COUNTIF(B172,"*玉山揽云*")*4--COUNTIF(B172,"*烟流暮景*")*4-COUNTIF(B172,"*云景*")*加速!$L$11-IF(J172&gt;0,2,0),MAX(0,N171-(A172-A171)-IF(J172&gt;0,2,0)))),0)</f>
        <v>0</v>
      </c>
      <c r="O172">
        <f ca="1">IF(AND(COUNTIF(IF(AND(配装计算器!$K$30&lt;&gt;"∞",0),INDEX(AU171:CB171,1,$AT$1),INDEX(AU173:CB173,1,$AT$1)),"*云飞*")=1,COUNTIF(IF(AND(配装计算器!$K$30&lt;&gt;"∞",0),INDEX(AU171:CB171,1,$AT$1),INDEX(AU173:CB173,1,$AT$1)),"*玉山*")=0),N172,0)</f>
        <v>0</v>
      </c>
      <c r="P172">
        <f ca="1">IFERROR(IF(COUNTIF(B172,"*云栖松*")&gt;0,50-加速!$L$11,MAX(0,P171-(A172-A171))),0)</f>
        <v>0</v>
      </c>
      <c r="Q172">
        <f ca="1">IF(COUNTIF(IF(AND(配装计算器!$K$30&lt;&gt;"∞",0),INDEX(AU171:CB171,1,$AT$1),INDEX(AU173:CB173,1,$AT$1)),"*云栖松*")=1,P172,0)</f>
        <v>0</v>
      </c>
      <c r="R172">
        <f ca="1">IFERROR(IF(COUNTIF(B172,"*莺鸣柳*")&gt;0,45-加速!$L$9,MAX(0,R171-(A172-A171))),0)</f>
        <v>0</v>
      </c>
      <c r="S172">
        <f ca="1">IF(COUNTIF(IF(AND(配装计算器!$K$30&lt;&gt;"∞",0),INDEX(AU171:CB171,1,$AT$1),INDEX(AU173:CB173,1,$AT$1)),"*莺鸣柳*")=1,R172,0)</f>
        <v>0</v>
      </c>
      <c r="T172">
        <f ca="1" t="shared" si="45"/>
        <v>0</v>
      </c>
      <c r="U172">
        <f ca="1">IF(金蛇,IF(COUNTIF(B172,"*金环戴*")+COUNTIF(B172,"*吹风醒*")&gt;0,IF(A172&lt;=3,7.125-2.625-A172-加速!$L$11,7.125+加速!$K$9-(A172+加速!$L$11-T172)),0),0)+IF(金蛇,IF(COUNTIF(B172,"*千切子裂光*")&gt;0,2+加速!$K$9-(A172+加速!$L$11-T172),0),0)</f>
        <v>0</v>
      </c>
      <c r="V172">
        <f ca="1" t="shared" si="46"/>
        <v>0</v>
      </c>
      <c r="W172">
        <f ca="1" t="shared" si="38"/>
        <v>0</v>
      </c>
      <c r="X172">
        <f ca="1">INDEX(加速!$I$13:$I$21,W172+1)</f>
        <v>0</v>
      </c>
      <c r="Y172">
        <f ca="1" t="shared" si="47"/>
        <v>0.5</v>
      </c>
      <c r="Z172">
        <f ca="1" t="shared" si="43"/>
        <v>0</v>
      </c>
      <c r="AA172">
        <f ca="1">MAX(0,IFERROR(IF(COUNTIF(B172,"*叠*")&gt;0,IF(AC171&lt;3,8-A173+A172,AA171+6.875-A173+A172),AA171-A173+A172),AA171-加速!$L$11))</f>
        <v>0</v>
      </c>
      <c r="AB172" t="e">
        <f ca="1">MAX(0,IF(COUNTIF(IF(AND(配装计算器!$K$30&lt;&gt;"∞",0),INDEX(AU172:CB172,1,$AT$1),INDEX(AU172:CB172,1,$AT$1)),"*叠1*")=1,4*25-加速!$L$11,AB171-A172+A171)-IF(OR(COUNTIF(OFFSET(AT172,0,$AT$1,1,1),"*听雷*")&gt;0,AND(碧归&gt;0,COUNTIF(OFFSET(AT172,0,$AT$1,1,1),"*风来*")&gt;0)),0,1)*1.5)</f>
        <v>#VALUE!</v>
      </c>
      <c r="AC172">
        <f ca="1" t="shared" si="39"/>
        <v>0</v>
      </c>
      <c r="AD172">
        <f ca="1">IF(COUNTIF(IF(AND(配装计算器!$K$30&lt;&gt;"∞",0),INDEX(AU172:CB172,1,$AT$1),INDEX(AU173:CB173,1,$AT$1)),"*叠1*")=1,AB172*0+AE171,0)</f>
        <v>0</v>
      </c>
      <c r="AE172" t="e">
        <f ca="1">IF($AN$11&gt;0,IF(COUNTIF(B173,"*叠1*")&gt;0,50-加速!$L$11,MAX(0,AE171-(A173-A172))),0)</f>
        <v>#VALUE!</v>
      </c>
      <c r="AG172">
        <f ca="1" t="shared" si="40"/>
        <v>5</v>
      </c>
      <c r="AH172" t="s">
        <v>1825</v>
      </c>
      <c r="AI172" t="s">
        <v>2786</v>
      </c>
      <c r="AJ172">
        <f ca="1">AJ139+AJ189</f>
        <v>4</v>
      </c>
      <c r="AK172" t="s">
        <v>3108</v>
      </c>
      <c r="AU172" t="s">
        <v>2776</v>
      </c>
      <c r="AV172">
        <v>2</v>
      </c>
      <c r="AW172" t="s">
        <v>2722</v>
      </c>
      <c r="AX172">
        <v>0</v>
      </c>
      <c r="AY172" t="s">
        <v>2768</v>
      </c>
      <c r="AZ172">
        <v>2</v>
      </c>
      <c r="BA172" t="s">
        <v>2776</v>
      </c>
      <c r="BB172">
        <v>1</v>
      </c>
      <c r="BC172" t="s">
        <v>2768</v>
      </c>
      <c r="BD172">
        <v>2</v>
      </c>
      <c r="BE172" t="s">
        <v>2794</v>
      </c>
      <c r="BF172">
        <v>1</v>
      </c>
      <c r="BG172" t="s">
        <v>2768</v>
      </c>
      <c r="BH172">
        <v>1</v>
      </c>
      <c r="BI172" s="176" t="s">
        <v>2776</v>
      </c>
      <c r="BJ172">
        <v>2</v>
      </c>
      <c r="BK172" s="176" t="s">
        <v>2768</v>
      </c>
      <c r="BL172">
        <v>2</v>
      </c>
      <c r="BM172" t="s">
        <v>2776</v>
      </c>
      <c r="BN172">
        <v>2</v>
      </c>
      <c r="BO172" s="176" t="s">
        <v>2768</v>
      </c>
      <c r="BP172">
        <v>2</v>
      </c>
      <c r="BQ172" t="s">
        <v>2776</v>
      </c>
      <c r="BR172">
        <v>2</v>
      </c>
      <c r="BS172" s="176" t="s">
        <v>2794</v>
      </c>
      <c r="BT172">
        <v>2</v>
      </c>
      <c r="BU172" t="s">
        <v>2768</v>
      </c>
      <c r="BV172">
        <v>2</v>
      </c>
      <c r="BW172" s="179" t="s">
        <v>2768</v>
      </c>
      <c r="BX172" s="179">
        <v>2</v>
      </c>
      <c r="BY172" s="176" t="s">
        <v>2794</v>
      </c>
      <c r="BZ172">
        <v>2</v>
      </c>
      <c r="CA172" s="176" t="s">
        <v>2794</v>
      </c>
      <c r="CB172">
        <v>2</v>
      </c>
    </row>
    <row r="173" spans="1:80">
      <c r="A173" s="178" t="str">
        <f ca="1">IFERROR(IF(AG172&lt;5+金蛇*2,IF(COUNTIF(B172,"*轻*")&gt;0,A172+加速!$L$9,A172+加速!$L$11)+V172,""),"")</f>
        <v/>
      </c>
      <c r="B173" s="167" t="str">
        <f ca="1" t="shared" si="35"/>
        <v/>
      </c>
      <c r="C173" t="str">
        <f ca="1" t="shared" si="44"/>
        <v/>
      </c>
      <c r="D173" t="str">
        <f ca="1">IF(B173&lt;&gt;"",IF(C172&lt;=加速!$L$11*(1-E173),0,1),"")</f>
        <v/>
      </c>
      <c r="E173">
        <f ca="1" t="shared" si="41"/>
        <v>1</v>
      </c>
      <c r="G173" t="str">
        <f ca="1" t="shared" si="42"/>
        <v/>
      </c>
      <c r="H173" t="str">
        <f ca="1">IF(B173&lt;&gt;"",IF(AND(COUNTIF(B172,"*轻*莺鸣柳*")&gt;0,COUNTIF(B173,"*轻*")&lt;1),MAX(0,15+I172-(A173-A172)+COUNTIF(B172,"*平湖*")*0),IF(AND(E173=0,MAX(0,H172-(A173-A172))&lt;=加速!$H$11),0,MAX(0,H172-(A173-A172)))),"")</f>
        <v/>
      </c>
      <c r="I173" t="str">
        <f ca="1" t="shared" si="48"/>
        <v/>
      </c>
      <c r="J173" t="str">
        <f ca="1" t="shared" si="49"/>
        <v/>
      </c>
      <c r="K173" t="str">
        <f ca="1" t="shared" si="36"/>
        <v/>
      </c>
      <c r="L173">
        <f ca="1">IFERROR(IF(AND(COUNTIF(B173,"*-峰插*"),技能数据库!$M$72&gt;0),0,IF(COUNTIF(B173,"*鹤归*")&gt;0,16-加速!$L$11,MAX(0,L172-(A173-A172)))),0)</f>
        <v>0</v>
      </c>
      <c r="M173">
        <f ca="1" t="shared" si="37"/>
        <v>0</v>
      </c>
      <c r="N173">
        <f ca="1">IFERROR(IF(AND(COUNTIF(B173,"*-峰插*"),技能数据库!$M$72&gt;0),0,IF(COUNTIF(B173,"*云飞*")&gt;0,4-COUNTIF(B173,"*玉山揽云*")*4--COUNTIF(B173,"*烟流暮景*")*4-COUNTIF(B173,"*云景*")*加速!$L$11-IF(J173&gt;0,2,0),MAX(0,N172-(A173-A172)-IF(J173&gt;0,2,0)))),0)</f>
        <v>0</v>
      </c>
      <c r="O173">
        <f ca="1">IF(AND(COUNTIF(IF(AND(配装计算器!$K$30&lt;&gt;"∞",0),INDEX(AU172:CB172,1,$AT$1),INDEX(AU174:CB174,1,$AT$1)),"*云飞*")=1,COUNTIF(IF(AND(配装计算器!$K$30&lt;&gt;"∞",0),INDEX(AU172:CB172,1,$AT$1),INDEX(AU174:CB174,1,$AT$1)),"*玉山*")=0),N173,0)</f>
        <v>0</v>
      </c>
      <c r="P173">
        <f ca="1">IFERROR(IF(COUNTIF(B173,"*云栖松*")&gt;0,50-加速!$L$11,MAX(0,P172-(A173-A172))),0)</f>
        <v>0</v>
      </c>
      <c r="Q173">
        <f ca="1">IF(COUNTIF(IF(AND(配装计算器!$K$30&lt;&gt;"∞",0),INDEX(AU172:CB172,1,$AT$1),INDEX(AU174:CB174,1,$AT$1)),"*云栖松*")=1,P173,0)</f>
        <v>0</v>
      </c>
      <c r="R173">
        <f ca="1">IFERROR(IF(COUNTIF(B173,"*莺鸣柳*")&gt;0,45-加速!$L$9,MAX(0,R172-(A173-A172))),0)</f>
        <v>0</v>
      </c>
      <c r="S173">
        <f ca="1">IF(COUNTIF(IF(AND(配装计算器!$K$30&lt;&gt;"∞",0),INDEX(AU172:CB172,1,$AT$1),INDEX(AU174:CB174,1,$AT$1)),"*莺鸣柳*")=1,R173,0)</f>
        <v>0</v>
      </c>
      <c r="T173">
        <f ca="1" t="shared" si="45"/>
        <v>0</v>
      </c>
      <c r="U173">
        <f ca="1">IF(金蛇,IF(COUNTIF(B173,"*金环戴*")+COUNTIF(B173,"*吹风醒*")&gt;0,IF(A173&lt;=3,7.125-2.625-A173-加速!$L$11,7.125+加速!$K$9-(A173+加速!$L$11-T173)),0),0)+IF(金蛇,IF(COUNTIF(B173,"*千切子裂光*")&gt;0,2+加速!$K$9-(A173+加速!$L$11-T173),0),0)</f>
        <v>0</v>
      </c>
      <c r="V173">
        <f ca="1" t="shared" si="46"/>
        <v>0</v>
      </c>
      <c r="W173">
        <f ca="1" t="shared" si="38"/>
        <v>0</v>
      </c>
      <c r="X173">
        <f ca="1">INDEX(加速!$I$13:$I$21,W173+1)</f>
        <v>0</v>
      </c>
      <c r="Y173">
        <f ca="1" t="shared" si="47"/>
        <v>0.5</v>
      </c>
      <c r="Z173">
        <f ca="1" t="shared" si="43"/>
        <v>0</v>
      </c>
      <c r="AA173">
        <f ca="1">MAX(0,IFERROR(IF(COUNTIF(B173,"*叠*")&gt;0,IF(AC172&lt;3,8-A174+A173,AA172+6.875-A174+A173),AA172-A174+A173),AA172-加速!$L$11))</f>
        <v>0</v>
      </c>
      <c r="AB173" t="e">
        <f ca="1">MAX(0,IF(COUNTIF(IF(AND(配装计算器!$K$30&lt;&gt;"∞",0),INDEX(AU173:CB173,1,$AT$1),INDEX(AU173:CB173,1,$AT$1)),"*叠1*")=1,4*25-加速!$L$11,AB172-A173+A172)-IF(OR(COUNTIF(OFFSET(AT173,0,$AT$1,1,1),"*听雷*")&gt;0,AND(碧归&gt;0,COUNTIF(OFFSET(AT173,0,$AT$1,1,1),"*风来*")&gt;0)),0,1)*1.5)</f>
        <v>#VALUE!</v>
      </c>
      <c r="AC173">
        <f ca="1" t="shared" si="39"/>
        <v>0</v>
      </c>
      <c r="AD173">
        <f ca="1">IF(COUNTIF(IF(AND(配装计算器!$K$30&lt;&gt;"∞",0),INDEX(AU173:CB173,1,$AT$1),INDEX(AU174:CB174,1,$AT$1)),"*叠1*")=1,AB173*0+AE172,0)</f>
        <v>0</v>
      </c>
      <c r="AE173" t="e">
        <f ca="1">IF($AN$11&gt;0,IF(COUNTIF(B174,"*叠1*")&gt;0,50-加速!$L$11,MAX(0,AE172-(A174-A173))),0)</f>
        <v>#VALUE!</v>
      </c>
      <c r="AG173">
        <f ca="1" t="shared" si="40"/>
        <v>5</v>
      </c>
      <c r="AH173" t="s">
        <v>1825</v>
      </c>
      <c r="AI173" t="s">
        <v>2786</v>
      </c>
      <c r="AJ173">
        <f ca="1" t="shared" ref="AJ173:AJ174" si="55">AJ140+AJ190</f>
        <v>3</v>
      </c>
      <c r="AK173" t="s">
        <v>3109</v>
      </c>
      <c r="AU173" s="176" t="s">
        <v>2794</v>
      </c>
      <c r="AV173">
        <v>2</v>
      </c>
      <c r="AW173" t="s">
        <v>3009</v>
      </c>
      <c r="AX173">
        <v>2</v>
      </c>
      <c r="AY173" t="s">
        <v>2776</v>
      </c>
      <c r="AZ173">
        <v>1</v>
      </c>
      <c r="BA173" t="s">
        <v>2768</v>
      </c>
      <c r="BB173">
        <v>1</v>
      </c>
      <c r="BC173" t="s">
        <v>2776</v>
      </c>
      <c r="BD173">
        <v>1</v>
      </c>
      <c r="BE173" t="s">
        <v>2768</v>
      </c>
      <c r="BF173">
        <v>1</v>
      </c>
      <c r="BG173" t="s">
        <v>2776</v>
      </c>
      <c r="BH173">
        <v>1</v>
      </c>
      <c r="BI173" t="s">
        <v>2768</v>
      </c>
      <c r="BJ173">
        <v>2</v>
      </c>
      <c r="BK173" s="176" t="s">
        <v>2808</v>
      </c>
      <c r="BL173">
        <v>2</v>
      </c>
      <c r="BM173" t="s">
        <v>2768</v>
      </c>
      <c r="BN173">
        <v>2</v>
      </c>
      <c r="BO173" s="176" t="s">
        <v>2776</v>
      </c>
      <c r="BP173">
        <v>2</v>
      </c>
      <c r="BQ173" t="s">
        <v>2768</v>
      </c>
      <c r="BR173">
        <v>2</v>
      </c>
      <c r="BS173" t="s">
        <v>2768</v>
      </c>
      <c r="BT173">
        <v>2</v>
      </c>
      <c r="BU173" t="s">
        <v>2776</v>
      </c>
      <c r="BV173">
        <v>2</v>
      </c>
      <c r="BW173" s="188" t="s">
        <v>2768</v>
      </c>
      <c r="BX173" s="179">
        <v>2</v>
      </c>
      <c r="BY173" s="176" t="s">
        <v>2776</v>
      </c>
      <c r="BZ173">
        <v>2</v>
      </c>
      <c r="CA173" s="176" t="s">
        <v>2776</v>
      </c>
      <c r="CB173">
        <v>2</v>
      </c>
    </row>
    <row r="174" spans="1:80">
      <c r="A174" s="178" t="str">
        <f ca="1">IFERROR(IF(AG173&lt;5+金蛇*2,IF(COUNTIF(B173,"*轻*")&gt;0,A173+加速!$L$9,A173+加速!$L$11)+V173,""),"")</f>
        <v/>
      </c>
      <c r="B174" s="167" t="str">
        <f ca="1" t="shared" si="35"/>
        <v/>
      </c>
      <c r="C174" t="str">
        <f ca="1" t="shared" si="44"/>
        <v/>
      </c>
      <c r="D174" t="str">
        <f ca="1">IF(B174&lt;&gt;"",IF(C173&lt;=加速!$L$11*(1-E174),0,1),"")</f>
        <v/>
      </c>
      <c r="E174">
        <f ca="1" t="shared" si="41"/>
        <v>1</v>
      </c>
      <c r="G174" t="str">
        <f ca="1" t="shared" si="42"/>
        <v/>
      </c>
      <c r="H174" t="str">
        <f ca="1">IF(B174&lt;&gt;"",IF(AND(COUNTIF(B173,"*轻*莺鸣柳*")&gt;0,COUNTIF(B174,"*轻*")&lt;1),MAX(0,15+I173-(A174-A173)+COUNTIF(B173,"*平湖*")*0),IF(AND(E174=0,MAX(0,H173-(A174-A173))&lt;=加速!$H$11),0,MAX(0,H173-(A174-A173)))),"")</f>
        <v/>
      </c>
      <c r="I174" t="str">
        <f ca="1" t="shared" si="48"/>
        <v/>
      </c>
      <c r="J174" t="str">
        <f ca="1" t="shared" si="49"/>
        <v/>
      </c>
      <c r="K174" t="str">
        <f ca="1" t="shared" si="36"/>
        <v/>
      </c>
      <c r="L174">
        <f ca="1">IFERROR(IF(AND(COUNTIF(B174,"*-峰插*"),技能数据库!$M$72&gt;0),0,IF(COUNTIF(B174,"*鹤归*")&gt;0,16-加速!$L$11,MAX(0,L173-(A174-A173)))),0)</f>
        <v>0</v>
      </c>
      <c r="M174">
        <f ca="1" t="shared" si="37"/>
        <v>0</v>
      </c>
      <c r="N174">
        <f ca="1">IFERROR(IF(AND(COUNTIF(B174,"*-峰插*"),技能数据库!$M$72&gt;0),0,IF(COUNTIF(B174,"*云飞*")&gt;0,4-COUNTIF(B174,"*玉山揽云*")*4--COUNTIF(B174,"*烟流暮景*")*4-COUNTIF(B174,"*云景*")*加速!$L$11-IF(J174&gt;0,2,0),MAX(0,N173-(A174-A173)-IF(J174&gt;0,2,0)))),0)</f>
        <v>0</v>
      </c>
      <c r="O174">
        <f ca="1">IF(AND(COUNTIF(IF(AND(配装计算器!$K$30&lt;&gt;"∞",0),INDEX(AU173:CB173,1,$AT$1),INDEX(AU175:CB175,1,$AT$1)),"*云飞*")=1,COUNTIF(IF(AND(配装计算器!$K$30&lt;&gt;"∞",0),INDEX(AU173:CB173,1,$AT$1),INDEX(AU175:CB175,1,$AT$1)),"*玉山*")=0),N174,0)</f>
        <v>0</v>
      </c>
      <c r="P174">
        <f ca="1">IFERROR(IF(COUNTIF(B174,"*云栖松*")&gt;0,50-加速!$L$11,MAX(0,P173-(A174-A173))),0)</f>
        <v>0</v>
      </c>
      <c r="Q174">
        <f ca="1">IF(COUNTIF(IF(AND(配装计算器!$K$30&lt;&gt;"∞",0),INDEX(AU173:CB173,1,$AT$1),INDEX(AU175:CB175,1,$AT$1)),"*云栖松*")=1,P174,0)</f>
        <v>0</v>
      </c>
      <c r="R174">
        <f ca="1">IFERROR(IF(COUNTIF(B174,"*莺鸣柳*")&gt;0,45-加速!$L$9,MAX(0,R173-(A174-A173))),0)</f>
        <v>0</v>
      </c>
      <c r="S174">
        <f ca="1">IF(COUNTIF(IF(AND(配装计算器!$K$30&lt;&gt;"∞",0),INDEX(AU173:CB173,1,$AT$1),INDEX(AU175:CB175,1,$AT$1)),"*莺鸣柳*")=1,R174,0)</f>
        <v>0</v>
      </c>
      <c r="T174">
        <f ca="1" t="shared" si="45"/>
        <v>0</v>
      </c>
      <c r="U174">
        <f ca="1">IF(金蛇,IF(COUNTIF(B174,"*金环戴*")+COUNTIF(B174,"*吹风醒*")&gt;0,IF(A174&lt;=3,7.125-2.625-A174-加速!$L$11,7.125+加速!$K$9-(A174+加速!$L$11-T174)),0),0)+IF(金蛇,IF(COUNTIF(B174,"*千切子裂光*")&gt;0,2+加速!$K$9-(A174+加速!$L$11-T174),0),0)</f>
        <v>0</v>
      </c>
      <c r="V174">
        <f ca="1" t="shared" si="46"/>
        <v>0</v>
      </c>
      <c r="W174">
        <f ca="1" t="shared" si="38"/>
        <v>0</v>
      </c>
      <c r="X174">
        <f ca="1">INDEX(加速!$I$13:$I$21,W174+1)</f>
        <v>0</v>
      </c>
      <c r="Y174">
        <f ca="1" t="shared" si="47"/>
        <v>0.5</v>
      </c>
      <c r="Z174">
        <f ca="1" t="shared" si="43"/>
        <v>0</v>
      </c>
      <c r="AA174">
        <f ca="1">MAX(0,IFERROR(IF(COUNTIF(B174,"*叠*")&gt;0,IF(AC173&lt;3,8-A175+A174,AA173+6.875-A175+A174),AA173-A175+A174),AA173-加速!$L$11))</f>
        <v>0</v>
      </c>
      <c r="AB174" t="e">
        <f ca="1">MAX(0,IF(COUNTIF(IF(AND(配装计算器!$K$30&lt;&gt;"∞",0),INDEX(AU174:CB174,1,$AT$1),INDEX(AU174:CB174,1,$AT$1)),"*叠1*")=1,4*25-加速!$L$11,AB173-A174+A173)-IF(OR(COUNTIF(OFFSET(AT174,0,$AT$1,1,1),"*听雷*")&gt;0,AND(碧归&gt;0,COUNTIF(OFFSET(AT174,0,$AT$1,1,1),"*风来*")&gt;0)),0,1)*1.5)</f>
        <v>#VALUE!</v>
      </c>
      <c r="AC174">
        <f ca="1" t="shared" si="39"/>
        <v>0</v>
      </c>
      <c r="AD174">
        <f ca="1">IF(COUNTIF(IF(AND(配装计算器!$K$30&lt;&gt;"∞",0),INDEX(AU174:CB174,1,$AT$1),INDEX(AU175:CB175,1,$AT$1)),"*叠1*")=1,AB174*0+AE173,0)</f>
        <v>0</v>
      </c>
      <c r="AE174" t="e">
        <f ca="1">IF($AN$11&gt;0,IF(COUNTIF(B175,"*叠1*")&gt;0,50-加速!$L$11,MAX(0,AE173-(A175-A174))),0)</f>
        <v>#VALUE!</v>
      </c>
      <c r="AG174">
        <f ca="1" t="shared" si="40"/>
        <v>5</v>
      </c>
      <c r="AH174" t="s">
        <v>1825</v>
      </c>
      <c r="AI174" t="s">
        <v>2786</v>
      </c>
      <c r="AJ174">
        <f ca="1" t="shared" si="55"/>
        <v>36</v>
      </c>
      <c r="AK174" t="s">
        <v>3110</v>
      </c>
      <c r="AU174" s="176" t="s">
        <v>2768</v>
      </c>
      <c r="AV174">
        <v>2</v>
      </c>
      <c r="AW174" t="s">
        <v>2776</v>
      </c>
      <c r="AX174">
        <v>2</v>
      </c>
      <c r="AY174" t="s">
        <v>2768</v>
      </c>
      <c r="AZ174">
        <v>1</v>
      </c>
      <c r="BA174" t="s">
        <v>2768</v>
      </c>
      <c r="BB174">
        <v>0</v>
      </c>
      <c r="BC174" t="s">
        <v>2768</v>
      </c>
      <c r="BD174">
        <v>1</v>
      </c>
      <c r="BE174" t="s">
        <v>2776</v>
      </c>
      <c r="BF174">
        <v>1</v>
      </c>
      <c r="BG174" t="s">
        <v>2768</v>
      </c>
      <c r="BH174">
        <v>0</v>
      </c>
      <c r="BI174" s="176" t="s">
        <v>2768</v>
      </c>
      <c r="BJ174">
        <v>1</v>
      </c>
      <c r="BK174" t="s">
        <v>2789</v>
      </c>
      <c r="BL174">
        <v>2</v>
      </c>
      <c r="BM174" t="str">
        <f>IF(山重水复,"风来吴山","夕照雷峰")</f>
        <v>夕照雷峰</v>
      </c>
      <c r="BN174">
        <v>2</v>
      </c>
      <c r="BO174" s="176" t="s">
        <v>2768</v>
      </c>
      <c r="BP174">
        <v>2</v>
      </c>
      <c r="BQ174" t="s">
        <v>2776</v>
      </c>
      <c r="BR174">
        <v>1</v>
      </c>
      <c r="BS174" t="s">
        <v>2776</v>
      </c>
      <c r="BT174">
        <v>2</v>
      </c>
      <c r="BU174" t="s">
        <v>2768</v>
      </c>
      <c r="BV174">
        <v>1</v>
      </c>
      <c r="BW174" s="182" t="s">
        <v>2794</v>
      </c>
      <c r="BX174" s="179">
        <v>2</v>
      </c>
      <c r="BY174" s="176" t="s">
        <v>2768</v>
      </c>
      <c r="BZ174">
        <v>2</v>
      </c>
      <c r="CA174" s="176" t="s">
        <v>2768</v>
      </c>
      <c r="CB174">
        <v>2</v>
      </c>
    </row>
    <row r="175" spans="1:80">
      <c r="A175" s="178" t="str">
        <f ca="1">IFERROR(IF(AG174&lt;5+金蛇*2,IF(COUNTIF(B174,"*轻*")&gt;0,A174+加速!$L$9,A174+加速!$L$11)+V174,""),"")</f>
        <v/>
      </c>
      <c r="B175" s="167" t="str">
        <f ca="1" t="shared" si="35"/>
        <v/>
      </c>
      <c r="C175" t="str">
        <f ca="1" t="shared" si="44"/>
        <v/>
      </c>
      <c r="D175" t="str">
        <f ca="1">IF(B175&lt;&gt;"",IF(C174&lt;=加速!$L$11*(1-E175),0,1),"")</f>
        <v/>
      </c>
      <c r="E175">
        <f ca="1" t="shared" si="41"/>
        <v>1</v>
      </c>
      <c r="G175" t="str">
        <f ca="1" t="shared" si="42"/>
        <v/>
      </c>
      <c r="H175" t="str">
        <f ca="1">IF(B175&lt;&gt;"",IF(AND(COUNTIF(B174,"*轻*莺鸣柳*")&gt;0,COUNTIF(B175,"*轻*")&lt;1),MAX(0,15+I174-(A175-A174)+COUNTIF(B174,"*平湖*")*0),IF(AND(E175=0,MAX(0,H174-(A175-A174))&lt;=加速!$H$11),0,MAX(0,H174-(A175-A174)))),"")</f>
        <v/>
      </c>
      <c r="I175" t="str">
        <f ca="1" t="shared" si="48"/>
        <v/>
      </c>
      <c r="J175" t="str">
        <f ca="1" t="shared" si="49"/>
        <v/>
      </c>
      <c r="K175" t="str">
        <f ca="1" t="shared" si="36"/>
        <v/>
      </c>
      <c r="L175">
        <f ca="1">IFERROR(IF(AND(COUNTIF(B175,"*-峰插*"),技能数据库!$M$72&gt;0),0,IF(COUNTIF(B175,"*鹤归*")&gt;0,16-加速!$L$11,MAX(0,L174-(A175-A174)))),0)</f>
        <v>0</v>
      </c>
      <c r="M175">
        <f ca="1" t="shared" si="37"/>
        <v>0</v>
      </c>
      <c r="N175">
        <f ca="1">IFERROR(IF(AND(COUNTIF(B175,"*-峰插*"),技能数据库!$M$72&gt;0),0,IF(COUNTIF(B175,"*云飞*")&gt;0,4-COUNTIF(B175,"*玉山揽云*")*4--COUNTIF(B175,"*烟流暮景*")*4-COUNTIF(B175,"*云景*")*加速!$L$11-IF(J175&gt;0,2,0),MAX(0,N174-(A175-A174)-IF(J175&gt;0,2,0)))),0)</f>
        <v>0</v>
      </c>
      <c r="O175">
        <f ca="1">IF(AND(COUNTIF(IF(AND(配装计算器!$K$30&lt;&gt;"∞",0),INDEX(AU174:CB174,1,$AT$1),INDEX(AU176:CB176,1,$AT$1)),"*云飞*")=1,COUNTIF(IF(AND(配装计算器!$K$30&lt;&gt;"∞",0),INDEX(AU174:CB174,1,$AT$1),INDEX(AU176:CB176,1,$AT$1)),"*玉山*")=0),N175,0)</f>
        <v>0</v>
      </c>
      <c r="P175">
        <f ca="1">IFERROR(IF(COUNTIF(B175,"*云栖松*")&gt;0,50-加速!$L$11,MAX(0,P174-(A175-A174))),0)</f>
        <v>0</v>
      </c>
      <c r="Q175">
        <f ca="1">IF(COUNTIF(IF(AND(配装计算器!$K$30&lt;&gt;"∞",0),INDEX(AU174:CB174,1,$AT$1),INDEX(AU176:CB176,1,$AT$1)),"*云栖松*")=1,P175,0)</f>
        <v>0</v>
      </c>
      <c r="R175">
        <f ca="1">IFERROR(IF(COUNTIF(B175,"*莺鸣柳*")&gt;0,45-加速!$L$9,MAX(0,R174-(A175-A174))),0)</f>
        <v>0</v>
      </c>
      <c r="S175">
        <f ca="1">IF(COUNTIF(IF(AND(配装计算器!$K$30&lt;&gt;"∞",0),INDEX(AU174:CB174,1,$AT$1),INDEX(AU176:CB176,1,$AT$1)),"*莺鸣柳*")=1,R175,0)</f>
        <v>0</v>
      </c>
      <c r="T175">
        <f ca="1" t="shared" si="45"/>
        <v>0</v>
      </c>
      <c r="U175">
        <f ca="1">IF(金蛇,IF(COUNTIF(B175,"*金环戴*")+COUNTIF(B175,"*吹风醒*")&gt;0,IF(A175&lt;=3,7.125-2.625-A175-加速!$L$11,7.125+加速!$K$9-(A175+加速!$L$11-T175)),0),0)+IF(金蛇,IF(COUNTIF(B175,"*千切子裂光*")&gt;0,2+加速!$K$9-(A175+加速!$L$11-T175),0),0)</f>
        <v>0</v>
      </c>
      <c r="V175">
        <f ca="1" t="shared" si="46"/>
        <v>0</v>
      </c>
      <c r="W175">
        <f ca="1" t="shared" si="38"/>
        <v>0</v>
      </c>
      <c r="X175">
        <f ca="1">INDEX(加速!$I$13:$I$21,W175+1)</f>
        <v>0</v>
      </c>
      <c r="Y175">
        <f ca="1" t="shared" si="47"/>
        <v>0.5</v>
      </c>
      <c r="Z175">
        <f ca="1" t="shared" si="43"/>
        <v>0</v>
      </c>
      <c r="AA175">
        <f ca="1">MAX(0,IFERROR(IF(COUNTIF(B175,"*叠*")&gt;0,IF(AC174&lt;3,8-A176+A175,AA174+6.875-A176+A175),AA174-A176+A175),AA174-加速!$L$11))</f>
        <v>0</v>
      </c>
      <c r="AB175" t="e">
        <f ca="1">MAX(0,IF(COUNTIF(IF(AND(配装计算器!$K$30&lt;&gt;"∞",0),INDEX(AU175:CB175,1,$AT$1),INDEX(AU175:CB175,1,$AT$1)),"*叠1*")=1,4*25-加速!$L$11,AB174-A175+A174)-IF(OR(COUNTIF(OFFSET(AT175,0,$AT$1,1,1),"*听雷*")&gt;0,AND(碧归&gt;0,COUNTIF(OFFSET(AT175,0,$AT$1,1,1),"*风来*")&gt;0)),0,1)*1.5)</f>
        <v>#VALUE!</v>
      </c>
      <c r="AC175">
        <f ca="1" t="shared" si="39"/>
        <v>0</v>
      </c>
      <c r="AD175">
        <f ca="1">IF(COUNTIF(IF(AND(配装计算器!$K$30&lt;&gt;"∞",0),INDEX(AU175:CB175,1,$AT$1),INDEX(AU176:CB176,1,$AT$1)),"*叠1*")=1,AB175*0+AE174,0)</f>
        <v>0</v>
      </c>
      <c r="AE175" t="e">
        <f ca="1">IF($AN$11&gt;0,IF(COUNTIF(B176,"*叠1*")&gt;0,50-加速!$L$11,MAX(0,AE174-(A176-A175))),0)</f>
        <v>#VALUE!</v>
      </c>
      <c r="AG175">
        <f ca="1" t="shared" si="40"/>
        <v>5</v>
      </c>
      <c r="AH175" t="s">
        <v>1825</v>
      </c>
      <c r="AI175" s="161" t="s">
        <v>2859</v>
      </c>
      <c r="AJ175">
        <f ca="1">循环比*COUNTIFS($B$3:$B$515,"*皇*"&amp;AI175&amp;"*",$D$3:$D$515,"&gt;0",$AC$3:$AC$515,1)/3</f>
        <v>0</v>
      </c>
      <c r="AK175" t="s">
        <v>3108</v>
      </c>
      <c r="AU175" s="176" t="s">
        <v>2776</v>
      </c>
      <c r="AV175">
        <v>2</v>
      </c>
      <c r="AW175" t="s">
        <v>2768</v>
      </c>
      <c r="AX175">
        <v>2</v>
      </c>
      <c r="AY175" t="s">
        <v>2768</v>
      </c>
      <c r="AZ175">
        <v>0</v>
      </c>
      <c r="BA175" t="s">
        <v>2722</v>
      </c>
      <c r="BB175">
        <v>0</v>
      </c>
      <c r="BC175" t="s">
        <v>2794</v>
      </c>
      <c r="BD175">
        <v>2</v>
      </c>
      <c r="BE175" t="s">
        <v>2768</v>
      </c>
      <c r="BF175">
        <v>0</v>
      </c>
      <c r="BG175" t="s">
        <v>2768</v>
      </c>
      <c r="BH175">
        <v>0</v>
      </c>
      <c r="BI175" s="176" t="s">
        <v>2768</v>
      </c>
      <c r="BJ175">
        <v>1</v>
      </c>
      <c r="BK175" t="s">
        <v>2776</v>
      </c>
      <c r="BL175">
        <v>2</v>
      </c>
      <c r="BM175" s="176" t="s">
        <v>2794</v>
      </c>
      <c r="BN175">
        <v>2</v>
      </c>
      <c r="BO175" s="176" t="s">
        <v>2808</v>
      </c>
      <c r="BP175">
        <v>2</v>
      </c>
      <c r="BQ175" t="s">
        <v>2768</v>
      </c>
      <c r="BR175">
        <v>1</v>
      </c>
      <c r="BS175" t="s">
        <v>2768</v>
      </c>
      <c r="BT175">
        <v>2</v>
      </c>
      <c r="BU175" t="s">
        <v>2776</v>
      </c>
      <c r="BV175">
        <v>1</v>
      </c>
      <c r="BW175" s="182" t="s">
        <v>2776</v>
      </c>
      <c r="BX175" s="179">
        <v>2</v>
      </c>
      <c r="BY175" s="176" t="s">
        <v>2776</v>
      </c>
      <c r="BZ175">
        <v>2</v>
      </c>
      <c r="CA175" s="176" t="s">
        <v>2776</v>
      </c>
      <c r="CB175">
        <v>2</v>
      </c>
    </row>
    <row r="176" spans="1:80">
      <c r="A176" s="178" t="str">
        <f ca="1">IFERROR(IF(AG175&lt;5+金蛇*2,IF(COUNTIF(B175,"*轻*")&gt;0,A175+加速!$L$9,A175+加速!$L$11)+V175,""),"")</f>
        <v/>
      </c>
      <c r="B176" s="167" t="str">
        <f ca="1" t="shared" si="35"/>
        <v/>
      </c>
      <c r="C176" t="str">
        <f ca="1" t="shared" si="44"/>
        <v/>
      </c>
      <c r="D176" t="str">
        <f ca="1">IF(B176&lt;&gt;"",IF(C175&lt;=加速!$L$11*(1-E176),0,1),"")</f>
        <v/>
      </c>
      <c r="E176">
        <f ca="1" t="shared" si="41"/>
        <v>1</v>
      </c>
      <c r="G176" t="str">
        <f ca="1" t="shared" si="42"/>
        <v/>
      </c>
      <c r="H176" t="str">
        <f ca="1">IF(B176&lt;&gt;"",IF(AND(COUNTIF(B175,"*轻*莺鸣柳*")&gt;0,COUNTIF(B176,"*轻*")&lt;1),MAX(0,15+I175-(A176-A175)+COUNTIF(B175,"*平湖*")*0),IF(AND(E176=0,MAX(0,H175-(A176-A175))&lt;=加速!$H$11),0,MAX(0,H175-(A176-A175)))),"")</f>
        <v/>
      </c>
      <c r="I176" t="str">
        <f ca="1" t="shared" si="48"/>
        <v/>
      </c>
      <c r="J176" t="str">
        <f ca="1" t="shared" si="49"/>
        <v/>
      </c>
      <c r="K176" t="str">
        <f ca="1" t="shared" si="36"/>
        <v/>
      </c>
      <c r="L176">
        <f ca="1">IFERROR(IF(AND(COUNTIF(B176,"*-峰插*"),技能数据库!$M$72&gt;0),0,IF(COUNTIF(B176,"*鹤归*")&gt;0,16-加速!$L$11,MAX(0,L175-(A176-A175)))),0)</f>
        <v>0</v>
      </c>
      <c r="M176">
        <f ca="1" t="shared" si="37"/>
        <v>0</v>
      </c>
      <c r="N176">
        <f ca="1">IFERROR(IF(AND(COUNTIF(B176,"*-峰插*"),技能数据库!$M$72&gt;0),0,IF(COUNTIF(B176,"*云飞*")&gt;0,4-COUNTIF(B176,"*玉山揽云*")*4--COUNTIF(B176,"*烟流暮景*")*4-COUNTIF(B176,"*云景*")*加速!$L$11-IF(J176&gt;0,2,0),MAX(0,N175-(A176-A175)-IF(J176&gt;0,2,0)))),0)</f>
        <v>0</v>
      </c>
      <c r="O176">
        <f ca="1">IF(AND(COUNTIF(IF(AND(配装计算器!$K$30&lt;&gt;"∞",0),INDEX(AU175:CB175,1,$AT$1),INDEX(AU177:CB177,1,$AT$1)),"*云飞*")=1,COUNTIF(IF(AND(配装计算器!$K$30&lt;&gt;"∞",0),INDEX(AU175:CB175,1,$AT$1),INDEX(AU177:CB177,1,$AT$1)),"*玉山*")=0),N176,0)</f>
        <v>0</v>
      </c>
      <c r="P176">
        <f ca="1">IFERROR(IF(COUNTIF(B176,"*云栖松*")&gt;0,50-加速!$L$11,MAX(0,P175-(A176-A175))),0)</f>
        <v>0</v>
      </c>
      <c r="Q176">
        <f ca="1">IF(COUNTIF(IF(AND(配装计算器!$K$30&lt;&gt;"∞",0),INDEX(AU175:CB175,1,$AT$1),INDEX(AU177:CB177,1,$AT$1)),"*云栖松*")=1,P176,0)</f>
        <v>0</v>
      </c>
      <c r="R176">
        <f ca="1">IFERROR(IF(COUNTIF(B176,"*莺鸣柳*")&gt;0,45-加速!$L$9,MAX(0,R175-(A176-A175))),0)</f>
        <v>0</v>
      </c>
      <c r="S176">
        <f ca="1">IF(COUNTIF(IF(AND(配装计算器!$K$30&lt;&gt;"∞",0),INDEX(AU175:CB175,1,$AT$1),INDEX(AU177:CB177,1,$AT$1)),"*莺鸣柳*")=1,R176,0)</f>
        <v>0</v>
      </c>
      <c r="T176">
        <f ca="1" t="shared" si="45"/>
        <v>0</v>
      </c>
      <c r="U176">
        <f ca="1">IF(金蛇,IF(COUNTIF(B176,"*金环戴*")+COUNTIF(B176,"*吹风醒*")&gt;0,IF(A176&lt;=3,7.125-2.625-A176-加速!$L$11,7.125+加速!$K$9-(A176+加速!$L$11-T176)),0),0)+IF(金蛇,IF(COUNTIF(B176,"*千切子裂光*")&gt;0,2+加速!$K$9-(A176+加速!$L$11-T176),0),0)</f>
        <v>0</v>
      </c>
      <c r="V176">
        <f ca="1" t="shared" si="46"/>
        <v>0</v>
      </c>
      <c r="W176">
        <f ca="1" t="shared" si="38"/>
        <v>0</v>
      </c>
      <c r="X176">
        <f ca="1">INDEX(加速!$I$13:$I$21,W176+1)</f>
        <v>0</v>
      </c>
      <c r="Y176">
        <f ca="1" t="shared" si="47"/>
        <v>0.5</v>
      </c>
      <c r="Z176">
        <f ca="1" t="shared" si="43"/>
        <v>0</v>
      </c>
      <c r="AA176">
        <f ca="1">MAX(0,IFERROR(IF(COUNTIF(B176,"*叠*")&gt;0,IF(AC175&lt;3,8-A177+A176,AA175+6.875-A177+A176),AA175-A177+A176),AA175-加速!$L$11))</f>
        <v>0</v>
      </c>
      <c r="AB176" t="e">
        <f ca="1">MAX(0,IF(COUNTIF(IF(AND(配装计算器!$K$30&lt;&gt;"∞",0),INDEX(AU176:CB176,1,$AT$1),INDEX(AU176:CB176,1,$AT$1)),"*叠1*")=1,4*25-加速!$L$11,AB175-A176+A175)-IF(OR(COUNTIF(OFFSET(AT176,0,$AT$1,1,1),"*听雷*")&gt;0,AND(碧归&gt;0,COUNTIF(OFFSET(AT176,0,$AT$1,1,1),"*风来*")&gt;0)),0,1)*1.5)</f>
        <v>#VALUE!</v>
      </c>
      <c r="AC176">
        <f ca="1" t="shared" si="39"/>
        <v>0</v>
      </c>
      <c r="AD176">
        <f ca="1">IF(COUNTIF(IF(AND(配装计算器!$K$30&lt;&gt;"∞",0),INDEX(AU176:CB176,1,$AT$1),INDEX(AU177:CB177,1,$AT$1)),"*叠1*")=1,AB176*0+AE175,0)</f>
        <v>0</v>
      </c>
      <c r="AE176" t="e">
        <f ca="1">IF($AN$11&gt;0,IF(COUNTIF(B177,"*叠1*")&gt;0,50-加速!$L$11,MAX(0,AE175-(A177-A176))),0)</f>
        <v>#VALUE!</v>
      </c>
      <c r="AG176">
        <f ca="1" t="shared" si="40"/>
        <v>5</v>
      </c>
      <c r="AH176" t="s">
        <v>1825</v>
      </c>
      <c r="AI176" s="161" t="s">
        <v>2859</v>
      </c>
      <c r="AJ176">
        <f ca="1">循环比*COUNTIFS($B$3:$B$515,"*皇*"&amp;AI176&amp;"*",$D$3:$D$515,"&gt;0",$AC$3:$AC$515,1)*2/3</f>
        <v>0</v>
      </c>
      <c r="AK176" t="s">
        <v>3108</v>
      </c>
      <c r="AU176" s="176" t="s">
        <v>2768</v>
      </c>
      <c r="AV176">
        <v>2</v>
      </c>
      <c r="AW176" t="str">
        <f>IF(山重水复,"风来吴山","夕照雷峰")</f>
        <v>夕照雷峰</v>
      </c>
      <c r="AX176">
        <v>2</v>
      </c>
      <c r="AY176" t="s">
        <v>2722</v>
      </c>
      <c r="AZ176">
        <v>0</v>
      </c>
      <c r="BA176" t="s">
        <v>2776</v>
      </c>
      <c r="BB176">
        <v>2</v>
      </c>
      <c r="BC176" t="s">
        <v>2768</v>
      </c>
      <c r="BD176">
        <v>2</v>
      </c>
      <c r="BE176" t="s">
        <v>3011</v>
      </c>
      <c r="BF176">
        <v>2</v>
      </c>
      <c r="BG176" t="s">
        <v>2776</v>
      </c>
      <c r="BH176">
        <v>0</v>
      </c>
      <c r="BI176" s="176" t="s">
        <v>2776</v>
      </c>
      <c r="BJ176">
        <v>0</v>
      </c>
      <c r="BK176" s="180" t="s">
        <v>3036</v>
      </c>
      <c r="BL176">
        <v>2</v>
      </c>
      <c r="BM176" s="176" t="s">
        <v>2776</v>
      </c>
      <c r="BN176">
        <v>2</v>
      </c>
      <c r="BO176" t="s">
        <v>2768</v>
      </c>
      <c r="BP176">
        <v>2</v>
      </c>
      <c r="BQ176" t="s">
        <v>2776</v>
      </c>
      <c r="BR176">
        <v>1</v>
      </c>
      <c r="BS176" t="s">
        <v>2776</v>
      </c>
      <c r="BT176">
        <v>1</v>
      </c>
      <c r="BU176" t="s">
        <v>2768</v>
      </c>
      <c r="BV176">
        <v>0</v>
      </c>
      <c r="BW176" s="182" t="s">
        <v>2768</v>
      </c>
      <c r="BX176" s="179">
        <v>2</v>
      </c>
      <c r="BY176" s="176" t="s">
        <v>2768</v>
      </c>
      <c r="BZ176">
        <v>2</v>
      </c>
      <c r="CA176" s="176" t="s">
        <v>2768</v>
      </c>
      <c r="CB176">
        <v>2</v>
      </c>
    </row>
    <row r="177" spans="1:80">
      <c r="A177" s="178" t="str">
        <f ca="1">IFERROR(IF(AG176&lt;5+金蛇*2,IF(COUNTIF(B176,"*轻*")&gt;0,A176+加速!$L$9,A176+加速!$L$11)+V176,""),"")</f>
        <v/>
      </c>
      <c r="B177" s="167" t="str">
        <f ca="1" t="shared" si="35"/>
        <v/>
      </c>
      <c r="C177" t="str">
        <f ca="1" t="shared" si="44"/>
        <v/>
      </c>
      <c r="D177" t="str">
        <f ca="1">IF(B177&lt;&gt;"",IF(C176&lt;=加速!$L$11*(1-E177),0,1),"")</f>
        <v/>
      </c>
      <c r="E177">
        <f ca="1" t="shared" si="41"/>
        <v>1</v>
      </c>
      <c r="G177" t="str">
        <f ca="1" t="shared" si="42"/>
        <v/>
      </c>
      <c r="H177" t="str">
        <f ca="1">IF(B177&lt;&gt;"",IF(AND(COUNTIF(B176,"*轻*莺鸣柳*")&gt;0,COUNTIF(B177,"*轻*")&lt;1),MAX(0,15+I176-(A177-A176)+COUNTIF(B176,"*平湖*")*0),IF(AND(E177=0,MAX(0,H176-(A177-A176))&lt;=加速!$H$11),0,MAX(0,H176-(A177-A176)))),"")</f>
        <v/>
      </c>
      <c r="I177" t="str">
        <f ca="1" t="shared" si="48"/>
        <v/>
      </c>
      <c r="J177" t="str">
        <f ca="1" t="shared" si="49"/>
        <v/>
      </c>
      <c r="K177" t="str">
        <f ca="1" t="shared" si="36"/>
        <v/>
      </c>
      <c r="L177">
        <f ca="1">IFERROR(IF(AND(COUNTIF(B177,"*-峰插*"),技能数据库!$M$72&gt;0),0,IF(COUNTIF(B177,"*鹤归*")&gt;0,16-加速!$L$11,MAX(0,L176-(A177-A176)))),0)</f>
        <v>0</v>
      </c>
      <c r="M177">
        <f ca="1" t="shared" si="37"/>
        <v>0</v>
      </c>
      <c r="N177">
        <f ca="1">IFERROR(IF(AND(COUNTIF(B177,"*-峰插*"),技能数据库!$M$72&gt;0),0,IF(COUNTIF(B177,"*云飞*")&gt;0,4-COUNTIF(B177,"*玉山揽云*")*4--COUNTIF(B177,"*烟流暮景*")*4-COUNTIF(B177,"*云景*")*加速!$L$11-IF(J177&gt;0,2,0),MAX(0,N176-(A177-A176)-IF(J177&gt;0,2,0)))),0)</f>
        <v>0</v>
      </c>
      <c r="O177">
        <f ca="1">IF(AND(COUNTIF(IF(AND(配装计算器!$K$30&lt;&gt;"∞",0),INDEX(AU176:CB176,1,$AT$1),INDEX(AU178:CB178,1,$AT$1)),"*云飞*")=1,COUNTIF(IF(AND(配装计算器!$K$30&lt;&gt;"∞",0),INDEX(AU176:CB176,1,$AT$1),INDEX(AU178:CB178,1,$AT$1)),"*玉山*")=0),N177,0)</f>
        <v>0</v>
      </c>
      <c r="P177">
        <f ca="1">IFERROR(IF(COUNTIF(B177,"*云栖松*")&gt;0,50-加速!$L$11,MAX(0,P176-(A177-A176))),0)</f>
        <v>0</v>
      </c>
      <c r="Q177">
        <f ca="1">IF(COUNTIF(IF(AND(配装计算器!$K$30&lt;&gt;"∞",0),INDEX(AU176:CB176,1,$AT$1),INDEX(AU178:CB178,1,$AT$1)),"*云栖松*")=1,P177,0)</f>
        <v>0</v>
      </c>
      <c r="R177">
        <f ca="1">IFERROR(IF(COUNTIF(B177,"*莺鸣柳*")&gt;0,45-加速!$L$9,MAX(0,R176-(A177-A176))),0)</f>
        <v>0</v>
      </c>
      <c r="S177">
        <f ca="1">IF(COUNTIF(IF(AND(配装计算器!$K$30&lt;&gt;"∞",0),INDEX(AU176:CB176,1,$AT$1),INDEX(AU178:CB178,1,$AT$1)),"*莺鸣柳*")=1,R177,0)</f>
        <v>0</v>
      </c>
      <c r="T177">
        <f ca="1" t="shared" si="45"/>
        <v>0</v>
      </c>
      <c r="U177">
        <f ca="1">IF(金蛇,IF(COUNTIF(B177,"*金环戴*")+COUNTIF(B177,"*吹风醒*")&gt;0,IF(A177&lt;=3,7.125-2.625-A177-加速!$L$11,7.125+加速!$K$9-(A177+加速!$L$11-T177)),0),0)+IF(金蛇,IF(COUNTIF(B177,"*千切子裂光*")&gt;0,2+加速!$K$9-(A177+加速!$L$11-T177),0),0)</f>
        <v>0</v>
      </c>
      <c r="V177">
        <f ca="1" t="shared" si="46"/>
        <v>0</v>
      </c>
      <c r="W177">
        <f ca="1" t="shared" si="38"/>
        <v>0</v>
      </c>
      <c r="X177">
        <f ca="1">INDEX(加速!$I$13:$I$21,W177+1)</f>
        <v>0</v>
      </c>
      <c r="Y177">
        <f ca="1" t="shared" si="47"/>
        <v>0.5</v>
      </c>
      <c r="Z177">
        <f ca="1" t="shared" si="43"/>
        <v>0</v>
      </c>
      <c r="AA177">
        <f ca="1">MAX(0,IFERROR(IF(COUNTIF(B177,"*叠*")&gt;0,IF(AC176&lt;3,8-A178+A177,AA176+6.875-A178+A177),AA176-A178+A177),AA176-加速!$L$11))</f>
        <v>0</v>
      </c>
      <c r="AB177" t="e">
        <f ca="1">MAX(0,IF(COUNTIF(IF(AND(配装计算器!$K$30&lt;&gt;"∞",0),INDEX(AU177:CB177,1,$AT$1),INDEX(AU177:CB177,1,$AT$1)),"*叠1*")=1,4*25-加速!$L$11,AB176-A177+A176)-IF(OR(COUNTIF(OFFSET(AT177,0,$AT$1,1,1),"*听雷*")&gt;0,AND(碧归&gt;0,COUNTIF(OFFSET(AT177,0,$AT$1,1,1),"*风来*")&gt;0)),0,1)*1.5)</f>
        <v>#VALUE!</v>
      </c>
      <c r="AC177">
        <f ca="1" t="shared" si="39"/>
        <v>0</v>
      </c>
      <c r="AD177">
        <f ca="1">IF(COUNTIF(IF(AND(配装计算器!$K$30&lt;&gt;"∞",0),INDEX(AU177:CB177,1,$AT$1),INDEX(AU178:CB178,1,$AT$1)),"*叠1*")=1,AB177*0+AE176,0)</f>
        <v>0</v>
      </c>
      <c r="AE177" t="e">
        <f ca="1">IF($AN$11&gt;0,IF(COUNTIF(B178,"*叠1*")&gt;0,50-加速!$L$11,MAX(0,AE176-(A178-A177))),0)</f>
        <v>#VALUE!</v>
      </c>
      <c r="AG177">
        <f ca="1" t="shared" si="40"/>
        <v>5</v>
      </c>
      <c r="AH177" t="s">
        <v>1825</v>
      </c>
      <c r="AI177" s="161" t="s">
        <v>2861</v>
      </c>
      <c r="AJ177">
        <f ca="1">SUM(AJ175:AJ176)</f>
        <v>0</v>
      </c>
      <c r="AK177" t="s">
        <v>3108</v>
      </c>
      <c r="AU177" s="176" t="s">
        <v>2776</v>
      </c>
      <c r="AV177">
        <v>2</v>
      </c>
      <c r="AW177" s="176" t="s">
        <v>2794</v>
      </c>
      <c r="AX177">
        <v>2</v>
      </c>
      <c r="AY177" t="s">
        <v>2776</v>
      </c>
      <c r="AZ177">
        <v>2</v>
      </c>
      <c r="BA177" t="s">
        <v>2768</v>
      </c>
      <c r="BB177">
        <v>2</v>
      </c>
      <c r="BC177" t="s">
        <v>2776</v>
      </c>
      <c r="BD177">
        <v>2</v>
      </c>
      <c r="BE177" t="s">
        <v>2768</v>
      </c>
      <c r="BF177">
        <v>2</v>
      </c>
      <c r="BG177" t="s">
        <v>3067</v>
      </c>
      <c r="BH177">
        <v>0</v>
      </c>
      <c r="BI177" t="s">
        <v>2794</v>
      </c>
      <c r="BJ177">
        <v>0</v>
      </c>
      <c r="BK177" t="s">
        <v>3026</v>
      </c>
      <c r="BL177">
        <v>2</v>
      </c>
      <c r="BM177" s="176" t="s">
        <v>2768</v>
      </c>
      <c r="BN177">
        <v>2</v>
      </c>
      <c r="BO177" t="s">
        <v>2776</v>
      </c>
      <c r="BP177">
        <v>2</v>
      </c>
      <c r="BQ177" t="s">
        <v>2768</v>
      </c>
      <c r="BR177">
        <v>0</v>
      </c>
      <c r="BS177" t="s">
        <v>2768</v>
      </c>
      <c r="BT177">
        <v>1</v>
      </c>
      <c r="BU177" t="s">
        <v>2768</v>
      </c>
      <c r="BV177">
        <v>0</v>
      </c>
      <c r="BW177" s="182" t="s">
        <v>2776</v>
      </c>
      <c r="BX177" s="179">
        <v>2</v>
      </c>
      <c r="BY177" s="176" t="s">
        <v>2808</v>
      </c>
      <c r="BZ177">
        <v>2</v>
      </c>
      <c r="CA177" s="176" t="s">
        <v>2808</v>
      </c>
      <c r="CB177">
        <v>2</v>
      </c>
    </row>
    <row r="178" spans="1:80">
      <c r="A178" s="178" t="str">
        <f ca="1">IFERROR(IF(AG177&lt;5+金蛇*2,IF(COUNTIF(B177,"*轻*")&gt;0,A177+加速!$L$9,A177+加速!$L$11)+V177,""),"")</f>
        <v/>
      </c>
      <c r="B178" s="167" t="str">
        <f ca="1" t="shared" si="35"/>
        <v/>
      </c>
      <c r="C178" t="str">
        <f ca="1" t="shared" si="44"/>
        <v/>
      </c>
      <c r="D178" t="str">
        <f ca="1">IF(B178&lt;&gt;"",IF(C177&lt;=加速!$L$11*(1-E178),0,1),"")</f>
        <v/>
      </c>
      <c r="E178">
        <f ca="1" t="shared" si="41"/>
        <v>1</v>
      </c>
      <c r="G178" t="str">
        <f ca="1" t="shared" si="42"/>
        <v/>
      </c>
      <c r="H178" t="str">
        <f ca="1">IF(B178&lt;&gt;"",IF(AND(COUNTIF(B177,"*轻*莺鸣柳*")&gt;0,COUNTIF(B178,"*轻*")&lt;1),MAX(0,15+I177-(A178-A177)+COUNTIF(B177,"*平湖*")*0),IF(AND(E178=0,MAX(0,H177-(A178-A177))&lt;=加速!$H$11),0,MAX(0,H177-(A178-A177)))),"")</f>
        <v/>
      </c>
      <c r="I178" t="str">
        <f ca="1" t="shared" si="48"/>
        <v/>
      </c>
      <c r="J178" t="str">
        <f ca="1" t="shared" si="49"/>
        <v/>
      </c>
      <c r="K178" t="str">
        <f ca="1" t="shared" si="36"/>
        <v/>
      </c>
      <c r="L178">
        <f ca="1">IFERROR(IF(AND(COUNTIF(B178,"*-峰插*"),技能数据库!$M$72&gt;0),0,IF(COUNTIF(B178,"*鹤归*")&gt;0,16-加速!$L$11,MAX(0,L177-(A178-A177)))),0)</f>
        <v>0</v>
      </c>
      <c r="M178">
        <f ca="1" t="shared" si="37"/>
        <v>0</v>
      </c>
      <c r="N178">
        <f ca="1">IFERROR(IF(AND(COUNTIF(B178,"*-峰插*"),技能数据库!$M$72&gt;0),0,IF(COUNTIF(B178,"*云飞*")&gt;0,4-COUNTIF(B178,"*玉山揽云*")*4--COUNTIF(B178,"*烟流暮景*")*4-COUNTIF(B178,"*云景*")*加速!$L$11-IF(J178&gt;0,2,0),MAX(0,N177-(A178-A177)-IF(J178&gt;0,2,0)))),0)</f>
        <v>0</v>
      </c>
      <c r="O178">
        <f ca="1">IF(AND(COUNTIF(IF(AND(配装计算器!$K$30&lt;&gt;"∞",0),INDEX(AU177:CB177,1,$AT$1),INDEX(AU179:CB179,1,$AT$1)),"*云飞*")=1,COUNTIF(IF(AND(配装计算器!$K$30&lt;&gt;"∞",0),INDEX(AU177:CB177,1,$AT$1),INDEX(AU179:CB179,1,$AT$1)),"*玉山*")=0),N178,0)</f>
        <v>0</v>
      </c>
      <c r="P178">
        <f ca="1">IFERROR(IF(COUNTIF(B178,"*云栖松*")&gt;0,50-加速!$L$11,MAX(0,P177-(A178-A177))),0)</f>
        <v>0</v>
      </c>
      <c r="Q178">
        <f ca="1">IF(COUNTIF(IF(AND(配装计算器!$K$30&lt;&gt;"∞",0),INDEX(AU177:CB177,1,$AT$1),INDEX(AU179:CB179,1,$AT$1)),"*云栖松*")=1,P178,0)</f>
        <v>0</v>
      </c>
      <c r="R178">
        <f ca="1">IFERROR(IF(COUNTIF(B178,"*莺鸣柳*")&gt;0,45-加速!$L$9,MAX(0,R177-(A178-A177))),0)</f>
        <v>0</v>
      </c>
      <c r="S178">
        <f ca="1">IF(COUNTIF(IF(AND(配装计算器!$K$30&lt;&gt;"∞",0),INDEX(AU177:CB177,1,$AT$1),INDEX(AU179:CB179,1,$AT$1)),"*莺鸣柳*")=1,R178,0)</f>
        <v>0</v>
      </c>
      <c r="T178">
        <f ca="1" t="shared" si="45"/>
        <v>0</v>
      </c>
      <c r="U178">
        <f ca="1">IF(金蛇,IF(COUNTIF(B178,"*金环戴*")+COUNTIF(B178,"*吹风醒*")&gt;0,IF(A178&lt;=3,7.125-2.625-A178-加速!$L$11,7.125+加速!$K$9-(A178+加速!$L$11-T178)),0),0)+IF(金蛇,IF(COUNTIF(B178,"*千切子裂光*")&gt;0,2+加速!$K$9-(A178+加速!$L$11-T178),0),0)</f>
        <v>0</v>
      </c>
      <c r="V178">
        <f ca="1" t="shared" si="46"/>
        <v>0</v>
      </c>
      <c r="W178">
        <f ca="1" t="shared" si="38"/>
        <v>0</v>
      </c>
      <c r="X178">
        <f ca="1">INDEX(加速!$I$13:$I$21,W178+1)</f>
        <v>0</v>
      </c>
      <c r="Y178">
        <f ca="1" t="shared" si="47"/>
        <v>0.5</v>
      </c>
      <c r="Z178">
        <f ca="1" t="shared" si="43"/>
        <v>0</v>
      </c>
      <c r="AA178">
        <f ca="1">MAX(0,IFERROR(IF(COUNTIF(B178,"*叠*")&gt;0,IF(AC177&lt;3,8-A179+A178,AA177+6.875-A179+A178),AA177-A179+A178),AA177-加速!$L$11))</f>
        <v>0</v>
      </c>
      <c r="AB178" t="e">
        <f ca="1">MAX(0,IF(COUNTIF(IF(AND(配装计算器!$K$30&lt;&gt;"∞",0),INDEX(AU178:CB178,1,$AT$1),INDEX(AU178:CB178,1,$AT$1)),"*叠1*")=1,4*25-加速!$L$11,AB177-A178+A177)-IF(OR(COUNTIF(OFFSET(AT178,0,$AT$1,1,1),"*听雷*")&gt;0,AND(碧归&gt;0,COUNTIF(OFFSET(AT178,0,$AT$1,1,1),"*风来*")&gt;0)),0,1)*1.5)</f>
        <v>#VALUE!</v>
      </c>
      <c r="AC178">
        <f ca="1" t="shared" si="39"/>
        <v>0</v>
      </c>
      <c r="AD178">
        <f ca="1">IF(COUNTIF(IF(AND(配装计算器!$K$30&lt;&gt;"∞",0),INDEX(AU178:CB178,1,$AT$1),INDEX(AU179:CB179,1,$AT$1)),"*叠1*")=1,AB178*0+AE177,0)</f>
        <v>0</v>
      </c>
      <c r="AE178" t="e">
        <f ca="1">IF($AN$11&gt;0,IF(COUNTIF(B179,"*叠1*")&gt;0,50-加速!$L$11,MAX(0,AE177-(A179-A178))),0)</f>
        <v>#VALUE!</v>
      </c>
      <c r="AG178">
        <f ca="1" t="shared" si="40"/>
        <v>5</v>
      </c>
      <c r="AH178" t="s">
        <v>1825</v>
      </c>
      <c r="AI178" s="161" t="s">
        <v>2869</v>
      </c>
      <c r="AJ178">
        <f ca="1">AJ179</f>
        <v>0</v>
      </c>
      <c r="AK178" t="s">
        <v>3110</v>
      </c>
      <c r="AU178" s="176" t="s">
        <v>2768</v>
      </c>
      <c r="AV178">
        <v>1</v>
      </c>
      <c r="AW178" s="176" t="s">
        <v>2776</v>
      </c>
      <c r="AX178">
        <v>2</v>
      </c>
      <c r="AY178" t="s">
        <v>2768</v>
      </c>
      <c r="AZ178">
        <v>2</v>
      </c>
      <c r="BA178" t="s">
        <v>2768</v>
      </c>
      <c r="BB178">
        <v>2</v>
      </c>
      <c r="BC178" t="s">
        <v>2768</v>
      </c>
      <c r="BD178">
        <v>2</v>
      </c>
      <c r="BE178" t="s">
        <v>3019</v>
      </c>
      <c r="BF178">
        <v>2</v>
      </c>
      <c r="BG178" t="s">
        <v>2768</v>
      </c>
      <c r="BH178">
        <v>2</v>
      </c>
      <c r="BI178" t="s">
        <v>2768</v>
      </c>
      <c r="BJ178">
        <v>2</v>
      </c>
      <c r="BK178" t="s">
        <v>3026</v>
      </c>
      <c r="BL178">
        <v>2</v>
      </c>
      <c r="BM178" s="176" t="s">
        <v>2776</v>
      </c>
      <c r="BN178">
        <v>2</v>
      </c>
      <c r="BO178" t="s">
        <v>2768</v>
      </c>
      <c r="BP178">
        <v>2</v>
      </c>
      <c r="BQ178" t="s">
        <v>2768</v>
      </c>
      <c r="BR178">
        <v>0</v>
      </c>
      <c r="BS178" t="s">
        <v>3056</v>
      </c>
      <c r="BT178">
        <v>0</v>
      </c>
      <c r="BU178" t="s">
        <v>2776</v>
      </c>
      <c r="BV178">
        <v>0</v>
      </c>
      <c r="BW178" s="182" t="s">
        <v>2768</v>
      </c>
      <c r="BX178" s="179">
        <v>2</v>
      </c>
      <c r="BY178" t="s">
        <v>2768</v>
      </c>
      <c r="BZ178">
        <v>2</v>
      </c>
      <c r="CA178" t="s">
        <v>2768</v>
      </c>
      <c r="CB178">
        <v>2</v>
      </c>
    </row>
    <row r="179" spans="1:80">
      <c r="A179" s="178" t="str">
        <f ca="1">IFERROR(IF(AG178&lt;5+金蛇*2,IF(COUNTIF(B178,"*轻*")&gt;0,A178+加速!$L$9,A178+加速!$L$11)+V178,""),"")</f>
        <v/>
      </c>
      <c r="B179" s="167" t="str">
        <f ca="1" t="shared" si="35"/>
        <v/>
      </c>
      <c r="C179" t="str">
        <f ca="1" t="shared" si="44"/>
        <v/>
      </c>
      <c r="D179" t="str">
        <f ca="1">IF(B179&lt;&gt;"",IF(C178&lt;=加速!$L$11*(1-E179),0,1),"")</f>
        <v/>
      </c>
      <c r="E179">
        <f ca="1" t="shared" si="41"/>
        <v>1</v>
      </c>
      <c r="G179" t="str">
        <f ca="1" t="shared" si="42"/>
        <v/>
      </c>
      <c r="H179" t="str">
        <f ca="1">IF(B179&lt;&gt;"",IF(AND(COUNTIF(B178,"*轻*莺鸣柳*")&gt;0,COUNTIF(B179,"*轻*")&lt;1),MAX(0,15+I178-(A179-A178)+COUNTIF(B178,"*平湖*")*0),IF(AND(E179=0,MAX(0,H178-(A179-A178))&lt;=加速!$H$11),0,MAX(0,H178-(A179-A178)))),"")</f>
        <v/>
      </c>
      <c r="I179" t="str">
        <f ca="1" t="shared" si="48"/>
        <v/>
      </c>
      <c r="J179" t="str">
        <f ca="1" t="shared" si="49"/>
        <v/>
      </c>
      <c r="K179" t="str">
        <f ca="1" t="shared" si="36"/>
        <v/>
      </c>
      <c r="L179">
        <f ca="1">IFERROR(IF(AND(COUNTIF(B179,"*-峰插*"),技能数据库!$M$72&gt;0),0,IF(COUNTIF(B179,"*鹤归*")&gt;0,16-加速!$L$11,MAX(0,L178-(A179-A178)))),0)</f>
        <v>0</v>
      </c>
      <c r="M179">
        <f ca="1" t="shared" si="37"/>
        <v>0</v>
      </c>
      <c r="N179">
        <f ca="1">IFERROR(IF(AND(COUNTIF(B179,"*-峰插*"),技能数据库!$M$72&gt;0),0,IF(COUNTIF(B179,"*云飞*")&gt;0,4-COUNTIF(B179,"*玉山揽云*")*4--COUNTIF(B179,"*烟流暮景*")*4-COUNTIF(B179,"*云景*")*加速!$L$11-IF(J179&gt;0,2,0),MAX(0,N178-(A179-A178)-IF(J179&gt;0,2,0)))),0)</f>
        <v>0</v>
      </c>
      <c r="O179">
        <f ca="1">IF(AND(COUNTIF(IF(AND(配装计算器!$K$30&lt;&gt;"∞",0),INDEX(AU178:CB178,1,$AT$1),INDEX(AU180:CB180,1,$AT$1)),"*云飞*")=1,COUNTIF(IF(AND(配装计算器!$K$30&lt;&gt;"∞",0),INDEX(AU178:CB178,1,$AT$1),INDEX(AU180:CB180,1,$AT$1)),"*玉山*")=0),N179,0)</f>
        <v>0</v>
      </c>
      <c r="P179">
        <f ca="1">IFERROR(IF(COUNTIF(B179,"*云栖松*")&gt;0,50-加速!$L$11,MAX(0,P178-(A179-A178))),0)</f>
        <v>0</v>
      </c>
      <c r="Q179">
        <f ca="1">IF(COUNTIF(IF(AND(配装计算器!$K$30&lt;&gt;"∞",0),INDEX(AU178:CB178,1,$AT$1),INDEX(AU180:CB180,1,$AT$1)),"*云栖松*")=1,P179,0)</f>
        <v>0</v>
      </c>
      <c r="R179">
        <f ca="1">IFERROR(IF(COUNTIF(B179,"*莺鸣柳*")&gt;0,45-加速!$L$9,MAX(0,R178-(A179-A178))),0)</f>
        <v>0</v>
      </c>
      <c r="S179">
        <f ca="1">IF(COUNTIF(IF(AND(配装计算器!$K$30&lt;&gt;"∞",0),INDEX(AU178:CB178,1,$AT$1),INDEX(AU180:CB180,1,$AT$1)),"*莺鸣柳*")=1,R179,0)</f>
        <v>0</v>
      </c>
      <c r="T179">
        <f ca="1" t="shared" si="45"/>
        <v>0</v>
      </c>
      <c r="U179">
        <f ca="1">IF(金蛇,IF(COUNTIF(B179,"*金环戴*")+COUNTIF(B179,"*吹风醒*")&gt;0,IF(A179&lt;=3,7.125-2.625-A179-加速!$L$11,7.125+加速!$K$9-(A179+加速!$L$11-T179)),0),0)+IF(金蛇,IF(COUNTIF(B179,"*千切子裂光*")&gt;0,2+加速!$K$9-(A179+加速!$L$11-T179),0),0)</f>
        <v>0</v>
      </c>
      <c r="V179">
        <f ca="1" t="shared" si="46"/>
        <v>0</v>
      </c>
      <c r="W179">
        <f ca="1" t="shared" si="38"/>
        <v>0</v>
      </c>
      <c r="X179">
        <f ca="1">INDEX(加速!$I$13:$I$21,W179+1)</f>
        <v>0</v>
      </c>
      <c r="Y179">
        <f ca="1" t="shared" si="47"/>
        <v>0.5</v>
      </c>
      <c r="Z179">
        <f ca="1" t="shared" si="43"/>
        <v>0</v>
      </c>
      <c r="AA179">
        <f ca="1">MAX(0,IFERROR(IF(COUNTIF(B179,"*叠*")&gt;0,IF(AC178&lt;3,8-A180+A179,AA178+6.875-A180+A179),AA178-A180+A179),AA178-加速!$L$11))</f>
        <v>0</v>
      </c>
      <c r="AB179" t="e">
        <f ca="1">MAX(0,IF(COUNTIF(IF(AND(配装计算器!$K$30&lt;&gt;"∞",0),INDEX(AU179:CB179,1,$AT$1),INDEX(AU179:CB179,1,$AT$1)),"*叠1*")=1,4*25-加速!$L$11,AB178-A179+A178)-IF(OR(COUNTIF(OFFSET(AT179,0,$AT$1,1,1),"*听雷*")&gt;0,AND(碧归&gt;0,COUNTIF(OFFSET(AT179,0,$AT$1,1,1),"*风来*")&gt;0)),0,1)*1.5)</f>
        <v>#VALUE!</v>
      </c>
      <c r="AC179">
        <f ca="1" t="shared" si="39"/>
        <v>0</v>
      </c>
      <c r="AD179">
        <f ca="1">IF(COUNTIF(IF(AND(配装计算器!$K$30&lt;&gt;"∞",0),INDEX(AU179:CB179,1,$AT$1),INDEX(AU180:CB180,1,$AT$1)),"*叠1*")=1,AB179*0+AE178,0)</f>
        <v>0</v>
      </c>
      <c r="AE179" t="e">
        <f ca="1">IF($AN$11&gt;0,IF(COUNTIF(B180,"*叠1*")&gt;0,50-加速!$L$11,MAX(0,AE178-(A180-A179))),0)</f>
        <v>#VALUE!</v>
      </c>
      <c r="AG179">
        <f ca="1" t="shared" si="40"/>
        <v>5</v>
      </c>
      <c r="AH179" t="s">
        <v>1825</v>
      </c>
      <c r="AI179" s="161" t="s">
        <v>2871</v>
      </c>
      <c r="AJ179">
        <f ca="1">循环比*COUNTIFS($B$3:$B$515,"*蛇牙锥心*",$D$3:$D$515,"&gt;0",$AC$3:$AC$515,3)</f>
        <v>0</v>
      </c>
      <c r="AK179" t="s">
        <v>3110</v>
      </c>
      <c r="AU179" t="s">
        <v>2776</v>
      </c>
      <c r="AV179">
        <v>1</v>
      </c>
      <c r="AW179" s="176" t="s">
        <v>2768</v>
      </c>
      <c r="AX179">
        <v>2</v>
      </c>
      <c r="AY179" t="s">
        <v>2768</v>
      </c>
      <c r="AZ179">
        <v>2</v>
      </c>
      <c r="BA179" t="s">
        <v>2768</v>
      </c>
      <c r="BB179">
        <v>1</v>
      </c>
      <c r="BC179" t="s">
        <v>2776</v>
      </c>
      <c r="BD179">
        <v>2</v>
      </c>
      <c r="BE179" t="s">
        <v>2768</v>
      </c>
      <c r="BF179">
        <v>2</v>
      </c>
      <c r="BG179" t="s">
        <v>2768</v>
      </c>
      <c r="BH179">
        <v>2</v>
      </c>
      <c r="BI179" t="s">
        <v>2776</v>
      </c>
      <c r="BJ179">
        <v>2</v>
      </c>
      <c r="BK179" t="s">
        <v>3026</v>
      </c>
      <c r="BL179">
        <v>2</v>
      </c>
      <c r="BM179" s="176" t="s">
        <v>2768</v>
      </c>
      <c r="BN179">
        <v>2</v>
      </c>
      <c r="BO179" t="str">
        <f>IF(0,"云飞玉皇-玉山揽云","夕照雷峰")</f>
        <v>夕照雷峰</v>
      </c>
      <c r="BP179">
        <v>2</v>
      </c>
      <c r="BQ179" t="s">
        <v>3067</v>
      </c>
      <c r="BR179">
        <v>0</v>
      </c>
      <c r="BS179" t="s">
        <v>2768</v>
      </c>
      <c r="BT179">
        <v>2</v>
      </c>
      <c r="BU179" t="s">
        <v>3067</v>
      </c>
      <c r="BV179">
        <v>0</v>
      </c>
      <c r="BW179" s="182" t="s">
        <v>2808</v>
      </c>
      <c r="BX179" s="179">
        <v>2</v>
      </c>
      <c r="BY179" t="s">
        <v>2776</v>
      </c>
      <c r="BZ179">
        <v>2</v>
      </c>
      <c r="CA179" t="s">
        <v>2776</v>
      </c>
      <c r="CB179">
        <v>2</v>
      </c>
    </row>
    <row r="180" spans="1:80">
      <c r="A180" s="178" t="str">
        <f ca="1">IFERROR(IF(AG179&lt;5+金蛇*2,IF(COUNTIF(B179,"*轻*")&gt;0,A179+加速!$L$9,A179+加速!$L$11)+V179,""),"")</f>
        <v/>
      </c>
      <c r="B180" s="167" t="str">
        <f ca="1" t="shared" si="35"/>
        <v/>
      </c>
      <c r="C180" t="str">
        <f ca="1" t="shared" si="44"/>
        <v/>
      </c>
      <c r="D180" t="str">
        <f ca="1">IF(B180&lt;&gt;"",IF(C179&lt;=加速!$L$11*(1-E180),0,1),"")</f>
        <v/>
      </c>
      <c r="E180">
        <f ca="1" t="shared" si="41"/>
        <v>1</v>
      </c>
      <c r="G180" t="str">
        <f ca="1" t="shared" si="42"/>
        <v/>
      </c>
      <c r="H180" t="str">
        <f ca="1">IF(B180&lt;&gt;"",IF(AND(COUNTIF(B179,"*轻*莺鸣柳*")&gt;0,COUNTIF(B180,"*轻*")&lt;1),MAX(0,15+I179-(A180-A179)+COUNTIF(B179,"*平湖*")*0),IF(AND(E180=0,MAX(0,H179-(A180-A179))&lt;=加速!$H$11),0,MAX(0,H179-(A180-A179)))),"")</f>
        <v/>
      </c>
      <c r="I180" t="str">
        <f ca="1" t="shared" si="48"/>
        <v/>
      </c>
      <c r="J180" t="str">
        <f ca="1" t="shared" si="49"/>
        <v/>
      </c>
      <c r="K180" t="str">
        <f ca="1" t="shared" si="36"/>
        <v/>
      </c>
      <c r="L180">
        <f ca="1">IFERROR(IF(AND(COUNTIF(B180,"*-峰插*"),技能数据库!$M$72&gt;0),0,IF(COUNTIF(B180,"*鹤归*")&gt;0,16-加速!$L$11,MAX(0,L179-(A180-A179)))),0)</f>
        <v>0</v>
      </c>
      <c r="M180">
        <f ca="1" t="shared" si="37"/>
        <v>0</v>
      </c>
      <c r="N180">
        <f ca="1">IFERROR(IF(AND(COUNTIF(B180,"*-峰插*"),技能数据库!$M$72&gt;0),0,IF(COUNTIF(B180,"*云飞*")&gt;0,4-COUNTIF(B180,"*玉山揽云*")*4--COUNTIF(B180,"*烟流暮景*")*4-COUNTIF(B180,"*云景*")*加速!$L$11-IF(J180&gt;0,2,0),MAX(0,N179-(A180-A179)-IF(J180&gt;0,2,0)))),0)</f>
        <v>0</v>
      </c>
      <c r="O180">
        <f ca="1">IF(AND(COUNTIF(IF(AND(配装计算器!$K$30&lt;&gt;"∞",0),INDEX(AU179:CB179,1,$AT$1),INDEX(AU181:CB181,1,$AT$1)),"*云飞*")=1,COUNTIF(IF(AND(配装计算器!$K$30&lt;&gt;"∞",0),INDEX(AU179:CB179,1,$AT$1),INDEX(AU181:CB181,1,$AT$1)),"*玉山*")=0),N180,0)</f>
        <v>0</v>
      </c>
      <c r="P180">
        <f ca="1">IFERROR(IF(COUNTIF(B180,"*云栖松*")&gt;0,50-加速!$L$11,MAX(0,P179-(A180-A179))),0)</f>
        <v>0</v>
      </c>
      <c r="Q180">
        <f ca="1">IF(COUNTIF(IF(AND(配装计算器!$K$30&lt;&gt;"∞",0),INDEX(AU179:CB179,1,$AT$1),INDEX(AU181:CB181,1,$AT$1)),"*云栖松*")=1,P180,0)</f>
        <v>0</v>
      </c>
      <c r="R180">
        <f ca="1">IFERROR(IF(COUNTIF(B180,"*莺鸣柳*")&gt;0,45-加速!$L$9,MAX(0,R179-(A180-A179))),0)</f>
        <v>0</v>
      </c>
      <c r="S180">
        <f ca="1">IF(COUNTIF(IF(AND(配装计算器!$K$30&lt;&gt;"∞",0),INDEX(AU179:CB179,1,$AT$1),INDEX(AU181:CB181,1,$AT$1)),"*莺鸣柳*")=1,R180,0)</f>
        <v>0</v>
      </c>
      <c r="T180">
        <f ca="1" t="shared" si="45"/>
        <v>0</v>
      </c>
      <c r="U180">
        <f ca="1">IF(金蛇,IF(COUNTIF(B180,"*金环戴*")+COUNTIF(B180,"*吹风醒*")&gt;0,IF(A180&lt;=3,7.125-2.625-A180-加速!$L$11,7.125+加速!$K$9-(A180+加速!$L$11-T180)),0),0)+IF(金蛇,IF(COUNTIF(B180,"*千切子裂光*")&gt;0,2+加速!$K$9-(A180+加速!$L$11-T180),0),0)</f>
        <v>0</v>
      </c>
      <c r="V180">
        <f ca="1" t="shared" si="46"/>
        <v>0</v>
      </c>
      <c r="W180">
        <f ca="1" t="shared" si="38"/>
        <v>0</v>
      </c>
      <c r="X180">
        <f ca="1">INDEX(加速!$I$13:$I$21,W180+1)</f>
        <v>0</v>
      </c>
      <c r="Y180">
        <f ca="1" t="shared" si="47"/>
        <v>0.5</v>
      </c>
      <c r="Z180">
        <f ca="1" t="shared" si="43"/>
        <v>0</v>
      </c>
      <c r="AA180">
        <f ca="1">MAX(0,IFERROR(IF(COUNTIF(B180,"*叠*")&gt;0,IF(AC179&lt;3,8-A181+A180,AA179+6.875-A181+A180),AA179-A181+A180),AA179-加速!$L$11))</f>
        <v>0</v>
      </c>
      <c r="AB180" t="e">
        <f ca="1">MAX(0,IF(COUNTIF(IF(AND(配装计算器!$K$30&lt;&gt;"∞",0),INDEX(AU180:CB180,1,$AT$1),INDEX(AU180:CB180,1,$AT$1)),"*叠1*")=1,4*25-加速!$L$11,AB179-A180+A179)-IF(OR(COUNTIF(OFFSET(AT180,0,$AT$1,1,1),"*听雷*")&gt;0,AND(碧归&gt;0,COUNTIF(OFFSET(AT180,0,$AT$1,1,1),"*风来*")&gt;0)),0,1)*1.5)</f>
        <v>#VALUE!</v>
      </c>
      <c r="AC180">
        <f ca="1" t="shared" si="39"/>
        <v>0</v>
      </c>
      <c r="AD180">
        <f ca="1">IF(COUNTIF(IF(AND(配装计算器!$K$30&lt;&gt;"∞",0),INDEX(AU180:CB180,1,$AT$1),INDEX(AU181:CB181,1,$AT$1)),"*叠1*")=1,AB180*0+AE179,0)</f>
        <v>0</v>
      </c>
      <c r="AE180" t="e">
        <f ca="1">IF($AN$11&gt;0,IF(COUNTIF(B181,"*叠1*")&gt;0,50-加速!$L$11,MAX(0,AE179-(A181-A180))),0)</f>
        <v>#VALUE!</v>
      </c>
      <c r="AG180">
        <f ca="1" t="shared" si="40"/>
        <v>5</v>
      </c>
      <c r="AH180" t="s">
        <v>1825</v>
      </c>
      <c r="AI180" s="161" t="s">
        <v>2885</v>
      </c>
      <c r="AJ180">
        <f ca="1">循环比*COUNTIFS($B$3:$B$515,"*千切子寒光*",$D$3:$D$515,"&gt;0",$AC$3:$AC$515,3)</f>
        <v>0</v>
      </c>
      <c r="AK180" t="s">
        <v>3110</v>
      </c>
      <c r="AU180" t="s">
        <v>2768</v>
      </c>
      <c r="AV180">
        <v>1</v>
      </c>
      <c r="AW180" s="176" t="s">
        <v>2776</v>
      </c>
      <c r="AX180">
        <v>2</v>
      </c>
      <c r="AY180" t="s">
        <v>2768</v>
      </c>
      <c r="AZ180">
        <v>1</v>
      </c>
      <c r="BA180" t="s">
        <v>2776</v>
      </c>
      <c r="BB180">
        <v>1</v>
      </c>
      <c r="BC180" t="s">
        <v>2768</v>
      </c>
      <c r="BD180">
        <v>2</v>
      </c>
      <c r="BE180" t="s">
        <v>2768</v>
      </c>
      <c r="BF180">
        <v>2</v>
      </c>
      <c r="BG180" s="176" t="s">
        <v>2794</v>
      </c>
      <c r="BH180">
        <v>1</v>
      </c>
      <c r="BI180" t="s">
        <v>2768</v>
      </c>
      <c r="BJ180">
        <v>2</v>
      </c>
      <c r="BK180" s="176" t="s">
        <v>3026</v>
      </c>
      <c r="BL180">
        <v>2</v>
      </c>
      <c r="BM180" s="176" t="s">
        <v>2808</v>
      </c>
      <c r="BN180">
        <v>2</v>
      </c>
      <c r="BO180" t="str">
        <f>IF(0,"云飞玉皇-玉山揽云","夕照雷峰")</f>
        <v>夕照雷峰</v>
      </c>
      <c r="BP180">
        <v>2</v>
      </c>
      <c r="BQ180" t="s">
        <v>2776</v>
      </c>
      <c r="BR180">
        <v>2</v>
      </c>
      <c r="BS180" t="s">
        <v>2768</v>
      </c>
      <c r="BT180">
        <v>2</v>
      </c>
      <c r="BU180" t="s">
        <v>2768</v>
      </c>
      <c r="BV180">
        <v>2</v>
      </c>
      <c r="BW180" s="179" t="s">
        <v>2768</v>
      </c>
      <c r="BX180" s="179">
        <v>2</v>
      </c>
      <c r="BY180" t="str">
        <f>IF(山重水复,"风来吴山","夕照雷峰")</f>
        <v>夕照雷峰</v>
      </c>
      <c r="BZ180">
        <v>2</v>
      </c>
      <c r="CA180" t="str">
        <f>IF(山重水复,"风来吴山","夕照雷峰")</f>
        <v>夕照雷峰</v>
      </c>
      <c r="CB180">
        <v>2</v>
      </c>
    </row>
    <row r="181" spans="1:80">
      <c r="A181" s="178" t="str">
        <f ca="1">IFERROR(IF(AG180&lt;5+金蛇*2,IF(COUNTIF(B180,"*轻*")&gt;0,A180+加速!$L$9,A180+加速!$L$11)+V180,""),"")</f>
        <v/>
      </c>
      <c r="B181" s="167" t="str">
        <f ca="1" t="shared" si="35"/>
        <v/>
      </c>
      <c r="C181" t="str">
        <f ca="1" t="shared" si="44"/>
        <v/>
      </c>
      <c r="D181" t="str">
        <f ca="1">IF(B181&lt;&gt;"",IF(C180&lt;=加速!$L$11*(1-E181),0,1),"")</f>
        <v/>
      </c>
      <c r="E181">
        <f ca="1" t="shared" si="41"/>
        <v>1</v>
      </c>
      <c r="G181" t="str">
        <f ca="1" t="shared" si="42"/>
        <v/>
      </c>
      <c r="H181" t="str">
        <f ca="1">IF(B181&lt;&gt;"",IF(AND(COUNTIF(B180,"*轻*莺鸣柳*")&gt;0,COUNTIF(B181,"*轻*")&lt;1),MAX(0,15+I180-(A181-A180)+COUNTIF(B180,"*平湖*")*0),IF(AND(E181=0,MAX(0,H180-(A181-A180))&lt;=加速!$H$11),0,MAX(0,H180-(A181-A180)))),"")</f>
        <v/>
      </c>
      <c r="I181" t="str">
        <f ca="1" t="shared" si="48"/>
        <v/>
      </c>
      <c r="J181" t="str">
        <f ca="1" t="shared" si="49"/>
        <v/>
      </c>
      <c r="K181" t="str">
        <f ca="1" t="shared" si="36"/>
        <v/>
      </c>
      <c r="L181">
        <f ca="1">IFERROR(IF(AND(COUNTIF(B181,"*-峰插*"),技能数据库!$M$72&gt;0),0,IF(COUNTIF(B181,"*鹤归*")&gt;0,16-加速!$L$11,MAX(0,L180-(A181-A180)))),0)</f>
        <v>0</v>
      </c>
      <c r="M181">
        <f ca="1" t="shared" si="37"/>
        <v>0</v>
      </c>
      <c r="N181">
        <f ca="1">IFERROR(IF(AND(COUNTIF(B181,"*-峰插*"),技能数据库!$M$72&gt;0),0,IF(COUNTIF(B181,"*云飞*")&gt;0,4-COUNTIF(B181,"*玉山揽云*")*4--COUNTIF(B181,"*烟流暮景*")*4-COUNTIF(B181,"*云景*")*加速!$L$11-IF(J181&gt;0,2,0),MAX(0,N180-(A181-A180)-IF(J181&gt;0,2,0)))),0)</f>
        <v>0</v>
      </c>
      <c r="O181">
        <f ca="1">IF(AND(COUNTIF(IF(AND(配装计算器!$K$30&lt;&gt;"∞",0),INDEX(AU180:CB180,1,$AT$1),INDEX(AU182:CB182,1,$AT$1)),"*云飞*")=1,COUNTIF(IF(AND(配装计算器!$K$30&lt;&gt;"∞",0),INDEX(AU180:CB180,1,$AT$1),INDEX(AU182:CB182,1,$AT$1)),"*玉山*")=0),N181,0)</f>
        <v>0</v>
      </c>
      <c r="P181">
        <f ca="1">IFERROR(IF(COUNTIF(B181,"*云栖松*")&gt;0,50-加速!$L$11,MAX(0,P180-(A181-A180))),0)</f>
        <v>0</v>
      </c>
      <c r="Q181">
        <f ca="1">IF(COUNTIF(IF(AND(配装计算器!$K$30&lt;&gt;"∞",0),INDEX(AU180:CB180,1,$AT$1),INDEX(AU182:CB182,1,$AT$1)),"*云栖松*")=1,P181,0)</f>
        <v>0</v>
      </c>
      <c r="R181">
        <f ca="1">IFERROR(IF(COUNTIF(B181,"*莺鸣柳*")&gt;0,45-加速!$L$9,MAX(0,R180-(A181-A180))),0)</f>
        <v>0</v>
      </c>
      <c r="S181">
        <f ca="1">IF(COUNTIF(IF(AND(配装计算器!$K$30&lt;&gt;"∞",0),INDEX(AU180:CB180,1,$AT$1),INDEX(AU182:CB182,1,$AT$1)),"*莺鸣柳*")=1,R181,0)</f>
        <v>0</v>
      </c>
      <c r="T181">
        <f ca="1" t="shared" si="45"/>
        <v>0</v>
      </c>
      <c r="U181">
        <f ca="1">IF(金蛇,IF(COUNTIF(B181,"*金环戴*")+COUNTIF(B181,"*吹风醒*")&gt;0,IF(A181&lt;=3,7.125-2.625-A181-加速!$L$11,7.125+加速!$K$9-(A181+加速!$L$11-T181)),0),0)+IF(金蛇,IF(COUNTIF(B181,"*千切子裂光*")&gt;0,2+加速!$K$9-(A181+加速!$L$11-T181),0),0)</f>
        <v>0</v>
      </c>
      <c r="V181">
        <f ca="1" t="shared" si="46"/>
        <v>0</v>
      </c>
      <c r="W181">
        <f ca="1" t="shared" si="38"/>
        <v>0</v>
      </c>
      <c r="X181">
        <f ca="1">INDEX(加速!$I$13:$I$21,W181+1)</f>
        <v>0</v>
      </c>
      <c r="Y181">
        <f ca="1" t="shared" si="47"/>
        <v>0.5</v>
      </c>
      <c r="Z181">
        <f ca="1" t="shared" si="43"/>
        <v>0</v>
      </c>
      <c r="AA181">
        <f ca="1">MAX(0,IFERROR(IF(COUNTIF(B181,"*叠*")&gt;0,IF(AC180&lt;3,8-A182+A181,AA180+6.875-A182+A181),AA180-A182+A181),AA180-加速!$L$11))</f>
        <v>0</v>
      </c>
      <c r="AB181" t="e">
        <f ca="1">MAX(0,IF(COUNTIF(IF(AND(配装计算器!$K$30&lt;&gt;"∞",0),INDEX(AU181:CB181,1,$AT$1),INDEX(AU181:CB181,1,$AT$1)),"*叠1*")=1,4*25-加速!$L$11,AB180-A181+A180)-IF(OR(COUNTIF(OFFSET(AT181,0,$AT$1,1,1),"*听雷*")&gt;0,AND(碧归&gt;0,COUNTIF(OFFSET(AT181,0,$AT$1,1,1),"*风来*")&gt;0)),0,1)*1.5)</f>
        <v>#VALUE!</v>
      </c>
      <c r="AC181">
        <f ca="1" t="shared" si="39"/>
        <v>0</v>
      </c>
      <c r="AD181">
        <f ca="1">IF(COUNTIF(IF(AND(配装计算器!$K$30&lt;&gt;"∞",0),INDEX(AU181:CB181,1,$AT$1),INDEX(AU182:CB182,1,$AT$1)),"*叠1*")=1,AB181*0+AE180,0)</f>
        <v>0</v>
      </c>
      <c r="AE181" t="e">
        <f ca="1">IF($AN$11&gt;0,IF(COUNTIF(B182,"*叠1*")&gt;0,50-加速!$L$11,MAX(0,AE180-(A182-A181))),0)</f>
        <v>#VALUE!</v>
      </c>
      <c r="AG181">
        <f ca="1" t="shared" si="40"/>
        <v>5</v>
      </c>
      <c r="AH181" t="s">
        <v>1825</v>
      </c>
      <c r="AI181" s="161" t="s">
        <v>2897</v>
      </c>
      <c r="AJ181">
        <f ca="1">循环比*COUNTIFS($B$3:$B$515,"*千切子裂光*",$D$3:$D$515,"&gt;0",$AC$3:$AC$515,3)</f>
        <v>0</v>
      </c>
      <c r="AK181" t="s">
        <v>3110</v>
      </c>
      <c r="AU181" t="s">
        <v>2768</v>
      </c>
      <c r="AV181">
        <v>1</v>
      </c>
      <c r="AW181" s="176" t="s">
        <v>2768</v>
      </c>
      <c r="AX181">
        <v>2</v>
      </c>
      <c r="AY181" t="s">
        <v>2776</v>
      </c>
      <c r="AZ181">
        <v>1</v>
      </c>
      <c r="BA181" t="s">
        <v>2768</v>
      </c>
      <c r="BB181">
        <v>1</v>
      </c>
      <c r="BC181" t="s">
        <v>2776</v>
      </c>
      <c r="BD181">
        <v>2</v>
      </c>
      <c r="BE181" t="s">
        <v>2768</v>
      </c>
      <c r="BF181">
        <v>2</v>
      </c>
      <c r="BG181" t="s">
        <v>2776</v>
      </c>
      <c r="BH181">
        <v>1</v>
      </c>
      <c r="BI181" t="s">
        <v>2776</v>
      </c>
      <c r="BJ181">
        <v>1</v>
      </c>
      <c r="BK181" s="176" t="s">
        <v>2776</v>
      </c>
      <c r="BL181">
        <v>2</v>
      </c>
      <c r="BM181" t="s">
        <v>2768</v>
      </c>
      <c r="BN181">
        <v>2</v>
      </c>
      <c r="BO181" t="str">
        <f>IF(0,"云飞玉皇-玉山揽云","云飞玉皇")</f>
        <v>云飞玉皇</v>
      </c>
      <c r="BP181">
        <v>2</v>
      </c>
      <c r="BQ181" t="s">
        <v>2768</v>
      </c>
      <c r="BR181">
        <v>2</v>
      </c>
      <c r="BS181" t="s">
        <v>2776</v>
      </c>
      <c r="BT181">
        <v>2</v>
      </c>
      <c r="BU181" t="s">
        <v>2768</v>
      </c>
      <c r="BV181">
        <v>2</v>
      </c>
      <c r="BW181" s="179" t="s">
        <v>2776</v>
      </c>
      <c r="BX181" s="179">
        <v>2</v>
      </c>
      <c r="BY181" t="s">
        <v>2768</v>
      </c>
      <c r="BZ181">
        <v>2</v>
      </c>
      <c r="CA181" t="s">
        <v>2768</v>
      </c>
      <c r="CB181">
        <v>2</v>
      </c>
    </row>
    <row r="182" spans="1:80">
      <c r="A182" s="178" t="str">
        <f ca="1">IFERROR(IF(AG181&lt;5+金蛇*2,IF(COUNTIF(B181,"*轻*")&gt;0,A181+加速!$L$9,A181+加速!$L$11)+V181,""),"")</f>
        <v/>
      </c>
      <c r="B182" s="167" t="str">
        <f ca="1" t="shared" si="35"/>
        <v/>
      </c>
      <c r="C182" t="str">
        <f ca="1" t="shared" si="44"/>
        <v/>
      </c>
      <c r="D182" t="str">
        <f ca="1">IF(B182&lt;&gt;"",IF(C181&lt;=加速!$L$11*(1-E182),0,1),"")</f>
        <v/>
      </c>
      <c r="E182">
        <f ca="1" t="shared" si="41"/>
        <v>1</v>
      </c>
      <c r="G182" t="str">
        <f ca="1" t="shared" si="42"/>
        <v/>
      </c>
      <c r="H182" t="str">
        <f ca="1">IF(B182&lt;&gt;"",IF(AND(COUNTIF(B181,"*轻*莺鸣柳*")&gt;0,COUNTIF(B182,"*轻*")&lt;1),MAX(0,15+I181-(A182-A181)+COUNTIF(B181,"*平湖*")*0),IF(AND(E182=0,MAX(0,H181-(A182-A181))&lt;=加速!$H$11),0,MAX(0,H181-(A182-A181)))),"")</f>
        <v/>
      </c>
      <c r="I182" t="str">
        <f ca="1" t="shared" si="48"/>
        <v/>
      </c>
      <c r="J182" t="str">
        <f ca="1" t="shared" si="49"/>
        <v/>
      </c>
      <c r="K182" t="str">
        <f ca="1" t="shared" si="36"/>
        <v/>
      </c>
      <c r="L182">
        <f ca="1">IFERROR(IF(AND(COUNTIF(B182,"*-峰插*"),技能数据库!$M$72&gt;0),0,IF(COUNTIF(B182,"*鹤归*")&gt;0,16-加速!$L$11,MAX(0,L181-(A182-A181)))),0)</f>
        <v>0</v>
      </c>
      <c r="M182">
        <f ca="1" t="shared" si="37"/>
        <v>0</v>
      </c>
      <c r="N182">
        <f ca="1">IFERROR(IF(AND(COUNTIF(B182,"*-峰插*"),技能数据库!$M$72&gt;0),0,IF(COUNTIF(B182,"*云飞*")&gt;0,4-COUNTIF(B182,"*玉山揽云*")*4--COUNTIF(B182,"*烟流暮景*")*4-COUNTIF(B182,"*云景*")*加速!$L$11-IF(J182&gt;0,2,0),MAX(0,N181-(A182-A181)-IF(J182&gt;0,2,0)))),0)</f>
        <v>0</v>
      </c>
      <c r="O182">
        <f ca="1">IF(AND(COUNTIF(IF(AND(配装计算器!$K$30&lt;&gt;"∞",0),INDEX(AU181:CB181,1,$AT$1),INDEX(AU183:CB183,1,$AT$1)),"*云飞*")=1,COUNTIF(IF(AND(配装计算器!$K$30&lt;&gt;"∞",0),INDEX(AU181:CB181,1,$AT$1),INDEX(AU183:CB183,1,$AT$1)),"*玉山*")=0),N182,0)</f>
        <v>0</v>
      </c>
      <c r="P182">
        <f ca="1">IFERROR(IF(COUNTIF(B182,"*云栖松*")&gt;0,50-加速!$L$11,MAX(0,P181-(A182-A181))),0)</f>
        <v>0</v>
      </c>
      <c r="Q182">
        <f ca="1">IF(COUNTIF(IF(AND(配装计算器!$K$30&lt;&gt;"∞",0),INDEX(AU181:CB181,1,$AT$1),INDEX(AU183:CB183,1,$AT$1)),"*云栖松*")=1,P182,0)</f>
        <v>0</v>
      </c>
      <c r="R182">
        <f ca="1">IFERROR(IF(COUNTIF(B182,"*莺鸣柳*")&gt;0,45-加速!$L$9,MAX(0,R181-(A182-A181))),0)</f>
        <v>0</v>
      </c>
      <c r="S182">
        <f ca="1">IF(COUNTIF(IF(AND(配装计算器!$K$30&lt;&gt;"∞",0),INDEX(AU181:CB181,1,$AT$1),INDEX(AU183:CB183,1,$AT$1)),"*莺鸣柳*")=1,R182,0)</f>
        <v>0</v>
      </c>
      <c r="T182">
        <f ca="1" t="shared" si="45"/>
        <v>0</v>
      </c>
      <c r="U182">
        <f ca="1">IF(金蛇,IF(COUNTIF(B182,"*金环戴*")+COUNTIF(B182,"*吹风醒*")&gt;0,IF(A182&lt;=3,7.125-2.625-A182-加速!$L$11,7.125+加速!$K$9-(A182+加速!$L$11-T182)),0),0)+IF(金蛇,IF(COUNTIF(B182,"*千切子裂光*")&gt;0,2+加速!$K$9-(A182+加速!$L$11-T182),0),0)</f>
        <v>0</v>
      </c>
      <c r="V182">
        <f ca="1" t="shared" si="46"/>
        <v>0</v>
      </c>
      <c r="W182">
        <f ca="1" t="shared" si="38"/>
        <v>0</v>
      </c>
      <c r="X182">
        <f ca="1">INDEX(加速!$I$13:$I$21,W182+1)</f>
        <v>0</v>
      </c>
      <c r="Y182">
        <f ca="1" t="shared" si="47"/>
        <v>0.5</v>
      </c>
      <c r="Z182">
        <f ca="1" t="shared" si="43"/>
        <v>0</v>
      </c>
      <c r="AA182">
        <f ca="1">MAX(0,IFERROR(IF(COUNTIF(B182,"*叠*")&gt;0,IF(AC181&lt;3,8-A183+A182,AA181+6.875-A183+A182),AA181-A183+A182),AA181-加速!$L$11))</f>
        <v>0</v>
      </c>
      <c r="AB182" t="e">
        <f ca="1">MAX(0,IF(COUNTIF(IF(AND(配装计算器!$K$30&lt;&gt;"∞",0),INDEX(AU182:CB182,1,$AT$1),INDEX(AU182:CB182,1,$AT$1)),"*叠1*")=1,4*25-加速!$L$11,AB181-A182+A181)-IF(OR(COUNTIF(OFFSET(AT182,0,$AT$1,1,1),"*听雷*")&gt;0,AND(碧归&gt;0,COUNTIF(OFFSET(AT182,0,$AT$1,1,1),"*风来*")&gt;0)),0,1)*1.5)</f>
        <v>#VALUE!</v>
      </c>
      <c r="AC182">
        <f ca="1" t="shared" si="39"/>
        <v>0</v>
      </c>
      <c r="AD182">
        <f ca="1">IF(COUNTIF(IF(AND(配装计算器!$K$30&lt;&gt;"∞",0),INDEX(AU182:CB182,1,$AT$1),INDEX(AU183:CB183,1,$AT$1)),"*叠1*")=1,AB182*0+AE181,0)</f>
        <v>0</v>
      </c>
      <c r="AE182" t="e">
        <f ca="1">IF($AN$11&gt;0,IF(COUNTIF(B183,"*叠1*")&gt;0,50-加速!$L$11,MAX(0,AE181-(A183-A182))),0)</f>
        <v>#VALUE!</v>
      </c>
      <c r="AG182">
        <f ca="1" t="shared" si="40"/>
        <v>5</v>
      </c>
      <c r="AH182" t="s">
        <v>1825</v>
      </c>
      <c r="AI182" s="161" t="s">
        <v>2859</v>
      </c>
      <c r="AJ182">
        <f ca="1">循环比*COUNTIFS($B$3:$B$515,"*皇*"&amp;AI182&amp;"*",$D$3:$D$515,"&gt;0",$AC$3:$AC$515,0)/3</f>
        <v>0</v>
      </c>
      <c r="AK182" t="s">
        <v>2750</v>
      </c>
      <c r="AU182" t="s">
        <v>3063</v>
      </c>
      <c r="AV182">
        <v>2</v>
      </c>
      <c r="AW182" s="176" t="s">
        <v>2808</v>
      </c>
      <c r="AX182">
        <v>2</v>
      </c>
      <c r="AY182" t="s">
        <v>2768</v>
      </c>
      <c r="AZ182">
        <v>1</v>
      </c>
      <c r="BA182" t="s">
        <v>2768</v>
      </c>
      <c r="BB182">
        <v>0</v>
      </c>
      <c r="BC182" t="s">
        <v>2768</v>
      </c>
      <c r="BD182">
        <v>1</v>
      </c>
      <c r="BE182" t="s">
        <v>3042</v>
      </c>
      <c r="BF182">
        <v>2</v>
      </c>
      <c r="BG182" t="s">
        <v>2768</v>
      </c>
      <c r="BH182">
        <v>1</v>
      </c>
      <c r="BI182" t="s">
        <v>2768</v>
      </c>
      <c r="BJ182">
        <v>1</v>
      </c>
      <c r="BK182" s="176" t="s">
        <v>2794</v>
      </c>
      <c r="BL182">
        <v>2</v>
      </c>
      <c r="BM182" t="s">
        <v>2776</v>
      </c>
      <c r="BN182">
        <v>2</v>
      </c>
      <c r="BO182" s="176" t="s">
        <v>2794</v>
      </c>
      <c r="BP182">
        <v>2</v>
      </c>
      <c r="BQ182" t="s">
        <v>2768</v>
      </c>
      <c r="BR182">
        <v>2</v>
      </c>
      <c r="BS182" t="s">
        <v>2768</v>
      </c>
      <c r="BT182">
        <v>1</v>
      </c>
      <c r="BU182" s="176" t="s">
        <v>2794</v>
      </c>
      <c r="BV182">
        <v>1</v>
      </c>
      <c r="BW182" s="179" t="s">
        <v>2768</v>
      </c>
      <c r="BX182" s="179">
        <v>2</v>
      </c>
      <c r="BY182" t="s">
        <v>2768</v>
      </c>
      <c r="BZ182">
        <v>2</v>
      </c>
      <c r="CA182" t="s">
        <v>2768</v>
      </c>
      <c r="CB182">
        <v>2</v>
      </c>
    </row>
    <row r="183" spans="1:80">
      <c r="A183" s="178" t="str">
        <f ca="1">IFERROR(IF(AG182&lt;5+金蛇*2,IF(COUNTIF(B182,"*轻*")&gt;0,A182+加速!$L$9,A182+加速!$L$11)+V182,""),"")</f>
        <v/>
      </c>
      <c r="B183" s="167" t="str">
        <f ca="1" t="shared" si="35"/>
        <v/>
      </c>
      <c r="C183" t="str">
        <f ca="1" t="shared" si="44"/>
        <v/>
      </c>
      <c r="D183" t="str">
        <f ca="1">IF(B183&lt;&gt;"",IF(C182&lt;=加速!$L$11*(1-E183),0,1),"")</f>
        <v/>
      </c>
      <c r="E183">
        <f ca="1" t="shared" si="41"/>
        <v>1</v>
      </c>
      <c r="G183" t="str">
        <f ca="1" t="shared" si="42"/>
        <v/>
      </c>
      <c r="H183" t="str">
        <f ca="1">IF(B183&lt;&gt;"",IF(AND(COUNTIF(B182,"*轻*莺鸣柳*")&gt;0,COUNTIF(B183,"*轻*")&lt;1),MAX(0,15+I182-(A183-A182)+COUNTIF(B182,"*平湖*")*0),IF(AND(E183=0,MAX(0,H182-(A183-A182))&lt;=加速!$H$11),0,MAX(0,H182-(A183-A182)))),"")</f>
        <v/>
      </c>
      <c r="I183" t="str">
        <f ca="1" t="shared" si="48"/>
        <v/>
      </c>
      <c r="J183" t="str">
        <f ca="1" t="shared" si="49"/>
        <v/>
      </c>
      <c r="K183" t="str">
        <f ca="1" t="shared" si="36"/>
        <v/>
      </c>
      <c r="L183">
        <f ca="1">IFERROR(IF(AND(COUNTIF(B183,"*-峰插*"),技能数据库!$M$72&gt;0),0,IF(COUNTIF(B183,"*鹤归*")&gt;0,16-加速!$L$11,MAX(0,L182-(A183-A182)))),0)</f>
        <v>0</v>
      </c>
      <c r="M183">
        <f ca="1" t="shared" si="37"/>
        <v>0</v>
      </c>
      <c r="N183">
        <f ca="1">IFERROR(IF(AND(COUNTIF(B183,"*-峰插*"),技能数据库!$M$72&gt;0),0,IF(COUNTIF(B183,"*云飞*")&gt;0,4-COUNTIF(B183,"*玉山揽云*")*4--COUNTIF(B183,"*烟流暮景*")*4-COUNTIF(B183,"*云景*")*加速!$L$11-IF(J183&gt;0,2,0),MAX(0,N182-(A183-A182)-IF(J183&gt;0,2,0)))),0)</f>
        <v>0</v>
      </c>
      <c r="O183">
        <f ca="1">IF(AND(COUNTIF(IF(AND(配装计算器!$K$30&lt;&gt;"∞",0),INDEX(AU182:CB182,1,$AT$1),INDEX(AU184:CB184,1,$AT$1)),"*云飞*")=1,COUNTIF(IF(AND(配装计算器!$K$30&lt;&gt;"∞",0),INDEX(AU182:CB182,1,$AT$1),INDEX(AU184:CB184,1,$AT$1)),"*玉山*")=0),N183,0)</f>
        <v>0</v>
      </c>
      <c r="P183">
        <f ca="1">IFERROR(IF(COUNTIF(B183,"*云栖松*")&gt;0,50-加速!$L$11,MAX(0,P182-(A183-A182))),0)</f>
        <v>0</v>
      </c>
      <c r="Q183">
        <f ca="1">IF(COUNTIF(IF(AND(配装计算器!$K$30&lt;&gt;"∞",0),INDEX(AU182:CB182,1,$AT$1),INDEX(AU184:CB184,1,$AT$1)),"*云栖松*")=1,P183,0)</f>
        <v>0</v>
      </c>
      <c r="R183">
        <f ca="1">IFERROR(IF(COUNTIF(B183,"*莺鸣柳*")&gt;0,45-加速!$L$9,MAX(0,R182-(A183-A182))),0)</f>
        <v>0</v>
      </c>
      <c r="S183">
        <f ca="1">IF(COUNTIF(IF(AND(配装计算器!$K$30&lt;&gt;"∞",0),INDEX(AU182:CB182,1,$AT$1),INDEX(AU184:CB184,1,$AT$1)),"*莺鸣柳*")=1,R183,0)</f>
        <v>0</v>
      </c>
      <c r="T183">
        <f ca="1" t="shared" si="45"/>
        <v>0</v>
      </c>
      <c r="U183">
        <f ca="1">IF(金蛇,IF(COUNTIF(B183,"*金环戴*")+COUNTIF(B183,"*吹风醒*")&gt;0,IF(A183&lt;=3,7.125-2.625-A183-加速!$L$11,7.125+加速!$K$9-(A183+加速!$L$11-T183)),0),0)+IF(金蛇,IF(COUNTIF(B183,"*千切子裂光*")&gt;0,2+加速!$K$9-(A183+加速!$L$11-T183),0),0)</f>
        <v>0</v>
      </c>
      <c r="V183">
        <f ca="1" t="shared" si="46"/>
        <v>0</v>
      </c>
      <c r="W183">
        <f ca="1" t="shared" si="38"/>
        <v>0</v>
      </c>
      <c r="X183">
        <f ca="1">INDEX(加速!$I$13:$I$21,W183+1)</f>
        <v>0</v>
      </c>
      <c r="Y183">
        <f ca="1" t="shared" si="47"/>
        <v>0.5</v>
      </c>
      <c r="Z183">
        <f ca="1" t="shared" si="43"/>
        <v>0</v>
      </c>
      <c r="AA183">
        <f ca="1">MAX(0,IFERROR(IF(COUNTIF(B183,"*叠*")&gt;0,IF(AC182&lt;3,8-A184+A183,AA182+6.875-A184+A183),AA182-A184+A183),AA182-加速!$L$11))</f>
        <v>0</v>
      </c>
      <c r="AB183" t="e">
        <f ca="1">MAX(0,IF(COUNTIF(IF(AND(配装计算器!$K$30&lt;&gt;"∞",0),INDEX(AU183:CB183,1,$AT$1),INDEX(AU183:CB183,1,$AT$1)),"*叠1*")=1,4*25-加速!$L$11,AB182-A183+A182)-IF(OR(COUNTIF(OFFSET(AT183,0,$AT$1,1,1),"*听雷*")&gt;0,AND(碧归&gt;0,COUNTIF(OFFSET(AT183,0,$AT$1,1,1),"*风来*")&gt;0)),0,1)*1.5)</f>
        <v>#VALUE!</v>
      </c>
      <c r="AC183">
        <f ca="1" t="shared" si="39"/>
        <v>0</v>
      </c>
      <c r="AD183">
        <f ca="1">IF(COUNTIF(IF(AND(配装计算器!$K$30&lt;&gt;"∞",0),INDEX(AU183:CB183,1,$AT$1),INDEX(AU184:CB184,1,$AT$1)),"*叠1*")=1,AB183*0+AE182,0)</f>
        <v>0</v>
      </c>
      <c r="AE183" t="e">
        <f ca="1">IF($AN$11&gt;0,IF(COUNTIF(B184,"*叠1*")&gt;0,50-加速!$L$11,MAX(0,AE182-(A184-A183))),0)</f>
        <v>#VALUE!</v>
      </c>
      <c r="AG183">
        <f ca="1" t="shared" si="40"/>
        <v>5</v>
      </c>
      <c r="AH183" t="s">
        <v>1825</v>
      </c>
      <c r="AI183" s="161" t="s">
        <v>2859</v>
      </c>
      <c r="AJ183">
        <f ca="1">循环比*COUNTIFS($B$3:$B$515,"*皇*"&amp;AI183&amp;"*",$D$3:$D$515,"&gt;0",$AC$3:$AC$515,0)*2/3</f>
        <v>0</v>
      </c>
      <c r="AK183" t="s">
        <v>2750</v>
      </c>
      <c r="AU183" t="s">
        <v>2776</v>
      </c>
      <c r="AV183">
        <v>1</v>
      </c>
      <c r="AW183" t="s">
        <v>2768</v>
      </c>
      <c r="AX183">
        <v>2</v>
      </c>
      <c r="AY183" t="s">
        <v>2768</v>
      </c>
      <c r="AZ183">
        <v>0</v>
      </c>
      <c r="BA183" t="s">
        <v>3010</v>
      </c>
      <c r="BB183">
        <v>2</v>
      </c>
      <c r="BC183" t="s">
        <v>2768</v>
      </c>
      <c r="BD183">
        <v>1</v>
      </c>
      <c r="BE183" t="s">
        <v>3084</v>
      </c>
      <c r="BF183">
        <v>2</v>
      </c>
      <c r="BG183" t="s">
        <v>3011</v>
      </c>
      <c r="BH183">
        <v>2</v>
      </c>
      <c r="BI183" t="s">
        <v>2776</v>
      </c>
      <c r="BJ183">
        <v>0</v>
      </c>
      <c r="BK183" s="176" t="s">
        <v>2768</v>
      </c>
      <c r="BL183">
        <v>2</v>
      </c>
      <c r="BM183" t="s">
        <v>2768</v>
      </c>
      <c r="BN183">
        <v>2</v>
      </c>
      <c r="BO183" s="176" t="str">
        <f>IF(0,橙武补雾锁,"夕照雷峰")</f>
        <v>夕照雷峰</v>
      </c>
      <c r="BP183">
        <v>2</v>
      </c>
      <c r="BQ183" t="s">
        <v>2768</v>
      </c>
      <c r="BR183">
        <v>1</v>
      </c>
      <c r="BS183" t="s">
        <v>2768</v>
      </c>
      <c r="BT183">
        <v>1</v>
      </c>
      <c r="BU183" t="s">
        <v>2776</v>
      </c>
      <c r="BV183">
        <v>1</v>
      </c>
      <c r="BW183" s="179" t="s">
        <v>2768</v>
      </c>
      <c r="BX183" s="179">
        <v>2</v>
      </c>
      <c r="BY183" t="s">
        <v>2776</v>
      </c>
      <c r="BZ183">
        <v>2</v>
      </c>
      <c r="CA183" t="s">
        <v>2776</v>
      </c>
      <c r="CB183">
        <v>2</v>
      </c>
    </row>
    <row r="184" spans="1:80">
      <c r="A184" s="178" t="str">
        <f ca="1">IFERROR(IF(AG183&lt;5+金蛇*2,IF(COUNTIF(B183,"*轻*")&gt;0,A183+加速!$L$9,A183+加速!$L$11)+V183,""),"")</f>
        <v/>
      </c>
      <c r="B184" s="167" t="str">
        <f ca="1" t="shared" si="35"/>
        <v/>
      </c>
      <c r="C184" t="str">
        <f ca="1" t="shared" si="44"/>
        <v/>
      </c>
      <c r="D184" t="str">
        <f ca="1">IF(B184&lt;&gt;"",IF(C183&lt;=加速!$L$11*(1-E184),0,1),"")</f>
        <v/>
      </c>
      <c r="E184">
        <f ca="1" t="shared" si="41"/>
        <v>1</v>
      </c>
      <c r="G184" t="str">
        <f ca="1" t="shared" si="42"/>
        <v/>
      </c>
      <c r="H184" t="str">
        <f ca="1">IF(B184&lt;&gt;"",IF(AND(COUNTIF(B183,"*轻*莺鸣柳*")&gt;0,COUNTIF(B184,"*轻*")&lt;1),MAX(0,15+I183-(A184-A183)+COUNTIF(B183,"*平湖*")*0),IF(AND(E184=0,MAX(0,H183-(A184-A183))&lt;=加速!$H$11),0,MAX(0,H183-(A184-A183)))),"")</f>
        <v/>
      </c>
      <c r="I184" t="str">
        <f ca="1" t="shared" si="48"/>
        <v/>
      </c>
      <c r="J184" t="str">
        <f ca="1" t="shared" si="49"/>
        <v/>
      </c>
      <c r="K184" t="str">
        <f ca="1" t="shared" si="36"/>
        <v/>
      </c>
      <c r="L184">
        <f ca="1">IFERROR(IF(AND(COUNTIF(B184,"*-峰插*"),技能数据库!$M$72&gt;0),0,IF(COUNTIF(B184,"*鹤归*")&gt;0,16-加速!$L$11,MAX(0,L183-(A184-A183)))),0)</f>
        <v>0</v>
      </c>
      <c r="M184">
        <f ca="1" t="shared" si="37"/>
        <v>0</v>
      </c>
      <c r="N184">
        <f ca="1">IFERROR(IF(AND(COUNTIF(B184,"*-峰插*"),技能数据库!$M$72&gt;0),0,IF(COUNTIF(B184,"*云飞*")&gt;0,4-COUNTIF(B184,"*玉山揽云*")*4--COUNTIF(B184,"*烟流暮景*")*4-COUNTIF(B184,"*云景*")*加速!$L$11-IF(J184&gt;0,2,0),MAX(0,N183-(A184-A183)-IF(J184&gt;0,2,0)))),0)</f>
        <v>0</v>
      </c>
      <c r="O184">
        <f ca="1">IF(AND(COUNTIF(IF(AND(配装计算器!$K$30&lt;&gt;"∞",0),INDEX(AU183:CB183,1,$AT$1),INDEX(AU185:CB185,1,$AT$1)),"*云飞*")=1,COUNTIF(IF(AND(配装计算器!$K$30&lt;&gt;"∞",0),INDEX(AU183:CB183,1,$AT$1),INDEX(AU185:CB185,1,$AT$1)),"*玉山*")=0),N184,0)</f>
        <v>0</v>
      </c>
      <c r="P184">
        <f ca="1">IFERROR(IF(COUNTIF(B184,"*云栖松*")&gt;0,50-加速!$L$11,MAX(0,P183-(A184-A183))),0)</f>
        <v>0</v>
      </c>
      <c r="Q184">
        <f ca="1">IF(COUNTIF(IF(AND(配装计算器!$K$30&lt;&gt;"∞",0),INDEX(AU183:CB183,1,$AT$1),INDEX(AU185:CB185,1,$AT$1)),"*云栖松*")=1,P184,0)</f>
        <v>0</v>
      </c>
      <c r="R184">
        <f ca="1">IFERROR(IF(COUNTIF(B184,"*莺鸣柳*")&gt;0,45-加速!$L$9,MAX(0,R183-(A184-A183))),0)</f>
        <v>0</v>
      </c>
      <c r="S184">
        <f ca="1">IF(COUNTIF(IF(AND(配装计算器!$K$30&lt;&gt;"∞",0),INDEX(AU183:CB183,1,$AT$1),INDEX(AU185:CB185,1,$AT$1)),"*莺鸣柳*")=1,R184,0)</f>
        <v>0</v>
      </c>
      <c r="T184">
        <f ca="1" t="shared" si="45"/>
        <v>0</v>
      </c>
      <c r="U184">
        <f ca="1">IF(金蛇,IF(COUNTIF(B184,"*金环戴*")+COUNTIF(B184,"*吹风醒*")&gt;0,IF(A184&lt;=3,7.125-2.625-A184-加速!$L$11,7.125+加速!$K$9-(A184+加速!$L$11-T184)),0),0)+IF(金蛇,IF(COUNTIF(B184,"*千切子裂光*")&gt;0,2+加速!$K$9-(A184+加速!$L$11-T184),0),0)</f>
        <v>0</v>
      </c>
      <c r="V184">
        <f ca="1" t="shared" si="46"/>
        <v>0</v>
      </c>
      <c r="W184">
        <f ca="1" t="shared" si="38"/>
        <v>0</v>
      </c>
      <c r="X184">
        <f ca="1">INDEX(加速!$I$13:$I$21,W184+1)</f>
        <v>0</v>
      </c>
      <c r="Y184">
        <f ca="1" t="shared" si="47"/>
        <v>0.5</v>
      </c>
      <c r="Z184">
        <f ca="1" t="shared" si="43"/>
        <v>0</v>
      </c>
      <c r="AA184">
        <f ca="1">MAX(0,IFERROR(IF(COUNTIF(B184,"*叠*")&gt;0,IF(AC183&lt;3,8-A185+A184,AA183+6.875-A185+A184),AA183-A185+A184),AA183-加速!$L$11))</f>
        <v>0</v>
      </c>
      <c r="AB184" t="e">
        <f ca="1">MAX(0,IF(COUNTIF(IF(AND(配装计算器!$K$30&lt;&gt;"∞",0),INDEX(AU184:CB184,1,$AT$1),INDEX(AU184:CB184,1,$AT$1)),"*叠1*")=1,4*25-加速!$L$11,AB183-A184+A183)-IF(OR(COUNTIF(OFFSET(AT184,0,$AT$1,1,1),"*听雷*")&gt;0,AND(碧归&gt;0,COUNTIF(OFFSET(AT184,0,$AT$1,1,1),"*风来*")&gt;0)),0,1)*1.5)</f>
        <v>#VALUE!</v>
      </c>
      <c r="AC184">
        <f ca="1" t="shared" si="39"/>
        <v>0</v>
      </c>
      <c r="AD184">
        <f ca="1">IF(COUNTIF(IF(AND(配装计算器!$K$30&lt;&gt;"∞",0),INDEX(AU184:CB184,1,$AT$1),INDEX(AU185:CB185,1,$AT$1)),"*叠1*")=1,AB184*0+AE183,0)</f>
        <v>0</v>
      </c>
      <c r="AE184" t="e">
        <f ca="1">IF($AN$11&gt;0,IF(COUNTIF(B185,"*叠1*")&gt;0,50-加速!$L$11,MAX(0,AE183-(A185-A184))),0)</f>
        <v>#VALUE!</v>
      </c>
      <c r="AG184">
        <f ca="1" t="shared" si="40"/>
        <v>5</v>
      </c>
      <c r="AH184" t="s">
        <v>1825</v>
      </c>
      <c r="AI184" s="161" t="s">
        <v>2861</v>
      </c>
      <c r="AJ184">
        <f ca="1">SUM(AJ182:AJ183)</f>
        <v>0</v>
      </c>
      <c r="AK184" t="s">
        <v>2750</v>
      </c>
      <c r="AU184" t="s">
        <v>2768</v>
      </c>
      <c r="AV184">
        <v>2</v>
      </c>
      <c r="AW184" t="s">
        <v>2776</v>
      </c>
      <c r="AX184">
        <v>2</v>
      </c>
      <c r="AY184" t="s">
        <v>3010</v>
      </c>
      <c r="AZ184">
        <v>2</v>
      </c>
      <c r="BA184" t="s">
        <v>3013</v>
      </c>
      <c r="BB184">
        <v>2</v>
      </c>
      <c r="BC184" t="s">
        <v>2813</v>
      </c>
      <c r="BD184">
        <v>0</v>
      </c>
      <c r="BE184" t="s">
        <v>2768</v>
      </c>
      <c r="BF184">
        <v>2</v>
      </c>
      <c r="BG184" t="s">
        <v>2768</v>
      </c>
      <c r="BH184">
        <v>2</v>
      </c>
      <c r="BI184" t="s">
        <v>2768</v>
      </c>
      <c r="BJ184">
        <v>0</v>
      </c>
      <c r="BK184" s="176" t="s">
        <v>2776</v>
      </c>
      <c r="BL184">
        <v>2</v>
      </c>
      <c r="BM184" t="str">
        <f>IF(0,"云飞玉皇-玉山揽云","夕照雷峰")</f>
        <v>夕照雷峰</v>
      </c>
      <c r="BN184">
        <v>2</v>
      </c>
      <c r="BO184" s="176" t="s">
        <v>2776</v>
      </c>
      <c r="BP184">
        <v>2</v>
      </c>
      <c r="BQ184" t="s">
        <v>2776</v>
      </c>
      <c r="BR184">
        <v>1</v>
      </c>
      <c r="BS184" t="s">
        <v>2768</v>
      </c>
      <c r="BT184">
        <v>0</v>
      </c>
      <c r="BU184" t="s">
        <v>2768</v>
      </c>
      <c r="BV184">
        <v>1</v>
      </c>
      <c r="BW184" s="179" t="s">
        <v>2768</v>
      </c>
      <c r="BX184" s="179">
        <v>2</v>
      </c>
      <c r="BY184" s="176" t="s">
        <v>2794</v>
      </c>
      <c r="BZ184">
        <v>2</v>
      </c>
      <c r="CA184" s="176" t="s">
        <v>2794</v>
      </c>
      <c r="CB184">
        <v>2</v>
      </c>
    </row>
    <row r="185" spans="1:80">
      <c r="A185" s="178" t="str">
        <f ca="1">IFERROR(IF(AG184&lt;5+金蛇*2,IF(COUNTIF(B184,"*轻*")&gt;0,A184+加速!$L$9,A184+加速!$L$11)+V184,""),"")</f>
        <v/>
      </c>
      <c r="B185" s="167" t="str">
        <f ca="1" t="shared" si="35"/>
        <v/>
      </c>
      <c r="C185" t="str">
        <f ca="1" t="shared" si="44"/>
        <v/>
      </c>
      <c r="D185" t="str">
        <f ca="1">IF(B185&lt;&gt;"",IF(C184&lt;=加速!$L$11*(1-E185),0,1),"")</f>
        <v/>
      </c>
      <c r="E185">
        <f ca="1" t="shared" si="41"/>
        <v>1</v>
      </c>
      <c r="G185" t="str">
        <f ca="1" t="shared" si="42"/>
        <v/>
      </c>
      <c r="H185" t="str">
        <f ca="1">IF(B185&lt;&gt;"",IF(AND(COUNTIF(B184,"*轻*莺鸣柳*")&gt;0,COUNTIF(B185,"*轻*")&lt;1),MAX(0,15+I184-(A185-A184)+COUNTIF(B184,"*平湖*")*0),IF(AND(E185=0,MAX(0,H184-(A185-A184))&lt;=加速!$H$11),0,MAX(0,H184-(A185-A184)))),"")</f>
        <v/>
      </c>
      <c r="I185" t="str">
        <f ca="1" t="shared" si="48"/>
        <v/>
      </c>
      <c r="J185" t="str">
        <f ca="1" t="shared" si="49"/>
        <v/>
      </c>
      <c r="K185" t="str">
        <f ca="1" t="shared" si="36"/>
        <v/>
      </c>
      <c r="L185">
        <f ca="1">IFERROR(IF(AND(COUNTIF(B185,"*-峰插*"),技能数据库!$M$72&gt;0),0,IF(COUNTIF(B185,"*鹤归*")&gt;0,16-加速!$L$11,MAX(0,L184-(A185-A184)))),0)</f>
        <v>0</v>
      </c>
      <c r="M185">
        <f ca="1" t="shared" si="37"/>
        <v>0</v>
      </c>
      <c r="N185">
        <f ca="1">IFERROR(IF(AND(COUNTIF(B185,"*-峰插*"),技能数据库!$M$72&gt;0),0,IF(COUNTIF(B185,"*云飞*")&gt;0,4-COUNTIF(B185,"*玉山揽云*")*4--COUNTIF(B185,"*烟流暮景*")*4-COUNTIF(B185,"*云景*")*加速!$L$11-IF(J185&gt;0,2,0),MAX(0,N184-(A185-A184)-IF(J185&gt;0,2,0)))),0)</f>
        <v>0</v>
      </c>
      <c r="O185">
        <f ca="1">IF(AND(COUNTIF(IF(AND(配装计算器!$K$30&lt;&gt;"∞",0),INDEX(AU184:CB184,1,$AT$1),INDEX(AU186:CB186,1,$AT$1)),"*云飞*")=1,COUNTIF(IF(AND(配装计算器!$K$30&lt;&gt;"∞",0),INDEX(AU184:CB184,1,$AT$1),INDEX(AU186:CB186,1,$AT$1)),"*玉山*")=0),N185,0)</f>
        <v>0</v>
      </c>
      <c r="P185">
        <f ca="1">IFERROR(IF(COUNTIF(B185,"*云栖松*")&gt;0,50-加速!$L$11,MAX(0,P184-(A185-A184))),0)</f>
        <v>0</v>
      </c>
      <c r="Q185">
        <f ca="1">IF(COUNTIF(IF(AND(配装计算器!$K$30&lt;&gt;"∞",0),INDEX(AU184:CB184,1,$AT$1),INDEX(AU186:CB186,1,$AT$1)),"*云栖松*")=1,P185,0)</f>
        <v>0</v>
      </c>
      <c r="R185">
        <f ca="1">IFERROR(IF(COUNTIF(B185,"*莺鸣柳*")&gt;0,45-加速!$L$9,MAX(0,R184-(A185-A184))),0)</f>
        <v>0</v>
      </c>
      <c r="S185">
        <f ca="1">IF(COUNTIF(IF(AND(配装计算器!$K$30&lt;&gt;"∞",0),INDEX(AU184:CB184,1,$AT$1),INDEX(AU186:CB186,1,$AT$1)),"*莺鸣柳*")=1,R185,0)</f>
        <v>0</v>
      </c>
      <c r="T185">
        <f ca="1" t="shared" si="45"/>
        <v>0</v>
      </c>
      <c r="U185">
        <f ca="1">IF(金蛇,IF(COUNTIF(B185,"*金环戴*")+COUNTIF(B185,"*吹风醒*")&gt;0,IF(A185&lt;=3,7.125-2.625-A185-加速!$L$11,7.125+加速!$K$9-(A185+加速!$L$11-T185)),0),0)+IF(金蛇,IF(COUNTIF(B185,"*千切子裂光*")&gt;0,2+加速!$K$9-(A185+加速!$L$11-T185),0),0)</f>
        <v>0</v>
      </c>
      <c r="V185">
        <f ca="1" t="shared" si="46"/>
        <v>0</v>
      </c>
      <c r="W185">
        <f ca="1" t="shared" si="38"/>
        <v>0</v>
      </c>
      <c r="X185">
        <f ca="1">INDEX(加速!$I$13:$I$21,W185+1)</f>
        <v>0</v>
      </c>
      <c r="Y185">
        <f ca="1" t="shared" si="47"/>
        <v>0.5</v>
      </c>
      <c r="Z185">
        <f ca="1" t="shared" si="43"/>
        <v>0</v>
      </c>
      <c r="AA185">
        <f ca="1">MAX(0,IFERROR(IF(COUNTIF(B185,"*叠*")&gt;0,IF(AC184&lt;3,8-A186+A185,AA184+6.875-A186+A185),AA184-A186+A185),AA184-加速!$L$11))</f>
        <v>0</v>
      </c>
      <c r="AB185" t="e">
        <f ca="1">MAX(0,IF(COUNTIF(IF(AND(配装计算器!$K$30&lt;&gt;"∞",0),INDEX(AU185:CB185,1,$AT$1),INDEX(AU185:CB185,1,$AT$1)),"*叠1*")=1,4*25-加速!$L$11,AB184-A185+A184)-IF(OR(COUNTIF(OFFSET(AT185,0,$AT$1,1,1),"*听雷*")&gt;0,AND(碧归&gt;0,COUNTIF(OFFSET(AT185,0,$AT$1,1,1),"*风来*")&gt;0)),0,1)*1.5)</f>
        <v>#VALUE!</v>
      </c>
      <c r="AC185">
        <f ca="1" t="shared" si="39"/>
        <v>0</v>
      </c>
      <c r="AD185">
        <f ca="1">IF(COUNTIF(IF(AND(配装计算器!$K$30&lt;&gt;"∞",0),INDEX(AU185:CB185,1,$AT$1),INDEX(AU186:CB186,1,$AT$1)),"*叠1*")=1,AB185*0+AE184,0)</f>
        <v>0</v>
      </c>
      <c r="AE185" t="e">
        <f ca="1">IF($AN$11&gt;0,IF(COUNTIF(B186,"*叠1*")&gt;0,50-加速!$L$11,MAX(0,AE184-(A186-A185))),0)</f>
        <v>#VALUE!</v>
      </c>
      <c r="AG185">
        <f ca="1" t="shared" si="40"/>
        <v>5</v>
      </c>
      <c r="AH185" t="s">
        <v>1825</v>
      </c>
      <c r="AI185" t="s">
        <v>2902</v>
      </c>
      <c r="AJ185">
        <f ca="1">循环比*COUNTIFS($B$3:$B$515,"*"&amp;AI185&amp;"*",$D$3:$D$515,1,$AC$3:$AC$515,3)</f>
        <v>20</v>
      </c>
      <c r="AK185" t="s">
        <v>3110</v>
      </c>
      <c r="AU185" t="s">
        <v>2768</v>
      </c>
      <c r="AV185">
        <v>2</v>
      </c>
      <c r="AW185" t="s">
        <v>2768</v>
      </c>
      <c r="AX185">
        <v>2</v>
      </c>
      <c r="AY185" t="s">
        <v>3013</v>
      </c>
      <c r="AZ185">
        <v>2</v>
      </c>
      <c r="BA185" t="s">
        <v>3017</v>
      </c>
      <c r="BB185">
        <v>2</v>
      </c>
      <c r="BC185" t="s">
        <v>2776</v>
      </c>
      <c r="BD185">
        <v>2</v>
      </c>
      <c r="BE185" t="s">
        <v>2794</v>
      </c>
      <c r="BF185">
        <v>2</v>
      </c>
      <c r="BG185" t="s">
        <v>3018</v>
      </c>
      <c r="BH185">
        <v>2</v>
      </c>
      <c r="BI185" t="s">
        <v>2768</v>
      </c>
      <c r="BJ185">
        <v>0</v>
      </c>
      <c r="BK185" t="s">
        <v>2768</v>
      </c>
      <c r="BL185">
        <v>1</v>
      </c>
      <c r="BM185" t="str">
        <f>IF(0,"云飞玉皇-玉山揽云","夕照雷峰")</f>
        <v>夕照雷峰</v>
      </c>
      <c r="BN185">
        <v>2</v>
      </c>
      <c r="BO185" s="176" t="s">
        <v>2768</v>
      </c>
      <c r="BP185">
        <v>2</v>
      </c>
      <c r="BQ185" t="s">
        <v>2768</v>
      </c>
      <c r="BR185">
        <v>1</v>
      </c>
      <c r="BS185" t="s">
        <v>2776</v>
      </c>
      <c r="BT185">
        <v>0</v>
      </c>
      <c r="BU185" t="s">
        <v>3011</v>
      </c>
      <c r="BV185">
        <v>2</v>
      </c>
      <c r="BW185" s="179" t="s">
        <v>2776</v>
      </c>
      <c r="BX185" s="179">
        <v>2</v>
      </c>
      <c r="BY185" s="176" t="str">
        <f>IF(0,"云飞玉皇-玉山揽云","夕照雷峰")</f>
        <v>夕照雷峰</v>
      </c>
      <c r="BZ185">
        <v>2</v>
      </c>
      <c r="CA185" t="str">
        <f>IF(0,"云飞玉皇-玉山揽云","夕照雷峰")</f>
        <v>夕照雷峰</v>
      </c>
      <c r="CB185">
        <v>2</v>
      </c>
    </row>
    <row r="186" spans="1:80">
      <c r="A186" s="178" t="str">
        <f ca="1">IFERROR(IF(AG185&lt;5+金蛇*2,IF(COUNTIF(B185,"*轻*")&gt;0,A185+加速!$L$9,A185+加速!$L$11)+V185,""),"")</f>
        <v/>
      </c>
      <c r="B186" s="167" t="str">
        <f ca="1" t="shared" si="35"/>
        <v/>
      </c>
      <c r="C186" t="str">
        <f ca="1" t="shared" si="44"/>
        <v/>
      </c>
      <c r="D186" t="str">
        <f ca="1">IF(B186&lt;&gt;"",IF(C185&lt;=加速!$L$11*(1-E186),0,1),"")</f>
        <v/>
      </c>
      <c r="E186">
        <f ca="1" t="shared" si="41"/>
        <v>1</v>
      </c>
      <c r="G186" t="str">
        <f ca="1" t="shared" si="42"/>
        <v/>
      </c>
      <c r="H186" t="str">
        <f ca="1">IF(B186&lt;&gt;"",IF(AND(COUNTIF(B185,"*轻*莺鸣柳*")&gt;0,COUNTIF(B186,"*轻*")&lt;1),MAX(0,15+I185-(A186-A185)+COUNTIF(B185,"*平湖*")*0),IF(AND(E186=0,MAX(0,H185-(A186-A185))&lt;=加速!$H$11),0,MAX(0,H185-(A186-A185)))),"")</f>
        <v/>
      </c>
      <c r="I186" t="str">
        <f ca="1" t="shared" si="48"/>
        <v/>
      </c>
      <c r="J186" t="str">
        <f ca="1" t="shared" si="49"/>
        <v/>
      </c>
      <c r="K186" t="str">
        <f ca="1" t="shared" si="36"/>
        <v/>
      </c>
      <c r="L186">
        <f ca="1">IFERROR(IF(AND(COUNTIF(B186,"*-峰插*"),技能数据库!$M$72&gt;0),0,IF(COUNTIF(B186,"*鹤归*")&gt;0,16-加速!$L$11,MAX(0,L185-(A186-A185)))),0)</f>
        <v>0</v>
      </c>
      <c r="M186">
        <f ca="1" t="shared" si="37"/>
        <v>0</v>
      </c>
      <c r="N186">
        <f ca="1">IFERROR(IF(AND(COUNTIF(B186,"*-峰插*"),技能数据库!$M$72&gt;0),0,IF(COUNTIF(B186,"*云飞*")&gt;0,4-COUNTIF(B186,"*玉山揽云*")*4--COUNTIF(B186,"*烟流暮景*")*4-COUNTIF(B186,"*云景*")*加速!$L$11-IF(J186&gt;0,2,0),MAX(0,N185-(A186-A185)-IF(J186&gt;0,2,0)))),0)</f>
        <v>0</v>
      </c>
      <c r="O186">
        <f ca="1">IF(AND(COUNTIF(IF(AND(配装计算器!$K$30&lt;&gt;"∞",0),INDEX(AU185:CB185,1,$AT$1),INDEX(AU187:CB187,1,$AT$1)),"*云飞*")=1,COUNTIF(IF(AND(配装计算器!$K$30&lt;&gt;"∞",0),INDEX(AU185:CB185,1,$AT$1),INDEX(AU187:CB187,1,$AT$1)),"*玉山*")=0),N186,0)</f>
        <v>0</v>
      </c>
      <c r="P186">
        <f ca="1">IFERROR(IF(COUNTIF(B186,"*云栖松*")&gt;0,50-加速!$L$11,MAX(0,P185-(A186-A185))),0)</f>
        <v>0</v>
      </c>
      <c r="Q186">
        <f ca="1">IF(COUNTIF(IF(AND(配装计算器!$K$30&lt;&gt;"∞",0),INDEX(AU185:CB185,1,$AT$1),INDEX(AU187:CB187,1,$AT$1)),"*云栖松*")=1,P186,0)</f>
        <v>0</v>
      </c>
      <c r="R186">
        <f ca="1">IFERROR(IF(COUNTIF(B186,"*莺鸣柳*")&gt;0,45-加速!$L$9,MAX(0,R185-(A186-A185))),0)</f>
        <v>0</v>
      </c>
      <c r="S186">
        <f ca="1">IF(COUNTIF(IF(AND(配装计算器!$K$30&lt;&gt;"∞",0),INDEX(AU185:CB185,1,$AT$1),INDEX(AU187:CB187,1,$AT$1)),"*莺鸣柳*")=1,R186,0)</f>
        <v>0</v>
      </c>
      <c r="T186">
        <f ca="1" t="shared" si="45"/>
        <v>0</v>
      </c>
      <c r="U186">
        <f ca="1">IF(金蛇,IF(COUNTIF(B186,"*金环戴*")+COUNTIF(B186,"*吹风醒*")&gt;0,IF(A186&lt;=3,7.125-2.625-A186-加速!$L$11,7.125+加速!$K$9-(A186+加速!$L$11-T186)),0),0)+IF(金蛇,IF(COUNTIF(B186,"*千切子裂光*")&gt;0,2+加速!$K$9-(A186+加速!$L$11-T186),0),0)</f>
        <v>0</v>
      </c>
      <c r="V186">
        <f ca="1" t="shared" si="46"/>
        <v>0</v>
      </c>
      <c r="W186">
        <f ca="1" t="shared" si="38"/>
        <v>0</v>
      </c>
      <c r="X186">
        <f ca="1">INDEX(加速!$I$13:$I$21,W186+1)</f>
        <v>0</v>
      </c>
      <c r="Y186">
        <f ca="1" t="shared" si="47"/>
        <v>0.5</v>
      </c>
      <c r="Z186">
        <f ca="1" t="shared" si="43"/>
        <v>0</v>
      </c>
      <c r="AA186">
        <f ca="1">MAX(0,IFERROR(IF(COUNTIF(B186,"*叠*")&gt;0,IF(AC185&lt;3,8-A187+A186,AA185+6.875-A187+A186),AA185-A187+A186),AA185-加速!$L$11))</f>
        <v>0</v>
      </c>
      <c r="AB186" t="e">
        <f ca="1">MAX(0,IF(COUNTIF(IF(AND(配装计算器!$K$30&lt;&gt;"∞",0),INDEX(AU186:CB186,1,$AT$1),INDEX(AU186:CB186,1,$AT$1)),"*叠1*")=1,4*25-加速!$L$11,AB185-A186+A185)-IF(OR(COUNTIF(OFFSET(AT186,0,$AT$1,1,1),"*听雷*")&gt;0,AND(碧归&gt;0,COUNTIF(OFFSET(AT186,0,$AT$1,1,1),"*风来*")&gt;0)),0,1)*1.5)</f>
        <v>#VALUE!</v>
      </c>
      <c r="AC186">
        <f ca="1" t="shared" si="39"/>
        <v>0</v>
      </c>
      <c r="AD186">
        <f ca="1">IF(COUNTIF(IF(AND(配装计算器!$K$30&lt;&gt;"∞",0),INDEX(AU186:CB186,1,$AT$1),INDEX(AU187:CB187,1,$AT$1)),"*叠1*")=1,AB186*0+AE185,0)</f>
        <v>0</v>
      </c>
      <c r="AE186" t="e">
        <f ca="1">IF($AN$11&gt;0,IF(COUNTIF(B187,"*叠1*")&gt;0,50-加速!$L$11,MAX(0,AE185-(A187-A186))),0)</f>
        <v>#VALUE!</v>
      </c>
      <c r="AG186">
        <f ca="1" t="shared" si="40"/>
        <v>5</v>
      </c>
      <c r="AH186" t="s">
        <v>1825</v>
      </c>
      <c r="AI186" t="s">
        <v>2776</v>
      </c>
      <c r="AJ186">
        <f ca="1">循环比*COUNTIFS($B$3:$B$515,"*"&amp;AI186&amp;"*",$D$3:$D$515,"=1",$H$3:$H$515,"=0",$G$3:$G$515,"&gt;0",$K$3:$K$515,"=2",$AC$3:$AC$515,"=1")-AJ192</f>
        <v>0</v>
      </c>
      <c r="AK186" t="s">
        <v>3111</v>
      </c>
      <c r="AU186" s="176" t="s">
        <v>2794</v>
      </c>
      <c r="AV186">
        <v>2</v>
      </c>
      <c r="AW186" t="str">
        <f>IF($AR$11=1,"云飞玉皇-玉山揽云","夕照雷峰")</f>
        <v>夕照雷峰</v>
      </c>
      <c r="AX186">
        <v>2</v>
      </c>
      <c r="AY186" t="s">
        <v>3017</v>
      </c>
      <c r="AZ186">
        <v>2</v>
      </c>
      <c r="BA186" t="s">
        <v>2808</v>
      </c>
      <c r="BB186">
        <v>2</v>
      </c>
      <c r="BC186" t="s">
        <v>2768</v>
      </c>
      <c r="BD186">
        <v>2</v>
      </c>
      <c r="BE186" t="s">
        <v>2768</v>
      </c>
      <c r="BF186">
        <v>2</v>
      </c>
      <c r="BG186" t="s">
        <v>2768</v>
      </c>
      <c r="BH186">
        <v>2</v>
      </c>
      <c r="BI186" t="s">
        <v>2722</v>
      </c>
      <c r="BJ186">
        <v>0</v>
      </c>
      <c r="BK186" t="s">
        <v>2776</v>
      </c>
      <c r="BL186">
        <v>1</v>
      </c>
      <c r="BM186" t="str">
        <f>IF(0,"云飞玉皇-玉山揽云","云飞玉皇")</f>
        <v>云飞玉皇</v>
      </c>
      <c r="BN186">
        <v>2</v>
      </c>
      <c r="BO186" s="176" t="s">
        <v>2776</v>
      </c>
      <c r="BP186">
        <v>2</v>
      </c>
      <c r="BQ186" t="s">
        <v>2768</v>
      </c>
      <c r="BR186">
        <v>0</v>
      </c>
      <c r="BS186" t="s">
        <v>2768</v>
      </c>
      <c r="BT186">
        <v>0</v>
      </c>
      <c r="BU186" t="s">
        <v>2768</v>
      </c>
      <c r="BV186">
        <v>2</v>
      </c>
      <c r="BW186" s="182" t="s">
        <v>2794</v>
      </c>
      <c r="BX186" s="179">
        <v>2</v>
      </c>
      <c r="BY186" s="176" t="str">
        <f>IF(0,"云飞玉皇-玉山揽云","云飞玉皇")</f>
        <v>云飞玉皇</v>
      </c>
      <c r="BZ186">
        <v>2</v>
      </c>
      <c r="CA186" t="str">
        <f>IF(0,"云飞玉皇-玉山揽云","云飞玉皇")</f>
        <v>云飞玉皇</v>
      </c>
      <c r="CB186">
        <v>2</v>
      </c>
    </row>
    <row r="187" spans="1:80">
      <c r="A187" s="178" t="str">
        <f ca="1">IFERROR(IF(AG186&lt;5+金蛇*2,IF(COUNTIF(B186,"*轻*")&gt;0,A186+加速!$L$9,A186+加速!$L$11)+V186,""),"")</f>
        <v/>
      </c>
      <c r="B187" s="167" t="str">
        <f ca="1" t="shared" si="35"/>
        <v/>
      </c>
      <c r="C187" t="str">
        <f ca="1" t="shared" si="44"/>
        <v/>
      </c>
      <c r="D187" t="str">
        <f ca="1">IF(B187&lt;&gt;"",IF(C186&lt;=加速!$L$11*(1-E187),0,1),"")</f>
        <v/>
      </c>
      <c r="E187">
        <f ca="1" t="shared" si="41"/>
        <v>1</v>
      </c>
      <c r="G187" t="str">
        <f ca="1" t="shared" si="42"/>
        <v/>
      </c>
      <c r="H187" t="str">
        <f ca="1">IF(B187&lt;&gt;"",IF(AND(COUNTIF(B186,"*轻*莺鸣柳*")&gt;0,COUNTIF(B187,"*轻*")&lt;1),MAX(0,15+I186-(A187-A186)+COUNTIF(B186,"*平湖*")*0),IF(AND(E187=0,MAX(0,H186-(A187-A186))&lt;=加速!$H$11),0,MAX(0,H186-(A187-A186)))),"")</f>
        <v/>
      </c>
      <c r="I187" t="str">
        <f ca="1" t="shared" si="48"/>
        <v/>
      </c>
      <c r="J187" t="str">
        <f ca="1" t="shared" si="49"/>
        <v/>
      </c>
      <c r="K187" t="str">
        <f ca="1" t="shared" si="36"/>
        <v/>
      </c>
      <c r="L187">
        <f ca="1">IFERROR(IF(AND(COUNTIF(B187,"*-峰插*"),技能数据库!$M$72&gt;0),0,IF(COUNTIF(B187,"*鹤归*")&gt;0,16-加速!$L$11,MAX(0,L186-(A187-A186)))),0)</f>
        <v>0</v>
      </c>
      <c r="M187">
        <f ca="1" t="shared" si="37"/>
        <v>0</v>
      </c>
      <c r="N187">
        <f ca="1">IFERROR(IF(AND(COUNTIF(B187,"*-峰插*"),技能数据库!$M$72&gt;0),0,IF(COUNTIF(B187,"*云飞*")&gt;0,4-COUNTIF(B187,"*玉山揽云*")*4--COUNTIF(B187,"*烟流暮景*")*4-COUNTIF(B187,"*云景*")*加速!$L$11-IF(J187&gt;0,2,0),MAX(0,N186-(A187-A186)-IF(J187&gt;0,2,0)))),0)</f>
        <v>0</v>
      </c>
      <c r="O187">
        <f ca="1">IF(AND(COUNTIF(IF(AND(配装计算器!$K$30&lt;&gt;"∞",0),INDEX(AU186:CB186,1,$AT$1),INDEX(AU188:CB188,1,$AT$1)),"*云飞*")=1,COUNTIF(IF(AND(配装计算器!$K$30&lt;&gt;"∞",0),INDEX(AU186:CB186,1,$AT$1),INDEX(AU188:CB188,1,$AT$1)),"*玉山*")=0),N187,0)</f>
        <v>0</v>
      </c>
      <c r="P187">
        <f ca="1">IFERROR(IF(COUNTIF(B187,"*云栖松*")&gt;0,50-加速!$L$11,MAX(0,P186-(A187-A186))),0)</f>
        <v>0</v>
      </c>
      <c r="Q187">
        <f ca="1">IF(COUNTIF(IF(AND(配装计算器!$K$30&lt;&gt;"∞",0),INDEX(AU186:CB186,1,$AT$1),INDEX(AU188:CB188,1,$AT$1)),"*云栖松*")=1,P187,0)</f>
        <v>0</v>
      </c>
      <c r="R187">
        <f ca="1">IFERROR(IF(COUNTIF(B187,"*莺鸣柳*")&gt;0,45-加速!$L$9,MAX(0,R186-(A187-A186))),0)</f>
        <v>0</v>
      </c>
      <c r="S187">
        <f ca="1">IF(COUNTIF(IF(AND(配装计算器!$K$30&lt;&gt;"∞",0),INDEX(AU186:CB186,1,$AT$1),INDEX(AU188:CB188,1,$AT$1)),"*莺鸣柳*")=1,R187,0)</f>
        <v>0</v>
      </c>
      <c r="T187">
        <f ca="1" t="shared" si="45"/>
        <v>0</v>
      </c>
      <c r="U187">
        <f ca="1">IF(金蛇,IF(COUNTIF(B187,"*金环戴*")+COUNTIF(B187,"*吹风醒*")&gt;0,IF(A187&lt;=3,7.125-2.625-A187-加速!$L$11,7.125+加速!$K$9-(A187+加速!$L$11-T187)),0),0)+IF(金蛇,IF(COUNTIF(B187,"*千切子裂光*")&gt;0,2+加速!$K$9-(A187+加速!$L$11-T187),0),0)</f>
        <v>0</v>
      </c>
      <c r="V187">
        <f ca="1" t="shared" si="46"/>
        <v>0</v>
      </c>
      <c r="W187">
        <f ca="1" t="shared" si="38"/>
        <v>0</v>
      </c>
      <c r="X187">
        <f ca="1">INDEX(加速!$I$13:$I$21,W187+1)</f>
        <v>0</v>
      </c>
      <c r="Y187">
        <f ca="1" t="shared" si="47"/>
        <v>0.5</v>
      </c>
      <c r="Z187">
        <f ca="1" t="shared" si="43"/>
        <v>0</v>
      </c>
      <c r="AA187">
        <f ca="1">MAX(0,IFERROR(IF(COUNTIF(B187,"*叠*")&gt;0,IF(AC186&lt;3,8-A188+A187,AA186+6.875-A188+A187),AA186-A188+A187),AA186-加速!$L$11))</f>
        <v>0</v>
      </c>
      <c r="AB187" t="e">
        <f ca="1">MAX(0,IF(COUNTIF(IF(AND(配装计算器!$K$30&lt;&gt;"∞",0),INDEX(AU187:CB187,1,$AT$1),INDEX(AU187:CB187,1,$AT$1)),"*叠1*")=1,4*25-加速!$L$11,AB186-A187+A186)-IF(OR(COUNTIF(OFFSET(AT187,0,$AT$1,1,1),"*听雷*")&gt;0,AND(碧归&gt;0,COUNTIF(OFFSET(AT187,0,$AT$1,1,1),"*风来*")&gt;0)),0,1)*1.5)</f>
        <v>#VALUE!</v>
      </c>
      <c r="AC187">
        <f ca="1" t="shared" si="39"/>
        <v>0</v>
      </c>
      <c r="AD187">
        <f ca="1">IF(COUNTIF(IF(AND(配装计算器!$K$30&lt;&gt;"∞",0),INDEX(AU187:CB187,1,$AT$1),INDEX(AU188:CB188,1,$AT$1)),"*叠1*")=1,AB187*0+AE186,0)</f>
        <v>0</v>
      </c>
      <c r="AE187" t="e">
        <f ca="1">IF($AN$11&gt;0,IF(COUNTIF(B188,"*叠1*")&gt;0,50-加速!$L$11,MAX(0,AE186-(A188-A187))),0)</f>
        <v>#VALUE!</v>
      </c>
      <c r="AG187">
        <f ca="1" t="shared" si="40"/>
        <v>5</v>
      </c>
      <c r="AH187" t="s">
        <v>1825</v>
      </c>
      <c r="AI187" t="s">
        <v>2776</v>
      </c>
      <c r="AJ187">
        <f ca="1">循环比*COUNTIFS($B$3:$B$515,"*"&amp;AI187&amp;"*",$D$3:$D$515,"=1",$H$3:$H$515,"=0",$G$3:$G$515,"&gt;0",$K$3:$K$515,"=2",$AC$3:$AC$515,"=2")-AJ193</f>
        <v>0</v>
      </c>
      <c r="AK187" t="s">
        <v>3112</v>
      </c>
      <c r="AU187" s="176" t="s">
        <v>2776</v>
      </c>
      <c r="AV187">
        <v>2</v>
      </c>
      <c r="AW187" t="str">
        <f>IF($AR$11=1,"云飞玉皇-玉山揽云","夕照雷峰")</f>
        <v>夕照雷峰</v>
      </c>
      <c r="AX187">
        <v>2</v>
      </c>
      <c r="AY187" t="s">
        <v>2808</v>
      </c>
      <c r="AZ187">
        <v>2</v>
      </c>
      <c r="BA187" t="s">
        <v>3022</v>
      </c>
      <c r="BB187">
        <v>2</v>
      </c>
      <c r="BC187" t="s">
        <v>2768</v>
      </c>
      <c r="BD187">
        <v>2</v>
      </c>
      <c r="BE187" t="s">
        <v>2776</v>
      </c>
      <c r="BF187">
        <v>2</v>
      </c>
      <c r="BG187" s="182" t="s">
        <v>3023</v>
      </c>
      <c r="BH187">
        <v>2</v>
      </c>
      <c r="BI187" t="s">
        <v>2776</v>
      </c>
      <c r="BJ187">
        <v>2</v>
      </c>
      <c r="BK187" t="s">
        <v>2768</v>
      </c>
      <c r="BL187">
        <v>0</v>
      </c>
      <c r="BM187" t="str">
        <f>IF(0,"云飞玉皇-玉山揽云","夕照雷峰")</f>
        <v>夕照雷峰</v>
      </c>
      <c r="BN187">
        <v>2</v>
      </c>
      <c r="BO187" s="176" t="s">
        <v>2768</v>
      </c>
      <c r="BP187">
        <v>2</v>
      </c>
      <c r="BQ187" t="s">
        <v>3010</v>
      </c>
      <c r="BR187">
        <v>2</v>
      </c>
      <c r="BS187" t="s">
        <v>3074</v>
      </c>
      <c r="BT187">
        <v>2</v>
      </c>
      <c r="BU187" t="s">
        <v>3018</v>
      </c>
      <c r="BV187">
        <v>2</v>
      </c>
      <c r="BW187" s="182" t="s">
        <v>2768</v>
      </c>
      <c r="BX187" s="179">
        <v>2</v>
      </c>
      <c r="BY187" s="176" t="str">
        <f>IF(0,橙武补雾锁,"夕照雷峰")</f>
        <v>夕照雷峰</v>
      </c>
      <c r="BZ187">
        <v>2</v>
      </c>
      <c r="CA187" t="str">
        <f>IF(0,橙武补雾锁,"夕照雷峰")</f>
        <v>夕照雷峰</v>
      </c>
      <c r="CB187">
        <v>2</v>
      </c>
    </row>
    <row r="188" spans="1:80">
      <c r="A188" s="178" t="str">
        <f ca="1">IFERROR(IF(AG187&lt;5+金蛇*2,IF(COUNTIF(B187,"*轻*")&gt;0,A187+加速!$L$9,A187+加速!$L$11)+V187,""),"")</f>
        <v/>
      </c>
      <c r="B188" s="167" t="str">
        <f ca="1" t="shared" si="35"/>
        <v/>
      </c>
      <c r="C188" t="str">
        <f ca="1" t="shared" si="44"/>
        <v/>
      </c>
      <c r="D188" t="str">
        <f ca="1">IF(B188&lt;&gt;"",IF(C187&lt;=加速!$L$11*(1-E188),0,1),"")</f>
        <v/>
      </c>
      <c r="E188">
        <f ca="1" t="shared" si="41"/>
        <v>1</v>
      </c>
      <c r="G188" t="str">
        <f ca="1" t="shared" si="42"/>
        <v/>
      </c>
      <c r="H188" t="str">
        <f ca="1">IF(B188&lt;&gt;"",IF(AND(COUNTIF(B187,"*轻*莺鸣柳*")&gt;0,COUNTIF(B188,"*轻*")&lt;1),MAX(0,15+I187-(A188-A187)+COUNTIF(B187,"*平湖*")*0),IF(AND(E188=0,MAX(0,H187-(A188-A187))&lt;=加速!$H$11),0,MAX(0,H187-(A188-A187)))),"")</f>
        <v/>
      </c>
      <c r="I188" t="str">
        <f ca="1" t="shared" si="48"/>
        <v/>
      </c>
      <c r="J188" t="str">
        <f ca="1" t="shared" si="49"/>
        <v/>
      </c>
      <c r="K188" t="str">
        <f ca="1" t="shared" si="36"/>
        <v/>
      </c>
      <c r="L188">
        <f ca="1">IFERROR(IF(AND(COUNTIF(B188,"*-峰插*"),技能数据库!$M$72&gt;0),0,IF(COUNTIF(B188,"*鹤归*")&gt;0,16-加速!$L$11,MAX(0,L187-(A188-A187)))),0)</f>
        <v>0</v>
      </c>
      <c r="M188">
        <f ca="1" t="shared" si="37"/>
        <v>0</v>
      </c>
      <c r="N188">
        <f ca="1">IFERROR(IF(AND(COUNTIF(B188,"*-峰插*"),技能数据库!$M$72&gt;0),0,IF(COUNTIF(B188,"*云飞*")&gt;0,4-COUNTIF(B188,"*玉山揽云*")*4--COUNTIF(B188,"*烟流暮景*")*4-COUNTIF(B188,"*云景*")*加速!$L$11-IF(J188&gt;0,2,0),MAX(0,N187-(A188-A187)-IF(J188&gt;0,2,0)))),0)</f>
        <v>0</v>
      </c>
      <c r="O188">
        <f ca="1">IF(AND(COUNTIF(IF(AND(配装计算器!$K$30&lt;&gt;"∞",0),INDEX(AU187:CB187,1,$AT$1),INDEX(AU189:CB189,1,$AT$1)),"*云飞*")=1,COUNTIF(IF(AND(配装计算器!$K$30&lt;&gt;"∞",0),INDEX(AU187:CB187,1,$AT$1),INDEX(AU189:CB189,1,$AT$1)),"*玉山*")=0),N188,0)</f>
        <v>0</v>
      </c>
      <c r="P188">
        <f ca="1">IFERROR(IF(COUNTIF(B188,"*云栖松*")&gt;0,50-加速!$L$11,MAX(0,P187-(A188-A187))),0)</f>
        <v>0</v>
      </c>
      <c r="Q188">
        <f ca="1">IF(COUNTIF(IF(AND(配装计算器!$K$30&lt;&gt;"∞",0),INDEX(AU187:CB187,1,$AT$1),INDEX(AU189:CB189,1,$AT$1)),"*云栖松*")=1,P188,0)</f>
        <v>0</v>
      </c>
      <c r="R188">
        <f ca="1">IFERROR(IF(COUNTIF(B188,"*莺鸣柳*")&gt;0,45-加速!$L$9,MAX(0,R187-(A188-A187))),0)</f>
        <v>0</v>
      </c>
      <c r="S188">
        <f ca="1">IF(COUNTIF(IF(AND(配装计算器!$K$30&lt;&gt;"∞",0),INDEX(AU187:CB187,1,$AT$1),INDEX(AU189:CB189,1,$AT$1)),"*莺鸣柳*")=1,R188,0)</f>
        <v>0</v>
      </c>
      <c r="T188">
        <f ca="1" t="shared" si="45"/>
        <v>0</v>
      </c>
      <c r="U188">
        <f ca="1">IF(金蛇,IF(COUNTIF(B188,"*金环戴*")+COUNTIF(B188,"*吹风醒*")&gt;0,IF(A188&lt;=3,7.125-2.625-A188-加速!$L$11,7.125+加速!$K$9-(A188+加速!$L$11-T188)),0),0)+IF(金蛇,IF(COUNTIF(B188,"*千切子裂光*")&gt;0,2+加速!$K$9-(A188+加速!$L$11-T188),0),0)</f>
        <v>0</v>
      </c>
      <c r="V188">
        <f ca="1" t="shared" si="46"/>
        <v>0</v>
      </c>
      <c r="W188">
        <f ca="1" t="shared" si="38"/>
        <v>0</v>
      </c>
      <c r="X188">
        <f ca="1">INDEX(加速!$I$13:$I$21,W188+1)</f>
        <v>0</v>
      </c>
      <c r="Y188">
        <f ca="1" t="shared" si="47"/>
        <v>0.5</v>
      </c>
      <c r="Z188">
        <f ca="1" t="shared" si="43"/>
        <v>0</v>
      </c>
      <c r="AA188">
        <f ca="1">MAX(0,IFERROR(IF(COUNTIF(B188,"*叠*")&gt;0,IF(AC187&lt;3,8-A189+A188,AA187+6.875-A189+A188),AA187-A189+A188),AA187-加速!$L$11))</f>
        <v>0</v>
      </c>
      <c r="AB188" t="e">
        <f ca="1">MAX(0,IF(COUNTIF(IF(AND(配装计算器!$K$30&lt;&gt;"∞",0),INDEX(AU188:CB188,1,$AT$1),INDEX(AU188:CB188,1,$AT$1)),"*叠1*")=1,4*25-加速!$L$11,AB187-A188+A187)-IF(OR(COUNTIF(OFFSET(AT188,0,$AT$1,1,1),"*听雷*")&gt;0,AND(碧归&gt;0,COUNTIF(OFFSET(AT188,0,$AT$1,1,1),"*风来*")&gt;0)),0,1)*1.5)</f>
        <v>#VALUE!</v>
      </c>
      <c r="AC188">
        <f ca="1" t="shared" si="39"/>
        <v>0</v>
      </c>
      <c r="AD188">
        <f ca="1">IF(COUNTIF(IF(AND(配装计算器!$K$30&lt;&gt;"∞",0),INDEX(AU188:CB188,1,$AT$1),INDEX(AU189:CB189,1,$AT$1)),"*叠1*")=1,AB188*0+AE187,0)</f>
        <v>0</v>
      </c>
      <c r="AE188" t="e">
        <f ca="1">IF($AN$11&gt;0,IF(COUNTIF(B189,"*叠1*")&gt;0,50-加速!$L$11,MAX(0,AE187-(A189-A188))),0)</f>
        <v>#VALUE!</v>
      </c>
      <c r="AG188">
        <f ca="1" t="shared" si="40"/>
        <v>5</v>
      </c>
      <c r="AH188" t="s">
        <v>1825</v>
      </c>
      <c r="AI188" t="s">
        <v>2776</v>
      </c>
      <c r="AJ188">
        <f ca="1">循环比*COUNTIFS($B$3:$B$515,"*"&amp;AI188&amp;"*",$D$3:$D$515,"=1",$H$3:$H$515,"=0",$G$3:$G$515,"&gt;0",$K$3:$K$515,"=2",$AC$3:$AC$515,"=3")-AJ194</f>
        <v>14</v>
      </c>
      <c r="AK188" t="s">
        <v>3113</v>
      </c>
      <c r="AU188" s="176" t="s">
        <v>2768</v>
      </c>
      <c r="AV188">
        <v>1</v>
      </c>
      <c r="AW188" t="str">
        <f>IF($AR$11=1,"云飞玉皇-玉山揽云","云飞玉皇")</f>
        <v>云飞玉皇</v>
      </c>
      <c r="AX188">
        <v>2</v>
      </c>
      <c r="AY188" t="s">
        <v>3022</v>
      </c>
      <c r="AZ188">
        <v>2</v>
      </c>
      <c r="BA188" t="s">
        <v>2776</v>
      </c>
      <c r="BB188">
        <v>2</v>
      </c>
      <c r="BC188" t="s">
        <v>2768</v>
      </c>
      <c r="BD188">
        <v>1</v>
      </c>
      <c r="BE188" t="s">
        <v>2768</v>
      </c>
      <c r="BF188">
        <v>2</v>
      </c>
      <c r="BG188" s="176" t="s">
        <v>2768</v>
      </c>
      <c r="BH188">
        <v>2</v>
      </c>
      <c r="BI188" t="s">
        <v>2768</v>
      </c>
      <c r="BJ188">
        <v>2</v>
      </c>
      <c r="BK188" t="s">
        <v>3056</v>
      </c>
      <c r="BL188">
        <v>0</v>
      </c>
      <c r="BM188" s="176" t="s">
        <v>2794</v>
      </c>
      <c r="BN188">
        <v>2</v>
      </c>
      <c r="BO188" t="s">
        <v>3056</v>
      </c>
      <c r="BP188">
        <v>1</v>
      </c>
      <c r="BQ188" t="s">
        <v>3013</v>
      </c>
      <c r="BR188">
        <v>2</v>
      </c>
      <c r="BS188" t="s">
        <v>2768</v>
      </c>
      <c r="BT188">
        <v>2</v>
      </c>
      <c r="BU188" t="s">
        <v>2768</v>
      </c>
      <c r="BV188">
        <v>2</v>
      </c>
      <c r="BW188" s="182" t="s">
        <v>2776</v>
      </c>
      <c r="BX188" s="179">
        <v>2</v>
      </c>
      <c r="BY188" s="176" t="str">
        <f>IF(0,"云飞玉皇-玉山揽云","云景·云飞玉皇")</f>
        <v>云景·云飞玉皇</v>
      </c>
      <c r="BZ188">
        <v>2</v>
      </c>
      <c r="CA188" t="str">
        <f>IF(0,"云飞玉皇-玉山揽云","云景·云飞玉皇")</f>
        <v>云景·云飞玉皇</v>
      </c>
      <c r="CB188">
        <v>2</v>
      </c>
    </row>
    <row r="189" spans="1:80">
      <c r="A189" s="178" t="str">
        <f ca="1">IFERROR(IF(AG188&lt;5+金蛇*2,IF(COUNTIF(B188,"*轻*")&gt;0,A188+加速!$L$9,A188+加速!$L$11)+V188,""),"")</f>
        <v/>
      </c>
      <c r="B189" s="167" t="str">
        <f ca="1" t="shared" si="35"/>
        <v/>
      </c>
      <c r="C189" t="str">
        <f ca="1" t="shared" si="44"/>
        <v/>
      </c>
      <c r="D189" t="str">
        <f ca="1">IF(B189&lt;&gt;"",IF(C188&lt;=加速!$L$11*(1-E189),0,1),"")</f>
        <v/>
      </c>
      <c r="E189">
        <f ca="1" t="shared" si="41"/>
        <v>1</v>
      </c>
      <c r="G189" t="str">
        <f ca="1" t="shared" si="42"/>
        <v/>
      </c>
      <c r="H189" t="str">
        <f ca="1">IF(B189&lt;&gt;"",IF(AND(COUNTIF(B188,"*轻*莺鸣柳*")&gt;0,COUNTIF(B189,"*轻*")&lt;1),MAX(0,15+I188-(A189-A188)+COUNTIF(B188,"*平湖*")*0),IF(AND(E189=0,MAX(0,H188-(A189-A188))&lt;=加速!$H$11),0,MAX(0,H188-(A189-A188)))),"")</f>
        <v/>
      </c>
      <c r="I189" t="str">
        <f ca="1" t="shared" si="48"/>
        <v/>
      </c>
      <c r="J189" t="str">
        <f ca="1" t="shared" si="49"/>
        <v/>
      </c>
      <c r="K189" t="str">
        <f ca="1" t="shared" si="36"/>
        <v/>
      </c>
      <c r="L189">
        <f ca="1">IFERROR(IF(AND(COUNTIF(B189,"*-峰插*"),技能数据库!$M$72&gt;0),0,IF(COUNTIF(B189,"*鹤归*")&gt;0,16-加速!$L$11,MAX(0,L188-(A189-A188)))),0)</f>
        <v>0</v>
      </c>
      <c r="M189">
        <f ca="1" t="shared" si="37"/>
        <v>0</v>
      </c>
      <c r="N189">
        <f ca="1">IFERROR(IF(AND(COUNTIF(B189,"*-峰插*"),技能数据库!$M$72&gt;0),0,IF(COUNTIF(B189,"*云飞*")&gt;0,4-COUNTIF(B189,"*玉山揽云*")*4--COUNTIF(B189,"*烟流暮景*")*4-COUNTIF(B189,"*云景*")*加速!$L$11-IF(J189&gt;0,2,0),MAX(0,N188-(A189-A188)-IF(J189&gt;0,2,0)))),0)</f>
        <v>0</v>
      </c>
      <c r="O189">
        <f ca="1">IF(AND(COUNTIF(IF(AND(配装计算器!$K$30&lt;&gt;"∞",0),INDEX(AU188:CB188,1,$AT$1),INDEX(AU190:CB190,1,$AT$1)),"*云飞*")=1,COUNTIF(IF(AND(配装计算器!$K$30&lt;&gt;"∞",0),INDEX(AU188:CB188,1,$AT$1),INDEX(AU190:CB190,1,$AT$1)),"*玉山*")=0),N189,0)</f>
        <v>0</v>
      </c>
      <c r="P189">
        <f ca="1">IFERROR(IF(COUNTIF(B189,"*云栖松*")&gt;0,50-加速!$L$11,MAX(0,P188-(A189-A188))),0)</f>
        <v>0</v>
      </c>
      <c r="Q189">
        <f ca="1">IF(COUNTIF(IF(AND(配装计算器!$K$30&lt;&gt;"∞",0),INDEX(AU188:CB188,1,$AT$1),INDEX(AU190:CB190,1,$AT$1)),"*云栖松*")=1,P189,0)</f>
        <v>0</v>
      </c>
      <c r="R189">
        <f ca="1">IFERROR(IF(COUNTIF(B189,"*莺鸣柳*")&gt;0,45-加速!$L$9,MAX(0,R188-(A189-A188))),0)</f>
        <v>0</v>
      </c>
      <c r="S189">
        <f ca="1">IF(COUNTIF(IF(AND(配装计算器!$K$30&lt;&gt;"∞",0),INDEX(AU188:CB188,1,$AT$1),INDEX(AU190:CB190,1,$AT$1)),"*莺鸣柳*")=1,R189,0)</f>
        <v>0</v>
      </c>
      <c r="T189">
        <f ca="1" t="shared" si="45"/>
        <v>0</v>
      </c>
      <c r="U189">
        <f ca="1">IF(金蛇,IF(COUNTIF(B189,"*金环戴*")+COUNTIF(B189,"*吹风醒*")&gt;0,IF(A189&lt;=3,7.125-2.625-A189-加速!$L$11,7.125+加速!$K$9-(A189+加速!$L$11-T189)),0),0)+IF(金蛇,IF(COUNTIF(B189,"*千切子裂光*")&gt;0,2+加速!$K$9-(A189+加速!$L$11-T189),0),0)</f>
        <v>0</v>
      </c>
      <c r="V189">
        <f ca="1" t="shared" si="46"/>
        <v>0</v>
      </c>
      <c r="W189">
        <f ca="1" t="shared" si="38"/>
        <v>0</v>
      </c>
      <c r="X189">
        <f ca="1">INDEX(加速!$I$13:$I$21,W189+1)</f>
        <v>0</v>
      </c>
      <c r="Y189">
        <f ca="1" t="shared" si="47"/>
        <v>0.5</v>
      </c>
      <c r="Z189">
        <f ca="1" t="shared" si="43"/>
        <v>0</v>
      </c>
      <c r="AA189">
        <f ca="1">MAX(0,IFERROR(IF(COUNTIF(B189,"*叠*")&gt;0,IF(AC188&lt;3,8-A190+A189,AA188+6.875-A190+A189),AA188-A190+A189),AA188-加速!$L$11))</f>
        <v>0</v>
      </c>
      <c r="AB189" t="e">
        <f ca="1">MAX(0,IF(COUNTIF(IF(AND(配装计算器!$K$30&lt;&gt;"∞",0),INDEX(AU189:CB189,1,$AT$1),INDEX(AU189:CB189,1,$AT$1)),"*叠1*")=1,4*25-加速!$L$11,AB188-A189+A188)-IF(OR(COUNTIF(OFFSET(AT189,0,$AT$1,1,1),"*听雷*")&gt;0,AND(碧归&gt;0,COUNTIF(OFFSET(AT189,0,$AT$1,1,1),"*风来*")&gt;0)),0,1)*1.5)</f>
        <v>#VALUE!</v>
      </c>
      <c r="AC189">
        <f ca="1" t="shared" si="39"/>
        <v>0</v>
      </c>
      <c r="AD189">
        <f ca="1">IF(COUNTIF(IF(AND(配装计算器!$K$30&lt;&gt;"∞",0),INDEX(AU189:CB189,1,$AT$1),INDEX(AU190:CB190,1,$AT$1)),"*叠1*")=1,AB189*0+AE188,0)</f>
        <v>0</v>
      </c>
      <c r="AE189" t="e">
        <f ca="1">IF($AN$11&gt;0,IF(COUNTIF(B190,"*叠1*")&gt;0,50-加速!$L$11,MAX(0,AE188-(A190-A189))),0)</f>
        <v>#VALUE!</v>
      </c>
      <c r="AG189">
        <f ca="1" t="shared" si="40"/>
        <v>5</v>
      </c>
      <c r="AH189" t="s">
        <v>1825</v>
      </c>
      <c r="AI189" t="s">
        <v>2780</v>
      </c>
      <c r="AJ189">
        <f ca="1">AJ186+AJ192</f>
        <v>0</v>
      </c>
      <c r="AK189" t="s">
        <v>3111</v>
      </c>
      <c r="AU189" s="176" t="s">
        <v>2776</v>
      </c>
      <c r="AV189">
        <v>2</v>
      </c>
      <c r="AW189" t="str">
        <f>IF($AR$11=1,"云飞玉皇-玉山揽云","夕照雷峰")</f>
        <v>夕照雷峰</v>
      </c>
      <c r="AX189">
        <v>2</v>
      </c>
      <c r="AY189" t="s">
        <v>2776</v>
      </c>
      <c r="AZ189">
        <v>2</v>
      </c>
      <c r="BA189" t="s">
        <v>2768</v>
      </c>
      <c r="BB189">
        <v>2</v>
      </c>
      <c r="BC189" t="s">
        <v>2776</v>
      </c>
      <c r="BD189">
        <v>1</v>
      </c>
      <c r="BE189" t="s">
        <v>2776</v>
      </c>
      <c r="BF189">
        <v>2</v>
      </c>
      <c r="BG189" s="176" t="s">
        <v>2768</v>
      </c>
      <c r="BH189">
        <v>2</v>
      </c>
      <c r="BI189" t="s">
        <v>2768</v>
      </c>
      <c r="BJ189">
        <v>2</v>
      </c>
      <c r="BK189" t="s">
        <v>2768</v>
      </c>
      <c r="BL189">
        <v>2</v>
      </c>
      <c r="BM189" s="176" t="str">
        <f>IF(0,橙武补雾锁,"夕照雷峰")</f>
        <v>夕照雷峰</v>
      </c>
      <c r="BN189">
        <v>2</v>
      </c>
      <c r="BO189" t="s">
        <v>2768</v>
      </c>
      <c r="BP189">
        <v>2</v>
      </c>
      <c r="BQ189" t="s">
        <v>3018</v>
      </c>
      <c r="BR189">
        <v>2</v>
      </c>
      <c r="BS189" t="s">
        <v>2776</v>
      </c>
      <c r="BT189">
        <v>2</v>
      </c>
      <c r="BU189" s="182" t="s">
        <v>3023</v>
      </c>
      <c r="BV189">
        <v>2</v>
      </c>
      <c r="BW189" s="182" t="s">
        <v>2768</v>
      </c>
      <c r="BX189" s="179">
        <v>2</v>
      </c>
      <c r="BY189" s="176" t="str">
        <f>IF(0,"云飞玉皇-玉山揽云","夕照雷峰")</f>
        <v>夕照雷峰</v>
      </c>
      <c r="BZ189">
        <v>2</v>
      </c>
      <c r="CA189" t="str">
        <f>IF(0,"云飞玉皇-玉山揽云","夕照雷峰")</f>
        <v>夕照雷峰</v>
      </c>
      <c r="CB189">
        <v>2</v>
      </c>
    </row>
    <row r="190" spans="1:80">
      <c r="A190" s="178" t="str">
        <f ca="1">IFERROR(IF(AG189&lt;5+金蛇*2,IF(COUNTIF(B189,"*轻*")&gt;0,A189+加速!$L$9,A189+加速!$L$11)+V189,""),"")</f>
        <v/>
      </c>
      <c r="B190" s="167" t="str">
        <f ca="1" t="shared" si="35"/>
        <v/>
      </c>
      <c r="C190" t="str">
        <f ca="1" t="shared" si="44"/>
        <v/>
      </c>
      <c r="D190" t="str">
        <f ca="1">IF(B190&lt;&gt;"",IF(C189&lt;=加速!$L$11*(1-E190),0,1),"")</f>
        <v/>
      </c>
      <c r="E190">
        <f ca="1" t="shared" si="41"/>
        <v>1</v>
      </c>
      <c r="G190" t="str">
        <f ca="1" t="shared" si="42"/>
        <v/>
      </c>
      <c r="H190" t="str">
        <f ca="1">IF(B190&lt;&gt;"",IF(AND(COUNTIF(B189,"*轻*莺鸣柳*")&gt;0,COUNTIF(B190,"*轻*")&lt;1),MAX(0,15+I189-(A190-A189)+COUNTIF(B189,"*平湖*")*0),IF(AND(E190=0,MAX(0,H189-(A190-A189))&lt;=加速!$H$11),0,MAX(0,H189-(A190-A189)))),"")</f>
        <v/>
      </c>
      <c r="I190" t="str">
        <f ca="1" t="shared" si="48"/>
        <v/>
      </c>
      <c r="J190" t="str">
        <f ca="1" t="shared" si="49"/>
        <v/>
      </c>
      <c r="K190" t="str">
        <f ca="1" t="shared" si="36"/>
        <v/>
      </c>
      <c r="L190">
        <f ca="1">IFERROR(IF(AND(COUNTIF(B190,"*-峰插*"),技能数据库!$M$72&gt;0),0,IF(COUNTIF(B190,"*鹤归*")&gt;0,16-加速!$L$11,MAX(0,L189-(A190-A189)))),0)</f>
        <v>0</v>
      </c>
      <c r="M190">
        <f ca="1" t="shared" si="37"/>
        <v>0</v>
      </c>
      <c r="N190">
        <f ca="1">IFERROR(IF(AND(COUNTIF(B190,"*-峰插*"),技能数据库!$M$72&gt;0),0,IF(COUNTIF(B190,"*云飞*")&gt;0,4-COUNTIF(B190,"*玉山揽云*")*4--COUNTIF(B190,"*烟流暮景*")*4-COUNTIF(B190,"*云景*")*加速!$L$11-IF(J190&gt;0,2,0),MAX(0,N189-(A190-A189)-IF(J190&gt;0,2,0)))),0)</f>
        <v>0</v>
      </c>
      <c r="O190">
        <f ca="1">IF(AND(COUNTIF(IF(AND(配装计算器!$K$30&lt;&gt;"∞",0),INDEX(AU189:CB189,1,$AT$1),INDEX(AU191:CB191,1,$AT$1)),"*云飞*")=1,COUNTIF(IF(AND(配装计算器!$K$30&lt;&gt;"∞",0),INDEX(AU189:CB189,1,$AT$1),INDEX(AU191:CB191,1,$AT$1)),"*玉山*")=0),N190,0)</f>
        <v>0</v>
      </c>
      <c r="P190">
        <f ca="1">IFERROR(IF(COUNTIF(B190,"*云栖松*")&gt;0,50-加速!$L$11,MAX(0,P189-(A190-A189))),0)</f>
        <v>0</v>
      </c>
      <c r="Q190">
        <f ca="1">IF(COUNTIF(IF(AND(配装计算器!$K$30&lt;&gt;"∞",0),INDEX(AU189:CB189,1,$AT$1),INDEX(AU191:CB191,1,$AT$1)),"*云栖松*")=1,P190,0)</f>
        <v>0</v>
      </c>
      <c r="R190">
        <f ca="1">IFERROR(IF(COUNTIF(B190,"*莺鸣柳*")&gt;0,45-加速!$L$9,MAX(0,R189-(A190-A189))),0)</f>
        <v>0</v>
      </c>
      <c r="S190">
        <f ca="1">IF(COUNTIF(IF(AND(配装计算器!$K$30&lt;&gt;"∞",0),INDEX(AU189:CB189,1,$AT$1),INDEX(AU191:CB191,1,$AT$1)),"*莺鸣柳*")=1,R190,0)</f>
        <v>0</v>
      </c>
      <c r="T190">
        <f ca="1" t="shared" si="45"/>
        <v>0</v>
      </c>
      <c r="U190">
        <f ca="1">IF(金蛇,IF(COUNTIF(B190,"*金环戴*")+COUNTIF(B190,"*吹风醒*")&gt;0,IF(A190&lt;=3,7.125-2.625-A190-加速!$L$11,7.125+加速!$K$9-(A190+加速!$L$11-T190)),0),0)+IF(金蛇,IF(COUNTIF(B190,"*千切子裂光*")&gt;0,2+加速!$K$9-(A190+加速!$L$11-T190),0),0)</f>
        <v>0</v>
      </c>
      <c r="V190">
        <f ca="1" t="shared" si="46"/>
        <v>0</v>
      </c>
      <c r="W190">
        <f ca="1" t="shared" si="38"/>
        <v>0</v>
      </c>
      <c r="X190">
        <f ca="1">INDEX(加速!$I$13:$I$21,W190+1)</f>
        <v>0</v>
      </c>
      <c r="Y190">
        <f ca="1" t="shared" si="47"/>
        <v>0.5</v>
      </c>
      <c r="Z190">
        <f ca="1" t="shared" si="43"/>
        <v>0</v>
      </c>
      <c r="AA190">
        <f ca="1">MAX(0,IFERROR(IF(COUNTIF(B190,"*叠*")&gt;0,IF(AC189&lt;3,8-A191+A190,AA189+6.875-A191+A190),AA189-A191+A190),AA189-加速!$L$11))</f>
        <v>0</v>
      </c>
      <c r="AB190" t="e">
        <f ca="1">MAX(0,IF(COUNTIF(IF(AND(配装计算器!$K$30&lt;&gt;"∞",0),INDEX(AU190:CB190,1,$AT$1),INDEX(AU190:CB190,1,$AT$1)),"*叠1*")=1,4*25-加速!$L$11,AB189-A190+A189)-IF(OR(COUNTIF(OFFSET(AT190,0,$AT$1,1,1),"*听雷*")&gt;0,AND(碧归&gt;0,COUNTIF(OFFSET(AT190,0,$AT$1,1,1),"*风来*")&gt;0)),0,1)*1.5)</f>
        <v>#VALUE!</v>
      </c>
      <c r="AC190">
        <f ca="1" t="shared" si="39"/>
        <v>0</v>
      </c>
      <c r="AD190">
        <f ca="1">IF(COUNTIF(IF(AND(配装计算器!$K$30&lt;&gt;"∞",0),INDEX(AU190:CB190,1,$AT$1),INDEX(AU191:CB191,1,$AT$1)),"*叠1*")=1,AB190*0+AE189,0)</f>
        <v>0</v>
      </c>
      <c r="AE190" t="e">
        <f ca="1">IF($AN$11&gt;0,IF(COUNTIF(B191,"*叠1*")&gt;0,50-加速!$L$11,MAX(0,AE189-(A191-A190))),0)</f>
        <v>#VALUE!</v>
      </c>
      <c r="AG190">
        <f ca="1" t="shared" si="40"/>
        <v>5</v>
      </c>
      <c r="AH190" t="s">
        <v>1825</v>
      </c>
      <c r="AI190" t="s">
        <v>2780</v>
      </c>
      <c r="AJ190">
        <f ca="1" t="shared" ref="AJ190:AJ191" si="56">AJ187+AJ193</f>
        <v>0</v>
      </c>
      <c r="AK190" t="s">
        <v>3112</v>
      </c>
      <c r="AU190" s="176" t="s">
        <v>2768</v>
      </c>
      <c r="AV190">
        <v>1</v>
      </c>
      <c r="AW190" t="str">
        <f>IF($AR$11=1,橙武补雾锁,"鹤归孤山")</f>
        <v>鹤归孤山</v>
      </c>
      <c r="AX190">
        <v>2</v>
      </c>
      <c r="AY190" t="s">
        <v>2768</v>
      </c>
      <c r="AZ190">
        <v>2</v>
      </c>
      <c r="BA190" t="s">
        <v>2768</v>
      </c>
      <c r="BB190">
        <v>2</v>
      </c>
      <c r="BC190" t="s">
        <v>2768</v>
      </c>
      <c r="BD190">
        <v>1</v>
      </c>
      <c r="BE190" t="s">
        <v>2768</v>
      </c>
      <c r="BF190">
        <v>2</v>
      </c>
      <c r="BG190" s="176" t="s">
        <v>2768</v>
      </c>
      <c r="BH190">
        <v>2</v>
      </c>
      <c r="BI190" s="176" t="s">
        <v>2794</v>
      </c>
      <c r="BJ190">
        <v>1</v>
      </c>
      <c r="BK190" t="s">
        <v>2768</v>
      </c>
      <c r="BL190">
        <v>2</v>
      </c>
      <c r="BM190" s="176" t="s">
        <v>2776</v>
      </c>
      <c r="BN190">
        <v>2</v>
      </c>
      <c r="BO190" t="s">
        <v>2768</v>
      </c>
      <c r="BP190">
        <v>2</v>
      </c>
      <c r="BQ190" t="s">
        <v>2768</v>
      </c>
      <c r="BR190">
        <v>2</v>
      </c>
      <c r="BS190" t="s">
        <v>2768</v>
      </c>
      <c r="BT190">
        <v>2</v>
      </c>
      <c r="BU190" s="176" t="s">
        <v>2768</v>
      </c>
      <c r="BV190">
        <v>2</v>
      </c>
      <c r="BW190" s="182" t="s">
        <v>2776</v>
      </c>
      <c r="BX190" s="179">
        <v>2</v>
      </c>
      <c r="BY190" t="s">
        <v>2776</v>
      </c>
      <c r="BZ190">
        <v>2</v>
      </c>
      <c r="CA190" t="s">
        <v>2776</v>
      </c>
      <c r="CB190">
        <v>2</v>
      </c>
    </row>
    <row r="191" spans="1:80">
      <c r="A191" s="178" t="str">
        <f ca="1">IFERROR(IF(AG190&lt;5+金蛇*2,IF(COUNTIF(B190,"*轻*")&gt;0,A190+加速!$L$9,A190+加速!$L$11)+V190,""),"")</f>
        <v/>
      </c>
      <c r="B191" s="167" t="str">
        <f ca="1" t="shared" si="35"/>
        <v/>
      </c>
      <c r="C191" t="str">
        <f ca="1" t="shared" si="44"/>
        <v/>
      </c>
      <c r="D191" t="str">
        <f ca="1">IF(B191&lt;&gt;"",IF(C190&lt;=加速!$L$11*(1-E191),0,1),"")</f>
        <v/>
      </c>
      <c r="E191">
        <f ca="1" t="shared" si="41"/>
        <v>1</v>
      </c>
      <c r="G191" t="str">
        <f ca="1" t="shared" si="42"/>
        <v/>
      </c>
      <c r="H191" t="str">
        <f ca="1">IF(B191&lt;&gt;"",IF(AND(COUNTIF(B190,"*轻*莺鸣柳*")&gt;0,COUNTIF(B191,"*轻*")&lt;1),MAX(0,15+I190-(A191-A190)+COUNTIF(B190,"*平湖*")*0),IF(AND(E191=0,MAX(0,H190-(A191-A190))&lt;=加速!$H$11),0,MAX(0,H190-(A191-A190)))),"")</f>
        <v/>
      </c>
      <c r="I191" t="str">
        <f ca="1" t="shared" si="48"/>
        <v/>
      </c>
      <c r="J191" t="str">
        <f ca="1" t="shared" si="49"/>
        <v/>
      </c>
      <c r="K191" t="str">
        <f ca="1" t="shared" si="36"/>
        <v/>
      </c>
      <c r="L191">
        <f ca="1">IFERROR(IF(AND(COUNTIF(B191,"*-峰插*"),技能数据库!$M$72&gt;0),0,IF(COUNTIF(B191,"*鹤归*")&gt;0,16-加速!$L$11,MAX(0,L190-(A191-A190)))),0)</f>
        <v>0</v>
      </c>
      <c r="M191">
        <f ca="1" t="shared" si="37"/>
        <v>0</v>
      </c>
      <c r="N191">
        <f ca="1">IFERROR(IF(AND(COUNTIF(B191,"*-峰插*"),技能数据库!$M$72&gt;0),0,IF(COUNTIF(B191,"*云飞*")&gt;0,4-COUNTIF(B191,"*玉山揽云*")*4--COUNTIF(B191,"*烟流暮景*")*4-COUNTIF(B191,"*云景*")*加速!$L$11-IF(J191&gt;0,2,0),MAX(0,N190-(A191-A190)-IF(J191&gt;0,2,0)))),0)</f>
        <v>0</v>
      </c>
      <c r="O191">
        <f ca="1">IF(AND(COUNTIF(IF(AND(配装计算器!$K$30&lt;&gt;"∞",0),INDEX(AU190:CB190,1,$AT$1),INDEX(AU192:CB192,1,$AT$1)),"*云飞*")=1,COUNTIF(IF(AND(配装计算器!$K$30&lt;&gt;"∞",0),INDEX(AU190:CB190,1,$AT$1),INDEX(AU192:CB192,1,$AT$1)),"*玉山*")=0),N191,0)</f>
        <v>0</v>
      </c>
      <c r="P191">
        <f ca="1">IFERROR(IF(COUNTIF(B191,"*云栖松*")&gt;0,50-加速!$L$11,MAX(0,P190-(A191-A190))),0)</f>
        <v>0</v>
      </c>
      <c r="Q191">
        <f ca="1">IF(COUNTIF(IF(AND(配装计算器!$K$30&lt;&gt;"∞",0),INDEX(AU190:CB190,1,$AT$1),INDEX(AU192:CB192,1,$AT$1)),"*云栖松*")=1,P191,0)</f>
        <v>0</v>
      </c>
      <c r="R191">
        <f ca="1">IFERROR(IF(COUNTIF(B191,"*莺鸣柳*")&gt;0,45-加速!$L$9,MAX(0,R190-(A191-A190))),0)</f>
        <v>0</v>
      </c>
      <c r="S191">
        <f ca="1">IF(COUNTIF(IF(AND(配装计算器!$K$30&lt;&gt;"∞",0),INDEX(AU190:CB190,1,$AT$1),INDEX(AU192:CB192,1,$AT$1)),"*莺鸣柳*")=1,R191,0)</f>
        <v>0</v>
      </c>
      <c r="T191">
        <f ca="1" t="shared" si="45"/>
        <v>0</v>
      </c>
      <c r="U191">
        <f ca="1">IF(金蛇,IF(COUNTIF(B191,"*金环戴*")+COUNTIF(B191,"*吹风醒*")&gt;0,IF(A191&lt;=3,7.125-2.625-A191-加速!$L$11,7.125+加速!$K$9-(A191+加速!$L$11-T191)),0),0)+IF(金蛇,IF(COUNTIF(B191,"*千切子裂光*")&gt;0,2+加速!$K$9-(A191+加速!$L$11-T191),0),0)</f>
        <v>0</v>
      </c>
      <c r="V191">
        <f ca="1" t="shared" si="46"/>
        <v>0</v>
      </c>
      <c r="W191">
        <f ca="1" t="shared" si="38"/>
        <v>0</v>
      </c>
      <c r="X191">
        <f ca="1">INDEX(加速!$I$13:$I$21,W191+1)</f>
        <v>0</v>
      </c>
      <c r="Y191">
        <f ca="1" t="shared" si="47"/>
        <v>0.5</v>
      </c>
      <c r="Z191">
        <f ca="1" t="shared" si="43"/>
        <v>0</v>
      </c>
      <c r="AA191">
        <f ca="1">MAX(0,IFERROR(IF(COUNTIF(B191,"*叠*")&gt;0,IF(AC190&lt;3,8-A192+A191,AA190+6.875-A192+A191),AA190-A192+A191),AA190-加速!$L$11))</f>
        <v>0</v>
      </c>
      <c r="AB191" t="e">
        <f ca="1">MAX(0,IF(COUNTIF(IF(AND(配装计算器!$K$30&lt;&gt;"∞",0),INDEX(AU191:CB191,1,$AT$1),INDEX(AU191:CB191,1,$AT$1)),"*叠1*")=1,4*25-加速!$L$11,AB190-A191+A190)-IF(OR(COUNTIF(OFFSET(AT191,0,$AT$1,1,1),"*听雷*")&gt;0,AND(碧归&gt;0,COUNTIF(OFFSET(AT191,0,$AT$1,1,1),"*风来*")&gt;0)),0,1)*1.5)</f>
        <v>#VALUE!</v>
      </c>
      <c r="AC191">
        <f ca="1" t="shared" si="39"/>
        <v>0</v>
      </c>
      <c r="AD191">
        <f ca="1">IF(COUNTIF(IF(AND(配装计算器!$K$30&lt;&gt;"∞",0),INDEX(AU191:CB191,1,$AT$1),INDEX(AU192:CB192,1,$AT$1)),"*叠1*")=1,AB191*0+AE190,0)</f>
        <v>0</v>
      </c>
      <c r="AE191" t="e">
        <f ca="1">IF($AN$11&gt;0,IF(COUNTIF(B192,"*叠1*")&gt;0,50-加速!$L$11,MAX(0,AE190-(A192-A191))),0)</f>
        <v>#VALUE!</v>
      </c>
      <c r="AG191">
        <f ca="1" t="shared" si="40"/>
        <v>5</v>
      </c>
      <c r="AH191" t="s">
        <v>1825</v>
      </c>
      <c r="AI191" t="s">
        <v>2780</v>
      </c>
      <c r="AJ191">
        <f ca="1" t="shared" si="56"/>
        <v>14</v>
      </c>
      <c r="AK191" t="s">
        <v>3113</v>
      </c>
      <c r="AU191" s="176" t="s">
        <v>2776</v>
      </c>
      <c r="AV191">
        <v>1</v>
      </c>
      <c r="AW191" s="176" t="str">
        <f>IF($AR$11=1,"夕照雷峰","夕照雷峰")</f>
        <v>夕照雷峰</v>
      </c>
      <c r="AX191">
        <v>2</v>
      </c>
      <c r="AY191" t="s">
        <v>2768</v>
      </c>
      <c r="AZ191">
        <v>2</v>
      </c>
      <c r="BA191" t="s">
        <v>2776</v>
      </c>
      <c r="BB191">
        <v>2</v>
      </c>
      <c r="BC191" t="s">
        <v>2768</v>
      </c>
      <c r="BD191">
        <v>0</v>
      </c>
      <c r="BE191" t="s">
        <v>2776</v>
      </c>
      <c r="BF191">
        <v>2</v>
      </c>
      <c r="BG191" s="176" t="s">
        <v>2776</v>
      </c>
      <c r="BH191">
        <v>2</v>
      </c>
      <c r="BI191" t="s">
        <v>2776</v>
      </c>
      <c r="BJ191">
        <v>1</v>
      </c>
      <c r="BK191" t="s">
        <v>2776</v>
      </c>
      <c r="BL191">
        <v>2</v>
      </c>
      <c r="BM191" s="176" t="s">
        <v>2768</v>
      </c>
      <c r="BN191">
        <v>2</v>
      </c>
      <c r="BO191" t="s">
        <v>2768</v>
      </c>
      <c r="BP191">
        <v>2</v>
      </c>
      <c r="BQ191" t="s">
        <v>3023</v>
      </c>
      <c r="BR191">
        <v>2</v>
      </c>
      <c r="BS191" t="s">
        <v>2768</v>
      </c>
      <c r="BT191">
        <v>1</v>
      </c>
      <c r="BU191" s="176" t="s">
        <v>2768</v>
      </c>
      <c r="BV191">
        <v>2</v>
      </c>
      <c r="BW191" s="182" t="str">
        <f t="shared" ref="BW191:BW195" si="57">IF($AN$11=1,"云飞玉皇-玉山揽云","夕照雷峰")</f>
        <v>云飞玉皇-玉山揽云</v>
      </c>
      <c r="BX191" s="179">
        <v>2</v>
      </c>
      <c r="BY191" t="s">
        <v>2768</v>
      </c>
      <c r="BZ191">
        <v>2</v>
      </c>
      <c r="CA191" t="s">
        <v>2768</v>
      </c>
      <c r="CB191">
        <v>2</v>
      </c>
    </row>
    <row r="192" spans="1:80">
      <c r="A192" s="178" t="str">
        <f ca="1">IFERROR(IF(AG191&lt;5+金蛇*2,IF(COUNTIF(B191,"*轻*")&gt;0,A191+加速!$L$9,A191+加速!$L$11)+V191,""),"")</f>
        <v/>
      </c>
      <c r="B192" s="167" t="str">
        <f ca="1" t="shared" si="35"/>
        <v/>
      </c>
      <c r="C192" t="str">
        <f ca="1" t="shared" si="44"/>
        <v/>
      </c>
      <c r="D192" t="str">
        <f ca="1">IF(B192&lt;&gt;"",IF(C191&lt;=加速!$L$11*(1-E192),0,1),"")</f>
        <v/>
      </c>
      <c r="E192">
        <f ca="1" t="shared" si="41"/>
        <v>1</v>
      </c>
      <c r="G192" t="str">
        <f ca="1" t="shared" si="42"/>
        <v/>
      </c>
      <c r="H192" t="str">
        <f ca="1">IF(B192&lt;&gt;"",IF(AND(COUNTIF(B191,"*轻*莺鸣柳*")&gt;0,COUNTIF(B192,"*轻*")&lt;1),MAX(0,15+I191-(A192-A191)+COUNTIF(B191,"*平湖*")*0),IF(AND(E192=0,MAX(0,H191-(A192-A191))&lt;=加速!$H$11),0,MAX(0,H191-(A192-A191)))),"")</f>
        <v/>
      </c>
      <c r="I192" t="str">
        <f ca="1" t="shared" si="48"/>
        <v/>
      </c>
      <c r="J192" t="str">
        <f ca="1" t="shared" si="49"/>
        <v/>
      </c>
      <c r="K192" t="str">
        <f ca="1" t="shared" si="36"/>
        <v/>
      </c>
      <c r="L192">
        <f ca="1">IFERROR(IF(AND(COUNTIF(B192,"*-峰插*"),技能数据库!$M$72&gt;0),0,IF(COUNTIF(B192,"*鹤归*")&gt;0,16-加速!$L$11,MAX(0,L191-(A192-A191)))),0)</f>
        <v>0</v>
      </c>
      <c r="M192">
        <f ca="1" t="shared" si="37"/>
        <v>0</v>
      </c>
      <c r="N192">
        <f ca="1">IFERROR(IF(AND(COUNTIF(B192,"*-峰插*"),技能数据库!$M$72&gt;0),0,IF(COUNTIF(B192,"*云飞*")&gt;0,4-COUNTIF(B192,"*玉山揽云*")*4--COUNTIF(B192,"*烟流暮景*")*4-COUNTIF(B192,"*云景*")*加速!$L$11-IF(J192&gt;0,2,0),MAX(0,N191-(A192-A191)-IF(J192&gt;0,2,0)))),0)</f>
        <v>0</v>
      </c>
      <c r="O192">
        <f ca="1">IF(AND(COUNTIF(IF(AND(配装计算器!$K$30&lt;&gt;"∞",0),INDEX(AU191:CB191,1,$AT$1),INDEX(AU193:CB193,1,$AT$1)),"*云飞*")=1,COUNTIF(IF(AND(配装计算器!$K$30&lt;&gt;"∞",0),INDEX(AU191:CB191,1,$AT$1),INDEX(AU193:CB193,1,$AT$1)),"*玉山*")=0),N192,0)</f>
        <v>0</v>
      </c>
      <c r="P192">
        <f ca="1">IFERROR(IF(COUNTIF(B192,"*云栖松*")&gt;0,50-加速!$L$11,MAX(0,P191-(A192-A191))),0)</f>
        <v>0</v>
      </c>
      <c r="Q192">
        <f ca="1">IF(COUNTIF(IF(AND(配装计算器!$K$30&lt;&gt;"∞",0),INDEX(AU191:CB191,1,$AT$1),INDEX(AU193:CB193,1,$AT$1)),"*云栖松*")=1,P192,0)</f>
        <v>0</v>
      </c>
      <c r="R192">
        <f ca="1">IFERROR(IF(COUNTIF(B192,"*莺鸣柳*")&gt;0,45-加速!$L$9,MAX(0,R191-(A192-A191))),0)</f>
        <v>0</v>
      </c>
      <c r="S192">
        <f ca="1">IF(COUNTIF(IF(AND(配装计算器!$K$30&lt;&gt;"∞",0),INDEX(AU191:CB191,1,$AT$1),INDEX(AU193:CB193,1,$AT$1)),"*莺鸣柳*")=1,R192,0)</f>
        <v>0</v>
      </c>
      <c r="T192">
        <f ca="1" t="shared" si="45"/>
        <v>0</v>
      </c>
      <c r="U192">
        <f ca="1">IF(金蛇,IF(COUNTIF(B192,"*金环戴*")+COUNTIF(B192,"*吹风醒*")&gt;0,IF(A192&lt;=3,7.125-2.625-A192-加速!$L$11,7.125+加速!$K$9-(A192+加速!$L$11-T192)),0),0)+IF(金蛇,IF(COUNTIF(B192,"*千切子裂光*")&gt;0,2+加速!$K$9-(A192+加速!$L$11-T192),0),0)</f>
        <v>0</v>
      </c>
      <c r="V192" t="e">
        <f ca="1" t="shared" si="46"/>
        <v>#VALUE!</v>
      </c>
      <c r="W192">
        <f ca="1" t="shared" si="38"/>
        <v>0</v>
      </c>
      <c r="X192">
        <f ca="1">INDEX(加速!$I$13:$I$21,W192+1)</f>
        <v>0</v>
      </c>
      <c r="Y192">
        <f ca="1" t="shared" si="47"/>
        <v>0.5</v>
      </c>
      <c r="Z192">
        <f ca="1" t="shared" si="43"/>
        <v>0</v>
      </c>
      <c r="AA192">
        <f ca="1">MAX(0,IFERROR(IF(COUNTIF(B192,"*叠*")&gt;0,IF(AC191&lt;3,8-A193+A192,AA191+6.875-A193+A192),AA191-A193+A192),AA191-加速!$L$11))</f>
        <v>0</v>
      </c>
      <c r="AB192" t="e">
        <f ca="1">MAX(0,IF(COUNTIF(IF(AND(配装计算器!$K$30&lt;&gt;"∞",0),INDEX(AU192:CB192,1,$AT$1),INDEX(AU192:CB192,1,$AT$1)),"*叠1*")=1,4*25-加速!$L$11,AB191-A192+A191)-IF(OR(COUNTIF(OFFSET(AT192,0,$AT$1,1,1),"*听雷*")&gt;0,AND(碧归&gt;0,COUNTIF(OFFSET(AT192,0,$AT$1,1,1),"*风来*")&gt;0)),0,1)*1.5)</f>
        <v>#VALUE!</v>
      </c>
      <c r="AC192">
        <f ca="1" t="shared" si="39"/>
        <v>0</v>
      </c>
      <c r="AD192" t="e">
        <f ca="1">IF(COUNTIF(IF(AND(配装计算器!$K$30&lt;&gt;"∞",0),INDEX(AU192:CB192,1,$AT$1),INDEX(AU193:CB193,1,$AT$1)),"*叠1*")=1,AB192*0+AE191,0)</f>
        <v>#VALUE!</v>
      </c>
      <c r="AE192" t="e">
        <f ca="1">IF($AN$11&gt;0,IF(COUNTIF(B193,"*叠1*")&gt;0,50-加速!$L$11,MAX(0,AE191-(A193-A192))),0)</f>
        <v>#VALUE!</v>
      </c>
      <c r="AG192">
        <f ca="1" t="shared" si="40"/>
        <v>6</v>
      </c>
      <c r="AH192" t="s">
        <v>1825</v>
      </c>
      <c r="AI192" t="s">
        <v>2808</v>
      </c>
      <c r="AJ192">
        <f ca="1">循环比*COUNTIFS($B$3:$B$515,"*"&amp;AI192&amp;"*",$D$3:$D$515,"=1",$H$3:$H$515,"=0",$G$3:$G$515,"&gt;0",$K$3:$K$515,"=2",$AC$3:$AC$515,"=1")</f>
        <v>0</v>
      </c>
      <c r="AK192" t="s">
        <v>3111</v>
      </c>
      <c r="AU192" t="s">
        <v>2722</v>
      </c>
      <c r="AV192">
        <v>0</v>
      </c>
      <c r="AW192" t="str">
        <f>IF($AR$11=1,"鹤归孤山","云飞玉皇")</f>
        <v>云飞玉皇</v>
      </c>
      <c r="AX192">
        <v>2</v>
      </c>
      <c r="AY192" t="s">
        <v>2776</v>
      </c>
      <c r="AZ192">
        <v>2</v>
      </c>
      <c r="BA192" t="s">
        <v>3035</v>
      </c>
      <c r="BB192">
        <v>2</v>
      </c>
      <c r="BC192" t="s">
        <v>2768</v>
      </c>
      <c r="BD192">
        <v>0</v>
      </c>
      <c r="BE192" t="s">
        <v>2768</v>
      </c>
      <c r="BF192">
        <v>1</v>
      </c>
      <c r="BG192" s="176" t="s">
        <v>3035</v>
      </c>
      <c r="BH192">
        <v>2</v>
      </c>
      <c r="BI192" t="s">
        <v>2768</v>
      </c>
      <c r="BJ192">
        <v>0</v>
      </c>
      <c r="BK192" t="s">
        <v>2768</v>
      </c>
      <c r="BL192">
        <v>1</v>
      </c>
      <c r="BM192" s="176" t="s">
        <v>2776</v>
      </c>
      <c r="BN192">
        <v>2</v>
      </c>
      <c r="BO192" t="s">
        <v>2776</v>
      </c>
      <c r="BP192">
        <v>2</v>
      </c>
      <c r="BQ192" t="s">
        <v>2768</v>
      </c>
      <c r="BR192">
        <v>2</v>
      </c>
      <c r="BS192" t="s">
        <v>2768</v>
      </c>
      <c r="BT192">
        <v>1</v>
      </c>
      <c r="BU192" s="176" t="s">
        <v>2768</v>
      </c>
      <c r="BV192">
        <v>2</v>
      </c>
      <c r="BW192" s="179" t="str">
        <f>IF($AN$11=1,"云飞玉皇-玉山揽云","云飞玉皇")</f>
        <v>云飞玉皇-玉山揽云</v>
      </c>
      <c r="BX192" s="179">
        <v>2</v>
      </c>
      <c r="BY192" t="s">
        <v>2718</v>
      </c>
      <c r="BZ192">
        <v>0</v>
      </c>
      <c r="CA192" t="s">
        <v>2768</v>
      </c>
      <c r="CB192">
        <v>2</v>
      </c>
    </row>
    <row r="193" spans="1:80">
      <c r="A193" s="178" t="str">
        <f ca="1">IFERROR(IF(AG192&lt;5+金蛇*2,IF(COUNTIF(B192,"*轻*")&gt;0,A192+加速!$L$9,A192+加速!$L$11)+V192,""),"")</f>
        <v/>
      </c>
      <c r="B193" s="167" t="str">
        <f ca="1" t="shared" si="35"/>
        <v/>
      </c>
      <c r="C193" t="str">
        <f ca="1" t="shared" si="44"/>
        <v/>
      </c>
      <c r="D193" t="str">
        <f ca="1">IF(B193&lt;&gt;"",IF(C192&lt;=加速!$L$11*(1-E193),0,1),"")</f>
        <v/>
      </c>
      <c r="E193">
        <f ca="1" t="shared" si="41"/>
        <v>1</v>
      </c>
      <c r="G193" t="str">
        <f ca="1" t="shared" si="42"/>
        <v/>
      </c>
      <c r="H193" t="str">
        <f ca="1">IF(B193&lt;&gt;"",IF(AND(COUNTIF(B192,"*轻*莺鸣柳*")&gt;0,COUNTIF(B193,"*轻*")&lt;1),MAX(0,15+I192-(A193-A192)+COUNTIF(B192,"*平湖*")*0),IF(AND(E193=0,MAX(0,H192-(A193-A192))&lt;=加速!$H$11),0,MAX(0,H192-(A193-A192)))),"")</f>
        <v/>
      </c>
      <c r="I193" t="str">
        <f ca="1" t="shared" si="48"/>
        <v/>
      </c>
      <c r="J193" t="str">
        <f ca="1" t="shared" si="49"/>
        <v/>
      </c>
      <c r="K193" t="str">
        <f ca="1" t="shared" si="36"/>
        <v/>
      </c>
      <c r="L193">
        <f ca="1">IFERROR(IF(AND(COUNTIF(B193,"*-峰插*"),技能数据库!$M$72&gt;0),0,IF(COUNTIF(B193,"*鹤归*")&gt;0,16-加速!$L$11,MAX(0,L192-(A193-A192)))),0)</f>
        <v>0</v>
      </c>
      <c r="M193">
        <f ca="1" t="shared" si="37"/>
        <v>0</v>
      </c>
      <c r="N193">
        <f ca="1">IFERROR(IF(AND(COUNTIF(B193,"*-峰插*"),技能数据库!$M$72&gt;0),0,IF(COUNTIF(B193,"*云飞*")&gt;0,4-COUNTIF(B193,"*玉山揽云*")*4--COUNTIF(B193,"*烟流暮景*")*4-COUNTIF(B193,"*云景*")*加速!$L$11-IF(J193&gt;0,2,0),MAX(0,N192-(A193-A192)-IF(J193&gt;0,2,0)))),0)</f>
        <v>0</v>
      </c>
      <c r="O193">
        <f ca="1">IF(AND(COUNTIF(IF(AND(配装计算器!$K$30&lt;&gt;"∞",0),INDEX(AU192:CB192,1,$AT$1),INDEX(AU194:CB194,1,$AT$1)),"*云飞*")=1,COUNTIF(IF(AND(配装计算器!$K$30&lt;&gt;"∞",0),INDEX(AU192:CB192,1,$AT$1),INDEX(AU194:CB194,1,$AT$1)),"*玉山*")=0),N193,0)</f>
        <v>0</v>
      </c>
      <c r="P193">
        <f ca="1">IFERROR(IF(COUNTIF(B193,"*云栖松*")&gt;0,50-加速!$L$11,MAX(0,P192-(A193-A192))),0)</f>
        <v>0</v>
      </c>
      <c r="Q193">
        <f ca="1">IF(COUNTIF(IF(AND(配装计算器!$K$30&lt;&gt;"∞",0),INDEX(AU192:CB192,1,$AT$1),INDEX(AU194:CB194,1,$AT$1)),"*云栖松*")=1,P193,0)</f>
        <v>0</v>
      </c>
      <c r="R193">
        <f ca="1">IFERROR(IF(COUNTIF(B193,"*莺鸣柳*")&gt;0,45-加速!$L$9,MAX(0,R192-(A193-A192))),0)</f>
        <v>0</v>
      </c>
      <c r="S193">
        <f ca="1">IF(COUNTIF(IF(AND(配装计算器!$K$30&lt;&gt;"∞",0),INDEX(AU192:CB192,1,$AT$1),INDEX(AU194:CB194,1,$AT$1)),"*莺鸣柳*")=1,R193,0)</f>
        <v>0</v>
      </c>
      <c r="T193">
        <f ca="1" t="shared" si="45"/>
        <v>0</v>
      </c>
      <c r="U193">
        <f ca="1">IF(金蛇,IF(COUNTIF(B193,"*金环戴*")+COUNTIF(B193,"*吹风醒*")&gt;0,IF(A193&lt;=3,7.125-2.625-A193-加速!$L$11,7.125+加速!$K$9-(A193+加速!$L$11-T193)),0),0)+IF(金蛇,IF(COUNTIF(B193,"*千切子裂光*")&gt;0,2+加速!$K$9-(A193+加速!$L$11-T193),0),0)</f>
        <v>0</v>
      </c>
      <c r="V193">
        <f ca="1" t="shared" si="46"/>
        <v>0</v>
      </c>
      <c r="W193">
        <f ca="1" t="shared" si="38"/>
        <v>0</v>
      </c>
      <c r="X193">
        <f ca="1">INDEX(加速!$I$13:$I$21,W193+1)</f>
        <v>0</v>
      </c>
      <c r="Y193">
        <f ca="1" t="shared" si="47"/>
        <v>0.5</v>
      </c>
      <c r="Z193">
        <f ca="1" t="shared" si="43"/>
        <v>0</v>
      </c>
      <c r="AA193">
        <f ca="1">MAX(0,IFERROR(IF(COUNTIF(B193,"*叠*")&gt;0,IF(AC192&lt;3,8-A194+A193,AA192+6.875-A194+A193),AA192-A194+A193),AA192-加速!$L$11))</f>
        <v>0</v>
      </c>
      <c r="AB193">
        <f ca="1">MAX(0,IF(COUNTIF(IF(AND(配装计算器!$K$30&lt;&gt;"∞",0),INDEX(AU193:CB193,1,$AT$1),INDEX(AU193:CB193,1,$AT$1)),"*叠1*")=1,4*25-加速!$L$11,AB192-A193+A192)-IF(OR(COUNTIF(OFFSET(AT193,0,$AT$1,1,1),"*听雷*")&gt;0,AND(碧归&gt;0,COUNTIF(OFFSET(AT193,0,$AT$1,1,1),"*风来*")&gt;0)),0,1)*1.5)</f>
        <v>97.21</v>
      </c>
      <c r="AC193">
        <f ca="1" t="shared" si="39"/>
        <v>0</v>
      </c>
      <c r="AD193">
        <f ca="1">IF(COUNTIF(IF(AND(配装计算器!$K$30&lt;&gt;"∞",0),INDEX(AU193:CB193,1,$AT$1),INDEX(AU194:CB194,1,$AT$1)),"*叠1*")=1,AB193*0+AE192,0)</f>
        <v>0</v>
      </c>
      <c r="AE193" t="e">
        <f ca="1">IF($AN$11&gt;0,IF(COUNTIF(B194,"*叠1*")&gt;0,50-加速!$L$11,MAX(0,AE192-(A194-A193))),0)</f>
        <v>#VALUE!</v>
      </c>
      <c r="AG193">
        <f ca="1" t="shared" si="40"/>
        <v>6</v>
      </c>
      <c r="AH193" t="s">
        <v>1825</v>
      </c>
      <c r="AI193" t="s">
        <v>2808</v>
      </c>
      <c r="AJ193">
        <f ca="1">循环比*COUNTIFS($B$3:$B$515,"*"&amp;AI193&amp;"*",$D$3:$D$515,"=1",$H$3:$H$515,"=0",$G$3:$G$515,"&gt;0",$K$3:$K$515,"=2",$AC$3:$AC$515,"=2")</f>
        <v>0</v>
      </c>
      <c r="AK193" t="s">
        <v>3112</v>
      </c>
      <c r="AU193" t="s">
        <v>3009</v>
      </c>
      <c r="AV193">
        <v>2</v>
      </c>
      <c r="AW193" t="str">
        <f>IF($AR$11=1,"云飞玉皇","夕照雷峰")</f>
        <v>夕照雷峰</v>
      </c>
      <c r="AX193">
        <v>2</v>
      </c>
      <c r="AY193" t="s">
        <v>3035</v>
      </c>
      <c r="AZ193">
        <v>2</v>
      </c>
      <c r="BA193" t="s">
        <v>2768</v>
      </c>
      <c r="BB193">
        <v>2</v>
      </c>
      <c r="BC193" t="s">
        <v>3010</v>
      </c>
      <c r="BD193">
        <v>2</v>
      </c>
      <c r="BE193" t="s">
        <v>2768</v>
      </c>
      <c r="BF193">
        <v>1</v>
      </c>
      <c r="BG193" t="s">
        <v>2768</v>
      </c>
      <c r="BH193">
        <v>2</v>
      </c>
      <c r="BI193" t="s">
        <v>3011</v>
      </c>
      <c r="BJ193">
        <v>2</v>
      </c>
      <c r="BK193" t="s">
        <v>2768</v>
      </c>
      <c r="BL193">
        <v>1</v>
      </c>
      <c r="BM193" s="176" t="s">
        <v>2768</v>
      </c>
      <c r="BN193">
        <v>2</v>
      </c>
      <c r="BO193" t="s">
        <v>2768</v>
      </c>
      <c r="BP193">
        <v>2</v>
      </c>
      <c r="BQ193" t="s">
        <v>2776</v>
      </c>
      <c r="BR193">
        <v>2</v>
      </c>
      <c r="BS193" t="s">
        <v>2776</v>
      </c>
      <c r="BT193">
        <v>0</v>
      </c>
      <c r="BU193" s="176" t="s">
        <v>2776</v>
      </c>
      <c r="BV193">
        <v>2</v>
      </c>
      <c r="BW193" s="179" t="str">
        <f>IF($AN$11=1,橙武补雾锁,"听雷-重")</f>
        <v>云飞玉皇-玉山揽云</v>
      </c>
      <c r="BX193" s="179">
        <v>0</v>
      </c>
      <c r="BY193" t="s">
        <v>2768</v>
      </c>
      <c r="BZ193">
        <v>2</v>
      </c>
      <c r="CA193" t="s">
        <v>2768</v>
      </c>
      <c r="CB193">
        <v>2</v>
      </c>
    </row>
    <row r="194" spans="1:80">
      <c r="A194" s="178" t="str">
        <f ca="1">IFERROR(IF(AG193&lt;5+金蛇*2,IF(COUNTIF(B193,"*轻*")&gt;0,A193+加速!$L$9,A193+加速!$L$11)+V193,""),"")</f>
        <v/>
      </c>
      <c r="B194" s="167" t="str">
        <f ca="1" t="shared" ref="B194:B257" si="58">IF(A194&lt;&gt;"",INDEX(AU194:CB194,1,$AT$1),"")</f>
        <v/>
      </c>
      <c r="C194" t="str">
        <f ca="1" t="shared" si="44"/>
        <v/>
      </c>
      <c r="D194" t="str">
        <f ca="1">IF(B194&lt;&gt;"",IF(C193&lt;=加速!$L$11*(1-E194),0,1),"")</f>
        <v/>
      </c>
      <c r="E194">
        <f ca="1" t="shared" si="41"/>
        <v>1</v>
      </c>
      <c r="G194" t="str">
        <f ca="1" t="shared" si="42"/>
        <v/>
      </c>
      <c r="H194" t="str">
        <f ca="1">IF(B194&lt;&gt;"",IF(AND(COUNTIF(B193,"*轻*莺鸣柳*")&gt;0,COUNTIF(B194,"*轻*")&lt;1),MAX(0,15+I193-(A194-A193)+COUNTIF(B193,"*平湖*")*0),IF(AND(E194=0,MAX(0,H193-(A194-A193))&lt;=加速!$H$11),0,MAX(0,H193-(A194-A193)))),"")</f>
        <v/>
      </c>
      <c r="I194" t="str">
        <f ca="1" t="shared" si="48"/>
        <v/>
      </c>
      <c r="J194" t="str">
        <f ca="1" t="shared" si="49"/>
        <v/>
      </c>
      <c r="K194" t="str">
        <f ca="1" t="shared" ref="K194:K257" si="59">IF(A194&lt;&gt;"",INDEX(AU194:CB194,1,$AT$2),"")</f>
        <v/>
      </c>
      <c r="L194">
        <f ca="1">IFERROR(IF(AND(COUNTIF(B194,"*-峰插*"),技能数据库!$M$72&gt;0),0,IF(COUNTIF(B194,"*鹤归*")&gt;0,16-加速!$L$11,MAX(0,L193-(A194-A193)))),0)</f>
        <v>0</v>
      </c>
      <c r="M194">
        <f ca="1" t="shared" si="37"/>
        <v>0</v>
      </c>
      <c r="N194">
        <f ca="1">IFERROR(IF(AND(COUNTIF(B194,"*-峰插*"),技能数据库!$M$72&gt;0),0,IF(COUNTIF(B194,"*云飞*")&gt;0,4-COUNTIF(B194,"*玉山揽云*")*4--COUNTIF(B194,"*烟流暮景*")*4-COUNTIF(B194,"*云景*")*加速!$L$11-IF(J194&gt;0,2,0),MAX(0,N193-(A194-A193)-IF(J194&gt;0,2,0)))),0)</f>
        <v>0</v>
      </c>
      <c r="O194">
        <f ca="1">IF(AND(COUNTIF(IF(AND(配装计算器!$K$30&lt;&gt;"∞",0),INDEX(AU193:CB193,1,$AT$1),INDEX(AU195:CB195,1,$AT$1)),"*云飞*")=1,COUNTIF(IF(AND(配装计算器!$K$30&lt;&gt;"∞",0),INDEX(AU193:CB193,1,$AT$1),INDEX(AU195:CB195,1,$AT$1)),"*玉山*")=0),N194,0)</f>
        <v>0</v>
      </c>
      <c r="P194">
        <f ca="1">IFERROR(IF(COUNTIF(B194,"*云栖松*")&gt;0,50-加速!$L$11,MAX(0,P193-(A194-A193))),0)</f>
        <v>0</v>
      </c>
      <c r="Q194">
        <f ca="1">IF(COUNTIF(IF(AND(配装计算器!$K$30&lt;&gt;"∞",0),INDEX(AU193:CB193,1,$AT$1),INDEX(AU195:CB195,1,$AT$1)),"*云栖松*")=1,P194,0)</f>
        <v>0</v>
      </c>
      <c r="R194">
        <f ca="1">IFERROR(IF(COUNTIF(B194,"*莺鸣柳*")&gt;0,45-加速!$L$9,MAX(0,R193-(A194-A193))),0)</f>
        <v>0</v>
      </c>
      <c r="S194">
        <f ca="1">IF(COUNTIF(IF(AND(配装计算器!$K$30&lt;&gt;"∞",0),INDEX(AU193:CB193,1,$AT$1),INDEX(AU195:CB195,1,$AT$1)),"*莺鸣柳*")=1,R194,0)</f>
        <v>0</v>
      </c>
      <c r="T194">
        <f ca="1" t="shared" si="45"/>
        <v>0</v>
      </c>
      <c r="U194">
        <f ca="1">IF(金蛇,IF(COUNTIF(B194,"*金环戴*")+COUNTIF(B194,"*吹风醒*")&gt;0,IF(A194&lt;=3,7.125-2.625-A194-加速!$L$11,7.125+加速!$K$9-(A194+加速!$L$11-T194)),0),0)+IF(金蛇,IF(COUNTIF(B194,"*千切子裂光*")&gt;0,2+加速!$K$9-(A194+加速!$L$11-T194),0),0)</f>
        <v>0</v>
      </c>
      <c r="V194">
        <f ca="1" t="shared" si="46"/>
        <v>0</v>
      </c>
      <c r="W194">
        <f ca="1" t="shared" si="38"/>
        <v>0</v>
      </c>
      <c r="X194">
        <f ca="1">INDEX(加速!$I$13:$I$21,W194+1)</f>
        <v>0</v>
      </c>
      <c r="Y194">
        <f ca="1" t="shared" si="47"/>
        <v>0.5</v>
      </c>
      <c r="Z194">
        <f ca="1" t="shared" si="43"/>
        <v>0</v>
      </c>
      <c r="AA194">
        <f ca="1">MAX(0,IFERROR(IF(COUNTIF(B194,"*叠*")&gt;0,IF(AC193&lt;3,8-A195+A194,AA193+6.875-A195+A194),AA193-A195+A194),AA193-加速!$L$11))</f>
        <v>0</v>
      </c>
      <c r="AB194" t="e">
        <f ca="1">MAX(0,IF(COUNTIF(IF(AND(配装计算器!$K$30&lt;&gt;"∞",0),INDEX(AU194:CB194,1,$AT$1),INDEX(AU194:CB194,1,$AT$1)),"*叠1*")=1,4*25-加速!$L$11,AB193-A194+A193)-IF(OR(COUNTIF(OFFSET(AT194,0,$AT$1,1,1),"*听雷*")&gt;0,AND(碧归&gt;0,COUNTIF(OFFSET(AT194,0,$AT$1,1,1),"*风来*")&gt;0)),0,1)*1.5)</f>
        <v>#VALUE!</v>
      </c>
      <c r="AC194">
        <f ca="1" t="shared" si="39"/>
        <v>0</v>
      </c>
      <c r="AD194">
        <f ca="1">IF(COUNTIF(IF(AND(配装计算器!$K$30&lt;&gt;"∞",0),INDEX(AU194:CB194,1,$AT$1),INDEX(AU195:CB195,1,$AT$1)),"*叠1*")=1,AB194*0+AE193,0)</f>
        <v>0</v>
      </c>
      <c r="AE194" t="e">
        <f ca="1">IF($AN$11&gt;0,IF(COUNTIF(B195,"*叠1*")&gt;0,50-加速!$L$11,MAX(0,AE193-(A195-A194))),0)</f>
        <v>#VALUE!</v>
      </c>
      <c r="AG194">
        <f ca="1" t="shared" si="40"/>
        <v>6</v>
      </c>
      <c r="AH194" t="s">
        <v>1825</v>
      </c>
      <c r="AI194" t="s">
        <v>2808</v>
      </c>
      <c r="AJ194">
        <f ca="1">循环比*COUNTIFS($B$3:$B$515,"*"&amp;AI194&amp;"*",$D$3:$D$515,"=1",$H$3:$H$515,"=0",$G$3:$G$515,"&gt;0",$K$3:$K$515,"=2",$AC$3:$AC$515,"=3")</f>
        <v>0</v>
      </c>
      <c r="AK194" t="s">
        <v>3113</v>
      </c>
      <c r="AU194" t="s">
        <v>2768</v>
      </c>
      <c r="AV194">
        <v>2</v>
      </c>
      <c r="AW194" t="str">
        <f>IF($AR$11=1,"夕照雷峰","云飞玉皇")</f>
        <v>云飞玉皇</v>
      </c>
      <c r="AX194">
        <v>2</v>
      </c>
      <c r="AY194" t="s">
        <v>2768</v>
      </c>
      <c r="AZ194">
        <v>2</v>
      </c>
      <c r="BA194" t="s">
        <v>2776</v>
      </c>
      <c r="BB194">
        <v>2</v>
      </c>
      <c r="BC194" t="s">
        <v>3013</v>
      </c>
      <c r="BD194">
        <v>2</v>
      </c>
      <c r="BE194" t="s">
        <v>3042</v>
      </c>
      <c r="BF194">
        <v>0</v>
      </c>
      <c r="BG194" t="s">
        <v>2776</v>
      </c>
      <c r="BH194">
        <v>2</v>
      </c>
      <c r="BI194" t="s">
        <v>2768</v>
      </c>
      <c r="BJ194">
        <v>2</v>
      </c>
      <c r="BK194" t="s">
        <v>2794</v>
      </c>
      <c r="BL194">
        <v>0</v>
      </c>
      <c r="BM194" t="s">
        <v>3056</v>
      </c>
      <c r="BN194">
        <v>1</v>
      </c>
      <c r="BO194" t="s">
        <v>2768</v>
      </c>
      <c r="BP194">
        <v>2</v>
      </c>
      <c r="BQ194" t="s">
        <v>2768</v>
      </c>
      <c r="BR194">
        <v>2</v>
      </c>
      <c r="BS194" t="s">
        <v>2768</v>
      </c>
      <c r="BT194">
        <v>0</v>
      </c>
      <c r="BU194" s="176" t="s">
        <v>3035</v>
      </c>
      <c r="BV194">
        <v>2</v>
      </c>
      <c r="BW194" s="179" t="str">
        <f t="shared" si="57"/>
        <v>云飞玉皇-玉山揽云</v>
      </c>
      <c r="BX194" s="179">
        <v>2</v>
      </c>
      <c r="BY194" t="s">
        <v>2776</v>
      </c>
      <c r="BZ194">
        <v>2</v>
      </c>
      <c r="CA194" t="s">
        <v>2776</v>
      </c>
      <c r="CB194">
        <v>2</v>
      </c>
    </row>
    <row r="195" spans="1:80">
      <c r="A195" s="178" t="str">
        <f ca="1">IFERROR(IF(AG194&lt;5+金蛇*2,IF(COUNTIF(B194,"*轻*")&gt;0,A194+加速!$L$9,A194+加速!$L$11)+V194,""),"")</f>
        <v/>
      </c>
      <c r="B195" s="167" t="str">
        <f ca="1" t="shared" si="58"/>
        <v/>
      </c>
      <c r="C195" t="str">
        <f ca="1" t="shared" si="44"/>
        <v/>
      </c>
      <c r="D195" t="str">
        <f ca="1">IF(B195&lt;&gt;"",IF(C194&lt;=加速!$L$11*(1-E195),0,1),"")</f>
        <v/>
      </c>
      <c r="E195">
        <f ca="1" t="shared" si="41"/>
        <v>1</v>
      </c>
      <c r="G195" t="str">
        <f ca="1" t="shared" si="42"/>
        <v/>
      </c>
      <c r="H195" t="str">
        <f ca="1">IF(B195&lt;&gt;"",IF(AND(COUNTIF(B194,"*轻*莺鸣柳*")&gt;0,COUNTIF(B195,"*轻*")&lt;1),MAX(0,15+I194-(A195-A194)+COUNTIF(B194,"*平湖*")*0),IF(AND(E195=0,MAX(0,H194-(A195-A194))&lt;=加速!$H$11),0,MAX(0,H194-(A195-A194)))),"")</f>
        <v/>
      </c>
      <c r="I195" t="str">
        <f ca="1" t="shared" si="48"/>
        <v/>
      </c>
      <c r="J195" t="str">
        <f ca="1" t="shared" si="49"/>
        <v/>
      </c>
      <c r="K195" t="str">
        <f ca="1" t="shared" si="59"/>
        <v/>
      </c>
      <c r="L195">
        <f ca="1">IFERROR(IF(AND(COUNTIF(B195,"*-峰插*"),技能数据库!$M$72&gt;0),0,IF(COUNTIF(B195,"*鹤归*")&gt;0,16-加速!$L$11,MAX(0,L194-(A195-A194)))),0)</f>
        <v>0</v>
      </c>
      <c r="M195">
        <f ca="1" t="shared" ref="M195:M258" si="60">IF(COUNTIF(INDEX(AU196:CB196,1,$AT$1),"*鹤归*")=1,L195,0)</f>
        <v>0</v>
      </c>
      <c r="N195">
        <f ca="1">IFERROR(IF(AND(COUNTIF(B195,"*-峰插*"),技能数据库!$M$72&gt;0),0,IF(COUNTIF(B195,"*云飞*")&gt;0,4-COUNTIF(B195,"*玉山揽云*")*4--COUNTIF(B195,"*烟流暮景*")*4-COUNTIF(B195,"*云景*")*加速!$L$11-IF(J195&gt;0,2,0),MAX(0,N194-(A195-A194)-IF(J195&gt;0,2,0)))),0)</f>
        <v>0</v>
      </c>
      <c r="O195">
        <f ca="1">IF(AND(COUNTIF(IF(AND(配装计算器!$K$30&lt;&gt;"∞",0),INDEX(AU194:CB194,1,$AT$1),INDEX(AU196:CB196,1,$AT$1)),"*云飞*")=1,COUNTIF(IF(AND(配装计算器!$K$30&lt;&gt;"∞",0),INDEX(AU194:CB194,1,$AT$1),INDEX(AU196:CB196,1,$AT$1)),"*玉山*")=0),N195,0)</f>
        <v>0</v>
      </c>
      <c r="P195">
        <f ca="1">IFERROR(IF(COUNTIF(B195,"*云栖松*")&gt;0,50-加速!$L$11,MAX(0,P194-(A195-A194))),0)</f>
        <v>0</v>
      </c>
      <c r="Q195">
        <f ca="1">IF(COUNTIF(IF(AND(配装计算器!$K$30&lt;&gt;"∞",0),INDEX(AU194:CB194,1,$AT$1),INDEX(AU196:CB196,1,$AT$1)),"*云栖松*")=1,P195,0)</f>
        <v>0</v>
      </c>
      <c r="R195">
        <f ca="1">IFERROR(IF(COUNTIF(B195,"*莺鸣柳*")&gt;0,45-加速!$L$9,MAX(0,R194-(A195-A194))),0)</f>
        <v>0</v>
      </c>
      <c r="S195">
        <f ca="1">IF(COUNTIF(IF(AND(配装计算器!$K$30&lt;&gt;"∞",0),INDEX(AU194:CB194,1,$AT$1),INDEX(AU196:CB196,1,$AT$1)),"*莺鸣柳*")=1,R195,0)</f>
        <v>0</v>
      </c>
      <c r="T195">
        <f ca="1" t="shared" si="45"/>
        <v>0</v>
      </c>
      <c r="U195">
        <f ca="1">IF(金蛇,IF(COUNTIF(B195,"*金环戴*")+COUNTIF(B195,"*吹风醒*")&gt;0,IF(A195&lt;=3,7.125-2.625-A195-加速!$L$11,7.125+加速!$K$9-(A195+加速!$L$11-T195)),0),0)+IF(金蛇,IF(COUNTIF(B195,"*千切子裂光*")&gt;0,2+加速!$K$9-(A195+加速!$L$11-T195),0),0)</f>
        <v>0</v>
      </c>
      <c r="V195">
        <f ca="1" t="shared" si="46"/>
        <v>0</v>
      </c>
      <c r="W195">
        <f ca="1" t="shared" ref="W195:W258" si="61">IF(COUNTIF(B195,"*风来吴山*")&gt;0,1,IF(W194+1&gt;风车GCD,0,IF(W194&gt;0,W194+1,0)))</f>
        <v>0</v>
      </c>
      <c r="X195">
        <f ca="1">INDEX(加速!$I$13:$I$21,W195+1)</f>
        <v>0</v>
      </c>
      <c r="Y195">
        <f ca="1" t="shared" si="47"/>
        <v>0.5</v>
      </c>
      <c r="Z195">
        <f ca="1" t="shared" si="43"/>
        <v>0</v>
      </c>
      <c r="AA195">
        <f ca="1">MAX(0,IFERROR(IF(COUNTIF(B195,"*叠*")&gt;0,IF(AC194&lt;3,8-A196+A195,AA194+6.875-A196+A195),AA194-A196+A195),AA194-加速!$L$11))</f>
        <v>0</v>
      </c>
      <c r="AB195" t="e">
        <f ca="1">MAX(0,IF(COUNTIF(IF(AND(配装计算器!$K$30&lt;&gt;"∞",0),INDEX(AU195:CB195,1,$AT$1),INDEX(AU195:CB195,1,$AT$1)),"*叠1*")=1,4*25-加速!$L$11,AB194-A195+A194)-IF(OR(COUNTIF(OFFSET(AT195,0,$AT$1,1,1),"*听雷*")&gt;0,AND(碧归&gt;0,COUNTIF(OFFSET(AT195,0,$AT$1,1,1),"*风来*")&gt;0)),0,1)*1.5)</f>
        <v>#VALUE!</v>
      </c>
      <c r="AC195">
        <f ca="1" t="shared" ref="AC195:AC258" si="62">IF(AND(AA195=0,E195=0),0,IF(AND(COUNTIF(B195,"*叠*")&gt;0,OR(AA194=0,AA194&gt;=5)),AC194+1,AC194))</f>
        <v>0</v>
      </c>
      <c r="AD195">
        <f ca="1">IF(COUNTIF(IF(AND(配装计算器!$K$30&lt;&gt;"∞",0),INDEX(AU195:CB195,1,$AT$1),INDEX(AU196:CB196,1,$AT$1)),"*叠1*")=1,AB195*0+AE194,0)</f>
        <v>0</v>
      </c>
      <c r="AE195" t="e">
        <f ca="1">IF($AN$11&gt;0,IF(COUNTIF(B196,"*叠1*")&gt;0,50-加速!$L$11,MAX(0,AE194-(A196-A195))),0)</f>
        <v>#VALUE!</v>
      </c>
      <c r="AG195">
        <f ca="1" t="shared" ref="AG195:AG258" si="63">COUNTIF(INDEX(AU196:CB196,1,$AT$1),"*莺鸣柳*")+COUNTIF(INDEX(AU196:CB196,1,$AT$1),"*叠1*")+AG194</f>
        <v>6</v>
      </c>
      <c r="AH195" t="s">
        <v>1825</v>
      </c>
      <c r="AI195" t="s">
        <v>2768</v>
      </c>
      <c r="AJ195">
        <f ca="1">循环比*COUNTIFS($B$3:$B$515,"*"&amp;AI195&amp;"*",$D$3:$D$515,"=1",$H$3:$H$515,"=0",$G$3:$G$515,"&gt;0",$K$3:$K$515,"=2",$AC$3:$AC$515,"=1")</f>
        <v>0</v>
      </c>
      <c r="AK195" t="s">
        <v>3111</v>
      </c>
      <c r="AU195" t="s">
        <v>2776</v>
      </c>
      <c r="AV195">
        <v>2</v>
      </c>
      <c r="AW195" t="str">
        <f>IF($AR$11=1,"云飞玉皇","夕照雷峰")</f>
        <v>夕照雷峰</v>
      </c>
      <c r="AX195">
        <v>2</v>
      </c>
      <c r="AY195" t="s">
        <v>2776</v>
      </c>
      <c r="AZ195">
        <v>2</v>
      </c>
      <c r="BA195" t="s">
        <v>2768</v>
      </c>
      <c r="BB195">
        <v>2</v>
      </c>
      <c r="BC195" t="s">
        <v>3018</v>
      </c>
      <c r="BD195">
        <v>2</v>
      </c>
      <c r="BE195" t="s">
        <v>2776</v>
      </c>
      <c r="BF195">
        <v>0</v>
      </c>
      <c r="BG195" t="s">
        <v>2768</v>
      </c>
      <c r="BH195">
        <v>2</v>
      </c>
      <c r="BI195" t="s">
        <v>3018</v>
      </c>
      <c r="BJ195">
        <v>2</v>
      </c>
      <c r="BK195" t="s">
        <v>2776</v>
      </c>
      <c r="BL195">
        <v>0</v>
      </c>
      <c r="BM195" t="s">
        <v>2768</v>
      </c>
      <c r="BN195">
        <v>2</v>
      </c>
      <c r="BO195" t="s">
        <v>2768</v>
      </c>
      <c r="BP195">
        <v>2</v>
      </c>
      <c r="BQ195" t="s">
        <v>2768</v>
      </c>
      <c r="BR195">
        <v>2</v>
      </c>
      <c r="BS195" t="s">
        <v>3012</v>
      </c>
      <c r="BT195">
        <v>2</v>
      </c>
      <c r="BU195" t="s">
        <v>2768</v>
      </c>
      <c r="BV195">
        <v>2</v>
      </c>
      <c r="BW195" s="179" t="str">
        <f t="shared" si="57"/>
        <v>云飞玉皇-玉山揽云</v>
      </c>
      <c r="BX195" s="179">
        <v>2</v>
      </c>
      <c r="BY195" t="s">
        <v>2718</v>
      </c>
      <c r="BZ195">
        <v>0</v>
      </c>
      <c r="CA195" t="s">
        <v>2718</v>
      </c>
      <c r="CB195">
        <v>0</v>
      </c>
    </row>
    <row r="196" spans="1:80">
      <c r="A196" s="178" t="str">
        <f ca="1">IFERROR(IF(AG195&lt;5+金蛇*2,IF(COUNTIF(B195,"*轻*")&gt;0,A195+加速!$L$9,A195+加速!$L$11)+V195,""),"")</f>
        <v/>
      </c>
      <c r="B196" s="167" t="str">
        <f ca="1" t="shared" si="58"/>
        <v/>
      </c>
      <c r="C196" t="str">
        <f ca="1" t="shared" si="44"/>
        <v/>
      </c>
      <c r="D196" t="str">
        <f ca="1">IF(B196&lt;&gt;"",IF(C195&lt;=加速!$L$11*(1-E196),0,1),"")</f>
        <v/>
      </c>
      <c r="E196">
        <f ca="1" t="shared" ref="E196:E259" si="64">IF(OR(COUNTIF(B196,"夕照雷峰*")&gt;0,COUNTIF(B196,"云飞玉皇*")&gt;0,COUNTIF(B196,"风来吴山*")&gt;0),COUNTIF(B196,"*云景*")+COUNTIF(B196,"*玉山揽云*")+COUNTIF(B196,"*烟流暮景*"),1)</f>
        <v>1</v>
      </c>
      <c r="G196" t="str">
        <f ca="1" t="shared" ref="G196:G259" si="65">IF(B196&lt;&gt;"",IF(AND(碧归&gt;0,COUNTIF(B195,"*风来吴山*")&gt;0),8,MAX(0,G195-COUNTIF(B196,"*云飞*")-COUNTIF(B196,"*鹤*")-COUNTIF(B196,"*夕*"))),"")</f>
        <v/>
      </c>
      <c r="H196" t="str">
        <f ca="1">IF(B196&lt;&gt;"",IF(AND(COUNTIF(B195,"*轻*莺鸣柳*")&gt;0,COUNTIF(B196,"*轻*")&lt;1),MAX(0,15+I195-(A196-A195)+COUNTIF(B195,"*平湖*")*0),IF(AND(E196=0,MAX(0,H195-(A196-A195))&lt;=加速!$H$11),0,MAX(0,H195-(A196-A195)))),"")</f>
        <v/>
      </c>
      <c r="I196" t="str">
        <f ca="1" t="shared" si="48"/>
        <v/>
      </c>
      <c r="J196" t="str">
        <f ca="1" t="shared" si="49"/>
        <v/>
      </c>
      <c r="K196" t="str">
        <f ca="1" t="shared" si="59"/>
        <v/>
      </c>
      <c r="L196">
        <f ca="1">IFERROR(IF(AND(COUNTIF(B196,"*-峰插*"),技能数据库!$M$72&gt;0),0,IF(COUNTIF(B196,"*鹤归*")&gt;0,16-加速!$L$11,MAX(0,L195-(A196-A195)))),0)</f>
        <v>0</v>
      </c>
      <c r="M196">
        <f ca="1" t="shared" si="60"/>
        <v>0</v>
      </c>
      <c r="N196">
        <f ca="1">IFERROR(IF(AND(COUNTIF(B196,"*-峰插*"),技能数据库!$M$72&gt;0),0,IF(COUNTIF(B196,"*云飞*")&gt;0,4-COUNTIF(B196,"*玉山揽云*")*4--COUNTIF(B196,"*烟流暮景*")*4-COUNTIF(B196,"*云景*")*加速!$L$11-IF(J196&gt;0,2,0),MAX(0,N195-(A196-A195)-IF(J196&gt;0,2,0)))),0)</f>
        <v>0</v>
      </c>
      <c r="O196">
        <f ca="1">IF(AND(COUNTIF(IF(AND(配装计算器!$K$30&lt;&gt;"∞",0),INDEX(AU195:CB195,1,$AT$1),INDEX(AU197:CB197,1,$AT$1)),"*云飞*")=1,COUNTIF(IF(AND(配装计算器!$K$30&lt;&gt;"∞",0),INDEX(AU195:CB195,1,$AT$1),INDEX(AU197:CB197,1,$AT$1)),"*玉山*")=0),N196,0)</f>
        <v>0</v>
      </c>
      <c r="P196">
        <f ca="1">IFERROR(IF(COUNTIF(B196,"*云栖松*")&gt;0,50-加速!$L$11,MAX(0,P195-(A196-A195))),0)</f>
        <v>0</v>
      </c>
      <c r="Q196">
        <f ca="1">IF(COUNTIF(IF(AND(配装计算器!$K$30&lt;&gt;"∞",0),INDEX(AU195:CB195,1,$AT$1),INDEX(AU197:CB197,1,$AT$1)),"*云栖松*")=1,P196,0)</f>
        <v>0</v>
      </c>
      <c r="R196">
        <f ca="1">IFERROR(IF(COUNTIF(B196,"*莺鸣柳*")&gt;0,45-加速!$L$9,MAX(0,R195-(A196-A195))),0)</f>
        <v>0</v>
      </c>
      <c r="S196">
        <f ca="1">IF(COUNTIF(IF(AND(配装计算器!$K$30&lt;&gt;"∞",0),INDEX(AU195:CB195,1,$AT$1),INDEX(AU197:CB197,1,$AT$1)),"*莺鸣柳*")=1,R196,0)</f>
        <v>0</v>
      </c>
      <c r="T196">
        <f ca="1" t="shared" si="45"/>
        <v>0</v>
      </c>
      <c r="U196">
        <f ca="1">IF(金蛇,IF(COUNTIF(B196,"*金环戴*")+COUNTIF(B196,"*吹风醒*")&gt;0,IF(A196&lt;=3,7.125-2.625-A196-加速!$L$11,7.125+加速!$K$9-(A196+加速!$L$11-T196)),0),0)+IF(金蛇,IF(COUNTIF(B196,"*千切子裂光*")&gt;0,2+加速!$K$9-(A196+加速!$L$11-T196),0),0)</f>
        <v>0</v>
      </c>
      <c r="V196">
        <f ca="1" t="shared" si="46"/>
        <v>0</v>
      </c>
      <c r="W196">
        <f ca="1" t="shared" si="61"/>
        <v>0</v>
      </c>
      <c r="X196">
        <f ca="1">INDEX(加速!$I$13:$I$21,W196+1)</f>
        <v>0</v>
      </c>
      <c r="Y196">
        <f ca="1" t="shared" si="47"/>
        <v>0.5</v>
      </c>
      <c r="Z196">
        <f ca="1" t="shared" ref="Z196:Z259" si="66">IF(金蛇,IF(COUNTIF(B196,"*虎跑*")&gt;0,INT((A196-Y196)/3),0),0)</f>
        <v>0</v>
      </c>
      <c r="AA196">
        <f ca="1">MAX(0,IFERROR(IF(COUNTIF(B196,"*叠*")&gt;0,IF(AC195&lt;3,8-A197+A196,AA195+6.875-A197+A196),AA195-A197+A196),AA195-加速!$L$11))</f>
        <v>0</v>
      </c>
      <c r="AB196" t="e">
        <f ca="1">MAX(0,IF(COUNTIF(IF(AND(配装计算器!$K$30&lt;&gt;"∞",0),INDEX(AU196:CB196,1,$AT$1),INDEX(AU196:CB196,1,$AT$1)),"*叠1*")=1,4*25-加速!$L$11,AB195-A196+A195)-IF(OR(COUNTIF(OFFSET(AT196,0,$AT$1,1,1),"*听雷*")&gt;0,AND(碧归&gt;0,COUNTIF(OFFSET(AT196,0,$AT$1,1,1),"*风来*")&gt;0)),0,1)*1.5)</f>
        <v>#VALUE!</v>
      </c>
      <c r="AC196">
        <f ca="1" t="shared" si="62"/>
        <v>0</v>
      </c>
      <c r="AD196">
        <f ca="1">IF(COUNTIF(IF(AND(配装计算器!$K$30&lt;&gt;"∞",0),INDEX(AU196:CB196,1,$AT$1),INDEX(AU197:CB197,1,$AT$1)),"*叠1*")=1,AB196*0+AE195,0)</f>
        <v>0</v>
      </c>
      <c r="AE196" t="e">
        <f ca="1">IF($AN$11&gt;0,IF(COUNTIF(B197,"*叠1*")&gt;0,50-加速!$L$11,MAX(0,AE195-(A197-A196))),0)</f>
        <v>#VALUE!</v>
      </c>
      <c r="AG196">
        <f ca="1" t="shared" si="63"/>
        <v>6</v>
      </c>
      <c r="AH196" t="s">
        <v>1825</v>
      </c>
      <c r="AI196" t="s">
        <v>2768</v>
      </c>
      <c r="AJ196">
        <f ca="1">循环比*COUNTIFS($B$3:$B$515,"*"&amp;AI196&amp;"*",$D$3:$D$515,"=1",$H$3:$H$515,"=0",$G$3:$G$515,"&gt;0",$K$3:$K$515,"=2",$AC$3:$AC$515,"=2")</f>
        <v>0</v>
      </c>
      <c r="AK196" t="s">
        <v>3112</v>
      </c>
      <c r="AU196" t="s">
        <v>2768</v>
      </c>
      <c r="AV196">
        <v>2</v>
      </c>
      <c r="AW196" t="str">
        <f>IF($AR$11=1,"夕照雷峰","云景·云飞玉皇-黄龙吐翠")</f>
        <v>云景·云飞玉皇-黄龙吐翠</v>
      </c>
      <c r="AX196">
        <f>IF($AR$11=1,2,1)</f>
        <v>1</v>
      </c>
      <c r="AY196" t="s">
        <v>2768</v>
      </c>
      <c r="AZ196">
        <v>2</v>
      </c>
      <c r="BA196" t="s">
        <v>2776</v>
      </c>
      <c r="BB196">
        <v>2</v>
      </c>
      <c r="BC196" t="s">
        <v>2768</v>
      </c>
      <c r="BD196">
        <v>2</v>
      </c>
      <c r="BE196" t="s">
        <v>2768</v>
      </c>
      <c r="BF196">
        <v>1</v>
      </c>
      <c r="BG196" t="s">
        <v>2776</v>
      </c>
      <c r="BH196">
        <v>2</v>
      </c>
      <c r="BI196" t="s">
        <v>2768</v>
      </c>
      <c r="BJ196">
        <v>2</v>
      </c>
      <c r="BK196" t="s">
        <v>2768</v>
      </c>
      <c r="BL196">
        <v>0</v>
      </c>
      <c r="BM196" t="s">
        <v>2768</v>
      </c>
      <c r="BN196">
        <v>2</v>
      </c>
      <c r="BO196" t="s">
        <v>2776</v>
      </c>
      <c r="BP196">
        <v>2</v>
      </c>
      <c r="BQ196" t="s">
        <v>3035</v>
      </c>
      <c r="BR196">
        <v>2</v>
      </c>
      <c r="BS196" s="179" t="s">
        <v>2794</v>
      </c>
      <c r="BT196">
        <v>2</v>
      </c>
      <c r="BU196" t="s">
        <v>2776</v>
      </c>
      <c r="BV196">
        <v>2</v>
      </c>
      <c r="BW196" s="179" t="s">
        <v>2776</v>
      </c>
      <c r="BX196" s="179">
        <v>2</v>
      </c>
      <c r="BY196" s="176" t="s">
        <v>2794</v>
      </c>
      <c r="BZ196">
        <v>0</v>
      </c>
      <c r="CA196" t="s">
        <v>2768</v>
      </c>
      <c r="CB196">
        <v>2</v>
      </c>
    </row>
    <row r="197" spans="1:80">
      <c r="A197" s="178" t="str">
        <f ca="1">IFERROR(IF(AG196&lt;5+金蛇*2,IF(COUNTIF(B196,"*轻*")&gt;0,A196+加速!$L$9,A196+加速!$L$11)+V196,""),"")</f>
        <v/>
      </c>
      <c r="B197" s="167" t="str">
        <f ca="1" t="shared" si="58"/>
        <v/>
      </c>
      <c r="C197" t="str">
        <f ca="1" t="shared" ref="C197:C260" si="67">IFERROR(IF(COUNTIF(B197,"*夕照雷峰*")&gt;0,15,MAX(0,C196-(A197-A196))),"")</f>
        <v/>
      </c>
      <c r="D197" t="str">
        <f ca="1">IF(B197&lt;&gt;"",IF(C196&lt;=加速!$L$11*(1-E197),0,1),"")</f>
        <v/>
      </c>
      <c r="E197">
        <f ca="1" t="shared" si="64"/>
        <v>1</v>
      </c>
      <c r="G197" t="str">
        <f ca="1" t="shared" si="65"/>
        <v/>
      </c>
      <c r="H197" t="str">
        <f ca="1">IF(B197&lt;&gt;"",IF(AND(COUNTIF(B196,"*轻*莺鸣柳*")&gt;0,COUNTIF(B197,"*轻*")&lt;1),MAX(0,15+I196-(A197-A196)+COUNTIF(B196,"*平湖*")*0),IF(AND(E197=0,MAX(0,H196-(A197-A196))&lt;=加速!$H$11),0,MAX(0,H196-(A197-A196)))),"")</f>
        <v/>
      </c>
      <c r="I197" t="str">
        <f ca="1" t="shared" si="48"/>
        <v/>
      </c>
      <c r="J197" t="str">
        <f ca="1" t="shared" si="49"/>
        <v/>
      </c>
      <c r="K197" t="str">
        <f ca="1" t="shared" si="59"/>
        <v/>
      </c>
      <c r="L197">
        <f ca="1">IFERROR(IF(AND(COUNTIF(B197,"*-峰插*"),技能数据库!$M$72&gt;0),0,IF(COUNTIF(B197,"*鹤归*")&gt;0,16-加速!$L$11,MAX(0,L196-(A197-A196)))),0)</f>
        <v>0</v>
      </c>
      <c r="M197">
        <f ca="1" t="shared" si="60"/>
        <v>0</v>
      </c>
      <c r="N197">
        <f ca="1">IFERROR(IF(AND(COUNTIF(B197,"*-峰插*"),技能数据库!$M$72&gt;0),0,IF(COUNTIF(B197,"*云飞*")&gt;0,4-COUNTIF(B197,"*玉山揽云*")*4--COUNTIF(B197,"*烟流暮景*")*4-COUNTIF(B197,"*云景*")*加速!$L$11-IF(J197&gt;0,2,0),MAX(0,N196-(A197-A196)-IF(J197&gt;0,2,0)))),0)</f>
        <v>0</v>
      </c>
      <c r="O197">
        <f ca="1">IF(AND(COUNTIF(IF(AND(配装计算器!$K$30&lt;&gt;"∞",0),INDEX(AU196:CB196,1,$AT$1),INDEX(AU198:CB198,1,$AT$1)),"*云飞*")=1,COUNTIF(IF(AND(配装计算器!$K$30&lt;&gt;"∞",0),INDEX(AU196:CB196,1,$AT$1),INDEX(AU198:CB198,1,$AT$1)),"*玉山*")=0),N197,0)</f>
        <v>0</v>
      </c>
      <c r="P197">
        <f ca="1">IFERROR(IF(COUNTIF(B197,"*云栖松*")&gt;0,50-加速!$L$11,MAX(0,P196-(A197-A196))),0)</f>
        <v>0</v>
      </c>
      <c r="Q197">
        <f ca="1">IF(COUNTIF(IF(AND(配装计算器!$K$30&lt;&gt;"∞",0),INDEX(AU196:CB196,1,$AT$1),INDEX(AU198:CB198,1,$AT$1)),"*云栖松*")=1,P197,0)</f>
        <v>0</v>
      </c>
      <c r="R197">
        <f ca="1">IFERROR(IF(COUNTIF(B197,"*莺鸣柳*")&gt;0,45-加速!$L$9,MAX(0,R196-(A197-A196))),0)</f>
        <v>0</v>
      </c>
      <c r="S197">
        <f ca="1">IF(COUNTIF(IF(AND(配装计算器!$K$30&lt;&gt;"∞",0),INDEX(AU196:CB196,1,$AT$1),INDEX(AU198:CB198,1,$AT$1)),"*莺鸣柳*")=1,R197,0)</f>
        <v>0</v>
      </c>
      <c r="T197">
        <f ca="1" t="shared" ref="T197:T260" si="68">IF(COUNTIF(B197,"*岚尘金蛇*")+COUNTIF(B197,"*千切子寒光*")&gt;0,A197,T196)</f>
        <v>0</v>
      </c>
      <c r="U197">
        <f ca="1">IF(金蛇,IF(COUNTIF(B197,"*金环戴*")+COUNTIF(B197,"*吹风醒*")&gt;0,IF(A197&lt;=3,7.125-2.625-A197-加速!$L$11,7.125+加速!$K$9-(A197+加速!$L$11-T197)),0),0)+IF(金蛇,IF(COUNTIF(B197,"*千切子裂光*")&gt;0,2+加速!$K$9-(A197+加速!$L$11-T197),0),0)</f>
        <v>0</v>
      </c>
      <c r="V197">
        <f ca="1" t="shared" ref="V197:V260" si="69">MAX(0,M197+O197+Q197+S197+AD197)+U197</f>
        <v>0</v>
      </c>
      <c r="W197">
        <f ca="1" t="shared" si="61"/>
        <v>0</v>
      </c>
      <c r="X197">
        <f ca="1">INDEX(加速!$I$13:$I$21,W197+1)</f>
        <v>0</v>
      </c>
      <c r="Y197">
        <f ca="1" t="shared" ref="Y197:Y260" si="70">IF(COUNTIF(B197,"*岚尘金蛇*"),A197+2.6125+0.5,Y196)</f>
        <v>0.5</v>
      </c>
      <c r="Z197">
        <f ca="1" t="shared" si="66"/>
        <v>0</v>
      </c>
      <c r="AA197">
        <f ca="1">MAX(0,IFERROR(IF(COUNTIF(B197,"*叠*")&gt;0,IF(AC196&lt;3,8-A198+A197,AA196+6.875-A198+A197),AA196-A198+A197),AA196-加速!$L$11))</f>
        <v>0</v>
      </c>
      <c r="AB197" t="e">
        <f ca="1">MAX(0,IF(COUNTIF(IF(AND(配装计算器!$K$30&lt;&gt;"∞",0),INDEX(AU197:CB197,1,$AT$1),INDEX(AU197:CB197,1,$AT$1)),"*叠1*")=1,4*25-加速!$L$11,AB196-A197+A196)-IF(OR(COUNTIF(OFFSET(AT197,0,$AT$1,1,1),"*听雷*")&gt;0,AND(碧归&gt;0,COUNTIF(OFFSET(AT197,0,$AT$1,1,1),"*风来*")&gt;0)),0,1)*1.5)</f>
        <v>#VALUE!</v>
      </c>
      <c r="AC197">
        <f ca="1" t="shared" si="62"/>
        <v>0</v>
      </c>
      <c r="AD197">
        <f ca="1">IF(COUNTIF(IF(AND(配装计算器!$K$30&lt;&gt;"∞",0),INDEX(AU197:CB197,1,$AT$1),INDEX(AU198:CB198,1,$AT$1)),"*叠1*")=1,AB197*0+AE196,0)</f>
        <v>0</v>
      </c>
      <c r="AE197" t="e">
        <f ca="1">IF($AN$11&gt;0,IF(COUNTIF(B198,"*叠1*")&gt;0,50-加速!$L$11,MAX(0,AE196-(A198-A197))),0)</f>
        <v>#VALUE!</v>
      </c>
      <c r="AG197">
        <f ca="1" t="shared" si="63"/>
        <v>6</v>
      </c>
      <c r="AH197" t="s">
        <v>1825</v>
      </c>
      <c r="AI197" t="s">
        <v>2768</v>
      </c>
      <c r="AJ197">
        <f ca="1">循环比*COUNTIFS($B$3:$B$515,"*"&amp;AI197&amp;"*",$D$3:$D$515,"=1",$H$3:$H$515,"=0",$G$3:$G$515,"&gt;0",$K$3:$K$515,"=2",$AC$3:$AC$515,"=3")</f>
        <v>0</v>
      </c>
      <c r="AK197" t="s">
        <v>3113</v>
      </c>
      <c r="AU197" t="s">
        <v>2768</v>
      </c>
      <c r="AV197">
        <v>2</v>
      </c>
      <c r="AW197" t="str">
        <f>IF($AR$11=1,"云飞玉皇","夕照雷峰")</f>
        <v>夕照雷峰</v>
      </c>
      <c r="AX197">
        <v>2</v>
      </c>
      <c r="AY197" t="s">
        <v>2776</v>
      </c>
      <c r="AZ197">
        <v>2</v>
      </c>
      <c r="BA197" t="s">
        <v>3042</v>
      </c>
      <c r="BB197">
        <v>2</v>
      </c>
      <c r="BC197" t="s">
        <v>3023</v>
      </c>
      <c r="BD197">
        <v>2</v>
      </c>
      <c r="BE197" t="s">
        <v>2768</v>
      </c>
      <c r="BF197">
        <v>1</v>
      </c>
      <c r="BG197" t="s">
        <v>2768</v>
      </c>
      <c r="BH197">
        <v>2</v>
      </c>
      <c r="BI197" s="182" t="s">
        <v>3023</v>
      </c>
      <c r="BJ197">
        <v>2</v>
      </c>
      <c r="BK197" t="s">
        <v>3068</v>
      </c>
      <c r="BL197">
        <v>2</v>
      </c>
      <c r="BM197" t="s">
        <v>2768</v>
      </c>
      <c r="BN197">
        <v>2</v>
      </c>
      <c r="BO197" t="s">
        <v>2768</v>
      </c>
      <c r="BP197">
        <v>1</v>
      </c>
      <c r="BQ197" t="s">
        <v>2776</v>
      </c>
      <c r="BR197">
        <v>2</v>
      </c>
      <c r="BS197" s="179" t="s">
        <v>3019</v>
      </c>
      <c r="BT197">
        <v>2</v>
      </c>
      <c r="BU197" t="s">
        <v>2768</v>
      </c>
      <c r="BV197">
        <v>2</v>
      </c>
      <c r="BW197" s="179" t="s">
        <v>2768</v>
      </c>
      <c r="BX197" s="179">
        <v>2</v>
      </c>
      <c r="BY197" s="176" t="s">
        <v>2768</v>
      </c>
      <c r="BZ197">
        <v>2</v>
      </c>
      <c r="CA197" t="s">
        <v>2768</v>
      </c>
      <c r="CB197">
        <v>2</v>
      </c>
    </row>
    <row r="198" spans="1:80">
      <c r="A198" s="178" t="str">
        <f ca="1">IFERROR(IF(AG197&lt;5+金蛇*2,IF(COUNTIF(B197,"*轻*")&gt;0,A197+加速!$L$9,A197+加速!$L$11)+V197,""),"")</f>
        <v/>
      </c>
      <c r="B198" s="167" t="str">
        <f ca="1" t="shared" si="58"/>
        <v/>
      </c>
      <c r="C198" t="str">
        <f ca="1" t="shared" si="67"/>
        <v/>
      </c>
      <c r="D198" t="str">
        <f ca="1">IF(B198&lt;&gt;"",IF(C197&lt;=加速!$L$11*(1-E198),0,1),"")</f>
        <v/>
      </c>
      <c r="E198">
        <f ca="1" t="shared" si="64"/>
        <v>1</v>
      </c>
      <c r="G198" t="str">
        <f ca="1" t="shared" si="65"/>
        <v/>
      </c>
      <c r="H198" t="str">
        <f ca="1">IF(B198&lt;&gt;"",IF(AND(COUNTIF(B197,"*轻*莺鸣柳*")&gt;0,COUNTIF(B198,"*轻*")&lt;1),MAX(0,15+I197-(A198-A197)+COUNTIF(B197,"*平湖*")*0),IF(AND(E198=0,MAX(0,H197-(A198-A197))&lt;=加速!$H$11),0,MAX(0,H197-(A198-A197)))),"")</f>
        <v/>
      </c>
      <c r="I198" t="str">
        <f ca="1" t="shared" ref="I198:I261" si="71">IF(B198&lt;&gt;"",IF(COUNTIF(B198,"*轻*")&lt;1,0,IF(COUNTIF(B198,"*莺鸣*")&gt;0,8,MAX(0,I197-(A198-A197)))),"")</f>
        <v/>
      </c>
      <c r="J198" t="str">
        <f ca="1" t="shared" ref="J198:J261" si="72">IF(B198&lt;&gt;"",IF(AND(J197=1,OR(AND(COUNTIF(B198,"*云景*")&gt;0,COUNTIF(B193:B197,"*鹤归*")&gt;0),AND(落剑5=1,COUNTIF(B193:B197,"*鹤归*")&gt;0))),1,IF(COUNTIF(B197,"*鹤归*")&gt;0,4+_666三听,MAX(J197-1,0))),"")</f>
        <v/>
      </c>
      <c r="K198" t="str">
        <f ca="1" t="shared" si="59"/>
        <v/>
      </c>
      <c r="L198">
        <f ca="1">IFERROR(IF(AND(COUNTIF(B198,"*-峰插*"),技能数据库!$M$72&gt;0),0,IF(COUNTIF(B198,"*鹤归*")&gt;0,16-加速!$L$11,MAX(0,L197-(A198-A197)))),0)</f>
        <v>0</v>
      </c>
      <c r="M198">
        <f ca="1" t="shared" si="60"/>
        <v>0</v>
      </c>
      <c r="N198">
        <f ca="1">IFERROR(IF(AND(COUNTIF(B198,"*-峰插*"),技能数据库!$M$72&gt;0),0,IF(COUNTIF(B198,"*云飞*")&gt;0,4-COUNTIF(B198,"*玉山揽云*")*4--COUNTIF(B198,"*烟流暮景*")*4-COUNTIF(B198,"*云景*")*加速!$L$11-IF(J198&gt;0,2,0),MAX(0,N197-(A198-A197)-IF(J198&gt;0,2,0)))),0)</f>
        <v>0</v>
      </c>
      <c r="O198">
        <f ca="1">IF(AND(COUNTIF(IF(AND(配装计算器!$K$30&lt;&gt;"∞",0),INDEX(AU197:CB197,1,$AT$1),INDEX(AU199:CB199,1,$AT$1)),"*云飞*")=1,COUNTIF(IF(AND(配装计算器!$K$30&lt;&gt;"∞",0),INDEX(AU197:CB197,1,$AT$1),INDEX(AU199:CB199,1,$AT$1)),"*玉山*")=0),N198,0)</f>
        <v>0</v>
      </c>
      <c r="P198">
        <f ca="1">IFERROR(IF(COUNTIF(B198,"*云栖松*")&gt;0,50-加速!$L$11,MAX(0,P197-(A198-A197))),0)</f>
        <v>0</v>
      </c>
      <c r="Q198">
        <f ca="1">IF(COUNTIF(IF(AND(配装计算器!$K$30&lt;&gt;"∞",0),INDEX(AU197:CB197,1,$AT$1),INDEX(AU199:CB199,1,$AT$1)),"*云栖松*")=1,P198,0)</f>
        <v>0</v>
      </c>
      <c r="R198">
        <f ca="1">IFERROR(IF(COUNTIF(B198,"*莺鸣柳*")&gt;0,45-加速!$L$9,MAX(0,R197-(A198-A197))),0)</f>
        <v>0</v>
      </c>
      <c r="S198">
        <f ca="1">IF(COUNTIF(IF(AND(配装计算器!$K$30&lt;&gt;"∞",0),INDEX(AU197:CB197,1,$AT$1),INDEX(AU199:CB199,1,$AT$1)),"*莺鸣柳*")=1,R198,0)</f>
        <v>0</v>
      </c>
      <c r="T198">
        <f ca="1" t="shared" si="68"/>
        <v>0</v>
      </c>
      <c r="U198">
        <f ca="1">IF(金蛇,IF(COUNTIF(B198,"*金环戴*")+COUNTIF(B198,"*吹风醒*")&gt;0,IF(A198&lt;=3,7.125-2.625-A198-加速!$L$11,7.125+加速!$K$9-(A198+加速!$L$11-T198)),0),0)+IF(金蛇,IF(COUNTIF(B198,"*千切子裂光*")&gt;0,2+加速!$K$9-(A198+加速!$L$11-T198),0),0)</f>
        <v>0</v>
      </c>
      <c r="V198">
        <f ca="1" t="shared" si="69"/>
        <v>0</v>
      </c>
      <c r="W198">
        <f ca="1" t="shared" si="61"/>
        <v>0</v>
      </c>
      <c r="X198">
        <f ca="1">INDEX(加速!$I$13:$I$21,W198+1)</f>
        <v>0</v>
      </c>
      <c r="Y198">
        <f ca="1" t="shared" si="70"/>
        <v>0.5</v>
      </c>
      <c r="Z198">
        <f ca="1" t="shared" si="66"/>
        <v>0</v>
      </c>
      <c r="AA198">
        <f ca="1">MAX(0,IFERROR(IF(COUNTIF(B198,"*叠*")&gt;0,IF(AC197&lt;3,8-A199+A198,AA197+6.875-A199+A198),AA197-A199+A198),AA197-加速!$L$11))</f>
        <v>0</v>
      </c>
      <c r="AB198" t="e">
        <f ca="1">MAX(0,IF(COUNTIF(IF(AND(配装计算器!$K$30&lt;&gt;"∞",0),INDEX(AU198:CB198,1,$AT$1),INDEX(AU198:CB198,1,$AT$1)),"*叠1*")=1,4*25-加速!$L$11,AB197-A198+A197)-IF(OR(COUNTIF(OFFSET(AT198,0,$AT$1,1,1),"*听雷*")&gt;0,AND(碧归&gt;0,COUNTIF(OFFSET(AT198,0,$AT$1,1,1),"*风来*")&gt;0)),0,1)*1.5)</f>
        <v>#VALUE!</v>
      </c>
      <c r="AC198">
        <f ca="1" t="shared" si="62"/>
        <v>0</v>
      </c>
      <c r="AD198">
        <f ca="1">IF(COUNTIF(IF(AND(配装计算器!$K$30&lt;&gt;"∞",0),INDEX(AU198:CB198,1,$AT$1),INDEX(AU199:CB199,1,$AT$1)),"*叠1*")=1,AB198*0+AE197,0)</f>
        <v>0</v>
      </c>
      <c r="AE198" t="e">
        <f ca="1">IF($AN$11&gt;0,IF(COUNTIF(B199,"*叠1*")&gt;0,50-加速!$L$11,MAX(0,AE197-(A199-A198))),0)</f>
        <v>#VALUE!</v>
      </c>
      <c r="AG198">
        <f ca="1" t="shared" si="63"/>
        <v>6</v>
      </c>
      <c r="AH198" t="s">
        <v>1825</v>
      </c>
      <c r="AI198" t="s">
        <v>2794</v>
      </c>
      <c r="AJ198">
        <f ca="1">循环比*COUNTIFS($B$3:$B$515,"*"&amp;AI198&amp;"*",$D$3:$D$515,"=1",$H$3:$H$515,"=0",$G$3:$G$515,"&gt;0",$K$3:$K$515,"=2",$AC$3:$AC$515,"=1")</f>
        <v>0</v>
      </c>
      <c r="AK198" t="s">
        <v>3114</v>
      </c>
      <c r="AU198" s="176" t="s">
        <v>2794</v>
      </c>
      <c r="AV198">
        <v>2</v>
      </c>
      <c r="AW198" t="s">
        <v>2768</v>
      </c>
      <c r="AX198">
        <v>2</v>
      </c>
      <c r="AY198" t="s">
        <v>3042</v>
      </c>
      <c r="AZ198">
        <v>2</v>
      </c>
      <c r="BA198" t="s">
        <v>2808</v>
      </c>
      <c r="BB198">
        <v>2</v>
      </c>
      <c r="BC198" t="s">
        <v>2768</v>
      </c>
      <c r="BD198">
        <v>2</v>
      </c>
      <c r="BE198" t="s">
        <v>2794</v>
      </c>
      <c r="BF198">
        <v>0</v>
      </c>
      <c r="BG198" t="s">
        <v>2808</v>
      </c>
      <c r="BH198">
        <v>2</v>
      </c>
      <c r="BI198" s="176" t="s">
        <v>3026</v>
      </c>
      <c r="BJ198">
        <v>2</v>
      </c>
      <c r="BK198" t="s">
        <v>2768</v>
      </c>
      <c r="BL198">
        <v>2</v>
      </c>
      <c r="BM198" t="s">
        <v>2776</v>
      </c>
      <c r="BN198">
        <v>2</v>
      </c>
      <c r="BO198" t="s">
        <v>2722</v>
      </c>
      <c r="BP198">
        <v>0</v>
      </c>
      <c r="BQ198" t="s">
        <v>2768</v>
      </c>
      <c r="BR198">
        <v>2</v>
      </c>
      <c r="BS198" s="179" t="s">
        <v>2768</v>
      </c>
      <c r="BT198">
        <v>2</v>
      </c>
      <c r="BU198" t="s">
        <v>2776</v>
      </c>
      <c r="BV198">
        <v>2</v>
      </c>
      <c r="BW198" s="179" t="s">
        <v>2768</v>
      </c>
      <c r="BX198" s="179">
        <v>1</v>
      </c>
      <c r="BY198" s="176" t="s">
        <v>2776</v>
      </c>
      <c r="BZ198">
        <v>2</v>
      </c>
      <c r="CA198" t="s">
        <v>2776</v>
      </c>
      <c r="CB198">
        <v>2</v>
      </c>
    </row>
    <row r="199" spans="1:80">
      <c r="A199" s="178" t="str">
        <f ca="1">IFERROR(IF(AG198&lt;5+金蛇*2,IF(COUNTIF(B198,"*轻*")&gt;0,A198+加速!$L$9,A198+加速!$L$11)+V198,""),"")</f>
        <v/>
      </c>
      <c r="B199" s="167" t="str">
        <f ca="1" t="shared" si="58"/>
        <v/>
      </c>
      <c r="C199" t="str">
        <f ca="1" t="shared" si="67"/>
        <v/>
      </c>
      <c r="D199" t="str">
        <f ca="1">IF(B199&lt;&gt;"",IF(C198&lt;=加速!$L$11*(1-E199),0,1),"")</f>
        <v/>
      </c>
      <c r="E199">
        <f ca="1" t="shared" si="64"/>
        <v>1</v>
      </c>
      <c r="G199" t="str">
        <f ca="1" t="shared" si="65"/>
        <v/>
      </c>
      <c r="H199" t="str">
        <f ca="1">IF(B199&lt;&gt;"",IF(AND(COUNTIF(B198,"*轻*莺鸣柳*")&gt;0,COUNTIF(B199,"*轻*")&lt;1),MAX(0,15+I198-(A199-A198)+COUNTIF(B198,"*平湖*")*0),IF(AND(E199=0,MAX(0,H198-(A199-A198))&lt;=加速!$H$11),0,MAX(0,H198-(A199-A198)))),"")</f>
        <v/>
      </c>
      <c r="I199" t="str">
        <f ca="1" t="shared" si="71"/>
        <v/>
      </c>
      <c r="J199" t="str">
        <f ca="1" t="shared" si="72"/>
        <v/>
      </c>
      <c r="K199" t="str">
        <f ca="1" t="shared" si="59"/>
        <v/>
      </c>
      <c r="L199">
        <f ca="1">IFERROR(IF(AND(COUNTIF(B199,"*-峰插*"),技能数据库!$M$72&gt;0),0,IF(COUNTIF(B199,"*鹤归*")&gt;0,16-加速!$L$11,MAX(0,L198-(A199-A198)))),0)</f>
        <v>0</v>
      </c>
      <c r="M199">
        <f ca="1" t="shared" si="60"/>
        <v>0</v>
      </c>
      <c r="N199">
        <f ca="1">IFERROR(IF(AND(COUNTIF(B199,"*-峰插*"),技能数据库!$M$72&gt;0),0,IF(COUNTIF(B199,"*云飞*")&gt;0,4-COUNTIF(B199,"*玉山揽云*")*4--COUNTIF(B199,"*烟流暮景*")*4-COUNTIF(B199,"*云景*")*加速!$L$11-IF(J199&gt;0,2,0),MAX(0,N198-(A199-A198)-IF(J199&gt;0,2,0)))),0)</f>
        <v>0</v>
      </c>
      <c r="O199">
        <f ca="1">IF(AND(COUNTIF(IF(AND(配装计算器!$K$30&lt;&gt;"∞",0),INDEX(AU198:CB198,1,$AT$1),INDEX(AU200:CB200,1,$AT$1)),"*云飞*")=1,COUNTIF(IF(AND(配装计算器!$K$30&lt;&gt;"∞",0),INDEX(AU198:CB198,1,$AT$1),INDEX(AU200:CB200,1,$AT$1)),"*玉山*")=0),N199,0)</f>
        <v>0</v>
      </c>
      <c r="P199">
        <f ca="1">IFERROR(IF(COUNTIF(B199,"*云栖松*")&gt;0,50-加速!$L$11,MAX(0,P198-(A199-A198))),0)</f>
        <v>0</v>
      </c>
      <c r="Q199">
        <f ca="1">IF(COUNTIF(IF(AND(配装计算器!$K$30&lt;&gt;"∞",0),INDEX(AU198:CB198,1,$AT$1),INDEX(AU200:CB200,1,$AT$1)),"*云栖松*")=1,P199,0)</f>
        <v>0</v>
      </c>
      <c r="R199">
        <f ca="1">IFERROR(IF(COUNTIF(B199,"*莺鸣柳*")&gt;0,45-加速!$L$9,MAX(0,R198-(A199-A198))),0)</f>
        <v>0</v>
      </c>
      <c r="S199">
        <f ca="1">IF(COUNTIF(IF(AND(配装计算器!$K$30&lt;&gt;"∞",0),INDEX(AU198:CB198,1,$AT$1),INDEX(AU200:CB200,1,$AT$1)),"*莺鸣柳*")=1,R199,0)</f>
        <v>0</v>
      </c>
      <c r="T199">
        <f ca="1" t="shared" si="68"/>
        <v>0</v>
      </c>
      <c r="U199">
        <f ca="1">IF(金蛇,IF(COUNTIF(B199,"*金环戴*")+COUNTIF(B199,"*吹风醒*")&gt;0,IF(A199&lt;=3,7.125-2.625-A199-加速!$L$11,7.125+加速!$K$9-(A199+加速!$L$11-T199)),0),0)+IF(金蛇,IF(COUNTIF(B199,"*千切子裂光*")&gt;0,2+加速!$K$9-(A199+加速!$L$11-T199),0),0)</f>
        <v>0</v>
      </c>
      <c r="V199">
        <f ca="1" t="shared" si="69"/>
        <v>0</v>
      </c>
      <c r="W199">
        <f ca="1" t="shared" si="61"/>
        <v>0</v>
      </c>
      <c r="X199">
        <f ca="1">INDEX(加速!$I$13:$I$21,W199+1)</f>
        <v>0</v>
      </c>
      <c r="Y199">
        <f ca="1" t="shared" si="70"/>
        <v>0.5</v>
      </c>
      <c r="Z199">
        <f ca="1" t="shared" si="66"/>
        <v>0</v>
      </c>
      <c r="AA199">
        <f ca="1">MAX(0,IFERROR(IF(COUNTIF(B199,"*叠*")&gt;0,IF(AC198&lt;3,8-A200+A199,AA198+6.875-A200+A199),AA198-A200+A199),AA198-加速!$L$11))</f>
        <v>0</v>
      </c>
      <c r="AB199" t="e">
        <f ca="1">MAX(0,IF(COUNTIF(IF(AND(配装计算器!$K$30&lt;&gt;"∞",0),INDEX(AU199:CB199,1,$AT$1),INDEX(AU199:CB199,1,$AT$1)),"*叠1*")=1,4*25-加速!$L$11,AB198-A199+A198)-IF(OR(COUNTIF(OFFSET(AT199,0,$AT$1,1,1),"*听雷*")&gt;0,AND(碧归&gt;0,COUNTIF(OFFSET(AT199,0,$AT$1,1,1),"*风来*")&gt;0)),0,1)*1.5)</f>
        <v>#VALUE!</v>
      </c>
      <c r="AC199">
        <f ca="1" t="shared" si="62"/>
        <v>0</v>
      </c>
      <c r="AD199">
        <f ca="1">IF(COUNTIF(IF(AND(配装计算器!$K$30&lt;&gt;"∞",0),INDEX(AU199:CB199,1,$AT$1),INDEX(AU200:CB200,1,$AT$1)),"*叠1*")=1,AB199*0+AE198,0)</f>
        <v>0</v>
      </c>
      <c r="AE199" t="e">
        <f ca="1">IF($AN$11&gt;0,IF(COUNTIF(B200,"*叠1*")&gt;0,50-加速!$L$11,MAX(0,AE198-(A200-A199))),0)</f>
        <v>#VALUE!</v>
      </c>
      <c r="AG199">
        <f ca="1" t="shared" si="63"/>
        <v>6</v>
      </c>
      <c r="AH199" t="s">
        <v>1825</v>
      </c>
      <c r="AI199" t="s">
        <v>2794</v>
      </c>
      <c r="AJ199">
        <f ca="1">循环比*COUNTIFS($B$3:$B$515,"*"&amp;AI199&amp;"*",$D$3:$D$515,"=1",$H$3:$H$515,"=0",$G$3:$G$515,"&gt;0",$K$3:$K$515,"=2",$AC$3:$AC$515,"=2")</f>
        <v>0</v>
      </c>
      <c r="AK199" t="s">
        <v>3115</v>
      </c>
      <c r="AU199" s="176" t="s">
        <v>2776</v>
      </c>
      <c r="AV199">
        <v>2</v>
      </c>
      <c r="AW199" t="s">
        <v>2768</v>
      </c>
      <c r="AX199">
        <v>2</v>
      </c>
      <c r="AY199" t="s">
        <v>2808</v>
      </c>
      <c r="AZ199">
        <v>2</v>
      </c>
      <c r="BA199" t="s">
        <v>2768</v>
      </c>
      <c r="BB199">
        <v>2</v>
      </c>
      <c r="BC199" t="s">
        <v>2776</v>
      </c>
      <c r="BD199">
        <v>2</v>
      </c>
      <c r="BE199" t="s">
        <v>2776</v>
      </c>
      <c r="BF199">
        <v>0</v>
      </c>
      <c r="BG199" t="s">
        <v>2768</v>
      </c>
      <c r="BH199">
        <v>2</v>
      </c>
      <c r="BI199" s="176" t="s">
        <v>3026</v>
      </c>
      <c r="BJ199">
        <v>2</v>
      </c>
      <c r="BK199" t="s">
        <v>2776</v>
      </c>
      <c r="BL199">
        <v>2</v>
      </c>
      <c r="BM199" t="s">
        <v>2768</v>
      </c>
      <c r="BN199">
        <v>2</v>
      </c>
      <c r="BO199" t="s">
        <v>3009</v>
      </c>
      <c r="BP199">
        <v>2</v>
      </c>
      <c r="BQ199" t="s">
        <v>2776</v>
      </c>
      <c r="BR199">
        <v>2</v>
      </c>
      <c r="BS199" s="182" t="s">
        <v>3023</v>
      </c>
      <c r="BT199">
        <v>2</v>
      </c>
      <c r="BU199" t="s">
        <v>2768</v>
      </c>
      <c r="BV199">
        <v>2</v>
      </c>
      <c r="BW199" s="179" t="s">
        <v>2768</v>
      </c>
      <c r="BX199" s="179">
        <v>1</v>
      </c>
      <c r="BY199" s="176" t="s">
        <v>2768</v>
      </c>
      <c r="BZ199">
        <v>1</v>
      </c>
      <c r="CA199" t="s">
        <v>2718</v>
      </c>
      <c r="CB199">
        <v>0</v>
      </c>
    </row>
    <row r="200" spans="1:80">
      <c r="A200" s="178" t="str">
        <f ca="1">IFERROR(IF(AG199&lt;5+金蛇*2,IF(COUNTIF(B199,"*轻*")&gt;0,A199+加速!$L$9,A199+加速!$L$11)+V199,""),"")</f>
        <v/>
      </c>
      <c r="B200" s="167" t="str">
        <f ca="1" t="shared" si="58"/>
        <v/>
      </c>
      <c r="C200" t="str">
        <f ca="1" t="shared" si="67"/>
        <v/>
      </c>
      <c r="D200" t="str">
        <f ca="1">IF(B200&lt;&gt;"",IF(C199&lt;=加速!$L$11*(1-E200),0,1),"")</f>
        <v/>
      </c>
      <c r="E200">
        <f ca="1" t="shared" si="64"/>
        <v>1</v>
      </c>
      <c r="G200" t="str">
        <f ca="1" t="shared" si="65"/>
        <v/>
      </c>
      <c r="H200" t="str">
        <f ca="1">IF(B200&lt;&gt;"",IF(AND(COUNTIF(B199,"*轻*莺鸣柳*")&gt;0,COUNTIF(B200,"*轻*")&lt;1),MAX(0,15+I199-(A200-A199)+COUNTIF(B199,"*平湖*")*0),IF(AND(E200=0,MAX(0,H199-(A200-A199))&lt;=加速!$H$11),0,MAX(0,H199-(A200-A199)))),"")</f>
        <v/>
      </c>
      <c r="I200" t="str">
        <f ca="1" t="shared" si="71"/>
        <v/>
      </c>
      <c r="J200" t="str">
        <f ca="1" t="shared" si="72"/>
        <v/>
      </c>
      <c r="K200" t="str">
        <f ca="1" t="shared" si="59"/>
        <v/>
      </c>
      <c r="L200">
        <f ca="1">IFERROR(IF(AND(COUNTIF(B200,"*-峰插*"),技能数据库!$M$72&gt;0),0,IF(COUNTIF(B200,"*鹤归*")&gt;0,16-加速!$L$11,MAX(0,L199-(A200-A199)))),0)</f>
        <v>0</v>
      </c>
      <c r="M200">
        <f ca="1" t="shared" si="60"/>
        <v>0</v>
      </c>
      <c r="N200">
        <f ca="1">IFERROR(IF(AND(COUNTIF(B200,"*-峰插*"),技能数据库!$M$72&gt;0),0,IF(COUNTIF(B200,"*云飞*")&gt;0,4-COUNTIF(B200,"*玉山揽云*")*4--COUNTIF(B200,"*烟流暮景*")*4-COUNTIF(B200,"*云景*")*加速!$L$11-IF(J200&gt;0,2,0),MAX(0,N199-(A200-A199)-IF(J200&gt;0,2,0)))),0)</f>
        <v>0</v>
      </c>
      <c r="O200">
        <f ca="1">IF(AND(COUNTIF(IF(AND(配装计算器!$K$30&lt;&gt;"∞",0),INDEX(AU199:CB199,1,$AT$1),INDEX(AU201:CB201,1,$AT$1)),"*云飞*")=1,COUNTIF(IF(AND(配装计算器!$K$30&lt;&gt;"∞",0),INDEX(AU199:CB199,1,$AT$1),INDEX(AU201:CB201,1,$AT$1)),"*玉山*")=0),N200,0)</f>
        <v>0</v>
      </c>
      <c r="P200">
        <f ca="1">IFERROR(IF(COUNTIF(B200,"*云栖松*")&gt;0,50-加速!$L$11,MAX(0,P199-(A200-A199))),0)</f>
        <v>0</v>
      </c>
      <c r="Q200">
        <f ca="1">IF(COUNTIF(IF(AND(配装计算器!$K$30&lt;&gt;"∞",0),INDEX(AU199:CB199,1,$AT$1),INDEX(AU201:CB201,1,$AT$1)),"*云栖松*")=1,P200,0)</f>
        <v>0</v>
      </c>
      <c r="R200">
        <f ca="1">IFERROR(IF(COUNTIF(B200,"*莺鸣柳*")&gt;0,45-加速!$L$9,MAX(0,R199-(A200-A199))),0)</f>
        <v>0</v>
      </c>
      <c r="S200">
        <f ca="1">IF(COUNTIF(IF(AND(配装计算器!$K$30&lt;&gt;"∞",0),INDEX(AU199:CB199,1,$AT$1),INDEX(AU201:CB201,1,$AT$1)),"*莺鸣柳*")=1,R200,0)</f>
        <v>0</v>
      </c>
      <c r="T200">
        <f ca="1" t="shared" si="68"/>
        <v>0</v>
      </c>
      <c r="U200">
        <f ca="1">IF(金蛇,IF(COUNTIF(B200,"*金环戴*")+COUNTIF(B200,"*吹风醒*")&gt;0,IF(A200&lt;=3,7.125-2.625-A200-加速!$L$11,7.125+加速!$K$9-(A200+加速!$L$11-T200)),0),0)+IF(金蛇,IF(COUNTIF(B200,"*千切子裂光*")&gt;0,2+加速!$K$9-(A200+加速!$L$11-T200),0),0)</f>
        <v>0</v>
      </c>
      <c r="V200">
        <f ca="1" t="shared" si="69"/>
        <v>0</v>
      </c>
      <c r="W200">
        <f ca="1" t="shared" si="61"/>
        <v>0</v>
      </c>
      <c r="X200">
        <f ca="1">INDEX(加速!$I$13:$I$21,W200+1)</f>
        <v>0</v>
      </c>
      <c r="Y200">
        <f ca="1" t="shared" si="70"/>
        <v>0.5</v>
      </c>
      <c r="Z200">
        <f ca="1" t="shared" si="66"/>
        <v>0</v>
      </c>
      <c r="AA200">
        <f ca="1">MAX(0,IFERROR(IF(COUNTIF(B200,"*叠*")&gt;0,IF(AC199&lt;3,8-A201+A200,AA199+6.875-A201+A200),AA199-A201+A200),AA199-加速!$L$11))</f>
        <v>0</v>
      </c>
      <c r="AB200" t="e">
        <f ca="1">MAX(0,IF(COUNTIF(IF(AND(配装计算器!$K$30&lt;&gt;"∞",0),INDEX(AU200:CB200,1,$AT$1),INDEX(AU200:CB200,1,$AT$1)),"*叠1*")=1,4*25-加速!$L$11,AB199-A200+A199)-IF(OR(COUNTIF(OFFSET(AT200,0,$AT$1,1,1),"*听雷*")&gt;0,AND(碧归&gt;0,COUNTIF(OFFSET(AT200,0,$AT$1,1,1),"*风来*")&gt;0)),0,1)*1.5)</f>
        <v>#VALUE!</v>
      </c>
      <c r="AC200">
        <f ca="1" t="shared" si="62"/>
        <v>0</v>
      </c>
      <c r="AD200">
        <f ca="1">IF(COUNTIF(IF(AND(配装计算器!$K$30&lt;&gt;"∞",0),INDEX(AU200:CB200,1,$AT$1),INDEX(AU201:CB201,1,$AT$1)),"*叠1*")=1,AB200*0+AE199,0)</f>
        <v>0</v>
      </c>
      <c r="AE200" t="e">
        <f ca="1">IF($AN$11&gt;0,IF(COUNTIF(B201,"*叠1*")&gt;0,50-加速!$L$11,MAX(0,AE199-(A201-A200))),0)</f>
        <v>#VALUE!</v>
      </c>
      <c r="AG200">
        <f ca="1" t="shared" si="63"/>
        <v>6</v>
      </c>
      <c r="AH200" t="s">
        <v>1825</v>
      </c>
      <c r="AI200" t="s">
        <v>2794</v>
      </c>
      <c r="AJ200">
        <f ca="1">循环比*COUNTIFS($B$3:$B$515,"*"&amp;AI200&amp;"*",$D$3:$D$515,"=1",$H$3:$H$515,"=0",$G$3:$G$515,"&gt;0",$K$3:$K$515,"=2",$AC$3:$AC$515,"=3")</f>
        <v>2</v>
      </c>
      <c r="AK200" t="s">
        <v>3116</v>
      </c>
      <c r="AU200" s="176" t="s">
        <v>2768</v>
      </c>
      <c r="AV200">
        <v>2</v>
      </c>
      <c r="AW200" t="s">
        <v>2776</v>
      </c>
      <c r="AX200">
        <v>2</v>
      </c>
      <c r="AY200" t="s">
        <v>2768</v>
      </c>
      <c r="AZ200">
        <v>2</v>
      </c>
      <c r="BA200" t="s">
        <v>2768</v>
      </c>
      <c r="BB200">
        <v>2</v>
      </c>
      <c r="BC200" t="s">
        <v>2768</v>
      </c>
      <c r="BD200">
        <v>2</v>
      </c>
      <c r="BE200" t="s">
        <v>2768</v>
      </c>
      <c r="BF200">
        <v>0</v>
      </c>
      <c r="BG200" s="176" t="s">
        <v>2768</v>
      </c>
      <c r="BH200">
        <v>2</v>
      </c>
      <c r="BI200" s="176" t="s">
        <v>3026</v>
      </c>
      <c r="BJ200">
        <v>2</v>
      </c>
      <c r="BK200" t="s">
        <v>2768</v>
      </c>
      <c r="BL200">
        <v>2</v>
      </c>
      <c r="BM200" t="s">
        <v>2768</v>
      </c>
      <c r="BN200">
        <v>2</v>
      </c>
      <c r="BO200" t="s">
        <v>2776</v>
      </c>
      <c r="BP200">
        <v>2</v>
      </c>
      <c r="BQ200" t="s">
        <v>2768</v>
      </c>
      <c r="BR200">
        <v>2</v>
      </c>
      <c r="BS200" s="182" t="s">
        <v>2768</v>
      </c>
      <c r="BT200">
        <v>2</v>
      </c>
      <c r="BU200" t="s">
        <v>2808</v>
      </c>
      <c r="BV200">
        <v>2</v>
      </c>
      <c r="BW200" s="179" t="s">
        <v>2776</v>
      </c>
      <c r="BX200" s="179">
        <v>1</v>
      </c>
      <c r="BY200" s="176" t="s">
        <v>2776</v>
      </c>
      <c r="BZ200">
        <v>1</v>
      </c>
      <c r="CA200" t="s">
        <v>2768</v>
      </c>
      <c r="CB200">
        <v>2</v>
      </c>
    </row>
    <row r="201" spans="1:80">
      <c r="A201" s="178" t="str">
        <f ca="1">IFERROR(IF(AG200&lt;5+金蛇*2,IF(COUNTIF(B200,"*轻*")&gt;0,A200+加速!$L$9,A200+加速!$L$11)+V200,""),"")</f>
        <v/>
      </c>
      <c r="B201" s="167" t="str">
        <f ca="1" t="shared" si="58"/>
        <v/>
      </c>
      <c r="C201" t="str">
        <f ca="1" t="shared" si="67"/>
        <v/>
      </c>
      <c r="D201" t="str">
        <f ca="1">IF(B201&lt;&gt;"",IF(C200&lt;=加速!$L$11*(1-E201),0,1),"")</f>
        <v/>
      </c>
      <c r="E201">
        <f ca="1" t="shared" si="64"/>
        <v>1</v>
      </c>
      <c r="G201" t="str">
        <f ca="1" t="shared" si="65"/>
        <v/>
      </c>
      <c r="H201" t="str">
        <f ca="1">IF(B201&lt;&gt;"",IF(AND(COUNTIF(B200,"*轻*莺鸣柳*")&gt;0,COUNTIF(B201,"*轻*")&lt;1),MAX(0,15+I200-(A201-A200)+COUNTIF(B200,"*平湖*")*0),IF(AND(E201=0,MAX(0,H200-(A201-A200))&lt;=加速!$H$11),0,MAX(0,H200-(A201-A200)))),"")</f>
        <v/>
      </c>
      <c r="I201" t="str">
        <f ca="1" t="shared" si="71"/>
        <v/>
      </c>
      <c r="J201" t="str">
        <f ca="1" t="shared" si="72"/>
        <v/>
      </c>
      <c r="K201" t="str">
        <f ca="1" t="shared" si="59"/>
        <v/>
      </c>
      <c r="L201">
        <f ca="1">IFERROR(IF(AND(COUNTIF(B201,"*-峰插*"),技能数据库!$M$72&gt;0),0,IF(COUNTIF(B201,"*鹤归*")&gt;0,16-加速!$L$11,MAX(0,L200-(A201-A200)))),0)</f>
        <v>0</v>
      </c>
      <c r="M201">
        <f ca="1" t="shared" si="60"/>
        <v>0</v>
      </c>
      <c r="N201">
        <f ca="1">IFERROR(IF(AND(COUNTIF(B201,"*-峰插*"),技能数据库!$M$72&gt;0),0,IF(COUNTIF(B201,"*云飞*")&gt;0,4-COUNTIF(B201,"*玉山揽云*")*4--COUNTIF(B201,"*烟流暮景*")*4-COUNTIF(B201,"*云景*")*加速!$L$11-IF(J201&gt;0,2,0),MAX(0,N200-(A201-A200)-IF(J201&gt;0,2,0)))),0)</f>
        <v>0</v>
      </c>
      <c r="O201">
        <f ca="1">IF(AND(COUNTIF(IF(AND(配装计算器!$K$30&lt;&gt;"∞",0),INDEX(AU200:CB200,1,$AT$1),INDEX(AU202:CB202,1,$AT$1)),"*云飞*")=1,COUNTIF(IF(AND(配装计算器!$K$30&lt;&gt;"∞",0),INDEX(AU200:CB200,1,$AT$1),INDEX(AU202:CB202,1,$AT$1)),"*玉山*")=0),N201,0)</f>
        <v>0</v>
      </c>
      <c r="P201">
        <f ca="1">IFERROR(IF(COUNTIF(B201,"*云栖松*")&gt;0,50-加速!$L$11,MAX(0,P200-(A201-A200))),0)</f>
        <v>0</v>
      </c>
      <c r="Q201">
        <f ca="1">IF(COUNTIF(IF(AND(配装计算器!$K$30&lt;&gt;"∞",0),INDEX(AU200:CB200,1,$AT$1),INDEX(AU202:CB202,1,$AT$1)),"*云栖松*")=1,P201,0)</f>
        <v>0</v>
      </c>
      <c r="R201">
        <f ca="1">IFERROR(IF(COUNTIF(B201,"*莺鸣柳*")&gt;0,45-加速!$L$9,MAX(0,R200-(A201-A200))),0)</f>
        <v>0</v>
      </c>
      <c r="S201">
        <f ca="1">IF(COUNTIF(IF(AND(配装计算器!$K$30&lt;&gt;"∞",0),INDEX(AU200:CB200,1,$AT$1),INDEX(AU202:CB202,1,$AT$1)),"*莺鸣柳*")=1,R201,0)</f>
        <v>0</v>
      </c>
      <c r="T201">
        <f ca="1" t="shared" si="68"/>
        <v>0</v>
      </c>
      <c r="U201">
        <f ca="1">IF(金蛇,IF(COUNTIF(B201,"*金环戴*")+COUNTIF(B201,"*吹风醒*")&gt;0,IF(A201&lt;=3,7.125-2.625-A201-加速!$L$11,7.125+加速!$K$9-(A201+加速!$L$11-T201)),0),0)+IF(金蛇,IF(COUNTIF(B201,"*千切子裂光*")&gt;0,2+加速!$K$9-(A201+加速!$L$11-T201),0),0)</f>
        <v>0</v>
      </c>
      <c r="V201">
        <f ca="1" t="shared" si="69"/>
        <v>0</v>
      </c>
      <c r="W201">
        <f ca="1" t="shared" si="61"/>
        <v>0</v>
      </c>
      <c r="X201">
        <f ca="1">INDEX(加速!$I$13:$I$21,W201+1)</f>
        <v>0</v>
      </c>
      <c r="Y201">
        <f ca="1" t="shared" si="70"/>
        <v>0.5</v>
      </c>
      <c r="Z201">
        <f ca="1" t="shared" si="66"/>
        <v>0</v>
      </c>
      <c r="AA201">
        <f ca="1">MAX(0,IFERROR(IF(COUNTIF(B201,"*叠*")&gt;0,IF(AC200&lt;3,8-A202+A201,AA200+6.875-A202+A201),AA200-A202+A201),AA200-加速!$L$11))</f>
        <v>0</v>
      </c>
      <c r="AB201" t="e">
        <f ca="1">MAX(0,IF(COUNTIF(IF(AND(配装计算器!$K$30&lt;&gt;"∞",0),INDEX(AU201:CB201,1,$AT$1),INDEX(AU201:CB201,1,$AT$1)),"*叠1*")=1,4*25-加速!$L$11,AB200-A201+A200)-IF(OR(COUNTIF(OFFSET(AT201,0,$AT$1,1,1),"*听雷*")&gt;0,AND(碧归&gt;0,COUNTIF(OFFSET(AT201,0,$AT$1,1,1),"*风来*")&gt;0)),0,1)*1.5)</f>
        <v>#VALUE!</v>
      </c>
      <c r="AC201">
        <f ca="1" t="shared" si="62"/>
        <v>0</v>
      </c>
      <c r="AD201">
        <f ca="1">IF(COUNTIF(IF(AND(配装计算器!$K$30&lt;&gt;"∞",0),INDEX(AU201:CB201,1,$AT$1),INDEX(AU202:CB202,1,$AT$1)),"*叠1*")=1,AB201*0+AE200,0)</f>
        <v>0</v>
      </c>
      <c r="AE201" t="e">
        <f ca="1">IF($AN$11&gt;0,IF(COUNTIF(B202,"*叠1*")&gt;0,50-加速!$L$11,MAX(0,AE200-(A202-A201))),0)</f>
        <v>#VALUE!</v>
      </c>
      <c r="AG201">
        <f ca="1" t="shared" si="63"/>
        <v>6</v>
      </c>
      <c r="AH201" t="s">
        <v>1825</v>
      </c>
      <c r="AI201" t="s">
        <v>2798</v>
      </c>
      <c r="AJ201">
        <f ca="1">AJ198</f>
        <v>0</v>
      </c>
      <c r="AK201" t="s">
        <v>3114</v>
      </c>
      <c r="AU201" s="176" t="s">
        <v>2776</v>
      </c>
      <c r="AV201">
        <v>2</v>
      </c>
      <c r="AW201" t="s">
        <v>2768</v>
      </c>
      <c r="AX201">
        <v>2</v>
      </c>
      <c r="AY201" t="s">
        <v>2768</v>
      </c>
      <c r="AZ201">
        <v>2</v>
      </c>
      <c r="BA201" t="s">
        <v>2776</v>
      </c>
      <c r="BB201">
        <v>2</v>
      </c>
      <c r="BC201" t="s">
        <v>2794</v>
      </c>
      <c r="BD201">
        <v>2</v>
      </c>
      <c r="BE201" t="s">
        <v>2776</v>
      </c>
      <c r="BF201">
        <v>0</v>
      </c>
      <c r="BG201" s="176" t="s">
        <v>2776</v>
      </c>
      <c r="BH201">
        <v>2</v>
      </c>
      <c r="BI201" s="176" t="s">
        <v>3026</v>
      </c>
      <c r="BJ201">
        <v>2</v>
      </c>
      <c r="BK201" t="s">
        <v>2768</v>
      </c>
      <c r="BL201">
        <v>2</v>
      </c>
      <c r="BM201" t="s">
        <v>2768</v>
      </c>
      <c r="BN201">
        <v>2</v>
      </c>
      <c r="BO201" t="s">
        <v>2768</v>
      </c>
      <c r="BP201">
        <v>2</v>
      </c>
      <c r="BQ201" t="s">
        <v>3013</v>
      </c>
      <c r="BR201">
        <v>2</v>
      </c>
      <c r="BS201" s="182" t="s">
        <v>2776</v>
      </c>
      <c r="BT201">
        <v>2</v>
      </c>
      <c r="BU201" t="s">
        <v>2768</v>
      </c>
      <c r="BV201">
        <v>2</v>
      </c>
      <c r="BW201" s="179" t="s">
        <v>2768</v>
      </c>
      <c r="BX201" s="179">
        <v>1</v>
      </c>
      <c r="BY201" s="176" t="s">
        <v>2768</v>
      </c>
      <c r="BZ201">
        <v>1</v>
      </c>
      <c r="CA201" t="s">
        <v>2768</v>
      </c>
      <c r="CB201">
        <v>1</v>
      </c>
    </row>
    <row r="202" spans="1:80">
      <c r="A202" s="178" t="str">
        <f ca="1">IFERROR(IF(AG201&lt;5+金蛇*2,IF(COUNTIF(B201,"*轻*")&gt;0,A201+加速!$L$9,A201+加速!$L$11)+V201,""),"")</f>
        <v/>
      </c>
      <c r="B202" s="167" t="str">
        <f ca="1" t="shared" si="58"/>
        <v/>
      </c>
      <c r="C202" t="str">
        <f ca="1" t="shared" si="67"/>
        <v/>
      </c>
      <c r="D202" t="str">
        <f ca="1">IF(B202&lt;&gt;"",IF(C201&lt;=加速!$L$11*(1-E202),0,1),"")</f>
        <v/>
      </c>
      <c r="E202">
        <f ca="1" t="shared" si="64"/>
        <v>1</v>
      </c>
      <c r="G202" t="str">
        <f ca="1" t="shared" si="65"/>
        <v/>
      </c>
      <c r="H202" t="str">
        <f ca="1">IF(B202&lt;&gt;"",IF(AND(COUNTIF(B201,"*轻*莺鸣柳*")&gt;0,COUNTIF(B202,"*轻*")&lt;1),MAX(0,15+I201-(A202-A201)+COUNTIF(B201,"*平湖*")*0),IF(AND(E202=0,MAX(0,H201-(A202-A201))&lt;=加速!$H$11),0,MAX(0,H201-(A202-A201)))),"")</f>
        <v/>
      </c>
      <c r="I202" t="str">
        <f ca="1" t="shared" si="71"/>
        <v/>
      </c>
      <c r="J202" t="str">
        <f ca="1" t="shared" si="72"/>
        <v/>
      </c>
      <c r="K202" t="str">
        <f ca="1" t="shared" si="59"/>
        <v/>
      </c>
      <c r="L202">
        <f ca="1">IFERROR(IF(AND(COUNTIF(B202,"*-峰插*"),技能数据库!$M$72&gt;0),0,IF(COUNTIF(B202,"*鹤归*")&gt;0,16-加速!$L$11,MAX(0,L201-(A202-A201)))),0)</f>
        <v>0</v>
      </c>
      <c r="M202">
        <f ca="1" t="shared" si="60"/>
        <v>0</v>
      </c>
      <c r="N202">
        <f ca="1">IFERROR(IF(AND(COUNTIF(B202,"*-峰插*"),技能数据库!$M$72&gt;0),0,IF(COUNTIF(B202,"*云飞*")&gt;0,4-COUNTIF(B202,"*玉山揽云*")*4--COUNTIF(B202,"*烟流暮景*")*4-COUNTIF(B202,"*云景*")*加速!$L$11-IF(J202&gt;0,2,0),MAX(0,N201-(A202-A201)-IF(J202&gt;0,2,0)))),0)</f>
        <v>0</v>
      </c>
      <c r="O202">
        <f ca="1">IF(AND(COUNTIF(IF(AND(配装计算器!$K$30&lt;&gt;"∞",0),INDEX(AU201:CB201,1,$AT$1),INDEX(AU203:CB203,1,$AT$1)),"*云飞*")=1,COUNTIF(IF(AND(配装计算器!$K$30&lt;&gt;"∞",0),INDEX(AU201:CB201,1,$AT$1),INDEX(AU203:CB203,1,$AT$1)),"*玉山*")=0),N202,0)</f>
        <v>0</v>
      </c>
      <c r="P202">
        <f ca="1">IFERROR(IF(COUNTIF(B202,"*云栖松*")&gt;0,50-加速!$L$11,MAX(0,P201-(A202-A201))),0)</f>
        <v>0</v>
      </c>
      <c r="Q202">
        <f ca="1">IF(COUNTIF(IF(AND(配装计算器!$K$30&lt;&gt;"∞",0),INDEX(AU201:CB201,1,$AT$1),INDEX(AU203:CB203,1,$AT$1)),"*云栖松*")=1,P202,0)</f>
        <v>0</v>
      </c>
      <c r="R202">
        <f ca="1">IFERROR(IF(COUNTIF(B202,"*莺鸣柳*")&gt;0,45-加速!$L$9,MAX(0,R201-(A202-A201))),0)</f>
        <v>0</v>
      </c>
      <c r="S202">
        <f ca="1">IF(COUNTIF(IF(AND(配装计算器!$K$30&lt;&gt;"∞",0),INDEX(AU201:CB201,1,$AT$1),INDEX(AU203:CB203,1,$AT$1)),"*莺鸣柳*")=1,R202,0)</f>
        <v>0</v>
      </c>
      <c r="T202">
        <f ca="1" t="shared" si="68"/>
        <v>0</v>
      </c>
      <c r="U202">
        <f ca="1">IF(金蛇,IF(COUNTIF(B202,"*金环戴*")+COUNTIF(B202,"*吹风醒*")&gt;0,IF(A202&lt;=3,7.125-2.625-A202-加速!$L$11,7.125+加速!$K$9-(A202+加速!$L$11-T202)),0),0)+IF(金蛇,IF(COUNTIF(B202,"*千切子裂光*")&gt;0,2+加速!$K$9-(A202+加速!$L$11-T202),0),0)</f>
        <v>0</v>
      </c>
      <c r="V202">
        <f ca="1" t="shared" si="69"/>
        <v>0</v>
      </c>
      <c r="W202">
        <f ca="1" t="shared" si="61"/>
        <v>0</v>
      </c>
      <c r="X202">
        <f ca="1">INDEX(加速!$I$13:$I$21,W202+1)</f>
        <v>0</v>
      </c>
      <c r="Y202">
        <f ca="1" t="shared" si="70"/>
        <v>0.5</v>
      </c>
      <c r="Z202">
        <f ca="1" t="shared" si="66"/>
        <v>0</v>
      </c>
      <c r="AA202">
        <f ca="1">MAX(0,IFERROR(IF(COUNTIF(B202,"*叠*")&gt;0,IF(AC201&lt;3,8-A203+A202,AA201+6.875-A203+A202),AA201-A203+A202),AA201-加速!$L$11))</f>
        <v>0</v>
      </c>
      <c r="AB202" t="e">
        <f ca="1">MAX(0,IF(COUNTIF(IF(AND(配装计算器!$K$30&lt;&gt;"∞",0),INDEX(AU202:CB202,1,$AT$1),INDEX(AU202:CB202,1,$AT$1)),"*叠1*")=1,4*25-加速!$L$11,AB201-A202+A201)-IF(OR(COUNTIF(OFFSET(AT202,0,$AT$1,1,1),"*听雷*")&gt;0,AND(碧归&gt;0,COUNTIF(OFFSET(AT202,0,$AT$1,1,1),"*风来*")&gt;0)),0,1)*1.5)</f>
        <v>#VALUE!</v>
      </c>
      <c r="AC202">
        <f ca="1" t="shared" si="62"/>
        <v>0</v>
      </c>
      <c r="AD202">
        <f ca="1">IF(COUNTIF(IF(AND(配装计算器!$K$30&lt;&gt;"∞",0),INDEX(AU202:CB202,1,$AT$1),INDEX(AU203:CB203,1,$AT$1)),"*叠1*")=1,AB202*0+AE201,0)</f>
        <v>0</v>
      </c>
      <c r="AE202" t="e">
        <f ca="1">IF($AN$11&gt;0,IF(COUNTIF(B203,"*叠1*")&gt;0,50-加速!$L$11,MAX(0,AE201-(A203-A202))),0)</f>
        <v>#VALUE!</v>
      </c>
      <c r="AG202">
        <f ca="1" t="shared" si="63"/>
        <v>6</v>
      </c>
      <c r="AH202" t="s">
        <v>1825</v>
      </c>
      <c r="AI202" t="s">
        <v>2798</v>
      </c>
      <c r="AJ202">
        <f ca="1" t="shared" ref="AJ202:AJ203" si="73">AJ199</f>
        <v>0</v>
      </c>
      <c r="AK202" t="s">
        <v>3115</v>
      </c>
      <c r="AU202" s="176" t="s">
        <v>2768</v>
      </c>
      <c r="AV202">
        <v>2</v>
      </c>
      <c r="AW202" t="s">
        <v>2768</v>
      </c>
      <c r="AX202">
        <v>2</v>
      </c>
      <c r="AY202" t="s">
        <v>2776</v>
      </c>
      <c r="AZ202">
        <v>2</v>
      </c>
      <c r="BA202" t="s">
        <v>2794</v>
      </c>
      <c r="BB202">
        <v>2</v>
      </c>
      <c r="BC202" s="182" t="s">
        <v>3036</v>
      </c>
      <c r="BD202">
        <v>2</v>
      </c>
      <c r="BE202" t="s">
        <v>3012</v>
      </c>
      <c r="BF202">
        <v>2</v>
      </c>
      <c r="BG202" t="s">
        <v>2768</v>
      </c>
      <c r="BH202">
        <v>1</v>
      </c>
      <c r="BI202" s="176" t="s">
        <v>3036</v>
      </c>
      <c r="BJ202">
        <v>2</v>
      </c>
      <c r="BK202" s="176" t="s">
        <v>3056</v>
      </c>
      <c r="BL202">
        <v>2</v>
      </c>
      <c r="BM202" t="s">
        <v>2776</v>
      </c>
      <c r="BN202">
        <v>2</v>
      </c>
      <c r="BO202" s="180" t="s">
        <v>2789</v>
      </c>
      <c r="BP202">
        <v>2</v>
      </c>
      <c r="BQ202" t="s">
        <v>2808</v>
      </c>
      <c r="BR202">
        <v>2</v>
      </c>
      <c r="BS202" s="182" t="s">
        <v>2768</v>
      </c>
      <c r="BT202">
        <v>2</v>
      </c>
      <c r="BU202" s="176" t="s">
        <v>2768</v>
      </c>
      <c r="BV202">
        <v>2</v>
      </c>
      <c r="BW202" s="182" t="s">
        <v>2722</v>
      </c>
      <c r="BX202" s="179">
        <v>0</v>
      </c>
      <c r="BY202" t="s">
        <v>2776</v>
      </c>
      <c r="BZ202">
        <v>1</v>
      </c>
      <c r="CA202" t="s">
        <v>2776</v>
      </c>
      <c r="CB202">
        <v>1</v>
      </c>
    </row>
    <row r="203" spans="1:80">
      <c r="A203" s="178" t="str">
        <f ca="1">IFERROR(IF(AG202&lt;5+金蛇*2,IF(COUNTIF(B202,"*轻*")&gt;0,A202+加速!$L$9,A202+加速!$L$11)+V202,""),"")</f>
        <v/>
      </c>
      <c r="B203" s="167" t="str">
        <f ca="1" t="shared" si="58"/>
        <v/>
      </c>
      <c r="C203" t="str">
        <f ca="1" t="shared" si="67"/>
        <v/>
      </c>
      <c r="D203" t="str">
        <f ca="1">IF(B203&lt;&gt;"",IF(C202&lt;=加速!$L$11*(1-E203),0,1),"")</f>
        <v/>
      </c>
      <c r="E203">
        <f ca="1" t="shared" si="64"/>
        <v>1</v>
      </c>
      <c r="G203" t="str">
        <f ca="1" t="shared" si="65"/>
        <v/>
      </c>
      <c r="H203" t="str">
        <f ca="1">IF(B203&lt;&gt;"",IF(AND(COUNTIF(B202,"*轻*莺鸣柳*")&gt;0,COUNTIF(B203,"*轻*")&lt;1),MAX(0,15+I202-(A203-A202)+COUNTIF(B202,"*平湖*")*0),IF(AND(E203=0,MAX(0,H202-(A203-A202))&lt;=加速!$H$11),0,MAX(0,H202-(A203-A202)))),"")</f>
        <v/>
      </c>
      <c r="I203" t="str">
        <f ca="1" t="shared" si="71"/>
        <v/>
      </c>
      <c r="J203" t="str">
        <f ca="1" t="shared" si="72"/>
        <v/>
      </c>
      <c r="K203" t="str">
        <f ca="1" t="shared" si="59"/>
        <v/>
      </c>
      <c r="L203">
        <f ca="1">IFERROR(IF(AND(COUNTIF(B203,"*-峰插*"),技能数据库!$M$72&gt;0),0,IF(COUNTIF(B203,"*鹤归*")&gt;0,16-加速!$L$11,MAX(0,L202-(A203-A202)))),0)</f>
        <v>0</v>
      </c>
      <c r="M203">
        <f ca="1" t="shared" si="60"/>
        <v>0</v>
      </c>
      <c r="N203">
        <f ca="1">IFERROR(IF(AND(COUNTIF(B203,"*-峰插*"),技能数据库!$M$72&gt;0),0,IF(COUNTIF(B203,"*云飞*")&gt;0,4-COUNTIF(B203,"*玉山揽云*")*4--COUNTIF(B203,"*烟流暮景*")*4-COUNTIF(B203,"*云景*")*加速!$L$11-IF(J203&gt;0,2,0),MAX(0,N202-(A203-A202)-IF(J203&gt;0,2,0)))),0)</f>
        <v>0</v>
      </c>
      <c r="O203">
        <f ca="1">IF(AND(COUNTIF(IF(AND(配装计算器!$K$30&lt;&gt;"∞",0),INDEX(AU202:CB202,1,$AT$1),INDEX(AU204:CB204,1,$AT$1)),"*云飞*")=1,COUNTIF(IF(AND(配装计算器!$K$30&lt;&gt;"∞",0),INDEX(AU202:CB202,1,$AT$1),INDEX(AU204:CB204,1,$AT$1)),"*玉山*")=0),N203,0)</f>
        <v>0</v>
      </c>
      <c r="P203">
        <f ca="1">IFERROR(IF(COUNTIF(B203,"*云栖松*")&gt;0,50-加速!$L$11,MAX(0,P202-(A203-A202))),0)</f>
        <v>0</v>
      </c>
      <c r="Q203">
        <f ca="1">IF(COUNTIF(IF(AND(配装计算器!$K$30&lt;&gt;"∞",0),INDEX(AU202:CB202,1,$AT$1),INDEX(AU204:CB204,1,$AT$1)),"*云栖松*")=1,P203,0)</f>
        <v>0</v>
      </c>
      <c r="R203">
        <f ca="1">IFERROR(IF(COUNTIF(B203,"*莺鸣柳*")&gt;0,45-加速!$L$9,MAX(0,R202-(A203-A202))),0)</f>
        <v>0</v>
      </c>
      <c r="S203">
        <f ca="1">IF(COUNTIF(IF(AND(配装计算器!$K$30&lt;&gt;"∞",0),INDEX(AU202:CB202,1,$AT$1),INDEX(AU204:CB204,1,$AT$1)),"*莺鸣柳*")=1,R203,0)</f>
        <v>0</v>
      </c>
      <c r="T203">
        <f ca="1" t="shared" si="68"/>
        <v>0</v>
      </c>
      <c r="U203">
        <f ca="1">IF(金蛇,IF(COUNTIF(B203,"*金环戴*")+COUNTIF(B203,"*吹风醒*")&gt;0,IF(A203&lt;=3,7.125-2.625-A203-加速!$L$11,7.125+加速!$K$9-(A203+加速!$L$11-T203)),0),0)+IF(金蛇,IF(COUNTIF(B203,"*千切子裂光*")&gt;0,2+加速!$K$9-(A203+加速!$L$11-T203),0),0)</f>
        <v>0</v>
      </c>
      <c r="V203">
        <f ca="1" t="shared" si="69"/>
        <v>0</v>
      </c>
      <c r="W203">
        <f ca="1" t="shared" si="61"/>
        <v>0</v>
      </c>
      <c r="X203">
        <f ca="1">INDEX(加速!$I$13:$I$21,W203+1)</f>
        <v>0</v>
      </c>
      <c r="Y203">
        <f ca="1" t="shared" si="70"/>
        <v>0.5</v>
      </c>
      <c r="Z203">
        <f ca="1" t="shared" si="66"/>
        <v>0</v>
      </c>
      <c r="AA203">
        <f ca="1">MAX(0,IFERROR(IF(COUNTIF(B203,"*叠*")&gt;0,IF(AC202&lt;3,8-A204+A203,AA202+6.875-A204+A203),AA202-A204+A203),AA202-加速!$L$11))</f>
        <v>0</v>
      </c>
      <c r="AB203" t="e">
        <f ca="1">MAX(0,IF(COUNTIF(IF(AND(配装计算器!$K$30&lt;&gt;"∞",0),INDEX(AU203:CB203,1,$AT$1),INDEX(AU203:CB203,1,$AT$1)),"*叠1*")=1,4*25-加速!$L$11,AB202-A203+A202)-IF(OR(COUNTIF(OFFSET(AT203,0,$AT$1,1,1),"*听雷*")&gt;0,AND(碧归&gt;0,COUNTIF(OFFSET(AT203,0,$AT$1,1,1),"*风来*")&gt;0)),0,1)*1.5)</f>
        <v>#VALUE!</v>
      </c>
      <c r="AC203">
        <f ca="1" t="shared" si="62"/>
        <v>0</v>
      </c>
      <c r="AD203">
        <f ca="1">IF(COUNTIF(IF(AND(配装计算器!$K$30&lt;&gt;"∞",0),INDEX(AU203:CB203,1,$AT$1),INDEX(AU204:CB204,1,$AT$1)),"*叠1*")=1,AB203*0+AE202,0)</f>
        <v>0</v>
      </c>
      <c r="AE203" t="e">
        <f ca="1">IF($AN$11&gt;0,IF(COUNTIF(B204,"*叠1*")&gt;0,50-加速!$L$11,MAX(0,AE202-(A204-A203))),0)</f>
        <v>#VALUE!</v>
      </c>
      <c r="AG203">
        <f ca="1" t="shared" si="63"/>
        <v>6</v>
      </c>
      <c r="AH203" t="s">
        <v>1825</v>
      </c>
      <c r="AI203" t="s">
        <v>2798</v>
      </c>
      <c r="AJ203">
        <f ca="1" t="shared" si="73"/>
        <v>2</v>
      </c>
      <c r="AK203" t="s">
        <v>3116</v>
      </c>
      <c r="AU203" s="176" t="s">
        <v>2776</v>
      </c>
      <c r="AV203">
        <v>2</v>
      </c>
      <c r="AW203" t="s">
        <v>2768</v>
      </c>
      <c r="AX203">
        <v>2</v>
      </c>
      <c r="AY203" t="s">
        <v>2794</v>
      </c>
      <c r="AZ203">
        <v>2</v>
      </c>
      <c r="BA203" t="s">
        <v>2768</v>
      </c>
      <c r="BB203">
        <v>2</v>
      </c>
      <c r="BC203" s="176" t="s">
        <v>3026</v>
      </c>
      <c r="BD203">
        <v>2</v>
      </c>
      <c r="BE203" t="s">
        <v>2776</v>
      </c>
      <c r="BF203">
        <v>2</v>
      </c>
      <c r="BG203" s="176" t="s">
        <v>2768</v>
      </c>
      <c r="BH203">
        <v>1</v>
      </c>
      <c r="BI203" t="s">
        <v>2794</v>
      </c>
      <c r="BJ203">
        <v>2</v>
      </c>
      <c r="BK203" s="176" t="s">
        <v>2768</v>
      </c>
      <c r="BL203">
        <v>2</v>
      </c>
      <c r="BM203" t="s">
        <v>2768</v>
      </c>
      <c r="BN203">
        <v>1</v>
      </c>
      <c r="BO203" s="176" t="s">
        <v>2794</v>
      </c>
      <c r="BP203">
        <v>2</v>
      </c>
      <c r="BQ203" t="s">
        <v>2768</v>
      </c>
      <c r="BR203">
        <v>2</v>
      </c>
      <c r="BS203" s="182" t="s">
        <v>3085</v>
      </c>
      <c r="BT203">
        <v>2</v>
      </c>
      <c r="BU203" s="176" t="s">
        <v>2776</v>
      </c>
      <c r="BV203">
        <v>2</v>
      </c>
      <c r="BW203" s="179" t="s">
        <v>3009</v>
      </c>
      <c r="BX203" s="179">
        <v>2</v>
      </c>
      <c r="BY203" t="s">
        <v>2768</v>
      </c>
      <c r="BZ203">
        <v>1</v>
      </c>
      <c r="CA203" t="s">
        <v>2768</v>
      </c>
      <c r="CB203">
        <v>1</v>
      </c>
    </row>
    <row r="204" spans="1:80">
      <c r="A204" s="178" t="str">
        <f ca="1">IFERROR(IF(AG203&lt;5+金蛇*2,IF(COUNTIF(B203,"*轻*")&gt;0,A203+加速!$L$9,A203+加速!$L$11)+V203,""),"")</f>
        <v/>
      </c>
      <c r="B204" s="167" t="str">
        <f ca="1" t="shared" si="58"/>
        <v/>
      </c>
      <c r="C204" t="str">
        <f ca="1" t="shared" si="67"/>
        <v/>
      </c>
      <c r="D204" t="str">
        <f ca="1">IF(B204&lt;&gt;"",IF(C203&lt;=加速!$L$11*(1-E204),0,1),"")</f>
        <v/>
      </c>
      <c r="E204">
        <f ca="1" t="shared" si="64"/>
        <v>1</v>
      </c>
      <c r="G204" t="str">
        <f ca="1" t="shared" si="65"/>
        <v/>
      </c>
      <c r="H204" t="str">
        <f ca="1">IF(B204&lt;&gt;"",IF(AND(COUNTIF(B203,"*轻*莺鸣柳*")&gt;0,COUNTIF(B204,"*轻*")&lt;1),MAX(0,15+I203-(A204-A203)+COUNTIF(B203,"*平湖*")*0),IF(AND(E204=0,MAX(0,H203-(A204-A203))&lt;=加速!$H$11),0,MAX(0,H203-(A204-A203)))),"")</f>
        <v/>
      </c>
      <c r="I204" t="str">
        <f ca="1" t="shared" si="71"/>
        <v/>
      </c>
      <c r="J204" t="str">
        <f ca="1" t="shared" si="72"/>
        <v/>
      </c>
      <c r="K204" t="str">
        <f ca="1" t="shared" si="59"/>
        <v/>
      </c>
      <c r="L204">
        <f ca="1">IFERROR(IF(AND(COUNTIF(B204,"*-峰插*"),技能数据库!$M$72&gt;0),0,IF(COUNTIF(B204,"*鹤归*")&gt;0,16-加速!$L$11,MAX(0,L203-(A204-A203)))),0)</f>
        <v>0</v>
      </c>
      <c r="M204">
        <f ca="1" t="shared" si="60"/>
        <v>0</v>
      </c>
      <c r="N204">
        <f ca="1">IFERROR(IF(AND(COUNTIF(B204,"*-峰插*"),技能数据库!$M$72&gt;0),0,IF(COUNTIF(B204,"*云飞*")&gt;0,4-COUNTIF(B204,"*玉山揽云*")*4--COUNTIF(B204,"*烟流暮景*")*4-COUNTIF(B204,"*云景*")*加速!$L$11-IF(J204&gt;0,2,0),MAX(0,N203-(A204-A203)-IF(J204&gt;0,2,0)))),0)</f>
        <v>0</v>
      </c>
      <c r="O204">
        <f ca="1">IF(AND(COUNTIF(IF(AND(配装计算器!$K$30&lt;&gt;"∞",0),INDEX(AU203:CB203,1,$AT$1),INDEX(AU205:CB205,1,$AT$1)),"*云飞*")=1,COUNTIF(IF(AND(配装计算器!$K$30&lt;&gt;"∞",0),INDEX(AU203:CB203,1,$AT$1),INDEX(AU205:CB205,1,$AT$1)),"*玉山*")=0),N204,0)</f>
        <v>0</v>
      </c>
      <c r="P204">
        <f ca="1">IFERROR(IF(COUNTIF(B204,"*云栖松*")&gt;0,50-加速!$L$11,MAX(0,P203-(A204-A203))),0)</f>
        <v>0</v>
      </c>
      <c r="Q204">
        <f ca="1">IF(COUNTIF(IF(AND(配装计算器!$K$30&lt;&gt;"∞",0),INDEX(AU203:CB203,1,$AT$1),INDEX(AU205:CB205,1,$AT$1)),"*云栖松*")=1,P204,0)</f>
        <v>0</v>
      </c>
      <c r="R204">
        <f ca="1">IFERROR(IF(COUNTIF(B204,"*莺鸣柳*")&gt;0,45-加速!$L$9,MAX(0,R203-(A204-A203))),0)</f>
        <v>0</v>
      </c>
      <c r="S204">
        <f ca="1">IF(COUNTIF(IF(AND(配装计算器!$K$30&lt;&gt;"∞",0),INDEX(AU203:CB203,1,$AT$1),INDEX(AU205:CB205,1,$AT$1)),"*莺鸣柳*")=1,R204,0)</f>
        <v>0</v>
      </c>
      <c r="T204">
        <f ca="1" t="shared" si="68"/>
        <v>0</v>
      </c>
      <c r="U204">
        <f ca="1">IF(金蛇,IF(COUNTIF(B204,"*金环戴*")+COUNTIF(B204,"*吹风醒*")&gt;0,IF(A204&lt;=3,7.125-2.625-A204-加速!$L$11,7.125+加速!$K$9-(A204+加速!$L$11-T204)),0),0)+IF(金蛇,IF(COUNTIF(B204,"*千切子裂光*")&gt;0,2+加速!$K$9-(A204+加速!$L$11-T204),0),0)</f>
        <v>0</v>
      </c>
      <c r="V204">
        <f ca="1" t="shared" si="69"/>
        <v>0</v>
      </c>
      <c r="W204">
        <f ca="1" t="shared" si="61"/>
        <v>0</v>
      </c>
      <c r="X204">
        <f ca="1">INDEX(加速!$I$13:$I$21,W204+1)</f>
        <v>0</v>
      </c>
      <c r="Y204">
        <f ca="1" t="shared" si="70"/>
        <v>0.5</v>
      </c>
      <c r="Z204">
        <f ca="1" t="shared" si="66"/>
        <v>0</v>
      </c>
      <c r="AA204">
        <f ca="1">MAX(0,IFERROR(IF(COUNTIF(B204,"*叠*")&gt;0,IF(AC203&lt;3,8-A205+A204,AA203+6.875-A205+A204),AA203-A205+A204),AA203-加速!$L$11))</f>
        <v>0</v>
      </c>
      <c r="AB204" t="e">
        <f ca="1">MAX(0,IF(COUNTIF(IF(AND(配装计算器!$K$30&lt;&gt;"∞",0),INDEX(AU204:CB204,1,$AT$1),INDEX(AU204:CB204,1,$AT$1)),"*叠1*")=1,4*25-加速!$L$11,AB203-A204+A203)-IF(OR(COUNTIF(OFFSET(AT204,0,$AT$1,1,1),"*听雷*")&gt;0,AND(碧归&gt;0,COUNTIF(OFFSET(AT204,0,$AT$1,1,1),"*风来*")&gt;0)),0,1)*1.5)</f>
        <v>#VALUE!</v>
      </c>
      <c r="AC204">
        <f ca="1" t="shared" si="62"/>
        <v>0</v>
      </c>
      <c r="AD204">
        <f ca="1">IF(COUNTIF(IF(AND(配装计算器!$K$30&lt;&gt;"∞",0),INDEX(AU204:CB204,1,$AT$1),INDEX(AU205:CB205,1,$AT$1)),"*叠1*")=1,AB204*0+AE203,0)</f>
        <v>0</v>
      </c>
      <c r="AE204" t="e">
        <f ca="1">IF($AN$11&gt;0,IF(COUNTIF(B205,"*叠1*")&gt;0,50-加速!$L$11,MAX(0,AE203-(A205-A204))),0)</f>
        <v>#VALUE!</v>
      </c>
      <c r="AG204">
        <f ca="1" t="shared" si="63"/>
        <v>6</v>
      </c>
      <c r="AH204" t="s">
        <v>1825</v>
      </c>
      <c r="AI204" s="161" t="s">
        <v>2859</v>
      </c>
      <c r="AJ204">
        <f ca="1">循环比*COUNTIFS($B$3:$B$515,"*皇*"&amp;AI204&amp;"*",$D$3:$D$515,"&gt;0",$AC$3:$AC$515,2)/3</f>
        <v>0</v>
      </c>
      <c r="AK204" t="s">
        <v>3109</v>
      </c>
      <c r="AU204" t="s">
        <v>2768</v>
      </c>
      <c r="AV204">
        <v>2</v>
      </c>
      <c r="AW204" t="s">
        <v>2776</v>
      </c>
      <c r="AX204">
        <v>2</v>
      </c>
      <c r="AY204" t="s">
        <v>2768</v>
      </c>
      <c r="AZ204">
        <v>2</v>
      </c>
      <c r="BA204" t="s">
        <v>2776</v>
      </c>
      <c r="BB204">
        <v>2</v>
      </c>
      <c r="BC204" s="176" t="s">
        <v>3026</v>
      </c>
      <c r="BD204">
        <v>2</v>
      </c>
      <c r="BE204" t="s">
        <v>3017</v>
      </c>
      <c r="BF204">
        <v>2</v>
      </c>
      <c r="BG204" t="s">
        <v>3055</v>
      </c>
      <c r="BH204">
        <v>0</v>
      </c>
      <c r="BI204" t="s">
        <v>2776</v>
      </c>
      <c r="BJ204">
        <v>2</v>
      </c>
      <c r="BK204" s="176" t="s">
        <v>2768</v>
      </c>
      <c r="BL204">
        <v>2</v>
      </c>
      <c r="BM204" t="s">
        <v>2722</v>
      </c>
      <c r="BN204">
        <v>0</v>
      </c>
      <c r="BO204" s="176" t="s">
        <v>2776</v>
      </c>
      <c r="BP204">
        <v>2</v>
      </c>
      <c r="BQ204" t="s">
        <v>2768</v>
      </c>
      <c r="BR204">
        <v>2</v>
      </c>
      <c r="BS204" s="182" t="s">
        <v>3084</v>
      </c>
      <c r="BT204">
        <v>2</v>
      </c>
      <c r="BU204" t="s">
        <v>2768</v>
      </c>
      <c r="BV204">
        <v>1</v>
      </c>
      <c r="BW204" s="179" t="s">
        <v>2776</v>
      </c>
      <c r="BX204" s="179">
        <v>2</v>
      </c>
      <c r="BY204" t="s">
        <v>2722</v>
      </c>
      <c r="BZ204">
        <v>0</v>
      </c>
      <c r="CA204" t="s">
        <v>2722</v>
      </c>
      <c r="CB204">
        <v>0</v>
      </c>
    </row>
    <row r="205" spans="1:80">
      <c r="A205" s="178" t="str">
        <f ca="1">IFERROR(IF(AG204&lt;5+金蛇*2,IF(COUNTIF(B204,"*轻*")&gt;0,A204+加速!$L$9,A204+加速!$L$11)+V204,""),"")</f>
        <v/>
      </c>
      <c r="B205" s="167" t="str">
        <f ca="1" t="shared" si="58"/>
        <v/>
      </c>
      <c r="C205" t="str">
        <f ca="1" t="shared" si="67"/>
        <v/>
      </c>
      <c r="D205" t="str">
        <f ca="1">IF(B205&lt;&gt;"",IF(C204&lt;=加速!$L$11*(1-E205),0,1),"")</f>
        <v/>
      </c>
      <c r="E205">
        <f ca="1" t="shared" si="64"/>
        <v>1</v>
      </c>
      <c r="G205" t="str">
        <f ca="1" t="shared" si="65"/>
        <v/>
      </c>
      <c r="H205" t="str">
        <f ca="1">IF(B205&lt;&gt;"",IF(AND(COUNTIF(B204,"*轻*莺鸣柳*")&gt;0,COUNTIF(B205,"*轻*")&lt;1),MAX(0,15+I204-(A205-A204)+COUNTIF(B204,"*平湖*")*0),IF(AND(E205=0,MAX(0,H204-(A205-A204))&lt;=加速!$H$11),0,MAX(0,H204-(A205-A204)))),"")</f>
        <v/>
      </c>
      <c r="I205" t="str">
        <f ca="1" t="shared" si="71"/>
        <v/>
      </c>
      <c r="J205" t="str">
        <f ca="1" t="shared" si="72"/>
        <v/>
      </c>
      <c r="K205" t="str">
        <f ca="1" t="shared" si="59"/>
        <v/>
      </c>
      <c r="L205">
        <f ca="1">IFERROR(IF(AND(COUNTIF(B205,"*-峰插*"),技能数据库!$M$72&gt;0),0,IF(COUNTIF(B205,"*鹤归*")&gt;0,16-加速!$L$11,MAX(0,L204-(A205-A204)))),0)</f>
        <v>0</v>
      </c>
      <c r="M205">
        <f ca="1" t="shared" si="60"/>
        <v>0</v>
      </c>
      <c r="N205">
        <f ca="1">IFERROR(IF(AND(COUNTIF(B205,"*-峰插*"),技能数据库!$M$72&gt;0),0,IF(COUNTIF(B205,"*云飞*")&gt;0,4-COUNTIF(B205,"*玉山揽云*")*4--COUNTIF(B205,"*烟流暮景*")*4-COUNTIF(B205,"*云景*")*加速!$L$11-IF(J205&gt;0,2,0),MAX(0,N204-(A205-A204)-IF(J205&gt;0,2,0)))),0)</f>
        <v>0</v>
      </c>
      <c r="O205">
        <f ca="1">IF(AND(COUNTIF(IF(AND(配装计算器!$K$30&lt;&gt;"∞",0),INDEX(AU204:CB204,1,$AT$1),INDEX(AU206:CB206,1,$AT$1)),"*云飞*")=1,COUNTIF(IF(AND(配装计算器!$K$30&lt;&gt;"∞",0),INDEX(AU204:CB204,1,$AT$1),INDEX(AU206:CB206,1,$AT$1)),"*玉山*")=0),N205,0)</f>
        <v>0</v>
      </c>
      <c r="P205">
        <f ca="1">IFERROR(IF(COUNTIF(B205,"*云栖松*")&gt;0,50-加速!$L$11,MAX(0,P204-(A205-A204))),0)</f>
        <v>0</v>
      </c>
      <c r="Q205">
        <f ca="1">IF(COUNTIF(IF(AND(配装计算器!$K$30&lt;&gt;"∞",0),INDEX(AU204:CB204,1,$AT$1),INDEX(AU206:CB206,1,$AT$1)),"*云栖松*")=1,P205,0)</f>
        <v>0</v>
      </c>
      <c r="R205">
        <f ca="1">IFERROR(IF(COUNTIF(B205,"*莺鸣柳*")&gt;0,45-加速!$L$9,MAX(0,R204-(A205-A204))),0)</f>
        <v>0</v>
      </c>
      <c r="S205">
        <f ca="1">IF(COUNTIF(IF(AND(配装计算器!$K$30&lt;&gt;"∞",0),INDEX(AU204:CB204,1,$AT$1),INDEX(AU206:CB206,1,$AT$1)),"*莺鸣柳*")=1,R205,0)</f>
        <v>0</v>
      </c>
      <c r="T205">
        <f ca="1" t="shared" si="68"/>
        <v>0</v>
      </c>
      <c r="U205">
        <f ca="1">IF(金蛇,IF(COUNTIF(B205,"*金环戴*")+COUNTIF(B205,"*吹风醒*")&gt;0,IF(A205&lt;=3,7.125-2.625-A205-加速!$L$11,7.125+加速!$K$9-(A205+加速!$L$11-T205)),0),0)+IF(金蛇,IF(COUNTIF(B205,"*千切子裂光*")&gt;0,2+加速!$K$9-(A205+加速!$L$11-T205),0),0)</f>
        <v>0</v>
      </c>
      <c r="V205">
        <f ca="1" t="shared" si="69"/>
        <v>0</v>
      </c>
      <c r="W205">
        <f ca="1" t="shared" si="61"/>
        <v>0</v>
      </c>
      <c r="X205">
        <f ca="1">INDEX(加速!$I$13:$I$21,W205+1)</f>
        <v>0</v>
      </c>
      <c r="Y205">
        <f ca="1" t="shared" si="70"/>
        <v>0.5</v>
      </c>
      <c r="Z205">
        <f ca="1" t="shared" si="66"/>
        <v>0</v>
      </c>
      <c r="AA205">
        <f ca="1">MAX(0,IFERROR(IF(COUNTIF(B205,"*叠*")&gt;0,IF(AC204&lt;3,8-A206+A205,AA204+6.875-A206+A205),AA204-A206+A205),AA204-加速!$L$11))</f>
        <v>0</v>
      </c>
      <c r="AB205" t="e">
        <f ca="1">MAX(0,IF(COUNTIF(IF(AND(配装计算器!$K$30&lt;&gt;"∞",0),INDEX(AU205:CB205,1,$AT$1),INDEX(AU205:CB205,1,$AT$1)),"*叠1*")=1,4*25-加速!$L$11,AB204-A205+A204)-IF(OR(COUNTIF(OFFSET(AT205,0,$AT$1,1,1),"*听雷*")&gt;0,AND(碧归&gt;0,COUNTIF(OFFSET(AT205,0,$AT$1,1,1),"*风来*")&gt;0)),0,1)*1.5)</f>
        <v>#VALUE!</v>
      </c>
      <c r="AC205">
        <f ca="1" t="shared" si="62"/>
        <v>0</v>
      </c>
      <c r="AD205">
        <f ca="1">IF(COUNTIF(IF(AND(配装计算器!$K$30&lt;&gt;"∞",0),INDEX(AU205:CB205,1,$AT$1),INDEX(AU206:CB206,1,$AT$1)),"*叠1*")=1,AB205*0+AE204,0)</f>
        <v>0</v>
      </c>
      <c r="AE205" t="e">
        <f ca="1">IF($AN$11&gt;0,IF(COUNTIF(B206,"*叠1*")&gt;0,50-加速!$L$11,MAX(0,AE204-(A206-A205))),0)</f>
        <v>#VALUE!</v>
      </c>
      <c r="AG205">
        <f ca="1" t="shared" si="63"/>
        <v>6</v>
      </c>
      <c r="AH205" t="s">
        <v>1825</v>
      </c>
      <c r="AI205" s="161" t="s">
        <v>2859</v>
      </c>
      <c r="AJ205">
        <f ca="1">循环比*COUNTIFS($B$3:$B$515,"*皇*"&amp;AI205&amp;"*",$D$3:$D$515,"&gt;0",$AC$3:$AC$515,2)*2/3</f>
        <v>0</v>
      </c>
      <c r="AK205" t="s">
        <v>3109</v>
      </c>
      <c r="AU205" t="str">
        <f>IF($AN$11=1,"云飞玉皇-玉山揽云","夕照雷峰")</f>
        <v>云飞玉皇-玉山揽云</v>
      </c>
      <c r="AV205">
        <v>2</v>
      </c>
      <c r="AW205" t="s">
        <v>2768</v>
      </c>
      <c r="AX205">
        <v>2</v>
      </c>
      <c r="AY205" t="s">
        <v>2776</v>
      </c>
      <c r="AZ205">
        <v>2</v>
      </c>
      <c r="BA205" t="s">
        <v>2768</v>
      </c>
      <c r="BB205">
        <v>2</v>
      </c>
      <c r="BC205" s="176" t="s">
        <v>3026</v>
      </c>
      <c r="BD205">
        <v>2</v>
      </c>
      <c r="BE205" t="s">
        <v>2768</v>
      </c>
      <c r="BF205">
        <v>2</v>
      </c>
      <c r="BG205" t="s">
        <v>2776</v>
      </c>
      <c r="BH205">
        <v>2</v>
      </c>
      <c r="BI205" t="s">
        <v>2768</v>
      </c>
      <c r="BJ205">
        <v>2</v>
      </c>
      <c r="BK205" s="176" t="s">
        <v>2776</v>
      </c>
      <c r="BL205">
        <v>2</v>
      </c>
      <c r="BM205" t="s">
        <v>3009</v>
      </c>
      <c r="BN205">
        <v>2</v>
      </c>
      <c r="BO205" s="176" t="s">
        <v>2768</v>
      </c>
      <c r="BP205">
        <v>2</v>
      </c>
      <c r="BQ205" t="s">
        <v>2776</v>
      </c>
      <c r="BR205">
        <v>1</v>
      </c>
      <c r="BS205" s="176" t="s">
        <v>2768</v>
      </c>
      <c r="BT205">
        <v>2</v>
      </c>
      <c r="BU205" s="176" t="s">
        <v>2768</v>
      </c>
      <c r="BV205">
        <v>1</v>
      </c>
      <c r="BW205" s="179" t="s">
        <v>2768</v>
      </c>
      <c r="BX205" s="179">
        <v>2</v>
      </c>
      <c r="BY205" t="s">
        <v>3009</v>
      </c>
      <c r="BZ205">
        <v>2</v>
      </c>
      <c r="CA205" t="s">
        <v>3009</v>
      </c>
      <c r="CB205">
        <v>2</v>
      </c>
    </row>
    <row r="206" spans="1:80">
      <c r="A206" s="178" t="str">
        <f ca="1">IFERROR(IF(AG205&lt;5+金蛇*2,IF(COUNTIF(B205,"*轻*")&gt;0,A205+加速!$L$9,A205+加速!$L$11)+V205,""),"")</f>
        <v/>
      </c>
      <c r="B206" s="167" t="str">
        <f ca="1" t="shared" si="58"/>
        <v/>
      </c>
      <c r="C206" t="str">
        <f ca="1" t="shared" si="67"/>
        <v/>
      </c>
      <c r="D206" t="str">
        <f ca="1">IF(B206&lt;&gt;"",IF(C205&lt;=加速!$L$11*(1-E206),0,1),"")</f>
        <v/>
      </c>
      <c r="E206">
        <f ca="1" t="shared" si="64"/>
        <v>1</v>
      </c>
      <c r="G206" t="str">
        <f ca="1" t="shared" si="65"/>
        <v/>
      </c>
      <c r="H206" t="str">
        <f ca="1">IF(B206&lt;&gt;"",IF(AND(COUNTIF(B205,"*轻*莺鸣柳*")&gt;0,COUNTIF(B206,"*轻*")&lt;1),MAX(0,15+I205-(A206-A205)+COUNTIF(B205,"*平湖*")*0),IF(AND(E206=0,MAX(0,H205-(A206-A205))&lt;=加速!$H$11),0,MAX(0,H205-(A206-A205)))),"")</f>
        <v/>
      </c>
      <c r="I206" t="str">
        <f ca="1" t="shared" si="71"/>
        <v/>
      </c>
      <c r="J206" t="str">
        <f ca="1" t="shared" si="72"/>
        <v/>
      </c>
      <c r="K206" t="str">
        <f ca="1" t="shared" si="59"/>
        <v/>
      </c>
      <c r="L206">
        <f ca="1">IFERROR(IF(AND(COUNTIF(B206,"*-峰插*"),技能数据库!$M$72&gt;0),0,IF(COUNTIF(B206,"*鹤归*")&gt;0,16-加速!$L$11,MAX(0,L205-(A206-A205)))),0)</f>
        <v>0</v>
      </c>
      <c r="M206">
        <f ca="1" t="shared" si="60"/>
        <v>0</v>
      </c>
      <c r="N206">
        <f ca="1">IFERROR(IF(AND(COUNTIF(B206,"*-峰插*"),技能数据库!$M$72&gt;0),0,IF(COUNTIF(B206,"*云飞*")&gt;0,4-COUNTIF(B206,"*玉山揽云*")*4--COUNTIF(B206,"*烟流暮景*")*4-COUNTIF(B206,"*云景*")*加速!$L$11-IF(J206&gt;0,2,0),MAX(0,N205-(A206-A205)-IF(J206&gt;0,2,0)))),0)</f>
        <v>0</v>
      </c>
      <c r="O206">
        <f ca="1">IF(AND(COUNTIF(IF(AND(配装计算器!$K$30&lt;&gt;"∞",0),INDEX(AU205:CB205,1,$AT$1),INDEX(AU207:CB207,1,$AT$1)),"*云飞*")=1,COUNTIF(IF(AND(配装计算器!$K$30&lt;&gt;"∞",0),INDEX(AU205:CB205,1,$AT$1),INDEX(AU207:CB207,1,$AT$1)),"*玉山*")=0),N206,0)</f>
        <v>0</v>
      </c>
      <c r="P206">
        <f ca="1">IFERROR(IF(COUNTIF(B206,"*云栖松*")&gt;0,50-加速!$L$11,MAX(0,P205-(A206-A205))),0)</f>
        <v>0</v>
      </c>
      <c r="Q206">
        <f ca="1">IF(COUNTIF(IF(AND(配装计算器!$K$30&lt;&gt;"∞",0),INDEX(AU205:CB205,1,$AT$1),INDEX(AU207:CB207,1,$AT$1)),"*云栖松*")=1,P206,0)</f>
        <v>0</v>
      </c>
      <c r="R206">
        <f ca="1">IFERROR(IF(COUNTIF(B206,"*莺鸣柳*")&gt;0,45-加速!$L$9,MAX(0,R205-(A206-A205))),0)</f>
        <v>0</v>
      </c>
      <c r="S206">
        <f ca="1">IF(COUNTIF(IF(AND(配装计算器!$K$30&lt;&gt;"∞",0),INDEX(AU205:CB205,1,$AT$1),INDEX(AU207:CB207,1,$AT$1)),"*莺鸣柳*")=1,R206,0)</f>
        <v>0</v>
      </c>
      <c r="T206">
        <f ca="1" t="shared" si="68"/>
        <v>0</v>
      </c>
      <c r="U206">
        <f ca="1">IF(金蛇,IF(COUNTIF(B206,"*金环戴*")+COUNTIF(B206,"*吹风醒*")&gt;0,IF(A206&lt;=3,7.125-2.625-A206-加速!$L$11,7.125+加速!$K$9-(A206+加速!$L$11-T206)),0),0)+IF(金蛇,IF(COUNTIF(B206,"*千切子裂光*")&gt;0,2+加速!$K$9-(A206+加速!$L$11-T206),0),0)</f>
        <v>0</v>
      </c>
      <c r="V206">
        <f ca="1" t="shared" si="69"/>
        <v>0</v>
      </c>
      <c r="W206">
        <f ca="1" t="shared" si="61"/>
        <v>0</v>
      </c>
      <c r="X206">
        <f ca="1">INDEX(加速!$I$13:$I$21,W206+1)</f>
        <v>0</v>
      </c>
      <c r="Y206">
        <f ca="1" t="shared" si="70"/>
        <v>0.5</v>
      </c>
      <c r="Z206">
        <f ca="1" t="shared" si="66"/>
        <v>0</v>
      </c>
      <c r="AA206">
        <f ca="1">MAX(0,IFERROR(IF(COUNTIF(B206,"*叠*")&gt;0,IF(AC205&lt;3,8-A207+A206,AA205+6.875-A207+A206),AA205-A207+A206),AA205-加速!$L$11))</f>
        <v>0</v>
      </c>
      <c r="AB206" t="e">
        <f ca="1">MAX(0,IF(COUNTIF(IF(AND(配装计算器!$K$30&lt;&gt;"∞",0),INDEX(AU206:CB206,1,$AT$1),INDEX(AU206:CB206,1,$AT$1)),"*叠1*")=1,4*25-加速!$L$11,AB205-A206+A205)-IF(OR(COUNTIF(OFFSET(AT206,0,$AT$1,1,1),"*听雷*")&gt;0,AND(碧归&gt;0,COUNTIF(OFFSET(AT206,0,$AT$1,1,1),"*风来*")&gt;0)),0,1)*1.5)</f>
        <v>#VALUE!</v>
      </c>
      <c r="AC206">
        <f ca="1" t="shared" si="62"/>
        <v>0</v>
      </c>
      <c r="AD206">
        <f ca="1">IF(COUNTIF(IF(AND(配装计算器!$K$30&lt;&gt;"∞",0),INDEX(AU206:CB206,1,$AT$1),INDEX(AU207:CB207,1,$AT$1)),"*叠1*")=1,AB206*0+AE205,0)</f>
        <v>0</v>
      </c>
      <c r="AE206" t="e">
        <f ca="1">IF($AN$11&gt;0,IF(COUNTIF(B207,"*叠1*")&gt;0,50-加速!$L$11,MAX(0,AE205-(A207-A206))),0)</f>
        <v>#VALUE!</v>
      </c>
      <c r="AG206">
        <f ca="1" t="shared" si="63"/>
        <v>6</v>
      </c>
      <c r="AH206" t="s">
        <v>1028</v>
      </c>
      <c r="AI206" s="161" t="s">
        <v>2861</v>
      </c>
      <c r="AJ206">
        <f ca="1">SUM(AJ204:AJ205)</f>
        <v>0</v>
      </c>
      <c r="AK206" t="s">
        <v>3109</v>
      </c>
      <c r="AU206" t="str">
        <f>IF($AN$11=1,"云飞玉皇-玉山揽云","云飞玉皇")</f>
        <v>云飞玉皇-玉山揽云</v>
      </c>
      <c r="AV206">
        <v>2</v>
      </c>
      <c r="AW206" t="s">
        <v>2722</v>
      </c>
      <c r="AX206">
        <v>0</v>
      </c>
      <c r="AY206" t="s">
        <v>2768</v>
      </c>
      <c r="AZ206">
        <v>2</v>
      </c>
      <c r="BA206" t="s">
        <v>2776</v>
      </c>
      <c r="BB206">
        <v>2</v>
      </c>
      <c r="BC206" s="176" t="s">
        <v>3026</v>
      </c>
      <c r="BD206">
        <v>2</v>
      </c>
      <c r="BE206" t="s">
        <v>3023</v>
      </c>
      <c r="BF206">
        <v>2</v>
      </c>
      <c r="BG206" t="s">
        <v>2768</v>
      </c>
      <c r="BH206">
        <v>2</v>
      </c>
      <c r="BI206" t="s">
        <v>2776</v>
      </c>
      <c r="BJ206">
        <v>2</v>
      </c>
      <c r="BK206" t="s">
        <v>2768</v>
      </c>
      <c r="BL206">
        <v>1</v>
      </c>
      <c r="BM206" t="s">
        <v>2776</v>
      </c>
      <c r="BN206">
        <v>2</v>
      </c>
      <c r="BO206" s="176" t="s">
        <v>2776</v>
      </c>
      <c r="BP206">
        <v>2</v>
      </c>
      <c r="BQ206" t="s">
        <v>3055</v>
      </c>
      <c r="BR206">
        <v>2</v>
      </c>
      <c r="BS206" s="176" t="s">
        <v>2768</v>
      </c>
      <c r="BT206">
        <v>2</v>
      </c>
      <c r="BU206" t="s">
        <v>3055</v>
      </c>
      <c r="BV206">
        <v>0</v>
      </c>
      <c r="BW206" s="181" t="s">
        <v>2789</v>
      </c>
      <c r="BX206" s="179">
        <v>2</v>
      </c>
      <c r="BY206" t="s">
        <v>2768</v>
      </c>
      <c r="BZ206">
        <v>2</v>
      </c>
      <c r="CA206" s="176" t="s">
        <v>2794</v>
      </c>
      <c r="CB206">
        <v>2</v>
      </c>
    </row>
    <row r="207" spans="1:80">
      <c r="A207" s="178" t="str">
        <f ca="1">IFERROR(IF(AG206&lt;5+金蛇*2,IF(COUNTIF(B206,"*轻*")&gt;0,A206+加速!$L$9,A206+加速!$L$11)+V206,""),"")</f>
        <v/>
      </c>
      <c r="B207" s="167" t="str">
        <f ca="1" t="shared" si="58"/>
        <v/>
      </c>
      <c r="C207" t="str">
        <f ca="1" t="shared" si="67"/>
        <v/>
      </c>
      <c r="D207" t="str">
        <f ca="1">IF(B207&lt;&gt;"",IF(C206&lt;=加速!$L$11*(1-E207),0,1),"")</f>
        <v/>
      </c>
      <c r="E207">
        <f ca="1" t="shared" si="64"/>
        <v>1</v>
      </c>
      <c r="G207" t="str">
        <f ca="1" t="shared" si="65"/>
        <v/>
      </c>
      <c r="H207" t="str">
        <f ca="1">IF(B207&lt;&gt;"",IF(AND(COUNTIF(B206,"*轻*莺鸣柳*")&gt;0,COUNTIF(B207,"*轻*")&lt;1),MAX(0,15+I206-(A207-A206)+COUNTIF(B206,"*平湖*")*0),IF(AND(E207=0,MAX(0,H206-(A207-A206))&lt;=加速!$H$11),0,MAX(0,H206-(A207-A206)))),"")</f>
        <v/>
      </c>
      <c r="I207" t="str">
        <f ca="1" t="shared" si="71"/>
        <v/>
      </c>
      <c r="J207" t="str">
        <f ca="1" t="shared" si="72"/>
        <v/>
      </c>
      <c r="K207" t="str">
        <f ca="1" t="shared" si="59"/>
        <v/>
      </c>
      <c r="L207">
        <f ca="1">IFERROR(IF(AND(COUNTIF(B207,"*-峰插*"),技能数据库!$M$72&gt;0),0,IF(COUNTIF(B207,"*鹤归*")&gt;0,16-加速!$L$11,MAX(0,L206-(A207-A206)))),0)</f>
        <v>0</v>
      </c>
      <c r="M207">
        <f ca="1" t="shared" si="60"/>
        <v>0</v>
      </c>
      <c r="N207">
        <f ca="1">IFERROR(IF(AND(COUNTIF(B207,"*-峰插*"),技能数据库!$M$72&gt;0),0,IF(COUNTIF(B207,"*云飞*")&gt;0,4-COUNTIF(B207,"*玉山揽云*")*4--COUNTIF(B207,"*烟流暮景*")*4-COUNTIF(B207,"*云景*")*加速!$L$11-IF(J207&gt;0,2,0),MAX(0,N206-(A207-A206)-IF(J207&gt;0,2,0)))),0)</f>
        <v>0</v>
      </c>
      <c r="O207">
        <f ca="1">IF(AND(COUNTIF(IF(AND(配装计算器!$K$30&lt;&gt;"∞",0),INDEX(AU206:CB206,1,$AT$1),INDEX(AU208:CB208,1,$AT$1)),"*云飞*")=1,COUNTIF(IF(AND(配装计算器!$K$30&lt;&gt;"∞",0),INDEX(AU206:CB206,1,$AT$1),INDEX(AU208:CB208,1,$AT$1)),"*玉山*")=0),N207,0)</f>
        <v>0</v>
      </c>
      <c r="P207">
        <f ca="1">IFERROR(IF(COUNTIF(B207,"*云栖松*")&gt;0,50-加速!$L$11,MAX(0,P206-(A207-A206))),0)</f>
        <v>0</v>
      </c>
      <c r="Q207">
        <f ca="1">IF(COUNTIF(IF(AND(配装计算器!$K$30&lt;&gt;"∞",0),INDEX(AU206:CB206,1,$AT$1),INDEX(AU208:CB208,1,$AT$1)),"*云栖松*")=1,P207,0)</f>
        <v>0</v>
      </c>
      <c r="R207">
        <f ca="1">IFERROR(IF(COUNTIF(B207,"*莺鸣柳*")&gt;0,45-加速!$L$9,MAX(0,R206-(A207-A206))),0)</f>
        <v>0</v>
      </c>
      <c r="S207">
        <f ca="1">IF(COUNTIF(IF(AND(配装计算器!$K$30&lt;&gt;"∞",0),INDEX(AU206:CB206,1,$AT$1),INDEX(AU208:CB208,1,$AT$1)),"*莺鸣柳*")=1,R207,0)</f>
        <v>0</v>
      </c>
      <c r="T207">
        <f ca="1" t="shared" si="68"/>
        <v>0</v>
      </c>
      <c r="U207">
        <f ca="1">IF(金蛇,IF(COUNTIF(B207,"*金环戴*")+COUNTIF(B207,"*吹风醒*")&gt;0,IF(A207&lt;=3,7.125-2.625-A207-加速!$L$11,7.125+加速!$K$9-(A207+加速!$L$11-T207)),0),0)+IF(金蛇,IF(COUNTIF(B207,"*千切子裂光*")&gt;0,2+加速!$K$9-(A207+加速!$L$11-T207),0),0)</f>
        <v>0</v>
      </c>
      <c r="V207">
        <f ca="1" t="shared" si="69"/>
        <v>0</v>
      </c>
      <c r="W207">
        <f ca="1" t="shared" si="61"/>
        <v>0</v>
      </c>
      <c r="X207">
        <f ca="1">INDEX(加速!$I$13:$I$21,W207+1)</f>
        <v>0</v>
      </c>
      <c r="Y207">
        <f ca="1" t="shared" si="70"/>
        <v>0.5</v>
      </c>
      <c r="Z207">
        <f ca="1" t="shared" si="66"/>
        <v>0</v>
      </c>
      <c r="AA207">
        <f ca="1">MAX(0,IFERROR(IF(COUNTIF(B207,"*叠*")&gt;0,IF(AC206&lt;3,8-A208+A207,AA206+6.875-A208+A207),AA206-A208+A207),AA206-加速!$L$11))</f>
        <v>0</v>
      </c>
      <c r="AB207" t="e">
        <f ca="1">MAX(0,IF(COUNTIF(IF(AND(配装计算器!$K$30&lt;&gt;"∞",0),INDEX(AU207:CB207,1,$AT$1),INDEX(AU207:CB207,1,$AT$1)),"*叠1*")=1,4*25-加速!$L$11,AB206-A207+A206)-IF(OR(COUNTIF(OFFSET(AT207,0,$AT$1,1,1),"*听雷*")&gt;0,AND(碧归&gt;0,COUNTIF(OFFSET(AT207,0,$AT$1,1,1),"*风来*")&gt;0)),0,1)*1.5)</f>
        <v>#VALUE!</v>
      </c>
      <c r="AC207">
        <f ca="1" t="shared" si="62"/>
        <v>0</v>
      </c>
      <c r="AD207">
        <f ca="1">IF(COUNTIF(IF(AND(配装计算器!$K$30&lt;&gt;"∞",0),INDEX(AU207:CB207,1,$AT$1),INDEX(AU208:CB208,1,$AT$1)),"*叠1*")=1,AB207*0+AE206,0)</f>
        <v>0</v>
      </c>
      <c r="AE207" t="e">
        <f ca="1">IF($AN$11&gt;0,IF(COUNTIF(B208,"*叠1*")&gt;0,50-加速!$L$11,MAX(0,AE206-(A208-A207))),0)</f>
        <v>#VALUE!</v>
      </c>
      <c r="AG207">
        <f ca="1" t="shared" si="63"/>
        <v>6</v>
      </c>
      <c r="AH207" t="s">
        <v>1028</v>
      </c>
      <c r="AI207" t="s">
        <v>2726</v>
      </c>
      <c r="AJ207">
        <f ca="1">循环比*(COUNTIFS($B$3:$B$515,"*莺鸣柳*",$D$3:$D$515,"&gt;0",$I$3:$I$515,"=0")+COUNTIFS($B$3:$B$515,"*黄龙吐翠*",$D$3:$D$515,"&gt;0",$I$3:$I$515,"=0",$AC$3:$AC$515,"=1"))</f>
        <v>0</v>
      </c>
      <c r="AK207" t="s">
        <v>3108</v>
      </c>
      <c r="AU207" t="str">
        <f>IF($AN$11=1,"云飞玉皇-玉山揽云","夕照雷峰")</f>
        <v>云飞玉皇-玉山揽云</v>
      </c>
      <c r="AV207">
        <v>2</v>
      </c>
      <c r="AW207" t="s">
        <v>3009</v>
      </c>
      <c r="AX207">
        <v>2</v>
      </c>
      <c r="AY207" t="s">
        <v>2776</v>
      </c>
      <c r="AZ207">
        <v>2</v>
      </c>
      <c r="BA207" t="s">
        <v>2768</v>
      </c>
      <c r="BB207">
        <v>2</v>
      </c>
      <c r="BC207" t="s">
        <v>3013</v>
      </c>
      <c r="BD207">
        <v>2</v>
      </c>
      <c r="BE207" s="182" t="s">
        <v>2768</v>
      </c>
      <c r="BF207">
        <v>2</v>
      </c>
      <c r="BG207" t="s">
        <v>2776</v>
      </c>
      <c r="BH207">
        <v>2</v>
      </c>
      <c r="BI207" t="s">
        <v>2768</v>
      </c>
      <c r="BJ207">
        <v>2</v>
      </c>
      <c r="BK207" s="176" t="s">
        <v>2768</v>
      </c>
      <c r="BL207">
        <v>1</v>
      </c>
      <c r="BM207" t="s">
        <v>2768</v>
      </c>
      <c r="BN207">
        <v>2</v>
      </c>
      <c r="BO207" s="176" t="s">
        <v>2768</v>
      </c>
      <c r="BP207">
        <v>2</v>
      </c>
      <c r="BQ207" t="s">
        <v>2768</v>
      </c>
      <c r="BR207">
        <v>2</v>
      </c>
      <c r="BS207" s="176" t="s">
        <v>2768</v>
      </c>
      <c r="BT207">
        <v>2</v>
      </c>
      <c r="BU207" t="s">
        <v>2776</v>
      </c>
      <c r="BV207">
        <v>2</v>
      </c>
      <c r="BW207" s="182" t="s">
        <v>2794</v>
      </c>
      <c r="BX207" s="179">
        <v>2</v>
      </c>
      <c r="BY207" t="s">
        <v>2776</v>
      </c>
      <c r="BZ207">
        <v>2</v>
      </c>
      <c r="CA207" s="176" t="s">
        <v>2776</v>
      </c>
      <c r="CB207">
        <v>2</v>
      </c>
    </row>
    <row r="208" spans="1:80">
      <c r="A208" s="178" t="str">
        <f ca="1">IFERROR(IF(AG207&lt;5+金蛇*2,IF(COUNTIF(B207,"*轻*")&gt;0,A207+加速!$L$9,A207+加速!$L$11)+V207,""),"")</f>
        <v/>
      </c>
      <c r="B208" s="167" t="str">
        <f ca="1" t="shared" si="58"/>
        <v/>
      </c>
      <c r="C208" t="str">
        <f ca="1" t="shared" si="67"/>
        <v/>
      </c>
      <c r="D208" t="str">
        <f ca="1">IF(B208&lt;&gt;"",IF(C207&lt;=加速!$L$11*(1-E208),0,1),"")</f>
        <v/>
      </c>
      <c r="E208">
        <f ca="1" t="shared" si="64"/>
        <v>1</v>
      </c>
      <c r="G208" t="str">
        <f ca="1" t="shared" si="65"/>
        <v/>
      </c>
      <c r="H208" t="str">
        <f ca="1">IF(B208&lt;&gt;"",IF(AND(COUNTIF(B207,"*轻*莺鸣柳*")&gt;0,COUNTIF(B208,"*轻*")&lt;1),MAX(0,15+I207-(A208-A207)+COUNTIF(B207,"*平湖*")*0),IF(AND(E208=0,MAX(0,H207-(A208-A207))&lt;=加速!$H$11),0,MAX(0,H207-(A208-A207)))),"")</f>
        <v/>
      </c>
      <c r="I208" t="str">
        <f ca="1" t="shared" si="71"/>
        <v/>
      </c>
      <c r="J208" t="str">
        <f ca="1" t="shared" si="72"/>
        <v/>
      </c>
      <c r="K208" t="str">
        <f ca="1" t="shared" si="59"/>
        <v/>
      </c>
      <c r="L208">
        <f ca="1">IFERROR(IF(AND(COUNTIF(B208,"*-峰插*"),技能数据库!$M$72&gt;0),0,IF(COUNTIF(B208,"*鹤归*")&gt;0,16-加速!$L$11,MAX(0,L207-(A208-A207)))),0)</f>
        <v>0</v>
      </c>
      <c r="M208">
        <f ca="1" t="shared" si="60"/>
        <v>0</v>
      </c>
      <c r="N208">
        <f ca="1">IFERROR(IF(AND(COUNTIF(B208,"*-峰插*"),技能数据库!$M$72&gt;0),0,IF(COUNTIF(B208,"*云飞*")&gt;0,4-COUNTIF(B208,"*玉山揽云*")*4--COUNTIF(B208,"*烟流暮景*")*4-COUNTIF(B208,"*云景*")*加速!$L$11-IF(J208&gt;0,2,0),MAX(0,N207-(A208-A207)-IF(J208&gt;0,2,0)))),0)</f>
        <v>0</v>
      </c>
      <c r="O208">
        <f ca="1">IF(AND(COUNTIF(IF(AND(配装计算器!$K$30&lt;&gt;"∞",0),INDEX(AU207:CB207,1,$AT$1),INDEX(AU209:CB209,1,$AT$1)),"*云飞*")=1,COUNTIF(IF(AND(配装计算器!$K$30&lt;&gt;"∞",0),INDEX(AU207:CB207,1,$AT$1),INDEX(AU209:CB209,1,$AT$1)),"*玉山*")=0),N208,0)</f>
        <v>0</v>
      </c>
      <c r="P208">
        <f ca="1">IFERROR(IF(COUNTIF(B208,"*云栖松*")&gt;0,50-加速!$L$11,MAX(0,P207-(A208-A207))),0)</f>
        <v>0</v>
      </c>
      <c r="Q208">
        <f ca="1">IF(COUNTIF(IF(AND(配装计算器!$K$30&lt;&gt;"∞",0),INDEX(AU207:CB207,1,$AT$1),INDEX(AU209:CB209,1,$AT$1)),"*云栖松*")=1,P208,0)</f>
        <v>0</v>
      </c>
      <c r="R208">
        <f ca="1">IFERROR(IF(COUNTIF(B208,"*莺鸣柳*")&gt;0,45-加速!$L$9,MAX(0,R207-(A208-A207))),0)</f>
        <v>0</v>
      </c>
      <c r="S208">
        <f ca="1">IF(COUNTIF(IF(AND(配装计算器!$K$30&lt;&gt;"∞",0),INDEX(AU207:CB207,1,$AT$1),INDEX(AU209:CB209,1,$AT$1)),"*莺鸣柳*")=1,R208,0)</f>
        <v>0</v>
      </c>
      <c r="T208">
        <f ca="1" t="shared" si="68"/>
        <v>0</v>
      </c>
      <c r="U208">
        <f ca="1">IF(金蛇,IF(COUNTIF(B208,"*金环戴*")+COUNTIF(B208,"*吹风醒*")&gt;0,IF(A208&lt;=3,7.125-2.625-A208-加速!$L$11,7.125+加速!$K$9-(A208+加速!$L$11-T208)),0),0)+IF(金蛇,IF(COUNTIF(B208,"*千切子裂光*")&gt;0,2+加速!$K$9-(A208+加速!$L$11-T208),0),0)</f>
        <v>0</v>
      </c>
      <c r="V208">
        <f ca="1" t="shared" si="69"/>
        <v>0</v>
      </c>
      <c r="W208">
        <f ca="1" t="shared" si="61"/>
        <v>0</v>
      </c>
      <c r="X208">
        <f ca="1">INDEX(加速!$I$13:$I$21,W208+1)</f>
        <v>0</v>
      </c>
      <c r="Y208">
        <f ca="1" t="shared" si="70"/>
        <v>0.5</v>
      </c>
      <c r="Z208">
        <f ca="1" t="shared" si="66"/>
        <v>0</v>
      </c>
      <c r="AA208">
        <f ca="1">MAX(0,IFERROR(IF(COUNTIF(B208,"*叠*")&gt;0,IF(AC207&lt;3,8-A209+A208,AA207+6.875-A209+A208),AA207-A209+A208),AA207-加速!$L$11))</f>
        <v>0</v>
      </c>
      <c r="AB208" t="e">
        <f ca="1">MAX(0,IF(COUNTIF(IF(AND(配装计算器!$K$30&lt;&gt;"∞",0),INDEX(AU208:CB208,1,$AT$1),INDEX(AU208:CB208,1,$AT$1)),"*叠1*")=1,4*25-加速!$L$11,AB207-A208+A207)-IF(OR(COUNTIF(OFFSET(AT208,0,$AT$1,1,1),"*听雷*")&gt;0,AND(碧归&gt;0,COUNTIF(OFFSET(AT208,0,$AT$1,1,1),"*风来*")&gt;0)),0,1)*1.5)</f>
        <v>#VALUE!</v>
      </c>
      <c r="AC208">
        <f ca="1" t="shared" si="62"/>
        <v>0</v>
      </c>
      <c r="AD208">
        <f ca="1">IF(COUNTIF(IF(AND(配装计算器!$K$30&lt;&gt;"∞",0),INDEX(AU208:CB208,1,$AT$1),INDEX(AU209:CB209,1,$AT$1)),"*叠1*")=1,AB208*0+AE207,0)</f>
        <v>0</v>
      </c>
      <c r="AE208" t="e">
        <f ca="1">IF($AN$11&gt;0,IF(COUNTIF(B209,"*叠1*")&gt;0,50-加速!$L$11,MAX(0,AE207-(A209-A208))),0)</f>
        <v>#VALUE!</v>
      </c>
      <c r="AG208">
        <f ca="1" t="shared" si="63"/>
        <v>6</v>
      </c>
      <c r="AH208" t="s">
        <v>1825</v>
      </c>
      <c r="AI208" t="s">
        <v>2820</v>
      </c>
      <c r="AJ208">
        <f ca="1">$AN$61*AO69</f>
        <v>0</v>
      </c>
      <c r="AK208" t="s">
        <v>2750</v>
      </c>
      <c r="AU208" t="str">
        <f>IF($AN$11=1,橙武补雾锁,"夕照雷峰")</f>
        <v>云飞玉皇-玉山揽云</v>
      </c>
      <c r="AV208">
        <v>2</v>
      </c>
      <c r="AW208" t="s">
        <v>2776</v>
      </c>
      <c r="AX208">
        <v>2</v>
      </c>
      <c r="AY208" t="s">
        <v>2768</v>
      </c>
      <c r="AZ208">
        <v>2</v>
      </c>
      <c r="BA208" t="s">
        <v>2776</v>
      </c>
      <c r="BB208">
        <v>1</v>
      </c>
      <c r="BC208" t="s">
        <v>2808</v>
      </c>
      <c r="BD208">
        <v>2</v>
      </c>
      <c r="BE208" s="176" t="s">
        <v>2768</v>
      </c>
      <c r="BF208">
        <v>2</v>
      </c>
      <c r="BG208" t="s">
        <v>2768</v>
      </c>
      <c r="BH208">
        <v>1</v>
      </c>
      <c r="BI208" t="s">
        <v>2808</v>
      </c>
      <c r="BJ208">
        <v>2</v>
      </c>
      <c r="BK208" s="176" t="s">
        <v>2768</v>
      </c>
      <c r="BL208">
        <v>0</v>
      </c>
      <c r="BM208" s="180" t="s">
        <v>2789</v>
      </c>
      <c r="BN208">
        <v>2</v>
      </c>
      <c r="BO208" s="176" t="s">
        <v>2808</v>
      </c>
      <c r="BP208">
        <v>2</v>
      </c>
      <c r="BQ208" t="s">
        <v>2776</v>
      </c>
      <c r="BR208">
        <v>2</v>
      </c>
      <c r="BS208" s="176" t="s">
        <v>2776</v>
      </c>
      <c r="BT208">
        <v>2</v>
      </c>
      <c r="BU208" t="s">
        <v>2768</v>
      </c>
      <c r="BV208">
        <v>2</v>
      </c>
      <c r="BW208" s="182" t="s">
        <v>2776</v>
      </c>
      <c r="BX208" s="179">
        <v>2</v>
      </c>
      <c r="BY208" t="s">
        <v>2768</v>
      </c>
      <c r="BZ208">
        <v>2</v>
      </c>
      <c r="CA208" s="176" t="s">
        <v>2768</v>
      </c>
      <c r="CB208">
        <v>2</v>
      </c>
    </row>
    <row r="209" spans="1:80">
      <c r="A209" s="178" t="str">
        <f ca="1">IFERROR(IF(AG208&lt;5+金蛇*2,IF(COUNTIF(B208,"*轻*")&gt;0,A208+加速!$L$9,A208+加速!$L$11)+V208,""),"")</f>
        <v/>
      </c>
      <c r="B209" s="167" t="str">
        <f ca="1" t="shared" si="58"/>
        <v/>
      </c>
      <c r="C209" t="str">
        <f ca="1" t="shared" si="67"/>
        <v/>
      </c>
      <c r="D209" t="str">
        <f ca="1">IF(B209&lt;&gt;"",IF(C208&lt;=加速!$L$11*(1-E209),0,1),"")</f>
        <v/>
      </c>
      <c r="E209">
        <f ca="1" t="shared" si="64"/>
        <v>1</v>
      </c>
      <c r="G209" t="str">
        <f ca="1" t="shared" si="65"/>
        <v/>
      </c>
      <c r="H209" t="str">
        <f ca="1">IF(B209&lt;&gt;"",IF(AND(COUNTIF(B208,"*轻*莺鸣柳*")&gt;0,COUNTIF(B209,"*轻*")&lt;1),MAX(0,15+I208-(A209-A208)+COUNTIF(B208,"*平湖*")*0),IF(AND(E209=0,MAX(0,H208-(A209-A208))&lt;=加速!$H$11),0,MAX(0,H208-(A209-A208)))),"")</f>
        <v/>
      </c>
      <c r="I209" t="str">
        <f ca="1" t="shared" si="71"/>
        <v/>
      </c>
      <c r="J209" t="str">
        <f ca="1" t="shared" si="72"/>
        <v/>
      </c>
      <c r="K209" t="str">
        <f ca="1" t="shared" si="59"/>
        <v/>
      </c>
      <c r="L209">
        <f ca="1">IFERROR(IF(AND(COUNTIF(B209,"*-峰插*"),技能数据库!$M$72&gt;0),0,IF(COUNTIF(B209,"*鹤归*")&gt;0,16-加速!$L$11,MAX(0,L208-(A209-A208)))),0)</f>
        <v>0</v>
      </c>
      <c r="M209">
        <f ca="1" t="shared" si="60"/>
        <v>0</v>
      </c>
      <c r="N209">
        <f ca="1">IFERROR(IF(AND(COUNTIF(B209,"*-峰插*"),技能数据库!$M$72&gt;0),0,IF(COUNTIF(B209,"*云飞*")&gt;0,4-COUNTIF(B209,"*玉山揽云*")*4--COUNTIF(B209,"*烟流暮景*")*4-COUNTIF(B209,"*云景*")*加速!$L$11-IF(J209&gt;0,2,0),MAX(0,N208-(A209-A208)-IF(J209&gt;0,2,0)))),0)</f>
        <v>0</v>
      </c>
      <c r="O209">
        <f ca="1">IF(AND(COUNTIF(IF(AND(配装计算器!$K$30&lt;&gt;"∞",0),INDEX(AU208:CB208,1,$AT$1),INDEX(AU210:CB210,1,$AT$1)),"*云飞*")=1,COUNTIF(IF(AND(配装计算器!$K$30&lt;&gt;"∞",0),INDEX(AU208:CB208,1,$AT$1),INDEX(AU210:CB210,1,$AT$1)),"*玉山*")=0),N209,0)</f>
        <v>0</v>
      </c>
      <c r="P209">
        <f ca="1">IFERROR(IF(COUNTIF(B209,"*云栖松*")&gt;0,50-加速!$L$11,MAX(0,P208-(A209-A208))),0)</f>
        <v>0</v>
      </c>
      <c r="Q209">
        <f ca="1">IF(COUNTIF(IF(AND(配装计算器!$K$30&lt;&gt;"∞",0),INDEX(AU208:CB208,1,$AT$1),INDEX(AU210:CB210,1,$AT$1)),"*云栖松*")=1,P209,0)</f>
        <v>0</v>
      </c>
      <c r="R209">
        <f ca="1">IFERROR(IF(COUNTIF(B209,"*莺鸣柳*")&gt;0,45-加速!$L$9,MAX(0,R208-(A209-A208))),0)</f>
        <v>0</v>
      </c>
      <c r="S209">
        <f ca="1">IF(COUNTIF(IF(AND(配装计算器!$K$30&lt;&gt;"∞",0),INDEX(AU208:CB208,1,$AT$1),INDEX(AU210:CB210,1,$AT$1)),"*莺鸣柳*")=1,R209,0)</f>
        <v>0</v>
      </c>
      <c r="T209">
        <f ca="1" t="shared" si="68"/>
        <v>0</v>
      </c>
      <c r="U209">
        <f ca="1">IF(金蛇,IF(COUNTIF(B209,"*金环戴*")+COUNTIF(B209,"*吹风醒*")&gt;0,IF(A209&lt;=3,7.125-2.625-A209-加速!$L$11,7.125+加速!$K$9-(A209+加速!$L$11-T209)),0),0)+IF(金蛇,IF(COUNTIF(B209,"*千切子裂光*")&gt;0,2+加速!$K$9-(A209+加速!$L$11-T209),0),0)</f>
        <v>0</v>
      </c>
      <c r="V209">
        <f ca="1" t="shared" si="69"/>
        <v>0</v>
      </c>
      <c r="W209">
        <f ca="1" t="shared" si="61"/>
        <v>0</v>
      </c>
      <c r="X209">
        <f ca="1">INDEX(加速!$I$13:$I$21,W209+1)</f>
        <v>0</v>
      </c>
      <c r="Y209">
        <f ca="1" t="shared" si="70"/>
        <v>0.5</v>
      </c>
      <c r="Z209">
        <f ca="1" t="shared" si="66"/>
        <v>0</v>
      </c>
      <c r="AA209">
        <f ca="1">MAX(0,IFERROR(IF(COUNTIF(B209,"*叠*")&gt;0,IF(AC208&lt;3,8-A210+A209,AA208+6.875-A210+A209),AA208-A210+A209),AA208-加速!$L$11))</f>
        <v>0</v>
      </c>
      <c r="AB209" t="e">
        <f ca="1">MAX(0,IF(COUNTIF(IF(AND(配装计算器!$K$30&lt;&gt;"∞",0),INDEX(AU209:CB209,1,$AT$1),INDEX(AU209:CB209,1,$AT$1)),"*叠1*")=1,4*25-加速!$L$11,AB208-A209+A208)-IF(OR(COUNTIF(OFFSET(AT209,0,$AT$1,1,1),"*听雷*")&gt;0,AND(碧归&gt;0,COUNTIF(OFFSET(AT209,0,$AT$1,1,1),"*风来*")&gt;0)),0,1)*1.5)</f>
        <v>#VALUE!</v>
      </c>
      <c r="AC209">
        <f ca="1" t="shared" si="62"/>
        <v>0</v>
      </c>
      <c r="AD209">
        <f ca="1">IF(COUNTIF(IF(AND(配装计算器!$K$30&lt;&gt;"∞",0),INDEX(AU209:CB209,1,$AT$1),INDEX(AU210:CB210,1,$AT$1)),"*叠1*")=1,AB209*0+AE208,0)</f>
        <v>0</v>
      </c>
      <c r="AE209" t="e">
        <f ca="1">IF($AN$11&gt;0,IF(COUNTIF(B210,"*叠1*")&gt;0,50-加速!$L$11,MAX(0,AE208-(A210-A209))),0)</f>
        <v>#VALUE!</v>
      </c>
      <c r="AG209">
        <f ca="1" t="shared" si="63"/>
        <v>6</v>
      </c>
      <c r="AH209" t="s">
        <v>1825</v>
      </c>
      <c r="AI209" t="s">
        <v>2820</v>
      </c>
      <c r="AJ209">
        <f ca="1" t="shared" ref="AJ209:AJ211" si="74">$AN$61*AO70</f>
        <v>0</v>
      </c>
      <c r="AK209" t="s">
        <v>3096</v>
      </c>
      <c r="AU209" t="str">
        <f>IF($AN$11=1,"云飞玉皇-玉山揽云","夕照雷峰")</f>
        <v>云飞玉皇-玉山揽云</v>
      </c>
      <c r="AV209">
        <v>2</v>
      </c>
      <c r="AW209" t="s">
        <v>2768</v>
      </c>
      <c r="AX209">
        <v>2</v>
      </c>
      <c r="AY209" t="s">
        <v>2776</v>
      </c>
      <c r="AZ209">
        <v>1</v>
      </c>
      <c r="BA209" t="s">
        <v>2768</v>
      </c>
      <c r="BB209">
        <v>1</v>
      </c>
      <c r="BC209" t="s">
        <v>2768</v>
      </c>
      <c r="BD209">
        <v>2</v>
      </c>
      <c r="BE209" s="176" t="s">
        <v>2789</v>
      </c>
      <c r="BF209">
        <v>2</v>
      </c>
      <c r="BG209" t="s">
        <v>2776</v>
      </c>
      <c r="BH209">
        <v>1</v>
      </c>
      <c r="BI209" t="s">
        <v>2768</v>
      </c>
      <c r="BJ209">
        <v>2</v>
      </c>
      <c r="BK209" s="176" t="s">
        <v>2776</v>
      </c>
      <c r="BL209">
        <v>0</v>
      </c>
      <c r="BM209" s="176" t="s">
        <v>2794</v>
      </c>
      <c r="BN209">
        <v>2</v>
      </c>
      <c r="BO209" t="s">
        <v>2768</v>
      </c>
      <c r="BP209">
        <v>2</v>
      </c>
      <c r="BQ209" t="s">
        <v>2768</v>
      </c>
      <c r="BR209">
        <v>2</v>
      </c>
      <c r="BS209" s="176" t="s">
        <v>2768</v>
      </c>
      <c r="BT209">
        <v>2</v>
      </c>
      <c r="BU209" t="s">
        <v>2776</v>
      </c>
      <c r="BV209">
        <v>2</v>
      </c>
      <c r="BW209" s="182" t="s">
        <v>2768</v>
      </c>
      <c r="BX209" s="179">
        <v>2</v>
      </c>
      <c r="BY209" s="180" t="s">
        <v>2789</v>
      </c>
      <c r="BZ209">
        <v>2</v>
      </c>
      <c r="CA209" s="176" t="s">
        <v>2776</v>
      </c>
      <c r="CB209">
        <v>2</v>
      </c>
    </row>
    <row r="210" spans="1:80">
      <c r="A210" s="178" t="str">
        <f ca="1">IFERROR(IF(AG209&lt;5+金蛇*2,IF(COUNTIF(B209,"*轻*")&gt;0,A209+加速!$L$9,A209+加速!$L$11)+V209,""),"")</f>
        <v/>
      </c>
      <c r="B210" s="167" t="str">
        <f ca="1" t="shared" si="58"/>
        <v/>
      </c>
      <c r="C210" t="str">
        <f ca="1" t="shared" si="67"/>
        <v/>
      </c>
      <c r="D210" t="str">
        <f ca="1">IF(B210&lt;&gt;"",IF(C209&lt;=加速!$L$11*(1-E210),0,1),"")</f>
        <v/>
      </c>
      <c r="E210">
        <f ca="1" t="shared" si="64"/>
        <v>1</v>
      </c>
      <c r="G210" t="str">
        <f ca="1" t="shared" si="65"/>
        <v/>
      </c>
      <c r="H210" t="str">
        <f ca="1">IF(B210&lt;&gt;"",IF(AND(COUNTIF(B209,"*轻*莺鸣柳*")&gt;0,COUNTIF(B210,"*轻*")&lt;1),MAX(0,15+I209-(A210-A209)+COUNTIF(B209,"*平湖*")*0),IF(AND(E210=0,MAX(0,H209-(A210-A209))&lt;=加速!$H$11),0,MAX(0,H209-(A210-A209)))),"")</f>
        <v/>
      </c>
      <c r="I210" t="str">
        <f ca="1" t="shared" si="71"/>
        <v/>
      </c>
      <c r="J210" t="str">
        <f ca="1" t="shared" si="72"/>
        <v/>
      </c>
      <c r="K210" t="str">
        <f ca="1" t="shared" si="59"/>
        <v/>
      </c>
      <c r="L210">
        <f ca="1">IFERROR(IF(AND(COUNTIF(B210,"*-峰插*"),技能数据库!$M$72&gt;0),0,IF(COUNTIF(B210,"*鹤归*")&gt;0,16-加速!$L$11,MAX(0,L209-(A210-A209)))),0)</f>
        <v>0</v>
      </c>
      <c r="M210">
        <f ca="1" t="shared" si="60"/>
        <v>0</v>
      </c>
      <c r="N210">
        <f ca="1">IFERROR(IF(AND(COUNTIF(B210,"*-峰插*"),技能数据库!$M$72&gt;0),0,IF(COUNTIF(B210,"*云飞*")&gt;0,4-COUNTIF(B210,"*玉山揽云*")*4--COUNTIF(B210,"*烟流暮景*")*4-COUNTIF(B210,"*云景*")*加速!$L$11-IF(J210&gt;0,2,0),MAX(0,N209-(A210-A209)-IF(J210&gt;0,2,0)))),0)</f>
        <v>0</v>
      </c>
      <c r="O210">
        <f ca="1">IF(AND(COUNTIF(IF(AND(配装计算器!$K$30&lt;&gt;"∞",0),INDEX(AU209:CB209,1,$AT$1),INDEX(AU211:CB211,1,$AT$1)),"*云飞*")=1,COUNTIF(IF(AND(配装计算器!$K$30&lt;&gt;"∞",0),INDEX(AU209:CB209,1,$AT$1),INDEX(AU211:CB211,1,$AT$1)),"*玉山*")=0),N210,0)</f>
        <v>0</v>
      </c>
      <c r="P210">
        <f ca="1">IFERROR(IF(COUNTIF(B210,"*云栖松*")&gt;0,50-加速!$L$11,MAX(0,P209-(A210-A209))),0)</f>
        <v>0</v>
      </c>
      <c r="Q210">
        <f ca="1">IF(COUNTIF(IF(AND(配装计算器!$K$30&lt;&gt;"∞",0),INDEX(AU209:CB209,1,$AT$1),INDEX(AU211:CB211,1,$AT$1)),"*云栖松*")=1,P210,0)</f>
        <v>0</v>
      </c>
      <c r="R210">
        <f ca="1">IFERROR(IF(COUNTIF(B210,"*莺鸣柳*")&gt;0,45-加速!$L$9,MAX(0,R209-(A210-A209))),0)</f>
        <v>0</v>
      </c>
      <c r="S210">
        <f ca="1">IF(COUNTIF(IF(AND(配装计算器!$K$30&lt;&gt;"∞",0),INDEX(AU209:CB209,1,$AT$1),INDEX(AU211:CB211,1,$AT$1)),"*莺鸣柳*")=1,R210,0)</f>
        <v>0</v>
      </c>
      <c r="T210">
        <f ca="1" t="shared" si="68"/>
        <v>0</v>
      </c>
      <c r="U210">
        <f ca="1">IF(金蛇,IF(COUNTIF(B210,"*金环戴*")+COUNTIF(B210,"*吹风醒*")&gt;0,IF(A210&lt;=3,7.125-2.625-A210-加速!$L$11,7.125+加速!$K$9-(A210+加速!$L$11-T210)),0),0)+IF(金蛇,IF(COUNTIF(B210,"*千切子裂光*")&gt;0,2+加速!$K$9-(A210+加速!$L$11-T210),0),0)</f>
        <v>0</v>
      </c>
      <c r="V210">
        <f ca="1" t="shared" si="69"/>
        <v>0</v>
      </c>
      <c r="W210">
        <f ca="1" t="shared" si="61"/>
        <v>0</v>
      </c>
      <c r="X210">
        <f ca="1">INDEX(加速!$I$13:$I$21,W210+1)</f>
        <v>0</v>
      </c>
      <c r="Y210">
        <f ca="1" t="shared" si="70"/>
        <v>0.5</v>
      </c>
      <c r="Z210">
        <f ca="1" t="shared" si="66"/>
        <v>0</v>
      </c>
      <c r="AA210">
        <f ca="1">MAX(0,IFERROR(IF(COUNTIF(B210,"*叠*")&gt;0,IF(AC209&lt;3,8-A211+A210,AA209+6.875-A211+A210),AA209-A211+A210),AA209-加速!$L$11))</f>
        <v>0</v>
      </c>
      <c r="AB210" t="e">
        <f ca="1">MAX(0,IF(COUNTIF(IF(AND(配装计算器!$K$30&lt;&gt;"∞",0),INDEX(AU210:CB210,1,$AT$1),INDEX(AU210:CB210,1,$AT$1)),"*叠1*")=1,4*25-加速!$L$11,AB209-A210+A209)-IF(OR(COUNTIF(OFFSET(AT210,0,$AT$1,1,1),"*听雷*")&gt;0,AND(碧归&gt;0,COUNTIF(OFFSET(AT210,0,$AT$1,1,1),"*风来*")&gt;0)),0,1)*1.5)</f>
        <v>#VALUE!</v>
      </c>
      <c r="AC210">
        <f ca="1" t="shared" si="62"/>
        <v>0</v>
      </c>
      <c r="AD210">
        <f ca="1">IF(COUNTIF(IF(AND(配装计算器!$K$30&lt;&gt;"∞",0),INDEX(AU210:CB210,1,$AT$1),INDEX(AU211:CB211,1,$AT$1)),"*叠1*")=1,AB210*0+AE209,0)</f>
        <v>0</v>
      </c>
      <c r="AE210" t="e">
        <f ca="1">IF($AN$11&gt;0,IF(COUNTIF(B211,"*叠1*")&gt;0,50-加速!$L$11,MAX(0,AE209-(A211-A210))),0)</f>
        <v>#VALUE!</v>
      </c>
      <c r="AG210">
        <f ca="1" t="shared" si="63"/>
        <v>6</v>
      </c>
      <c r="AH210" t="s">
        <v>1825</v>
      </c>
      <c r="AI210" t="s">
        <v>2820</v>
      </c>
      <c r="AJ210">
        <f ca="1" t="shared" si="74"/>
        <v>0</v>
      </c>
      <c r="AK210" t="s">
        <v>3097</v>
      </c>
      <c r="AU210" t="s">
        <v>2776</v>
      </c>
      <c r="AV210">
        <v>2</v>
      </c>
      <c r="AW210" s="180" t="s">
        <v>2789</v>
      </c>
      <c r="AX210">
        <v>2</v>
      </c>
      <c r="AY210" t="s">
        <v>2768</v>
      </c>
      <c r="AZ210">
        <v>1</v>
      </c>
      <c r="BA210" t="s">
        <v>2768</v>
      </c>
      <c r="BB210">
        <v>0</v>
      </c>
      <c r="BC210" t="s">
        <v>2768</v>
      </c>
      <c r="BD210">
        <v>2</v>
      </c>
      <c r="BE210" s="176" t="s">
        <v>2776</v>
      </c>
      <c r="BF210">
        <v>2</v>
      </c>
      <c r="BG210" t="s">
        <v>2768</v>
      </c>
      <c r="BH210">
        <v>0</v>
      </c>
      <c r="BI210" s="176" t="s">
        <v>2776</v>
      </c>
      <c r="BJ210">
        <v>2</v>
      </c>
      <c r="BK210" s="176" t="s">
        <v>2768</v>
      </c>
      <c r="BL210">
        <v>0</v>
      </c>
      <c r="BM210" s="176" t="s">
        <v>2776</v>
      </c>
      <c r="BN210">
        <v>2</v>
      </c>
      <c r="BO210" t="s">
        <v>2776</v>
      </c>
      <c r="BP210">
        <v>2</v>
      </c>
      <c r="BQ210" t="s">
        <v>2776</v>
      </c>
      <c r="BR210">
        <v>1</v>
      </c>
      <c r="BS210" s="176" t="s">
        <v>2794</v>
      </c>
      <c r="BT210">
        <v>2</v>
      </c>
      <c r="BU210" t="s">
        <v>2768</v>
      </c>
      <c r="BV210">
        <v>1</v>
      </c>
      <c r="BW210" s="182" t="s">
        <v>2776</v>
      </c>
      <c r="BX210" s="179">
        <v>2</v>
      </c>
      <c r="BY210" s="176" t="s">
        <v>2794</v>
      </c>
      <c r="BZ210">
        <v>2</v>
      </c>
      <c r="CA210" s="176" t="s">
        <v>2768</v>
      </c>
      <c r="CB210">
        <v>2</v>
      </c>
    </row>
    <row r="211" spans="1:80">
      <c r="A211" s="178" t="str">
        <f ca="1">IFERROR(IF(AG210&lt;5+金蛇*2,IF(COUNTIF(B210,"*轻*")&gt;0,A210+加速!$L$9,A210+加速!$L$11)+V210,""),"")</f>
        <v/>
      </c>
      <c r="B211" s="167" t="str">
        <f ca="1" t="shared" si="58"/>
        <v/>
      </c>
      <c r="C211" t="str">
        <f ca="1" t="shared" si="67"/>
        <v/>
      </c>
      <c r="D211" t="str">
        <f ca="1">IF(B211&lt;&gt;"",IF(C210&lt;=加速!$L$11*(1-E211),0,1),"")</f>
        <v/>
      </c>
      <c r="E211">
        <f ca="1" t="shared" si="64"/>
        <v>1</v>
      </c>
      <c r="G211" t="str">
        <f ca="1" t="shared" si="65"/>
        <v/>
      </c>
      <c r="H211" t="str">
        <f ca="1">IF(B211&lt;&gt;"",IF(AND(COUNTIF(B210,"*轻*莺鸣柳*")&gt;0,COUNTIF(B211,"*轻*")&lt;1),MAX(0,15+I210-(A211-A210)+COUNTIF(B210,"*平湖*")*0),IF(AND(E211=0,MAX(0,H210-(A211-A210))&lt;=加速!$H$11),0,MAX(0,H210-(A211-A210)))),"")</f>
        <v/>
      </c>
      <c r="I211" t="str">
        <f ca="1" t="shared" si="71"/>
        <v/>
      </c>
      <c r="J211" t="str">
        <f ca="1" t="shared" si="72"/>
        <v/>
      </c>
      <c r="K211" t="str">
        <f ca="1" t="shared" si="59"/>
        <v/>
      </c>
      <c r="L211">
        <f ca="1">IFERROR(IF(AND(COUNTIF(B211,"*-峰插*"),技能数据库!$M$72&gt;0),0,IF(COUNTIF(B211,"*鹤归*")&gt;0,16-加速!$L$11,MAX(0,L210-(A211-A210)))),0)</f>
        <v>0</v>
      </c>
      <c r="M211">
        <f ca="1" t="shared" si="60"/>
        <v>0</v>
      </c>
      <c r="N211">
        <f ca="1">IFERROR(IF(AND(COUNTIF(B211,"*-峰插*"),技能数据库!$M$72&gt;0),0,IF(COUNTIF(B211,"*云飞*")&gt;0,4-COUNTIF(B211,"*玉山揽云*")*4--COUNTIF(B211,"*烟流暮景*")*4-COUNTIF(B211,"*云景*")*加速!$L$11-IF(J211&gt;0,2,0),MAX(0,N210-(A211-A210)-IF(J211&gt;0,2,0)))),0)</f>
        <v>0</v>
      </c>
      <c r="O211">
        <f ca="1">IF(AND(COUNTIF(IF(AND(配装计算器!$K$30&lt;&gt;"∞",0),INDEX(AU210:CB210,1,$AT$1),INDEX(AU212:CB212,1,$AT$1)),"*云飞*")=1,COUNTIF(IF(AND(配装计算器!$K$30&lt;&gt;"∞",0),INDEX(AU210:CB210,1,$AT$1),INDEX(AU212:CB212,1,$AT$1)),"*玉山*")=0),N211,0)</f>
        <v>0</v>
      </c>
      <c r="P211">
        <f ca="1">IFERROR(IF(COUNTIF(B211,"*云栖松*")&gt;0,50-加速!$L$11,MAX(0,P210-(A211-A210))),0)</f>
        <v>0</v>
      </c>
      <c r="Q211">
        <f ca="1">IF(COUNTIF(IF(AND(配装计算器!$K$30&lt;&gt;"∞",0),INDEX(AU210:CB210,1,$AT$1),INDEX(AU212:CB212,1,$AT$1)),"*云栖松*")=1,P211,0)</f>
        <v>0</v>
      </c>
      <c r="R211">
        <f ca="1">IFERROR(IF(COUNTIF(B211,"*莺鸣柳*")&gt;0,45-加速!$L$9,MAX(0,R210-(A211-A210))),0)</f>
        <v>0</v>
      </c>
      <c r="S211">
        <f ca="1">IF(COUNTIF(IF(AND(配装计算器!$K$30&lt;&gt;"∞",0),INDEX(AU210:CB210,1,$AT$1),INDEX(AU212:CB212,1,$AT$1)),"*莺鸣柳*")=1,R211,0)</f>
        <v>0</v>
      </c>
      <c r="T211">
        <f ca="1" t="shared" si="68"/>
        <v>0</v>
      </c>
      <c r="U211">
        <f ca="1">IF(金蛇,IF(COUNTIF(B211,"*金环戴*")+COUNTIF(B211,"*吹风醒*")&gt;0,IF(A211&lt;=3,7.125-2.625-A211-加速!$L$11,7.125+加速!$K$9-(A211+加速!$L$11-T211)),0),0)+IF(金蛇,IF(COUNTIF(B211,"*千切子裂光*")&gt;0,2+加速!$K$9-(A211+加速!$L$11-T211),0),0)</f>
        <v>0</v>
      </c>
      <c r="V211">
        <f ca="1" t="shared" si="69"/>
        <v>0</v>
      </c>
      <c r="W211">
        <f ca="1" t="shared" si="61"/>
        <v>0</v>
      </c>
      <c r="X211">
        <f ca="1">INDEX(加速!$I$13:$I$21,W211+1)</f>
        <v>0</v>
      </c>
      <c r="Y211">
        <f ca="1" t="shared" si="70"/>
        <v>0.5</v>
      </c>
      <c r="Z211">
        <f ca="1" t="shared" si="66"/>
        <v>0</v>
      </c>
      <c r="AA211">
        <f ca="1">MAX(0,IFERROR(IF(COUNTIF(B211,"*叠*")&gt;0,IF(AC210&lt;3,8-A212+A211,AA210+6.875-A212+A211),AA210-A212+A211),AA210-加速!$L$11))</f>
        <v>0</v>
      </c>
      <c r="AB211" t="e">
        <f ca="1">MAX(0,IF(COUNTIF(IF(AND(配装计算器!$K$30&lt;&gt;"∞",0),INDEX(AU211:CB211,1,$AT$1),INDEX(AU211:CB211,1,$AT$1)),"*叠1*")=1,4*25-加速!$L$11,AB210-A211+A210)-IF(OR(COUNTIF(OFFSET(AT211,0,$AT$1,1,1),"*听雷*")&gt;0,AND(碧归&gt;0,COUNTIF(OFFSET(AT211,0,$AT$1,1,1),"*风来*")&gt;0)),0,1)*1.5)</f>
        <v>#VALUE!</v>
      </c>
      <c r="AC211">
        <f ca="1" t="shared" si="62"/>
        <v>0</v>
      </c>
      <c r="AD211">
        <f ca="1">IF(COUNTIF(IF(AND(配装计算器!$K$30&lt;&gt;"∞",0),INDEX(AU211:CB211,1,$AT$1),INDEX(AU212:CB212,1,$AT$1)),"*叠1*")=1,AB211*0+AE210,0)</f>
        <v>0</v>
      </c>
      <c r="AE211" t="e">
        <f ca="1">IF($AN$11&gt;0,IF(COUNTIF(B212,"*叠1*")&gt;0,50-加速!$L$11,MAX(0,AE210-(A212-A211))),0)</f>
        <v>#VALUE!</v>
      </c>
      <c r="AG211">
        <f ca="1" t="shared" si="63"/>
        <v>6</v>
      </c>
      <c r="AH211" t="s">
        <v>1825</v>
      </c>
      <c r="AI211" t="s">
        <v>2820</v>
      </c>
      <c r="AJ211">
        <f ca="1" t="shared" si="74"/>
        <v>0</v>
      </c>
      <c r="AK211" t="s">
        <v>3099</v>
      </c>
      <c r="AU211" s="176" t="s">
        <v>2794</v>
      </c>
      <c r="AV211">
        <v>2</v>
      </c>
      <c r="AW211" s="176" t="s">
        <v>2794</v>
      </c>
      <c r="AX211">
        <v>2</v>
      </c>
      <c r="AY211" t="s">
        <v>2768</v>
      </c>
      <c r="AZ211">
        <v>0</v>
      </c>
      <c r="BA211" t="s">
        <v>2722</v>
      </c>
      <c r="BB211">
        <v>0</v>
      </c>
      <c r="BC211" t="s">
        <v>2776</v>
      </c>
      <c r="BD211">
        <v>1</v>
      </c>
      <c r="BE211" s="176" t="s">
        <v>3035</v>
      </c>
      <c r="BF211">
        <v>2</v>
      </c>
      <c r="BG211" t="s">
        <v>2768</v>
      </c>
      <c r="BH211">
        <v>0</v>
      </c>
      <c r="BI211" t="s">
        <v>2768</v>
      </c>
      <c r="BJ211">
        <v>2</v>
      </c>
      <c r="BK211" s="176" t="s">
        <v>3012</v>
      </c>
      <c r="BL211">
        <v>2</v>
      </c>
      <c r="BM211" s="176" t="s">
        <v>2768</v>
      </c>
      <c r="BN211">
        <v>2</v>
      </c>
      <c r="BO211" t="s">
        <v>2768</v>
      </c>
      <c r="BP211">
        <v>2</v>
      </c>
      <c r="BQ211" t="s">
        <v>2768</v>
      </c>
      <c r="BR211">
        <v>1</v>
      </c>
      <c r="BS211" t="s">
        <v>2768</v>
      </c>
      <c r="BT211">
        <v>2</v>
      </c>
      <c r="BU211" t="s">
        <v>2776</v>
      </c>
      <c r="BV211">
        <v>1</v>
      </c>
      <c r="BW211" s="182" t="s">
        <v>2768</v>
      </c>
      <c r="BX211" s="179">
        <v>2</v>
      </c>
      <c r="BY211" s="176" t="s">
        <v>2776</v>
      </c>
      <c r="BZ211">
        <v>2</v>
      </c>
      <c r="CA211" s="176" t="s">
        <v>2808</v>
      </c>
      <c r="CB211">
        <v>2</v>
      </c>
    </row>
    <row r="212" spans="1:80">
      <c r="A212" s="178" t="str">
        <f ca="1">IFERROR(IF(AG211&lt;5+金蛇*2,IF(COUNTIF(B211,"*轻*")&gt;0,A211+加速!$L$9,A211+加速!$L$11)+V211,""),"")</f>
        <v/>
      </c>
      <c r="B212" s="167" t="str">
        <f ca="1" t="shared" si="58"/>
        <v/>
      </c>
      <c r="C212" t="str">
        <f ca="1" t="shared" si="67"/>
        <v/>
      </c>
      <c r="D212" t="str">
        <f ca="1">IF(B212&lt;&gt;"",IF(C211&lt;=加速!$L$11*(1-E212),0,1),"")</f>
        <v/>
      </c>
      <c r="E212">
        <f ca="1" t="shared" si="64"/>
        <v>1</v>
      </c>
      <c r="G212" t="str">
        <f ca="1" t="shared" si="65"/>
        <v/>
      </c>
      <c r="H212" t="str">
        <f ca="1">IF(B212&lt;&gt;"",IF(AND(COUNTIF(B211,"*轻*莺鸣柳*")&gt;0,COUNTIF(B212,"*轻*")&lt;1),MAX(0,15+I211-(A212-A211)+COUNTIF(B211,"*平湖*")*0),IF(AND(E212=0,MAX(0,H211-(A212-A211))&lt;=加速!$H$11),0,MAX(0,H211-(A212-A211)))),"")</f>
        <v/>
      </c>
      <c r="I212" t="str">
        <f ca="1" t="shared" si="71"/>
        <v/>
      </c>
      <c r="J212" t="str">
        <f ca="1" t="shared" si="72"/>
        <v/>
      </c>
      <c r="K212" t="str">
        <f ca="1" t="shared" si="59"/>
        <v/>
      </c>
      <c r="L212">
        <f ca="1">IFERROR(IF(AND(COUNTIF(B212,"*-峰插*"),技能数据库!$M$72&gt;0),0,IF(COUNTIF(B212,"*鹤归*")&gt;0,16-加速!$L$11,MAX(0,L211-(A212-A211)))),0)</f>
        <v>0</v>
      </c>
      <c r="M212">
        <f ca="1" t="shared" si="60"/>
        <v>0</v>
      </c>
      <c r="N212">
        <f ca="1">IFERROR(IF(AND(COUNTIF(B212,"*-峰插*"),技能数据库!$M$72&gt;0),0,IF(COUNTIF(B212,"*云飞*")&gt;0,4-COUNTIF(B212,"*玉山揽云*")*4--COUNTIF(B212,"*烟流暮景*")*4-COUNTIF(B212,"*云景*")*加速!$L$11-IF(J212&gt;0,2,0),MAX(0,N211-(A212-A211)-IF(J212&gt;0,2,0)))),0)</f>
        <v>0</v>
      </c>
      <c r="O212">
        <f ca="1">IF(AND(COUNTIF(IF(AND(配装计算器!$K$30&lt;&gt;"∞",0),INDEX(AU211:CB211,1,$AT$1),INDEX(AU213:CB213,1,$AT$1)),"*云飞*")=1,COUNTIF(IF(AND(配装计算器!$K$30&lt;&gt;"∞",0),INDEX(AU211:CB211,1,$AT$1),INDEX(AU213:CB213,1,$AT$1)),"*玉山*")=0),N212,0)</f>
        <v>0</v>
      </c>
      <c r="P212">
        <f ca="1">IFERROR(IF(COUNTIF(B212,"*云栖松*")&gt;0,50-加速!$L$11,MAX(0,P211-(A212-A211))),0)</f>
        <v>0</v>
      </c>
      <c r="Q212">
        <f ca="1">IF(COUNTIF(IF(AND(配装计算器!$K$30&lt;&gt;"∞",0),INDEX(AU211:CB211,1,$AT$1),INDEX(AU213:CB213,1,$AT$1)),"*云栖松*")=1,P212,0)</f>
        <v>0</v>
      </c>
      <c r="R212">
        <f ca="1">IFERROR(IF(COUNTIF(B212,"*莺鸣柳*")&gt;0,45-加速!$L$9,MAX(0,R211-(A212-A211))),0)</f>
        <v>0</v>
      </c>
      <c r="S212">
        <f ca="1">IF(COUNTIF(IF(AND(配装计算器!$K$30&lt;&gt;"∞",0),INDEX(AU211:CB211,1,$AT$1),INDEX(AU213:CB213,1,$AT$1)),"*莺鸣柳*")=1,R212,0)</f>
        <v>0</v>
      </c>
      <c r="T212">
        <f ca="1" t="shared" si="68"/>
        <v>0</v>
      </c>
      <c r="U212">
        <f ca="1">IF(金蛇,IF(COUNTIF(B212,"*金环戴*")+COUNTIF(B212,"*吹风醒*")&gt;0,IF(A212&lt;=3,7.125-2.625-A212-加速!$L$11,7.125+加速!$K$9-(A212+加速!$L$11-T212)),0),0)+IF(金蛇,IF(COUNTIF(B212,"*千切子裂光*")&gt;0,2+加速!$K$9-(A212+加速!$L$11-T212),0),0)</f>
        <v>0</v>
      </c>
      <c r="V212">
        <f ca="1" t="shared" si="69"/>
        <v>0</v>
      </c>
      <c r="W212">
        <f ca="1" t="shared" si="61"/>
        <v>0</v>
      </c>
      <c r="X212">
        <f ca="1">INDEX(加速!$I$13:$I$21,W212+1)</f>
        <v>0</v>
      </c>
      <c r="Y212">
        <f ca="1" t="shared" si="70"/>
        <v>0.5</v>
      </c>
      <c r="Z212">
        <f ca="1" t="shared" si="66"/>
        <v>0</v>
      </c>
      <c r="AA212">
        <f ca="1">MAX(0,IFERROR(IF(COUNTIF(B212,"*叠*")&gt;0,IF(AC211&lt;3,8-A213+A212,AA211+6.875-A213+A212),AA211-A213+A212),AA211-加速!$L$11))</f>
        <v>0</v>
      </c>
      <c r="AB212" t="e">
        <f ca="1">MAX(0,IF(COUNTIF(IF(AND(配装计算器!$K$30&lt;&gt;"∞",0),INDEX(AU212:CB212,1,$AT$1),INDEX(AU212:CB212,1,$AT$1)),"*叠1*")=1,4*25-加速!$L$11,AB211-A212+A211)-IF(OR(COUNTIF(OFFSET(AT212,0,$AT$1,1,1),"*听雷*")&gt;0,AND(碧归&gt;0,COUNTIF(OFFSET(AT212,0,$AT$1,1,1),"*风来*")&gt;0)),0,1)*1.5)</f>
        <v>#VALUE!</v>
      </c>
      <c r="AC212">
        <f ca="1" t="shared" si="62"/>
        <v>0</v>
      </c>
      <c r="AD212">
        <f ca="1">IF(COUNTIF(IF(AND(配装计算器!$K$30&lt;&gt;"∞",0),INDEX(AU212:CB212,1,$AT$1),INDEX(AU213:CB213,1,$AT$1)),"*叠1*")=1,AB212*0+AE211,0)</f>
        <v>0</v>
      </c>
      <c r="AE212" t="e">
        <f ca="1">IF($AN$11&gt;0,IF(COUNTIF(B213,"*叠1*")&gt;0,50-加速!$L$11,MAX(0,AE211-(A213-A212))),0)</f>
        <v>#VALUE!</v>
      </c>
      <c r="AG212">
        <f ca="1" t="shared" si="63"/>
        <v>6</v>
      </c>
      <c r="AU212" s="176" t="s">
        <v>2768</v>
      </c>
      <c r="AV212">
        <v>2</v>
      </c>
      <c r="AW212" s="176" t="s">
        <v>2776</v>
      </c>
      <c r="AX212">
        <v>2</v>
      </c>
      <c r="AY212" t="s">
        <v>2722</v>
      </c>
      <c r="AZ212">
        <v>0</v>
      </c>
      <c r="BA212" t="s">
        <v>2776</v>
      </c>
      <c r="BB212">
        <v>2</v>
      </c>
      <c r="BC212" t="s">
        <v>2768</v>
      </c>
      <c r="BD212">
        <v>1</v>
      </c>
      <c r="BE212" t="s">
        <v>2768</v>
      </c>
      <c r="BF212">
        <v>2</v>
      </c>
      <c r="BG212" t="s">
        <v>2776</v>
      </c>
      <c r="BH212">
        <v>0</v>
      </c>
      <c r="BI212" t="s">
        <v>2768</v>
      </c>
      <c r="BJ212">
        <v>1</v>
      </c>
      <c r="BK212" s="176" t="s">
        <v>2794</v>
      </c>
      <c r="BL212">
        <v>2</v>
      </c>
      <c r="BM212" s="176" t="s">
        <v>2776</v>
      </c>
      <c r="BN212">
        <v>2</v>
      </c>
      <c r="BO212" t="s">
        <v>2768</v>
      </c>
      <c r="BP212">
        <v>2</v>
      </c>
      <c r="BQ212" t="s">
        <v>2776</v>
      </c>
      <c r="BR212">
        <v>1</v>
      </c>
      <c r="BS212" t="s">
        <v>2776</v>
      </c>
      <c r="BT212">
        <v>2</v>
      </c>
      <c r="BU212" t="s">
        <v>2768</v>
      </c>
      <c r="BV212">
        <v>0</v>
      </c>
      <c r="BW212" s="182" t="s">
        <v>2808</v>
      </c>
      <c r="BX212" s="179">
        <v>2</v>
      </c>
      <c r="BY212" s="176" t="s">
        <v>2768</v>
      </c>
      <c r="BZ212">
        <v>2</v>
      </c>
      <c r="CA212" s="180" t="s">
        <v>2789</v>
      </c>
      <c r="CB212">
        <v>2</v>
      </c>
    </row>
    <row r="213" spans="1:80">
      <c r="A213" s="178" t="str">
        <f ca="1">IFERROR(IF(AG212&lt;5+金蛇*2,IF(COUNTIF(B212,"*轻*")&gt;0,A212+加速!$L$9,A212+加速!$L$11)+V212,""),"")</f>
        <v/>
      </c>
      <c r="B213" s="167" t="str">
        <f ca="1" t="shared" si="58"/>
        <v/>
      </c>
      <c r="C213" t="str">
        <f ca="1" t="shared" si="67"/>
        <v/>
      </c>
      <c r="D213" t="str">
        <f ca="1">IF(B213&lt;&gt;"",IF(C212&lt;=加速!$L$11*(1-E213),0,1),"")</f>
        <v/>
      </c>
      <c r="E213">
        <f ca="1" t="shared" si="64"/>
        <v>1</v>
      </c>
      <c r="G213" t="str">
        <f ca="1" t="shared" si="65"/>
        <v/>
      </c>
      <c r="H213" t="str">
        <f ca="1">IF(B213&lt;&gt;"",IF(AND(COUNTIF(B212,"*轻*莺鸣柳*")&gt;0,COUNTIF(B213,"*轻*")&lt;1),MAX(0,15+I212-(A213-A212)+COUNTIF(B212,"*平湖*")*0),IF(AND(E213=0,MAX(0,H212-(A213-A212))&lt;=加速!$H$11),0,MAX(0,H212-(A213-A212)))),"")</f>
        <v/>
      </c>
      <c r="I213" t="str">
        <f ca="1" t="shared" si="71"/>
        <v/>
      </c>
      <c r="J213" t="str">
        <f ca="1" t="shared" si="72"/>
        <v/>
      </c>
      <c r="K213" t="str">
        <f ca="1" t="shared" si="59"/>
        <v/>
      </c>
      <c r="L213">
        <f ca="1">IFERROR(IF(AND(COUNTIF(B213,"*-峰插*"),技能数据库!$M$72&gt;0),0,IF(COUNTIF(B213,"*鹤归*")&gt;0,16-加速!$L$11,MAX(0,L212-(A213-A212)))),0)</f>
        <v>0</v>
      </c>
      <c r="M213">
        <f ca="1" t="shared" si="60"/>
        <v>0</v>
      </c>
      <c r="N213">
        <f ca="1">IFERROR(IF(AND(COUNTIF(B213,"*-峰插*"),技能数据库!$M$72&gt;0),0,IF(COUNTIF(B213,"*云飞*")&gt;0,4-COUNTIF(B213,"*玉山揽云*")*4--COUNTIF(B213,"*烟流暮景*")*4-COUNTIF(B213,"*云景*")*加速!$L$11-IF(J213&gt;0,2,0),MAX(0,N212-(A213-A212)-IF(J213&gt;0,2,0)))),0)</f>
        <v>0</v>
      </c>
      <c r="O213">
        <f ca="1">IF(AND(COUNTIF(IF(AND(配装计算器!$K$30&lt;&gt;"∞",0),INDEX(AU212:CB212,1,$AT$1),INDEX(AU214:CB214,1,$AT$1)),"*云飞*")=1,COUNTIF(IF(AND(配装计算器!$K$30&lt;&gt;"∞",0),INDEX(AU212:CB212,1,$AT$1),INDEX(AU214:CB214,1,$AT$1)),"*玉山*")=0),N213,0)</f>
        <v>0</v>
      </c>
      <c r="P213">
        <f ca="1">IFERROR(IF(COUNTIF(B213,"*云栖松*")&gt;0,50-加速!$L$11,MAX(0,P212-(A213-A212))),0)</f>
        <v>0</v>
      </c>
      <c r="Q213">
        <f ca="1">IF(COUNTIF(IF(AND(配装计算器!$K$30&lt;&gt;"∞",0),INDEX(AU212:CB212,1,$AT$1),INDEX(AU214:CB214,1,$AT$1)),"*云栖松*")=1,P213,0)</f>
        <v>0</v>
      </c>
      <c r="R213">
        <f ca="1">IFERROR(IF(COUNTIF(B213,"*莺鸣柳*")&gt;0,45-加速!$L$9,MAX(0,R212-(A213-A212))),0)</f>
        <v>0</v>
      </c>
      <c r="S213">
        <f ca="1">IF(COUNTIF(IF(AND(配装计算器!$K$30&lt;&gt;"∞",0),INDEX(AU212:CB212,1,$AT$1),INDEX(AU214:CB214,1,$AT$1)),"*莺鸣柳*")=1,R213,0)</f>
        <v>0</v>
      </c>
      <c r="T213">
        <f ca="1" t="shared" si="68"/>
        <v>0</v>
      </c>
      <c r="U213">
        <f ca="1">IF(金蛇,IF(COUNTIF(B213,"*金环戴*")+COUNTIF(B213,"*吹风醒*")&gt;0,IF(A213&lt;=3,7.125-2.625-A213-加速!$L$11,7.125+加速!$K$9-(A213+加速!$L$11-T213)),0),0)+IF(金蛇,IF(COUNTIF(B213,"*千切子裂光*")&gt;0,2+加速!$K$9-(A213+加速!$L$11-T213),0),0)</f>
        <v>0</v>
      </c>
      <c r="V213">
        <f ca="1" t="shared" si="69"/>
        <v>0</v>
      </c>
      <c r="W213">
        <f ca="1" t="shared" si="61"/>
        <v>0</v>
      </c>
      <c r="X213">
        <f ca="1">INDEX(加速!$I$13:$I$21,W213+1)</f>
        <v>0</v>
      </c>
      <c r="Y213">
        <f ca="1" t="shared" si="70"/>
        <v>0.5</v>
      </c>
      <c r="Z213">
        <f ca="1" t="shared" si="66"/>
        <v>0</v>
      </c>
      <c r="AA213">
        <f ca="1">MAX(0,IFERROR(IF(COUNTIF(B213,"*叠*")&gt;0,IF(AC212&lt;3,8-A214+A213,AA212+6.875-A214+A213),AA212-A214+A213),AA212-加速!$L$11))</f>
        <v>0</v>
      </c>
      <c r="AB213" t="e">
        <f ca="1">MAX(0,IF(COUNTIF(IF(AND(配装计算器!$K$30&lt;&gt;"∞",0),INDEX(AU213:CB213,1,$AT$1),INDEX(AU213:CB213,1,$AT$1)),"*叠1*")=1,4*25-加速!$L$11,AB212-A213+A212)-IF(OR(COUNTIF(OFFSET(AT213,0,$AT$1,1,1),"*听雷*")&gt;0,AND(碧归&gt;0,COUNTIF(OFFSET(AT213,0,$AT$1,1,1),"*风来*")&gt;0)),0,1)*1.5)</f>
        <v>#VALUE!</v>
      </c>
      <c r="AC213">
        <f ca="1" t="shared" si="62"/>
        <v>0</v>
      </c>
      <c r="AD213">
        <f ca="1">IF(COUNTIF(IF(AND(配装计算器!$K$30&lt;&gt;"∞",0),INDEX(AU213:CB213,1,$AT$1),INDEX(AU214:CB214,1,$AT$1)),"*叠1*")=1,AB213*0+AE212,0)</f>
        <v>0</v>
      </c>
      <c r="AE213" t="e">
        <f ca="1">IF($AN$11&gt;0,IF(COUNTIF(B214,"*叠1*")&gt;0,50-加速!$L$11,MAX(0,AE212-(A214-A213))),0)</f>
        <v>#VALUE!</v>
      </c>
      <c r="AG213">
        <f ca="1" t="shared" si="63"/>
        <v>6</v>
      </c>
      <c r="AU213" s="176" t="s">
        <v>2776</v>
      </c>
      <c r="AV213">
        <v>2</v>
      </c>
      <c r="AW213" s="176" t="s">
        <v>2768</v>
      </c>
      <c r="AX213">
        <v>2</v>
      </c>
      <c r="AY213" t="s">
        <v>2776</v>
      </c>
      <c r="AZ213">
        <v>2</v>
      </c>
      <c r="BA213" t="s">
        <v>2768</v>
      </c>
      <c r="BB213">
        <v>2</v>
      </c>
      <c r="BC213" t="s">
        <v>2794</v>
      </c>
      <c r="BD213">
        <v>2</v>
      </c>
      <c r="BE213" t="s">
        <v>2776</v>
      </c>
      <c r="BF213">
        <v>2</v>
      </c>
      <c r="BG213" t="s">
        <v>3067</v>
      </c>
      <c r="BH213">
        <v>0</v>
      </c>
      <c r="BI213" s="176" t="s">
        <v>2768</v>
      </c>
      <c r="BJ213">
        <v>1</v>
      </c>
      <c r="BK213" s="176" t="s">
        <v>3019</v>
      </c>
      <c r="BL213">
        <v>2</v>
      </c>
      <c r="BM213" s="176" t="s">
        <v>2768</v>
      </c>
      <c r="BN213">
        <v>2</v>
      </c>
      <c r="BO213" t="s">
        <v>2768</v>
      </c>
      <c r="BP213">
        <v>2</v>
      </c>
      <c r="BQ213" t="s">
        <v>2768</v>
      </c>
      <c r="BR213">
        <v>0</v>
      </c>
      <c r="BS213" t="s">
        <v>2768</v>
      </c>
      <c r="BT213">
        <v>2</v>
      </c>
      <c r="BU213" t="s">
        <v>2768</v>
      </c>
      <c r="BV213">
        <v>0</v>
      </c>
      <c r="BW213" s="179" t="s">
        <v>2768</v>
      </c>
      <c r="BX213" s="179">
        <v>2</v>
      </c>
      <c r="BY213" s="176" t="s">
        <v>2776</v>
      </c>
      <c r="BZ213">
        <v>2</v>
      </c>
      <c r="CA213" t="s">
        <v>2776</v>
      </c>
      <c r="CB213">
        <v>2</v>
      </c>
    </row>
    <row r="214" spans="1:80">
      <c r="A214" s="178" t="str">
        <f ca="1">IFERROR(IF(AG213&lt;5+金蛇*2,IF(COUNTIF(B213,"*轻*")&gt;0,A213+加速!$L$9,A213+加速!$L$11)+V213,""),"")</f>
        <v/>
      </c>
      <c r="B214" s="167" t="str">
        <f ca="1" t="shared" si="58"/>
        <v/>
      </c>
      <c r="C214" t="str">
        <f ca="1" t="shared" si="67"/>
        <v/>
      </c>
      <c r="D214" t="str">
        <f ca="1">IF(B214&lt;&gt;"",IF(C213&lt;=加速!$L$11*(1-E214),0,1),"")</f>
        <v/>
      </c>
      <c r="E214">
        <f ca="1" t="shared" si="64"/>
        <v>1</v>
      </c>
      <c r="G214" t="str">
        <f ca="1" t="shared" si="65"/>
        <v/>
      </c>
      <c r="H214" t="str">
        <f ca="1">IF(B214&lt;&gt;"",IF(AND(COUNTIF(B213,"*轻*莺鸣柳*")&gt;0,COUNTIF(B214,"*轻*")&lt;1),MAX(0,15+I213-(A214-A213)+COUNTIF(B213,"*平湖*")*0),IF(AND(E214=0,MAX(0,H213-(A214-A213))&lt;=加速!$H$11),0,MAX(0,H213-(A214-A213)))),"")</f>
        <v/>
      </c>
      <c r="I214" t="str">
        <f ca="1" t="shared" si="71"/>
        <v/>
      </c>
      <c r="J214" t="str">
        <f ca="1" t="shared" si="72"/>
        <v/>
      </c>
      <c r="K214" t="str">
        <f ca="1" t="shared" si="59"/>
        <v/>
      </c>
      <c r="L214">
        <f ca="1">IFERROR(IF(AND(COUNTIF(B214,"*-峰插*"),技能数据库!$M$72&gt;0),0,IF(COUNTIF(B214,"*鹤归*")&gt;0,16-加速!$L$11,MAX(0,L213-(A214-A213)))),0)</f>
        <v>0</v>
      </c>
      <c r="M214">
        <f ca="1" t="shared" si="60"/>
        <v>0</v>
      </c>
      <c r="N214">
        <f ca="1">IFERROR(IF(AND(COUNTIF(B214,"*-峰插*"),技能数据库!$M$72&gt;0),0,IF(COUNTIF(B214,"*云飞*")&gt;0,4-COUNTIF(B214,"*玉山揽云*")*4--COUNTIF(B214,"*烟流暮景*")*4-COUNTIF(B214,"*云景*")*加速!$L$11-IF(J214&gt;0,2,0),MAX(0,N213-(A214-A213)-IF(J214&gt;0,2,0)))),0)</f>
        <v>0</v>
      </c>
      <c r="O214">
        <f ca="1">IF(AND(COUNTIF(IF(AND(配装计算器!$K$30&lt;&gt;"∞",0),INDEX(AU213:CB213,1,$AT$1),INDEX(AU215:CB215,1,$AT$1)),"*云飞*")=1,COUNTIF(IF(AND(配装计算器!$K$30&lt;&gt;"∞",0),INDEX(AU213:CB213,1,$AT$1),INDEX(AU215:CB215,1,$AT$1)),"*玉山*")=0),N214,0)</f>
        <v>0</v>
      </c>
      <c r="P214">
        <f ca="1">IFERROR(IF(COUNTIF(B214,"*云栖松*")&gt;0,50-加速!$L$11,MAX(0,P213-(A214-A213))),0)</f>
        <v>0</v>
      </c>
      <c r="Q214">
        <f ca="1">IF(COUNTIF(IF(AND(配装计算器!$K$30&lt;&gt;"∞",0),INDEX(AU213:CB213,1,$AT$1),INDEX(AU215:CB215,1,$AT$1)),"*云栖松*")=1,P214,0)</f>
        <v>0</v>
      </c>
      <c r="R214">
        <f ca="1">IFERROR(IF(COUNTIF(B214,"*莺鸣柳*")&gt;0,45-加速!$L$9,MAX(0,R213-(A214-A213))),0)</f>
        <v>0</v>
      </c>
      <c r="S214">
        <f ca="1">IF(COUNTIF(IF(AND(配装计算器!$K$30&lt;&gt;"∞",0),INDEX(AU213:CB213,1,$AT$1),INDEX(AU215:CB215,1,$AT$1)),"*莺鸣柳*")=1,R214,0)</f>
        <v>0</v>
      </c>
      <c r="T214">
        <f ca="1" t="shared" si="68"/>
        <v>0</v>
      </c>
      <c r="U214">
        <f ca="1">IF(金蛇,IF(COUNTIF(B214,"*金环戴*")+COUNTIF(B214,"*吹风醒*")&gt;0,IF(A214&lt;=3,7.125-2.625-A214-加速!$L$11,7.125+加速!$K$9-(A214+加速!$L$11-T214)),0),0)+IF(金蛇,IF(COUNTIF(B214,"*千切子裂光*")&gt;0,2+加速!$K$9-(A214+加速!$L$11-T214),0),0)</f>
        <v>0</v>
      </c>
      <c r="V214">
        <f ca="1" t="shared" si="69"/>
        <v>0</v>
      </c>
      <c r="W214">
        <f ca="1" t="shared" si="61"/>
        <v>0</v>
      </c>
      <c r="X214">
        <f ca="1">INDEX(加速!$I$13:$I$21,W214+1)</f>
        <v>0</v>
      </c>
      <c r="Y214">
        <f ca="1" t="shared" si="70"/>
        <v>0.5</v>
      </c>
      <c r="Z214">
        <f ca="1" t="shared" si="66"/>
        <v>0</v>
      </c>
      <c r="AA214">
        <f ca="1">MAX(0,IFERROR(IF(COUNTIF(B214,"*叠*")&gt;0,IF(AC213&lt;3,8-A215+A214,AA213+6.875-A215+A214),AA213-A215+A214),AA213-加速!$L$11))</f>
        <v>0</v>
      </c>
      <c r="AB214" t="e">
        <f ca="1">MAX(0,IF(COUNTIF(IF(AND(配装计算器!$K$30&lt;&gt;"∞",0),INDEX(AU214:CB214,1,$AT$1),INDEX(AU214:CB214,1,$AT$1)),"*叠1*")=1,4*25-加速!$L$11,AB213-A214+A213)-IF(OR(COUNTIF(OFFSET(AT214,0,$AT$1,1,1),"*听雷*")&gt;0,AND(碧归&gt;0,COUNTIF(OFFSET(AT214,0,$AT$1,1,1),"*风来*")&gt;0)),0,1)*1.5)</f>
        <v>#VALUE!</v>
      </c>
      <c r="AC214">
        <f ca="1" t="shared" si="62"/>
        <v>0</v>
      </c>
      <c r="AD214">
        <f ca="1">IF(COUNTIF(IF(AND(配装计算器!$K$30&lt;&gt;"∞",0),INDEX(AU214:CB214,1,$AT$1),INDEX(AU215:CB215,1,$AT$1)),"*叠1*")=1,AB214*0+AE213,0)</f>
        <v>0</v>
      </c>
      <c r="AE214" t="e">
        <f ca="1">IF($AN$11&gt;0,IF(COUNTIF(B215,"*叠1*")&gt;0,50-加速!$L$11,MAX(0,AE213-(A215-A214))),0)</f>
        <v>#VALUE!</v>
      </c>
      <c r="AG214">
        <f ca="1" t="shared" si="63"/>
        <v>6</v>
      </c>
      <c r="AU214" s="176" t="s">
        <v>2768</v>
      </c>
      <c r="AV214">
        <v>2</v>
      </c>
      <c r="AW214" s="176" t="s">
        <v>2776</v>
      </c>
      <c r="AX214">
        <v>2</v>
      </c>
      <c r="AY214" t="s">
        <v>2768</v>
      </c>
      <c r="AZ214">
        <v>2</v>
      </c>
      <c r="BA214" t="s">
        <v>2768</v>
      </c>
      <c r="BB214">
        <v>2</v>
      </c>
      <c r="BC214" t="s">
        <v>2768</v>
      </c>
      <c r="BD214">
        <v>2</v>
      </c>
      <c r="BE214" t="s">
        <v>2768</v>
      </c>
      <c r="BF214">
        <v>2</v>
      </c>
      <c r="BG214" t="s">
        <v>2768</v>
      </c>
      <c r="BH214">
        <v>2</v>
      </c>
      <c r="BI214" s="176" t="s">
        <v>2776</v>
      </c>
      <c r="BJ214">
        <v>0</v>
      </c>
      <c r="BK214" t="s">
        <v>2768</v>
      </c>
      <c r="BL214">
        <v>2</v>
      </c>
      <c r="BM214" s="176" t="s">
        <v>2808</v>
      </c>
      <c r="BN214">
        <v>2</v>
      </c>
      <c r="BO214" t="s">
        <v>2776</v>
      </c>
      <c r="BP214">
        <v>2</v>
      </c>
      <c r="BQ214" t="s">
        <v>2768</v>
      </c>
      <c r="BR214">
        <v>0</v>
      </c>
      <c r="BS214" t="s">
        <v>2776</v>
      </c>
      <c r="BT214">
        <v>1</v>
      </c>
      <c r="BU214" t="s">
        <v>2776</v>
      </c>
      <c r="BV214">
        <v>0</v>
      </c>
      <c r="BW214" s="179" t="s">
        <v>2776</v>
      </c>
      <c r="BX214" s="179">
        <v>2</v>
      </c>
      <c r="BY214" s="176" t="s">
        <v>2768</v>
      </c>
      <c r="BZ214">
        <v>2</v>
      </c>
      <c r="CA214" t="s">
        <v>2768</v>
      </c>
      <c r="CB214">
        <v>2</v>
      </c>
    </row>
    <row r="215" spans="1:80">
      <c r="A215" s="178" t="str">
        <f ca="1">IFERROR(IF(AG214&lt;5+金蛇*2,IF(COUNTIF(B214,"*轻*")&gt;0,A214+加速!$L$9,A214+加速!$L$11)+V214,""),"")</f>
        <v/>
      </c>
      <c r="B215" s="167" t="str">
        <f ca="1" t="shared" si="58"/>
        <v/>
      </c>
      <c r="C215" t="str">
        <f ca="1" t="shared" si="67"/>
        <v/>
      </c>
      <c r="D215" t="str">
        <f ca="1">IF(B215&lt;&gt;"",IF(C214&lt;=加速!$L$11*(1-E215),0,1),"")</f>
        <v/>
      </c>
      <c r="E215">
        <f ca="1" t="shared" si="64"/>
        <v>1</v>
      </c>
      <c r="G215" t="str">
        <f ca="1" t="shared" si="65"/>
        <v/>
      </c>
      <c r="H215" t="str">
        <f ca="1">IF(B215&lt;&gt;"",IF(AND(COUNTIF(B214,"*轻*莺鸣柳*")&gt;0,COUNTIF(B215,"*轻*")&lt;1),MAX(0,15+I214-(A215-A214)+COUNTIF(B214,"*平湖*")*0),IF(AND(E215=0,MAX(0,H214-(A215-A214))&lt;=加速!$H$11),0,MAX(0,H214-(A215-A214)))),"")</f>
        <v/>
      </c>
      <c r="I215" t="str">
        <f ca="1" t="shared" si="71"/>
        <v/>
      </c>
      <c r="J215" t="str">
        <f ca="1" t="shared" si="72"/>
        <v/>
      </c>
      <c r="K215" t="str">
        <f ca="1" t="shared" si="59"/>
        <v/>
      </c>
      <c r="L215">
        <f ca="1">IFERROR(IF(AND(COUNTIF(B215,"*-峰插*"),技能数据库!$M$72&gt;0),0,IF(COUNTIF(B215,"*鹤归*")&gt;0,16-加速!$L$11,MAX(0,L214-(A215-A214)))),0)</f>
        <v>0</v>
      </c>
      <c r="M215">
        <f ca="1" t="shared" si="60"/>
        <v>0</v>
      </c>
      <c r="N215">
        <f ca="1">IFERROR(IF(AND(COUNTIF(B215,"*-峰插*"),技能数据库!$M$72&gt;0),0,IF(COUNTIF(B215,"*云飞*")&gt;0,4-COUNTIF(B215,"*玉山揽云*")*4--COUNTIF(B215,"*烟流暮景*")*4-COUNTIF(B215,"*云景*")*加速!$L$11-IF(J215&gt;0,2,0),MAX(0,N214-(A215-A214)-IF(J215&gt;0,2,0)))),0)</f>
        <v>0</v>
      </c>
      <c r="O215">
        <f ca="1">IF(AND(COUNTIF(IF(AND(配装计算器!$K$30&lt;&gt;"∞",0),INDEX(AU214:CB214,1,$AT$1),INDEX(AU216:CB216,1,$AT$1)),"*云飞*")=1,COUNTIF(IF(AND(配装计算器!$K$30&lt;&gt;"∞",0),INDEX(AU214:CB214,1,$AT$1),INDEX(AU216:CB216,1,$AT$1)),"*玉山*")=0),N215,0)</f>
        <v>0</v>
      </c>
      <c r="P215">
        <f ca="1">IFERROR(IF(COUNTIF(B215,"*云栖松*")&gt;0,50-加速!$L$11,MAX(0,P214-(A215-A214))),0)</f>
        <v>0</v>
      </c>
      <c r="Q215">
        <f ca="1">IF(COUNTIF(IF(AND(配装计算器!$K$30&lt;&gt;"∞",0),INDEX(AU214:CB214,1,$AT$1),INDEX(AU216:CB216,1,$AT$1)),"*云栖松*")=1,P215,0)</f>
        <v>0</v>
      </c>
      <c r="R215">
        <f ca="1">IFERROR(IF(COUNTIF(B215,"*莺鸣柳*")&gt;0,45-加速!$L$9,MAX(0,R214-(A215-A214))),0)</f>
        <v>0</v>
      </c>
      <c r="S215">
        <f ca="1">IF(COUNTIF(IF(AND(配装计算器!$K$30&lt;&gt;"∞",0),INDEX(AU214:CB214,1,$AT$1),INDEX(AU216:CB216,1,$AT$1)),"*莺鸣柳*")=1,R215,0)</f>
        <v>0</v>
      </c>
      <c r="T215">
        <f ca="1" t="shared" si="68"/>
        <v>0</v>
      </c>
      <c r="U215">
        <f ca="1">IF(金蛇,IF(COUNTIF(B215,"*金环戴*")+COUNTIF(B215,"*吹风醒*")&gt;0,IF(A215&lt;=3,7.125-2.625-A215-加速!$L$11,7.125+加速!$K$9-(A215+加速!$L$11-T215)),0),0)+IF(金蛇,IF(COUNTIF(B215,"*千切子裂光*")&gt;0,2+加速!$K$9-(A215+加速!$L$11-T215),0),0)</f>
        <v>0</v>
      </c>
      <c r="V215">
        <f ca="1" t="shared" si="69"/>
        <v>0</v>
      </c>
      <c r="W215">
        <f ca="1" t="shared" si="61"/>
        <v>0</v>
      </c>
      <c r="X215">
        <f ca="1">INDEX(加速!$I$13:$I$21,W215+1)</f>
        <v>0</v>
      </c>
      <c r="Y215">
        <f ca="1" t="shared" si="70"/>
        <v>0.5</v>
      </c>
      <c r="Z215">
        <f ca="1" t="shared" si="66"/>
        <v>0</v>
      </c>
      <c r="AA215">
        <f ca="1">MAX(0,IFERROR(IF(COUNTIF(B215,"*叠*")&gt;0,IF(AC214&lt;3,8-A216+A215,AA214+6.875-A216+A215),AA214-A216+A215),AA214-加速!$L$11))</f>
        <v>0</v>
      </c>
      <c r="AB215" t="e">
        <f ca="1">MAX(0,IF(COUNTIF(IF(AND(配装计算器!$K$30&lt;&gt;"∞",0),INDEX(AU215:CB215,1,$AT$1),INDEX(AU215:CB215,1,$AT$1)),"*叠1*")=1,4*25-加速!$L$11,AB214-A215+A214)-IF(OR(COUNTIF(OFFSET(AT215,0,$AT$1,1,1),"*听雷*")&gt;0,AND(碧归&gt;0,COUNTIF(OFFSET(AT215,0,$AT$1,1,1),"*风来*")&gt;0)),0,1)*1.5)</f>
        <v>#VALUE!</v>
      </c>
      <c r="AC215">
        <f ca="1" t="shared" si="62"/>
        <v>0</v>
      </c>
      <c r="AD215">
        <f ca="1">IF(COUNTIF(IF(AND(配装计算器!$K$30&lt;&gt;"∞",0),INDEX(AU215:CB215,1,$AT$1),INDEX(AU216:CB216,1,$AT$1)),"*叠1*")=1,AB215*0+AE214,0)</f>
        <v>0</v>
      </c>
      <c r="AE215" t="e">
        <f ca="1">IF($AN$11&gt;0,IF(COUNTIF(B216,"*叠1*")&gt;0,50-加速!$L$11,MAX(0,AE214-(A216-A215))),0)</f>
        <v>#VALUE!</v>
      </c>
      <c r="AG215">
        <f ca="1" t="shared" si="63"/>
        <v>6</v>
      </c>
      <c r="AU215" s="176" t="s">
        <v>2776</v>
      </c>
      <c r="AV215">
        <v>2</v>
      </c>
      <c r="AW215" s="176" t="s">
        <v>2768</v>
      </c>
      <c r="AX215">
        <v>2</v>
      </c>
      <c r="AY215" t="s">
        <v>2768</v>
      </c>
      <c r="AZ215">
        <v>2</v>
      </c>
      <c r="BA215" t="s">
        <v>2768</v>
      </c>
      <c r="BB215">
        <v>1</v>
      </c>
      <c r="BC215" t="s">
        <v>2776</v>
      </c>
      <c r="BD215">
        <v>2</v>
      </c>
      <c r="BE215" t="s">
        <v>2776</v>
      </c>
      <c r="BF215">
        <v>2</v>
      </c>
      <c r="BG215" t="s">
        <v>2768</v>
      </c>
      <c r="BH215">
        <v>2</v>
      </c>
      <c r="BI215" t="s">
        <v>2794</v>
      </c>
      <c r="BJ215">
        <v>0</v>
      </c>
      <c r="BK215" t="s">
        <v>3023</v>
      </c>
      <c r="BL215">
        <v>2</v>
      </c>
      <c r="BM215" t="s">
        <v>2768</v>
      </c>
      <c r="BN215">
        <v>2</v>
      </c>
      <c r="BO215" s="176" t="s">
        <v>2794</v>
      </c>
      <c r="BP215">
        <v>2</v>
      </c>
      <c r="BQ215" t="s">
        <v>3067</v>
      </c>
      <c r="BR215">
        <v>0</v>
      </c>
      <c r="BS215" t="s">
        <v>2768</v>
      </c>
      <c r="BT215">
        <v>1</v>
      </c>
      <c r="BU215" t="s">
        <v>3067</v>
      </c>
      <c r="BV215">
        <v>0</v>
      </c>
      <c r="BW215" s="179" t="s">
        <v>2768</v>
      </c>
      <c r="BX215" s="179">
        <v>2</v>
      </c>
      <c r="BY215" s="176" t="s">
        <v>2808</v>
      </c>
      <c r="BZ215">
        <v>2</v>
      </c>
      <c r="CA215" t="s">
        <v>2768</v>
      </c>
      <c r="CB215">
        <v>2</v>
      </c>
    </row>
    <row r="216" spans="1:80">
      <c r="A216" s="178" t="str">
        <f ca="1">IFERROR(IF(AG215&lt;5+金蛇*2,IF(COUNTIF(B215,"*轻*")&gt;0,A215+加速!$L$9,A215+加速!$L$11)+V215,""),"")</f>
        <v/>
      </c>
      <c r="B216" s="167" t="str">
        <f ca="1" t="shared" si="58"/>
        <v/>
      </c>
      <c r="C216" t="str">
        <f ca="1" t="shared" si="67"/>
        <v/>
      </c>
      <c r="D216" t="str">
        <f ca="1">IF(B216&lt;&gt;"",IF(C215&lt;=加速!$L$11*(1-E216),0,1),"")</f>
        <v/>
      </c>
      <c r="E216">
        <f ca="1" t="shared" si="64"/>
        <v>1</v>
      </c>
      <c r="G216" t="str">
        <f ca="1" t="shared" si="65"/>
        <v/>
      </c>
      <c r="H216" t="str">
        <f ca="1">IF(B216&lt;&gt;"",IF(AND(COUNTIF(B215,"*轻*莺鸣柳*")&gt;0,COUNTIF(B216,"*轻*")&lt;1),MAX(0,15+I215-(A216-A215)+COUNTIF(B215,"*平湖*")*0),IF(AND(E216=0,MAX(0,H215-(A216-A215))&lt;=加速!$H$11),0,MAX(0,H215-(A216-A215)))),"")</f>
        <v/>
      </c>
      <c r="I216" t="str">
        <f ca="1" t="shared" si="71"/>
        <v/>
      </c>
      <c r="J216" t="str">
        <f ca="1" t="shared" si="72"/>
        <v/>
      </c>
      <c r="K216" t="str">
        <f ca="1" t="shared" si="59"/>
        <v/>
      </c>
      <c r="L216">
        <f ca="1">IFERROR(IF(AND(COUNTIF(B216,"*-峰插*"),技能数据库!$M$72&gt;0),0,IF(COUNTIF(B216,"*鹤归*")&gt;0,16-加速!$L$11,MAX(0,L215-(A216-A215)))),0)</f>
        <v>0</v>
      </c>
      <c r="M216">
        <f ca="1" t="shared" si="60"/>
        <v>0</v>
      </c>
      <c r="N216">
        <f ca="1">IFERROR(IF(AND(COUNTIF(B216,"*-峰插*"),技能数据库!$M$72&gt;0),0,IF(COUNTIF(B216,"*云飞*")&gt;0,4-COUNTIF(B216,"*玉山揽云*")*4--COUNTIF(B216,"*烟流暮景*")*4-COUNTIF(B216,"*云景*")*加速!$L$11-IF(J216&gt;0,2,0),MAX(0,N215-(A216-A215)-IF(J216&gt;0,2,0)))),0)</f>
        <v>0</v>
      </c>
      <c r="O216">
        <f ca="1">IF(AND(COUNTIF(IF(AND(配装计算器!$K$30&lt;&gt;"∞",0),INDEX(AU215:CB215,1,$AT$1),INDEX(AU217:CB217,1,$AT$1)),"*云飞*")=1,COUNTIF(IF(AND(配装计算器!$K$30&lt;&gt;"∞",0),INDEX(AU215:CB215,1,$AT$1),INDEX(AU217:CB217,1,$AT$1)),"*玉山*")=0),N216,0)</f>
        <v>0</v>
      </c>
      <c r="P216">
        <f ca="1">IFERROR(IF(COUNTIF(B216,"*云栖松*")&gt;0,50-加速!$L$11,MAX(0,P215-(A216-A215))),0)</f>
        <v>0</v>
      </c>
      <c r="Q216">
        <f ca="1">IF(COUNTIF(IF(AND(配装计算器!$K$30&lt;&gt;"∞",0),INDEX(AU215:CB215,1,$AT$1),INDEX(AU217:CB217,1,$AT$1)),"*云栖松*")=1,P216,0)</f>
        <v>0</v>
      </c>
      <c r="R216">
        <f ca="1">IFERROR(IF(COUNTIF(B216,"*莺鸣柳*")&gt;0,45-加速!$L$9,MAX(0,R215-(A216-A215))),0)</f>
        <v>0</v>
      </c>
      <c r="S216">
        <f ca="1">IF(COUNTIF(IF(AND(配装计算器!$K$30&lt;&gt;"∞",0),INDEX(AU215:CB215,1,$AT$1),INDEX(AU217:CB217,1,$AT$1)),"*莺鸣柳*")=1,R216,0)</f>
        <v>0</v>
      </c>
      <c r="T216">
        <f ca="1" t="shared" si="68"/>
        <v>0</v>
      </c>
      <c r="U216">
        <f ca="1">IF(金蛇,IF(COUNTIF(B216,"*金环戴*")+COUNTIF(B216,"*吹风醒*")&gt;0,IF(A216&lt;=3,7.125-2.625-A216-加速!$L$11,7.125+加速!$K$9-(A216+加速!$L$11-T216)),0),0)+IF(金蛇,IF(COUNTIF(B216,"*千切子裂光*")&gt;0,2+加速!$K$9-(A216+加速!$L$11-T216),0),0)</f>
        <v>0</v>
      </c>
      <c r="V216">
        <f ca="1" t="shared" si="69"/>
        <v>0</v>
      </c>
      <c r="W216">
        <f ca="1" t="shared" si="61"/>
        <v>0</v>
      </c>
      <c r="X216">
        <f ca="1">INDEX(加速!$I$13:$I$21,W216+1)</f>
        <v>0</v>
      </c>
      <c r="Y216">
        <f ca="1" t="shared" si="70"/>
        <v>0.5</v>
      </c>
      <c r="Z216">
        <f ca="1" t="shared" si="66"/>
        <v>0</v>
      </c>
      <c r="AA216">
        <f ca="1">MAX(0,IFERROR(IF(COUNTIF(B216,"*叠*")&gt;0,IF(AC215&lt;3,8-A217+A216,AA215+6.875-A217+A216),AA215-A217+A216),AA215-加速!$L$11))</f>
        <v>0</v>
      </c>
      <c r="AB216" t="e">
        <f ca="1">MAX(0,IF(COUNTIF(IF(AND(配装计算器!$K$30&lt;&gt;"∞",0),INDEX(AU216:CB216,1,$AT$1),INDEX(AU216:CB216,1,$AT$1)),"*叠1*")=1,4*25-加速!$L$11,AB215-A216+A215)-IF(OR(COUNTIF(OFFSET(AT216,0,$AT$1,1,1),"*听雷*")&gt;0,AND(碧归&gt;0,COUNTIF(OFFSET(AT216,0,$AT$1,1,1),"*风来*")&gt;0)),0,1)*1.5)</f>
        <v>#VALUE!</v>
      </c>
      <c r="AC216">
        <f ca="1" t="shared" si="62"/>
        <v>0</v>
      </c>
      <c r="AD216">
        <f ca="1">IF(COUNTIF(IF(AND(配装计算器!$K$30&lt;&gt;"∞",0),INDEX(AU216:CB216,1,$AT$1),INDEX(AU217:CB217,1,$AT$1)),"*叠1*")=1,AB216*0+AE215,0)</f>
        <v>0</v>
      </c>
      <c r="AE216" t="e">
        <f ca="1">IF($AN$11&gt;0,IF(COUNTIF(B217,"*叠1*")&gt;0,50-加速!$L$11,MAX(0,AE215-(A217-A216))),0)</f>
        <v>#VALUE!</v>
      </c>
      <c r="AG216">
        <f ca="1" t="shared" si="63"/>
        <v>6</v>
      </c>
      <c r="AU216" s="176" t="s">
        <v>2768</v>
      </c>
      <c r="AV216">
        <v>1</v>
      </c>
      <c r="AW216" s="176" t="s">
        <v>2808</v>
      </c>
      <c r="AX216">
        <v>2</v>
      </c>
      <c r="AY216" t="s">
        <v>2768</v>
      </c>
      <c r="AZ216">
        <v>1</v>
      </c>
      <c r="BA216" t="s">
        <v>2776</v>
      </c>
      <c r="BB216">
        <v>1</v>
      </c>
      <c r="BC216" t="s">
        <v>2768</v>
      </c>
      <c r="BD216">
        <v>2</v>
      </c>
      <c r="BE216" t="s">
        <v>3042</v>
      </c>
      <c r="BF216">
        <v>2</v>
      </c>
      <c r="BG216" s="176" t="s">
        <v>2794</v>
      </c>
      <c r="BH216">
        <v>1</v>
      </c>
      <c r="BI216" t="s">
        <v>2768</v>
      </c>
      <c r="BJ216">
        <v>2</v>
      </c>
      <c r="BK216" t="s">
        <v>2768</v>
      </c>
      <c r="BL216">
        <v>2</v>
      </c>
      <c r="BM216" t="s">
        <v>2776</v>
      </c>
      <c r="BN216">
        <v>2</v>
      </c>
      <c r="BO216" s="176" t="s">
        <v>2768</v>
      </c>
      <c r="BP216">
        <v>2</v>
      </c>
      <c r="BQ216" t="s">
        <v>2776</v>
      </c>
      <c r="BR216">
        <v>2</v>
      </c>
      <c r="BS216" t="s">
        <v>3056</v>
      </c>
      <c r="BT216">
        <v>0</v>
      </c>
      <c r="BU216" t="s">
        <v>2768</v>
      </c>
      <c r="BV216">
        <v>2</v>
      </c>
      <c r="BW216" s="179" t="s">
        <v>2768</v>
      </c>
      <c r="BX216" s="179">
        <v>2</v>
      </c>
      <c r="BY216" t="s">
        <v>2768</v>
      </c>
      <c r="BZ216">
        <v>2</v>
      </c>
      <c r="CA216" t="s">
        <v>2768</v>
      </c>
      <c r="CB216">
        <v>2</v>
      </c>
    </row>
    <row r="217" spans="1:80">
      <c r="A217" s="178" t="str">
        <f ca="1">IFERROR(IF(AG216&lt;5+金蛇*2,IF(COUNTIF(B216,"*轻*")&gt;0,A216+加速!$L$9,A216+加速!$L$11)+V216,""),"")</f>
        <v/>
      </c>
      <c r="B217" s="167" t="str">
        <f ca="1" t="shared" si="58"/>
        <v/>
      </c>
      <c r="C217" t="str">
        <f ca="1" t="shared" si="67"/>
        <v/>
      </c>
      <c r="D217" t="str">
        <f ca="1">IF(B217&lt;&gt;"",IF(C216&lt;=加速!$L$11*(1-E217),0,1),"")</f>
        <v/>
      </c>
      <c r="E217">
        <f ca="1" t="shared" si="64"/>
        <v>1</v>
      </c>
      <c r="G217" t="str">
        <f ca="1" t="shared" si="65"/>
        <v/>
      </c>
      <c r="H217" t="str">
        <f ca="1">IF(B217&lt;&gt;"",IF(AND(COUNTIF(B216,"*轻*莺鸣柳*")&gt;0,COUNTIF(B217,"*轻*")&lt;1),MAX(0,15+I216-(A217-A216)+COUNTIF(B216,"*平湖*")*0),IF(AND(E217=0,MAX(0,H216-(A217-A216))&lt;=加速!$H$11),0,MAX(0,H216-(A217-A216)))),"")</f>
        <v/>
      </c>
      <c r="I217" t="str">
        <f ca="1" t="shared" si="71"/>
        <v/>
      </c>
      <c r="J217" t="str">
        <f ca="1" t="shared" si="72"/>
        <v/>
      </c>
      <c r="K217" t="str">
        <f ca="1" t="shared" si="59"/>
        <v/>
      </c>
      <c r="L217">
        <f ca="1">IFERROR(IF(AND(COUNTIF(B217,"*-峰插*"),技能数据库!$M$72&gt;0),0,IF(COUNTIF(B217,"*鹤归*")&gt;0,16-加速!$L$11,MAX(0,L216-(A217-A216)))),0)</f>
        <v>0</v>
      </c>
      <c r="M217">
        <f ca="1" t="shared" si="60"/>
        <v>0</v>
      </c>
      <c r="N217">
        <f ca="1">IFERROR(IF(AND(COUNTIF(B217,"*-峰插*"),技能数据库!$M$72&gt;0),0,IF(COUNTIF(B217,"*云飞*")&gt;0,4-COUNTIF(B217,"*玉山揽云*")*4--COUNTIF(B217,"*烟流暮景*")*4-COUNTIF(B217,"*云景*")*加速!$L$11-IF(J217&gt;0,2,0),MAX(0,N216-(A217-A216)-IF(J217&gt;0,2,0)))),0)</f>
        <v>0</v>
      </c>
      <c r="O217">
        <f ca="1">IF(AND(COUNTIF(IF(AND(配装计算器!$K$30&lt;&gt;"∞",0),INDEX(AU216:CB216,1,$AT$1),INDEX(AU218:CB218,1,$AT$1)),"*云飞*")=1,COUNTIF(IF(AND(配装计算器!$K$30&lt;&gt;"∞",0),INDEX(AU216:CB216,1,$AT$1),INDEX(AU218:CB218,1,$AT$1)),"*玉山*")=0),N217,0)</f>
        <v>0</v>
      </c>
      <c r="P217">
        <f ca="1">IFERROR(IF(COUNTIF(B217,"*云栖松*")&gt;0,50-加速!$L$11,MAX(0,P216-(A217-A216))),0)</f>
        <v>0</v>
      </c>
      <c r="Q217">
        <f ca="1">IF(COUNTIF(IF(AND(配装计算器!$K$30&lt;&gt;"∞",0),INDEX(AU216:CB216,1,$AT$1),INDEX(AU218:CB218,1,$AT$1)),"*云栖松*")=1,P217,0)</f>
        <v>0</v>
      </c>
      <c r="R217">
        <f ca="1">IFERROR(IF(COUNTIF(B217,"*莺鸣柳*")&gt;0,45-加速!$L$9,MAX(0,R216-(A217-A216))),0)</f>
        <v>0</v>
      </c>
      <c r="S217">
        <f ca="1">IF(COUNTIF(IF(AND(配装计算器!$K$30&lt;&gt;"∞",0),INDEX(AU216:CB216,1,$AT$1),INDEX(AU218:CB218,1,$AT$1)),"*莺鸣柳*")=1,R217,0)</f>
        <v>0</v>
      </c>
      <c r="T217">
        <f ca="1" t="shared" si="68"/>
        <v>0</v>
      </c>
      <c r="U217">
        <f ca="1">IF(金蛇,IF(COUNTIF(B217,"*金环戴*")+COUNTIF(B217,"*吹风醒*")&gt;0,IF(A217&lt;=3,7.125-2.625-A217-加速!$L$11,7.125+加速!$K$9-(A217+加速!$L$11-T217)),0),0)+IF(金蛇,IF(COUNTIF(B217,"*千切子裂光*")&gt;0,2+加速!$K$9-(A217+加速!$L$11-T217),0),0)</f>
        <v>0</v>
      </c>
      <c r="V217">
        <f ca="1" t="shared" si="69"/>
        <v>0</v>
      </c>
      <c r="W217">
        <f ca="1" t="shared" si="61"/>
        <v>0</v>
      </c>
      <c r="X217">
        <f ca="1">INDEX(加速!$I$13:$I$21,W217+1)</f>
        <v>0</v>
      </c>
      <c r="Y217">
        <f ca="1" t="shared" si="70"/>
        <v>0.5</v>
      </c>
      <c r="Z217">
        <f ca="1" t="shared" si="66"/>
        <v>0</v>
      </c>
      <c r="AA217">
        <f ca="1">MAX(0,IFERROR(IF(COUNTIF(B217,"*叠*")&gt;0,IF(AC216&lt;3,8-A218+A217,AA216+6.875-A218+A217),AA216-A218+A217),AA216-加速!$L$11))</f>
        <v>0</v>
      </c>
      <c r="AB217" t="e">
        <f ca="1">MAX(0,IF(COUNTIF(IF(AND(配装计算器!$K$30&lt;&gt;"∞",0),INDEX(AU217:CB217,1,$AT$1),INDEX(AU217:CB217,1,$AT$1)),"*叠1*")=1,4*25-加速!$L$11,AB216-A217+A216)-IF(OR(COUNTIF(OFFSET(AT217,0,$AT$1,1,1),"*听雷*")&gt;0,AND(碧归&gt;0,COUNTIF(OFFSET(AT217,0,$AT$1,1,1),"*风来*")&gt;0)),0,1)*1.5)</f>
        <v>#VALUE!</v>
      </c>
      <c r="AC217">
        <f ca="1" t="shared" si="62"/>
        <v>0</v>
      </c>
      <c r="AD217">
        <f ca="1">IF(COUNTIF(IF(AND(配装计算器!$K$30&lt;&gt;"∞",0),INDEX(AU217:CB217,1,$AT$1),INDEX(AU218:CB218,1,$AT$1)),"*叠1*")=1,AB217*0+AE216,0)</f>
        <v>0</v>
      </c>
      <c r="AE217" t="e">
        <f ca="1">IF($AN$11&gt;0,IF(COUNTIF(B218,"*叠1*")&gt;0,50-加速!$L$11,MAX(0,AE216-(A218-A217))),0)</f>
        <v>#VALUE!</v>
      </c>
      <c r="AG217">
        <f ca="1" t="shared" si="63"/>
        <v>6</v>
      </c>
      <c r="AU217" t="s">
        <v>2776</v>
      </c>
      <c r="AV217">
        <v>1</v>
      </c>
      <c r="AW217" t="s">
        <v>2768</v>
      </c>
      <c r="AX217">
        <v>2</v>
      </c>
      <c r="AY217" t="s">
        <v>2776</v>
      </c>
      <c r="AZ217">
        <v>1</v>
      </c>
      <c r="BA217" t="s">
        <v>2768</v>
      </c>
      <c r="BB217">
        <v>1</v>
      </c>
      <c r="BC217" t="s">
        <v>2776</v>
      </c>
      <c r="BD217">
        <v>2</v>
      </c>
      <c r="BE217" t="s">
        <v>2808</v>
      </c>
      <c r="BF217">
        <v>2</v>
      </c>
      <c r="BG217" t="s">
        <v>2776</v>
      </c>
      <c r="BH217">
        <v>1</v>
      </c>
      <c r="BI217" t="s">
        <v>2776</v>
      </c>
      <c r="BJ217">
        <v>2</v>
      </c>
      <c r="BK217" t="s">
        <v>2808</v>
      </c>
      <c r="BL217">
        <v>2</v>
      </c>
      <c r="BM217" t="s">
        <v>2768</v>
      </c>
      <c r="BN217">
        <v>2</v>
      </c>
      <c r="BO217" s="176" t="s">
        <v>2776</v>
      </c>
      <c r="BP217">
        <v>2</v>
      </c>
      <c r="BQ217" t="s">
        <v>2768</v>
      </c>
      <c r="BR217">
        <v>2</v>
      </c>
      <c r="BS217" t="s">
        <v>2768</v>
      </c>
      <c r="BT217">
        <v>2</v>
      </c>
      <c r="BU217" t="s">
        <v>2768</v>
      </c>
      <c r="BV217">
        <v>2</v>
      </c>
      <c r="BW217" s="179" t="s">
        <v>2768</v>
      </c>
      <c r="BX217" s="179">
        <v>2</v>
      </c>
      <c r="BY217" t="s">
        <v>2776</v>
      </c>
      <c r="BZ217">
        <v>2</v>
      </c>
      <c r="CA217" t="s">
        <v>2776</v>
      </c>
      <c r="CB217">
        <v>2</v>
      </c>
    </row>
    <row r="218" spans="1:80">
      <c r="A218" s="178" t="str">
        <f ca="1">IFERROR(IF(AG217&lt;5+金蛇*2,IF(COUNTIF(B217,"*轻*")&gt;0,A217+加速!$L$9,A217+加速!$L$11)+V217,""),"")</f>
        <v/>
      </c>
      <c r="B218" s="167" t="str">
        <f ca="1" t="shared" si="58"/>
        <v/>
      </c>
      <c r="C218" t="str">
        <f ca="1" t="shared" si="67"/>
        <v/>
      </c>
      <c r="D218" t="str">
        <f ca="1">IF(B218&lt;&gt;"",IF(C217&lt;=加速!$L$11*(1-E218),0,1),"")</f>
        <v/>
      </c>
      <c r="E218">
        <f ca="1" t="shared" si="64"/>
        <v>1</v>
      </c>
      <c r="G218" t="str">
        <f ca="1" t="shared" si="65"/>
        <v/>
      </c>
      <c r="H218" t="str">
        <f ca="1">IF(B218&lt;&gt;"",IF(AND(COUNTIF(B217,"*轻*莺鸣柳*")&gt;0,COUNTIF(B218,"*轻*")&lt;1),MAX(0,15+I217-(A218-A217)+COUNTIF(B217,"*平湖*")*0),IF(AND(E218=0,MAX(0,H217-(A218-A217))&lt;=加速!$H$11),0,MAX(0,H217-(A218-A217)))),"")</f>
        <v/>
      </c>
      <c r="I218" t="str">
        <f ca="1" t="shared" si="71"/>
        <v/>
      </c>
      <c r="J218" t="str">
        <f ca="1" t="shared" si="72"/>
        <v/>
      </c>
      <c r="K218" t="str">
        <f ca="1" t="shared" si="59"/>
        <v/>
      </c>
      <c r="L218">
        <f ca="1">IFERROR(IF(AND(COUNTIF(B218,"*-峰插*"),技能数据库!$M$72&gt;0),0,IF(COUNTIF(B218,"*鹤归*")&gt;0,16-加速!$L$11,MAX(0,L217-(A218-A217)))),0)</f>
        <v>0</v>
      </c>
      <c r="M218">
        <f ca="1" t="shared" si="60"/>
        <v>0</v>
      </c>
      <c r="N218">
        <f ca="1">IFERROR(IF(AND(COUNTIF(B218,"*-峰插*"),技能数据库!$M$72&gt;0),0,IF(COUNTIF(B218,"*云飞*")&gt;0,4-COUNTIF(B218,"*玉山揽云*")*4--COUNTIF(B218,"*烟流暮景*")*4-COUNTIF(B218,"*云景*")*加速!$L$11-IF(J218&gt;0,2,0),MAX(0,N217-(A218-A217)-IF(J218&gt;0,2,0)))),0)</f>
        <v>0</v>
      </c>
      <c r="O218">
        <f ca="1">IF(AND(COUNTIF(IF(AND(配装计算器!$K$30&lt;&gt;"∞",0),INDEX(AU217:CB217,1,$AT$1),INDEX(AU219:CB219,1,$AT$1)),"*云飞*")=1,COUNTIF(IF(AND(配装计算器!$K$30&lt;&gt;"∞",0),INDEX(AU217:CB217,1,$AT$1),INDEX(AU219:CB219,1,$AT$1)),"*玉山*")=0),N218,0)</f>
        <v>0</v>
      </c>
      <c r="P218">
        <f ca="1">IFERROR(IF(COUNTIF(B218,"*云栖松*")&gt;0,50-加速!$L$11,MAX(0,P217-(A218-A217))),0)</f>
        <v>0</v>
      </c>
      <c r="Q218">
        <f ca="1">IF(COUNTIF(IF(AND(配装计算器!$K$30&lt;&gt;"∞",0),INDEX(AU217:CB217,1,$AT$1),INDEX(AU219:CB219,1,$AT$1)),"*云栖松*")=1,P218,0)</f>
        <v>0</v>
      </c>
      <c r="R218">
        <f ca="1">IFERROR(IF(COUNTIF(B218,"*莺鸣柳*")&gt;0,45-加速!$L$9,MAX(0,R217-(A218-A217))),0)</f>
        <v>0</v>
      </c>
      <c r="S218">
        <f ca="1">IF(COUNTIF(IF(AND(配装计算器!$K$30&lt;&gt;"∞",0),INDEX(AU217:CB217,1,$AT$1),INDEX(AU219:CB219,1,$AT$1)),"*莺鸣柳*")=1,R218,0)</f>
        <v>0</v>
      </c>
      <c r="T218">
        <f ca="1" t="shared" si="68"/>
        <v>0</v>
      </c>
      <c r="U218">
        <f ca="1">IF(金蛇,IF(COUNTIF(B218,"*金环戴*")+COUNTIF(B218,"*吹风醒*")&gt;0,IF(A218&lt;=3,7.125-2.625-A218-加速!$L$11,7.125+加速!$K$9-(A218+加速!$L$11-T218)),0),0)+IF(金蛇,IF(COUNTIF(B218,"*千切子裂光*")&gt;0,2+加速!$K$9-(A218+加速!$L$11-T218),0),0)</f>
        <v>0</v>
      </c>
      <c r="V218">
        <f ca="1" t="shared" si="69"/>
        <v>0</v>
      </c>
      <c r="W218">
        <f ca="1" t="shared" si="61"/>
        <v>0</v>
      </c>
      <c r="X218">
        <f ca="1">INDEX(加速!$I$13:$I$21,W218+1)</f>
        <v>0</v>
      </c>
      <c r="Y218">
        <f ca="1" t="shared" si="70"/>
        <v>0.5</v>
      </c>
      <c r="Z218">
        <f ca="1" t="shared" si="66"/>
        <v>0</v>
      </c>
      <c r="AA218">
        <f ca="1">MAX(0,IFERROR(IF(COUNTIF(B218,"*叠*")&gt;0,IF(AC217&lt;3,8-A219+A218,AA217+6.875-A219+A218),AA217-A219+A218),AA217-加速!$L$11))</f>
        <v>0</v>
      </c>
      <c r="AB218" t="e">
        <f ca="1">MAX(0,IF(COUNTIF(IF(AND(配装计算器!$K$30&lt;&gt;"∞",0),INDEX(AU218:CB218,1,$AT$1),INDEX(AU218:CB218,1,$AT$1)),"*叠1*")=1,4*25-加速!$L$11,AB217-A218+A217)-IF(OR(COUNTIF(OFFSET(AT218,0,$AT$1,1,1),"*听雷*")&gt;0,AND(碧归&gt;0,COUNTIF(OFFSET(AT218,0,$AT$1,1,1),"*风来*")&gt;0)),0,1)*1.5)</f>
        <v>#VALUE!</v>
      </c>
      <c r="AC218">
        <f ca="1" t="shared" si="62"/>
        <v>0</v>
      </c>
      <c r="AD218">
        <f ca="1">IF(COUNTIF(IF(AND(配装计算器!$K$30&lt;&gt;"∞",0),INDEX(AU218:CB218,1,$AT$1),INDEX(AU219:CB219,1,$AT$1)),"*叠1*")=1,AB218*0+AE217,0)</f>
        <v>0</v>
      </c>
      <c r="AE218" t="e">
        <f ca="1">IF($AN$11&gt;0,IF(COUNTIF(B219,"*叠1*")&gt;0,50-加速!$L$11,MAX(0,AE217-(A219-A218))),0)</f>
        <v>#VALUE!</v>
      </c>
      <c r="AG218">
        <f ca="1" t="shared" si="63"/>
        <v>6</v>
      </c>
      <c r="AU218" t="s">
        <v>2768</v>
      </c>
      <c r="AV218">
        <v>1</v>
      </c>
      <c r="AW218" t="s">
        <v>2776</v>
      </c>
      <c r="AX218">
        <v>2</v>
      </c>
      <c r="AY218" t="s">
        <v>2768</v>
      </c>
      <c r="AZ218">
        <v>1</v>
      </c>
      <c r="BA218" t="s">
        <v>2768</v>
      </c>
      <c r="BB218">
        <v>0</v>
      </c>
      <c r="BC218" t="s">
        <v>2768</v>
      </c>
      <c r="BD218">
        <v>2</v>
      </c>
      <c r="BE218" t="s">
        <v>2768</v>
      </c>
      <c r="BF218">
        <v>2</v>
      </c>
      <c r="BG218" t="s">
        <v>2768</v>
      </c>
      <c r="BH218">
        <v>1</v>
      </c>
      <c r="BI218" t="s">
        <v>2768</v>
      </c>
      <c r="BJ218">
        <v>2</v>
      </c>
      <c r="BK218" t="s">
        <v>2768</v>
      </c>
      <c r="BL218">
        <v>2</v>
      </c>
      <c r="BM218" t="s">
        <v>2768</v>
      </c>
      <c r="BN218">
        <v>2</v>
      </c>
      <c r="BO218" s="176" t="s">
        <v>2768</v>
      </c>
      <c r="BP218">
        <v>2</v>
      </c>
      <c r="BQ218" t="s">
        <v>2768</v>
      </c>
      <c r="BR218">
        <v>2</v>
      </c>
      <c r="BS218" t="s">
        <v>2768</v>
      </c>
      <c r="BT218">
        <v>2</v>
      </c>
      <c r="BU218" s="176" t="s">
        <v>2794</v>
      </c>
      <c r="BV218">
        <v>1</v>
      </c>
      <c r="BW218" s="179" t="s">
        <v>2776</v>
      </c>
      <c r="BX218" s="179">
        <v>2</v>
      </c>
      <c r="BY218" t="s">
        <v>2768</v>
      </c>
      <c r="BZ218">
        <v>2</v>
      </c>
      <c r="CA218" s="176" t="s">
        <v>2794</v>
      </c>
      <c r="CB218">
        <v>2</v>
      </c>
    </row>
    <row r="219" spans="1:80">
      <c r="A219" s="178" t="str">
        <f ca="1">IFERROR(IF(AG218&lt;5+金蛇*2,IF(COUNTIF(B218,"*轻*")&gt;0,A218+加速!$L$9,A218+加速!$L$11)+V218,""),"")</f>
        <v/>
      </c>
      <c r="B219" s="167" t="str">
        <f ca="1" t="shared" si="58"/>
        <v/>
      </c>
      <c r="C219" t="str">
        <f ca="1" t="shared" si="67"/>
        <v/>
      </c>
      <c r="D219" t="str">
        <f ca="1">IF(B219&lt;&gt;"",IF(C218&lt;=加速!$L$11*(1-E219),0,1),"")</f>
        <v/>
      </c>
      <c r="E219">
        <f ca="1" t="shared" si="64"/>
        <v>1</v>
      </c>
      <c r="G219" t="str">
        <f ca="1" t="shared" si="65"/>
        <v/>
      </c>
      <c r="H219" t="str">
        <f ca="1">IF(B219&lt;&gt;"",IF(AND(COUNTIF(B218,"*轻*莺鸣柳*")&gt;0,COUNTIF(B219,"*轻*")&lt;1),MAX(0,15+I218-(A219-A218)+COUNTIF(B218,"*平湖*")*0),IF(AND(E219=0,MAX(0,H218-(A219-A218))&lt;=加速!$H$11),0,MAX(0,H218-(A219-A218)))),"")</f>
        <v/>
      </c>
      <c r="I219" t="str">
        <f ca="1" t="shared" si="71"/>
        <v/>
      </c>
      <c r="J219" t="str">
        <f ca="1" t="shared" si="72"/>
        <v/>
      </c>
      <c r="K219" t="str">
        <f ca="1" t="shared" si="59"/>
        <v/>
      </c>
      <c r="L219">
        <f ca="1">IFERROR(IF(AND(COUNTIF(B219,"*-峰插*"),技能数据库!$M$72&gt;0),0,IF(COUNTIF(B219,"*鹤归*")&gt;0,16-加速!$L$11,MAX(0,L218-(A219-A218)))),0)</f>
        <v>0</v>
      </c>
      <c r="M219">
        <f ca="1" t="shared" si="60"/>
        <v>0</v>
      </c>
      <c r="N219">
        <f ca="1">IFERROR(IF(AND(COUNTIF(B219,"*-峰插*"),技能数据库!$M$72&gt;0),0,IF(COUNTIF(B219,"*云飞*")&gt;0,4-COUNTIF(B219,"*玉山揽云*")*4--COUNTIF(B219,"*烟流暮景*")*4-COUNTIF(B219,"*云景*")*加速!$L$11-IF(J219&gt;0,2,0),MAX(0,N218-(A219-A218)-IF(J219&gt;0,2,0)))),0)</f>
        <v>0</v>
      </c>
      <c r="O219">
        <f ca="1">IF(AND(COUNTIF(IF(AND(配装计算器!$K$30&lt;&gt;"∞",0),INDEX(AU218:CB218,1,$AT$1),INDEX(AU220:CB220,1,$AT$1)),"*云飞*")=1,COUNTIF(IF(AND(配装计算器!$K$30&lt;&gt;"∞",0),INDEX(AU218:CB218,1,$AT$1),INDEX(AU220:CB220,1,$AT$1)),"*玉山*")=0),N219,0)</f>
        <v>0</v>
      </c>
      <c r="P219">
        <f ca="1">IFERROR(IF(COUNTIF(B219,"*云栖松*")&gt;0,50-加速!$L$11,MAX(0,P218-(A219-A218))),0)</f>
        <v>0</v>
      </c>
      <c r="Q219">
        <f ca="1">IF(COUNTIF(IF(AND(配装计算器!$K$30&lt;&gt;"∞",0),INDEX(AU218:CB218,1,$AT$1),INDEX(AU220:CB220,1,$AT$1)),"*云栖松*")=1,P219,0)</f>
        <v>0</v>
      </c>
      <c r="R219">
        <f ca="1">IFERROR(IF(COUNTIF(B219,"*莺鸣柳*")&gt;0,45-加速!$L$9,MAX(0,R218-(A219-A218))),0)</f>
        <v>0</v>
      </c>
      <c r="S219">
        <f ca="1">IF(COUNTIF(IF(AND(配装计算器!$K$30&lt;&gt;"∞",0),INDEX(AU218:CB218,1,$AT$1),INDEX(AU220:CB220,1,$AT$1)),"*莺鸣柳*")=1,R219,0)</f>
        <v>0</v>
      </c>
      <c r="T219">
        <f ca="1" t="shared" si="68"/>
        <v>0</v>
      </c>
      <c r="U219">
        <f ca="1">IF(金蛇,IF(COUNTIF(B219,"*金环戴*")+COUNTIF(B219,"*吹风醒*")&gt;0,IF(A219&lt;=3,7.125-2.625-A219-加速!$L$11,7.125+加速!$K$9-(A219+加速!$L$11-T219)),0),0)+IF(金蛇,IF(COUNTIF(B219,"*千切子裂光*")&gt;0,2+加速!$K$9-(A219+加速!$L$11-T219),0),0)</f>
        <v>0</v>
      </c>
      <c r="V219">
        <f ca="1" t="shared" si="69"/>
        <v>0</v>
      </c>
      <c r="W219">
        <f ca="1" t="shared" si="61"/>
        <v>0</v>
      </c>
      <c r="X219">
        <f ca="1">INDEX(加速!$I$13:$I$21,W219+1)</f>
        <v>0</v>
      </c>
      <c r="Y219">
        <f ca="1" t="shared" si="70"/>
        <v>0.5</v>
      </c>
      <c r="Z219">
        <f ca="1" t="shared" si="66"/>
        <v>0</v>
      </c>
      <c r="AA219">
        <f ca="1">MAX(0,IFERROR(IF(COUNTIF(B219,"*叠*")&gt;0,IF(AC218&lt;3,8-A220+A219,AA218+6.875-A220+A219),AA218-A220+A219),AA218-加速!$L$11))</f>
        <v>0</v>
      </c>
      <c r="AB219" t="e">
        <f ca="1">MAX(0,IF(COUNTIF(IF(AND(配装计算器!$K$30&lt;&gt;"∞",0),INDEX(AU219:CB219,1,$AT$1),INDEX(AU219:CB219,1,$AT$1)),"*叠1*")=1,4*25-加速!$L$11,AB218-A219+A218)-IF(OR(COUNTIF(OFFSET(AT219,0,$AT$1,1,1),"*听雷*")&gt;0,AND(碧归&gt;0,COUNTIF(OFFSET(AT219,0,$AT$1,1,1),"*风来*")&gt;0)),0,1)*1.5)</f>
        <v>#VALUE!</v>
      </c>
      <c r="AC219">
        <f ca="1" t="shared" si="62"/>
        <v>0</v>
      </c>
      <c r="AD219">
        <f ca="1">IF(COUNTIF(IF(AND(配装计算器!$K$30&lt;&gt;"∞",0),INDEX(AU219:CB219,1,$AT$1),INDEX(AU220:CB220,1,$AT$1)),"*叠1*")=1,AB219*0+AE218,0)</f>
        <v>0</v>
      </c>
      <c r="AE219" t="e">
        <f ca="1">IF($AN$11&gt;0,IF(COUNTIF(B220,"*叠1*")&gt;0,50-加速!$L$11,MAX(0,AE218-(A220-A219))),0)</f>
        <v>#VALUE!</v>
      </c>
      <c r="AG219">
        <f ca="1" t="shared" si="63"/>
        <v>6</v>
      </c>
      <c r="AU219" t="s">
        <v>2768</v>
      </c>
      <c r="AV219">
        <v>1</v>
      </c>
      <c r="AW219" t="s">
        <v>2768</v>
      </c>
      <c r="AX219">
        <v>2</v>
      </c>
      <c r="AY219" t="s">
        <v>2768</v>
      </c>
      <c r="AZ219">
        <v>0</v>
      </c>
      <c r="BA219" t="s">
        <v>3010</v>
      </c>
      <c r="BB219">
        <v>2</v>
      </c>
      <c r="BC219" t="s">
        <v>2776</v>
      </c>
      <c r="BD219">
        <v>2</v>
      </c>
      <c r="BE219" t="s">
        <v>2768</v>
      </c>
      <c r="BF219">
        <v>2</v>
      </c>
      <c r="BG219" t="s">
        <v>3011</v>
      </c>
      <c r="BH219">
        <v>2</v>
      </c>
      <c r="BI219" t="s">
        <v>2776</v>
      </c>
      <c r="BJ219">
        <v>1</v>
      </c>
      <c r="BK219" t="s">
        <v>2776</v>
      </c>
      <c r="BL219">
        <v>2</v>
      </c>
      <c r="BM219" t="s">
        <v>2768</v>
      </c>
      <c r="BN219">
        <v>2</v>
      </c>
      <c r="BO219" s="176" t="s">
        <v>2776</v>
      </c>
      <c r="BP219">
        <v>2</v>
      </c>
      <c r="BQ219" t="s">
        <v>2768</v>
      </c>
      <c r="BR219">
        <v>1</v>
      </c>
      <c r="BS219" t="s">
        <v>2776</v>
      </c>
      <c r="BT219">
        <v>2</v>
      </c>
      <c r="BU219" t="s">
        <v>2776</v>
      </c>
      <c r="BV219">
        <v>1</v>
      </c>
      <c r="BW219" s="182" t="s">
        <v>2794</v>
      </c>
      <c r="BX219" s="179">
        <v>2</v>
      </c>
      <c r="BY219" t="s">
        <v>2768</v>
      </c>
      <c r="BZ219">
        <v>2</v>
      </c>
      <c r="CA219" s="176" t="s">
        <v>2768</v>
      </c>
      <c r="CB219">
        <v>2</v>
      </c>
    </row>
    <row r="220" spans="1:80">
      <c r="A220" s="178" t="str">
        <f ca="1">IFERROR(IF(AG219&lt;5+金蛇*2,IF(COUNTIF(B219,"*轻*")&gt;0,A219+加速!$L$9,A219+加速!$L$11)+V219,""),"")</f>
        <v/>
      </c>
      <c r="B220" s="167" t="str">
        <f ca="1" t="shared" si="58"/>
        <v/>
      </c>
      <c r="C220" t="str">
        <f ca="1" t="shared" si="67"/>
        <v/>
      </c>
      <c r="D220" t="str">
        <f ca="1">IF(B220&lt;&gt;"",IF(C219&lt;=加速!$L$11*(1-E220),0,1),"")</f>
        <v/>
      </c>
      <c r="E220">
        <f ca="1" t="shared" si="64"/>
        <v>1</v>
      </c>
      <c r="G220" t="str">
        <f ca="1" t="shared" si="65"/>
        <v/>
      </c>
      <c r="H220" t="str">
        <f ca="1">IF(B220&lt;&gt;"",IF(AND(COUNTIF(B219,"*轻*莺鸣柳*")&gt;0,COUNTIF(B220,"*轻*")&lt;1),MAX(0,15+I219-(A220-A219)+COUNTIF(B219,"*平湖*")*0),IF(AND(E220=0,MAX(0,H219-(A220-A219))&lt;=加速!$H$11),0,MAX(0,H219-(A220-A219)))),"")</f>
        <v/>
      </c>
      <c r="I220" t="str">
        <f ca="1" t="shared" si="71"/>
        <v/>
      </c>
      <c r="J220" t="str">
        <f ca="1" t="shared" si="72"/>
        <v/>
      </c>
      <c r="K220" t="str">
        <f ca="1" t="shared" si="59"/>
        <v/>
      </c>
      <c r="L220">
        <f ca="1">IFERROR(IF(AND(COUNTIF(B220,"*-峰插*"),技能数据库!$M$72&gt;0),0,IF(COUNTIF(B220,"*鹤归*")&gt;0,16-加速!$L$11,MAX(0,L219-(A220-A219)))),0)</f>
        <v>0</v>
      </c>
      <c r="M220">
        <f ca="1" t="shared" si="60"/>
        <v>0</v>
      </c>
      <c r="N220">
        <f ca="1">IFERROR(IF(AND(COUNTIF(B220,"*-峰插*"),技能数据库!$M$72&gt;0),0,IF(COUNTIF(B220,"*云飞*")&gt;0,4-COUNTIF(B220,"*玉山揽云*")*4--COUNTIF(B220,"*烟流暮景*")*4-COUNTIF(B220,"*云景*")*加速!$L$11-IF(J220&gt;0,2,0),MAX(0,N219-(A220-A219)-IF(J220&gt;0,2,0)))),0)</f>
        <v>0</v>
      </c>
      <c r="O220">
        <f ca="1">IF(AND(COUNTIF(IF(AND(配装计算器!$K$30&lt;&gt;"∞",0),INDEX(AU219:CB219,1,$AT$1),INDEX(AU221:CB221,1,$AT$1)),"*云飞*")=1,COUNTIF(IF(AND(配装计算器!$K$30&lt;&gt;"∞",0),INDEX(AU219:CB219,1,$AT$1),INDEX(AU221:CB221,1,$AT$1)),"*玉山*")=0),N220,0)</f>
        <v>0</v>
      </c>
      <c r="P220">
        <f ca="1">IFERROR(IF(COUNTIF(B220,"*云栖松*")&gt;0,50-加速!$L$11,MAX(0,P219-(A220-A219))),0)</f>
        <v>0</v>
      </c>
      <c r="Q220">
        <f ca="1">IF(COUNTIF(IF(AND(配装计算器!$K$30&lt;&gt;"∞",0),INDEX(AU219:CB219,1,$AT$1),INDEX(AU221:CB221,1,$AT$1)),"*云栖松*")=1,P220,0)</f>
        <v>0</v>
      </c>
      <c r="R220">
        <f ca="1">IFERROR(IF(COUNTIF(B220,"*莺鸣柳*")&gt;0,45-加速!$L$9,MAX(0,R219-(A220-A219))),0)</f>
        <v>0</v>
      </c>
      <c r="S220">
        <f ca="1">IF(COUNTIF(IF(AND(配装计算器!$K$30&lt;&gt;"∞",0),INDEX(AU219:CB219,1,$AT$1),INDEX(AU221:CB221,1,$AT$1)),"*莺鸣柳*")=1,R220,0)</f>
        <v>0</v>
      </c>
      <c r="T220">
        <f ca="1" t="shared" si="68"/>
        <v>0</v>
      </c>
      <c r="U220">
        <f ca="1">IF(金蛇,IF(COUNTIF(B220,"*金环戴*")+COUNTIF(B220,"*吹风醒*")&gt;0,IF(A220&lt;=3,7.125-2.625-A220-加速!$L$11,7.125+加速!$K$9-(A220+加速!$L$11-T220)),0),0)+IF(金蛇,IF(COUNTIF(B220,"*千切子裂光*")&gt;0,2+加速!$K$9-(A220+加速!$L$11-T220),0),0)</f>
        <v>0</v>
      </c>
      <c r="V220">
        <f ca="1" t="shared" si="69"/>
        <v>0</v>
      </c>
      <c r="W220">
        <f ca="1" t="shared" si="61"/>
        <v>0</v>
      </c>
      <c r="X220">
        <f ca="1">INDEX(加速!$I$13:$I$21,W220+1)</f>
        <v>0</v>
      </c>
      <c r="Y220">
        <f ca="1" t="shared" si="70"/>
        <v>0.5</v>
      </c>
      <c r="Z220">
        <f ca="1" t="shared" si="66"/>
        <v>0</v>
      </c>
      <c r="AA220">
        <f ca="1">MAX(0,IFERROR(IF(COUNTIF(B220,"*叠*")&gt;0,IF(AC219&lt;3,8-A221+A220,AA219+6.875-A221+A220),AA219-A221+A220),AA219-加速!$L$11))</f>
        <v>0</v>
      </c>
      <c r="AB220" t="e">
        <f ca="1">MAX(0,IF(COUNTIF(IF(AND(配装计算器!$K$30&lt;&gt;"∞",0),INDEX(AU220:CB220,1,$AT$1),INDEX(AU220:CB220,1,$AT$1)),"*叠1*")=1,4*25-加速!$L$11,AB219-A220+A219)-IF(OR(COUNTIF(OFFSET(AT220,0,$AT$1,1,1),"*听雷*")&gt;0,AND(碧归&gt;0,COUNTIF(OFFSET(AT220,0,$AT$1,1,1),"*风来*")&gt;0)),0,1)*1.5)</f>
        <v>#VALUE!</v>
      </c>
      <c r="AC220">
        <f ca="1" t="shared" si="62"/>
        <v>0</v>
      </c>
      <c r="AD220">
        <f ca="1">IF(COUNTIF(IF(AND(配装计算器!$K$30&lt;&gt;"∞",0),INDEX(AU220:CB220,1,$AT$1),INDEX(AU221:CB221,1,$AT$1)),"*叠1*")=1,AB220*0+AE219,0)</f>
        <v>0</v>
      </c>
      <c r="AE220" t="e">
        <f ca="1">IF($AN$11&gt;0,IF(COUNTIF(B221,"*叠1*")&gt;0,50-加速!$L$11,MAX(0,AE219-(A221-A220))),0)</f>
        <v>#VALUE!</v>
      </c>
      <c r="AG220">
        <f ca="1" t="shared" si="63"/>
        <v>6</v>
      </c>
      <c r="AU220" t="s">
        <v>3063</v>
      </c>
      <c r="AV220">
        <v>2</v>
      </c>
      <c r="AW220" t="s">
        <v>2768</v>
      </c>
      <c r="AX220">
        <v>2</v>
      </c>
      <c r="AY220" t="s">
        <v>3010</v>
      </c>
      <c r="AZ220">
        <v>2</v>
      </c>
      <c r="BA220" t="s">
        <v>3013</v>
      </c>
      <c r="BB220">
        <v>2</v>
      </c>
      <c r="BC220" t="s">
        <v>2768</v>
      </c>
      <c r="BD220">
        <v>1</v>
      </c>
      <c r="BE220" t="s">
        <v>2768</v>
      </c>
      <c r="BF220">
        <v>2</v>
      </c>
      <c r="BG220" t="s">
        <v>2768</v>
      </c>
      <c r="BH220">
        <v>2</v>
      </c>
      <c r="BI220" t="s">
        <v>2768</v>
      </c>
      <c r="BJ220">
        <v>1</v>
      </c>
      <c r="BK220" t="s">
        <v>3036</v>
      </c>
      <c r="BL220">
        <v>2</v>
      </c>
      <c r="BM220" t="s">
        <v>2776</v>
      </c>
      <c r="BN220">
        <v>2</v>
      </c>
      <c r="BO220" s="176" t="str">
        <f>IF(0,"云飞玉皇-玉山揽云","夕照雷峰")</f>
        <v>夕照雷峰</v>
      </c>
      <c r="BP220">
        <v>2</v>
      </c>
      <c r="BQ220" t="s">
        <v>2776</v>
      </c>
      <c r="BR220">
        <v>1</v>
      </c>
      <c r="BS220" t="s">
        <v>2768</v>
      </c>
      <c r="BT220">
        <v>1</v>
      </c>
      <c r="BU220" t="s">
        <v>2768</v>
      </c>
      <c r="BV220">
        <v>1</v>
      </c>
      <c r="BW220" s="182" t="s">
        <v>2768</v>
      </c>
      <c r="BX220" s="179">
        <v>2</v>
      </c>
      <c r="BY220" t="s">
        <v>2768</v>
      </c>
      <c r="BZ220">
        <v>2</v>
      </c>
      <c r="CA220" s="176" t="s">
        <v>2776</v>
      </c>
      <c r="CB220">
        <v>2</v>
      </c>
    </row>
    <row r="221" spans="1:80">
      <c r="A221" s="178" t="str">
        <f ca="1">IFERROR(IF(AG220&lt;5+金蛇*2,IF(COUNTIF(B220,"*轻*")&gt;0,A220+加速!$L$9,A220+加速!$L$11)+V220,""),"")</f>
        <v/>
      </c>
      <c r="B221" s="167" t="str">
        <f ca="1" t="shared" si="58"/>
        <v/>
      </c>
      <c r="C221" t="str">
        <f ca="1" t="shared" si="67"/>
        <v/>
      </c>
      <c r="D221" t="str">
        <f ca="1">IF(B221&lt;&gt;"",IF(C220&lt;=加速!$L$11*(1-E221),0,1),"")</f>
        <v/>
      </c>
      <c r="E221">
        <f ca="1" t="shared" si="64"/>
        <v>1</v>
      </c>
      <c r="G221" t="str">
        <f ca="1" t="shared" si="65"/>
        <v/>
      </c>
      <c r="H221" t="str">
        <f ca="1">IF(B221&lt;&gt;"",IF(AND(COUNTIF(B220,"*轻*莺鸣柳*")&gt;0,COUNTIF(B221,"*轻*")&lt;1),MAX(0,15+I220-(A221-A220)+COUNTIF(B220,"*平湖*")*0),IF(AND(E221=0,MAX(0,H220-(A221-A220))&lt;=加速!$H$11),0,MAX(0,H220-(A221-A220)))),"")</f>
        <v/>
      </c>
      <c r="I221" t="str">
        <f ca="1" t="shared" si="71"/>
        <v/>
      </c>
      <c r="J221" t="str">
        <f ca="1" t="shared" si="72"/>
        <v/>
      </c>
      <c r="K221" t="str">
        <f ca="1" t="shared" si="59"/>
        <v/>
      </c>
      <c r="L221">
        <f ca="1">IFERROR(IF(AND(COUNTIF(B221,"*-峰插*"),技能数据库!$M$72&gt;0),0,IF(COUNTIF(B221,"*鹤归*")&gt;0,16-加速!$L$11,MAX(0,L220-(A221-A220)))),0)</f>
        <v>0</v>
      </c>
      <c r="M221">
        <f ca="1" t="shared" si="60"/>
        <v>0</v>
      </c>
      <c r="N221">
        <f ca="1">IFERROR(IF(AND(COUNTIF(B221,"*-峰插*"),技能数据库!$M$72&gt;0),0,IF(COUNTIF(B221,"*云飞*")&gt;0,4-COUNTIF(B221,"*玉山揽云*")*4--COUNTIF(B221,"*烟流暮景*")*4-COUNTIF(B221,"*云景*")*加速!$L$11-IF(J221&gt;0,2,0),MAX(0,N220-(A221-A220)-IF(J221&gt;0,2,0)))),0)</f>
        <v>0</v>
      </c>
      <c r="O221">
        <f ca="1">IF(AND(COUNTIF(IF(AND(配装计算器!$K$30&lt;&gt;"∞",0),INDEX(AU220:CB220,1,$AT$1),INDEX(AU222:CB222,1,$AT$1)),"*云飞*")=1,COUNTIF(IF(AND(配装计算器!$K$30&lt;&gt;"∞",0),INDEX(AU220:CB220,1,$AT$1),INDEX(AU222:CB222,1,$AT$1)),"*玉山*")=0),N221,0)</f>
        <v>0</v>
      </c>
      <c r="P221">
        <f ca="1">IFERROR(IF(COUNTIF(B221,"*云栖松*")&gt;0,50-加速!$L$11,MAX(0,P220-(A221-A220))),0)</f>
        <v>0</v>
      </c>
      <c r="Q221">
        <f ca="1">IF(COUNTIF(IF(AND(配装计算器!$K$30&lt;&gt;"∞",0),INDEX(AU220:CB220,1,$AT$1),INDEX(AU222:CB222,1,$AT$1)),"*云栖松*")=1,P221,0)</f>
        <v>0</v>
      </c>
      <c r="R221">
        <f ca="1">IFERROR(IF(COUNTIF(B221,"*莺鸣柳*")&gt;0,45-加速!$L$9,MAX(0,R220-(A221-A220))),0)</f>
        <v>0</v>
      </c>
      <c r="S221">
        <f ca="1">IF(COUNTIF(IF(AND(配装计算器!$K$30&lt;&gt;"∞",0),INDEX(AU220:CB220,1,$AT$1),INDEX(AU222:CB222,1,$AT$1)),"*莺鸣柳*")=1,R221,0)</f>
        <v>0</v>
      </c>
      <c r="T221">
        <f ca="1" t="shared" si="68"/>
        <v>0</v>
      </c>
      <c r="U221">
        <f ca="1">IF(金蛇,IF(COUNTIF(B221,"*金环戴*")+COUNTIF(B221,"*吹风醒*")&gt;0,IF(A221&lt;=3,7.125-2.625-A221-加速!$L$11,7.125+加速!$K$9-(A221+加速!$L$11-T221)),0),0)+IF(金蛇,IF(COUNTIF(B221,"*千切子裂光*")&gt;0,2+加速!$K$9-(A221+加速!$L$11-T221),0),0)</f>
        <v>0</v>
      </c>
      <c r="V221">
        <f ca="1" t="shared" si="69"/>
        <v>0</v>
      </c>
      <c r="W221">
        <f ca="1" t="shared" si="61"/>
        <v>0</v>
      </c>
      <c r="X221">
        <f ca="1">INDEX(加速!$I$13:$I$21,W221+1)</f>
        <v>0</v>
      </c>
      <c r="Y221">
        <f ca="1" t="shared" si="70"/>
        <v>0.5</v>
      </c>
      <c r="Z221">
        <f ca="1" t="shared" si="66"/>
        <v>0</v>
      </c>
      <c r="AA221">
        <f ca="1">MAX(0,IFERROR(IF(COUNTIF(B221,"*叠*")&gt;0,IF(AC220&lt;3,8-A222+A221,AA220+6.875-A222+A221),AA220-A222+A221),AA220-加速!$L$11))</f>
        <v>0</v>
      </c>
      <c r="AB221" t="e">
        <f ca="1">MAX(0,IF(COUNTIF(IF(AND(配装计算器!$K$30&lt;&gt;"∞",0),INDEX(AU221:CB221,1,$AT$1),INDEX(AU221:CB221,1,$AT$1)),"*叠1*")=1,4*25-加速!$L$11,AB220-A221+A220)-IF(OR(COUNTIF(OFFSET(AT221,0,$AT$1,1,1),"*听雷*")&gt;0,AND(碧归&gt;0,COUNTIF(OFFSET(AT221,0,$AT$1,1,1),"*风来*")&gt;0)),0,1)*1.5)</f>
        <v>#VALUE!</v>
      </c>
      <c r="AC221">
        <f ca="1" t="shared" si="62"/>
        <v>0</v>
      </c>
      <c r="AD221">
        <f ca="1">IF(COUNTIF(IF(AND(配装计算器!$K$30&lt;&gt;"∞",0),INDEX(AU221:CB221,1,$AT$1),INDEX(AU222:CB222,1,$AT$1)),"*叠1*")=1,AB221*0+AE220,0)</f>
        <v>0</v>
      </c>
      <c r="AE221" t="e">
        <f ca="1">IF($AN$11&gt;0,IF(COUNTIF(B222,"*叠1*")&gt;0,50-加速!$L$11,MAX(0,AE220-(A222-A221))),0)</f>
        <v>#VALUE!</v>
      </c>
      <c r="AG221">
        <f ca="1" t="shared" si="63"/>
        <v>6</v>
      </c>
      <c r="AU221" t="s">
        <v>2776</v>
      </c>
      <c r="AV221">
        <v>1</v>
      </c>
      <c r="AW221" t="s">
        <v>2768</v>
      </c>
      <c r="AX221">
        <v>2</v>
      </c>
      <c r="AY221" t="s">
        <v>3013</v>
      </c>
      <c r="AZ221">
        <v>2</v>
      </c>
      <c r="BA221" t="s">
        <v>3017</v>
      </c>
      <c r="BB221">
        <v>2</v>
      </c>
      <c r="BC221" t="s">
        <v>2768</v>
      </c>
      <c r="BD221">
        <v>1</v>
      </c>
      <c r="BE221" t="s">
        <v>2776</v>
      </c>
      <c r="BF221">
        <v>2</v>
      </c>
      <c r="BG221" t="s">
        <v>3018</v>
      </c>
      <c r="BH221">
        <v>2</v>
      </c>
      <c r="BI221" t="s">
        <v>2776</v>
      </c>
      <c r="BJ221">
        <v>0</v>
      </c>
      <c r="BK221" t="s">
        <v>3026</v>
      </c>
      <c r="BL221">
        <v>2</v>
      </c>
      <c r="BM221" t="s">
        <v>2768</v>
      </c>
      <c r="BN221">
        <v>2</v>
      </c>
      <c r="BO221" t="str">
        <f>IF(0,"云飞玉皇-玉山揽云","云飞玉皇")</f>
        <v>云飞玉皇</v>
      </c>
      <c r="BP221">
        <v>2</v>
      </c>
      <c r="BQ221" t="s">
        <v>2768</v>
      </c>
      <c r="BR221">
        <v>1</v>
      </c>
      <c r="BS221" t="s">
        <v>2768</v>
      </c>
      <c r="BT221">
        <v>1</v>
      </c>
      <c r="BU221" t="s">
        <v>3011</v>
      </c>
      <c r="BV221">
        <v>2</v>
      </c>
      <c r="BW221" s="182" t="s">
        <v>2776</v>
      </c>
      <c r="BX221" s="179">
        <v>2</v>
      </c>
      <c r="BY221" t="s">
        <v>2776</v>
      </c>
      <c r="BZ221">
        <v>2</v>
      </c>
      <c r="CA221" s="176" t="s">
        <v>2768</v>
      </c>
      <c r="CB221">
        <v>2</v>
      </c>
    </row>
    <row r="222" spans="1:80">
      <c r="A222" s="178" t="str">
        <f ca="1">IFERROR(IF(AG221&lt;5+金蛇*2,IF(COUNTIF(B221,"*轻*")&gt;0,A221+加速!$L$9,A221+加速!$L$11)+V221,""),"")</f>
        <v/>
      </c>
      <c r="B222" s="167" t="str">
        <f ca="1" t="shared" si="58"/>
        <v/>
      </c>
      <c r="C222" t="str">
        <f ca="1" t="shared" si="67"/>
        <v/>
      </c>
      <c r="D222" t="str">
        <f ca="1">IF(B222&lt;&gt;"",IF(C221&lt;=加速!$L$11*(1-E222),0,1),"")</f>
        <v/>
      </c>
      <c r="E222">
        <f ca="1" t="shared" si="64"/>
        <v>1</v>
      </c>
      <c r="G222" t="str">
        <f ca="1" t="shared" si="65"/>
        <v/>
      </c>
      <c r="H222" t="str">
        <f ca="1">IF(B222&lt;&gt;"",IF(AND(COUNTIF(B221,"*轻*莺鸣柳*")&gt;0,COUNTIF(B222,"*轻*")&lt;1),MAX(0,15+I221-(A222-A221)+COUNTIF(B221,"*平湖*")*0),IF(AND(E222=0,MAX(0,H221-(A222-A221))&lt;=加速!$H$11),0,MAX(0,H221-(A222-A221)))),"")</f>
        <v/>
      </c>
      <c r="I222" t="str">
        <f ca="1" t="shared" si="71"/>
        <v/>
      </c>
      <c r="J222" t="str">
        <f ca="1" t="shared" si="72"/>
        <v/>
      </c>
      <c r="K222" t="str">
        <f ca="1" t="shared" si="59"/>
        <v/>
      </c>
      <c r="L222">
        <f ca="1">IFERROR(IF(AND(COUNTIF(B222,"*-峰插*"),技能数据库!$M$72&gt;0),0,IF(COUNTIF(B222,"*鹤归*")&gt;0,16-加速!$L$11,MAX(0,L221-(A222-A221)))),0)</f>
        <v>0</v>
      </c>
      <c r="M222">
        <f ca="1" t="shared" si="60"/>
        <v>0</v>
      </c>
      <c r="N222">
        <f ca="1">IFERROR(IF(AND(COUNTIF(B222,"*-峰插*"),技能数据库!$M$72&gt;0),0,IF(COUNTIF(B222,"*云飞*")&gt;0,4-COUNTIF(B222,"*玉山揽云*")*4--COUNTIF(B222,"*烟流暮景*")*4-COUNTIF(B222,"*云景*")*加速!$L$11-IF(J222&gt;0,2,0),MAX(0,N221-(A222-A221)-IF(J222&gt;0,2,0)))),0)</f>
        <v>0</v>
      </c>
      <c r="O222">
        <f ca="1">IF(AND(COUNTIF(IF(AND(配装计算器!$K$30&lt;&gt;"∞",0),INDEX(AU221:CB221,1,$AT$1),INDEX(AU223:CB223,1,$AT$1)),"*云飞*")=1,COUNTIF(IF(AND(配装计算器!$K$30&lt;&gt;"∞",0),INDEX(AU221:CB221,1,$AT$1),INDEX(AU223:CB223,1,$AT$1)),"*玉山*")=0),N222,0)</f>
        <v>0</v>
      </c>
      <c r="P222">
        <f ca="1">IFERROR(IF(COUNTIF(B222,"*云栖松*")&gt;0,50-加速!$L$11,MAX(0,P221-(A222-A221))),0)</f>
        <v>0</v>
      </c>
      <c r="Q222">
        <f ca="1">IF(COUNTIF(IF(AND(配装计算器!$K$30&lt;&gt;"∞",0),INDEX(AU221:CB221,1,$AT$1),INDEX(AU223:CB223,1,$AT$1)),"*云栖松*")=1,P222,0)</f>
        <v>0</v>
      </c>
      <c r="R222">
        <f ca="1">IFERROR(IF(COUNTIF(B222,"*莺鸣柳*")&gt;0,45-加速!$L$9,MAX(0,R221-(A222-A221))),0)</f>
        <v>0</v>
      </c>
      <c r="S222">
        <f ca="1">IF(COUNTIF(IF(AND(配装计算器!$K$30&lt;&gt;"∞",0),INDEX(AU221:CB221,1,$AT$1),INDEX(AU223:CB223,1,$AT$1)),"*莺鸣柳*")=1,R222,0)</f>
        <v>0</v>
      </c>
      <c r="T222">
        <f ca="1" t="shared" si="68"/>
        <v>0</v>
      </c>
      <c r="U222">
        <f ca="1">IF(金蛇,IF(COUNTIF(B222,"*金环戴*")+COUNTIF(B222,"*吹风醒*")&gt;0,IF(A222&lt;=3,7.125-2.625-A222-加速!$L$11,7.125+加速!$K$9-(A222+加速!$L$11-T222)),0),0)+IF(金蛇,IF(COUNTIF(B222,"*千切子裂光*")&gt;0,2+加速!$K$9-(A222+加速!$L$11-T222),0),0)</f>
        <v>0</v>
      </c>
      <c r="V222">
        <f ca="1" t="shared" si="69"/>
        <v>0</v>
      </c>
      <c r="W222">
        <f ca="1" t="shared" si="61"/>
        <v>0</v>
      </c>
      <c r="X222">
        <f ca="1">INDEX(加速!$I$13:$I$21,W222+1)</f>
        <v>0</v>
      </c>
      <c r="Y222">
        <f ca="1" t="shared" si="70"/>
        <v>0.5</v>
      </c>
      <c r="Z222">
        <f ca="1" t="shared" si="66"/>
        <v>0</v>
      </c>
      <c r="AA222">
        <f ca="1">MAX(0,IFERROR(IF(COUNTIF(B222,"*叠*")&gt;0,IF(AC221&lt;3,8-A223+A222,AA221+6.875-A223+A222),AA221-A223+A222),AA221-加速!$L$11))</f>
        <v>0</v>
      </c>
      <c r="AB222" t="e">
        <f ca="1">MAX(0,IF(COUNTIF(IF(AND(配装计算器!$K$30&lt;&gt;"∞",0),INDEX(AU222:CB222,1,$AT$1),INDEX(AU222:CB222,1,$AT$1)),"*叠1*")=1,4*25-加速!$L$11,AB221-A222+A221)-IF(OR(COUNTIF(OFFSET(AT222,0,$AT$1,1,1),"*听雷*")&gt;0,AND(碧归&gt;0,COUNTIF(OFFSET(AT222,0,$AT$1,1,1),"*风来*")&gt;0)),0,1)*1.5)</f>
        <v>#VALUE!</v>
      </c>
      <c r="AC222">
        <f ca="1" t="shared" si="62"/>
        <v>0</v>
      </c>
      <c r="AD222">
        <f ca="1">IF(COUNTIF(IF(AND(配装计算器!$K$30&lt;&gt;"∞",0),INDEX(AU222:CB222,1,$AT$1),INDEX(AU223:CB223,1,$AT$1)),"*叠1*")=1,AB222*0+AE221,0)</f>
        <v>0</v>
      </c>
      <c r="AE222" t="e">
        <f ca="1">IF($AN$11&gt;0,IF(COUNTIF(B223,"*叠1*")&gt;0,50-加速!$L$11,MAX(0,AE221-(A223-A222))),0)</f>
        <v>#VALUE!</v>
      </c>
      <c r="AG222">
        <f ca="1" t="shared" si="63"/>
        <v>6</v>
      </c>
      <c r="AU222" t="s">
        <v>2768</v>
      </c>
      <c r="AV222">
        <v>2</v>
      </c>
      <c r="AW222" t="s">
        <v>2776</v>
      </c>
      <c r="AX222">
        <v>2</v>
      </c>
      <c r="AY222" t="s">
        <v>3017</v>
      </c>
      <c r="AZ222">
        <v>2</v>
      </c>
      <c r="BA222" t="s">
        <v>2808</v>
      </c>
      <c r="BB222">
        <v>2</v>
      </c>
      <c r="BC222" t="s">
        <v>2813</v>
      </c>
      <c r="BD222">
        <v>0</v>
      </c>
      <c r="BE222" t="s">
        <v>2768</v>
      </c>
      <c r="BF222">
        <v>1</v>
      </c>
      <c r="BG222" t="s">
        <v>2768</v>
      </c>
      <c r="BH222">
        <v>2</v>
      </c>
      <c r="BI222" t="s">
        <v>2768</v>
      </c>
      <c r="BJ222">
        <v>0</v>
      </c>
      <c r="BK222" t="s">
        <v>3026</v>
      </c>
      <c r="BL222">
        <v>2</v>
      </c>
      <c r="BM222" s="176" t="s">
        <v>2794</v>
      </c>
      <c r="BN222">
        <v>2</v>
      </c>
      <c r="BO222" t="str">
        <f>IF(秋,"云栖松","泉凝月")</f>
        <v>泉凝月</v>
      </c>
      <c r="BP222">
        <v>2</v>
      </c>
      <c r="BQ222" t="s">
        <v>2768</v>
      </c>
      <c r="BR222">
        <v>0</v>
      </c>
      <c r="BS222" t="s">
        <v>2768</v>
      </c>
      <c r="BT222">
        <v>0</v>
      </c>
      <c r="BU222" t="s">
        <v>2768</v>
      </c>
      <c r="BV222">
        <v>2</v>
      </c>
      <c r="BW222" s="182" t="s">
        <v>2768</v>
      </c>
      <c r="BX222" s="179">
        <v>2</v>
      </c>
      <c r="BY222" s="176" t="s">
        <v>2794</v>
      </c>
      <c r="BZ222">
        <v>2</v>
      </c>
      <c r="CA222" s="176" t="s">
        <v>2808</v>
      </c>
      <c r="CB222">
        <v>2</v>
      </c>
    </row>
    <row r="223" spans="1:80">
      <c r="A223" s="178" t="str">
        <f ca="1">IFERROR(IF(AG222&lt;5+金蛇*2,IF(COUNTIF(B222,"*轻*")&gt;0,A222+加速!$L$9,A222+加速!$L$11)+V222,""),"")</f>
        <v/>
      </c>
      <c r="B223" s="167" t="str">
        <f ca="1" t="shared" si="58"/>
        <v/>
      </c>
      <c r="C223" t="str">
        <f ca="1" t="shared" si="67"/>
        <v/>
      </c>
      <c r="D223" t="str">
        <f ca="1">IF(B223&lt;&gt;"",IF(C222&lt;=加速!$L$11*(1-E223),0,1),"")</f>
        <v/>
      </c>
      <c r="E223">
        <f ca="1" t="shared" si="64"/>
        <v>1</v>
      </c>
      <c r="G223" t="str">
        <f ca="1" t="shared" si="65"/>
        <v/>
      </c>
      <c r="H223" t="str">
        <f ca="1">IF(B223&lt;&gt;"",IF(AND(COUNTIF(B222,"*轻*莺鸣柳*")&gt;0,COUNTIF(B223,"*轻*")&lt;1),MAX(0,15+I222-(A223-A222)+COUNTIF(B222,"*平湖*")*0),IF(AND(E223=0,MAX(0,H222-(A223-A222))&lt;=加速!$H$11),0,MAX(0,H222-(A223-A222)))),"")</f>
        <v/>
      </c>
      <c r="I223" t="str">
        <f ca="1" t="shared" si="71"/>
        <v/>
      </c>
      <c r="J223" t="str">
        <f ca="1" t="shared" si="72"/>
        <v/>
      </c>
      <c r="K223" t="str">
        <f ca="1" t="shared" si="59"/>
        <v/>
      </c>
      <c r="L223">
        <f ca="1">IFERROR(IF(AND(COUNTIF(B223,"*-峰插*"),技能数据库!$M$72&gt;0),0,IF(COUNTIF(B223,"*鹤归*")&gt;0,16-加速!$L$11,MAX(0,L222-(A223-A222)))),0)</f>
        <v>0</v>
      </c>
      <c r="M223">
        <f ca="1" t="shared" si="60"/>
        <v>0</v>
      </c>
      <c r="N223">
        <f ca="1">IFERROR(IF(AND(COUNTIF(B223,"*-峰插*"),技能数据库!$M$72&gt;0),0,IF(COUNTIF(B223,"*云飞*")&gt;0,4-COUNTIF(B223,"*玉山揽云*")*4--COUNTIF(B223,"*烟流暮景*")*4-COUNTIF(B223,"*云景*")*加速!$L$11-IF(J223&gt;0,2,0),MAX(0,N222-(A223-A222)-IF(J223&gt;0,2,0)))),0)</f>
        <v>0</v>
      </c>
      <c r="O223">
        <f ca="1">IF(AND(COUNTIF(IF(AND(配装计算器!$K$30&lt;&gt;"∞",0),INDEX(AU222:CB222,1,$AT$1),INDEX(AU224:CB224,1,$AT$1)),"*云飞*")=1,COUNTIF(IF(AND(配装计算器!$K$30&lt;&gt;"∞",0),INDEX(AU222:CB222,1,$AT$1),INDEX(AU224:CB224,1,$AT$1)),"*玉山*")=0),N223,0)</f>
        <v>0</v>
      </c>
      <c r="P223">
        <f ca="1">IFERROR(IF(COUNTIF(B223,"*云栖松*")&gt;0,50-加速!$L$11,MAX(0,P222-(A223-A222))),0)</f>
        <v>0</v>
      </c>
      <c r="Q223">
        <f ca="1">IF(COUNTIF(IF(AND(配装计算器!$K$30&lt;&gt;"∞",0),INDEX(AU222:CB222,1,$AT$1),INDEX(AU224:CB224,1,$AT$1)),"*云栖松*")=1,P223,0)</f>
        <v>0</v>
      </c>
      <c r="R223">
        <f ca="1">IFERROR(IF(COUNTIF(B223,"*莺鸣柳*")&gt;0,45-加速!$L$9,MAX(0,R222-(A223-A222))),0)</f>
        <v>0</v>
      </c>
      <c r="S223">
        <f ca="1">IF(COUNTIF(IF(AND(配装计算器!$K$30&lt;&gt;"∞",0),INDEX(AU222:CB222,1,$AT$1),INDEX(AU224:CB224,1,$AT$1)),"*莺鸣柳*")=1,R223,0)</f>
        <v>0</v>
      </c>
      <c r="T223">
        <f ca="1" t="shared" si="68"/>
        <v>0</v>
      </c>
      <c r="U223">
        <f ca="1">IF(金蛇,IF(COUNTIF(B223,"*金环戴*")+COUNTIF(B223,"*吹风醒*")&gt;0,IF(A223&lt;=3,7.125-2.625-A223-加速!$L$11,7.125+加速!$K$9-(A223+加速!$L$11-T223)),0),0)+IF(金蛇,IF(COUNTIF(B223,"*千切子裂光*")&gt;0,2+加速!$K$9-(A223+加速!$L$11-T223),0),0)</f>
        <v>0</v>
      </c>
      <c r="V223">
        <f ca="1" t="shared" si="69"/>
        <v>0</v>
      </c>
      <c r="W223">
        <f ca="1" t="shared" si="61"/>
        <v>0</v>
      </c>
      <c r="X223">
        <f ca="1">INDEX(加速!$I$13:$I$21,W223+1)</f>
        <v>0</v>
      </c>
      <c r="Y223">
        <f ca="1" t="shared" si="70"/>
        <v>0.5</v>
      </c>
      <c r="Z223">
        <f ca="1" t="shared" si="66"/>
        <v>0</v>
      </c>
      <c r="AA223">
        <f ca="1">MAX(0,IFERROR(IF(COUNTIF(B223,"*叠*")&gt;0,IF(AC222&lt;3,8-A224+A223,AA222+6.875-A224+A223),AA222-A224+A223),AA222-加速!$L$11))</f>
        <v>0</v>
      </c>
      <c r="AB223" t="e">
        <f ca="1">MAX(0,IF(COUNTIF(IF(AND(配装计算器!$K$30&lt;&gt;"∞",0),INDEX(AU223:CB223,1,$AT$1),INDEX(AU223:CB223,1,$AT$1)),"*叠1*")=1,4*25-加速!$L$11,AB222-A223+A222)-IF(OR(COUNTIF(OFFSET(AT223,0,$AT$1,1,1),"*听雷*")&gt;0,AND(碧归&gt;0,COUNTIF(OFFSET(AT223,0,$AT$1,1,1),"*风来*")&gt;0)),0,1)*1.5)</f>
        <v>#VALUE!</v>
      </c>
      <c r="AC223">
        <f ca="1" t="shared" si="62"/>
        <v>0</v>
      </c>
      <c r="AD223">
        <f ca="1">IF(COUNTIF(IF(AND(配装计算器!$K$30&lt;&gt;"∞",0),INDEX(AU223:CB223,1,$AT$1),INDEX(AU224:CB224,1,$AT$1)),"*叠1*")=1,AB223*0+AE222,0)</f>
        <v>0</v>
      </c>
      <c r="AE223" t="e">
        <f ca="1">IF($AN$11&gt;0,IF(COUNTIF(B224,"*叠1*")&gt;0,50-加速!$L$11,MAX(0,AE222-(A224-A223))),0)</f>
        <v>#VALUE!</v>
      </c>
      <c r="AG223">
        <f ca="1" t="shared" si="63"/>
        <v>6</v>
      </c>
      <c r="AU223" t="s">
        <v>2768</v>
      </c>
      <c r="AV223">
        <v>2</v>
      </c>
      <c r="AW223" t="s">
        <v>2768</v>
      </c>
      <c r="AX223">
        <v>2</v>
      </c>
      <c r="AY223" t="s">
        <v>2808</v>
      </c>
      <c r="AZ223">
        <v>2</v>
      </c>
      <c r="BA223" t="s">
        <v>3022</v>
      </c>
      <c r="BB223">
        <v>2</v>
      </c>
      <c r="BC223" t="s">
        <v>2776</v>
      </c>
      <c r="BD223">
        <v>2</v>
      </c>
      <c r="BE223" t="s">
        <v>2768</v>
      </c>
      <c r="BF223">
        <v>1</v>
      </c>
      <c r="BG223" s="182" t="s">
        <v>3023</v>
      </c>
      <c r="BH223">
        <v>2</v>
      </c>
      <c r="BI223" t="s">
        <v>2768</v>
      </c>
      <c r="BJ223">
        <v>0</v>
      </c>
      <c r="BK223" t="s">
        <v>3026</v>
      </c>
      <c r="BL223">
        <v>2</v>
      </c>
      <c r="BM223" s="176" t="s">
        <v>2768</v>
      </c>
      <c r="BN223">
        <v>2</v>
      </c>
      <c r="BO223" t="s">
        <v>2768</v>
      </c>
      <c r="BP223">
        <v>2</v>
      </c>
      <c r="BQ223" t="s">
        <v>3010</v>
      </c>
      <c r="BR223">
        <v>2</v>
      </c>
      <c r="BS223" t="s">
        <v>2776</v>
      </c>
      <c r="BT223">
        <v>0</v>
      </c>
      <c r="BU223" t="s">
        <v>3018</v>
      </c>
      <c r="BV223">
        <v>2</v>
      </c>
      <c r="BW223" s="182" t="s">
        <v>2776</v>
      </c>
      <c r="BX223" s="179">
        <v>2</v>
      </c>
      <c r="BY223" s="176" t="s">
        <v>2768</v>
      </c>
      <c r="BZ223">
        <v>2</v>
      </c>
      <c r="CA223" t="s">
        <v>2768</v>
      </c>
      <c r="CB223">
        <v>2</v>
      </c>
    </row>
    <row r="224" spans="1:80">
      <c r="A224" s="178" t="str">
        <f ca="1">IFERROR(IF(AG223&lt;5+金蛇*2,IF(COUNTIF(B223,"*轻*")&gt;0,A223+加速!$L$9,A223+加速!$L$11)+V223,""),"")</f>
        <v/>
      </c>
      <c r="B224" s="167" t="str">
        <f ca="1" t="shared" si="58"/>
        <v/>
      </c>
      <c r="C224" t="str">
        <f ca="1" t="shared" si="67"/>
        <v/>
      </c>
      <c r="D224" t="str">
        <f ca="1">IF(B224&lt;&gt;"",IF(C223&lt;=加速!$L$11*(1-E224),0,1),"")</f>
        <v/>
      </c>
      <c r="E224">
        <f ca="1" t="shared" si="64"/>
        <v>1</v>
      </c>
      <c r="G224" t="str">
        <f ca="1" t="shared" si="65"/>
        <v/>
      </c>
      <c r="H224" t="str">
        <f ca="1">IF(B224&lt;&gt;"",IF(AND(COUNTIF(B223,"*轻*莺鸣柳*")&gt;0,COUNTIF(B224,"*轻*")&lt;1),MAX(0,15+I223-(A224-A223)+COUNTIF(B223,"*平湖*")*0),IF(AND(E224=0,MAX(0,H223-(A224-A223))&lt;=加速!$H$11),0,MAX(0,H223-(A224-A223)))),"")</f>
        <v/>
      </c>
      <c r="I224" t="str">
        <f ca="1" t="shared" si="71"/>
        <v/>
      </c>
      <c r="J224" t="str">
        <f ca="1" t="shared" si="72"/>
        <v/>
      </c>
      <c r="K224" t="str">
        <f ca="1" t="shared" si="59"/>
        <v/>
      </c>
      <c r="L224">
        <f ca="1">IFERROR(IF(AND(COUNTIF(B224,"*-峰插*"),技能数据库!$M$72&gt;0),0,IF(COUNTIF(B224,"*鹤归*")&gt;0,16-加速!$L$11,MAX(0,L223-(A224-A223)))),0)</f>
        <v>0</v>
      </c>
      <c r="M224">
        <f ca="1" t="shared" si="60"/>
        <v>0</v>
      </c>
      <c r="N224">
        <f ca="1">IFERROR(IF(AND(COUNTIF(B224,"*-峰插*"),技能数据库!$M$72&gt;0),0,IF(COUNTIF(B224,"*云飞*")&gt;0,4-COUNTIF(B224,"*玉山揽云*")*4--COUNTIF(B224,"*烟流暮景*")*4-COUNTIF(B224,"*云景*")*加速!$L$11-IF(J224&gt;0,2,0),MAX(0,N223-(A224-A223)-IF(J224&gt;0,2,0)))),0)</f>
        <v>0</v>
      </c>
      <c r="O224">
        <f ca="1">IF(AND(COUNTIF(IF(AND(配装计算器!$K$30&lt;&gt;"∞",0),INDEX(AU223:CB223,1,$AT$1),INDEX(AU225:CB225,1,$AT$1)),"*云飞*")=1,COUNTIF(IF(AND(配装计算器!$K$30&lt;&gt;"∞",0),INDEX(AU223:CB223,1,$AT$1),INDEX(AU225:CB225,1,$AT$1)),"*玉山*")=0),N224,0)</f>
        <v>0</v>
      </c>
      <c r="P224">
        <f ca="1">IFERROR(IF(COUNTIF(B224,"*云栖松*")&gt;0,50-加速!$L$11,MAX(0,P223-(A224-A223))),0)</f>
        <v>0</v>
      </c>
      <c r="Q224">
        <f ca="1">IF(COUNTIF(IF(AND(配装计算器!$K$30&lt;&gt;"∞",0),INDEX(AU223:CB223,1,$AT$1),INDEX(AU225:CB225,1,$AT$1)),"*云栖松*")=1,P224,0)</f>
        <v>0</v>
      </c>
      <c r="R224">
        <f ca="1">IFERROR(IF(COUNTIF(B224,"*莺鸣柳*")&gt;0,45-加速!$L$9,MAX(0,R223-(A224-A223))),0)</f>
        <v>0</v>
      </c>
      <c r="S224">
        <f ca="1">IF(COUNTIF(IF(AND(配装计算器!$K$30&lt;&gt;"∞",0),INDEX(AU223:CB223,1,$AT$1),INDEX(AU225:CB225,1,$AT$1)),"*莺鸣柳*")=1,R224,0)</f>
        <v>0</v>
      </c>
      <c r="T224">
        <f ca="1" t="shared" si="68"/>
        <v>0</v>
      </c>
      <c r="U224">
        <f ca="1">IF(金蛇,IF(COUNTIF(B224,"*金环戴*")+COUNTIF(B224,"*吹风醒*")&gt;0,IF(A224&lt;=3,7.125-2.625-A224-加速!$L$11,7.125+加速!$K$9-(A224+加速!$L$11-T224)),0),0)+IF(金蛇,IF(COUNTIF(B224,"*千切子裂光*")&gt;0,2+加速!$K$9-(A224+加速!$L$11-T224),0),0)</f>
        <v>0</v>
      </c>
      <c r="V224">
        <f ca="1" t="shared" si="69"/>
        <v>0</v>
      </c>
      <c r="W224">
        <f ca="1" t="shared" si="61"/>
        <v>0</v>
      </c>
      <c r="X224">
        <f ca="1">INDEX(加速!$I$13:$I$21,W224+1)</f>
        <v>0</v>
      </c>
      <c r="Y224">
        <f ca="1" t="shared" si="70"/>
        <v>0.5</v>
      </c>
      <c r="Z224">
        <f ca="1" t="shared" si="66"/>
        <v>0</v>
      </c>
      <c r="AA224">
        <f ca="1">MAX(0,IFERROR(IF(COUNTIF(B224,"*叠*")&gt;0,IF(AC223&lt;3,8-A225+A224,AA223+6.875-A225+A224),AA223-A225+A224),AA223-加速!$L$11))</f>
        <v>0</v>
      </c>
      <c r="AB224" t="e">
        <f ca="1">MAX(0,IF(COUNTIF(IF(AND(配装计算器!$K$30&lt;&gt;"∞",0),INDEX(AU224:CB224,1,$AT$1),INDEX(AU224:CB224,1,$AT$1)),"*叠1*")=1,4*25-加速!$L$11,AB223-A224+A223)-IF(OR(COUNTIF(OFFSET(AT224,0,$AT$1,1,1),"*听雷*")&gt;0,AND(碧归&gt;0,COUNTIF(OFFSET(AT224,0,$AT$1,1,1),"*风来*")&gt;0)),0,1)*1.5)</f>
        <v>#VALUE!</v>
      </c>
      <c r="AC224">
        <f ca="1" t="shared" si="62"/>
        <v>0</v>
      </c>
      <c r="AD224">
        <f ca="1">IF(COUNTIF(IF(AND(配装计算器!$K$30&lt;&gt;"∞",0),INDEX(AU224:CB224,1,$AT$1),INDEX(AU225:CB225,1,$AT$1)),"*叠1*")=1,AB224*0+AE223,0)</f>
        <v>0</v>
      </c>
      <c r="AE224" t="e">
        <f ca="1">IF($AN$11&gt;0,IF(COUNTIF(B225,"*叠1*")&gt;0,50-加速!$L$11,MAX(0,AE223-(A225-A224))),0)</f>
        <v>#VALUE!</v>
      </c>
      <c r="AG224">
        <f ca="1" t="shared" si="63"/>
        <v>6</v>
      </c>
      <c r="AU224" s="176" t="s">
        <v>2794</v>
      </c>
      <c r="AV224">
        <v>2</v>
      </c>
      <c r="AW224" s="176" t="s">
        <v>2794</v>
      </c>
      <c r="AX224">
        <v>2</v>
      </c>
      <c r="AY224" t="s">
        <v>3022</v>
      </c>
      <c r="AZ224">
        <v>2</v>
      </c>
      <c r="BA224" t="s">
        <v>2776</v>
      </c>
      <c r="BB224">
        <v>2</v>
      </c>
      <c r="BC224" t="s">
        <v>2768</v>
      </c>
      <c r="BD224">
        <v>2</v>
      </c>
      <c r="BE224" t="s">
        <v>2794</v>
      </c>
      <c r="BF224">
        <v>1</v>
      </c>
      <c r="BG224" s="176" t="s">
        <v>2768</v>
      </c>
      <c r="BH224">
        <v>2</v>
      </c>
      <c r="BI224" t="s">
        <v>2722</v>
      </c>
      <c r="BJ224">
        <v>0</v>
      </c>
      <c r="BK224" t="s">
        <v>3026</v>
      </c>
      <c r="BL224">
        <v>2</v>
      </c>
      <c r="BM224" s="176" t="s">
        <v>2776</v>
      </c>
      <c r="BN224">
        <v>2</v>
      </c>
      <c r="BO224" t="s">
        <v>1886</v>
      </c>
      <c r="BP224">
        <v>2</v>
      </c>
      <c r="BQ224" t="s">
        <v>3013</v>
      </c>
      <c r="BR224">
        <v>2</v>
      </c>
      <c r="BS224" t="s">
        <v>2768</v>
      </c>
      <c r="BT224">
        <v>0</v>
      </c>
      <c r="BU224" t="s">
        <v>2768</v>
      </c>
      <c r="BV224">
        <v>2</v>
      </c>
      <c r="BW224" s="182" t="str">
        <f t="shared" ref="BW224" si="75">IF($AN$11=1,"云飞玉皇-玉山揽云","夕照雷峰")</f>
        <v>云飞玉皇-玉山揽云</v>
      </c>
      <c r="BX224" s="179">
        <v>2</v>
      </c>
      <c r="BY224" s="176" t="s">
        <v>2776</v>
      </c>
      <c r="BZ224">
        <v>2</v>
      </c>
      <c r="CA224" t="s">
        <v>2776</v>
      </c>
      <c r="CB224">
        <v>2</v>
      </c>
    </row>
    <row r="225" spans="1:80">
      <c r="A225" s="178" t="str">
        <f ca="1">IFERROR(IF(AG224&lt;5+金蛇*2,IF(COUNTIF(B224,"*轻*")&gt;0,A224+加速!$L$9,A224+加速!$L$11)+V224,""),"")</f>
        <v/>
      </c>
      <c r="B225" s="167" t="str">
        <f ca="1" t="shared" si="58"/>
        <v/>
      </c>
      <c r="C225" t="str">
        <f ca="1" t="shared" si="67"/>
        <v/>
      </c>
      <c r="D225" t="str">
        <f ca="1">IF(B225&lt;&gt;"",IF(C224&lt;=加速!$L$11*(1-E225),0,1),"")</f>
        <v/>
      </c>
      <c r="E225">
        <f ca="1" t="shared" si="64"/>
        <v>1</v>
      </c>
      <c r="G225" t="str">
        <f ca="1" t="shared" si="65"/>
        <v/>
      </c>
      <c r="H225" t="str">
        <f ca="1">IF(B225&lt;&gt;"",IF(AND(COUNTIF(B224,"*轻*莺鸣柳*")&gt;0,COUNTIF(B225,"*轻*")&lt;1),MAX(0,15+I224-(A225-A224)+COUNTIF(B224,"*平湖*")*0),IF(AND(E225=0,MAX(0,H224-(A225-A224))&lt;=加速!$H$11),0,MAX(0,H224-(A225-A224)))),"")</f>
        <v/>
      </c>
      <c r="I225" t="str">
        <f ca="1" t="shared" si="71"/>
        <v/>
      </c>
      <c r="J225" t="str">
        <f ca="1" t="shared" si="72"/>
        <v/>
      </c>
      <c r="K225" t="str">
        <f ca="1" t="shared" si="59"/>
        <v/>
      </c>
      <c r="L225">
        <f ca="1">IFERROR(IF(AND(COUNTIF(B225,"*-峰插*"),技能数据库!$M$72&gt;0),0,IF(COUNTIF(B225,"*鹤归*")&gt;0,16-加速!$L$11,MAX(0,L224-(A225-A224)))),0)</f>
        <v>0</v>
      </c>
      <c r="M225">
        <f ca="1" t="shared" si="60"/>
        <v>0</v>
      </c>
      <c r="N225">
        <f ca="1">IFERROR(IF(AND(COUNTIF(B225,"*-峰插*"),技能数据库!$M$72&gt;0),0,IF(COUNTIF(B225,"*云飞*")&gt;0,4-COUNTIF(B225,"*玉山揽云*")*4--COUNTIF(B225,"*烟流暮景*")*4-COUNTIF(B225,"*云景*")*加速!$L$11-IF(J225&gt;0,2,0),MAX(0,N224-(A225-A224)-IF(J225&gt;0,2,0)))),0)</f>
        <v>0</v>
      </c>
      <c r="O225">
        <f ca="1">IF(AND(COUNTIF(IF(AND(配装计算器!$K$30&lt;&gt;"∞",0),INDEX(AU224:CB224,1,$AT$1),INDEX(AU226:CB226,1,$AT$1)),"*云飞*")=1,COUNTIF(IF(AND(配装计算器!$K$30&lt;&gt;"∞",0),INDEX(AU224:CB224,1,$AT$1),INDEX(AU226:CB226,1,$AT$1)),"*玉山*")=0),N225,0)</f>
        <v>0</v>
      </c>
      <c r="P225">
        <f ca="1">IFERROR(IF(COUNTIF(B225,"*云栖松*")&gt;0,50-加速!$L$11,MAX(0,P224-(A225-A224))),0)</f>
        <v>0</v>
      </c>
      <c r="Q225">
        <f ca="1">IF(COUNTIF(IF(AND(配装计算器!$K$30&lt;&gt;"∞",0),INDEX(AU224:CB224,1,$AT$1),INDEX(AU226:CB226,1,$AT$1)),"*云栖松*")=1,P225,0)</f>
        <v>0</v>
      </c>
      <c r="R225">
        <f ca="1">IFERROR(IF(COUNTIF(B225,"*莺鸣柳*")&gt;0,45-加速!$L$9,MAX(0,R224-(A225-A224))),0)</f>
        <v>0</v>
      </c>
      <c r="S225">
        <f ca="1">IF(COUNTIF(IF(AND(配装计算器!$K$30&lt;&gt;"∞",0),INDEX(AU224:CB224,1,$AT$1),INDEX(AU226:CB226,1,$AT$1)),"*莺鸣柳*")=1,R225,0)</f>
        <v>0</v>
      </c>
      <c r="T225">
        <f ca="1" t="shared" si="68"/>
        <v>0</v>
      </c>
      <c r="U225">
        <f ca="1">IF(金蛇,IF(COUNTIF(B225,"*金环戴*")+COUNTIF(B225,"*吹风醒*")&gt;0,IF(A225&lt;=3,7.125-2.625-A225-加速!$L$11,7.125+加速!$K$9-(A225+加速!$L$11-T225)),0),0)+IF(金蛇,IF(COUNTIF(B225,"*千切子裂光*")&gt;0,2+加速!$K$9-(A225+加速!$L$11-T225),0),0)</f>
        <v>0</v>
      </c>
      <c r="V225">
        <f ca="1" t="shared" si="69"/>
        <v>0</v>
      </c>
      <c r="W225">
        <f ca="1" t="shared" si="61"/>
        <v>0</v>
      </c>
      <c r="X225">
        <f ca="1">INDEX(加速!$I$13:$I$21,W225+1)</f>
        <v>0</v>
      </c>
      <c r="Y225">
        <f ca="1" t="shared" si="70"/>
        <v>0.5</v>
      </c>
      <c r="Z225">
        <f ca="1" t="shared" si="66"/>
        <v>0</v>
      </c>
      <c r="AA225">
        <f ca="1">MAX(0,IFERROR(IF(COUNTIF(B225,"*叠*")&gt;0,IF(AC224&lt;3,8-A226+A225,AA224+6.875-A226+A225),AA224-A226+A225),AA224-加速!$L$11))</f>
        <v>0</v>
      </c>
      <c r="AB225" t="e">
        <f ca="1">MAX(0,IF(COUNTIF(IF(AND(配装计算器!$K$30&lt;&gt;"∞",0),INDEX(AU225:CB225,1,$AT$1),INDEX(AU225:CB225,1,$AT$1)),"*叠1*")=1,4*25-加速!$L$11,AB224-A225+A224)-IF(OR(COUNTIF(OFFSET(AT225,0,$AT$1,1,1),"*听雷*")&gt;0,AND(碧归&gt;0,COUNTIF(OFFSET(AT225,0,$AT$1,1,1),"*风来*")&gt;0)),0,1)*1.5)</f>
        <v>#VALUE!</v>
      </c>
      <c r="AC225">
        <f ca="1" t="shared" si="62"/>
        <v>0</v>
      </c>
      <c r="AD225">
        <f ca="1">IF(COUNTIF(IF(AND(配装计算器!$K$30&lt;&gt;"∞",0),INDEX(AU225:CB225,1,$AT$1),INDEX(AU226:CB226,1,$AT$1)),"*叠1*")=1,AB225*0+AE224,0)</f>
        <v>0</v>
      </c>
      <c r="AE225" t="e">
        <f ca="1">IF($AN$11&gt;0,IF(COUNTIF(B226,"*叠1*")&gt;0,50-加速!$L$11,MAX(0,AE224-(A226-A225))),0)</f>
        <v>#VALUE!</v>
      </c>
      <c r="AG225">
        <f ca="1" t="shared" si="63"/>
        <v>6</v>
      </c>
      <c r="AU225" s="176" t="s">
        <v>2776</v>
      </c>
      <c r="AV225">
        <v>2</v>
      </c>
      <c r="AW225" s="176" t="s">
        <v>2768</v>
      </c>
      <c r="AX225">
        <v>2</v>
      </c>
      <c r="AY225" t="s">
        <v>2776</v>
      </c>
      <c r="AZ225">
        <v>2</v>
      </c>
      <c r="BA225" t="s">
        <v>2768</v>
      </c>
      <c r="BB225">
        <v>2</v>
      </c>
      <c r="BC225" t="s">
        <v>2768</v>
      </c>
      <c r="BD225">
        <v>2</v>
      </c>
      <c r="BE225" t="s">
        <v>2776</v>
      </c>
      <c r="BF225">
        <v>2</v>
      </c>
      <c r="BG225" s="176" t="s">
        <v>2768</v>
      </c>
      <c r="BH225">
        <v>2</v>
      </c>
      <c r="BI225" t="s">
        <v>2776</v>
      </c>
      <c r="BJ225">
        <v>2</v>
      </c>
      <c r="BK225" t="s">
        <v>2776</v>
      </c>
      <c r="BL225">
        <v>2</v>
      </c>
      <c r="BM225" s="176" t="s">
        <v>2768</v>
      </c>
      <c r="BN225">
        <v>2</v>
      </c>
      <c r="BO225" t="s">
        <v>2853</v>
      </c>
      <c r="BP225">
        <v>2</v>
      </c>
      <c r="BQ225" t="s">
        <v>3018</v>
      </c>
      <c r="BR225">
        <v>2</v>
      </c>
      <c r="BS225" t="s">
        <v>3074</v>
      </c>
      <c r="BT225">
        <v>2</v>
      </c>
      <c r="BU225" s="182" t="s">
        <v>3023</v>
      </c>
      <c r="BV225">
        <v>2</v>
      </c>
      <c r="BW225" s="179" t="str">
        <f>IF($AN$11=1,"云飞玉皇-玉山揽云","云飞玉皇")</f>
        <v>云飞玉皇-玉山揽云</v>
      </c>
      <c r="BX225" s="179">
        <v>2</v>
      </c>
      <c r="BY225" s="176" t="s">
        <v>2768</v>
      </c>
      <c r="BZ225">
        <v>2</v>
      </c>
      <c r="CA225" t="str">
        <f>IF(秋,"云栖松","泉凝月")</f>
        <v>泉凝月</v>
      </c>
      <c r="CB225">
        <v>2</v>
      </c>
    </row>
    <row r="226" spans="1:80">
      <c r="A226" s="178" t="str">
        <f ca="1">IFERROR(IF(AG225&lt;5+金蛇*2,IF(COUNTIF(B225,"*轻*")&gt;0,A225+加速!$L$9,A225+加速!$L$11)+V225,""),"")</f>
        <v/>
      </c>
      <c r="B226" s="167" t="str">
        <f ca="1" t="shared" si="58"/>
        <v/>
      </c>
      <c r="C226" t="str">
        <f ca="1" t="shared" si="67"/>
        <v/>
      </c>
      <c r="D226" t="str">
        <f ca="1">IF(B226&lt;&gt;"",IF(C225&lt;=加速!$L$11*(1-E226),0,1),"")</f>
        <v/>
      </c>
      <c r="E226">
        <f ca="1" t="shared" si="64"/>
        <v>1</v>
      </c>
      <c r="G226" t="str">
        <f ca="1" t="shared" si="65"/>
        <v/>
      </c>
      <c r="H226" t="str">
        <f ca="1">IF(B226&lt;&gt;"",IF(AND(COUNTIF(B225,"*轻*莺鸣柳*")&gt;0,COUNTIF(B226,"*轻*")&lt;1),MAX(0,15+I225-(A226-A225)+COUNTIF(B225,"*平湖*")*0),IF(AND(E226=0,MAX(0,H225-(A226-A225))&lt;=加速!$H$11),0,MAX(0,H225-(A226-A225)))),"")</f>
        <v/>
      </c>
      <c r="I226" t="str">
        <f ca="1" t="shared" si="71"/>
        <v/>
      </c>
      <c r="J226" t="str">
        <f ca="1" t="shared" si="72"/>
        <v/>
      </c>
      <c r="K226" t="str">
        <f ca="1" t="shared" si="59"/>
        <v/>
      </c>
      <c r="L226">
        <f ca="1">IFERROR(IF(AND(COUNTIF(B226,"*-峰插*"),技能数据库!$M$72&gt;0),0,IF(COUNTIF(B226,"*鹤归*")&gt;0,16-加速!$L$11,MAX(0,L225-(A226-A225)))),0)</f>
        <v>0</v>
      </c>
      <c r="M226">
        <f ca="1" t="shared" si="60"/>
        <v>0</v>
      </c>
      <c r="N226">
        <f ca="1">IFERROR(IF(AND(COUNTIF(B226,"*-峰插*"),技能数据库!$M$72&gt;0),0,IF(COUNTIF(B226,"*云飞*")&gt;0,4-COUNTIF(B226,"*玉山揽云*")*4--COUNTIF(B226,"*烟流暮景*")*4-COUNTIF(B226,"*云景*")*加速!$L$11-IF(J226&gt;0,2,0),MAX(0,N225-(A226-A225)-IF(J226&gt;0,2,0)))),0)</f>
        <v>0</v>
      </c>
      <c r="O226">
        <f ca="1">IF(AND(COUNTIF(IF(AND(配装计算器!$K$30&lt;&gt;"∞",0),INDEX(AU225:CB225,1,$AT$1),INDEX(AU227:CB227,1,$AT$1)),"*云飞*")=1,COUNTIF(IF(AND(配装计算器!$K$30&lt;&gt;"∞",0),INDEX(AU225:CB225,1,$AT$1),INDEX(AU227:CB227,1,$AT$1)),"*玉山*")=0),N226,0)</f>
        <v>0</v>
      </c>
      <c r="P226">
        <f ca="1">IFERROR(IF(COUNTIF(B226,"*云栖松*")&gt;0,50-加速!$L$11,MAX(0,P225-(A226-A225))),0)</f>
        <v>0</v>
      </c>
      <c r="Q226">
        <f ca="1">IF(COUNTIF(IF(AND(配装计算器!$K$30&lt;&gt;"∞",0),INDEX(AU225:CB225,1,$AT$1),INDEX(AU227:CB227,1,$AT$1)),"*云栖松*")=1,P226,0)</f>
        <v>0</v>
      </c>
      <c r="R226">
        <f ca="1">IFERROR(IF(COUNTIF(B226,"*莺鸣柳*")&gt;0,45-加速!$L$9,MAX(0,R225-(A226-A225))),0)</f>
        <v>0</v>
      </c>
      <c r="S226">
        <f ca="1">IF(COUNTIF(IF(AND(配装计算器!$K$30&lt;&gt;"∞",0),INDEX(AU225:CB225,1,$AT$1),INDEX(AU227:CB227,1,$AT$1)),"*莺鸣柳*")=1,R226,0)</f>
        <v>0</v>
      </c>
      <c r="T226">
        <f ca="1" t="shared" si="68"/>
        <v>0</v>
      </c>
      <c r="U226">
        <f ca="1">IF(金蛇,IF(COUNTIF(B226,"*金环戴*")+COUNTIF(B226,"*吹风醒*")&gt;0,IF(A226&lt;=3,7.125-2.625-A226-加速!$L$11,7.125+加速!$K$9-(A226+加速!$L$11-T226)),0),0)+IF(金蛇,IF(COUNTIF(B226,"*千切子裂光*")&gt;0,2+加速!$K$9-(A226+加速!$L$11-T226),0),0)</f>
        <v>0</v>
      </c>
      <c r="V226">
        <f ca="1" t="shared" si="69"/>
        <v>0</v>
      </c>
      <c r="W226">
        <f ca="1" t="shared" si="61"/>
        <v>0</v>
      </c>
      <c r="X226">
        <f ca="1">INDEX(加速!$I$13:$I$21,W226+1)</f>
        <v>0</v>
      </c>
      <c r="Y226">
        <f ca="1" t="shared" si="70"/>
        <v>0.5</v>
      </c>
      <c r="Z226">
        <f ca="1" t="shared" si="66"/>
        <v>0</v>
      </c>
      <c r="AA226">
        <f ca="1">MAX(0,IFERROR(IF(COUNTIF(B226,"*叠*")&gt;0,IF(AC225&lt;3,8-A227+A226,AA225+6.875-A227+A226),AA225-A227+A226),AA225-加速!$L$11))</f>
        <v>0</v>
      </c>
      <c r="AB226" t="e">
        <f ca="1">MAX(0,IF(COUNTIF(IF(AND(配装计算器!$K$30&lt;&gt;"∞",0),INDEX(AU226:CB226,1,$AT$1),INDEX(AU226:CB226,1,$AT$1)),"*叠1*")=1,4*25-加速!$L$11,AB225-A226+A225)-IF(OR(COUNTIF(OFFSET(AT226,0,$AT$1,1,1),"*听雷*")&gt;0,AND(碧归&gt;0,COUNTIF(OFFSET(AT226,0,$AT$1,1,1),"*风来*")&gt;0)),0,1)*1.5)</f>
        <v>#VALUE!</v>
      </c>
      <c r="AC226">
        <f ca="1" t="shared" si="62"/>
        <v>0</v>
      </c>
      <c r="AD226">
        <f ca="1">IF(COUNTIF(IF(AND(配装计算器!$K$30&lt;&gt;"∞",0),INDEX(AU226:CB226,1,$AT$1),INDEX(AU227:CB227,1,$AT$1)),"*叠1*")=1,AB226*0+AE225,0)</f>
        <v>0</v>
      </c>
      <c r="AE226" t="e">
        <f ca="1">IF($AN$11&gt;0,IF(COUNTIF(B227,"*叠1*")&gt;0,50-加速!$L$11,MAX(0,AE225-(A227-A226))),0)</f>
        <v>#VALUE!</v>
      </c>
      <c r="AG226">
        <f ca="1" t="shared" si="63"/>
        <v>6</v>
      </c>
      <c r="AU226" s="176" t="s">
        <v>2768</v>
      </c>
      <c r="AV226">
        <v>1</v>
      </c>
      <c r="AW226" s="176" t="s">
        <v>2776</v>
      </c>
      <c r="AX226">
        <v>2</v>
      </c>
      <c r="AY226" t="s">
        <v>2768</v>
      </c>
      <c r="AZ226">
        <v>2</v>
      </c>
      <c r="BA226" t="s">
        <v>2789</v>
      </c>
      <c r="BB226">
        <v>2</v>
      </c>
      <c r="BC226" t="s">
        <v>2768</v>
      </c>
      <c r="BD226">
        <v>1</v>
      </c>
      <c r="BE226" t="s">
        <v>2768</v>
      </c>
      <c r="BF226">
        <v>2</v>
      </c>
      <c r="BG226" s="176" t="s">
        <v>2789</v>
      </c>
      <c r="BH226">
        <v>2</v>
      </c>
      <c r="BI226" t="s">
        <v>2768</v>
      </c>
      <c r="BJ226">
        <v>2</v>
      </c>
      <c r="BK226" t="s">
        <v>2794</v>
      </c>
      <c r="BL226">
        <v>2</v>
      </c>
      <c r="BM226" s="176" t="s">
        <v>2776</v>
      </c>
      <c r="BN226">
        <v>2</v>
      </c>
      <c r="BO226" s="176" t="s">
        <v>2850</v>
      </c>
      <c r="BP226">
        <f>IF(0,2,0)</f>
        <v>0</v>
      </c>
      <c r="BQ226" t="s">
        <v>2768</v>
      </c>
      <c r="BR226">
        <v>2</v>
      </c>
      <c r="BS226" t="s">
        <v>2768</v>
      </c>
      <c r="BT226">
        <v>2</v>
      </c>
      <c r="BU226" s="176" t="s">
        <v>2768</v>
      </c>
      <c r="BV226">
        <v>2</v>
      </c>
      <c r="BW226" s="182" t="s">
        <v>3063</v>
      </c>
      <c r="BX226" s="179">
        <v>0</v>
      </c>
      <c r="BY226" s="176" t="s">
        <v>2776</v>
      </c>
      <c r="BZ226">
        <v>2</v>
      </c>
      <c r="CA226" t="s">
        <v>2768</v>
      </c>
      <c r="CB226">
        <v>2</v>
      </c>
    </row>
    <row r="227" spans="1:80">
      <c r="A227" s="178" t="str">
        <f ca="1">IFERROR(IF(AG226&lt;5+金蛇*2,IF(COUNTIF(B226,"*轻*")&gt;0,A226+加速!$L$9,A226+加速!$L$11)+V226,""),"")</f>
        <v/>
      </c>
      <c r="B227" s="167" t="str">
        <f ca="1" t="shared" si="58"/>
        <v/>
      </c>
      <c r="C227" t="str">
        <f ca="1" t="shared" si="67"/>
        <v/>
      </c>
      <c r="D227" t="str">
        <f ca="1">IF(B227&lt;&gt;"",IF(C226&lt;=加速!$L$11*(1-E227),0,1),"")</f>
        <v/>
      </c>
      <c r="E227">
        <f ca="1" t="shared" si="64"/>
        <v>1</v>
      </c>
      <c r="G227" t="str">
        <f ca="1" t="shared" si="65"/>
        <v/>
      </c>
      <c r="H227" t="str">
        <f ca="1">IF(B227&lt;&gt;"",IF(AND(COUNTIF(B226,"*轻*莺鸣柳*")&gt;0,COUNTIF(B227,"*轻*")&lt;1),MAX(0,15+I226-(A227-A226)+COUNTIF(B226,"*平湖*")*0),IF(AND(E227=0,MAX(0,H226-(A227-A226))&lt;=加速!$H$11),0,MAX(0,H226-(A227-A226)))),"")</f>
        <v/>
      </c>
      <c r="I227" t="str">
        <f ca="1" t="shared" si="71"/>
        <v/>
      </c>
      <c r="J227" t="str">
        <f ca="1" t="shared" si="72"/>
        <v/>
      </c>
      <c r="K227" t="str">
        <f ca="1" t="shared" si="59"/>
        <v/>
      </c>
      <c r="L227">
        <f ca="1">IFERROR(IF(AND(COUNTIF(B227,"*-峰插*"),技能数据库!$M$72&gt;0),0,IF(COUNTIF(B227,"*鹤归*")&gt;0,16-加速!$L$11,MAX(0,L226-(A227-A226)))),0)</f>
        <v>0</v>
      </c>
      <c r="M227">
        <f ca="1" t="shared" si="60"/>
        <v>0</v>
      </c>
      <c r="N227">
        <f ca="1">IFERROR(IF(AND(COUNTIF(B227,"*-峰插*"),技能数据库!$M$72&gt;0),0,IF(COUNTIF(B227,"*云飞*")&gt;0,4-COUNTIF(B227,"*玉山揽云*")*4--COUNTIF(B227,"*烟流暮景*")*4-COUNTIF(B227,"*云景*")*加速!$L$11-IF(J227&gt;0,2,0),MAX(0,N226-(A227-A226)-IF(J227&gt;0,2,0)))),0)</f>
        <v>0</v>
      </c>
      <c r="O227">
        <f ca="1">IF(AND(COUNTIF(IF(AND(配装计算器!$K$30&lt;&gt;"∞",0),INDEX(AU226:CB226,1,$AT$1),INDEX(AU228:CB228,1,$AT$1)),"*云飞*")=1,COUNTIF(IF(AND(配装计算器!$K$30&lt;&gt;"∞",0),INDEX(AU226:CB226,1,$AT$1),INDEX(AU228:CB228,1,$AT$1)),"*玉山*")=0),N227,0)</f>
        <v>0</v>
      </c>
      <c r="P227">
        <f ca="1">IFERROR(IF(COUNTIF(B227,"*云栖松*")&gt;0,50-加速!$L$11,MAX(0,P226-(A227-A226))),0)</f>
        <v>0</v>
      </c>
      <c r="Q227">
        <f ca="1">IF(COUNTIF(IF(AND(配装计算器!$K$30&lt;&gt;"∞",0),INDEX(AU226:CB226,1,$AT$1),INDEX(AU228:CB228,1,$AT$1)),"*云栖松*")=1,P227,0)</f>
        <v>0</v>
      </c>
      <c r="R227">
        <f ca="1">IFERROR(IF(COUNTIF(B227,"*莺鸣柳*")&gt;0,45-加速!$L$9,MAX(0,R226-(A227-A226))),0)</f>
        <v>0</v>
      </c>
      <c r="S227">
        <f ca="1">IF(COUNTIF(IF(AND(配装计算器!$K$30&lt;&gt;"∞",0),INDEX(AU226:CB226,1,$AT$1),INDEX(AU228:CB228,1,$AT$1)),"*莺鸣柳*")=1,R227,0)</f>
        <v>0</v>
      </c>
      <c r="T227">
        <f ca="1" t="shared" si="68"/>
        <v>0</v>
      </c>
      <c r="U227">
        <f ca="1">IF(金蛇,IF(COUNTIF(B227,"*金环戴*")+COUNTIF(B227,"*吹风醒*")&gt;0,IF(A227&lt;=3,7.125-2.625-A227-加速!$L$11,7.125+加速!$K$9-(A227+加速!$L$11-T227)),0),0)+IF(金蛇,IF(COUNTIF(B227,"*千切子裂光*")&gt;0,2+加速!$K$9-(A227+加速!$L$11-T227),0),0)</f>
        <v>0</v>
      </c>
      <c r="V227">
        <f ca="1" t="shared" si="69"/>
        <v>0</v>
      </c>
      <c r="W227">
        <f ca="1" t="shared" si="61"/>
        <v>0</v>
      </c>
      <c r="X227">
        <f ca="1">INDEX(加速!$I$13:$I$21,W227+1)</f>
        <v>0</v>
      </c>
      <c r="Y227">
        <f ca="1" t="shared" si="70"/>
        <v>0.5</v>
      </c>
      <c r="Z227">
        <f ca="1" t="shared" si="66"/>
        <v>0</v>
      </c>
      <c r="AA227">
        <f ca="1">MAX(0,IFERROR(IF(COUNTIF(B227,"*叠*")&gt;0,IF(AC226&lt;3,8-A228+A227,AA226+6.875-A228+A227),AA226-A228+A227),AA226-加速!$L$11))</f>
        <v>0</v>
      </c>
      <c r="AB227" t="e">
        <f ca="1">MAX(0,IF(COUNTIF(IF(AND(配装计算器!$K$30&lt;&gt;"∞",0),INDEX(AU227:CB227,1,$AT$1),INDEX(AU227:CB227,1,$AT$1)),"*叠1*")=1,4*25-加速!$L$11,AB226-A227+A226)-IF(OR(COUNTIF(OFFSET(AT227,0,$AT$1,1,1),"*听雷*")&gt;0,AND(碧归&gt;0,COUNTIF(OFFSET(AT227,0,$AT$1,1,1),"*风来*")&gt;0)),0,1)*1.5)</f>
        <v>#VALUE!</v>
      </c>
      <c r="AC227">
        <f ca="1" t="shared" si="62"/>
        <v>0</v>
      </c>
      <c r="AD227">
        <f ca="1">IF(COUNTIF(IF(AND(配装计算器!$K$30&lt;&gt;"∞",0),INDEX(AU227:CB227,1,$AT$1),INDEX(AU228:CB228,1,$AT$1)),"*叠1*")=1,AB227*0+AE226,0)</f>
        <v>0</v>
      </c>
      <c r="AE227" t="e">
        <f ca="1">IF($AN$11&gt;0,IF(COUNTIF(B228,"*叠1*")&gt;0,50-加速!$L$11,MAX(0,AE226-(A228-A227))),0)</f>
        <v>#VALUE!</v>
      </c>
      <c r="AG227">
        <f ca="1" t="shared" si="63"/>
        <v>6</v>
      </c>
      <c r="AU227" s="176" t="s">
        <v>2776</v>
      </c>
      <c r="AV227">
        <v>2</v>
      </c>
      <c r="AW227" s="176" t="s">
        <v>2768</v>
      </c>
      <c r="AX227">
        <v>2</v>
      </c>
      <c r="AY227" t="s">
        <v>2789</v>
      </c>
      <c r="AZ227">
        <v>2</v>
      </c>
      <c r="BA227" t="s">
        <v>2776</v>
      </c>
      <c r="BB227">
        <v>2</v>
      </c>
      <c r="BC227" t="s">
        <v>2776</v>
      </c>
      <c r="BD227">
        <v>1</v>
      </c>
      <c r="BE227" t="s">
        <v>2776</v>
      </c>
      <c r="BF227">
        <v>2</v>
      </c>
      <c r="BG227" s="176" t="s">
        <v>2776</v>
      </c>
      <c r="BH227">
        <v>2</v>
      </c>
      <c r="BI227" t="s">
        <v>2768</v>
      </c>
      <c r="BJ227">
        <v>2</v>
      </c>
      <c r="BK227" t="s">
        <v>2768</v>
      </c>
      <c r="BL227">
        <v>2</v>
      </c>
      <c r="BM227" s="176" t="str">
        <f>IF(0,"云飞玉皇-玉山揽云","夕照雷峰")</f>
        <v>夕照雷峰</v>
      </c>
      <c r="BN227">
        <v>2</v>
      </c>
      <c r="BO227" s="176" t="str">
        <f>IF(秋,"金环戴","吹风醒")</f>
        <v>吹风醒</v>
      </c>
      <c r="BP227">
        <v>2</v>
      </c>
      <c r="BQ227" t="s">
        <v>3023</v>
      </c>
      <c r="BR227">
        <v>2</v>
      </c>
      <c r="BS227" t="s">
        <v>2776</v>
      </c>
      <c r="BT227">
        <v>2</v>
      </c>
      <c r="BU227" s="176" t="s">
        <v>2768</v>
      </c>
      <c r="BV227">
        <v>2</v>
      </c>
      <c r="BW227" s="179" t="s">
        <v>2768</v>
      </c>
      <c r="BX227" s="179">
        <v>2</v>
      </c>
      <c r="BY227" s="176" t="str">
        <f>IF(0,"云飞玉皇-玉山揽云","夕照雷峰")</f>
        <v>夕照雷峰</v>
      </c>
      <c r="BZ227">
        <v>2</v>
      </c>
      <c r="CA227" t="s">
        <v>1886</v>
      </c>
      <c r="CB227">
        <v>2</v>
      </c>
    </row>
    <row r="228" spans="1:80">
      <c r="A228" s="178" t="str">
        <f ca="1">IFERROR(IF(AG227&lt;5+金蛇*2,IF(COUNTIF(B227,"*轻*")&gt;0,A227+加速!$L$9,A227+加速!$L$11)+V227,""),"")</f>
        <v/>
      </c>
      <c r="B228" s="167" t="str">
        <f ca="1" t="shared" si="58"/>
        <v/>
      </c>
      <c r="C228" t="str">
        <f ca="1" t="shared" si="67"/>
        <v/>
      </c>
      <c r="D228" t="str">
        <f ca="1">IF(B228&lt;&gt;"",IF(C227&lt;=加速!$L$11*(1-E228),0,1),"")</f>
        <v/>
      </c>
      <c r="E228">
        <f ca="1" t="shared" si="64"/>
        <v>1</v>
      </c>
      <c r="G228" t="str">
        <f ca="1" t="shared" si="65"/>
        <v/>
      </c>
      <c r="H228" t="str">
        <f ca="1">IF(B228&lt;&gt;"",IF(AND(COUNTIF(B227,"*轻*莺鸣柳*")&gt;0,COUNTIF(B228,"*轻*")&lt;1),MAX(0,15+I227-(A228-A227)+COUNTIF(B227,"*平湖*")*0),IF(AND(E228=0,MAX(0,H227-(A228-A227))&lt;=加速!$H$11),0,MAX(0,H227-(A228-A227)))),"")</f>
        <v/>
      </c>
      <c r="I228" t="str">
        <f ca="1" t="shared" si="71"/>
        <v/>
      </c>
      <c r="J228" t="str">
        <f ca="1" t="shared" si="72"/>
        <v/>
      </c>
      <c r="K228" t="str">
        <f ca="1" t="shared" si="59"/>
        <v/>
      </c>
      <c r="L228">
        <f ca="1">IFERROR(IF(AND(COUNTIF(B228,"*-峰插*"),技能数据库!$M$72&gt;0),0,IF(COUNTIF(B228,"*鹤归*")&gt;0,16-加速!$L$11,MAX(0,L227-(A228-A227)))),0)</f>
        <v>0</v>
      </c>
      <c r="M228">
        <f ca="1" t="shared" si="60"/>
        <v>0</v>
      </c>
      <c r="N228">
        <f ca="1">IFERROR(IF(AND(COUNTIF(B228,"*-峰插*"),技能数据库!$M$72&gt;0),0,IF(COUNTIF(B228,"*云飞*")&gt;0,4-COUNTIF(B228,"*玉山揽云*")*4--COUNTIF(B228,"*烟流暮景*")*4-COUNTIF(B228,"*云景*")*加速!$L$11-IF(J228&gt;0,2,0),MAX(0,N227-(A228-A227)-IF(J228&gt;0,2,0)))),0)</f>
        <v>0</v>
      </c>
      <c r="O228">
        <f ca="1">IF(AND(COUNTIF(IF(AND(配装计算器!$K$30&lt;&gt;"∞",0),INDEX(AU227:CB227,1,$AT$1),INDEX(AU229:CB229,1,$AT$1)),"*云飞*")=1,COUNTIF(IF(AND(配装计算器!$K$30&lt;&gt;"∞",0),INDEX(AU227:CB227,1,$AT$1),INDEX(AU229:CB229,1,$AT$1)),"*玉山*")=0),N228,0)</f>
        <v>0</v>
      </c>
      <c r="P228">
        <f ca="1">IFERROR(IF(COUNTIF(B228,"*云栖松*")&gt;0,50-加速!$L$11,MAX(0,P227-(A228-A227))),0)</f>
        <v>0</v>
      </c>
      <c r="Q228">
        <f ca="1">IF(COUNTIF(IF(AND(配装计算器!$K$30&lt;&gt;"∞",0),INDEX(AU227:CB227,1,$AT$1),INDEX(AU229:CB229,1,$AT$1)),"*云栖松*")=1,P228,0)</f>
        <v>0</v>
      </c>
      <c r="R228">
        <f ca="1">IFERROR(IF(COUNTIF(B228,"*莺鸣柳*")&gt;0,45-加速!$L$9,MAX(0,R227-(A228-A227))),0)</f>
        <v>0</v>
      </c>
      <c r="S228">
        <f ca="1">IF(COUNTIF(IF(AND(配装计算器!$K$30&lt;&gt;"∞",0),INDEX(AU227:CB227,1,$AT$1),INDEX(AU229:CB229,1,$AT$1)),"*莺鸣柳*")=1,R228,0)</f>
        <v>0</v>
      </c>
      <c r="T228">
        <f ca="1" t="shared" si="68"/>
        <v>0</v>
      </c>
      <c r="U228">
        <f ca="1">IF(金蛇,IF(COUNTIF(B228,"*金环戴*")+COUNTIF(B228,"*吹风醒*")&gt;0,IF(A228&lt;=3,7.125-2.625-A228-加速!$L$11,7.125+加速!$K$9-(A228+加速!$L$11-T228)),0),0)+IF(金蛇,IF(COUNTIF(B228,"*千切子裂光*")&gt;0,2+加速!$K$9-(A228+加速!$L$11-T228),0),0)</f>
        <v>0</v>
      </c>
      <c r="V228">
        <f ca="1" t="shared" si="69"/>
        <v>0</v>
      </c>
      <c r="W228">
        <f ca="1" t="shared" si="61"/>
        <v>0</v>
      </c>
      <c r="X228">
        <f ca="1">INDEX(加速!$I$13:$I$21,W228+1)</f>
        <v>0</v>
      </c>
      <c r="Y228">
        <f ca="1" t="shared" si="70"/>
        <v>0.5</v>
      </c>
      <c r="Z228">
        <f ca="1" t="shared" si="66"/>
        <v>0</v>
      </c>
      <c r="AA228">
        <f ca="1">MAX(0,IFERROR(IF(COUNTIF(B228,"*叠*")&gt;0,IF(AC227&lt;3,8-A229+A228,AA227+6.875-A229+A228),AA227-A229+A228),AA227-加速!$L$11))</f>
        <v>0</v>
      </c>
      <c r="AB228" t="e">
        <f ca="1">MAX(0,IF(COUNTIF(IF(AND(配装计算器!$K$30&lt;&gt;"∞",0),INDEX(AU228:CB228,1,$AT$1),INDEX(AU228:CB228,1,$AT$1)),"*叠1*")=1,4*25-加速!$L$11,AB227-A228+A227)-IF(OR(COUNTIF(OFFSET(AT228,0,$AT$1,1,1),"*听雷*")&gt;0,AND(碧归&gt;0,COUNTIF(OFFSET(AT228,0,$AT$1,1,1),"*风来*")&gt;0)),0,1)*1.5)</f>
        <v>#VALUE!</v>
      </c>
      <c r="AC228">
        <f ca="1" t="shared" si="62"/>
        <v>0</v>
      </c>
      <c r="AD228">
        <f ca="1">IF(COUNTIF(IF(AND(配装计算器!$K$30&lt;&gt;"∞",0),INDEX(AU228:CB228,1,$AT$1),INDEX(AU229:CB229,1,$AT$1)),"*叠1*")=1,AB228*0+AE227,0)</f>
        <v>0</v>
      </c>
      <c r="AE228" t="e">
        <f ca="1">IF($AN$11&gt;0,IF(COUNTIF(B229,"*叠1*")&gt;0,50-加速!$L$11,MAX(0,AE227-(A229-A228))),0)</f>
        <v>#VALUE!</v>
      </c>
      <c r="AG228">
        <f ca="1" t="shared" si="63"/>
        <v>6</v>
      </c>
      <c r="AU228" s="176" t="s">
        <v>2768</v>
      </c>
      <c r="AV228">
        <v>1</v>
      </c>
      <c r="AW228" s="176" t="s">
        <v>2776</v>
      </c>
      <c r="AX228">
        <v>2</v>
      </c>
      <c r="AY228" t="s">
        <v>2776</v>
      </c>
      <c r="AZ228">
        <v>2</v>
      </c>
      <c r="BA228" t="s">
        <v>3035</v>
      </c>
      <c r="BB228">
        <v>2</v>
      </c>
      <c r="BC228" t="s">
        <v>2768</v>
      </c>
      <c r="BD228">
        <v>1</v>
      </c>
      <c r="BE228" t="s">
        <v>2768</v>
      </c>
      <c r="BF228">
        <v>2</v>
      </c>
      <c r="BG228" s="176" t="s">
        <v>3035</v>
      </c>
      <c r="BH228">
        <v>2</v>
      </c>
      <c r="BI228" s="176" t="s">
        <v>2794</v>
      </c>
      <c r="BJ228">
        <v>1</v>
      </c>
      <c r="BK228" t="s">
        <v>2776</v>
      </c>
      <c r="BL228">
        <v>2</v>
      </c>
      <c r="BM228" t="str">
        <f>IF(0,"云飞玉皇-玉山揽云","云飞玉皇")</f>
        <v>云飞玉皇</v>
      </c>
      <c r="BN228">
        <v>2</v>
      </c>
      <c r="BO228" t="str">
        <f>IF(秋,"夕照雷峰","云飞玉皇")</f>
        <v>云飞玉皇</v>
      </c>
      <c r="BP228">
        <v>2</v>
      </c>
      <c r="BQ228" t="s">
        <v>2768</v>
      </c>
      <c r="BR228">
        <v>2</v>
      </c>
      <c r="BS228" t="s">
        <v>2768</v>
      </c>
      <c r="BT228">
        <v>2</v>
      </c>
      <c r="BU228" s="176" t="s">
        <v>2789</v>
      </c>
      <c r="BV228">
        <v>2</v>
      </c>
      <c r="BW228" s="179" t="s">
        <v>1886</v>
      </c>
      <c r="BX228" s="179">
        <v>2</v>
      </c>
      <c r="BY228" t="str">
        <f>IF(0,"云飞玉皇-玉山揽云","云飞玉皇")</f>
        <v>云飞玉皇</v>
      </c>
      <c r="BZ228">
        <v>2</v>
      </c>
      <c r="CA228" t="s">
        <v>2853</v>
      </c>
      <c r="CB228">
        <v>2</v>
      </c>
    </row>
    <row r="229" spans="1:80">
      <c r="A229" s="178" t="str">
        <f ca="1">IFERROR(IF(AG228&lt;5+金蛇*2,IF(COUNTIF(B228,"*轻*")&gt;0,A228+加速!$L$9,A228+加速!$L$11)+V228,""),"")</f>
        <v/>
      </c>
      <c r="B229" s="167" t="str">
        <f ca="1" t="shared" si="58"/>
        <v/>
      </c>
      <c r="C229" t="str">
        <f ca="1" t="shared" si="67"/>
        <v/>
      </c>
      <c r="D229" t="str">
        <f ca="1">IF(B229&lt;&gt;"",IF(C228&lt;=加速!$L$11*(1-E229),0,1),"")</f>
        <v/>
      </c>
      <c r="E229">
        <f ca="1" t="shared" si="64"/>
        <v>1</v>
      </c>
      <c r="G229" t="str">
        <f ca="1" t="shared" si="65"/>
        <v/>
      </c>
      <c r="H229" t="str">
        <f ca="1">IF(B229&lt;&gt;"",IF(AND(COUNTIF(B228,"*轻*莺鸣柳*")&gt;0,COUNTIF(B229,"*轻*")&lt;1),MAX(0,15+I228-(A229-A228)+COUNTIF(B228,"*平湖*")*0),IF(AND(E229=0,MAX(0,H228-(A229-A228))&lt;=加速!$H$11),0,MAX(0,H228-(A229-A228)))),"")</f>
        <v/>
      </c>
      <c r="I229" t="str">
        <f ca="1" t="shared" si="71"/>
        <v/>
      </c>
      <c r="J229" t="str">
        <f ca="1" t="shared" si="72"/>
        <v/>
      </c>
      <c r="K229" t="str">
        <f ca="1" t="shared" si="59"/>
        <v/>
      </c>
      <c r="L229">
        <f ca="1">IFERROR(IF(AND(COUNTIF(B229,"*-峰插*"),技能数据库!$M$72&gt;0),0,IF(COUNTIF(B229,"*鹤归*")&gt;0,16-加速!$L$11,MAX(0,L228-(A229-A228)))),0)</f>
        <v>0</v>
      </c>
      <c r="M229">
        <f ca="1" t="shared" si="60"/>
        <v>0</v>
      </c>
      <c r="N229">
        <f ca="1">IFERROR(IF(AND(COUNTIF(B229,"*-峰插*"),技能数据库!$M$72&gt;0),0,IF(COUNTIF(B229,"*云飞*")&gt;0,4-COUNTIF(B229,"*玉山揽云*")*4--COUNTIF(B229,"*烟流暮景*")*4-COUNTIF(B229,"*云景*")*加速!$L$11-IF(J229&gt;0,2,0),MAX(0,N228-(A229-A228)-IF(J229&gt;0,2,0)))),0)</f>
        <v>0</v>
      </c>
      <c r="O229">
        <f ca="1">IF(AND(COUNTIF(IF(AND(配装计算器!$K$30&lt;&gt;"∞",0),INDEX(AU228:CB228,1,$AT$1),INDEX(AU230:CB230,1,$AT$1)),"*云飞*")=1,COUNTIF(IF(AND(配装计算器!$K$30&lt;&gt;"∞",0),INDEX(AU228:CB228,1,$AT$1),INDEX(AU230:CB230,1,$AT$1)),"*玉山*")=0),N229,0)</f>
        <v>0</v>
      </c>
      <c r="P229">
        <f ca="1">IFERROR(IF(COUNTIF(B229,"*云栖松*")&gt;0,50-加速!$L$11,MAX(0,P228-(A229-A228))),0)</f>
        <v>0</v>
      </c>
      <c r="Q229">
        <f ca="1">IF(COUNTIF(IF(AND(配装计算器!$K$30&lt;&gt;"∞",0),INDEX(AU228:CB228,1,$AT$1),INDEX(AU230:CB230,1,$AT$1)),"*云栖松*")=1,P229,0)</f>
        <v>0</v>
      </c>
      <c r="R229">
        <f ca="1">IFERROR(IF(COUNTIF(B229,"*莺鸣柳*")&gt;0,45-加速!$L$9,MAX(0,R228-(A229-A228))),0)</f>
        <v>0</v>
      </c>
      <c r="S229">
        <f ca="1">IF(COUNTIF(IF(AND(配装计算器!$K$30&lt;&gt;"∞",0),INDEX(AU228:CB228,1,$AT$1),INDEX(AU230:CB230,1,$AT$1)),"*莺鸣柳*")=1,R229,0)</f>
        <v>0</v>
      </c>
      <c r="T229">
        <f ca="1" t="shared" si="68"/>
        <v>0</v>
      </c>
      <c r="U229">
        <f ca="1">IF(金蛇,IF(COUNTIF(B229,"*金环戴*")+COUNTIF(B229,"*吹风醒*")&gt;0,IF(A229&lt;=3,7.125-2.625-A229-加速!$L$11,7.125+加速!$K$9-(A229+加速!$L$11-T229)),0),0)+IF(金蛇,IF(COUNTIF(B229,"*千切子裂光*")&gt;0,2+加速!$K$9-(A229+加速!$L$11-T229),0),0)</f>
        <v>0</v>
      </c>
      <c r="V229">
        <f ca="1" t="shared" si="69"/>
        <v>0</v>
      </c>
      <c r="W229">
        <f ca="1" t="shared" si="61"/>
        <v>0</v>
      </c>
      <c r="X229">
        <f ca="1">INDEX(加速!$I$13:$I$21,W229+1)</f>
        <v>0</v>
      </c>
      <c r="Y229">
        <f ca="1" t="shared" si="70"/>
        <v>0.5</v>
      </c>
      <c r="Z229">
        <f ca="1" t="shared" si="66"/>
        <v>0</v>
      </c>
      <c r="AA229">
        <f ca="1">MAX(0,IFERROR(IF(COUNTIF(B229,"*叠*")&gt;0,IF(AC228&lt;3,8-A230+A229,AA228+6.875-A230+A229),AA228-A230+A229),AA228-加速!$L$11))</f>
        <v>0</v>
      </c>
      <c r="AB229" t="e">
        <f ca="1">MAX(0,IF(COUNTIF(IF(AND(配装计算器!$K$30&lt;&gt;"∞",0),INDEX(AU229:CB229,1,$AT$1),INDEX(AU229:CB229,1,$AT$1)),"*叠1*")=1,4*25-加速!$L$11,AB228-A229+A228)-IF(OR(COUNTIF(OFFSET(AT229,0,$AT$1,1,1),"*听雷*")&gt;0,AND(碧归&gt;0,COUNTIF(OFFSET(AT229,0,$AT$1,1,1),"*风来*")&gt;0)),0,1)*1.5)</f>
        <v>#VALUE!</v>
      </c>
      <c r="AC229">
        <f ca="1" t="shared" si="62"/>
        <v>0</v>
      </c>
      <c r="AD229">
        <f ca="1">IF(COUNTIF(IF(AND(配装计算器!$K$30&lt;&gt;"∞",0),INDEX(AU229:CB229,1,$AT$1),INDEX(AU230:CB230,1,$AT$1)),"*叠1*")=1,AB229*0+AE228,0)</f>
        <v>0</v>
      </c>
      <c r="AE229" t="e">
        <f ca="1">IF($AN$11&gt;0,IF(COUNTIF(B230,"*叠1*")&gt;0,50-加速!$L$11,MAX(0,AE228-(A230-A229))),0)</f>
        <v>#VALUE!</v>
      </c>
      <c r="AG229">
        <f ca="1" t="shared" si="63"/>
        <v>6</v>
      </c>
      <c r="AU229" s="176" t="s">
        <v>2776</v>
      </c>
      <c r="AV229">
        <v>1</v>
      </c>
      <c r="AW229" s="176" t="str">
        <f t="shared" ref="AW229:AW233" si="76">IF($AR$11=1,"云飞玉皇-玉山揽云","夕照雷峰")</f>
        <v>夕照雷峰</v>
      </c>
      <c r="AX229">
        <v>2</v>
      </c>
      <c r="AY229" t="s">
        <v>3035</v>
      </c>
      <c r="AZ229">
        <v>2</v>
      </c>
      <c r="BA229" t="s">
        <v>2768</v>
      </c>
      <c r="BB229">
        <v>2</v>
      </c>
      <c r="BC229" t="s">
        <v>2768</v>
      </c>
      <c r="BD229">
        <v>0</v>
      </c>
      <c r="BE229" t="s">
        <v>2776</v>
      </c>
      <c r="BF229">
        <v>1</v>
      </c>
      <c r="BG229" t="s">
        <v>2768</v>
      </c>
      <c r="BH229">
        <v>2</v>
      </c>
      <c r="BI229" t="s">
        <v>2776</v>
      </c>
      <c r="BJ229">
        <v>1</v>
      </c>
      <c r="BK229" t="s">
        <v>2768</v>
      </c>
      <c r="BL229">
        <v>1</v>
      </c>
      <c r="BM229" t="str">
        <f>IF(秋,"云栖松","泉凝月")</f>
        <v>泉凝月</v>
      </c>
      <c r="BN229">
        <v>2</v>
      </c>
      <c r="BO229" s="176" t="str">
        <f>IF(秋,"梦泉虎跑-轻","夕照雷峰")</f>
        <v>夕照雷峰</v>
      </c>
      <c r="BP229">
        <v>2</v>
      </c>
      <c r="BQ229" t="s">
        <v>2776</v>
      </c>
      <c r="BR229">
        <v>2</v>
      </c>
      <c r="BS229" t="s">
        <v>2768</v>
      </c>
      <c r="BT229">
        <v>1</v>
      </c>
      <c r="BU229" s="176" t="s">
        <v>2776</v>
      </c>
      <c r="BV229">
        <v>2</v>
      </c>
      <c r="BW229" s="179" t="s">
        <v>2853</v>
      </c>
      <c r="BX229" s="179">
        <v>2</v>
      </c>
      <c r="BY229" t="str">
        <f>IF(秋,"云栖松","泉凝月")</f>
        <v>泉凝月</v>
      </c>
      <c r="BZ229">
        <v>2</v>
      </c>
      <c r="CA229" s="176" t="s">
        <v>2850</v>
      </c>
      <c r="CB229">
        <f>IF(0,2,0)</f>
        <v>0</v>
      </c>
    </row>
    <row r="230" spans="1:80">
      <c r="A230" s="178" t="str">
        <f ca="1">IFERROR(IF(AG229&lt;5+金蛇*2,IF(COUNTIF(B229,"*轻*")&gt;0,A229+加速!$L$9,A229+加速!$L$11)+V229,""),"")</f>
        <v/>
      </c>
      <c r="B230" s="167" t="str">
        <f ca="1" t="shared" si="58"/>
        <v/>
      </c>
      <c r="C230" t="str">
        <f ca="1" t="shared" si="67"/>
        <v/>
      </c>
      <c r="D230" t="str">
        <f ca="1">IF(B230&lt;&gt;"",IF(C229&lt;=加速!$L$11*(1-E230),0,1),"")</f>
        <v/>
      </c>
      <c r="E230">
        <f ca="1" t="shared" si="64"/>
        <v>1</v>
      </c>
      <c r="G230" t="str">
        <f ca="1" t="shared" si="65"/>
        <v/>
      </c>
      <c r="H230" t="str">
        <f ca="1">IF(B230&lt;&gt;"",IF(AND(COUNTIF(B229,"*轻*莺鸣柳*")&gt;0,COUNTIF(B230,"*轻*")&lt;1),MAX(0,15+I229-(A230-A229)+COUNTIF(B229,"*平湖*")*0),IF(AND(E230=0,MAX(0,H229-(A230-A229))&lt;=加速!$H$11),0,MAX(0,H229-(A230-A229)))),"")</f>
        <v/>
      </c>
      <c r="I230" t="str">
        <f ca="1" t="shared" si="71"/>
        <v/>
      </c>
      <c r="J230" t="str">
        <f ca="1" t="shared" si="72"/>
        <v/>
      </c>
      <c r="K230" t="str">
        <f ca="1" t="shared" si="59"/>
        <v/>
      </c>
      <c r="L230">
        <f ca="1">IFERROR(IF(AND(COUNTIF(B230,"*-峰插*"),技能数据库!$M$72&gt;0),0,IF(COUNTIF(B230,"*鹤归*")&gt;0,16-加速!$L$11,MAX(0,L229-(A230-A229)))),0)</f>
        <v>0</v>
      </c>
      <c r="M230">
        <f ca="1" t="shared" si="60"/>
        <v>0</v>
      </c>
      <c r="N230">
        <f ca="1">IFERROR(IF(AND(COUNTIF(B230,"*-峰插*"),技能数据库!$M$72&gt;0),0,IF(COUNTIF(B230,"*云飞*")&gt;0,4-COUNTIF(B230,"*玉山揽云*")*4--COUNTIF(B230,"*烟流暮景*")*4-COUNTIF(B230,"*云景*")*加速!$L$11-IF(J230&gt;0,2,0),MAX(0,N229-(A230-A229)-IF(J230&gt;0,2,0)))),0)</f>
        <v>0</v>
      </c>
      <c r="O230">
        <f ca="1">IF(AND(COUNTIF(IF(AND(配装计算器!$K$30&lt;&gt;"∞",0),INDEX(AU229:CB229,1,$AT$1),INDEX(AU231:CB231,1,$AT$1)),"*云飞*")=1,COUNTIF(IF(AND(配装计算器!$K$30&lt;&gt;"∞",0),INDEX(AU229:CB229,1,$AT$1),INDEX(AU231:CB231,1,$AT$1)),"*玉山*")=0),N230,0)</f>
        <v>0</v>
      </c>
      <c r="P230">
        <f ca="1">IFERROR(IF(COUNTIF(B230,"*云栖松*")&gt;0,50-加速!$L$11,MAX(0,P229-(A230-A229))),0)</f>
        <v>0</v>
      </c>
      <c r="Q230">
        <f ca="1">IF(COUNTIF(IF(AND(配装计算器!$K$30&lt;&gt;"∞",0),INDEX(AU229:CB229,1,$AT$1),INDEX(AU231:CB231,1,$AT$1)),"*云栖松*")=1,P230,0)</f>
        <v>0</v>
      </c>
      <c r="R230">
        <f ca="1">IFERROR(IF(COUNTIF(B230,"*莺鸣柳*")&gt;0,45-加速!$L$9,MAX(0,R229-(A230-A229))),0)</f>
        <v>0</v>
      </c>
      <c r="S230">
        <f ca="1">IF(COUNTIF(IF(AND(配装计算器!$K$30&lt;&gt;"∞",0),INDEX(AU229:CB229,1,$AT$1),INDEX(AU231:CB231,1,$AT$1)),"*莺鸣柳*")=1,R230,0)</f>
        <v>0</v>
      </c>
      <c r="T230">
        <f ca="1" t="shared" si="68"/>
        <v>0</v>
      </c>
      <c r="U230">
        <f ca="1">IF(金蛇,IF(COUNTIF(B230,"*金环戴*")+COUNTIF(B230,"*吹风醒*")&gt;0,IF(A230&lt;=3,7.125-2.625-A230-加速!$L$11,7.125+加速!$K$9-(A230+加速!$L$11-T230)),0),0)+IF(金蛇,IF(COUNTIF(B230,"*千切子裂光*")&gt;0,2+加速!$K$9-(A230+加速!$L$11-T230),0),0)</f>
        <v>0</v>
      </c>
      <c r="V230" t="e">
        <f ca="1" t="shared" si="69"/>
        <v>#VALUE!</v>
      </c>
      <c r="W230">
        <f ca="1" t="shared" si="61"/>
        <v>0</v>
      </c>
      <c r="X230">
        <f ca="1">INDEX(加速!$I$13:$I$21,W230+1)</f>
        <v>0</v>
      </c>
      <c r="Y230">
        <f ca="1" t="shared" si="70"/>
        <v>0.5</v>
      </c>
      <c r="Z230">
        <f ca="1" t="shared" si="66"/>
        <v>0</v>
      </c>
      <c r="AA230">
        <f ca="1">MAX(0,IFERROR(IF(COUNTIF(B230,"*叠*")&gt;0,IF(AC229&lt;3,8-A231+A230,AA229+6.875-A231+A230),AA229-A231+A230),AA229-加速!$L$11))</f>
        <v>0</v>
      </c>
      <c r="AB230" t="e">
        <f ca="1">MAX(0,IF(COUNTIF(IF(AND(配装计算器!$K$30&lt;&gt;"∞",0),INDEX(AU230:CB230,1,$AT$1),INDEX(AU230:CB230,1,$AT$1)),"*叠1*")=1,4*25-加速!$L$11,AB229-A230+A229)-IF(OR(COUNTIF(OFFSET(AT230,0,$AT$1,1,1),"*听雷*")&gt;0,AND(碧归&gt;0,COUNTIF(OFFSET(AT230,0,$AT$1,1,1),"*风来*")&gt;0)),0,1)*1.5)</f>
        <v>#VALUE!</v>
      </c>
      <c r="AC230">
        <f ca="1" t="shared" si="62"/>
        <v>0</v>
      </c>
      <c r="AD230" t="e">
        <f ca="1">IF(COUNTIF(IF(AND(配装计算器!$K$30&lt;&gt;"∞",0),INDEX(AU230:CB230,1,$AT$1),INDEX(AU231:CB231,1,$AT$1)),"*叠1*")=1,AB230*0+AE229,0)</f>
        <v>#VALUE!</v>
      </c>
      <c r="AE230" t="e">
        <f ca="1">IF($AN$11&gt;0,IF(COUNTIF(B231,"*叠1*")&gt;0,50-加速!$L$11,MAX(0,AE229-(A231-A230))),0)</f>
        <v>#VALUE!</v>
      </c>
      <c r="AG230">
        <f ca="1" t="shared" si="63"/>
        <v>7</v>
      </c>
      <c r="AU230" t="s">
        <v>2722</v>
      </c>
      <c r="AV230">
        <v>0</v>
      </c>
      <c r="AW230" t="str">
        <f>IF($AR$11=1,"云飞玉皇-玉山揽云","云景·云飞玉皇-黄龙吐翠")</f>
        <v>云景·云飞玉皇-黄龙吐翠</v>
      </c>
      <c r="AX230">
        <f>IF($AR$11=1,2,1)</f>
        <v>1</v>
      </c>
      <c r="AY230" t="s">
        <v>2768</v>
      </c>
      <c r="AZ230">
        <v>2</v>
      </c>
      <c r="BA230" t="s">
        <v>2776</v>
      </c>
      <c r="BB230">
        <v>2</v>
      </c>
      <c r="BC230" t="s">
        <v>2768</v>
      </c>
      <c r="BD230">
        <v>0</v>
      </c>
      <c r="BE230" t="s">
        <v>2768</v>
      </c>
      <c r="BF230">
        <v>1</v>
      </c>
      <c r="BG230" t="s">
        <v>2776</v>
      </c>
      <c r="BH230">
        <v>2</v>
      </c>
      <c r="BI230" t="s">
        <v>2768</v>
      </c>
      <c r="BJ230">
        <v>0</v>
      </c>
      <c r="BK230" t="s">
        <v>2776</v>
      </c>
      <c r="BL230">
        <v>1</v>
      </c>
      <c r="BM230" t="s">
        <v>2768</v>
      </c>
      <c r="BN230">
        <v>2</v>
      </c>
      <c r="BO230" s="176" t="str">
        <f>IF(秋,"九溪弥烟-轻-血毒金蛇锥","梦泉虎跑-轻")</f>
        <v>梦泉虎跑-轻</v>
      </c>
      <c r="BP230">
        <v>0</v>
      </c>
      <c r="BQ230" t="s">
        <v>2789</v>
      </c>
      <c r="BR230">
        <v>2</v>
      </c>
      <c r="BS230" t="s">
        <v>2768</v>
      </c>
      <c r="BT230">
        <v>1</v>
      </c>
      <c r="BU230" s="176" t="s">
        <v>3035</v>
      </c>
      <c r="BV230">
        <v>2</v>
      </c>
      <c r="BW230" s="182" t="s">
        <v>2850</v>
      </c>
      <c r="BX230" s="179">
        <v>2</v>
      </c>
      <c r="BY230" t="s">
        <v>2768</v>
      </c>
      <c r="BZ230">
        <v>2</v>
      </c>
      <c r="CA230" s="176" t="str">
        <f>IF(秋,"金环戴","吹风醒")</f>
        <v>吹风醒</v>
      </c>
      <c r="CB230">
        <v>2</v>
      </c>
    </row>
    <row r="231" spans="1:80">
      <c r="A231" s="178" t="str">
        <f ca="1">IFERROR(IF(AG230&lt;5+金蛇*2,IF(COUNTIF(B230,"*轻*")&gt;0,A230+加速!$L$9,A230+加速!$L$11)+V230,""),"")</f>
        <v/>
      </c>
      <c r="B231" s="167" t="str">
        <f ca="1" t="shared" si="58"/>
        <v/>
      </c>
      <c r="C231" t="str">
        <f ca="1" t="shared" si="67"/>
        <v/>
      </c>
      <c r="D231" t="str">
        <f ca="1">IF(B231&lt;&gt;"",IF(C230&lt;=加速!$L$11*(1-E231),0,1),"")</f>
        <v/>
      </c>
      <c r="E231">
        <f ca="1" t="shared" si="64"/>
        <v>1</v>
      </c>
      <c r="G231" t="str">
        <f ca="1" t="shared" si="65"/>
        <v/>
      </c>
      <c r="H231" t="str">
        <f ca="1">IF(B231&lt;&gt;"",IF(AND(COUNTIF(B230,"*轻*莺鸣柳*")&gt;0,COUNTIF(B231,"*轻*")&lt;1),MAX(0,15+I230-(A231-A230)+COUNTIF(B230,"*平湖*")*0),IF(AND(E231=0,MAX(0,H230-(A231-A230))&lt;=加速!$H$11),0,MAX(0,H230-(A231-A230)))),"")</f>
        <v/>
      </c>
      <c r="I231" t="str">
        <f ca="1" t="shared" si="71"/>
        <v/>
      </c>
      <c r="J231" t="str">
        <f ca="1" t="shared" si="72"/>
        <v/>
      </c>
      <c r="K231" t="str">
        <f ca="1" t="shared" si="59"/>
        <v/>
      </c>
      <c r="L231">
        <f ca="1">IFERROR(IF(AND(COUNTIF(B231,"*-峰插*"),技能数据库!$M$72&gt;0),0,IF(COUNTIF(B231,"*鹤归*")&gt;0,16-加速!$L$11,MAX(0,L230-(A231-A230)))),0)</f>
        <v>0</v>
      </c>
      <c r="M231">
        <f ca="1" t="shared" si="60"/>
        <v>0</v>
      </c>
      <c r="N231">
        <f ca="1">IFERROR(IF(AND(COUNTIF(B231,"*-峰插*"),技能数据库!$M$72&gt;0),0,IF(COUNTIF(B231,"*云飞*")&gt;0,4-COUNTIF(B231,"*玉山揽云*")*4--COUNTIF(B231,"*烟流暮景*")*4-COUNTIF(B231,"*云景*")*加速!$L$11-IF(J231&gt;0,2,0),MAX(0,N230-(A231-A230)-IF(J231&gt;0,2,0)))),0)</f>
        <v>0</v>
      </c>
      <c r="O231">
        <f ca="1">IF(AND(COUNTIF(IF(AND(配装计算器!$K$30&lt;&gt;"∞",0),INDEX(AU230:CB230,1,$AT$1),INDEX(AU232:CB232,1,$AT$1)),"*云飞*")=1,COUNTIF(IF(AND(配装计算器!$K$30&lt;&gt;"∞",0),INDEX(AU230:CB230,1,$AT$1),INDEX(AU232:CB232,1,$AT$1)),"*玉山*")=0),N231,0)</f>
        <v>0</v>
      </c>
      <c r="P231">
        <f ca="1">IFERROR(IF(COUNTIF(B231,"*云栖松*")&gt;0,50-加速!$L$11,MAX(0,P230-(A231-A230))),0)</f>
        <v>0</v>
      </c>
      <c r="Q231">
        <f ca="1">IF(COUNTIF(IF(AND(配装计算器!$K$30&lt;&gt;"∞",0),INDEX(AU230:CB230,1,$AT$1),INDEX(AU232:CB232,1,$AT$1)),"*云栖松*")=1,P231,0)</f>
        <v>0</v>
      </c>
      <c r="R231">
        <f ca="1">IFERROR(IF(COUNTIF(B231,"*莺鸣柳*")&gt;0,45-加速!$L$9,MAX(0,R230-(A231-A230))),0)</f>
        <v>0</v>
      </c>
      <c r="S231">
        <f ca="1">IF(COUNTIF(IF(AND(配装计算器!$K$30&lt;&gt;"∞",0),INDEX(AU230:CB230,1,$AT$1),INDEX(AU232:CB232,1,$AT$1)),"*莺鸣柳*")=1,R231,0)</f>
        <v>0</v>
      </c>
      <c r="T231">
        <f ca="1" t="shared" si="68"/>
        <v>0</v>
      </c>
      <c r="U231">
        <f ca="1">IF(金蛇,IF(COUNTIF(B231,"*金环戴*")+COUNTIF(B231,"*吹风醒*")&gt;0,IF(A231&lt;=3,7.125-2.625-A231-加速!$L$11,7.125+加速!$K$9-(A231+加速!$L$11-T231)),0),0)+IF(金蛇,IF(COUNTIF(B231,"*千切子裂光*")&gt;0,2+加速!$K$9-(A231+加速!$L$11-T231),0),0)</f>
        <v>0</v>
      </c>
      <c r="V231">
        <f ca="1" t="shared" si="69"/>
        <v>0</v>
      </c>
      <c r="W231">
        <f ca="1" t="shared" si="61"/>
        <v>0</v>
      </c>
      <c r="X231">
        <f ca="1">INDEX(加速!$I$13:$I$21,W231+1)</f>
        <v>0</v>
      </c>
      <c r="Y231">
        <f ca="1" t="shared" si="70"/>
        <v>0.5</v>
      </c>
      <c r="Z231">
        <f ca="1" t="shared" si="66"/>
        <v>0</v>
      </c>
      <c r="AA231">
        <f ca="1">MAX(0,IFERROR(IF(COUNTIF(B231,"*叠*")&gt;0,IF(AC230&lt;3,8-A232+A231,AA230+6.875-A232+A231),AA230-A232+A231),AA230-加速!$L$11))</f>
        <v>0</v>
      </c>
      <c r="AB231">
        <f ca="1">MAX(0,IF(COUNTIF(IF(AND(配装计算器!$K$30&lt;&gt;"∞",0),INDEX(AU231:CB231,1,$AT$1),INDEX(AU231:CB231,1,$AT$1)),"*叠1*")=1,4*25-加速!$L$11,AB230-A231+A230)-IF(OR(COUNTIF(OFFSET(AT231,0,$AT$1,1,1),"*听雷*")&gt;0,AND(碧归&gt;0,COUNTIF(OFFSET(AT231,0,$AT$1,1,1),"*风来*")&gt;0)),0,1)*1.5)</f>
        <v>97.21</v>
      </c>
      <c r="AC231">
        <f ca="1" t="shared" si="62"/>
        <v>0</v>
      </c>
      <c r="AD231">
        <f ca="1">IF(COUNTIF(IF(AND(配装计算器!$K$30&lt;&gt;"∞",0),INDEX(AU231:CB231,1,$AT$1),INDEX(AU232:CB232,1,$AT$1)),"*叠1*")=1,AB231*0+AE230,0)</f>
        <v>0</v>
      </c>
      <c r="AE231" t="e">
        <f ca="1">IF($AN$11&gt;0,IF(COUNTIF(B232,"*叠1*")&gt;0,50-加速!$L$11,MAX(0,AE230-(A232-A231))),0)</f>
        <v>#VALUE!</v>
      </c>
      <c r="AG231">
        <f ca="1" t="shared" si="63"/>
        <v>7</v>
      </c>
      <c r="AU231" t="s">
        <v>3009</v>
      </c>
      <c r="AV231">
        <v>2</v>
      </c>
      <c r="AW231" t="str">
        <f>IF($AR$11=1,橙武补雾锁,"夕照雷峰")</f>
        <v>夕照雷峰</v>
      </c>
      <c r="AX231">
        <v>2</v>
      </c>
      <c r="AY231" t="s">
        <v>2776</v>
      </c>
      <c r="AZ231">
        <v>2</v>
      </c>
      <c r="BA231" t="s">
        <v>2768</v>
      </c>
      <c r="BB231">
        <v>2</v>
      </c>
      <c r="BC231" t="s">
        <v>3010</v>
      </c>
      <c r="BD231">
        <v>2</v>
      </c>
      <c r="BE231" t="s">
        <v>2768</v>
      </c>
      <c r="BF231">
        <v>1</v>
      </c>
      <c r="BG231" t="s">
        <v>2768</v>
      </c>
      <c r="BH231">
        <v>2</v>
      </c>
      <c r="BI231" t="s">
        <v>3011</v>
      </c>
      <c r="BJ231">
        <v>2</v>
      </c>
      <c r="BK231" t="s">
        <v>2768</v>
      </c>
      <c r="BL231">
        <v>0</v>
      </c>
      <c r="BM231" t="s">
        <v>1886</v>
      </c>
      <c r="BN231">
        <v>2</v>
      </c>
      <c r="BO231" t="s">
        <v>3009</v>
      </c>
      <c r="BP231">
        <v>2</v>
      </c>
      <c r="BQ231" t="s">
        <v>2768</v>
      </c>
      <c r="BR231">
        <v>2</v>
      </c>
      <c r="BS231" t="s">
        <v>2776</v>
      </c>
      <c r="BT231">
        <v>0</v>
      </c>
      <c r="BU231" t="s">
        <v>2768</v>
      </c>
      <c r="BV231">
        <v>2</v>
      </c>
      <c r="BW231" s="182" t="str">
        <f>IF(秋,"金环戴","吹风醒")</f>
        <v>吹风醒</v>
      </c>
      <c r="BX231" s="179">
        <v>2</v>
      </c>
      <c r="BY231" t="s">
        <v>1886</v>
      </c>
      <c r="BZ231">
        <v>2</v>
      </c>
      <c r="CA231" s="176" t="s">
        <v>2768</v>
      </c>
      <c r="CB231">
        <v>2</v>
      </c>
    </row>
    <row r="232" spans="1:80">
      <c r="A232" s="178" t="str">
        <f ca="1">IFERROR(IF(AG231&lt;5+金蛇*2,IF(COUNTIF(B231,"*轻*")&gt;0,A231+加速!$L$9,A231+加速!$L$11)+V231,""),"")</f>
        <v/>
      </c>
      <c r="B232" s="167" t="str">
        <f ca="1" t="shared" si="58"/>
        <v/>
      </c>
      <c r="C232" t="str">
        <f ca="1" t="shared" si="67"/>
        <v/>
      </c>
      <c r="D232" t="str">
        <f ca="1">IF(B232&lt;&gt;"",IF(C231&lt;=加速!$L$11*(1-E232),0,1),"")</f>
        <v/>
      </c>
      <c r="E232">
        <f ca="1" t="shared" si="64"/>
        <v>1</v>
      </c>
      <c r="G232" t="str">
        <f ca="1" t="shared" si="65"/>
        <v/>
      </c>
      <c r="H232" t="str">
        <f ca="1">IF(B232&lt;&gt;"",IF(AND(COUNTIF(B231,"*轻*莺鸣柳*")&gt;0,COUNTIF(B232,"*轻*")&lt;1),MAX(0,15+I231-(A232-A231)+COUNTIF(B231,"*平湖*")*0),IF(AND(E232=0,MAX(0,H231-(A232-A231))&lt;=加速!$H$11),0,MAX(0,H231-(A232-A231)))),"")</f>
        <v/>
      </c>
      <c r="I232" t="str">
        <f ca="1" t="shared" si="71"/>
        <v/>
      </c>
      <c r="J232" t="str">
        <f ca="1" t="shared" si="72"/>
        <v/>
      </c>
      <c r="K232" t="str">
        <f ca="1" t="shared" si="59"/>
        <v/>
      </c>
      <c r="L232">
        <f ca="1">IFERROR(IF(AND(COUNTIF(B232,"*-峰插*"),技能数据库!$M$72&gt;0),0,IF(COUNTIF(B232,"*鹤归*")&gt;0,16-加速!$L$11,MAX(0,L231-(A232-A231)))),0)</f>
        <v>0</v>
      </c>
      <c r="M232">
        <f ca="1" t="shared" si="60"/>
        <v>0</v>
      </c>
      <c r="N232">
        <f ca="1">IFERROR(IF(AND(COUNTIF(B232,"*-峰插*"),技能数据库!$M$72&gt;0),0,IF(COUNTIF(B232,"*云飞*")&gt;0,4-COUNTIF(B232,"*玉山揽云*")*4--COUNTIF(B232,"*烟流暮景*")*4-COUNTIF(B232,"*云景*")*加速!$L$11-IF(J232&gt;0,2,0),MAX(0,N231-(A232-A231)-IF(J232&gt;0,2,0)))),0)</f>
        <v>0</v>
      </c>
      <c r="O232">
        <f ca="1">IF(AND(COUNTIF(IF(AND(配装计算器!$K$30&lt;&gt;"∞",0),INDEX(AU231:CB231,1,$AT$1),INDEX(AU233:CB233,1,$AT$1)),"*云飞*")=1,COUNTIF(IF(AND(配装计算器!$K$30&lt;&gt;"∞",0),INDEX(AU231:CB231,1,$AT$1),INDEX(AU233:CB233,1,$AT$1)),"*玉山*")=0),N232,0)</f>
        <v>0</v>
      </c>
      <c r="P232">
        <f ca="1">IFERROR(IF(COUNTIF(B232,"*云栖松*")&gt;0,50-加速!$L$11,MAX(0,P231-(A232-A231))),0)</f>
        <v>0</v>
      </c>
      <c r="Q232">
        <f ca="1">IF(COUNTIF(IF(AND(配装计算器!$K$30&lt;&gt;"∞",0),INDEX(AU231:CB231,1,$AT$1),INDEX(AU233:CB233,1,$AT$1)),"*云栖松*")=1,P232,0)</f>
        <v>0</v>
      </c>
      <c r="R232">
        <f ca="1">IFERROR(IF(COUNTIF(B232,"*莺鸣柳*")&gt;0,45-加速!$L$9,MAX(0,R231-(A232-A231))),0)</f>
        <v>0</v>
      </c>
      <c r="S232">
        <f ca="1">IF(COUNTIF(IF(AND(配装计算器!$K$30&lt;&gt;"∞",0),INDEX(AU231:CB231,1,$AT$1),INDEX(AU233:CB233,1,$AT$1)),"*莺鸣柳*")=1,R232,0)</f>
        <v>0</v>
      </c>
      <c r="T232">
        <f ca="1" t="shared" si="68"/>
        <v>0</v>
      </c>
      <c r="U232">
        <f ca="1">IF(金蛇,IF(COUNTIF(B232,"*金环戴*")+COUNTIF(B232,"*吹风醒*")&gt;0,IF(A232&lt;=3,7.125-2.625-A232-加速!$L$11,7.125+加速!$K$9-(A232+加速!$L$11-T232)),0),0)+IF(金蛇,IF(COUNTIF(B232,"*千切子裂光*")&gt;0,2+加速!$K$9-(A232+加速!$L$11-T232),0),0)</f>
        <v>0</v>
      </c>
      <c r="V232">
        <f ca="1" t="shared" si="69"/>
        <v>0</v>
      </c>
      <c r="W232">
        <f ca="1" t="shared" si="61"/>
        <v>0</v>
      </c>
      <c r="X232">
        <f ca="1">INDEX(加速!$I$13:$I$21,W232+1)</f>
        <v>0</v>
      </c>
      <c r="Y232">
        <f ca="1" t="shared" si="70"/>
        <v>0.5</v>
      </c>
      <c r="Z232">
        <f ca="1" t="shared" si="66"/>
        <v>0</v>
      </c>
      <c r="AA232">
        <f ca="1">MAX(0,IFERROR(IF(COUNTIF(B232,"*叠*")&gt;0,IF(AC231&lt;3,8-A233+A232,AA231+6.875-A233+A232),AA231-A233+A232),AA231-加速!$L$11))</f>
        <v>0</v>
      </c>
      <c r="AB232" t="e">
        <f ca="1">MAX(0,IF(COUNTIF(IF(AND(配装计算器!$K$30&lt;&gt;"∞",0),INDEX(AU232:CB232,1,$AT$1),INDEX(AU232:CB232,1,$AT$1)),"*叠1*")=1,4*25-加速!$L$11,AB231-A232+A231)-IF(OR(COUNTIF(OFFSET(AT232,0,$AT$1,1,1),"*听雷*")&gt;0,AND(碧归&gt;0,COUNTIF(OFFSET(AT232,0,$AT$1,1,1),"*风来*")&gt;0)),0,1)*1.5)</f>
        <v>#VALUE!</v>
      </c>
      <c r="AC232">
        <f ca="1" t="shared" si="62"/>
        <v>0</v>
      </c>
      <c r="AD232">
        <f ca="1">IF(COUNTIF(IF(AND(配装计算器!$K$30&lt;&gt;"∞",0),INDEX(AU232:CB232,1,$AT$1),INDEX(AU233:CB233,1,$AT$1)),"*叠1*")=1,AB232*0+AE231,0)</f>
        <v>0</v>
      </c>
      <c r="AE232" t="e">
        <f ca="1">IF($AN$11&gt;0,IF(COUNTIF(B233,"*叠1*")&gt;0,50-加速!$L$11,MAX(0,AE231-(A233-A232))),0)</f>
        <v>#VALUE!</v>
      </c>
      <c r="AG232">
        <f ca="1" t="shared" si="63"/>
        <v>7</v>
      </c>
      <c r="AU232" t="s">
        <v>2768</v>
      </c>
      <c r="AV232">
        <v>2</v>
      </c>
      <c r="AW232" t="str">
        <f t="shared" si="76"/>
        <v>夕照雷峰</v>
      </c>
      <c r="AX232">
        <v>2</v>
      </c>
      <c r="AY232" t="s">
        <v>2768</v>
      </c>
      <c r="AZ232">
        <v>2</v>
      </c>
      <c r="BA232" t="s">
        <v>2776</v>
      </c>
      <c r="BB232">
        <v>2</v>
      </c>
      <c r="BC232" t="s">
        <v>3013</v>
      </c>
      <c r="BD232">
        <v>2</v>
      </c>
      <c r="BE232" t="s">
        <v>2776</v>
      </c>
      <c r="BF232">
        <v>0</v>
      </c>
      <c r="BG232" t="s">
        <v>2776</v>
      </c>
      <c r="BH232">
        <v>2</v>
      </c>
      <c r="BI232" t="s">
        <v>2768</v>
      </c>
      <c r="BJ232">
        <v>2</v>
      </c>
      <c r="BK232" t="s">
        <v>3056</v>
      </c>
      <c r="BL232">
        <v>0</v>
      </c>
      <c r="BM232" t="s">
        <v>2853</v>
      </c>
      <c r="BN232">
        <v>2</v>
      </c>
      <c r="BO232" s="176" t="str">
        <f>IF(秋,"云飞玉皇-蛇牙锥心","云飞玉皇-血毒金蛇锥")</f>
        <v>云飞玉皇-血毒金蛇锥</v>
      </c>
      <c r="BP232">
        <v>2</v>
      </c>
      <c r="BQ232" t="s">
        <v>3035</v>
      </c>
      <c r="BR232">
        <v>2</v>
      </c>
      <c r="BS232" t="s">
        <v>2768</v>
      </c>
      <c r="BT232">
        <v>0</v>
      </c>
      <c r="BU232" t="s">
        <v>2776</v>
      </c>
      <c r="BV232">
        <v>2</v>
      </c>
      <c r="BW232" s="182" t="s">
        <v>2768</v>
      </c>
      <c r="BX232" s="179">
        <v>2</v>
      </c>
      <c r="BY232" t="s">
        <v>2853</v>
      </c>
      <c r="BZ232">
        <v>2</v>
      </c>
      <c r="CA232" s="176" t="str">
        <f>IF(秋,"云飞玉皇","云飞玉皇·云景")</f>
        <v>云飞玉皇·云景</v>
      </c>
      <c r="CB232">
        <v>2</v>
      </c>
    </row>
    <row r="233" spans="1:80">
      <c r="A233" s="178" t="str">
        <f ca="1">IFERROR(IF(AG232&lt;5+金蛇*2,IF(COUNTIF(B232,"*轻*")&gt;0,A232+加速!$L$9,A232+加速!$L$11)+V232,""),"")</f>
        <v/>
      </c>
      <c r="B233" s="167" t="str">
        <f ca="1" t="shared" si="58"/>
        <v/>
      </c>
      <c r="C233" t="str">
        <f ca="1" t="shared" si="67"/>
        <v/>
      </c>
      <c r="D233" t="str">
        <f ca="1">IF(B233&lt;&gt;"",IF(C232&lt;=加速!$L$11*(1-E233),0,1),"")</f>
        <v/>
      </c>
      <c r="E233">
        <f ca="1" t="shared" si="64"/>
        <v>1</v>
      </c>
      <c r="G233" t="str">
        <f ca="1" t="shared" si="65"/>
        <v/>
      </c>
      <c r="H233" t="str">
        <f ca="1">IF(B233&lt;&gt;"",IF(AND(COUNTIF(B232,"*轻*莺鸣柳*")&gt;0,COUNTIF(B233,"*轻*")&lt;1),MAX(0,15+I232-(A233-A232)+COUNTIF(B232,"*平湖*")*0),IF(AND(E233=0,MAX(0,H232-(A233-A232))&lt;=加速!$H$11),0,MAX(0,H232-(A233-A232)))),"")</f>
        <v/>
      </c>
      <c r="I233" t="str">
        <f ca="1" t="shared" si="71"/>
        <v/>
      </c>
      <c r="J233" t="str">
        <f ca="1" t="shared" si="72"/>
        <v/>
      </c>
      <c r="K233" t="str">
        <f ca="1" t="shared" si="59"/>
        <v/>
      </c>
      <c r="L233">
        <f ca="1">IFERROR(IF(AND(COUNTIF(B233,"*-峰插*"),技能数据库!$M$72&gt;0),0,IF(COUNTIF(B233,"*鹤归*")&gt;0,16-加速!$L$11,MAX(0,L232-(A233-A232)))),0)</f>
        <v>0</v>
      </c>
      <c r="M233">
        <f ca="1" t="shared" si="60"/>
        <v>0</v>
      </c>
      <c r="N233">
        <f ca="1">IFERROR(IF(AND(COUNTIF(B233,"*-峰插*"),技能数据库!$M$72&gt;0),0,IF(COUNTIF(B233,"*云飞*")&gt;0,4-COUNTIF(B233,"*玉山揽云*")*4--COUNTIF(B233,"*烟流暮景*")*4-COUNTIF(B233,"*云景*")*加速!$L$11-IF(J233&gt;0,2,0),MAX(0,N232-(A233-A232)-IF(J233&gt;0,2,0)))),0)</f>
        <v>0</v>
      </c>
      <c r="O233">
        <f ca="1">IF(AND(COUNTIF(IF(AND(配装计算器!$K$30&lt;&gt;"∞",0),INDEX(AU232:CB232,1,$AT$1),INDEX(AU234:CB234,1,$AT$1)),"*云飞*")=1,COUNTIF(IF(AND(配装计算器!$K$30&lt;&gt;"∞",0),INDEX(AU232:CB232,1,$AT$1),INDEX(AU234:CB234,1,$AT$1)),"*玉山*")=0),N233,0)</f>
        <v>0</v>
      </c>
      <c r="P233">
        <f ca="1">IFERROR(IF(COUNTIF(B233,"*云栖松*")&gt;0,50-加速!$L$11,MAX(0,P232-(A233-A232))),0)</f>
        <v>0</v>
      </c>
      <c r="Q233">
        <f ca="1">IF(COUNTIF(IF(AND(配装计算器!$K$30&lt;&gt;"∞",0),INDEX(AU232:CB232,1,$AT$1),INDEX(AU234:CB234,1,$AT$1)),"*云栖松*")=1,P233,0)</f>
        <v>0</v>
      </c>
      <c r="R233">
        <f ca="1">IFERROR(IF(COUNTIF(B233,"*莺鸣柳*")&gt;0,45-加速!$L$9,MAX(0,R232-(A233-A232))),0)</f>
        <v>0</v>
      </c>
      <c r="S233">
        <f ca="1">IF(COUNTIF(IF(AND(配装计算器!$K$30&lt;&gt;"∞",0),INDEX(AU232:CB232,1,$AT$1),INDEX(AU234:CB234,1,$AT$1)),"*莺鸣柳*")=1,R233,0)</f>
        <v>0</v>
      </c>
      <c r="T233">
        <f ca="1" t="shared" si="68"/>
        <v>0</v>
      </c>
      <c r="U233">
        <f ca="1">IF(金蛇,IF(COUNTIF(B233,"*金环戴*")+COUNTIF(B233,"*吹风醒*")&gt;0,IF(A233&lt;=3,7.125-2.625-A233-加速!$L$11,7.125+加速!$K$9-(A233+加速!$L$11-T233)),0),0)+IF(金蛇,IF(COUNTIF(B233,"*千切子裂光*")&gt;0,2+加速!$K$9-(A233+加速!$L$11-T233),0),0)</f>
        <v>0</v>
      </c>
      <c r="V233">
        <f ca="1" t="shared" si="69"/>
        <v>0</v>
      </c>
      <c r="W233">
        <f ca="1" t="shared" si="61"/>
        <v>0</v>
      </c>
      <c r="X233">
        <f ca="1">INDEX(加速!$I$13:$I$21,W233+1)</f>
        <v>0</v>
      </c>
      <c r="Y233">
        <f ca="1" t="shared" si="70"/>
        <v>0.5</v>
      </c>
      <c r="Z233">
        <f ca="1" t="shared" si="66"/>
        <v>0</v>
      </c>
      <c r="AA233">
        <f ca="1">MAX(0,IFERROR(IF(COUNTIF(B233,"*叠*")&gt;0,IF(AC232&lt;3,8-A234+A233,AA232+6.875-A234+A233),AA232-A234+A233),AA232-加速!$L$11))</f>
        <v>0</v>
      </c>
      <c r="AB233" t="e">
        <f ca="1">MAX(0,IF(COUNTIF(IF(AND(配装计算器!$K$30&lt;&gt;"∞",0),INDEX(AU233:CB233,1,$AT$1),INDEX(AU233:CB233,1,$AT$1)),"*叠1*")=1,4*25-加速!$L$11,AB232-A233+A232)-IF(OR(COUNTIF(OFFSET(AT233,0,$AT$1,1,1),"*听雷*")&gt;0,AND(碧归&gt;0,COUNTIF(OFFSET(AT233,0,$AT$1,1,1),"*风来*")&gt;0)),0,1)*1.5)</f>
        <v>#VALUE!</v>
      </c>
      <c r="AC233">
        <f ca="1" t="shared" si="62"/>
        <v>0</v>
      </c>
      <c r="AD233">
        <f ca="1">IF(COUNTIF(IF(AND(配装计算器!$K$30&lt;&gt;"∞",0),INDEX(AU233:CB233,1,$AT$1),INDEX(AU234:CB234,1,$AT$1)),"*叠1*")=1,AB233*0+AE232,0)</f>
        <v>0</v>
      </c>
      <c r="AE233" t="e">
        <f ca="1">IF($AN$11&gt;0,IF(COUNTIF(B234,"*叠1*")&gt;0,50-加速!$L$11,MAX(0,AE232-(A234-A233))),0)</f>
        <v>#VALUE!</v>
      </c>
      <c r="AG233">
        <f ca="1" t="shared" si="63"/>
        <v>7</v>
      </c>
      <c r="AU233" t="s">
        <v>2776</v>
      </c>
      <c r="AV233">
        <v>2</v>
      </c>
      <c r="AW233" t="str">
        <f t="shared" si="76"/>
        <v>夕照雷峰</v>
      </c>
      <c r="AX233">
        <v>2</v>
      </c>
      <c r="AY233" t="s">
        <v>2776</v>
      </c>
      <c r="AZ233">
        <v>2</v>
      </c>
      <c r="BA233" t="s">
        <v>3042</v>
      </c>
      <c r="BB233">
        <v>2</v>
      </c>
      <c r="BC233" t="s">
        <v>3018</v>
      </c>
      <c r="BD233">
        <v>2</v>
      </c>
      <c r="BE233" t="s">
        <v>2722</v>
      </c>
      <c r="BF233">
        <v>0</v>
      </c>
      <c r="BG233" t="s">
        <v>2768</v>
      </c>
      <c r="BH233">
        <v>2</v>
      </c>
      <c r="BI233" t="s">
        <v>3018</v>
      </c>
      <c r="BJ233">
        <v>2</v>
      </c>
      <c r="BK233" t="s">
        <v>2768</v>
      </c>
      <c r="BL233">
        <v>2</v>
      </c>
      <c r="BM233" s="176" t="s">
        <v>2850</v>
      </c>
      <c r="BN233">
        <f>IF(0,2,0)</f>
        <v>0</v>
      </c>
      <c r="BO233" t="s">
        <v>2768</v>
      </c>
      <c r="BP233">
        <v>2</v>
      </c>
      <c r="BQ233" t="s">
        <v>2776</v>
      </c>
      <c r="BR233">
        <v>2</v>
      </c>
      <c r="BS233" t="s">
        <v>3024</v>
      </c>
      <c r="BT233">
        <v>2</v>
      </c>
      <c r="BU233" t="s">
        <v>2768</v>
      </c>
      <c r="BV233">
        <v>2</v>
      </c>
      <c r="BW233" s="182" t="str">
        <f>IF(秋,"云飞玉皇","云飞玉皇·云景")</f>
        <v>云飞玉皇·云景</v>
      </c>
      <c r="BX233" s="179">
        <v>2</v>
      </c>
      <c r="BY233" s="176" t="s">
        <v>2850</v>
      </c>
      <c r="BZ233">
        <f>IF(0,2,0)</f>
        <v>0</v>
      </c>
      <c r="CA233" t="str">
        <f>IF(0,"云飞玉皇","夕照雷峰")</f>
        <v>夕照雷峰</v>
      </c>
      <c r="CB233">
        <f>IF(0,2,2)</f>
        <v>2</v>
      </c>
    </row>
    <row r="234" spans="1:80">
      <c r="A234" s="178" t="str">
        <f ca="1">IFERROR(IF(AG233&lt;5+金蛇*2,IF(COUNTIF(B233,"*轻*")&gt;0,A233+加速!$L$9,A233+加速!$L$11)+V233,""),"")</f>
        <v/>
      </c>
      <c r="B234" s="167" t="str">
        <f ca="1" t="shared" si="58"/>
        <v/>
      </c>
      <c r="C234" t="str">
        <f ca="1" t="shared" si="67"/>
        <v/>
      </c>
      <c r="D234" t="str">
        <f ca="1">IF(B234&lt;&gt;"",IF(C233&lt;=加速!$L$11*(1-E234),0,1),"")</f>
        <v/>
      </c>
      <c r="E234">
        <f ca="1" t="shared" si="64"/>
        <v>1</v>
      </c>
      <c r="G234" t="str">
        <f ca="1" t="shared" si="65"/>
        <v/>
      </c>
      <c r="H234" t="str">
        <f ca="1">IF(B234&lt;&gt;"",IF(AND(COUNTIF(B233,"*轻*莺鸣柳*")&gt;0,COUNTIF(B234,"*轻*")&lt;1),MAX(0,15+I233-(A234-A233)+COUNTIF(B233,"*平湖*")*0),IF(AND(E234=0,MAX(0,H233-(A234-A233))&lt;=加速!$H$11),0,MAX(0,H233-(A234-A233)))),"")</f>
        <v/>
      </c>
      <c r="I234" t="str">
        <f ca="1" t="shared" si="71"/>
        <v/>
      </c>
      <c r="J234" t="str">
        <f ca="1" t="shared" si="72"/>
        <v/>
      </c>
      <c r="K234" t="str">
        <f ca="1" t="shared" si="59"/>
        <v/>
      </c>
      <c r="L234">
        <f ca="1">IFERROR(IF(AND(COUNTIF(B234,"*-峰插*"),技能数据库!$M$72&gt;0),0,IF(COUNTIF(B234,"*鹤归*")&gt;0,16-加速!$L$11,MAX(0,L233-(A234-A233)))),0)</f>
        <v>0</v>
      </c>
      <c r="M234">
        <f ca="1" t="shared" si="60"/>
        <v>0</v>
      </c>
      <c r="N234">
        <f ca="1">IFERROR(IF(AND(COUNTIF(B234,"*-峰插*"),技能数据库!$M$72&gt;0),0,IF(COUNTIF(B234,"*云飞*")&gt;0,4-COUNTIF(B234,"*玉山揽云*")*4--COUNTIF(B234,"*烟流暮景*")*4-COUNTIF(B234,"*云景*")*加速!$L$11-IF(J234&gt;0,2,0),MAX(0,N233-(A234-A233)-IF(J234&gt;0,2,0)))),0)</f>
        <v>0</v>
      </c>
      <c r="O234">
        <f ca="1">IF(AND(COUNTIF(IF(AND(配装计算器!$K$30&lt;&gt;"∞",0),INDEX(AU233:CB233,1,$AT$1),INDEX(AU235:CB235,1,$AT$1)),"*云飞*")=1,COUNTIF(IF(AND(配装计算器!$K$30&lt;&gt;"∞",0),INDEX(AU233:CB233,1,$AT$1),INDEX(AU235:CB235,1,$AT$1)),"*玉山*")=0),N234,0)</f>
        <v>0</v>
      </c>
      <c r="P234">
        <f ca="1">IFERROR(IF(COUNTIF(B234,"*云栖松*")&gt;0,50-加速!$L$11,MAX(0,P233-(A234-A233))),0)</f>
        <v>0</v>
      </c>
      <c r="Q234">
        <f ca="1">IF(COUNTIF(IF(AND(配装计算器!$K$30&lt;&gt;"∞",0),INDEX(AU233:CB233,1,$AT$1),INDEX(AU235:CB235,1,$AT$1)),"*云栖松*")=1,P234,0)</f>
        <v>0</v>
      </c>
      <c r="R234">
        <f ca="1">IFERROR(IF(COUNTIF(B234,"*莺鸣柳*")&gt;0,45-加速!$L$9,MAX(0,R233-(A234-A233))),0)</f>
        <v>0</v>
      </c>
      <c r="S234">
        <f ca="1">IF(COUNTIF(IF(AND(配装计算器!$K$30&lt;&gt;"∞",0),INDEX(AU233:CB233,1,$AT$1),INDEX(AU235:CB235,1,$AT$1)),"*莺鸣柳*")=1,R234,0)</f>
        <v>0</v>
      </c>
      <c r="T234">
        <f ca="1" t="shared" si="68"/>
        <v>0</v>
      </c>
      <c r="U234">
        <f ca="1">IF(金蛇,IF(COUNTIF(B234,"*金环戴*")+COUNTIF(B234,"*吹风醒*")&gt;0,IF(A234&lt;=3,7.125-2.625-A234-加速!$L$11,7.125+加速!$K$9-(A234+加速!$L$11-T234)),0),0)+IF(金蛇,IF(COUNTIF(B234,"*千切子裂光*")&gt;0,2+加速!$K$9-(A234+加速!$L$11-T234),0),0)</f>
        <v>0</v>
      </c>
      <c r="V234">
        <f ca="1" t="shared" si="69"/>
        <v>0</v>
      </c>
      <c r="W234">
        <f ca="1" t="shared" si="61"/>
        <v>0</v>
      </c>
      <c r="X234">
        <f ca="1">INDEX(加速!$I$13:$I$21,W234+1)</f>
        <v>0</v>
      </c>
      <c r="Y234">
        <f ca="1" t="shared" si="70"/>
        <v>0.5</v>
      </c>
      <c r="Z234">
        <f ca="1" t="shared" si="66"/>
        <v>0</v>
      </c>
      <c r="AA234">
        <f ca="1">MAX(0,IFERROR(IF(COUNTIF(B234,"*叠*")&gt;0,IF(AC233&lt;3,8-A235+A234,AA233+6.875-A235+A234),AA233-A235+A234),AA233-加速!$L$11))</f>
        <v>0</v>
      </c>
      <c r="AB234" t="e">
        <f ca="1">MAX(0,IF(COUNTIF(IF(AND(配装计算器!$K$30&lt;&gt;"∞",0),INDEX(AU234:CB234,1,$AT$1),INDEX(AU234:CB234,1,$AT$1)),"*叠1*")=1,4*25-加速!$L$11,AB233-A234+A233)-IF(OR(COUNTIF(OFFSET(AT234,0,$AT$1,1,1),"*听雷*")&gt;0,AND(碧归&gt;0,COUNTIF(OFFSET(AT234,0,$AT$1,1,1),"*风来*")&gt;0)),0,1)*1.5)</f>
        <v>#VALUE!</v>
      </c>
      <c r="AC234">
        <f ca="1" t="shared" si="62"/>
        <v>0</v>
      </c>
      <c r="AD234">
        <f ca="1">IF(COUNTIF(IF(AND(配装计算器!$K$30&lt;&gt;"∞",0),INDEX(AU234:CB234,1,$AT$1),INDEX(AU235:CB235,1,$AT$1)),"*叠1*")=1,AB234*0+AE233,0)</f>
        <v>0</v>
      </c>
      <c r="AE234" t="e">
        <f ca="1">IF($AN$11&gt;0,IF(COUNTIF(B235,"*叠1*")&gt;0,50-加速!$L$11,MAX(0,AE233-(A235-A234))),0)</f>
        <v>#VALUE!</v>
      </c>
      <c r="AG234">
        <f ca="1" t="shared" si="63"/>
        <v>7</v>
      </c>
      <c r="AU234" t="s">
        <v>2768</v>
      </c>
      <c r="AV234">
        <v>2</v>
      </c>
      <c r="AW234" t="s">
        <v>2776</v>
      </c>
      <c r="AX234">
        <v>2</v>
      </c>
      <c r="AY234" t="s">
        <v>3042</v>
      </c>
      <c r="AZ234">
        <v>2</v>
      </c>
      <c r="BA234" t="s">
        <v>2808</v>
      </c>
      <c r="BB234">
        <v>2</v>
      </c>
      <c r="BC234" t="s">
        <v>2768</v>
      </c>
      <c r="BD234">
        <v>2</v>
      </c>
      <c r="BE234" t="s">
        <v>2722</v>
      </c>
      <c r="BF234">
        <v>2</v>
      </c>
      <c r="BG234" t="s">
        <v>2808</v>
      </c>
      <c r="BH234">
        <v>2</v>
      </c>
      <c r="BI234" t="s">
        <v>2789</v>
      </c>
      <c r="BJ234">
        <v>2</v>
      </c>
      <c r="BK234" t="s">
        <v>2768</v>
      </c>
      <c r="BL234">
        <v>2</v>
      </c>
      <c r="BM234" s="176" t="str">
        <f>IF(秋,"金环戴","吹风醒")</f>
        <v>吹风醒</v>
      </c>
      <c r="BN234">
        <v>2</v>
      </c>
      <c r="BO234" t="str">
        <f>IF(山重水复,"风来吴山","夕照雷峰")</f>
        <v>夕照雷峰</v>
      </c>
      <c r="BP234">
        <v>2</v>
      </c>
      <c r="BQ234" t="s">
        <v>2768</v>
      </c>
      <c r="BR234">
        <v>2</v>
      </c>
      <c r="BS234" s="179" t="s">
        <v>2794</v>
      </c>
      <c r="BT234">
        <v>2</v>
      </c>
      <c r="BU234" t="s">
        <v>2776</v>
      </c>
      <c r="BV234">
        <v>2</v>
      </c>
      <c r="BW234" s="179" t="s">
        <v>2722</v>
      </c>
      <c r="BX234" s="179">
        <v>2</v>
      </c>
      <c r="BY234" s="176" t="str">
        <f>IF(秋,"金环戴","吹风醒")</f>
        <v>吹风醒</v>
      </c>
      <c r="BZ234">
        <v>2</v>
      </c>
      <c r="CA234" t="str">
        <f>IF(0,"云飞玉皇","夕照雷峰")</f>
        <v>夕照雷峰</v>
      </c>
      <c r="CB234">
        <v>2</v>
      </c>
    </row>
    <row r="235" spans="1:80">
      <c r="A235" s="178" t="str">
        <f ca="1">IFERROR(IF(AG234&lt;5+金蛇*2,IF(COUNTIF(B234,"*轻*")&gt;0,A234+加速!$L$9,A234+加速!$L$11)+V234,""),"")</f>
        <v/>
      </c>
      <c r="B235" s="167" t="str">
        <f ca="1" t="shared" si="58"/>
        <v/>
      </c>
      <c r="C235" t="str">
        <f ca="1" t="shared" si="67"/>
        <v/>
      </c>
      <c r="D235" t="str">
        <f ca="1">IF(B235&lt;&gt;"",IF(C234&lt;=加速!$L$11*(1-E235),0,1),"")</f>
        <v/>
      </c>
      <c r="E235">
        <f ca="1" t="shared" si="64"/>
        <v>1</v>
      </c>
      <c r="G235" t="str">
        <f ca="1" t="shared" si="65"/>
        <v/>
      </c>
      <c r="H235" t="str">
        <f ca="1">IF(B235&lt;&gt;"",IF(AND(COUNTIF(B234,"*轻*莺鸣柳*")&gt;0,COUNTIF(B235,"*轻*")&lt;1),MAX(0,15+I234-(A235-A234)+COUNTIF(B234,"*平湖*")*0),IF(AND(E235=0,MAX(0,H234-(A235-A234))&lt;=加速!$H$11),0,MAX(0,H234-(A235-A234)))),"")</f>
        <v/>
      </c>
      <c r="I235" t="str">
        <f ca="1" t="shared" si="71"/>
        <v/>
      </c>
      <c r="J235" t="str">
        <f ca="1" t="shared" si="72"/>
        <v/>
      </c>
      <c r="K235" t="str">
        <f ca="1" t="shared" si="59"/>
        <v/>
      </c>
      <c r="L235">
        <f ca="1">IFERROR(IF(AND(COUNTIF(B235,"*-峰插*"),技能数据库!$M$72&gt;0),0,IF(COUNTIF(B235,"*鹤归*")&gt;0,16-加速!$L$11,MAX(0,L234-(A235-A234)))),0)</f>
        <v>0</v>
      </c>
      <c r="M235">
        <f ca="1" t="shared" si="60"/>
        <v>0</v>
      </c>
      <c r="N235">
        <f ca="1">IFERROR(IF(AND(COUNTIF(B235,"*-峰插*"),技能数据库!$M$72&gt;0),0,IF(COUNTIF(B235,"*云飞*")&gt;0,4-COUNTIF(B235,"*玉山揽云*")*4--COUNTIF(B235,"*烟流暮景*")*4-COUNTIF(B235,"*云景*")*加速!$L$11-IF(J235&gt;0,2,0),MAX(0,N234-(A235-A234)-IF(J235&gt;0,2,0)))),0)</f>
        <v>0</v>
      </c>
      <c r="O235">
        <f ca="1">IF(AND(COUNTIF(IF(AND(配装计算器!$K$30&lt;&gt;"∞",0),INDEX(AU234:CB234,1,$AT$1),INDEX(AU236:CB236,1,$AT$1)),"*云飞*")=1,COUNTIF(IF(AND(配装计算器!$K$30&lt;&gt;"∞",0),INDEX(AU234:CB234,1,$AT$1),INDEX(AU236:CB236,1,$AT$1)),"*玉山*")=0),N235,0)</f>
        <v>0</v>
      </c>
      <c r="P235">
        <f ca="1">IFERROR(IF(COUNTIF(B235,"*云栖松*")&gt;0,50-加速!$L$11,MAX(0,P234-(A235-A234))),0)</f>
        <v>0</v>
      </c>
      <c r="Q235">
        <f ca="1">IF(COUNTIF(IF(AND(配装计算器!$K$30&lt;&gt;"∞",0),INDEX(AU234:CB234,1,$AT$1),INDEX(AU236:CB236,1,$AT$1)),"*云栖松*")=1,P235,0)</f>
        <v>0</v>
      </c>
      <c r="R235">
        <f ca="1">IFERROR(IF(COUNTIF(B235,"*莺鸣柳*")&gt;0,45-加速!$L$9,MAX(0,R234-(A235-A234))),0)</f>
        <v>0</v>
      </c>
      <c r="S235">
        <f ca="1">IF(COUNTIF(IF(AND(配装计算器!$K$30&lt;&gt;"∞",0),INDEX(AU234:CB234,1,$AT$1),INDEX(AU236:CB236,1,$AT$1)),"*莺鸣柳*")=1,R235,0)</f>
        <v>0</v>
      </c>
      <c r="T235">
        <f ca="1" t="shared" si="68"/>
        <v>0</v>
      </c>
      <c r="U235">
        <f ca="1">IF(金蛇,IF(COUNTIF(B235,"*金环戴*")+COUNTIF(B235,"*吹风醒*")&gt;0,IF(A235&lt;=3,7.125-2.625-A235-加速!$L$11,7.125+加速!$K$9-(A235+加速!$L$11-T235)),0),0)+IF(金蛇,IF(COUNTIF(B235,"*千切子裂光*")&gt;0,2+加速!$K$9-(A235+加速!$L$11-T235),0),0)</f>
        <v>0</v>
      </c>
      <c r="V235">
        <f ca="1" t="shared" si="69"/>
        <v>0</v>
      </c>
      <c r="W235">
        <f ca="1" t="shared" si="61"/>
        <v>0</v>
      </c>
      <c r="X235">
        <f ca="1">INDEX(加速!$I$13:$I$21,W235+1)</f>
        <v>0</v>
      </c>
      <c r="Y235">
        <f ca="1" t="shared" si="70"/>
        <v>0.5</v>
      </c>
      <c r="Z235">
        <f ca="1" t="shared" si="66"/>
        <v>0</v>
      </c>
      <c r="AA235">
        <f ca="1">MAX(0,IFERROR(IF(COUNTIF(B235,"*叠*")&gt;0,IF(AC234&lt;3,8-A236+A235,AA234+6.875-A236+A235),AA234-A236+A235),AA234-加速!$L$11))</f>
        <v>0</v>
      </c>
      <c r="AB235" t="e">
        <f ca="1">MAX(0,IF(COUNTIF(IF(AND(配装计算器!$K$30&lt;&gt;"∞",0),INDEX(AU235:CB235,1,$AT$1),INDEX(AU235:CB235,1,$AT$1)),"*叠1*")=1,4*25-加速!$L$11,AB234-A235+A234)-IF(OR(COUNTIF(OFFSET(AT235,0,$AT$1,1,1),"*听雷*")&gt;0,AND(碧归&gt;0,COUNTIF(OFFSET(AT235,0,$AT$1,1,1),"*风来*")&gt;0)),0,1)*1.5)</f>
        <v>#VALUE!</v>
      </c>
      <c r="AC235">
        <f ca="1" t="shared" si="62"/>
        <v>0</v>
      </c>
      <c r="AD235">
        <f ca="1">IF(COUNTIF(IF(AND(配装计算器!$K$30&lt;&gt;"∞",0),INDEX(AU235:CB235,1,$AT$1),INDEX(AU236:CB236,1,$AT$1)),"*叠1*")=1,AB235*0+AE234,0)</f>
        <v>0</v>
      </c>
      <c r="AE235" t="e">
        <f ca="1">IF($AN$11&gt;0,IF(COUNTIF(B236,"*叠1*")&gt;0,50-加速!$L$11,MAX(0,AE234-(A236-A235))),0)</f>
        <v>#VALUE!</v>
      </c>
      <c r="AG235">
        <f ca="1" t="shared" si="63"/>
        <v>7</v>
      </c>
      <c r="AU235" s="180" t="s">
        <v>2789</v>
      </c>
      <c r="AV235">
        <v>2</v>
      </c>
      <c r="AW235" t="s">
        <v>2768</v>
      </c>
      <c r="AX235">
        <v>2</v>
      </c>
      <c r="AY235" t="s">
        <v>2808</v>
      </c>
      <c r="AZ235">
        <v>2</v>
      </c>
      <c r="BA235" t="s">
        <v>2768</v>
      </c>
      <c r="BB235">
        <v>2</v>
      </c>
      <c r="BC235" t="s">
        <v>3023</v>
      </c>
      <c r="BD235">
        <v>2</v>
      </c>
      <c r="BE235" t="s">
        <v>2768</v>
      </c>
      <c r="BF235">
        <v>2</v>
      </c>
      <c r="BG235" t="s">
        <v>2768</v>
      </c>
      <c r="BH235">
        <v>2</v>
      </c>
      <c r="BI235" s="182" t="s">
        <v>3023</v>
      </c>
      <c r="BJ235">
        <v>2</v>
      </c>
      <c r="BK235" t="s">
        <v>2776</v>
      </c>
      <c r="BL235">
        <v>2</v>
      </c>
      <c r="BM235" t="str">
        <f>IF(秋,"夕照雷峰","云飞玉皇")</f>
        <v>云飞玉皇</v>
      </c>
      <c r="BN235">
        <v>2</v>
      </c>
      <c r="BO235" s="176" t="s">
        <v>2794</v>
      </c>
      <c r="BP235">
        <v>2</v>
      </c>
      <c r="BQ235" t="s">
        <v>2776</v>
      </c>
      <c r="BR235">
        <v>2</v>
      </c>
      <c r="BS235" s="179" t="s">
        <v>3019</v>
      </c>
      <c r="BT235">
        <v>2</v>
      </c>
      <c r="BU235" t="s">
        <v>2768</v>
      </c>
      <c r="BV235">
        <v>2</v>
      </c>
      <c r="BW235" s="179" t="s">
        <v>3009</v>
      </c>
      <c r="BX235" s="179">
        <v>2</v>
      </c>
      <c r="BY235" t="str">
        <f>IF(秋,"夕照雷峰","云飞玉皇")</f>
        <v>云飞玉皇</v>
      </c>
      <c r="BZ235">
        <v>2</v>
      </c>
      <c r="CA235" s="176" t="str">
        <f>IF(秋,"夕照雷峰","云飞玉皇")</f>
        <v>云飞玉皇</v>
      </c>
      <c r="CB235">
        <v>2</v>
      </c>
    </row>
    <row r="236" spans="1:80">
      <c r="A236" s="178" t="str">
        <f ca="1">IFERROR(IF(AG235&lt;5+金蛇*2,IF(COUNTIF(B235,"*轻*")&gt;0,A235+加速!$L$9,A235+加速!$L$11)+V235,""),"")</f>
        <v/>
      </c>
      <c r="B236" s="167" t="str">
        <f ca="1" t="shared" si="58"/>
        <v/>
      </c>
      <c r="C236" t="str">
        <f ca="1" t="shared" si="67"/>
        <v/>
      </c>
      <c r="D236" t="str">
        <f ca="1">IF(B236&lt;&gt;"",IF(C235&lt;=加速!$L$11*(1-E236),0,1),"")</f>
        <v/>
      </c>
      <c r="E236">
        <f ca="1" t="shared" si="64"/>
        <v>1</v>
      </c>
      <c r="G236" t="str">
        <f ca="1" t="shared" si="65"/>
        <v/>
      </c>
      <c r="H236" t="str">
        <f ca="1">IF(B236&lt;&gt;"",IF(AND(COUNTIF(B235,"*轻*莺鸣柳*")&gt;0,COUNTIF(B236,"*轻*")&lt;1),MAX(0,15+I235-(A236-A235)+COUNTIF(B235,"*平湖*")*0),IF(AND(E236=0,MAX(0,H235-(A236-A235))&lt;=加速!$H$11),0,MAX(0,H235-(A236-A235)))),"")</f>
        <v/>
      </c>
      <c r="I236" t="str">
        <f ca="1" t="shared" si="71"/>
        <v/>
      </c>
      <c r="J236" t="str">
        <f ca="1" t="shared" si="72"/>
        <v/>
      </c>
      <c r="K236" t="str">
        <f ca="1" t="shared" si="59"/>
        <v/>
      </c>
      <c r="L236">
        <f ca="1">IFERROR(IF(AND(COUNTIF(B236,"*-峰插*"),技能数据库!$M$72&gt;0),0,IF(COUNTIF(B236,"*鹤归*")&gt;0,16-加速!$L$11,MAX(0,L235-(A236-A235)))),0)</f>
        <v>0</v>
      </c>
      <c r="M236">
        <f ca="1" t="shared" si="60"/>
        <v>0</v>
      </c>
      <c r="N236">
        <f ca="1">IFERROR(IF(AND(COUNTIF(B236,"*-峰插*"),技能数据库!$M$72&gt;0),0,IF(COUNTIF(B236,"*云飞*")&gt;0,4-COUNTIF(B236,"*玉山揽云*")*4--COUNTIF(B236,"*烟流暮景*")*4-COUNTIF(B236,"*云景*")*加速!$L$11-IF(J236&gt;0,2,0),MAX(0,N235-(A236-A235)-IF(J236&gt;0,2,0)))),0)</f>
        <v>0</v>
      </c>
      <c r="O236">
        <f ca="1">IF(AND(COUNTIF(IF(AND(配装计算器!$K$30&lt;&gt;"∞",0),INDEX(AU235:CB235,1,$AT$1),INDEX(AU237:CB237,1,$AT$1)),"*云飞*")=1,COUNTIF(IF(AND(配装计算器!$K$30&lt;&gt;"∞",0),INDEX(AU235:CB235,1,$AT$1),INDEX(AU237:CB237,1,$AT$1)),"*玉山*")=0),N236,0)</f>
        <v>0</v>
      </c>
      <c r="P236">
        <f ca="1">IFERROR(IF(COUNTIF(B236,"*云栖松*")&gt;0,50-加速!$L$11,MAX(0,P235-(A236-A235))),0)</f>
        <v>0</v>
      </c>
      <c r="Q236">
        <f ca="1">IF(COUNTIF(IF(AND(配装计算器!$K$30&lt;&gt;"∞",0),INDEX(AU235:CB235,1,$AT$1),INDEX(AU237:CB237,1,$AT$1)),"*云栖松*")=1,P236,0)</f>
        <v>0</v>
      </c>
      <c r="R236">
        <f ca="1">IFERROR(IF(COUNTIF(B236,"*莺鸣柳*")&gt;0,45-加速!$L$9,MAX(0,R235-(A236-A235))),0)</f>
        <v>0</v>
      </c>
      <c r="S236">
        <f ca="1">IF(COUNTIF(IF(AND(配装计算器!$K$30&lt;&gt;"∞",0),INDEX(AU235:CB235,1,$AT$1),INDEX(AU237:CB237,1,$AT$1)),"*莺鸣柳*")=1,R236,0)</f>
        <v>0</v>
      </c>
      <c r="T236">
        <f ca="1" t="shared" si="68"/>
        <v>0</v>
      </c>
      <c r="U236">
        <f ca="1">IF(金蛇,IF(COUNTIF(B236,"*金环戴*")+COUNTIF(B236,"*吹风醒*")&gt;0,IF(A236&lt;=3,7.125-2.625-A236-加速!$L$11,7.125+加速!$K$9-(A236+加速!$L$11-T236)),0),0)+IF(金蛇,IF(COUNTIF(B236,"*千切子裂光*")&gt;0,2+加速!$K$9-(A236+加速!$L$11-T236),0),0)</f>
        <v>0</v>
      </c>
      <c r="V236">
        <f ca="1" t="shared" si="69"/>
        <v>0</v>
      </c>
      <c r="W236">
        <f ca="1" t="shared" si="61"/>
        <v>0</v>
      </c>
      <c r="X236">
        <f ca="1">INDEX(加速!$I$13:$I$21,W236+1)</f>
        <v>0</v>
      </c>
      <c r="Y236">
        <f ca="1" t="shared" si="70"/>
        <v>0.5</v>
      </c>
      <c r="Z236">
        <f ca="1" t="shared" si="66"/>
        <v>0</v>
      </c>
      <c r="AA236">
        <f ca="1">MAX(0,IFERROR(IF(COUNTIF(B236,"*叠*")&gt;0,IF(AC235&lt;3,8-A237+A236,AA235+6.875-A237+A236),AA235-A237+A236),AA235-加速!$L$11))</f>
        <v>0</v>
      </c>
      <c r="AB236" t="e">
        <f ca="1">MAX(0,IF(COUNTIF(IF(AND(配装计算器!$K$30&lt;&gt;"∞",0),INDEX(AU236:CB236,1,$AT$1),INDEX(AU236:CB236,1,$AT$1)),"*叠1*")=1,4*25-加速!$L$11,AB235-A236+A235)-IF(OR(COUNTIF(OFFSET(AT236,0,$AT$1,1,1),"*听雷*")&gt;0,AND(碧归&gt;0,COUNTIF(OFFSET(AT236,0,$AT$1,1,1),"*风来*")&gt;0)),0,1)*1.5)</f>
        <v>#VALUE!</v>
      </c>
      <c r="AC236">
        <f ca="1" t="shared" si="62"/>
        <v>0</v>
      </c>
      <c r="AD236">
        <f ca="1">IF(COUNTIF(IF(AND(配装计算器!$K$30&lt;&gt;"∞",0),INDEX(AU236:CB236,1,$AT$1),INDEX(AU237:CB237,1,$AT$1)),"*叠1*")=1,AB236*0+AE235,0)</f>
        <v>0</v>
      </c>
      <c r="AE236" t="e">
        <f ca="1">IF($AN$11&gt;0,IF(COUNTIF(B237,"*叠1*")&gt;0,50-加速!$L$11,MAX(0,AE235-(A237-A236))),0)</f>
        <v>#VALUE!</v>
      </c>
      <c r="AG236">
        <f ca="1" t="shared" si="63"/>
        <v>7</v>
      </c>
      <c r="AU236" s="176" t="s">
        <v>2794</v>
      </c>
      <c r="AV236">
        <v>2</v>
      </c>
      <c r="AW236" t="s">
        <v>2768</v>
      </c>
      <c r="AX236">
        <v>2</v>
      </c>
      <c r="AY236" t="s">
        <v>2768</v>
      </c>
      <c r="AZ236">
        <v>2</v>
      </c>
      <c r="BA236" t="s">
        <v>2768</v>
      </c>
      <c r="BB236">
        <v>2</v>
      </c>
      <c r="BC236" t="s">
        <v>2768</v>
      </c>
      <c r="BD236">
        <v>2</v>
      </c>
      <c r="BE236" t="s">
        <v>2776</v>
      </c>
      <c r="BF236">
        <v>2</v>
      </c>
      <c r="BG236" s="176" t="s">
        <v>2768</v>
      </c>
      <c r="BH236">
        <v>2</v>
      </c>
      <c r="BI236" s="176" t="s">
        <v>3026</v>
      </c>
      <c r="BJ236">
        <v>2</v>
      </c>
      <c r="BK236" t="s">
        <v>2768</v>
      </c>
      <c r="BL236">
        <v>1</v>
      </c>
      <c r="BM236" s="176" t="str">
        <f>IF(秋,"梦泉虎跑-轻","夕照雷峰")</f>
        <v>夕照雷峰</v>
      </c>
      <c r="BN236">
        <v>2</v>
      </c>
      <c r="BO236" s="176" t="s">
        <v>2776</v>
      </c>
      <c r="BP236">
        <v>2</v>
      </c>
      <c r="BQ236" t="s">
        <v>2768</v>
      </c>
      <c r="BR236">
        <v>2</v>
      </c>
      <c r="BS236" s="179" t="s">
        <v>2768</v>
      </c>
      <c r="BT236">
        <v>2</v>
      </c>
      <c r="BU236" t="s">
        <v>2808</v>
      </c>
      <c r="BV236">
        <v>2</v>
      </c>
      <c r="BW236" s="179" t="s">
        <v>2768</v>
      </c>
      <c r="BX236" s="179">
        <v>2</v>
      </c>
      <c r="BY236" s="176" t="str">
        <f>IF(秋,"梦泉虎跑-轻","夕照雷峰")</f>
        <v>夕照雷峰</v>
      </c>
      <c r="BZ236">
        <v>2</v>
      </c>
      <c r="CA236" s="176" t="str">
        <f>IF(秋,"梦泉虎跑-轻","夕照雷峰")</f>
        <v>夕照雷峰</v>
      </c>
      <c r="CB236">
        <v>1</v>
      </c>
    </row>
    <row r="237" spans="1:80">
      <c r="A237" s="178" t="str">
        <f ca="1">IFERROR(IF(AG236&lt;5+金蛇*2,IF(COUNTIF(B236,"*轻*")&gt;0,A236+加速!$L$9,A236+加速!$L$11)+V236,""),"")</f>
        <v/>
      </c>
      <c r="B237" s="167" t="str">
        <f ca="1" t="shared" si="58"/>
        <v/>
      </c>
      <c r="C237" t="str">
        <f ca="1" t="shared" si="67"/>
        <v/>
      </c>
      <c r="D237" t="str">
        <f ca="1">IF(B237&lt;&gt;"",IF(C236&lt;=加速!$L$11*(1-E237),0,1),"")</f>
        <v/>
      </c>
      <c r="E237">
        <f ca="1" t="shared" si="64"/>
        <v>1</v>
      </c>
      <c r="G237" t="str">
        <f ca="1" t="shared" si="65"/>
        <v/>
      </c>
      <c r="H237" t="str">
        <f ca="1">IF(B237&lt;&gt;"",IF(AND(COUNTIF(B236,"*轻*莺鸣柳*")&gt;0,COUNTIF(B237,"*轻*")&lt;1),MAX(0,15+I236-(A237-A236)+COUNTIF(B236,"*平湖*")*0),IF(AND(E237=0,MAX(0,H236-(A237-A236))&lt;=加速!$H$11),0,MAX(0,H236-(A237-A236)))),"")</f>
        <v/>
      </c>
      <c r="I237" t="str">
        <f ca="1" t="shared" si="71"/>
        <v/>
      </c>
      <c r="J237" t="str">
        <f ca="1" t="shared" si="72"/>
        <v/>
      </c>
      <c r="K237" t="str">
        <f ca="1" t="shared" si="59"/>
        <v/>
      </c>
      <c r="L237">
        <f ca="1">IFERROR(IF(AND(COUNTIF(B237,"*-峰插*"),技能数据库!$M$72&gt;0),0,IF(COUNTIF(B237,"*鹤归*")&gt;0,16-加速!$L$11,MAX(0,L236-(A237-A236)))),0)</f>
        <v>0</v>
      </c>
      <c r="M237">
        <f ca="1" t="shared" si="60"/>
        <v>0</v>
      </c>
      <c r="N237">
        <f ca="1">IFERROR(IF(AND(COUNTIF(B237,"*-峰插*"),技能数据库!$M$72&gt;0),0,IF(COUNTIF(B237,"*云飞*")&gt;0,4-COUNTIF(B237,"*玉山揽云*")*4--COUNTIF(B237,"*烟流暮景*")*4-COUNTIF(B237,"*云景*")*加速!$L$11-IF(J237&gt;0,2,0),MAX(0,N236-(A237-A236)-IF(J237&gt;0,2,0)))),0)</f>
        <v>0</v>
      </c>
      <c r="O237">
        <f ca="1">IF(AND(COUNTIF(IF(AND(配装计算器!$K$30&lt;&gt;"∞",0),INDEX(AU236:CB236,1,$AT$1),INDEX(AU238:CB238,1,$AT$1)),"*云飞*")=1,COUNTIF(IF(AND(配装计算器!$K$30&lt;&gt;"∞",0),INDEX(AU236:CB236,1,$AT$1),INDEX(AU238:CB238,1,$AT$1)),"*玉山*")=0),N237,0)</f>
        <v>0</v>
      </c>
      <c r="P237">
        <f ca="1">IFERROR(IF(COUNTIF(B237,"*云栖松*")&gt;0,50-加速!$L$11,MAX(0,P236-(A237-A236))),0)</f>
        <v>0</v>
      </c>
      <c r="Q237">
        <f ca="1">IF(COUNTIF(IF(AND(配装计算器!$K$30&lt;&gt;"∞",0),INDEX(AU236:CB236,1,$AT$1),INDEX(AU238:CB238,1,$AT$1)),"*云栖松*")=1,P237,0)</f>
        <v>0</v>
      </c>
      <c r="R237">
        <f ca="1">IFERROR(IF(COUNTIF(B237,"*莺鸣柳*")&gt;0,45-加速!$L$9,MAX(0,R236-(A237-A236))),0)</f>
        <v>0</v>
      </c>
      <c r="S237">
        <f ca="1">IF(COUNTIF(IF(AND(配装计算器!$K$30&lt;&gt;"∞",0),INDEX(AU236:CB236,1,$AT$1),INDEX(AU238:CB238,1,$AT$1)),"*莺鸣柳*")=1,R237,0)</f>
        <v>0</v>
      </c>
      <c r="T237">
        <f ca="1" t="shared" si="68"/>
        <v>0</v>
      </c>
      <c r="U237">
        <f ca="1">IF(金蛇,IF(COUNTIF(B237,"*金环戴*")+COUNTIF(B237,"*吹风醒*")&gt;0,IF(A237&lt;=3,7.125-2.625-A237-加速!$L$11,7.125+加速!$K$9-(A237+加速!$L$11-T237)),0),0)+IF(金蛇,IF(COUNTIF(B237,"*千切子裂光*")&gt;0,2+加速!$K$9-(A237+加速!$L$11-T237),0),0)</f>
        <v>0</v>
      </c>
      <c r="V237">
        <f ca="1" t="shared" si="69"/>
        <v>0</v>
      </c>
      <c r="W237">
        <f ca="1" t="shared" si="61"/>
        <v>0</v>
      </c>
      <c r="X237">
        <f ca="1">INDEX(加速!$I$13:$I$21,W237+1)</f>
        <v>0</v>
      </c>
      <c r="Y237">
        <f ca="1" t="shared" si="70"/>
        <v>0.5</v>
      </c>
      <c r="Z237">
        <f ca="1" t="shared" si="66"/>
        <v>0</v>
      </c>
      <c r="AA237">
        <f ca="1">MAX(0,IFERROR(IF(COUNTIF(B237,"*叠*")&gt;0,IF(AC236&lt;3,8-A238+A237,AA236+6.875-A238+A237),AA236-A238+A237),AA236-加速!$L$11))</f>
        <v>0</v>
      </c>
      <c r="AB237" t="e">
        <f ca="1">MAX(0,IF(COUNTIF(IF(AND(配装计算器!$K$30&lt;&gt;"∞",0),INDEX(AU237:CB237,1,$AT$1),INDEX(AU237:CB237,1,$AT$1)),"*叠1*")=1,4*25-加速!$L$11,AB236-A237+A236)-IF(OR(COUNTIF(OFFSET(AT237,0,$AT$1,1,1),"*听雷*")&gt;0,AND(碧归&gt;0,COUNTIF(OFFSET(AT237,0,$AT$1,1,1),"*风来*")&gt;0)),0,1)*1.5)</f>
        <v>#VALUE!</v>
      </c>
      <c r="AC237">
        <f ca="1" t="shared" si="62"/>
        <v>0</v>
      </c>
      <c r="AD237">
        <f ca="1">IF(COUNTIF(IF(AND(配装计算器!$K$30&lt;&gt;"∞",0),INDEX(AU237:CB237,1,$AT$1),INDEX(AU238:CB238,1,$AT$1)),"*叠1*")=1,AB237*0+AE236,0)</f>
        <v>0</v>
      </c>
      <c r="AE237" t="e">
        <f ca="1">IF($AN$11&gt;0,IF(COUNTIF(B238,"*叠1*")&gt;0,50-加速!$L$11,MAX(0,AE236-(A238-A237))),0)</f>
        <v>#VALUE!</v>
      </c>
      <c r="AG237">
        <f ca="1" t="shared" si="63"/>
        <v>7</v>
      </c>
      <c r="AU237" s="176" t="s">
        <v>2776</v>
      </c>
      <c r="AV237">
        <v>2</v>
      </c>
      <c r="AW237" t="s">
        <v>2768</v>
      </c>
      <c r="AX237">
        <v>2</v>
      </c>
      <c r="AY237" t="s">
        <v>2768</v>
      </c>
      <c r="AZ237">
        <v>2</v>
      </c>
      <c r="BA237" t="s">
        <v>2776</v>
      </c>
      <c r="BB237">
        <v>2</v>
      </c>
      <c r="BC237" t="s">
        <v>2776</v>
      </c>
      <c r="BD237">
        <v>2</v>
      </c>
      <c r="BE237" t="s">
        <v>2794</v>
      </c>
      <c r="BF237">
        <v>1</v>
      </c>
      <c r="BG237" s="176" t="s">
        <v>2776</v>
      </c>
      <c r="BH237">
        <v>2</v>
      </c>
      <c r="BI237" s="176" t="s">
        <v>3026</v>
      </c>
      <c r="BJ237">
        <v>2</v>
      </c>
      <c r="BK237" t="s">
        <v>2768</v>
      </c>
      <c r="BL237">
        <v>1</v>
      </c>
      <c r="BM237" s="176" t="str">
        <f>IF(秋,"九溪弥烟-轻-血毒金蛇锥","梦泉虎跑-轻")</f>
        <v>梦泉虎跑-轻</v>
      </c>
      <c r="BN237">
        <v>0</v>
      </c>
      <c r="BO237" s="176" t="s">
        <v>2768</v>
      </c>
      <c r="BP237">
        <v>2</v>
      </c>
      <c r="BQ237" t="s">
        <v>3013</v>
      </c>
      <c r="BR237">
        <v>2</v>
      </c>
      <c r="BS237" s="182" t="s">
        <v>3023</v>
      </c>
      <c r="BT237">
        <v>2</v>
      </c>
      <c r="BU237" t="s">
        <v>2768</v>
      </c>
      <c r="BV237">
        <v>2</v>
      </c>
      <c r="BW237" s="179" t="s">
        <v>2776</v>
      </c>
      <c r="BX237" s="179">
        <v>2</v>
      </c>
      <c r="BY237" s="176" t="str">
        <f>IF(秋,"九溪弥烟-轻-血毒金蛇锥","梦泉虎跑-轻")</f>
        <v>梦泉虎跑-轻</v>
      </c>
      <c r="BZ237">
        <v>0</v>
      </c>
      <c r="CA237" s="176" t="str">
        <f>IF(秋,"九溪弥烟-轻-血毒金蛇锥","梦泉虎跑-轻")</f>
        <v>梦泉虎跑-轻</v>
      </c>
      <c r="CB237">
        <v>0</v>
      </c>
    </row>
    <row r="238" spans="1:80">
      <c r="A238" s="178" t="str">
        <f ca="1">IFERROR(IF(AG237&lt;5+金蛇*2,IF(COUNTIF(B237,"*轻*")&gt;0,A237+加速!$L$9,A237+加速!$L$11)+V237,""),"")</f>
        <v/>
      </c>
      <c r="B238" s="167" t="str">
        <f ca="1" t="shared" si="58"/>
        <v/>
      </c>
      <c r="C238" t="str">
        <f ca="1" t="shared" si="67"/>
        <v/>
      </c>
      <c r="D238" t="str">
        <f ca="1">IF(B238&lt;&gt;"",IF(C237&lt;=加速!$L$11*(1-E238),0,1),"")</f>
        <v/>
      </c>
      <c r="E238">
        <f ca="1" t="shared" si="64"/>
        <v>1</v>
      </c>
      <c r="G238" t="str">
        <f ca="1" t="shared" si="65"/>
        <v/>
      </c>
      <c r="H238" t="str">
        <f ca="1">IF(B238&lt;&gt;"",IF(AND(COUNTIF(B237,"*轻*莺鸣柳*")&gt;0,COUNTIF(B238,"*轻*")&lt;1),MAX(0,15+I237-(A238-A237)+COUNTIF(B237,"*平湖*")*0),IF(AND(E238=0,MAX(0,H237-(A238-A237))&lt;=加速!$H$11),0,MAX(0,H237-(A238-A237)))),"")</f>
        <v/>
      </c>
      <c r="I238" t="str">
        <f ca="1" t="shared" si="71"/>
        <v/>
      </c>
      <c r="J238" t="str">
        <f ca="1" t="shared" si="72"/>
        <v/>
      </c>
      <c r="K238" t="str">
        <f ca="1" t="shared" si="59"/>
        <v/>
      </c>
      <c r="L238">
        <f ca="1">IFERROR(IF(AND(COUNTIF(B238,"*-峰插*"),技能数据库!$M$72&gt;0),0,IF(COUNTIF(B238,"*鹤归*")&gt;0,16-加速!$L$11,MAX(0,L237-(A238-A237)))),0)</f>
        <v>0</v>
      </c>
      <c r="M238">
        <f ca="1" t="shared" si="60"/>
        <v>0</v>
      </c>
      <c r="N238">
        <f ca="1">IFERROR(IF(AND(COUNTIF(B238,"*-峰插*"),技能数据库!$M$72&gt;0),0,IF(COUNTIF(B238,"*云飞*")&gt;0,4-COUNTIF(B238,"*玉山揽云*")*4--COUNTIF(B238,"*烟流暮景*")*4-COUNTIF(B238,"*云景*")*加速!$L$11-IF(J238&gt;0,2,0),MAX(0,N237-(A238-A237)-IF(J238&gt;0,2,0)))),0)</f>
        <v>0</v>
      </c>
      <c r="O238">
        <f ca="1">IF(AND(COUNTIF(IF(AND(配装计算器!$K$30&lt;&gt;"∞",0),INDEX(AU237:CB237,1,$AT$1),INDEX(AU239:CB239,1,$AT$1)),"*云飞*")=1,COUNTIF(IF(AND(配装计算器!$K$30&lt;&gt;"∞",0),INDEX(AU237:CB237,1,$AT$1),INDEX(AU239:CB239,1,$AT$1)),"*玉山*")=0),N238,0)</f>
        <v>0</v>
      </c>
      <c r="P238">
        <f ca="1">IFERROR(IF(COUNTIF(B238,"*云栖松*")&gt;0,50-加速!$L$11,MAX(0,P237-(A238-A237))),0)</f>
        <v>0</v>
      </c>
      <c r="Q238">
        <f ca="1">IF(COUNTIF(IF(AND(配装计算器!$K$30&lt;&gt;"∞",0),INDEX(AU237:CB237,1,$AT$1),INDEX(AU239:CB239,1,$AT$1)),"*云栖松*")=1,P238,0)</f>
        <v>0</v>
      </c>
      <c r="R238">
        <f ca="1">IFERROR(IF(COUNTIF(B238,"*莺鸣柳*")&gt;0,45-加速!$L$9,MAX(0,R237-(A238-A237))),0)</f>
        <v>0</v>
      </c>
      <c r="S238">
        <f ca="1">IF(COUNTIF(IF(AND(配装计算器!$K$30&lt;&gt;"∞",0),INDEX(AU237:CB237,1,$AT$1),INDEX(AU239:CB239,1,$AT$1)),"*莺鸣柳*")=1,R238,0)</f>
        <v>0</v>
      </c>
      <c r="T238">
        <f ca="1" t="shared" si="68"/>
        <v>0</v>
      </c>
      <c r="U238">
        <f ca="1">IF(金蛇,IF(COUNTIF(B238,"*金环戴*")+COUNTIF(B238,"*吹风醒*")&gt;0,IF(A238&lt;=3,7.125-2.625-A238-加速!$L$11,7.125+加速!$K$9-(A238+加速!$L$11-T238)),0),0)+IF(金蛇,IF(COUNTIF(B238,"*千切子裂光*")&gt;0,2+加速!$K$9-(A238+加速!$L$11-T238),0),0)</f>
        <v>0</v>
      </c>
      <c r="V238">
        <f ca="1" t="shared" si="69"/>
        <v>0</v>
      </c>
      <c r="W238">
        <f ca="1" t="shared" si="61"/>
        <v>0</v>
      </c>
      <c r="X238">
        <f ca="1">INDEX(加速!$I$13:$I$21,W238+1)</f>
        <v>0</v>
      </c>
      <c r="Y238">
        <f ca="1" t="shared" si="70"/>
        <v>0.5</v>
      </c>
      <c r="Z238">
        <f ca="1" t="shared" si="66"/>
        <v>0</v>
      </c>
      <c r="AA238">
        <f ca="1">MAX(0,IFERROR(IF(COUNTIF(B238,"*叠*")&gt;0,IF(AC237&lt;3,8-A239+A238,AA237+6.875-A239+A238),AA237-A239+A238),AA237-加速!$L$11))</f>
        <v>0</v>
      </c>
      <c r="AB238" t="e">
        <f ca="1">MAX(0,IF(COUNTIF(IF(AND(配装计算器!$K$30&lt;&gt;"∞",0),INDEX(AU238:CB238,1,$AT$1),INDEX(AU238:CB238,1,$AT$1)),"*叠1*")=1,4*25-加速!$L$11,AB237-A238+A237)-IF(OR(COUNTIF(OFFSET(AT238,0,$AT$1,1,1),"*听雷*")&gt;0,AND(碧归&gt;0,COUNTIF(OFFSET(AT238,0,$AT$1,1,1),"*风来*")&gt;0)),0,1)*1.5)</f>
        <v>#VALUE!</v>
      </c>
      <c r="AC238">
        <f ca="1" t="shared" si="62"/>
        <v>0</v>
      </c>
      <c r="AD238">
        <f ca="1">IF(COUNTIF(IF(AND(配装计算器!$K$30&lt;&gt;"∞",0),INDEX(AU238:CB238,1,$AT$1),INDEX(AU239:CB239,1,$AT$1)),"*叠1*")=1,AB238*0+AE237,0)</f>
        <v>0</v>
      </c>
      <c r="AE238" t="e">
        <f ca="1">IF($AN$11&gt;0,IF(COUNTIF(B239,"*叠1*")&gt;0,50-加速!$L$11,MAX(0,AE237-(A239-A238))),0)</f>
        <v>#VALUE!</v>
      </c>
      <c r="AG238">
        <f ca="1" t="shared" si="63"/>
        <v>7</v>
      </c>
      <c r="AU238" s="176" t="s">
        <v>2768</v>
      </c>
      <c r="AV238">
        <v>2</v>
      </c>
      <c r="AW238" t="s">
        <v>2776</v>
      </c>
      <c r="AX238">
        <v>2</v>
      </c>
      <c r="AY238" t="s">
        <v>2776</v>
      </c>
      <c r="AZ238">
        <v>2</v>
      </c>
      <c r="BA238" t="s">
        <v>2794</v>
      </c>
      <c r="BB238">
        <v>2</v>
      </c>
      <c r="BC238" t="s">
        <v>2789</v>
      </c>
      <c r="BD238">
        <v>2</v>
      </c>
      <c r="BE238" t="s">
        <v>2768</v>
      </c>
      <c r="BF238">
        <v>1</v>
      </c>
      <c r="BG238" t="s">
        <v>2768</v>
      </c>
      <c r="BH238">
        <v>1</v>
      </c>
      <c r="BI238" s="176" t="s">
        <v>3026</v>
      </c>
      <c r="BJ238">
        <v>2</v>
      </c>
      <c r="BK238" t="s">
        <v>2768</v>
      </c>
      <c r="BL238">
        <v>0</v>
      </c>
      <c r="BM238" t="s">
        <v>3009</v>
      </c>
      <c r="BN238">
        <v>2</v>
      </c>
      <c r="BO238" s="176" t="s">
        <v>2776</v>
      </c>
      <c r="BP238">
        <v>2</v>
      </c>
      <c r="BQ238" t="s">
        <v>2808</v>
      </c>
      <c r="BR238">
        <v>2</v>
      </c>
      <c r="BS238" s="182" t="s">
        <v>2768</v>
      </c>
      <c r="BT238">
        <v>2</v>
      </c>
      <c r="BU238" s="176" t="s">
        <v>2768</v>
      </c>
      <c r="BV238">
        <v>2</v>
      </c>
      <c r="BW238" s="179" t="s">
        <v>2768</v>
      </c>
      <c r="BX238" s="179">
        <v>2</v>
      </c>
      <c r="BY238" t="s">
        <v>3009</v>
      </c>
      <c r="BZ238">
        <v>2</v>
      </c>
      <c r="CA238" t="s">
        <v>3009</v>
      </c>
      <c r="CB238">
        <v>2</v>
      </c>
    </row>
    <row r="239" spans="1:80">
      <c r="A239" s="178" t="str">
        <f ca="1">IFERROR(IF(AG238&lt;5+金蛇*2,IF(COUNTIF(B238,"*轻*")&gt;0,A238+加速!$L$9,A238+加速!$L$11)+V238,""),"")</f>
        <v/>
      </c>
      <c r="B239" s="167" t="str">
        <f ca="1" t="shared" si="58"/>
        <v/>
      </c>
      <c r="C239" t="str">
        <f ca="1" t="shared" si="67"/>
        <v/>
      </c>
      <c r="D239" t="str">
        <f ca="1">IF(B239&lt;&gt;"",IF(C238&lt;=加速!$L$11*(1-E239),0,1),"")</f>
        <v/>
      </c>
      <c r="E239">
        <f ca="1" t="shared" si="64"/>
        <v>1</v>
      </c>
      <c r="G239" t="str">
        <f ca="1" t="shared" si="65"/>
        <v/>
      </c>
      <c r="H239" t="str">
        <f ca="1">IF(B239&lt;&gt;"",IF(AND(COUNTIF(B238,"*轻*莺鸣柳*")&gt;0,COUNTIF(B239,"*轻*")&lt;1),MAX(0,15+I238-(A239-A238)+COUNTIF(B238,"*平湖*")*0),IF(AND(E239=0,MAX(0,H238-(A239-A238))&lt;=加速!$H$11),0,MAX(0,H238-(A239-A238)))),"")</f>
        <v/>
      </c>
      <c r="I239" t="str">
        <f ca="1" t="shared" si="71"/>
        <v/>
      </c>
      <c r="J239" t="str">
        <f ca="1" t="shared" si="72"/>
        <v/>
      </c>
      <c r="K239" t="str">
        <f ca="1" t="shared" si="59"/>
        <v/>
      </c>
      <c r="L239">
        <f ca="1">IFERROR(IF(AND(COUNTIF(B239,"*-峰插*"),技能数据库!$M$72&gt;0),0,IF(COUNTIF(B239,"*鹤归*")&gt;0,16-加速!$L$11,MAX(0,L238-(A239-A238)))),0)</f>
        <v>0</v>
      </c>
      <c r="M239">
        <f ca="1" t="shared" si="60"/>
        <v>0</v>
      </c>
      <c r="N239">
        <f ca="1">IFERROR(IF(AND(COUNTIF(B239,"*-峰插*"),技能数据库!$M$72&gt;0),0,IF(COUNTIF(B239,"*云飞*")&gt;0,4-COUNTIF(B239,"*玉山揽云*")*4--COUNTIF(B239,"*烟流暮景*")*4-COUNTIF(B239,"*云景*")*加速!$L$11-IF(J239&gt;0,2,0),MAX(0,N238-(A239-A238)-IF(J239&gt;0,2,0)))),0)</f>
        <v>0</v>
      </c>
      <c r="O239">
        <f ca="1">IF(AND(COUNTIF(IF(AND(配装计算器!$K$30&lt;&gt;"∞",0),INDEX(AU238:CB238,1,$AT$1),INDEX(AU240:CB240,1,$AT$1)),"*云飞*")=1,COUNTIF(IF(AND(配装计算器!$K$30&lt;&gt;"∞",0),INDEX(AU238:CB238,1,$AT$1),INDEX(AU240:CB240,1,$AT$1)),"*玉山*")=0),N239,0)</f>
        <v>0</v>
      </c>
      <c r="P239">
        <f ca="1">IFERROR(IF(COUNTIF(B239,"*云栖松*")&gt;0,50-加速!$L$11,MAX(0,P238-(A239-A238))),0)</f>
        <v>0</v>
      </c>
      <c r="Q239">
        <f ca="1">IF(COUNTIF(IF(AND(配装计算器!$K$30&lt;&gt;"∞",0),INDEX(AU238:CB238,1,$AT$1),INDEX(AU240:CB240,1,$AT$1)),"*云栖松*")=1,P239,0)</f>
        <v>0</v>
      </c>
      <c r="R239">
        <f ca="1">IFERROR(IF(COUNTIF(B239,"*莺鸣柳*")&gt;0,45-加速!$L$9,MAX(0,R238-(A239-A238))),0)</f>
        <v>0</v>
      </c>
      <c r="S239">
        <f ca="1">IF(COUNTIF(IF(AND(配装计算器!$K$30&lt;&gt;"∞",0),INDEX(AU238:CB238,1,$AT$1),INDEX(AU240:CB240,1,$AT$1)),"*莺鸣柳*")=1,R239,0)</f>
        <v>0</v>
      </c>
      <c r="T239">
        <f ca="1" t="shared" si="68"/>
        <v>0</v>
      </c>
      <c r="U239">
        <f ca="1">IF(金蛇,IF(COUNTIF(B239,"*金环戴*")+COUNTIF(B239,"*吹风醒*")&gt;0,IF(A239&lt;=3,7.125-2.625-A239-加速!$L$11,7.125+加速!$K$9-(A239+加速!$L$11-T239)),0),0)+IF(金蛇,IF(COUNTIF(B239,"*千切子裂光*")&gt;0,2+加速!$K$9-(A239+加速!$L$11-T239),0),0)</f>
        <v>0</v>
      </c>
      <c r="V239">
        <f ca="1" t="shared" si="69"/>
        <v>0</v>
      </c>
      <c r="W239">
        <f ca="1" t="shared" si="61"/>
        <v>0</v>
      </c>
      <c r="X239">
        <f ca="1">INDEX(加速!$I$13:$I$21,W239+1)</f>
        <v>0</v>
      </c>
      <c r="Y239">
        <f ca="1" t="shared" si="70"/>
        <v>0.5</v>
      </c>
      <c r="Z239">
        <f ca="1" t="shared" si="66"/>
        <v>0</v>
      </c>
      <c r="AA239">
        <f ca="1">MAX(0,IFERROR(IF(COUNTIF(B239,"*叠*")&gt;0,IF(AC238&lt;3,8-A240+A239,AA238+6.875-A240+A239),AA238-A240+A239),AA238-加速!$L$11))</f>
        <v>0</v>
      </c>
      <c r="AB239" t="e">
        <f ca="1">MAX(0,IF(COUNTIF(IF(AND(配装计算器!$K$30&lt;&gt;"∞",0),INDEX(AU239:CB239,1,$AT$1),INDEX(AU239:CB239,1,$AT$1)),"*叠1*")=1,4*25-加速!$L$11,AB238-A239+A238)-IF(OR(COUNTIF(OFFSET(AT239,0,$AT$1,1,1),"*听雷*")&gt;0,AND(碧归&gt;0,COUNTIF(OFFSET(AT239,0,$AT$1,1,1),"*风来*")&gt;0)),0,1)*1.5)</f>
        <v>#VALUE!</v>
      </c>
      <c r="AC239">
        <f ca="1" t="shared" si="62"/>
        <v>0</v>
      </c>
      <c r="AD239">
        <f ca="1">IF(COUNTIF(IF(AND(配装计算器!$K$30&lt;&gt;"∞",0),INDEX(AU239:CB239,1,$AT$1),INDEX(AU240:CB240,1,$AT$1)),"*叠1*")=1,AB239*0+AE238,0)</f>
        <v>0</v>
      </c>
      <c r="AE239" t="e">
        <f ca="1">IF($AN$11&gt;0,IF(COUNTIF(B240,"*叠1*")&gt;0,50-加速!$L$11,MAX(0,AE238-(A240-A239))),0)</f>
        <v>#VALUE!</v>
      </c>
      <c r="AG239">
        <f ca="1" t="shared" si="63"/>
        <v>7</v>
      </c>
      <c r="AU239" s="176" t="s">
        <v>2776</v>
      </c>
      <c r="AV239">
        <v>2</v>
      </c>
      <c r="AW239" t="s">
        <v>2768</v>
      </c>
      <c r="AX239">
        <v>2</v>
      </c>
      <c r="AY239" t="s">
        <v>2794</v>
      </c>
      <c r="AZ239">
        <v>2</v>
      </c>
      <c r="BA239" t="s">
        <v>2768</v>
      </c>
      <c r="BB239">
        <v>2</v>
      </c>
      <c r="BC239" t="s">
        <v>2794</v>
      </c>
      <c r="BD239">
        <v>2</v>
      </c>
      <c r="BE239" t="s">
        <v>2776</v>
      </c>
      <c r="BF239">
        <v>1</v>
      </c>
      <c r="BG239" s="176" t="s">
        <v>2768</v>
      </c>
      <c r="BH239">
        <v>1</v>
      </c>
      <c r="BI239" s="176" t="s">
        <v>3026</v>
      </c>
      <c r="BJ239">
        <v>2</v>
      </c>
      <c r="BK239" t="s">
        <v>2776</v>
      </c>
      <c r="BL239">
        <v>0</v>
      </c>
      <c r="BM239" s="176" t="str">
        <f>IF(秋,"云飞玉皇-蛇牙锥心","云飞玉皇-血毒金蛇锥")</f>
        <v>云飞玉皇-血毒金蛇锥</v>
      </c>
      <c r="BN239">
        <v>2</v>
      </c>
      <c r="BO239" s="176" t="s">
        <v>2768</v>
      </c>
      <c r="BP239">
        <v>2</v>
      </c>
      <c r="BQ239" t="s">
        <v>2768</v>
      </c>
      <c r="BR239">
        <v>2</v>
      </c>
      <c r="BS239" s="182" t="s">
        <v>2776</v>
      </c>
      <c r="BT239">
        <v>2</v>
      </c>
      <c r="BU239" s="176" t="s">
        <v>2776</v>
      </c>
      <c r="BV239">
        <v>2</v>
      </c>
      <c r="BW239" s="179" t="s">
        <v>2768</v>
      </c>
      <c r="BX239" s="179">
        <v>2</v>
      </c>
      <c r="BY239" t="str">
        <f>IF(秋,"夕照雷峰-蛇牙锥心","夕照雷峰")</f>
        <v>夕照雷峰</v>
      </c>
      <c r="BZ239">
        <v>2</v>
      </c>
      <c r="CA239" s="176" t="str">
        <f>IF(秋,"鹤归孤山-蛇牙锥心","鹤归孤山")</f>
        <v>鹤归孤山</v>
      </c>
      <c r="CB239">
        <v>2</v>
      </c>
    </row>
    <row r="240" spans="1:80">
      <c r="A240" s="178" t="str">
        <f ca="1">IFERROR(IF(AG239&lt;5+金蛇*2,IF(COUNTIF(B239,"*轻*")&gt;0,A239+加速!$L$9,A239+加速!$L$11)+V239,""),"")</f>
        <v/>
      </c>
      <c r="B240" s="167" t="str">
        <f ca="1" t="shared" si="58"/>
        <v/>
      </c>
      <c r="C240" t="str">
        <f ca="1" t="shared" si="67"/>
        <v/>
      </c>
      <c r="D240" t="str">
        <f ca="1">IF(B240&lt;&gt;"",IF(C239&lt;=加速!$L$11*(1-E240),0,1),"")</f>
        <v/>
      </c>
      <c r="E240">
        <f ca="1" t="shared" si="64"/>
        <v>1</v>
      </c>
      <c r="G240" t="str">
        <f ca="1" t="shared" si="65"/>
        <v/>
      </c>
      <c r="H240" t="str">
        <f ca="1">IF(B240&lt;&gt;"",IF(AND(COUNTIF(B239,"*轻*莺鸣柳*")&gt;0,COUNTIF(B240,"*轻*")&lt;1),MAX(0,15+I239-(A240-A239)+COUNTIF(B239,"*平湖*")*0),IF(AND(E240=0,MAX(0,H239-(A240-A239))&lt;=加速!$H$11),0,MAX(0,H239-(A240-A239)))),"")</f>
        <v/>
      </c>
      <c r="I240" t="str">
        <f ca="1" t="shared" si="71"/>
        <v/>
      </c>
      <c r="J240" t="str">
        <f ca="1" t="shared" si="72"/>
        <v/>
      </c>
      <c r="K240" t="str">
        <f ca="1" t="shared" si="59"/>
        <v/>
      </c>
      <c r="L240">
        <f ca="1">IFERROR(IF(AND(COUNTIF(B240,"*-峰插*"),技能数据库!$M$72&gt;0),0,IF(COUNTIF(B240,"*鹤归*")&gt;0,16-加速!$L$11,MAX(0,L239-(A240-A239)))),0)</f>
        <v>0</v>
      </c>
      <c r="M240">
        <f ca="1" t="shared" si="60"/>
        <v>0</v>
      </c>
      <c r="N240">
        <f ca="1">IFERROR(IF(AND(COUNTIF(B240,"*-峰插*"),技能数据库!$M$72&gt;0),0,IF(COUNTIF(B240,"*云飞*")&gt;0,4-COUNTIF(B240,"*玉山揽云*")*4--COUNTIF(B240,"*烟流暮景*")*4-COUNTIF(B240,"*云景*")*加速!$L$11-IF(J240&gt;0,2,0),MAX(0,N239-(A240-A239)-IF(J240&gt;0,2,0)))),0)</f>
        <v>0</v>
      </c>
      <c r="O240">
        <f ca="1">IF(AND(COUNTIF(IF(AND(配装计算器!$K$30&lt;&gt;"∞",0),INDEX(AU239:CB239,1,$AT$1),INDEX(AU241:CB241,1,$AT$1)),"*云飞*")=1,COUNTIF(IF(AND(配装计算器!$K$30&lt;&gt;"∞",0),INDEX(AU239:CB239,1,$AT$1),INDEX(AU241:CB241,1,$AT$1)),"*玉山*")=0),N240,0)</f>
        <v>0</v>
      </c>
      <c r="P240">
        <f ca="1">IFERROR(IF(COUNTIF(B240,"*云栖松*")&gt;0,50-加速!$L$11,MAX(0,P239-(A240-A239))),0)</f>
        <v>0</v>
      </c>
      <c r="Q240">
        <f ca="1">IF(COUNTIF(IF(AND(配装计算器!$K$30&lt;&gt;"∞",0),INDEX(AU239:CB239,1,$AT$1),INDEX(AU241:CB241,1,$AT$1)),"*云栖松*")=1,P240,0)</f>
        <v>0</v>
      </c>
      <c r="R240">
        <f ca="1">IFERROR(IF(COUNTIF(B240,"*莺鸣柳*")&gt;0,45-加速!$L$9,MAX(0,R239-(A240-A239))),0)</f>
        <v>0</v>
      </c>
      <c r="S240">
        <f ca="1">IF(COUNTIF(IF(AND(配装计算器!$K$30&lt;&gt;"∞",0),INDEX(AU239:CB239,1,$AT$1),INDEX(AU241:CB241,1,$AT$1)),"*莺鸣柳*")=1,R240,0)</f>
        <v>0</v>
      </c>
      <c r="T240">
        <f ca="1" t="shared" si="68"/>
        <v>0</v>
      </c>
      <c r="U240">
        <f ca="1">IF(金蛇,IF(COUNTIF(B240,"*金环戴*")+COUNTIF(B240,"*吹风醒*")&gt;0,IF(A240&lt;=3,7.125-2.625-A240-加速!$L$11,7.125+加速!$K$9-(A240+加速!$L$11-T240)),0),0)+IF(金蛇,IF(COUNTIF(B240,"*千切子裂光*")&gt;0,2+加速!$K$9-(A240+加速!$L$11-T240),0),0)</f>
        <v>0</v>
      </c>
      <c r="V240">
        <f ca="1" t="shared" si="69"/>
        <v>0</v>
      </c>
      <c r="W240">
        <f ca="1" t="shared" si="61"/>
        <v>0</v>
      </c>
      <c r="X240">
        <f ca="1">INDEX(加速!$I$13:$I$21,W240+1)</f>
        <v>0</v>
      </c>
      <c r="Y240">
        <f ca="1" t="shared" si="70"/>
        <v>0.5</v>
      </c>
      <c r="Z240">
        <f ca="1" t="shared" si="66"/>
        <v>0</v>
      </c>
      <c r="AA240">
        <f ca="1">MAX(0,IFERROR(IF(COUNTIF(B240,"*叠*")&gt;0,IF(AC239&lt;3,8-A241+A240,AA239+6.875-A241+A240),AA239-A241+A240),AA239-加速!$L$11))</f>
        <v>0</v>
      </c>
      <c r="AB240" t="e">
        <f ca="1">MAX(0,IF(COUNTIF(IF(AND(配装计算器!$K$30&lt;&gt;"∞",0),INDEX(AU240:CB240,1,$AT$1),INDEX(AU240:CB240,1,$AT$1)),"*叠1*")=1,4*25-加速!$L$11,AB239-A240+A239)-IF(OR(COUNTIF(OFFSET(AT240,0,$AT$1,1,1),"*听雷*")&gt;0,AND(碧归&gt;0,COUNTIF(OFFSET(AT240,0,$AT$1,1,1),"*风来*")&gt;0)),0,1)*1.5)</f>
        <v>#VALUE!</v>
      </c>
      <c r="AC240">
        <f ca="1" t="shared" si="62"/>
        <v>0</v>
      </c>
      <c r="AD240">
        <f ca="1">IF(COUNTIF(IF(AND(配装计算器!$K$30&lt;&gt;"∞",0),INDEX(AU240:CB240,1,$AT$1),INDEX(AU241:CB241,1,$AT$1)),"*叠1*")=1,AB240*0+AE239,0)</f>
        <v>0</v>
      </c>
      <c r="AE240" t="e">
        <f ca="1">IF($AN$11&gt;0,IF(COUNTIF(B241,"*叠1*")&gt;0,50-加速!$L$11,MAX(0,AE239-(A241-A240))),0)</f>
        <v>#VALUE!</v>
      </c>
      <c r="AG240">
        <f ca="1" t="shared" si="63"/>
        <v>7</v>
      </c>
      <c r="AU240" s="176" t="s">
        <v>2768</v>
      </c>
      <c r="AV240">
        <v>2</v>
      </c>
      <c r="AW240" t="s">
        <v>2722</v>
      </c>
      <c r="AX240">
        <v>0</v>
      </c>
      <c r="AY240" t="s">
        <v>2768</v>
      </c>
      <c r="AZ240">
        <v>2</v>
      </c>
      <c r="BA240" t="s">
        <v>2776</v>
      </c>
      <c r="BB240">
        <v>2</v>
      </c>
      <c r="BC240" s="182" t="s">
        <v>3036</v>
      </c>
      <c r="BD240">
        <v>2</v>
      </c>
      <c r="BE240" t="s">
        <v>2768</v>
      </c>
      <c r="BF240">
        <v>0</v>
      </c>
      <c r="BG240" t="s">
        <v>3055</v>
      </c>
      <c r="BH240">
        <v>0</v>
      </c>
      <c r="BI240" s="176" t="s">
        <v>3036</v>
      </c>
      <c r="BJ240">
        <v>2</v>
      </c>
      <c r="BK240" t="s">
        <v>2768</v>
      </c>
      <c r="BL240">
        <v>0</v>
      </c>
      <c r="BM240" t="s">
        <v>2768</v>
      </c>
      <c r="BN240">
        <v>2</v>
      </c>
      <c r="BO240" s="176" t="s">
        <v>2808</v>
      </c>
      <c r="BP240">
        <v>2</v>
      </c>
      <c r="BQ240" t="s">
        <v>2768</v>
      </c>
      <c r="BR240">
        <v>2</v>
      </c>
      <c r="BS240" s="182" t="s">
        <v>2768</v>
      </c>
      <c r="BT240">
        <v>2</v>
      </c>
      <c r="BU240" t="s">
        <v>2768</v>
      </c>
      <c r="BV240">
        <v>1</v>
      </c>
      <c r="BW240" s="182" t="s">
        <v>2794</v>
      </c>
      <c r="BX240" s="179">
        <v>2</v>
      </c>
      <c r="BY240" s="176" t="str">
        <f>IF(秋,"云飞玉皇","云飞玉皇-血毒金蛇锥")</f>
        <v>云飞玉皇-血毒金蛇锥</v>
      </c>
      <c r="BZ240">
        <v>2</v>
      </c>
      <c r="CA240" s="176" t="str">
        <f>IF(秋,"云飞玉皇","云飞玉皇-血毒金蛇锥")</f>
        <v>云飞玉皇-血毒金蛇锥</v>
      </c>
      <c r="CB240">
        <v>2</v>
      </c>
    </row>
    <row r="241" spans="1:80">
      <c r="A241" s="178" t="str">
        <f ca="1">IFERROR(IF(AG240&lt;5+金蛇*2,IF(COUNTIF(B240,"*轻*")&gt;0,A240+加速!$L$9,A240+加速!$L$11)+V240,""),"")</f>
        <v/>
      </c>
      <c r="B241" s="167" t="str">
        <f ca="1" t="shared" si="58"/>
        <v/>
      </c>
      <c r="C241" t="str">
        <f ca="1" t="shared" si="67"/>
        <v/>
      </c>
      <c r="D241" t="str">
        <f ca="1">IF(B241&lt;&gt;"",IF(C240&lt;=加速!$L$11*(1-E241),0,1),"")</f>
        <v/>
      </c>
      <c r="E241">
        <f ca="1" t="shared" si="64"/>
        <v>1</v>
      </c>
      <c r="G241" t="str">
        <f ca="1" t="shared" si="65"/>
        <v/>
      </c>
      <c r="H241" t="str">
        <f ca="1">IF(B241&lt;&gt;"",IF(AND(COUNTIF(B240,"*轻*莺鸣柳*")&gt;0,COUNTIF(B241,"*轻*")&lt;1),MAX(0,15+I240-(A241-A240)+COUNTIF(B240,"*平湖*")*0),IF(AND(E241=0,MAX(0,H240-(A241-A240))&lt;=加速!$H$11),0,MAX(0,H240-(A241-A240)))),"")</f>
        <v/>
      </c>
      <c r="I241" t="str">
        <f ca="1" t="shared" si="71"/>
        <v/>
      </c>
      <c r="J241" t="str">
        <f ca="1" t="shared" si="72"/>
        <v/>
      </c>
      <c r="K241" t="str">
        <f ca="1" t="shared" si="59"/>
        <v/>
      </c>
      <c r="L241">
        <f ca="1">IFERROR(IF(AND(COUNTIF(B241,"*-峰插*"),技能数据库!$M$72&gt;0),0,IF(COUNTIF(B241,"*鹤归*")&gt;0,16-加速!$L$11,MAX(0,L240-(A241-A240)))),0)</f>
        <v>0</v>
      </c>
      <c r="M241">
        <f ca="1" t="shared" si="60"/>
        <v>0</v>
      </c>
      <c r="N241">
        <f ca="1">IFERROR(IF(AND(COUNTIF(B241,"*-峰插*"),技能数据库!$M$72&gt;0),0,IF(COUNTIF(B241,"*云飞*")&gt;0,4-COUNTIF(B241,"*玉山揽云*")*4--COUNTIF(B241,"*烟流暮景*")*4-COUNTIF(B241,"*云景*")*加速!$L$11-IF(J241&gt;0,2,0),MAX(0,N240-(A241-A240)-IF(J241&gt;0,2,0)))),0)</f>
        <v>0</v>
      </c>
      <c r="O241">
        <f ca="1">IF(AND(COUNTIF(IF(AND(配装计算器!$K$30&lt;&gt;"∞",0),INDEX(AU240:CB240,1,$AT$1),INDEX(AU242:CB242,1,$AT$1)),"*云飞*")=1,COUNTIF(IF(AND(配装计算器!$K$30&lt;&gt;"∞",0),INDEX(AU240:CB240,1,$AT$1),INDEX(AU242:CB242,1,$AT$1)),"*玉山*")=0),N241,0)</f>
        <v>0</v>
      </c>
      <c r="P241">
        <f ca="1">IFERROR(IF(COUNTIF(B241,"*云栖松*")&gt;0,50-加速!$L$11,MAX(0,P240-(A241-A240))),0)</f>
        <v>0</v>
      </c>
      <c r="Q241">
        <f ca="1">IF(COUNTIF(IF(AND(配装计算器!$K$30&lt;&gt;"∞",0),INDEX(AU240:CB240,1,$AT$1),INDEX(AU242:CB242,1,$AT$1)),"*云栖松*")=1,P241,0)</f>
        <v>0</v>
      </c>
      <c r="R241">
        <f ca="1">IFERROR(IF(COUNTIF(B241,"*莺鸣柳*")&gt;0,45-加速!$L$9,MAX(0,R240-(A241-A240))),0)</f>
        <v>0</v>
      </c>
      <c r="S241">
        <f ca="1">IF(COUNTIF(IF(AND(配装计算器!$K$30&lt;&gt;"∞",0),INDEX(AU240:CB240,1,$AT$1),INDEX(AU242:CB242,1,$AT$1)),"*莺鸣柳*")=1,R241,0)</f>
        <v>0</v>
      </c>
      <c r="T241">
        <f ca="1" t="shared" si="68"/>
        <v>0</v>
      </c>
      <c r="U241">
        <f ca="1">IF(金蛇,IF(COUNTIF(B241,"*金环戴*")+COUNTIF(B241,"*吹风醒*")&gt;0,IF(A241&lt;=3,7.125-2.625-A241-加速!$L$11,7.125+加速!$K$9-(A241+加速!$L$11-T241)),0),0)+IF(金蛇,IF(COUNTIF(B241,"*千切子裂光*")&gt;0,2+加速!$K$9-(A241+加速!$L$11-T241),0),0)</f>
        <v>0</v>
      </c>
      <c r="V241">
        <f ca="1" t="shared" si="69"/>
        <v>0</v>
      </c>
      <c r="W241">
        <f ca="1" t="shared" si="61"/>
        <v>0</v>
      </c>
      <c r="X241">
        <f ca="1">INDEX(加速!$I$13:$I$21,W241+1)</f>
        <v>0</v>
      </c>
      <c r="Y241">
        <f ca="1" t="shared" si="70"/>
        <v>0.5</v>
      </c>
      <c r="Z241">
        <f ca="1" t="shared" si="66"/>
        <v>0</v>
      </c>
      <c r="AA241">
        <f ca="1">MAX(0,IFERROR(IF(COUNTIF(B241,"*叠*")&gt;0,IF(AC240&lt;3,8-A242+A241,AA240+6.875-A242+A241),AA240-A242+A241),AA240-加速!$L$11))</f>
        <v>0</v>
      </c>
      <c r="AB241" t="e">
        <f ca="1">MAX(0,IF(COUNTIF(IF(AND(配装计算器!$K$30&lt;&gt;"∞",0),INDEX(AU241:CB241,1,$AT$1),INDEX(AU241:CB241,1,$AT$1)),"*叠1*")=1,4*25-加速!$L$11,AB240-A241+A240)-IF(OR(COUNTIF(OFFSET(AT241,0,$AT$1,1,1),"*听雷*")&gt;0,AND(碧归&gt;0,COUNTIF(OFFSET(AT241,0,$AT$1,1,1),"*风来*")&gt;0)),0,1)*1.5)</f>
        <v>#VALUE!</v>
      </c>
      <c r="AC241">
        <f ca="1" t="shared" si="62"/>
        <v>0</v>
      </c>
      <c r="AD241">
        <f ca="1">IF(COUNTIF(IF(AND(配装计算器!$K$30&lt;&gt;"∞",0),INDEX(AU241:CB241,1,$AT$1),INDEX(AU242:CB242,1,$AT$1)),"*叠1*")=1,AB241*0+AE240,0)</f>
        <v>0</v>
      </c>
      <c r="AE241" t="e">
        <f ca="1">IF($AN$11&gt;0,IF(COUNTIF(B242,"*叠1*")&gt;0,50-加速!$L$11,MAX(0,AE240-(A242-A241))),0)</f>
        <v>#VALUE!</v>
      </c>
      <c r="AG241">
        <f ca="1" t="shared" si="63"/>
        <v>7</v>
      </c>
      <c r="AU241" s="176" t="s">
        <v>2776</v>
      </c>
      <c r="AV241">
        <v>2</v>
      </c>
      <c r="AW241" t="s">
        <v>3009</v>
      </c>
      <c r="AX241">
        <v>2</v>
      </c>
      <c r="AY241" t="s">
        <v>2776</v>
      </c>
      <c r="AZ241">
        <v>2</v>
      </c>
      <c r="BA241" t="s">
        <v>2768</v>
      </c>
      <c r="BB241">
        <v>2</v>
      </c>
      <c r="BC241" s="176" t="s">
        <v>3026</v>
      </c>
      <c r="BD241">
        <v>2</v>
      </c>
      <c r="BE241" t="s">
        <v>3011</v>
      </c>
      <c r="BF241">
        <v>2</v>
      </c>
      <c r="BG241" t="s">
        <v>2776</v>
      </c>
      <c r="BH241">
        <v>2</v>
      </c>
      <c r="BI241" t="s">
        <v>2794</v>
      </c>
      <c r="BJ241">
        <v>2</v>
      </c>
      <c r="BK241" t="s">
        <v>3067</v>
      </c>
      <c r="BL241">
        <v>2</v>
      </c>
      <c r="BM241" t="str">
        <f>IF(山重水复,"风来吴山","夕照雷峰")</f>
        <v>夕照雷峰</v>
      </c>
      <c r="BN241">
        <v>2</v>
      </c>
      <c r="BO241" t="str">
        <f>IF(0,"云飞玉皇-玉山揽云","夕照雷峰")</f>
        <v>夕照雷峰</v>
      </c>
      <c r="BP241">
        <v>2</v>
      </c>
      <c r="BQ241" t="s">
        <v>2776</v>
      </c>
      <c r="BR241">
        <v>1</v>
      </c>
      <c r="BS241" s="182" t="s">
        <v>3085</v>
      </c>
      <c r="BT241">
        <v>2</v>
      </c>
      <c r="BU241" s="176" t="s">
        <v>2768</v>
      </c>
      <c r="BV241">
        <v>1</v>
      </c>
      <c r="BW241" s="182" t="s">
        <v>2776</v>
      </c>
      <c r="BX241" s="179">
        <v>2</v>
      </c>
      <c r="BY241" t="s">
        <v>2768</v>
      </c>
      <c r="BZ241">
        <v>2</v>
      </c>
      <c r="CA241" s="176" t="s">
        <v>2768</v>
      </c>
      <c r="CB241">
        <v>2</v>
      </c>
    </row>
    <row r="242" spans="1:80">
      <c r="A242" s="178" t="str">
        <f ca="1">IFERROR(IF(AG241&lt;5+金蛇*2,IF(COUNTIF(B241,"*轻*")&gt;0,A241+加速!$L$9,A241+加速!$L$11)+V241,""),"")</f>
        <v/>
      </c>
      <c r="B242" s="167" t="str">
        <f ca="1" t="shared" si="58"/>
        <v/>
      </c>
      <c r="C242" t="str">
        <f ca="1" t="shared" si="67"/>
        <v/>
      </c>
      <c r="D242" t="str">
        <f ca="1">IF(B242&lt;&gt;"",IF(C241&lt;=加速!$L$11*(1-E242),0,1),"")</f>
        <v/>
      </c>
      <c r="E242">
        <f ca="1" t="shared" si="64"/>
        <v>1</v>
      </c>
      <c r="G242" t="str">
        <f ca="1" t="shared" si="65"/>
        <v/>
      </c>
      <c r="H242" t="str">
        <f ca="1">IF(B242&lt;&gt;"",IF(AND(COUNTIF(B241,"*轻*莺鸣柳*")&gt;0,COUNTIF(B242,"*轻*")&lt;1),MAX(0,15+I241-(A242-A241)+COUNTIF(B241,"*平湖*")*0),IF(AND(E242=0,MAX(0,H241-(A242-A241))&lt;=加速!$H$11),0,MAX(0,H241-(A242-A241)))),"")</f>
        <v/>
      </c>
      <c r="I242" t="str">
        <f ca="1" t="shared" si="71"/>
        <v/>
      </c>
      <c r="J242" t="str">
        <f ca="1" t="shared" si="72"/>
        <v/>
      </c>
      <c r="K242" t="str">
        <f ca="1" t="shared" si="59"/>
        <v/>
      </c>
      <c r="L242">
        <f ca="1">IFERROR(IF(AND(COUNTIF(B242,"*-峰插*"),技能数据库!$M$72&gt;0),0,IF(COUNTIF(B242,"*鹤归*")&gt;0,16-加速!$L$11,MAX(0,L241-(A242-A241)))),0)</f>
        <v>0</v>
      </c>
      <c r="M242">
        <f ca="1" t="shared" si="60"/>
        <v>0</v>
      </c>
      <c r="N242">
        <f ca="1">IFERROR(IF(AND(COUNTIF(B242,"*-峰插*"),技能数据库!$M$72&gt;0),0,IF(COUNTIF(B242,"*云飞*")&gt;0,4-COUNTIF(B242,"*玉山揽云*")*4--COUNTIF(B242,"*烟流暮景*")*4-COUNTIF(B242,"*云景*")*加速!$L$11-IF(J242&gt;0,2,0),MAX(0,N241-(A242-A241)-IF(J242&gt;0,2,0)))),0)</f>
        <v>0</v>
      </c>
      <c r="O242">
        <f ca="1">IF(AND(COUNTIF(IF(AND(配装计算器!$K$30&lt;&gt;"∞",0),INDEX(AU241:CB241,1,$AT$1),INDEX(AU243:CB243,1,$AT$1)),"*云飞*")=1,COUNTIF(IF(AND(配装计算器!$K$30&lt;&gt;"∞",0),INDEX(AU241:CB241,1,$AT$1),INDEX(AU243:CB243,1,$AT$1)),"*玉山*")=0),N242,0)</f>
        <v>0</v>
      </c>
      <c r="P242">
        <f ca="1">IFERROR(IF(COUNTIF(B242,"*云栖松*")&gt;0,50-加速!$L$11,MAX(0,P241-(A242-A241))),0)</f>
        <v>0</v>
      </c>
      <c r="Q242">
        <f ca="1">IF(COUNTIF(IF(AND(配装计算器!$K$30&lt;&gt;"∞",0),INDEX(AU241:CB241,1,$AT$1),INDEX(AU243:CB243,1,$AT$1)),"*云栖松*")=1,P242,0)</f>
        <v>0</v>
      </c>
      <c r="R242">
        <f ca="1">IFERROR(IF(COUNTIF(B242,"*莺鸣柳*")&gt;0,45-加速!$L$9,MAX(0,R241-(A242-A241))),0)</f>
        <v>0</v>
      </c>
      <c r="S242">
        <f ca="1">IF(COUNTIF(IF(AND(配装计算器!$K$30&lt;&gt;"∞",0),INDEX(AU241:CB241,1,$AT$1),INDEX(AU243:CB243,1,$AT$1)),"*莺鸣柳*")=1,R242,0)</f>
        <v>0</v>
      </c>
      <c r="T242">
        <f ca="1" t="shared" si="68"/>
        <v>0</v>
      </c>
      <c r="U242">
        <f ca="1">IF(金蛇,IF(COUNTIF(B242,"*金环戴*")+COUNTIF(B242,"*吹风醒*")&gt;0,IF(A242&lt;=3,7.125-2.625-A242-加速!$L$11,7.125+加速!$K$9-(A242+加速!$L$11-T242)),0),0)+IF(金蛇,IF(COUNTIF(B242,"*千切子裂光*")&gt;0,2+加速!$K$9-(A242+加速!$L$11-T242),0),0)</f>
        <v>0</v>
      </c>
      <c r="V242">
        <f ca="1" t="shared" si="69"/>
        <v>0</v>
      </c>
      <c r="W242">
        <f ca="1" t="shared" si="61"/>
        <v>0</v>
      </c>
      <c r="X242">
        <f ca="1">INDEX(加速!$I$13:$I$21,W242+1)</f>
        <v>0</v>
      </c>
      <c r="Y242">
        <f ca="1" t="shared" si="70"/>
        <v>0.5</v>
      </c>
      <c r="Z242">
        <f ca="1" t="shared" si="66"/>
        <v>0</v>
      </c>
      <c r="AA242">
        <f ca="1">MAX(0,IFERROR(IF(COUNTIF(B242,"*叠*")&gt;0,IF(AC241&lt;3,8-A243+A242,AA241+6.875-A243+A242),AA241-A243+A242),AA241-加速!$L$11))</f>
        <v>0</v>
      </c>
      <c r="AB242" t="e">
        <f ca="1">MAX(0,IF(COUNTIF(IF(AND(配装计算器!$K$30&lt;&gt;"∞",0),INDEX(AU242:CB242,1,$AT$1),INDEX(AU242:CB242,1,$AT$1)),"*叠1*")=1,4*25-加速!$L$11,AB241-A242+A241)-IF(OR(COUNTIF(OFFSET(AT242,0,$AT$1,1,1),"*听雷*")&gt;0,AND(碧归&gt;0,COUNTIF(OFFSET(AT242,0,$AT$1,1,1),"*风来*")&gt;0)),0,1)*1.5)</f>
        <v>#VALUE!</v>
      </c>
      <c r="AC242">
        <f ca="1" t="shared" si="62"/>
        <v>0</v>
      </c>
      <c r="AD242">
        <f ca="1">IF(COUNTIF(IF(AND(配装计算器!$K$30&lt;&gt;"∞",0),INDEX(AU242:CB242,1,$AT$1),INDEX(AU243:CB243,1,$AT$1)),"*叠1*")=1,AB242*0+AE241,0)</f>
        <v>0</v>
      </c>
      <c r="AE242" t="e">
        <f ca="1">IF($AN$11&gt;0,IF(COUNTIF(B243,"*叠1*")&gt;0,50-加速!$L$11,MAX(0,AE241-(A243-A242))),0)</f>
        <v>#VALUE!</v>
      </c>
      <c r="AG242">
        <f ca="1" t="shared" si="63"/>
        <v>7</v>
      </c>
      <c r="AU242" t="s">
        <v>2768</v>
      </c>
      <c r="AV242">
        <v>2</v>
      </c>
      <c r="AW242" t="s">
        <v>2776</v>
      </c>
      <c r="AX242">
        <v>2</v>
      </c>
      <c r="AY242" t="s">
        <v>2768</v>
      </c>
      <c r="AZ242">
        <v>2</v>
      </c>
      <c r="BA242" t="s">
        <v>2776</v>
      </c>
      <c r="BB242">
        <v>2</v>
      </c>
      <c r="BC242" s="176" t="s">
        <v>3026</v>
      </c>
      <c r="BD242">
        <v>2</v>
      </c>
      <c r="BE242" t="s">
        <v>2768</v>
      </c>
      <c r="BF242">
        <v>2</v>
      </c>
      <c r="BG242" t="s">
        <v>2768</v>
      </c>
      <c r="BH242">
        <v>2</v>
      </c>
      <c r="BI242" t="s">
        <v>2776</v>
      </c>
      <c r="BJ242">
        <v>2</v>
      </c>
      <c r="BK242" s="176" t="s">
        <v>2768</v>
      </c>
      <c r="BL242">
        <v>2</v>
      </c>
      <c r="BM242" s="176" t="s">
        <v>2794</v>
      </c>
      <c r="BN242">
        <v>2</v>
      </c>
      <c r="BO242" t="str">
        <f>IF(0,"云飞玉皇-玉山揽云","云飞玉皇")</f>
        <v>云飞玉皇</v>
      </c>
      <c r="BP242">
        <v>2</v>
      </c>
      <c r="BQ242" t="s">
        <v>3055</v>
      </c>
      <c r="BR242">
        <v>2</v>
      </c>
      <c r="BS242" s="182" t="s">
        <v>3084</v>
      </c>
      <c r="BT242">
        <v>2</v>
      </c>
      <c r="BU242" t="s">
        <v>3055</v>
      </c>
      <c r="BV242">
        <v>0</v>
      </c>
      <c r="BW242" s="182" t="s">
        <v>2768</v>
      </c>
      <c r="BX242" s="179">
        <v>2</v>
      </c>
      <c r="BY242" t="str">
        <f>IF(山重水复,"风来吴山","夕照雷峰")</f>
        <v>夕照雷峰</v>
      </c>
      <c r="BZ242">
        <v>2</v>
      </c>
      <c r="CA242" s="176" t="s">
        <v>2776</v>
      </c>
      <c r="CB242">
        <v>2</v>
      </c>
    </row>
    <row r="243" spans="1:80">
      <c r="A243" s="178" t="str">
        <f ca="1">IFERROR(IF(AG242&lt;5+金蛇*2,IF(COUNTIF(B242,"*轻*")&gt;0,A242+加速!$L$9,A242+加速!$L$11)+V242,""),"")</f>
        <v/>
      </c>
      <c r="B243" s="167" t="str">
        <f ca="1" t="shared" si="58"/>
        <v/>
      </c>
      <c r="C243" t="str">
        <f ca="1" t="shared" si="67"/>
        <v/>
      </c>
      <c r="D243" t="str">
        <f ca="1">IF(B243&lt;&gt;"",IF(C242&lt;=加速!$L$11*(1-E243),0,1),"")</f>
        <v/>
      </c>
      <c r="E243">
        <f ca="1" t="shared" si="64"/>
        <v>1</v>
      </c>
      <c r="G243" t="str">
        <f ca="1" t="shared" si="65"/>
        <v/>
      </c>
      <c r="H243" t="str">
        <f ca="1">IF(B243&lt;&gt;"",IF(AND(COUNTIF(B242,"*轻*莺鸣柳*")&gt;0,COUNTIF(B243,"*轻*")&lt;1),MAX(0,15+I242-(A243-A242)+COUNTIF(B242,"*平湖*")*0),IF(AND(E243=0,MAX(0,H242-(A243-A242))&lt;=加速!$H$11),0,MAX(0,H242-(A243-A242)))),"")</f>
        <v/>
      </c>
      <c r="I243" t="str">
        <f ca="1" t="shared" si="71"/>
        <v/>
      </c>
      <c r="J243" t="str">
        <f ca="1" t="shared" si="72"/>
        <v/>
      </c>
      <c r="K243" t="str">
        <f ca="1" t="shared" si="59"/>
        <v/>
      </c>
      <c r="L243">
        <f ca="1">IFERROR(IF(AND(COUNTIF(B243,"*-峰插*"),技能数据库!$M$72&gt;0),0,IF(COUNTIF(B243,"*鹤归*")&gt;0,16-加速!$L$11,MAX(0,L242-(A243-A242)))),0)</f>
        <v>0</v>
      </c>
      <c r="M243">
        <f ca="1" t="shared" si="60"/>
        <v>0</v>
      </c>
      <c r="N243">
        <f ca="1">IFERROR(IF(AND(COUNTIF(B243,"*-峰插*"),技能数据库!$M$72&gt;0),0,IF(COUNTIF(B243,"*云飞*")&gt;0,4-COUNTIF(B243,"*玉山揽云*")*4--COUNTIF(B243,"*烟流暮景*")*4-COUNTIF(B243,"*云景*")*加速!$L$11-IF(J243&gt;0,2,0),MAX(0,N242-(A243-A242)-IF(J243&gt;0,2,0)))),0)</f>
        <v>0</v>
      </c>
      <c r="O243">
        <f ca="1">IF(AND(COUNTIF(IF(AND(配装计算器!$K$30&lt;&gt;"∞",0),INDEX(AU242:CB242,1,$AT$1),INDEX(AU244:CB244,1,$AT$1)),"*云飞*")=1,COUNTIF(IF(AND(配装计算器!$K$30&lt;&gt;"∞",0),INDEX(AU242:CB242,1,$AT$1),INDEX(AU244:CB244,1,$AT$1)),"*玉山*")=0),N243,0)</f>
        <v>0</v>
      </c>
      <c r="P243">
        <f ca="1">IFERROR(IF(COUNTIF(B243,"*云栖松*")&gt;0,50-加速!$L$11,MAX(0,P242-(A243-A242))),0)</f>
        <v>0</v>
      </c>
      <c r="Q243">
        <f ca="1">IF(COUNTIF(IF(AND(配装计算器!$K$30&lt;&gt;"∞",0),INDEX(AU242:CB242,1,$AT$1),INDEX(AU244:CB244,1,$AT$1)),"*云栖松*")=1,P243,0)</f>
        <v>0</v>
      </c>
      <c r="R243">
        <f ca="1">IFERROR(IF(COUNTIF(B243,"*莺鸣柳*")&gt;0,45-加速!$L$9,MAX(0,R242-(A243-A242))),0)</f>
        <v>0</v>
      </c>
      <c r="S243">
        <f ca="1">IF(COUNTIF(IF(AND(配装计算器!$K$30&lt;&gt;"∞",0),INDEX(AU242:CB242,1,$AT$1),INDEX(AU244:CB244,1,$AT$1)),"*莺鸣柳*")=1,R243,0)</f>
        <v>0</v>
      </c>
      <c r="T243">
        <f ca="1" t="shared" si="68"/>
        <v>0</v>
      </c>
      <c r="U243">
        <f ca="1">IF(金蛇,IF(COUNTIF(B243,"*金环戴*")+COUNTIF(B243,"*吹风醒*")&gt;0,IF(A243&lt;=3,7.125-2.625-A243-加速!$L$11,7.125+加速!$K$9-(A243+加速!$L$11-T243)),0),0)+IF(金蛇,IF(COUNTIF(B243,"*千切子裂光*")&gt;0,2+加速!$K$9-(A243+加速!$L$11-T243),0),0)</f>
        <v>0</v>
      </c>
      <c r="V243">
        <f ca="1" t="shared" si="69"/>
        <v>0</v>
      </c>
      <c r="W243">
        <f ca="1" t="shared" si="61"/>
        <v>0</v>
      </c>
      <c r="X243">
        <f ca="1">INDEX(加速!$I$13:$I$21,W243+1)</f>
        <v>0</v>
      </c>
      <c r="Y243">
        <f ca="1" t="shared" si="70"/>
        <v>0.5</v>
      </c>
      <c r="Z243">
        <f ca="1" t="shared" si="66"/>
        <v>0</v>
      </c>
      <c r="AA243">
        <f ca="1">MAX(0,IFERROR(IF(COUNTIF(B243,"*叠*")&gt;0,IF(AC242&lt;3,8-A244+A243,AA242+6.875-A244+A243),AA242-A244+A243),AA242-加速!$L$11))</f>
        <v>0</v>
      </c>
      <c r="AB243" t="e">
        <f ca="1">MAX(0,IF(COUNTIF(IF(AND(配装计算器!$K$30&lt;&gt;"∞",0),INDEX(AU243:CB243,1,$AT$1),INDEX(AU243:CB243,1,$AT$1)),"*叠1*")=1,4*25-加速!$L$11,AB242-A243+A242)-IF(OR(COUNTIF(OFFSET(AT243,0,$AT$1,1,1),"*听雷*")&gt;0,AND(碧归&gt;0,COUNTIF(OFFSET(AT243,0,$AT$1,1,1),"*风来*")&gt;0)),0,1)*1.5)</f>
        <v>#VALUE!</v>
      </c>
      <c r="AC243">
        <f ca="1" t="shared" si="62"/>
        <v>0</v>
      </c>
      <c r="AD243">
        <f ca="1">IF(COUNTIF(IF(AND(配装计算器!$K$30&lt;&gt;"∞",0),INDEX(AU243:CB243,1,$AT$1),INDEX(AU244:CB244,1,$AT$1)),"*叠1*")=1,AB243*0+AE242,0)</f>
        <v>0</v>
      </c>
      <c r="AE243" t="e">
        <f ca="1">IF($AN$11&gt;0,IF(COUNTIF(B244,"*叠1*")&gt;0,50-加速!$L$11,MAX(0,AE242-(A244-A243))),0)</f>
        <v>#VALUE!</v>
      </c>
      <c r="AG243">
        <f ca="1" t="shared" si="63"/>
        <v>7</v>
      </c>
      <c r="AU243" t="str">
        <f>IF($AN$11=1,"云飞玉皇-玉山揽云","夕照雷峰")</f>
        <v>云飞玉皇-玉山揽云</v>
      </c>
      <c r="AV243">
        <v>2</v>
      </c>
      <c r="AW243" t="s">
        <v>2768</v>
      </c>
      <c r="AX243">
        <v>2</v>
      </c>
      <c r="AY243" t="s">
        <v>2776</v>
      </c>
      <c r="AZ243">
        <v>2</v>
      </c>
      <c r="BA243" t="s">
        <v>2768</v>
      </c>
      <c r="BB243">
        <v>2</v>
      </c>
      <c r="BC243" s="176" t="s">
        <v>3026</v>
      </c>
      <c r="BD243">
        <v>2</v>
      </c>
      <c r="BE243" t="s">
        <v>3019</v>
      </c>
      <c r="BF243">
        <v>2</v>
      </c>
      <c r="BG243" t="s">
        <v>2776</v>
      </c>
      <c r="BH243">
        <v>2</v>
      </c>
      <c r="BI243" t="s">
        <v>2768</v>
      </c>
      <c r="BJ243">
        <v>2</v>
      </c>
      <c r="BK243" s="176" t="s">
        <v>2776</v>
      </c>
      <c r="BL243">
        <v>2</v>
      </c>
      <c r="BM243" s="176" t="s">
        <v>2776</v>
      </c>
      <c r="BN243">
        <v>2</v>
      </c>
      <c r="BO243" s="176" t="str">
        <f>IF(秋,"夕照雷峰","千切子寒光-千切子裂光")</f>
        <v>千切子寒光-千切子裂光</v>
      </c>
      <c r="BP243">
        <v>2</v>
      </c>
      <c r="BQ243" t="s">
        <v>2768</v>
      </c>
      <c r="BR243">
        <v>2</v>
      </c>
      <c r="BS243" s="176" t="s">
        <v>2768</v>
      </c>
      <c r="BT243">
        <v>2</v>
      </c>
      <c r="BU243" t="s">
        <v>2776</v>
      </c>
      <c r="BV243">
        <v>2</v>
      </c>
      <c r="BW243" s="182" t="s">
        <v>2776</v>
      </c>
      <c r="BX243" s="179">
        <v>2</v>
      </c>
      <c r="BY243" s="176" t="s">
        <v>2794</v>
      </c>
      <c r="BZ243">
        <v>2</v>
      </c>
      <c r="CA243" s="176" t="s">
        <v>2768</v>
      </c>
      <c r="CB243">
        <v>2</v>
      </c>
    </row>
    <row r="244" spans="1:80">
      <c r="A244" s="178" t="str">
        <f ca="1">IFERROR(IF(AG243&lt;5+金蛇*2,IF(COUNTIF(B243,"*轻*")&gt;0,A243+加速!$L$9,A243+加速!$L$11)+V243,""),"")</f>
        <v/>
      </c>
      <c r="B244" s="167" t="str">
        <f ca="1" t="shared" si="58"/>
        <v/>
      </c>
      <c r="C244" t="str">
        <f ca="1" t="shared" si="67"/>
        <v/>
      </c>
      <c r="D244" t="str">
        <f ca="1">IF(B244&lt;&gt;"",IF(C243&lt;=加速!$L$11*(1-E244),0,1),"")</f>
        <v/>
      </c>
      <c r="E244">
        <f ca="1" t="shared" si="64"/>
        <v>1</v>
      </c>
      <c r="G244" t="str">
        <f ca="1" t="shared" si="65"/>
        <v/>
      </c>
      <c r="H244" t="str">
        <f ca="1">IF(B244&lt;&gt;"",IF(AND(COUNTIF(B243,"*轻*莺鸣柳*")&gt;0,COUNTIF(B244,"*轻*")&lt;1),MAX(0,15+I243-(A244-A243)+COUNTIF(B243,"*平湖*")*0),IF(AND(E244=0,MAX(0,H243-(A244-A243))&lt;=加速!$H$11),0,MAX(0,H243-(A244-A243)))),"")</f>
        <v/>
      </c>
      <c r="I244" t="str">
        <f ca="1" t="shared" si="71"/>
        <v/>
      </c>
      <c r="J244" t="str">
        <f ca="1" t="shared" si="72"/>
        <v/>
      </c>
      <c r="K244" t="str">
        <f ca="1" t="shared" si="59"/>
        <v/>
      </c>
      <c r="L244">
        <f ca="1">IFERROR(IF(AND(COUNTIF(B244,"*-峰插*"),技能数据库!$M$72&gt;0),0,IF(COUNTIF(B244,"*鹤归*")&gt;0,16-加速!$L$11,MAX(0,L243-(A244-A243)))),0)</f>
        <v>0</v>
      </c>
      <c r="M244">
        <f ca="1" t="shared" si="60"/>
        <v>0</v>
      </c>
      <c r="N244">
        <f ca="1">IFERROR(IF(AND(COUNTIF(B244,"*-峰插*"),技能数据库!$M$72&gt;0),0,IF(COUNTIF(B244,"*云飞*")&gt;0,4-COUNTIF(B244,"*玉山揽云*")*4--COUNTIF(B244,"*烟流暮景*")*4-COUNTIF(B244,"*云景*")*加速!$L$11-IF(J244&gt;0,2,0),MAX(0,N243-(A244-A243)-IF(J244&gt;0,2,0)))),0)</f>
        <v>0</v>
      </c>
      <c r="O244">
        <f ca="1">IF(AND(COUNTIF(IF(AND(配装计算器!$K$30&lt;&gt;"∞",0),INDEX(AU243:CB243,1,$AT$1),INDEX(AU245:CB245,1,$AT$1)),"*云飞*")=1,COUNTIF(IF(AND(配装计算器!$K$30&lt;&gt;"∞",0),INDEX(AU243:CB243,1,$AT$1),INDEX(AU245:CB245,1,$AT$1)),"*玉山*")=0),N244,0)</f>
        <v>0</v>
      </c>
      <c r="P244">
        <f ca="1">IFERROR(IF(COUNTIF(B244,"*云栖松*")&gt;0,50-加速!$L$11,MAX(0,P243-(A244-A243))),0)</f>
        <v>0</v>
      </c>
      <c r="Q244">
        <f ca="1">IF(COUNTIF(IF(AND(配装计算器!$K$30&lt;&gt;"∞",0),INDEX(AU243:CB243,1,$AT$1),INDEX(AU245:CB245,1,$AT$1)),"*云栖松*")=1,P244,0)</f>
        <v>0</v>
      </c>
      <c r="R244">
        <f ca="1">IFERROR(IF(COUNTIF(B244,"*莺鸣柳*")&gt;0,45-加速!$L$9,MAX(0,R243-(A244-A243))),0)</f>
        <v>0</v>
      </c>
      <c r="S244">
        <f ca="1">IF(COUNTIF(IF(AND(配装计算器!$K$30&lt;&gt;"∞",0),INDEX(AU243:CB243,1,$AT$1),INDEX(AU245:CB245,1,$AT$1)),"*莺鸣柳*")=1,R244,0)</f>
        <v>0</v>
      </c>
      <c r="T244">
        <f ca="1" t="shared" si="68"/>
        <v>0</v>
      </c>
      <c r="U244">
        <f ca="1">IF(金蛇,IF(COUNTIF(B244,"*金环戴*")+COUNTIF(B244,"*吹风醒*")&gt;0,IF(A244&lt;=3,7.125-2.625-A244-加速!$L$11,7.125+加速!$K$9-(A244+加速!$L$11-T244)),0),0)+IF(金蛇,IF(COUNTIF(B244,"*千切子裂光*")&gt;0,2+加速!$K$9-(A244+加速!$L$11-T244),0),0)</f>
        <v>0</v>
      </c>
      <c r="V244">
        <f ca="1" t="shared" si="69"/>
        <v>0</v>
      </c>
      <c r="W244">
        <f ca="1" t="shared" si="61"/>
        <v>0</v>
      </c>
      <c r="X244">
        <f ca="1">INDEX(加速!$I$13:$I$21,W244+1)</f>
        <v>0</v>
      </c>
      <c r="Y244">
        <f ca="1" t="shared" si="70"/>
        <v>0.5</v>
      </c>
      <c r="Z244">
        <f ca="1" t="shared" si="66"/>
        <v>0</v>
      </c>
      <c r="AA244">
        <f ca="1">MAX(0,IFERROR(IF(COUNTIF(B244,"*叠*")&gt;0,IF(AC243&lt;3,8-A245+A244,AA243+6.875-A245+A244),AA243-A245+A244),AA243-加速!$L$11))</f>
        <v>0</v>
      </c>
      <c r="AB244" t="e">
        <f ca="1">MAX(0,IF(COUNTIF(IF(AND(配装计算器!$K$30&lt;&gt;"∞",0),INDEX(AU244:CB244,1,$AT$1),INDEX(AU244:CB244,1,$AT$1)),"*叠1*")=1,4*25-加速!$L$11,AB243-A244+A243)-IF(OR(COUNTIF(OFFSET(AT244,0,$AT$1,1,1),"*听雷*")&gt;0,AND(碧归&gt;0,COUNTIF(OFFSET(AT244,0,$AT$1,1,1),"*风来*")&gt;0)),0,1)*1.5)</f>
        <v>#VALUE!</v>
      </c>
      <c r="AC244">
        <f ca="1" t="shared" si="62"/>
        <v>0</v>
      </c>
      <c r="AD244">
        <f ca="1">IF(COUNTIF(IF(AND(配装计算器!$K$30&lt;&gt;"∞",0),INDEX(AU244:CB244,1,$AT$1),INDEX(AU245:CB245,1,$AT$1)),"*叠1*")=1,AB244*0+AE243,0)</f>
        <v>0</v>
      </c>
      <c r="AE244" t="e">
        <f ca="1">IF($AN$11&gt;0,IF(COUNTIF(B245,"*叠1*")&gt;0,50-加速!$L$11,MAX(0,AE243-(A245-A244))),0)</f>
        <v>#VALUE!</v>
      </c>
      <c r="AG244">
        <f ca="1" t="shared" si="63"/>
        <v>7</v>
      </c>
      <c r="AU244" t="str">
        <f>IF($AN$11=1,"云飞玉皇-玉山揽云","云飞玉皇")</f>
        <v>云飞玉皇-玉山揽云</v>
      </c>
      <c r="AV244">
        <v>2</v>
      </c>
      <c r="AW244" t="str">
        <f>IF(山重水复,"风来吴山","夕照雷峰")</f>
        <v>夕照雷峰</v>
      </c>
      <c r="AX244">
        <v>2</v>
      </c>
      <c r="AY244" t="s">
        <v>2768</v>
      </c>
      <c r="AZ244">
        <v>2</v>
      </c>
      <c r="BA244" t="s">
        <v>2776</v>
      </c>
      <c r="BB244">
        <v>1</v>
      </c>
      <c r="BC244" s="176" t="s">
        <v>3026</v>
      </c>
      <c r="BD244">
        <v>2</v>
      </c>
      <c r="BE244" t="s">
        <v>2768</v>
      </c>
      <c r="BF244">
        <v>2</v>
      </c>
      <c r="BG244" t="s">
        <v>2768</v>
      </c>
      <c r="BH244">
        <v>1</v>
      </c>
      <c r="BI244" t="s">
        <v>2776</v>
      </c>
      <c r="BJ244">
        <v>2</v>
      </c>
      <c r="BK244" s="176" t="s">
        <v>2768</v>
      </c>
      <c r="BL244">
        <v>2</v>
      </c>
      <c r="BM244" s="176" t="s">
        <v>2768</v>
      </c>
      <c r="BN244">
        <v>2</v>
      </c>
      <c r="BO244" s="176" t="str">
        <f>IF(秋,"夕照雷峰","夕照雷峰")</f>
        <v>夕照雷峰</v>
      </c>
      <c r="BP244">
        <v>2</v>
      </c>
      <c r="BQ244" t="s">
        <v>2776</v>
      </c>
      <c r="BR244">
        <v>2</v>
      </c>
      <c r="BS244" s="176" t="s">
        <v>2768</v>
      </c>
      <c r="BT244">
        <v>2</v>
      </c>
      <c r="BU244" t="s">
        <v>2768</v>
      </c>
      <c r="BV244">
        <v>2</v>
      </c>
      <c r="BW244" s="182" t="s">
        <v>2768</v>
      </c>
      <c r="BX244" s="179">
        <v>2</v>
      </c>
      <c r="BY244" s="176" t="s">
        <v>2776</v>
      </c>
      <c r="BZ244">
        <v>2</v>
      </c>
      <c r="CA244" s="176" t="s">
        <v>2808</v>
      </c>
      <c r="CB244">
        <v>2</v>
      </c>
    </row>
    <row r="245" spans="1:80">
      <c r="A245" s="178" t="str">
        <f ca="1">IFERROR(IF(AG244&lt;5+金蛇*2,IF(COUNTIF(B244,"*轻*")&gt;0,A244+加速!$L$9,A244+加速!$L$11)+V244,""),"")</f>
        <v/>
      </c>
      <c r="B245" s="167" t="str">
        <f ca="1" t="shared" si="58"/>
        <v/>
      </c>
      <c r="C245" t="str">
        <f ca="1" t="shared" si="67"/>
        <v/>
      </c>
      <c r="D245" t="str">
        <f ca="1">IF(B245&lt;&gt;"",IF(C244&lt;=加速!$L$11*(1-E245),0,1),"")</f>
        <v/>
      </c>
      <c r="E245">
        <f ca="1" t="shared" si="64"/>
        <v>1</v>
      </c>
      <c r="G245" t="str">
        <f ca="1" t="shared" si="65"/>
        <v/>
      </c>
      <c r="H245" t="str">
        <f ca="1">IF(B245&lt;&gt;"",IF(AND(COUNTIF(B244,"*轻*莺鸣柳*")&gt;0,COUNTIF(B245,"*轻*")&lt;1),MAX(0,15+I244-(A245-A244)+COUNTIF(B244,"*平湖*")*0),IF(AND(E245=0,MAX(0,H244-(A245-A244))&lt;=加速!$H$11),0,MAX(0,H244-(A245-A244)))),"")</f>
        <v/>
      </c>
      <c r="I245" t="str">
        <f ca="1" t="shared" si="71"/>
        <v/>
      </c>
      <c r="J245" t="str">
        <f ca="1" t="shared" si="72"/>
        <v/>
      </c>
      <c r="K245" t="str">
        <f ca="1" t="shared" si="59"/>
        <v/>
      </c>
      <c r="L245">
        <f ca="1">IFERROR(IF(AND(COUNTIF(B245,"*-峰插*"),技能数据库!$M$72&gt;0),0,IF(COUNTIF(B245,"*鹤归*")&gt;0,16-加速!$L$11,MAX(0,L244-(A245-A244)))),0)</f>
        <v>0</v>
      </c>
      <c r="M245">
        <f ca="1" t="shared" si="60"/>
        <v>0</v>
      </c>
      <c r="N245">
        <f ca="1">IFERROR(IF(AND(COUNTIF(B245,"*-峰插*"),技能数据库!$M$72&gt;0),0,IF(COUNTIF(B245,"*云飞*")&gt;0,4-COUNTIF(B245,"*玉山揽云*")*4--COUNTIF(B245,"*烟流暮景*")*4-COUNTIF(B245,"*云景*")*加速!$L$11-IF(J245&gt;0,2,0),MAX(0,N244-(A245-A244)-IF(J245&gt;0,2,0)))),0)</f>
        <v>0</v>
      </c>
      <c r="O245">
        <f ca="1">IF(AND(COUNTIF(IF(AND(配装计算器!$K$30&lt;&gt;"∞",0),INDEX(AU244:CB244,1,$AT$1),INDEX(AU246:CB246,1,$AT$1)),"*云飞*")=1,COUNTIF(IF(AND(配装计算器!$K$30&lt;&gt;"∞",0),INDEX(AU244:CB244,1,$AT$1),INDEX(AU246:CB246,1,$AT$1)),"*玉山*")=0),N245,0)</f>
        <v>0</v>
      </c>
      <c r="P245">
        <f ca="1">IFERROR(IF(COUNTIF(B245,"*云栖松*")&gt;0,50-加速!$L$11,MAX(0,P244-(A245-A244))),0)</f>
        <v>0</v>
      </c>
      <c r="Q245">
        <f ca="1">IF(COUNTIF(IF(AND(配装计算器!$K$30&lt;&gt;"∞",0),INDEX(AU244:CB244,1,$AT$1),INDEX(AU246:CB246,1,$AT$1)),"*云栖松*")=1,P245,0)</f>
        <v>0</v>
      </c>
      <c r="R245">
        <f ca="1">IFERROR(IF(COUNTIF(B245,"*莺鸣柳*")&gt;0,45-加速!$L$9,MAX(0,R244-(A245-A244))),0)</f>
        <v>0</v>
      </c>
      <c r="S245">
        <f ca="1">IF(COUNTIF(IF(AND(配装计算器!$K$30&lt;&gt;"∞",0),INDEX(AU244:CB244,1,$AT$1),INDEX(AU246:CB246,1,$AT$1)),"*莺鸣柳*")=1,R245,0)</f>
        <v>0</v>
      </c>
      <c r="T245">
        <f ca="1" t="shared" si="68"/>
        <v>0</v>
      </c>
      <c r="U245">
        <f ca="1">IF(金蛇,IF(COUNTIF(B245,"*金环戴*")+COUNTIF(B245,"*吹风醒*")&gt;0,IF(A245&lt;=3,7.125-2.625-A245-加速!$L$11,7.125+加速!$K$9-(A245+加速!$L$11-T245)),0),0)+IF(金蛇,IF(COUNTIF(B245,"*千切子裂光*")&gt;0,2+加速!$K$9-(A245+加速!$L$11-T245),0),0)</f>
        <v>0</v>
      </c>
      <c r="V245">
        <f ca="1" t="shared" si="69"/>
        <v>0</v>
      </c>
      <c r="W245">
        <f ca="1" t="shared" si="61"/>
        <v>0</v>
      </c>
      <c r="X245">
        <f ca="1">INDEX(加速!$I$13:$I$21,W245+1)</f>
        <v>0</v>
      </c>
      <c r="Y245">
        <f ca="1" t="shared" si="70"/>
        <v>0.5</v>
      </c>
      <c r="Z245">
        <f ca="1" t="shared" si="66"/>
        <v>0</v>
      </c>
      <c r="AA245">
        <f ca="1">MAX(0,IFERROR(IF(COUNTIF(B245,"*叠*")&gt;0,IF(AC244&lt;3,8-A246+A245,AA244+6.875-A246+A245),AA244-A246+A245),AA244-加速!$L$11))</f>
        <v>0</v>
      </c>
      <c r="AB245" t="e">
        <f ca="1">MAX(0,IF(COUNTIF(IF(AND(配装计算器!$K$30&lt;&gt;"∞",0),INDEX(AU245:CB245,1,$AT$1),INDEX(AU245:CB245,1,$AT$1)),"*叠1*")=1,4*25-加速!$L$11,AB244-A245+A244)-IF(OR(COUNTIF(OFFSET(AT245,0,$AT$1,1,1),"*听雷*")&gt;0,AND(碧归&gt;0,COUNTIF(OFFSET(AT245,0,$AT$1,1,1),"*风来*")&gt;0)),0,1)*1.5)</f>
        <v>#VALUE!</v>
      </c>
      <c r="AC245">
        <f ca="1" t="shared" si="62"/>
        <v>0</v>
      </c>
      <c r="AD245">
        <f ca="1">IF(COUNTIF(IF(AND(配装计算器!$K$30&lt;&gt;"∞",0),INDEX(AU245:CB245,1,$AT$1),INDEX(AU246:CB246,1,$AT$1)),"*叠1*")=1,AB245*0+AE244,0)</f>
        <v>0</v>
      </c>
      <c r="AE245" t="e">
        <f ca="1">IF($AN$11&gt;0,IF(COUNTIF(B246,"*叠1*")&gt;0,50-加速!$L$11,MAX(0,AE244-(A246-A245))),0)</f>
        <v>#VALUE!</v>
      </c>
      <c r="AG245">
        <f ca="1" t="shared" si="63"/>
        <v>7</v>
      </c>
      <c r="AU245" t="str">
        <f>IF($AN$11=1,"云飞玉皇-玉山揽云","夕照雷峰")</f>
        <v>云飞玉皇-玉山揽云</v>
      </c>
      <c r="AV245">
        <v>2</v>
      </c>
      <c r="AW245" s="176" t="s">
        <v>2794</v>
      </c>
      <c r="AX245">
        <v>2</v>
      </c>
      <c r="AY245" t="s">
        <v>2776</v>
      </c>
      <c r="AZ245">
        <v>1</v>
      </c>
      <c r="BA245" t="s">
        <v>2768</v>
      </c>
      <c r="BB245">
        <v>1</v>
      </c>
      <c r="BC245" t="s">
        <v>3013</v>
      </c>
      <c r="BD245">
        <v>2</v>
      </c>
      <c r="BE245" t="s">
        <v>2768</v>
      </c>
      <c r="BF245">
        <v>2</v>
      </c>
      <c r="BG245" t="s">
        <v>2776</v>
      </c>
      <c r="BH245">
        <v>1</v>
      </c>
      <c r="BI245" t="s">
        <v>2768</v>
      </c>
      <c r="BJ245">
        <v>2</v>
      </c>
      <c r="BK245" s="176" t="s">
        <v>2768</v>
      </c>
      <c r="BL245">
        <v>1</v>
      </c>
      <c r="BM245" s="176" t="s">
        <v>2776</v>
      </c>
      <c r="BN245">
        <v>2</v>
      </c>
      <c r="BO245" t="str">
        <f>IF(0,"云飞玉皇-玉山揽云","夕照雷峰")</f>
        <v>夕照雷峰</v>
      </c>
      <c r="BP245">
        <v>2</v>
      </c>
      <c r="BQ245" t="s">
        <v>2768</v>
      </c>
      <c r="BR245">
        <v>2</v>
      </c>
      <c r="BS245" s="176" t="s">
        <v>2768</v>
      </c>
      <c r="BT245">
        <v>2</v>
      </c>
      <c r="BU245" t="s">
        <v>2776</v>
      </c>
      <c r="BV245">
        <v>2</v>
      </c>
      <c r="BW245" s="182" t="s">
        <v>2808</v>
      </c>
      <c r="BX245" s="179">
        <v>2</v>
      </c>
      <c r="BY245" s="176" t="s">
        <v>2768</v>
      </c>
      <c r="BZ245">
        <v>2</v>
      </c>
      <c r="CA245" t="str">
        <f>IF(山重水复,"风来吴山","夕照雷峰")</f>
        <v>夕照雷峰</v>
      </c>
      <c r="CB245">
        <v>2</v>
      </c>
    </row>
    <row r="246" spans="1:80">
      <c r="A246" s="178" t="str">
        <f ca="1">IFERROR(IF(AG245&lt;5+金蛇*2,IF(COUNTIF(B245,"*轻*")&gt;0,A245+加速!$L$9,A245+加速!$L$11)+V245,""),"")</f>
        <v/>
      </c>
      <c r="B246" s="167" t="str">
        <f ca="1" t="shared" si="58"/>
        <v/>
      </c>
      <c r="C246" t="str">
        <f ca="1" t="shared" si="67"/>
        <v/>
      </c>
      <c r="D246" t="str">
        <f ca="1">IF(B246&lt;&gt;"",IF(C245&lt;=加速!$L$11*(1-E246),0,1),"")</f>
        <v/>
      </c>
      <c r="E246">
        <f ca="1" t="shared" si="64"/>
        <v>1</v>
      </c>
      <c r="G246" t="str">
        <f ca="1" t="shared" si="65"/>
        <v/>
      </c>
      <c r="H246" t="str">
        <f ca="1">IF(B246&lt;&gt;"",IF(AND(COUNTIF(B245,"*轻*莺鸣柳*")&gt;0,COUNTIF(B246,"*轻*")&lt;1),MAX(0,15+I245-(A246-A245)+COUNTIF(B245,"*平湖*")*0),IF(AND(E246=0,MAX(0,H245-(A246-A245))&lt;=加速!$H$11),0,MAX(0,H245-(A246-A245)))),"")</f>
        <v/>
      </c>
      <c r="I246" t="str">
        <f ca="1" t="shared" si="71"/>
        <v/>
      </c>
      <c r="J246" t="str">
        <f ca="1" t="shared" si="72"/>
        <v/>
      </c>
      <c r="K246" t="str">
        <f ca="1" t="shared" si="59"/>
        <v/>
      </c>
      <c r="L246">
        <f ca="1">IFERROR(IF(AND(COUNTIF(B246,"*-峰插*"),技能数据库!$M$72&gt;0),0,IF(COUNTIF(B246,"*鹤归*")&gt;0,16-加速!$L$11,MAX(0,L245-(A246-A245)))),0)</f>
        <v>0</v>
      </c>
      <c r="M246">
        <f ca="1" t="shared" si="60"/>
        <v>0</v>
      </c>
      <c r="N246">
        <f ca="1">IFERROR(IF(AND(COUNTIF(B246,"*-峰插*"),技能数据库!$M$72&gt;0),0,IF(COUNTIF(B246,"*云飞*")&gt;0,4-COUNTIF(B246,"*玉山揽云*")*4--COUNTIF(B246,"*烟流暮景*")*4-COUNTIF(B246,"*云景*")*加速!$L$11-IF(J246&gt;0,2,0),MAX(0,N245-(A246-A245)-IF(J246&gt;0,2,0)))),0)</f>
        <v>0</v>
      </c>
      <c r="O246">
        <f ca="1">IF(AND(COUNTIF(IF(AND(配装计算器!$K$30&lt;&gt;"∞",0),INDEX(AU245:CB245,1,$AT$1),INDEX(AU247:CB247,1,$AT$1)),"*云飞*")=1,COUNTIF(IF(AND(配装计算器!$K$30&lt;&gt;"∞",0),INDEX(AU245:CB245,1,$AT$1),INDEX(AU247:CB247,1,$AT$1)),"*玉山*")=0),N246,0)</f>
        <v>0</v>
      </c>
      <c r="P246">
        <f ca="1">IFERROR(IF(COUNTIF(B246,"*云栖松*")&gt;0,50-加速!$L$11,MAX(0,P245-(A246-A245))),0)</f>
        <v>0</v>
      </c>
      <c r="Q246">
        <f ca="1">IF(COUNTIF(IF(AND(配装计算器!$K$30&lt;&gt;"∞",0),INDEX(AU245:CB245,1,$AT$1),INDEX(AU247:CB247,1,$AT$1)),"*云栖松*")=1,P246,0)</f>
        <v>0</v>
      </c>
      <c r="R246">
        <f ca="1">IFERROR(IF(COUNTIF(B246,"*莺鸣柳*")&gt;0,45-加速!$L$9,MAX(0,R245-(A246-A245))),0)</f>
        <v>0</v>
      </c>
      <c r="S246">
        <f ca="1">IF(COUNTIF(IF(AND(配装计算器!$K$30&lt;&gt;"∞",0),INDEX(AU245:CB245,1,$AT$1),INDEX(AU247:CB247,1,$AT$1)),"*莺鸣柳*")=1,R246,0)</f>
        <v>0</v>
      </c>
      <c r="T246">
        <f ca="1" t="shared" si="68"/>
        <v>0</v>
      </c>
      <c r="U246">
        <f ca="1">IF(金蛇,IF(COUNTIF(B246,"*金环戴*")+COUNTIF(B246,"*吹风醒*")&gt;0,IF(A246&lt;=3,7.125-2.625-A246-加速!$L$11,7.125+加速!$K$9-(A246+加速!$L$11-T246)),0),0)+IF(金蛇,IF(COUNTIF(B246,"*千切子裂光*")&gt;0,2+加速!$K$9-(A246+加速!$L$11-T246),0),0)</f>
        <v>0</v>
      </c>
      <c r="V246">
        <f ca="1" t="shared" si="69"/>
        <v>0</v>
      </c>
      <c r="W246">
        <f ca="1" t="shared" si="61"/>
        <v>0</v>
      </c>
      <c r="X246">
        <f ca="1">INDEX(加速!$I$13:$I$21,W246+1)</f>
        <v>0</v>
      </c>
      <c r="Y246">
        <f ca="1" t="shared" si="70"/>
        <v>0.5</v>
      </c>
      <c r="Z246">
        <f ca="1" t="shared" si="66"/>
        <v>0</v>
      </c>
      <c r="AA246">
        <f ca="1">MAX(0,IFERROR(IF(COUNTIF(B246,"*叠*")&gt;0,IF(AC245&lt;3,8-A247+A246,AA245+6.875-A247+A246),AA245-A247+A246),AA245-加速!$L$11))</f>
        <v>0</v>
      </c>
      <c r="AB246" t="e">
        <f ca="1">MAX(0,IF(COUNTIF(IF(AND(配装计算器!$K$30&lt;&gt;"∞",0),INDEX(AU246:CB246,1,$AT$1),INDEX(AU246:CB246,1,$AT$1)),"*叠1*")=1,4*25-加速!$L$11,AB245-A246+A245)-IF(OR(COUNTIF(OFFSET(AT246,0,$AT$1,1,1),"*听雷*")&gt;0,AND(碧归&gt;0,COUNTIF(OFFSET(AT246,0,$AT$1,1,1),"*风来*")&gt;0)),0,1)*1.5)</f>
        <v>#VALUE!</v>
      </c>
      <c r="AC246">
        <f ca="1" t="shared" si="62"/>
        <v>0</v>
      </c>
      <c r="AD246">
        <f ca="1">IF(COUNTIF(IF(AND(配装计算器!$K$30&lt;&gt;"∞",0),INDEX(AU246:CB246,1,$AT$1),INDEX(AU247:CB247,1,$AT$1)),"*叠1*")=1,AB246*0+AE245,0)</f>
        <v>0</v>
      </c>
      <c r="AE246" t="e">
        <f ca="1">IF($AN$11&gt;0,IF(COUNTIF(B247,"*叠1*")&gt;0,50-加速!$L$11,MAX(0,AE245-(A247-A246))),0)</f>
        <v>#VALUE!</v>
      </c>
      <c r="AG246">
        <f ca="1" t="shared" si="63"/>
        <v>7</v>
      </c>
      <c r="AU246" t="str">
        <f>IF($AN$11=1,橙武补雾锁,"夕照雷峰")</f>
        <v>云飞玉皇-玉山揽云</v>
      </c>
      <c r="AV246">
        <v>2</v>
      </c>
      <c r="AW246" s="176" t="s">
        <v>2776</v>
      </c>
      <c r="AX246">
        <v>2</v>
      </c>
      <c r="AY246" t="s">
        <v>2768</v>
      </c>
      <c r="AZ246">
        <v>1</v>
      </c>
      <c r="BA246" t="s">
        <v>2768</v>
      </c>
      <c r="BB246">
        <v>0</v>
      </c>
      <c r="BC246" t="s">
        <v>2808</v>
      </c>
      <c r="BD246">
        <v>2</v>
      </c>
      <c r="BE246" t="s">
        <v>2768</v>
      </c>
      <c r="BF246">
        <v>2</v>
      </c>
      <c r="BG246" t="s">
        <v>2768</v>
      </c>
      <c r="BH246">
        <v>0</v>
      </c>
      <c r="BI246" t="s">
        <v>2808</v>
      </c>
      <c r="BJ246">
        <v>2</v>
      </c>
      <c r="BK246" s="176" t="s">
        <v>2768</v>
      </c>
      <c r="BL246">
        <v>1</v>
      </c>
      <c r="BM246" s="176" t="s">
        <v>2768</v>
      </c>
      <c r="BN246">
        <v>2</v>
      </c>
      <c r="BO246" t="s">
        <v>2776</v>
      </c>
      <c r="BP246">
        <v>2</v>
      </c>
      <c r="BQ246" t="s">
        <v>2776</v>
      </c>
      <c r="BR246">
        <v>1</v>
      </c>
      <c r="BS246" s="176" t="s">
        <v>2776</v>
      </c>
      <c r="BT246">
        <v>2</v>
      </c>
      <c r="BU246" t="s">
        <v>2768</v>
      </c>
      <c r="BV246">
        <v>1</v>
      </c>
      <c r="BW246" s="179" t="s">
        <v>2768</v>
      </c>
      <c r="BX246" s="179">
        <v>2</v>
      </c>
      <c r="BY246" s="176" t="s">
        <v>2776</v>
      </c>
      <c r="BZ246">
        <v>2</v>
      </c>
      <c r="CA246" t="str">
        <f>IF(0,"云飞玉皇-玉山揽云","云飞玉皇")</f>
        <v>云飞玉皇</v>
      </c>
      <c r="CB246">
        <v>2</v>
      </c>
    </row>
    <row r="247" spans="1:80">
      <c r="A247" s="178" t="str">
        <f ca="1">IFERROR(IF(AG246&lt;5+金蛇*2,IF(COUNTIF(B246,"*轻*")&gt;0,A246+加速!$L$9,A246+加速!$L$11)+V246,""),"")</f>
        <v/>
      </c>
      <c r="B247" s="167" t="str">
        <f ca="1" t="shared" si="58"/>
        <v/>
      </c>
      <c r="C247" t="str">
        <f ca="1" t="shared" si="67"/>
        <v/>
      </c>
      <c r="D247" t="str">
        <f ca="1">IF(B247&lt;&gt;"",IF(C246&lt;=加速!$L$11*(1-E247),0,1),"")</f>
        <v/>
      </c>
      <c r="E247">
        <f ca="1" t="shared" si="64"/>
        <v>1</v>
      </c>
      <c r="G247" t="str">
        <f ca="1" t="shared" si="65"/>
        <v/>
      </c>
      <c r="H247" t="str">
        <f ca="1">IF(B247&lt;&gt;"",IF(AND(COUNTIF(B246,"*轻*莺鸣柳*")&gt;0,COUNTIF(B247,"*轻*")&lt;1),MAX(0,15+I246-(A247-A246)+COUNTIF(B246,"*平湖*")*0),IF(AND(E247=0,MAX(0,H246-(A247-A246))&lt;=加速!$H$11),0,MAX(0,H246-(A247-A246)))),"")</f>
        <v/>
      </c>
      <c r="I247" t="str">
        <f ca="1" t="shared" si="71"/>
        <v/>
      </c>
      <c r="J247" t="str">
        <f ca="1" t="shared" si="72"/>
        <v/>
      </c>
      <c r="K247" t="str">
        <f ca="1" t="shared" si="59"/>
        <v/>
      </c>
      <c r="L247">
        <f ca="1">IFERROR(IF(AND(COUNTIF(B247,"*-峰插*"),技能数据库!$M$72&gt;0),0,IF(COUNTIF(B247,"*鹤归*")&gt;0,16-加速!$L$11,MAX(0,L246-(A247-A246)))),0)</f>
        <v>0</v>
      </c>
      <c r="M247">
        <f ca="1" t="shared" si="60"/>
        <v>0</v>
      </c>
      <c r="N247">
        <f ca="1">IFERROR(IF(AND(COUNTIF(B247,"*-峰插*"),技能数据库!$M$72&gt;0),0,IF(COUNTIF(B247,"*云飞*")&gt;0,4-COUNTIF(B247,"*玉山揽云*")*4--COUNTIF(B247,"*烟流暮景*")*4-COUNTIF(B247,"*云景*")*加速!$L$11-IF(J247&gt;0,2,0),MAX(0,N246-(A247-A246)-IF(J247&gt;0,2,0)))),0)</f>
        <v>0</v>
      </c>
      <c r="O247">
        <f ca="1">IF(AND(COUNTIF(IF(AND(配装计算器!$K$30&lt;&gt;"∞",0),INDEX(AU246:CB246,1,$AT$1),INDEX(AU248:CB248,1,$AT$1)),"*云飞*")=1,COUNTIF(IF(AND(配装计算器!$K$30&lt;&gt;"∞",0),INDEX(AU246:CB246,1,$AT$1),INDEX(AU248:CB248,1,$AT$1)),"*玉山*")=0),N247,0)</f>
        <v>0</v>
      </c>
      <c r="P247">
        <f ca="1">IFERROR(IF(COUNTIF(B247,"*云栖松*")&gt;0,50-加速!$L$11,MAX(0,P246-(A247-A246))),0)</f>
        <v>0</v>
      </c>
      <c r="Q247">
        <f ca="1">IF(COUNTIF(IF(AND(配装计算器!$K$30&lt;&gt;"∞",0),INDEX(AU246:CB246,1,$AT$1),INDEX(AU248:CB248,1,$AT$1)),"*云栖松*")=1,P247,0)</f>
        <v>0</v>
      </c>
      <c r="R247">
        <f ca="1">IFERROR(IF(COUNTIF(B247,"*莺鸣柳*")&gt;0,45-加速!$L$9,MAX(0,R246-(A247-A246))),0)</f>
        <v>0</v>
      </c>
      <c r="S247">
        <f ca="1">IF(COUNTIF(IF(AND(配装计算器!$K$30&lt;&gt;"∞",0),INDEX(AU246:CB246,1,$AT$1),INDEX(AU248:CB248,1,$AT$1)),"*莺鸣柳*")=1,R247,0)</f>
        <v>0</v>
      </c>
      <c r="T247">
        <f ca="1" t="shared" si="68"/>
        <v>0</v>
      </c>
      <c r="U247">
        <f ca="1">IF(金蛇,IF(COUNTIF(B247,"*金环戴*")+COUNTIF(B247,"*吹风醒*")&gt;0,IF(A247&lt;=3,7.125-2.625-A247-加速!$L$11,7.125+加速!$K$9-(A247+加速!$L$11-T247)),0),0)+IF(金蛇,IF(COUNTIF(B247,"*千切子裂光*")&gt;0,2+加速!$K$9-(A247+加速!$L$11-T247),0),0)</f>
        <v>0</v>
      </c>
      <c r="V247">
        <f ca="1" t="shared" si="69"/>
        <v>0</v>
      </c>
      <c r="W247">
        <f ca="1" t="shared" si="61"/>
        <v>0</v>
      </c>
      <c r="X247">
        <f ca="1">INDEX(加速!$I$13:$I$21,W247+1)</f>
        <v>0</v>
      </c>
      <c r="Y247">
        <f ca="1" t="shared" si="70"/>
        <v>0.5</v>
      </c>
      <c r="Z247">
        <f ca="1" t="shared" si="66"/>
        <v>0</v>
      </c>
      <c r="AA247">
        <f ca="1">MAX(0,IFERROR(IF(COUNTIF(B247,"*叠*")&gt;0,IF(AC246&lt;3,8-A248+A247,AA246+6.875-A248+A247),AA246-A248+A247),AA246-加速!$L$11))</f>
        <v>0</v>
      </c>
      <c r="AB247" t="e">
        <f ca="1">MAX(0,IF(COUNTIF(IF(AND(配装计算器!$K$30&lt;&gt;"∞",0),INDEX(AU247:CB247,1,$AT$1),INDEX(AU247:CB247,1,$AT$1)),"*叠1*")=1,4*25-加速!$L$11,AB246-A247+A246)-IF(OR(COUNTIF(OFFSET(AT247,0,$AT$1,1,1),"*听雷*")&gt;0,AND(碧归&gt;0,COUNTIF(OFFSET(AT247,0,$AT$1,1,1),"*风来*")&gt;0)),0,1)*1.5)</f>
        <v>#VALUE!</v>
      </c>
      <c r="AC247">
        <f ca="1" t="shared" si="62"/>
        <v>0</v>
      </c>
      <c r="AD247">
        <f ca="1">IF(COUNTIF(IF(AND(配装计算器!$K$30&lt;&gt;"∞",0),INDEX(AU247:CB247,1,$AT$1),INDEX(AU248:CB248,1,$AT$1)),"*叠1*")=1,AB247*0+AE246,0)</f>
        <v>0</v>
      </c>
      <c r="AE247" t="e">
        <f ca="1">IF($AN$11&gt;0,IF(COUNTIF(B248,"*叠1*")&gt;0,50-加速!$L$11,MAX(0,AE246-(A248-A247))),0)</f>
        <v>#VALUE!</v>
      </c>
      <c r="AG247">
        <f ca="1" t="shared" si="63"/>
        <v>7</v>
      </c>
      <c r="AU247" t="str">
        <f>IF($AN$11=1,"云飞玉皇-玉山揽云","夕照雷峰")</f>
        <v>云飞玉皇-玉山揽云</v>
      </c>
      <c r="AV247">
        <v>2</v>
      </c>
      <c r="AW247" s="176" t="s">
        <v>2768</v>
      </c>
      <c r="AX247">
        <v>2</v>
      </c>
      <c r="AY247" t="s">
        <v>2768</v>
      </c>
      <c r="AZ247">
        <v>0</v>
      </c>
      <c r="BA247" t="s">
        <v>2722</v>
      </c>
      <c r="BB247">
        <v>0</v>
      </c>
      <c r="BC247" t="s">
        <v>2768</v>
      </c>
      <c r="BD247">
        <v>2</v>
      </c>
      <c r="BE247" t="s">
        <v>3042</v>
      </c>
      <c r="BF247">
        <v>2</v>
      </c>
      <c r="BG247" t="s">
        <v>2768</v>
      </c>
      <c r="BH247">
        <v>0</v>
      </c>
      <c r="BI247" s="176" t="s">
        <v>2768</v>
      </c>
      <c r="BJ247">
        <v>2</v>
      </c>
      <c r="BK247" s="176" t="s">
        <v>2776</v>
      </c>
      <c r="BL247">
        <v>0</v>
      </c>
      <c r="BM247" s="176" t="s">
        <v>2808</v>
      </c>
      <c r="BN247">
        <v>2</v>
      </c>
      <c r="BO247" s="176" t="s">
        <v>2794</v>
      </c>
      <c r="BP247">
        <v>2</v>
      </c>
      <c r="BQ247" t="s">
        <v>2768</v>
      </c>
      <c r="BR247">
        <v>1</v>
      </c>
      <c r="BS247" s="176" t="s">
        <v>2768</v>
      </c>
      <c r="BT247">
        <v>2</v>
      </c>
      <c r="BU247" t="s">
        <v>2776</v>
      </c>
      <c r="BV247">
        <v>1</v>
      </c>
      <c r="BW247" s="179" t="s">
        <v>2776</v>
      </c>
      <c r="BX247" s="179">
        <v>2</v>
      </c>
      <c r="BY247" s="176" t="s">
        <v>2768</v>
      </c>
      <c r="BZ247">
        <v>2</v>
      </c>
      <c r="CA247" s="180" t="str">
        <f>IF(0,"云飞玉皇-玉山揽云","夕照雷峰")</f>
        <v>夕照雷峰</v>
      </c>
      <c r="CB247">
        <v>2</v>
      </c>
    </row>
    <row r="248" spans="1:80">
      <c r="A248" s="178" t="str">
        <f ca="1">IFERROR(IF(AG247&lt;5+金蛇*2,IF(COUNTIF(B247,"*轻*")&gt;0,A247+加速!$L$9,A247+加速!$L$11)+V247,""),"")</f>
        <v/>
      </c>
      <c r="B248" s="167" t="str">
        <f ca="1" t="shared" si="58"/>
        <v/>
      </c>
      <c r="C248" t="str">
        <f ca="1" t="shared" si="67"/>
        <v/>
      </c>
      <c r="D248" t="str">
        <f ca="1">IF(B248&lt;&gt;"",IF(C247&lt;=加速!$L$11*(1-E248),0,1),"")</f>
        <v/>
      </c>
      <c r="E248">
        <f ca="1" t="shared" si="64"/>
        <v>1</v>
      </c>
      <c r="G248" t="str">
        <f ca="1" t="shared" si="65"/>
        <v/>
      </c>
      <c r="H248" t="str">
        <f ca="1">IF(B248&lt;&gt;"",IF(AND(COUNTIF(B247,"*轻*莺鸣柳*")&gt;0,COUNTIF(B248,"*轻*")&lt;1),MAX(0,15+I247-(A248-A247)+COUNTIF(B247,"*平湖*")*0),IF(AND(E248=0,MAX(0,H247-(A248-A247))&lt;=加速!$H$11),0,MAX(0,H247-(A248-A247)))),"")</f>
        <v/>
      </c>
      <c r="I248" t="str">
        <f ca="1" t="shared" si="71"/>
        <v/>
      </c>
      <c r="J248" t="str">
        <f ca="1" t="shared" si="72"/>
        <v/>
      </c>
      <c r="K248" t="str">
        <f ca="1" t="shared" si="59"/>
        <v/>
      </c>
      <c r="L248">
        <f ca="1">IFERROR(IF(AND(COUNTIF(B248,"*-峰插*"),技能数据库!$M$72&gt;0),0,IF(COUNTIF(B248,"*鹤归*")&gt;0,16-加速!$L$11,MAX(0,L247-(A248-A247)))),0)</f>
        <v>0</v>
      </c>
      <c r="M248">
        <f ca="1" t="shared" si="60"/>
        <v>0</v>
      </c>
      <c r="N248">
        <f ca="1">IFERROR(IF(AND(COUNTIF(B248,"*-峰插*"),技能数据库!$M$72&gt;0),0,IF(COUNTIF(B248,"*云飞*")&gt;0,4-COUNTIF(B248,"*玉山揽云*")*4--COUNTIF(B248,"*烟流暮景*")*4-COUNTIF(B248,"*云景*")*加速!$L$11-IF(J248&gt;0,2,0),MAX(0,N247-(A248-A247)-IF(J248&gt;0,2,0)))),0)</f>
        <v>0</v>
      </c>
      <c r="O248">
        <f ca="1">IF(AND(COUNTIF(IF(AND(配装计算器!$K$30&lt;&gt;"∞",0),INDEX(AU247:CB247,1,$AT$1),INDEX(AU249:CB249,1,$AT$1)),"*云飞*")=1,COUNTIF(IF(AND(配装计算器!$K$30&lt;&gt;"∞",0),INDEX(AU247:CB247,1,$AT$1),INDEX(AU249:CB249,1,$AT$1)),"*玉山*")=0),N248,0)</f>
        <v>0</v>
      </c>
      <c r="P248">
        <f ca="1">IFERROR(IF(COUNTIF(B248,"*云栖松*")&gt;0,50-加速!$L$11,MAX(0,P247-(A248-A247))),0)</f>
        <v>0</v>
      </c>
      <c r="Q248">
        <f ca="1">IF(COUNTIF(IF(AND(配装计算器!$K$30&lt;&gt;"∞",0),INDEX(AU247:CB247,1,$AT$1),INDEX(AU249:CB249,1,$AT$1)),"*云栖松*")=1,P248,0)</f>
        <v>0</v>
      </c>
      <c r="R248">
        <f ca="1">IFERROR(IF(COUNTIF(B248,"*莺鸣柳*")&gt;0,45-加速!$L$9,MAX(0,R247-(A248-A247))),0)</f>
        <v>0</v>
      </c>
      <c r="S248">
        <f ca="1">IF(COUNTIF(IF(AND(配装计算器!$K$30&lt;&gt;"∞",0),INDEX(AU247:CB247,1,$AT$1),INDEX(AU249:CB249,1,$AT$1)),"*莺鸣柳*")=1,R248,0)</f>
        <v>0</v>
      </c>
      <c r="T248">
        <f ca="1" t="shared" si="68"/>
        <v>0</v>
      </c>
      <c r="U248">
        <f ca="1">IF(金蛇,IF(COUNTIF(B248,"*金环戴*")+COUNTIF(B248,"*吹风醒*")&gt;0,IF(A248&lt;=3,7.125-2.625-A248-加速!$L$11,7.125+加速!$K$9-(A248+加速!$L$11-T248)),0),0)+IF(金蛇,IF(COUNTIF(B248,"*千切子裂光*")&gt;0,2+加速!$K$9-(A248+加速!$L$11-T248),0),0)</f>
        <v>0</v>
      </c>
      <c r="V248">
        <f ca="1" t="shared" si="69"/>
        <v>0</v>
      </c>
      <c r="W248">
        <f ca="1" t="shared" si="61"/>
        <v>0</v>
      </c>
      <c r="X248">
        <f ca="1">INDEX(加速!$I$13:$I$21,W248+1)</f>
        <v>0</v>
      </c>
      <c r="Y248">
        <f ca="1" t="shared" si="70"/>
        <v>0.5</v>
      </c>
      <c r="Z248">
        <f ca="1" t="shared" si="66"/>
        <v>0</v>
      </c>
      <c r="AA248">
        <f ca="1">MAX(0,IFERROR(IF(COUNTIF(B248,"*叠*")&gt;0,IF(AC247&lt;3,8-A249+A248,AA247+6.875-A249+A248),AA247-A249+A248),AA247-加速!$L$11))</f>
        <v>0</v>
      </c>
      <c r="AB248" t="e">
        <f ca="1">MAX(0,IF(COUNTIF(IF(AND(配装计算器!$K$30&lt;&gt;"∞",0),INDEX(AU248:CB248,1,$AT$1),INDEX(AU248:CB248,1,$AT$1)),"*叠1*")=1,4*25-加速!$L$11,AB247-A248+A247)-IF(OR(COUNTIF(OFFSET(AT248,0,$AT$1,1,1),"*听雷*")&gt;0,AND(碧归&gt;0,COUNTIF(OFFSET(AT248,0,$AT$1,1,1),"*风来*")&gt;0)),0,1)*1.5)</f>
        <v>#VALUE!</v>
      </c>
      <c r="AC248">
        <f ca="1" t="shared" si="62"/>
        <v>0</v>
      </c>
      <c r="AD248">
        <f ca="1">IF(COUNTIF(IF(AND(配装计算器!$K$30&lt;&gt;"∞",0),INDEX(AU248:CB248,1,$AT$1),INDEX(AU249:CB249,1,$AT$1)),"*叠1*")=1,AB248*0+AE247,0)</f>
        <v>0</v>
      </c>
      <c r="AE248" t="e">
        <f ca="1">IF($AN$11&gt;0,IF(COUNTIF(B249,"*叠1*")&gt;0,50-加速!$L$11,MAX(0,AE247-(A249-A248))),0)</f>
        <v>#VALUE!</v>
      </c>
      <c r="AG248">
        <f ca="1" t="shared" si="63"/>
        <v>7</v>
      </c>
      <c r="AU248" t="s">
        <v>2776</v>
      </c>
      <c r="AV248">
        <v>2</v>
      </c>
      <c r="AW248" s="176" t="s">
        <v>2776</v>
      </c>
      <c r="AX248">
        <v>2</v>
      </c>
      <c r="AY248" t="s">
        <v>2722</v>
      </c>
      <c r="AZ248">
        <v>0</v>
      </c>
      <c r="BA248" t="s">
        <v>2776</v>
      </c>
      <c r="BB248">
        <v>2</v>
      </c>
      <c r="BC248" t="s">
        <v>2768</v>
      </c>
      <c r="BD248">
        <v>2</v>
      </c>
      <c r="BE248" t="s">
        <v>3084</v>
      </c>
      <c r="BF248">
        <v>2</v>
      </c>
      <c r="BG248" t="s">
        <v>2776</v>
      </c>
      <c r="BH248">
        <v>0</v>
      </c>
      <c r="BI248" s="176" t="s">
        <v>2776</v>
      </c>
      <c r="BJ248">
        <v>2</v>
      </c>
      <c r="BK248" t="s">
        <v>2768</v>
      </c>
      <c r="BL248">
        <v>0</v>
      </c>
      <c r="BM248" t="str">
        <f>IF(0,"云飞玉皇-玉山揽云","夕照雷峰")</f>
        <v>夕照雷峰</v>
      </c>
      <c r="BN248">
        <v>2</v>
      </c>
      <c r="BO248" s="176" t="s">
        <v>2768</v>
      </c>
      <c r="BP248">
        <v>2</v>
      </c>
      <c r="BQ248" t="s">
        <v>2776</v>
      </c>
      <c r="BR248">
        <v>1</v>
      </c>
      <c r="BS248" s="176" t="s">
        <v>2794</v>
      </c>
      <c r="BT248">
        <v>2</v>
      </c>
      <c r="BU248" t="str">
        <f>IF(秋,"云栖松","泉凝月")</f>
        <v>泉凝月</v>
      </c>
      <c r="BV248">
        <v>0</v>
      </c>
      <c r="BW248" s="179" t="s">
        <v>2768</v>
      </c>
      <c r="BX248" s="179">
        <v>2</v>
      </c>
      <c r="BY248" s="176" t="s">
        <v>2808</v>
      </c>
      <c r="BZ248">
        <v>2</v>
      </c>
      <c r="CA248" s="176" t="str">
        <f>IF(秋,"夕照雷峰","千切子寒光")</f>
        <v>千切子寒光</v>
      </c>
      <c r="CB248">
        <v>2</v>
      </c>
    </row>
    <row r="249" spans="1:80">
      <c r="A249" s="178" t="str">
        <f ca="1">IFERROR(IF(AG248&lt;5+金蛇*2,IF(COUNTIF(B248,"*轻*")&gt;0,A248+加速!$L$9,A248+加速!$L$11)+V248,""),"")</f>
        <v/>
      </c>
      <c r="B249" s="167" t="str">
        <f ca="1" t="shared" si="58"/>
        <v/>
      </c>
      <c r="C249" t="str">
        <f ca="1" t="shared" si="67"/>
        <v/>
      </c>
      <c r="D249" t="str">
        <f ca="1">IF(B249&lt;&gt;"",IF(C248&lt;=加速!$L$11*(1-E249),0,1),"")</f>
        <v/>
      </c>
      <c r="E249">
        <f ca="1" t="shared" si="64"/>
        <v>1</v>
      </c>
      <c r="G249" t="str">
        <f ca="1" t="shared" si="65"/>
        <v/>
      </c>
      <c r="H249" t="str">
        <f ca="1">IF(B249&lt;&gt;"",IF(AND(COUNTIF(B248,"*轻*莺鸣柳*")&gt;0,COUNTIF(B249,"*轻*")&lt;1),MAX(0,15+I248-(A249-A248)+COUNTIF(B248,"*平湖*")*0),IF(AND(E249=0,MAX(0,H248-(A249-A248))&lt;=加速!$H$11),0,MAX(0,H248-(A249-A248)))),"")</f>
        <v/>
      </c>
      <c r="I249" t="str">
        <f ca="1" t="shared" si="71"/>
        <v/>
      </c>
      <c r="J249" t="str">
        <f ca="1" t="shared" si="72"/>
        <v/>
      </c>
      <c r="K249" t="str">
        <f ca="1" t="shared" si="59"/>
        <v/>
      </c>
      <c r="L249">
        <f ca="1">IFERROR(IF(AND(COUNTIF(B249,"*-峰插*"),技能数据库!$M$72&gt;0),0,IF(COUNTIF(B249,"*鹤归*")&gt;0,16-加速!$L$11,MAX(0,L248-(A249-A248)))),0)</f>
        <v>0</v>
      </c>
      <c r="M249">
        <f ca="1" t="shared" si="60"/>
        <v>0</v>
      </c>
      <c r="N249">
        <f ca="1">IFERROR(IF(AND(COUNTIF(B249,"*-峰插*"),技能数据库!$M$72&gt;0),0,IF(COUNTIF(B249,"*云飞*")&gt;0,4-COUNTIF(B249,"*玉山揽云*")*4--COUNTIF(B249,"*烟流暮景*")*4-COUNTIF(B249,"*云景*")*加速!$L$11-IF(J249&gt;0,2,0),MAX(0,N248-(A249-A248)-IF(J249&gt;0,2,0)))),0)</f>
        <v>0</v>
      </c>
      <c r="O249">
        <f ca="1">IF(AND(COUNTIF(IF(AND(配装计算器!$K$30&lt;&gt;"∞",0),INDEX(AU248:CB248,1,$AT$1),INDEX(AU250:CB250,1,$AT$1)),"*云飞*")=1,COUNTIF(IF(AND(配装计算器!$K$30&lt;&gt;"∞",0),INDEX(AU248:CB248,1,$AT$1),INDEX(AU250:CB250,1,$AT$1)),"*玉山*")=0),N249,0)</f>
        <v>0</v>
      </c>
      <c r="P249">
        <f ca="1">IFERROR(IF(COUNTIF(B249,"*云栖松*")&gt;0,50-加速!$L$11,MAX(0,P248-(A249-A248))),0)</f>
        <v>0</v>
      </c>
      <c r="Q249">
        <f ca="1">IF(COUNTIF(IF(AND(配装计算器!$K$30&lt;&gt;"∞",0),INDEX(AU248:CB248,1,$AT$1),INDEX(AU250:CB250,1,$AT$1)),"*云栖松*")=1,P249,0)</f>
        <v>0</v>
      </c>
      <c r="R249">
        <f ca="1">IFERROR(IF(COUNTIF(B249,"*莺鸣柳*")&gt;0,45-加速!$L$9,MAX(0,R248-(A249-A248))),0)</f>
        <v>0</v>
      </c>
      <c r="S249">
        <f ca="1">IF(COUNTIF(IF(AND(配装计算器!$K$30&lt;&gt;"∞",0),INDEX(AU248:CB248,1,$AT$1),INDEX(AU250:CB250,1,$AT$1)),"*莺鸣柳*")=1,R249,0)</f>
        <v>0</v>
      </c>
      <c r="T249">
        <f ca="1" t="shared" si="68"/>
        <v>0</v>
      </c>
      <c r="U249">
        <f ca="1">IF(金蛇,IF(COUNTIF(B249,"*金环戴*")+COUNTIF(B249,"*吹风醒*")&gt;0,IF(A249&lt;=3,7.125-2.625-A249-加速!$L$11,7.125+加速!$K$9-(A249+加速!$L$11-T249)),0),0)+IF(金蛇,IF(COUNTIF(B249,"*千切子裂光*")&gt;0,2+加速!$K$9-(A249+加速!$L$11-T249),0),0)</f>
        <v>0</v>
      </c>
      <c r="V249">
        <f ca="1" t="shared" si="69"/>
        <v>0</v>
      </c>
      <c r="W249">
        <f ca="1" t="shared" si="61"/>
        <v>0</v>
      </c>
      <c r="X249">
        <f ca="1">INDEX(加速!$I$13:$I$21,W249+1)</f>
        <v>0</v>
      </c>
      <c r="Y249">
        <f ca="1" t="shared" si="70"/>
        <v>0.5</v>
      </c>
      <c r="Z249">
        <f ca="1" t="shared" si="66"/>
        <v>0</v>
      </c>
      <c r="AA249">
        <f ca="1">MAX(0,IFERROR(IF(COUNTIF(B249,"*叠*")&gt;0,IF(AC248&lt;3,8-A250+A249,AA248+6.875-A250+A249),AA248-A250+A249),AA248-加速!$L$11))</f>
        <v>0</v>
      </c>
      <c r="AB249" t="e">
        <f ca="1">MAX(0,IF(COUNTIF(IF(AND(配装计算器!$K$30&lt;&gt;"∞",0),INDEX(AU249:CB249,1,$AT$1),INDEX(AU249:CB249,1,$AT$1)),"*叠1*")=1,4*25-加速!$L$11,AB248-A249+A248)-IF(OR(COUNTIF(OFFSET(AT249,0,$AT$1,1,1),"*听雷*")&gt;0,AND(碧归&gt;0,COUNTIF(OFFSET(AT249,0,$AT$1,1,1),"*风来*")&gt;0)),0,1)*1.5)</f>
        <v>#VALUE!</v>
      </c>
      <c r="AC249">
        <f ca="1" t="shared" si="62"/>
        <v>0</v>
      </c>
      <c r="AD249">
        <f ca="1">IF(COUNTIF(IF(AND(配装计算器!$K$30&lt;&gt;"∞",0),INDEX(AU249:CB249,1,$AT$1),INDEX(AU250:CB250,1,$AT$1)),"*叠1*")=1,AB249*0+AE248,0)</f>
        <v>0</v>
      </c>
      <c r="AE249" t="e">
        <f ca="1">IF($AN$11&gt;0,IF(COUNTIF(B250,"*叠1*")&gt;0,50-加速!$L$11,MAX(0,AE248-(A250-A249))),0)</f>
        <v>#VALUE!</v>
      </c>
      <c r="AG249">
        <f ca="1" t="shared" si="63"/>
        <v>7</v>
      </c>
      <c r="AU249" s="176" t="s">
        <v>2794</v>
      </c>
      <c r="AV249">
        <v>2</v>
      </c>
      <c r="AW249" s="176" t="s">
        <v>2768</v>
      </c>
      <c r="AX249">
        <v>2</v>
      </c>
      <c r="AY249" t="s">
        <v>2776</v>
      </c>
      <c r="AZ249">
        <v>2</v>
      </c>
      <c r="BA249" t="s">
        <v>2768</v>
      </c>
      <c r="BB249">
        <v>2</v>
      </c>
      <c r="BC249" t="s">
        <v>2776</v>
      </c>
      <c r="BD249">
        <v>1</v>
      </c>
      <c r="BE249" t="s">
        <v>2768</v>
      </c>
      <c r="BF249">
        <v>2</v>
      </c>
      <c r="BG249" t="s">
        <v>3067</v>
      </c>
      <c r="BH249">
        <v>0</v>
      </c>
      <c r="BI249" t="s">
        <v>2768</v>
      </c>
      <c r="BJ249">
        <v>2</v>
      </c>
      <c r="BK249" t="s">
        <v>3012</v>
      </c>
      <c r="BL249">
        <v>2</v>
      </c>
      <c r="BM249" t="str">
        <f>IF(0,"云飞玉皇-玉山揽云","云飞玉皇")</f>
        <v>云飞玉皇</v>
      </c>
      <c r="BN249">
        <v>2</v>
      </c>
      <c r="BO249" s="176" t="s">
        <v>2776</v>
      </c>
      <c r="BP249">
        <v>2</v>
      </c>
      <c r="BQ249" t="s">
        <v>2768</v>
      </c>
      <c r="BR249">
        <v>0</v>
      </c>
      <c r="BS249" t="s">
        <v>2768</v>
      </c>
      <c r="BT249">
        <v>2</v>
      </c>
      <c r="BU249" t="s">
        <v>2768</v>
      </c>
      <c r="BV249">
        <v>0</v>
      </c>
      <c r="BW249" s="179" t="s">
        <v>2768</v>
      </c>
      <c r="BX249" s="179">
        <v>2</v>
      </c>
      <c r="BY249" t="str">
        <f>IF(0,"云飞玉皇-玉山揽云","夕照雷峰")</f>
        <v>夕照雷峰</v>
      </c>
      <c r="BZ249">
        <v>2</v>
      </c>
      <c r="CA249" s="176" t="str">
        <f>IF(秋,"夕照雷峰","千切子裂光")</f>
        <v>千切子裂光</v>
      </c>
      <c r="CB249">
        <v>2</v>
      </c>
    </row>
    <row r="250" spans="1:80">
      <c r="A250" s="178" t="str">
        <f ca="1">IFERROR(IF(AG249&lt;5+金蛇*2,IF(COUNTIF(B249,"*轻*")&gt;0,A249+加速!$L$9,A249+加速!$L$11)+V249,""),"")</f>
        <v/>
      </c>
      <c r="B250" s="167" t="str">
        <f ca="1" t="shared" si="58"/>
        <v/>
      </c>
      <c r="C250" t="str">
        <f ca="1" t="shared" si="67"/>
        <v/>
      </c>
      <c r="D250" t="str">
        <f ca="1">IF(B250&lt;&gt;"",IF(C249&lt;=加速!$L$11*(1-E250),0,1),"")</f>
        <v/>
      </c>
      <c r="E250">
        <f ca="1" t="shared" si="64"/>
        <v>1</v>
      </c>
      <c r="G250" t="str">
        <f ca="1" t="shared" si="65"/>
        <v/>
      </c>
      <c r="H250" t="str">
        <f ca="1">IF(B250&lt;&gt;"",IF(AND(COUNTIF(B249,"*轻*莺鸣柳*")&gt;0,COUNTIF(B250,"*轻*")&lt;1),MAX(0,15+I249-(A250-A249)+COUNTIF(B249,"*平湖*")*0),IF(AND(E250=0,MAX(0,H249-(A250-A249))&lt;=加速!$H$11),0,MAX(0,H249-(A250-A249)))),"")</f>
        <v/>
      </c>
      <c r="I250" t="str">
        <f ca="1" t="shared" si="71"/>
        <v/>
      </c>
      <c r="J250" t="str">
        <f ca="1" t="shared" si="72"/>
        <v/>
      </c>
      <c r="K250" t="str">
        <f ca="1" t="shared" si="59"/>
        <v/>
      </c>
      <c r="L250">
        <f ca="1">IFERROR(IF(AND(COUNTIF(B250,"*-峰插*"),技能数据库!$M$72&gt;0),0,IF(COUNTIF(B250,"*鹤归*")&gt;0,16-加速!$L$11,MAX(0,L249-(A250-A249)))),0)</f>
        <v>0</v>
      </c>
      <c r="M250">
        <f ca="1" t="shared" si="60"/>
        <v>0</v>
      </c>
      <c r="N250">
        <f ca="1">IFERROR(IF(AND(COUNTIF(B250,"*-峰插*"),技能数据库!$M$72&gt;0),0,IF(COUNTIF(B250,"*云飞*")&gt;0,4-COUNTIF(B250,"*玉山揽云*")*4--COUNTIF(B250,"*烟流暮景*")*4-COUNTIF(B250,"*云景*")*加速!$L$11-IF(J250&gt;0,2,0),MAX(0,N249-(A250-A249)-IF(J250&gt;0,2,0)))),0)</f>
        <v>0</v>
      </c>
      <c r="O250">
        <f ca="1">IF(AND(COUNTIF(IF(AND(配装计算器!$K$30&lt;&gt;"∞",0),INDEX(AU249:CB249,1,$AT$1),INDEX(AU251:CB251,1,$AT$1)),"*云飞*")=1,COUNTIF(IF(AND(配装计算器!$K$30&lt;&gt;"∞",0),INDEX(AU249:CB249,1,$AT$1),INDEX(AU251:CB251,1,$AT$1)),"*玉山*")=0),N250,0)</f>
        <v>0</v>
      </c>
      <c r="P250">
        <f ca="1">IFERROR(IF(COUNTIF(B250,"*云栖松*")&gt;0,50-加速!$L$11,MAX(0,P249-(A250-A249))),0)</f>
        <v>0</v>
      </c>
      <c r="Q250">
        <f ca="1">IF(COUNTIF(IF(AND(配装计算器!$K$30&lt;&gt;"∞",0),INDEX(AU249:CB249,1,$AT$1),INDEX(AU251:CB251,1,$AT$1)),"*云栖松*")=1,P250,0)</f>
        <v>0</v>
      </c>
      <c r="R250">
        <f ca="1">IFERROR(IF(COUNTIF(B250,"*莺鸣柳*")&gt;0,45-加速!$L$9,MAX(0,R249-(A250-A249))),0)</f>
        <v>0</v>
      </c>
      <c r="S250">
        <f ca="1">IF(COUNTIF(IF(AND(配装计算器!$K$30&lt;&gt;"∞",0),INDEX(AU249:CB249,1,$AT$1),INDEX(AU251:CB251,1,$AT$1)),"*莺鸣柳*")=1,R250,0)</f>
        <v>0</v>
      </c>
      <c r="T250">
        <f ca="1" t="shared" si="68"/>
        <v>0</v>
      </c>
      <c r="U250">
        <f ca="1">IF(金蛇,IF(COUNTIF(B250,"*金环戴*")+COUNTIF(B250,"*吹风醒*")&gt;0,IF(A250&lt;=3,7.125-2.625-A250-加速!$L$11,7.125+加速!$K$9-(A250+加速!$L$11-T250)),0),0)+IF(金蛇,IF(COUNTIF(B250,"*千切子裂光*")&gt;0,2+加速!$K$9-(A250+加速!$L$11-T250),0),0)</f>
        <v>0</v>
      </c>
      <c r="V250">
        <f ca="1" t="shared" si="69"/>
        <v>0</v>
      </c>
      <c r="W250">
        <f ca="1" t="shared" si="61"/>
        <v>0</v>
      </c>
      <c r="X250">
        <f ca="1">INDEX(加速!$I$13:$I$21,W250+1)</f>
        <v>0</v>
      </c>
      <c r="Y250">
        <f ca="1" t="shared" si="70"/>
        <v>0.5</v>
      </c>
      <c r="Z250">
        <f ca="1" t="shared" si="66"/>
        <v>0</v>
      </c>
      <c r="AA250">
        <f ca="1">MAX(0,IFERROR(IF(COUNTIF(B250,"*叠*")&gt;0,IF(AC249&lt;3,8-A251+A250,AA249+6.875-A251+A250),AA249-A251+A250),AA249-加速!$L$11))</f>
        <v>0</v>
      </c>
      <c r="AB250" t="e">
        <f ca="1">MAX(0,IF(COUNTIF(IF(AND(配装计算器!$K$30&lt;&gt;"∞",0),INDEX(AU250:CB250,1,$AT$1),INDEX(AU250:CB250,1,$AT$1)),"*叠1*")=1,4*25-加速!$L$11,AB249-A250+A249)-IF(OR(COUNTIF(OFFSET(AT250,0,$AT$1,1,1),"*听雷*")&gt;0,AND(碧归&gt;0,COUNTIF(OFFSET(AT250,0,$AT$1,1,1),"*风来*")&gt;0)),0,1)*1.5)</f>
        <v>#VALUE!</v>
      </c>
      <c r="AC250">
        <f ca="1" t="shared" si="62"/>
        <v>0</v>
      </c>
      <c r="AD250">
        <f ca="1">IF(COUNTIF(IF(AND(配装计算器!$K$30&lt;&gt;"∞",0),INDEX(AU250:CB250,1,$AT$1),INDEX(AU251:CB251,1,$AT$1)),"*叠1*")=1,AB250*0+AE249,0)</f>
        <v>0</v>
      </c>
      <c r="AE250" t="e">
        <f ca="1">IF($AN$11&gt;0,IF(COUNTIF(B251,"*叠1*")&gt;0,50-加速!$L$11,MAX(0,AE249-(A251-A250))),0)</f>
        <v>#VALUE!</v>
      </c>
      <c r="AG250">
        <f ca="1" t="shared" si="63"/>
        <v>7</v>
      </c>
      <c r="AU250" s="176" t="s">
        <v>2768</v>
      </c>
      <c r="AV250">
        <v>2</v>
      </c>
      <c r="AW250" s="176" t="s">
        <v>2808</v>
      </c>
      <c r="AX250">
        <v>2</v>
      </c>
      <c r="AY250" t="s">
        <v>2768</v>
      </c>
      <c r="AZ250">
        <v>2</v>
      </c>
      <c r="BA250" t="s">
        <v>2768</v>
      </c>
      <c r="BB250">
        <v>2</v>
      </c>
      <c r="BC250" t="s">
        <v>2768</v>
      </c>
      <c r="BD250">
        <v>1</v>
      </c>
      <c r="BE250" t="s">
        <v>2794</v>
      </c>
      <c r="BF250">
        <v>2</v>
      </c>
      <c r="BG250" t="s">
        <v>2768</v>
      </c>
      <c r="BH250">
        <v>2</v>
      </c>
      <c r="BI250" s="176" t="s">
        <v>2768</v>
      </c>
      <c r="BJ250">
        <v>1</v>
      </c>
      <c r="BK250" s="176" t="s">
        <v>2794</v>
      </c>
      <c r="BL250">
        <v>2</v>
      </c>
      <c r="BM250" s="176" t="str">
        <f>IF(秋,"夕照雷峰","千切子寒光")</f>
        <v>千切子寒光</v>
      </c>
      <c r="BN250">
        <v>2</v>
      </c>
      <c r="BO250" s="176" t="s">
        <v>2768</v>
      </c>
      <c r="BP250">
        <v>2</v>
      </c>
      <c r="BQ250" t="str">
        <f>IF(秋,"云栖松","泉凝月")</f>
        <v>泉凝月</v>
      </c>
      <c r="BR250">
        <v>0</v>
      </c>
      <c r="BS250" t="s">
        <v>2776</v>
      </c>
      <c r="BT250">
        <v>2</v>
      </c>
      <c r="BU250" t="s">
        <v>2776</v>
      </c>
      <c r="BV250">
        <v>0</v>
      </c>
      <c r="BW250" s="179" t="s">
        <v>3021</v>
      </c>
      <c r="BX250" s="179">
        <v>2</v>
      </c>
      <c r="BY250" t="str">
        <f>IF(0,"云飞玉皇-玉山揽云","云飞玉皇")</f>
        <v>云飞玉皇</v>
      </c>
      <c r="BZ250">
        <v>2</v>
      </c>
      <c r="CA250" t="s">
        <v>2776</v>
      </c>
      <c r="CB250">
        <v>2</v>
      </c>
    </row>
    <row r="251" spans="1:80">
      <c r="A251" s="178" t="str">
        <f ca="1">IFERROR(IF(AG250&lt;5+金蛇*2,IF(COUNTIF(B250,"*轻*")&gt;0,A250+加速!$L$9,A250+加速!$L$11)+V250,""),"")</f>
        <v/>
      </c>
      <c r="B251" s="167" t="str">
        <f ca="1" t="shared" si="58"/>
        <v/>
      </c>
      <c r="C251" t="str">
        <f ca="1" t="shared" si="67"/>
        <v/>
      </c>
      <c r="D251" t="str">
        <f ca="1">IF(B251&lt;&gt;"",IF(C250&lt;=加速!$L$11*(1-E251),0,1),"")</f>
        <v/>
      </c>
      <c r="E251">
        <f ca="1" t="shared" si="64"/>
        <v>1</v>
      </c>
      <c r="G251" t="str">
        <f ca="1" t="shared" si="65"/>
        <v/>
      </c>
      <c r="H251" t="str">
        <f ca="1">IF(B251&lt;&gt;"",IF(AND(COUNTIF(B250,"*轻*莺鸣柳*")&gt;0,COUNTIF(B251,"*轻*")&lt;1),MAX(0,15+I250-(A251-A250)+COUNTIF(B250,"*平湖*")*0),IF(AND(E251=0,MAX(0,H250-(A251-A250))&lt;=加速!$H$11),0,MAX(0,H250-(A251-A250)))),"")</f>
        <v/>
      </c>
      <c r="I251" t="str">
        <f ca="1" t="shared" si="71"/>
        <v/>
      </c>
      <c r="J251" t="str">
        <f ca="1" t="shared" si="72"/>
        <v/>
      </c>
      <c r="K251" t="str">
        <f ca="1" t="shared" si="59"/>
        <v/>
      </c>
      <c r="L251">
        <f ca="1">IFERROR(IF(AND(COUNTIF(B251,"*-峰插*"),技能数据库!$M$72&gt;0),0,IF(COUNTIF(B251,"*鹤归*")&gt;0,16-加速!$L$11,MAX(0,L250-(A251-A250)))),0)</f>
        <v>0</v>
      </c>
      <c r="M251">
        <f ca="1" t="shared" si="60"/>
        <v>0</v>
      </c>
      <c r="N251">
        <f ca="1">IFERROR(IF(AND(COUNTIF(B251,"*-峰插*"),技能数据库!$M$72&gt;0),0,IF(COUNTIF(B251,"*云飞*")&gt;0,4-COUNTIF(B251,"*玉山揽云*")*4--COUNTIF(B251,"*烟流暮景*")*4-COUNTIF(B251,"*云景*")*加速!$L$11-IF(J251&gt;0,2,0),MAX(0,N250-(A251-A250)-IF(J251&gt;0,2,0)))),0)</f>
        <v>0</v>
      </c>
      <c r="O251">
        <f ca="1">IF(AND(COUNTIF(IF(AND(配装计算器!$K$30&lt;&gt;"∞",0),INDEX(AU250:CB250,1,$AT$1),INDEX(AU252:CB252,1,$AT$1)),"*云飞*")=1,COUNTIF(IF(AND(配装计算器!$K$30&lt;&gt;"∞",0),INDEX(AU250:CB250,1,$AT$1),INDEX(AU252:CB252,1,$AT$1)),"*玉山*")=0),N251,0)</f>
        <v>0</v>
      </c>
      <c r="P251">
        <f ca="1">IFERROR(IF(COUNTIF(B251,"*云栖松*")&gt;0,50-加速!$L$11,MAX(0,P250-(A251-A250))),0)</f>
        <v>0</v>
      </c>
      <c r="Q251">
        <f ca="1">IF(COUNTIF(IF(AND(配装计算器!$K$30&lt;&gt;"∞",0),INDEX(AU250:CB250,1,$AT$1),INDEX(AU252:CB252,1,$AT$1)),"*云栖松*")=1,P251,0)</f>
        <v>0</v>
      </c>
      <c r="R251">
        <f ca="1">IFERROR(IF(COUNTIF(B251,"*莺鸣柳*")&gt;0,45-加速!$L$9,MAX(0,R250-(A251-A250))),0)</f>
        <v>0</v>
      </c>
      <c r="S251">
        <f ca="1">IF(COUNTIF(IF(AND(配装计算器!$K$30&lt;&gt;"∞",0),INDEX(AU250:CB250,1,$AT$1),INDEX(AU252:CB252,1,$AT$1)),"*莺鸣柳*")=1,R251,0)</f>
        <v>0</v>
      </c>
      <c r="T251">
        <f ca="1" t="shared" si="68"/>
        <v>0</v>
      </c>
      <c r="U251">
        <f ca="1">IF(金蛇,IF(COUNTIF(B251,"*金环戴*")+COUNTIF(B251,"*吹风醒*")&gt;0,IF(A251&lt;=3,7.125-2.625-A251-加速!$L$11,7.125+加速!$K$9-(A251+加速!$L$11-T251)),0),0)+IF(金蛇,IF(COUNTIF(B251,"*千切子裂光*")&gt;0,2+加速!$K$9-(A251+加速!$L$11-T251),0),0)</f>
        <v>0</v>
      </c>
      <c r="V251">
        <f ca="1" t="shared" si="69"/>
        <v>0</v>
      </c>
      <c r="W251">
        <f ca="1" t="shared" si="61"/>
        <v>0</v>
      </c>
      <c r="X251">
        <f ca="1">INDEX(加速!$I$13:$I$21,W251+1)</f>
        <v>0</v>
      </c>
      <c r="Y251">
        <f ca="1" t="shared" si="70"/>
        <v>0.5</v>
      </c>
      <c r="Z251">
        <f ca="1" t="shared" si="66"/>
        <v>0</v>
      </c>
      <c r="AA251">
        <f ca="1">MAX(0,IFERROR(IF(COUNTIF(B251,"*叠*")&gt;0,IF(AC250&lt;3,8-A252+A251,AA250+6.875-A252+A251),AA250-A252+A251),AA250-加速!$L$11))</f>
        <v>0</v>
      </c>
      <c r="AB251" t="e">
        <f ca="1">MAX(0,IF(COUNTIF(IF(AND(配装计算器!$K$30&lt;&gt;"∞",0),INDEX(AU251:CB251,1,$AT$1),INDEX(AU251:CB251,1,$AT$1)),"*叠1*")=1,4*25-加速!$L$11,AB250-A251+A250)-IF(OR(COUNTIF(OFFSET(AT251,0,$AT$1,1,1),"*听雷*")&gt;0,AND(碧归&gt;0,COUNTIF(OFFSET(AT251,0,$AT$1,1,1),"*风来*")&gt;0)),0,1)*1.5)</f>
        <v>#VALUE!</v>
      </c>
      <c r="AC251">
        <f ca="1" t="shared" si="62"/>
        <v>0</v>
      </c>
      <c r="AD251">
        <f ca="1">IF(COUNTIF(IF(AND(配装计算器!$K$30&lt;&gt;"∞",0),INDEX(AU251:CB251,1,$AT$1),INDEX(AU252:CB252,1,$AT$1)),"*叠1*")=1,AB251*0+AE250,0)</f>
        <v>0</v>
      </c>
      <c r="AE251" t="e">
        <f ca="1">IF($AN$11&gt;0,IF(COUNTIF(B252,"*叠1*")&gt;0,50-加速!$L$11,MAX(0,AE250-(A252-A251))),0)</f>
        <v>#VALUE!</v>
      </c>
      <c r="AG251">
        <f ca="1" t="shared" si="63"/>
        <v>7</v>
      </c>
      <c r="AU251" s="176" t="s">
        <v>2776</v>
      </c>
      <c r="AV251">
        <v>2</v>
      </c>
      <c r="AW251" t="s">
        <v>2768</v>
      </c>
      <c r="AX251">
        <v>2</v>
      </c>
      <c r="AY251" t="s">
        <v>2768</v>
      </c>
      <c r="AZ251">
        <v>2</v>
      </c>
      <c r="BA251" t="s">
        <v>2768</v>
      </c>
      <c r="BB251">
        <v>1</v>
      </c>
      <c r="BC251" t="s">
        <v>2794</v>
      </c>
      <c r="BD251">
        <v>2</v>
      </c>
      <c r="BE251" t="s">
        <v>2768</v>
      </c>
      <c r="BF251">
        <v>2</v>
      </c>
      <c r="BG251" t="s">
        <v>2768</v>
      </c>
      <c r="BH251">
        <v>2</v>
      </c>
      <c r="BI251" s="176" t="s">
        <v>2768</v>
      </c>
      <c r="BJ251">
        <v>1</v>
      </c>
      <c r="BK251" s="176" t="s">
        <v>3019</v>
      </c>
      <c r="BL251">
        <v>2</v>
      </c>
      <c r="BM251" s="176" t="str">
        <f>IF(秋,"夕照雷峰","千切子裂光")</f>
        <v>千切子裂光</v>
      </c>
      <c r="BN251">
        <v>2</v>
      </c>
      <c r="BO251" s="176" t="s">
        <v>2776</v>
      </c>
      <c r="BP251">
        <v>2</v>
      </c>
      <c r="BQ251" t="s">
        <v>2768</v>
      </c>
      <c r="BR251">
        <v>0</v>
      </c>
      <c r="BS251" t="s">
        <v>2768</v>
      </c>
      <c r="BT251">
        <v>2</v>
      </c>
      <c r="BU251" t="s">
        <v>1886</v>
      </c>
      <c r="BV251">
        <v>0</v>
      </c>
      <c r="BW251" s="179" t="s">
        <v>2722</v>
      </c>
      <c r="BX251" s="179">
        <v>2</v>
      </c>
      <c r="BY251" s="176" t="str">
        <f>IF(秋,"夕照雷峰","千切子寒光")</f>
        <v>千切子寒光</v>
      </c>
      <c r="BZ251">
        <v>2</v>
      </c>
      <c r="CA251" s="176" t="s">
        <v>2794</v>
      </c>
      <c r="CB251">
        <v>2</v>
      </c>
    </row>
    <row r="252" spans="1:80">
      <c r="A252" s="178" t="str">
        <f ca="1">IFERROR(IF(AG251&lt;5+金蛇*2,IF(COUNTIF(B251,"*轻*")&gt;0,A251+加速!$L$9,A251+加速!$L$11)+V251,""),"")</f>
        <v/>
      </c>
      <c r="B252" s="167" t="str">
        <f ca="1" t="shared" si="58"/>
        <v/>
      </c>
      <c r="C252" t="str">
        <f ca="1" t="shared" si="67"/>
        <v/>
      </c>
      <c r="D252" t="str">
        <f ca="1">IF(B252&lt;&gt;"",IF(C251&lt;=加速!$L$11*(1-E252),0,1),"")</f>
        <v/>
      </c>
      <c r="E252">
        <f ca="1" t="shared" si="64"/>
        <v>1</v>
      </c>
      <c r="G252" t="str">
        <f ca="1" t="shared" si="65"/>
        <v/>
      </c>
      <c r="H252" t="str">
        <f ca="1">IF(B252&lt;&gt;"",IF(AND(COUNTIF(B251,"*轻*莺鸣柳*")&gt;0,COUNTIF(B252,"*轻*")&lt;1),MAX(0,15+I251-(A252-A251)+COUNTIF(B251,"*平湖*")*0),IF(AND(E252=0,MAX(0,H251-(A252-A251))&lt;=加速!$H$11),0,MAX(0,H251-(A252-A251)))),"")</f>
        <v/>
      </c>
      <c r="I252" t="str">
        <f ca="1" t="shared" si="71"/>
        <v/>
      </c>
      <c r="J252" t="str">
        <f ca="1" t="shared" si="72"/>
        <v/>
      </c>
      <c r="K252" t="str">
        <f ca="1" t="shared" si="59"/>
        <v/>
      </c>
      <c r="L252">
        <f ca="1">IFERROR(IF(AND(COUNTIF(B252,"*-峰插*"),技能数据库!$M$72&gt;0),0,IF(COUNTIF(B252,"*鹤归*")&gt;0,16-加速!$L$11,MAX(0,L251-(A252-A251)))),0)</f>
        <v>0</v>
      </c>
      <c r="M252">
        <f ca="1" t="shared" si="60"/>
        <v>0</v>
      </c>
      <c r="N252">
        <f ca="1">IFERROR(IF(AND(COUNTIF(B252,"*-峰插*"),技能数据库!$M$72&gt;0),0,IF(COUNTIF(B252,"*云飞*")&gt;0,4-COUNTIF(B252,"*玉山揽云*")*4--COUNTIF(B252,"*烟流暮景*")*4-COUNTIF(B252,"*云景*")*加速!$L$11-IF(J252&gt;0,2,0),MAX(0,N251-(A252-A251)-IF(J252&gt;0,2,0)))),0)</f>
        <v>0</v>
      </c>
      <c r="O252">
        <f ca="1">IF(AND(COUNTIF(IF(AND(配装计算器!$K$30&lt;&gt;"∞",0),INDEX(AU251:CB251,1,$AT$1),INDEX(AU253:CB253,1,$AT$1)),"*云飞*")=1,COUNTIF(IF(AND(配装计算器!$K$30&lt;&gt;"∞",0),INDEX(AU251:CB251,1,$AT$1),INDEX(AU253:CB253,1,$AT$1)),"*玉山*")=0),N252,0)</f>
        <v>0</v>
      </c>
      <c r="P252">
        <f ca="1">IFERROR(IF(COUNTIF(B252,"*云栖松*")&gt;0,50-加速!$L$11,MAX(0,P251-(A252-A251))),0)</f>
        <v>0</v>
      </c>
      <c r="Q252">
        <f ca="1">IF(COUNTIF(IF(AND(配装计算器!$K$30&lt;&gt;"∞",0),INDEX(AU251:CB251,1,$AT$1),INDEX(AU253:CB253,1,$AT$1)),"*云栖松*")=1,P252,0)</f>
        <v>0</v>
      </c>
      <c r="R252">
        <f ca="1">IFERROR(IF(COUNTIF(B252,"*莺鸣柳*")&gt;0,45-加速!$L$9,MAX(0,R251-(A252-A251))),0)</f>
        <v>0</v>
      </c>
      <c r="S252">
        <f ca="1">IF(COUNTIF(IF(AND(配装计算器!$K$30&lt;&gt;"∞",0),INDEX(AU251:CB251,1,$AT$1),INDEX(AU253:CB253,1,$AT$1)),"*莺鸣柳*")=1,R252,0)</f>
        <v>0</v>
      </c>
      <c r="T252">
        <f ca="1" t="shared" si="68"/>
        <v>0</v>
      </c>
      <c r="U252">
        <f ca="1">IF(金蛇,IF(COUNTIF(B252,"*金环戴*")+COUNTIF(B252,"*吹风醒*")&gt;0,IF(A252&lt;=3,7.125-2.625-A252-加速!$L$11,7.125+加速!$K$9-(A252+加速!$L$11-T252)),0),0)+IF(金蛇,IF(COUNTIF(B252,"*千切子裂光*")&gt;0,2+加速!$K$9-(A252+加速!$L$11-T252),0),0)</f>
        <v>0</v>
      </c>
      <c r="V252">
        <f ca="1" t="shared" si="69"/>
        <v>0</v>
      </c>
      <c r="W252">
        <f ca="1" t="shared" si="61"/>
        <v>0</v>
      </c>
      <c r="X252">
        <f ca="1">INDEX(加速!$I$13:$I$21,W252+1)</f>
        <v>0</v>
      </c>
      <c r="Y252">
        <f ca="1" t="shared" si="70"/>
        <v>0.5</v>
      </c>
      <c r="Z252">
        <f ca="1" t="shared" si="66"/>
        <v>0</v>
      </c>
      <c r="AA252">
        <f ca="1">MAX(0,IFERROR(IF(COUNTIF(B252,"*叠*")&gt;0,IF(AC251&lt;3,8-A253+A252,AA251+6.875-A253+A252),AA251-A253+A252),AA251-加速!$L$11))</f>
        <v>0</v>
      </c>
      <c r="AB252" t="e">
        <f ca="1">MAX(0,IF(COUNTIF(IF(AND(配装计算器!$K$30&lt;&gt;"∞",0),INDEX(AU252:CB252,1,$AT$1),INDEX(AU252:CB252,1,$AT$1)),"*叠1*")=1,4*25-加速!$L$11,AB251-A252+A251)-IF(OR(COUNTIF(OFFSET(AT252,0,$AT$1,1,1),"*听雷*")&gt;0,AND(碧归&gt;0,COUNTIF(OFFSET(AT252,0,$AT$1,1,1),"*风来*")&gt;0)),0,1)*1.5)</f>
        <v>#VALUE!</v>
      </c>
      <c r="AC252">
        <f ca="1" t="shared" si="62"/>
        <v>0</v>
      </c>
      <c r="AD252">
        <f ca="1">IF(COUNTIF(IF(AND(配装计算器!$K$30&lt;&gt;"∞",0),INDEX(AU252:CB252,1,$AT$1),INDEX(AU253:CB253,1,$AT$1)),"*叠1*")=1,AB252*0+AE251,0)</f>
        <v>0</v>
      </c>
      <c r="AE252" t="e">
        <f ca="1">IF($AN$11&gt;0,IF(COUNTIF(B253,"*叠1*")&gt;0,50-加速!$L$11,MAX(0,AE251-(A253-A252))),0)</f>
        <v>#VALUE!</v>
      </c>
      <c r="AG252">
        <f ca="1" t="shared" si="63"/>
        <v>7</v>
      </c>
      <c r="AU252" s="176" t="s">
        <v>2768</v>
      </c>
      <c r="AV252">
        <v>2</v>
      </c>
      <c r="AW252" t="s">
        <v>2776</v>
      </c>
      <c r="AX252">
        <v>2</v>
      </c>
      <c r="AY252" t="s">
        <v>2768</v>
      </c>
      <c r="AZ252">
        <v>1</v>
      </c>
      <c r="BA252" t="s">
        <v>2776</v>
      </c>
      <c r="BB252">
        <v>1</v>
      </c>
      <c r="BC252" t="s">
        <v>2768</v>
      </c>
      <c r="BD252">
        <v>2</v>
      </c>
      <c r="BE252" t="s">
        <v>2776</v>
      </c>
      <c r="BF252">
        <v>2</v>
      </c>
      <c r="BG252" s="176" t="s">
        <v>2794</v>
      </c>
      <c r="BH252">
        <v>1</v>
      </c>
      <c r="BI252" s="176" t="s">
        <v>2776</v>
      </c>
      <c r="BJ252">
        <v>0</v>
      </c>
      <c r="BK252" s="176" t="s">
        <v>2768</v>
      </c>
      <c r="BL252">
        <v>2</v>
      </c>
      <c r="BM252" t="str">
        <f>IF(0,"云飞玉皇-玉山揽云","夕照雷峰")</f>
        <v>夕照雷峰</v>
      </c>
      <c r="BN252">
        <v>2</v>
      </c>
      <c r="BO252" s="176" t="s">
        <v>2768</v>
      </c>
      <c r="BP252">
        <v>2</v>
      </c>
      <c r="BQ252" t="s">
        <v>2776</v>
      </c>
      <c r="BR252">
        <v>2</v>
      </c>
      <c r="BS252" t="s">
        <v>2776</v>
      </c>
      <c r="BT252">
        <v>1</v>
      </c>
      <c r="BU252" t="s">
        <v>2853</v>
      </c>
      <c r="BV252">
        <v>2</v>
      </c>
      <c r="BW252" s="179" t="s">
        <v>3028</v>
      </c>
      <c r="BX252" s="179">
        <v>2</v>
      </c>
      <c r="BY252" s="176" t="str">
        <f>IF(秋,"夕照雷峰","千切子裂光")</f>
        <v>千切子裂光</v>
      </c>
      <c r="BZ252">
        <v>2</v>
      </c>
      <c r="CA252" s="176" t="s">
        <v>2768</v>
      </c>
      <c r="CB252">
        <v>2</v>
      </c>
    </row>
    <row r="253" spans="1:80">
      <c r="A253" s="178" t="str">
        <f ca="1">IFERROR(IF(AG252&lt;5+金蛇*2,IF(COUNTIF(B252,"*轻*")&gt;0,A252+加速!$L$9,A252+加速!$L$11)+V252,""),"")</f>
        <v/>
      </c>
      <c r="B253" s="167" t="str">
        <f ca="1" t="shared" si="58"/>
        <v/>
      </c>
      <c r="C253" t="str">
        <f ca="1" t="shared" si="67"/>
        <v/>
      </c>
      <c r="D253" t="str">
        <f ca="1">IF(B253&lt;&gt;"",IF(C252&lt;=加速!$L$11*(1-E253),0,1),"")</f>
        <v/>
      </c>
      <c r="E253">
        <f ca="1" t="shared" si="64"/>
        <v>1</v>
      </c>
      <c r="G253" t="str">
        <f ca="1" t="shared" si="65"/>
        <v/>
      </c>
      <c r="H253" t="str">
        <f ca="1">IF(B253&lt;&gt;"",IF(AND(COUNTIF(B252,"*轻*莺鸣柳*")&gt;0,COUNTIF(B253,"*轻*")&lt;1),MAX(0,15+I252-(A253-A252)+COUNTIF(B252,"*平湖*")*0),IF(AND(E253=0,MAX(0,H252-(A253-A252))&lt;=加速!$H$11),0,MAX(0,H252-(A253-A252)))),"")</f>
        <v/>
      </c>
      <c r="I253" t="str">
        <f ca="1" t="shared" si="71"/>
        <v/>
      </c>
      <c r="J253" t="str">
        <f ca="1" t="shared" si="72"/>
        <v/>
      </c>
      <c r="K253" t="str">
        <f ca="1" t="shared" si="59"/>
        <v/>
      </c>
      <c r="L253">
        <f ca="1">IFERROR(IF(AND(COUNTIF(B253,"*-峰插*"),技能数据库!$M$72&gt;0),0,IF(COUNTIF(B253,"*鹤归*")&gt;0,16-加速!$L$11,MAX(0,L252-(A253-A252)))),0)</f>
        <v>0</v>
      </c>
      <c r="M253">
        <f ca="1" t="shared" si="60"/>
        <v>0</v>
      </c>
      <c r="N253">
        <f ca="1">IFERROR(IF(AND(COUNTIF(B253,"*-峰插*"),技能数据库!$M$72&gt;0),0,IF(COUNTIF(B253,"*云飞*")&gt;0,4-COUNTIF(B253,"*玉山揽云*")*4--COUNTIF(B253,"*烟流暮景*")*4-COUNTIF(B253,"*云景*")*加速!$L$11-IF(J253&gt;0,2,0),MAX(0,N252-(A253-A252)-IF(J253&gt;0,2,0)))),0)</f>
        <v>0</v>
      </c>
      <c r="O253">
        <f ca="1">IF(AND(COUNTIF(IF(AND(配装计算器!$K$30&lt;&gt;"∞",0),INDEX(AU252:CB252,1,$AT$1),INDEX(AU254:CB254,1,$AT$1)),"*云飞*")=1,COUNTIF(IF(AND(配装计算器!$K$30&lt;&gt;"∞",0),INDEX(AU252:CB252,1,$AT$1),INDEX(AU254:CB254,1,$AT$1)),"*玉山*")=0),N253,0)</f>
        <v>0</v>
      </c>
      <c r="P253">
        <f ca="1">IFERROR(IF(COUNTIF(B253,"*云栖松*")&gt;0,50-加速!$L$11,MAX(0,P252-(A253-A252))),0)</f>
        <v>0</v>
      </c>
      <c r="Q253">
        <f ca="1">IF(COUNTIF(IF(AND(配装计算器!$K$30&lt;&gt;"∞",0),INDEX(AU252:CB252,1,$AT$1),INDEX(AU254:CB254,1,$AT$1)),"*云栖松*")=1,P253,0)</f>
        <v>0</v>
      </c>
      <c r="R253">
        <f ca="1">IFERROR(IF(COUNTIF(B253,"*莺鸣柳*")&gt;0,45-加速!$L$9,MAX(0,R252-(A253-A252))),0)</f>
        <v>0</v>
      </c>
      <c r="S253">
        <f ca="1">IF(COUNTIF(IF(AND(配装计算器!$K$30&lt;&gt;"∞",0),INDEX(AU252:CB252,1,$AT$1),INDEX(AU254:CB254,1,$AT$1)),"*莺鸣柳*")=1,R253,0)</f>
        <v>0</v>
      </c>
      <c r="T253">
        <f ca="1" t="shared" si="68"/>
        <v>0</v>
      </c>
      <c r="U253">
        <f ca="1">IF(金蛇,IF(COUNTIF(B253,"*金环戴*")+COUNTIF(B253,"*吹风醒*")&gt;0,IF(A253&lt;=3,7.125-2.625-A253-加速!$L$11,7.125+加速!$K$9-(A253+加速!$L$11-T253)),0),0)+IF(金蛇,IF(COUNTIF(B253,"*千切子裂光*")&gt;0,2+加速!$K$9-(A253+加速!$L$11-T253),0),0)</f>
        <v>0</v>
      </c>
      <c r="V253">
        <f ca="1" t="shared" si="69"/>
        <v>0</v>
      </c>
      <c r="W253">
        <f ca="1" t="shared" si="61"/>
        <v>0</v>
      </c>
      <c r="X253">
        <f ca="1">INDEX(加速!$I$13:$I$21,W253+1)</f>
        <v>0</v>
      </c>
      <c r="Y253">
        <f ca="1" t="shared" si="70"/>
        <v>0.5</v>
      </c>
      <c r="Z253">
        <f ca="1" t="shared" si="66"/>
        <v>0</v>
      </c>
      <c r="AA253">
        <f ca="1">MAX(0,IFERROR(IF(COUNTIF(B253,"*叠*")&gt;0,IF(AC252&lt;3,8-A254+A253,AA252+6.875-A254+A253),AA252-A254+A253),AA252-加速!$L$11))</f>
        <v>0</v>
      </c>
      <c r="AB253" t="e">
        <f ca="1">MAX(0,IF(COUNTIF(IF(AND(配装计算器!$K$30&lt;&gt;"∞",0),INDEX(AU253:CB253,1,$AT$1),INDEX(AU253:CB253,1,$AT$1)),"*叠1*")=1,4*25-加速!$L$11,AB252-A253+A252)-IF(OR(COUNTIF(OFFSET(AT253,0,$AT$1,1,1),"*听雷*")&gt;0,AND(碧归&gt;0,COUNTIF(OFFSET(AT253,0,$AT$1,1,1),"*风来*")&gt;0)),0,1)*1.5)</f>
        <v>#VALUE!</v>
      </c>
      <c r="AC253">
        <f ca="1" t="shared" si="62"/>
        <v>0</v>
      </c>
      <c r="AD253">
        <f ca="1">IF(COUNTIF(IF(AND(配装计算器!$K$30&lt;&gt;"∞",0),INDEX(AU253:CB253,1,$AT$1),INDEX(AU254:CB254,1,$AT$1)),"*叠1*")=1,AB253*0+AE252,0)</f>
        <v>0</v>
      </c>
      <c r="AE253" t="e">
        <f ca="1">IF($AN$11&gt;0,IF(COUNTIF(B254,"*叠1*")&gt;0,50-加速!$L$11,MAX(0,AE252-(A254-A253))),0)</f>
        <v>#VALUE!</v>
      </c>
      <c r="AG253">
        <f ca="1" t="shared" si="63"/>
        <v>7</v>
      </c>
      <c r="AU253" s="176" t="s">
        <v>2776</v>
      </c>
      <c r="AV253">
        <v>2</v>
      </c>
      <c r="AW253" t="s">
        <v>2768</v>
      </c>
      <c r="AX253">
        <v>2</v>
      </c>
      <c r="AY253" t="s">
        <v>2776</v>
      </c>
      <c r="AZ253">
        <v>1</v>
      </c>
      <c r="BA253" t="s">
        <v>2768</v>
      </c>
      <c r="BB253">
        <v>1</v>
      </c>
      <c r="BC253" t="s">
        <v>2776</v>
      </c>
      <c r="BD253">
        <v>2</v>
      </c>
      <c r="BE253" t="s">
        <v>2768</v>
      </c>
      <c r="BF253">
        <v>2</v>
      </c>
      <c r="BG253" t="s">
        <v>2776</v>
      </c>
      <c r="BH253">
        <v>1</v>
      </c>
      <c r="BI253" t="s">
        <v>2794</v>
      </c>
      <c r="BJ253">
        <v>0</v>
      </c>
      <c r="BK253" s="176" t="s">
        <v>3023</v>
      </c>
      <c r="BL253">
        <v>2</v>
      </c>
      <c r="BM253" s="176" t="str">
        <f>IF(秋,"云飞玉皇","夕照雷峰")</f>
        <v>夕照雷峰</v>
      </c>
      <c r="BN253">
        <v>2</v>
      </c>
      <c r="BO253" t="s">
        <v>3056</v>
      </c>
      <c r="BP253">
        <v>1</v>
      </c>
      <c r="BQ253" t="s">
        <v>1886</v>
      </c>
      <c r="BR253">
        <v>2</v>
      </c>
      <c r="BS253" t="s">
        <v>2768</v>
      </c>
      <c r="BT253">
        <v>1</v>
      </c>
      <c r="BU253" s="176" t="str">
        <f>IF(秋,"金蛇锥-金环戴","金蛇锥-吹风醒")</f>
        <v>金蛇锥-吹风醒</v>
      </c>
      <c r="BV253">
        <v>2</v>
      </c>
      <c r="BW253" s="179" t="s">
        <v>2768</v>
      </c>
      <c r="BX253" s="179">
        <v>2</v>
      </c>
      <c r="BY253" t="str">
        <f>IF(0,"云飞玉皇-玉山揽云","夕照雷峰")</f>
        <v>夕照雷峰</v>
      </c>
      <c r="BZ253">
        <v>2</v>
      </c>
      <c r="CA253" s="176" t="s">
        <v>2776</v>
      </c>
      <c r="CB253">
        <v>2</v>
      </c>
    </row>
    <row r="254" spans="1:80">
      <c r="A254" s="178" t="str">
        <f ca="1">IFERROR(IF(AG253&lt;5+金蛇*2,IF(COUNTIF(B253,"*轻*")&gt;0,A253+加速!$L$9,A253+加速!$L$11)+V253,""),"")</f>
        <v/>
      </c>
      <c r="B254" s="167" t="str">
        <f ca="1" t="shared" si="58"/>
        <v/>
      </c>
      <c r="C254" t="str">
        <f ca="1" t="shared" si="67"/>
        <v/>
      </c>
      <c r="D254" t="str">
        <f ca="1">IF(B254&lt;&gt;"",IF(C253&lt;=加速!$L$11*(1-E254),0,1),"")</f>
        <v/>
      </c>
      <c r="E254">
        <f ca="1" t="shared" si="64"/>
        <v>1</v>
      </c>
      <c r="G254" t="str">
        <f ca="1" t="shared" si="65"/>
        <v/>
      </c>
      <c r="H254" t="str">
        <f ca="1">IF(B254&lt;&gt;"",IF(AND(COUNTIF(B253,"*轻*莺鸣柳*")&gt;0,COUNTIF(B254,"*轻*")&lt;1),MAX(0,15+I253-(A254-A253)+COUNTIF(B253,"*平湖*")*0),IF(AND(E254=0,MAX(0,H253-(A254-A253))&lt;=加速!$H$11),0,MAX(0,H253-(A254-A253)))),"")</f>
        <v/>
      </c>
      <c r="I254" t="str">
        <f ca="1" t="shared" si="71"/>
        <v/>
      </c>
      <c r="J254" t="str">
        <f ca="1" t="shared" si="72"/>
        <v/>
      </c>
      <c r="K254" t="str">
        <f ca="1" t="shared" si="59"/>
        <v/>
      </c>
      <c r="L254">
        <f ca="1">IFERROR(IF(AND(COUNTIF(B254,"*-峰插*"),技能数据库!$M$72&gt;0),0,IF(COUNTIF(B254,"*鹤归*")&gt;0,16-加速!$L$11,MAX(0,L253-(A254-A253)))),0)</f>
        <v>0</v>
      </c>
      <c r="M254">
        <f ca="1" t="shared" si="60"/>
        <v>0</v>
      </c>
      <c r="N254">
        <f ca="1">IFERROR(IF(AND(COUNTIF(B254,"*-峰插*"),技能数据库!$M$72&gt;0),0,IF(COUNTIF(B254,"*云飞*")&gt;0,4-COUNTIF(B254,"*玉山揽云*")*4--COUNTIF(B254,"*烟流暮景*")*4-COUNTIF(B254,"*云景*")*加速!$L$11-IF(J254&gt;0,2,0),MAX(0,N253-(A254-A253)-IF(J254&gt;0,2,0)))),0)</f>
        <v>0</v>
      </c>
      <c r="O254">
        <f ca="1">IF(AND(COUNTIF(IF(AND(配装计算器!$K$30&lt;&gt;"∞",0),INDEX(AU253:CB253,1,$AT$1),INDEX(AU255:CB255,1,$AT$1)),"*云飞*")=1,COUNTIF(IF(AND(配装计算器!$K$30&lt;&gt;"∞",0),INDEX(AU253:CB253,1,$AT$1),INDEX(AU255:CB255,1,$AT$1)),"*玉山*")=0),N254,0)</f>
        <v>0</v>
      </c>
      <c r="P254">
        <f ca="1">IFERROR(IF(COUNTIF(B254,"*云栖松*")&gt;0,50-加速!$L$11,MAX(0,P253-(A254-A253))),0)</f>
        <v>0</v>
      </c>
      <c r="Q254">
        <f ca="1">IF(COUNTIF(IF(AND(配装计算器!$K$30&lt;&gt;"∞",0),INDEX(AU253:CB253,1,$AT$1),INDEX(AU255:CB255,1,$AT$1)),"*云栖松*")=1,P254,0)</f>
        <v>0</v>
      </c>
      <c r="R254">
        <f ca="1">IFERROR(IF(COUNTIF(B254,"*莺鸣柳*")&gt;0,45-加速!$L$9,MAX(0,R253-(A254-A253))),0)</f>
        <v>0</v>
      </c>
      <c r="S254">
        <f ca="1">IF(COUNTIF(IF(AND(配装计算器!$K$30&lt;&gt;"∞",0),INDEX(AU253:CB253,1,$AT$1),INDEX(AU255:CB255,1,$AT$1)),"*莺鸣柳*")=1,R254,0)</f>
        <v>0</v>
      </c>
      <c r="T254">
        <f ca="1" t="shared" si="68"/>
        <v>0</v>
      </c>
      <c r="U254">
        <f ca="1">IF(金蛇,IF(COUNTIF(B254,"*金环戴*")+COUNTIF(B254,"*吹风醒*")&gt;0,IF(A254&lt;=3,7.125-2.625-A254-加速!$L$11,7.125+加速!$K$9-(A254+加速!$L$11-T254)),0),0)+IF(金蛇,IF(COUNTIF(B254,"*千切子裂光*")&gt;0,2+加速!$K$9-(A254+加速!$L$11-T254),0),0)</f>
        <v>0</v>
      </c>
      <c r="V254">
        <f ca="1" t="shared" si="69"/>
        <v>0</v>
      </c>
      <c r="W254">
        <f ca="1" t="shared" si="61"/>
        <v>0</v>
      </c>
      <c r="X254">
        <f ca="1">INDEX(加速!$I$13:$I$21,W254+1)</f>
        <v>0</v>
      </c>
      <c r="Y254">
        <f ca="1" t="shared" si="70"/>
        <v>0.5</v>
      </c>
      <c r="Z254">
        <f ca="1" t="shared" si="66"/>
        <v>0</v>
      </c>
      <c r="AA254">
        <f ca="1">MAX(0,IFERROR(IF(COUNTIF(B254,"*叠*")&gt;0,IF(AC253&lt;3,8-A255+A254,AA253+6.875-A255+A254),AA253-A255+A254),AA253-加速!$L$11))</f>
        <v>0</v>
      </c>
      <c r="AB254" t="e">
        <f ca="1">MAX(0,IF(COUNTIF(IF(AND(配装计算器!$K$30&lt;&gt;"∞",0),INDEX(AU254:CB254,1,$AT$1),INDEX(AU254:CB254,1,$AT$1)),"*叠1*")=1,4*25-加速!$L$11,AB253-A254+A253)-IF(OR(COUNTIF(OFFSET(AT254,0,$AT$1,1,1),"*听雷*")&gt;0,AND(碧归&gt;0,COUNTIF(OFFSET(AT254,0,$AT$1,1,1),"*风来*")&gt;0)),0,1)*1.5)</f>
        <v>#VALUE!</v>
      </c>
      <c r="AC254">
        <f ca="1" t="shared" si="62"/>
        <v>0</v>
      </c>
      <c r="AD254">
        <f ca="1">IF(COUNTIF(IF(AND(配装计算器!$K$30&lt;&gt;"∞",0),INDEX(AU254:CB254,1,$AT$1),INDEX(AU255:CB255,1,$AT$1)),"*叠1*")=1,AB254*0+AE253,0)</f>
        <v>0</v>
      </c>
      <c r="AE254" t="e">
        <f ca="1">IF($AN$11&gt;0,IF(COUNTIF(B255,"*叠1*")&gt;0,50-加速!$L$11,MAX(0,AE253-(A255-A254))),0)</f>
        <v>#VALUE!</v>
      </c>
      <c r="AG254">
        <f ca="1" t="shared" si="63"/>
        <v>7</v>
      </c>
      <c r="AU254" s="176" t="s">
        <v>2768</v>
      </c>
      <c r="AV254">
        <v>1</v>
      </c>
      <c r="AW254" t="s">
        <v>2768</v>
      </c>
      <c r="AX254">
        <v>2</v>
      </c>
      <c r="AY254" t="s">
        <v>2768</v>
      </c>
      <c r="AZ254">
        <v>1</v>
      </c>
      <c r="BA254" t="s">
        <v>2768</v>
      </c>
      <c r="BB254">
        <v>0</v>
      </c>
      <c r="BC254" t="s">
        <v>2768</v>
      </c>
      <c r="BD254">
        <v>2</v>
      </c>
      <c r="BE254" t="s">
        <v>2776</v>
      </c>
      <c r="BF254">
        <v>2</v>
      </c>
      <c r="BG254" t="s">
        <v>2768</v>
      </c>
      <c r="BH254">
        <v>1</v>
      </c>
      <c r="BI254" t="s">
        <v>2768</v>
      </c>
      <c r="BJ254">
        <v>2</v>
      </c>
      <c r="BK254" s="176" t="s">
        <v>2768</v>
      </c>
      <c r="BL254">
        <v>2</v>
      </c>
      <c r="BM254" s="176" t="str">
        <f>IF(秋,"夕照雷峰","云飞玉皇")</f>
        <v>云飞玉皇</v>
      </c>
      <c r="BN254">
        <v>2</v>
      </c>
      <c r="BO254" t="s">
        <v>2768</v>
      </c>
      <c r="BP254">
        <v>2</v>
      </c>
      <c r="BQ254" t="s">
        <v>2853</v>
      </c>
      <c r="BR254">
        <v>2</v>
      </c>
      <c r="BS254" t="s">
        <v>3056</v>
      </c>
      <c r="BT254">
        <v>0</v>
      </c>
      <c r="BU254" t="s">
        <v>2773</v>
      </c>
      <c r="BV254">
        <v>2</v>
      </c>
      <c r="BW254" s="179" t="str">
        <f>IF(山重水复,"风来吴山","夕照雷峰")</f>
        <v>夕照雷峰</v>
      </c>
      <c r="BX254" s="179">
        <v>2</v>
      </c>
      <c r="BY254" t="s">
        <v>2776</v>
      </c>
      <c r="BZ254">
        <v>2</v>
      </c>
      <c r="CA254" s="176" t="s">
        <v>2768</v>
      </c>
      <c r="CB254">
        <v>2</v>
      </c>
    </row>
    <row r="255" spans="1:80">
      <c r="A255" s="178" t="str">
        <f ca="1">IFERROR(IF(AG254&lt;5+金蛇*2,IF(COUNTIF(B254,"*轻*")&gt;0,A254+加速!$L$9,A254+加速!$L$11)+V254,""),"")</f>
        <v/>
      </c>
      <c r="B255" s="167" t="str">
        <f ca="1" t="shared" si="58"/>
        <v/>
      </c>
      <c r="C255" t="str">
        <f ca="1" t="shared" si="67"/>
        <v/>
      </c>
      <c r="D255" t="str">
        <f ca="1">IF(B255&lt;&gt;"",IF(C254&lt;=加速!$L$11*(1-E255),0,1),"")</f>
        <v/>
      </c>
      <c r="E255">
        <f ca="1" t="shared" si="64"/>
        <v>1</v>
      </c>
      <c r="G255" t="str">
        <f ca="1" t="shared" si="65"/>
        <v/>
      </c>
      <c r="H255" t="str">
        <f ca="1">IF(B255&lt;&gt;"",IF(AND(COUNTIF(B254,"*轻*莺鸣柳*")&gt;0,COUNTIF(B255,"*轻*")&lt;1),MAX(0,15+I254-(A255-A254)+COUNTIF(B254,"*平湖*")*0),IF(AND(E255=0,MAX(0,H254-(A255-A254))&lt;=加速!$H$11),0,MAX(0,H254-(A255-A254)))),"")</f>
        <v/>
      </c>
      <c r="I255" t="str">
        <f ca="1" t="shared" si="71"/>
        <v/>
      </c>
      <c r="J255" t="str">
        <f ca="1" t="shared" si="72"/>
        <v/>
      </c>
      <c r="K255" t="str">
        <f ca="1" t="shared" si="59"/>
        <v/>
      </c>
      <c r="L255">
        <f ca="1">IFERROR(IF(AND(COUNTIF(B255,"*-峰插*"),技能数据库!$M$72&gt;0),0,IF(COUNTIF(B255,"*鹤归*")&gt;0,16-加速!$L$11,MAX(0,L254-(A255-A254)))),0)</f>
        <v>0</v>
      </c>
      <c r="M255">
        <f ca="1" t="shared" si="60"/>
        <v>0</v>
      </c>
      <c r="N255">
        <f ca="1">IFERROR(IF(AND(COUNTIF(B255,"*-峰插*"),技能数据库!$M$72&gt;0),0,IF(COUNTIF(B255,"*云飞*")&gt;0,4-COUNTIF(B255,"*玉山揽云*")*4--COUNTIF(B255,"*烟流暮景*")*4-COUNTIF(B255,"*云景*")*加速!$L$11-IF(J255&gt;0,2,0),MAX(0,N254-(A255-A254)-IF(J255&gt;0,2,0)))),0)</f>
        <v>0</v>
      </c>
      <c r="O255">
        <f ca="1">IF(AND(COUNTIF(IF(AND(配装计算器!$K$30&lt;&gt;"∞",0),INDEX(AU254:CB254,1,$AT$1),INDEX(AU256:CB256,1,$AT$1)),"*云飞*")=1,COUNTIF(IF(AND(配装计算器!$K$30&lt;&gt;"∞",0),INDEX(AU254:CB254,1,$AT$1),INDEX(AU256:CB256,1,$AT$1)),"*玉山*")=0),N255,0)</f>
        <v>0</v>
      </c>
      <c r="P255">
        <f ca="1">IFERROR(IF(COUNTIF(B255,"*云栖松*")&gt;0,50-加速!$L$11,MAX(0,P254-(A255-A254))),0)</f>
        <v>0</v>
      </c>
      <c r="Q255">
        <f ca="1">IF(COUNTIF(IF(AND(配装计算器!$K$30&lt;&gt;"∞",0),INDEX(AU254:CB254,1,$AT$1),INDEX(AU256:CB256,1,$AT$1)),"*云栖松*")=1,P255,0)</f>
        <v>0</v>
      </c>
      <c r="R255">
        <f ca="1">IFERROR(IF(COUNTIF(B255,"*莺鸣柳*")&gt;0,45-加速!$L$9,MAX(0,R254-(A255-A254))),0)</f>
        <v>0</v>
      </c>
      <c r="S255">
        <f ca="1">IF(COUNTIF(IF(AND(配装计算器!$K$30&lt;&gt;"∞",0),INDEX(AU254:CB254,1,$AT$1),INDEX(AU256:CB256,1,$AT$1)),"*莺鸣柳*")=1,R255,0)</f>
        <v>0</v>
      </c>
      <c r="T255">
        <f ca="1" t="shared" si="68"/>
        <v>0</v>
      </c>
      <c r="U255">
        <f ca="1">IF(金蛇,IF(COUNTIF(B255,"*金环戴*")+COUNTIF(B255,"*吹风醒*")&gt;0,IF(A255&lt;=3,7.125-2.625-A255-加速!$L$11,7.125+加速!$K$9-(A255+加速!$L$11-T255)),0),0)+IF(金蛇,IF(COUNTIF(B255,"*千切子裂光*")&gt;0,2+加速!$K$9-(A255+加速!$L$11-T255),0),0)</f>
        <v>0</v>
      </c>
      <c r="V255">
        <f ca="1" t="shared" si="69"/>
        <v>0</v>
      </c>
      <c r="W255">
        <f ca="1" t="shared" si="61"/>
        <v>0</v>
      </c>
      <c r="X255">
        <f ca="1">INDEX(加速!$I$13:$I$21,W255+1)</f>
        <v>0</v>
      </c>
      <c r="Y255">
        <f ca="1" t="shared" si="70"/>
        <v>0.5</v>
      </c>
      <c r="Z255">
        <f ca="1" t="shared" si="66"/>
        <v>0</v>
      </c>
      <c r="AA255">
        <f ca="1">MAX(0,IFERROR(IF(COUNTIF(B255,"*叠*")&gt;0,IF(AC254&lt;3,8-A256+A255,AA254+6.875-A256+A255),AA254-A256+A255),AA254-加速!$L$11))</f>
        <v>0</v>
      </c>
      <c r="AB255" t="e">
        <f ca="1">MAX(0,IF(COUNTIF(IF(AND(配装计算器!$K$30&lt;&gt;"∞",0),INDEX(AU255:CB255,1,$AT$1),INDEX(AU255:CB255,1,$AT$1)),"*叠1*")=1,4*25-加速!$L$11,AB254-A255+A254)-IF(OR(COUNTIF(OFFSET(AT255,0,$AT$1,1,1),"*听雷*")&gt;0,AND(碧归&gt;0,COUNTIF(OFFSET(AT255,0,$AT$1,1,1),"*风来*")&gt;0)),0,1)*1.5)</f>
        <v>#VALUE!</v>
      </c>
      <c r="AC255">
        <f ca="1" t="shared" si="62"/>
        <v>0</v>
      </c>
      <c r="AD255">
        <f ca="1">IF(COUNTIF(IF(AND(配装计算器!$K$30&lt;&gt;"∞",0),INDEX(AU255:CB255,1,$AT$1),INDEX(AU256:CB256,1,$AT$1)),"*叠1*")=1,AB255*0+AE254,0)</f>
        <v>0</v>
      </c>
      <c r="AE255" t="e">
        <f ca="1">IF($AN$11&gt;0,IF(COUNTIF(B256,"*叠1*")&gt;0,50-加速!$L$11,MAX(0,AE254-(A256-A255))),0)</f>
        <v>#VALUE!</v>
      </c>
      <c r="AG255">
        <f ca="1" t="shared" si="63"/>
        <v>7</v>
      </c>
      <c r="AU255" t="s">
        <v>2776</v>
      </c>
      <c r="AV255">
        <v>1</v>
      </c>
      <c r="AW255" t="s">
        <v>2768</v>
      </c>
      <c r="AX255">
        <v>2</v>
      </c>
      <c r="AY255" t="s">
        <v>2768</v>
      </c>
      <c r="AZ255">
        <v>0</v>
      </c>
      <c r="BA255" t="s">
        <v>3010</v>
      </c>
      <c r="BB255">
        <v>2</v>
      </c>
      <c r="BC255" t="s">
        <v>2776</v>
      </c>
      <c r="BD255">
        <v>2</v>
      </c>
      <c r="BE255" t="s">
        <v>2768</v>
      </c>
      <c r="BF255">
        <v>2</v>
      </c>
      <c r="BG255" t="s">
        <v>3011</v>
      </c>
      <c r="BH255">
        <v>2</v>
      </c>
      <c r="BI255" t="s">
        <v>2776</v>
      </c>
      <c r="BJ255">
        <v>2</v>
      </c>
      <c r="BK255" s="176" t="s">
        <v>2808</v>
      </c>
      <c r="BL255">
        <v>2</v>
      </c>
      <c r="BM255" s="176" t="s">
        <v>2794</v>
      </c>
      <c r="BN255">
        <v>2</v>
      </c>
      <c r="BO255" t="s">
        <v>2768</v>
      </c>
      <c r="BP255">
        <v>2</v>
      </c>
      <c r="BQ255" s="176" t="s">
        <v>2850</v>
      </c>
      <c r="BR255">
        <v>2</v>
      </c>
      <c r="BS255" t="s">
        <v>2768</v>
      </c>
      <c r="BT255">
        <v>2</v>
      </c>
      <c r="BU255" s="176" t="s">
        <v>2794</v>
      </c>
      <c r="BV255">
        <v>1</v>
      </c>
      <c r="BW255" s="182" t="s">
        <v>2794</v>
      </c>
      <c r="BX255" s="179">
        <v>2</v>
      </c>
      <c r="BY255" s="176" t="s">
        <v>2794</v>
      </c>
      <c r="BZ255">
        <v>2</v>
      </c>
      <c r="CA255" s="176" t="s">
        <v>2808</v>
      </c>
      <c r="CB255">
        <v>2</v>
      </c>
    </row>
    <row r="256" spans="1:80">
      <c r="A256" s="178" t="str">
        <f ca="1">IFERROR(IF(AG255&lt;5+金蛇*2,IF(COUNTIF(B255,"*轻*")&gt;0,A255+加速!$L$9,A255+加速!$L$11)+V255,""),"")</f>
        <v/>
      </c>
      <c r="B256" s="167" t="str">
        <f ca="1" t="shared" si="58"/>
        <v/>
      </c>
      <c r="C256" t="str">
        <f ca="1" t="shared" si="67"/>
        <v/>
      </c>
      <c r="D256" t="str">
        <f ca="1">IF(B256&lt;&gt;"",IF(C255&lt;=加速!$L$11*(1-E256),0,1),"")</f>
        <v/>
      </c>
      <c r="E256">
        <f ca="1" t="shared" si="64"/>
        <v>1</v>
      </c>
      <c r="G256" t="str">
        <f ca="1" t="shared" si="65"/>
        <v/>
      </c>
      <c r="H256" t="str">
        <f ca="1">IF(B256&lt;&gt;"",IF(AND(COUNTIF(B255,"*轻*莺鸣柳*")&gt;0,COUNTIF(B256,"*轻*")&lt;1),MAX(0,15+I255-(A256-A255)+COUNTIF(B255,"*平湖*")*0),IF(AND(E256=0,MAX(0,H255-(A256-A255))&lt;=加速!$H$11),0,MAX(0,H255-(A256-A255)))),"")</f>
        <v/>
      </c>
      <c r="I256" t="str">
        <f ca="1" t="shared" si="71"/>
        <v/>
      </c>
      <c r="J256" t="str">
        <f ca="1" t="shared" si="72"/>
        <v/>
      </c>
      <c r="K256" t="str">
        <f ca="1" t="shared" si="59"/>
        <v/>
      </c>
      <c r="L256">
        <f ca="1">IFERROR(IF(AND(COUNTIF(B256,"*-峰插*"),技能数据库!$M$72&gt;0),0,IF(COUNTIF(B256,"*鹤归*")&gt;0,16-加速!$L$11,MAX(0,L255-(A256-A255)))),0)</f>
        <v>0</v>
      </c>
      <c r="M256">
        <f ca="1" t="shared" si="60"/>
        <v>0</v>
      </c>
      <c r="N256">
        <f ca="1">IFERROR(IF(AND(COUNTIF(B256,"*-峰插*"),技能数据库!$M$72&gt;0),0,IF(COUNTIF(B256,"*云飞*")&gt;0,4-COUNTIF(B256,"*玉山揽云*")*4--COUNTIF(B256,"*烟流暮景*")*4-COUNTIF(B256,"*云景*")*加速!$L$11-IF(J256&gt;0,2,0),MAX(0,N255-(A256-A255)-IF(J256&gt;0,2,0)))),0)</f>
        <v>0</v>
      </c>
      <c r="O256">
        <f ca="1">IF(AND(COUNTIF(IF(AND(配装计算器!$K$30&lt;&gt;"∞",0),INDEX(AU255:CB255,1,$AT$1),INDEX(AU257:CB257,1,$AT$1)),"*云飞*")=1,COUNTIF(IF(AND(配装计算器!$K$30&lt;&gt;"∞",0),INDEX(AU255:CB255,1,$AT$1),INDEX(AU257:CB257,1,$AT$1)),"*玉山*")=0),N256,0)</f>
        <v>0</v>
      </c>
      <c r="P256">
        <f ca="1">IFERROR(IF(COUNTIF(B256,"*云栖松*")&gt;0,50-加速!$L$11,MAX(0,P255-(A256-A255))),0)</f>
        <v>0</v>
      </c>
      <c r="Q256">
        <f ca="1">IF(COUNTIF(IF(AND(配装计算器!$K$30&lt;&gt;"∞",0),INDEX(AU255:CB255,1,$AT$1),INDEX(AU257:CB257,1,$AT$1)),"*云栖松*")=1,P256,0)</f>
        <v>0</v>
      </c>
      <c r="R256">
        <f ca="1">IFERROR(IF(COUNTIF(B256,"*莺鸣柳*")&gt;0,45-加速!$L$9,MAX(0,R255-(A256-A255))),0)</f>
        <v>0</v>
      </c>
      <c r="S256">
        <f ca="1">IF(COUNTIF(IF(AND(配装计算器!$K$30&lt;&gt;"∞",0),INDEX(AU255:CB255,1,$AT$1),INDEX(AU257:CB257,1,$AT$1)),"*莺鸣柳*")=1,R256,0)</f>
        <v>0</v>
      </c>
      <c r="T256">
        <f ca="1" t="shared" si="68"/>
        <v>0</v>
      </c>
      <c r="U256">
        <f ca="1">IF(金蛇,IF(COUNTIF(B256,"*金环戴*")+COUNTIF(B256,"*吹风醒*")&gt;0,IF(A256&lt;=3,7.125-2.625-A256-加速!$L$11,7.125+加速!$K$9-(A256+加速!$L$11-T256)),0),0)+IF(金蛇,IF(COUNTIF(B256,"*千切子裂光*")&gt;0,2+加速!$K$9-(A256+加速!$L$11-T256),0),0)</f>
        <v>0</v>
      </c>
      <c r="V256">
        <f ca="1" t="shared" si="69"/>
        <v>0</v>
      </c>
      <c r="W256">
        <f ca="1" t="shared" si="61"/>
        <v>0</v>
      </c>
      <c r="X256">
        <f ca="1">INDEX(加速!$I$13:$I$21,W256+1)</f>
        <v>0</v>
      </c>
      <c r="Y256">
        <f ca="1" t="shared" si="70"/>
        <v>0.5</v>
      </c>
      <c r="Z256">
        <f ca="1" t="shared" si="66"/>
        <v>0</v>
      </c>
      <c r="AA256">
        <f ca="1">MAX(0,IFERROR(IF(COUNTIF(B256,"*叠*")&gt;0,IF(AC255&lt;3,8-A257+A256,AA255+6.875-A257+A256),AA255-A257+A256),AA255-加速!$L$11))</f>
        <v>0</v>
      </c>
      <c r="AB256" t="e">
        <f ca="1">MAX(0,IF(COUNTIF(IF(AND(配装计算器!$K$30&lt;&gt;"∞",0),INDEX(AU256:CB256,1,$AT$1),INDEX(AU256:CB256,1,$AT$1)),"*叠1*")=1,4*25-加速!$L$11,AB255-A256+A255)-IF(OR(COUNTIF(OFFSET(AT256,0,$AT$1,1,1),"*听雷*")&gt;0,AND(碧归&gt;0,COUNTIF(OFFSET(AT256,0,$AT$1,1,1),"*风来*")&gt;0)),0,1)*1.5)</f>
        <v>#VALUE!</v>
      </c>
      <c r="AC256">
        <f ca="1" t="shared" si="62"/>
        <v>0</v>
      </c>
      <c r="AD256">
        <f ca="1">IF(COUNTIF(IF(AND(配装计算器!$K$30&lt;&gt;"∞",0),INDEX(AU256:CB256,1,$AT$1),INDEX(AU257:CB257,1,$AT$1)),"*叠1*")=1,AB256*0+AE255,0)</f>
        <v>0</v>
      </c>
      <c r="AE256" t="e">
        <f ca="1">IF($AN$11&gt;0,IF(COUNTIF(B257,"*叠1*")&gt;0,50-加速!$L$11,MAX(0,AE255-(A257-A256))),0)</f>
        <v>#VALUE!</v>
      </c>
      <c r="AG256">
        <f ca="1" t="shared" si="63"/>
        <v>7</v>
      </c>
      <c r="AU256" t="s">
        <v>2768</v>
      </c>
      <c r="AV256">
        <v>1</v>
      </c>
      <c r="AW256" t="s">
        <v>2776</v>
      </c>
      <c r="AX256">
        <v>2</v>
      </c>
      <c r="AY256" t="s">
        <v>3010</v>
      </c>
      <c r="AZ256">
        <v>2</v>
      </c>
      <c r="BA256" t="s">
        <v>3013</v>
      </c>
      <c r="BB256">
        <v>2</v>
      </c>
      <c r="BC256" t="s">
        <v>2768</v>
      </c>
      <c r="BD256">
        <v>2</v>
      </c>
      <c r="BE256" t="s">
        <v>2776</v>
      </c>
      <c r="BF256">
        <v>2</v>
      </c>
      <c r="BG256" t="s">
        <v>2768</v>
      </c>
      <c r="BH256">
        <v>2</v>
      </c>
      <c r="BI256" t="s">
        <v>2768</v>
      </c>
      <c r="BJ256">
        <v>2</v>
      </c>
      <c r="BK256" t="s">
        <v>2789</v>
      </c>
      <c r="BL256">
        <v>2</v>
      </c>
      <c r="BM256" s="176" t="s">
        <v>2768</v>
      </c>
      <c r="BN256">
        <v>2</v>
      </c>
      <c r="BO256" t="s">
        <v>2768</v>
      </c>
      <c r="BP256">
        <v>2</v>
      </c>
      <c r="BQ256" s="176" t="str">
        <f>IF(秋,"金环戴","吹风醒")</f>
        <v>吹风醒</v>
      </c>
      <c r="BR256">
        <v>1</v>
      </c>
      <c r="BS256" t="s">
        <v>2768</v>
      </c>
      <c r="BT256">
        <v>2</v>
      </c>
      <c r="BU256" t="s">
        <v>3028</v>
      </c>
      <c r="BV256">
        <v>1</v>
      </c>
      <c r="BW256" s="182" t="s">
        <v>2776</v>
      </c>
      <c r="BX256" s="179">
        <v>2</v>
      </c>
      <c r="BY256" s="176" t="s">
        <v>2768</v>
      </c>
      <c r="BZ256">
        <v>2</v>
      </c>
      <c r="CA256" t="s">
        <v>2768</v>
      </c>
      <c r="CB256">
        <v>2</v>
      </c>
    </row>
    <row r="257" spans="1:80">
      <c r="A257" s="178" t="str">
        <f ca="1">IFERROR(IF(AG256&lt;5+金蛇*2,IF(COUNTIF(B256,"*轻*")&gt;0,A256+加速!$L$9,A256+加速!$L$11)+V256,""),"")</f>
        <v/>
      </c>
      <c r="B257" s="167" t="str">
        <f ca="1" t="shared" si="58"/>
        <v/>
      </c>
      <c r="C257" t="str">
        <f ca="1" t="shared" si="67"/>
        <v/>
      </c>
      <c r="D257" t="str">
        <f ca="1">IF(B257&lt;&gt;"",IF(C256&lt;=加速!$L$11*(1-E257),0,1),"")</f>
        <v/>
      </c>
      <c r="E257">
        <f ca="1" t="shared" si="64"/>
        <v>1</v>
      </c>
      <c r="G257" t="str">
        <f ca="1" t="shared" si="65"/>
        <v/>
      </c>
      <c r="H257" t="str">
        <f ca="1">IF(B257&lt;&gt;"",IF(AND(COUNTIF(B256,"*轻*莺鸣柳*")&gt;0,COUNTIF(B257,"*轻*")&lt;1),MAX(0,15+I256-(A257-A256)+COUNTIF(B256,"*平湖*")*0),IF(AND(E257=0,MAX(0,H256-(A257-A256))&lt;=加速!$H$11),0,MAX(0,H256-(A257-A256)))),"")</f>
        <v/>
      </c>
      <c r="I257" t="str">
        <f ca="1" t="shared" si="71"/>
        <v/>
      </c>
      <c r="J257" t="str">
        <f ca="1" t="shared" si="72"/>
        <v/>
      </c>
      <c r="K257" t="str">
        <f ca="1" t="shared" si="59"/>
        <v/>
      </c>
      <c r="L257">
        <f ca="1">IFERROR(IF(AND(COUNTIF(B257,"*-峰插*"),技能数据库!$M$72&gt;0),0,IF(COUNTIF(B257,"*鹤归*")&gt;0,16-加速!$L$11,MAX(0,L256-(A257-A256)))),0)</f>
        <v>0</v>
      </c>
      <c r="M257">
        <f ca="1" t="shared" si="60"/>
        <v>0</v>
      </c>
      <c r="N257">
        <f ca="1">IFERROR(IF(AND(COUNTIF(B257,"*-峰插*"),技能数据库!$M$72&gt;0),0,IF(COUNTIF(B257,"*云飞*")&gt;0,4-COUNTIF(B257,"*玉山揽云*")*4--COUNTIF(B257,"*烟流暮景*")*4-COUNTIF(B257,"*云景*")*加速!$L$11-IF(J257&gt;0,2,0),MAX(0,N256-(A257-A256)-IF(J257&gt;0,2,0)))),0)</f>
        <v>0</v>
      </c>
      <c r="O257">
        <f ca="1">IF(AND(COUNTIF(IF(AND(配装计算器!$K$30&lt;&gt;"∞",0),INDEX(AU256:CB256,1,$AT$1),INDEX(AU258:CB258,1,$AT$1)),"*云飞*")=1,COUNTIF(IF(AND(配装计算器!$K$30&lt;&gt;"∞",0),INDEX(AU256:CB256,1,$AT$1),INDEX(AU258:CB258,1,$AT$1)),"*玉山*")=0),N257,0)</f>
        <v>0</v>
      </c>
      <c r="P257">
        <f ca="1">IFERROR(IF(COUNTIF(B257,"*云栖松*")&gt;0,50-加速!$L$11,MAX(0,P256-(A257-A256))),0)</f>
        <v>0</v>
      </c>
      <c r="Q257">
        <f ca="1">IF(COUNTIF(IF(AND(配装计算器!$K$30&lt;&gt;"∞",0),INDEX(AU256:CB256,1,$AT$1),INDEX(AU258:CB258,1,$AT$1)),"*云栖松*")=1,P257,0)</f>
        <v>0</v>
      </c>
      <c r="R257">
        <f ca="1">IFERROR(IF(COUNTIF(B257,"*莺鸣柳*")&gt;0,45-加速!$L$9,MAX(0,R256-(A257-A256))),0)</f>
        <v>0</v>
      </c>
      <c r="S257">
        <f ca="1">IF(COUNTIF(IF(AND(配装计算器!$K$30&lt;&gt;"∞",0),INDEX(AU256:CB256,1,$AT$1),INDEX(AU258:CB258,1,$AT$1)),"*莺鸣柳*")=1,R257,0)</f>
        <v>0</v>
      </c>
      <c r="T257">
        <f ca="1" t="shared" si="68"/>
        <v>0</v>
      </c>
      <c r="U257">
        <f ca="1">IF(金蛇,IF(COUNTIF(B257,"*金环戴*")+COUNTIF(B257,"*吹风醒*")&gt;0,IF(A257&lt;=3,7.125-2.625-A257-加速!$L$11,7.125+加速!$K$9-(A257+加速!$L$11-T257)),0),0)+IF(金蛇,IF(COUNTIF(B257,"*千切子裂光*")&gt;0,2+加速!$K$9-(A257+加速!$L$11-T257),0),0)</f>
        <v>0</v>
      </c>
      <c r="V257">
        <f ca="1" t="shared" si="69"/>
        <v>0</v>
      </c>
      <c r="W257">
        <f ca="1" t="shared" si="61"/>
        <v>0</v>
      </c>
      <c r="X257">
        <f ca="1">INDEX(加速!$I$13:$I$21,W257+1)</f>
        <v>0</v>
      </c>
      <c r="Y257">
        <f ca="1" t="shared" si="70"/>
        <v>0.5</v>
      </c>
      <c r="Z257">
        <f ca="1" t="shared" si="66"/>
        <v>0</v>
      </c>
      <c r="AA257">
        <f ca="1">MAX(0,IFERROR(IF(COUNTIF(B257,"*叠*")&gt;0,IF(AC256&lt;3,8-A258+A257,AA256+6.875-A258+A257),AA256-A258+A257),AA256-加速!$L$11))</f>
        <v>0</v>
      </c>
      <c r="AB257" t="e">
        <f ca="1">MAX(0,IF(COUNTIF(IF(AND(配装计算器!$K$30&lt;&gt;"∞",0),INDEX(AU257:CB257,1,$AT$1),INDEX(AU257:CB257,1,$AT$1)),"*叠1*")=1,4*25-加速!$L$11,AB256-A257+A256)-IF(OR(COUNTIF(OFFSET(AT257,0,$AT$1,1,1),"*听雷*")&gt;0,AND(碧归&gt;0,COUNTIF(OFFSET(AT257,0,$AT$1,1,1),"*风来*")&gt;0)),0,1)*1.5)</f>
        <v>#VALUE!</v>
      </c>
      <c r="AC257">
        <f ca="1" t="shared" si="62"/>
        <v>0</v>
      </c>
      <c r="AD257">
        <f ca="1">IF(COUNTIF(IF(AND(配装计算器!$K$30&lt;&gt;"∞",0),INDEX(AU257:CB257,1,$AT$1),INDEX(AU258:CB258,1,$AT$1)),"*叠1*")=1,AB257*0+AE256,0)</f>
        <v>0</v>
      </c>
      <c r="AE257" t="e">
        <f ca="1">IF($AN$11&gt;0,IF(COUNTIF(B258,"*叠1*")&gt;0,50-加速!$L$11,MAX(0,AE256-(A258-A257))),0)</f>
        <v>#VALUE!</v>
      </c>
      <c r="AG257">
        <f ca="1" t="shared" si="63"/>
        <v>7</v>
      </c>
      <c r="AU257" t="s">
        <v>2768</v>
      </c>
      <c r="AV257">
        <v>1</v>
      </c>
      <c r="AW257" t="s">
        <v>2768</v>
      </c>
      <c r="AX257">
        <v>2</v>
      </c>
      <c r="AY257" t="s">
        <v>3013</v>
      </c>
      <c r="AZ257">
        <v>2</v>
      </c>
      <c r="BA257" t="s">
        <v>3017</v>
      </c>
      <c r="BB257">
        <v>2</v>
      </c>
      <c r="BC257" t="s">
        <v>2776</v>
      </c>
      <c r="BD257">
        <v>2</v>
      </c>
      <c r="BE257" t="s">
        <v>2768</v>
      </c>
      <c r="BF257">
        <v>1</v>
      </c>
      <c r="BG257" t="s">
        <v>3018</v>
      </c>
      <c r="BH257">
        <v>2</v>
      </c>
      <c r="BI257" t="s">
        <v>2776</v>
      </c>
      <c r="BJ257">
        <v>1</v>
      </c>
      <c r="BK257" t="s">
        <v>2776</v>
      </c>
      <c r="BL257">
        <v>2</v>
      </c>
      <c r="BM257" s="176" t="s">
        <v>2776</v>
      </c>
      <c r="BN257">
        <v>2</v>
      </c>
      <c r="BO257" t="s">
        <v>2776</v>
      </c>
      <c r="BP257">
        <v>2</v>
      </c>
      <c r="BQ257" s="176" t="str">
        <f>IF(秋,"梦泉虎跑-轻","夕照雷峰")</f>
        <v>夕照雷峰</v>
      </c>
      <c r="BR257">
        <v>1</v>
      </c>
      <c r="BS257" t="s">
        <v>2776</v>
      </c>
      <c r="BT257">
        <v>2</v>
      </c>
      <c r="BU257" t="s">
        <v>2768</v>
      </c>
      <c r="BV257">
        <v>1</v>
      </c>
      <c r="BW257" s="182" t="s">
        <v>2768</v>
      </c>
      <c r="BX257" s="179">
        <v>1</v>
      </c>
      <c r="BY257" s="176" t="s">
        <v>2776</v>
      </c>
      <c r="BZ257">
        <v>2</v>
      </c>
      <c r="CA257" t="s">
        <v>2776</v>
      </c>
      <c r="CB257">
        <v>2</v>
      </c>
    </row>
    <row r="258" spans="1:80">
      <c r="A258" s="178" t="str">
        <f ca="1">IFERROR(IF(AG257&lt;5+金蛇*2,IF(COUNTIF(B257,"*轻*")&gt;0,A257+加速!$L$9,A257+加速!$L$11)+V257,""),"")</f>
        <v/>
      </c>
      <c r="B258" s="167" t="str">
        <f ca="1" t="shared" ref="B258:B321" si="77">IF(A258&lt;&gt;"",INDEX(AU258:CB258,1,$AT$1),"")</f>
        <v/>
      </c>
      <c r="C258" t="str">
        <f ca="1" t="shared" si="67"/>
        <v/>
      </c>
      <c r="D258" t="str">
        <f ca="1">IF(B258&lt;&gt;"",IF(C257&lt;=加速!$L$11*(1-E258),0,1),"")</f>
        <v/>
      </c>
      <c r="E258">
        <f ca="1" t="shared" si="64"/>
        <v>1</v>
      </c>
      <c r="G258" t="str">
        <f ca="1" t="shared" si="65"/>
        <v/>
      </c>
      <c r="H258" t="str">
        <f ca="1">IF(B258&lt;&gt;"",IF(AND(COUNTIF(B257,"*轻*莺鸣柳*")&gt;0,COUNTIF(B258,"*轻*")&lt;1),MAX(0,15+I257-(A258-A257)+COUNTIF(B257,"*平湖*")*0),IF(AND(E258=0,MAX(0,H257-(A258-A257))&lt;=加速!$H$11),0,MAX(0,H257-(A258-A257)))),"")</f>
        <v/>
      </c>
      <c r="I258" t="str">
        <f ca="1" t="shared" si="71"/>
        <v/>
      </c>
      <c r="J258" t="str">
        <f ca="1" t="shared" si="72"/>
        <v/>
      </c>
      <c r="K258" t="str">
        <f ca="1" t="shared" ref="K258:K321" si="78">IF(A258&lt;&gt;"",INDEX(AU258:CB258,1,$AT$2),"")</f>
        <v/>
      </c>
      <c r="L258">
        <f ca="1">IFERROR(IF(AND(COUNTIF(B258,"*-峰插*"),技能数据库!$M$72&gt;0),0,IF(COUNTIF(B258,"*鹤归*")&gt;0,16-加速!$L$11,MAX(0,L257-(A258-A257)))),0)</f>
        <v>0</v>
      </c>
      <c r="M258">
        <f ca="1" t="shared" si="60"/>
        <v>0</v>
      </c>
      <c r="N258">
        <f ca="1">IFERROR(IF(AND(COUNTIF(B258,"*-峰插*"),技能数据库!$M$72&gt;0),0,IF(COUNTIF(B258,"*云飞*")&gt;0,4-COUNTIF(B258,"*玉山揽云*")*4--COUNTIF(B258,"*烟流暮景*")*4-COUNTIF(B258,"*云景*")*加速!$L$11-IF(J258&gt;0,2,0),MAX(0,N257-(A258-A257)-IF(J258&gt;0,2,0)))),0)</f>
        <v>0</v>
      </c>
      <c r="O258">
        <f ca="1">IF(AND(COUNTIF(IF(AND(配装计算器!$K$30&lt;&gt;"∞",0),INDEX(AU257:CB257,1,$AT$1),INDEX(AU259:CB259,1,$AT$1)),"*云飞*")=1,COUNTIF(IF(AND(配装计算器!$K$30&lt;&gt;"∞",0),INDEX(AU257:CB257,1,$AT$1),INDEX(AU259:CB259,1,$AT$1)),"*玉山*")=0),N258,0)</f>
        <v>0</v>
      </c>
      <c r="P258">
        <f ca="1">IFERROR(IF(COUNTIF(B258,"*云栖松*")&gt;0,50-加速!$L$11,MAX(0,P257-(A258-A257))),0)</f>
        <v>0</v>
      </c>
      <c r="Q258">
        <f ca="1">IF(COUNTIF(IF(AND(配装计算器!$K$30&lt;&gt;"∞",0),INDEX(AU257:CB257,1,$AT$1),INDEX(AU259:CB259,1,$AT$1)),"*云栖松*")=1,P258,0)</f>
        <v>0</v>
      </c>
      <c r="R258">
        <f ca="1">IFERROR(IF(COUNTIF(B258,"*莺鸣柳*")&gt;0,45-加速!$L$9,MAX(0,R257-(A258-A257))),0)</f>
        <v>0</v>
      </c>
      <c r="S258">
        <f ca="1">IF(COUNTIF(IF(AND(配装计算器!$K$30&lt;&gt;"∞",0),INDEX(AU257:CB257,1,$AT$1),INDEX(AU259:CB259,1,$AT$1)),"*莺鸣柳*")=1,R258,0)</f>
        <v>0</v>
      </c>
      <c r="T258">
        <f ca="1" t="shared" si="68"/>
        <v>0</v>
      </c>
      <c r="U258">
        <f ca="1">IF(金蛇,IF(COUNTIF(B258,"*金环戴*")+COUNTIF(B258,"*吹风醒*")&gt;0,IF(A258&lt;=3,7.125-2.625-A258-加速!$L$11,7.125+加速!$K$9-(A258+加速!$L$11-T258)),0),0)+IF(金蛇,IF(COUNTIF(B258,"*千切子裂光*")&gt;0,2+加速!$K$9-(A258+加速!$L$11-T258),0),0)</f>
        <v>0</v>
      </c>
      <c r="V258">
        <f ca="1" t="shared" si="69"/>
        <v>0</v>
      </c>
      <c r="W258">
        <f ca="1" t="shared" si="61"/>
        <v>0</v>
      </c>
      <c r="X258">
        <f ca="1">INDEX(加速!$I$13:$I$21,W258+1)</f>
        <v>0</v>
      </c>
      <c r="Y258">
        <f ca="1" t="shared" si="70"/>
        <v>0.5</v>
      </c>
      <c r="Z258">
        <f ca="1" t="shared" si="66"/>
        <v>0</v>
      </c>
      <c r="AA258">
        <f ca="1">MAX(0,IFERROR(IF(COUNTIF(B258,"*叠*")&gt;0,IF(AC257&lt;3,8-A259+A258,AA257+6.875-A259+A258),AA257-A259+A258),AA257-加速!$L$11))</f>
        <v>0</v>
      </c>
      <c r="AB258" t="e">
        <f ca="1">MAX(0,IF(COUNTIF(IF(AND(配装计算器!$K$30&lt;&gt;"∞",0),INDEX(AU258:CB258,1,$AT$1),INDEX(AU258:CB258,1,$AT$1)),"*叠1*")=1,4*25-加速!$L$11,AB257-A258+A257)-IF(OR(COUNTIF(OFFSET(AT258,0,$AT$1,1,1),"*听雷*")&gt;0,AND(碧归&gt;0,COUNTIF(OFFSET(AT258,0,$AT$1,1,1),"*风来*")&gt;0)),0,1)*1.5)</f>
        <v>#VALUE!</v>
      </c>
      <c r="AC258">
        <f ca="1" t="shared" si="62"/>
        <v>0</v>
      </c>
      <c r="AD258">
        <f ca="1">IF(COUNTIF(IF(AND(配装计算器!$K$30&lt;&gt;"∞",0),INDEX(AU258:CB258,1,$AT$1),INDEX(AU259:CB259,1,$AT$1)),"*叠1*")=1,AB258*0+AE257,0)</f>
        <v>0</v>
      </c>
      <c r="AE258" t="e">
        <f ca="1">IF($AN$11&gt;0,IF(COUNTIF(B259,"*叠1*")&gt;0,50-加速!$L$11,MAX(0,AE257-(A259-A258))),0)</f>
        <v>#VALUE!</v>
      </c>
      <c r="AG258">
        <f ca="1" t="shared" si="63"/>
        <v>7</v>
      </c>
      <c r="AU258" t="s">
        <v>3063</v>
      </c>
      <c r="AV258">
        <v>2</v>
      </c>
      <c r="AW258" s="176" t="s">
        <v>2794</v>
      </c>
      <c r="AX258">
        <v>2</v>
      </c>
      <c r="AY258" t="s">
        <v>3017</v>
      </c>
      <c r="AZ258">
        <v>2</v>
      </c>
      <c r="BA258" t="s">
        <v>2808</v>
      </c>
      <c r="BB258">
        <v>2</v>
      </c>
      <c r="BC258" t="s">
        <v>2768</v>
      </c>
      <c r="BD258">
        <v>1</v>
      </c>
      <c r="BE258" t="s">
        <v>2768</v>
      </c>
      <c r="BF258">
        <v>1</v>
      </c>
      <c r="BG258" t="s">
        <v>2768</v>
      </c>
      <c r="BH258">
        <v>2</v>
      </c>
      <c r="BI258" t="s">
        <v>2768</v>
      </c>
      <c r="BJ258">
        <v>1</v>
      </c>
      <c r="BK258" s="180" t="s">
        <v>3036</v>
      </c>
      <c r="BL258">
        <v>2</v>
      </c>
      <c r="BM258" s="176" t="s">
        <v>2768</v>
      </c>
      <c r="BN258">
        <v>2</v>
      </c>
      <c r="BO258" t="s">
        <v>2768</v>
      </c>
      <c r="BP258">
        <v>2</v>
      </c>
      <c r="BQ258" t="s">
        <v>3028</v>
      </c>
      <c r="BR258">
        <v>2</v>
      </c>
      <c r="BS258" t="s">
        <v>2768</v>
      </c>
      <c r="BT258">
        <v>1</v>
      </c>
      <c r="BU258" t="s">
        <v>3011</v>
      </c>
      <c r="BV258">
        <v>2</v>
      </c>
      <c r="BW258" s="182" t="s">
        <v>2776</v>
      </c>
      <c r="BX258" s="179">
        <v>1</v>
      </c>
      <c r="BY258" s="176" t="s">
        <v>2768</v>
      </c>
      <c r="BZ258">
        <v>2</v>
      </c>
      <c r="CA258" t="s">
        <v>2768</v>
      </c>
      <c r="CB258">
        <v>2</v>
      </c>
    </row>
    <row r="259" spans="1:80">
      <c r="A259" s="178" t="str">
        <f ca="1">IFERROR(IF(AG258&lt;5+金蛇*2,IF(COUNTIF(B258,"*轻*")&gt;0,A258+加速!$L$9,A258+加速!$L$11)+V258,""),"")</f>
        <v/>
      </c>
      <c r="B259" s="167" t="str">
        <f ca="1" t="shared" si="77"/>
        <v/>
      </c>
      <c r="C259" t="str">
        <f ca="1" t="shared" si="67"/>
        <v/>
      </c>
      <c r="D259" t="str">
        <f ca="1">IF(B259&lt;&gt;"",IF(C258&lt;=加速!$L$11*(1-E259),0,1),"")</f>
        <v/>
      </c>
      <c r="E259">
        <f ca="1" t="shared" si="64"/>
        <v>1</v>
      </c>
      <c r="G259" t="str">
        <f ca="1" t="shared" si="65"/>
        <v/>
      </c>
      <c r="H259" t="str">
        <f ca="1">IF(B259&lt;&gt;"",IF(AND(COUNTIF(B258,"*轻*莺鸣柳*")&gt;0,COUNTIF(B259,"*轻*")&lt;1),MAX(0,15+I258-(A259-A258)+COUNTIF(B258,"*平湖*")*0),IF(AND(E259=0,MAX(0,H258-(A259-A258))&lt;=加速!$H$11),0,MAX(0,H258-(A259-A258)))),"")</f>
        <v/>
      </c>
      <c r="I259" t="str">
        <f ca="1" t="shared" si="71"/>
        <v/>
      </c>
      <c r="J259" t="str">
        <f ca="1" t="shared" si="72"/>
        <v/>
      </c>
      <c r="K259" t="str">
        <f ca="1" t="shared" si="78"/>
        <v/>
      </c>
      <c r="L259">
        <f ca="1">IFERROR(IF(AND(COUNTIF(B259,"*-峰插*"),技能数据库!$M$72&gt;0),0,IF(COUNTIF(B259,"*鹤归*")&gt;0,16-加速!$L$11,MAX(0,L258-(A259-A258)))),0)</f>
        <v>0</v>
      </c>
      <c r="M259">
        <f ca="1" t="shared" ref="M259:M322" si="79">IF(COUNTIF(INDEX(AU260:CB260,1,$AT$1),"*鹤归*")=1,L259,0)</f>
        <v>0</v>
      </c>
      <c r="N259">
        <f ca="1">IFERROR(IF(AND(COUNTIF(B259,"*-峰插*"),技能数据库!$M$72&gt;0),0,IF(COUNTIF(B259,"*云飞*")&gt;0,4-COUNTIF(B259,"*玉山揽云*")*4--COUNTIF(B259,"*烟流暮景*")*4-COUNTIF(B259,"*云景*")*加速!$L$11-IF(J259&gt;0,2,0),MAX(0,N258-(A259-A258)-IF(J259&gt;0,2,0)))),0)</f>
        <v>0</v>
      </c>
      <c r="O259">
        <f ca="1">IF(AND(COUNTIF(IF(AND(配装计算器!$K$30&lt;&gt;"∞",0),INDEX(AU258:CB258,1,$AT$1),INDEX(AU260:CB260,1,$AT$1)),"*云飞*")=1,COUNTIF(IF(AND(配装计算器!$K$30&lt;&gt;"∞",0),INDEX(AU258:CB258,1,$AT$1),INDEX(AU260:CB260,1,$AT$1)),"*玉山*")=0),N259,0)</f>
        <v>0</v>
      </c>
      <c r="P259">
        <f ca="1">IFERROR(IF(COUNTIF(B259,"*云栖松*")&gt;0,50-加速!$L$11,MAX(0,P258-(A259-A258))),0)</f>
        <v>0</v>
      </c>
      <c r="Q259">
        <f ca="1">IF(COUNTIF(IF(AND(配装计算器!$K$30&lt;&gt;"∞",0),INDEX(AU258:CB258,1,$AT$1),INDEX(AU260:CB260,1,$AT$1)),"*云栖松*")=1,P259,0)</f>
        <v>0</v>
      </c>
      <c r="R259">
        <f ca="1">IFERROR(IF(COUNTIF(B259,"*莺鸣柳*")&gt;0,45-加速!$L$9,MAX(0,R258-(A259-A258))),0)</f>
        <v>0</v>
      </c>
      <c r="S259">
        <f ca="1">IF(COUNTIF(IF(AND(配装计算器!$K$30&lt;&gt;"∞",0),INDEX(AU258:CB258,1,$AT$1),INDEX(AU260:CB260,1,$AT$1)),"*莺鸣柳*")=1,R259,0)</f>
        <v>0</v>
      </c>
      <c r="T259">
        <f ca="1" t="shared" si="68"/>
        <v>0</v>
      </c>
      <c r="U259">
        <f ca="1">IF(金蛇,IF(COUNTIF(B259,"*金环戴*")+COUNTIF(B259,"*吹风醒*")&gt;0,IF(A259&lt;=3,7.125-2.625-A259-加速!$L$11,7.125+加速!$K$9-(A259+加速!$L$11-T259)),0),0)+IF(金蛇,IF(COUNTIF(B259,"*千切子裂光*")&gt;0,2+加速!$K$9-(A259+加速!$L$11-T259),0),0)</f>
        <v>0</v>
      </c>
      <c r="V259">
        <f ca="1" t="shared" si="69"/>
        <v>0</v>
      </c>
      <c r="W259">
        <f ca="1" t="shared" ref="W259:W322" si="80">IF(COUNTIF(B259,"*风来吴山*")&gt;0,1,IF(W258+1&gt;风车GCD,0,IF(W258&gt;0,W258+1,0)))</f>
        <v>0</v>
      </c>
      <c r="X259">
        <f ca="1">INDEX(加速!$I$13:$I$21,W259+1)</f>
        <v>0</v>
      </c>
      <c r="Y259">
        <f ca="1" t="shared" si="70"/>
        <v>0.5</v>
      </c>
      <c r="Z259">
        <f ca="1" t="shared" si="66"/>
        <v>0</v>
      </c>
      <c r="AA259">
        <f ca="1">MAX(0,IFERROR(IF(COUNTIF(B259,"*叠*")&gt;0,IF(AC258&lt;3,8-A260+A259,AA258+6.875-A260+A259),AA258-A260+A259),AA258-加速!$L$11))</f>
        <v>0</v>
      </c>
      <c r="AB259" t="e">
        <f ca="1">MAX(0,IF(COUNTIF(IF(AND(配装计算器!$K$30&lt;&gt;"∞",0),INDEX(AU259:CB259,1,$AT$1),INDEX(AU259:CB259,1,$AT$1)),"*叠1*")=1,4*25-加速!$L$11,AB258-A259+A258)-IF(OR(COUNTIF(OFFSET(AT259,0,$AT$1,1,1),"*听雷*")&gt;0,AND(碧归&gt;0,COUNTIF(OFFSET(AT259,0,$AT$1,1,1),"*风来*")&gt;0)),0,1)*1.5)</f>
        <v>#VALUE!</v>
      </c>
      <c r="AC259">
        <f ca="1" t="shared" ref="AC259:AC322" si="81">IF(AND(AA259=0,E259=0),0,IF(AND(COUNTIF(B259,"*叠*")&gt;0,OR(AA258=0,AA258&gt;=5)),AC258+1,AC258))</f>
        <v>0</v>
      </c>
      <c r="AD259">
        <f ca="1">IF(COUNTIF(IF(AND(配装计算器!$K$30&lt;&gt;"∞",0),INDEX(AU259:CB259,1,$AT$1),INDEX(AU260:CB260,1,$AT$1)),"*叠1*")=1,AB259*0+AE258,0)</f>
        <v>0</v>
      </c>
      <c r="AE259" t="e">
        <f ca="1">IF($AN$11&gt;0,IF(COUNTIF(B260,"*叠1*")&gt;0,50-加速!$L$11,MAX(0,AE258-(A260-A259))),0)</f>
        <v>#VALUE!</v>
      </c>
      <c r="AG259">
        <f ca="1" t="shared" ref="AG259:AG322" si="82">COUNTIF(INDEX(AU260:CB260,1,$AT$1),"*莺鸣柳*")+COUNTIF(INDEX(AU260:CB260,1,$AT$1),"*叠1*")+AG258</f>
        <v>7</v>
      </c>
      <c r="AU259" t="s">
        <v>2776</v>
      </c>
      <c r="AV259">
        <v>1</v>
      </c>
      <c r="AW259" s="176" t="s">
        <v>2768</v>
      </c>
      <c r="AX259">
        <v>2</v>
      </c>
      <c r="AY259" t="s">
        <v>2808</v>
      </c>
      <c r="AZ259">
        <v>2</v>
      </c>
      <c r="BA259" t="s">
        <v>3022</v>
      </c>
      <c r="BB259">
        <v>2</v>
      </c>
      <c r="BC259" t="s">
        <v>2768</v>
      </c>
      <c r="BD259">
        <v>1</v>
      </c>
      <c r="BE259" t="s">
        <v>3042</v>
      </c>
      <c r="BF259">
        <v>0</v>
      </c>
      <c r="BG259" s="182" t="s">
        <v>3023</v>
      </c>
      <c r="BH259">
        <v>2</v>
      </c>
      <c r="BI259" t="s">
        <v>2776</v>
      </c>
      <c r="BJ259">
        <v>0</v>
      </c>
      <c r="BK259" t="s">
        <v>3026</v>
      </c>
      <c r="BL259">
        <v>2</v>
      </c>
      <c r="BM259" s="176" t="s">
        <v>2776</v>
      </c>
      <c r="BN259">
        <v>2</v>
      </c>
      <c r="BO259" t="s">
        <v>2768</v>
      </c>
      <c r="BP259">
        <v>2</v>
      </c>
      <c r="BQ259" t="s">
        <v>2768</v>
      </c>
      <c r="BR259">
        <v>2</v>
      </c>
      <c r="BS259" t="str">
        <f>IF(秋,"云栖松","泉凝月")</f>
        <v>泉凝月</v>
      </c>
      <c r="BT259">
        <v>1</v>
      </c>
      <c r="BU259" t="s">
        <v>2768</v>
      </c>
      <c r="BV259">
        <v>2</v>
      </c>
      <c r="BW259" s="182" t="s">
        <v>2768</v>
      </c>
      <c r="BX259" s="179">
        <v>1</v>
      </c>
      <c r="BY259" s="176" t="s">
        <v>2776</v>
      </c>
      <c r="BZ259">
        <v>2</v>
      </c>
      <c r="CA259" t="s">
        <v>2768</v>
      </c>
      <c r="CB259">
        <v>2</v>
      </c>
    </row>
    <row r="260" spans="1:80">
      <c r="A260" s="178" t="str">
        <f ca="1">IFERROR(IF(AG259&lt;5+金蛇*2,IF(COUNTIF(B259,"*轻*")&gt;0,A259+加速!$L$9,A259+加速!$L$11)+V259,""),"")</f>
        <v/>
      </c>
      <c r="B260" s="167" t="str">
        <f ca="1" t="shared" si="77"/>
        <v/>
      </c>
      <c r="C260" t="str">
        <f ca="1" t="shared" si="67"/>
        <v/>
      </c>
      <c r="D260" t="str">
        <f ca="1">IF(B260&lt;&gt;"",IF(C259&lt;=加速!$L$11*(1-E260),0,1),"")</f>
        <v/>
      </c>
      <c r="E260">
        <f ca="1" t="shared" ref="E260:E323" si="83">IF(OR(COUNTIF(B260,"夕照雷峰*")&gt;0,COUNTIF(B260,"云飞玉皇*")&gt;0,COUNTIF(B260,"风来吴山*")&gt;0),COUNTIF(B260,"*云景*")+COUNTIF(B260,"*玉山揽云*")+COUNTIF(B260,"*烟流暮景*"),1)</f>
        <v>1</v>
      </c>
      <c r="G260" t="str">
        <f ca="1" t="shared" ref="G260:G323" si="84">IF(B260&lt;&gt;"",IF(AND(碧归&gt;0,COUNTIF(B259,"*风来吴山*")&gt;0),8,MAX(0,G259-COUNTIF(B260,"*云飞*")-COUNTIF(B260,"*鹤*")-COUNTIF(B260,"*夕*"))),"")</f>
        <v/>
      </c>
      <c r="H260" t="str">
        <f ca="1">IF(B260&lt;&gt;"",IF(AND(COUNTIF(B259,"*轻*莺鸣柳*")&gt;0,COUNTIF(B260,"*轻*")&lt;1),MAX(0,15+I259-(A260-A259)+COUNTIF(B259,"*平湖*")*0),IF(AND(E260=0,MAX(0,H259-(A260-A259))&lt;=加速!$H$11),0,MAX(0,H259-(A260-A259)))),"")</f>
        <v/>
      </c>
      <c r="I260" t="str">
        <f ca="1" t="shared" si="71"/>
        <v/>
      </c>
      <c r="J260" t="str">
        <f ca="1" t="shared" si="72"/>
        <v/>
      </c>
      <c r="K260" t="str">
        <f ca="1" t="shared" si="78"/>
        <v/>
      </c>
      <c r="L260">
        <f ca="1">IFERROR(IF(AND(COUNTIF(B260,"*-峰插*"),技能数据库!$M$72&gt;0),0,IF(COUNTIF(B260,"*鹤归*")&gt;0,16-加速!$L$11,MAX(0,L259-(A260-A259)))),0)</f>
        <v>0</v>
      </c>
      <c r="M260">
        <f ca="1" t="shared" si="79"/>
        <v>0</v>
      </c>
      <c r="N260">
        <f ca="1">IFERROR(IF(AND(COUNTIF(B260,"*-峰插*"),技能数据库!$M$72&gt;0),0,IF(COUNTIF(B260,"*云飞*")&gt;0,4-COUNTIF(B260,"*玉山揽云*")*4--COUNTIF(B260,"*烟流暮景*")*4-COUNTIF(B260,"*云景*")*加速!$L$11-IF(J260&gt;0,2,0),MAX(0,N259-(A260-A259)-IF(J260&gt;0,2,0)))),0)</f>
        <v>0</v>
      </c>
      <c r="O260">
        <f ca="1">IF(AND(COUNTIF(IF(AND(配装计算器!$K$30&lt;&gt;"∞",0),INDEX(AU259:CB259,1,$AT$1),INDEX(AU261:CB261,1,$AT$1)),"*云飞*")=1,COUNTIF(IF(AND(配装计算器!$K$30&lt;&gt;"∞",0),INDEX(AU259:CB259,1,$AT$1),INDEX(AU261:CB261,1,$AT$1)),"*玉山*")=0),N260,0)</f>
        <v>0</v>
      </c>
      <c r="P260">
        <f ca="1">IFERROR(IF(COUNTIF(B260,"*云栖松*")&gt;0,50-加速!$L$11,MAX(0,P259-(A260-A259))),0)</f>
        <v>0</v>
      </c>
      <c r="Q260">
        <f ca="1">IF(COUNTIF(IF(AND(配装计算器!$K$30&lt;&gt;"∞",0),INDEX(AU259:CB259,1,$AT$1),INDEX(AU261:CB261,1,$AT$1)),"*云栖松*")=1,P260,0)</f>
        <v>0</v>
      </c>
      <c r="R260">
        <f ca="1">IFERROR(IF(COUNTIF(B260,"*莺鸣柳*")&gt;0,45-加速!$L$9,MAX(0,R259-(A260-A259))),0)</f>
        <v>0</v>
      </c>
      <c r="S260">
        <f ca="1">IF(COUNTIF(IF(AND(配装计算器!$K$30&lt;&gt;"∞",0),INDEX(AU259:CB259,1,$AT$1),INDEX(AU261:CB261,1,$AT$1)),"*莺鸣柳*")=1,R260,0)</f>
        <v>0</v>
      </c>
      <c r="T260">
        <f ca="1" t="shared" si="68"/>
        <v>0</v>
      </c>
      <c r="U260">
        <f ca="1">IF(金蛇,IF(COUNTIF(B260,"*金环戴*")+COUNTIF(B260,"*吹风醒*")&gt;0,IF(A260&lt;=3,7.125-2.625-A260-加速!$L$11,7.125+加速!$K$9-(A260+加速!$L$11-T260)),0),0)+IF(金蛇,IF(COUNTIF(B260,"*千切子裂光*")&gt;0,2+加速!$K$9-(A260+加速!$L$11-T260),0),0)</f>
        <v>0</v>
      </c>
      <c r="V260">
        <f ca="1" t="shared" si="69"/>
        <v>0</v>
      </c>
      <c r="W260">
        <f ca="1" t="shared" si="80"/>
        <v>0</v>
      </c>
      <c r="X260">
        <f ca="1">INDEX(加速!$I$13:$I$21,W260+1)</f>
        <v>0</v>
      </c>
      <c r="Y260">
        <f ca="1" t="shared" si="70"/>
        <v>0.5</v>
      </c>
      <c r="Z260">
        <f ca="1" t="shared" ref="Z260:Z323" si="85">IF(金蛇,IF(COUNTIF(B260,"*虎跑*")&gt;0,INT((A260-Y260)/3),0),0)</f>
        <v>0</v>
      </c>
      <c r="AA260">
        <f ca="1">MAX(0,IFERROR(IF(COUNTIF(B260,"*叠*")&gt;0,IF(AC259&lt;3,8-A261+A260,AA259+6.875-A261+A260),AA259-A261+A260),AA259-加速!$L$11))</f>
        <v>0</v>
      </c>
      <c r="AB260" t="e">
        <f ca="1">MAX(0,IF(COUNTIF(IF(AND(配装计算器!$K$30&lt;&gt;"∞",0),INDEX(AU260:CB260,1,$AT$1),INDEX(AU260:CB260,1,$AT$1)),"*叠1*")=1,4*25-加速!$L$11,AB259-A260+A259)-IF(OR(COUNTIF(OFFSET(AT260,0,$AT$1,1,1),"*听雷*")&gt;0,AND(碧归&gt;0,COUNTIF(OFFSET(AT260,0,$AT$1,1,1),"*风来*")&gt;0)),0,1)*1.5)</f>
        <v>#VALUE!</v>
      </c>
      <c r="AC260">
        <f ca="1" t="shared" si="81"/>
        <v>0</v>
      </c>
      <c r="AD260">
        <f ca="1">IF(COUNTIF(IF(AND(配装计算器!$K$30&lt;&gt;"∞",0),INDEX(AU260:CB260,1,$AT$1),INDEX(AU261:CB261,1,$AT$1)),"*叠1*")=1,AB260*0+AE259,0)</f>
        <v>0</v>
      </c>
      <c r="AE260" t="e">
        <f ca="1">IF($AN$11&gt;0,IF(COUNTIF(B261,"*叠1*")&gt;0,50-加速!$L$11,MAX(0,AE259-(A261-A260))),0)</f>
        <v>#VALUE!</v>
      </c>
      <c r="AG260">
        <f ca="1" t="shared" si="82"/>
        <v>7</v>
      </c>
      <c r="AU260" t="s">
        <v>2768</v>
      </c>
      <c r="AV260">
        <v>2</v>
      </c>
      <c r="AW260" s="176" t="s">
        <v>2776</v>
      </c>
      <c r="AX260">
        <v>2</v>
      </c>
      <c r="AY260" t="s">
        <v>3022</v>
      </c>
      <c r="AZ260">
        <v>2</v>
      </c>
      <c r="BA260" t="s">
        <v>2776</v>
      </c>
      <c r="BB260">
        <v>2</v>
      </c>
      <c r="BC260" t="s">
        <v>2813</v>
      </c>
      <c r="BD260">
        <v>0</v>
      </c>
      <c r="BE260" t="s">
        <v>2776</v>
      </c>
      <c r="BF260">
        <v>0</v>
      </c>
      <c r="BG260" s="176" t="s">
        <v>2768</v>
      </c>
      <c r="BH260">
        <v>2</v>
      </c>
      <c r="BI260" t="s">
        <v>2768</v>
      </c>
      <c r="BJ260">
        <v>0</v>
      </c>
      <c r="BK260" t="s">
        <v>3026</v>
      </c>
      <c r="BL260">
        <v>2</v>
      </c>
      <c r="BM260" s="176" t="s">
        <v>2768</v>
      </c>
      <c r="BN260">
        <v>2</v>
      </c>
      <c r="BO260" t="s">
        <v>2768</v>
      </c>
      <c r="BP260">
        <v>2</v>
      </c>
      <c r="BQ260" t="s">
        <v>2768</v>
      </c>
      <c r="BR260">
        <v>2</v>
      </c>
      <c r="BS260" t="s">
        <v>2768</v>
      </c>
      <c r="BT260">
        <v>0</v>
      </c>
      <c r="BU260" t="s">
        <v>3018</v>
      </c>
      <c r="BV260">
        <v>2</v>
      </c>
      <c r="BW260" s="182" t="s">
        <v>2776</v>
      </c>
      <c r="BX260" s="179">
        <v>1</v>
      </c>
      <c r="BY260" t="s">
        <v>2768</v>
      </c>
      <c r="BZ260">
        <v>2</v>
      </c>
      <c r="CA260" t="s">
        <v>2768</v>
      </c>
      <c r="CB260">
        <v>2</v>
      </c>
    </row>
    <row r="261" spans="1:80">
      <c r="A261" s="178" t="str">
        <f ca="1">IFERROR(IF(AG260&lt;5+金蛇*2,IF(COUNTIF(B260,"*轻*")&gt;0,A260+加速!$L$9,A260+加速!$L$11)+V260,""),"")</f>
        <v/>
      </c>
      <c r="B261" s="167" t="str">
        <f ca="1" t="shared" si="77"/>
        <v/>
      </c>
      <c r="C261" t="str">
        <f ca="1" t="shared" ref="C261:C324" si="86">IFERROR(IF(COUNTIF(B261,"*夕照雷峰*")&gt;0,15,MAX(0,C260-(A261-A260))),"")</f>
        <v/>
      </c>
      <c r="D261" t="str">
        <f ca="1">IF(B261&lt;&gt;"",IF(C260&lt;=加速!$L$11*(1-E261),0,1),"")</f>
        <v/>
      </c>
      <c r="E261">
        <f ca="1" t="shared" si="83"/>
        <v>1</v>
      </c>
      <c r="G261" t="str">
        <f ca="1" t="shared" si="84"/>
        <v/>
      </c>
      <c r="H261" t="str">
        <f ca="1">IF(B261&lt;&gt;"",IF(AND(COUNTIF(B260,"*轻*莺鸣柳*")&gt;0,COUNTIF(B261,"*轻*")&lt;1),MAX(0,15+I260-(A261-A260)+COUNTIF(B260,"*平湖*")*0),IF(AND(E261=0,MAX(0,H260-(A261-A260))&lt;=加速!$H$11),0,MAX(0,H260-(A261-A260)))),"")</f>
        <v/>
      </c>
      <c r="I261" t="str">
        <f ca="1" t="shared" si="71"/>
        <v/>
      </c>
      <c r="J261" t="str">
        <f ca="1" t="shared" si="72"/>
        <v/>
      </c>
      <c r="K261" t="str">
        <f ca="1" t="shared" si="78"/>
        <v/>
      </c>
      <c r="L261">
        <f ca="1">IFERROR(IF(AND(COUNTIF(B261,"*-峰插*"),技能数据库!$M$72&gt;0),0,IF(COUNTIF(B261,"*鹤归*")&gt;0,16-加速!$L$11,MAX(0,L260-(A261-A260)))),0)</f>
        <v>0</v>
      </c>
      <c r="M261">
        <f ca="1" t="shared" si="79"/>
        <v>0</v>
      </c>
      <c r="N261">
        <f ca="1">IFERROR(IF(AND(COUNTIF(B261,"*-峰插*"),技能数据库!$M$72&gt;0),0,IF(COUNTIF(B261,"*云飞*")&gt;0,4-COUNTIF(B261,"*玉山揽云*")*4--COUNTIF(B261,"*烟流暮景*")*4-COUNTIF(B261,"*云景*")*加速!$L$11-IF(J261&gt;0,2,0),MAX(0,N260-(A261-A260)-IF(J261&gt;0,2,0)))),0)</f>
        <v>0</v>
      </c>
      <c r="O261">
        <f ca="1">IF(AND(COUNTIF(IF(AND(配装计算器!$K$30&lt;&gt;"∞",0),INDEX(AU260:CB260,1,$AT$1),INDEX(AU262:CB262,1,$AT$1)),"*云飞*")=1,COUNTIF(IF(AND(配装计算器!$K$30&lt;&gt;"∞",0),INDEX(AU260:CB260,1,$AT$1),INDEX(AU262:CB262,1,$AT$1)),"*玉山*")=0),N261,0)</f>
        <v>0</v>
      </c>
      <c r="P261">
        <f ca="1">IFERROR(IF(COUNTIF(B261,"*云栖松*")&gt;0,50-加速!$L$11,MAX(0,P260-(A261-A260))),0)</f>
        <v>0</v>
      </c>
      <c r="Q261">
        <f ca="1">IF(COUNTIF(IF(AND(配装计算器!$K$30&lt;&gt;"∞",0),INDEX(AU260:CB260,1,$AT$1),INDEX(AU262:CB262,1,$AT$1)),"*云栖松*")=1,P261,0)</f>
        <v>0</v>
      </c>
      <c r="R261">
        <f ca="1">IFERROR(IF(COUNTIF(B261,"*莺鸣柳*")&gt;0,45-加速!$L$9,MAX(0,R260-(A261-A260))),0)</f>
        <v>0</v>
      </c>
      <c r="S261">
        <f ca="1">IF(COUNTIF(IF(AND(配装计算器!$K$30&lt;&gt;"∞",0),INDEX(AU260:CB260,1,$AT$1),INDEX(AU262:CB262,1,$AT$1)),"*莺鸣柳*")=1,R261,0)</f>
        <v>0</v>
      </c>
      <c r="T261">
        <f ca="1" t="shared" ref="T261:T324" si="87">IF(COUNTIF(B261,"*岚尘金蛇*")+COUNTIF(B261,"*千切子寒光*")&gt;0,A261,T260)</f>
        <v>0</v>
      </c>
      <c r="U261">
        <f ca="1">IF(金蛇,IF(COUNTIF(B261,"*金环戴*")+COUNTIF(B261,"*吹风醒*")&gt;0,IF(A261&lt;=3,7.125-2.625-A261-加速!$L$11,7.125+加速!$K$9-(A261+加速!$L$11-T261)),0),0)+IF(金蛇,IF(COUNTIF(B261,"*千切子裂光*")&gt;0,2+加速!$K$9-(A261+加速!$L$11-T261),0),0)</f>
        <v>0</v>
      </c>
      <c r="V261">
        <f ca="1" t="shared" ref="V261:V324" si="88">MAX(0,M261+O261+Q261+S261+AD261)+U261</f>
        <v>0</v>
      </c>
      <c r="W261">
        <f ca="1" t="shared" si="80"/>
        <v>0</v>
      </c>
      <c r="X261">
        <f ca="1">INDEX(加速!$I$13:$I$21,W261+1)</f>
        <v>0</v>
      </c>
      <c r="Y261">
        <f ca="1" t="shared" ref="Y261:Y324" si="89">IF(COUNTIF(B261,"*岚尘金蛇*"),A261+2.6125+0.5,Y260)</f>
        <v>0.5</v>
      </c>
      <c r="Z261">
        <f ca="1" t="shared" si="85"/>
        <v>0</v>
      </c>
      <c r="AA261">
        <f ca="1">MAX(0,IFERROR(IF(COUNTIF(B261,"*叠*")&gt;0,IF(AC260&lt;3,8-A262+A261,AA260+6.875-A262+A261),AA260-A262+A261),AA260-加速!$L$11))</f>
        <v>0</v>
      </c>
      <c r="AB261" t="e">
        <f ca="1">MAX(0,IF(COUNTIF(IF(AND(配装计算器!$K$30&lt;&gt;"∞",0),INDEX(AU261:CB261,1,$AT$1),INDEX(AU261:CB261,1,$AT$1)),"*叠1*")=1,4*25-加速!$L$11,AB260-A261+A260)-IF(OR(COUNTIF(OFFSET(AT261,0,$AT$1,1,1),"*听雷*")&gt;0,AND(碧归&gt;0,COUNTIF(OFFSET(AT261,0,$AT$1,1,1),"*风来*")&gt;0)),0,1)*1.5)</f>
        <v>#VALUE!</v>
      </c>
      <c r="AC261">
        <f ca="1" t="shared" si="81"/>
        <v>0</v>
      </c>
      <c r="AD261">
        <f ca="1">IF(COUNTIF(IF(AND(配装计算器!$K$30&lt;&gt;"∞",0),INDEX(AU261:CB261,1,$AT$1),INDEX(AU262:CB262,1,$AT$1)),"*叠1*")=1,AB261*0+AE260,0)</f>
        <v>0</v>
      </c>
      <c r="AE261" t="e">
        <f ca="1">IF($AN$11&gt;0,IF(COUNTIF(B262,"*叠1*")&gt;0,50-加速!$L$11,MAX(0,AE260-(A262-A261))),0)</f>
        <v>#VALUE!</v>
      </c>
      <c r="AG261">
        <f ca="1" t="shared" si="82"/>
        <v>7</v>
      </c>
      <c r="AU261" t="s">
        <v>2768</v>
      </c>
      <c r="AV261">
        <v>2</v>
      </c>
      <c r="AW261" s="176" t="s">
        <v>2768</v>
      </c>
      <c r="AX261">
        <v>2</v>
      </c>
      <c r="AY261" t="s">
        <v>2776</v>
      </c>
      <c r="AZ261">
        <v>2</v>
      </c>
      <c r="BA261" t="s">
        <v>2768</v>
      </c>
      <c r="BB261">
        <v>2</v>
      </c>
      <c r="BC261" t="s">
        <v>2776</v>
      </c>
      <c r="BD261">
        <v>2</v>
      </c>
      <c r="BE261" t="s">
        <v>2768</v>
      </c>
      <c r="BF261">
        <v>1</v>
      </c>
      <c r="BG261" s="176" t="s">
        <v>2768</v>
      </c>
      <c r="BH261">
        <v>2</v>
      </c>
      <c r="BI261" t="s">
        <v>2768</v>
      </c>
      <c r="BJ261">
        <v>0</v>
      </c>
      <c r="BK261" t="s">
        <v>3026</v>
      </c>
      <c r="BL261">
        <v>2</v>
      </c>
      <c r="BM261" t="s">
        <v>3056</v>
      </c>
      <c r="BN261">
        <v>1</v>
      </c>
      <c r="BO261" t="s">
        <v>2776</v>
      </c>
      <c r="BP261">
        <v>2</v>
      </c>
      <c r="BQ261" t="s">
        <v>3010</v>
      </c>
      <c r="BR261">
        <v>2</v>
      </c>
      <c r="BS261" t="s">
        <v>2776</v>
      </c>
      <c r="BT261">
        <v>0</v>
      </c>
      <c r="BU261" t="s">
        <v>2768</v>
      </c>
      <c r="BV261">
        <v>2</v>
      </c>
      <c r="BW261" s="179" t="s">
        <v>2718</v>
      </c>
      <c r="BX261" s="179">
        <v>1</v>
      </c>
      <c r="BY261" t="s">
        <v>2776</v>
      </c>
      <c r="BZ261">
        <v>2</v>
      </c>
      <c r="CA261" t="s">
        <v>2776</v>
      </c>
      <c r="CB261">
        <v>2</v>
      </c>
    </row>
    <row r="262" spans="1:80">
      <c r="A262" s="178" t="str">
        <f ca="1">IFERROR(IF(AG261&lt;5+金蛇*2,IF(COUNTIF(B261,"*轻*")&gt;0,A261+加速!$L$9,A261+加速!$L$11)+V261,""),"")</f>
        <v/>
      </c>
      <c r="B262" s="167" t="str">
        <f ca="1" t="shared" si="77"/>
        <v/>
      </c>
      <c r="C262" t="str">
        <f ca="1" t="shared" si="86"/>
        <v/>
      </c>
      <c r="D262" t="str">
        <f ca="1">IF(B262&lt;&gt;"",IF(C261&lt;=加速!$L$11*(1-E262),0,1),"")</f>
        <v/>
      </c>
      <c r="E262">
        <f ca="1" t="shared" si="83"/>
        <v>1</v>
      </c>
      <c r="G262" t="str">
        <f ca="1" t="shared" si="84"/>
        <v/>
      </c>
      <c r="H262" t="str">
        <f ca="1">IF(B262&lt;&gt;"",IF(AND(COUNTIF(B261,"*轻*莺鸣柳*")&gt;0,COUNTIF(B262,"*轻*")&lt;1),MAX(0,15+I261-(A262-A261)+COUNTIF(B261,"*平湖*")*0),IF(AND(E262=0,MAX(0,H261-(A262-A261))&lt;=加速!$H$11),0,MAX(0,H261-(A262-A261)))),"")</f>
        <v/>
      </c>
      <c r="I262" t="str">
        <f ca="1" t="shared" ref="I262:I325" si="90">IF(B262&lt;&gt;"",IF(COUNTIF(B262,"*轻*")&lt;1,0,IF(COUNTIF(B262,"*莺鸣*")&gt;0,8,MAX(0,I261-(A262-A261)))),"")</f>
        <v/>
      </c>
      <c r="J262" t="str">
        <f ca="1" t="shared" ref="J262:J325" si="91">IF(B262&lt;&gt;"",IF(AND(J261=1,OR(AND(COUNTIF(B262,"*云景*")&gt;0,COUNTIF(B257:B261,"*鹤归*")&gt;0),AND(落剑5=1,COUNTIF(B257:B261,"*鹤归*")&gt;0))),1,IF(COUNTIF(B261,"*鹤归*")&gt;0,4+_666三听,MAX(J261-1,0))),"")</f>
        <v/>
      </c>
      <c r="K262" t="str">
        <f ca="1" t="shared" si="78"/>
        <v/>
      </c>
      <c r="L262">
        <f ca="1">IFERROR(IF(AND(COUNTIF(B262,"*-峰插*"),技能数据库!$M$72&gt;0),0,IF(COUNTIF(B262,"*鹤归*")&gt;0,16-加速!$L$11,MAX(0,L261-(A262-A261)))),0)</f>
        <v>0</v>
      </c>
      <c r="M262">
        <f ca="1" t="shared" si="79"/>
        <v>0</v>
      </c>
      <c r="N262">
        <f ca="1">IFERROR(IF(AND(COUNTIF(B262,"*-峰插*"),技能数据库!$M$72&gt;0),0,IF(COUNTIF(B262,"*云飞*")&gt;0,4-COUNTIF(B262,"*玉山揽云*")*4--COUNTIF(B262,"*烟流暮景*")*4-COUNTIF(B262,"*云景*")*加速!$L$11-IF(J262&gt;0,2,0),MAX(0,N261-(A262-A261)-IF(J262&gt;0,2,0)))),0)</f>
        <v>0</v>
      </c>
      <c r="O262">
        <f ca="1">IF(AND(COUNTIF(IF(AND(配装计算器!$K$30&lt;&gt;"∞",0),INDEX(AU261:CB261,1,$AT$1),INDEX(AU263:CB263,1,$AT$1)),"*云飞*")=1,COUNTIF(IF(AND(配装计算器!$K$30&lt;&gt;"∞",0),INDEX(AU261:CB261,1,$AT$1),INDEX(AU263:CB263,1,$AT$1)),"*玉山*")=0),N262,0)</f>
        <v>0</v>
      </c>
      <c r="P262">
        <f ca="1">IFERROR(IF(COUNTIF(B262,"*云栖松*")&gt;0,50-加速!$L$11,MAX(0,P261-(A262-A261))),0)</f>
        <v>0</v>
      </c>
      <c r="Q262">
        <f ca="1">IF(COUNTIF(IF(AND(配装计算器!$K$30&lt;&gt;"∞",0),INDEX(AU261:CB261,1,$AT$1),INDEX(AU263:CB263,1,$AT$1)),"*云栖松*")=1,P262,0)</f>
        <v>0</v>
      </c>
      <c r="R262">
        <f ca="1">IFERROR(IF(COUNTIF(B262,"*莺鸣柳*")&gt;0,45-加速!$L$9,MAX(0,R261-(A262-A261))),0)</f>
        <v>0</v>
      </c>
      <c r="S262">
        <f ca="1">IF(COUNTIF(IF(AND(配装计算器!$K$30&lt;&gt;"∞",0),INDEX(AU261:CB261,1,$AT$1),INDEX(AU263:CB263,1,$AT$1)),"*莺鸣柳*")=1,R262,0)</f>
        <v>0</v>
      </c>
      <c r="T262">
        <f ca="1" t="shared" si="87"/>
        <v>0</v>
      </c>
      <c r="U262">
        <f ca="1">IF(金蛇,IF(COUNTIF(B262,"*金环戴*")+COUNTIF(B262,"*吹风醒*")&gt;0,IF(A262&lt;=3,7.125-2.625-A262-加速!$L$11,7.125+加速!$K$9-(A262+加速!$L$11-T262)),0),0)+IF(金蛇,IF(COUNTIF(B262,"*千切子裂光*")&gt;0,2+加速!$K$9-(A262+加速!$L$11-T262),0),0)</f>
        <v>0</v>
      </c>
      <c r="V262">
        <f ca="1" t="shared" si="88"/>
        <v>0</v>
      </c>
      <c r="W262">
        <f ca="1" t="shared" si="80"/>
        <v>0</v>
      </c>
      <c r="X262">
        <f ca="1">INDEX(加速!$I$13:$I$21,W262+1)</f>
        <v>0</v>
      </c>
      <c r="Y262">
        <f ca="1" t="shared" si="89"/>
        <v>0.5</v>
      </c>
      <c r="Z262">
        <f ca="1" t="shared" si="85"/>
        <v>0</v>
      </c>
      <c r="AA262">
        <f ca="1">MAX(0,IFERROR(IF(COUNTIF(B262,"*叠*")&gt;0,IF(AC261&lt;3,8-A263+A262,AA261+6.875-A263+A262),AA261-A263+A262),AA261-加速!$L$11))</f>
        <v>0</v>
      </c>
      <c r="AB262" t="e">
        <f ca="1">MAX(0,IF(COUNTIF(IF(AND(配装计算器!$K$30&lt;&gt;"∞",0),INDEX(AU262:CB262,1,$AT$1),INDEX(AU262:CB262,1,$AT$1)),"*叠1*")=1,4*25-加速!$L$11,AB261-A262+A261)-IF(OR(COUNTIF(OFFSET(AT262,0,$AT$1,1,1),"*听雷*")&gt;0,AND(碧归&gt;0,COUNTIF(OFFSET(AT262,0,$AT$1,1,1),"*风来*")&gt;0)),0,1)*1.5)</f>
        <v>#VALUE!</v>
      </c>
      <c r="AC262">
        <f ca="1" t="shared" si="81"/>
        <v>0</v>
      </c>
      <c r="AD262">
        <f ca="1">IF(COUNTIF(IF(AND(配装计算器!$K$30&lt;&gt;"∞",0),INDEX(AU262:CB262,1,$AT$1),INDEX(AU263:CB263,1,$AT$1)),"*叠1*")=1,AB262*0+AE261,0)</f>
        <v>0</v>
      </c>
      <c r="AE262" t="e">
        <f ca="1">IF($AN$11&gt;0,IF(COUNTIF(B263,"*叠1*")&gt;0,50-加速!$L$11,MAX(0,AE261-(A263-A262))),0)</f>
        <v>#VALUE!</v>
      </c>
      <c r="AG262">
        <f ca="1" t="shared" si="82"/>
        <v>7</v>
      </c>
      <c r="AU262" s="176" t="s">
        <v>2794</v>
      </c>
      <c r="AV262">
        <v>2</v>
      </c>
      <c r="AW262" s="176" t="s">
        <v>2776</v>
      </c>
      <c r="AX262">
        <v>2</v>
      </c>
      <c r="AY262" t="s">
        <v>2768</v>
      </c>
      <c r="AZ262">
        <v>2</v>
      </c>
      <c r="BA262" t="s">
        <v>2768</v>
      </c>
      <c r="BB262">
        <v>2</v>
      </c>
      <c r="BC262" t="s">
        <v>2768</v>
      </c>
      <c r="BD262">
        <v>2</v>
      </c>
      <c r="BE262" t="s">
        <v>2768</v>
      </c>
      <c r="BF262">
        <v>1</v>
      </c>
      <c r="BG262" s="176" t="s">
        <v>2768</v>
      </c>
      <c r="BH262">
        <v>2</v>
      </c>
      <c r="BI262" t="s">
        <v>2722</v>
      </c>
      <c r="BJ262">
        <v>0</v>
      </c>
      <c r="BK262" s="176" t="s">
        <v>3026</v>
      </c>
      <c r="BL262">
        <v>2</v>
      </c>
      <c r="BM262" t="s">
        <v>2768</v>
      </c>
      <c r="BN262">
        <v>2</v>
      </c>
      <c r="BO262" t="s">
        <v>2768</v>
      </c>
      <c r="BP262">
        <v>1</v>
      </c>
      <c r="BQ262" t="s">
        <v>3013</v>
      </c>
      <c r="BR262">
        <v>2</v>
      </c>
      <c r="BS262" t="s">
        <v>1886</v>
      </c>
      <c r="BT262">
        <v>0</v>
      </c>
      <c r="BU262" s="182" t="s">
        <v>3023</v>
      </c>
      <c r="BV262">
        <v>2</v>
      </c>
      <c r="BW262" s="179" t="s">
        <v>2718</v>
      </c>
      <c r="BX262" s="179">
        <v>1</v>
      </c>
      <c r="BY262" t="s">
        <v>2718</v>
      </c>
      <c r="BZ262">
        <v>0</v>
      </c>
      <c r="CA262" t="s">
        <v>2718</v>
      </c>
      <c r="CB262">
        <v>0</v>
      </c>
    </row>
    <row r="263" spans="1:80">
      <c r="A263" s="178" t="str">
        <f ca="1">IFERROR(IF(AG262&lt;5+金蛇*2,IF(COUNTIF(B262,"*轻*")&gt;0,A262+加速!$L$9,A262+加速!$L$11)+V262,""),"")</f>
        <v/>
      </c>
      <c r="B263" s="167" t="str">
        <f ca="1" t="shared" si="77"/>
        <v/>
      </c>
      <c r="C263" t="str">
        <f ca="1" t="shared" si="86"/>
        <v/>
      </c>
      <c r="D263" t="str">
        <f ca="1">IF(B263&lt;&gt;"",IF(C262&lt;=加速!$L$11*(1-E263),0,1),"")</f>
        <v/>
      </c>
      <c r="E263">
        <f ca="1" t="shared" si="83"/>
        <v>1</v>
      </c>
      <c r="G263" t="str">
        <f ca="1" t="shared" si="84"/>
        <v/>
      </c>
      <c r="H263" t="str">
        <f ca="1">IF(B263&lt;&gt;"",IF(AND(COUNTIF(B262,"*轻*莺鸣柳*")&gt;0,COUNTIF(B263,"*轻*")&lt;1),MAX(0,15+I262-(A263-A262)+COUNTIF(B262,"*平湖*")*0),IF(AND(E263=0,MAX(0,H262-(A263-A262))&lt;=加速!$H$11),0,MAX(0,H262-(A263-A262)))),"")</f>
        <v/>
      </c>
      <c r="I263" t="str">
        <f ca="1" t="shared" si="90"/>
        <v/>
      </c>
      <c r="J263" t="str">
        <f ca="1" t="shared" si="91"/>
        <v/>
      </c>
      <c r="K263" t="str">
        <f ca="1" t="shared" si="78"/>
        <v/>
      </c>
      <c r="L263">
        <f ca="1">IFERROR(IF(AND(COUNTIF(B263,"*-峰插*"),技能数据库!$M$72&gt;0),0,IF(COUNTIF(B263,"*鹤归*")&gt;0,16-加速!$L$11,MAX(0,L262-(A263-A262)))),0)</f>
        <v>0</v>
      </c>
      <c r="M263">
        <f ca="1" t="shared" si="79"/>
        <v>0</v>
      </c>
      <c r="N263">
        <f ca="1">IFERROR(IF(AND(COUNTIF(B263,"*-峰插*"),技能数据库!$M$72&gt;0),0,IF(COUNTIF(B263,"*云飞*")&gt;0,4-COUNTIF(B263,"*玉山揽云*")*4--COUNTIF(B263,"*烟流暮景*")*4-COUNTIF(B263,"*云景*")*加速!$L$11-IF(J263&gt;0,2,0),MAX(0,N262-(A263-A262)-IF(J263&gt;0,2,0)))),0)</f>
        <v>0</v>
      </c>
      <c r="O263">
        <f ca="1">IF(AND(COUNTIF(IF(AND(配装计算器!$K$30&lt;&gt;"∞",0),INDEX(AU262:CB262,1,$AT$1),INDEX(AU264:CB264,1,$AT$1)),"*云飞*")=1,COUNTIF(IF(AND(配装计算器!$K$30&lt;&gt;"∞",0),INDEX(AU262:CB262,1,$AT$1),INDEX(AU264:CB264,1,$AT$1)),"*玉山*")=0),N263,0)</f>
        <v>0</v>
      </c>
      <c r="P263">
        <f ca="1">IFERROR(IF(COUNTIF(B263,"*云栖松*")&gt;0,50-加速!$L$11,MAX(0,P262-(A263-A262))),0)</f>
        <v>0</v>
      </c>
      <c r="Q263">
        <f ca="1">IF(COUNTIF(IF(AND(配装计算器!$K$30&lt;&gt;"∞",0),INDEX(AU262:CB262,1,$AT$1),INDEX(AU264:CB264,1,$AT$1)),"*云栖松*")=1,P263,0)</f>
        <v>0</v>
      </c>
      <c r="R263">
        <f ca="1">IFERROR(IF(COUNTIF(B263,"*莺鸣柳*")&gt;0,45-加速!$L$9,MAX(0,R262-(A263-A262))),0)</f>
        <v>0</v>
      </c>
      <c r="S263">
        <f ca="1">IF(COUNTIF(IF(AND(配装计算器!$K$30&lt;&gt;"∞",0),INDEX(AU262:CB262,1,$AT$1),INDEX(AU264:CB264,1,$AT$1)),"*莺鸣柳*")=1,R263,0)</f>
        <v>0</v>
      </c>
      <c r="T263">
        <f ca="1" t="shared" si="87"/>
        <v>0</v>
      </c>
      <c r="U263">
        <f ca="1">IF(金蛇,IF(COUNTIF(B263,"*金环戴*")+COUNTIF(B263,"*吹风醒*")&gt;0,IF(A263&lt;=3,7.125-2.625-A263-加速!$L$11,7.125+加速!$K$9-(A263+加速!$L$11-T263)),0),0)+IF(金蛇,IF(COUNTIF(B263,"*千切子裂光*")&gt;0,2+加速!$K$9-(A263+加速!$L$11-T263),0),0)</f>
        <v>0</v>
      </c>
      <c r="V263">
        <f ca="1" t="shared" si="88"/>
        <v>0</v>
      </c>
      <c r="W263">
        <f ca="1" t="shared" si="80"/>
        <v>0</v>
      </c>
      <c r="X263">
        <f ca="1">INDEX(加速!$I$13:$I$21,W263+1)</f>
        <v>0</v>
      </c>
      <c r="Y263">
        <f ca="1" t="shared" si="89"/>
        <v>0.5</v>
      </c>
      <c r="Z263">
        <f ca="1" t="shared" si="85"/>
        <v>0</v>
      </c>
      <c r="AA263">
        <f ca="1">MAX(0,IFERROR(IF(COUNTIF(B263,"*叠*")&gt;0,IF(AC262&lt;3,8-A264+A263,AA262+6.875-A264+A263),AA262-A264+A263),AA262-加速!$L$11))</f>
        <v>0</v>
      </c>
      <c r="AB263" t="e">
        <f ca="1">MAX(0,IF(COUNTIF(IF(AND(配装计算器!$K$30&lt;&gt;"∞",0),INDEX(AU263:CB263,1,$AT$1),INDEX(AU263:CB263,1,$AT$1)),"*叠1*")=1,4*25-加速!$L$11,AB262-A263+A262)-IF(OR(COUNTIF(OFFSET(AT263,0,$AT$1,1,1),"*听雷*")&gt;0,AND(碧归&gt;0,COUNTIF(OFFSET(AT263,0,$AT$1,1,1),"*风来*")&gt;0)),0,1)*1.5)</f>
        <v>#VALUE!</v>
      </c>
      <c r="AC263">
        <f ca="1" t="shared" si="81"/>
        <v>0</v>
      </c>
      <c r="AD263">
        <f ca="1">IF(COUNTIF(IF(AND(配装计算器!$K$30&lt;&gt;"∞",0),INDEX(AU263:CB263,1,$AT$1),INDEX(AU264:CB264,1,$AT$1)),"*叠1*")=1,AB263*0+AE262,0)</f>
        <v>0</v>
      </c>
      <c r="AE263" t="e">
        <f ca="1">IF($AN$11&gt;0,IF(COUNTIF(B264,"*叠1*")&gt;0,50-加速!$L$11,MAX(0,AE262-(A264-A263))),0)</f>
        <v>#VALUE!</v>
      </c>
      <c r="AG263">
        <f ca="1" t="shared" si="82"/>
        <v>7</v>
      </c>
      <c r="AU263" s="176" t="s">
        <v>2776</v>
      </c>
      <c r="AV263">
        <v>2</v>
      </c>
      <c r="AW263" s="176" t="s">
        <v>2768</v>
      </c>
      <c r="AX263">
        <v>2</v>
      </c>
      <c r="AY263" t="s">
        <v>2768</v>
      </c>
      <c r="AZ263">
        <v>2</v>
      </c>
      <c r="BA263" t="s">
        <v>2776</v>
      </c>
      <c r="BB263">
        <v>2</v>
      </c>
      <c r="BC263" t="s">
        <v>2768</v>
      </c>
      <c r="BD263">
        <v>2</v>
      </c>
      <c r="BE263" t="s">
        <v>2794</v>
      </c>
      <c r="BF263">
        <v>0</v>
      </c>
      <c r="BG263" s="176" t="s">
        <v>2776</v>
      </c>
      <c r="BH263">
        <v>2</v>
      </c>
      <c r="BI263" t="s">
        <v>2776</v>
      </c>
      <c r="BJ263">
        <v>2</v>
      </c>
      <c r="BK263" s="176" t="s">
        <v>2776</v>
      </c>
      <c r="BL263">
        <v>2</v>
      </c>
      <c r="BM263" t="s">
        <v>2768</v>
      </c>
      <c r="BN263">
        <v>2</v>
      </c>
      <c r="BO263" t="s">
        <v>2722</v>
      </c>
      <c r="BP263">
        <v>0</v>
      </c>
      <c r="BQ263" t="s">
        <v>3018</v>
      </c>
      <c r="BR263">
        <v>2</v>
      </c>
      <c r="BS263" t="s">
        <v>2853</v>
      </c>
      <c r="BT263">
        <v>1</v>
      </c>
      <c r="BU263" s="186" t="str">
        <f>IF(秋,"夕照雷峰","千切子寒光")</f>
        <v>千切子寒光</v>
      </c>
      <c r="BV263">
        <v>2</v>
      </c>
      <c r="BW263" s="179" t="s">
        <v>2776</v>
      </c>
      <c r="BX263" s="179">
        <v>2</v>
      </c>
      <c r="BY263" t="s">
        <v>2768</v>
      </c>
      <c r="BZ263">
        <v>2</v>
      </c>
      <c r="CA263" t="s">
        <v>2768</v>
      </c>
      <c r="CB263">
        <v>2</v>
      </c>
    </row>
    <row r="264" spans="1:80">
      <c r="A264" s="178" t="str">
        <f ca="1">IFERROR(IF(AG263&lt;5+金蛇*2,IF(COUNTIF(B263,"*轻*")&gt;0,A263+加速!$L$9,A263+加速!$L$11)+V263,""),"")</f>
        <v/>
      </c>
      <c r="B264" s="167" t="str">
        <f ca="1" t="shared" si="77"/>
        <v/>
      </c>
      <c r="C264" t="str">
        <f ca="1" t="shared" si="86"/>
        <v/>
      </c>
      <c r="D264" t="str">
        <f ca="1">IF(B264&lt;&gt;"",IF(C263&lt;=加速!$L$11*(1-E264),0,1),"")</f>
        <v/>
      </c>
      <c r="E264">
        <f ca="1" t="shared" si="83"/>
        <v>1</v>
      </c>
      <c r="G264" t="str">
        <f ca="1" t="shared" si="84"/>
        <v/>
      </c>
      <c r="H264" t="str">
        <f ca="1">IF(B264&lt;&gt;"",IF(AND(COUNTIF(B263,"*轻*莺鸣柳*")&gt;0,COUNTIF(B264,"*轻*")&lt;1),MAX(0,15+I263-(A264-A263)+COUNTIF(B263,"*平湖*")*0),IF(AND(E264=0,MAX(0,H263-(A264-A263))&lt;=加速!$H$11),0,MAX(0,H263-(A264-A263)))),"")</f>
        <v/>
      </c>
      <c r="I264" t="str">
        <f ca="1" t="shared" si="90"/>
        <v/>
      </c>
      <c r="J264" t="str">
        <f ca="1" t="shared" si="91"/>
        <v/>
      </c>
      <c r="K264" t="str">
        <f ca="1" t="shared" si="78"/>
        <v/>
      </c>
      <c r="L264">
        <f ca="1">IFERROR(IF(AND(COUNTIF(B264,"*-峰插*"),技能数据库!$M$72&gt;0),0,IF(COUNTIF(B264,"*鹤归*")&gt;0,16-加速!$L$11,MAX(0,L263-(A264-A263)))),0)</f>
        <v>0</v>
      </c>
      <c r="M264">
        <f ca="1" t="shared" si="79"/>
        <v>0</v>
      </c>
      <c r="N264">
        <f ca="1">IFERROR(IF(AND(COUNTIF(B264,"*-峰插*"),技能数据库!$M$72&gt;0),0,IF(COUNTIF(B264,"*云飞*")&gt;0,4-COUNTIF(B264,"*玉山揽云*")*4--COUNTIF(B264,"*烟流暮景*")*4-COUNTIF(B264,"*云景*")*加速!$L$11-IF(J264&gt;0,2,0),MAX(0,N263-(A264-A263)-IF(J264&gt;0,2,0)))),0)</f>
        <v>0</v>
      </c>
      <c r="O264">
        <f ca="1">IF(AND(COUNTIF(IF(AND(配装计算器!$K$30&lt;&gt;"∞",0),INDEX(AU263:CB263,1,$AT$1),INDEX(AU265:CB265,1,$AT$1)),"*云飞*")=1,COUNTIF(IF(AND(配装计算器!$K$30&lt;&gt;"∞",0),INDEX(AU263:CB263,1,$AT$1),INDEX(AU265:CB265,1,$AT$1)),"*玉山*")=0),N264,0)</f>
        <v>0</v>
      </c>
      <c r="P264">
        <f ca="1">IFERROR(IF(COUNTIF(B264,"*云栖松*")&gt;0,50-加速!$L$11,MAX(0,P263-(A264-A263))),0)</f>
        <v>0</v>
      </c>
      <c r="Q264">
        <f ca="1">IF(COUNTIF(IF(AND(配装计算器!$K$30&lt;&gt;"∞",0),INDEX(AU263:CB263,1,$AT$1),INDEX(AU265:CB265,1,$AT$1)),"*云栖松*")=1,P264,0)</f>
        <v>0</v>
      </c>
      <c r="R264">
        <f ca="1">IFERROR(IF(COUNTIF(B264,"*莺鸣柳*")&gt;0,45-加速!$L$9,MAX(0,R263-(A264-A263))),0)</f>
        <v>0</v>
      </c>
      <c r="S264">
        <f ca="1">IF(COUNTIF(IF(AND(配装计算器!$K$30&lt;&gt;"∞",0),INDEX(AU263:CB263,1,$AT$1),INDEX(AU265:CB265,1,$AT$1)),"*莺鸣柳*")=1,R264,0)</f>
        <v>0</v>
      </c>
      <c r="T264">
        <f ca="1" t="shared" si="87"/>
        <v>0</v>
      </c>
      <c r="U264">
        <f ca="1">IF(金蛇,IF(COUNTIF(B264,"*金环戴*")+COUNTIF(B264,"*吹风醒*")&gt;0,IF(A264&lt;=3,7.125-2.625-A264-加速!$L$11,7.125+加速!$K$9-(A264+加速!$L$11-T264)),0),0)+IF(金蛇,IF(COUNTIF(B264,"*千切子裂光*")&gt;0,2+加速!$K$9-(A264+加速!$L$11-T264),0),0)</f>
        <v>0</v>
      </c>
      <c r="V264">
        <f ca="1" t="shared" si="88"/>
        <v>0</v>
      </c>
      <c r="W264">
        <f ca="1" t="shared" si="80"/>
        <v>0</v>
      </c>
      <c r="X264">
        <f ca="1">INDEX(加速!$I$13:$I$21,W264+1)</f>
        <v>0</v>
      </c>
      <c r="Y264">
        <f ca="1" t="shared" si="89"/>
        <v>0.5</v>
      </c>
      <c r="Z264">
        <f ca="1" t="shared" si="85"/>
        <v>0</v>
      </c>
      <c r="AA264">
        <f ca="1">MAX(0,IFERROR(IF(COUNTIF(B264,"*叠*")&gt;0,IF(AC263&lt;3,8-A265+A264,AA263+6.875-A265+A264),AA263-A265+A264),AA263-加速!$L$11))</f>
        <v>0</v>
      </c>
      <c r="AB264" t="e">
        <f ca="1">MAX(0,IF(COUNTIF(IF(AND(配装计算器!$K$30&lt;&gt;"∞",0),INDEX(AU264:CB264,1,$AT$1),INDEX(AU264:CB264,1,$AT$1)),"*叠1*")=1,4*25-加速!$L$11,AB263-A264+A263)-IF(OR(COUNTIF(OFFSET(AT264,0,$AT$1,1,1),"*听雷*")&gt;0,AND(碧归&gt;0,COUNTIF(OFFSET(AT264,0,$AT$1,1,1),"*风来*")&gt;0)),0,1)*1.5)</f>
        <v>#VALUE!</v>
      </c>
      <c r="AC264">
        <f ca="1" t="shared" si="81"/>
        <v>0</v>
      </c>
      <c r="AD264">
        <f ca="1">IF(COUNTIF(IF(AND(配装计算器!$K$30&lt;&gt;"∞",0),INDEX(AU264:CB264,1,$AT$1),INDEX(AU265:CB265,1,$AT$1)),"*叠1*")=1,AB264*0+AE263,0)</f>
        <v>0</v>
      </c>
      <c r="AE264" t="e">
        <f ca="1">IF($AN$11&gt;0,IF(COUNTIF(B265,"*叠1*")&gt;0,50-加速!$L$11,MAX(0,AE263-(A265-A264))),0)</f>
        <v>#VALUE!</v>
      </c>
      <c r="AG264">
        <f ca="1" t="shared" si="82"/>
        <v>7</v>
      </c>
      <c r="AU264" s="176" t="s">
        <v>2768</v>
      </c>
      <c r="AV264">
        <v>1</v>
      </c>
      <c r="AW264" t="s">
        <v>3056</v>
      </c>
      <c r="AX264">
        <v>1</v>
      </c>
      <c r="AY264" t="s">
        <v>2776</v>
      </c>
      <c r="AZ264">
        <v>2</v>
      </c>
      <c r="BA264" t="s">
        <v>3035</v>
      </c>
      <c r="BB264">
        <v>2</v>
      </c>
      <c r="BC264" t="s">
        <v>2768</v>
      </c>
      <c r="BD264">
        <v>1</v>
      </c>
      <c r="BE264" t="s">
        <v>2776</v>
      </c>
      <c r="BF264">
        <v>0</v>
      </c>
      <c r="BG264" s="176" t="s">
        <v>3035</v>
      </c>
      <c r="BH264">
        <v>2</v>
      </c>
      <c r="BI264" t="s">
        <v>2768</v>
      </c>
      <c r="BJ264">
        <v>2</v>
      </c>
      <c r="BK264" s="176" t="s">
        <v>2794</v>
      </c>
      <c r="BL264">
        <v>2</v>
      </c>
      <c r="BM264" t="s">
        <v>2768</v>
      </c>
      <c r="BN264">
        <v>2</v>
      </c>
      <c r="BO264" t="s">
        <v>3009</v>
      </c>
      <c r="BP264">
        <v>2</v>
      </c>
      <c r="BQ264" t="s">
        <v>2768</v>
      </c>
      <c r="BR264">
        <v>2</v>
      </c>
      <c r="BS264" s="176" t="str">
        <f>IF(秋,"金蛇锥-金环戴","金蛇锥-吹风醒")</f>
        <v>金蛇锥-吹风醒</v>
      </c>
      <c r="BT264">
        <v>0</v>
      </c>
      <c r="BU264" s="186" t="str">
        <f>IF(秋,"夕照雷峰","千切子裂光")</f>
        <v>千切子裂光</v>
      </c>
      <c r="BV264">
        <v>2</v>
      </c>
      <c r="BW264" s="179" t="s">
        <v>2768</v>
      </c>
      <c r="BX264" s="179">
        <v>2</v>
      </c>
      <c r="BY264" t="s">
        <v>2768</v>
      </c>
      <c r="BZ264">
        <v>2</v>
      </c>
      <c r="CA264" t="s">
        <v>2768</v>
      </c>
      <c r="CB264">
        <v>2</v>
      </c>
    </row>
    <row r="265" spans="1:80">
      <c r="A265" s="178" t="str">
        <f ca="1">IFERROR(IF(AG264&lt;5+金蛇*2,IF(COUNTIF(B264,"*轻*")&gt;0,A264+加速!$L$9,A264+加速!$L$11)+V264,""),"")</f>
        <v/>
      </c>
      <c r="B265" s="167" t="str">
        <f ca="1" t="shared" si="77"/>
        <v/>
      </c>
      <c r="C265" t="str">
        <f ca="1" t="shared" si="86"/>
        <v/>
      </c>
      <c r="D265" t="str">
        <f ca="1">IF(B265&lt;&gt;"",IF(C264&lt;=加速!$L$11*(1-E265),0,1),"")</f>
        <v/>
      </c>
      <c r="E265">
        <f ca="1" t="shared" si="83"/>
        <v>1</v>
      </c>
      <c r="G265" t="str">
        <f ca="1" t="shared" si="84"/>
        <v/>
      </c>
      <c r="H265" t="str">
        <f ca="1">IF(B265&lt;&gt;"",IF(AND(COUNTIF(B264,"*轻*莺鸣柳*")&gt;0,COUNTIF(B265,"*轻*")&lt;1),MAX(0,15+I264-(A265-A264)+COUNTIF(B264,"*平湖*")*0),IF(AND(E265=0,MAX(0,H264-(A265-A264))&lt;=加速!$H$11),0,MAX(0,H264-(A265-A264)))),"")</f>
        <v/>
      </c>
      <c r="I265" t="str">
        <f ca="1" t="shared" si="90"/>
        <v/>
      </c>
      <c r="J265" t="str">
        <f ca="1" t="shared" si="91"/>
        <v/>
      </c>
      <c r="K265" t="str">
        <f ca="1" t="shared" si="78"/>
        <v/>
      </c>
      <c r="L265">
        <f ca="1">IFERROR(IF(AND(COUNTIF(B265,"*-峰插*"),技能数据库!$M$72&gt;0),0,IF(COUNTIF(B265,"*鹤归*")&gt;0,16-加速!$L$11,MAX(0,L264-(A265-A264)))),0)</f>
        <v>0</v>
      </c>
      <c r="M265">
        <f ca="1" t="shared" si="79"/>
        <v>0</v>
      </c>
      <c r="N265">
        <f ca="1">IFERROR(IF(AND(COUNTIF(B265,"*-峰插*"),技能数据库!$M$72&gt;0),0,IF(COUNTIF(B265,"*云飞*")&gt;0,4-COUNTIF(B265,"*玉山揽云*")*4--COUNTIF(B265,"*烟流暮景*")*4-COUNTIF(B265,"*云景*")*加速!$L$11-IF(J265&gt;0,2,0),MAX(0,N264-(A265-A264)-IF(J265&gt;0,2,0)))),0)</f>
        <v>0</v>
      </c>
      <c r="O265">
        <f ca="1">IF(AND(COUNTIF(IF(AND(配装计算器!$K$30&lt;&gt;"∞",0),INDEX(AU264:CB264,1,$AT$1),INDEX(AU266:CB266,1,$AT$1)),"*云飞*")=1,COUNTIF(IF(AND(配装计算器!$K$30&lt;&gt;"∞",0),INDEX(AU264:CB264,1,$AT$1),INDEX(AU266:CB266,1,$AT$1)),"*玉山*")=0),N265,0)</f>
        <v>0</v>
      </c>
      <c r="P265">
        <f ca="1">IFERROR(IF(COUNTIF(B265,"*云栖松*")&gt;0,50-加速!$L$11,MAX(0,P264-(A265-A264))),0)</f>
        <v>0</v>
      </c>
      <c r="Q265">
        <f ca="1">IF(COUNTIF(IF(AND(配装计算器!$K$30&lt;&gt;"∞",0),INDEX(AU264:CB264,1,$AT$1),INDEX(AU266:CB266,1,$AT$1)),"*云栖松*")=1,P265,0)</f>
        <v>0</v>
      </c>
      <c r="R265">
        <f ca="1">IFERROR(IF(COUNTIF(B265,"*莺鸣柳*")&gt;0,45-加速!$L$9,MAX(0,R264-(A265-A264))),0)</f>
        <v>0</v>
      </c>
      <c r="S265">
        <f ca="1">IF(COUNTIF(IF(AND(配装计算器!$K$30&lt;&gt;"∞",0),INDEX(AU264:CB264,1,$AT$1),INDEX(AU266:CB266,1,$AT$1)),"*莺鸣柳*")=1,R265,0)</f>
        <v>0</v>
      </c>
      <c r="T265">
        <f ca="1" t="shared" si="87"/>
        <v>0</v>
      </c>
      <c r="U265">
        <f ca="1">IF(金蛇,IF(COUNTIF(B265,"*金环戴*")+COUNTIF(B265,"*吹风醒*")&gt;0,IF(A265&lt;=3,7.125-2.625-A265-加速!$L$11,7.125+加速!$K$9-(A265+加速!$L$11-T265)),0),0)+IF(金蛇,IF(COUNTIF(B265,"*千切子裂光*")&gt;0,2+加速!$K$9-(A265+加速!$L$11-T265),0),0)</f>
        <v>0</v>
      </c>
      <c r="V265">
        <f ca="1" t="shared" si="88"/>
        <v>0</v>
      </c>
      <c r="W265">
        <f ca="1" t="shared" si="80"/>
        <v>0</v>
      </c>
      <c r="X265">
        <f ca="1">INDEX(加速!$I$13:$I$21,W265+1)</f>
        <v>0</v>
      </c>
      <c r="Y265">
        <f ca="1" t="shared" si="89"/>
        <v>0.5</v>
      </c>
      <c r="Z265">
        <f ca="1" t="shared" si="85"/>
        <v>0</v>
      </c>
      <c r="AA265">
        <f ca="1">MAX(0,IFERROR(IF(COUNTIF(B265,"*叠*")&gt;0,IF(AC264&lt;3,8-A266+A265,AA264+6.875-A266+A265),AA264-A266+A265),AA264-加速!$L$11))</f>
        <v>0</v>
      </c>
      <c r="AB265" t="e">
        <f ca="1">MAX(0,IF(COUNTIF(IF(AND(配装计算器!$K$30&lt;&gt;"∞",0),INDEX(AU265:CB265,1,$AT$1),INDEX(AU265:CB265,1,$AT$1)),"*叠1*")=1,4*25-加速!$L$11,AB264-A265+A264)-IF(OR(COUNTIF(OFFSET(AT265,0,$AT$1,1,1),"*听雷*")&gt;0,AND(碧归&gt;0,COUNTIF(OFFSET(AT265,0,$AT$1,1,1),"*风来*")&gt;0)),0,1)*1.5)</f>
        <v>#VALUE!</v>
      </c>
      <c r="AC265">
        <f ca="1" t="shared" si="81"/>
        <v>0</v>
      </c>
      <c r="AD265">
        <f ca="1">IF(COUNTIF(IF(AND(配装计算器!$K$30&lt;&gt;"∞",0),INDEX(AU265:CB265,1,$AT$1),INDEX(AU266:CB266,1,$AT$1)),"*叠1*")=1,AB265*0+AE264,0)</f>
        <v>0</v>
      </c>
      <c r="AE265" t="e">
        <f ca="1">IF($AN$11&gt;0,IF(COUNTIF(B266,"*叠1*")&gt;0,50-加速!$L$11,MAX(0,AE264-(A266-A265))),0)</f>
        <v>#VALUE!</v>
      </c>
      <c r="AG265">
        <f ca="1" t="shared" si="82"/>
        <v>7</v>
      </c>
      <c r="AU265" s="176" t="s">
        <v>2776</v>
      </c>
      <c r="AV265">
        <v>2</v>
      </c>
      <c r="AW265" t="s">
        <v>2768</v>
      </c>
      <c r="AX265">
        <v>2</v>
      </c>
      <c r="AY265" t="s">
        <v>3035</v>
      </c>
      <c r="AZ265">
        <v>2</v>
      </c>
      <c r="BA265" t="s">
        <v>2768</v>
      </c>
      <c r="BB265">
        <v>2</v>
      </c>
      <c r="BC265" t="s">
        <v>2776</v>
      </c>
      <c r="BD265">
        <v>1</v>
      </c>
      <c r="BE265" t="s">
        <v>2768</v>
      </c>
      <c r="BF265">
        <v>0</v>
      </c>
      <c r="BG265" t="s">
        <v>2768</v>
      </c>
      <c r="BH265">
        <v>2</v>
      </c>
      <c r="BI265" t="s">
        <v>2768</v>
      </c>
      <c r="BJ265">
        <v>2</v>
      </c>
      <c r="BK265" s="176" t="s">
        <v>2768</v>
      </c>
      <c r="BL265">
        <v>2</v>
      </c>
      <c r="BM265" t="s">
        <v>2776</v>
      </c>
      <c r="BN265">
        <v>2</v>
      </c>
      <c r="BO265" t="s">
        <v>2776</v>
      </c>
      <c r="BP265">
        <v>2</v>
      </c>
      <c r="BQ265" t="s">
        <v>3023</v>
      </c>
      <c r="BR265">
        <v>2</v>
      </c>
      <c r="BS265" t="s">
        <v>2773</v>
      </c>
      <c r="BT265">
        <v>2</v>
      </c>
      <c r="BU265" s="176" t="s">
        <v>2768</v>
      </c>
      <c r="BV265">
        <v>2</v>
      </c>
      <c r="BW265" s="179" t="s">
        <v>2768</v>
      </c>
      <c r="BX265" s="179">
        <v>1</v>
      </c>
      <c r="BY265" t="s">
        <v>2776</v>
      </c>
      <c r="BZ265">
        <v>2</v>
      </c>
      <c r="CA265" t="s">
        <v>2776</v>
      </c>
      <c r="CB265">
        <v>2</v>
      </c>
    </row>
    <row r="266" spans="1:80">
      <c r="A266" s="178" t="str">
        <f ca="1">IFERROR(IF(AG265&lt;5+金蛇*2,IF(COUNTIF(B265,"*轻*")&gt;0,A265+加速!$L$9,A265+加速!$L$11)+V265,""),"")</f>
        <v/>
      </c>
      <c r="B266" s="167" t="str">
        <f ca="1" t="shared" si="77"/>
        <v/>
      </c>
      <c r="C266" t="str">
        <f ca="1" t="shared" si="86"/>
        <v/>
      </c>
      <c r="D266" t="str">
        <f ca="1">IF(B266&lt;&gt;"",IF(C265&lt;=加速!$L$11*(1-E266),0,1),"")</f>
        <v/>
      </c>
      <c r="E266">
        <f ca="1" t="shared" si="83"/>
        <v>1</v>
      </c>
      <c r="G266" t="str">
        <f ca="1" t="shared" si="84"/>
        <v/>
      </c>
      <c r="H266" t="str">
        <f ca="1">IF(B266&lt;&gt;"",IF(AND(COUNTIF(B265,"*轻*莺鸣柳*")&gt;0,COUNTIF(B266,"*轻*")&lt;1),MAX(0,15+I265-(A266-A265)+COUNTIF(B265,"*平湖*")*0),IF(AND(E266=0,MAX(0,H265-(A266-A265))&lt;=加速!$H$11),0,MAX(0,H265-(A266-A265)))),"")</f>
        <v/>
      </c>
      <c r="I266" t="str">
        <f ca="1" t="shared" si="90"/>
        <v/>
      </c>
      <c r="J266" t="str">
        <f ca="1" t="shared" si="91"/>
        <v/>
      </c>
      <c r="K266" t="str">
        <f ca="1" t="shared" si="78"/>
        <v/>
      </c>
      <c r="L266">
        <f ca="1">IFERROR(IF(AND(COUNTIF(B266,"*-峰插*"),技能数据库!$M$72&gt;0),0,IF(COUNTIF(B266,"*鹤归*")&gt;0,16-加速!$L$11,MAX(0,L265-(A266-A265)))),0)</f>
        <v>0</v>
      </c>
      <c r="M266">
        <f ca="1" t="shared" si="79"/>
        <v>0</v>
      </c>
      <c r="N266">
        <f ca="1">IFERROR(IF(AND(COUNTIF(B266,"*-峰插*"),技能数据库!$M$72&gt;0),0,IF(COUNTIF(B266,"*云飞*")&gt;0,4-COUNTIF(B266,"*玉山揽云*")*4--COUNTIF(B266,"*烟流暮景*")*4-COUNTIF(B266,"*云景*")*加速!$L$11-IF(J266&gt;0,2,0),MAX(0,N265-(A266-A265)-IF(J266&gt;0,2,0)))),0)</f>
        <v>0</v>
      </c>
      <c r="O266">
        <f ca="1">IF(AND(COUNTIF(IF(AND(配装计算器!$K$30&lt;&gt;"∞",0),INDEX(AU265:CB265,1,$AT$1),INDEX(AU267:CB267,1,$AT$1)),"*云飞*")=1,COUNTIF(IF(AND(配装计算器!$K$30&lt;&gt;"∞",0),INDEX(AU265:CB265,1,$AT$1),INDEX(AU267:CB267,1,$AT$1)),"*玉山*")=0),N266,0)</f>
        <v>0</v>
      </c>
      <c r="P266">
        <f ca="1">IFERROR(IF(COUNTIF(B266,"*云栖松*")&gt;0,50-加速!$L$11,MAX(0,P265-(A266-A265))),0)</f>
        <v>0</v>
      </c>
      <c r="Q266">
        <f ca="1">IF(COUNTIF(IF(AND(配装计算器!$K$30&lt;&gt;"∞",0),INDEX(AU265:CB265,1,$AT$1),INDEX(AU267:CB267,1,$AT$1)),"*云栖松*")=1,P266,0)</f>
        <v>0</v>
      </c>
      <c r="R266">
        <f ca="1">IFERROR(IF(COUNTIF(B266,"*莺鸣柳*")&gt;0,45-加速!$L$9,MAX(0,R265-(A266-A265))),0)</f>
        <v>0</v>
      </c>
      <c r="S266">
        <f ca="1">IF(COUNTIF(IF(AND(配装计算器!$K$30&lt;&gt;"∞",0),INDEX(AU265:CB265,1,$AT$1),INDEX(AU267:CB267,1,$AT$1)),"*莺鸣柳*")=1,R266,0)</f>
        <v>0</v>
      </c>
      <c r="T266">
        <f ca="1" t="shared" si="87"/>
        <v>0</v>
      </c>
      <c r="U266">
        <f ca="1">IF(金蛇,IF(COUNTIF(B266,"*金环戴*")+COUNTIF(B266,"*吹风醒*")&gt;0,IF(A266&lt;=3,7.125-2.625-A266-加速!$L$11,7.125+加速!$K$9-(A266+加速!$L$11-T266)),0),0)+IF(金蛇,IF(COUNTIF(B266,"*千切子裂光*")&gt;0,2+加速!$K$9-(A266+加速!$L$11-T266),0),0)</f>
        <v>0</v>
      </c>
      <c r="V266">
        <f ca="1" t="shared" si="88"/>
        <v>0</v>
      </c>
      <c r="W266">
        <f ca="1" t="shared" si="80"/>
        <v>0</v>
      </c>
      <c r="X266">
        <f ca="1">INDEX(加速!$I$13:$I$21,W266+1)</f>
        <v>0</v>
      </c>
      <c r="Y266">
        <f ca="1" t="shared" si="89"/>
        <v>0.5</v>
      </c>
      <c r="Z266">
        <f ca="1" t="shared" si="85"/>
        <v>0</v>
      </c>
      <c r="AA266">
        <f ca="1">MAX(0,IFERROR(IF(COUNTIF(B266,"*叠*")&gt;0,IF(AC265&lt;3,8-A267+A266,AA265+6.875-A267+A266),AA265-A267+A266),AA265-加速!$L$11))</f>
        <v>0</v>
      </c>
      <c r="AB266" t="e">
        <f ca="1">MAX(0,IF(COUNTIF(IF(AND(配装计算器!$K$30&lt;&gt;"∞",0),INDEX(AU266:CB266,1,$AT$1),INDEX(AU266:CB266,1,$AT$1)),"*叠1*")=1,4*25-加速!$L$11,AB265-A266+A265)-IF(OR(COUNTIF(OFFSET(AT266,0,$AT$1,1,1),"*听雷*")&gt;0,AND(碧归&gt;0,COUNTIF(OFFSET(AT266,0,$AT$1,1,1),"*风来*")&gt;0)),0,1)*1.5)</f>
        <v>#VALUE!</v>
      </c>
      <c r="AC266">
        <f ca="1" t="shared" si="81"/>
        <v>0</v>
      </c>
      <c r="AD266">
        <f ca="1">IF(COUNTIF(IF(AND(配装计算器!$K$30&lt;&gt;"∞",0),INDEX(AU266:CB266,1,$AT$1),INDEX(AU267:CB267,1,$AT$1)),"*叠1*")=1,AB266*0+AE265,0)</f>
        <v>0</v>
      </c>
      <c r="AE266" t="e">
        <f ca="1">IF($AN$11&gt;0,IF(COUNTIF(B267,"*叠1*")&gt;0,50-加速!$L$11,MAX(0,AE265-(A267-A266))),0)</f>
        <v>#VALUE!</v>
      </c>
      <c r="AG266">
        <f ca="1" t="shared" si="82"/>
        <v>7</v>
      </c>
      <c r="AU266" s="176" t="s">
        <v>2768</v>
      </c>
      <c r="AV266">
        <v>1</v>
      </c>
      <c r="AW266" t="s">
        <v>2768</v>
      </c>
      <c r="AX266">
        <v>2</v>
      </c>
      <c r="AY266" t="s">
        <v>2768</v>
      </c>
      <c r="AZ266">
        <v>2</v>
      </c>
      <c r="BA266" t="s">
        <v>2776</v>
      </c>
      <c r="BB266">
        <v>2</v>
      </c>
      <c r="BC266" t="s">
        <v>2768</v>
      </c>
      <c r="BD266">
        <v>1</v>
      </c>
      <c r="BE266" t="s">
        <v>2776</v>
      </c>
      <c r="BF266">
        <v>0</v>
      </c>
      <c r="BG266" t="s">
        <v>2776</v>
      </c>
      <c r="BH266">
        <v>2</v>
      </c>
      <c r="BI266" s="176" t="s">
        <v>2794</v>
      </c>
      <c r="BJ266">
        <v>1</v>
      </c>
      <c r="BK266" s="176" t="s">
        <v>2776</v>
      </c>
      <c r="BL266">
        <v>2</v>
      </c>
      <c r="BM266" t="s">
        <v>2768</v>
      </c>
      <c r="BN266">
        <v>2</v>
      </c>
      <c r="BO266" t="s">
        <v>2768</v>
      </c>
      <c r="BP266">
        <v>2</v>
      </c>
      <c r="BQ266" t="s">
        <v>2768</v>
      </c>
      <c r="BR266">
        <v>2</v>
      </c>
      <c r="BS266" t="s">
        <v>2776</v>
      </c>
      <c r="BT266">
        <v>2</v>
      </c>
      <c r="BU266" s="176" t="s">
        <v>2776</v>
      </c>
      <c r="BV266">
        <v>2</v>
      </c>
      <c r="BW266" s="179" t="s">
        <v>2768</v>
      </c>
      <c r="BX266" s="179">
        <v>1</v>
      </c>
      <c r="BY266" t="s">
        <v>2718</v>
      </c>
      <c r="BZ266">
        <v>0</v>
      </c>
      <c r="CA266" t="s">
        <v>2718</v>
      </c>
      <c r="CB266">
        <v>0</v>
      </c>
    </row>
    <row r="267" spans="1:80">
      <c r="A267" s="178" t="str">
        <f ca="1">IFERROR(IF(AG266&lt;5+金蛇*2,IF(COUNTIF(B266,"*轻*")&gt;0,A266+加速!$L$9,A266+加速!$L$11)+V266,""),"")</f>
        <v/>
      </c>
      <c r="B267" s="167" t="str">
        <f ca="1" t="shared" si="77"/>
        <v/>
      </c>
      <c r="C267" t="str">
        <f ca="1" t="shared" si="86"/>
        <v/>
      </c>
      <c r="D267" t="str">
        <f ca="1">IF(B267&lt;&gt;"",IF(C266&lt;=加速!$L$11*(1-E267),0,1),"")</f>
        <v/>
      </c>
      <c r="E267">
        <f ca="1" t="shared" si="83"/>
        <v>1</v>
      </c>
      <c r="G267" t="str">
        <f ca="1" t="shared" si="84"/>
        <v/>
      </c>
      <c r="H267" t="str">
        <f ca="1">IF(B267&lt;&gt;"",IF(AND(COUNTIF(B266,"*轻*莺鸣柳*")&gt;0,COUNTIF(B267,"*轻*")&lt;1),MAX(0,15+I266-(A267-A266)+COUNTIF(B266,"*平湖*")*0),IF(AND(E267=0,MAX(0,H266-(A267-A266))&lt;=加速!$H$11),0,MAX(0,H266-(A267-A266)))),"")</f>
        <v/>
      </c>
      <c r="I267" t="str">
        <f ca="1" t="shared" si="90"/>
        <v/>
      </c>
      <c r="J267" t="str">
        <f ca="1" t="shared" si="91"/>
        <v/>
      </c>
      <c r="K267" t="str">
        <f ca="1" t="shared" si="78"/>
        <v/>
      </c>
      <c r="L267">
        <f ca="1">IFERROR(IF(AND(COUNTIF(B267,"*-峰插*"),技能数据库!$M$72&gt;0),0,IF(COUNTIF(B267,"*鹤归*")&gt;0,16-加速!$L$11,MAX(0,L266-(A267-A266)))),0)</f>
        <v>0</v>
      </c>
      <c r="M267">
        <f ca="1" t="shared" si="79"/>
        <v>0</v>
      </c>
      <c r="N267">
        <f ca="1">IFERROR(IF(AND(COUNTIF(B267,"*-峰插*"),技能数据库!$M$72&gt;0),0,IF(COUNTIF(B267,"*云飞*")&gt;0,4-COUNTIF(B267,"*玉山揽云*")*4--COUNTIF(B267,"*烟流暮景*")*4-COUNTIF(B267,"*云景*")*加速!$L$11-IF(J267&gt;0,2,0),MAX(0,N266-(A267-A266)-IF(J267&gt;0,2,0)))),0)</f>
        <v>0</v>
      </c>
      <c r="O267">
        <f ca="1">IF(AND(COUNTIF(IF(AND(配装计算器!$K$30&lt;&gt;"∞",0),INDEX(AU266:CB266,1,$AT$1),INDEX(AU268:CB268,1,$AT$1)),"*云飞*")=1,COUNTIF(IF(AND(配装计算器!$K$30&lt;&gt;"∞",0),INDEX(AU266:CB266,1,$AT$1),INDEX(AU268:CB268,1,$AT$1)),"*玉山*")=0),N267,0)</f>
        <v>0</v>
      </c>
      <c r="P267">
        <f ca="1">IFERROR(IF(COUNTIF(B267,"*云栖松*")&gt;0,50-加速!$L$11,MAX(0,P266-(A267-A266))),0)</f>
        <v>0</v>
      </c>
      <c r="Q267">
        <f ca="1">IF(COUNTIF(IF(AND(配装计算器!$K$30&lt;&gt;"∞",0),INDEX(AU266:CB266,1,$AT$1),INDEX(AU268:CB268,1,$AT$1)),"*云栖松*")=1,P267,0)</f>
        <v>0</v>
      </c>
      <c r="R267">
        <f ca="1">IFERROR(IF(COUNTIF(B267,"*莺鸣柳*")&gt;0,45-加速!$L$9,MAX(0,R266-(A267-A266))),0)</f>
        <v>0</v>
      </c>
      <c r="S267">
        <f ca="1">IF(COUNTIF(IF(AND(配装计算器!$K$30&lt;&gt;"∞",0),INDEX(AU266:CB266,1,$AT$1),INDEX(AU268:CB268,1,$AT$1)),"*莺鸣柳*")=1,R267,0)</f>
        <v>0</v>
      </c>
      <c r="T267">
        <f ca="1" t="shared" si="87"/>
        <v>0</v>
      </c>
      <c r="U267">
        <f ca="1">IF(金蛇,IF(COUNTIF(B267,"*金环戴*")+COUNTIF(B267,"*吹风醒*")&gt;0,IF(A267&lt;=3,7.125-2.625-A267-加速!$L$11,7.125+加速!$K$9-(A267+加速!$L$11-T267)),0),0)+IF(金蛇,IF(COUNTIF(B267,"*千切子裂光*")&gt;0,2+加速!$K$9-(A267+加速!$L$11-T267),0),0)</f>
        <v>0</v>
      </c>
      <c r="V267">
        <f ca="1" t="shared" si="88"/>
        <v>0</v>
      </c>
      <c r="W267">
        <f ca="1" t="shared" si="80"/>
        <v>0</v>
      </c>
      <c r="X267">
        <f ca="1">INDEX(加速!$I$13:$I$21,W267+1)</f>
        <v>0</v>
      </c>
      <c r="Y267">
        <f ca="1" t="shared" si="89"/>
        <v>0.5</v>
      </c>
      <c r="Z267">
        <f ca="1" t="shared" si="85"/>
        <v>0</v>
      </c>
      <c r="AA267">
        <f ca="1">MAX(0,IFERROR(IF(COUNTIF(B267,"*叠*")&gt;0,IF(AC266&lt;3,8-A268+A267,AA266+6.875-A268+A267),AA266-A268+A267),AA266-加速!$L$11))</f>
        <v>0</v>
      </c>
      <c r="AB267" t="e">
        <f ca="1">MAX(0,IF(COUNTIF(IF(AND(配装计算器!$K$30&lt;&gt;"∞",0),INDEX(AU267:CB267,1,$AT$1),INDEX(AU267:CB267,1,$AT$1)),"*叠1*")=1,4*25-加速!$L$11,AB266-A267+A266)-IF(OR(COUNTIF(OFFSET(AT267,0,$AT$1,1,1),"*听雷*")&gt;0,AND(碧归&gt;0,COUNTIF(OFFSET(AT267,0,$AT$1,1,1),"*风来*")&gt;0)),0,1)*1.5)</f>
        <v>#VALUE!</v>
      </c>
      <c r="AC267">
        <f ca="1" t="shared" si="81"/>
        <v>0</v>
      </c>
      <c r="AD267">
        <f ca="1">IF(COUNTIF(IF(AND(配装计算器!$K$30&lt;&gt;"∞",0),INDEX(AU267:CB267,1,$AT$1),INDEX(AU268:CB268,1,$AT$1)),"*叠1*")=1,AB267*0+AE266,0)</f>
        <v>0</v>
      </c>
      <c r="AE267" t="e">
        <f ca="1">IF($AN$11&gt;0,IF(COUNTIF(B268,"*叠1*")&gt;0,50-加速!$L$11,MAX(0,AE266-(A268-A267))),0)</f>
        <v>#VALUE!</v>
      </c>
      <c r="AG267">
        <f ca="1" t="shared" si="82"/>
        <v>7</v>
      </c>
      <c r="AU267" s="176" t="s">
        <v>2776</v>
      </c>
      <c r="AV267">
        <v>1</v>
      </c>
      <c r="AW267" t="s">
        <v>2768</v>
      </c>
      <c r="AX267">
        <v>2</v>
      </c>
      <c r="AY267" t="s">
        <v>2776</v>
      </c>
      <c r="AZ267">
        <v>2</v>
      </c>
      <c r="BA267" t="s">
        <v>2768</v>
      </c>
      <c r="BB267">
        <v>2</v>
      </c>
      <c r="BC267" t="s">
        <v>2768</v>
      </c>
      <c r="BD267">
        <v>0</v>
      </c>
      <c r="BE267" t="s">
        <v>3012</v>
      </c>
      <c r="BF267">
        <v>2</v>
      </c>
      <c r="BG267" t="s">
        <v>2768</v>
      </c>
      <c r="BH267">
        <v>2</v>
      </c>
      <c r="BI267" t="s">
        <v>2776</v>
      </c>
      <c r="BJ267">
        <v>1</v>
      </c>
      <c r="BK267" t="s">
        <v>2768</v>
      </c>
      <c r="BL267">
        <v>1</v>
      </c>
      <c r="BM267" t="s">
        <v>2768</v>
      </c>
      <c r="BN267">
        <v>2</v>
      </c>
      <c r="BO267" s="180" t="s">
        <v>2789</v>
      </c>
      <c r="BP267">
        <v>2</v>
      </c>
      <c r="BQ267" t="s">
        <v>2776</v>
      </c>
      <c r="BR267">
        <v>2</v>
      </c>
      <c r="BS267" t="s">
        <v>2768</v>
      </c>
      <c r="BT267">
        <v>2</v>
      </c>
      <c r="BU267" t="str">
        <f>IF(秋,"鹤归孤山-叠-蛇牙锥心","鹤归孤山-叠")</f>
        <v>鹤归孤山-叠</v>
      </c>
      <c r="BV267">
        <v>2</v>
      </c>
      <c r="BW267" s="179" t="s">
        <v>2776</v>
      </c>
      <c r="BX267" s="179">
        <v>1</v>
      </c>
      <c r="BY267" t="s">
        <v>2768</v>
      </c>
      <c r="BZ267">
        <v>2</v>
      </c>
      <c r="CA267" t="s">
        <v>2768</v>
      </c>
      <c r="CB267">
        <v>2</v>
      </c>
    </row>
    <row r="268" spans="1:80">
      <c r="A268" s="178" t="str">
        <f ca="1">IFERROR(IF(AG267&lt;5+金蛇*2,IF(COUNTIF(B267,"*轻*")&gt;0,A267+加速!$L$9,A267+加速!$L$11)+V267,""),"")</f>
        <v/>
      </c>
      <c r="B268" s="167" t="str">
        <f ca="1" t="shared" si="77"/>
        <v/>
      </c>
      <c r="C268" t="str">
        <f ca="1" t="shared" si="86"/>
        <v/>
      </c>
      <c r="D268" t="str">
        <f ca="1">IF(B268&lt;&gt;"",IF(C267&lt;=加速!$L$11*(1-E268),0,1),"")</f>
        <v/>
      </c>
      <c r="E268">
        <f ca="1" t="shared" si="83"/>
        <v>1</v>
      </c>
      <c r="G268" t="str">
        <f ca="1" t="shared" si="84"/>
        <v/>
      </c>
      <c r="H268" t="str">
        <f ca="1">IF(B268&lt;&gt;"",IF(AND(COUNTIF(B267,"*轻*莺鸣柳*")&gt;0,COUNTIF(B268,"*轻*")&lt;1),MAX(0,15+I267-(A268-A267)+COUNTIF(B267,"*平湖*")*0),IF(AND(E268=0,MAX(0,H267-(A268-A267))&lt;=加速!$H$11),0,MAX(0,H267-(A268-A267)))),"")</f>
        <v/>
      </c>
      <c r="I268" t="str">
        <f ca="1" t="shared" si="90"/>
        <v/>
      </c>
      <c r="J268" t="str">
        <f ca="1" t="shared" si="91"/>
        <v/>
      </c>
      <c r="K268" t="str">
        <f ca="1" t="shared" si="78"/>
        <v/>
      </c>
      <c r="L268">
        <f ca="1">IFERROR(IF(AND(COUNTIF(B268,"*-峰插*"),技能数据库!$M$72&gt;0),0,IF(COUNTIF(B268,"*鹤归*")&gt;0,16-加速!$L$11,MAX(0,L267-(A268-A267)))),0)</f>
        <v>0</v>
      </c>
      <c r="M268">
        <f ca="1" t="shared" si="79"/>
        <v>0</v>
      </c>
      <c r="N268">
        <f ca="1">IFERROR(IF(AND(COUNTIF(B268,"*-峰插*"),技能数据库!$M$72&gt;0),0,IF(COUNTIF(B268,"*云飞*")&gt;0,4-COUNTIF(B268,"*玉山揽云*")*4--COUNTIF(B268,"*烟流暮景*")*4-COUNTIF(B268,"*云景*")*加速!$L$11-IF(J268&gt;0,2,0),MAX(0,N267-(A268-A267)-IF(J268&gt;0,2,0)))),0)</f>
        <v>0</v>
      </c>
      <c r="O268">
        <f ca="1">IF(AND(COUNTIF(IF(AND(配装计算器!$K$30&lt;&gt;"∞",0),INDEX(AU267:CB267,1,$AT$1),INDEX(AU269:CB269,1,$AT$1)),"*云飞*")=1,COUNTIF(IF(AND(配装计算器!$K$30&lt;&gt;"∞",0),INDEX(AU267:CB267,1,$AT$1),INDEX(AU269:CB269,1,$AT$1)),"*玉山*")=0),N268,0)</f>
        <v>0</v>
      </c>
      <c r="P268">
        <f ca="1">IFERROR(IF(COUNTIF(B268,"*云栖松*")&gt;0,50-加速!$L$11,MAX(0,P267-(A268-A267))),0)</f>
        <v>0</v>
      </c>
      <c r="Q268">
        <f ca="1">IF(COUNTIF(IF(AND(配装计算器!$K$30&lt;&gt;"∞",0),INDEX(AU267:CB267,1,$AT$1),INDEX(AU269:CB269,1,$AT$1)),"*云栖松*")=1,P268,0)</f>
        <v>0</v>
      </c>
      <c r="R268">
        <f ca="1">IFERROR(IF(COUNTIF(B268,"*莺鸣柳*")&gt;0,45-加速!$L$9,MAX(0,R267-(A268-A267))),0)</f>
        <v>0</v>
      </c>
      <c r="S268">
        <f ca="1">IF(COUNTIF(IF(AND(配装计算器!$K$30&lt;&gt;"∞",0),INDEX(AU267:CB267,1,$AT$1),INDEX(AU269:CB269,1,$AT$1)),"*莺鸣柳*")=1,R268,0)</f>
        <v>0</v>
      </c>
      <c r="T268">
        <f ca="1" t="shared" si="87"/>
        <v>0</v>
      </c>
      <c r="U268">
        <f ca="1">IF(金蛇,IF(COUNTIF(B268,"*金环戴*")+COUNTIF(B268,"*吹风醒*")&gt;0,IF(A268&lt;=3,7.125-2.625-A268-加速!$L$11,7.125+加速!$K$9-(A268+加速!$L$11-T268)),0),0)+IF(金蛇,IF(COUNTIF(B268,"*千切子裂光*")&gt;0,2+加速!$K$9-(A268+加速!$L$11-T268),0),0)</f>
        <v>0</v>
      </c>
      <c r="V268" t="e">
        <f ca="1" t="shared" si="88"/>
        <v>#VALUE!</v>
      </c>
      <c r="W268">
        <f ca="1" t="shared" si="80"/>
        <v>0</v>
      </c>
      <c r="X268">
        <f ca="1">INDEX(加速!$I$13:$I$21,W268+1)</f>
        <v>0</v>
      </c>
      <c r="Y268">
        <f ca="1" t="shared" si="89"/>
        <v>0.5</v>
      </c>
      <c r="Z268">
        <f ca="1" t="shared" si="85"/>
        <v>0</v>
      </c>
      <c r="AA268">
        <f ca="1">MAX(0,IFERROR(IF(COUNTIF(B268,"*叠*")&gt;0,IF(AC267&lt;3,8-A269+A268,AA267+6.875-A269+A268),AA267-A269+A268),AA267-加速!$L$11))</f>
        <v>0</v>
      </c>
      <c r="AB268" t="e">
        <f ca="1">MAX(0,IF(COUNTIF(IF(AND(配装计算器!$K$30&lt;&gt;"∞",0),INDEX(AU268:CB268,1,$AT$1),INDEX(AU268:CB268,1,$AT$1)),"*叠1*")=1,4*25-加速!$L$11,AB267-A268+A267)-IF(OR(COUNTIF(OFFSET(AT268,0,$AT$1,1,1),"*听雷*")&gt;0,AND(碧归&gt;0,COUNTIF(OFFSET(AT268,0,$AT$1,1,1),"*风来*")&gt;0)),0,1)*1.5)</f>
        <v>#VALUE!</v>
      </c>
      <c r="AC268">
        <f ca="1" t="shared" si="81"/>
        <v>0</v>
      </c>
      <c r="AD268" t="e">
        <f ca="1">IF(COUNTIF(IF(AND(配装计算器!$K$30&lt;&gt;"∞",0),INDEX(AU268:CB268,1,$AT$1),INDEX(AU269:CB269,1,$AT$1)),"*叠1*")=1,AB268*0+AE267,0)</f>
        <v>#VALUE!</v>
      </c>
      <c r="AE268" t="e">
        <f ca="1">IF($AN$11&gt;0,IF(COUNTIF(B269,"*叠1*")&gt;0,50-加速!$L$11,MAX(0,AE267-(A269-A268))),0)</f>
        <v>#VALUE!</v>
      </c>
      <c r="AG268">
        <f ca="1" t="shared" si="82"/>
        <v>8</v>
      </c>
      <c r="AU268" t="s">
        <v>2722</v>
      </c>
      <c r="AV268">
        <v>0</v>
      </c>
      <c r="AW268" t="s">
        <v>2776</v>
      </c>
      <c r="AX268">
        <v>2</v>
      </c>
      <c r="AY268" t="s">
        <v>2768</v>
      </c>
      <c r="AZ268">
        <v>2</v>
      </c>
      <c r="BA268" t="s">
        <v>2776</v>
      </c>
      <c r="BB268">
        <v>2</v>
      </c>
      <c r="BC268" t="s">
        <v>2768</v>
      </c>
      <c r="BD268">
        <v>0</v>
      </c>
      <c r="BE268" t="s">
        <v>2776</v>
      </c>
      <c r="BF268">
        <v>2</v>
      </c>
      <c r="BG268" t="s">
        <v>2776</v>
      </c>
      <c r="BH268">
        <v>2</v>
      </c>
      <c r="BI268" t="s">
        <v>2768</v>
      </c>
      <c r="BJ268">
        <v>0</v>
      </c>
      <c r="BK268" t="s">
        <v>2776</v>
      </c>
      <c r="BL268">
        <v>1</v>
      </c>
      <c r="BM268" t="s">
        <v>2768</v>
      </c>
      <c r="BN268">
        <v>2</v>
      </c>
      <c r="BO268" s="176" t="s">
        <v>2794</v>
      </c>
      <c r="BP268">
        <v>2</v>
      </c>
      <c r="BQ268" t="str">
        <f>IF(秋,"夕照雷峰","千切子寒光")</f>
        <v>千切子寒光</v>
      </c>
      <c r="BR268">
        <v>2</v>
      </c>
      <c r="BS268" t="s">
        <v>2768</v>
      </c>
      <c r="BT268">
        <v>2</v>
      </c>
      <c r="BU268" t="s">
        <v>2768</v>
      </c>
      <c r="BV268">
        <v>2</v>
      </c>
      <c r="BW268" s="179" t="s">
        <v>2768</v>
      </c>
      <c r="BX268" s="179">
        <v>1</v>
      </c>
      <c r="BY268" t="s">
        <v>2768</v>
      </c>
      <c r="BZ268">
        <v>1</v>
      </c>
      <c r="CA268" t="s">
        <v>2768</v>
      </c>
      <c r="CB268">
        <v>1</v>
      </c>
    </row>
    <row r="269" spans="1:80">
      <c r="A269" s="178" t="str">
        <f ca="1">IFERROR(IF(AG268&lt;5+金蛇*2,IF(COUNTIF(B268,"*轻*")&gt;0,A268+加速!$L$9,A268+加速!$L$11)+V268,""),"")</f>
        <v/>
      </c>
      <c r="B269" s="167" t="str">
        <f ca="1" t="shared" si="77"/>
        <v/>
      </c>
      <c r="C269" t="str">
        <f ca="1" t="shared" si="86"/>
        <v/>
      </c>
      <c r="D269" t="str">
        <f ca="1">IF(B269&lt;&gt;"",IF(C268&lt;=加速!$L$11*(1-E269),0,1),"")</f>
        <v/>
      </c>
      <c r="E269">
        <f ca="1" t="shared" si="83"/>
        <v>1</v>
      </c>
      <c r="G269" t="str">
        <f ca="1" t="shared" si="84"/>
        <v/>
      </c>
      <c r="H269" t="str">
        <f ca="1">IF(B269&lt;&gt;"",IF(AND(COUNTIF(B268,"*轻*莺鸣柳*")&gt;0,COUNTIF(B269,"*轻*")&lt;1),MAX(0,15+I268-(A269-A268)+COUNTIF(B268,"*平湖*")*0),IF(AND(E269=0,MAX(0,H268-(A269-A268))&lt;=加速!$H$11),0,MAX(0,H268-(A269-A268)))),"")</f>
        <v/>
      </c>
      <c r="I269" t="str">
        <f ca="1" t="shared" si="90"/>
        <v/>
      </c>
      <c r="J269" t="str">
        <f ca="1" t="shared" si="91"/>
        <v/>
      </c>
      <c r="K269" t="str">
        <f ca="1" t="shared" si="78"/>
        <v/>
      </c>
      <c r="L269">
        <f ca="1">IFERROR(IF(AND(COUNTIF(B269,"*-峰插*"),技能数据库!$M$72&gt;0),0,IF(COUNTIF(B269,"*鹤归*")&gt;0,16-加速!$L$11,MAX(0,L268-(A269-A268)))),0)</f>
        <v>0</v>
      </c>
      <c r="M269">
        <f ca="1" t="shared" si="79"/>
        <v>0</v>
      </c>
      <c r="N269">
        <f ca="1">IFERROR(IF(AND(COUNTIF(B269,"*-峰插*"),技能数据库!$M$72&gt;0),0,IF(COUNTIF(B269,"*云飞*")&gt;0,4-COUNTIF(B269,"*玉山揽云*")*4--COUNTIF(B269,"*烟流暮景*")*4-COUNTIF(B269,"*云景*")*加速!$L$11-IF(J269&gt;0,2,0),MAX(0,N268-(A269-A268)-IF(J269&gt;0,2,0)))),0)</f>
        <v>0</v>
      </c>
      <c r="O269">
        <f ca="1">IF(AND(COUNTIF(IF(AND(配装计算器!$K$30&lt;&gt;"∞",0),INDEX(AU268:CB268,1,$AT$1),INDEX(AU270:CB270,1,$AT$1)),"*云飞*")=1,COUNTIF(IF(AND(配装计算器!$K$30&lt;&gt;"∞",0),INDEX(AU268:CB268,1,$AT$1),INDEX(AU270:CB270,1,$AT$1)),"*玉山*")=0),N269,0)</f>
        <v>0</v>
      </c>
      <c r="P269">
        <f ca="1">IFERROR(IF(COUNTIF(B269,"*云栖松*")&gt;0,50-加速!$L$11,MAX(0,P268-(A269-A268))),0)</f>
        <v>0</v>
      </c>
      <c r="Q269">
        <f ca="1">IF(COUNTIF(IF(AND(配装计算器!$K$30&lt;&gt;"∞",0),INDEX(AU268:CB268,1,$AT$1),INDEX(AU270:CB270,1,$AT$1)),"*云栖松*")=1,P269,0)</f>
        <v>0</v>
      </c>
      <c r="R269">
        <f ca="1">IFERROR(IF(COUNTIF(B269,"*莺鸣柳*")&gt;0,45-加速!$L$9,MAX(0,R268-(A269-A268))),0)</f>
        <v>0</v>
      </c>
      <c r="S269">
        <f ca="1">IF(COUNTIF(IF(AND(配装计算器!$K$30&lt;&gt;"∞",0),INDEX(AU268:CB268,1,$AT$1),INDEX(AU270:CB270,1,$AT$1)),"*莺鸣柳*")=1,R269,0)</f>
        <v>0</v>
      </c>
      <c r="T269">
        <f ca="1" t="shared" si="87"/>
        <v>0</v>
      </c>
      <c r="U269">
        <f ca="1">IF(金蛇,IF(COUNTIF(B269,"*金环戴*")+COUNTIF(B269,"*吹风醒*")&gt;0,IF(A269&lt;=3,7.125-2.625-A269-加速!$L$11,7.125+加速!$K$9-(A269+加速!$L$11-T269)),0),0)+IF(金蛇,IF(COUNTIF(B269,"*千切子裂光*")&gt;0,2+加速!$K$9-(A269+加速!$L$11-T269),0),0)</f>
        <v>0</v>
      </c>
      <c r="V269">
        <f ca="1" t="shared" si="88"/>
        <v>0</v>
      </c>
      <c r="W269">
        <f ca="1" t="shared" si="80"/>
        <v>0</v>
      </c>
      <c r="X269">
        <f ca="1">INDEX(加速!$I$13:$I$21,W269+1)</f>
        <v>0</v>
      </c>
      <c r="Y269">
        <f ca="1" t="shared" si="89"/>
        <v>0.5</v>
      </c>
      <c r="Z269">
        <f ca="1" t="shared" si="85"/>
        <v>0</v>
      </c>
      <c r="AA269">
        <f ca="1">MAX(0,IFERROR(IF(COUNTIF(B269,"*叠*")&gt;0,IF(AC268&lt;3,8-A270+A269,AA268+6.875-A270+A269),AA268-A270+A269),AA268-加速!$L$11))</f>
        <v>0</v>
      </c>
      <c r="AB269">
        <f ca="1">MAX(0,IF(COUNTIF(IF(AND(配装计算器!$K$30&lt;&gt;"∞",0),INDEX(AU269:CB269,1,$AT$1),INDEX(AU269:CB269,1,$AT$1)),"*叠1*")=1,4*25-加速!$L$11,AB268-A269+A268)-IF(OR(COUNTIF(OFFSET(AT269,0,$AT$1,1,1),"*听雷*")&gt;0,AND(碧归&gt;0,COUNTIF(OFFSET(AT269,0,$AT$1,1,1),"*风来*")&gt;0)),0,1)*1.5)</f>
        <v>97.21</v>
      </c>
      <c r="AC269">
        <f ca="1" t="shared" si="81"/>
        <v>0</v>
      </c>
      <c r="AD269">
        <f ca="1">IF(COUNTIF(IF(AND(配装计算器!$K$30&lt;&gt;"∞",0),INDEX(AU269:CB269,1,$AT$1),INDEX(AU270:CB270,1,$AT$1)),"*叠1*")=1,AB269*0+AE268,0)</f>
        <v>0</v>
      </c>
      <c r="AE269" t="e">
        <f ca="1">IF($AN$11&gt;0,IF(COUNTIF(B270,"*叠1*")&gt;0,50-加速!$L$11,MAX(0,AE268-(A270-A269))),0)</f>
        <v>#VALUE!</v>
      </c>
      <c r="AG269">
        <f ca="1" t="shared" si="82"/>
        <v>8</v>
      </c>
      <c r="AU269" t="s">
        <v>3009</v>
      </c>
      <c r="AV269">
        <v>2</v>
      </c>
      <c r="AW269" t="s">
        <v>2768</v>
      </c>
      <c r="AX269">
        <v>2</v>
      </c>
      <c r="AY269" t="s">
        <v>2776</v>
      </c>
      <c r="AZ269">
        <v>2</v>
      </c>
      <c r="BA269" t="s">
        <v>3042</v>
      </c>
      <c r="BB269">
        <v>2</v>
      </c>
      <c r="BC269" t="s">
        <v>3010</v>
      </c>
      <c r="BD269">
        <v>2</v>
      </c>
      <c r="BE269" t="s">
        <v>3017</v>
      </c>
      <c r="BF269">
        <v>2</v>
      </c>
      <c r="BG269" t="s">
        <v>2768</v>
      </c>
      <c r="BH269">
        <v>2</v>
      </c>
      <c r="BI269" t="s">
        <v>3011</v>
      </c>
      <c r="BJ269">
        <v>2</v>
      </c>
      <c r="BK269" t="s">
        <v>2768</v>
      </c>
      <c r="BL269">
        <v>0</v>
      </c>
      <c r="BM269" t="s">
        <v>2776</v>
      </c>
      <c r="BN269">
        <v>2</v>
      </c>
      <c r="BO269" s="176" t="s">
        <v>2776</v>
      </c>
      <c r="BP269">
        <v>2</v>
      </c>
      <c r="BQ269" t="str">
        <f>IF(秋,"夕照雷峰","千切子裂光")</f>
        <v>千切子裂光</v>
      </c>
      <c r="BR269">
        <v>2</v>
      </c>
      <c r="BS269" t="s">
        <v>2768</v>
      </c>
      <c r="BT269">
        <v>1</v>
      </c>
      <c r="BU269" t="s">
        <v>2776</v>
      </c>
      <c r="BV269">
        <v>2</v>
      </c>
      <c r="BW269" s="179" t="s">
        <v>2722</v>
      </c>
      <c r="BX269" s="179">
        <v>2</v>
      </c>
      <c r="BY269" t="s">
        <v>2776</v>
      </c>
      <c r="BZ269">
        <v>1</v>
      </c>
      <c r="CA269" t="s">
        <v>2776</v>
      </c>
      <c r="CB269">
        <v>1</v>
      </c>
    </row>
    <row r="270" spans="1:80">
      <c r="A270" s="178" t="str">
        <f ca="1">IFERROR(IF(AG269&lt;5+金蛇*2,IF(COUNTIF(B269,"*轻*")&gt;0,A269+加速!$L$9,A269+加速!$L$11)+V269,""),"")</f>
        <v/>
      </c>
      <c r="B270" s="167" t="str">
        <f ca="1" t="shared" si="77"/>
        <v/>
      </c>
      <c r="C270" t="str">
        <f ca="1" t="shared" si="86"/>
        <v/>
      </c>
      <c r="D270" t="str">
        <f ca="1">IF(B270&lt;&gt;"",IF(C269&lt;=加速!$L$11*(1-E270),0,1),"")</f>
        <v/>
      </c>
      <c r="E270">
        <f ca="1" t="shared" si="83"/>
        <v>1</v>
      </c>
      <c r="G270" t="str">
        <f ca="1" t="shared" si="84"/>
        <v/>
      </c>
      <c r="H270" t="str">
        <f ca="1">IF(B270&lt;&gt;"",IF(AND(COUNTIF(B269,"*轻*莺鸣柳*")&gt;0,COUNTIF(B270,"*轻*")&lt;1),MAX(0,15+I269-(A270-A269)+COUNTIF(B269,"*平湖*")*0),IF(AND(E270=0,MAX(0,H269-(A270-A269))&lt;=加速!$H$11),0,MAX(0,H269-(A270-A269)))),"")</f>
        <v/>
      </c>
      <c r="I270" t="str">
        <f ca="1" t="shared" si="90"/>
        <v/>
      </c>
      <c r="J270" t="str">
        <f ca="1" t="shared" si="91"/>
        <v/>
      </c>
      <c r="K270" t="str">
        <f ca="1" t="shared" si="78"/>
        <v/>
      </c>
      <c r="L270">
        <f ca="1">IFERROR(IF(AND(COUNTIF(B270,"*-峰插*"),技能数据库!$M$72&gt;0),0,IF(COUNTIF(B270,"*鹤归*")&gt;0,16-加速!$L$11,MAX(0,L269-(A270-A269)))),0)</f>
        <v>0</v>
      </c>
      <c r="M270">
        <f ca="1" t="shared" si="79"/>
        <v>0</v>
      </c>
      <c r="N270">
        <f ca="1">IFERROR(IF(AND(COUNTIF(B270,"*-峰插*"),技能数据库!$M$72&gt;0),0,IF(COUNTIF(B270,"*云飞*")&gt;0,4-COUNTIF(B270,"*玉山揽云*")*4--COUNTIF(B270,"*烟流暮景*")*4-COUNTIF(B270,"*云景*")*加速!$L$11-IF(J270&gt;0,2,0),MAX(0,N269-(A270-A269)-IF(J270&gt;0,2,0)))),0)</f>
        <v>0</v>
      </c>
      <c r="O270">
        <f ca="1">IF(AND(COUNTIF(IF(AND(配装计算器!$K$30&lt;&gt;"∞",0),INDEX(AU269:CB269,1,$AT$1),INDEX(AU271:CB271,1,$AT$1)),"*云飞*")=1,COUNTIF(IF(AND(配装计算器!$K$30&lt;&gt;"∞",0),INDEX(AU269:CB269,1,$AT$1),INDEX(AU271:CB271,1,$AT$1)),"*玉山*")=0),N270,0)</f>
        <v>0</v>
      </c>
      <c r="P270">
        <f ca="1">IFERROR(IF(COUNTIF(B270,"*云栖松*")&gt;0,50-加速!$L$11,MAX(0,P269-(A270-A269))),0)</f>
        <v>0</v>
      </c>
      <c r="Q270">
        <f ca="1">IF(COUNTIF(IF(AND(配装计算器!$K$30&lt;&gt;"∞",0),INDEX(AU269:CB269,1,$AT$1),INDEX(AU271:CB271,1,$AT$1)),"*云栖松*")=1,P270,0)</f>
        <v>0</v>
      </c>
      <c r="R270">
        <f ca="1">IFERROR(IF(COUNTIF(B270,"*莺鸣柳*")&gt;0,45-加速!$L$9,MAX(0,R269-(A270-A269))),0)</f>
        <v>0</v>
      </c>
      <c r="S270">
        <f ca="1">IF(COUNTIF(IF(AND(配装计算器!$K$30&lt;&gt;"∞",0),INDEX(AU269:CB269,1,$AT$1),INDEX(AU271:CB271,1,$AT$1)),"*莺鸣柳*")=1,R270,0)</f>
        <v>0</v>
      </c>
      <c r="T270">
        <f ca="1" t="shared" si="87"/>
        <v>0</v>
      </c>
      <c r="U270">
        <f ca="1">IF(金蛇,IF(COUNTIF(B270,"*金环戴*")+COUNTIF(B270,"*吹风醒*")&gt;0,IF(A270&lt;=3,7.125-2.625-A270-加速!$L$11,7.125+加速!$K$9-(A270+加速!$L$11-T270)),0),0)+IF(金蛇,IF(COUNTIF(B270,"*千切子裂光*")&gt;0,2+加速!$K$9-(A270+加速!$L$11-T270),0),0)</f>
        <v>0</v>
      </c>
      <c r="V270">
        <f ca="1" t="shared" si="88"/>
        <v>0</v>
      </c>
      <c r="W270">
        <f ca="1" t="shared" si="80"/>
        <v>0</v>
      </c>
      <c r="X270">
        <f ca="1">INDEX(加速!$I$13:$I$21,W270+1)</f>
        <v>0</v>
      </c>
      <c r="Y270">
        <f ca="1" t="shared" si="89"/>
        <v>0.5</v>
      </c>
      <c r="Z270">
        <f ca="1" t="shared" si="85"/>
        <v>0</v>
      </c>
      <c r="AA270">
        <f ca="1">MAX(0,IFERROR(IF(COUNTIF(B270,"*叠*")&gt;0,IF(AC269&lt;3,8-A271+A270,AA269+6.875-A271+A270),AA269-A271+A270),AA269-加速!$L$11))</f>
        <v>0</v>
      </c>
      <c r="AB270" t="e">
        <f ca="1">MAX(0,IF(COUNTIF(IF(AND(配装计算器!$K$30&lt;&gt;"∞",0),INDEX(AU270:CB270,1,$AT$1),INDEX(AU270:CB270,1,$AT$1)),"*叠1*")=1,4*25-加速!$L$11,AB269-A270+A269)-IF(OR(COUNTIF(OFFSET(AT270,0,$AT$1,1,1),"*听雷*")&gt;0,AND(碧归&gt;0,COUNTIF(OFFSET(AT270,0,$AT$1,1,1),"*风来*")&gt;0)),0,1)*1.5)</f>
        <v>#VALUE!</v>
      </c>
      <c r="AC270">
        <f ca="1" t="shared" si="81"/>
        <v>0</v>
      </c>
      <c r="AD270">
        <f ca="1">IF(COUNTIF(IF(AND(配装计算器!$K$30&lt;&gt;"∞",0),INDEX(AU270:CB270,1,$AT$1),INDEX(AU271:CB271,1,$AT$1)),"*叠1*")=1,AB270*0+AE269,0)</f>
        <v>0</v>
      </c>
      <c r="AE270" t="e">
        <f ca="1">IF($AN$11&gt;0,IF(COUNTIF(B271,"*叠1*")&gt;0,50-加速!$L$11,MAX(0,AE269-(A271-A270))),0)</f>
        <v>#VALUE!</v>
      </c>
      <c r="AG270">
        <f ca="1" t="shared" si="82"/>
        <v>8</v>
      </c>
      <c r="AU270" t="s">
        <v>2768</v>
      </c>
      <c r="AV270">
        <v>2</v>
      </c>
      <c r="AW270" t="s">
        <v>2768</v>
      </c>
      <c r="AX270">
        <v>2</v>
      </c>
      <c r="AY270" t="s">
        <v>3042</v>
      </c>
      <c r="AZ270">
        <v>2</v>
      </c>
      <c r="BA270" t="s">
        <v>2808</v>
      </c>
      <c r="BB270">
        <v>2</v>
      </c>
      <c r="BC270" t="s">
        <v>3013</v>
      </c>
      <c r="BD270">
        <v>2</v>
      </c>
      <c r="BE270" t="s">
        <v>2768</v>
      </c>
      <c r="BF270">
        <v>2</v>
      </c>
      <c r="BG270" t="s">
        <v>2808</v>
      </c>
      <c r="BH270">
        <v>2</v>
      </c>
      <c r="BI270" t="s">
        <v>2768</v>
      </c>
      <c r="BJ270">
        <v>2</v>
      </c>
      <c r="BK270" t="s">
        <v>3056</v>
      </c>
      <c r="BL270">
        <v>0</v>
      </c>
      <c r="BM270" t="s">
        <v>2768</v>
      </c>
      <c r="BN270">
        <v>1</v>
      </c>
      <c r="BO270" s="176" t="s">
        <v>2768</v>
      </c>
      <c r="BP270">
        <v>2</v>
      </c>
      <c r="BQ270" t="str">
        <f>IF(秋,"鹤归孤山-叠-蛇牙锥心","鹤归孤山-叠")</f>
        <v>鹤归孤山-叠</v>
      </c>
      <c r="BR270">
        <v>2</v>
      </c>
      <c r="BS270" t="s">
        <v>2776</v>
      </c>
      <c r="BT270">
        <v>1</v>
      </c>
      <c r="BU270" t="s">
        <v>2768</v>
      </c>
      <c r="BV270">
        <v>2</v>
      </c>
      <c r="BW270" s="179" t="s">
        <v>3009</v>
      </c>
      <c r="BX270" s="179">
        <v>2</v>
      </c>
      <c r="BY270" t="s">
        <v>2768</v>
      </c>
      <c r="BZ270">
        <v>1</v>
      </c>
      <c r="CA270" t="s">
        <v>2768</v>
      </c>
      <c r="CB270">
        <v>1</v>
      </c>
    </row>
    <row r="271" spans="1:80">
      <c r="A271" s="178" t="str">
        <f ca="1">IFERROR(IF(AG270&lt;5+金蛇*2,IF(COUNTIF(B270,"*轻*")&gt;0,A270+加速!$L$9,A270+加速!$L$11)+V270,""),"")</f>
        <v/>
      </c>
      <c r="B271" s="167" t="str">
        <f ca="1" t="shared" si="77"/>
        <v/>
      </c>
      <c r="C271" t="str">
        <f ca="1" t="shared" si="86"/>
        <v/>
      </c>
      <c r="D271" t="str">
        <f ca="1">IF(B271&lt;&gt;"",IF(C270&lt;=加速!$L$11*(1-E271),0,1),"")</f>
        <v/>
      </c>
      <c r="E271">
        <f ca="1" t="shared" si="83"/>
        <v>1</v>
      </c>
      <c r="G271" t="str">
        <f ca="1" t="shared" si="84"/>
        <v/>
      </c>
      <c r="H271" t="str">
        <f ca="1">IF(B271&lt;&gt;"",IF(AND(COUNTIF(B270,"*轻*莺鸣柳*")&gt;0,COUNTIF(B271,"*轻*")&lt;1),MAX(0,15+I270-(A271-A270)+COUNTIF(B270,"*平湖*")*0),IF(AND(E271=0,MAX(0,H270-(A271-A270))&lt;=加速!$H$11),0,MAX(0,H270-(A271-A270)))),"")</f>
        <v/>
      </c>
      <c r="I271" t="str">
        <f ca="1" t="shared" si="90"/>
        <v/>
      </c>
      <c r="J271" t="str">
        <f ca="1" t="shared" si="91"/>
        <v/>
      </c>
      <c r="K271" t="str">
        <f ca="1" t="shared" si="78"/>
        <v/>
      </c>
      <c r="L271">
        <f ca="1">IFERROR(IF(AND(COUNTIF(B271,"*-峰插*"),技能数据库!$M$72&gt;0),0,IF(COUNTIF(B271,"*鹤归*")&gt;0,16-加速!$L$11,MAX(0,L270-(A271-A270)))),0)</f>
        <v>0</v>
      </c>
      <c r="M271">
        <f ca="1" t="shared" si="79"/>
        <v>0</v>
      </c>
      <c r="N271">
        <f ca="1">IFERROR(IF(AND(COUNTIF(B271,"*-峰插*"),技能数据库!$M$72&gt;0),0,IF(COUNTIF(B271,"*云飞*")&gt;0,4-COUNTIF(B271,"*玉山揽云*")*4--COUNTIF(B271,"*烟流暮景*")*4-COUNTIF(B271,"*云景*")*加速!$L$11-IF(J271&gt;0,2,0),MAX(0,N270-(A271-A270)-IF(J271&gt;0,2,0)))),0)</f>
        <v>0</v>
      </c>
      <c r="O271">
        <f ca="1">IF(AND(COUNTIF(IF(AND(配装计算器!$K$30&lt;&gt;"∞",0),INDEX(AU270:CB270,1,$AT$1),INDEX(AU272:CB272,1,$AT$1)),"*云飞*")=1,COUNTIF(IF(AND(配装计算器!$K$30&lt;&gt;"∞",0),INDEX(AU270:CB270,1,$AT$1),INDEX(AU272:CB272,1,$AT$1)),"*玉山*")=0),N271,0)</f>
        <v>0</v>
      </c>
      <c r="P271">
        <f ca="1">IFERROR(IF(COUNTIF(B271,"*云栖松*")&gt;0,50-加速!$L$11,MAX(0,P270-(A271-A270))),0)</f>
        <v>0</v>
      </c>
      <c r="Q271">
        <f ca="1">IF(COUNTIF(IF(AND(配装计算器!$K$30&lt;&gt;"∞",0),INDEX(AU270:CB270,1,$AT$1),INDEX(AU272:CB272,1,$AT$1)),"*云栖松*")=1,P271,0)</f>
        <v>0</v>
      </c>
      <c r="R271">
        <f ca="1">IFERROR(IF(COUNTIF(B271,"*莺鸣柳*")&gt;0,45-加速!$L$9,MAX(0,R270-(A271-A270))),0)</f>
        <v>0</v>
      </c>
      <c r="S271">
        <f ca="1">IF(COUNTIF(IF(AND(配装计算器!$K$30&lt;&gt;"∞",0),INDEX(AU270:CB270,1,$AT$1),INDEX(AU272:CB272,1,$AT$1)),"*莺鸣柳*")=1,R271,0)</f>
        <v>0</v>
      </c>
      <c r="T271">
        <f ca="1" t="shared" si="87"/>
        <v>0</v>
      </c>
      <c r="U271">
        <f ca="1">IF(金蛇,IF(COUNTIF(B271,"*金环戴*")+COUNTIF(B271,"*吹风醒*")&gt;0,IF(A271&lt;=3,7.125-2.625-A271-加速!$L$11,7.125+加速!$K$9-(A271+加速!$L$11-T271)),0),0)+IF(金蛇,IF(COUNTIF(B271,"*千切子裂光*")&gt;0,2+加速!$K$9-(A271+加速!$L$11-T271),0),0)</f>
        <v>0</v>
      </c>
      <c r="V271">
        <f ca="1" t="shared" si="88"/>
        <v>0</v>
      </c>
      <c r="W271">
        <f ca="1" t="shared" si="80"/>
        <v>0</v>
      </c>
      <c r="X271">
        <f ca="1">INDEX(加速!$I$13:$I$21,W271+1)</f>
        <v>0</v>
      </c>
      <c r="Y271">
        <f ca="1" t="shared" si="89"/>
        <v>0.5</v>
      </c>
      <c r="Z271">
        <f ca="1" t="shared" si="85"/>
        <v>0</v>
      </c>
      <c r="AA271">
        <f ca="1">MAX(0,IFERROR(IF(COUNTIF(B271,"*叠*")&gt;0,IF(AC270&lt;3,8-A272+A271,AA270+6.875-A272+A271),AA270-A272+A271),AA270-加速!$L$11))</f>
        <v>0</v>
      </c>
      <c r="AB271" t="e">
        <f ca="1">MAX(0,IF(COUNTIF(IF(AND(配装计算器!$K$30&lt;&gt;"∞",0),INDEX(AU271:CB271,1,$AT$1),INDEX(AU271:CB271,1,$AT$1)),"*叠1*")=1,4*25-加速!$L$11,AB270-A271+A270)-IF(OR(COUNTIF(OFFSET(AT271,0,$AT$1,1,1),"*听雷*")&gt;0,AND(碧归&gt;0,COUNTIF(OFFSET(AT271,0,$AT$1,1,1),"*风来*")&gt;0)),0,1)*1.5)</f>
        <v>#VALUE!</v>
      </c>
      <c r="AC271">
        <f ca="1" t="shared" si="81"/>
        <v>0</v>
      </c>
      <c r="AD271">
        <f ca="1">IF(COUNTIF(IF(AND(配装计算器!$K$30&lt;&gt;"∞",0),INDEX(AU271:CB271,1,$AT$1),INDEX(AU272:CB272,1,$AT$1)),"*叠1*")=1,AB271*0+AE270,0)</f>
        <v>0</v>
      </c>
      <c r="AE271" t="e">
        <f ca="1">IF($AN$11&gt;0,IF(COUNTIF(B272,"*叠1*")&gt;0,50-加速!$L$11,MAX(0,AE270-(A272-A271))),0)</f>
        <v>#VALUE!</v>
      </c>
      <c r="AG271">
        <f ca="1" t="shared" si="82"/>
        <v>8</v>
      </c>
      <c r="AU271" t="s">
        <v>2776</v>
      </c>
      <c r="AV271">
        <v>2</v>
      </c>
      <c r="AW271" t="s">
        <v>2768</v>
      </c>
      <c r="AX271">
        <v>2</v>
      </c>
      <c r="AY271" t="s">
        <v>2808</v>
      </c>
      <c r="AZ271">
        <v>2</v>
      </c>
      <c r="BA271" t="s">
        <v>2768</v>
      </c>
      <c r="BB271">
        <v>2</v>
      </c>
      <c r="BC271" t="s">
        <v>3018</v>
      </c>
      <c r="BD271">
        <v>2</v>
      </c>
      <c r="BE271" t="s">
        <v>3023</v>
      </c>
      <c r="BF271">
        <v>2</v>
      </c>
      <c r="BG271" t="s">
        <v>2768</v>
      </c>
      <c r="BH271">
        <v>2</v>
      </c>
      <c r="BI271" t="s">
        <v>3018</v>
      </c>
      <c r="BJ271">
        <v>2</v>
      </c>
      <c r="BK271" t="s">
        <v>2768</v>
      </c>
      <c r="BL271">
        <v>2</v>
      </c>
      <c r="BM271" t="s">
        <v>2722</v>
      </c>
      <c r="BN271">
        <v>0</v>
      </c>
      <c r="BO271" s="176" t="s">
        <v>2776</v>
      </c>
      <c r="BP271">
        <v>2</v>
      </c>
      <c r="BQ271" t="s">
        <v>2776</v>
      </c>
      <c r="BR271">
        <v>2</v>
      </c>
      <c r="BS271" t="s">
        <v>2768</v>
      </c>
      <c r="BT271">
        <v>0</v>
      </c>
      <c r="BU271" t="s">
        <v>2776</v>
      </c>
      <c r="BV271">
        <v>2</v>
      </c>
      <c r="BW271" s="179" t="s">
        <v>3078</v>
      </c>
      <c r="BX271" s="179">
        <v>2</v>
      </c>
      <c r="BY271" t="s">
        <v>2722</v>
      </c>
      <c r="BZ271">
        <v>0</v>
      </c>
      <c r="CA271" t="s">
        <v>2722</v>
      </c>
      <c r="CB271">
        <v>0</v>
      </c>
    </row>
    <row r="272" spans="1:80">
      <c r="A272" s="178" t="str">
        <f ca="1">IFERROR(IF(AG271&lt;5+金蛇*2,IF(COUNTIF(B271,"*轻*")&gt;0,A271+加速!$L$9,A271+加速!$L$11)+V271,""),"")</f>
        <v/>
      </c>
      <c r="B272" s="167" t="str">
        <f ca="1" t="shared" si="77"/>
        <v/>
      </c>
      <c r="C272" t="str">
        <f ca="1" t="shared" si="86"/>
        <v/>
      </c>
      <c r="D272" t="str">
        <f ca="1">IF(B272&lt;&gt;"",IF(C271&lt;=加速!$L$11*(1-E272),0,1),"")</f>
        <v/>
      </c>
      <c r="E272">
        <f ca="1" t="shared" si="83"/>
        <v>1</v>
      </c>
      <c r="G272" t="str">
        <f ca="1" t="shared" si="84"/>
        <v/>
      </c>
      <c r="H272" t="str">
        <f ca="1">IF(B272&lt;&gt;"",IF(AND(COUNTIF(B271,"*轻*莺鸣柳*")&gt;0,COUNTIF(B272,"*轻*")&lt;1),MAX(0,15+I271-(A272-A271)+COUNTIF(B271,"*平湖*")*0),IF(AND(E272=0,MAX(0,H271-(A272-A271))&lt;=加速!$H$11),0,MAX(0,H271-(A272-A271)))),"")</f>
        <v/>
      </c>
      <c r="I272" t="str">
        <f ca="1" t="shared" si="90"/>
        <v/>
      </c>
      <c r="J272" t="str">
        <f ca="1" t="shared" si="91"/>
        <v/>
      </c>
      <c r="K272" t="str">
        <f ca="1" t="shared" si="78"/>
        <v/>
      </c>
      <c r="L272">
        <f ca="1">IFERROR(IF(AND(COUNTIF(B272,"*-峰插*"),技能数据库!$M$72&gt;0),0,IF(COUNTIF(B272,"*鹤归*")&gt;0,16-加速!$L$11,MAX(0,L271-(A272-A271)))),0)</f>
        <v>0</v>
      </c>
      <c r="M272">
        <f ca="1" t="shared" si="79"/>
        <v>0</v>
      </c>
      <c r="N272">
        <f ca="1">IFERROR(IF(AND(COUNTIF(B272,"*-峰插*"),技能数据库!$M$72&gt;0),0,IF(COUNTIF(B272,"*云飞*")&gt;0,4-COUNTIF(B272,"*玉山揽云*")*4--COUNTIF(B272,"*烟流暮景*")*4-COUNTIF(B272,"*云景*")*加速!$L$11-IF(J272&gt;0,2,0),MAX(0,N271-(A272-A271)-IF(J272&gt;0,2,0)))),0)</f>
        <v>0</v>
      </c>
      <c r="O272">
        <f ca="1">IF(AND(COUNTIF(IF(AND(配装计算器!$K$30&lt;&gt;"∞",0),INDEX(AU271:CB271,1,$AT$1),INDEX(AU273:CB273,1,$AT$1)),"*云飞*")=1,COUNTIF(IF(AND(配装计算器!$K$30&lt;&gt;"∞",0),INDEX(AU271:CB271,1,$AT$1),INDEX(AU273:CB273,1,$AT$1)),"*玉山*")=0),N272,0)</f>
        <v>0</v>
      </c>
      <c r="P272">
        <f ca="1">IFERROR(IF(COUNTIF(B272,"*云栖松*")&gt;0,50-加速!$L$11,MAX(0,P271-(A272-A271))),0)</f>
        <v>0</v>
      </c>
      <c r="Q272">
        <f ca="1">IF(COUNTIF(IF(AND(配装计算器!$K$30&lt;&gt;"∞",0),INDEX(AU271:CB271,1,$AT$1),INDEX(AU273:CB273,1,$AT$1)),"*云栖松*")=1,P272,0)</f>
        <v>0</v>
      </c>
      <c r="R272">
        <f ca="1">IFERROR(IF(COUNTIF(B272,"*莺鸣柳*")&gt;0,45-加速!$L$9,MAX(0,R271-(A272-A271))),0)</f>
        <v>0</v>
      </c>
      <c r="S272">
        <f ca="1">IF(COUNTIF(IF(AND(配装计算器!$K$30&lt;&gt;"∞",0),INDEX(AU271:CB271,1,$AT$1),INDEX(AU273:CB273,1,$AT$1)),"*莺鸣柳*")=1,R272,0)</f>
        <v>0</v>
      </c>
      <c r="T272">
        <f ca="1" t="shared" si="87"/>
        <v>0</v>
      </c>
      <c r="U272">
        <f ca="1">IF(金蛇,IF(COUNTIF(B272,"*金环戴*")+COUNTIF(B272,"*吹风醒*")&gt;0,IF(A272&lt;=3,7.125-2.625-A272-加速!$L$11,7.125+加速!$K$9-(A272+加速!$L$11-T272)),0),0)+IF(金蛇,IF(COUNTIF(B272,"*千切子裂光*")&gt;0,2+加速!$K$9-(A272+加速!$L$11-T272),0),0)</f>
        <v>0</v>
      </c>
      <c r="V272">
        <f ca="1" t="shared" si="88"/>
        <v>0</v>
      </c>
      <c r="W272">
        <f ca="1" t="shared" si="80"/>
        <v>0</v>
      </c>
      <c r="X272">
        <f ca="1">INDEX(加速!$I$13:$I$21,W272+1)</f>
        <v>0</v>
      </c>
      <c r="Y272">
        <f ca="1" t="shared" si="89"/>
        <v>0.5</v>
      </c>
      <c r="Z272">
        <f ca="1" t="shared" si="85"/>
        <v>0</v>
      </c>
      <c r="AA272">
        <f ca="1">MAX(0,IFERROR(IF(COUNTIF(B272,"*叠*")&gt;0,IF(AC271&lt;3,8-A273+A272,AA271+6.875-A273+A272),AA271-A273+A272),AA271-加速!$L$11))</f>
        <v>0</v>
      </c>
      <c r="AB272" t="e">
        <f ca="1">MAX(0,IF(COUNTIF(IF(AND(配装计算器!$K$30&lt;&gt;"∞",0),INDEX(AU272:CB272,1,$AT$1),INDEX(AU272:CB272,1,$AT$1)),"*叠1*")=1,4*25-加速!$L$11,AB271-A272+A271)-IF(OR(COUNTIF(OFFSET(AT272,0,$AT$1,1,1),"*听雷*")&gt;0,AND(碧归&gt;0,COUNTIF(OFFSET(AT272,0,$AT$1,1,1),"*风来*")&gt;0)),0,1)*1.5)</f>
        <v>#VALUE!</v>
      </c>
      <c r="AC272">
        <f ca="1" t="shared" si="81"/>
        <v>0</v>
      </c>
      <c r="AD272">
        <f ca="1">IF(COUNTIF(IF(AND(配装计算器!$K$30&lt;&gt;"∞",0),INDEX(AU272:CB272,1,$AT$1),INDEX(AU273:CB273,1,$AT$1)),"*叠1*")=1,AB272*0+AE271,0)</f>
        <v>0</v>
      </c>
      <c r="AE272" t="e">
        <f ca="1">IF($AN$11&gt;0,IF(COUNTIF(B273,"*叠1*")&gt;0,50-加速!$L$11,MAX(0,AE271-(A273-A272))),0)</f>
        <v>#VALUE!</v>
      </c>
      <c r="AG272">
        <f ca="1" t="shared" si="82"/>
        <v>8</v>
      </c>
      <c r="AU272" t="s">
        <v>2768</v>
      </c>
      <c r="AV272">
        <v>2</v>
      </c>
      <c r="AW272" t="s">
        <v>2776</v>
      </c>
      <c r="AX272">
        <v>2</v>
      </c>
      <c r="AY272" t="s">
        <v>2768</v>
      </c>
      <c r="AZ272">
        <v>2</v>
      </c>
      <c r="BA272" t="s">
        <v>2768</v>
      </c>
      <c r="BB272">
        <v>2</v>
      </c>
      <c r="BC272" t="s">
        <v>2768</v>
      </c>
      <c r="BD272">
        <v>2</v>
      </c>
      <c r="BE272" s="182" t="s">
        <v>2768</v>
      </c>
      <c r="BF272">
        <v>2</v>
      </c>
      <c r="BG272" s="176" t="s">
        <v>2768</v>
      </c>
      <c r="BH272">
        <v>2</v>
      </c>
      <c r="BI272" t="s">
        <v>2768</v>
      </c>
      <c r="BJ272">
        <v>2</v>
      </c>
      <c r="BK272" t="s">
        <v>2768</v>
      </c>
      <c r="BL272">
        <v>2</v>
      </c>
      <c r="BM272" t="s">
        <v>3009</v>
      </c>
      <c r="BN272">
        <v>2</v>
      </c>
      <c r="BO272" s="176" t="s">
        <v>2768</v>
      </c>
      <c r="BP272">
        <v>2</v>
      </c>
      <c r="BQ272" t="s">
        <v>2768</v>
      </c>
      <c r="BR272">
        <v>2</v>
      </c>
      <c r="BS272" t="s">
        <v>3012</v>
      </c>
      <c r="BT272">
        <v>2</v>
      </c>
      <c r="BU272" t="s">
        <v>2768</v>
      </c>
      <c r="BV272">
        <v>2</v>
      </c>
      <c r="BW272" s="179" t="s">
        <v>2768</v>
      </c>
      <c r="BX272" s="179">
        <v>2</v>
      </c>
      <c r="BY272" t="s">
        <v>3009</v>
      </c>
      <c r="BZ272">
        <v>2</v>
      </c>
      <c r="CA272" t="s">
        <v>3009</v>
      </c>
      <c r="CB272">
        <v>2</v>
      </c>
    </row>
    <row r="273" spans="1:80">
      <c r="A273" s="178" t="str">
        <f ca="1">IFERROR(IF(AG272&lt;5+金蛇*2,IF(COUNTIF(B272,"*轻*")&gt;0,A272+加速!$L$9,A272+加速!$L$11)+V272,""),"")</f>
        <v/>
      </c>
      <c r="B273" s="167" t="str">
        <f ca="1" t="shared" si="77"/>
        <v/>
      </c>
      <c r="C273" t="str">
        <f ca="1" t="shared" si="86"/>
        <v/>
      </c>
      <c r="D273" t="str">
        <f ca="1">IF(B273&lt;&gt;"",IF(C272&lt;=加速!$L$11*(1-E273),0,1),"")</f>
        <v/>
      </c>
      <c r="E273">
        <f ca="1" t="shared" si="83"/>
        <v>1</v>
      </c>
      <c r="G273" t="str">
        <f ca="1" t="shared" si="84"/>
        <v/>
      </c>
      <c r="H273" t="str">
        <f ca="1">IF(B273&lt;&gt;"",IF(AND(COUNTIF(B272,"*轻*莺鸣柳*")&gt;0,COUNTIF(B273,"*轻*")&lt;1),MAX(0,15+I272-(A273-A272)+COUNTIF(B272,"*平湖*")*0),IF(AND(E273=0,MAX(0,H272-(A273-A272))&lt;=加速!$H$11),0,MAX(0,H272-(A273-A272)))),"")</f>
        <v/>
      </c>
      <c r="I273" t="str">
        <f ca="1" t="shared" si="90"/>
        <v/>
      </c>
      <c r="J273" t="str">
        <f ca="1" t="shared" si="91"/>
        <v/>
      </c>
      <c r="K273" t="str">
        <f ca="1" t="shared" si="78"/>
        <v/>
      </c>
      <c r="L273">
        <f ca="1">IFERROR(IF(AND(COUNTIF(B273,"*-峰插*"),技能数据库!$M$72&gt;0),0,IF(COUNTIF(B273,"*鹤归*")&gt;0,16-加速!$L$11,MAX(0,L272-(A273-A272)))),0)</f>
        <v>0</v>
      </c>
      <c r="M273">
        <f ca="1" t="shared" si="79"/>
        <v>0</v>
      </c>
      <c r="N273">
        <f ca="1">IFERROR(IF(AND(COUNTIF(B273,"*-峰插*"),技能数据库!$M$72&gt;0),0,IF(COUNTIF(B273,"*云飞*")&gt;0,4-COUNTIF(B273,"*玉山揽云*")*4--COUNTIF(B273,"*烟流暮景*")*4-COUNTIF(B273,"*云景*")*加速!$L$11-IF(J273&gt;0,2,0),MAX(0,N272-(A273-A272)-IF(J273&gt;0,2,0)))),0)</f>
        <v>0</v>
      </c>
      <c r="O273">
        <f ca="1">IF(AND(COUNTIF(IF(AND(配装计算器!$K$30&lt;&gt;"∞",0),INDEX(AU272:CB272,1,$AT$1),INDEX(AU274:CB274,1,$AT$1)),"*云飞*")=1,COUNTIF(IF(AND(配装计算器!$K$30&lt;&gt;"∞",0),INDEX(AU272:CB272,1,$AT$1),INDEX(AU274:CB274,1,$AT$1)),"*玉山*")=0),N273,0)</f>
        <v>0</v>
      </c>
      <c r="P273">
        <f ca="1">IFERROR(IF(COUNTIF(B273,"*云栖松*")&gt;0,50-加速!$L$11,MAX(0,P272-(A273-A272))),0)</f>
        <v>0</v>
      </c>
      <c r="Q273">
        <f ca="1">IF(COUNTIF(IF(AND(配装计算器!$K$30&lt;&gt;"∞",0),INDEX(AU272:CB272,1,$AT$1),INDEX(AU274:CB274,1,$AT$1)),"*云栖松*")=1,P273,0)</f>
        <v>0</v>
      </c>
      <c r="R273">
        <f ca="1">IFERROR(IF(COUNTIF(B273,"*莺鸣柳*")&gt;0,45-加速!$L$9,MAX(0,R272-(A273-A272))),0)</f>
        <v>0</v>
      </c>
      <c r="S273">
        <f ca="1">IF(COUNTIF(IF(AND(配装计算器!$K$30&lt;&gt;"∞",0),INDEX(AU272:CB272,1,$AT$1),INDEX(AU274:CB274,1,$AT$1)),"*莺鸣柳*")=1,R273,0)</f>
        <v>0</v>
      </c>
      <c r="T273">
        <f ca="1" t="shared" si="87"/>
        <v>0</v>
      </c>
      <c r="U273">
        <f ca="1">IF(金蛇,IF(COUNTIF(B273,"*金环戴*")+COUNTIF(B273,"*吹风醒*")&gt;0,IF(A273&lt;=3,7.125-2.625-A273-加速!$L$11,7.125+加速!$K$9-(A273+加速!$L$11-T273)),0),0)+IF(金蛇,IF(COUNTIF(B273,"*千切子裂光*")&gt;0,2+加速!$K$9-(A273+加速!$L$11-T273),0),0)</f>
        <v>0</v>
      </c>
      <c r="V273">
        <f ca="1" t="shared" si="88"/>
        <v>0</v>
      </c>
      <c r="W273">
        <f ca="1" t="shared" si="80"/>
        <v>0</v>
      </c>
      <c r="X273">
        <f ca="1">INDEX(加速!$I$13:$I$21,W273+1)</f>
        <v>0</v>
      </c>
      <c r="Y273">
        <f ca="1" t="shared" si="89"/>
        <v>0.5</v>
      </c>
      <c r="Z273">
        <f ca="1" t="shared" si="85"/>
        <v>0</v>
      </c>
      <c r="AA273">
        <f ca="1">MAX(0,IFERROR(IF(COUNTIF(B273,"*叠*")&gt;0,IF(AC272&lt;3,8-A274+A273,AA272+6.875-A274+A273),AA272-A274+A273),AA272-加速!$L$11))</f>
        <v>0</v>
      </c>
      <c r="AB273" t="e">
        <f ca="1">MAX(0,IF(COUNTIF(IF(AND(配装计算器!$K$30&lt;&gt;"∞",0),INDEX(AU273:CB273,1,$AT$1),INDEX(AU273:CB273,1,$AT$1)),"*叠1*")=1,4*25-加速!$L$11,AB272-A273+A272)-IF(OR(COUNTIF(OFFSET(AT273,0,$AT$1,1,1),"*听雷*")&gt;0,AND(碧归&gt;0,COUNTIF(OFFSET(AT273,0,$AT$1,1,1),"*风来*")&gt;0)),0,1)*1.5)</f>
        <v>#VALUE!</v>
      </c>
      <c r="AC273">
        <f ca="1" t="shared" si="81"/>
        <v>0</v>
      </c>
      <c r="AD273">
        <f ca="1">IF(COUNTIF(IF(AND(配装计算器!$K$30&lt;&gt;"∞",0),INDEX(AU273:CB273,1,$AT$1),INDEX(AU274:CB274,1,$AT$1)),"*叠1*")=1,AB273*0+AE272,0)</f>
        <v>0</v>
      </c>
      <c r="AE273" t="e">
        <f ca="1">IF($AN$11&gt;0,IF(COUNTIF(B274,"*叠1*")&gt;0,50-加速!$L$11,MAX(0,AE272-(A274-A273))),0)</f>
        <v>#VALUE!</v>
      </c>
      <c r="AG273">
        <f ca="1" t="shared" si="82"/>
        <v>8</v>
      </c>
      <c r="AU273" t="s">
        <v>2768</v>
      </c>
      <c r="AV273">
        <v>2</v>
      </c>
      <c r="AW273" t="s">
        <v>2768</v>
      </c>
      <c r="AX273">
        <v>2</v>
      </c>
      <c r="AY273" t="s">
        <v>2768</v>
      </c>
      <c r="AZ273">
        <v>2</v>
      </c>
      <c r="BA273" t="s">
        <v>2776</v>
      </c>
      <c r="BB273">
        <v>2</v>
      </c>
      <c r="BC273" t="s">
        <v>3023</v>
      </c>
      <c r="BD273">
        <v>2</v>
      </c>
      <c r="BE273" s="176" t="s">
        <v>2768</v>
      </c>
      <c r="BF273">
        <v>2</v>
      </c>
      <c r="BG273" s="176" t="s">
        <v>2776</v>
      </c>
      <c r="BH273">
        <v>2</v>
      </c>
      <c r="BI273" s="182" t="s">
        <v>3023</v>
      </c>
      <c r="BJ273">
        <v>2</v>
      </c>
      <c r="BK273" t="s">
        <v>2776</v>
      </c>
      <c r="BL273">
        <v>2</v>
      </c>
      <c r="BM273" t="s">
        <v>2776</v>
      </c>
      <c r="BN273">
        <v>2</v>
      </c>
      <c r="BO273" s="176" t="s">
        <v>2808</v>
      </c>
      <c r="BP273">
        <v>2</v>
      </c>
      <c r="BQ273" t="s">
        <v>2776</v>
      </c>
      <c r="BR273">
        <v>2</v>
      </c>
      <c r="BS273" s="179" t="s">
        <v>2794</v>
      </c>
      <c r="BT273">
        <v>2</v>
      </c>
      <c r="BU273" t="s">
        <v>2808</v>
      </c>
      <c r="BV273">
        <v>2</v>
      </c>
      <c r="BW273" s="188" t="s">
        <v>2789</v>
      </c>
      <c r="BX273" s="179">
        <v>2</v>
      </c>
      <c r="BY273" s="176" t="s">
        <v>2794</v>
      </c>
      <c r="BZ273">
        <v>2</v>
      </c>
      <c r="CA273" s="176" t="s">
        <v>2794</v>
      </c>
      <c r="CB273">
        <v>2</v>
      </c>
    </row>
    <row r="274" spans="1:80">
      <c r="A274" s="178" t="str">
        <f ca="1">IFERROR(IF(AG273&lt;5+金蛇*2,IF(COUNTIF(B273,"*轻*")&gt;0,A273+加速!$L$9,A273+加速!$L$11)+V273,""),"")</f>
        <v/>
      </c>
      <c r="B274" s="167" t="str">
        <f ca="1" t="shared" si="77"/>
        <v/>
      </c>
      <c r="C274" t="str">
        <f ca="1" t="shared" si="86"/>
        <v/>
      </c>
      <c r="D274" t="str">
        <f ca="1">IF(B274&lt;&gt;"",IF(C273&lt;=加速!$L$11*(1-E274),0,1),"")</f>
        <v/>
      </c>
      <c r="E274">
        <f ca="1" t="shared" si="83"/>
        <v>1</v>
      </c>
      <c r="G274" t="str">
        <f ca="1" t="shared" si="84"/>
        <v/>
      </c>
      <c r="H274" t="str">
        <f ca="1">IF(B274&lt;&gt;"",IF(AND(COUNTIF(B273,"*轻*莺鸣柳*")&gt;0,COUNTIF(B274,"*轻*")&lt;1),MAX(0,15+I273-(A274-A273)+COUNTIF(B273,"*平湖*")*0),IF(AND(E274=0,MAX(0,H273-(A274-A273))&lt;=加速!$H$11),0,MAX(0,H273-(A274-A273)))),"")</f>
        <v/>
      </c>
      <c r="I274" t="str">
        <f ca="1" t="shared" si="90"/>
        <v/>
      </c>
      <c r="J274" t="str">
        <f ca="1" t="shared" si="91"/>
        <v/>
      </c>
      <c r="K274" t="str">
        <f ca="1" t="shared" si="78"/>
        <v/>
      </c>
      <c r="L274">
        <f ca="1">IFERROR(IF(AND(COUNTIF(B274,"*-峰插*"),技能数据库!$M$72&gt;0),0,IF(COUNTIF(B274,"*鹤归*")&gt;0,16-加速!$L$11,MAX(0,L273-(A274-A273)))),0)</f>
        <v>0</v>
      </c>
      <c r="M274">
        <f ca="1" t="shared" si="79"/>
        <v>0</v>
      </c>
      <c r="N274">
        <f ca="1">IFERROR(IF(AND(COUNTIF(B274,"*-峰插*"),技能数据库!$M$72&gt;0),0,IF(COUNTIF(B274,"*云飞*")&gt;0,4-COUNTIF(B274,"*玉山揽云*")*4--COUNTIF(B274,"*烟流暮景*")*4-COUNTIF(B274,"*云景*")*加速!$L$11-IF(J274&gt;0,2,0),MAX(0,N273-(A274-A273)-IF(J274&gt;0,2,0)))),0)</f>
        <v>0</v>
      </c>
      <c r="O274">
        <f ca="1">IF(AND(COUNTIF(IF(AND(配装计算器!$K$30&lt;&gt;"∞",0),INDEX(AU273:CB273,1,$AT$1),INDEX(AU275:CB275,1,$AT$1)),"*云飞*")=1,COUNTIF(IF(AND(配装计算器!$K$30&lt;&gt;"∞",0),INDEX(AU273:CB273,1,$AT$1),INDEX(AU275:CB275,1,$AT$1)),"*玉山*")=0),N274,0)</f>
        <v>0</v>
      </c>
      <c r="P274">
        <f ca="1">IFERROR(IF(COUNTIF(B274,"*云栖松*")&gt;0,50-加速!$L$11,MAX(0,P273-(A274-A273))),0)</f>
        <v>0</v>
      </c>
      <c r="Q274">
        <f ca="1">IF(COUNTIF(IF(AND(配装计算器!$K$30&lt;&gt;"∞",0),INDEX(AU273:CB273,1,$AT$1),INDEX(AU275:CB275,1,$AT$1)),"*云栖松*")=1,P274,0)</f>
        <v>0</v>
      </c>
      <c r="R274">
        <f ca="1">IFERROR(IF(COUNTIF(B274,"*莺鸣柳*")&gt;0,45-加速!$L$9,MAX(0,R273-(A274-A273))),0)</f>
        <v>0</v>
      </c>
      <c r="S274">
        <f ca="1">IF(COUNTIF(IF(AND(配装计算器!$K$30&lt;&gt;"∞",0),INDEX(AU273:CB273,1,$AT$1),INDEX(AU275:CB275,1,$AT$1)),"*莺鸣柳*")=1,R274,0)</f>
        <v>0</v>
      </c>
      <c r="T274">
        <f ca="1" t="shared" si="87"/>
        <v>0</v>
      </c>
      <c r="U274">
        <f ca="1">IF(金蛇,IF(COUNTIF(B274,"*金环戴*")+COUNTIF(B274,"*吹风醒*")&gt;0,IF(A274&lt;=3,7.125-2.625-A274-加速!$L$11,7.125+加速!$K$9-(A274+加速!$L$11-T274)),0),0)+IF(金蛇,IF(COUNTIF(B274,"*千切子裂光*")&gt;0,2+加速!$K$9-(A274+加速!$L$11-T274),0),0)</f>
        <v>0</v>
      </c>
      <c r="V274">
        <f ca="1" t="shared" si="88"/>
        <v>0</v>
      </c>
      <c r="W274">
        <f ca="1" t="shared" si="80"/>
        <v>0</v>
      </c>
      <c r="X274">
        <f ca="1">INDEX(加速!$I$13:$I$21,W274+1)</f>
        <v>0</v>
      </c>
      <c r="Y274">
        <f ca="1" t="shared" si="89"/>
        <v>0.5</v>
      </c>
      <c r="Z274">
        <f ca="1" t="shared" si="85"/>
        <v>0</v>
      </c>
      <c r="AA274">
        <f ca="1">MAX(0,IFERROR(IF(COUNTIF(B274,"*叠*")&gt;0,IF(AC273&lt;3,8-A275+A274,AA273+6.875-A275+A274),AA273-A275+A274),AA273-加速!$L$11))</f>
        <v>0</v>
      </c>
      <c r="AB274" t="e">
        <f ca="1">MAX(0,IF(COUNTIF(IF(AND(配装计算器!$K$30&lt;&gt;"∞",0),INDEX(AU274:CB274,1,$AT$1),INDEX(AU274:CB274,1,$AT$1)),"*叠1*")=1,4*25-加速!$L$11,AB273-A274+A273)-IF(OR(COUNTIF(OFFSET(AT274,0,$AT$1,1,1),"*听雷*")&gt;0,AND(碧归&gt;0,COUNTIF(OFFSET(AT274,0,$AT$1,1,1),"*风来*")&gt;0)),0,1)*1.5)</f>
        <v>#VALUE!</v>
      </c>
      <c r="AC274">
        <f ca="1" t="shared" si="81"/>
        <v>0</v>
      </c>
      <c r="AD274">
        <f ca="1">IF(COUNTIF(IF(AND(配装计算器!$K$30&lt;&gt;"∞",0),INDEX(AU274:CB274,1,$AT$1),INDEX(AU275:CB275,1,$AT$1)),"*叠1*")=1,AB274*0+AE273,0)</f>
        <v>0</v>
      </c>
      <c r="AE274" t="e">
        <f ca="1">IF($AN$11&gt;0,IF(COUNTIF(B275,"*叠1*")&gt;0,50-加速!$L$11,MAX(0,AE273-(A275-A274))),0)</f>
        <v>#VALUE!</v>
      </c>
      <c r="AG274">
        <f ca="1" t="shared" si="82"/>
        <v>8</v>
      </c>
      <c r="AU274" s="176" t="s">
        <v>2794</v>
      </c>
      <c r="AV274">
        <v>2</v>
      </c>
      <c r="AW274" t="s">
        <v>2722</v>
      </c>
      <c r="AX274">
        <v>0</v>
      </c>
      <c r="AY274" t="s">
        <v>2776</v>
      </c>
      <c r="AZ274">
        <v>2</v>
      </c>
      <c r="BA274" t="s">
        <v>2794</v>
      </c>
      <c r="BB274">
        <v>2</v>
      </c>
      <c r="BC274" t="s">
        <v>2768</v>
      </c>
      <c r="BD274">
        <v>2</v>
      </c>
      <c r="BE274" s="176" t="s">
        <v>2789</v>
      </c>
      <c r="BF274">
        <v>2</v>
      </c>
      <c r="BG274" t="s">
        <v>2768</v>
      </c>
      <c r="BH274">
        <v>1</v>
      </c>
      <c r="BI274" s="176" t="s">
        <v>3026</v>
      </c>
      <c r="BJ274">
        <v>2</v>
      </c>
      <c r="BK274" t="s">
        <v>2768</v>
      </c>
      <c r="BL274">
        <v>1</v>
      </c>
      <c r="BM274" t="s">
        <v>2768</v>
      </c>
      <c r="BN274">
        <v>2</v>
      </c>
      <c r="BO274" t="str">
        <f>IF(0,"云飞玉皇-玉山揽云","夕照雷峰")</f>
        <v>夕照雷峰</v>
      </c>
      <c r="BP274">
        <v>2</v>
      </c>
      <c r="BQ274" t="s">
        <v>2768</v>
      </c>
      <c r="BR274">
        <v>2</v>
      </c>
      <c r="BS274" s="179" t="s">
        <v>3030</v>
      </c>
      <c r="BT274">
        <v>2</v>
      </c>
      <c r="BU274" t="s">
        <v>2768</v>
      </c>
      <c r="BV274">
        <v>2</v>
      </c>
      <c r="BW274" s="182" t="s">
        <v>2794</v>
      </c>
      <c r="BX274" s="179">
        <v>2</v>
      </c>
      <c r="BY274" s="176" t="s">
        <v>2776</v>
      </c>
      <c r="BZ274">
        <v>2</v>
      </c>
      <c r="CA274" s="176" t="s">
        <v>2776</v>
      </c>
      <c r="CB274">
        <v>2</v>
      </c>
    </row>
    <row r="275" spans="1:80">
      <c r="A275" s="178" t="str">
        <f ca="1">IFERROR(IF(AG274&lt;5+金蛇*2,IF(COUNTIF(B274,"*轻*")&gt;0,A274+加速!$L$9,A274+加速!$L$11)+V274,""),"")</f>
        <v/>
      </c>
      <c r="B275" s="167" t="str">
        <f ca="1" t="shared" si="77"/>
        <v/>
      </c>
      <c r="C275" t="str">
        <f ca="1" t="shared" si="86"/>
        <v/>
      </c>
      <c r="D275" t="str">
        <f ca="1">IF(B275&lt;&gt;"",IF(C274&lt;=加速!$L$11*(1-E275),0,1),"")</f>
        <v/>
      </c>
      <c r="E275">
        <f ca="1" t="shared" si="83"/>
        <v>1</v>
      </c>
      <c r="G275" t="str">
        <f ca="1" t="shared" si="84"/>
        <v/>
      </c>
      <c r="H275" t="str">
        <f ca="1">IF(B275&lt;&gt;"",IF(AND(COUNTIF(B274,"*轻*莺鸣柳*")&gt;0,COUNTIF(B275,"*轻*")&lt;1),MAX(0,15+I274-(A275-A274)+COUNTIF(B274,"*平湖*")*0),IF(AND(E275=0,MAX(0,H274-(A275-A274))&lt;=加速!$H$11),0,MAX(0,H274-(A275-A274)))),"")</f>
        <v/>
      </c>
      <c r="I275" t="str">
        <f ca="1" t="shared" si="90"/>
        <v/>
      </c>
      <c r="J275" t="str">
        <f ca="1" t="shared" si="91"/>
        <v/>
      </c>
      <c r="K275" t="str">
        <f ca="1" t="shared" si="78"/>
        <v/>
      </c>
      <c r="L275">
        <f ca="1">IFERROR(IF(AND(COUNTIF(B275,"*-峰插*"),技能数据库!$M$72&gt;0),0,IF(COUNTIF(B275,"*鹤归*")&gt;0,16-加速!$L$11,MAX(0,L274-(A275-A274)))),0)</f>
        <v>0</v>
      </c>
      <c r="M275">
        <f ca="1" t="shared" si="79"/>
        <v>0</v>
      </c>
      <c r="N275">
        <f ca="1">IFERROR(IF(AND(COUNTIF(B275,"*-峰插*"),技能数据库!$M$72&gt;0),0,IF(COUNTIF(B275,"*云飞*")&gt;0,4-COUNTIF(B275,"*玉山揽云*")*4--COUNTIF(B275,"*烟流暮景*")*4-COUNTIF(B275,"*云景*")*加速!$L$11-IF(J275&gt;0,2,0),MAX(0,N274-(A275-A274)-IF(J275&gt;0,2,0)))),0)</f>
        <v>0</v>
      </c>
      <c r="O275">
        <f ca="1">IF(AND(COUNTIF(IF(AND(配装计算器!$K$30&lt;&gt;"∞",0),INDEX(AU274:CB274,1,$AT$1),INDEX(AU276:CB276,1,$AT$1)),"*云飞*")=1,COUNTIF(IF(AND(配装计算器!$K$30&lt;&gt;"∞",0),INDEX(AU274:CB274,1,$AT$1),INDEX(AU276:CB276,1,$AT$1)),"*玉山*")=0),N275,0)</f>
        <v>0</v>
      </c>
      <c r="P275">
        <f ca="1">IFERROR(IF(COUNTIF(B275,"*云栖松*")&gt;0,50-加速!$L$11,MAX(0,P274-(A275-A274))),0)</f>
        <v>0</v>
      </c>
      <c r="Q275">
        <f ca="1">IF(COUNTIF(IF(AND(配装计算器!$K$30&lt;&gt;"∞",0),INDEX(AU274:CB274,1,$AT$1),INDEX(AU276:CB276,1,$AT$1)),"*云栖松*")=1,P275,0)</f>
        <v>0</v>
      </c>
      <c r="R275">
        <f ca="1">IFERROR(IF(COUNTIF(B275,"*莺鸣柳*")&gt;0,45-加速!$L$9,MAX(0,R274-(A275-A274))),0)</f>
        <v>0</v>
      </c>
      <c r="S275">
        <f ca="1">IF(COUNTIF(IF(AND(配装计算器!$K$30&lt;&gt;"∞",0),INDEX(AU274:CB274,1,$AT$1),INDEX(AU276:CB276,1,$AT$1)),"*莺鸣柳*")=1,R275,0)</f>
        <v>0</v>
      </c>
      <c r="T275">
        <f ca="1" t="shared" si="87"/>
        <v>0</v>
      </c>
      <c r="U275">
        <f ca="1">IF(金蛇,IF(COUNTIF(B275,"*金环戴*")+COUNTIF(B275,"*吹风醒*")&gt;0,IF(A275&lt;=3,7.125-2.625-A275-加速!$L$11,7.125+加速!$K$9-(A275+加速!$L$11-T275)),0),0)+IF(金蛇,IF(COUNTIF(B275,"*千切子裂光*")&gt;0,2+加速!$K$9-(A275+加速!$L$11-T275),0),0)</f>
        <v>0</v>
      </c>
      <c r="V275">
        <f ca="1" t="shared" si="88"/>
        <v>0</v>
      </c>
      <c r="W275">
        <f ca="1" t="shared" si="80"/>
        <v>0</v>
      </c>
      <c r="X275">
        <f ca="1">INDEX(加速!$I$13:$I$21,W275+1)</f>
        <v>0</v>
      </c>
      <c r="Y275">
        <f ca="1" t="shared" si="89"/>
        <v>0.5</v>
      </c>
      <c r="Z275">
        <f ca="1" t="shared" si="85"/>
        <v>0</v>
      </c>
      <c r="AA275">
        <f ca="1">MAX(0,IFERROR(IF(COUNTIF(B275,"*叠*")&gt;0,IF(AC274&lt;3,8-A276+A275,AA274+6.875-A276+A275),AA274-A276+A275),AA274-加速!$L$11))</f>
        <v>0</v>
      </c>
      <c r="AB275" t="e">
        <f ca="1">MAX(0,IF(COUNTIF(IF(AND(配装计算器!$K$30&lt;&gt;"∞",0),INDEX(AU275:CB275,1,$AT$1),INDEX(AU275:CB275,1,$AT$1)),"*叠1*")=1,4*25-加速!$L$11,AB274-A275+A274)-IF(OR(COUNTIF(OFFSET(AT275,0,$AT$1,1,1),"*听雷*")&gt;0,AND(碧归&gt;0,COUNTIF(OFFSET(AT275,0,$AT$1,1,1),"*风来*")&gt;0)),0,1)*1.5)</f>
        <v>#VALUE!</v>
      </c>
      <c r="AC275">
        <f ca="1" t="shared" si="81"/>
        <v>0</v>
      </c>
      <c r="AD275">
        <f ca="1">IF(COUNTIF(IF(AND(配装计算器!$K$30&lt;&gt;"∞",0),INDEX(AU275:CB275,1,$AT$1),INDEX(AU276:CB276,1,$AT$1)),"*叠1*")=1,AB275*0+AE274,0)</f>
        <v>0</v>
      </c>
      <c r="AE275" t="e">
        <f ca="1">IF($AN$11&gt;0,IF(COUNTIF(B276,"*叠1*")&gt;0,50-加速!$L$11,MAX(0,AE274-(A276-A275))),0)</f>
        <v>#VALUE!</v>
      </c>
      <c r="AG275">
        <f ca="1" t="shared" si="82"/>
        <v>8</v>
      </c>
      <c r="AU275" s="176" t="s">
        <v>2776</v>
      </c>
      <c r="AV275">
        <v>2</v>
      </c>
      <c r="AW275" t="s">
        <v>3009</v>
      </c>
      <c r="AX275">
        <v>2</v>
      </c>
      <c r="AY275" t="s">
        <v>2768</v>
      </c>
      <c r="AZ275">
        <v>2</v>
      </c>
      <c r="BA275" t="s">
        <v>2768</v>
      </c>
      <c r="BB275">
        <v>2</v>
      </c>
      <c r="BC275" t="s">
        <v>2776</v>
      </c>
      <c r="BD275">
        <v>2</v>
      </c>
      <c r="BE275" s="176" t="s">
        <v>2776</v>
      </c>
      <c r="BF275">
        <v>2</v>
      </c>
      <c r="BG275" s="176" t="s">
        <v>2768</v>
      </c>
      <c r="BH275">
        <v>1</v>
      </c>
      <c r="BI275" s="176" t="s">
        <v>3026</v>
      </c>
      <c r="BJ275">
        <v>2</v>
      </c>
      <c r="BK275" t="s">
        <v>2768</v>
      </c>
      <c r="BL275">
        <v>1</v>
      </c>
      <c r="BM275" s="180" t="s">
        <v>2789</v>
      </c>
      <c r="BN275">
        <v>2</v>
      </c>
      <c r="BO275" t="str">
        <f>IF(0,"云飞玉皇-玉山揽云","云飞玉皇")</f>
        <v>云飞玉皇</v>
      </c>
      <c r="BP275">
        <v>2</v>
      </c>
      <c r="BQ275" t="s">
        <v>3013</v>
      </c>
      <c r="BR275">
        <v>2</v>
      </c>
      <c r="BS275" s="179" t="s">
        <v>2768</v>
      </c>
      <c r="BT275">
        <v>2</v>
      </c>
      <c r="BU275" s="176" t="s">
        <v>2768</v>
      </c>
      <c r="BV275">
        <v>2</v>
      </c>
      <c r="BW275" s="182" t="s">
        <v>2776</v>
      </c>
      <c r="BX275" s="179">
        <v>2</v>
      </c>
      <c r="BY275" s="176" t="s">
        <v>2768</v>
      </c>
      <c r="BZ275">
        <v>2</v>
      </c>
      <c r="CA275" s="176" t="s">
        <v>2768</v>
      </c>
      <c r="CB275">
        <v>2</v>
      </c>
    </row>
    <row r="276" spans="1:80">
      <c r="A276" s="178" t="str">
        <f ca="1">IFERROR(IF(AG275&lt;5+金蛇*2,IF(COUNTIF(B275,"*轻*")&gt;0,A275+加速!$L$9,A275+加速!$L$11)+V275,""),"")</f>
        <v/>
      </c>
      <c r="B276" s="167" t="str">
        <f ca="1" t="shared" si="77"/>
        <v/>
      </c>
      <c r="C276" t="str">
        <f ca="1" t="shared" si="86"/>
        <v/>
      </c>
      <c r="D276" t="str">
        <f ca="1">IF(B276&lt;&gt;"",IF(C275&lt;=加速!$L$11*(1-E276),0,1),"")</f>
        <v/>
      </c>
      <c r="E276">
        <f ca="1" t="shared" si="83"/>
        <v>1</v>
      </c>
      <c r="G276" t="str">
        <f ca="1" t="shared" si="84"/>
        <v/>
      </c>
      <c r="H276" t="str">
        <f ca="1">IF(B276&lt;&gt;"",IF(AND(COUNTIF(B275,"*轻*莺鸣柳*")&gt;0,COUNTIF(B276,"*轻*")&lt;1),MAX(0,15+I275-(A276-A275)+COUNTIF(B275,"*平湖*")*0),IF(AND(E276=0,MAX(0,H275-(A276-A275))&lt;=加速!$H$11),0,MAX(0,H275-(A276-A275)))),"")</f>
        <v/>
      </c>
      <c r="I276" t="str">
        <f ca="1" t="shared" si="90"/>
        <v/>
      </c>
      <c r="J276" t="str">
        <f ca="1" t="shared" si="91"/>
        <v/>
      </c>
      <c r="K276" t="str">
        <f ca="1" t="shared" si="78"/>
        <v/>
      </c>
      <c r="L276">
        <f ca="1">IFERROR(IF(AND(COUNTIF(B276,"*-峰插*"),技能数据库!$M$72&gt;0),0,IF(COUNTIF(B276,"*鹤归*")&gt;0,16-加速!$L$11,MAX(0,L275-(A276-A275)))),0)</f>
        <v>0</v>
      </c>
      <c r="M276">
        <f ca="1" t="shared" si="79"/>
        <v>0</v>
      </c>
      <c r="N276">
        <f ca="1">IFERROR(IF(AND(COUNTIF(B276,"*-峰插*"),技能数据库!$M$72&gt;0),0,IF(COUNTIF(B276,"*云飞*")&gt;0,4-COUNTIF(B276,"*玉山揽云*")*4--COUNTIF(B276,"*烟流暮景*")*4-COUNTIF(B276,"*云景*")*加速!$L$11-IF(J276&gt;0,2,0),MAX(0,N275-(A276-A275)-IF(J276&gt;0,2,0)))),0)</f>
        <v>0</v>
      </c>
      <c r="O276">
        <f ca="1">IF(AND(COUNTIF(IF(AND(配装计算器!$K$30&lt;&gt;"∞",0),INDEX(AU275:CB275,1,$AT$1),INDEX(AU277:CB277,1,$AT$1)),"*云飞*")=1,COUNTIF(IF(AND(配装计算器!$K$30&lt;&gt;"∞",0),INDEX(AU275:CB275,1,$AT$1),INDEX(AU277:CB277,1,$AT$1)),"*玉山*")=0),N276,0)</f>
        <v>0</v>
      </c>
      <c r="P276">
        <f ca="1">IFERROR(IF(COUNTIF(B276,"*云栖松*")&gt;0,50-加速!$L$11,MAX(0,P275-(A276-A275))),0)</f>
        <v>0</v>
      </c>
      <c r="Q276">
        <f ca="1">IF(COUNTIF(IF(AND(配装计算器!$K$30&lt;&gt;"∞",0),INDEX(AU275:CB275,1,$AT$1),INDEX(AU277:CB277,1,$AT$1)),"*云栖松*")=1,P276,0)</f>
        <v>0</v>
      </c>
      <c r="R276">
        <f ca="1">IFERROR(IF(COUNTIF(B276,"*莺鸣柳*")&gt;0,45-加速!$L$9,MAX(0,R275-(A276-A275))),0)</f>
        <v>0</v>
      </c>
      <c r="S276">
        <f ca="1">IF(COUNTIF(IF(AND(配装计算器!$K$30&lt;&gt;"∞",0),INDEX(AU275:CB275,1,$AT$1),INDEX(AU277:CB277,1,$AT$1)),"*莺鸣柳*")=1,R276,0)</f>
        <v>0</v>
      </c>
      <c r="T276">
        <f ca="1" t="shared" si="87"/>
        <v>0</v>
      </c>
      <c r="U276">
        <f ca="1">IF(金蛇,IF(COUNTIF(B276,"*金环戴*")+COUNTIF(B276,"*吹风醒*")&gt;0,IF(A276&lt;=3,7.125-2.625-A276-加速!$L$11,7.125+加速!$K$9-(A276+加速!$L$11-T276)),0),0)+IF(金蛇,IF(COUNTIF(B276,"*千切子裂光*")&gt;0,2+加速!$K$9-(A276+加速!$L$11-T276),0),0)</f>
        <v>0</v>
      </c>
      <c r="V276">
        <f ca="1" t="shared" si="88"/>
        <v>0</v>
      </c>
      <c r="W276">
        <f ca="1" t="shared" si="80"/>
        <v>0</v>
      </c>
      <c r="X276">
        <f ca="1">INDEX(加速!$I$13:$I$21,W276+1)</f>
        <v>0</v>
      </c>
      <c r="Y276">
        <f ca="1" t="shared" si="89"/>
        <v>0.5</v>
      </c>
      <c r="Z276">
        <f ca="1" t="shared" si="85"/>
        <v>0</v>
      </c>
      <c r="AA276">
        <f ca="1">MAX(0,IFERROR(IF(COUNTIF(B276,"*叠*")&gt;0,IF(AC275&lt;3,8-A277+A276,AA275+6.875-A277+A276),AA275-A277+A276),AA275-加速!$L$11))</f>
        <v>0</v>
      </c>
      <c r="AB276" t="e">
        <f ca="1">MAX(0,IF(COUNTIF(IF(AND(配装计算器!$K$30&lt;&gt;"∞",0),INDEX(AU276:CB276,1,$AT$1),INDEX(AU276:CB276,1,$AT$1)),"*叠1*")=1,4*25-加速!$L$11,AB275-A276+A275)-IF(OR(COUNTIF(OFFSET(AT276,0,$AT$1,1,1),"*听雷*")&gt;0,AND(碧归&gt;0,COUNTIF(OFFSET(AT276,0,$AT$1,1,1),"*风来*")&gt;0)),0,1)*1.5)</f>
        <v>#VALUE!</v>
      </c>
      <c r="AC276">
        <f ca="1" t="shared" si="81"/>
        <v>0</v>
      </c>
      <c r="AD276">
        <f ca="1">IF(COUNTIF(IF(AND(配装计算器!$K$30&lt;&gt;"∞",0),INDEX(AU276:CB276,1,$AT$1),INDEX(AU277:CB277,1,$AT$1)),"*叠1*")=1,AB276*0+AE275,0)</f>
        <v>0</v>
      </c>
      <c r="AE276" t="e">
        <f ca="1">IF($AN$11&gt;0,IF(COUNTIF(B277,"*叠1*")&gt;0,50-加速!$L$11,MAX(0,AE275-(A277-A276))),0)</f>
        <v>#VALUE!</v>
      </c>
      <c r="AG276">
        <f ca="1" t="shared" si="82"/>
        <v>8</v>
      </c>
      <c r="AU276" s="176" t="s">
        <v>2768</v>
      </c>
      <c r="AV276">
        <v>2</v>
      </c>
      <c r="AW276" t="s">
        <v>2776</v>
      </c>
      <c r="AX276">
        <v>2</v>
      </c>
      <c r="AY276" t="s">
        <v>2794</v>
      </c>
      <c r="AZ276">
        <v>2</v>
      </c>
      <c r="BA276" t="s">
        <v>2776</v>
      </c>
      <c r="BB276">
        <v>2</v>
      </c>
      <c r="BC276" t="s">
        <v>2768</v>
      </c>
      <c r="BD276">
        <v>2</v>
      </c>
      <c r="BE276" s="176" t="s">
        <v>3035</v>
      </c>
      <c r="BF276">
        <v>2</v>
      </c>
      <c r="BG276" t="s">
        <v>3055</v>
      </c>
      <c r="BH276">
        <v>0</v>
      </c>
      <c r="BI276" s="176" t="s">
        <v>3026</v>
      </c>
      <c r="BJ276">
        <v>2</v>
      </c>
      <c r="BK276" t="s">
        <v>2794</v>
      </c>
      <c r="BL276">
        <v>0</v>
      </c>
      <c r="BM276" s="176" t="s">
        <v>2794</v>
      </c>
      <c r="BN276">
        <v>2</v>
      </c>
      <c r="BO276" t="str">
        <f>IF(0,"云飞玉皇-玉山揽云","夕照雷峰")</f>
        <v>夕照雷峰</v>
      </c>
      <c r="BP276">
        <v>2</v>
      </c>
      <c r="BQ276" t="s">
        <v>2808</v>
      </c>
      <c r="BR276">
        <v>2</v>
      </c>
      <c r="BS276" s="182" t="s">
        <v>3023</v>
      </c>
      <c r="BT276">
        <v>2</v>
      </c>
      <c r="BU276" s="176" t="s">
        <v>2776</v>
      </c>
      <c r="BV276">
        <v>2</v>
      </c>
      <c r="BW276" s="182" t="s">
        <v>2768</v>
      </c>
      <c r="BX276" s="179">
        <v>2</v>
      </c>
      <c r="BY276" s="176" t="s">
        <v>2776</v>
      </c>
      <c r="BZ276">
        <v>2</v>
      </c>
      <c r="CA276" s="176" t="s">
        <v>2776</v>
      </c>
      <c r="CB276">
        <v>2</v>
      </c>
    </row>
    <row r="277" spans="1:80">
      <c r="A277" s="178" t="str">
        <f ca="1">IFERROR(IF(AG276&lt;5+金蛇*2,IF(COUNTIF(B276,"*轻*")&gt;0,A276+加速!$L$9,A276+加速!$L$11)+V276,""),"")</f>
        <v/>
      </c>
      <c r="B277" s="167" t="str">
        <f ca="1" t="shared" si="77"/>
        <v/>
      </c>
      <c r="C277" t="str">
        <f ca="1" t="shared" si="86"/>
        <v/>
      </c>
      <c r="D277" t="str">
        <f ca="1">IF(B277&lt;&gt;"",IF(C276&lt;=加速!$L$11*(1-E277),0,1),"")</f>
        <v/>
      </c>
      <c r="E277">
        <f ca="1" t="shared" si="83"/>
        <v>1</v>
      </c>
      <c r="G277" t="str">
        <f ca="1" t="shared" si="84"/>
        <v/>
      </c>
      <c r="H277" t="str">
        <f ca="1">IF(B277&lt;&gt;"",IF(AND(COUNTIF(B276,"*轻*莺鸣柳*")&gt;0,COUNTIF(B277,"*轻*")&lt;1),MAX(0,15+I276-(A277-A276)+COUNTIF(B276,"*平湖*")*0),IF(AND(E277=0,MAX(0,H276-(A277-A276))&lt;=加速!$H$11),0,MAX(0,H276-(A277-A276)))),"")</f>
        <v/>
      </c>
      <c r="I277" t="str">
        <f ca="1" t="shared" si="90"/>
        <v/>
      </c>
      <c r="J277" t="str">
        <f ca="1" t="shared" si="91"/>
        <v/>
      </c>
      <c r="K277" t="str">
        <f ca="1" t="shared" si="78"/>
        <v/>
      </c>
      <c r="L277">
        <f ca="1">IFERROR(IF(AND(COUNTIF(B277,"*-峰插*"),技能数据库!$M$72&gt;0),0,IF(COUNTIF(B277,"*鹤归*")&gt;0,16-加速!$L$11,MAX(0,L276-(A277-A276)))),0)</f>
        <v>0</v>
      </c>
      <c r="M277">
        <f ca="1" t="shared" si="79"/>
        <v>0</v>
      </c>
      <c r="N277">
        <f ca="1">IFERROR(IF(AND(COUNTIF(B277,"*-峰插*"),技能数据库!$M$72&gt;0),0,IF(COUNTIF(B277,"*云飞*")&gt;0,4-COUNTIF(B277,"*玉山揽云*")*4--COUNTIF(B277,"*烟流暮景*")*4-COUNTIF(B277,"*云景*")*加速!$L$11-IF(J277&gt;0,2,0),MAX(0,N276-(A277-A276)-IF(J277&gt;0,2,0)))),0)</f>
        <v>0</v>
      </c>
      <c r="O277">
        <f ca="1">IF(AND(COUNTIF(IF(AND(配装计算器!$K$30&lt;&gt;"∞",0),INDEX(AU276:CB276,1,$AT$1),INDEX(AU278:CB278,1,$AT$1)),"*云飞*")=1,COUNTIF(IF(AND(配装计算器!$K$30&lt;&gt;"∞",0),INDEX(AU276:CB276,1,$AT$1),INDEX(AU278:CB278,1,$AT$1)),"*玉山*")=0),N277,0)</f>
        <v>0</v>
      </c>
      <c r="P277">
        <f ca="1">IFERROR(IF(COUNTIF(B277,"*云栖松*")&gt;0,50-加速!$L$11,MAX(0,P276-(A277-A276))),0)</f>
        <v>0</v>
      </c>
      <c r="Q277">
        <f ca="1">IF(COUNTIF(IF(AND(配装计算器!$K$30&lt;&gt;"∞",0),INDEX(AU276:CB276,1,$AT$1),INDEX(AU278:CB278,1,$AT$1)),"*云栖松*")=1,P277,0)</f>
        <v>0</v>
      </c>
      <c r="R277">
        <f ca="1">IFERROR(IF(COUNTIF(B277,"*莺鸣柳*")&gt;0,45-加速!$L$9,MAX(0,R276-(A277-A276))),0)</f>
        <v>0</v>
      </c>
      <c r="S277">
        <f ca="1">IF(COUNTIF(IF(AND(配装计算器!$K$30&lt;&gt;"∞",0),INDEX(AU276:CB276,1,$AT$1),INDEX(AU278:CB278,1,$AT$1)),"*莺鸣柳*")=1,R277,0)</f>
        <v>0</v>
      </c>
      <c r="T277">
        <f ca="1" t="shared" si="87"/>
        <v>0</v>
      </c>
      <c r="U277">
        <f ca="1">IF(金蛇,IF(COUNTIF(B277,"*金环戴*")+COUNTIF(B277,"*吹风醒*")&gt;0,IF(A277&lt;=3,7.125-2.625-A277-加速!$L$11,7.125+加速!$K$9-(A277+加速!$L$11-T277)),0),0)+IF(金蛇,IF(COUNTIF(B277,"*千切子裂光*")&gt;0,2+加速!$K$9-(A277+加速!$L$11-T277),0),0)</f>
        <v>0</v>
      </c>
      <c r="V277">
        <f ca="1" t="shared" si="88"/>
        <v>0</v>
      </c>
      <c r="W277">
        <f ca="1" t="shared" si="80"/>
        <v>0</v>
      </c>
      <c r="X277">
        <f ca="1">INDEX(加速!$I$13:$I$21,W277+1)</f>
        <v>0</v>
      </c>
      <c r="Y277">
        <f ca="1" t="shared" si="89"/>
        <v>0.5</v>
      </c>
      <c r="Z277">
        <f ca="1" t="shared" si="85"/>
        <v>0</v>
      </c>
      <c r="AA277">
        <f ca="1">MAX(0,IFERROR(IF(COUNTIF(B277,"*叠*")&gt;0,IF(AC276&lt;3,8-A278+A277,AA276+6.875-A278+A277),AA276-A278+A277),AA276-加速!$L$11))</f>
        <v>0</v>
      </c>
      <c r="AB277" t="e">
        <f ca="1">MAX(0,IF(COUNTIF(IF(AND(配装计算器!$K$30&lt;&gt;"∞",0),INDEX(AU277:CB277,1,$AT$1),INDEX(AU277:CB277,1,$AT$1)),"*叠1*")=1,4*25-加速!$L$11,AB276-A277+A276)-IF(OR(COUNTIF(OFFSET(AT277,0,$AT$1,1,1),"*听雷*")&gt;0,AND(碧归&gt;0,COUNTIF(OFFSET(AT277,0,$AT$1,1,1),"*风来*")&gt;0)),0,1)*1.5)</f>
        <v>#VALUE!</v>
      </c>
      <c r="AC277">
        <f ca="1" t="shared" si="81"/>
        <v>0</v>
      </c>
      <c r="AD277">
        <f ca="1">IF(COUNTIF(IF(AND(配装计算器!$K$30&lt;&gt;"∞",0),INDEX(AU277:CB277,1,$AT$1),INDEX(AU278:CB278,1,$AT$1)),"*叠1*")=1,AB277*0+AE276,0)</f>
        <v>0</v>
      </c>
      <c r="AE277" t="e">
        <f ca="1">IF($AN$11&gt;0,IF(COUNTIF(B278,"*叠1*")&gt;0,50-加速!$L$11,MAX(0,AE276-(A278-A277))),0)</f>
        <v>#VALUE!</v>
      </c>
      <c r="AG277">
        <f ca="1" t="shared" si="82"/>
        <v>8</v>
      </c>
      <c r="AU277" s="176" t="s">
        <v>2776</v>
      </c>
      <c r="AV277">
        <v>2</v>
      </c>
      <c r="AW277" t="s">
        <v>2768</v>
      </c>
      <c r="AX277">
        <v>2</v>
      </c>
      <c r="AY277" t="s">
        <v>2768</v>
      </c>
      <c r="AZ277">
        <v>2</v>
      </c>
      <c r="BA277" t="s">
        <v>2768</v>
      </c>
      <c r="BB277">
        <v>2</v>
      </c>
      <c r="BC277" t="s">
        <v>2794</v>
      </c>
      <c r="BD277">
        <v>2</v>
      </c>
      <c r="BE277" t="s">
        <v>2768</v>
      </c>
      <c r="BF277">
        <v>2</v>
      </c>
      <c r="BG277" t="s">
        <v>2776</v>
      </c>
      <c r="BH277">
        <v>2</v>
      </c>
      <c r="BI277" s="176" t="s">
        <v>3026</v>
      </c>
      <c r="BJ277">
        <v>2</v>
      </c>
      <c r="BK277" t="s">
        <v>2776</v>
      </c>
      <c r="BL277">
        <v>0</v>
      </c>
      <c r="BM277" s="176" t="s">
        <v>2776</v>
      </c>
      <c r="BN277">
        <v>2</v>
      </c>
      <c r="BO277" t="str">
        <f>IF(0,橙武补雾锁,"夕照雷峰")</f>
        <v>夕照雷峰</v>
      </c>
      <c r="BP277">
        <v>2</v>
      </c>
      <c r="BQ277" t="s">
        <v>2768</v>
      </c>
      <c r="BR277">
        <v>2</v>
      </c>
      <c r="BS277" s="182" t="s">
        <v>2768</v>
      </c>
      <c r="BT277">
        <v>2</v>
      </c>
      <c r="BU277" t="s">
        <v>2768</v>
      </c>
      <c r="BV277">
        <v>1</v>
      </c>
      <c r="BW277" s="182" t="s">
        <v>2776</v>
      </c>
      <c r="BX277" s="179">
        <v>2</v>
      </c>
      <c r="BY277" s="176" t="s">
        <v>2768</v>
      </c>
      <c r="BZ277">
        <v>2</v>
      </c>
      <c r="CA277" s="176" t="s">
        <v>2768</v>
      </c>
      <c r="CB277">
        <v>2</v>
      </c>
    </row>
    <row r="278" spans="1:80">
      <c r="A278" s="178" t="str">
        <f ca="1">IFERROR(IF(AG277&lt;5+金蛇*2,IF(COUNTIF(B277,"*轻*")&gt;0,A277+加速!$L$9,A277+加速!$L$11)+V277,""),"")</f>
        <v/>
      </c>
      <c r="B278" s="167" t="str">
        <f ca="1" t="shared" si="77"/>
        <v/>
      </c>
      <c r="C278" t="str">
        <f ca="1" t="shared" si="86"/>
        <v/>
      </c>
      <c r="D278" t="str">
        <f ca="1">IF(B278&lt;&gt;"",IF(C277&lt;=加速!$L$11*(1-E278),0,1),"")</f>
        <v/>
      </c>
      <c r="E278">
        <f ca="1" t="shared" si="83"/>
        <v>1</v>
      </c>
      <c r="G278" t="str">
        <f ca="1" t="shared" si="84"/>
        <v/>
      </c>
      <c r="H278" t="str">
        <f ca="1">IF(B278&lt;&gt;"",IF(AND(COUNTIF(B277,"*轻*莺鸣柳*")&gt;0,COUNTIF(B278,"*轻*")&lt;1),MAX(0,15+I277-(A278-A277)+COUNTIF(B277,"*平湖*")*0),IF(AND(E278=0,MAX(0,H277-(A278-A277))&lt;=加速!$H$11),0,MAX(0,H277-(A278-A277)))),"")</f>
        <v/>
      </c>
      <c r="I278" t="str">
        <f ca="1" t="shared" si="90"/>
        <v/>
      </c>
      <c r="J278" t="str">
        <f ca="1" t="shared" si="91"/>
        <v/>
      </c>
      <c r="K278" t="str">
        <f ca="1" t="shared" si="78"/>
        <v/>
      </c>
      <c r="L278">
        <f ca="1">IFERROR(IF(AND(COUNTIF(B278,"*-峰插*"),技能数据库!$M$72&gt;0),0,IF(COUNTIF(B278,"*鹤归*")&gt;0,16-加速!$L$11,MAX(0,L277-(A278-A277)))),0)</f>
        <v>0</v>
      </c>
      <c r="M278">
        <f ca="1" t="shared" si="79"/>
        <v>0</v>
      </c>
      <c r="N278">
        <f ca="1">IFERROR(IF(AND(COUNTIF(B278,"*-峰插*"),技能数据库!$M$72&gt;0),0,IF(COUNTIF(B278,"*云飞*")&gt;0,4-COUNTIF(B278,"*玉山揽云*")*4--COUNTIF(B278,"*烟流暮景*")*4-COUNTIF(B278,"*云景*")*加速!$L$11-IF(J278&gt;0,2,0),MAX(0,N277-(A278-A277)-IF(J278&gt;0,2,0)))),0)</f>
        <v>0</v>
      </c>
      <c r="O278">
        <f ca="1">IF(AND(COUNTIF(IF(AND(配装计算器!$K$30&lt;&gt;"∞",0),INDEX(AU277:CB277,1,$AT$1),INDEX(AU279:CB279,1,$AT$1)),"*云飞*")=1,COUNTIF(IF(AND(配装计算器!$K$30&lt;&gt;"∞",0),INDEX(AU277:CB277,1,$AT$1),INDEX(AU279:CB279,1,$AT$1)),"*玉山*")=0),N278,0)</f>
        <v>0</v>
      </c>
      <c r="P278">
        <f ca="1">IFERROR(IF(COUNTIF(B278,"*云栖松*")&gt;0,50-加速!$L$11,MAX(0,P277-(A278-A277))),0)</f>
        <v>0</v>
      </c>
      <c r="Q278">
        <f ca="1">IF(COUNTIF(IF(AND(配装计算器!$K$30&lt;&gt;"∞",0),INDEX(AU277:CB277,1,$AT$1),INDEX(AU279:CB279,1,$AT$1)),"*云栖松*")=1,P278,0)</f>
        <v>0</v>
      </c>
      <c r="R278">
        <f ca="1">IFERROR(IF(COUNTIF(B278,"*莺鸣柳*")&gt;0,45-加速!$L$9,MAX(0,R277-(A278-A277))),0)</f>
        <v>0</v>
      </c>
      <c r="S278">
        <f ca="1">IF(COUNTIF(IF(AND(配装计算器!$K$30&lt;&gt;"∞",0),INDEX(AU277:CB277,1,$AT$1),INDEX(AU279:CB279,1,$AT$1)),"*莺鸣柳*")=1,R278,0)</f>
        <v>0</v>
      </c>
      <c r="T278">
        <f ca="1" t="shared" si="87"/>
        <v>0</v>
      </c>
      <c r="U278">
        <f ca="1">IF(金蛇,IF(COUNTIF(B278,"*金环戴*")+COUNTIF(B278,"*吹风醒*")&gt;0,IF(A278&lt;=3,7.125-2.625-A278-加速!$L$11,7.125+加速!$K$9-(A278+加速!$L$11-T278)),0),0)+IF(金蛇,IF(COUNTIF(B278,"*千切子裂光*")&gt;0,2+加速!$K$9-(A278+加速!$L$11-T278),0),0)</f>
        <v>0</v>
      </c>
      <c r="V278">
        <f ca="1" t="shared" si="88"/>
        <v>0</v>
      </c>
      <c r="W278">
        <f ca="1" t="shared" si="80"/>
        <v>0</v>
      </c>
      <c r="X278">
        <f ca="1">INDEX(加速!$I$13:$I$21,W278+1)</f>
        <v>0</v>
      </c>
      <c r="Y278">
        <f ca="1" t="shared" si="89"/>
        <v>0.5</v>
      </c>
      <c r="Z278">
        <f ca="1" t="shared" si="85"/>
        <v>0</v>
      </c>
      <c r="AA278">
        <f ca="1">MAX(0,IFERROR(IF(COUNTIF(B278,"*叠*")&gt;0,IF(AC277&lt;3,8-A279+A278,AA277+6.875-A279+A278),AA277-A279+A278),AA277-加速!$L$11))</f>
        <v>0</v>
      </c>
      <c r="AB278" t="e">
        <f ca="1">MAX(0,IF(COUNTIF(IF(AND(配装计算器!$K$30&lt;&gt;"∞",0),INDEX(AU278:CB278,1,$AT$1),INDEX(AU278:CB278,1,$AT$1)),"*叠1*")=1,4*25-加速!$L$11,AB277-A278+A277)-IF(OR(COUNTIF(OFFSET(AT278,0,$AT$1,1,1),"*听雷*")&gt;0,AND(碧归&gt;0,COUNTIF(OFFSET(AT278,0,$AT$1,1,1),"*风来*")&gt;0)),0,1)*1.5)</f>
        <v>#VALUE!</v>
      </c>
      <c r="AC278">
        <f ca="1" t="shared" si="81"/>
        <v>0</v>
      </c>
      <c r="AD278">
        <f ca="1">IF(COUNTIF(IF(AND(配装计算器!$K$30&lt;&gt;"∞",0),INDEX(AU278:CB278,1,$AT$1),INDEX(AU279:CB279,1,$AT$1)),"*叠1*")=1,AB278*0+AE277,0)</f>
        <v>0</v>
      </c>
      <c r="AE278" t="e">
        <f ca="1">IF($AN$11&gt;0,IF(COUNTIF(B279,"*叠1*")&gt;0,50-加速!$L$11,MAX(0,AE277-(A279-A278))),0)</f>
        <v>#VALUE!</v>
      </c>
      <c r="AG278">
        <f ca="1" t="shared" si="82"/>
        <v>8</v>
      </c>
      <c r="AU278" s="176" t="s">
        <v>2768</v>
      </c>
      <c r="AV278">
        <v>2</v>
      </c>
      <c r="AW278" s="180" t="s">
        <v>2789</v>
      </c>
      <c r="AX278">
        <v>2</v>
      </c>
      <c r="AY278" t="s">
        <v>2776</v>
      </c>
      <c r="AZ278">
        <v>2</v>
      </c>
      <c r="BA278" t="s">
        <v>2776</v>
      </c>
      <c r="BB278">
        <v>2</v>
      </c>
      <c r="BC278" s="182" t="s">
        <v>3036</v>
      </c>
      <c r="BD278">
        <v>2</v>
      </c>
      <c r="BE278" t="s">
        <v>2776</v>
      </c>
      <c r="BF278">
        <v>2</v>
      </c>
      <c r="BG278" t="s">
        <v>2768</v>
      </c>
      <c r="BH278">
        <v>2</v>
      </c>
      <c r="BI278" s="176" t="s">
        <v>3036</v>
      </c>
      <c r="BJ278">
        <v>2</v>
      </c>
      <c r="BK278" t="s">
        <v>2768</v>
      </c>
      <c r="BL278">
        <v>0</v>
      </c>
      <c r="BM278" s="176" t="s">
        <v>2768</v>
      </c>
      <c r="BN278">
        <v>2</v>
      </c>
      <c r="BO278" t="str">
        <f>IF(0,"云飞玉皇-玉山揽云","夕照雷峰")</f>
        <v>夕照雷峰</v>
      </c>
      <c r="BP278">
        <v>2</v>
      </c>
      <c r="BQ278" t="s">
        <v>2768</v>
      </c>
      <c r="BR278">
        <v>2</v>
      </c>
      <c r="BS278" s="182" t="s">
        <v>2776</v>
      </c>
      <c r="BT278">
        <v>2</v>
      </c>
      <c r="BU278" s="176" t="s">
        <v>2768</v>
      </c>
      <c r="BV278">
        <v>1</v>
      </c>
      <c r="BW278" s="182" t="s">
        <v>2768</v>
      </c>
      <c r="BX278" s="179">
        <v>2</v>
      </c>
      <c r="BY278" s="176" t="s">
        <v>2808</v>
      </c>
      <c r="BZ278">
        <v>2</v>
      </c>
      <c r="CA278" s="176" t="s">
        <v>2808</v>
      </c>
      <c r="CB278">
        <v>2</v>
      </c>
    </row>
    <row r="279" spans="1:80">
      <c r="A279" s="178" t="str">
        <f ca="1">IFERROR(IF(AG278&lt;5+金蛇*2,IF(COUNTIF(B278,"*轻*")&gt;0,A278+加速!$L$9,A278+加速!$L$11)+V278,""),"")</f>
        <v/>
      </c>
      <c r="B279" s="167" t="str">
        <f ca="1" t="shared" si="77"/>
        <v/>
      </c>
      <c r="C279" t="str">
        <f ca="1" t="shared" si="86"/>
        <v/>
      </c>
      <c r="D279" t="str">
        <f ca="1">IF(B279&lt;&gt;"",IF(C278&lt;=加速!$L$11*(1-E279),0,1),"")</f>
        <v/>
      </c>
      <c r="E279">
        <f ca="1" t="shared" si="83"/>
        <v>1</v>
      </c>
      <c r="G279" t="str">
        <f ca="1" t="shared" si="84"/>
        <v/>
      </c>
      <c r="H279" t="str">
        <f ca="1">IF(B279&lt;&gt;"",IF(AND(COUNTIF(B278,"*轻*莺鸣柳*")&gt;0,COUNTIF(B279,"*轻*")&lt;1),MAX(0,15+I278-(A279-A278)+COUNTIF(B278,"*平湖*")*0),IF(AND(E279=0,MAX(0,H278-(A279-A278))&lt;=加速!$H$11),0,MAX(0,H278-(A279-A278)))),"")</f>
        <v/>
      </c>
      <c r="I279" t="str">
        <f ca="1" t="shared" si="90"/>
        <v/>
      </c>
      <c r="J279" t="str">
        <f ca="1" t="shared" si="91"/>
        <v/>
      </c>
      <c r="K279" t="str">
        <f ca="1" t="shared" si="78"/>
        <v/>
      </c>
      <c r="L279">
        <f ca="1">IFERROR(IF(AND(COUNTIF(B279,"*-峰插*"),技能数据库!$M$72&gt;0),0,IF(COUNTIF(B279,"*鹤归*")&gt;0,16-加速!$L$11,MAX(0,L278-(A279-A278)))),0)</f>
        <v>0</v>
      </c>
      <c r="M279">
        <f ca="1" t="shared" si="79"/>
        <v>0</v>
      </c>
      <c r="N279">
        <f ca="1">IFERROR(IF(AND(COUNTIF(B279,"*-峰插*"),技能数据库!$M$72&gt;0),0,IF(COUNTIF(B279,"*云飞*")&gt;0,4-COUNTIF(B279,"*玉山揽云*")*4--COUNTIF(B279,"*烟流暮景*")*4-COUNTIF(B279,"*云景*")*加速!$L$11-IF(J279&gt;0,2,0),MAX(0,N278-(A279-A278)-IF(J279&gt;0,2,0)))),0)</f>
        <v>0</v>
      </c>
      <c r="O279">
        <f ca="1">IF(AND(COUNTIF(IF(AND(配装计算器!$K$30&lt;&gt;"∞",0),INDEX(AU278:CB278,1,$AT$1),INDEX(AU280:CB280,1,$AT$1)),"*云飞*")=1,COUNTIF(IF(AND(配装计算器!$K$30&lt;&gt;"∞",0),INDEX(AU278:CB278,1,$AT$1),INDEX(AU280:CB280,1,$AT$1)),"*玉山*")=0),N279,0)</f>
        <v>0</v>
      </c>
      <c r="P279">
        <f ca="1">IFERROR(IF(COUNTIF(B279,"*云栖松*")&gt;0,50-加速!$L$11,MAX(0,P278-(A279-A278))),0)</f>
        <v>0</v>
      </c>
      <c r="Q279">
        <f ca="1">IF(COUNTIF(IF(AND(配装计算器!$K$30&lt;&gt;"∞",0),INDEX(AU278:CB278,1,$AT$1),INDEX(AU280:CB280,1,$AT$1)),"*云栖松*")=1,P279,0)</f>
        <v>0</v>
      </c>
      <c r="R279">
        <f ca="1">IFERROR(IF(COUNTIF(B279,"*莺鸣柳*")&gt;0,45-加速!$L$9,MAX(0,R278-(A279-A278))),0)</f>
        <v>0</v>
      </c>
      <c r="S279">
        <f ca="1">IF(COUNTIF(IF(AND(配装计算器!$K$30&lt;&gt;"∞",0),INDEX(AU278:CB278,1,$AT$1),INDEX(AU280:CB280,1,$AT$1)),"*莺鸣柳*")=1,R279,0)</f>
        <v>0</v>
      </c>
      <c r="T279">
        <f ca="1" t="shared" si="87"/>
        <v>0</v>
      </c>
      <c r="U279">
        <f ca="1">IF(金蛇,IF(COUNTIF(B279,"*金环戴*")+COUNTIF(B279,"*吹风醒*")&gt;0,IF(A279&lt;=3,7.125-2.625-A279-加速!$L$11,7.125+加速!$K$9-(A279+加速!$L$11-T279)),0),0)+IF(金蛇,IF(COUNTIF(B279,"*千切子裂光*")&gt;0,2+加速!$K$9-(A279+加速!$L$11-T279),0),0)</f>
        <v>0</v>
      </c>
      <c r="V279">
        <f ca="1" t="shared" si="88"/>
        <v>0</v>
      </c>
      <c r="W279">
        <f ca="1" t="shared" si="80"/>
        <v>0</v>
      </c>
      <c r="X279">
        <f ca="1">INDEX(加速!$I$13:$I$21,W279+1)</f>
        <v>0</v>
      </c>
      <c r="Y279">
        <f ca="1" t="shared" si="89"/>
        <v>0.5</v>
      </c>
      <c r="Z279">
        <f ca="1" t="shared" si="85"/>
        <v>0</v>
      </c>
      <c r="AA279">
        <f ca="1">MAX(0,IFERROR(IF(COUNTIF(B279,"*叠*")&gt;0,IF(AC278&lt;3,8-A280+A279,AA278+6.875-A280+A279),AA278-A280+A279),AA278-加速!$L$11))</f>
        <v>0</v>
      </c>
      <c r="AB279" t="e">
        <f ca="1">MAX(0,IF(COUNTIF(IF(AND(配装计算器!$K$30&lt;&gt;"∞",0),INDEX(AU279:CB279,1,$AT$1),INDEX(AU279:CB279,1,$AT$1)),"*叠1*")=1,4*25-加速!$L$11,AB278-A279+A278)-IF(OR(COUNTIF(OFFSET(AT279,0,$AT$1,1,1),"*听雷*")&gt;0,AND(碧归&gt;0,COUNTIF(OFFSET(AT279,0,$AT$1,1,1),"*风来*")&gt;0)),0,1)*1.5)</f>
        <v>#VALUE!</v>
      </c>
      <c r="AC279">
        <f ca="1" t="shared" si="81"/>
        <v>0</v>
      </c>
      <c r="AD279">
        <f ca="1">IF(COUNTIF(IF(AND(配装计算器!$K$30&lt;&gt;"∞",0),INDEX(AU279:CB279,1,$AT$1),INDEX(AU280:CB280,1,$AT$1)),"*叠1*")=1,AB279*0+AE278,0)</f>
        <v>0</v>
      </c>
      <c r="AE279" t="e">
        <f ca="1">IF($AN$11&gt;0,IF(COUNTIF(B280,"*叠1*")&gt;0,50-加速!$L$11,MAX(0,AE278-(A280-A279))),0)</f>
        <v>#VALUE!</v>
      </c>
      <c r="AG279">
        <f ca="1" t="shared" si="82"/>
        <v>8</v>
      </c>
      <c r="AU279" s="176" t="s">
        <v>2776</v>
      </c>
      <c r="AV279">
        <v>2</v>
      </c>
      <c r="AW279" s="176" t="s">
        <v>2794</v>
      </c>
      <c r="AX279">
        <v>2</v>
      </c>
      <c r="AY279" t="s">
        <v>2768</v>
      </c>
      <c r="AZ279">
        <v>2</v>
      </c>
      <c r="BA279" t="s">
        <v>2768</v>
      </c>
      <c r="BB279">
        <v>2</v>
      </c>
      <c r="BC279" s="176" t="s">
        <v>3026</v>
      </c>
      <c r="BD279">
        <v>2</v>
      </c>
      <c r="BE279" t="s">
        <v>2768</v>
      </c>
      <c r="BF279">
        <v>2</v>
      </c>
      <c r="BG279" t="s">
        <v>2776</v>
      </c>
      <c r="BH279">
        <v>2</v>
      </c>
      <c r="BI279" t="s">
        <v>2794</v>
      </c>
      <c r="BJ279">
        <v>2</v>
      </c>
      <c r="BK279" t="s">
        <v>3068</v>
      </c>
      <c r="BL279">
        <v>2</v>
      </c>
      <c r="BM279" s="176" t="s">
        <v>2776</v>
      </c>
      <c r="BN279">
        <v>2</v>
      </c>
      <c r="BO279" t="s">
        <v>2776</v>
      </c>
      <c r="BP279">
        <v>2</v>
      </c>
      <c r="BQ279" t="s">
        <v>2776</v>
      </c>
      <c r="BR279">
        <v>1</v>
      </c>
      <c r="BS279" s="182" t="s">
        <v>2768</v>
      </c>
      <c r="BT279">
        <v>2</v>
      </c>
      <c r="BU279" t="s">
        <v>3055</v>
      </c>
      <c r="BV279">
        <v>0</v>
      </c>
      <c r="BW279" s="182" t="s">
        <v>2808</v>
      </c>
      <c r="BX279" s="179">
        <v>2</v>
      </c>
      <c r="BY279" t="s">
        <v>2768</v>
      </c>
      <c r="BZ279">
        <v>2</v>
      </c>
      <c r="CA279" t="str">
        <f>IF(0,"风来吴山","夕照雷峰")</f>
        <v>夕照雷峰</v>
      </c>
      <c r="CB279">
        <v>2</v>
      </c>
    </row>
    <row r="280" spans="1:80">
      <c r="A280" s="178" t="str">
        <f ca="1">IFERROR(IF(AG279&lt;5+金蛇*2,IF(COUNTIF(B279,"*轻*")&gt;0,A279+加速!$L$9,A279+加速!$L$11)+V279,""),"")</f>
        <v/>
      </c>
      <c r="B280" s="167" t="str">
        <f ca="1" t="shared" si="77"/>
        <v/>
      </c>
      <c r="C280" t="str">
        <f ca="1" t="shared" si="86"/>
        <v/>
      </c>
      <c r="D280" t="str">
        <f ca="1">IF(B280&lt;&gt;"",IF(C279&lt;=加速!$L$11*(1-E280),0,1),"")</f>
        <v/>
      </c>
      <c r="E280">
        <f ca="1" t="shared" si="83"/>
        <v>1</v>
      </c>
      <c r="G280" t="str">
        <f ca="1" t="shared" si="84"/>
        <v/>
      </c>
      <c r="H280" t="str">
        <f ca="1">IF(B280&lt;&gt;"",IF(AND(COUNTIF(B279,"*轻*莺鸣柳*")&gt;0,COUNTIF(B280,"*轻*")&lt;1),MAX(0,15+I279-(A280-A279)+COUNTIF(B279,"*平湖*")*0),IF(AND(E280=0,MAX(0,H279-(A280-A279))&lt;=加速!$H$11),0,MAX(0,H279-(A280-A279)))),"")</f>
        <v/>
      </c>
      <c r="I280" t="str">
        <f ca="1" t="shared" si="90"/>
        <v/>
      </c>
      <c r="J280" t="str">
        <f ca="1" t="shared" si="91"/>
        <v/>
      </c>
      <c r="K280" t="str">
        <f ca="1" t="shared" si="78"/>
        <v/>
      </c>
      <c r="L280">
        <f ca="1">IFERROR(IF(AND(COUNTIF(B280,"*-峰插*"),技能数据库!$M$72&gt;0),0,IF(COUNTIF(B280,"*鹤归*")&gt;0,16-加速!$L$11,MAX(0,L279-(A280-A279)))),0)</f>
        <v>0</v>
      </c>
      <c r="M280">
        <f ca="1" t="shared" si="79"/>
        <v>0</v>
      </c>
      <c r="N280">
        <f ca="1">IFERROR(IF(AND(COUNTIF(B280,"*-峰插*"),技能数据库!$M$72&gt;0),0,IF(COUNTIF(B280,"*云飞*")&gt;0,4-COUNTIF(B280,"*玉山揽云*")*4--COUNTIF(B280,"*烟流暮景*")*4-COUNTIF(B280,"*云景*")*加速!$L$11-IF(J280&gt;0,2,0),MAX(0,N279-(A280-A279)-IF(J280&gt;0,2,0)))),0)</f>
        <v>0</v>
      </c>
      <c r="O280">
        <f ca="1">IF(AND(COUNTIF(IF(AND(配装计算器!$K$30&lt;&gt;"∞",0),INDEX(AU279:CB279,1,$AT$1),INDEX(AU281:CB281,1,$AT$1)),"*云飞*")=1,COUNTIF(IF(AND(配装计算器!$K$30&lt;&gt;"∞",0),INDEX(AU279:CB279,1,$AT$1),INDEX(AU281:CB281,1,$AT$1)),"*玉山*")=0),N280,0)</f>
        <v>0</v>
      </c>
      <c r="P280">
        <f ca="1">IFERROR(IF(COUNTIF(B280,"*云栖松*")&gt;0,50-加速!$L$11,MAX(0,P279-(A280-A279))),0)</f>
        <v>0</v>
      </c>
      <c r="Q280">
        <f ca="1">IF(COUNTIF(IF(AND(配装计算器!$K$30&lt;&gt;"∞",0),INDEX(AU279:CB279,1,$AT$1),INDEX(AU281:CB281,1,$AT$1)),"*云栖松*")=1,P280,0)</f>
        <v>0</v>
      </c>
      <c r="R280">
        <f ca="1">IFERROR(IF(COUNTIF(B280,"*莺鸣柳*")&gt;0,45-加速!$L$9,MAX(0,R279-(A280-A279))),0)</f>
        <v>0</v>
      </c>
      <c r="S280">
        <f ca="1">IF(COUNTIF(IF(AND(配装计算器!$K$30&lt;&gt;"∞",0),INDEX(AU279:CB279,1,$AT$1),INDEX(AU281:CB281,1,$AT$1)),"*莺鸣柳*")=1,R280,0)</f>
        <v>0</v>
      </c>
      <c r="T280">
        <f ca="1" t="shared" si="87"/>
        <v>0</v>
      </c>
      <c r="U280">
        <f ca="1">IF(金蛇,IF(COUNTIF(B280,"*金环戴*")+COUNTIF(B280,"*吹风醒*")&gt;0,IF(A280&lt;=3,7.125-2.625-A280-加速!$L$11,7.125+加速!$K$9-(A280+加速!$L$11-T280)),0),0)+IF(金蛇,IF(COUNTIF(B280,"*千切子裂光*")&gt;0,2+加速!$K$9-(A280+加速!$L$11-T280),0),0)</f>
        <v>0</v>
      </c>
      <c r="V280">
        <f ca="1" t="shared" si="88"/>
        <v>0</v>
      </c>
      <c r="W280">
        <f ca="1" t="shared" si="80"/>
        <v>0</v>
      </c>
      <c r="X280">
        <f ca="1">INDEX(加速!$I$13:$I$21,W280+1)</f>
        <v>0</v>
      </c>
      <c r="Y280">
        <f ca="1" t="shared" si="89"/>
        <v>0.5</v>
      </c>
      <c r="Z280">
        <f ca="1" t="shared" si="85"/>
        <v>0</v>
      </c>
      <c r="AA280">
        <f ca="1">MAX(0,IFERROR(IF(COUNTIF(B280,"*叠*")&gt;0,IF(AC279&lt;3,8-A281+A280,AA279+6.875-A281+A280),AA279-A281+A280),AA279-加速!$L$11))</f>
        <v>0</v>
      </c>
      <c r="AB280" t="e">
        <f ca="1">MAX(0,IF(COUNTIF(IF(AND(配装计算器!$K$30&lt;&gt;"∞",0),INDEX(AU280:CB280,1,$AT$1),INDEX(AU280:CB280,1,$AT$1)),"*叠1*")=1,4*25-加速!$L$11,AB279-A280+A279)-IF(OR(COUNTIF(OFFSET(AT280,0,$AT$1,1,1),"*听雷*")&gt;0,AND(碧归&gt;0,COUNTIF(OFFSET(AT280,0,$AT$1,1,1),"*风来*")&gt;0)),0,1)*1.5)</f>
        <v>#VALUE!</v>
      </c>
      <c r="AC280">
        <f ca="1" t="shared" si="81"/>
        <v>0</v>
      </c>
      <c r="AD280">
        <f ca="1">IF(COUNTIF(IF(AND(配装计算器!$K$30&lt;&gt;"∞",0),INDEX(AU280:CB280,1,$AT$1),INDEX(AU281:CB281,1,$AT$1)),"*叠1*")=1,AB280*0+AE279,0)</f>
        <v>0</v>
      </c>
      <c r="AE280" t="e">
        <f ca="1">IF($AN$11&gt;0,IF(COUNTIF(B281,"*叠1*")&gt;0,50-加速!$L$11,MAX(0,AE279-(A281-A280))),0)</f>
        <v>#VALUE!</v>
      </c>
      <c r="AG280">
        <f ca="1" t="shared" si="82"/>
        <v>8</v>
      </c>
      <c r="AU280" t="s">
        <v>2768</v>
      </c>
      <c r="AV280">
        <v>2</v>
      </c>
      <c r="AW280" s="176" t="s">
        <v>2776</v>
      </c>
      <c r="AX280">
        <v>2</v>
      </c>
      <c r="AY280" t="s">
        <v>2776</v>
      </c>
      <c r="AZ280">
        <v>2</v>
      </c>
      <c r="BA280" t="s">
        <v>2776</v>
      </c>
      <c r="BB280">
        <v>1</v>
      </c>
      <c r="BC280" s="176" t="s">
        <v>3026</v>
      </c>
      <c r="BD280">
        <v>2</v>
      </c>
      <c r="BE280" t="s">
        <v>2776</v>
      </c>
      <c r="BF280">
        <v>2</v>
      </c>
      <c r="BG280" t="s">
        <v>2768</v>
      </c>
      <c r="BH280">
        <v>1</v>
      </c>
      <c r="BI280" t="s">
        <v>2776</v>
      </c>
      <c r="BJ280">
        <v>2</v>
      </c>
      <c r="BK280" t="s">
        <v>2768</v>
      </c>
      <c r="BL280">
        <v>2</v>
      </c>
      <c r="BM280" s="176" t="s">
        <v>2768</v>
      </c>
      <c r="BN280">
        <v>2</v>
      </c>
      <c r="BO280" s="176" t="s">
        <v>2794</v>
      </c>
      <c r="BP280">
        <v>2</v>
      </c>
      <c r="BQ280" t="s">
        <v>3055</v>
      </c>
      <c r="BR280">
        <v>2</v>
      </c>
      <c r="BS280" s="182" t="s">
        <v>2768</v>
      </c>
      <c r="BT280">
        <v>2</v>
      </c>
      <c r="BU280" t="s">
        <v>2776</v>
      </c>
      <c r="BV280">
        <v>2</v>
      </c>
      <c r="BW280" s="179" t="s">
        <v>2768</v>
      </c>
      <c r="BX280" s="179">
        <v>2</v>
      </c>
      <c r="BY280" t="s">
        <v>2776</v>
      </c>
      <c r="BZ280">
        <v>2</v>
      </c>
      <c r="CA280" t="str">
        <f>IF(0,"云飞玉皇-玉山揽云","云飞玉皇")</f>
        <v>云飞玉皇</v>
      </c>
      <c r="CB280">
        <v>2</v>
      </c>
    </row>
    <row r="281" spans="1:80">
      <c r="A281" s="178" t="str">
        <f ca="1">IFERROR(IF(AG280&lt;5+金蛇*2,IF(COUNTIF(B280,"*轻*")&gt;0,A280+加速!$L$9,A280+加速!$L$11)+V280,""),"")</f>
        <v/>
      </c>
      <c r="B281" s="167" t="str">
        <f ca="1" t="shared" si="77"/>
        <v/>
      </c>
      <c r="C281" t="str">
        <f ca="1" t="shared" si="86"/>
        <v/>
      </c>
      <c r="D281" t="str">
        <f ca="1">IF(B281&lt;&gt;"",IF(C280&lt;=加速!$L$11*(1-E281),0,1),"")</f>
        <v/>
      </c>
      <c r="E281">
        <f ca="1" t="shared" si="83"/>
        <v>1</v>
      </c>
      <c r="G281" t="str">
        <f ca="1" t="shared" si="84"/>
        <v/>
      </c>
      <c r="H281" t="str">
        <f ca="1">IF(B281&lt;&gt;"",IF(AND(COUNTIF(B280,"*轻*莺鸣柳*")&gt;0,COUNTIF(B281,"*轻*")&lt;1),MAX(0,15+I280-(A281-A280)+COUNTIF(B280,"*平湖*")*0),IF(AND(E281=0,MAX(0,H280-(A281-A280))&lt;=加速!$H$11),0,MAX(0,H280-(A281-A280)))),"")</f>
        <v/>
      </c>
      <c r="I281" t="str">
        <f ca="1" t="shared" si="90"/>
        <v/>
      </c>
      <c r="J281" t="str">
        <f ca="1" t="shared" si="91"/>
        <v/>
      </c>
      <c r="K281" t="str">
        <f ca="1" t="shared" si="78"/>
        <v/>
      </c>
      <c r="L281">
        <f ca="1">IFERROR(IF(AND(COUNTIF(B281,"*-峰插*"),技能数据库!$M$72&gt;0),0,IF(COUNTIF(B281,"*鹤归*")&gt;0,16-加速!$L$11,MAX(0,L280-(A281-A280)))),0)</f>
        <v>0</v>
      </c>
      <c r="M281">
        <f ca="1" t="shared" si="79"/>
        <v>0</v>
      </c>
      <c r="N281">
        <f ca="1">IFERROR(IF(AND(COUNTIF(B281,"*-峰插*"),技能数据库!$M$72&gt;0),0,IF(COUNTIF(B281,"*云飞*")&gt;0,4-COUNTIF(B281,"*玉山揽云*")*4--COUNTIF(B281,"*烟流暮景*")*4-COUNTIF(B281,"*云景*")*加速!$L$11-IF(J281&gt;0,2,0),MAX(0,N280-(A281-A280)-IF(J281&gt;0,2,0)))),0)</f>
        <v>0</v>
      </c>
      <c r="O281">
        <f ca="1">IF(AND(COUNTIF(IF(AND(配装计算器!$K$30&lt;&gt;"∞",0),INDEX(AU280:CB280,1,$AT$1),INDEX(AU282:CB282,1,$AT$1)),"*云飞*")=1,COUNTIF(IF(AND(配装计算器!$K$30&lt;&gt;"∞",0),INDEX(AU280:CB280,1,$AT$1),INDEX(AU282:CB282,1,$AT$1)),"*玉山*")=0),N281,0)</f>
        <v>0</v>
      </c>
      <c r="P281">
        <f ca="1">IFERROR(IF(COUNTIF(B281,"*云栖松*")&gt;0,50-加速!$L$11,MAX(0,P280-(A281-A280))),0)</f>
        <v>0</v>
      </c>
      <c r="Q281">
        <f ca="1">IF(COUNTIF(IF(AND(配装计算器!$K$30&lt;&gt;"∞",0),INDEX(AU280:CB280,1,$AT$1),INDEX(AU282:CB282,1,$AT$1)),"*云栖松*")=1,P281,0)</f>
        <v>0</v>
      </c>
      <c r="R281">
        <f ca="1">IFERROR(IF(COUNTIF(B281,"*莺鸣柳*")&gt;0,45-加速!$L$9,MAX(0,R280-(A281-A280))),0)</f>
        <v>0</v>
      </c>
      <c r="S281">
        <f ca="1">IF(COUNTIF(IF(AND(配装计算器!$K$30&lt;&gt;"∞",0),INDEX(AU280:CB280,1,$AT$1),INDEX(AU282:CB282,1,$AT$1)),"*莺鸣柳*")=1,R281,0)</f>
        <v>0</v>
      </c>
      <c r="T281">
        <f ca="1" t="shared" si="87"/>
        <v>0</v>
      </c>
      <c r="U281">
        <f ca="1">IF(金蛇,IF(COUNTIF(B281,"*金环戴*")+COUNTIF(B281,"*吹风醒*")&gt;0,IF(A281&lt;=3,7.125-2.625-A281-加速!$L$11,7.125+加速!$K$9-(A281+加速!$L$11-T281)),0),0)+IF(金蛇,IF(COUNTIF(B281,"*千切子裂光*")&gt;0,2+加速!$K$9-(A281+加速!$L$11-T281),0),0)</f>
        <v>0</v>
      </c>
      <c r="V281">
        <f ca="1" t="shared" si="88"/>
        <v>0</v>
      </c>
      <c r="W281">
        <f ca="1" t="shared" si="80"/>
        <v>0</v>
      </c>
      <c r="X281">
        <f ca="1">INDEX(加速!$I$13:$I$21,W281+1)</f>
        <v>0</v>
      </c>
      <c r="Y281">
        <f ca="1" t="shared" si="89"/>
        <v>0.5</v>
      </c>
      <c r="Z281">
        <f ca="1" t="shared" si="85"/>
        <v>0</v>
      </c>
      <c r="AA281">
        <f ca="1">MAX(0,IFERROR(IF(COUNTIF(B281,"*叠*")&gt;0,IF(AC280&lt;3,8-A282+A281,AA280+6.875-A282+A281),AA280-A282+A281),AA280-加速!$L$11))</f>
        <v>0</v>
      </c>
      <c r="AB281" t="e">
        <f ca="1">MAX(0,IF(COUNTIF(IF(AND(配装计算器!$K$30&lt;&gt;"∞",0),INDEX(AU281:CB281,1,$AT$1),INDEX(AU281:CB281,1,$AT$1)),"*叠1*")=1,4*25-加速!$L$11,AB280-A281+A280)-IF(OR(COUNTIF(OFFSET(AT281,0,$AT$1,1,1),"*听雷*")&gt;0,AND(碧归&gt;0,COUNTIF(OFFSET(AT281,0,$AT$1,1,1),"*风来*")&gt;0)),0,1)*1.5)</f>
        <v>#VALUE!</v>
      </c>
      <c r="AC281">
        <f ca="1" t="shared" si="81"/>
        <v>0</v>
      </c>
      <c r="AD281">
        <f ca="1">IF(COUNTIF(IF(AND(配装计算器!$K$30&lt;&gt;"∞",0),INDEX(AU281:CB281,1,$AT$1),INDEX(AU282:CB282,1,$AT$1)),"*叠1*")=1,AB281*0+AE280,0)</f>
        <v>0</v>
      </c>
      <c r="AE281" t="e">
        <f ca="1">IF($AN$11&gt;0,IF(COUNTIF(B282,"*叠1*")&gt;0,50-加速!$L$11,MAX(0,AE280-(A282-A281))),0)</f>
        <v>#VALUE!</v>
      </c>
      <c r="AG281">
        <f ca="1" t="shared" si="82"/>
        <v>8</v>
      </c>
      <c r="AU281" t="str">
        <f>IF($AN$11=1,"云飞玉皇-玉山揽云","夕照雷峰")</f>
        <v>云飞玉皇-玉山揽云</v>
      </c>
      <c r="AV281">
        <v>2</v>
      </c>
      <c r="AW281" s="176" t="s">
        <v>2768</v>
      </c>
      <c r="AX281">
        <v>2</v>
      </c>
      <c r="AY281" t="s">
        <v>2768</v>
      </c>
      <c r="AZ281">
        <v>2</v>
      </c>
      <c r="BA281" t="s">
        <v>2768</v>
      </c>
      <c r="BB281">
        <v>1</v>
      </c>
      <c r="BC281" s="176" t="s">
        <v>3026</v>
      </c>
      <c r="BD281">
        <v>2</v>
      </c>
      <c r="BE281" t="s">
        <v>3042</v>
      </c>
      <c r="BF281">
        <v>2</v>
      </c>
      <c r="BG281" t="s">
        <v>2776</v>
      </c>
      <c r="BH281">
        <v>1</v>
      </c>
      <c r="BI281" t="s">
        <v>2768</v>
      </c>
      <c r="BJ281">
        <v>2</v>
      </c>
      <c r="BK281" t="s">
        <v>2776</v>
      </c>
      <c r="BL281">
        <v>2</v>
      </c>
      <c r="BM281" s="176" t="s">
        <v>2808</v>
      </c>
      <c r="BN281">
        <v>2</v>
      </c>
      <c r="BO281" s="176" t="s">
        <v>2768</v>
      </c>
      <c r="BP281">
        <v>2</v>
      </c>
      <c r="BQ281" t="s">
        <v>2768</v>
      </c>
      <c r="BR281">
        <v>2</v>
      </c>
      <c r="BS281" s="187" t="str">
        <f>IF(秋,"云景·云飞玉皇-叠-蛇牙锥心","云景·云飞玉皇-叠")</f>
        <v>云景·云飞玉皇-叠</v>
      </c>
      <c r="BT281">
        <v>2</v>
      </c>
      <c r="BU281" t="s">
        <v>2768</v>
      </c>
      <c r="BV281">
        <v>2</v>
      </c>
      <c r="BW281" s="179" t="s">
        <v>2776</v>
      </c>
      <c r="BX281" s="179">
        <v>2</v>
      </c>
      <c r="BY281" s="175" t="s">
        <v>2789</v>
      </c>
      <c r="BZ281">
        <v>2</v>
      </c>
      <c r="CA281" s="180" t="str">
        <f>IF(0,"云飞玉皇-玉山揽云","风来吴山")</f>
        <v>风来吴山</v>
      </c>
      <c r="CB281">
        <v>2</v>
      </c>
    </row>
    <row r="282" spans="1:80">
      <c r="A282" s="178" t="str">
        <f ca="1">IFERROR(IF(AG281&lt;5+金蛇*2,IF(COUNTIF(B281,"*轻*")&gt;0,A281+加速!$L$9,A281+加速!$L$11)+V281,""),"")</f>
        <v/>
      </c>
      <c r="B282" s="167" t="str">
        <f ca="1" t="shared" si="77"/>
        <v/>
      </c>
      <c r="C282" t="str">
        <f ca="1" t="shared" si="86"/>
        <v/>
      </c>
      <c r="D282" t="str">
        <f ca="1">IF(B282&lt;&gt;"",IF(C281&lt;=加速!$L$11*(1-E282),0,1),"")</f>
        <v/>
      </c>
      <c r="E282">
        <f ca="1" t="shared" si="83"/>
        <v>1</v>
      </c>
      <c r="G282" t="str">
        <f ca="1" t="shared" si="84"/>
        <v/>
      </c>
      <c r="H282" t="str">
        <f ca="1">IF(B282&lt;&gt;"",IF(AND(COUNTIF(B281,"*轻*莺鸣柳*")&gt;0,COUNTIF(B282,"*轻*")&lt;1),MAX(0,15+I281-(A282-A281)+COUNTIF(B281,"*平湖*")*0),IF(AND(E282=0,MAX(0,H281-(A282-A281))&lt;=加速!$H$11),0,MAX(0,H281-(A282-A281)))),"")</f>
        <v/>
      </c>
      <c r="I282" t="str">
        <f ca="1" t="shared" si="90"/>
        <v/>
      </c>
      <c r="J282" t="str">
        <f ca="1" t="shared" si="91"/>
        <v/>
      </c>
      <c r="K282" t="str">
        <f ca="1" t="shared" si="78"/>
        <v/>
      </c>
      <c r="L282">
        <f ca="1">IFERROR(IF(AND(COUNTIF(B282,"*-峰插*"),技能数据库!$M$72&gt;0),0,IF(COUNTIF(B282,"*鹤归*")&gt;0,16-加速!$L$11,MAX(0,L281-(A282-A281)))),0)</f>
        <v>0</v>
      </c>
      <c r="M282">
        <f ca="1" t="shared" si="79"/>
        <v>0</v>
      </c>
      <c r="N282">
        <f ca="1">IFERROR(IF(AND(COUNTIF(B282,"*-峰插*"),技能数据库!$M$72&gt;0),0,IF(COUNTIF(B282,"*云飞*")&gt;0,4-COUNTIF(B282,"*玉山揽云*")*4--COUNTIF(B282,"*烟流暮景*")*4-COUNTIF(B282,"*云景*")*加速!$L$11-IF(J282&gt;0,2,0),MAX(0,N281-(A282-A281)-IF(J282&gt;0,2,0)))),0)</f>
        <v>0</v>
      </c>
      <c r="O282">
        <f ca="1">IF(AND(COUNTIF(IF(AND(配装计算器!$K$30&lt;&gt;"∞",0),INDEX(AU281:CB281,1,$AT$1),INDEX(AU283:CB283,1,$AT$1)),"*云飞*")=1,COUNTIF(IF(AND(配装计算器!$K$30&lt;&gt;"∞",0),INDEX(AU281:CB281,1,$AT$1),INDEX(AU283:CB283,1,$AT$1)),"*玉山*")=0),N282,0)</f>
        <v>0</v>
      </c>
      <c r="P282">
        <f ca="1">IFERROR(IF(COUNTIF(B282,"*云栖松*")&gt;0,50-加速!$L$11,MAX(0,P281-(A282-A281))),0)</f>
        <v>0</v>
      </c>
      <c r="Q282">
        <f ca="1">IF(COUNTIF(IF(AND(配装计算器!$K$30&lt;&gt;"∞",0),INDEX(AU281:CB281,1,$AT$1),INDEX(AU283:CB283,1,$AT$1)),"*云栖松*")=1,P282,0)</f>
        <v>0</v>
      </c>
      <c r="R282">
        <f ca="1">IFERROR(IF(COUNTIF(B282,"*莺鸣柳*")&gt;0,45-加速!$L$9,MAX(0,R281-(A282-A281))),0)</f>
        <v>0</v>
      </c>
      <c r="S282">
        <f ca="1">IF(COUNTIF(IF(AND(配装计算器!$K$30&lt;&gt;"∞",0),INDEX(AU281:CB281,1,$AT$1),INDEX(AU283:CB283,1,$AT$1)),"*莺鸣柳*")=1,R282,0)</f>
        <v>0</v>
      </c>
      <c r="T282">
        <f ca="1" t="shared" si="87"/>
        <v>0</v>
      </c>
      <c r="U282">
        <f ca="1">IF(金蛇,IF(COUNTIF(B282,"*金环戴*")+COUNTIF(B282,"*吹风醒*")&gt;0,IF(A282&lt;=3,7.125-2.625-A282-加速!$L$11,7.125+加速!$K$9-(A282+加速!$L$11-T282)),0),0)+IF(金蛇,IF(COUNTIF(B282,"*千切子裂光*")&gt;0,2+加速!$K$9-(A282+加速!$L$11-T282),0),0)</f>
        <v>0</v>
      </c>
      <c r="V282">
        <f ca="1" t="shared" si="88"/>
        <v>0</v>
      </c>
      <c r="W282">
        <f ca="1" t="shared" si="80"/>
        <v>0</v>
      </c>
      <c r="X282">
        <f ca="1">INDEX(加速!$I$13:$I$21,W282+1)</f>
        <v>0</v>
      </c>
      <c r="Y282">
        <f ca="1" t="shared" si="89"/>
        <v>0.5</v>
      </c>
      <c r="Z282">
        <f ca="1" t="shared" si="85"/>
        <v>0</v>
      </c>
      <c r="AA282">
        <f ca="1">MAX(0,IFERROR(IF(COUNTIF(B282,"*叠*")&gt;0,IF(AC281&lt;3,8-A283+A282,AA281+6.875-A283+A282),AA281-A283+A282),AA281-加速!$L$11))</f>
        <v>0</v>
      </c>
      <c r="AB282" t="e">
        <f ca="1">MAX(0,IF(COUNTIF(IF(AND(配装计算器!$K$30&lt;&gt;"∞",0),INDEX(AU282:CB282,1,$AT$1),INDEX(AU282:CB282,1,$AT$1)),"*叠1*")=1,4*25-加速!$L$11,AB281-A282+A281)-IF(OR(COUNTIF(OFFSET(AT282,0,$AT$1,1,1),"*听雷*")&gt;0,AND(碧归&gt;0,COUNTIF(OFFSET(AT282,0,$AT$1,1,1),"*风来*")&gt;0)),0,1)*1.5)</f>
        <v>#VALUE!</v>
      </c>
      <c r="AC282">
        <f ca="1" t="shared" si="81"/>
        <v>0</v>
      </c>
      <c r="AD282">
        <f ca="1">IF(COUNTIF(IF(AND(配装计算器!$K$30&lt;&gt;"∞",0),INDEX(AU282:CB282,1,$AT$1),INDEX(AU283:CB283,1,$AT$1)),"*叠1*")=1,AB282*0+AE281,0)</f>
        <v>0</v>
      </c>
      <c r="AE282" t="e">
        <f ca="1">IF($AN$11&gt;0,IF(COUNTIF(B283,"*叠1*")&gt;0,50-加速!$L$11,MAX(0,AE281-(A283-A282))),0)</f>
        <v>#VALUE!</v>
      </c>
      <c r="AG282">
        <f ca="1" t="shared" si="82"/>
        <v>8</v>
      </c>
      <c r="AU282" t="str">
        <f>IF($AN$11=1,"云飞玉皇-玉山揽云","云飞玉皇")</f>
        <v>云飞玉皇-玉山揽云</v>
      </c>
      <c r="AV282">
        <v>2</v>
      </c>
      <c r="AW282" s="176" t="s">
        <v>2776</v>
      </c>
      <c r="AX282">
        <v>2</v>
      </c>
      <c r="AY282" t="s">
        <v>2776</v>
      </c>
      <c r="AZ282">
        <v>1</v>
      </c>
      <c r="BA282" t="s">
        <v>2768</v>
      </c>
      <c r="BB282">
        <v>0</v>
      </c>
      <c r="BC282" s="176" t="s">
        <v>3026</v>
      </c>
      <c r="BD282">
        <v>2</v>
      </c>
      <c r="BE282" t="s">
        <v>2808</v>
      </c>
      <c r="BF282">
        <v>2</v>
      </c>
      <c r="BG282" t="s">
        <v>2768</v>
      </c>
      <c r="BH282">
        <v>0</v>
      </c>
      <c r="BI282" t="s">
        <v>2776</v>
      </c>
      <c r="BJ282">
        <v>2</v>
      </c>
      <c r="BK282" t="s">
        <v>2768</v>
      </c>
      <c r="BL282">
        <v>2</v>
      </c>
      <c r="BM282" t="str">
        <f>IF(0,"云飞玉皇-玉山揽云","夕照雷峰")</f>
        <v>夕照雷峰</v>
      </c>
      <c r="BN282">
        <v>2</v>
      </c>
      <c r="BO282" s="176" t="s">
        <v>2776</v>
      </c>
      <c r="BP282">
        <v>2</v>
      </c>
      <c r="BQ282" t="s">
        <v>2776</v>
      </c>
      <c r="BR282">
        <v>2</v>
      </c>
      <c r="BS282" s="186" t="str">
        <f>IF(秋,"夕照雷峰","千切子寒光")</f>
        <v>千切子寒光</v>
      </c>
      <c r="BT282">
        <v>2</v>
      </c>
      <c r="BU282" t="s">
        <v>2776</v>
      </c>
      <c r="BV282">
        <v>2</v>
      </c>
      <c r="BW282" s="179" t="s">
        <v>2768</v>
      </c>
      <c r="BX282" s="179">
        <v>2</v>
      </c>
      <c r="BY282" t="s">
        <v>2768</v>
      </c>
      <c r="BZ282">
        <v>2</v>
      </c>
      <c r="CA282" t="str">
        <f>IF(0,橙武补雾锁,"夕照雷峰")</f>
        <v>夕照雷峰</v>
      </c>
      <c r="CB282">
        <v>2</v>
      </c>
    </row>
    <row r="283" spans="1:80">
      <c r="A283" s="178" t="str">
        <f ca="1">IFERROR(IF(AG282&lt;5+金蛇*2,IF(COUNTIF(B282,"*轻*")&gt;0,A282+加速!$L$9,A282+加速!$L$11)+V282,""),"")</f>
        <v/>
      </c>
      <c r="B283" s="167" t="str">
        <f ca="1" t="shared" si="77"/>
        <v/>
      </c>
      <c r="C283" t="str">
        <f ca="1" t="shared" si="86"/>
        <v/>
      </c>
      <c r="D283" t="str">
        <f ca="1">IF(B283&lt;&gt;"",IF(C282&lt;=加速!$L$11*(1-E283),0,1),"")</f>
        <v/>
      </c>
      <c r="E283">
        <f ca="1" t="shared" si="83"/>
        <v>1</v>
      </c>
      <c r="G283" t="str">
        <f ca="1" t="shared" si="84"/>
        <v/>
      </c>
      <c r="H283" t="str">
        <f ca="1">IF(B283&lt;&gt;"",IF(AND(COUNTIF(B282,"*轻*莺鸣柳*")&gt;0,COUNTIF(B283,"*轻*")&lt;1),MAX(0,15+I282-(A283-A282)+COUNTIF(B282,"*平湖*")*0),IF(AND(E283=0,MAX(0,H282-(A283-A282))&lt;=加速!$H$11),0,MAX(0,H282-(A283-A282)))),"")</f>
        <v/>
      </c>
      <c r="I283" t="str">
        <f ca="1" t="shared" si="90"/>
        <v/>
      </c>
      <c r="J283" t="str">
        <f ca="1" t="shared" si="91"/>
        <v/>
      </c>
      <c r="K283" t="str">
        <f ca="1" t="shared" si="78"/>
        <v/>
      </c>
      <c r="L283">
        <f ca="1">IFERROR(IF(AND(COUNTIF(B283,"*-峰插*"),技能数据库!$M$72&gt;0),0,IF(COUNTIF(B283,"*鹤归*")&gt;0,16-加速!$L$11,MAX(0,L282-(A283-A282)))),0)</f>
        <v>0</v>
      </c>
      <c r="M283">
        <f ca="1" t="shared" si="79"/>
        <v>0</v>
      </c>
      <c r="N283">
        <f ca="1">IFERROR(IF(AND(COUNTIF(B283,"*-峰插*"),技能数据库!$M$72&gt;0),0,IF(COUNTIF(B283,"*云飞*")&gt;0,4-COUNTIF(B283,"*玉山揽云*")*4--COUNTIF(B283,"*烟流暮景*")*4-COUNTIF(B283,"*云景*")*加速!$L$11-IF(J283&gt;0,2,0),MAX(0,N282-(A283-A282)-IF(J283&gt;0,2,0)))),0)</f>
        <v>0</v>
      </c>
      <c r="O283">
        <f ca="1">IF(AND(COUNTIF(IF(AND(配装计算器!$K$30&lt;&gt;"∞",0),INDEX(AU282:CB282,1,$AT$1),INDEX(AU284:CB284,1,$AT$1)),"*云飞*")=1,COUNTIF(IF(AND(配装计算器!$K$30&lt;&gt;"∞",0),INDEX(AU282:CB282,1,$AT$1),INDEX(AU284:CB284,1,$AT$1)),"*玉山*")=0),N283,0)</f>
        <v>0</v>
      </c>
      <c r="P283">
        <f ca="1">IFERROR(IF(COUNTIF(B283,"*云栖松*")&gt;0,50-加速!$L$11,MAX(0,P282-(A283-A282))),0)</f>
        <v>0</v>
      </c>
      <c r="Q283">
        <f ca="1">IF(COUNTIF(IF(AND(配装计算器!$K$30&lt;&gt;"∞",0),INDEX(AU282:CB282,1,$AT$1),INDEX(AU284:CB284,1,$AT$1)),"*云栖松*")=1,P283,0)</f>
        <v>0</v>
      </c>
      <c r="R283">
        <f ca="1">IFERROR(IF(COUNTIF(B283,"*莺鸣柳*")&gt;0,45-加速!$L$9,MAX(0,R282-(A283-A282))),0)</f>
        <v>0</v>
      </c>
      <c r="S283">
        <f ca="1">IF(COUNTIF(IF(AND(配装计算器!$K$30&lt;&gt;"∞",0),INDEX(AU282:CB282,1,$AT$1),INDEX(AU284:CB284,1,$AT$1)),"*莺鸣柳*")=1,R283,0)</f>
        <v>0</v>
      </c>
      <c r="T283">
        <f ca="1" t="shared" si="87"/>
        <v>0</v>
      </c>
      <c r="U283">
        <f ca="1">IF(金蛇,IF(COUNTIF(B283,"*金环戴*")+COUNTIF(B283,"*吹风醒*")&gt;0,IF(A283&lt;=3,7.125-2.625-A283-加速!$L$11,7.125+加速!$K$9-(A283+加速!$L$11-T283)),0),0)+IF(金蛇,IF(COUNTIF(B283,"*千切子裂光*")&gt;0,2+加速!$K$9-(A283+加速!$L$11-T283),0),0)</f>
        <v>0</v>
      </c>
      <c r="V283">
        <f ca="1" t="shared" si="88"/>
        <v>0</v>
      </c>
      <c r="W283">
        <f ca="1" t="shared" si="80"/>
        <v>0</v>
      </c>
      <c r="X283">
        <f ca="1">INDEX(加速!$I$13:$I$21,W283+1)</f>
        <v>0</v>
      </c>
      <c r="Y283">
        <f ca="1" t="shared" si="89"/>
        <v>0.5</v>
      </c>
      <c r="Z283">
        <f ca="1" t="shared" si="85"/>
        <v>0</v>
      </c>
      <c r="AA283">
        <f ca="1">MAX(0,IFERROR(IF(COUNTIF(B283,"*叠*")&gt;0,IF(AC282&lt;3,8-A284+A283,AA282+6.875-A284+A283),AA282-A284+A283),AA282-加速!$L$11))</f>
        <v>0</v>
      </c>
      <c r="AB283" t="e">
        <f ca="1">MAX(0,IF(COUNTIF(IF(AND(配装计算器!$K$30&lt;&gt;"∞",0),INDEX(AU283:CB283,1,$AT$1),INDEX(AU283:CB283,1,$AT$1)),"*叠1*")=1,4*25-加速!$L$11,AB282-A283+A282)-IF(OR(COUNTIF(OFFSET(AT283,0,$AT$1,1,1),"*听雷*")&gt;0,AND(碧归&gt;0,COUNTIF(OFFSET(AT283,0,$AT$1,1,1),"*风来*")&gt;0)),0,1)*1.5)</f>
        <v>#VALUE!</v>
      </c>
      <c r="AC283">
        <f ca="1" t="shared" si="81"/>
        <v>0</v>
      </c>
      <c r="AD283">
        <f ca="1">IF(COUNTIF(IF(AND(配装计算器!$K$30&lt;&gt;"∞",0),INDEX(AU283:CB283,1,$AT$1),INDEX(AU284:CB284,1,$AT$1)),"*叠1*")=1,AB283*0+AE282,0)</f>
        <v>0</v>
      </c>
      <c r="AE283" t="e">
        <f ca="1">IF($AN$11&gt;0,IF(COUNTIF(B284,"*叠1*")&gt;0,50-加速!$L$11,MAX(0,AE282-(A284-A283))),0)</f>
        <v>#VALUE!</v>
      </c>
      <c r="AG283">
        <f ca="1" t="shared" si="82"/>
        <v>8</v>
      </c>
      <c r="AU283" t="str">
        <f>IF($AN$11=1,"云飞玉皇-玉山揽云","夕照雷峰")</f>
        <v>云飞玉皇-玉山揽云</v>
      </c>
      <c r="AV283">
        <v>2</v>
      </c>
      <c r="AW283" s="176" t="s">
        <v>2768</v>
      </c>
      <c r="AX283">
        <v>2</v>
      </c>
      <c r="AY283" t="s">
        <v>2768</v>
      </c>
      <c r="AZ283">
        <v>1</v>
      </c>
      <c r="BA283" t="s">
        <v>2722</v>
      </c>
      <c r="BB283">
        <v>0</v>
      </c>
      <c r="BC283" t="s">
        <v>3013</v>
      </c>
      <c r="BD283">
        <v>2</v>
      </c>
      <c r="BE283" t="s">
        <v>2768</v>
      </c>
      <c r="BF283">
        <v>2</v>
      </c>
      <c r="BG283" t="s">
        <v>2768</v>
      </c>
      <c r="BH283">
        <v>0</v>
      </c>
      <c r="BI283" t="s">
        <v>2768</v>
      </c>
      <c r="BJ283">
        <v>2</v>
      </c>
      <c r="BK283" t="s">
        <v>2768</v>
      </c>
      <c r="BL283">
        <v>2</v>
      </c>
      <c r="BM283" t="str">
        <f>IF(0,"云飞玉皇-玉山揽云","云飞玉皇")</f>
        <v>云飞玉皇</v>
      </c>
      <c r="BN283">
        <v>2</v>
      </c>
      <c r="BO283" s="176" t="s">
        <v>2768</v>
      </c>
      <c r="BP283">
        <v>2</v>
      </c>
      <c r="BQ283" t="s">
        <v>2768</v>
      </c>
      <c r="BR283">
        <v>2</v>
      </c>
      <c r="BS283" s="186" t="str">
        <f>IF(秋,"夕照雷峰","千切子裂光")</f>
        <v>千切子裂光</v>
      </c>
      <c r="BT283">
        <v>2</v>
      </c>
      <c r="BU283" t="s">
        <v>2768</v>
      </c>
      <c r="BV283">
        <v>1</v>
      </c>
      <c r="BW283" s="179" t="s">
        <v>2768</v>
      </c>
      <c r="BX283" s="179">
        <v>2</v>
      </c>
      <c r="BY283" t="s">
        <v>2768</v>
      </c>
      <c r="BZ283">
        <v>2</v>
      </c>
      <c r="CA283" t="str">
        <f>IF(0,"云飞玉皇-玉山揽云","夕照雷峰")</f>
        <v>夕照雷峰</v>
      </c>
      <c r="CB283">
        <v>2</v>
      </c>
    </row>
    <row r="284" spans="1:80">
      <c r="A284" s="178" t="str">
        <f ca="1">IFERROR(IF(AG283&lt;5+金蛇*2,IF(COUNTIF(B283,"*轻*")&gt;0,A283+加速!$L$9,A283+加速!$L$11)+V283,""),"")</f>
        <v/>
      </c>
      <c r="B284" s="167" t="str">
        <f ca="1" t="shared" si="77"/>
        <v/>
      </c>
      <c r="C284" t="str">
        <f ca="1" t="shared" si="86"/>
        <v/>
      </c>
      <c r="D284" t="str">
        <f ca="1">IF(B284&lt;&gt;"",IF(C283&lt;=加速!$L$11*(1-E284),0,1),"")</f>
        <v/>
      </c>
      <c r="E284">
        <f ca="1" t="shared" si="83"/>
        <v>1</v>
      </c>
      <c r="G284" t="str">
        <f ca="1" t="shared" si="84"/>
        <v/>
      </c>
      <c r="H284" t="str">
        <f ca="1">IF(B284&lt;&gt;"",IF(AND(COUNTIF(B283,"*轻*莺鸣柳*")&gt;0,COUNTIF(B284,"*轻*")&lt;1),MAX(0,15+I283-(A284-A283)+COUNTIF(B283,"*平湖*")*0),IF(AND(E284=0,MAX(0,H283-(A284-A283))&lt;=加速!$H$11),0,MAX(0,H283-(A284-A283)))),"")</f>
        <v/>
      </c>
      <c r="I284" t="str">
        <f ca="1" t="shared" si="90"/>
        <v/>
      </c>
      <c r="J284" t="str">
        <f ca="1" t="shared" si="91"/>
        <v/>
      </c>
      <c r="K284" t="str">
        <f ca="1" t="shared" si="78"/>
        <v/>
      </c>
      <c r="L284">
        <f ca="1">IFERROR(IF(AND(COUNTIF(B284,"*-峰插*"),技能数据库!$M$72&gt;0),0,IF(COUNTIF(B284,"*鹤归*")&gt;0,16-加速!$L$11,MAX(0,L283-(A284-A283)))),0)</f>
        <v>0</v>
      </c>
      <c r="M284">
        <f ca="1" t="shared" si="79"/>
        <v>0</v>
      </c>
      <c r="N284">
        <f ca="1">IFERROR(IF(AND(COUNTIF(B284,"*-峰插*"),技能数据库!$M$72&gt;0),0,IF(COUNTIF(B284,"*云飞*")&gt;0,4-COUNTIF(B284,"*玉山揽云*")*4--COUNTIF(B284,"*烟流暮景*")*4-COUNTIF(B284,"*云景*")*加速!$L$11-IF(J284&gt;0,2,0),MAX(0,N283-(A284-A283)-IF(J284&gt;0,2,0)))),0)</f>
        <v>0</v>
      </c>
      <c r="O284">
        <f ca="1">IF(AND(COUNTIF(IF(AND(配装计算器!$K$30&lt;&gt;"∞",0),INDEX(AU283:CB283,1,$AT$1),INDEX(AU285:CB285,1,$AT$1)),"*云飞*")=1,COUNTIF(IF(AND(配装计算器!$K$30&lt;&gt;"∞",0),INDEX(AU283:CB283,1,$AT$1),INDEX(AU285:CB285,1,$AT$1)),"*玉山*")=0),N284,0)</f>
        <v>0</v>
      </c>
      <c r="P284">
        <f ca="1">IFERROR(IF(COUNTIF(B284,"*云栖松*")&gt;0,50-加速!$L$11,MAX(0,P283-(A284-A283))),0)</f>
        <v>0</v>
      </c>
      <c r="Q284">
        <f ca="1">IF(COUNTIF(IF(AND(配装计算器!$K$30&lt;&gt;"∞",0),INDEX(AU283:CB283,1,$AT$1),INDEX(AU285:CB285,1,$AT$1)),"*云栖松*")=1,P284,0)</f>
        <v>0</v>
      </c>
      <c r="R284">
        <f ca="1">IFERROR(IF(COUNTIF(B284,"*莺鸣柳*")&gt;0,45-加速!$L$9,MAX(0,R283-(A284-A283))),0)</f>
        <v>0</v>
      </c>
      <c r="S284">
        <f ca="1">IF(COUNTIF(IF(AND(配装计算器!$K$30&lt;&gt;"∞",0),INDEX(AU283:CB283,1,$AT$1),INDEX(AU285:CB285,1,$AT$1)),"*莺鸣柳*")=1,R284,0)</f>
        <v>0</v>
      </c>
      <c r="T284">
        <f ca="1" t="shared" si="87"/>
        <v>0</v>
      </c>
      <c r="U284">
        <f ca="1">IF(金蛇,IF(COUNTIF(B284,"*金环戴*")+COUNTIF(B284,"*吹风醒*")&gt;0,IF(A284&lt;=3,7.125-2.625-A284-加速!$L$11,7.125+加速!$K$9-(A284+加速!$L$11-T284)),0),0)+IF(金蛇,IF(COUNTIF(B284,"*千切子裂光*")&gt;0,2+加速!$K$9-(A284+加速!$L$11-T284),0),0)</f>
        <v>0</v>
      </c>
      <c r="V284">
        <f ca="1" t="shared" si="88"/>
        <v>0</v>
      </c>
      <c r="W284">
        <f ca="1" t="shared" si="80"/>
        <v>0</v>
      </c>
      <c r="X284">
        <f ca="1">INDEX(加速!$I$13:$I$21,W284+1)</f>
        <v>0</v>
      </c>
      <c r="Y284">
        <f ca="1" t="shared" si="89"/>
        <v>0.5</v>
      </c>
      <c r="Z284">
        <f ca="1" t="shared" si="85"/>
        <v>0</v>
      </c>
      <c r="AA284">
        <f ca="1">MAX(0,IFERROR(IF(COUNTIF(B284,"*叠*")&gt;0,IF(AC283&lt;3,8-A285+A284,AA283+6.875-A285+A284),AA283-A285+A284),AA283-加速!$L$11))</f>
        <v>0</v>
      </c>
      <c r="AB284" t="e">
        <f ca="1">MAX(0,IF(COUNTIF(IF(AND(配装计算器!$K$30&lt;&gt;"∞",0),INDEX(AU284:CB284,1,$AT$1),INDEX(AU284:CB284,1,$AT$1)),"*叠1*")=1,4*25-加速!$L$11,AB283-A284+A283)-IF(OR(COUNTIF(OFFSET(AT284,0,$AT$1,1,1),"*听雷*")&gt;0,AND(碧归&gt;0,COUNTIF(OFFSET(AT284,0,$AT$1,1,1),"*风来*")&gt;0)),0,1)*1.5)</f>
        <v>#VALUE!</v>
      </c>
      <c r="AC284">
        <f ca="1" t="shared" si="81"/>
        <v>0</v>
      </c>
      <c r="AD284">
        <f ca="1">IF(COUNTIF(IF(AND(配装计算器!$K$30&lt;&gt;"∞",0),INDEX(AU284:CB284,1,$AT$1),INDEX(AU285:CB285,1,$AT$1)),"*叠1*")=1,AB284*0+AE283,0)</f>
        <v>0</v>
      </c>
      <c r="AE284" t="e">
        <f ca="1">IF($AN$11&gt;0,IF(COUNTIF(B285,"*叠1*")&gt;0,50-加速!$L$11,MAX(0,AE283-(A285-A284))),0)</f>
        <v>#VALUE!</v>
      </c>
      <c r="AG284">
        <f ca="1" t="shared" si="82"/>
        <v>8</v>
      </c>
      <c r="AU284" t="str">
        <f>IF($AN$11=1,橙武补雾锁,"夕照雷峰")</f>
        <v>云飞玉皇-玉山揽云</v>
      </c>
      <c r="AV284">
        <v>2</v>
      </c>
      <c r="AW284" s="176" t="s">
        <v>2808</v>
      </c>
      <c r="AX284">
        <v>2</v>
      </c>
      <c r="AY284" t="s">
        <v>2768</v>
      </c>
      <c r="AZ284">
        <v>0</v>
      </c>
      <c r="BA284" t="s">
        <v>2776</v>
      </c>
      <c r="BB284">
        <v>2</v>
      </c>
      <c r="BC284" t="s">
        <v>2808</v>
      </c>
      <c r="BD284">
        <v>2</v>
      </c>
      <c r="BE284" t="s">
        <v>2768</v>
      </c>
      <c r="BF284">
        <v>2</v>
      </c>
      <c r="BG284" t="s">
        <v>2776</v>
      </c>
      <c r="BH284">
        <v>0</v>
      </c>
      <c r="BI284" t="s">
        <v>2808</v>
      </c>
      <c r="BJ284">
        <v>2</v>
      </c>
      <c r="BK284" s="176" t="s">
        <v>3056</v>
      </c>
      <c r="BL284">
        <v>2</v>
      </c>
      <c r="BM284" t="str">
        <f>IF(0,"云飞玉皇-玉山揽云","夕照雷峰")</f>
        <v>夕照雷峰</v>
      </c>
      <c r="BN284">
        <v>2</v>
      </c>
      <c r="BO284" s="176" t="s">
        <v>2776</v>
      </c>
      <c r="BP284">
        <v>2</v>
      </c>
      <c r="BQ284" t="s">
        <v>2776</v>
      </c>
      <c r="BR284">
        <v>1</v>
      </c>
      <c r="BS284" s="176" t="s">
        <v>2768</v>
      </c>
      <c r="BT284">
        <v>2</v>
      </c>
      <c r="BU284" t="s">
        <v>2776</v>
      </c>
      <c r="BV284">
        <v>1</v>
      </c>
      <c r="BW284" s="179" t="s">
        <v>2768</v>
      </c>
      <c r="BX284" s="179">
        <v>2</v>
      </c>
      <c r="BY284" t="s">
        <v>2776</v>
      </c>
      <c r="BZ284">
        <v>2</v>
      </c>
      <c r="CA284" t="str">
        <f>IF(0,"云飞玉皇-玉山揽云","云飞玉皇")</f>
        <v>云飞玉皇</v>
      </c>
      <c r="CB284">
        <v>2</v>
      </c>
    </row>
    <row r="285" spans="1:80">
      <c r="A285" s="178" t="str">
        <f ca="1">IFERROR(IF(AG284&lt;5+金蛇*2,IF(COUNTIF(B284,"*轻*")&gt;0,A284+加速!$L$9,A284+加速!$L$11)+V284,""),"")</f>
        <v/>
      </c>
      <c r="B285" s="167" t="str">
        <f ca="1" t="shared" si="77"/>
        <v/>
      </c>
      <c r="C285" t="str">
        <f ca="1" t="shared" si="86"/>
        <v/>
      </c>
      <c r="D285" t="str">
        <f ca="1">IF(B285&lt;&gt;"",IF(C284&lt;=加速!$L$11*(1-E285),0,1),"")</f>
        <v/>
      </c>
      <c r="E285">
        <f ca="1" t="shared" si="83"/>
        <v>1</v>
      </c>
      <c r="G285" t="str">
        <f ca="1" t="shared" si="84"/>
        <v/>
      </c>
      <c r="H285" t="str">
        <f ca="1">IF(B285&lt;&gt;"",IF(AND(COUNTIF(B284,"*轻*莺鸣柳*")&gt;0,COUNTIF(B285,"*轻*")&lt;1),MAX(0,15+I284-(A285-A284)+COUNTIF(B284,"*平湖*")*0),IF(AND(E285=0,MAX(0,H284-(A285-A284))&lt;=加速!$H$11),0,MAX(0,H284-(A285-A284)))),"")</f>
        <v/>
      </c>
      <c r="I285" t="str">
        <f ca="1" t="shared" si="90"/>
        <v/>
      </c>
      <c r="J285" t="str">
        <f ca="1" t="shared" si="91"/>
        <v/>
      </c>
      <c r="K285" t="str">
        <f ca="1" t="shared" si="78"/>
        <v/>
      </c>
      <c r="L285">
        <f ca="1">IFERROR(IF(AND(COUNTIF(B285,"*-峰插*"),技能数据库!$M$72&gt;0),0,IF(COUNTIF(B285,"*鹤归*")&gt;0,16-加速!$L$11,MAX(0,L284-(A285-A284)))),0)</f>
        <v>0</v>
      </c>
      <c r="M285">
        <f ca="1" t="shared" si="79"/>
        <v>0</v>
      </c>
      <c r="N285">
        <f ca="1">IFERROR(IF(AND(COUNTIF(B285,"*-峰插*"),技能数据库!$M$72&gt;0),0,IF(COUNTIF(B285,"*云飞*")&gt;0,4-COUNTIF(B285,"*玉山揽云*")*4--COUNTIF(B285,"*烟流暮景*")*4-COUNTIF(B285,"*云景*")*加速!$L$11-IF(J285&gt;0,2,0),MAX(0,N284-(A285-A284)-IF(J285&gt;0,2,0)))),0)</f>
        <v>0</v>
      </c>
      <c r="O285">
        <f ca="1">IF(AND(COUNTIF(IF(AND(配装计算器!$K$30&lt;&gt;"∞",0),INDEX(AU284:CB284,1,$AT$1),INDEX(AU286:CB286,1,$AT$1)),"*云飞*")=1,COUNTIF(IF(AND(配装计算器!$K$30&lt;&gt;"∞",0),INDEX(AU284:CB284,1,$AT$1),INDEX(AU286:CB286,1,$AT$1)),"*玉山*")=0),N285,0)</f>
        <v>0</v>
      </c>
      <c r="P285">
        <f ca="1">IFERROR(IF(COUNTIF(B285,"*云栖松*")&gt;0,50-加速!$L$11,MAX(0,P284-(A285-A284))),0)</f>
        <v>0</v>
      </c>
      <c r="Q285">
        <f ca="1">IF(COUNTIF(IF(AND(配装计算器!$K$30&lt;&gt;"∞",0),INDEX(AU284:CB284,1,$AT$1),INDEX(AU286:CB286,1,$AT$1)),"*云栖松*")=1,P285,0)</f>
        <v>0</v>
      </c>
      <c r="R285">
        <f ca="1">IFERROR(IF(COUNTIF(B285,"*莺鸣柳*")&gt;0,45-加速!$L$9,MAX(0,R284-(A285-A284))),0)</f>
        <v>0</v>
      </c>
      <c r="S285">
        <f ca="1">IF(COUNTIF(IF(AND(配装计算器!$K$30&lt;&gt;"∞",0),INDEX(AU284:CB284,1,$AT$1),INDEX(AU286:CB286,1,$AT$1)),"*莺鸣柳*")=1,R285,0)</f>
        <v>0</v>
      </c>
      <c r="T285">
        <f ca="1" t="shared" si="87"/>
        <v>0</v>
      </c>
      <c r="U285">
        <f ca="1">IF(金蛇,IF(COUNTIF(B285,"*金环戴*")+COUNTIF(B285,"*吹风醒*")&gt;0,IF(A285&lt;=3,7.125-2.625-A285-加速!$L$11,7.125+加速!$K$9-(A285+加速!$L$11-T285)),0),0)+IF(金蛇,IF(COUNTIF(B285,"*千切子裂光*")&gt;0,2+加速!$K$9-(A285+加速!$L$11-T285),0),0)</f>
        <v>0</v>
      </c>
      <c r="V285">
        <f ca="1" t="shared" si="88"/>
        <v>0</v>
      </c>
      <c r="W285">
        <f ca="1" t="shared" si="80"/>
        <v>0</v>
      </c>
      <c r="X285">
        <f ca="1">INDEX(加速!$I$13:$I$21,W285+1)</f>
        <v>0</v>
      </c>
      <c r="Y285">
        <f ca="1" t="shared" si="89"/>
        <v>0.5</v>
      </c>
      <c r="Z285">
        <f ca="1" t="shared" si="85"/>
        <v>0</v>
      </c>
      <c r="AA285">
        <f ca="1">MAX(0,IFERROR(IF(COUNTIF(B285,"*叠*")&gt;0,IF(AC284&lt;3,8-A286+A285,AA284+6.875-A286+A285),AA284-A286+A285),AA284-加速!$L$11))</f>
        <v>0</v>
      </c>
      <c r="AB285" t="e">
        <f ca="1">MAX(0,IF(COUNTIF(IF(AND(配装计算器!$K$30&lt;&gt;"∞",0),INDEX(AU285:CB285,1,$AT$1),INDEX(AU285:CB285,1,$AT$1)),"*叠1*")=1,4*25-加速!$L$11,AB284-A285+A284)-IF(OR(COUNTIF(OFFSET(AT285,0,$AT$1,1,1),"*听雷*")&gt;0,AND(碧归&gt;0,COUNTIF(OFFSET(AT285,0,$AT$1,1,1),"*风来*")&gt;0)),0,1)*1.5)</f>
        <v>#VALUE!</v>
      </c>
      <c r="AC285">
        <f ca="1" t="shared" si="81"/>
        <v>0</v>
      </c>
      <c r="AD285">
        <f ca="1">IF(COUNTIF(IF(AND(配装计算器!$K$30&lt;&gt;"∞",0),INDEX(AU285:CB285,1,$AT$1),INDEX(AU286:CB286,1,$AT$1)),"*叠1*")=1,AB285*0+AE284,0)</f>
        <v>0</v>
      </c>
      <c r="AE285" t="e">
        <f ca="1">IF($AN$11&gt;0,IF(COUNTIF(B286,"*叠1*")&gt;0,50-加速!$L$11,MAX(0,AE284-(A286-A285))),0)</f>
        <v>#VALUE!</v>
      </c>
      <c r="AG285">
        <f ca="1" t="shared" si="82"/>
        <v>8</v>
      </c>
      <c r="AU285" t="str">
        <f>IF($AN$11=1,"云飞玉皇-玉山揽云","夕照雷峰")</f>
        <v>云飞玉皇-玉山揽云</v>
      </c>
      <c r="AV285">
        <v>2</v>
      </c>
      <c r="AW285" t="str">
        <f>IF($AR$11=1,"云飞玉皇-玉山揽云","夕照雷峰")</f>
        <v>夕照雷峰</v>
      </c>
      <c r="AX285">
        <v>2</v>
      </c>
      <c r="AY285" t="s">
        <v>2722</v>
      </c>
      <c r="AZ285">
        <v>0</v>
      </c>
      <c r="BA285" t="s">
        <v>2768</v>
      </c>
      <c r="BB285">
        <v>2</v>
      </c>
      <c r="BC285" t="s">
        <v>2768</v>
      </c>
      <c r="BD285">
        <v>2</v>
      </c>
      <c r="BE285" t="s">
        <v>2768</v>
      </c>
      <c r="BF285">
        <v>2</v>
      </c>
      <c r="BG285" t="s">
        <v>3067</v>
      </c>
      <c r="BH285">
        <v>0</v>
      </c>
      <c r="BI285" t="s">
        <v>2768</v>
      </c>
      <c r="BJ285">
        <v>2</v>
      </c>
      <c r="BK285" s="176" t="s">
        <v>2768</v>
      </c>
      <c r="BL285">
        <v>2</v>
      </c>
      <c r="BM285" t="str">
        <f>IF(0,橙武补雾锁,"夕照雷峰")</f>
        <v>夕照雷峰</v>
      </c>
      <c r="BN285">
        <v>2</v>
      </c>
      <c r="BO285" s="176" t="s">
        <v>2768</v>
      </c>
      <c r="BP285">
        <v>2</v>
      </c>
      <c r="BQ285" t="s">
        <v>2768</v>
      </c>
      <c r="BR285">
        <v>1</v>
      </c>
      <c r="BS285" s="176" t="s">
        <v>2776</v>
      </c>
      <c r="BT285">
        <v>2</v>
      </c>
      <c r="BU285" t="s">
        <v>2768</v>
      </c>
      <c r="BV285">
        <v>0</v>
      </c>
      <c r="BW285" s="179" t="s">
        <v>2776</v>
      </c>
      <c r="BX285" s="179">
        <v>2</v>
      </c>
      <c r="BY285" s="176" t="s">
        <v>2794</v>
      </c>
      <c r="BZ285">
        <v>2</v>
      </c>
      <c r="CA285" s="176" t="s">
        <v>2794</v>
      </c>
      <c r="CB285">
        <v>2</v>
      </c>
    </row>
    <row r="286" spans="1:80">
      <c r="A286" s="178" t="str">
        <f ca="1">IFERROR(IF(AG285&lt;5+金蛇*2,IF(COUNTIF(B285,"*轻*")&gt;0,A285+加速!$L$9,A285+加速!$L$11)+V285,""),"")</f>
        <v/>
      </c>
      <c r="B286" s="167" t="str">
        <f ca="1" t="shared" si="77"/>
        <v/>
      </c>
      <c r="C286" t="str">
        <f ca="1" t="shared" si="86"/>
        <v/>
      </c>
      <c r="D286" t="str">
        <f ca="1">IF(B286&lt;&gt;"",IF(C285&lt;=加速!$L$11*(1-E286),0,1),"")</f>
        <v/>
      </c>
      <c r="E286">
        <f ca="1" t="shared" si="83"/>
        <v>1</v>
      </c>
      <c r="G286" t="str">
        <f ca="1" t="shared" si="84"/>
        <v/>
      </c>
      <c r="H286" t="str">
        <f ca="1">IF(B286&lt;&gt;"",IF(AND(COUNTIF(B285,"*轻*莺鸣柳*")&gt;0,COUNTIF(B286,"*轻*")&lt;1),MAX(0,15+I285-(A286-A285)+COUNTIF(B285,"*平湖*")*0),IF(AND(E286=0,MAX(0,H285-(A286-A285))&lt;=加速!$H$11),0,MAX(0,H285-(A286-A285)))),"")</f>
        <v/>
      </c>
      <c r="I286" t="str">
        <f ca="1" t="shared" si="90"/>
        <v/>
      </c>
      <c r="J286" t="str">
        <f ca="1" t="shared" si="91"/>
        <v/>
      </c>
      <c r="K286" t="str">
        <f ca="1" t="shared" si="78"/>
        <v/>
      </c>
      <c r="L286">
        <f ca="1">IFERROR(IF(AND(COUNTIF(B286,"*-峰插*"),技能数据库!$M$72&gt;0),0,IF(COUNTIF(B286,"*鹤归*")&gt;0,16-加速!$L$11,MAX(0,L285-(A286-A285)))),0)</f>
        <v>0</v>
      </c>
      <c r="M286">
        <f ca="1" t="shared" si="79"/>
        <v>0</v>
      </c>
      <c r="N286">
        <f ca="1">IFERROR(IF(AND(COUNTIF(B286,"*-峰插*"),技能数据库!$M$72&gt;0),0,IF(COUNTIF(B286,"*云飞*")&gt;0,4-COUNTIF(B286,"*玉山揽云*")*4--COUNTIF(B286,"*烟流暮景*")*4-COUNTIF(B286,"*云景*")*加速!$L$11-IF(J286&gt;0,2,0),MAX(0,N285-(A286-A285)-IF(J286&gt;0,2,0)))),0)</f>
        <v>0</v>
      </c>
      <c r="O286">
        <f ca="1">IF(AND(COUNTIF(IF(AND(配装计算器!$K$30&lt;&gt;"∞",0),INDEX(AU285:CB285,1,$AT$1),INDEX(AU287:CB287,1,$AT$1)),"*云飞*")=1,COUNTIF(IF(AND(配装计算器!$K$30&lt;&gt;"∞",0),INDEX(AU285:CB285,1,$AT$1),INDEX(AU287:CB287,1,$AT$1)),"*玉山*")=0),N286,0)</f>
        <v>0</v>
      </c>
      <c r="P286">
        <f ca="1">IFERROR(IF(COUNTIF(B286,"*云栖松*")&gt;0,50-加速!$L$11,MAX(0,P285-(A286-A285))),0)</f>
        <v>0</v>
      </c>
      <c r="Q286">
        <f ca="1">IF(COUNTIF(IF(AND(配装计算器!$K$30&lt;&gt;"∞",0),INDEX(AU285:CB285,1,$AT$1),INDEX(AU287:CB287,1,$AT$1)),"*云栖松*")=1,P286,0)</f>
        <v>0</v>
      </c>
      <c r="R286">
        <f ca="1">IFERROR(IF(COUNTIF(B286,"*莺鸣柳*")&gt;0,45-加速!$L$9,MAX(0,R285-(A286-A285))),0)</f>
        <v>0</v>
      </c>
      <c r="S286">
        <f ca="1">IF(COUNTIF(IF(AND(配装计算器!$K$30&lt;&gt;"∞",0),INDEX(AU285:CB285,1,$AT$1),INDEX(AU287:CB287,1,$AT$1)),"*莺鸣柳*")=1,R286,0)</f>
        <v>0</v>
      </c>
      <c r="T286">
        <f ca="1" t="shared" si="87"/>
        <v>0</v>
      </c>
      <c r="U286">
        <f ca="1">IF(金蛇,IF(COUNTIF(B286,"*金环戴*")+COUNTIF(B286,"*吹风醒*")&gt;0,IF(A286&lt;=3,7.125-2.625-A286-加速!$L$11,7.125+加速!$K$9-(A286+加速!$L$11-T286)),0),0)+IF(金蛇,IF(COUNTIF(B286,"*千切子裂光*")&gt;0,2+加速!$K$9-(A286+加速!$L$11-T286),0),0)</f>
        <v>0</v>
      </c>
      <c r="V286">
        <f ca="1" t="shared" si="88"/>
        <v>0</v>
      </c>
      <c r="W286">
        <f ca="1" t="shared" si="80"/>
        <v>0</v>
      </c>
      <c r="X286">
        <f ca="1">INDEX(加速!$I$13:$I$21,W286+1)</f>
        <v>0</v>
      </c>
      <c r="Y286">
        <f ca="1" t="shared" si="89"/>
        <v>0.5</v>
      </c>
      <c r="Z286">
        <f ca="1" t="shared" si="85"/>
        <v>0</v>
      </c>
      <c r="AA286">
        <f ca="1">MAX(0,IFERROR(IF(COUNTIF(B286,"*叠*")&gt;0,IF(AC285&lt;3,8-A287+A286,AA285+6.875-A287+A286),AA285-A287+A286),AA285-加速!$L$11))</f>
        <v>0</v>
      </c>
      <c r="AB286" t="e">
        <f ca="1">MAX(0,IF(COUNTIF(IF(AND(配装计算器!$K$30&lt;&gt;"∞",0),INDEX(AU286:CB286,1,$AT$1),INDEX(AU286:CB286,1,$AT$1)),"*叠1*")=1,4*25-加速!$L$11,AB285-A286+A285)-IF(OR(COUNTIF(OFFSET(AT286,0,$AT$1,1,1),"*听雷*")&gt;0,AND(碧归&gt;0,COUNTIF(OFFSET(AT286,0,$AT$1,1,1),"*风来*")&gt;0)),0,1)*1.5)</f>
        <v>#VALUE!</v>
      </c>
      <c r="AC286">
        <f ca="1" t="shared" si="81"/>
        <v>0</v>
      </c>
      <c r="AD286">
        <f ca="1">IF(COUNTIF(IF(AND(配装计算器!$K$30&lt;&gt;"∞",0),INDEX(AU286:CB286,1,$AT$1),INDEX(AU287:CB287,1,$AT$1)),"*叠1*")=1,AB286*0+AE285,0)</f>
        <v>0</v>
      </c>
      <c r="AE286" t="e">
        <f ca="1">IF($AN$11&gt;0,IF(COUNTIF(B287,"*叠1*")&gt;0,50-加速!$L$11,MAX(0,AE285-(A287-A286))),0)</f>
        <v>#VALUE!</v>
      </c>
      <c r="AG286">
        <f ca="1" t="shared" si="82"/>
        <v>8</v>
      </c>
      <c r="AU286" t="s">
        <v>2776</v>
      </c>
      <c r="AV286">
        <v>2</v>
      </c>
      <c r="AW286" t="str">
        <f>IF($AR$11=1,"云飞玉皇-玉山揽云","云飞玉皇")</f>
        <v>云飞玉皇</v>
      </c>
      <c r="AX286">
        <v>2</v>
      </c>
      <c r="AY286" t="s">
        <v>2776</v>
      </c>
      <c r="AZ286">
        <v>2</v>
      </c>
      <c r="BA286" t="s">
        <v>2768</v>
      </c>
      <c r="BB286">
        <v>2</v>
      </c>
      <c r="BC286" t="s">
        <v>2768</v>
      </c>
      <c r="BD286">
        <v>2</v>
      </c>
      <c r="BE286" t="s">
        <v>2776</v>
      </c>
      <c r="BF286">
        <v>2</v>
      </c>
      <c r="BG286" t="s">
        <v>2768</v>
      </c>
      <c r="BH286">
        <v>2</v>
      </c>
      <c r="BI286" s="176" t="s">
        <v>2776</v>
      </c>
      <c r="BJ286">
        <v>2</v>
      </c>
      <c r="BK286" s="176" t="s">
        <v>2768</v>
      </c>
      <c r="BL286">
        <v>2</v>
      </c>
      <c r="BM286" t="str">
        <f>IF(0,"云飞玉皇-玉山揽云","夕照雷峰")</f>
        <v>夕照雷峰</v>
      </c>
      <c r="BN286">
        <v>2</v>
      </c>
      <c r="BO286" t="s">
        <v>3056</v>
      </c>
      <c r="BP286">
        <v>1</v>
      </c>
      <c r="BQ286" t="s">
        <v>2776</v>
      </c>
      <c r="BR286">
        <v>1</v>
      </c>
      <c r="BS286" s="176" t="s">
        <v>2768</v>
      </c>
      <c r="BT286">
        <v>2</v>
      </c>
      <c r="BU286" t="s">
        <v>2768</v>
      </c>
      <c r="BV286">
        <v>0</v>
      </c>
      <c r="BW286" s="182" t="s">
        <v>2794</v>
      </c>
      <c r="BX286" s="179">
        <v>2</v>
      </c>
      <c r="BY286" s="176" t="str">
        <f>IF(0,"云飞玉皇-玉山揽云","夕照雷峰")</f>
        <v>夕照雷峰</v>
      </c>
      <c r="BZ286">
        <v>2</v>
      </c>
      <c r="CA286" s="176" t="s">
        <v>2768</v>
      </c>
      <c r="CB286">
        <v>2</v>
      </c>
    </row>
    <row r="287" spans="1:80">
      <c r="A287" s="178" t="str">
        <f ca="1">IFERROR(IF(AG286&lt;5+金蛇*2,IF(COUNTIF(B286,"*轻*")&gt;0,A286+加速!$L$9,A286+加速!$L$11)+V286,""),"")</f>
        <v/>
      </c>
      <c r="B287" s="167" t="str">
        <f ca="1" t="shared" si="77"/>
        <v/>
      </c>
      <c r="C287" t="str">
        <f ca="1" t="shared" si="86"/>
        <v/>
      </c>
      <c r="D287" t="str">
        <f ca="1">IF(B287&lt;&gt;"",IF(C286&lt;=加速!$L$11*(1-E287),0,1),"")</f>
        <v/>
      </c>
      <c r="E287">
        <f ca="1" t="shared" si="83"/>
        <v>1</v>
      </c>
      <c r="G287" t="str">
        <f ca="1" t="shared" si="84"/>
        <v/>
      </c>
      <c r="H287" t="str">
        <f ca="1">IF(B287&lt;&gt;"",IF(AND(COUNTIF(B286,"*轻*莺鸣柳*")&gt;0,COUNTIF(B287,"*轻*")&lt;1),MAX(0,15+I286-(A287-A286)+COUNTIF(B286,"*平湖*")*0),IF(AND(E287=0,MAX(0,H286-(A287-A286))&lt;=加速!$H$11),0,MAX(0,H286-(A287-A286)))),"")</f>
        <v/>
      </c>
      <c r="I287" t="str">
        <f ca="1" t="shared" si="90"/>
        <v/>
      </c>
      <c r="J287" t="str">
        <f ca="1" t="shared" si="91"/>
        <v/>
      </c>
      <c r="K287" t="str">
        <f ca="1" t="shared" si="78"/>
        <v/>
      </c>
      <c r="L287">
        <f ca="1">IFERROR(IF(AND(COUNTIF(B287,"*-峰插*"),技能数据库!$M$72&gt;0),0,IF(COUNTIF(B287,"*鹤归*")&gt;0,16-加速!$L$11,MAX(0,L286-(A287-A286)))),0)</f>
        <v>0</v>
      </c>
      <c r="M287">
        <f ca="1" t="shared" si="79"/>
        <v>0</v>
      </c>
      <c r="N287">
        <f ca="1">IFERROR(IF(AND(COUNTIF(B287,"*-峰插*"),技能数据库!$M$72&gt;0),0,IF(COUNTIF(B287,"*云飞*")&gt;0,4-COUNTIF(B287,"*玉山揽云*")*4--COUNTIF(B287,"*烟流暮景*")*4-COUNTIF(B287,"*云景*")*加速!$L$11-IF(J287&gt;0,2,0),MAX(0,N286-(A287-A286)-IF(J287&gt;0,2,0)))),0)</f>
        <v>0</v>
      </c>
      <c r="O287">
        <f ca="1">IF(AND(COUNTIF(IF(AND(配装计算器!$K$30&lt;&gt;"∞",0),INDEX(AU286:CB286,1,$AT$1),INDEX(AU288:CB288,1,$AT$1)),"*云飞*")=1,COUNTIF(IF(AND(配装计算器!$K$30&lt;&gt;"∞",0),INDEX(AU286:CB286,1,$AT$1),INDEX(AU288:CB288,1,$AT$1)),"*玉山*")=0),N287,0)</f>
        <v>0</v>
      </c>
      <c r="P287">
        <f ca="1">IFERROR(IF(COUNTIF(B287,"*云栖松*")&gt;0,50-加速!$L$11,MAX(0,P286-(A287-A286))),0)</f>
        <v>0</v>
      </c>
      <c r="Q287">
        <f ca="1">IF(COUNTIF(IF(AND(配装计算器!$K$30&lt;&gt;"∞",0),INDEX(AU286:CB286,1,$AT$1),INDEX(AU288:CB288,1,$AT$1)),"*云栖松*")=1,P287,0)</f>
        <v>0</v>
      </c>
      <c r="R287">
        <f ca="1">IFERROR(IF(COUNTIF(B287,"*莺鸣柳*")&gt;0,45-加速!$L$9,MAX(0,R286-(A287-A286))),0)</f>
        <v>0</v>
      </c>
      <c r="S287">
        <f ca="1">IF(COUNTIF(IF(AND(配装计算器!$K$30&lt;&gt;"∞",0),INDEX(AU286:CB286,1,$AT$1),INDEX(AU288:CB288,1,$AT$1)),"*莺鸣柳*")=1,R287,0)</f>
        <v>0</v>
      </c>
      <c r="T287">
        <f ca="1" t="shared" si="87"/>
        <v>0</v>
      </c>
      <c r="U287">
        <f ca="1">IF(金蛇,IF(COUNTIF(B287,"*金环戴*")+COUNTIF(B287,"*吹风醒*")&gt;0,IF(A287&lt;=3,7.125-2.625-A287-加速!$L$11,7.125+加速!$K$9-(A287+加速!$L$11-T287)),0),0)+IF(金蛇,IF(COUNTIF(B287,"*千切子裂光*")&gt;0,2+加速!$K$9-(A287+加速!$L$11-T287),0),0)</f>
        <v>0</v>
      </c>
      <c r="V287">
        <f ca="1" t="shared" si="88"/>
        <v>0</v>
      </c>
      <c r="W287">
        <f ca="1" t="shared" si="80"/>
        <v>0</v>
      </c>
      <c r="X287">
        <f ca="1">INDEX(加速!$I$13:$I$21,W287+1)</f>
        <v>0</v>
      </c>
      <c r="Y287">
        <f ca="1" t="shared" si="89"/>
        <v>0.5</v>
      </c>
      <c r="Z287">
        <f ca="1" t="shared" si="85"/>
        <v>0</v>
      </c>
      <c r="AA287">
        <f ca="1">MAX(0,IFERROR(IF(COUNTIF(B287,"*叠*")&gt;0,IF(AC286&lt;3,8-A288+A287,AA286+6.875-A288+A287),AA286-A288+A287),AA286-加速!$L$11))</f>
        <v>0</v>
      </c>
      <c r="AB287" t="e">
        <f ca="1">MAX(0,IF(COUNTIF(IF(AND(配装计算器!$K$30&lt;&gt;"∞",0),INDEX(AU287:CB287,1,$AT$1),INDEX(AU287:CB287,1,$AT$1)),"*叠1*")=1,4*25-加速!$L$11,AB286-A287+A286)-IF(OR(COUNTIF(OFFSET(AT287,0,$AT$1,1,1),"*听雷*")&gt;0,AND(碧归&gt;0,COUNTIF(OFFSET(AT287,0,$AT$1,1,1),"*风来*")&gt;0)),0,1)*1.5)</f>
        <v>#VALUE!</v>
      </c>
      <c r="AC287">
        <f ca="1" t="shared" si="81"/>
        <v>0</v>
      </c>
      <c r="AD287">
        <f ca="1">IF(COUNTIF(IF(AND(配装计算器!$K$30&lt;&gt;"∞",0),INDEX(AU287:CB287,1,$AT$1),INDEX(AU288:CB288,1,$AT$1)),"*叠1*")=1,AB287*0+AE286,0)</f>
        <v>0</v>
      </c>
      <c r="AE287" t="e">
        <f ca="1">IF($AN$11&gt;0,IF(COUNTIF(B288,"*叠1*")&gt;0,50-加速!$L$11,MAX(0,AE286-(A288-A287))),0)</f>
        <v>#VALUE!</v>
      </c>
      <c r="AG287">
        <f ca="1" t="shared" si="82"/>
        <v>8</v>
      </c>
      <c r="AU287" s="176" t="s">
        <v>2794</v>
      </c>
      <c r="AV287">
        <v>2</v>
      </c>
      <c r="AW287" t="str">
        <f>IF($AR$11=1,"云飞玉皇-玉山揽云","夕照雷峰")</f>
        <v>夕照雷峰</v>
      </c>
      <c r="AX287">
        <v>2</v>
      </c>
      <c r="AY287" t="s">
        <v>2768</v>
      </c>
      <c r="AZ287">
        <v>2</v>
      </c>
      <c r="BA287" t="s">
        <v>2768</v>
      </c>
      <c r="BB287">
        <v>1</v>
      </c>
      <c r="BC287" t="s">
        <v>2776</v>
      </c>
      <c r="BD287">
        <v>1</v>
      </c>
      <c r="BE287" t="s">
        <v>2768</v>
      </c>
      <c r="BF287">
        <v>1</v>
      </c>
      <c r="BG287" t="s">
        <v>2768</v>
      </c>
      <c r="BH287">
        <v>2</v>
      </c>
      <c r="BI287" t="s">
        <v>2768</v>
      </c>
      <c r="BJ287">
        <v>2</v>
      </c>
      <c r="BK287" s="176" t="s">
        <v>2776</v>
      </c>
      <c r="BL287">
        <v>2</v>
      </c>
      <c r="BM287" t="s">
        <v>2776</v>
      </c>
      <c r="BN287">
        <v>2</v>
      </c>
      <c r="BO287" t="s">
        <v>2768</v>
      </c>
      <c r="BP287">
        <v>2</v>
      </c>
      <c r="BQ287" t="s">
        <v>2768</v>
      </c>
      <c r="BR287">
        <v>0</v>
      </c>
      <c r="BS287" s="176" t="s">
        <v>2794</v>
      </c>
      <c r="BT287">
        <v>2</v>
      </c>
      <c r="BU287" t="s">
        <v>2776</v>
      </c>
      <c r="BV287">
        <v>0</v>
      </c>
      <c r="BW287" s="182" t="s">
        <v>2768</v>
      </c>
      <c r="BX287" s="179">
        <v>2</v>
      </c>
      <c r="BY287" s="176" t="str">
        <f>IF(0,"云飞玉皇-玉山揽云","云飞玉皇")</f>
        <v>云飞玉皇</v>
      </c>
      <c r="BZ287">
        <v>2</v>
      </c>
      <c r="CA287" s="176" t="s">
        <v>2776</v>
      </c>
      <c r="CB287">
        <v>2</v>
      </c>
    </row>
    <row r="288" spans="1:80">
      <c r="A288" s="178" t="str">
        <f ca="1">IFERROR(IF(AG287&lt;5+金蛇*2,IF(COUNTIF(B287,"*轻*")&gt;0,A287+加速!$L$9,A287+加速!$L$11)+V287,""),"")</f>
        <v/>
      </c>
      <c r="B288" s="167" t="str">
        <f ca="1" t="shared" si="77"/>
        <v/>
      </c>
      <c r="C288" t="str">
        <f ca="1" t="shared" si="86"/>
        <v/>
      </c>
      <c r="D288" t="str">
        <f ca="1">IF(B288&lt;&gt;"",IF(C287&lt;=加速!$L$11*(1-E288),0,1),"")</f>
        <v/>
      </c>
      <c r="E288">
        <f ca="1" t="shared" si="83"/>
        <v>1</v>
      </c>
      <c r="G288" t="str">
        <f ca="1" t="shared" si="84"/>
        <v/>
      </c>
      <c r="H288" t="str">
        <f ca="1">IF(B288&lt;&gt;"",IF(AND(COUNTIF(B287,"*轻*莺鸣柳*")&gt;0,COUNTIF(B288,"*轻*")&lt;1),MAX(0,15+I287-(A288-A287)+COUNTIF(B287,"*平湖*")*0),IF(AND(E288=0,MAX(0,H287-(A288-A287))&lt;=加速!$H$11),0,MAX(0,H287-(A288-A287)))),"")</f>
        <v/>
      </c>
      <c r="I288" t="str">
        <f ca="1" t="shared" si="90"/>
        <v/>
      </c>
      <c r="J288" t="str">
        <f ca="1" t="shared" si="91"/>
        <v/>
      </c>
      <c r="K288" t="str">
        <f ca="1" t="shared" si="78"/>
        <v/>
      </c>
      <c r="L288">
        <f ca="1">IFERROR(IF(AND(COUNTIF(B288,"*-峰插*"),技能数据库!$M$72&gt;0),0,IF(COUNTIF(B288,"*鹤归*")&gt;0,16-加速!$L$11,MAX(0,L287-(A288-A287)))),0)</f>
        <v>0</v>
      </c>
      <c r="M288">
        <f ca="1" t="shared" si="79"/>
        <v>0</v>
      </c>
      <c r="N288">
        <f ca="1">IFERROR(IF(AND(COUNTIF(B288,"*-峰插*"),技能数据库!$M$72&gt;0),0,IF(COUNTIF(B288,"*云飞*")&gt;0,4-COUNTIF(B288,"*玉山揽云*")*4--COUNTIF(B288,"*烟流暮景*")*4-COUNTIF(B288,"*云景*")*加速!$L$11-IF(J288&gt;0,2,0),MAX(0,N287-(A288-A287)-IF(J288&gt;0,2,0)))),0)</f>
        <v>0</v>
      </c>
      <c r="O288">
        <f ca="1">IF(AND(COUNTIF(IF(AND(配装计算器!$K$30&lt;&gt;"∞",0),INDEX(AU287:CB287,1,$AT$1),INDEX(AU289:CB289,1,$AT$1)),"*云飞*")=1,COUNTIF(IF(AND(配装计算器!$K$30&lt;&gt;"∞",0),INDEX(AU287:CB287,1,$AT$1),INDEX(AU289:CB289,1,$AT$1)),"*玉山*")=0),N288,0)</f>
        <v>0</v>
      </c>
      <c r="P288">
        <f ca="1">IFERROR(IF(COUNTIF(B288,"*云栖松*")&gt;0,50-加速!$L$11,MAX(0,P287-(A288-A287))),0)</f>
        <v>0</v>
      </c>
      <c r="Q288">
        <f ca="1">IF(COUNTIF(IF(AND(配装计算器!$K$30&lt;&gt;"∞",0),INDEX(AU287:CB287,1,$AT$1),INDEX(AU289:CB289,1,$AT$1)),"*云栖松*")=1,P288,0)</f>
        <v>0</v>
      </c>
      <c r="R288">
        <f ca="1">IFERROR(IF(COUNTIF(B288,"*莺鸣柳*")&gt;0,45-加速!$L$9,MAX(0,R287-(A288-A287))),0)</f>
        <v>0</v>
      </c>
      <c r="S288">
        <f ca="1">IF(COUNTIF(IF(AND(配装计算器!$K$30&lt;&gt;"∞",0),INDEX(AU287:CB287,1,$AT$1),INDEX(AU289:CB289,1,$AT$1)),"*莺鸣柳*")=1,R288,0)</f>
        <v>0</v>
      </c>
      <c r="T288">
        <f ca="1" t="shared" si="87"/>
        <v>0</v>
      </c>
      <c r="U288">
        <f ca="1">IF(金蛇,IF(COUNTIF(B288,"*金环戴*")+COUNTIF(B288,"*吹风醒*")&gt;0,IF(A288&lt;=3,7.125-2.625-A288-加速!$L$11,7.125+加速!$K$9-(A288+加速!$L$11-T288)),0),0)+IF(金蛇,IF(COUNTIF(B288,"*千切子裂光*")&gt;0,2+加速!$K$9-(A288+加速!$L$11-T288),0),0)</f>
        <v>0</v>
      </c>
      <c r="V288">
        <f ca="1" t="shared" si="88"/>
        <v>0</v>
      </c>
      <c r="W288">
        <f ca="1" t="shared" si="80"/>
        <v>0</v>
      </c>
      <c r="X288">
        <f ca="1">INDEX(加速!$I$13:$I$21,W288+1)</f>
        <v>0</v>
      </c>
      <c r="Y288">
        <f ca="1" t="shared" si="89"/>
        <v>0.5</v>
      </c>
      <c r="Z288">
        <f ca="1" t="shared" si="85"/>
        <v>0</v>
      </c>
      <c r="AA288">
        <f ca="1">MAX(0,IFERROR(IF(COUNTIF(B288,"*叠*")&gt;0,IF(AC287&lt;3,8-A289+A288,AA287+6.875-A289+A288),AA287-A289+A288),AA287-加速!$L$11))</f>
        <v>0</v>
      </c>
      <c r="AB288" t="e">
        <f ca="1">MAX(0,IF(COUNTIF(IF(AND(配装计算器!$K$30&lt;&gt;"∞",0),INDEX(AU288:CB288,1,$AT$1),INDEX(AU288:CB288,1,$AT$1)),"*叠1*")=1,4*25-加速!$L$11,AB287-A288+A287)-IF(OR(COUNTIF(OFFSET(AT288,0,$AT$1,1,1),"*听雷*")&gt;0,AND(碧归&gt;0,COUNTIF(OFFSET(AT288,0,$AT$1,1,1),"*风来*")&gt;0)),0,1)*1.5)</f>
        <v>#VALUE!</v>
      </c>
      <c r="AC288">
        <f ca="1" t="shared" si="81"/>
        <v>0</v>
      </c>
      <c r="AD288">
        <f ca="1">IF(COUNTIF(IF(AND(配装计算器!$K$30&lt;&gt;"∞",0),INDEX(AU288:CB288,1,$AT$1),INDEX(AU289:CB289,1,$AT$1)),"*叠1*")=1,AB288*0+AE287,0)</f>
        <v>0</v>
      </c>
      <c r="AE288" t="e">
        <f ca="1">IF($AN$11&gt;0,IF(COUNTIF(B289,"*叠1*")&gt;0,50-加速!$L$11,MAX(0,AE287-(A289-A288))),0)</f>
        <v>#VALUE!</v>
      </c>
      <c r="AG288">
        <f ca="1" t="shared" si="82"/>
        <v>8</v>
      </c>
      <c r="AU288" s="176" t="s">
        <v>2768</v>
      </c>
      <c r="AV288">
        <v>2</v>
      </c>
      <c r="AW288" t="str">
        <f>IF($AR$11=1,橙武补雾锁,"夕照雷峰")</f>
        <v>夕照雷峰</v>
      </c>
      <c r="AX288">
        <v>2</v>
      </c>
      <c r="AY288" t="s">
        <v>2768</v>
      </c>
      <c r="AZ288">
        <v>2</v>
      </c>
      <c r="BA288" t="s">
        <v>2776</v>
      </c>
      <c r="BB288">
        <v>1</v>
      </c>
      <c r="BC288" t="s">
        <v>2768</v>
      </c>
      <c r="BD288">
        <v>1</v>
      </c>
      <c r="BE288" t="s">
        <v>2768</v>
      </c>
      <c r="BF288">
        <v>1</v>
      </c>
      <c r="BG288" s="176" t="s">
        <v>2794</v>
      </c>
      <c r="BH288">
        <v>1</v>
      </c>
      <c r="BI288" t="s">
        <v>2768</v>
      </c>
      <c r="BJ288">
        <v>1</v>
      </c>
      <c r="BK288" t="s">
        <v>2768</v>
      </c>
      <c r="BL288">
        <v>1</v>
      </c>
      <c r="BM288" t="str">
        <f>IF(0,"云飞玉皇-玉山揽云","夕照雷峰")</f>
        <v>夕照雷峰</v>
      </c>
      <c r="BN288">
        <v>2</v>
      </c>
      <c r="BO288" t="s">
        <v>2768</v>
      </c>
      <c r="BP288">
        <v>2</v>
      </c>
      <c r="BQ288" t="s">
        <v>2768</v>
      </c>
      <c r="BR288">
        <v>0</v>
      </c>
      <c r="BS288" t="s">
        <v>2768</v>
      </c>
      <c r="BT288">
        <v>2</v>
      </c>
      <c r="BU288" t="s">
        <v>3067</v>
      </c>
      <c r="BV288">
        <v>0</v>
      </c>
      <c r="BW288" s="182" t="s">
        <v>2776</v>
      </c>
      <c r="BX288" s="179">
        <v>2</v>
      </c>
      <c r="BY288" s="176" t="str">
        <f>IF(0,橙武补雾锁,"夕照雷峰")</f>
        <v>夕照雷峰</v>
      </c>
      <c r="BZ288">
        <v>2</v>
      </c>
      <c r="CA288" s="176" t="s">
        <v>2768</v>
      </c>
      <c r="CB288">
        <v>2</v>
      </c>
    </row>
    <row r="289" spans="1:80">
      <c r="A289" s="178" t="str">
        <f ca="1">IFERROR(IF(AG288&lt;5+金蛇*2,IF(COUNTIF(B288,"*轻*")&gt;0,A288+加速!$L$9,A288+加速!$L$11)+V288,""),"")</f>
        <v/>
      </c>
      <c r="B289" s="167" t="str">
        <f ca="1" t="shared" si="77"/>
        <v/>
      </c>
      <c r="C289" t="str">
        <f ca="1" t="shared" si="86"/>
        <v/>
      </c>
      <c r="D289" t="str">
        <f ca="1">IF(B289&lt;&gt;"",IF(C288&lt;=加速!$L$11*(1-E289),0,1),"")</f>
        <v/>
      </c>
      <c r="E289">
        <f ca="1" t="shared" si="83"/>
        <v>1</v>
      </c>
      <c r="G289" t="str">
        <f ca="1" t="shared" si="84"/>
        <v/>
      </c>
      <c r="H289" t="str">
        <f ca="1">IF(B289&lt;&gt;"",IF(AND(COUNTIF(B288,"*轻*莺鸣柳*")&gt;0,COUNTIF(B289,"*轻*")&lt;1),MAX(0,15+I288-(A289-A288)+COUNTIF(B288,"*平湖*")*0),IF(AND(E289=0,MAX(0,H288-(A289-A288))&lt;=加速!$H$11),0,MAX(0,H288-(A289-A288)))),"")</f>
        <v/>
      </c>
      <c r="I289" t="str">
        <f ca="1" t="shared" si="90"/>
        <v/>
      </c>
      <c r="J289" t="str">
        <f ca="1" t="shared" si="91"/>
        <v/>
      </c>
      <c r="K289" t="str">
        <f ca="1" t="shared" si="78"/>
        <v/>
      </c>
      <c r="L289">
        <f ca="1">IFERROR(IF(AND(COUNTIF(B289,"*-峰插*"),技能数据库!$M$72&gt;0),0,IF(COUNTIF(B289,"*鹤归*")&gt;0,16-加速!$L$11,MAX(0,L288-(A289-A288)))),0)</f>
        <v>0</v>
      </c>
      <c r="M289">
        <f ca="1" t="shared" si="79"/>
        <v>0</v>
      </c>
      <c r="N289">
        <f ca="1">IFERROR(IF(AND(COUNTIF(B289,"*-峰插*"),技能数据库!$M$72&gt;0),0,IF(COUNTIF(B289,"*云飞*")&gt;0,4-COUNTIF(B289,"*玉山揽云*")*4--COUNTIF(B289,"*烟流暮景*")*4-COUNTIF(B289,"*云景*")*加速!$L$11-IF(J289&gt;0,2,0),MAX(0,N288-(A289-A288)-IF(J289&gt;0,2,0)))),0)</f>
        <v>0</v>
      </c>
      <c r="O289">
        <f ca="1">IF(AND(COUNTIF(IF(AND(配装计算器!$K$30&lt;&gt;"∞",0),INDEX(AU288:CB288,1,$AT$1),INDEX(AU290:CB290,1,$AT$1)),"*云飞*")=1,COUNTIF(IF(AND(配装计算器!$K$30&lt;&gt;"∞",0),INDEX(AU288:CB288,1,$AT$1),INDEX(AU290:CB290,1,$AT$1)),"*玉山*")=0),N289,0)</f>
        <v>0</v>
      </c>
      <c r="P289">
        <f ca="1">IFERROR(IF(COUNTIF(B289,"*云栖松*")&gt;0,50-加速!$L$11,MAX(0,P288-(A289-A288))),0)</f>
        <v>0</v>
      </c>
      <c r="Q289">
        <f ca="1">IF(COUNTIF(IF(AND(配装计算器!$K$30&lt;&gt;"∞",0),INDEX(AU288:CB288,1,$AT$1),INDEX(AU290:CB290,1,$AT$1)),"*云栖松*")=1,P289,0)</f>
        <v>0</v>
      </c>
      <c r="R289">
        <f ca="1">IFERROR(IF(COUNTIF(B289,"*莺鸣柳*")&gt;0,45-加速!$L$9,MAX(0,R288-(A289-A288))),0)</f>
        <v>0</v>
      </c>
      <c r="S289">
        <f ca="1">IF(COUNTIF(IF(AND(配装计算器!$K$30&lt;&gt;"∞",0),INDEX(AU288:CB288,1,$AT$1),INDEX(AU290:CB290,1,$AT$1)),"*莺鸣柳*")=1,R289,0)</f>
        <v>0</v>
      </c>
      <c r="T289">
        <f ca="1" t="shared" si="87"/>
        <v>0</v>
      </c>
      <c r="U289">
        <f ca="1">IF(金蛇,IF(COUNTIF(B289,"*金环戴*")+COUNTIF(B289,"*吹风醒*")&gt;0,IF(A289&lt;=3,7.125-2.625-A289-加速!$L$11,7.125+加速!$K$9-(A289+加速!$L$11-T289)),0),0)+IF(金蛇,IF(COUNTIF(B289,"*千切子裂光*")&gt;0,2+加速!$K$9-(A289+加速!$L$11-T289),0),0)</f>
        <v>0</v>
      </c>
      <c r="V289">
        <f ca="1" t="shared" si="88"/>
        <v>0</v>
      </c>
      <c r="W289">
        <f ca="1" t="shared" si="80"/>
        <v>0</v>
      </c>
      <c r="X289">
        <f ca="1">INDEX(加速!$I$13:$I$21,W289+1)</f>
        <v>0</v>
      </c>
      <c r="Y289">
        <f ca="1" t="shared" si="89"/>
        <v>0.5</v>
      </c>
      <c r="Z289">
        <f ca="1" t="shared" si="85"/>
        <v>0</v>
      </c>
      <c r="AA289">
        <f ca="1">MAX(0,IFERROR(IF(COUNTIF(B289,"*叠*")&gt;0,IF(AC288&lt;3,8-A290+A289,AA288+6.875-A290+A289),AA288-A290+A289),AA288-加速!$L$11))</f>
        <v>0</v>
      </c>
      <c r="AB289" t="e">
        <f ca="1">MAX(0,IF(COUNTIF(IF(AND(配装计算器!$K$30&lt;&gt;"∞",0),INDEX(AU289:CB289,1,$AT$1),INDEX(AU289:CB289,1,$AT$1)),"*叠1*")=1,4*25-加速!$L$11,AB288-A289+A288)-IF(OR(COUNTIF(OFFSET(AT289,0,$AT$1,1,1),"*听雷*")&gt;0,AND(碧归&gt;0,COUNTIF(OFFSET(AT289,0,$AT$1,1,1),"*风来*")&gt;0)),0,1)*1.5)</f>
        <v>#VALUE!</v>
      </c>
      <c r="AC289">
        <f ca="1" t="shared" si="81"/>
        <v>0</v>
      </c>
      <c r="AD289">
        <f ca="1">IF(COUNTIF(IF(AND(配装计算器!$K$30&lt;&gt;"∞",0),INDEX(AU289:CB289,1,$AT$1),INDEX(AU290:CB290,1,$AT$1)),"*叠1*")=1,AB289*0+AE288,0)</f>
        <v>0</v>
      </c>
      <c r="AE289" t="e">
        <f ca="1">IF($AN$11&gt;0,IF(COUNTIF(B290,"*叠1*")&gt;0,50-加速!$L$11,MAX(0,AE288-(A290-A289))),0)</f>
        <v>#VALUE!</v>
      </c>
      <c r="AG289">
        <f ca="1" t="shared" si="82"/>
        <v>8</v>
      </c>
      <c r="AU289" s="176" t="s">
        <v>2776</v>
      </c>
      <c r="AV289">
        <v>2</v>
      </c>
      <c r="AW289" t="str">
        <f>IF($AR$11=1,"云飞玉皇-玉山揽云","夕照雷峰")</f>
        <v>夕照雷峰</v>
      </c>
      <c r="AX289">
        <v>2</v>
      </c>
      <c r="AY289" t="s">
        <v>2768</v>
      </c>
      <c r="AZ289">
        <v>1</v>
      </c>
      <c r="BA289" t="s">
        <v>2768</v>
      </c>
      <c r="BB289">
        <v>1</v>
      </c>
      <c r="BC289" t="s">
        <v>2794</v>
      </c>
      <c r="BD289">
        <v>2</v>
      </c>
      <c r="BE289" t="s">
        <v>2794</v>
      </c>
      <c r="BF289">
        <v>1</v>
      </c>
      <c r="BG289" t="s">
        <v>2776</v>
      </c>
      <c r="BH289">
        <v>1</v>
      </c>
      <c r="BI289" s="176" t="s">
        <v>2768</v>
      </c>
      <c r="BJ289">
        <v>1</v>
      </c>
      <c r="BK289" s="176" t="s">
        <v>2768</v>
      </c>
      <c r="BL289">
        <v>1</v>
      </c>
      <c r="BM289" s="176" t="s">
        <v>2794</v>
      </c>
      <c r="BN289">
        <v>2</v>
      </c>
      <c r="BO289" t="s">
        <v>2768</v>
      </c>
      <c r="BP289">
        <v>2</v>
      </c>
      <c r="BQ289" t="s">
        <v>3067</v>
      </c>
      <c r="BR289">
        <v>0</v>
      </c>
      <c r="BS289" t="s">
        <v>2776</v>
      </c>
      <c r="BT289">
        <v>2</v>
      </c>
      <c r="BU289" t="s">
        <v>2768</v>
      </c>
      <c r="BV289">
        <v>2</v>
      </c>
      <c r="BW289" s="182" t="s">
        <v>2768</v>
      </c>
      <c r="BX289" s="179">
        <v>2</v>
      </c>
      <c r="BY289" s="176" t="str">
        <f>IF(0,"云飞玉皇-玉山揽云","云景·云飞玉皇")</f>
        <v>云景·云飞玉皇</v>
      </c>
      <c r="BZ289">
        <v>2</v>
      </c>
      <c r="CA289" s="176" t="s">
        <v>2808</v>
      </c>
      <c r="CB289">
        <v>2</v>
      </c>
    </row>
    <row r="290" spans="1:80">
      <c r="A290" s="178" t="str">
        <f ca="1">IFERROR(IF(AG289&lt;5+金蛇*2,IF(COUNTIF(B289,"*轻*")&gt;0,A289+加速!$L$9,A289+加速!$L$11)+V289,""),"")</f>
        <v/>
      </c>
      <c r="B290" s="167" t="str">
        <f ca="1" t="shared" si="77"/>
        <v/>
      </c>
      <c r="C290" t="str">
        <f ca="1" t="shared" si="86"/>
        <v/>
      </c>
      <c r="D290" t="str">
        <f ca="1">IF(B290&lt;&gt;"",IF(C289&lt;=加速!$L$11*(1-E290),0,1),"")</f>
        <v/>
      </c>
      <c r="E290">
        <f ca="1" t="shared" si="83"/>
        <v>1</v>
      </c>
      <c r="G290" t="str">
        <f ca="1" t="shared" si="84"/>
        <v/>
      </c>
      <c r="H290" t="str">
        <f ca="1">IF(B290&lt;&gt;"",IF(AND(COUNTIF(B289,"*轻*莺鸣柳*")&gt;0,COUNTIF(B290,"*轻*")&lt;1),MAX(0,15+I289-(A290-A289)+COUNTIF(B289,"*平湖*")*0),IF(AND(E290=0,MAX(0,H289-(A290-A289))&lt;=加速!$H$11),0,MAX(0,H289-(A290-A289)))),"")</f>
        <v/>
      </c>
      <c r="I290" t="str">
        <f ca="1" t="shared" si="90"/>
        <v/>
      </c>
      <c r="J290" t="str">
        <f ca="1" t="shared" si="91"/>
        <v/>
      </c>
      <c r="K290" t="str">
        <f ca="1" t="shared" si="78"/>
        <v/>
      </c>
      <c r="L290">
        <f ca="1">IFERROR(IF(AND(COUNTIF(B290,"*-峰插*"),技能数据库!$M$72&gt;0),0,IF(COUNTIF(B290,"*鹤归*")&gt;0,16-加速!$L$11,MAX(0,L289-(A290-A289)))),0)</f>
        <v>0</v>
      </c>
      <c r="M290">
        <f ca="1" t="shared" si="79"/>
        <v>0</v>
      </c>
      <c r="N290">
        <f ca="1">IFERROR(IF(AND(COUNTIF(B290,"*-峰插*"),技能数据库!$M$72&gt;0),0,IF(COUNTIF(B290,"*云飞*")&gt;0,4-COUNTIF(B290,"*玉山揽云*")*4--COUNTIF(B290,"*烟流暮景*")*4-COUNTIF(B290,"*云景*")*加速!$L$11-IF(J290&gt;0,2,0),MAX(0,N289-(A290-A289)-IF(J290&gt;0,2,0)))),0)</f>
        <v>0</v>
      </c>
      <c r="O290">
        <f ca="1">IF(AND(COUNTIF(IF(AND(配装计算器!$K$30&lt;&gt;"∞",0),INDEX(AU289:CB289,1,$AT$1),INDEX(AU291:CB291,1,$AT$1)),"*云飞*")=1,COUNTIF(IF(AND(配装计算器!$K$30&lt;&gt;"∞",0),INDEX(AU289:CB289,1,$AT$1),INDEX(AU291:CB291,1,$AT$1)),"*玉山*")=0),N290,0)</f>
        <v>0</v>
      </c>
      <c r="P290">
        <f ca="1">IFERROR(IF(COUNTIF(B290,"*云栖松*")&gt;0,50-加速!$L$11,MAX(0,P289-(A290-A289))),0)</f>
        <v>0</v>
      </c>
      <c r="Q290">
        <f ca="1">IF(COUNTIF(IF(AND(配装计算器!$K$30&lt;&gt;"∞",0),INDEX(AU289:CB289,1,$AT$1),INDEX(AU291:CB291,1,$AT$1)),"*云栖松*")=1,P290,0)</f>
        <v>0</v>
      </c>
      <c r="R290">
        <f ca="1">IFERROR(IF(COUNTIF(B290,"*莺鸣柳*")&gt;0,45-加速!$L$9,MAX(0,R289-(A290-A289))),0)</f>
        <v>0</v>
      </c>
      <c r="S290">
        <f ca="1">IF(COUNTIF(IF(AND(配装计算器!$K$30&lt;&gt;"∞",0),INDEX(AU289:CB289,1,$AT$1),INDEX(AU291:CB291,1,$AT$1)),"*莺鸣柳*")=1,R290,0)</f>
        <v>0</v>
      </c>
      <c r="T290">
        <f ca="1" t="shared" si="87"/>
        <v>0</v>
      </c>
      <c r="U290">
        <f ca="1">IF(金蛇,IF(COUNTIF(B290,"*金环戴*")+COUNTIF(B290,"*吹风醒*")&gt;0,IF(A290&lt;=3,7.125-2.625-A290-加速!$L$11,7.125+加速!$K$9-(A290+加速!$L$11-T290)),0),0)+IF(金蛇,IF(COUNTIF(B290,"*千切子裂光*")&gt;0,2+加速!$K$9-(A290+加速!$L$11-T290),0),0)</f>
        <v>0</v>
      </c>
      <c r="V290">
        <f ca="1" t="shared" si="88"/>
        <v>0</v>
      </c>
      <c r="W290">
        <f ca="1" t="shared" si="80"/>
        <v>0</v>
      </c>
      <c r="X290">
        <f ca="1">INDEX(加速!$I$13:$I$21,W290+1)</f>
        <v>0</v>
      </c>
      <c r="Y290">
        <f ca="1" t="shared" si="89"/>
        <v>0.5</v>
      </c>
      <c r="Z290">
        <f ca="1" t="shared" si="85"/>
        <v>0</v>
      </c>
      <c r="AA290">
        <f ca="1">MAX(0,IFERROR(IF(COUNTIF(B290,"*叠*")&gt;0,IF(AC289&lt;3,8-A291+A290,AA289+6.875-A291+A290),AA289-A291+A290),AA289-加速!$L$11))</f>
        <v>0</v>
      </c>
      <c r="AB290" t="e">
        <f ca="1">MAX(0,IF(COUNTIF(IF(AND(配装计算器!$K$30&lt;&gt;"∞",0),INDEX(AU290:CB290,1,$AT$1),INDEX(AU290:CB290,1,$AT$1)),"*叠1*")=1,4*25-加速!$L$11,AB289-A290+A289)-IF(OR(COUNTIF(OFFSET(AT290,0,$AT$1,1,1),"*听雷*")&gt;0,AND(碧归&gt;0,COUNTIF(OFFSET(AT290,0,$AT$1,1,1),"*风来*")&gt;0)),0,1)*1.5)</f>
        <v>#VALUE!</v>
      </c>
      <c r="AC290">
        <f ca="1" t="shared" si="81"/>
        <v>0</v>
      </c>
      <c r="AD290">
        <f ca="1">IF(COUNTIF(IF(AND(配装计算器!$K$30&lt;&gt;"∞",0),INDEX(AU290:CB290,1,$AT$1),INDEX(AU291:CB291,1,$AT$1)),"*叠1*")=1,AB290*0+AE289,0)</f>
        <v>0</v>
      </c>
      <c r="AE290" t="e">
        <f ca="1">IF($AN$11&gt;0,IF(COUNTIF(B291,"*叠1*")&gt;0,50-加速!$L$11,MAX(0,AE289-(A291-A290))),0)</f>
        <v>#VALUE!</v>
      </c>
      <c r="AG290">
        <f ca="1" t="shared" si="82"/>
        <v>8</v>
      </c>
      <c r="AU290" s="176" t="s">
        <v>2768</v>
      </c>
      <c r="AV290">
        <v>2</v>
      </c>
      <c r="AW290" t="s">
        <v>2776</v>
      </c>
      <c r="AX290">
        <v>2</v>
      </c>
      <c r="AY290" t="s">
        <v>2776</v>
      </c>
      <c r="AZ290">
        <v>1</v>
      </c>
      <c r="BA290" t="s">
        <v>2768</v>
      </c>
      <c r="BB290">
        <v>0</v>
      </c>
      <c r="BC290" t="s">
        <v>2768</v>
      </c>
      <c r="BD290">
        <v>2</v>
      </c>
      <c r="BE290" t="s">
        <v>2776</v>
      </c>
      <c r="BF290">
        <v>2</v>
      </c>
      <c r="BG290" t="s">
        <v>2768</v>
      </c>
      <c r="BH290">
        <v>1</v>
      </c>
      <c r="BI290" s="176" t="s">
        <v>2776</v>
      </c>
      <c r="BJ290">
        <v>0</v>
      </c>
      <c r="BK290" s="176" t="s">
        <v>2768</v>
      </c>
      <c r="BL290">
        <v>0</v>
      </c>
      <c r="BM290" s="176" t="s">
        <v>2768</v>
      </c>
      <c r="BN290">
        <v>2</v>
      </c>
      <c r="BO290" t="s">
        <v>2776</v>
      </c>
      <c r="BP290">
        <v>2</v>
      </c>
      <c r="BQ290" t="s">
        <v>2776</v>
      </c>
      <c r="BR290">
        <v>2</v>
      </c>
      <c r="BS290" t="s">
        <v>2768</v>
      </c>
      <c r="BT290">
        <v>2</v>
      </c>
      <c r="BU290" t="s">
        <v>2768</v>
      </c>
      <c r="BV290">
        <v>2</v>
      </c>
      <c r="BW290" s="182" t="s">
        <v>2776</v>
      </c>
      <c r="BX290" s="179">
        <v>2</v>
      </c>
      <c r="BY290" s="176" t="str">
        <f>IF(0,"云飞玉皇-玉山揽云","夕照雷峰")</f>
        <v>夕照雷峰</v>
      </c>
      <c r="BZ290">
        <v>2</v>
      </c>
      <c r="CA290" t="s">
        <v>2768</v>
      </c>
      <c r="CB290">
        <v>2</v>
      </c>
    </row>
    <row r="291" spans="1:80">
      <c r="A291" s="178" t="str">
        <f ca="1">IFERROR(IF(AG290&lt;5+金蛇*2,IF(COUNTIF(B290,"*轻*")&gt;0,A290+加速!$L$9,A290+加速!$L$11)+V290,""),"")</f>
        <v/>
      </c>
      <c r="B291" s="167" t="str">
        <f ca="1" t="shared" si="77"/>
        <v/>
      </c>
      <c r="C291" t="str">
        <f ca="1" t="shared" si="86"/>
        <v/>
      </c>
      <c r="D291" t="str">
        <f ca="1">IF(B291&lt;&gt;"",IF(C290&lt;=加速!$L$11*(1-E291),0,1),"")</f>
        <v/>
      </c>
      <c r="E291">
        <f ca="1" t="shared" si="83"/>
        <v>1</v>
      </c>
      <c r="G291" t="str">
        <f ca="1" t="shared" si="84"/>
        <v/>
      </c>
      <c r="H291" t="str">
        <f ca="1">IF(B291&lt;&gt;"",IF(AND(COUNTIF(B290,"*轻*莺鸣柳*")&gt;0,COUNTIF(B291,"*轻*")&lt;1),MAX(0,15+I290-(A291-A290)+COUNTIF(B290,"*平湖*")*0),IF(AND(E291=0,MAX(0,H290-(A291-A290))&lt;=加速!$H$11),0,MAX(0,H290-(A291-A290)))),"")</f>
        <v/>
      </c>
      <c r="I291" t="str">
        <f ca="1" t="shared" si="90"/>
        <v/>
      </c>
      <c r="J291" t="str">
        <f ca="1" t="shared" si="91"/>
        <v/>
      </c>
      <c r="K291" t="str">
        <f ca="1" t="shared" si="78"/>
        <v/>
      </c>
      <c r="L291">
        <f ca="1">IFERROR(IF(AND(COUNTIF(B291,"*-峰插*"),技能数据库!$M$72&gt;0),0,IF(COUNTIF(B291,"*鹤归*")&gt;0,16-加速!$L$11,MAX(0,L290-(A291-A290)))),0)</f>
        <v>0</v>
      </c>
      <c r="M291">
        <f ca="1" t="shared" si="79"/>
        <v>0</v>
      </c>
      <c r="N291">
        <f ca="1">IFERROR(IF(AND(COUNTIF(B291,"*-峰插*"),技能数据库!$M$72&gt;0),0,IF(COUNTIF(B291,"*云飞*")&gt;0,4-COUNTIF(B291,"*玉山揽云*")*4--COUNTIF(B291,"*烟流暮景*")*4-COUNTIF(B291,"*云景*")*加速!$L$11-IF(J291&gt;0,2,0),MAX(0,N290-(A291-A290)-IF(J291&gt;0,2,0)))),0)</f>
        <v>0</v>
      </c>
      <c r="O291">
        <f ca="1">IF(AND(COUNTIF(IF(AND(配装计算器!$K$30&lt;&gt;"∞",0),INDEX(AU290:CB290,1,$AT$1),INDEX(AU292:CB292,1,$AT$1)),"*云飞*")=1,COUNTIF(IF(AND(配装计算器!$K$30&lt;&gt;"∞",0),INDEX(AU290:CB290,1,$AT$1),INDEX(AU292:CB292,1,$AT$1)),"*玉山*")=0),N291,0)</f>
        <v>0</v>
      </c>
      <c r="P291">
        <f ca="1">IFERROR(IF(COUNTIF(B291,"*云栖松*")&gt;0,50-加速!$L$11,MAX(0,P290-(A291-A290))),0)</f>
        <v>0</v>
      </c>
      <c r="Q291">
        <f ca="1">IF(COUNTIF(IF(AND(配装计算器!$K$30&lt;&gt;"∞",0),INDEX(AU290:CB290,1,$AT$1),INDEX(AU292:CB292,1,$AT$1)),"*云栖松*")=1,P291,0)</f>
        <v>0</v>
      </c>
      <c r="R291">
        <f ca="1">IFERROR(IF(COUNTIF(B291,"*莺鸣柳*")&gt;0,45-加速!$L$9,MAX(0,R290-(A291-A290))),0)</f>
        <v>0</v>
      </c>
      <c r="S291">
        <f ca="1">IF(COUNTIF(IF(AND(配装计算器!$K$30&lt;&gt;"∞",0),INDEX(AU290:CB290,1,$AT$1),INDEX(AU292:CB292,1,$AT$1)),"*莺鸣柳*")=1,R291,0)</f>
        <v>0</v>
      </c>
      <c r="T291">
        <f ca="1" t="shared" si="87"/>
        <v>0</v>
      </c>
      <c r="U291">
        <f ca="1">IF(金蛇,IF(COUNTIF(B291,"*金环戴*")+COUNTIF(B291,"*吹风醒*")&gt;0,IF(A291&lt;=3,7.125-2.625-A291-加速!$L$11,7.125+加速!$K$9-(A291+加速!$L$11-T291)),0),0)+IF(金蛇,IF(COUNTIF(B291,"*千切子裂光*")&gt;0,2+加速!$K$9-(A291+加速!$L$11-T291),0),0)</f>
        <v>0</v>
      </c>
      <c r="V291">
        <f ca="1" t="shared" si="88"/>
        <v>0</v>
      </c>
      <c r="W291">
        <f ca="1" t="shared" si="80"/>
        <v>0</v>
      </c>
      <c r="X291">
        <f ca="1">INDEX(加速!$I$13:$I$21,W291+1)</f>
        <v>0</v>
      </c>
      <c r="Y291">
        <f ca="1" t="shared" si="89"/>
        <v>0.5</v>
      </c>
      <c r="Z291">
        <f ca="1" t="shared" si="85"/>
        <v>0</v>
      </c>
      <c r="AA291">
        <f ca="1">MAX(0,IFERROR(IF(COUNTIF(B291,"*叠*")&gt;0,IF(AC290&lt;3,8-A292+A291,AA290+6.875-A292+A291),AA290-A292+A291),AA290-加速!$L$11))</f>
        <v>0</v>
      </c>
      <c r="AB291" t="e">
        <f ca="1">MAX(0,IF(COUNTIF(IF(AND(配装计算器!$K$30&lt;&gt;"∞",0),INDEX(AU291:CB291,1,$AT$1),INDEX(AU291:CB291,1,$AT$1)),"*叠1*")=1,4*25-加速!$L$11,AB290-A291+A290)-IF(OR(COUNTIF(OFFSET(AT291,0,$AT$1,1,1),"*听雷*")&gt;0,AND(碧归&gt;0,COUNTIF(OFFSET(AT291,0,$AT$1,1,1),"*风来*")&gt;0)),0,1)*1.5)</f>
        <v>#VALUE!</v>
      </c>
      <c r="AC291">
        <f ca="1" t="shared" si="81"/>
        <v>0</v>
      </c>
      <c r="AD291">
        <f ca="1">IF(COUNTIF(IF(AND(配装计算器!$K$30&lt;&gt;"∞",0),INDEX(AU291:CB291,1,$AT$1),INDEX(AU292:CB292,1,$AT$1)),"*叠1*")=1,AB291*0+AE290,0)</f>
        <v>0</v>
      </c>
      <c r="AE291" t="e">
        <f ca="1">IF($AN$11&gt;0,IF(COUNTIF(B292,"*叠1*")&gt;0,50-加速!$L$11,MAX(0,AE290-(A292-A291))),0)</f>
        <v>#VALUE!</v>
      </c>
      <c r="AG291">
        <f ca="1" t="shared" si="82"/>
        <v>8</v>
      </c>
      <c r="AU291" s="176" t="s">
        <v>2776</v>
      </c>
      <c r="AV291">
        <v>2</v>
      </c>
      <c r="AW291" t="s">
        <v>2768</v>
      </c>
      <c r="AX291">
        <v>2</v>
      </c>
      <c r="AY291" t="s">
        <v>2768</v>
      </c>
      <c r="AZ291">
        <v>1</v>
      </c>
      <c r="BA291" t="s">
        <v>3010</v>
      </c>
      <c r="BB291">
        <v>2</v>
      </c>
      <c r="BC291" t="s">
        <v>2776</v>
      </c>
      <c r="BD291">
        <v>2</v>
      </c>
      <c r="BE291" t="s">
        <v>2768</v>
      </c>
      <c r="BF291">
        <v>2</v>
      </c>
      <c r="BG291" t="s">
        <v>3011</v>
      </c>
      <c r="BH291">
        <v>2</v>
      </c>
      <c r="BI291" t="s">
        <v>2794</v>
      </c>
      <c r="BJ291">
        <v>0</v>
      </c>
      <c r="BK291" s="176" t="s">
        <v>2776</v>
      </c>
      <c r="BL291">
        <v>0</v>
      </c>
      <c r="BM291" s="176" t="s">
        <v>2776</v>
      </c>
      <c r="BN291">
        <v>2</v>
      </c>
      <c r="BO291" t="s">
        <v>2768</v>
      </c>
      <c r="BP291">
        <v>2</v>
      </c>
      <c r="BQ291" t="s">
        <v>2768</v>
      </c>
      <c r="BR291">
        <v>2</v>
      </c>
      <c r="BS291" t="s">
        <v>2776</v>
      </c>
      <c r="BT291">
        <v>1</v>
      </c>
      <c r="BU291" s="176" t="s">
        <v>2794</v>
      </c>
      <c r="BV291">
        <v>1</v>
      </c>
      <c r="BW291" s="182" t="str">
        <f t="shared" ref="BW291:BW295" si="92">IF($AN$11=1,"云飞玉皇-玉山揽云","夕照雷峰")</f>
        <v>云飞玉皇-玉山揽云</v>
      </c>
      <c r="BX291" s="179">
        <v>2</v>
      </c>
      <c r="BY291" t="s">
        <v>2776</v>
      </c>
      <c r="BZ291">
        <v>2</v>
      </c>
      <c r="CA291" t="s">
        <v>2776</v>
      </c>
      <c r="CB291">
        <v>2</v>
      </c>
    </row>
    <row r="292" spans="1:80">
      <c r="A292" s="178" t="str">
        <f ca="1">IFERROR(IF(AG291&lt;5+金蛇*2,IF(COUNTIF(B291,"*轻*")&gt;0,A291+加速!$L$9,A291+加速!$L$11)+V291,""),"")</f>
        <v/>
      </c>
      <c r="B292" s="167" t="str">
        <f ca="1" t="shared" si="77"/>
        <v/>
      </c>
      <c r="C292" t="str">
        <f ca="1" t="shared" si="86"/>
        <v/>
      </c>
      <c r="D292" t="str">
        <f ca="1">IF(B292&lt;&gt;"",IF(C291&lt;=加速!$L$11*(1-E292),0,1),"")</f>
        <v/>
      </c>
      <c r="E292">
        <f ca="1" t="shared" si="83"/>
        <v>1</v>
      </c>
      <c r="G292" t="str">
        <f ca="1" t="shared" si="84"/>
        <v/>
      </c>
      <c r="H292" t="str">
        <f ca="1">IF(B292&lt;&gt;"",IF(AND(COUNTIF(B291,"*轻*莺鸣柳*")&gt;0,COUNTIF(B292,"*轻*")&lt;1),MAX(0,15+I291-(A292-A291)+COUNTIF(B291,"*平湖*")*0),IF(AND(E292=0,MAX(0,H291-(A292-A291))&lt;=加速!$H$11),0,MAX(0,H291-(A292-A291)))),"")</f>
        <v/>
      </c>
      <c r="I292" t="str">
        <f ca="1" t="shared" si="90"/>
        <v/>
      </c>
      <c r="J292" t="str">
        <f ca="1" t="shared" si="91"/>
        <v/>
      </c>
      <c r="K292" t="str">
        <f ca="1" t="shared" si="78"/>
        <v/>
      </c>
      <c r="L292">
        <f ca="1">IFERROR(IF(AND(COUNTIF(B292,"*-峰插*"),技能数据库!$M$72&gt;0),0,IF(COUNTIF(B292,"*鹤归*")&gt;0,16-加速!$L$11,MAX(0,L291-(A292-A291)))),0)</f>
        <v>0</v>
      </c>
      <c r="M292">
        <f ca="1" t="shared" si="79"/>
        <v>0</v>
      </c>
      <c r="N292">
        <f ca="1">IFERROR(IF(AND(COUNTIF(B292,"*-峰插*"),技能数据库!$M$72&gt;0),0,IF(COUNTIF(B292,"*云飞*")&gt;0,4-COUNTIF(B292,"*玉山揽云*")*4--COUNTIF(B292,"*烟流暮景*")*4-COUNTIF(B292,"*云景*")*加速!$L$11-IF(J292&gt;0,2,0),MAX(0,N291-(A292-A291)-IF(J292&gt;0,2,0)))),0)</f>
        <v>0</v>
      </c>
      <c r="O292">
        <f ca="1">IF(AND(COUNTIF(IF(AND(配装计算器!$K$30&lt;&gt;"∞",0),INDEX(AU291:CB291,1,$AT$1),INDEX(AU293:CB293,1,$AT$1)),"*云飞*")=1,COUNTIF(IF(AND(配装计算器!$K$30&lt;&gt;"∞",0),INDEX(AU291:CB291,1,$AT$1),INDEX(AU293:CB293,1,$AT$1)),"*玉山*")=0),N292,0)</f>
        <v>0</v>
      </c>
      <c r="P292">
        <f ca="1">IFERROR(IF(COUNTIF(B292,"*云栖松*")&gt;0,50-加速!$L$11,MAX(0,P291-(A292-A291))),0)</f>
        <v>0</v>
      </c>
      <c r="Q292">
        <f ca="1">IF(COUNTIF(IF(AND(配装计算器!$K$30&lt;&gt;"∞",0),INDEX(AU291:CB291,1,$AT$1),INDEX(AU293:CB293,1,$AT$1)),"*云栖松*")=1,P292,0)</f>
        <v>0</v>
      </c>
      <c r="R292">
        <f ca="1">IFERROR(IF(COUNTIF(B292,"*莺鸣柳*")&gt;0,45-加速!$L$9,MAX(0,R291-(A292-A291))),0)</f>
        <v>0</v>
      </c>
      <c r="S292">
        <f ca="1">IF(COUNTIF(IF(AND(配装计算器!$K$30&lt;&gt;"∞",0),INDEX(AU291:CB291,1,$AT$1),INDEX(AU293:CB293,1,$AT$1)),"*莺鸣柳*")=1,R292,0)</f>
        <v>0</v>
      </c>
      <c r="T292">
        <f ca="1" t="shared" si="87"/>
        <v>0</v>
      </c>
      <c r="U292">
        <f ca="1">IF(金蛇,IF(COUNTIF(B292,"*金环戴*")+COUNTIF(B292,"*吹风醒*")&gt;0,IF(A292&lt;=3,7.125-2.625-A292-加速!$L$11,7.125+加速!$K$9-(A292+加速!$L$11-T292)),0),0)+IF(金蛇,IF(COUNTIF(B292,"*千切子裂光*")&gt;0,2+加速!$K$9-(A292+加速!$L$11-T292),0),0)</f>
        <v>0</v>
      </c>
      <c r="V292">
        <f ca="1" t="shared" si="88"/>
        <v>0</v>
      </c>
      <c r="W292">
        <f ca="1" t="shared" si="80"/>
        <v>0</v>
      </c>
      <c r="X292">
        <f ca="1">INDEX(加速!$I$13:$I$21,W292+1)</f>
        <v>0</v>
      </c>
      <c r="Y292">
        <f ca="1" t="shared" si="89"/>
        <v>0.5</v>
      </c>
      <c r="Z292">
        <f ca="1" t="shared" si="85"/>
        <v>0</v>
      </c>
      <c r="AA292">
        <f ca="1">MAX(0,IFERROR(IF(COUNTIF(B292,"*叠*")&gt;0,IF(AC291&lt;3,8-A293+A292,AA291+6.875-A293+A292),AA291-A293+A292),AA291-加速!$L$11))</f>
        <v>0</v>
      </c>
      <c r="AB292" t="e">
        <f ca="1">MAX(0,IF(COUNTIF(IF(AND(配装计算器!$K$30&lt;&gt;"∞",0),INDEX(AU292:CB292,1,$AT$1),INDEX(AU292:CB292,1,$AT$1)),"*叠1*")=1,4*25-加速!$L$11,AB291-A292+A291)-IF(OR(COUNTIF(OFFSET(AT292,0,$AT$1,1,1),"*听雷*")&gt;0,AND(碧归&gt;0,COUNTIF(OFFSET(AT292,0,$AT$1,1,1),"*风来*")&gt;0)),0,1)*1.5)</f>
        <v>#VALUE!</v>
      </c>
      <c r="AC292">
        <f ca="1" t="shared" si="81"/>
        <v>0</v>
      </c>
      <c r="AD292">
        <f ca="1">IF(COUNTIF(IF(AND(配装计算器!$K$30&lt;&gt;"∞",0),INDEX(AU292:CB292,1,$AT$1),INDEX(AU293:CB293,1,$AT$1)),"*叠1*")=1,AB292*0+AE291,0)</f>
        <v>0</v>
      </c>
      <c r="AE292" t="e">
        <f ca="1">IF($AN$11&gt;0,IF(COUNTIF(B293,"*叠1*")&gt;0,50-加速!$L$11,MAX(0,AE291-(A293-A292))),0)</f>
        <v>#VALUE!</v>
      </c>
      <c r="AG292">
        <f ca="1" t="shared" si="82"/>
        <v>8</v>
      </c>
      <c r="AU292" s="176" t="s">
        <v>2768</v>
      </c>
      <c r="AV292">
        <v>1</v>
      </c>
      <c r="AW292" s="176" t="s">
        <v>2794</v>
      </c>
      <c r="AX292">
        <v>2</v>
      </c>
      <c r="AY292" t="s">
        <v>2768</v>
      </c>
      <c r="AZ292">
        <v>0</v>
      </c>
      <c r="BA292" t="s">
        <v>3013</v>
      </c>
      <c r="BB292">
        <v>2</v>
      </c>
      <c r="BC292" t="s">
        <v>2768</v>
      </c>
      <c r="BD292">
        <v>2</v>
      </c>
      <c r="BE292" t="s">
        <v>2776</v>
      </c>
      <c r="BF292">
        <v>2</v>
      </c>
      <c r="BG292" t="s">
        <v>2768</v>
      </c>
      <c r="BH292">
        <v>2</v>
      </c>
      <c r="BI292" t="s">
        <v>2768</v>
      </c>
      <c r="BJ292">
        <v>2</v>
      </c>
      <c r="BK292" s="176" t="s">
        <v>2768</v>
      </c>
      <c r="BL292">
        <v>0</v>
      </c>
      <c r="BM292" s="176" t="s">
        <v>2768</v>
      </c>
      <c r="BN292">
        <v>2</v>
      </c>
      <c r="BO292" t="s">
        <v>2768</v>
      </c>
      <c r="BP292">
        <v>2</v>
      </c>
      <c r="BQ292" t="s">
        <v>2768</v>
      </c>
      <c r="BR292">
        <v>2</v>
      </c>
      <c r="BS292" t="s">
        <v>2768</v>
      </c>
      <c r="BT292">
        <v>1</v>
      </c>
      <c r="BU292" t="s">
        <v>2776</v>
      </c>
      <c r="BV292">
        <v>1</v>
      </c>
      <c r="BW292" s="179" t="str">
        <f>IF($AN$11=1,"云飞玉皇-玉山揽云","云飞玉皇")</f>
        <v>云飞玉皇-玉山揽云</v>
      </c>
      <c r="BX292" s="179">
        <v>2</v>
      </c>
      <c r="BY292" t="s">
        <v>2768</v>
      </c>
      <c r="BZ292">
        <v>2</v>
      </c>
      <c r="CA292" t="s">
        <v>2768</v>
      </c>
      <c r="CB292">
        <v>2</v>
      </c>
    </row>
    <row r="293" spans="1:80">
      <c r="A293" s="178" t="str">
        <f ca="1">IFERROR(IF(AG292&lt;5+金蛇*2,IF(COUNTIF(B292,"*轻*")&gt;0,A292+加速!$L$9,A292+加速!$L$11)+V292,""),"")</f>
        <v/>
      </c>
      <c r="B293" s="167" t="str">
        <f ca="1" t="shared" si="77"/>
        <v/>
      </c>
      <c r="C293" t="str">
        <f ca="1" t="shared" si="86"/>
        <v/>
      </c>
      <c r="D293" t="str">
        <f ca="1">IF(B293&lt;&gt;"",IF(C292&lt;=加速!$L$11*(1-E293),0,1),"")</f>
        <v/>
      </c>
      <c r="E293">
        <f ca="1" t="shared" si="83"/>
        <v>1</v>
      </c>
      <c r="G293" t="str">
        <f ca="1" t="shared" si="84"/>
        <v/>
      </c>
      <c r="H293" t="str">
        <f ca="1">IF(B293&lt;&gt;"",IF(AND(COUNTIF(B292,"*轻*莺鸣柳*")&gt;0,COUNTIF(B293,"*轻*")&lt;1),MAX(0,15+I292-(A293-A292)+COUNTIF(B292,"*平湖*")*0),IF(AND(E293=0,MAX(0,H292-(A293-A292))&lt;=加速!$H$11),0,MAX(0,H292-(A293-A292)))),"")</f>
        <v/>
      </c>
      <c r="I293" t="str">
        <f ca="1" t="shared" si="90"/>
        <v/>
      </c>
      <c r="J293" t="str">
        <f ca="1" t="shared" si="91"/>
        <v/>
      </c>
      <c r="K293" t="str">
        <f ca="1" t="shared" si="78"/>
        <v/>
      </c>
      <c r="L293">
        <f ca="1">IFERROR(IF(AND(COUNTIF(B293,"*-峰插*"),技能数据库!$M$72&gt;0),0,IF(COUNTIF(B293,"*鹤归*")&gt;0,16-加速!$L$11,MAX(0,L292-(A293-A292)))),0)</f>
        <v>0</v>
      </c>
      <c r="M293">
        <f ca="1" t="shared" si="79"/>
        <v>0</v>
      </c>
      <c r="N293">
        <f ca="1">IFERROR(IF(AND(COUNTIF(B293,"*-峰插*"),技能数据库!$M$72&gt;0),0,IF(COUNTIF(B293,"*云飞*")&gt;0,4-COUNTIF(B293,"*玉山揽云*")*4--COUNTIF(B293,"*烟流暮景*")*4-COUNTIF(B293,"*云景*")*加速!$L$11-IF(J293&gt;0,2,0),MAX(0,N292-(A293-A292)-IF(J293&gt;0,2,0)))),0)</f>
        <v>0</v>
      </c>
      <c r="O293">
        <f ca="1">IF(AND(COUNTIF(IF(AND(配装计算器!$K$30&lt;&gt;"∞",0),INDEX(AU292:CB292,1,$AT$1),INDEX(AU294:CB294,1,$AT$1)),"*云飞*")=1,COUNTIF(IF(AND(配装计算器!$K$30&lt;&gt;"∞",0),INDEX(AU292:CB292,1,$AT$1),INDEX(AU294:CB294,1,$AT$1)),"*玉山*")=0),N293,0)</f>
        <v>0</v>
      </c>
      <c r="P293">
        <f ca="1">IFERROR(IF(COUNTIF(B293,"*云栖松*")&gt;0,50-加速!$L$11,MAX(0,P292-(A293-A292))),0)</f>
        <v>0</v>
      </c>
      <c r="Q293">
        <f ca="1">IF(COUNTIF(IF(AND(配装计算器!$K$30&lt;&gt;"∞",0),INDEX(AU292:CB292,1,$AT$1),INDEX(AU294:CB294,1,$AT$1)),"*云栖松*")=1,P293,0)</f>
        <v>0</v>
      </c>
      <c r="R293">
        <f ca="1">IFERROR(IF(COUNTIF(B293,"*莺鸣柳*")&gt;0,45-加速!$L$9,MAX(0,R292-(A293-A292))),0)</f>
        <v>0</v>
      </c>
      <c r="S293">
        <f ca="1">IF(COUNTIF(IF(AND(配装计算器!$K$30&lt;&gt;"∞",0),INDEX(AU292:CB292,1,$AT$1),INDEX(AU294:CB294,1,$AT$1)),"*莺鸣柳*")=1,R293,0)</f>
        <v>0</v>
      </c>
      <c r="T293">
        <f ca="1" t="shared" si="87"/>
        <v>0</v>
      </c>
      <c r="U293">
        <f ca="1">IF(金蛇,IF(COUNTIF(B293,"*金环戴*")+COUNTIF(B293,"*吹风醒*")&gt;0,IF(A293&lt;=3,7.125-2.625-A293-加速!$L$11,7.125+加速!$K$9-(A293+加速!$L$11-T293)),0),0)+IF(金蛇,IF(COUNTIF(B293,"*千切子裂光*")&gt;0,2+加速!$K$9-(A293+加速!$L$11-T293),0),0)</f>
        <v>0</v>
      </c>
      <c r="V293">
        <f ca="1" t="shared" si="88"/>
        <v>0</v>
      </c>
      <c r="W293">
        <f ca="1" t="shared" si="80"/>
        <v>0</v>
      </c>
      <c r="X293">
        <f ca="1">INDEX(加速!$I$13:$I$21,W293+1)</f>
        <v>0</v>
      </c>
      <c r="Y293">
        <f ca="1" t="shared" si="89"/>
        <v>0.5</v>
      </c>
      <c r="Z293">
        <f ca="1" t="shared" si="85"/>
        <v>0</v>
      </c>
      <c r="AA293">
        <f ca="1">MAX(0,IFERROR(IF(COUNTIF(B293,"*叠*")&gt;0,IF(AC292&lt;3,8-A294+A293,AA292+6.875-A294+A293),AA292-A294+A293),AA292-加速!$L$11))</f>
        <v>0</v>
      </c>
      <c r="AB293" t="e">
        <f ca="1">MAX(0,IF(COUNTIF(IF(AND(配装计算器!$K$30&lt;&gt;"∞",0),INDEX(AU293:CB293,1,$AT$1),INDEX(AU293:CB293,1,$AT$1)),"*叠1*")=1,4*25-加速!$L$11,AB292-A293+A292)-IF(OR(COUNTIF(OFFSET(AT293,0,$AT$1,1,1),"*听雷*")&gt;0,AND(碧归&gt;0,COUNTIF(OFFSET(AT293,0,$AT$1,1,1),"*风来*")&gt;0)),0,1)*1.5)</f>
        <v>#VALUE!</v>
      </c>
      <c r="AC293">
        <f ca="1" t="shared" si="81"/>
        <v>0</v>
      </c>
      <c r="AD293">
        <f ca="1">IF(COUNTIF(IF(AND(配装计算器!$K$30&lt;&gt;"∞",0),INDEX(AU293:CB293,1,$AT$1),INDEX(AU294:CB294,1,$AT$1)),"*叠1*")=1,AB293*0+AE292,0)</f>
        <v>0</v>
      </c>
      <c r="AE293" t="e">
        <f ca="1">IF($AN$11&gt;0,IF(COUNTIF(B294,"*叠1*")&gt;0,50-加速!$L$11,MAX(0,AE292-(A294-A293))),0)</f>
        <v>#VALUE!</v>
      </c>
      <c r="AG293">
        <f ca="1" t="shared" si="82"/>
        <v>8</v>
      </c>
      <c r="AU293" t="s">
        <v>2776</v>
      </c>
      <c r="AV293">
        <v>1</v>
      </c>
      <c r="AW293" s="176" t="s">
        <v>2768</v>
      </c>
      <c r="AX293">
        <v>2</v>
      </c>
      <c r="AY293" t="s">
        <v>3010</v>
      </c>
      <c r="AZ293">
        <v>2</v>
      </c>
      <c r="BA293" t="s">
        <v>3017</v>
      </c>
      <c r="BB293">
        <v>2</v>
      </c>
      <c r="BC293" t="s">
        <v>2776</v>
      </c>
      <c r="BD293">
        <v>2</v>
      </c>
      <c r="BE293" t="s">
        <v>2768</v>
      </c>
      <c r="BF293">
        <v>2</v>
      </c>
      <c r="BG293" t="s">
        <v>3018</v>
      </c>
      <c r="BH293">
        <v>2</v>
      </c>
      <c r="BI293" t="s">
        <v>2776</v>
      </c>
      <c r="BJ293">
        <v>2</v>
      </c>
      <c r="BK293" s="176" t="s">
        <v>3012</v>
      </c>
      <c r="BL293">
        <v>2</v>
      </c>
      <c r="BM293" s="176" t="s">
        <v>2776</v>
      </c>
      <c r="BN293">
        <v>2</v>
      </c>
      <c r="BO293" t="s">
        <v>2768</v>
      </c>
      <c r="BP293">
        <v>2</v>
      </c>
      <c r="BQ293" t="s">
        <v>2768</v>
      </c>
      <c r="BR293">
        <v>1</v>
      </c>
      <c r="BS293" t="s">
        <v>3056</v>
      </c>
      <c r="BT293">
        <v>0</v>
      </c>
      <c r="BU293" t="s">
        <v>2768</v>
      </c>
      <c r="BV293">
        <v>1</v>
      </c>
      <c r="BW293" s="179" t="str">
        <f>IF($AN$11=1,橙武补雾锁,"听雷-重")</f>
        <v>云飞玉皇-玉山揽云</v>
      </c>
      <c r="BX293" s="179">
        <v>0</v>
      </c>
      <c r="BY293" t="s">
        <v>2718</v>
      </c>
      <c r="BZ293">
        <v>0</v>
      </c>
      <c r="CA293" t="s">
        <v>2768</v>
      </c>
      <c r="CB293">
        <v>2</v>
      </c>
    </row>
    <row r="294" spans="1:80">
      <c r="A294" s="178" t="str">
        <f ca="1">IFERROR(IF(AG293&lt;5+金蛇*2,IF(COUNTIF(B293,"*轻*")&gt;0,A293+加速!$L$9,A293+加速!$L$11)+V293,""),"")</f>
        <v/>
      </c>
      <c r="B294" s="167" t="str">
        <f ca="1" t="shared" si="77"/>
        <v/>
      </c>
      <c r="C294" t="str">
        <f ca="1" t="shared" si="86"/>
        <v/>
      </c>
      <c r="D294" t="str">
        <f ca="1">IF(B294&lt;&gt;"",IF(C293&lt;=加速!$L$11*(1-E294),0,1),"")</f>
        <v/>
      </c>
      <c r="E294">
        <f ca="1" t="shared" si="83"/>
        <v>1</v>
      </c>
      <c r="G294" t="str">
        <f ca="1" t="shared" si="84"/>
        <v/>
      </c>
      <c r="H294" t="str">
        <f ca="1">IF(B294&lt;&gt;"",IF(AND(COUNTIF(B293,"*轻*莺鸣柳*")&gt;0,COUNTIF(B294,"*轻*")&lt;1),MAX(0,15+I293-(A294-A293)+COUNTIF(B293,"*平湖*")*0),IF(AND(E294=0,MAX(0,H293-(A294-A293))&lt;=加速!$H$11),0,MAX(0,H293-(A294-A293)))),"")</f>
        <v/>
      </c>
      <c r="I294" t="str">
        <f ca="1" t="shared" si="90"/>
        <v/>
      </c>
      <c r="J294" t="str">
        <f ca="1" t="shared" si="91"/>
        <v/>
      </c>
      <c r="K294" t="str">
        <f ca="1" t="shared" si="78"/>
        <v/>
      </c>
      <c r="L294">
        <f ca="1">IFERROR(IF(AND(COUNTIF(B294,"*-峰插*"),技能数据库!$M$72&gt;0),0,IF(COUNTIF(B294,"*鹤归*")&gt;0,16-加速!$L$11,MAX(0,L293-(A294-A293)))),0)</f>
        <v>0</v>
      </c>
      <c r="M294">
        <f ca="1" t="shared" si="79"/>
        <v>0</v>
      </c>
      <c r="N294">
        <f ca="1">IFERROR(IF(AND(COUNTIF(B294,"*-峰插*"),技能数据库!$M$72&gt;0),0,IF(COUNTIF(B294,"*云飞*")&gt;0,4-COUNTIF(B294,"*玉山揽云*")*4--COUNTIF(B294,"*烟流暮景*")*4-COUNTIF(B294,"*云景*")*加速!$L$11-IF(J294&gt;0,2,0),MAX(0,N293-(A294-A293)-IF(J294&gt;0,2,0)))),0)</f>
        <v>0</v>
      </c>
      <c r="O294">
        <f ca="1">IF(AND(COUNTIF(IF(AND(配装计算器!$K$30&lt;&gt;"∞",0),INDEX(AU293:CB293,1,$AT$1),INDEX(AU295:CB295,1,$AT$1)),"*云飞*")=1,COUNTIF(IF(AND(配装计算器!$K$30&lt;&gt;"∞",0),INDEX(AU293:CB293,1,$AT$1),INDEX(AU295:CB295,1,$AT$1)),"*玉山*")=0),N294,0)</f>
        <v>0</v>
      </c>
      <c r="P294">
        <f ca="1">IFERROR(IF(COUNTIF(B294,"*云栖松*")&gt;0,50-加速!$L$11,MAX(0,P293-(A294-A293))),0)</f>
        <v>0</v>
      </c>
      <c r="Q294">
        <f ca="1">IF(COUNTIF(IF(AND(配装计算器!$K$30&lt;&gt;"∞",0),INDEX(AU293:CB293,1,$AT$1),INDEX(AU295:CB295,1,$AT$1)),"*云栖松*")=1,P294,0)</f>
        <v>0</v>
      </c>
      <c r="R294">
        <f ca="1">IFERROR(IF(COUNTIF(B294,"*莺鸣柳*")&gt;0,45-加速!$L$9,MAX(0,R293-(A294-A293))),0)</f>
        <v>0</v>
      </c>
      <c r="S294">
        <f ca="1">IF(COUNTIF(IF(AND(配装计算器!$K$30&lt;&gt;"∞",0),INDEX(AU293:CB293,1,$AT$1),INDEX(AU295:CB295,1,$AT$1)),"*莺鸣柳*")=1,R294,0)</f>
        <v>0</v>
      </c>
      <c r="T294">
        <f ca="1" t="shared" si="87"/>
        <v>0</v>
      </c>
      <c r="U294">
        <f ca="1">IF(金蛇,IF(COUNTIF(B294,"*金环戴*")+COUNTIF(B294,"*吹风醒*")&gt;0,IF(A294&lt;=3,7.125-2.625-A294-加速!$L$11,7.125+加速!$K$9-(A294+加速!$L$11-T294)),0),0)+IF(金蛇,IF(COUNTIF(B294,"*千切子裂光*")&gt;0,2+加速!$K$9-(A294+加速!$L$11-T294),0),0)</f>
        <v>0</v>
      </c>
      <c r="V294">
        <f ca="1" t="shared" si="88"/>
        <v>0</v>
      </c>
      <c r="W294">
        <f ca="1" t="shared" si="80"/>
        <v>0</v>
      </c>
      <c r="X294">
        <f ca="1">INDEX(加速!$I$13:$I$21,W294+1)</f>
        <v>0</v>
      </c>
      <c r="Y294">
        <f ca="1" t="shared" si="89"/>
        <v>0.5</v>
      </c>
      <c r="Z294">
        <f ca="1" t="shared" si="85"/>
        <v>0</v>
      </c>
      <c r="AA294">
        <f ca="1">MAX(0,IFERROR(IF(COUNTIF(B294,"*叠*")&gt;0,IF(AC293&lt;3,8-A295+A294,AA293+6.875-A295+A294),AA293-A295+A294),AA293-加速!$L$11))</f>
        <v>0</v>
      </c>
      <c r="AB294" t="e">
        <f ca="1">MAX(0,IF(COUNTIF(IF(AND(配装计算器!$K$30&lt;&gt;"∞",0),INDEX(AU294:CB294,1,$AT$1),INDEX(AU294:CB294,1,$AT$1)),"*叠1*")=1,4*25-加速!$L$11,AB293-A294+A293)-IF(OR(COUNTIF(OFFSET(AT294,0,$AT$1,1,1),"*听雷*")&gt;0,AND(碧归&gt;0,COUNTIF(OFFSET(AT294,0,$AT$1,1,1),"*风来*")&gt;0)),0,1)*1.5)</f>
        <v>#VALUE!</v>
      </c>
      <c r="AC294">
        <f ca="1" t="shared" si="81"/>
        <v>0</v>
      </c>
      <c r="AD294">
        <f ca="1">IF(COUNTIF(IF(AND(配装计算器!$K$30&lt;&gt;"∞",0),INDEX(AU294:CB294,1,$AT$1),INDEX(AU295:CB295,1,$AT$1)),"*叠1*")=1,AB294*0+AE293,0)</f>
        <v>0</v>
      </c>
      <c r="AE294" t="e">
        <f ca="1">IF($AN$11&gt;0,IF(COUNTIF(B295,"*叠1*")&gt;0,50-加速!$L$11,MAX(0,AE293-(A295-A294))),0)</f>
        <v>#VALUE!</v>
      </c>
      <c r="AG294">
        <f ca="1" t="shared" si="82"/>
        <v>8</v>
      </c>
      <c r="AU294" t="s">
        <v>2768</v>
      </c>
      <c r="AV294">
        <v>1</v>
      </c>
      <c r="AW294" s="176" t="s">
        <v>2776</v>
      </c>
      <c r="AX294">
        <v>2</v>
      </c>
      <c r="AY294" t="s">
        <v>3013</v>
      </c>
      <c r="AZ294">
        <v>2</v>
      </c>
      <c r="BA294" t="s">
        <v>2808</v>
      </c>
      <c r="BB294">
        <v>2</v>
      </c>
      <c r="BC294" t="s">
        <v>2768</v>
      </c>
      <c r="BD294">
        <v>2</v>
      </c>
      <c r="BE294" t="s">
        <v>2776</v>
      </c>
      <c r="BF294">
        <v>1</v>
      </c>
      <c r="BG294" t="s">
        <v>2768</v>
      </c>
      <c r="BH294">
        <v>2</v>
      </c>
      <c r="BI294" t="s">
        <v>2768</v>
      </c>
      <c r="BJ294">
        <v>2</v>
      </c>
      <c r="BK294" s="176" t="s">
        <v>2794</v>
      </c>
      <c r="BL294">
        <v>2</v>
      </c>
      <c r="BM294" s="176" t="s">
        <v>2768</v>
      </c>
      <c r="BN294">
        <v>2</v>
      </c>
      <c r="BO294" t="s">
        <v>2776</v>
      </c>
      <c r="BP294">
        <v>2</v>
      </c>
      <c r="BQ294" t="s">
        <v>2776</v>
      </c>
      <c r="BR294">
        <v>1</v>
      </c>
      <c r="BS294" t="s">
        <v>2768</v>
      </c>
      <c r="BT294">
        <v>2</v>
      </c>
      <c r="BU294" t="s">
        <v>3011</v>
      </c>
      <c r="BV294">
        <v>2</v>
      </c>
      <c r="BW294" s="179" t="str">
        <f t="shared" si="92"/>
        <v>云飞玉皇-玉山揽云</v>
      </c>
      <c r="BX294" s="179">
        <v>2</v>
      </c>
      <c r="BY294" t="s">
        <v>2768</v>
      </c>
      <c r="BZ294">
        <v>2</v>
      </c>
      <c r="CA294" t="s">
        <v>2768</v>
      </c>
      <c r="CB294">
        <v>2</v>
      </c>
    </row>
    <row r="295" spans="1:80">
      <c r="A295" s="178" t="str">
        <f ca="1">IFERROR(IF(AG294&lt;5+金蛇*2,IF(COUNTIF(B294,"*轻*")&gt;0,A294+加速!$L$9,A294+加速!$L$11)+V294,""),"")</f>
        <v/>
      </c>
      <c r="B295" s="167" t="str">
        <f ca="1" t="shared" si="77"/>
        <v/>
      </c>
      <c r="C295" t="str">
        <f ca="1" t="shared" si="86"/>
        <v/>
      </c>
      <c r="D295" t="str">
        <f ca="1">IF(B295&lt;&gt;"",IF(C294&lt;=加速!$L$11*(1-E295),0,1),"")</f>
        <v/>
      </c>
      <c r="E295">
        <f ca="1" t="shared" si="83"/>
        <v>1</v>
      </c>
      <c r="G295" t="str">
        <f ca="1" t="shared" si="84"/>
        <v/>
      </c>
      <c r="H295" t="str">
        <f ca="1">IF(B295&lt;&gt;"",IF(AND(COUNTIF(B294,"*轻*莺鸣柳*")&gt;0,COUNTIF(B295,"*轻*")&lt;1),MAX(0,15+I294-(A295-A294)+COUNTIF(B294,"*平湖*")*0),IF(AND(E295=0,MAX(0,H294-(A295-A294))&lt;=加速!$H$11),0,MAX(0,H294-(A295-A294)))),"")</f>
        <v/>
      </c>
      <c r="I295" t="str">
        <f ca="1" t="shared" si="90"/>
        <v/>
      </c>
      <c r="J295" t="str">
        <f ca="1" t="shared" si="91"/>
        <v/>
      </c>
      <c r="K295" t="str">
        <f ca="1" t="shared" si="78"/>
        <v/>
      </c>
      <c r="L295">
        <f ca="1">IFERROR(IF(AND(COUNTIF(B295,"*-峰插*"),技能数据库!$M$72&gt;0),0,IF(COUNTIF(B295,"*鹤归*")&gt;0,16-加速!$L$11,MAX(0,L294-(A295-A294)))),0)</f>
        <v>0</v>
      </c>
      <c r="M295">
        <f ca="1" t="shared" si="79"/>
        <v>0</v>
      </c>
      <c r="N295">
        <f ca="1">IFERROR(IF(AND(COUNTIF(B295,"*-峰插*"),技能数据库!$M$72&gt;0),0,IF(COUNTIF(B295,"*云飞*")&gt;0,4-COUNTIF(B295,"*玉山揽云*")*4--COUNTIF(B295,"*烟流暮景*")*4-COUNTIF(B295,"*云景*")*加速!$L$11-IF(J295&gt;0,2,0),MAX(0,N294-(A295-A294)-IF(J295&gt;0,2,0)))),0)</f>
        <v>0</v>
      </c>
      <c r="O295">
        <f ca="1">IF(AND(COUNTIF(IF(AND(配装计算器!$K$30&lt;&gt;"∞",0),INDEX(AU294:CB294,1,$AT$1),INDEX(AU296:CB296,1,$AT$1)),"*云飞*")=1,COUNTIF(IF(AND(配装计算器!$K$30&lt;&gt;"∞",0),INDEX(AU294:CB294,1,$AT$1),INDEX(AU296:CB296,1,$AT$1)),"*玉山*")=0),N295,0)</f>
        <v>0</v>
      </c>
      <c r="P295">
        <f ca="1">IFERROR(IF(COUNTIF(B295,"*云栖松*")&gt;0,50-加速!$L$11,MAX(0,P294-(A295-A294))),0)</f>
        <v>0</v>
      </c>
      <c r="Q295">
        <f ca="1">IF(COUNTIF(IF(AND(配装计算器!$K$30&lt;&gt;"∞",0),INDEX(AU294:CB294,1,$AT$1),INDEX(AU296:CB296,1,$AT$1)),"*云栖松*")=1,P295,0)</f>
        <v>0</v>
      </c>
      <c r="R295">
        <f ca="1">IFERROR(IF(COUNTIF(B295,"*莺鸣柳*")&gt;0,45-加速!$L$9,MAX(0,R294-(A295-A294))),0)</f>
        <v>0</v>
      </c>
      <c r="S295">
        <f ca="1">IF(COUNTIF(IF(AND(配装计算器!$K$30&lt;&gt;"∞",0),INDEX(AU294:CB294,1,$AT$1),INDEX(AU296:CB296,1,$AT$1)),"*莺鸣柳*")=1,R295,0)</f>
        <v>0</v>
      </c>
      <c r="T295">
        <f ca="1" t="shared" si="87"/>
        <v>0</v>
      </c>
      <c r="U295">
        <f ca="1">IF(金蛇,IF(COUNTIF(B295,"*金环戴*")+COUNTIF(B295,"*吹风醒*")&gt;0,IF(A295&lt;=3,7.125-2.625-A295-加速!$L$11,7.125+加速!$K$9-(A295+加速!$L$11-T295)),0),0)+IF(金蛇,IF(COUNTIF(B295,"*千切子裂光*")&gt;0,2+加速!$K$9-(A295+加速!$L$11-T295),0),0)</f>
        <v>0</v>
      </c>
      <c r="V295">
        <f ca="1" t="shared" si="88"/>
        <v>0</v>
      </c>
      <c r="W295">
        <f ca="1" t="shared" si="80"/>
        <v>0</v>
      </c>
      <c r="X295">
        <f ca="1">INDEX(加速!$I$13:$I$21,W295+1)</f>
        <v>0</v>
      </c>
      <c r="Y295">
        <f ca="1" t="shared" si="89"/>
        <v>0.5</v>
      </c>
      <c r="Z295">
        <f ca="1" t="shared" si="85"/>
        <v>0</v>
      </c>
      <c r="AA295">
        <f ca="1">MAX(0,IFERROR(IF(COUNTIF(B295,"*叠*")&gt;0,IF(AC294&lt;3,8-A296+A295,AA294+6.875-A296+A295),AA294-A296+A295),AA294-加速!$L$11))</f>
        <v>0</v>
      </c>
      <c r="AB295" t="e">
        <f ca="1">MAX(0,IF(COUNTIF(IF(AND(配装计算器!$K$30&lt;&gt;"∞",0),INDEX(AU295:CB295,1,$AT$1),INDEX(AU295:CB295,1,$AT$1)),"*叠1*")=1,4*25-加速!$L$11,AB294-A295+A294)-IF(OR(COUNTIF(OFFSET(AT295,0,$AT$1,1,1),"*听雷*")&gt;0,AND(碧归&gt;0,COUNTIF(OFFSET(AT295,0,$AT$1,1,1),"*风来*")&gt;0)),0,1)*1.5)</f>
        <v>#VALUE!</v>
      </c>
      <c r="AC295">
        <f ca="1" t="shared" si="81"/>
        <v>0</v>
      </c>
      <c r="AD295">
        <f ca="1">IF(COUNTIF(IF(AND(配装计算器!$K$30&lt;&gt;"∞",0),INDEX(AU295:CB295,1,$AT$1),INDEX(AU296:CB296,1,$AT$1)),"*叠1*")=1,AB295*0+AE294,0)</f>
        <v>0</v>
      </c>
      <c r="AE295" t="e">
        <f ca="1">IF($AN$11&gt;0,IF(COUNTIF(B296,"*叠1*")&gt;0,50-加速!$L$11,MAX(0,AE294-(A296-A295))),0)</f>
        <v>#VALUE!</v>
      </c>
      <c r="AG295">
        <f ca="1" t="shared" si="82"/>
        <v>8</v>
      </c>
      <c r="AU295" t="s">
        <v>2768</v>
      </c>
      <c r="AV295">
        <v>1</v>
      </c>
      <c r="AW295" s="176" t="s">
        <v>2768</v>
      </c>
      <c r="AX295">
        <v>2</v>
      </c>
      <c r="AY295" t="s">
        <v>3017</v>
      </c>
      <c r="AZ295">
        <v>2</v>
      </c>
      <c r="BA295" t="s">
        <v>3022</v>
      </c>
      <c r="BB295">
        <v>2</v>
      </c>
      <c r="BC295" t="s">
        <v>2776</v>
      </c>
      <c r="BD295">
        <v>2</v>
      </c>
      <c r="BE295" t="s">
        <v>2768</v>
      </c>
      <c r="BF295">
        <v>1</v>
      </c>
      <c r="BG295" s="182" t="s">
        <v>3023</v>
      </c>
      <c r="BH295">
        <v>2</v>
      </c>
      <c r="BI295" t="s">
        <v>2776</v>
      </c>
      <c r="BJ295">
        <v>1</v>
      </c>
      <c r="BK295" s="176" t="s">
        <v>3019</v>
      </c>
      <c r="BL295">
        <v>2</v>
      </c>
      <c r="BM295" t="s">
        <v>3056</v>
      </c>
      <c r="BN295">
        <v>1</v>
      </c>
      <c r="BO295" t="s">
        <v>2768</v>
      </c>
      <c r="BP295">
        <v>1</v>
      </c>
      <c r="BQ295" t="s">
        <v>2768</v>
      </c>
      <c r="BR295">
        <v>1</v>
      </c>
      <c r="BS295" t="s">
        <v>2768</v>
      </c>
      <c r="BT295">
        <v>2</v>
      </c>
      <c r="BU295" t="s">
        <v>2768</v>
      </c>
      <c r="BV295">
        <v>2</v>
      </c>
      <c r="BW295" s="179" t="str">
        <f t="shared" si="92"/>
        <v>云飞玉皇-玉山揽云</v>
      </c>
      <c r="BX295" s="179">
        <v>2</v>
      </c>
      <c r="BY295" t="s">
        <v>2776</v>
      </c>
      <c r="BZ295">
        <v>2</v>
      </c>
      <c r="CA295" t="s">
        <v>2776</v>
      </c>
      <c r="CB295">
        <v>2</v>
      </c>
    </row>
    <row r="296" spans="1:80">
      <c r="A296" s="178" t="str">
        <f ca="1">IFERROR(IF(AG295&lt;5+金蛇*2,IF(COUNTIF(B295,"*轻*")&gt;0,A295+加速!$L$9,A295+加速!$L$11)+V295,""),"")</f>
        <v/>
      </c>
      <c r="B296" s="167" t="str">
        <f ca="1" t="shared" si="77"/>
        <v/>
      </c>
      <c r="C296" t="str">
        <f ca="1" t="shared" si="86"/>
        <v/>
      </c>
      <c r="D296" t="str">
        <f ca="1">IF(B296&lt;&gt;"",IF(C295&lt;=加速!$L$11*(1-E296),0,1),"")</f>
        <v/>
      </c>
      <c r="E296">
        <f ca="1" t="shared" si="83"/>
        <v>1</v>
      </c>
      <c r="G296" t="str">
        <f ca="1" t="shared" si="84"/>
        <v/>
      </c>
      <c r="H296" t="str">
        <f ca="1">IF(B296&lt;&gt;"",IF(AND(COUNTIF(B295,"*轻*莺鸣柳*")&gt;0,COUNTIF(B296,"*轻*")&lt;1),MAX(0,15+I295-(A296-A295)+COUNTIF(B295,"*平湖*")*0),IF(AND(E296=0,MAX(0,H295-(A296-A295))&lt;=加速!$H$11),0,MAX(0,H295-(A296-A295)))),"")</f>
        <v/>
      </c>
      <c r="I296" t="str">
        <f ca="1" t="shared" si="90"/>
        <v/>
      </c>
      <c r="J296" t="str">
        <f ca="1" t="shared" si="91"/>
        <v/>
      </c>
      <c r="K296" t="str">
        <f ca="1" t="shared" si="78"/>
        <v/>
      </c>
      <c r="L296">
        <f ca="1">IFERROR(IF(AND(COUNTIF(B296,"*-峰插*"),技能数据库!$M$72&gt;0),0,IF(COUNTIF(B296,"*鹤归*")&gt;0,16-加速!$L$11,MAX(0,L295-(A296-A295)))),0)</f>
        <v>0</v>
      </c>
      <c r="M296">
        <f ca="1" t="shared" si="79"/>
        <v>0</v>
      </c>
      <c r="N296">
        <f ca="1">IFERROR(IF(AND(COUNTIF(B296,"*-峰插*"),技能数据库!$M$72&gt;0),0,IF(COUNTIF(B296,"*云飞*")&gt;0,4-COUNTIF(B296,"*玉山揽云*")*4--COUNTIF(B296,"*烟流暮景*")*4-COUNTIF(B296,"*云景*")*加速!$L$11-IF(J296&gt;0,2,0),MAX(0,N295-(A296-A295)-IF(J296&gt;0,2,0)))),0)</f>
        <v>0</v>
      </c>
      <c r="O296">
        <f ca="1">IF(AND(COUNTIF(IF(AND(配装计算器!$K$30&lt;&gt;"∞",0),INDEX(AU295:CB295,1,$AT$1),INDEX(AU297:CB297,1,$AT$1)),"*云飞*")=1,COUNTIF(IF(AND(配装计算器!$K$30&lt;&gt;"∞",0),INDEX(AU295:CB295,1,$AT$1),INDEX(AU297:CB297,1,$AT$1)),"*玉山*")=0),N296,0)</f>
        <v>0</v>
      </c>
      <c r="P296">
        <f ca="1">IFERROR(IF(COUNTIF(B296,"*云栖松*")&gt;0,50-加速!$L$11,MAX(0,P295-(A296-A295))),0)</f>
        <v>0</v>
      </c>
      <c r="Q296">
        <f ca="1">IF(COUNTIF(IF(AND(配装计算器!$K$30&lt;&gt;"∞",0),INDEX(AU295:CB295,1,$AT$1),INDEX(AU297:CB297,1,$AT$1)),"*云栖松*")=1,P296,0)</f>
        <v>0</v>
      </c>
      <c r="R296">
        <f ca="1">IFERROR(IF(COUNTIF(B296,"*莺鸣柳*")&gt;0,45-加速!$L$9,MAX(0,R295-(A296-A295))),0)</f>
        <v>0</v>
      </c>
      <c r="S296">
        <f ca="1">IF(COUNTIF(IF(AND(配装计算器!$K$30&lt;&gt;"∞",0),INDEX(AU295:CB295,1,$AT$1),INDEX(AU297:CB297,1,$AT$1)),"*莺鸣柳*")=1,R296,0)</f>
        <v>0</v>
      </c>
      <c r="T296">
        <f ca="1" t="shared" si="87"/>
        <v>0</v>
      </c>
      <c r="U296">
        <f ca="1">IF(金蛇,IF(COUNTIF(B296,"*金环戴*")+COUNTIF(B296,"*吹风醒*")&gt;0,IF(A296&lt;=3,7.125-2.625-A296-加速!$L$11,7.125+加速!$K$9-(A296+加速!$L$11-T296)),0),0)+IF(金蛇,IF(COUNTIF(B296,"*千切子裂光*")&gt;0,2+加速!$K$9-(A296+加速!$L$11-T296),0),0)</f>
        <v>0</v>
      </c>
      <c r="V296">
        <f ca="1" t="shared" si="88"/>
        <v>0</v>
      </c>
      <c r="W296">
        <f ca="1" t="shared" si="80"/>
        <v>0</v>
      </c>
      <c r="X296">
        <f ca="1">INDEX(加速!$I$13:$I$21,W296+1)</f>
        <v>0</v>
      </c>
      <c r="Y296">
        <f ca="1" t="shared" si="89"/>
        <v>0.5</v>
      </c>
      <c r="Z296">
        <f ca="1" t="shared" si="85"/>
        <v>0</v>
      </c>
      <c r="AA296">
        <f ca="1">MAX(0,IFERROR(IF(COUNTIF(B296,"*叠*")&gt;0,IF(AC295&lt;3,8-A297+A296,AA295+6.875-A297+A296),AA295-A297+A296),AA295-加速!$L$11))</f>
        <v>0</v>
      </c>
      <c r="AB296" t="e">
        <f ca="1">MAX(0,IF(COUNTIF(IF(AND(配装计算器!$K$30&lt;&gt;"∞",0),INDEX(AU296:CB296,1,$AT$1),INDEX(AU296:CB296,1,$AT$1)),"*叠1*")=1,4*25-加速!$L$11,AB295-A296+A295)-IF(OR(COUNTIF(OFFSET(AT296,0,$AT$1,1,1),"*听雷*")&gt;0,AND(碧归&gt;0,COUNTIF(OFFSET(AT296,0,$AT$1,1,1),"*风来*")&gt;0)),0,1)*1.5)</f>
        <v>#VALUE!</v>
      </c>
      <c r="AC296">
        <f ca="1" t="shared" si="81"/>
        <v>0</v>
      </c>
      <c r="AD296">
        <f ca="1">IF(COUNTIF(IF(AND(配装计算器!$K$30&lt;&gt;"∞",0),INDEX(AU296:CB296,1,$AT$1),INDEX(AU297:CB297,1,$AT$1)),"*叠1*")=1,AB296*0+AE295,0)</f>
        <v>0</v>
      </c>
      <c r="AE296" t="e">
        <f ca="1">IF($AN$11&gt;0,IF(COUNTIF(B297,"*叠1*")&gt;0,50-加速!$L$11,MAX(0,AE295-(A297-A296))),0)</f>
        <v>#VALUE!</v>
      </c>
      <c r="AG296">
        <f ca="1" t="shared" si="82"/>
        <v>8</v>
      </c>
      <c r="AU296" t="s">
        <v>3063</v>
      </c>
      <c r="AV296">
        <v>2</v>
      </c>
      <c r="AW296" s="176" t="s">
        <v>2776</v>
      </c>
      <c r="AX296">
        <v>2</v>
      </c>
      <c r="AY296" t="s">
        <v>2808</v>
      </c>
      <c r="AZ296">
        <v>2</v>
      </c>
      <c r="BA296" t="s">
        <v>2776</v>
      </c>
      <c r="BB296">
        <v>2</v>
      </c>
      <c r="BC296" t="s">
        <v>2768</v>
      </c>
      <c r="BD296">
        <v>1</v>
      </c>
      <c r="BE296" t="s">
        <v>2768</v>
      </c>
      <c r="BF296">
        <v>1</v>
      </c>
      <c r="BG296" s="176" t="s">
        <v>2768</v>
      </c>
      <c r="BH296">
        <v>2</v>
      </c>
      <c r="BI296" t="s">
        <v>2768</v>
      </c>
      <c r="BJ296">
        <v>1</v>
      </c>
      <c r="BK296" t="s">
        <v>2768</v>
      </c>
      <c r="BL296">
        <v>2</v>
      </c>
      <c r="BM296" t="s">
        <v>2768</v>
      </c>
      <c r="BN296">
        <v>2</v>
      </c>
      <c r="BO296" t="s">
        <v>2722</v>
      </c>
      <c r="BP296">
        <v>0</v>
      </c>
      <c r="BQ296" t="s">
        <v>2768</v>
      </c>
      <c r="BR296">
        <v>0</v>
      </c>
      <c r="BS296" t="s">
        <v>2776</v>
      </c>
      <c r="BT296">
        <v>2</v>
      </c>
      <c r="BU296" t="s">
        <v>3018</v>
      </c>
      <c r="BV296">
        <v>2</v>
      </c>
      <c r="BW296" s="179" t="s">
        <v>2776</v>
      </c>
      <c r="BX296" s="179">
        <v>2</v>
      </c>
      <c r="BY296" t="s">
        <v>2718</v>
      </c>
      <c r="BZ296">
        <v>0</v>
      </c>
      <c r="CA296" t="s">
        <v>2718</v>
      </c>
      <c r="CB296">
        <v>0</v>
      </c>
    </row>
    <row r="297" spans="1:80">
      <c r="A297" s="178" t="str">
        <f ca="1">IFERROR(IF(AG296&lt;5+金蛇*2,IF(COUNTIF(B296,"*轻*")&gt;0,A296+加速!$L$9,A296+加速!$L$11)+V296,""),"")</f>
        <v/>
      </c>
      <c r="B297" s="167" t="str">
        <f ca="1" t="shared" si="77"/>
        <v/>
      </c>
      <c r="C297" t="str">
        <f ca="1" t="shared" si="86"/>
        <v/>
      </c>
      <c r="D297" t="str">
        <f ca="1">IF(B297&lt;&gt;"",IF(C296&lt;=加速!$L$11*(1-E297),0,1),"")</f>
        <v/>
      </c>
      <c r="E297">
        <f ca="1" t="shared" si="83"/>
        <v>1</v>
      </c>
      <c r="G297" t="str">
        <f ca="1" t="shared" si="84"/>
        <v/>
      </c>
      <c r="H297" t="str">
        <f ca="1">IF(B297&lt;&gt;"",IF(AND(COUNTIF(B296,"*轻*莺鸣柳*")&gt;0,COUNTIF(B297,"*轻*")&lt;1),MAX(0,15+I296-(A297-A296)+COUNTIF(B296,"*平湖*")*0),IF(AND(E297=0,MAX(0,H296-(A297-A296))&lt;=加速!$H$11),0,MAX(0,H296-(A297-A296)))),"")</f>
        <v/>
      </c>
      <c r="I297" t="str">
        <f ca="1" t="shared" si="90"/>
        <v/>
      </c>
      <c r="J297" t="str">
        <f ca="1" t="shared" si="91"/>
        <v/>
      </c>
      <c r="K297" t="str">
        <f ca="1" t="shared" si="78"/>
        <v/>
      </c>
      <c r="L297">
        <f ca="1">IFERROR(IF(AND(COUNTIF(B297,"*-峰插*"),技能数据库!$M$72&gt;0),0,IF(COUNTIF(B297,"*鹤归*")&gt;0,16-加速!$L$11,MAX(0,L296-(A297-A296)))),0)</f>
        <v>0</v>
      </c>
      <c r="M297">
        <f ca="1" t="shared" si="79"/>
        <v>0</v>
      </c>
      <c r="N297">
        <f ca="1">IFERROR(IF(AND(COUNTIF(B297,"*-峰插*"),技能数据库!$M$72&gt;0),0,IF(COUNTIF(B297,"*云飞*")&gt;0,4-COUNTIF(B297,"*玉山揽云*")*4--COUNTIF(B297,"*烟流暮景*")*4-COUNTIF(B297,"*云景*")*加速!$L$11-IF(J297&gt;0,2,0),MAX(0,N296-(A297-A296)-IF(J297&gt;0,2,0)))),0)</f>
        <v>0</v>
      </c>
      <c r="O297">
        <f ca="1">IF(AND(COUNTIF(IF(AND(配装计算器!$K$30&lt;&gt;"∞",0),INDEX(AU296:CB296,1,$AT$1),INDEX(AU298:CB298,1,$AT$1)),"*云飞*")=1,COUNTIF(IF(AND(配装计算器!$K$30&lt;&gt;"∞",0),INDEX(AU296:CB296,1,$AT$1),INDEX(AU298:CB298,1,$AT$1)),"*玉山*")=0),N297,0)</f>
        <v>0</v>
      </c>
      <c r="P297">
        <f ca="1">IFERROR(IF(COUNTIF(B297,"*云栖松*")&gt;0,50-加速!$L$11,MAX(0,P296-(A297-A296))),0)</f>
        <v>0</v>
      </c>
      <c r="Q297">
        <f ca="1">IF(COUNTIF(IF(AND(配装计算器!$K$30&lt;&gt;"∞",0),INDEX(AU296:CB296,1,$AT$1),INDEX(AU298:CB298,1,$AT$1)),"*云栖松*")=1,P297,0)</f>
        <v>0</v>
      </c>
      <c r="R297">
        <f ca="1">IFERROR(IF(COUNTIF(B297,"*莺鸣柳*")&gt;0,45-加速!$L$9,MAX(0,R296-(A297-A296))),0)</f>
        <v>0</v>
      </c>
      <c r="S297">
        <f ca="1">IF(COUNTIF(IF(AND(配装计算器!$K$30&lt;&gt;"∞",0),INDEX(AU296:CB296,1,$AT$1),INDEX(AU298:CB298,1,$AT$1)),"*莺鸣柳*")=1,R297,0)</f>
        <v>0</v>
      </c>
      <c r="T297">
        <f ca="1" t="shared" si="87"/>
        <v>0</v>
      </c>
      <c r="U297">
        <f ca="1">IF(金蛇,IF(COUNTIF(B297,"*金环戴*")+COUNTIF(B297,"*吹风醒*")&gt;0,IF(A297&lt;=3,7.125-2.625-A297-加速!$L$11,7.125+加速!$K$9-(A297+加速!$L$11-T297)),0),0)+IF(金蛇,IF(COUNTIF(B297,"*千切子裂光*")&gt;0,2+加速!$K$9-(A297+加速!$L$11-T297),0),0)</f>
        <v>0</v>
      </c>
      <c r="V297">
        <f ca="1" t="shared" si="88"/>
        <v>0</v>
      </c>
      <c r="W297">
        <f ca="1" t="shared" si="80"/>
        <v>0</v>
      </c>
      <c r="X297">
        <f ca="1">INDEX(加速!$I$13:$I$21,W297+1)</f>
        <v>0</v>
      </c>
      <c r="Y297">
        <f ca="1" t="shared" si="89"/>
        <v>0.5</v>
      </c>
      <c r="Z297">
        <f ca="1" t="shared" si="85"/>
        <v>0</v>
      </c>
      <c r="AA297">
        <f ca="1">MAX(0,IFERROR(IF(COUNTIF(B297,"*叠*")&gt;0,IF(AC296&lt;3,8-A298+A297,AA296+6.875-A298+A297),AA296-A298+A297),AA296-加速!$L$11))</f>
        <v>0</v>
      </c>
      <c r="AB297" t="e">
        <f ca="1">MAX(0,IF(COUNTIF(IF(AND(配装计算器!$K$30&lt;&gt;"∞",0),INDEX(AU297:CB297,1,$AT$1),INDEX(AU297:CB297,1,$AT$1)),"*叠1*")=1,4*25-加速!$L$11,AB296-A297+A296)-IF(OR(COUNTIF(OFFSET(AT297,0,$AT$1,1,1),"*听雷*")&gt;0,AND(碧归&gt;0,COUNTIF(OFFSET(AT297,0,$AT$1,1,1),"*风来*")&gt;0)),0,1)*1.5)</f>
        <v>#VALUE!</v>
      </c>
      <c r="AC297">
        <f ca="1" t="shared" si="81"/>
        <v>0</v>
      </c>
      <c r="AD297">
        <f ca="1">IF(COUNTIF(IF(AND(配装计算器!$K$30&lt;&gt;"∞",0),INDEX(AU297:CB297,1,$AT$1),INDEX(AU298:CB298,1,$AT$1)),"*叠1*")=1,AB297*0+AE296,0)</f>
        <v>0</v>
      </c>
      <c r="AE297" t="e">
        <f ca="1">IF($AN$11&gt;0,IF(COUNTIF(B298,"*叠1*")&gt;0,50-加速!$L$11,MAX(0,AE296-(A298-A297))),0)</f>
        <v>#VALUE!</v>
      </c>
      <c r="AG297">
        <f ca="1" t="shared" si="82"/>
        <v>8</v>
      </c>
      <c r="AU297" t="s">
        <v>2776</v>
      </c>
      <c r="AV297">
        <v>1</v>
      </c>
      <c r="AW297" s="176" t="s">
        <v>2768</v>
      </c>
      <c r="AX297">
        <v>2</v>
      </c>
      <c r="AY297" t="s">
        <v>3022</v>
      </c>
      <c r="AZ297">
        <v>2</v>
      </c>
      <c r="BA297" t="s">
        <v>2768</v>
      </c>
      <c r="BB297">
        <v>2</v>
      </c>
      <c r="BC297" t="s">
        <v>2768</v>
      </c>
      <c r="BD297">
        <v>1</v>
      </c>
      <c r="BE297" t="s">
        <v>2776</v>
      </c>
      <c r="BF297">
        <v>0</v>
      </c>
      <c r="BG297" s="176" t="s">
        <v>2768</v>
      </c>
      <c r="BH297">
        <v>2</v>
      </c>
      <c r="BI297" t="s">
        <v>2776</v>
      </c>
      <c r="BJ297">
        <v>0</v>
      </c>
      <c r="BK297" t="s">
        <v>3023</v>
      </c>
      <c r="BL297">
        <v>2</v>
      </c>
      <c r="BM297" t="s">
        <v>2768</v>
      </c>
      <c r="BN297">
        <v>2</v>
      </c>
      <c r="BO297" t="s">
        <v>3009</v>
      </c>
      <c r="BP297">
        <v>2</v>
      </c>
      <c r="BQ297" t="s">
        <v>3010</v>
      </c>
      <c r="BR297">
        <v>2</v>
      </c>
      <c r="BS297" t="s">
        <v>2768</v>
      </c>
      <c r="BT297">
        <v>1</v>
      </c>
      <c r="BU297" t="s">
        <v>2768</v>
      </c>
      <c r="BV297">
        <v>2</v>
      </c>
      <c r="BW297" s="179" t="s">
        <v>2768</v>
      </c>
      <c r="BX297" s="179">
        <v>2</v>
      </c>
      <c r="BY297" s="176" t="s">
        <v>2794</v>
      </c>
      <c r="BZ297">
        <v>0</v>
      </c>
      <c r="CA297" t="s">
        <v>2768</v>
      </c>
      <c r="CB297">
        <v>2</v>
      </c>
    </row>
    <row r="298" spans="1:80">
      <c r="A298" s="178" t="str">
        <f ca="1">IFERROR(IF(AG297&lt;5+金蛇*2,IF(COUNTIF(B297,"*轻*")&gt;0,A297+加速!$L$9,A297+加速!$L$11)+V297,""),"")</f>
        <v/>
      </c>
      <c r="B298" s="167" t="str">
        <f ca="1" t="shared" si="77"/>
        <v/>
      </c>
      <c r="C298" t="str">
        <f ca="1" t="shared" si="86"/>
        <v/>
      </c>
      <c r="D298" t="str">
        <f ca="1">IF(B298&lt;&gt;"",IF(C297&lt;=加速!$L$11*(1-E298),0,1),"")</f>
        <v/>
      </c>
      <c r="E298">
        <f ca="1" t="shared" si="83"/>
        <v>1</v>
      </c>
      <c r="G298" t="str">
        <f ca="1" t="shared" si="84"/>
        <v/>
      </c>
      <c r="H298" t="str">
        <f ca="1">IF(B298&lt;&gt;"",IF(AND(COUNTIF(B297,"*轻*莺鸣柳*")&gt;0,COUNTIF(B298,"*轻*")&lt;1),MAX(0,15+I297-(A298-A297)+COUNTIF(B297,"*平湖*")*0),IF(AND(E298=0,MAX(0,H297-(A298-A297))&lt;=加速!$H$11),0,MAX(0,H297-(A298-A297)))),"")</f>
        <v/>
      </c>
      <c r="I298" t="str">
        <f ca="1" t="shared" si="90"/>
        <v/>
      </c>
      <c r="J298" t="str">
        <f ca="1" t="shared" si="91"/>
        <v/>
      </c>
      <c r="K298" t="str">
        <f ca="1" t="shared" si="78"/>
        <v/>
      </c>
      <c r="L298">
        <f ca="1">IFERROR(IF(AND(COUNTIF(B298,"*-峰插*"),技能数据库!$M$72&gt;0),0,IF(COUNTIF(B298,"*鹤归*")&gt;0,16-加速!$L$11,MAX(0,L297-(A298-A297)))),0)</f>
        <v>0</v>
      </c>
      <c r="M298">
        <f ca="1" t="shared" si="79"/>
        <v>0</v>
      </c>
      <c r="N298">
        <f ca="1">IFERROR(IF(AND(COUNTIF(B298,"*-峰插*"),技能数据库!$M$72&gt;0),0,IF(COUNTIF(B298,"*云飞*")&gt;0,4-COUNTIF(B298,"*玉山揽云*")*4--COUNTIF(B298,"*烟流暮景*")*4-COUNTIF(B298,"*云景*")*加速!$L$11-IF(J298&gt;0,2,0),MAX(0,N297-(A298-A297)-IF(J298&gt;0,2,0)))),0)</f>
        <v>0</v>
      </c>
      <c r="O298">
        <f ca="1">IF(AND(COUNTIF(IF(AND(配装计算器!$K$30&lt;&gt;"∞",0),INDEX(AU297:CB297,1,$AT$1),INDEX(AU299:CB299,1,$AT$1)),"*云飞*")=1,COUNTIF(IF(AND(配装计算器!$K$30&lt;&gt;"∞",0),INDEX(AU297:CB297,1,$AT$1),INDEX(AU299:CB299,1,$AT$1)),"*玉山*")=0),N298,0)</f>
        <v>0</v>
      </c>
      <c r="P298">
        <f ca="1">IFERROR(IF(COUNTIF(B298,"*云栖松*")&gt;0,50-加速!$L$11,MAX(0,P297-(A298-A297))),0)</f>
        <v>0</v>
      </c>
      <c r="Q298">
        <f ca="1">IF(COUNTIF(IF(AND(配装计算器!$K$30&lt;&gt;"∞",0),INDEX(AU297:CB297,1,$AT$1),INDEX(AU299:CB299,1,$AT$1)),"*云栖松*")=1,P298,0)</f>
        <v>0</v>
      </c>
      <c r="R298">
        <f ca="1">IFERROR(IF(COUNTIF(B298,"*莺鸣柳*")&gt;0,45-加速!$L$9,MAX(0,R297-(A298-A297))),0)</f>
        <v>0</v>
      </c>
      <c r="S298">
        <f ca="1">IF(COUNTIF(IF(AND(配装计算器!$K$30&lt;&gt;"∞",0),INDEX(AU297:CB297,1,$AT$1),INDEX(AU299:CB299,1,$AT$1)),"*莺鸣柳*")=1,R298,0)</f>
        <v>0</v>
      </c>
      <c r="T298">
        <f ca="1" t="shared" si="87"/>
        <v>0</v>
      </c>
      <c r="U298">
        <f ca="1">IF(金蛇,IF(COUNTIF(B298,"*金环戴*")+COUNTIF(B298,"*吹风醒*")&gt;0,IF(A298&lt;=3,7.125-2.625-A298-加速!$L$11,7.125+加速!$K$9-(A298+加速!$L$11-T298)),0),0)+IF(金蛇,IF(COUNTIF(B298,"*千切子裂光*")&gt;0,2+加速!$K$9-(A298+加速!$L$11-T298),0),0)</f>
        <v>0</v>
      </c>
      <c r="V298">
        <f ca="1" t="shared" si="88"/>
        <v>0</v>
      </c>
      <c r="W298">
        <f ca="1" t="shared" si="80"/>
        <v>0</v>
      </c>
      <c r="X298">
        <f ca="1">INDEX(加速!$I$13:$I$21,W298+1)</f>
        <v>0</v>
      </c>
      <c r="Y298">
        <f ca="1" t="shared" si="89"/>
        <v>0.5</v>
      </c>
      <c r="Z298">
        <f ca="1" t="shared" si="85"/>
        <v>0</v>
      </c>
      <c r="AA298">
        <f ca="1">MAX(0,IFERROR(IF(COUNTIF(B298,"*叠*")&gt;0,IF(AC297&lt;3,8-A299+A298,AA297+6.875-A299+A298),AA297-A299+A298),AA297-加速!$L$11))</f>
        <v>0</v>
      </c>
      <c r="AB298" t="e">
        <f ca="1">MAX(0,IF(COUNTIF(IF(AND(配装计算器!$K$30&lt;&gt;"∞",0),INDEX(AU298:CB298,1,$AT$1),INDEX(AU298:CB298,1,$AT$1)),"*叠1*")=1,4*25-加速!$L$11,AB297-A298+A297)-IF(OR(COUNTIF(OFFSET(AT298,0,$AT$1,1,1),"*听雷*")&gt;0,AND(碧归&gt;0,COUNTIF(OFFSET(AT298,0,$AT$1,1,1),"*风来*")&gt;0)),0,1)*1.5)</f>
        <v>#VALUE!</v>
      </c>
      <c r="AC298">
        <f ca="1" t="shared" si="81"/>
        <v>0</v>
      </c>
      <c r="AD298">
        <f ca="1">IF(COUNTIF(IF(AND(配装计算器!$K$30&lt;&gt;"∞",0),INDEX(AU298:CB298,1,$AT$1),INDEX(AU299:CB299,1,$AT$1)),"*叠1*")=1,AB298*0+AE297,0)</f>
        <v>0</v>
      </c>
      <c r="AE298" t="e">
        <f ca="1">IF($AN$11&gt;0,IF(COUNTIF(B299,"*叠1*")&gt;0,50-加速!$L$11,MAX(0,AE297-(A299-A298))),0)</f>
        <v>#VALUE!</v>
      </c>
      <c r="AG298">
        <f ca="1" t="shared" si="82"/>
        <v>8</v>
      </c>
      <c r="AU298" t="s">
        <v>2768</v>
      </c>
      <c r="AV298">
        <v>2</v>
      </c>
      <c r="AW298" t="s">
        <v>3056</v>
      </c>
      <c r="AX298">
        <v>1</v>
      </c>
      <c r="AY298" t="s">
        <v>2776</v>
      </c>
      <c r="AZ298">
        <v>2</v>
      </c>
      <c r="BA298" t="s">
        <v>2789</v>
      </c>
      <c r="BB298">
        <v>2</v>
      </c>
      <c r="BC298" t="s">
        <v>2813</v>
      </c>
      <c r="BD298">
        <v>0</v>
      </c>
      <c r="BE298" t="s">
        <v>2722</v>
      </c>
      <c r="BF298">
        <v>0</v>
      </c>
      <c r="BG298" s="176" t="s">
        <v>2789</v>
      </c>
      <c r="BH298">
        <v>2</v>
      </c>
      <c r="BI298" t="s">
        <v>2768</v>
      </c>
      <c r="BJ298">
        <v>0</v>
      </c>
      <c r="BK298" t="s">
        <v>2768</v>
      </c>
      <c r="BL298">
        <v>2</v>
      </c>
      <c r="BM298" t="s">
        <v>2768</v>
      </c>
      <c r="BN298">
        <v>2</v>
      </c>
      <c r="BO298" t="s">
        <v>2776</v>
      </c>
      <c r="BP298">
        <v>2</v>
      </c>
      <c r="BQ298" t="s">
        <v>3013</v>
      </c>
      <c r="BR298">
        <v>2</v>
      </c>
      <c r="BS298" t="s">
        <v>2768</v>
      </c>
      <c r="BT298">
        <v>1</v>
      </c>
      <c r="BU298" s="182" t="s">
        <v>3023</v>
      </c>
      <c r="BV298">
        <v>2</v>
      </c>
      <c r="BW298" s="179" t="s">
        <v>2768</v>
      </c>
      <c r="BX298" s="179">
        <v>1</v>
      </c>
      <c r="BY298" s="176" t="s">
        <v>2768</v>
      </c>
      <c r="BZ298">
        <v>2</v>
      </c>
      <c r="CA298" t="s">
        <v>2768</v>
      </c>
      <c r="CB298">
        <v>2</v>
      </c>
    </row>
    <row r="299" spans="1:80">
      <c r="A299" s="178" t="str">
        <f ca="1">IFERROR(IF(AG298&lt;5+金蛇*2,IF(COUNTIF(B298,"*轻*")&gt;0,A298+加速!$L$9,A298+加速!$L$11)+V298,""),"")</f>
        <v/>
      </c>
      <c r="B299" s="167" t="str">
        <f ca="1" t="shared" si="77"/>
        <v/>
      </c>
      <c r="C299" t="str">
        <f ca="1" t="shared" si="86"/>
        <v/>
      </c>
      <c r="D299" t="str">
        <f ca="1">IF(B299&lt;&gt;"",IF(C298&lt;=加速!$L$11*(1-E299),0,1),"")</f>
        <v/>
      </c>
      <c r="E299">
        <f ca="1" t="shared" si="83"/>
        <v>1</v>
      </c>
      <c r="G299" t="str">
        <f ca="1" t="shared" si="84"/>
        <v/>
      </c>
      <c r="H299" t="str">
        <f ca="1">IF(B299&lt;&gt;"",IF(AND(COUNTIF(B298,"*轻*莺鸣柳*")&gt;0,COUNTIF(B299,"*轻*")&lt;1),MAX(0,15+I298-(A299-A298)+COUNTIF(B298,"*平湖*")*0),IF(AND(E299=0,MAX(0,H298-(A299-A298))&lt;=加速!$H$11),0,MAX(0,H298-(A299-A298)))),"")</f>
        <v/>
      </c>
      <c r="I299" t="str">
        <f ca="1" t="shared" si="90"/>
        <v/>
      </c>
      <c r="J299" t="str">
        <f ca="1" t="shared" si="91"/>
        <v/>
      </c>
      <c r="K299" t="str">
        <f ca="1" t="shared" si="78"/>
        <v/>
      </c>
      <c r="L299">
        <f ca="1">IFERROR(IF(AND(COUNTIF(B299,"*-峰插*"),技能数据库!$M$72&gt;0),0,IF(COUNTIF(B299,"*鹤归*")&gt;0,16-加速!$L$11,MAX(0,L298-(A299-A298)))),0)</f>
        <v>0</v>
      </c>
      <c r="M299">
        <f ca="1" t="shared" si="79"/>
        <v>0</v>
      </c>
      <c r="N299">
        <f ca="1">IFERROR(IF(AND(COUNTIF(B299,"*-峰插*"),技能数据库!$M$72&gt;0),0,IF(COUNTIF(B299,"*云飞*")&gt;0,4-COUNTIF(B299,"*玉山揽云*")*4--COUNTIF(B299,"*烟流暮景*")*4-COUNTIF(B299,"*云景*")*加速!$L$11-IF(J299&gt;0,2,0),MAX(0,N298-(A299-A298)-IF(J299&gt;0,2,0)))),0)</f>
        <v>0</v>
      </c>
      <c r="O299">
        <f ca="1">IF(AND(COUNTIF(IF(AND(配装计算器!$K$30&lt;&gt;"∞",0),INDEX(AU298:CB298,1,$AT$1),INDEX(AU300:CB300,1,$AT$1)),"*云飞*")=1,COUNTIF(IF(AND(配装计算器!$K$30&lt;&gt;"∞",0),INDEX(AU298:CB298,1,$AT$1),INDEX(AU300:CB300,1,$AT$1)),"*玉山*")=0),N299,0)</f>
        <v>0</v>
      </c>
      <c r="P299">
        <f ca="1">IFERROR(IF(COUNTIF(B299,"*云栖松*")&gt;0,50-加速!$L$11,MAX(0,P298-(A299-A298))),0)</f>
        <v>0</v>
      </c>
      <c r="Q299">
        <f ca="1">IF(COUNTIF(IF(AND(配装计算器!$K$30&lt;&gt;"∞",0),INDEX(AU298:CB298,1,$AT$1),INDEX(AU300:CB300,1,$AT$1)),"*云栖松*")=1,P299,0)</f>
        <v>0</v>
      </c>
      <c r="R299">
        <f ca="1">IFERROR(IF(COUNTIF(B299,"*莺鸣柳*")&gt;0,45-加速!$L$9,MAX(0,R298-(A299-A298))),0)</f>
        <v>0</v>
      </c>
      <c r="S299">
        <f ca="1">IF(COUNTIF(IF(AND(配装计算器!$K$30&lt;&gt;"∞",0),INDEX(AU298:CB298,1,$AT$1),INDEX(AU300:CB300,1,$AT$1)),"*莺鸣柳*")=1,R299,0)</f>
        <v>0</v>
      </c>
      <c r="T299">
        <f ca="1" t="shared" si="87"/>
        <v>0</v>
      </c>
      <c r="U299">
        <f ca="1">IF(金蛇,IF(COUNTIF(B299,"*金环戴*")+COUNTIF(B299,"*吹风醒*")&gt;0,IF(A299&lt;=3,7.125-2.625-A299-加速!$L$11,7.125+加速!$K$9-(A299+加速!$L$11-T299)),0),0)+IF(金蛇,IF(COUNTIF(B299,"*千切子裂光*")&gt;0,2+加速!$K$9-(A299+加速!$L$11-T299),0),0)</f>
        <v>0</v>
      </c>
      <c r="V299">
        <f ca="1" t="shared" si="88"/>
        <v>0</v>
      </c>
      <c r="W299">
        <f ca="1" t="shared" si="80"/>
        <v>0</v>
      </c>
      <c r="X299">
        <f ca="1">INDEX(加速!$I$13:$I$21,W299+1)</f>
        <v>0</v>
      </c>
      <c r="Y299">
        <f ca="1" t="shared" si="89"/>
        <v>0.5</v>
      </c>
      <c r="Z299">
        <f ca="1" t="shared" si="85"/>
        <v>0</v>
      </c>
      <c r="AA299">
        <f ca="1">MAX(0,IFERROR(IF(COUNTIF(B299,"*叠*")&gt;0,IF(AC298&lt;3,8-A300+A299,AA298+6.875-A300+A299),AA298-A300+A299),AA298-加速!$L$11))</f>
        <v>0</v>
      </c>
      <c r="AB299" t="e">
        <f ca="1">MAX(0,IF(COUNTIF(IF(AND(配装计算器!$K$30&lt;&gt;"∞",0),INDEX(AU299:CB299,1,$AT$1),INDEX(AU299:CB299,1,$AT$1)),"*叠1*")=1,4*25-加速!$L$11,AB298-A299+A298)-IF(OR(COUNTIF(OFFSET(AT299,0,$AT$1,1,1),"*听雷*")&gt;0,AND(碧归&gt;0,COUNTIF(OFFSET(AT299,0,$AT$1,1,1),"*风来*")&gt;0)),0,1)*1.5)</f>
        <v>#VALUE!</v>
      </c>
      <c r="AC299">
        <f ca="1" t="shared" si="81"/>
        <v>0</v>
      </c>
      <c r="AD299">
        <f ca="1">IF(COUNTIF(IF(AND(配装计算器!$K$30&lt;&gt;"∞",0),INDEX(AU299:CB299,1,$AT$1),INDEX(AU300:CB300,1,$AT$1)),"*叠1*")=1,AB299*0+AE298,0)</f>
        <v>0</v>
      </c>
      <c r="AE299" t="e">
        <f ca="1">IF($AN$11&gt;0,IF(COUNTIF(B300,"*叠1*")&gt;0,50-加速!$L$11,MAX(0,AE298-(A300-A299))),0)</f>
        <v>#VALUE!</v>
      </c>
      <c r="AG299">
        <f ca="1" t="shared" si="82"/>
        <v>8</v>
      </c>
      <c r="AU299" t="s">
        <v>2768</v>
      </c>
      <c r="AV299">
        <v>2</v>
      </c>
      <c r="AW299" t="s">
        <v>2768</v>
      </c>
      <c r="AX299">
        <v>2</v>
      </c>
      <c r="AY299" t="s">
        <v>2768</v>
      </c>
      <c r="AZ299">
        <v>2</v>
      </c>
      <c r="BA299" t="s">
        <v>2776</v>
      </c>
      <c r="BB299">
        <v>2</v>
      </c>
      <c r="BC299" t="s">
        <v>2776</v>
      </c>
      <c r="BD299">
        <v>2</v>
      </c>
      <c r="BE299" t="s">
        <v>2722</v>
      </c>
      <c r="BF299">
        <v>2</v>
      </c>
      <c r="BG299" s="176" t="s">
        <v>2776</v>
      </c>
      <c r="BH299">
        <v>2</v>
      </c>
      <c r="BI299" t="s">
        <v>2768</v>
      </c>
      <c r="BJ299">
        <v>0</v>
      </c>
      <c r="BK299" t="s">
        <v>2808</v>
      </c>
      <c r="BL299">
        <v>2</v>
      </c>
      <c r="BM299" t="s">
        <v>2776</v>
      </c>
      <c r="BN299">
        <v>2</v>
      </c>
      <c r="BO299" t="s">
        <v>2768</v>
      </c>
      <c r="BP299">
        <v>2</v>
      </c>
      <c r="BQ299" t="s">
        <v>3018</v>
      </c>
      <c r="BR299">
        <v>2</v>
      </c>
      <c r="BS299" t="s">
        <v>2768</v>
      </c>
      <c r="BT299">
        <v>0</v>
      </c>
      <c r="BU299" s="176" t="s">
        <v>2768</v>
      </c>
      <c r="BV299">
        <v>2</v>
      </c>
      <c r="BW299" s="179" t="s">
        <v>2768</v>
      </c>
      <c r="BX299" s="179">
        <v>1</v>
      </c>
      <c r="BY299" s="176" t="s">
        <v>2776</v>
      </c>
      <c r="BZ299">
        <v>2</v>
      </c>
      <c r="CA299" t="s">
        <v>2776</v>
      </c>
      <c r="CB299">
        <v>2</v>
      </c>
    </row>
    <row r="300" spans="1:80">
      <c r="A300" s="178" t="str">
        <f ca="1">IFERROR(IF(AG299&lt;5+金蛇*2,IF(COUNTIF(B299,"*轻*")&gt;0,A299+加速!$L$9,A299+加速!$L$11)+V299,""),"")</f>
        <v/>
      </c>
      <c r="B300" s="167" t="str">
        <f ca="1" t="shared" si="77"/>
        <v/>
      </c>
      <c r="C300" t="str">
        <f ca="1" t="shared" si="86"/>
        <v/>
      </c>
      <c r="D300" t="str">
        <f ca="1">IF(B300&lt;&gt;"",IF(C299&lt;=加速!$L$11*(1-E300),0,1),"")</f>
        <v/>
      </c>
      <c r="E300">
        <f ca="1" t="shared" si="83"/>
        <v>1</v>
      </c>
      <c r="G300" t="str">
        <f ca="1" t="shared" si="84"/>
        <v/>
      </c>
      <c r="H300" t="str">
        <f ca="1">IF(B300&lt;&gt;"",IF(AND(COUNTIF(B299,"*轻*莺鸣柳*")&gt;0,COUNTIF(B300,"*轻*")&lt;1),MAX(0,15+I299-(A300-A299)+COUNTIF(B299,"*平湖*")*0),IF(AND(E300=0,MAX(0,H299-(A300-A299))&lt;=加速!$H$11),0,MAX(0,H299-(A300-A299)))),"")</f>
        <v/>
      </c>
      <c r="I300" t="str">
        <f ca="1" t="shared" si="90"/>
        <v/>
      </c>
      <c r="J300" t="str">
        <f ca="1" t="shared" si="91"/>
        <v/>
      </c>
      <c r="K300" t="str">
        <f ca="1" t="shared" si="78"/>
        <v/>
      </c>
      <c r="L300">
        <f ca="1">IFERROR(IF(AND(COUNTIF(B300,"*-峰插*"),技能数据库!$M$72&gt;0),0,IF(COUNTIF(B300,"*鹤归*")&gt;0,16-加速!$L$11,MAX(0,L299-(A300-A299)))),0)</f>
        <v>0</v>
      </c>
      <c r="M300">
        <f ca="1" t="shared" si="79"/>
        <v>0</v>
      </c>
      <c r="N300">
        <f ca="1">IFERROR(IF(AND(COUNTIF(B300,"*-峰插*"),技能数据库!$M$72&gt;0),0,IF(COUNTIF(B300,"*云飞*")&gt;0,4-COUNTIF(B300,"*玉山揽云*")*4--COUNTIF(B300,"*烟流暮景*")*4-COUNTIF(B300,"*云景*")*加速!$L$11-IF(J300&gt;0,2,0),MAX(0,N299-(A300-A299)-IF(J300&gt;0,2,0)))),0)</f>
        <v>0</v>
      </c>
      <c r="O300">
        <f ca="1">IF(AND(COUNTIF(IF(AND(配装计算器!$K$30&lt;&gt;"∞",0),INDEX(AU299:CB299,1,$AT$1),INDEX(AU301:CB301,1,$AT$1)),"*云飞*")=1,COUNTIF(IF(AND(配装计算器!$K$30&lt;&gt;"∞",0),INDEX(AU299:CB299,1,$AT$1),INDEX(AU301:CB301,1,$AT$1)),"*玉山*")=0),N300,0)</f>
        <v>0</v>
      </c>
      <c r="P300">
        <f ca="1">IFERROR(IF(COUNTIF(B300,"*云栖松*")&gt;0,50-加速!$L$11,MAX(0,P299-(A300-A299))),0)</f>
        <v>0</v>
      </c>
      <c r="Q300">
        <f ca="1">IF(COUNTIF(IF(AND(配装计算器!$K$30&lt;&gt;"∞",0),INDEX(AU299:CB299,1,$AT$1),INDEX(AU301:CB301,1,$AT$1)),"*云栖松*")=1,P300,0)</f>
        <v>0</v>
      </c>
      <c r="R300">
        <f ca="1">IFERROR(IF(COUNTIF(B300,"*莺鸣柳*")&gt;0,45-加速!$L$9,MAX(0,R299-(A300-A299))),0)</f>
        <v>0</v>
      </c>
      <c r="S300">
        <f ca="1">IF(COUNTIF(IF(AND(配装计算器!$K$30&lt;&gt;"∞",0),INDEX(AU299:CB299,1,$AT$1),INDEX(AU301:CB301,1,$AT$1)),"*莺鸣柳*")=1,R300,0)</f>
        <v>0</v>
      </c>
      <c r="T300">
        <f ca="1" t="shared" si="87"/>
        <v>0</v>
      </c>
      <c r="U300">
        <f ca="1">IF(金蛇,IF(COUNTIF(B300,"*金环戴*")+COUNTIF(B300,"*吹风醒*")&gt;0,IF(A300&lt;=3,7.125-2.625-A300-加速!$L$11,7.125+加速!$K$9-(A300+加速!$L$11-T300)),0),0)+IF(金蛇,IF(COUNTIF(B300,"*千切子裂光*")&gt;0,2+加速!$K$9-(A300+加速!$L$11-T300),0),0)</f>
        <v>0</v>
      </c>
      <c r="V300">
        <f ca="1" t="shared" si="88"/>
        <v>0</v>
      </c>
      <c r="W300">
        <f ca="1" t="shared" si="80"/>
        <v>0</v>
      </c>
      <c r="X300">
        <f ca="1">INDEX(加速!$I$13:$I$21,W300+1)</f>
        <v>0</v>
      </c>
      <c r="Y300">
        <f ca="1" t="shared" si="89"/>
        <v>0.5</v>
      </c>
      <c r="Z300">
        <f ca="1" t="shared" si="85"/>
        <v>0</v>
      </c>
      <c r="AA300">
        <f ca="1">MAX(0,IFERROR(IF(COUNTIF(B300,"*叠*")&gt;0,IF(AC299&lt;3,8-A301+A300,AA299+6.875-A301+A300),AA299-A301+A300),AA299-加速!$L$11))</f>
        <v>0</v>
      </c>
      <c r="AB300" t="e">
        <f ca="1">MAX(0,IF(COUNTIF(IF(AND(配装计算器!$K$30&lt;&gt;"∞",0),INDEX(AU300:CB300,1,$AT$1),INDEX(AU300:CB300,1,$AT$1)),"*叠1*")=1,4*25-加速!$L$11,AB299-A300+A299)-IF(OR(COUNTIF(OFFSET(AT300,0,$AT$1,1,1),"*听雷*")&gt;0,AND(碧归&gt;0,COUNTIF(OFFSET(AT300,0,$AT$1,1,1),"*风来*")&gt;0)),0,1)*1.5)</f>
        <v>#VALUE!</v>
      </c>
      <c r="AC300">
        <f ca="1" t="shared" si="81"/>
        <v>0</v>
      </c>
      <c r="AD300">
        <f ca="1">IF(COUNTIF(IF(AND(配装计算器!$K$30&lt;&gt;"∞",0),INDEX(AU300:CB300,1,$AT$1),INDEX(AU301:CB301,1,$AT$1)),"*叠1*")=1,AB300*0+AE299,0)</f>
        <v>0</v>
      </c>
      <c r="AE300" t="e">
        <f ca="1">IF($AN$11&gt;0,IF(COUNTIF(B301,"*叠1*")&gt;0,50-加速!$L$11,MAX(0,AE299-(A301-A300))),0)</f>
        <v>#VALUE!</v>
      </c>
      <c r="AG300">
        <f ca="1" t="shared" si="82"/>
        <v>8</v>
      </c>
      <c r="AU300" s="176" t="s">
        <v>2794</v>
      </c>
      <c r="AV300">
        <v>2</v>
      </c>
      <c r="AW300" t="s">
        <v>2768</v>
      </c>
      <c r="AX300">
        <v>2</v>
      </c>
      <c r="AY300" t="s">
        <v>2789</v>
      </c>
      <c r="AZ300">
        <v>2</v>
      </c>
      <c r="BA300" t="s">
        <v>3035</v>
      </c>
      <c r="BB300">
        <v>2</v>
      </c>
      <c r="BC300" t="s">
        <v>2768</v>
      </c>
      <c r="BD300">
        <v>2</v>
      </c>
      <c r="BE300" t="s">
        <v>2768</v>
      </c>
      <c r="BF300">
        <v>2</v>
      </c>
      <c r="BG300" s="176" t="s">
        <v>3035</v>
      </c>
      <c r="BH300">
        <v>2</v>
      </c>
      <c r="BI300" t="s">
        <v>2722</v>
      </c>
      <c r="BJ300">
        <v>0</v>
      </c>
      <c r="BK300" t="s">
        <v>2768</v>
      </c>
      <c r="BL300">
        <v>2</v>
      </c>
      <c r="BM300" t="s">
        <v>2768</v>
      </c>
      <c r="BN300">
        <v>2</v>
      </c>
      <c r="BO300" t="str">
        <f>IF(山重水复,"风来吴山","夕照雷峰")</f>
        <v>夕照雷峰</v>
      </c>
      <c r="BP300">
        <v>2</v>
      </c>
      <c r="BQ300" t="s">
        <v>2768</v>
      </c>
      <c r="BR300">
        <v>2</v>
      </c>
      <c r="BS300" t="s">
        <v>2776</v>
      </c>
      <c r="BT300">
        <v>0</v>
      </c>
      <c r="BU300" s="176" t="s">
        <v>2768</v>
      </c>
      <c r="BV300">
        <v>2</v>
      </c>
      <c r="BW300" s="179" t="s">
        <v>2776</v>
      </c>
      <c r="BX300" s="179">
        <v>1</v>
      </c>
      <c r="BY300" s="176" t="s">
        <v>2768</v>
      </c>
      <c r="BZ300">
        <v>1</v>
      </c>
      <c r="CA300" t="s">
        <v>2718</v>
      </c>
      <c r="CB300">
        <v>0</v>
      </c>
    </row>
    <row r="301" spans="1:80">
      <c r="A301" s="178" t="str">
        <f ca="1">IFERROR(IF(AG300&lt;5+金蛇*2,IF(COUNTIF(B300,"*轻*")&gt;0,A300+加速!$L$9,A300+加速!$L$11)+V300,""),"")</f>
        <v/>
      </c>
      <c r="B301" s="167" t="str">
        <f ca="1" t="shared" si="77"/>
        <v/>
      </c>
      <c r="C301" t="str">
        <f ca="1" t="shared" si="86"/>
        <v/>
      </c>
      <c r="D301" t="str">
        <f ca="1">IF(B301&lt;&gt;"",IF(C300&lt;=加速!$L$11*(1-E301),0,1),"")</f>
        <v/>
      </c>
      <c r="E301">
        <f ca="1" t="shared" si="83"/>
        <v>1</v>
      </c>
      <c r="G301" t="str">
        <f ca="1" t="shared" si="84"/>
        <v/>
      </c>
      <c r="H301" t="str">
        <f ca="1">IF(B301&lt;&gt;"",IF(AND(COUNTIF(B300,"*轻*莺鸣柳*")&gt;0,COUNTIF(B301,"*轻*")&lt;1),MAX(0,15+I300-(A301-A300)+COUNTIF(B300,"*平湖*")*0),IF(AND(E301=0,MAX(0,H300-(A301-A300))&lt;=加速!$H$11),0,MAX(0,H300-(A301-A300)))),"")</f>
        <v/>
      </c>
      <c r="I301" t="str">
        <f ca="1" t="shared" si="90"/>
        <v/>
      </c>
      <c r="J301" t="str">
        <f ca="1" t="shared" si="91"/>
        <v/>
      </c>
      <c r="K301" t="str">
        <f ca="1" t="shared" si="78"/>
        <v/>
      </c>
      <c r="L301">
        <f ca="1">IFERROR(IF(AND(COUNTIF(B301,"*-峰插*"),技能数据库!$M$72&gt;0),0,IF(COUNTIF(B301,"*鹤归*")&gt;0,16-加速!$L$11,MAX(0,L300-(A301-A300)))),0)</f>
        <v>0</v>
      </c>
      <c r="M301">
        <f ca="1" t="shared" si="79"/>
        <v>0</v>
      </c>
      <c r="N301">
        <f ca="1">IFERROR(IF(AND(COUNTIF(B301,"*-峰插*"),技能数据库!$M$72&gt;0),0,IF(COUNTIF(B301,"*云飞*")&gt;0,4-COUNTIF(B301,"*玉山揽云*")*4--COUNTIF(B301,"*烟流暮景*")*4-COUNTIF(B301,"*云景*")*加速!$L$11-IF(J301&gt;0,2,0),MAX(0,N300-(A301-A300)-IF(J301&gt;0,2,0)))),0)</f>
        <v>0</v>
      </c>
      <c r="O301">
        <f ca="1">IF(AND(COUNTIF(IF(AND(配装计算器!$K$30&lt;&gt;"∞",0),INDEX(AU300:CB300,1,$AT$1),INDEX(AU302:CB302,1,$AT$1)),"*云飞*")=1,COUNTIF(IF(AND(配装计算器!$K$30&lt;&gt;"∞",0),INDEX(AU300:CB300,1,$AT$1),INDEX(AU302:CB302,1,$AT$1)),"*玉山*")=0),N301,0)</f>
        <v>0</v>
      </c>
      <c r="P301">
        <f ca="1">IFERROR(IF(COUNTIF(B301,"*云栖松*")&gt;0,50-加速!$L$11,MAX(0,P300-(A301-A300))),0)</f>
        <v>0</v>
      </c>
      <c r="Q301">
        <f ca="1">IF(COUNTIF(IF(AND(配装计算器!$K$30&lt;&gt;"∞",0),INDEX(AU300:CB300,1,$AT$1),INDEX(AU302:CB302,1,$AT$1)),"*云栖松*")=1,P301,0)</f>
        <v>0</v>
      </c>
      <c r="R301">
        <f ca="1">IFERROR(IF(COUNTIF(B301,"*莺鸣柳*")&gt;0,45-加速!$L$9,MAX(0,R300-(A301-A300))),0)</f>
        <v>0</v>
      </c>
      <c r="S301">
        <f ca="1">IF(COUNTIF(IF(AND(配装计算器!$K$30&lt;&gt;"∞",0),INDEX(AU300:CB300,1,$AT$1),INDEX(AU302:CB302,1,$AT$1)),"*莺鸣柳*")=1,R301,0)</f>
        <v>0</v>
      </c>
      <c r="T301">
        <f ca="1" t="shared" si="87"/>
        <v>0</v>
      </c>
      <c r="U301">
        <f ca="1">IF(金蛇,IF(COUNTIF(B301,"*金环戴*")+COUNTIF(B301,"*吹风醒*")&gt;0,IF(A301&lt;=3,7.125-2.625-A301-加速!$L$11,7.125+加速!$K$9-(A301+加速!$L$11-T301)),0),0)+IF(金蛇,IF(COUNTIF(B301,"*千切子裂光*")&gt;0,2+加速!$K$9-(A301+加速!$L$11-T301),0),0)</f>
        <v>0</v>
      </c>
      <c r="V301">
        <f ca="1" t="shared" si="88"/>
        <v>0</v>
      </c>
      <c r="W301">
        <f ca="1" t="shared" si="80"/>
        <v>0</v>
      </c>
      <c r="X301">
        <f ca="1">INDEX(加速!$I$13:$I$21,W301+1)</f>
        <v>0</v>
      </c>
      <c r="Y301">
        <f ca="1" t="shared" si="89"/>
        <v>0.5</v>
      </c>
      <c r="Z301">
        <f ca="1" t="shared" si="85"/>
        <v>0</v>
      </c>
      <c r="AA301">
        <f ca="1">MAX(0,IFERROR(IF(COUNTIF(B301,"*叠*")&gt;0,IF(AC300&lt;3,8-A302+A301,AA300+6.875-A302+A301),AA300-A302+A301),AA300-加速!$L$11))</f>
        <v>0</v>
      </c>
      <c r="AB301" t="e">
        <f ca="1">MAX(0,IF(COUNTIF(IF(AND(配装计算器!$K$30&lt;&gt;"∞",0),INDEX(AU301:CB301,1,$AT$1),INDEX(AU301:CB301,1,$AT$1)),"*叠1*")=1,4*25-加速!$L$11,AB300-A301+A300)-IF(OR(COUNTIF(OFFSET(AT301,0,$AT$1,1,1),"*听雷*")&gt;0,AND(碧归&gt;0,COUNTIF(OFFSET(AT301,0,$AT$1,1,1),"*风来*")&gt;0)),0,1)*1.5)</f>
        <v>#VALUE!</v>
      </c>
      <c r="AC301">
        <f ca="1" t="shared" si="81"/>
        <v>0</v>
      </c>
      <c r="AD301">
        <f ca="1">IF(COUNTIF(IF(AND(配装计算器!$K$30&lt;&gt;"∞",0),INDEX(AU301:CB301,1,$AT$1),INDEX(AU302:CB302,1,$AT$1)),"*叠1*")=1,AB301*0+AE300,0)</f>
        <v>0</v>
      </c>
      <c r="AE301" t="e">
        <f ca="1">IF($AN$11&gt;0,IF(COUNTIF(B302,"*叠1*")&gt;0,50-加速!$L$11,MAX(0,AE300-(A302-A301))),0)</f>
        <v>#VALUE!</v>
      </c>
      <c r="AG301">
        <f ca="1" t="shared" si="82"/>
        <v>8</v>
      </c>
      <c r="AU301" s="176" t="s">
        <v>2776</v>
      </c>
      <c r="AV301">
        <v>2</v>
      </c>
      <c r="AW301" t="s">
        <v>2768</v>
      </c>
      <c r="AX301">
        <v>2</v>
      </c>
      <c r="AY301" t="s">
        <v>2776</v>
      </c>
      <c r="AZ301">
        <v>2</v>
      </c>
      <c r="BA301" t="s">
        <v>2768</v>
      </c>
      <c r="BB301">
        <v>2</v>
      </c>
      <c r="BC301" t="s">
        <v>2768</v>
      </c>
      <c r="BD301">
        <v>2</v>
      </c>
      <c r="BE301" t="s">
        <v>2776</v>
      </c>
      <c r="BF301">
        <v>2</v>
      </c>
      <c r="BG301" t="s">
        <v>2768</v>
      </c>
      <c r="BH301">
        <v>2</v>
      </c>
      <c r="BI301" t="s">
        <v>2776</v>
      </c>
      <c r="BJ301">
        <v>2</v>
      </c>
      <c r="BK301" t="s">
        <v>2776</v>
      </c>
      <c r="BL301">
        <v>2</v>
      </c>
      <c r="BM301" t="s">
        <v>2768</v>
      </c>
      <c r="BN301">
        <v>2</v>
      </c>
      <c r="BO301" s="176" t="s">
        <v>2794</v>
      </c>
      <c r="BP301">
        <v>2</v>
      </c>
      <c r="BQ301" t="s">
        <v>3023</v>
      </c>
      <c r="BR301">
        <v>2</v>
      </c>
      <c r="BS301" t="s">
        <v>2768</v>
      </c>
      <c r="BT301">
        <v>0</v>
      </c>
      <c r="BU301" s="176" t="s">
        <v>2789</v>
      </c>
      <c r="BV301">
        <v>2</v>
      </c>
      <c r="BW301" s="179" t="s">
        <v>2768</v>
      </c>
      <c r="BX301" s="179">
        <v>1</v>
      </c>
      <c r="BY301" s="176" t="s">
        <v>2776</v>
      </c>
      <c r="BZ301">
        <v>1</v>
      </c>
      <c r="CA301" t="s">
        <v>2768</v>
      </c>
      <c r="CB301">
        <v>2</v>
      </c>
    </row>
    <row r="302" spans="1:80">
      <c r="A302" s="178" t="str">
        <f ca="1">IFERROR(IF(AG301&lt;5+金蛇*2,IF(COUNTIF(B301,"*轻*")&gt;0,A301+加速!$L$9,A301+加速!$L$11)+V301,""),"")</f>
        <v/>
      </c>
      <c r="B302" s="167" t="str">
        <f ca="1" t="shared" si="77"/>
        <v/>
      </c>
      <c r="C302" t="str">
        <f ca="1" t="shared" si="86"/>
        <v/>
      </c>
      <c r="D302" t="str">
        <f ca="1">IF(B302&lt;&gt;"",IF(C301&lt;=加速!$L$11*(1-E302),0,1),"")</f>
        <v/>
      </c>
      <c r="E302">
        <f ca="1" t="shared" si="83"/>
        <v>1</v>
      </c>
      <c r="G302" t="str">
        <f ca="1" t="shared" si="84"/>
        <v/>
      </c>
      <c r="H302" t="str">
        <f ca="1">IF(B302&lt;&gt;"",IF(AND(COUNTIF(B301,"*轻*莺鸣柳*")&gt;0,COUNTIF(B302,"*轻*")&lt;1),MAX(0,15+I301-(A302-A301)+COUNTIF(B301,"*平湖*")*0),IF(AND(E302=0,MAX(0,H301-(A302-A301))&lt;=加速!$H$11),0,MAX(0,H301-(A302-A301)))),"")</f>
        <v/>
      </c>
      <c r="I302" t="str">
        <f ca="1" t="shared" si="90"/>
        <v/>
      </c>
      <c r="J302" t="str">
        <f ca="1" t="shared" si="91"/>
        <v/>
      </c>
      <c r="K302" t="str">
        <f ca="1" t="shared" si="78"/>
        <v/>
      </c>
      <c r="L302">
        <f ca="1">IFERROR(IF(AND(COUNTIF(B302,"*-峰插*"),技能数据库!$M$72&gt;0),0,IF(COUNTIF(B302,"*鹤归*")&gt;0,16-加速!$L$11,MAX(0,L301-(A302-A301)))),0)</f>
        <v>0</v>
      </c>
      <c r="M302">
        <f ca="1" t="shared" si="79"/>
        <v>0</v>
      </c>
      <c r="N302">
        <f ca="1">IFERROR(IF(AND(COUNTIF(B302,"*-峰插*"),技能数据库!$M$72&gt;0),0,IF(COUNTIF(B302,"*云飞*")&gt;0,4-COUNTIF(B302,"*玉山揽云*")*4--COUNTIF(B302,"*烟流暮景*")*4-COUNTIF(B302,"*云景*")*加速!$L$11-IF(J302&gt;0,2,0),MAX(0,N301-(A302-A301)-IF(J302&gt;0,2,0)))),0)</f>
        <v>0</v>
      </c>
      <c r="O302">
        <f ca="1">IF(AND(COUNTIF(IF(AND(配装计算器!$K$30&lt;&gt;"∞",0),INDEX(AU301:CB301,1,$AT$1),INDEX(AU303:CB303,1,$AT$1)),"*云飞*")=1,COUNTIF(IF(AND(配装计算器!$K$30&lt;&gt;"∞",0),INDEX(AU301:CB301,1,$AT$1),INDEX(AU303:CB303,1,$AT$1)),"*玉山*")=0),N302,0)</f>
        <v>0</v>
      </c>
      <c r="P302">
        <f ca="1">IFERROR(IF(COUNTIF(B302,"*云栖松*")&gt;0,50-加速!$L$11,MAX(0,P301-(A302-A301))),0)</f>
        <v>0</v>
      </c>
      <c r="Q302">
        <f ca="1">IF(COUNTIF(IF(AND(配装计算器!$K$30&lt;&gt;"∞",0),INDEX(AU301:CB301,1,$AT$1),INDEX(AU303:CB303,1,$AT$1)),"*云栖松*")=1,P302,0)</f>
        <v>0</v>
      </c>
      <c r="R302">
        <f ca="1">IFERROR(IF(COUNTIF(B302,"*莺鸣柳*")&gt;0,45-加速!$L$9,MAX(0,R301-(A302-A301))),0)</f>
        <v>0</v>
      </c>
      <c r="S302">
        <f ca="1">IF(COUNTIF(IF(AND(配装计算器!$K$30&lt;&gt;"∞",0),INDEX(AU301:CB301,1,$AT$1),INDEX(AU303:CB303,1,$AT$1)),"*莺鸣柳*")=1,R302,0)</f>
        <v>0</v>
      </c>
      <c r="T302">
        <f ca="1" t="shared" si="87"/>
        <v>0</v>
      </c>
      <c r="U302">
        <f ca="1">IF(金蛇,IF(COUNTIF(B302,"*金环戴*")+COUNTIF(B302,"*吹风醒*")&gt;0,IF(A302&lt;=3,7.125-2.625-A302-加速!$L$11,7.125+加速!$K$9-(A302+加速!$L$11-T302)),0),0)+IF(金蛇,IF(COUNTIF(B302,"*千切子裂光*")&gt;0,2+加速!$K$9-(A302+加速!$L$11-T302),0),0)</f>
        <v>0</v>
      </c>
      <c r="V302">
        <f ca="1" t="shared" si="88"/>
        <v>0</v>
      </c>
      <c r="W302">
        <f ca="1" t="shared" si="80"/>
        <v>0</v>
      </c>
      <c r="X302">
        <f ca="1">INDEX(加速!$I$13:$I$21,W302+1)</f>
        <v>0</v>
      </c>
      <c r="Y302">
        <f ca="1" t="shared" si="89"/>
        <v>0.5</v>
      </c>
      <c r="Z302">
        <f ca="1" t="shared" si="85"/>
        <v>0</v>
      </c>
      <c r="AA302">
        <f ca="1">MAX(0,IFERROR(IF(COUNTIF(B302,"*叠*")&gt;0,IF(AC301&lt;3,8-A303+A302,AA301+6.875-A303+A302),AA301-A303+A302),AA301-加速!$L$11))</f>
        <v>0</v>
      </c>
      <c r="AB302" t="e">
        <f ca="1">MAX(0,IF(COUNTIF(IF(AND(配装计算器!$K$30&lt;&gt;"∞",0),INDEX(AU302:CB302,1,$AT$1),INDEX(AU302:CB302,1,$AT$1)),"*叠1*")=1,4*25-加速!$L$11,AB301-A302+A301)-IF(OR(COUNTIF(OFFSET(AT302,0,$AT$1,1,1),"*听雷*")&gt;0,AND(碧归&gt;0,COUNTIF(OFFSET(AT302,0,$AT$1,1,1),"*风来*")&gt;0)),0,1)*1.5)</f>
        <v>#VALUE!</v>
      </c>
      <c r="AC302">
        <f ca="1" t="shared" si="81"/>
        <v>0</v>
      </c>
      <c r="AD302">
        <f ca="1">IF(COUNTIF(IF(AND(配装计算器!$K$30&lt;&gt;"∞",0),INDEX(AU302:CB302,1,$AT$1),INDEX(AU303:CB303,1,$AT$1)),"*叠1*")=1,AB302*0+AE301,0)</f>
        <v>0</v>
      </c>
      <c r="AE302" t="e">
        <f ca="1">IF($AN$11&gt;0,IF(COUNTIF(B303,"*叠1*")&gt;0,50-加速!$L$11,MAX(0,AE301-(A303-A302))),0)</f>
        <v>#VALUE!</v>
      </c>
      <c r="AG302">
        <f ca="1" t="shared" si="82"/>
        <v>8</v>
      </c>
      <c r="AU302" s="176" t="s">
        <v>2768</v>
      </c>
      <c r="AV302">
        <v>1</v>
      </c>
      <c r="AW302" t="s">
        <v>2776</v>
      </c>
      <c r="AX302">
        <v>2</v>
      </c>
      <c r="AY302" t="s">
        <v>3035</v>
      </c>
      <c r="AZ302">
        <v>2</v>
      </c>
      <c r="BA302" t="s">
        <v>2776</v>
      </c>
      <c r="BB302">
        <v>2</v>
      </c>
      <c r="BC302" t="s">
        <v>2768</v>
      </c>
      <c r="BD302">
        <v>1</v>
      </c>
      <c r="BE302" t="s">
        <v>2794</v>
      </c>
      <c r="BF302">
        <v>1</v>
      </c>
      <c r="BG302" t="s">
        <v>2776</v>
      </c>
      <c r="BH302">
        <v>2</v>
      </c>
      <c r="BI302" t="s">
        <v>2768</v>
      </c>
      <c r="BJ302">
        <v>2</v>
      </c>
      <c r="BK302" t="s">
        <v>3036</v>
      </c>
      <c r="BL302">
        <v>2</v>
      </c>
      <c r="BM302" t="s">
        <v>2768</v>
      </c>
      <c r="BN302">
        <v>2</v>
      </c>
      <c r="BO302" s="176" t="s">
        <v>2776</v>
      </c>
      <c r="BP302">
        <v>2</v>
      </c>
      <c r="BQ302" t="s">
        <v>2768</v>
      </c>
      <c r="BR302">
        <v>2</v>
      </c>
      <c r="BS302" t="s">
        <v>3074</v>
      </c>
      <c r="BT302">
        <v>2</v>
      </c>
      <c r="BU302" s="176" t="s">
        <v>2776</v>
      </c>
      <c r="BV302">
        <v>2</v>
      </c>
      <c r="BW302" s="182" t="s">
        <v>2722</v>
      </c>
      <c r="BX302" s="179">
        <v>0</v>
      </c>
      <c r="BY302" s="176" t="s">
        <v>2768</v>
      </c>
      <c r="BZ302">
        <v>1</v>
      </c>
      <c r="CA302" t="s">
        <v>2768</v>
      </c>
      <c r="CB302">
        <v>1</v>
      </c>
    </row>
    <row r="303" spans="1:80">
      <c r="A303" s="178" t="str">
        <f ca="1">IFERROR(IF(AG302&lt;5+金蛇*2,IF(COUNTIF(B302,"*轻*")&gt;0,A302+加速!$L$9,A302+加速!$L$11)+V302,""),"")</f>
        <v/>
      </c>
      <c r="B303" s="167" t="str">
        <f ca="1" t="shared" si="77"/>
        <v/>
      </c>
      <c r="C303" t="str">
        <f ca="1" t="shared" si="86"/>
        <v/>
      </c>
      <c r="D303" t="str">
        <f ca="1">IF(B303&lt;&gt;"",IF(C302&lt;=加速!$L$11*(1-E303),0,1),"")</f>
        <v/>
      </c>
      <c r="E303">
        <f ca="1" t="shared" si="83"/>
        <v>1</v>
      </c>
      <c r="G303" t="str">
        <f ca="1" t="shared" si="84"/>
        <v/>
      </c>
      <c r="H303" t="str">
        <f ca="1">IF(B303&lt;&gt;"",IF(AND(COUNTIF(B302,"*轻*莺鸣柳*")&gt;0,COUNTIF(B303,"*轻*")&lt;1),MAX(0,15+I302-(A303-A302)+COUNTIF(B302,"*平湖*")*0),IF(AND(E303=0,MAX(0,H302-(A303-A302))&lt;=加速!$H$11),0,MAX(0,H302-(A303-A302)))),"")</f>
        <v/>
      </c>
      <c r="I303" t="str">
        <f ca="1" t="shared" si="90"/>
        <v/>
      </c>
      <c r="J303" t="str">
        <f ca="1" t="shared" si="91"/>
        <v/>
      </c>
      <c r="K303" t="str">
        <f ca="1" t="shared" si="78"/>
        <v/>
      </c>
      <c r="L303">
        <f ca="1">IFERROR(IF(AND(COUNTIF(B303,"*-峰插*"),技能数据库!$M$72&gt;0),0,IF(COUNTIF(B303,"*鹤归*")&gt;0,16-加速!$L$11,MAX(0,L302-(A303-A302)))),0)</f>
        <v>0</v>
      </c>
      <c r="M303">
        <f ca="1" t="shared" si="79"/>
        <v>0</v>
      </c>
      <c r="N303">
        <f ca="1">IFERROR(IF(AND(COUNTIF(B303,"*-峰插*"),技能数据库!$M$72&gt;0),0,IF(COUNTIF(B303,"*云飞*")&gt;0,4-COUNTIF(B303,"*玉山揽云*")*4--COUNTIF(B303,"*烟流暮景*")*4-COUNTIF(B303,"*云景*")*加速!$L$11-IF(J303&gt;0,2,0),MAX(0,N302-(A303-A302)-IF(J303&gt;0,2,0)))),0)</f>
        <v>0</v>
      </c>
      <c r="O303">
        <f ca="1">IF(AND(COUNTIF(IF(AND(配装计算器!$K$30&lt;&gt;"∞",0),INDEX(AU302:CB302,1,$AT$1),INDEX(AU304:CB304,1,$AT$1)),"*云飞*")=1,COUNTIF(IF(AND(配装计算器!$K$30&lt;&gt;"∞",0),INDEX(AU302:CB302,1,$AT$1),INDEX(AU304:CB304,1,$AT$1)),"*玉山*")=0),N303,0)</f>
        <v>0</v>
      </c>
      <c r="P303">
        <f ca="1">IFERROR(IF(COUNTIF(B303,"*云栖松*")&gt;0,50-加速!$L$11,MAX(0,P302-(A303-A302))),0)</f>
        <v>0</v>
      </c>
      <c r="Q303">
        <f ca="1">IF(COUNTIF(IF(AND(配装计算器!$K$30&lt;&gt;"∞",0),INDEX(AU302:CB302,1,$AT$1),INDEX(AU304:CB304,1,$AT$1)),"*云栖松*")=1,P303,0)</f>
        <v>0</v>
      </c>
      <c r="R303">
        <f ca="1">IFERROR(IF(COUNTIF(B303,"*莺鸣柳*")&gt;0,45-加速!$L$9,MAX(0,R302-(A303-A302))),0)</f>
        <v>0</v>
      </c>
      <c r="S303">
        <f ca="1">IF(COUNTIF(IF(AND(配装计算器!$K$30&lt;&gt;"∞",0),INDEX(AU302:CB302,1,$AT$1),INDEX(AU304:CB304,1,$AT$1)),"*莺鸣柳*")=1,R303,0)</f>
        <v>0</v>
      </c>
      <c r="T303">
        <f ca="1" t="shared" si="87"/>
        <v>0</v>
      </c>
      <c r="U303">
        <f ca="1">IF(金蛇,IF(COUNTIF(B303,"*金环戴*")+COUNTIF(B303,"*吹风醒*")&gt;0,IF(A303&lt;=3,7.125-2.625-A303-加速!$L$11,7.125+加速!$K$9-(A303+加速!$L$11-T303)),0),0)+IF(金蛇,IF(COUNTIF(B303,"*千切子裂光*")&gt;0,2+加速!$K$9-(A303+加速!$L$11-T303),0),0)</f>
        <v>0</v>
      </c>
      <c r="V303">
        <f ca="1" t="shared" si="88"/>
        <v>0</v>
      </c>
      <c r="W303">
        <f ca="1" t="shared" si="80"/>
        <v>0</v>
      </c>
      <c r="X303">
        <f ca="1">INDEX(加速!$I$13:$I$21,W303+1)</f>
        <v>0</v>
      </c>
      <c r="Y303">
        <f ca="1" t="shared" si="89"/>
        <v>0.5</v>
      </c>
      <c r="Z303">
        <f ca="1" t="shared" si="85"/>
        <v>0</v>
      </c>
      <c r="AA303">
        <f ca="1">MAX(0,IFERROR(IF(COUNTIF(B303,"*叠*")&gt;0,IF(AC302&lt;3,8-A304+A303,AA302+6.875-A304+A303),AA302-A304+A303),AA302-加速!$L$11))</f>
        <v>0</v>
      </c>
      <c r="AB303" t="e">
        <f ca="1">MAX(0,IF(COUNTIF(IF(AND(配装计算器!$K$30&lt;&gt;"∞",0),INDEX(AU303:CB303,1,$AT$1),INDEX(AU303:CB303,1,$AT$1)),"*叠1*")=1,4*25-加速!$L$11,AB302-A303+A302)-IF(OR(COUNTIF(OFFSET(AT303,0,$AT$1,1,1),"*听雷*")&gt;0,AND(碧归&gt;0,COUNTIF(OFFSET(AT303,0,$AT$1,1,1),"*风来*")&gt;0)),0,1)*1.5)</f>
        <v>#VALUE!</v>
      </c>
      <c r="AC303">
        <f ca="1" t="shared" si="81"/>
        <v>0</v>
      </c>
      <c r="AD303">
        <f ca="1">IF(COUNTIF(IF(AND(配装计算器!$K$30&lt;&gt;"∞",0),INDEX(AU303:CB303,1,$AT$1),INDEX(AU304:CB304,1,$AT$1)),"*叠1*")=1,AB303*0+AE302,0)</f>
        <v>0</v>
      </c>
      <c r="AE303" t="e">
        <f ca="1">IF($AN$11&gt;0,IF(COUNTIF(B304,"*叠1*")&gt;0,50-加速!$L$11,MAX(0,AE302-(A304-A303))),0)</f>
        <v>#VALUE!</v>
      </c>
      <c r="AG303">
        <f ca="1" t="shared" si="82"/>
        <v>8</v>
      </c>
      <c r="AU303" s="176" t="s">
        <v>2776</v>
      </c>
      <c r="AV303">
        <v>2</v>
      </c>
      <c r="AW303" t="s">
        <v>2768</v>
      </c>
      <c r="AX303">
        <v>2</v>
      </c>
      <c r="AY303" t="s">
        <v>2768</v>
      </c>
      <c r="AZ303">
        <v>2</v>
      </c>
      <c r="BA303" t="s">
        <v>2768</v>
      </c>
      <c r="BB303">
        <v>2</v>
      </c>
      <c r="BC303" t="s">
        <v>2776</v>
      </c>
      <c r="BD303">
        <v>1</v>
      </c>
      <c r="BE303" t="s">
        <v>2768</v>
      </c>
      <c r="BF303">
        <v>1</v>
      </c>
      <c r="BG303" t="s">
        <v>2768</v>
      </c>
      <c r="BH303">
        <v>2</v>
      </c>
      <c r="BI303" t="s">
        <v>2768</v>
      </c>
      <c r="BJ303">
        <v>2</v>
      </c>
      <c r="BK303" t="s">
        <v>3026</v>
      </c>
      <c r="BL303">
        <v>2</v>
      </c>
      <c r="BM303" t="s">
        <v>2776</v>
      </c>
      <c r="BN303">
        <v>2</v>
      </c>
      <c r="BO303" s="176" t="s">
        <v>2768</v>
      </c>
      <c r="BP303">
        <v>2</v>
      </c>
      <c r="BQ303" t="s">
        <v>2776</v>
      </c>
      <c r="BR303">
        <v>2</v>
      </c>
      <c r="BS303" t="s">
        <v>2768</v>
      </c>
      <c r="BT303">
        <v>2</v>
      </c>
      <c r="BU303" s="176" t="s">
        <v>3035</v>
      </c>
      <c r="BV303">
        <v>2</v>
      </c>
      <c r="BW303" s="179" t="s">
        <v>3009</v>
      </c>
      <c r="BX303" s="179">
        <v>2</v>
      </c>
      <c r="BY303" t="s">
        <v>2776</v>
      </c>
      <c r="BZ303">
        <v>1</v>
      </c>
      <c r="CA303" t="s">
        <v>2776</v>
      </c>
      <c r="CB303">
        <v>1</v>
      </c>
    </row>
    <row r="304" spans="1:80">
      <c r="A304" s="178" t="str">
        <f ca="1">IFERROR(IF(AG303&lt;5+金蛇*2,IF(COUNTIF(B303,"*轻*")&gt;0,A303+加速!$L$9,A303+加速!$L$11)+V303,""),"")</f>
        <v/>
      </c>
      <c r="B304" s="167" t="str">
        <f ca="1" t="shared" si="77"/>
        <v/>
      </c>
      <c r="C304" t="str">
        <f ca="1" t="shared" si="86"/>
        <v/>
      </c>
      <c r="D304" t="str">
        <f ca="1">IF(B304&lt;&gt;"",IF(C303&lt;=加速!$L$11*(1-E304),0,1),"")</f>
        <v/>
      </c>
      <c r="E304">
        <f ca="1" t="shared" si="83"/>
        <v>1</v>
      </c>
      <c r="G304" t="str">
        <f ca="1" t="shared" si="84"/>
        <v/>
      </c>
      <c r="H304" t="str">
        <f ca="1">IF(B304&lt;&gt;"",IF(AND(COUNTIF(B303,"*轻*莺鸣柳*")&gt;0,COUNTIF(B304,"*轻*")&lt;1),MAX(0,15+I303-(A304-A303)+COUNTIF(B303,"*平湖*")*0),IF(AND(E304=0,MAX(0,H303-(A304-A303))&lt;=加速!$H$11),0,MAX(0,H303-(A304-A303)))),"")</f>
        <v/>
      </c>
      <c r="I304" t="str">
        <f ca="1" t="shared" si="90"/>
        <v/>
      </c>
      <c r="J304" t="str">
        <f ca="1" t="shared" si="91"/>
        <v/>
      </c>
      <c r="K304" t="str">
        <f ca="1" t="shared" si="78"/>
        <v/>
      </c>
      <c r="L304">
        <f ca="1">IFERROR(IF(AND(COUNTIF(B304,"*-峰插*"),技能数据库!$M$72&gt;0),0,IF(COUNTIF(B304,"*鹤归*")&gt;0,16-加速!$L$11,MAX(0,L303-(A304-A303)))),0)</f>
        <v>0</v>
      </c>
      <c r="M304">
        <f ca="1" t="shared" si="79"/>
        <v>0</v>
      </c>
      <c r="N304">
        <f ca="1">IFERROR(IF(AND(COUNTIF(B304,"*-峰插*"),技能数据库!$M$72&gt;0),0,IF(COUNTIF(B304,"*云飞*")&gt;0,4-COUNTIF(B304,"*玉山揽云*")*4--COUNTIF(B304,"*烟流暮景*")*4-COUNTIF(B304,"*云景*")*加速!$L$11-IF(J304&gt;0,2,0),MAX(0,N303-(A304-A303)-IF(J304&gt;0,2,0)))),0)</f>
        <v>0</v>
      </c>
      <c r="O304">
        <f ca="1">IF(AND(COUNTIF(IF(AND(配装计算器!$K$30&lt;&gt;"∞",0),INDEX(AU303:CB303,1,$AT$1),INDEX(AU305:CB305,1,$AT$1)),"*云飞*")=1,COUNTIF(IF(AND(配装计算器!$K$30&lt;&gt;"∞",0),INDEX(AU303:CB303,1,$AT$1),INDEX(AU305:CB305,1,$AT$1)),"*玉山*")=0),N304,0)</f>
        <v>0</v>
      </c>
      <c r="P304">
        <f ca="1">IFERROR(IF(COUNTIF(B304,"*云栖松*")&gt;0,50-加速!$L$11,MAX(0,P303-(A304-A303))),0)</f>
        <v>0</v>
      </c>
      <c r="Q304">
        <f ca="1">IF(COUNTIF(IF(AND(配装计算器!$K$30&lt;&gt;"∞",0),INDEX(AU303:CB303,1,$AT$1),INDEX(AU305:CB305,1,$AT$1)),"*云栖松*")=1,P304,0)</f>
        <v>0</v>
      </c>
      <c r="R304">
        <f ca="1">IFERROR(IF(COUNTIF(B304,"*莺鸣柳*")&gt;0,45-加速!$L$9,MAX(0,R303-(A304-A303))),0)</f>
        <v>0</v>
      </c>
      <c r="S304">
        <f ca="1">IF(COUNTIF(IF(AND(配装计算器!$K$30&lt;&gt;"∞",0),INDEX(AU303:CB303,1,$AT$1),INDEX(AU305:CB305,1,$AT$1)),"*莺鸣柳*")=1,R304,0)</f>
        <v>0</v>
      </c>
      <c r="T304">
        <f ca="1" t="shared" si="87"/>
        <v>0</v>
      </c>
      <c r="U304">
        <f ca="1">IF(金蛇,IF(COUNTIF(B304,"*金环戴*")+COUNTIF(B304,"*吹风醒*")&gt;0,IF(A304&lt;=3,7.125-2.625-A304-加速!$L$11,7.125+加速!$K$9-(A304+加速!$L$11-T304)),0),0)+IF(金蛇,IF(COUNTIF(B304,"*千切子裂光*")&gt;0,2+加速!$K$9-(A304+加速!$L$11-T304),0),0)</f>
        <v>0</v>
      </c>
      <c r="V304">
        <f ca="1" t="shared" si="88"/>
        <v>0</v>
      </c>
      <c r="W304">
        <f ca="1" t="shared" si="80"/>
        <v>0</v>
      </c>
      <c r="X304">
        <f ca="1">INDEX(加速!$I$13:$I$21,W304+1)</f>
        <v>0</v>
      </c>
      <c r="Y304">
        <f ca="1" t="shared" si="89"/>
        <v>0.5</v>
      </c>
      <c r="Z304">
        <f ca="1" t="shared" si="85"/>
        <v>0</v>
      </c>
      <c r="AA304">
        <f ca="1">MAX(0,IFERROR(IF(COUNTIF(B304,"*叠*")&gt;0,IF(AC303&lt;3,8-A305+A304,AA303+6.875-A305+A304),AA303-A305+A304),AA303-加速!$L$11))</f>
        <v>0</v>
      </c>
      <c r="AB304" t="e">
        <f ca="1">MAX(0,IF(COUNTIF(IF(AND(配装计算器!$K$30&lt;&gt;"∞",0),INDEX(AU304:CB304,1,$AT$1),INDEX(AU304:CB304,1,$AT$1)),"*叠1*")=1,4*25-加速!$L$11,AB303-A304+A303)-IF(OR(COUNTIF(OFFSET(AT304,0,$AT$1,1,1),"*听雷*")&gt;0,AND(碧归&gt;0,COUNTIF(OFFSET(AT304,0,$AT$1,1,1),"*风来*")&gt;0)),0,1)*1.5)</f>
        <v>#VALUE!</v>
      </c>
      <c r="AC304">
        <f ca="1" t="shared" si="81"/>
        <v>0</v>
      </c>
      <c r="AD304">
        <f ca="1">IF(COUNTIF(IF(AND(配装计算器!$K$30&lt;&gt;"∞",0),INDEX(AU304:CB304,1,$AT$1),INDEX(AU305:CB305,1,$AT$1)),"*叠1*")=1,AB304*0+AE303,0)</f>
        <v>0</v>
      </c>
      <c r="AE304" t="e">
        <f ca="1">IF($AN$11&gt;0,IF(COUNTIF(B305,"*叠1*")&gt;0,50-加速!$L$11,MAX(0,AE303-(A305-A304))),0)</f>
        <v>#VALUE!</v>
      </c>
      <c r="AG304">
        <f ca="1" t="shared" si="82"/>
        <v>8</v>
      </c>
      <c r="AU304" s="176" t="s">
        <v>2768</v>
      </c>
      <c r="AV304">
        <v>1</v>
      </c>
      <c r="AW304" t="s">
        <v>2768</v>
      </c>
      <c r="AX304">
        <v>2</v>
      </c>
      <c r="AY304" t="s">
        <v>2776</v>
      </c>
      <c r="AZ304">
        <v>2</v>
      </c>
      <c r="BA304" t="s">
        <v>2776</v>
      </c>
      <c r="BB304">
        <v>2</v>
      </c>
      <c r="BC304" t="s">
        <v>2768</v>
      </c>
      <c r="BD304">
        <v>1</v>
      </c>
      <c r="BE304" t="s">
        <v>2776</v>
      </c>
      <c r="BF304">
        <v>1</v>
      </c>
      <c r="BG304" t="s">
        <v>2776</v>
      </c>
      <c r="BH304">
        <v>2</v>
      </c>
      <c r="BI304" s="176" t="s">
        <v>2794</v>
      </c>
      <c r="BJ304">
        <v>1</v>
      </c>
      <c r="BK304" t="s">
        <v>3026</v>
      </c>
      <c r="BL304">
        <v>2</v>
      </c>
      <c r="BM304" t="s">
        <v>2768</v>
      </c>
      <c r="BN304">
        <v>1</v>
      </c>
      <c r="BO304" s="176" t="s">
        <v>2776</v>
      </c>
      <c r="BP304">
        <v>2</v>
      </c>
      <c r="BQ304" t="s">
        <v>2789</v>
      </c>
      <c r="BR304">
        <v>2</v>
      </c>
      <c r="BS304" t="s">
        <v>2776</v>
      </c>
      <c r="BT304">
        <v>2</v>
      </c>
      <c r="BU304" t="s">
        <v>2768</v>
      </c>
      <c r="BV304">
        <v>2</v>
      </c>
      <c r="BW304" s="179" t="s">
        <v>2776</v>
      </c>
      <c r="BX304" s="179">
        <v>2</v>
      </c>
      <c r="BY304" t="s">
        <v>2768</v>
      </c>
      <c r="BZ304">
        <v>1</v>
      </c>
      <c r="CA304" t="s">
        <v>2768</v>
      </c>
      <c r="CB304">
        <v>1</v>
      </c>
    </row>
    <row r="305" spans="1:80">
      <c r="A305" s="178" t="str">
        <f ca="1">IFERROR(IF(AG304&lt;5+金蛇*2,IF(COUNTIF(B304,"*轻*")&gt;0,A304+加速!$L$9,A304+加速!$L$11)+V304,""),"")</f>
        <v/>
      </c>
      <c r="B305" s="167" t="str">
        <f ca="1" t="shared" si="77"/>
        <v/>
      </c>
      <c r="C305" t="str">
        <f ca="1" t="shared" si="86"/>
        <v/>
      </c>
      <c r="D305" t="str">
        <f ca="1">IF(B305&lt;&gt;"",IF(C304&lt;=加速!$L$11*(1-E305),0,1),"")</f>
        <v/>
      </c>
      <c r="E305">
        <f ca="1" t="shared" si="83"/>
        <v>1</v>
      </c>
      <c r="G305" t="str">
        <f ca="1" t="shared" si="84"/>
        <v/>
      </c>
      <c r="H305" t="str">
        <f ca="1">IF(B305&lt;&gt;"",IF(AND(COUNTIF(B304,"*轻*莺鸣柳*")&gt;0,COUNTIF(B305,"*轻*")&lt;1),MAX(0,15+I304-(A305-A304)+COUNTIF(B304,"*平湖*")*0),IF(AND(E305=0,MAX(0,H304-(A305-A304))&lt;=加速!$H$11),0,MAX(0,H304-(A305-A304)))),"")</f>
        <v/>
      </c>
      <c r="I305" t="str">
        <f ca="1" t="shared" si="90"/>
        <v/>
      </c>
      <c r="J305" t="str">
        <f ca="1" t="shared" si="91"/>
        <v/>
      </c>
      <c r="K305" t="str">
        <f ca="1" t="shared" si="78"/>
        <v/>
      </c>
      <c r="L305">
        <f ca="1">IFERROR(IF(AND(COUNTIF(B305,"*-峰插*"),技能数据库!$M$72&gt;0),0,IF(COUNTIF(B305,"*鹤归*")&gt;0,16-加速!$L$11,MAX(0,L304-(A305-A304)))),0)</f>
        <v>0</v>
      </c>
      <c r="M305">
        <f ca="1" t="shared" si="79"/>
        <v>0</v>
      </c>
      <c r="N305">
        <f ca="1">IFERROR(IF(AND(COUNTIF(B305,"*-峰插*"),技能数据库!$M$72&gt;0),0,IF(COUNTIF(B305,"*云飞*")&gt;0,4-COUNTIF(B305,"*玉山揽云*")*4--COUNTIF(B305,"*烟流暮景*")*4-COUNTIF(B305,"*云景*")*加速!$L$11-IF(J305&gt;0,2,0),MAX(0,N304-(A305-A304)-IF(J305&gt;0,2,0)))),0)</f>
        <v>0</v>
      </c>
      <c r="O305">
        <f ca="1">IF(AND(COUNTIF(IF(AND(配装计算器!$K$30&lt;&gt;"∞",0),INDEX(AU304:CB304,1,$AT$1),INDEX(AU306:CB306,1,$AT$1)),"*云飞*")=1,COUNTIF(IF(AND(配装计算器!$K$30&lt;&gt;"∞",0),INDEX(AU304:CB304,1,$AT$1),INDEX(AU306:CB306,1,$AT$1)),"*玉山*")=0),N305,0)</f>
        <v>0</v>
      </c>
      <c r="P305">
        <f ca="1">IFERROR(IF(COUNTIF(B305,"*云栖松*")&gt;0,50-加速!$L$11,MAX(0,P304-(A305-A304))),0)</f>
        <v>0</v>
      </c>
      <c r="Q305">
        <f ca="1">IF(COUNTIF(IF(AND(配装计算器!$K$30&lt;&gt;"∞",0),INDEX(AU304:CB304,1,$AT$1),INDEX(AU306:CB306,1,$AT$1)),"*云栖松*")=1,P305,0)</f>
        <v>0</v>
      </c>
      <c r="R305">
        <f ca="1">IFERROR(IF(COUNTIF(B305,"*莺鸣柳*")&gt;0,45-加速!$L$9,MAX(0,R304-(A305-A304))),0)</f>
        <v>0</v>
      </c>
      <c r="S305">
        <f ca="1">IF(COUNTIF(IF(AND(配装计算器!$K$30&lt;&gt;"∞",0),INDEX(AU304:CB304,1,$AT$1),INDEX(AU306:CB306,1,$AT$1)),"*莺鸣柳*")=1,R305,0)</f>
        <v>0</v>
      </c>
      <c r="T305">
        <f ca="1" t="shared" si="87"/>
        <v>0</v>
      </c>
      <c r="U305">
        <f ca="1">IF(金蛇,IF(COUNTIF(B305,"*金环戴*")+COUNTIF(B305,"*吹风醒*")&gt;0,IF(A305&lt;=3,7.125-2.625-A305-加速!$L$11,7.125+加速!$K$9-(A305+加速!$L$11-T305)),0),0)+IF(金蛇,IF(COUNTIF(B305,"*千切子裂光*")&gt;0,2+加速!$K$9-(A305+加速!$L$11-T305),0),0)</f>
        <v>0</v>
      </c>
      <c r="V305">
        <f ca="1" t="shared" si="88"/>
        <v>0</v>
      </c>
      <c r="W305">
        <f ca="1" t="shared" si="80"/>
        <v>0</v>
      </c>
      <c r="X305">
        <f ca="1">INDEX(加速!$I$13:$I$21,W305+1)</f>
        <v>0</v>
      </c>
      <c r="Y305">
        <f ca="1" t="shared" si="89"/>
        <v>0.5</v>
      </c>
      <c r="Z305">
        <f ca="1" t="shared" si="85"/>
        <v>0</v>
      </c>
      <c r="AA305">
        <f ca="1">MAX(0,IFERROR(IF(COUNTIF(B305,"*叠*")&gt;0,IF(AC304&lt;3,8-A306+A305,AA304+6.875-A306+A305),AA304-A306+A305),AA304-加速!$L$11))</f>
        <v>0</v>
      </c>
      <c r="AB305" t="e">
        <f ca="1">MAX(0,IF(COUNTIF(IF(AND(配装计算器!$K$30&lt;&gt;"∞",0),INDEX(AU305:CB305,1,$AT$1),INDEX(AU305:CB305,1,$AT$1)),"*叠1*")=1,4*25-加速!$L$11,AB304-A305+A304)-IF(OR(COUNTIF(OFFSET(AT305,0,$AT$1,1,1),"*听雷*")&gt;0,AND(碧归&gt;0,COUNTIF(OFFSET(AT305,0,$AT$1,1,1),"*风来*")&gt;0)),0,1)*1.5)</f>
        <v>#VALUE!</v>
      </c>
      <c r="AC305">
        <f ca="1" t="shared" si="81"/>
        <v>0</v>
      </c>
      <c r="AD305">
        <f ca="1">IF(COUNTIF(IF(AND(配装计算器!$K$30&lt;&gt;"∞",0),INDEX(AU305:CB305,1,$AT$1),INDEX(AU306:CB306,1,$AT$1)),"*叠1*")=1,AB305*0+AE304,0)</f>
        <v>0</v>
      </c>
      <c r="AE305" t="e">
        <f ca="1">IF($AN$11&gt;0,IF(COUNTIF(B306,"*叠1*")&gt;0,50-加速!$L$11,MAX(0,AE304-(A306-A305))),0)</f>
        <v>#VALUE!</v>
      </c>
      <c r="AG305">
        <f ca="1" t="shared" si="82"/>
        <v>8</v>
      </c>
      <c r="AU305" s="176" t="s">
        <v>2776</v>
      </c>
      <c r="AV305">
        <v>1</v>
      </c>
      <c r="AW305" t="s">
        <v>2768</v>
      </c>
      <c r="AX305">
        <v>2</v>
      </c>
      <c r="AY305" t="s">
        <v>2768</v>
      </c>
      <c r="AZ305">
        <v>2</v>
      </c>
      <c r="BA305" t="s">
        <v>3042</v>
      </c>
      <c r="BB305">
        <v>2</v>
      </c>
      <c r="BC305" t="s">
        <v>2768</v>
      </c>
      <c r="BD305">
        <v>0</v>
      </c>
      <c r="BE305" t="s">
        <v>2768</v>
      </c>
      <c r="BF305">
        <v>0</v>
      </c>
      <c r="BG305" t="s">
        <v>2768</v>
      </c>
      <c r="BH305">
        <v>2</v>
      </c>
      <c r="BI305" t="s">
        <v>2776</v>
      </c>
      <c r="BJ305">
        <v>1</v>
      </c>
      <c r="BK305" t="s">
        <v>3026</v>
      </c>
      <c r="BL305">
        <v>2</v>
      </c>
      <c r="BM305" t="s">
        <v>2722</v>
      </c>
      <c r="BN305">
        <v>0</v>
      </c>
      <c r="BO305" s="176" t="s">
        <v>2768</v>
      </c>
      <c r="BP305">
        <v>2</v>
      </c>
      <c r="BQ305" t="s">
        <v>2768</v>
      </c>
      <c r="BR305">
        <v>2</v>
      </c>
      <c r="BS305" t="s">
        <v>2768</v>
      </c>
      <c r="BT305">
        <v>2</v>
      </c>
      <c r="BU305" t="s">
        <v>2776</v>
      </c>
      <c r="BV305">
        <v>2</v>
      </c>
      <c r="BW305" s="179" t="s">
        <v>2768</v>
      </c>
      <c r="BX305" s="179">
        <v>2</v>
      </c>
      <c r="BY305" t="s">
        <v>2722</v>
      </c>
      <c r="BZ305">
        <v>0</v>
      </c>
      <c r="CA305" t="s">
        <v>2722</v>
      </c>
      <c r="CB305">
        <v>0</v>
      </c>
    </row>
    <row r="306" spans="1:80">
      <c r="A306" s="178" t="str">
        <f ca="1">IFERROR(IF(AG305&lt;5+金蛇*2,IF(COUNTIF(B305,"*轻*")&gt;0,A305+加速!$L$9,A305+加速!$L$11)+V305,""),"")</f>
        <v/>
      </c>
      <c r="B306" s="167" t="str">
        <f ca="1" t="shared" si="77"/>
        <v/>
      </c>
      <c r="C306" t="str">
        <f ca="1" t="shared" si="86"/>
        <v/>
      </c>
      <c r="D306" t="str">
        <f ca="1">IF(B306&lt;&gt;"",IF(C305&lt;=加速!$L$11*(1-E306),0,1),"")</f>
        <v/>
      </c>
      <c r="E306">
        <f ca="1" t="shared" si="83"/>
        <v>1</v>
      </c>
      <c r="G306" t="str">
        <f ca="1" t="shared" si="84"/>
        <v/>
      </c>
      <c r="H306" t="str">
        <f ca="1">IF(B306&lt;&gt;"",IF(AND(COUNTIF(B305,"*轻*莺鸣柳*")&gt;0,COUNTIF(B306,"*轻*")&lt;1),MAX(0,15+I305-(A306-A305)+COUNTIF(B305,"*平湖*")*0),IF(AND(E306=0,MAX(0,H305-(A306-A305))&lt;=加速!$H$11),0,MAX(0,H305-(A306-A305)))),"")</f>
        <v/>
      </c>
      <c r="I306" t="str">
        <f ca="1" t="shared" si="90"/>
        <v/>
      </c>
      <c r="J306" t="str">
        <f ca="1" t="shared" si="91"/>
        <v/>
      </c>
      <c r="K306" t="str">
        <f ca="1" t="shared" si="78"/>
        <v/>
      </c>
      <c r="L306">
        <f ca="1">IFERROR(IF(AND(COUNTIF(B306,"*-峰插*"),技能数据库!$M$72&gt;0),0,IF(COUNTIF(B306,"*鹤归*")&gt;0,16-加速!$L$11,MAX(0,L305-(A306-A305)))),0)</f>
        <v>0</v>
      </c>
      <c r="M306">
        <f ca="1" t="shared" si="79"/>
        <v>0</v>
      </c>
      <c r="N306">
        <f ca="1">IFERROR(IF(AND(COUNTIF(B306,"*-峰插*"),技能数据库!$M$72&gt;0),0,IF(COUNTIF(B306,"*云飞*")&gt;0,4-COUNTIF(B306,"*玉山揽云*")*4--COUNTIF(B306,"*烟流暮景*")*4-COUNTIF(B306,"*云景*")*加速!$L$11-IF(J306&gt;0,2,0),MAX(0,N305-(A306-A305)-IF(J306&gt;0,2,0)))),0)</f>
        <v>0</v>
      </c>
      <c r="O306">
        <f ca="1">IF(AND(COUNTIF(IF(AND(配装计算器!$K$30&lt;&gt;"∞",0),INDEX(AU305:CB305,1,$AT$1),INDEX(AU307:CB307,1,$AT$1)),"*云飞*")=1,COUNTIF(IF(AND(配装计算器!$K$30&lt;&gt;"∞",0),INDEX(AU305:CB305,1,$AT$1),INDEX(AU307:CB307,1,$AT$1)),"*玉山*")=0),N306,0)</f>
        <v>0</v>
      </c>
      <c r="P306">
        <f ca="1">IFERROR(IF(COUNTIF(B306,"*云栖松*")&gt;0,50-加速!$L$11,MAX(0,P305-(A306-A305))),0)</f>
        <v>0</v>
      </c>
      <c r="Q306">
        <f ca="1">IF(COUNTIF(IF(AND(配装计算器!$K$30&lt;&gt;"∞",0),INDEX(AU305:CB305,1,$AT$1),INDEX(AU307:CB307,1,$AT$1)),"*云栖松*")=1,P306,0)</f>
        <v>0</v>
      </c>
      <c r="R306">
        <f ca="1">IFERROR(IF(COUNTIF(B306,"*莺鸣柳*")&gt;0,45-加速!$L$9,MAX(0,R305-(A306-A305))),0)</f>
        <v>0</v>
      </c>
      <c r="S306">
        <f ca="1">IF(COUNTIF(IF(AND(配装计算器!$K$30&lt;&gt;"∞",0),INDEX(AU305:CB305,1,$AT$1),INDEX(AU307:CB307,1,$AT$1)),"*莺鸣柳*")=1,R306,0)</f>
        <v>0</v>
      </c>
      <c r="T306">
        <f ca="1" t="shared" si="87"/>
        <v>0</v>
      </c>
      <c r="U306">
        <f ca="1">IF(金蛇,IF(COUNTIF(B306,"*金环戴*")+COUNTIF(B306,"*吹风醒*")&gt;0,IF(A306&lt;=3,7.125-2.625-A306-加速!$L$11,7.125+加速!$K$9-(A306+加速!$L$11-T306)),0),0)+IF(金蛇,IF(COUNTIF(B306,"*千切子裂光*")&gt;0,2+加速!$K$9-(A306+加速!$L$11-T306),0),0)</f>
        <v>0</v>
      </c>
      <c r="V306" t="e">
        <f ca="1" t="shared" si="88"/>
        <v>#VALUE!</v>
      </c>
      <c r="W306">
        <f ca="1" t="shared" si="80"/>
        <v>0</v>
      </c>
      <c r="X306">
        <f ca="1">INDEX(加速!$I$13:$I$21,W306+1)</f>
        <v>0</v>
      </c>
      <c r="Y306">
        <f ca="1" t="shared" si="89"/>
        <v>0.5</v>
      </c>
      <c r="Z306">
        <f ca="1" t="shared" si="85"/>
        <v>0</v>
      </c>
      <c r="AA306">
        <f ca="1">MAX(0,IFERROR(IF(COUNTIF(B306,"*叠*")&gt;0,IF(AC305&lt;3,8-A307+A306,AA305+6.875-A307+A306),AA305-A307+A306),AA305-加速!$L$11))</f>
        <v>0</v>
      </c>
      <c r="AB306" t="e">
        <f ca="1">MAX(0,IF(COUNTIF(IF(AND(配装计算器!$K$30&lt;&gt;"∞",0),INDEX(AU306:CB306,1,$AT$1),INDEX(AU306:CB306,1,$AT$1)),"*叠1*")=1,4*25-加速!$L$11,AB305-A306+A305)-IF(OR(COUNTIF(OFFSET(AT306,0,$AT$1,1,1),"*听雷*")&gt;0,AND(碧归&gt;0,COUNTIF(OFFSET(AT306,0,$AT$1,1,1),"*风来*")&gt;0)),0,1)*1.5)</f>
        <v>#VALUE!</v>
      </c>
      <c r="AC306">
        <f ca="1" t="shared" si="81"/>
        <v>0</v>
      </c>
      <c r="AD306" t="e">
        <f ca="1">IF(COUNTIF(IF(AND(配装计算器!$K$30&lt;&gt;"∞",0),INDEX(AU306:CB306,1,$AT$1),INDEX(AU307:CB307,1,$AT$1)),"*叠1*")=1,AB306*0+AE305,0)</f>
        <v>#VALUE!</v>
      </c>
      <c r="AE306" t="e">
        <f ca="1">IF($AN$11&gt;0,IF(COUNTIF(B307,"*叠1*")&gt;0,50-加速!$L$11,MAX(0,AE305-(A307-A306))),0)</f>
        <v>#VALUE!</v>
      </c>
      <c r="AG306">
        <f ca="1" t="shared" si="82"/>
        <v>9</v>
      </c>
      <c r="AU306" t="s">
        <v>2722</v>
      </c>
      <c r="AV306">
        <v>0</v>
      </c>
      <c r="AW306" t="s">
        <v>2776</v>
      </c>
      <c r="AX306">
        <v>2</v>
      </c>
      <c r="AY306" t="s">
        <v>2776</v>
      </c>
      <c r="AZ306">
        <v>2</v>
      </c>
      <c r="BA306" t="s">
        <v>2808</v>
      </c>
      <c r="BB306">
        <v>2</v>
      </c>
      <c r="BC306" t="s">
        <v>2768</v>
      </c>
      <c r="BD306">
        <v>0</v>
      </c>
      <c r="BE306" t="s">
        <v>3011</v>
      </c>
      <c r="BF306">
        <v>2</v>
      </c>
      <c r="BG306" t="s">
        <v>2808</v>
      </c>
      <c r="BH306">
        <v>2</v>
      </c>
      <c r="BI306" t="s">
        <v>2768</v>
      </c>
      <c r="BJ306">
        <v>0</v>
      </c>
      <c r="BK306" t="s">
        <v>3026</v>
      </c>
      <c r="BL306">
        <v>2</v>
      </c>
      <c r="BM306" t="s">
        <v>3009</v>
      </c>
      <c r="BN306">
        <v>2</v>
      </c>
      <c r="BO306" s="176" t="s">
        <v>2808</v>
      </c>
      <c r="BP306">
        <v>2</v>
      </c>
      <c r="BQ306" t="s">
        <v>3035</v>
      </c>
      <c r="BR306">
        <v>2</v>
      </c>
      <c r="BS306" t="s">
        <v>2768</v>
      </c>
      <c r="BT306">
        <v>1</v>
      </c>
      <c r="BU306" t="s">
        <v>2768</v>
      </c>
      <c r="BV306">
        <v>2</v>
      </c>
      <c r="BW306" s="181" t="s">
        <v>2768</v>
      </c>
      <c r="BX306" s="179">
        <v>2</v>
      </c>
      <c r="BY306" t="s">
        <v>3009</v>
      </c>
      <c r="BZ306">
        <v>2</v>
      </c>
      <c r="CA306" t="s">
        <v>3009</v>
      </c>
      <c r="CB306">
        <v>2</v>
      </c>
    </row>
    <row r="307" spans="1:80">
      <c r="A307" s="178" t="str">
        <f ca="1">IFERROR(IF(AG306&lt;5+金蛇*2,IF(COUNTIF(B306,"*轻*")&gt;0,A306+加速!$L$9,A306+加速!$L$11)+V306,""),"")</f>
        <v/>
      </c>
      <c r="B307" s="167" t="str">
        <f ca="1" t="shared" si="77"/>
        <v/>
      </c>
      <c r="C307" t="str">
        <f ca="1" t="shared" si="86"/>
        <v/>
      </c>
      <c r="D307" t="str">
        <f ca="1">IF(B307&lt;&gt;"",IF(C306&lt;=加速!$L$11*(1-E307),0,1),"")</f>
        <v/>
      </c>
      <c r="E307">
        <f ca="1" t="shared" si="83"/>
        <v>1</v>
      </c>
      <c r="G307" t="str">
        <f ca="1" t="shared" si="84"/>
        <v/>
      </c>
      <c r="H307" t="str">
        <f ca="1">IF(B307&lt;&gt;"",IF(AND(COUNTIF(B306,"*轻*莺鸣柳*")&gt;0,COUNTIF(B307,"*轻*")&lt;1),MAX(0,15+I306-(A307-A306)+COUNTIF(B306,"*平湖*")*0),IF(AND(E307=0,MAX(0,H306-(A307-A306))&lt;=加速!$H$11),0,MAX(0,H306-(A307-A306)))),"")</f>
        <v/>
      </c>
      <c r="I307" t="str">
        <f ca="1" t="shared" si="90"/>
        <v/>
      </c>
      <c r="J307" t="str">
        <f ca="1" t="shared" si="91"/>
        <v/>
      </c>
      <c r="K307" t="str">
        <f ca="1" t="shared" si="78"/>
        <v/>
      </c>
      <c r="L307">
        <f ca="1">IFERROR(IF(AND(COUNTIF(B307,"*-峰插*"),技能数据库!$M$72&gt;0),0,IF(COUNTIF(B307,"*鹤归*")&gt;0,16-加速!$L$11,MAX(0,L306-(A307-A306)))),0)</f>
        <v>0</v>
      </c>
      <c r="M307">
        <f ca="1" t="shared" si="79"/>
        <v>0</v>
      </c>
      <c r="N307">
        <f ca="1">IFERROR(IF(AND(COUNTIF(B307,"*-峰插*"),技能数据库!$M$72&gt;0),0,IF(COUNTIF(B307,"*云飞*")&gt;0,4-COUNTIF(B307,"*玉山揽云*")*4--COUNTIF(B307,"*烟流暮景*")*4-COUNTIF(B307,"*云景*")*加速!$L$11-IF(J307&gt;0,2,0),MAX(0,N306-(A307-A306)-IF(J307&gt;0,2,0)))),0)</f>
        <v>0</v>
      </c>
      <c r="O307">
        <f ca="1">IF(AND(COUNTIF(IF(AND(配装计算器!$K$30&lt;&gt;"∞",0),INDEX(AU306:CB306,1,$AT$1),INDEX(AU308:CB308,1,$AT$1)),"*云飞*")=1,COUNTIF(IF(AND(配装计算器!$K$30&lt;&gt;"∞",0),INDEX(AU306:CB306,1,$AT$1),INDEX(AU308:CB308,1,$AT$1)),"*玉山*")=0),N307,0)</f>
        <v>0</v>
      </c>
      <c r="P307">
        <f ca="1">IFERROR(IF(COUNTIF(B307,"*云栖松*")&gt;0,50-加速!$L$11,MAX(0,P306-(A307-A306))),0)</f>
        <v>0</v>
      </c>
      <c r="Q307">
        <f ca="1">IF(COUNTIF(IF(AND(配装计算器!$K$30&lt;&gt;"∞",0),INDEX(AU306:CB306,1,$AT$1),INDEX(AU308:CB308,1,$AT$1)),"*云栖松*")=1,P307,0)</f>
        <v>0</v>
      </c>
      <c r="R307">
        <f ca="1">IFERROR(IF(COUNTIF(B307,"*莺鸣柳*")&gt;0,45-加速!$L$9,MAX(0,R306-(A307-A306))),0)</f>
        <v>0</v>
      </c>
      <c r="S307">
        <f ca="1">IF(COUNTIF(IF(AND(配装计算器!$K$30&lt;&gt;"∞",0),INDEX(AU306:CB306,1,$AT$1),INDEX(AU308:CB308,1,$AT$1)),"*莺鸣柳*")=1,R307,0)</f>
        <v>0</v>
      </c>
      <c r="T307">
        <f ca="1" t="shared" si="87"/>
        <v>0</v>
      </c>
      <c r="U307">
        <f ca="1">IF(金蛇,IF(COUNTIF(B307,"*金环戴*")+COUNTIF(B307,"*吹风醒*")&gt;0,IF(A307&lt;=3,7.125-2.625-A307-加速!$L$11,7.125+加速!$K$9-(A307+加速!$L$11-T307)),0),0)+IF(金蛇,IF(COUNTIF(B307,"*千切子裂光*")&gt;0,2+加速!$K$9-(A307+加速!$L$11-T307),0),0)</f>
        <v>0</v>
      </c>
      <c r="V307">
        <f ca="1" t="shared" si="88"/>
        <v>0</v>
      </c>
      <c r="W307">
        <f ca="1" t="shared" si="80"/>
        <v>0</v>
      </c>
      <c r="X307">
        <f ca="1">INDEX(加速!$I$13:$I$21,W307+1)</f>
        <v>0</v>
      </c>
      <c r="Y307">
        <f ca="1" t="shared" si="89"/>
        <v>0.5</v>
      </c>
      <c r="Z307">
        <f ca="1" t="shared" si="85"/>
        <v>0</v>
      </c>
      <c r="AA307">
        <f ca="1">MAX(0,IFERROR(IF(COUNTIF(B307,"*叠*")&gt;0,IF(AC306&lt;3,8-A308+A307,AA306+6.875-A308+A307),AA306-A308+A307),AA306-加速!$L$11))</f>
        <v>0</v>
      </c>
      <c r="AB307">
        <f ca="1">MAX(0,IF(COUNTIF(IF(AND(配装计算器!$K$30&lt;&gt;"∞",0),INDEX(AU307:CB307,1,$AT$1),INDEX(AU307:CB307,1,$AT$1)),"*叠1*")=1,4*25-加速!$L$11,AB306-A307+A306)-IF(OR(COUNTIF(OFFSET(AT307,0,$AT$1,1,1),"*听雷*")&gt;0,AND(碧归&gt;0,COUNTIF(OFFSET(AT307,0,$AT$1,1,1),"*风来*")&gt;0)),0,1)*1.5)</f>
        <v>97.21</v>
      </c>
      <c r="AC307">
        <f ca="1" t="shared" si="81"/>
        <v>0</v>
      </c>
      <c r="AD307">
        <f ca="1">IF(COUNTIF(IF(AND(配装计算器!$K$30&lt;&gt;"∞",0),INDEX(AU307:CB307,1,$AT$1),INDEX(AU308:CB308,1,$AT$1)),"*叠1*")=1,AB307*0+AE306,0)</f>
        <v>0</v>
      </c>
      <c r="AE307" t="e">
        <f ca="1">IF($AN$11&gt;0,IF(COUNTIF(B308,"*叠1*")&gt;0,50-加速!$L$11,MAX(0,AE306-(A308-A307))),0)</f>
        <v>#VALUE!</v>
      </c>
      <c r="AG307">
        <f ca="1" t="shared" si="82"/>
        <v>9</v>
      </c>
      <c r="AU307" t="s">
        <v>3009</v>
      </c>
      <c r="AV307">
        <v>2</v>
      </c>
      <c r="AW307" t="s">
        <v>2768</v>
      </c>
      <c r="AX307">
        <v>2</v>
      </c>
      <c r="AY307" t="s">
        <v>3042</v>
      </c>
      <c r="AZ307">
        <v>2</v>
      </c>
      <c r="BA307" t="s">
        <v>2768</v>
      </c>
      <c r="BB307">
        <v>2</v>
      </c>
      <c r="BC307" t="s">
        <v>3010</v>
      </c>
      <c r="BD307">
        <v>2</v>
      </c>
      <c r="BE307" t="s">
        <v>2768</v>
      </c>
      <c r="BF307">
        <v>2</v>
      </c>
      <c r="BG307" t="s">
        <v>2768</v>
      </c>
      <c r="BH307">
        <v>2</v>
      </c>
      <c r="BI307" t="s">
        <v>3011</v>
      </c>
      <c r="BJ307">
        <v>2</v>
      </c>
      <c r="BK307" t="s">
        <v>2776</v>
      </c>
      <c r="BL307">
        <v>2</v>
      </c>
      <c r="BM307" t="s">
        <v>2776</v>
      </c>
      <c r="BN307">
        <v>2</v>
      </c>
      <c r="BO307" t="s">
        <v>2768</v>
      </c>
      <c r="BP307">
        <v>2</v>
      </c>
      <c r="BQ307" t="s">
        <v>2776</v>
      </c>
      <c r="BR307">
        <v>2</v>
      </c>
      <c r="BS307" t="s">
        <v>2768</v>
      </c>
      <c r="BT307">
        <v>1</v>
      </c>
      <c r="BU307" t="s">
        <v>2776</v>
      </c>
      <c r="BV307">
        <v>2</v>
      </c>
      <c r="BW307" s="182" t="s">
        <v>2794</v>
      </c>
      <c r="BX307" s="179">
        <v>2</v>
      </c>
      <c r="BY307" t="s">
        <v>2768</v>
      </c>
      <c r="BZ307">
        <v>2</v>
      </c>
      <c r="CA307" s="176" t="s">
        <v>2794</v>
      </c>
      <c r="CB307">
        <v>2</v>
      </c>
    </row>
    <row r="308" spans="1:80">
      <c r="A308" s="178" t="str">
        <f ca="1">IFERROR(IF(AG307&lt;5+金蛇*2,IF(COUNTIF(B307,"*轻*")&gt;0,A307+加速!$L$9,A307+加速!$L$11)+V307,""),"")</f>
        <v/>
      </c>
      <c r="B308" s="167" t="str">
        <f ca="1" t="shared" si="77"/>
        <v/>
      </c>
      <c r="C308" t="str">
        <f ca="1" t="shared" si="86"/>
        <v/>
      </c>
      <c r="D308" t="str">
        <f ca="1">IF(B308&lt;&gt;"",IF(C307&lt;=加速!$L$11*(1-E308),0,1),"")</f>
        <v/>
      </c>
      <c r="E308">
        <f ca="1" t="shared" si="83"/>
        <v>1</v>
      </c>
      <c r="G308" t="str">
        <f ca="1" t="shared" si="84"/>
        <v/>
      </c>
      <c r="H308" t="str">
        <f ca="1">IF(B308&lt;&gt;"",IF(AND(COUNTIF(B307,"*轻*莺鸣柳*")&gt;0,COUNTIF(B308,"*轻*")&lt;1),MAX(0,15+I307-(A308-A307)+COUNTIF(B307,"*平湖*")*0),IF(AND(E308=0,MAX(0,H307-(A308-A307))&lt;=加速!$H$11),0,MAX(0,H307-(A308-A307)))),"")</f>
        <v/>
      </c>
      <c r="I308" t="str">
        <f ca="1" t="shared" si="90"/>
        <v/>
      </c>
      <c r="J308" t="str">
        <f ca="1" t="shared" si="91"/>
        <v/>
      </c>
      <c r="K308" t="str">
        <f ca="1" t="shared" si="78"/>
        <v/>
      </c>
      <c r="L308">
        <f ca="1">IFERROR(IF(AND(COUNTIF(B308,"*-峰插*"),技能数据库!$M$72&gt;0),0,IF(COUNTIF(B308,"*鹤归*")&gt;0,16-加速!$L$11,MAX(0,L307-(A308-A307)))),0)</f>
        <v>0</v>
      </c>
      <c r="M308">
        <f ca="1" t="shared" si="79"/>
        <v>0</v>
      </c>
      <c r="N308">
        <f ca="1">IFERROR(IF(AND(COUNTIF(B308,"*-峰插*"),技能数据库!$M$72&gt;0),0,IF(COUNTIF(B308,"*云飞*")&gt;0,4-COUNTIF(B308,"*玉山揽云*")*4--COUNTIF(B308,"*烟流暮景*")*4-COUNTIF(B308,"*云景*")*加速!$L$11-IF(J308&gt;0,2,0),MAX(0,N307-(A308-A307)-IF(J308&gt;0,2,0)))),0)</f>
        <v>0</v>
      </c>
      <c r="O308">
        <f ca="1">IF(AND(COUNTIF(IF(AND(配装计算器!$K$30&lt;&gt;"∞",0),INDEX(AU307:CB307,1,$AT$1),INDEX(AU309:CB309,1,$AT$1)),"*云飞*")=1,COUNTIF(IF(AND(配装计算器!$K$30&lt;&gt;"∞",0),INDEX(AU307:CB307,1,$AT$1),INDEX(AU309:CB309,1,$AT$1)),"*玉山*")=0),N308,0)</f>
        <v>0</v>
      </c>
      <c r="P308">
        <f ca="1">IFERROR(IF(COUNTIF(B308,"*云栖松*")&gt;0,50-加速!$L$11,MAX(0,P307-(A308-A307))),0)</f>
        <v>0</v>
      </c>
      <c r="Q308">
        <f ca="1">IF(COUNTIF(IF(AND(配装计算器!$K$30&lt;&gt;"∞",0),INDEX(AU307:CB307,1,$AT$1),INDEX(AU309:CB309,1,$AT$1)),"*云栖松*")=1,P308,0)</f>
        <v>0</v>
      </c>
      <c r="R308">
        <f ca="1">IFERROR(IF(COUNTIF(B308,"*莺鸣柳*")&gt;0,45-加速!$L$9,MAX(0,R307-(A308-A307))),0)</f>
        <v>0</v>
      </c>
      <c r="S308">
        <f ca="1">IF(COUNTIF(IF(AND(配装计算器!$K$30&lt;&gt;"∞",0),INDEX(AU307:CB307,1,$AT$1),INDEX(AU309:CB309,1,$AT$1)),"*莺鸣柳*")=1,R308,0)</f>
        <v>0</v>
      </c>
      <c r="T308">
        <f ca="1" t="shared" si="87"/>
        <v>0</v>
      </c>
      <c r="U308">
        <f ca="1">IF(金蛇,IF(COUNTIF(B308,"*金环戴*")+COUNTIF(B308,"*吹风醒*")&gt;0,IF(A308&lt;=3,7.125-2.625-A308-加速!$L$11,7.125+加速!$K$9-(A308+加速!$L$11-T308)),0),0)+IF(金蛇,IF(COUNTIF(B308,"*千切子裂光*")&gt;0,2+加速!$K$9-(A308+加速!$L$11-T308),0),0)</f>
        <v>0</v>
      </c>
      <c r="V308">
        <f ca="1" t="shared" si="88"/>
        <v>0</v>
      </c>
      <c r="W308">
        <f ca="1" t="shared" si="80"/>
        <v>0</v>
      </c>
      <c r="X308">
        <f ca="1">INDEX(加速!$I$13:$I$21,W308+1)</f>
        <v>0</v>
      </c>
      <c r="Y308">
        <f ca="1" t="shared" si="89"/>
        <v>0.5</v>
      </c>
      <c r="Z308">
        <f ca="1" t="shared" si="85"/>
        <v>0</v>
      </c>
      <c r="AA308">
        <f ca="1">MAX(0,IFERROR(IF(COUNTIF(B308,"*叠*")&gt;0,IF(AC307&lt;3,8-A309+A308,AA307+6.875-A309+A308),AA307-A309+A308),AA307-加速!$L$11))</f>
        <v>0</v>
      </c>
      <c r="AB308" t="e">
        <f ca="1">MAX(0,IF(COUNTIF(IF(AND(配装计算器!$K$30&lt;&gt;"∞",0),INDEX(AU308:CB308,1,$AT$1),INDEX(AU308:CB308,1,$AT$1)),"*叠1*")=1,4*25-加速!$L$11,AB307-A308+A307)-IF(OR(COUNTIF(OFFSET(AT308,0,$AT$1,1,1),"*听雷*")&gt;0,AND(碧归&gt;0,COUNTIF(OFFSET(AT308,0,$AT$1,1,1),"*风来*")&gt;0)),0,1)*1.5)</f>
        <v>#VALUE!</v>
      </c>
      <c r="AC308">
        <f ca="1" t="shared" si="81"/>
        <v>0</v>
      </c>
      <c r="AD308">
        <f ca="1">IF(COUNTIF(IF(AND(配装计算器!$K$30&lt;&gt;"∞",0),INDEX(AU308:CB308,1,$AT$1),INDEX(AU309:CB309,1,$AT$1)),"*叠1*")=1,AB308*0+AE307,0)</f>
        <v>0</v>
      </c>
      <c r="AE308" t="e">
        <f ca="1">IF($AN$11&gt;0,IF(COUNTIF(B309,"*叠1*")&gt;0,50-加速!$L$11,MAX(0,AE307-(A309-A308))),0)</f>
        <v>#VALUE!</v>
      </c>
      <c r="AG308">
        <f ca="1" t="shared" si="82"/>
        <v>9</v>
      </c>
      <c r="AU308" t="s">
        <v>2768</v>
      </c>
      <c r="AV308">
        <v>2</v>
      </c>
      <c r="AW308" t="s">
        <v>2722</v>
      </c>
      <c r="AX308">
        <v>0</v>
      </c>
      <c r="AY308" t="s">
        <v>2808</v>
      </c>
      <c r="AZ308">
        <v>2</v>
      </c>
      <c r="BA308" t="s">
        <v>2768</v>
      </c>
      <c r="BB308">
        <v>2</v>
      </c>
      <c r="BC308" t="s">
        <v>3013</v>
      </c>
      <c r="BD308">
        <v>2</v>
      </c>
      <c r="BE308" t="s">
        <v>3019</v>
      </c>
      <c r="BF308">
        <v>2</v>
      </c>
      <c r="BG308" s="176" t="s">
        <v>2768</v>
      </c>
      <c r="BH308">
        <v>2</v>
      </c>
      <c r="BI308" t="s">
        <v>2768</v>
      </c>
      <c r="BJ308">
        <v>2</v>
      </c>
      <c r="BK308" t="s">
        <v>2794</v>
      </c>
      <c r="BL308">
        <v>2</v>
      </c>
      <c r="BM308" t="s">
        <v>2768</v>
      </c>
      <c r="BN308">
        <v>2</v>
      </c>
      <c r="BO308" t="s">
        <v>2776</v>
      </c>
      <c r="BP308">
        <v>2</v>
      </c>
      <c r="BQ308" t="s">
        <v>2768</v>
      </c>
      <c r="BR308">
        <v>2</v>
      </c>
      <c r="BS308" t="s">
        <v>2776</v>
      </c>
      <c r="BT308">
        <v>0</v>
      </c>
      <c r="BU308" t="s">
        <v>2768</v>
      </c>
      <c r="BV308">
        <v>2</v>
      </c>
      <c r="BW308" s="182" t="s">
        <v>2776</v>
      </c>
      <c r="BX308" s="179">
        <v>2</v>
      </c>
      <c r="BY308" t="s">
        <v>2776</v>
      </c>
      <c r="BZ308">
        <v>2</v>
      </c>
      <c r="CA308" s="176" t="s">
        <v>2776</v>
      </c>
      <c r="CB308">
        <v>2</v>
      </c>
    </row>
    <row r="309" spans="1:80">
      <c r="A309" s="178" t="str">
        <f ca="1">IFERROR(IF(AG308&lt;5+金蛇*2,IF(COUNTIF(B308,"*轻*")&gt;0,A308+加速!$L$9,A308+加速!$L$11)+V308,""),"")</f>
        <v/>
      </c>
      <c r="B309" s="167" t="str">
        <f ca="1" t="shared" si="77"/>
        <v/>
      </c>
      <c r="C309" t="str">
        <f ca="1" t="shared" si="86"/>
        <v/>
      </c>
      <c r="D309" t="str">
        <f ca="1">IF(B309&lt;&gt;"",IF(C308&lt;=加速!$L$11*(1-E309),0,1),"")</f>
        <v/>
      </c>
      <c r="E309">
        <f ca="1" t="shared" si="83"/>
        <v>1</v>
      </c>
      <c r="G309" t="str">
        <f ca="1" t="shared" si="84"/>
        <v/>
      </c>
      <c r="H309" t="str">
        <f ca="1">IF(B309&lt;&gt;"",IF(AND(COUNTIF(B308,"*轻*莺鸣柳*")&gt;0,COUNTIF(B309,"*轻*")&lt;1),MAX(0,15+I308-(A309-A308)+COUNTIF(B308,"*平湖*")*0),IF(AND(E309=0,MAX(0,H308-(A309-A308))&lt;=加速!$H$11),0,MAX(0,H308-(A309-A308)))),"")</f>
        <v/>
      </c>
      <c r="I309" t="str">
        <f ca="1" t="shared" si="90"/>
        <v/>
      </c>
      <c r="J309" t="str">
        <f ca="1" t="shared" si="91"/>
        <v/>
      </c>
      <c r="K309" t="str">
        <f ca="1" t="shared" si="78"/>
        <v/>
      </c>
      <c r="L309">
        <f ca="1">IFERROR(IF(AND(COUNTIF(B309,"*-峰插*"),技能数据库!$M$72&gt;0),0,IF(COUNTIF(B309,"*鹤归*")&gt;0,16-加速!$L$11,MAX(0,L308-(A309-A308)))),0)</f>
        <v>0</v>
      </c>
      <c r="M309">
        <f ca="1" t="shared" si="79"/>
        <v>0</v>
      </c>
      <c r="N309">
        <f ca="1">IFERROR(IF(AND(COUNTIF(B309,"*-峰插*"),技能数据库!$M$72&gt;0),0,IF(COUNTIF(B309,"*云飞*")&gt;0,4-COUNTIF(B309,"*玉山揽云*")*4--COUNTIF(B309,"*烟流暮景*")*4-COUNTIF(B309,"*云景*")*加速!$L$11-IF(J309&gt;0,2,0),MAX(0,N308-(A309-A308)-IF(J309&gt;0,2,0)))),0)</f>
        <v>0</v>
      </c>
      <c r="O309">
        <f ca="1">IF(AND(COUNTIF(IF(AND(配装计算器!$K$30&lt;&gt;"∞",0),INDEX(AU308:CB308,1,$AT$1),INDEX(AU310:CB310,1,$AT$1)),"*云飞*")=1,COUNTIF(IF(AND(配装计算器!$K$30&lt;&gt;"∞",0),INDEX(AU308:CB308,1,$AT$1),INDEX(AU310:CB310,1,$AT$1)),"*玉山*")=0),N309,0)</f>
        <v>0</v>
      </c>
      <c r="P309">
        <f ca="1">IFERROR(IF(COUNTIF(B309,"*云栖松*")&gt;0,50-加速!$L$11,MAX(0,P308-(A309-A308))),0)</f>
        <v>0</v>
      </c>
      <c r="Q309">
        <f ca="1">IF(COUNTIF(IF(AND(配装计算器!$K$30&lt;&gt;"∞",0),INDEX(AU308:CB308,1,$AT$1),INDEX(AU310:CB310,1,$AT$1)),"*云栖松*")=1,P309,0)</f>
        <v>0</v>
      </c>
      <c r="R309">
        <f ca="1">IFERROR(IF(COUNTIF(B309,"*莺鸣柳*")&gt;0,45-加速!$L$9,MAX(0,R308-(A309-A308))),0)</f>
        <v>0</v>
      </c>
      <c r="S309">
        <f ca="1">IF(COUNTIF(IF(AND(配装计算器!$K$30&lt;&gt;"∞",0),INDEX(AU308:CB308,1,$AT$1),INDEX(AU310:CB310,1,$AT$1)),"*莺鸣柳*")=1,R309,0)</f>
        <v>0</v>
      </c>
      <c r="T309">
        <f ca="1" t="shared" si="87"/>
        <v>0</v>
      </c>
      <c r="U309">
        <f ca="1">IF(金蛇,IF(COUNTIF(B309,"*金环戴*")+COUNTIF(B309,"*吹风醒*")&gt;0,IF(A309&lt;=3,7.125-2.625-A309-加速!$L$11,7.125+加速!$K$9-(A309+加速!$L$11-T309)),0),0)+IF(金蛇,IF(COUNTIF(B309,"*千切子裂光*")&gt;0,2+加速!$K$9-(A309+加速!$L$11-T309),0),0)</f>
        <v>0</v>
      </c>
      <c r="V309">
        <f ca="1" t="shared" si="88"/>
        <v>0</v>
      </c>
      <c r="W309">
        <f ca="1" t="shared" si="80"/>
        <v>0</v>
      </c>
      <c r="X309">
        <f ca="1">INDEX(加速!$I$13:$I$21,W309+1)</f>
        <v>0</v>
      </c>
      <c r="Y309">
        <f ca="1" t="shared" si="89"/>
        <v>0.5</v>
      </c>
      <c r="Z309">
        <f ca="1" t="shared" si="85"/>
        <v>0</v>
      </c>
      <c r="AA309">
        <f ca="1">MAX(0,IFERROR(IF(COUNTIF(B309,"*叠*")&gt;0,IF(AC308&lt;3,8-A310+A309,AA308+6.875-A310+A309),AA308-A310+A309),AA308-加速!$L$11))</f>
        <v>0</v>
      </c>
      <c r="AB309" t="e">
        <f ca="1">MAX(0,IF(COUNTIF(IF(AND(配装计算器!$K$30&lt;&gt;"∞",0),INDEX(AU309:CB309,1,$AT$1),INDEX(AU309:CB309,1,$AT$1)),"*叠1*")=1,4*25-加速!$L$11,AB308-A309+A308)-IF(OR(COUNTIF(OFFSET(AT309,0,$AT$1,1,1),"*听雷*")&gt;0,AND(碧归&gt;0,COUNTIF(OFFSET(AT309,0,$AT$1,1,1),"*风来*")&gt;0)),0,1)*1.5)</f>
        <v>#VALUE!</v>
      </c>
      <c r="AC309">
        <f ca="1" t="shared" si="81"/>
        <v>0</v>
      </c>
      <c r="AD309">
        <f ca="1">IF(COUNTIF(IF(AND(配装计算器!$K$30&lt;&gt;"∞",0),INDEX(AU309:CB309,1,$AT$1),INDEX(AU310:CB310,1,$AT$1)),"*叠1*")=1,AB309*0+AE308,0)</f>
        <v>0</v>
      </c>
      <c r="AE309" t="e">
        <f ca="1">IF($AN$11&gt;0,IF(COUNTIF(B310,"*叠1*")&gt;0,50-加速!$L$11,MAX(0,AE308-(A310-A309))),0)</f>
        <v>#VALUE!</v>
      </c>
      <c r="AG309">
        <f ca="1" t="shared" si="82"/>
        <v>9</v>
      </c>
      <c r="AU309" t="s">
        <v>2776</v>
      </c>
      <c r="AV309">
        <v>2</v>
      </c>
      <c r="AW309" t="s">
        <v>3009</v>
      </c>
      <c r="AX309">
        <v>2</v>
      </c>
      <c r="AY309" t="s">
        <v>2768</v>
      </c>
      <c r="AZ309">
        <v>2</v>
      </c>
      <c r="BA309" t="s">
        <v>2776</v>
      </c>
      <c r="BB309">
        <v>2</v>
      </c>
      <c r="BC309" t="s">
        <v>3018</v>
      </c>
      <c r="BD309">
        <v>2</v>
      </c>
      <c r="BE309" t="s">
        <v>2768</v>
      </c>
      <c r="BF309">
        <v>2</v>
      </c>
      <c r="BG309" s="176" t="s">
        <v>2776</v>
      </c>
      <c r="BH309">
        <v>2</v>
      </c>
      <c r="BI309" t="s">
        <v>3018</v>
      </c>
      <c r="BJ309">
        <v>2</v>
      </c>
      <c r="BK309" t="s">
        <v>2768</v>
      </c>
      <c r="BL309">
        <v>2</v>
      </c>
      <c r="BM309" t="str">
        <f>IF(山重水复,"风来吴山","夕照雷峰")</f>
        <v>夕照雷峰</v>
      </c>
      <c r="BN309">
        <v>2</v>
      </c>
      <c r="BO309" t="s">
        <v>2768</v>
      </c>
      <c r="BP309">
        <v>2</v>
      </c>
      <c r="BQ309" t="s">
        <v>2776</v>
      </c>
      <c r="BR309">
        <v>2</v>
      </c>
      <c r="BS309" t="s">
        <v>2768</v>
      </c>
      <c r="BT309">
        <v>0</v>
      </c>
      <c r="BU309" t="s">
        <v>2808</v>
      </c>
      <c r="BV309">
        <v>2</v>
      </c>
      <c r="BW309" s="182" t="s">
        <v>2768</v>
      </c>
      <c r="BX309" s="179">
        <v>2</v>
      </c>
      <c r="BY309" t="s">
        <v>2768</v>
      </c>
      <c r="BZ309">
        <v>2</v>
      </c>
      <c r="CA309" s="176" t="s">
        <v>2768</v>
      </c>
      <c r="CB309">
        <v>2</v>
      </c>
    </row>
    <row r="310" spans="1:80">
      <c r="A310" s="178" t="str">
        <f ca="1">IFERROR(IF(AG309&lt;5+金蛇*2,IF(COUNTIF(B309,"*轻*")&gt;0,A309+加速!$L$9,A309+加速!$L$11)+V309,""),"")</f>
        <v/>
      </c>
      <c r="B310" s="167" t="str">
        <f ca="1" t="shared" si="77"/>
        <v/>
      </c>
      <c r="C310" t="str">
        <f ca="1" t="shared" si="86"/>
        <v/>
      </c>
      <c r="D310" t="str">
        <f ca="1">IF(B310&lt;&gt;"",IF(C309&lt;=加速!$L$11*(1-E310),0,1),"")</f>
        <v/>
      </c>
      <c r="E310">
        <f ca="1" t="shared" si="83"/>
        <v>1</v>
      </c>
      <c r="G310" t="str">
        <f ca="1" t="shared" si="84"/>
        <v/>
      </c>
      <c r="H310" t="str">
        <f ca="1">IF(B310&lt;&gt;"",IF(AND(COUNTIF(B309,"*轻*莺鸣柳*")&gt;0,COUNTIF(B310,"*轻*")&lt;1),MAX(0,15+I309-(A310-A309)+COUNTIF(B309,"*平湖*")*0),IF(AND(E310=0,MAX(0,H309-(A310-A309))&lt;=加速!$H$11),0,MAX(0,H309-(A310-A309)))),"")</f>
        <v/>
      </c>
      <c r="I310" t="str">
        <f ca="1" t="shared" si="90"/>
        <v/>
      </c>
      <c r="J310" t="str">
        <f ca="1" t="shared" si="91"/>
        <v/>
      </c>
      <c r="K310" t="str">
        <f ca="1" t="shared" si="78"/>
        <v/>
      </c>
      <c r="L310">
        <f ca="1">IFERROR(IF(AND(COUNTIF(B310,"*-峰插*"),技能数据库!$M$72&gt;0),0,IF(COUNTIF(B310,"*鹤归*")&gt;0,16-加速!$L$11,MAX(0,L309-(A310-A309)))),0)</f>
        <v>0</v>
      </c>
      <c r="M310">
        <f ca="1" t="shared" si="79"/>
        <v>0</v>
      </c>
      <c r="N310">
        <f ca="1">IFERROR(IF(AND(COUNTIF(B310,"*-峰插*"),技能数据库!$M$72&gt;0),0,IF(COUNTIF(B310,"*云飞*")&gt;0,4-COUNTIF(B310,"*玉山揽云*")*4--COUNTIF(B310,"*烟流暮景*")*4-COUNTIF(B310,"*云景*")*加速!$L$11-IF(J310&gt;0,2,0),MAX(0,N309-(A310-A309)-IF(J310&gt;0,2,0)))),0)</f>
        <v>0</v>
      </c>
      <c r="O310">
        <f ca="1">IF(AND(COUNTIF(IF(AND(配装计算器!$K$30&lt;&gt;"∞",0),INDEX(AU309:CB309,1,$AT$1),INDEX(AU311:CB311,1,$AT$1)),"*云飞*")=1,COUNTIF(IF(AND(配装计算器!$K$30&lt;&gt;"∞",0),INDEX(AU309:CB309,1,$AT$1),INDEX(AU311:CB311,1,$AT$1)),"*玉山*")=0),N310,0)</f>
        <v>0</v>
      </c>
      <c r="P310">
        <f ca="1">IFERROR(IF(COUNTIF(B310,"*云栖松*")&gt;0,50-加速!$L$11,MAX(0,P309-(A310-A309))),0)</f>
        <v>0</v>
      </c>
      <c r="Q310">
        <f ca="1">IF(COUNTIF(IF(AND(配装计算器!$K$30&lt;&gt;"∞",0),INDEX(AU309:CB309,1,$AT$1),INDEX(AU311:CB311,1,$AT$1)),"*云栖松*")=1,P310,0)</f>
        <v>0</v>
      </c>
      <c r="R310">
        <f ca="1">IFERROR(IF(COUNTIF(B310,"*莺鸣柳*")&gt;0,45-加速!$L$9,MAX(0,R309-(A310-A309))),0)</f>
        <v>0</v>
      </c>
      <c r="S310">
        <f ca="1">IF(COUNTIF(IF(AND(配装计算器!$K$30&lt;&gt;"∞",0),INDEX(AU309:CB309,1,$AT$1),INDEX(AU311:CB311,1,$AT$1)),"*莺鸣柳*")=1,R310,0)</f>
        <v>0</v>
      </c>
      <c r="T310">
        <f ca="1" t="shared" si="87"/>
        <v>0</v>
      </c>
      <c r="U310">
        <f ca="1">IF(金蛇,IF(COUNTIF(B310,"*金环戴*")+COUNTIF(B310,"*吹风醒*")&gt;0,IF(A310&lt;=3,7.125-2.625-A310-加速!$L$11,7.125+加速!$K$9-(A310+加速!$L$11-T310)),0),0)+IF(金蛇,IF(COUNTIF(B310,"*千切子裂光*")&gt;0,2+加速!$K$9-(A310+加速!$L$11-T310),0),0)</f>
        <v>0</v>
      </c>
      <c r="V310">
        <f ca="1" t="shared" si="88"/>
        <v>0</v>
      </c>
      <c r="W310">
        <f ca="1" t="shared" si="80"/>
        <v>0</v>
      </c>
      <c r="X310">
        <f ca="1">INDEX(加速!$I$13:$I$21,W310+1)</f>
        <v>0</v>
      </c>
      <c r="Y310">
        <f ca="1" t="shared" si="89"/>
        <v>0.5</v>
      </c>
      <c r="Z310">
        <f ca="1" t="shared" si="85"/>
        <v>0</v>
      </c>
      <c r="AA310">
        <f ca="1">MAX(0,IFERROR(IF(COUNTIF(B310,"*叠*")&gt;0,IF(AC309&lt;3,8-A311+A310,AA309+6.875-A311+A310),AA309-A311+A310),AA309-加速!$L$11))</f>
        <v>0</v>
      </c>
      <c r="AB310" t="e">
        <f ca="1">MAX(0,IF(COUNTIF(IF(AND(配装计算器!$K$30&lt;&gt;"∞",0),INDEX(AU310:CB310,1,$AT$1),INDEX(AU310:CB310,1,$AT$1)),"*叠1*")=1,4*25-加速!$L$11,AB309-A310+A309)-IF(OR(COUNTIF(OFFSET(AT310,0,$AT$1,1,1),"*听雷*")&gt;0,AND(碧归&gt;0,COUNTIF(OFFSET(AT310,0,$AT$1,1,1),"*风来*")&gt;0)),0,1)*1.5)</f>
        <v>#VALUE!</v>
      </c>
      <c r="AC310">
        <f ca="1" t="shared" si="81"/>
        <v>0</v>
      </c>
      <c r="AD310">
        <f ca="1">IF(COUNTIF(IF(AND(配装计算器!$K$30&lt;&gt;"∞",0),INDEX(AU310:CB310,1,$AT$1),INDEX(AU311:CB311,1,$AT$1)),"*叠1*")=1,AB310*0+AE309,0)</f>
        <v>0</v>
      </c>
      <c r="AE310" t="e">
        <f ca="1">IF($AN$11&gt;0,IF(COUNTIF(B311,"*叠1*")&gt;0,50-加速!$L$11,MAX(0,AE309-(A311-A310))),0)</f>
        <v>#VALUE!</v>
      </c>
      <c r="AG310">
        <f ca="1" t="shared" si="82"/>
        <v>9</v>
      </c>
      <c r="AU310" t="s">
        <v>2768</v>
      </c>
      <c r="AV310">
        <v>2</v>
      </c>
      <c r="AW310" t="s">
        <v>2776</v>
      </c>
      <c r="AX310">
        <v>2</v>
      </c>
      <c r="AY310" t="s">
        <v>2768</v>
      </c>
      <c r="AZ310">
        <v>2</v>
      </c>
      <c r="BA310" t="s">
        <v>2794</v>
      </c>
      <c r="BB310">
        <v>2</v>
      </c>
      <c r="BC310" t="s">
        <v>2768</v>
      </c>
      <c r="BD310">
        <v>2</v>
      </c>
      <c r="BE310" t="s">
        <v>2768</v>
      </c>
      <c r="BF310">
        <v>2</v>
      </c>
      <c r="BG310" t="s">
        <v>2768</v>
      </c>
      <c r="BH310">
        <v>1</v>
      </c>
      <c r="BI310" t="s">
        <v>2789</v>
      </c>
      <c r="BJ310">
        <v>2</v>
      </c>
      <c r="BK310" t="s">
        <v>2776</v>
      </c>
      <c r="BL310">
        <v>2</v>
      </c>
      <c r="BM310" s="176" t="s">
        <v>2794</v>
      </c>
      <c r="BN310">
        <v>2</v>
      </c>
      <c r="BO310" t="s">
        <v>2768</v>
      </c>
      <c r="BP310">
        <v>2</v>
      </c>
      <c r="BQ310" t="s">
        <v>2768</v>
      </c>
      <c r="BR310">
        <v>2</v>
      </c>
      <c r="BS310" t="s">
        <v>3024</v>
      </c>
      <c r="BT310">
        <v>2</v>
      </c>
      <c r="BU310" t="s">
        <v>2768</v>
      </c>
      <c r="BV310">
        <v>2</v>
      </c>
      <c r="BW310" s="182" t="s">
        <v>2776</v>
      </c>
      <c r="BX310" s="179">
        <v>2</v>
      </c>
      <c r="BY310" t="str">
        <f>IF(山重水复,"风来吴山","夕照雷峰")</f>
        <v>夕照雷峰</v>
      </c>
      <c r="BZ310">
        <v>2</v>
      </c>
      <c r="CA310" s="176" t="s">
        <v>2776</v>
      </c>
      <c r="CB310">
        <v>2</v>
      </c>
    </row>
    <row r="311" spans="1:80">
      <c r="A311" s="178" t="str">
        <f ca="1">IFERROR(IF(AG310&lt;5+金蛇*2,IF(COUNTIF(B310,"*轻*")&gt;0,A310+加速!$L$9,A310+加速!$L$11)+V310,""),"")</f>
        <v/>
      </c>
      <c r="B311" s="167" t="str">
        <f ca="1" t="shared" si="77"/>
        <v/>
      </c>
      <c r="C311" t="str">
        <f ca="1" t="shared" si="86"/>
        <v/>
      </c>
      <c r="D311" t="str">
        <f ca="1">IF(B311&lt;&gt;"",IF(C310&lt;=加速!$L$11*(1-E311),0,1),"")</f>
        <v/>
      </c>
      <c r="E311">
        <f ca="1" t="shared" si="83"/>
        <v>1</v>
      </c>
      <c r="G311" t="str">
        <f ca="1" t="shared" si="84"/>
        <v/>
      </c>
      <c r="H311" t="str">
        <f ca="1">IF(B311&lt;&gt;"",IF(AND(COUNTIF(B310,"*轻*莺鸣柳*")&gt;0,COUNTIF(B311,"*轻*")&lt;1),MAX(0,15+I310-(A311-A310)+COUNTIF(B310,"*平湖*")*0),IF(AND(E311=0,MAX(0,H310-(A311-A310))&lt;=加速!$H$11),0,MAX(0,H310-(A311-A310)))),"")</f>
        <v/>
      </c>
      <c r="I311" t="str">
        <f ca="1" t="shared" si="90"/>
        <v/>
      </c>
      <c r="J311" t="str">
        <f ca="1" t="shared" si="91"/>
        <v/>
      </c>
      <c r="K311" t="str">
        <f ca="1" t="shared" si="78"/>
        <v/>
      </c>
      <c r="L311">
        <f ca="1">IFERROR(IF(AND(COUNTIF(B311,"*-峰插*"),技能数据库!$M$72&gt;0),0,IF(COUNTIF(B311,"*鹤归*")&gt;0,16-加速!$L$11,MAX(0,L310-(A311-A310)))),0)</f>
        <v>0</v>
      </c>
      <c r="M311">
        <f ca="1" t="shared" si="79"/>
        <v>0</v>
      </c>
      <c r="N311">
        <f ca="1">IFERROR(IF(AND(COUNTIF(B311,"*-峰插*"),技能数据库!$M$72&gt;0),0,IF(COUNTIF(B311,"*云飞*")&gt;0,4-COUNTIF(B311,"*玉山揽云*")*4--COUNTIF(B311,"*烟流暮景*")*4-COUNTIF(B311,"*云景*")*加速!$L$11-IF(J311&gt;0,2,0),MAX(0,N310-(A311-A310)-IF(J311&gt;0,2,0)))),0)</f>
        <v>0</v>
      </c>
      <c r="O311">
        <f ca="1">IF(AND(COUNTIF(IF(AND(配装计算器!$K$30&lt;&gt;"∞",0),INDEX(AU310:CB310,1,$AT$1),INDEX(AU312:CB312,1,$AT$1)),"*云飞*")=1,COUNTIF(IF(AND(配装计算器!$K$30&lt;&gt;"∞",0),INDEX(AU310:CB310,1,$AT$1),INDEX(AU312:CB312,1,$AT$1)),"*玉山*")=0),N311,0)</f>
        <v>0</v>
      </c>
      <c r="P311">
        <f ca="1">IFERROR(IF(COUNTIF(B311,"*云栖松*")&gt;0,50-加速!$L$11,MAX(0,P310-(A311-A310))),0)</f>
        <v>0</v>
      </c>
      <c r="Q311">
        <f ca="1">IF(COUNTIF(IF(AND(配装计算器!$K$30&lt;&gt;"∞",0),INDEX(AU310:CB310,1,$AT$1),INDEX(AU312:CB312,1,$AT$1)),"*云栖松*")=1,P311,0)</f>
        <v>0</v>
      </c>
      <c r="R311">
        <f ca="1">IFERROR(IF(COUNTIF(B311,"*莺鸣柳*")&gt;0,45-加速!$L$9,MAX(0,R310-(A311-A310))),0)</f>
        <v>0</v>
      </c>
      <c r="S311">
        <f ca="1">IF(COUNTIF(IF(AND(配装计算器!$K$30&lt;&gt;"∞",0),INDEX(AU310:CB310,1,$AT$1),INDEX(AU312:CB312,1,$AT$1)),"*莺鸣柳*")=1,R311,0)</f>
        <v>0</v>
      </c>
      <c r="T311">
        <f ca="1" t="shared" si="87"/>
        <v>0</v>
      </c>
      <c r="U311">
        <f ca="1">IF(金蛇,IF(COUNTIF(B311,"*金环戴*")+COUNTIF(B311,"*吹风醒*")&gt;0,IF(A311&lt;=3,7.125-2.625-A311-加速!$L$11,7.125+加速!$K$9-(A311+加速!$L$11-T311)),0),0)+IF(金蛇,IF(COUNTIF(B311,"*千切子裂光*")&gt;0,2+加速!$K$9-(A311+加速!$L$11-T311),0),0)</f>
        <v>0</v>
      </c>
      <c r="V311">
        <f ca="1" t="shared" si="88"/>
        <v>0</v>
      </c>
      <c r="W311">
        <f ca="1" t="shared" si="80"/>
        <v>0</v>
      </c>
      <c r="X311">
        <f ca="1">INDEX(加速!$I$13:$I$21,W311+1)</f>
        <v>0</v>
      </c>
      <c r="Y311">
        <f ca="1" t="shared" si="89"/>
        <v>0.5</v>
      </c>
      <c r="Z311">
        <f ca="1" t="shared" si="85"/>
        <v>0</v>
      </c>
      <c r="AA311">
        <f ca="1">MAX(0,IFERROR(IF(COUNTIF(B311,"*叠*")&gt;0,IF(AC310&lt;3,8-A312+A311,AA310+6.875-A312+A311),AA310-A312+A311),AA310-加速!$L$11))</f>
        <v>0</v>
      </c>
      <c r="AB311" t="e">
        <f ca="1">MAX(0,IF(COUNTIF(IF(AND(配装计算器!$K$30&lt;&gt;"∞",0),INDEX(AU311:CB311,1,$AT$1),INDEX(AU311:CB311,1,$AT$1)),"*叠1*")=1,4*25-加速!$L$11,AB310-A311+A310)-IF(OR(COUNTIF(OFFSET(AT311,0,$AT$1,1,1),"*听雷*")&gt;0,AND(碧归&gt;0,COUNTIF(OFFSET(AT311,0,$AT$1,1,1),"*风来*")&gt;0)),0,1)*1.5)</f>
        <v>#VALUE!</v>
      </c>
      <c r="AC311">
        <f ca="1" t="shared" si="81"/>
        <v>0</v>
      </c>
      <c r="AD311">
        <f ca="1">IF(COUNTIF(IF(AND(配装计算器!$K$30&lt;&gt;"∞",0),INDEX(AU311:CB311,1,$AT$1),INDEX(AU312:CB312,1,$AT$1)),"*叠1*")=1,AB311*0+AE310,0)</f>
        <v>0</v>
      </c>
      <c r="AE311" t="e">
        <f ca="1">IF($AN$11&gt;0,IF(COUNTIF(B312,"*叠1*")&gt;0,50-加速!$L$11,MAX(0,AE310-(A312-A311))),0)</f>
        <v>#VALUE!</v>
      </c>
      <c r="AG311">
        <f ca="1" t="shared" si="82"/>
        <v>9</v>
      </c>
      <c r="AU311" s="180" t="s">
        <v>2789</v>
      </c>
      <c r="AV311">
        <v>2</v>
      </c>
      <c r="AW311" t="s">
        <v>2768</v>
      </c>
      <c r="AX311">
        <v>2</v>
      </c>
      <c r="AY311" t="s">
        <v>2776</v>
      </c>
      <c r="AZ311">
        <v>2</v>
      </c>
      <c r="BA311" t="s">
        <v>2768</v>
      </c>
      <c r="BB311">
        <v>2</v>
      </c>
      <c r="BC311" t="s">
        <v>3023</v>
      </c>
      <c r="BD311">
        <v>2</v>
      </c>
      <c r="BE311" t="s">
        <v>2768</v>
      </c>
      <c r="BF311">
        <v>2</v>
      </c>
      <c r="BG311" s="176" t="s">
        <v>2768</v>
      </c>
      <c r="BH311">
        <v>1</v>
      </c>
      <c r="BI311" s="182" t="s">
        <v>3023</v>
      </c>
      <c r="BJ311">
        <v>2</v>
      </c>
      <c r="BK311" t="s">
        <v>2768</v>
      </c>
      <c r="BL311">
        <v>1</v>
      </c>
      <c r="BM311" s="176" t="s">
        <v>2776</v>
      </c>
      <c r="BN311">
        <v>2</v>
      </c>
      <c r="BO311" t="s">
        <v>2768</v>
      </c>
      <c r="BP311">
        <v>2</v>
      </c>
      <c r="BQ311" t="s">
        <v>3013</v>
      </c>
      <c r="BR311">
        <v>2</v>
      </c>
      <c r="BS311" s="179" t="s">
        <v>2794</v>
      </c>
      <c r="BT311">
        <v>2</v>
      </c>
      <c r="BU311" s="176" t="s">
        <v>2768</v>
      </c>
      <c r="BV311">
        <v>2</v>
      </c>
      <c r="BW311" s="182" t="s">
        <v>2768</v>
      </c>
      <c r="BX311" s="179">
        <v>2</v>
      </c>
      <c r="BY311" s="176" t="s">
        <v>2794</v>
      </c>
      <c r="BZ311">
        <v>2</v>
      </c>
      <c r="CA311" s="176" t="s">
        <v>2768</v>
      </c>
      <c r="CB311">
        <v>2</v>
      </c>
    </row>
    <row r="312" spans="1:80">
      <c r="A312" s="178" t="str">
        <f ca="1">IFERROR(IF(AG311&lt;5+金蛇*2,IF(COUNTIF(B311,"*轻*")&gt;0,A311+加速!$L$9,A311+加速!$L$11)+V311,""),"")</f>
        <v/>
      </c>
      <c r="B312" s="167" t="str">
        <f ca="1" t="shared" si="77"/>
        <v/>
      </c>
      <c r="C312" t="str">
        <f ca="1" t="shared" si="86"/>
        <v/>
      </c>
      <c r="D312" t="str">
        <f ca="1">IF(B312&lt;&gt;"",IF(C311&lt;=加速!$L$11*(1-E312),0,1),"")</f>
        <v/>
      </c>
      <c r="E312">
        <f ca="1" t="shared" si="83"/>
        <v>1</v>
      </c>
      <c r="G312" t="str">
        <f ca="1" t="shared" si="84"/>
        <v/>
      </c>
      <c r="H312" t="str">
        <f ca="1">IF(B312&lt;&gt;"",IF(AND(COUNTIF(B311,"*轻*莺鸣柳*")&gt;0,COUNTIF(B312,"*轻*")&lt;1),MAX(0,15+I311-(A312-A311)+COUNTIF(B311,"*平湖*")*0),IF(AND(E312=0,MAX(0,H311-(A312-A311))&lt;=加速!$H$11),0,MAX(0,H311-(A312-A311)))),"")</f>
        <v/>
      </c>
      <c r="I312" t="str">
        <f ca="1" t="shared" si="90"/>
        <v/>
      </c>
      <c r="J312" t="str">
        <f ca="1" t="shared" si="91"/>
        <v/>
      </c>
      <c r="K312" t="str">
        <f ca="1" t="shared" si="78"/>
        <v/>
      </c>
      <c r="L312">
        <f ca="1">IFERROR(IF(AND(COUNTIF(B312,"*-峰插*"),技能数据库!$M$72&gt;0),0,IF(COUNTIF(B312,"*鹤归*")&gt;0,16-加速!$L$11,MAX(0,L311-(A312-A311)))),0)</f>
        <v>0</v>
      </c>
      <c r="M312">
        <f ca="1" t="shared" si="79"/>
        <v>0</v>
      </c>
      <c r="N312">
        <f ca="1">IFERROR(IF(AND(COUNTIF(B312,"*-峰插*"),技能数据库!$M$72&gt;0),0,IF(COUNTIF(B312,"*云飞*")&gt;0,4-COUNTIF(B312,"*玉山揽云*")*4--COUNTIF(B312,"*烟流暮景*")*4-COUNTIF(B312,"*云景*")*加速!$L$11-IF(J312&gt;0,2,0),MAX(0,N311-(A312-A311)-IF(J312&gt;0,2,0)))),0)</f>
        <v>0</v>
      </c>
      <c r="O312">
        <f ca="1">IF(AND(COUNTIF(IF(AND(配装计算器!$K$30&lt;&gt;"∞",0),INDEX(AU311:CB311,1,$AT$1),INDEX(AU313:CB313,1,$AT$1)),"*云飞*")=1,COUNTIF(IF(AND(配装计算器!$K$30&lt;&gt;"∞",0),INDEX(AU311:CB311,1,$AT$1),INDEX(AU313:CB313,1,$AT$1)),"*玉山*")=0),N312,0)</f>
        <v>0</v>
      </c>
      <c r="P312">
        <f ca="1">IFERROR(IF(COUNTIF(B312,"*云栖松*")&gt;0,50-加速!$L$11,MAX(0,P311-(A312-A311))),0)</f>
        <v>0</v>
      </c>
      <c r="Q312">
        <f ca="1">IF(COUNTIF(IF(AND(配装计算器!$K$30&lt;&gt;"∞",0),INDEX(AU311:CB311,1,$AT$1),INDEX(AU313:CB313,1,$AT$1)),"*云栖松*")=1,P312,0)</f>
        <v>0</v>
      </c>
      <c r="R312">
        <f ca="1">IFERROR(IF(COUNTIF(B312,"*莺鸣柳*")&gt;0,45-加速!$L$9,MAX(0,R311-(A312-A311))),0)</f>
        <v>0</v>
      </c>
      <c r="S312">
        <f ca="1">IF(COUNTIF(IF(AND(配装计算器!$K$30&lt;&gt;"∞",0),INDEX(AU311:CB311,1,$AT$1),INDEX(AU313:CB313,1,$AT$1)),"*莺鸣柳*")=1,R312,0)</f>
        <v>0</v>
      </c>
      <c r="T312">
        <f ca="1" t="shared" si="87"/>
        <v>0</v>
      </c>
      <c r="U312">
        <f ca="1">IF(金蛇,IF(COUNTIF(B312,"*金环戴*")+COUNTIF(B312,"*吹风醒*")&gt;0,IF(A312&lt;=3,7.125-2.625-A312-加速!$L$11,7.125+加速!$K$9-(A312+加速!$L$11-T312)),0),0)+IF(金蛇,IF(COUNTIF(B312,"*千切子裂光*")&gt;0,2+加速!$K$9-(A312+加速!$L$11-T312),0),0)</f>
        <v>0</v>
      </c>
      <c r="V312">
        <f ca="1" t="shared" si="88"/>
        <v>0</v>
      </c>
      <c r="W312">
        <f ca="1" t="shared" si="80"/>
        <v>0</v>
      </c>
      <c r="X312">
        <f ca="1">INDEX(加速!$I$13:$I$21,W312+1)</f>
        <v>0</v>
      </c>
      <c r="Y312">
        <f ca="1" t="shared" si="89"/>
        <v>0.5</v>
      </c>
      <c r="Z312">
        <f ca="1" t="shared" si="85"/>
        <v>0</v>
      </c>
      <c r="AA312">
        <f ca="1">MAX(0,IFERROR(IF(COUNTIF(B312,"*叠*")&gt;0,IF(AC311&lt;3,8-A313+A312,AA311+6.875-A313+A312),AA311-A313+A312),AA311-加速!$L$11))</f>
        <v>0</v>
      </c>
      <c r="AB312" t="e">
        <f ca="1">MAX(0,IF(COUNTIF(IF(AND(配装计算器!$K$30&lt;&gt;"∞",0),INDEX(AU312:CB312,1,$AT$1),INDEX(AU312:CB312,1,$AT$1)),"*叠1*")=1,4*25-加速!$L$11,AB311-A312+A311)-IF(OR(COUNTIF(OFFSET(AT312,0,$AT$1,1,1),"*听雷*")&gt;0,AND(碧归&gt;0,COUNTIF(OFFSET(AT312,0,$AT$1,1,1),"*风来*")&gt;0)),0,1)*1.5)</f>
        <v>#VALUE!</v>
      </c>
      <c r="AC312">
        <f ca="1" t="shared" si="81"/>
        <v>0</v>
      </c>
      <c r="AD312">
        <f ca="1">IF(COUNTIF(IF(AND(配装计算器!$K$30&lt;&gt;"∞",0),INDEX(AU312:CB312,1,$AT$1),INDEX(AU313:CB313,1,$AT$1)),"*叠1*")=1,AB312*0+AE311,0)</f>
        <v>0</v>
      </c>
      <c r="AE312" t="e">
        <f ca="1">IF($AN$11&gt;0,IF(COUNTIF(B313,"*叠1*")&gt;0,50-加速!$L$11,MAX(0,AE311-(A313-A312))),0)</f>
        <v>#VALUE!</v>
      </c>
      <c r="AG312">
        <f ca="1" t="shared" si="82"/>
        <v>9</v>
      </c>
      <c r="AU312" s="176" t="s">
        <v>2794</v>
      </c>
      <c r="AV312">
        <v>2</v>
      </c>
      <c r="AW312" t="str">
        <f>IF(山重水复,"风来吴山","夕照雷峰")</f>
        <v>夕照雷峰</v>
      </c>
      <c r="AX312">
        <v>2</v>
      </c>
      <c r="AY312" t="s">
        <v>2794</v>
      </c>
      <c r="AZ312">
        <v>2</v>
      </c>
      <c r="BA312" t="s">
        <v>2776</v>
      </c>
      <c r="BB312">
        <v>2</v>
      </c>
      <c r="BC312" t="s">
        <v>2768</v>
      </c>
      <c r="BD312">
        <v>2</v>
      </c>
      <c r="BE312" t="s">
        <v>3042</v>
      </c>
      <c r="BF312">
        <v>2</v>
      </c>
      <c r="BG312" t="s">
        <v>3055</v>
      </c>
      <c r="BH312">
        <v>0</v>
      </c>
      <c r="BI312" s="176" t="s">
        <v>3026</v>
      </c>
      <c r="BJ312">
        <v>2</v>
      </c>
      <c r="BK312" t="s">
        <v>2776</v>
      </c>
      <c r="BL312">
        <v>1</v>
      </c>
      <c r="BM312" s="176" t="s">
        <v>2768</v>
      </c>
      <c r="BN312">
        <v>2</v>
      </c>
      <c r="BO312" t="s">
        <v>2776</v>
      </c>
      <c r="BP312">
        <v>2</v>
      </c>
      <c r="BQ312" t="s">
        <v>2808</v>
      </c>
      <c r="BR312">
        <v>2</v>
      </c>
      <c r="BS312" s="179" t="s">
        <v>3019</v>
      </c>
      <c r="BT312">
        <v>2</v>
      </c>
      <c r="BU312" s="176" t="s">
        <v>2776</v>
      </c>
      <c r="BV312">
        <v>2</v>
      </c>
      <c r="BW312" s="182" t="s">
        <v>2808</v>
      </c>
      <c r="BX312" s="179">
        <v>2</v>
      </c>
      <c r="BY312" s="176" t="s">
        <v>2776</v>
      </c>
      <c r="BZ312">
        <v>2</v>
      </c>
      <c r="CA312" s="176" t="s">
        <v>2808</v>
      </c>
      <c r="CB312">
        <v>2</v>
      </c>
    </row>
    <row r="313" spans="1:80">
      <c r="A313" s="178" t="str">
        <f ca="1">IFERROR(IF(AG312&lt;5+金蛇*2,IF(COUNTIF(B312,"*轻*")&gt;0,A312+加速!$L$9,A312+加速!$L$11)+V312,""),"")</f>
        <v/>
      </c>
      <c r="B313" s="167" t="str">
        <f ca="1" t="shared" si="77"/>
        <v/>
      </c>
      <c r="C313" t="str">
        <f ca="1" t="shared" si="86"/>
        <v/>
      </c>
      <c r="D313" t="str">
        <f ca="1">IF(B313&lt;&gt;"",IF(C312&lt;=加速!$L$11*(1-E313),0,1),"")</f>
        <v/>
      </c>
      <c r="E313">
        <f ca="1" t="shared" si="83"/>
        <v>1</v>
      </c>
      <c r="G313" t="str">
        <f ca="1" t="shared" si="84"/>
        <v/>
      </c>
      <c r="H313" t="str">
        <f ca="1">IF(B313&lt;&gt;"",IF(AND(COUNTIF(B312,"*轻*莺鸣柳*")&gt;0,COUNTIF(B313,"*轻*")&lt;1),MAX(0,15+I312-(A313-A312)+COUNTIF(B312,"*平湖*")*0),IF(AND(E313=0,MAX(0,H312-(A313-A312))&lt;=加速!$H$11),0,MAX(0,H312-(A313-A312)))),"")</f>
        <v/>
      </c>
      <c r="I313" t="str">
        <f ca="1" t="shared" si="90"/>
        <v/>
      </c>
      <c r="J313" t="str">
        <f ca="1" t="shared" si="91"/>
        <v/>
      </c>
      <c r="K313" t="str">
        <f ca="1" t="shared" si="78"/>
        <v/>
      </c>
      <c r="L313">
        <f ca="1">IFERROR(IF(AND(COUNTIF(B313,"*-峰插*"),技能数据库!$M$72&gt;0),0,IF(COUNTIF(B313,"*鹤归*")&gt;0,16-加速!$L$11,MAX(0,L312-(A313-A312)))),0)</f>
        <v>0</v>
      </c>
      <c r="M313">
        <f ca="1" t="shared" si="79"/>
        <v>0</v>
      </c>
      <c r="N313">
        <f ca="1">IFERROR(IF(AND(COUNTIF(B313,"*-峰插*"),技能数据库!$M$72&gt;0),0,IF(COUNTIF(B313,"*云飞*")&gt;0,4-COUNTIF(B313,"*玉山揽云*")*4--COUNTIF(B313,"*烟流暮景*")*4-COUNTIF(B313,"*云景*")*加速!$L$11-IF(J313&gt;0,2,0),MAX(0,N312-(A313-A312)-IF(J313&gt;0,2,0)))),0)</f>
        <v>0</v>
      </c>
      <c r="O313">
        <f ca="1">IF(AND(COUNTIF(IF(AND(配装计算器!$K$30&lt;&gt;"∞",0),INDEX(AU312:CB312,1,$AT$1),INDEX(AU314:CB314,1,$AT$1)),"*云飞*")=1,COUNTIF(IF(AND(配装计算器!$K$30&lt;&gt;"∞",0),INDEX(AU312:CB312,1,$AT$1),INDEX(AU314:CB314,1,$AT$1)),"*玉山*")=0),N313,0)</f>
        <v>0</v>
      </c>
      <c r="P313">
        <f ca="1">IFERROR(IF(COUNTIF(B313,"*云栖松*")&gt;0,50-加速!$L$11,MAX(0,P312-(A313-A312))),0)</f>
        <v>0</v>
      </c>
      <c r="Q313">
        <f ca="1">IF(COUNTIF(IF(AND(配装计算器!$K$30&lt;&gt;"∞",0),INDEX(AU312:CB312,1,$AT$1),INDEX(AU314:CB314,1,$AT$1)),"*云栖松*")=1,P313,0)</f>
        <v>0</v>
      </c>
      <c r="R313">
        <f ca="1">IFERROR(IF(COUNTIF(B313,"*莺鸣柳*")&gt;0,45-加速!$L$9,MAX(0,R312-(A313-A312))),0)</f>
        <v>0</v>
      </c>
      <c r="S313">
        <f ca="1">IF(COUNTIF(IF(AND(配装计算器!$K$30&lt;&gt;"∞",0),INDEX(AU312:CB312,1,$AT$1),INDEX(AU314:CB314,1,$AT$1)),"*莺鸣柳*")=1,R313,0)</f>
        <v>0</v>
      </c>
      <c r="T313">
        <f ca="1" t="shared" si="87"/>
        <v>0</v>
      </c>
      <c r="U313">
        <f ca="1">IF(金蛇,IF(COUNTIF(B313,"*金环戴*")+COUNTIF(B313,"*吹风醒*")&gt;0,IF(A313&lt;=3,7.125-2.625-A313-加速!$L$11,7.125+加速!$K$9-(A313+加速!$L$11-T313)),0),0)+IF(金蛇,IF(COUNTIF(B313,"*千切子裂光*")&gt;0,2+加速!$K$9-(A313+加速!$L$11-T313),0),0)</f>
        <v>0</v>
      </c>
      <c r="V313">
        <f ca="1" t="shared" si="88"/>
        <v>0</v>
      </c>
      <c r="W313">
        <f ca="1" t="shared" si="80"/>
        <v>0</v>
      </c>
      <c r="X313">
        <f ca="1">INDEX(加速!$I$13:$I$21,W313+1)</f>
        <v>0</v>
      </c>
      <c r="Y313">
        <f ca="1" t="shared" si="89"/>
        <v>0.5</v>
      </c>
      <c r="Z313">
        <f ca="1" t="shared" si="85"/>
        <v>0</v>
      </c>
      <c r="AA313">
        <f ca="1">MAX(0,IFERROR(IF(COUNTIF(B313,"*叠*")&gt;0,IF(AC312&lt;3,8-A314+A313,AA312+6.875-A314+A313),AA312-A314+A313),AA312-加速!$L$11))</f>
        <v>0</v>
      </c>
      <c r="AB313" t="e">
        <f ca="1">MAX(0,IF(COUNTIF(IF(AND(配装计算器!$K$30&lt;&gt;"∞",0),INDEX(AU313:CB313,1,$AT$1),INDEX(AU313:CB313,1,$AT$1)),"*叠1*")=1,4*25-加速!$L$11,AB312-A313+A312)-IF(OR(COUNTIF(OFFSET(AT313,0,$AT$1,1,1),"*听雷*")&gt;0,AND(碧归&gt;0,COUNTIF(OFFSET(AT313,0,$AT$1,1,1),"*风来*")&gt;0)),0,1)*1.5)</f>
        <v>#VALUE!</v>
      </c>
      <c r="AC313">
        <f ca="1" t="shared" si="81"/>
        <v>0</v>
      </c>
      <c r="AD313">
        <f ca="1">IF(COUNTIF(IF(AND(配装计算器!$K$30&lt;&gt;"∞",0),INDEX(AU313:CB313,1,$AT$1),INDEX(AU314:CB314,1,$AT$1)),"*叠1*")=1,AB313*0+AE312,0)</f>
        <v>0</v>
      </c>
      <c r="AE313" t="e">
        <f ca="1">IF($AN$11&gt;0,IF(COUNTIF(B314,"*叠1*")&gt;0,50-加速!$L$11,MAX(0,AE312-(A314-A313))),0)</f>
        <v>#VALUE!</v>
      </c>
      <c r="AG313">
        <f ca="1" t="shared" si="82"/>
        <v>9</v>
      </c>
      <c r="AU313" s="176" t="s">
        <v>2776</v>
      </c>
      <c r="AV313">
        <v>2</v>
      </c>
      <c r="AW313" s="176" t="s">
        <v>2794</v>
      </c>
      <c r="AX313">
        <v>2</v>
      </c>
      <c r="AY313" t="s">
        <v>2768</v>
      </c>
      <c r="AZ313">
        <v>2</v>
      </c>
      <c r="BA313" t="s">
        <v>2768</v>
      </c>
      <c r="BB313">
        <v>2</v>
      </c>
      <c r="BC313" t="s">
        <v>2776</v>
      </c>
      <c r="BD313">
        <v>2</v>
      </c>
      <c r="BE313" t="s">
        <v>3084</v>
      </c>
      <c r="BF313">
        <v>2</v>
      </c>
      <c r="BG313" t="s">
        <v>2776</v>
      </c>
      <c r="BH313">
        <v>2</v>
      </c>
      <c r="BI313" s="176" t="s">
        <v>3026</v>
      </c>
      <c r="BJ313">
        <v>2</v>
      </c>
      <c r="BK313" t="s">
        <v>2768</v>
      </c>
      <c r="BL313">
        <v>0</v>
      </c>
      <c r="BM313" s="176" t="s">
        <v>2776</v>
      </c>
      <c r="BN313">
        <v>2</v>
      </c>
      <c r="BO313" s="176" t="s">
        <v>2794</v>
      </c>
      <c r="BP313">
        <v>2</v>
      </c>
      <c r="BQ313" t="s">
        <v>2768</v>
      </c>
      <c r="BR313">
        <v>2</v>
      </c>
      <c r="BS313" s="179" t="s">
        <v>2768</v>
      </c>
      <c r="BT313">
        <v>2</v>
      </c>
      <c r="BU313" t="s">
        <v>2768</v>
      </c>
      <c r="BV313">
        <v>1</v>
      </c>
      <c r="BW313" s="179" t="s">
        <v>2768</v>
      </c>
      <c r="BX313" s="179">
        <v>2</v>
      </c>
      <c r="BY313" s="176" t="s">
        <v>2768</v>
      </c>
      <c r="BZ313">
        <v>2</v>
      </c>
      <c r="CA313" t="s">
        <v>2768</v>
      </c>
      <c r="CB313">
        <v>2</v>
      </c>
    </row>
    <row r="314" spans="1:80">
      <c r="A314" s="178" t="str">
        <f ca="1">IFERROR(IF(AG313&lt;5+金蛇*2,IF(COUNTIF(B313,"*轻*")&gt;0,A313+加速!$L$9,A313+加速!$L$11)+V313,""),"")</f>
        <v/>
      </c>
      <c r="B314" s="167" t="str">
        <f ca="1" t="shared" si="77"/>
        <v/>
      </c>
      <c r="C314" t="str">
        <f ca="1" t="shared" si="86"/>
        <v/>
      </c>
      <c r="D314" t="str">
        <f ca="1">IF(B314&lt;&gt;"",IF(C313&lt;=加速!$L$11*(1-E314),0,1),"")</f>
        <v/>
      </c>
      <c r="E314">
        <f ca="1" t="shared" si="83"/>
        <v>1</v>
      </c>
      <c r="G314" t="str">
        <f ca="1" t="shared" si="84"/>
        <v/>
      </c>
      <c r="H314" t="str">
        <f ca="1">IF(B314&lt;&gt;"",IF(AND(COUNTIF(B313,"*轻*莺鸣柳*")&gt;0,COUNTIF(B314,"*轻*")&lt;1),MAX(0,15+I313-(A314-A313)+COUNTIF(B313,"*平湖*")*0),IF(AND(E314=0,MAX(0,H313-(A314-A313))&lt;=加速!$H$11),0,MAX(0,H313-(A314-A313)))),"")</f>
        <v/>
      </c>
      <c r="I314" t="str">
        <f ca="1" t="shared" si="90"/>
        <v/>
      </c>
      <c r="J314" t="str">
        <f ca="1" t="shared" si="91"/>
        <v/>
      </c>
      <c r="K314" t="str">
        <f ca="1" t="shared" si="78"/>
        <v/>
      </c>
      <c r="L314">
        <f ca="1">IFERROR(IF(AND(COUNTIF(B314,"*-峰插*"),技能数据库!$M$72&gt;0),0,IF(COUNTIF(B314,"*鹤归*")&gt;0,16-加速!$L$11,MAX(0,L313-(A314-A313)))),0)</f>
        <v>0</v>
      </c>
      <c r="M314">
        <f ca="1" t="shared" si="79"/>
        <v>0</v>
      </c>
      <c r="N314">
        <f ca="1">IFERROR(IF(AND(COUNTIF(B314,"*-峰插*"),技能数据库!$M$72&gt;0),0,IF(COUNTIF(B314,"*云飞*")&gt;0,4-COUNTIF(B314,"*玉山揽云*")*4--COUNTIF(B314,"*烟流暮景*")*4-COUNTIF(B314,"*云景*")*加速!$L$11-IF(J314&gt;0,2,0),MAX(0,N313-(A314-A313)-IF(J314&gt;0,2,0)))),0)</f>
        <v>0</v>
      </c>
      <c r="O314">
        <f ca="1">IF(AND(COUNTIF(IF(AND(配装计算器!$K$30&lt;&gt;"∞",0),INDEX(AU313:CB313,1,$AT$1),INDEX(AU315:CB315,1,$AT$1)),"*云飞*")=1,COUNTIF(IF(AND(配装计算器!$K$30&lt;&gt;"∞",0),INDEX(AU313:CB313,1,$AT$1),INDEX(AU315:CB315,1,$AT$1)),"*玉山*")=0),N314,0)</f>
        <v>0</v>
      </c>
      <c r="P314">
        <f ca="1">IFERROR(IF(COUNTIF(B314,"*云栖松*")&gt;0,50-加速!$L$11,MAX(0,P313-(A314-A313))),0)</f>
        <v>0</v>
      </c>
      <c r="Q314">
        <f ca="1">IF(COUNTIF(IF(AND(配装计算器!$K$30&lt;&gt;"∞",0),INDEX(AU313:CB313,1,$AT$1),INDEX(AU315:CB315,1,$AT$1)),"*云栖松*")=1,P314,0)</f>
        <v>0</v>
      </c>
      <c r="R314">
        <f ca="1">IFERROR(IF(COUNTIF(B314,"*莺鸣柳*")&gt;0,45-加速!$L$9,MAX(0,R313-(A314-A313))),0)</f>
        <v>0</v>
      </c>
      <c r="S314">
        <f ca="1">IF(COUNTIF(IF(AND(配装计算器!$K$30&lt;&gt;"∞",0),INDEX(AU313:CB313,1,$AT$1),INDEX(AU315:CB315,1,$AT$1)),"*莺鸣柳*")=1,R314,0)</f>
        <v>0</v>
      </c>
      <c r="T314">
        <f ca="1" t="shared" si="87"/>
        <v>0</v>
      </c>
      <c r="U314">
        <f ca="1">IF(金蛇,IF(COUNTIF(B314,"*金环戴*")+COUNTIF(B314,"*吹风醒*")&gt;0,IF(A314&lt;=3,7.125-2.625-A314-加速!$L$11,7.125+加速!$K$9-(A314+加速!$L$11-T314)),0),0)+IF(金蛇,IF(COUNTIF(B314,"*千切子裂光*")&gt;0,2+加速!$K$9-(A314+加速!$L$11-T314),0),0)</f>
        <v>0</v>
      </c>
      <c r="V314">
        <f ca="1" t="shared" si="88"/>
        <v>0</v>
      </c>
      <c r="W314">
        <f ca="1" t="shared" si="80"/>
        <v>0</v>
      </c>
      <c r="X314">
        <f ca="1">INDEX(加速!$I$13:$I$21,W314+1)</f>
        <v>0</v>
      </c>
      <c r="Y314">
        <f ca="1" t="shared" si="89"/>
        <v>0.5</v>
      </c>
      <c r="Z314">
        <f ca="1" t="shared" si="85"/>
        <v>0</v>
      </c>
      <c r="AA314">
        <f ca="1">MAX(0,IFERROR(IF(COUNTIF(B314,"*叠*")&gt;0,IF(AC313&lt;3,8-A315+A314,AA313+6.875-A315+A314),AA313-A315+A314),AA313-加速!$L$11))</f>
        <v>0</v>
      </c>
      <c r="AB314" t="e">
        <f ca="1">MAX(0,IF(COUNTIF(IF(AND(配装计算器!$K$30&lt;&gt;"∞",0),INDEX(AU314:CB314,1,$AT$1),INDEX(AU314:CB314,1,$AT$1)),"*叠1*")=1,4*25-加速!$L$11,AB313-A314+A313)-IF(OR(COUNTIF(OFFSET(AT314,0,$AT$1,1,1),"*听雷*")&gt;0,AND(碧归&gt;0,COUNTIF(OFFSET(AT314,0,$AT$1,1,1),"*风来*")&gt;0)),0,1)*1.5)</f>
        <v>#VALUE!</v>
      </c>
      <c r="AC314">
        <f ca="1" t="shared" si="81"/>
        <v>0</v>
      </c>
      <c r="AD314">
        <f ca="1">IF(COUNTIF(IF(AND(配装计算器!$K$30&lt;&gt;"∞",0),INDEX(AU314:CB314,1,$AT$1),INDEX(AU315:CB315,1,$AT$1)),"*叠1*")=1,AB314*0+AE313,0)</f>
        <v>0</v>
      </c>
      <c r="AE314" t="e">
        <f ca="1">IF($AN$11&gt;0,IF(COUNTIF(B315,"*叠1*")&gt;0,50-加速!$L$11,MAX(0,AE313-(A315-A314))),0)</f>
        <v>#VALUE!</v>
      </c>
      <c r="AG314">
        <f ca="1" t="shared" si="82"/>
        <v>9</v>
      </c>
      <c r="AU314" s="176" t="s">
        <v>2768</v>
      </c>
      <c r="AV314">
        <v>2</v>
      </c>
      <c r="AW314" s="176" t="s">
        <v>2776</v>
      </c>
      <c r="AX314">
        <v>2</v>
      </c>
      <c r="AY314" t="s">
        <v>2776</v>
      </c>
      <c r="AZ314">
        <v>2</v>
      </c>
      <c r="BA314" t="s">
        <v>2776</v>
      </c>
      <c r="BB314">
        <v>2</v>
      </c>
      <c r="BC314" t="s">
        <v>2789</v>
      </c>
      <c r="BD314">
        <v>2</v>
      </c>
      <c r="BE314" t="s">
        <v>2768</v>
      </c>
      <c r="BF314">
        <v>2</v>
      </c>
      <c r="BG314" t="s">
        <v>2768</v>
      </c>
      <c r="BH314">
        <v>2</v>
      </c>
      <c r="BI314" s="176" t="s">
        <v>3026</v>
      </c>
      <c r="BJ314">
        <v>2</v>
      </c>
      <c r="BK314" t="s">
        <v>3056</v>
      </c>
      <c r="BL314">
        <v>0</v>
      </c>
      <c r="BM314" s="176" t="s">
        <v>2768</v>
      </c>
      <c r="BN314">
        <v>2</v>
      </c>
      <c r="BO314" s="176" t="s">
        <v>2768</v>
      </c>
      <c r="BP314">
        <v>2</v>
      </c>
      <c r="BQ314" t="s">
        <v>2768</v>
      </c>
      <c r="BR314">
        <v>2</v>
      </c>
      <c r="BS314" s="182" t="s">
        <v>3023</v>
      </c>
      <c r="BT314">
        <v>2</v>
      </c>
      <c r="BU314" s="176" t="s">
        <v>2768</v>
      </c>
      <c r="BV314">
        <v>1</v>
      </c>
      <c r="BW314" s="179" t="s">
        <v>2776</v>
      </c>
      <c r="BX314" s="179">
        <v>2</v>
      </c>
      <c r="BY314" s="176" t="s">
        <v>2776</v>
      </c>
      <c r="BZ314">
        <v>2</v>
      </c>
      <c r="CA314" t="s">
        <v>2776</v>
      </c>
      <c r="CB314">
        <v>2</v>
      </c>
    </row>
    <row r="315" spans="1:80">
      <c r="A315" s="178" t="str">
        <f ca="1">IFERROR(IF(AG314&lt;5+金蛇*2,IF(COUNTIF(B314,"*轻*")&gt;0,A314+加速!$L$9,A314+加速!$L$11)+V314,""),"")</f>
        <v/>
      </c>
      <c r="B315" s="167" t="str">
        <f ca="1" t="shared" si="77"/>
        <v/>
      </c>
      <c r="C315" t="str">
        <f ca="1" t="shared" si="86"/>
        <v/>
      </c>
      <c r="D315" t="str">
        <f ca="1">IF(B315&lt;&gt;"",IF(C314&lt;=加速!$L$11*(1-E315),0,1),"")</f>
        <v/>
      </c>
      <c r="E315">
        <f ca="1" t="shared" si="83"/>
        <v>1</v>
      </c>
      <c r="G315" t="str">
        <f ca="1" t="shared" si="84"/>
        <v/>
      </c>
      <c r="H315" t="str">
        <f ca="1">IF(B315&lt;&gt;"",IF(AND(COUNTIF(B314,"*轻*莺鸣柳*")&gt;0,COUNTIF(B315,"*轻*")&lt;1),MAX(0,15+I314-(A315-A314)+COUNTIF(B314,"*平湖*")*0),IF(AND(E315=0,MAX(0,H314-(A315-A314))&lt;=加速!$H$11),0,MAX(0,H314-(A315-A314)))),"")</f>
        <v/>
      </c>
      <c r="I315" t="str">
        <f ca="1" t="shared" si="90"/>
        <v/>
      </c>
      <c r="J315" t="str">
        <f ca="1" t="shared" si="91"/>
        <v/>
      </c>
      <c r="K315" t="str">
        <f ca="1" t="shared" si="78"/>
        <v/>
      </c>
      <c r="L315">
        <f ca="1">IFERROR(IF(AND(COUNTIF(B315,"*-峰插*"),技能数据库!$M$72&gt;0),0,IF(COUNTIF(B315,"*鹤归*")&gt;0,16-加速!$L$11,MAX(0,L314-(A315-A314)))),0)</f>
        <v>0</v>
      </c>
      <c r="M315">
        <f ca="1" t="shared" si="79"/>
        <v>0</v>
      </c>
      <c r="N315">
        <f ca="1">IFERROR(IF(AND(COUNTIF(B315,"*-峰插*"),技能数据库!$M$72&gt;0),0,IF(COUNTIF(B315,"*云飞*")&gt;0,4-COUNTIF(B315,"*玉山揽云*")*4--COUNTIF(B315,"*烟流暮景*")*4-COUNTIF(B315,"*云景*")*加速!$L$11-IF(J315&gt;0,2,0),MAX(0,N314-(A315-A314)-IF(J315&gt;0,2,0)))),0)</f>
        <v>0</v>
      </c>
      <c r="O315">
        <f ca="1">IF(AND(COUNTIF(IF(AND(配装计算器!$K$30&lt;&gt;"∞",0),INDEX(AU314:CB314,1,$AT$1),INDEX(AU316:CB316,1,$AT$1)),"*云飞*")=1,COUNTIF(IF(AND(配装计算器!$K$30&lt;&gt;"∞",0),INDEX(AU314:CB314,1,$AT$1),INDEX(AU316:CB316,1,$AT$1)),"*玉山*")=0),N315,0)</f>
        <v>0</v>
      </c>
      <c r="P315">
        <f ca="1">IFERROR(IF(COUNTIF(B315,"*云栖松*")&gt;0,50-加速!$L$11,MAX(0,P314-(A315-A314))),0)</f>
        <v>0</v>
      </c>
      <c r="Q315">
        <f ca="1">IF(COUNTIF(IF(AND(配装计算器!$K$30&lt;&gt;"∞",0),INDEX(AU314:CB314,1,$AT$1),INDEX(AU316:CB316,1,$AT$1)),"*云栖松*")=1,P315,0)</f>
        <v>0</v>
      </c>
      <c r="R315">
        <f ca="1">IFERROR(IF(COUNTIF(B315,"*莺鸣柳*")&gt;0,45-加速!$L$9,MAX(0,R314-(A315-A314))),0)</f>
        <v>0</v>
      </c>
      <c r="S315">
        <f ca="1">IF(COUNTIF(IF(AND(配装计算器!$K$30&lt;&gt;"∞",0),INDEX(AU314:CB314,1,$AT$1),INDEX(AU316:CB316,1,$AT$1)),"*莺鸣柳*")=1,R315,0)</f>
        <v>0</v>
      </c>
      <c r="T315">
        <f ca="1" t="shared" si="87"/>
        <v>0</v>
      </c>
      <c r="U315">
        <f ca="1">IF(金蛇,IF(COUNTIF(B315,"*金环戴*")+COUNTIF(B315,"*吹风醒*")&gt;0,IF(A315&lt;=3,7.125-2.625-A315-加速!$L$11,7.125+加速!$K$9-(A315+加速!$L$11-T315)),0),0)+IF(金蛇,IF(COUNTIF(B315,"*千切子裂光*")&gt;0,2+加速!$K$9-(A315+加速!$L$11-T315),0),0)</f>
        <v>0</v>
      </c>
      <c r="V315">
        <f ca="1" t="shared" si="88"/>
        <v>0</v>
      </c>
      <c r="W315">
        <f ca="1" t="shared" si="80"/>
        <v>0</v>
      </c>
      <c r="X315">
        <f ca="1">INDEX(加速!$I$13:$I$21,W315+1)</f>
        <v>0</v>
      </c>
      <c r="Y315">
        <f ca="1" t="shared" si="89"/>
        <v>0.5</v>
      </c>
      <c r="Z315">
        <f ca="1" t="shared" si="85"/>
        <v>0</v>
      </c>
      <c r="AA315">
        <f ca="1">MAX(0,IFERROR(IF(COUNTIF(B315,"*叠*")&gt;0,IF(AC314&lt;3,8-A316+A315,AA314+6.875-A316+A315),AA314-A316+A315),AA314-加速!$L$11))</f>
        <v>0</v>
      </c>
      <c r="AB315" t="e">
        <f ca="1">MAX(0,IF(COUNTIF(IF(AND(配装计算器!$K$30&lt;&gt;"∞",0),INDEX(AU315:CB315,1,$AT$1),INDEX(AU315:CB315,1,$AT$1)),"*叠1*")=1,4*25-加速!$L$11,AB314-A315+A314)-IF(OR(COUNTIF(OFFSET(AT315,0,$AT$1,1,1),"*听雷*")&gt;0,AND(碧归&gt;0,COUNTIF(OFFSET(AT315,0,$AT$1,1,1),"*风来*")&gt;0)),0,1)*1.5)</f>
        <v>#VALUE!</v>
      </c>
      <c r="AC315">
        <f ca="1" t="shared" si="81"/>
        <v>0</v>
      </c>
      <c r="AD315">
        <f ca="1">IF(COUNTIF(IF(AND(配装计算器!$K$30&lt;&gt;"∞",0),INDEX(AU315:CB315,1,$AT$1),INDEX(AU316:CB316,1,$AT$1)),"*叠1*")=1,AB315*0+AE314,0)</f>
        <v>0</v>
      </c>
      <c r="AE315" t="e">
        <f ca="1">IF($AN$11&gt;0,IF(COUNTIF(B316,"*叠1*")&gt;0,50-加速!$L$11,MAX(0,AE314-(A316-A315))),0)</f>
        <v>#VALUE!</v>
      </c>
      <c r="AG315">
        <f ca="1" t="shared" si="82"/>
        <v>9</v>
      </c>
      <c r="AU315" s="176" t="s">
        <v>2776</v>
      </c>
      <c r="AV315">
        <v>2</v>
      </c>
      <c r="AW315" s="176" t="s">
        <v>2768</v>
      </c>
      <c r="AX315">
        <v>2</v>
      </c>
      <c r="AY315" t="s">
        <v>2768</v>
      </c>
      <c r="AZ315">
        <v>2</v>
      </c>
      <c r="BA315" t="s">
        <v>2768</v>
      </c>
      <c r="BB315">
        <v>2</v>
      </c>
      <c r="BC315" t="s">
        <v>2794</v>
      </c>
      <c r="BD315">
        <v>2</v>
      </c>
      <c r="BE315" t="s">
        <v>2794</v>
      </c>
      <c r="BF315">
        <v>2</v>
      </c>
      <c r="BG315" t="s">
        <v>2776</v>
      </c>
      <c r="BH315">
        <v>2</v>
      </c>
      <c r="BI315" s="176" t="s">
        <v>3026</v>
      </c>
      <c r="BJ315">
        <v>2</v>
      </c>
      <c r="BK315" t="s">
        <v>2768</v>
      </c>
      <c r="BL315">
        <v>2</v>
      </c>
      <c r="BM315" s="176" t="s">
        <v>2808</v>
      </c>
      <c r="BN315">
        <v>2</v>
      </c>
      <c r="BO315" s="176" t="s">
        <v>2776</v>
      </c>
      <c r="BP315">
        <v>2</v>
      </c>
      <c r="BQ315" t="s">
        <v>2776</v>
      </c>
      <c r="BR315">
        <v>1</v>
      </c>
      <c r="BS315" s="182" t="s">
        <v>2768</v>
      </c>
      <c r="BT315">
        <v>2</v>
      </c>
      <c r="BU315" t="s">
        <v>3055</v>
      </c>
      <c r="BV315">
        <v>0</v>
      </c>
      <c r="BW315" s="179" t="s">
        <v>2768</v>
      </c>
      <c r="BX315" s="179">
        <v>2</v>
      </c>
      <c r="BY315" s="176" t="s">
        <v>2768</v>
      </c>
      <c r="BZ315">
        <v>2</v>
      </c>
      <c r="CA315" t="str">
        <f>IF(山重水复,"风来吴山","夕照雷峰")</f>
        <v>夕照雷峰</v>
      </c>
      <c r="CB315">
        <v>2</v>
      </c>
    </row>
    <row r="316" spans="1:80">
      <c r="A316" s="178" t="str">
        <f ca="1">IFERROR(IF(AG315&lt;5+金蛇*2,IF(COUNTIF(B315,"*轻*")&gt;0,A315+加速!$L$9,A315+加速!$L$11)+V315,""),"")</f>
        <v/>
      </c>
      <c r="B316" s="167" t="str">
        <f ca="1" t="shared" si="77"/>
        <v/>
      </c>
      <c r="C316" t="str">
        <f ca="1" t="shared" si="86"/>
        <v/>
      </c>
      <c r="D316" t="str">
        <f ca="1">IF(B316&lt;&gt;"",IF(C315&lt;=加速!$L$11*(1-E316),0,1),"")</f>
        <v/>
      </c>
      <c r="E316">
        <f ca="1" t="shared" si="83"/>
        <v>1</v>
      </c>
      <c r="G316" t="str">
        <f ca="1" t="shared" si="84"/>
        <v/>
      </c>
      <c r="H316" t="str">
        <f ca="1">IF(B316&lt;&gt;"",IF(AND(COUNTIF(B315,"*轻*莺鸣柳*")&gt;0,COUNTIF(B316,"*轻*")&lt;1),MAX(0,15+I315-(A316-A315)+COUNTIF(B315,"*平湖*")*0),IF(AND(E316=0,MAX(0,H315-(A316-A315))&lt;=加速!$H$11),0,MAX(0,H315-(A316-A315)))),"")</f>
        <v/>
      </c>
      <c r="I316" t="str">
        <f ca="1" t="shared" si="90"/>
        <v/>
      </c>
      <c r="J316" t="str">
        <f ca="1" t="shared" si="91"/>
        <v/>
      </c>
      <c r="K316" t="str">
        <f ca="1" t="shared" si="78"/>
        <v/>
      </c>
      <c r="L316">
        <f ca="1">IFERROR(IF(AND(COUNTIF(B316,"*-峰插*"),技能数据库!$M$72&gt;0),0,IF(COUNTIF(B316,"*鹤归*")&gt;0,16-加速!$L$11,MAX(0,L315-(A316-A315)))),0)</f>
        <v>0</v>
      </c>
      <c r="M316">
        <f ca="1" t="shared" si="79"/>
        <v>0</v>
      </c>
      <c r="N316">
        <f ca="1">IFERROR(IF(AND(COUNTIF(B316,"*-峰插*"),技能数据库!$M$72&gt;0),0,IF(COUNTIF(B316,"*云飞*")&gt;0,4-COUNTIF(B316,"*玉山揽云*")*4--COUNTIF(B316,"*烟流暮景*")*4-COUNTIF(B316,"*云景*")*加速!$L$11-IF(J316&gt;0,2,0),MAX(0,N315-(A316-A315)-IF(J316&gt;0,2,0)))),0)</f>
        <v>0</v>
      </c>
      <c r="O316">
        <f ca="1">IF(AND(COUNTIF(IF(AND(配装计算器!$K$30&lt;&gt;"∞",0),INDEX(AU315:CB315,1,$AT$1),INDEX(AU317:CB317,1,$AT$1)),"*云飞*")=1,COUNTIF(IF(AND(配装计算器!$K$30&lt;&gt;"∞",0),INDEX(AU315:CB315,1,$AT$1),INDEX(AU317:CB317,1,$AT$1)),"*玉山*")=0),N316,0)</f>
        <v>0</v>
      </c>
      <c r="P316">
        <f ca="1">IFERROR(IF(COUNTIF(B316,"*云栖松*")&gt;0,50-加速!$L$11,MAX(0,P315-(A316-A315))),0)</f>
        <v>0</v>
      </c>
      <c r="Q316">
        <f ca="1">IF(COUNTIF(IF(AND(配装计算器!$K$30&lt;&gt;"∞",0),INDEX(AU315:CB315,1,$AT$1),INDEX(AU317:CB317,1,$AT$1)),"*云栖松*")=1,P316,0)</f>
        <v>0</v>
      </c>
      <c r="R316">
        <f ca="1">IFERROR(IF(COUNTIF(B316,"*莺鸣柳*")&gt;0,45-加速!$L$9,MAX(0,R315-(A316-A315))),0)</f>
        <v>0</v>
      </c>
      <c r="S316">
        <f ca="1">IF(COUNTIF(IF(AND(配装计算器!$K$30&lt;&gt;"∞",0),INDEX(AU315:CB315,1,$AT$1),INDEX(AU317:CB317,1,$AT$1)),"*莺鸣柳*")=1,R316,0)</f>
        <v>0</v>
      </c>
      <c r="T316">
        <f ca="1" t="shared" si="87"/>
        <v>0</v>
      </c>
      <c r="U316">
        <f ca="1">IF(金蛇,IF(COUNTIF(B316,"*金环戴*")+COUNTIF(B316,"*吹风醒*")&gt;0,IF(A316&lt;=3,7.125-2.625-A316-加速!$L$11,7.125+加速!$K$9-(A316+加速!$L$11-T316)),0),0)+IF(金蛇,IF(COUNTIF(B316,"*千切子裂光*")&gt;0,2+加速!$K$9-(A316+加速!$L$11-T316),0),0)</f>
        <v>0</v>
      </c>
      <c r="V316">
        <f ca="1" t="shared" si="88"/>
        <v>0</v>
      </c>
      <c r="W316">
        <f ca="1" t="shared" si="80"/>
        <v>0</v>
      </c>
      <c r="X316">
        <f ca="1">INDEX(加速!$I$13:$I$21,W316+1)</f>
        <v>0</v>
      </c>
      <c r="Y316">
        <f ca="1" t="shared" si="89"/>
        <v>0.5</v>
      </c>
      <c r="Z316">
        <f ca="1" t="shared" si="85"/>
        <v>0</v>
      </c>
      <c r="AA316">
        <f ca="1">MAX(0,IFERROR(IF(COUNTIF(B316,"*叠*")&gt;0,IF(AC315&lt;3,8-A317+A316,AA315+6.875-A317+A316),AA315-A317+A316),AA315-加速!$L$11))</f>
        <v>0</v>
      </c>
      <c r="AB316" t="e">
        <f ca="1">MAX(0,IF(COUNTIF(IF(AND(配装计算器!$K$30&lt;&gt;"∞",0),INDEX(AU316:CB316,1,$AT$1),INDEX(AU316:CB316,1,$AT$1)),"*叠1*")=1,4*25-加速!$L$11,AB315-A316+A315)-IF(OR(COUNTIF(OFFSET(AT316,0,$AT$1,1,1),"*听雷*")&gt;0,AND(碧归&gt;0,COUNTIF(OFFSET(AT316,0,$AT$1,1,1),"*风来*")&gt;0)),0,1)*1.5)</f>
        <v>#VALUE!</v>
      </c>
      <c r="AC316">
        <f ca="1" t="shared" si="81"/>
        <v>0</v>
      </c>
      <c r="AD316">
        <f ca="1">IF(COUNTIF(IF(AND(配装计算器!$K$30&lt;&gt;"∞",0),INDEX(AU316:CB316,1,$AT$1),INDEX(AU317:CB317,1,$AT$1)),"*叠1*")=1,AB316*0+AE315,0)</f>
        <v>0</v>
      </c>
      <c r="AE316" t="e">
        <f ca="1">IF($AN$11&gt;0,IF(COUNTIF(B317,"*叠1*")&gt;0,50-加速!$L$11,MAX(0,AE315-(A317-A316))),0)</f>
        <v>#VALUE!</v>
      </c>
      <c r="AG316">
        <f ca="1" t="shared" si="82"/>
        <v>9</v>
      </c>
      <c r="AU316" s="176" t="s">
        <v>2768</v>
      </c>
      <c r="AV316">
        <v>2</v>
      </c>
      <c r="AW316" s="176" t="s">
        <v>2776</v>
      </c>
      <c r="AX316">
        <v>2</v>
      </c>
      <c r="AY316" t="s">
        <v>2776</v>
      </c>
      <c r="AZ316">
        <v>2</v>
      </c>
      <c r="BA316" t="s">
        <v>2776</v>
      </c>
      <c r="BB316">
        <v>1</v>
      </c>
      <c r="BC316" s="182" t="s">
        <v>3036</v>
      </c>
      <c r="BD316">
        <v>2</v>
      </c>
      <c r="BE316" t="s">
        <v>2768</v>
      </c>
      <c r="BF316">
        <v>2</v>
      </c>
      <c r="BG316" t="s">
        <v>2768</v>
      </c>
      <c r="BH316">
        <v>1</v>
      </c>
      <c r="BI316" s="176" t="s">
        <v>3036</v>
      </c>
      <c r="BJ316">
        <v>2</v>
      </c>
      <c r="BK316" t="s">
        <v>2768</v>
      </c>
      <c r="BL316">
        <v>2</v>
      </c>
      <c r="BM316" t="s">
        <v>2768</v>
      </c>
      <c r="BN316">
        <v>2</v>
      </c>
      <c r="BO316" s="176" t="s">
        <v>2768</v>
      </c>
      <c r="BP316">
        <v>2</v>
      </c>
      <c r="BQ316" t="s">
        <v>3055</v>
      </c>
      <c r="BR316">
        <v>2</v>
      </c>
      <c r="BS316" s="182" t="s">
        <v>2776</v>
      </c>
      <c r="BT316">
        <v>2</v>
      </c>
      <c r="BU316" t="s">
        <v>2776</v>
      </c>
      <c r="BV316">
        <v>2</v>
      </c>
      <c r="BW316" s="179" t="s">
        <v>2768</v>
      </c>
      <c r="BX316" s="179">
        <v>2</v>
      </c>
      <c r="BY316" s="176" t="s">
        <v>2808</v>
      </c>
      <c r="BZ316">
        <v>2</v>
      </c>
      <c r="CA316" t="s">
        <v>2768</v>
      </c>
      <c r="CB316">
        <v>2</v>
      </c>
    </row>
    <row r="317" spans="1:80">
      <c r="A317" s="178" t="str">
        <f ca="1">IFERROR(IF(AG316&lt;5+金蛇*2,IF(COUNTIF(B316,"*轻*")&gt;0,A316+加速!$L$9,A316+加速!$L$11)+V316,""),"")</f>
        <v/>
      </c>
      <c r="B317" s="167" t="str">
        <f ca="1" t="shared" si="77"/>
        <v/>
      </c>
      <c r="C317" t="str">
        <f ca="1" t="shared" si="86"/>
        <v/>
      </c>
      <c r="D317" t="str">
        <f ca="1">IF(B317&lt;&gt;"",IF(C316&lt;=加速!$L$11*(1-E317),0,1),"")</f>
        <v/>
      </c>
      <c r="E317">
        <f ca="1" t="shared" si="83"/>
        <v>1</v>
      </c>
      <c r="G317" t="str">
        <f ca="1" t="shared" si="84"/>
        <v/>
      </c>
      <c r="H317" t="str">
        <f ca="1">IF(B317&lt;&gt;"",IF(AND(COUNTIF(B316,"*轻*莺鸣柳*")&gt;0,COUNTIF(B317,"*轻*")&lt;1),MAX(0,15+I316-(A317-A316)+COUNTIF(B316,"*平湖*")*0),IF(AND(E317=0,MAX(0,H316-(A317-A316))&lt;=加速!$H$11),0,MAX(0,H316-(A317-A316)))),"")</f>
        <v/>
      </c>
      <c r="I317" t="str">
        <f ca="1" t="shared" si="90"/>
        <v/>
      </c>
      <c r="J317" t="str">
        <f ca="1" t="shared" si="91"/>
        <v/>
      </c>
      <c r="K317" t="str">
        <f ca="1" t="shared" si="78"/>
        <v/>
      </c>
      <c r="L317">
        <f ca="1">IFERROR(IF(AND(COUNTIF(B317,"*-峰插*"),技能数据库!$M$72&gt;0),0,IF(COUNTIF(B317,"*鹤归*")&gt;0,16-加速!$L$11,MAX(0,L316-(A317-A316)))),0)</f>
        <v>0</v>
      </c>
      <c r="M317">
        <f ca="1" t="shared" si="79"/>
        <v>0</v>
      </c>
      <c r="N317">
        <f ca="1">IFERROR(IF(AND(COUNTIF(B317,"*-峰插*"),技能数据库!$M$72&gt;0),0,IF(COUNTIF(B317,"*云飞*")&gt;0,4-COUNTIF(B317,"*玉山揽云*")*4--COUNTIF(B317,"*烟流暮景*")*4-COUNTIF(B317,"*云景*")*加速!$L$11-IF(J317&gt;0,2,0),MAX(0,N316-(A317-A316)-IF(J317&gt;0,2,0)))),0)</f>
        <v>0</v>
      </c>
      <c r="O317">
        <f ca="1">IF(AND(COUNTIF(IF(AND(配装计算器!$K$30&lt;&gt;"∞",0),INDEX(AU316:CB316,1,$AT$1),INDEX(AU318:CB318,1,$AT$1)),"*云飞*")=1,COUNTIF(IF(AND(配装计算器!$K$30&lt;&gt;"∞",0),INDEX(AU316:CB316,1,$AT$1),INDEX(AU318:CB318,1,$AT$1)),"*玉山*")=0),N317,0)</f>
        <v>0</v>
      </c>
      <c r="P317">
        <f ca="1">IFERROR(IF(COUNTIF(B317,"*云栖松*")&gt;0,50-加速!$L$11,MAX(0,P316-(A317-A316))),0)</f>
        <v>0</v>
      </c>
      <c r="Q317">
        <f ca="1">IF(COUNTIF(IF(AND(配装计算器!$K$30&lt;&gt;"∞",0),INDEX(AU316:CB316,1,$AT$1),INDEX(AU318:CB318,1,$AT$1)),"*云栖松*")=1,P317,0)</f>
        <v>0</v>
      </c>
      <c r="R317">
        <f ca="1">IFERROR(IF(COUNTIF(B317,"*莺鸣柳*")&gt;0,45-加速!$L$9,MAX(0,R316-(A317-A316))),0)</f>
        <v>0</v>
      </c>
      <c r="S317">
        <f ca="1">IF(COUNTIF(IF(AND(配装计算器!$K$30&lt;&gt;"∞",0),INDEX(AU316:CB316,1,$AT$1),INDEX(AU318:CB318,1,$AT$1)),"*莺鸣柳*")=1,R317,0)</f>
        <v>0</v>
      </c>
      <c r="T317">
        <f ca="1" t="shared" si="87"/>
        <v>0</v>
      </c>
      <c r="U317">
        <f ca="1">IF(金蛇,IF(COUNTIF(B317,"*金环戴*")+COUNTIF(B317,"*吹风醒*")&gt;0,IF(A317&lt;=3,7.125-2.625-A317-加速!$L$11,7.125+加速!$K$9-(A317+加速!$L$11-T317)),0),0)+IF(金蛇,IF(COUNTIF(B317,"*千切子裂光*")&gt;0,2+加速!$K$9-(A317+加速!$L$11-T317),0),0)</f>
        <v>0</v>
      </c>
      <c r="V317">
        <f ca="1" t="shared" si="88"/>
        <v>0</v>
      </c>
      <c r="W317">
        <f ca="1" t="shared" si="80"/>
        <v>0</v>
      </c>
      <c r="X317">
        <f ca="1">INDEX(加速!$I$13:$I$21,W317+1)</f>
        <v>0</v>
      </c>
      <c r="Y317">
        <f ca="1" t="shared" si="89"/>
        <v>0.5</v>
      </c>
      <c r="Z317">
        <f ca="1" t="shared" si="85"/>
        <v>0</v>
      </c>
      <c r="AA317">
        <f ca="1">MAX(0,IFERROR(IF(COUNTIF(B317,"*叠*")&gt;0,IF(AC316&lt;3,8-A318+A317,AA316+6.875-A318+A317),AA316-A318+A317),AA316-加速!$L$11))</f>
        <v>0</v>
      </c>
      <c r="AB317" t="e">
        <f ca="1">MAX(0,IF(COUNTIF(IF(AND(配装计算器!$K$30&lt;&gt;"∞",0),INDEX(AU317:CB317,1,$AT$1),INDEX(AU317:CB317,1,$AT$1)),"*叠1*")=1,4*25-加速!$L$11,AB316-A317+A316)-IF(OR(COUNTIF(OFFSET(AT317,0,$AT$1,1,1),"*听雷*")&gt;0,AND(碧归&gt;0,COUNTIF(OFFSET(AT317,0,$AT$1,1,1),"*风来*")&gt;0)),0,1)*1.5)</f>
        <v>#VALUE!</v>
      </c>
      <c r="AC317">
        <f ca="1" t="shared" si="81"/>
        <v>0</v>
      </c>
      <c r="AD317">
        <f ca="1">IF(COUNTIF(IF(AND(配装计算器!$K$30&lt;&gt;"∞",0),INDEX(AU317:CB317,1,$AT$1),INDEX(AU318:CB318,1,$AT$1)),"*叠1*")=1,AB317*0+AE316,0)</f>
        <v>0</v>
      </c>
      <c r="AE317" t="e">
        <f ca="1">IF($AN$11&gt;0,IF(COUNTIF(B318,"*叠1*")&gt;0,50-加速!$L$11,MAX(0,AE316-(A318-A317))),0)</f>
        <v>#VALUE!</v>
      </c>
      <c r="AG317">
        <f ca="1" t="shared" si="82"/>
        <v>9</v>
      </c>
      <c r="AU317" s="176" t="s">
        <v>2776</v>
      </c>
      <c r="AV317">
        <v>2</v>
      </c>
      <c r="AW317" s="176" t="s">
        <v>2768</v>
      </c>
      <c r="AX317">
        <v>2</v>
      </c>
      <c r="AY317" t="s">
        <v>2768</v>
      </c>
      <c r="AZ317">
        <v>2</v>
      </c>
      <c r="BA317" t="s">
        <v>2768</v>
      </c>
      <c r="BB317">
        <v>1</v>
      </c>
      <c r="BC317" s="176" t="s">
        <v>3026</v>
      </c>
      <c r="BD317">
        <v>2</v>
      </c>
      <c r="BE317" t="s">
        <v>2776</v>
      </c>
      <c r="BF317">
        <v>2</v>
      </c>
      <c r="BG317" t="s">
        <v>2776</v>
      </c>
      <c r="BH317">
        <v>1</v>
      </c>
      <c r="BI317" t="s">
        <v>2794</v>
      </c>
      <c r="BJ317">
        <v>2</v>
      </c>
      <c r="BK317" t="s">
        <v>2776</v>
      </c>
      <c r="BL317">
        <v>2</v>
      </c>
      <c r="BM317" t="s">
        <v>2776</v>
      </c>
      <c r="BN317">
        <v>2</v>
      </c>
      <c r="BO317" s="176" t="s">
        <v>2776</v>
      </c>
      <c r="BP317">
        <v>2</v>
      </c>
      <c r="BQ317" t="s">
        <v>2768</v>
      </c>
      <c r="BR317">
        <v>2</v>
      </c>
      <c r="BS317" s="182" t="s">
        <v>2768</v>
      </c>
      <c r="BT317">
        <v>2</v>
      </c>
      <c r="BU317" t="s">
        <v>2768</v>
      </c>
      <c r="BV317">
        <v>2</v>
      </c>
      <c r="BW317" s="179" t="s">
        <v>2768</v>
      </c>
      <c r="BX317" s="179">
        <v>2</v>
      </c>
      <c r="BY317" t="s">
        <v>2768</v>
      </c>
      <c r="BZ317">
        <v>2</v>
      </c>
      <c r="CA317" t="s">
        <v>2768</v>
      </c>
      <c r="CB317">
        <v>2</v>
      </c>
    </row>
    <row r="318" spans="1:80">
      <c r="A318" s="178" t="str">
        <f ca="1">IFERROR(IF(AG317&lt;5+金蛇*2,IF(COUNTIF(B317,"*轻*")&gt;0,A317+加速!$L$9,A317+加速!$L$11)+V317,""),"")</f>
        <v/>
      </c>
      <c r="B318" s="167" t="str">
        <f ca="1" t="shared" si="77"/>
        <v/>
      </c>
      <c r="C318" t="str">
        <f ca="1" t="shared" si="86"/>
        <v/>
      </c>
      <c r="D318" t="str">
        <f ca="1">IF(B318&lt;&gt;"",IF(C317&lt;=加速!$L$11*(1-E318),0,1),"")</f>
        <v/>
      </c>
      <c r="E318">
        <f ca="1" t="shared" si="83"/>
        <v>1</v>
      </c>
      <c r="G318" t="str">
        <f ca="1" t="shared" si="84"/>
        <v/>
      </c>
      <c r="H318" t="str">
        <f ca="1">IF(B318&lt;&gt;"",IF(AND(COUNTIF(B317,"*轻*莺鸣柳*")&gt;0,COUNTIF(B318,"*轻*")&lt;1),MAX(0,15+I317-(A318-A317)+COUNTIF(B317,"*平湖*")*0),IF(AND(E318=0,MAX(0,H317-(A318-A317))&lt;=加速!$H$11),0,MAX(0,H317-(A318-A317)))),"")</f>
        <v/>
      </c>
      <c r="I318" t="str">
        <f ca="1" t="shared" si="90"/>
        <v/>
      </c>
      <c r="J318" t="str">
        <f ca="1" t="shared" si="91"/>
        <v/>
      </c>
      <c r="K318" t="str">
        <f ca="1" t="shared" si="78"/>
        <v/>
      </c>
      <c r="L318">
        <f ca="1">IFERROR(IF(AND(COUNTIF(B318,"*-峰插*"),技能数据库!$M$72&gt;0),0,IF(COUNTIF(B318,"*鹤归*")&gt;0,16-加速!$L$11,MAX(0,L317-(A318-A317)))),0)</f>
        <v>0</v>
      </c>
      <c r="M318">
        <f ca="1" t="shared" si="79"/>
        <v>0</v>
      </c>
      <c r="N318">
        <f ca="1">IFERROR(IF(AND(COUNTIF(B318,"*-峰插*"),技能数据库!$M$72&gt;0),0,IF(COUNTIF(B318,"*云飞*")&gt;0,4-COUNTIF(B318,"*玉山揽云*")*4--COUNTIF(B318,"*烟流暮景*")*4-COUNTIF(B318,"*云景*")*加速!$L$11-IF(J318&gt;0,2,0),MAX(0,N317-(A318-A317)-IF(J318&gt;0,2,0)))),0)</f>
        <v>0</v>
      </c>
      <c r="O318">
        <f ca="1">IF(AND(COUNTIF(IF(AND(配装计算器!$K$30&lt;&gt;"∞",0),INDEX(AU317:CB317,1,$AT$1),INDEX(AU319:CB319,1,$AT$1)),"*云飞*")=1,COUNTIF(IF(AND(配装计算器!$K$30&lt;&gt;"∞",0),INDEX(AU317:CB317,1,$AT$1),INDEX(AU319:CB319,1,$AT$1)),"*玉山*")=0),N318,0)</f>
        <v>0</v>
      </c>
      <c r="P318">
        <f ca="1">IFERROR(IF(COUNTIF(B318,"*云栖松*")&gt;0,50-加速!$L$11,MAX(0,P317-(A318-A317))),0)</f>
        <v>0</v>
      </c>
      <c r="Q318">
        <f ca="1">IF(COUNTIF(IF(AND(配装计算器!$K$30&lt;&gt;"∞",0),INDEX(AU317:CB317,1,$AT$1),INDEX(AU319:CB319,1,$AT$1)),"*云栖松*")=1,P318,0)</f>
        <v>0</v>
      </c>
      <c r="R318">
        <f ca="1">IFERROR(IF(COUNTIF(B318,"*莺鸣柳*")&gt;0,45-加速!$L$9,MAX(0,R317-(A318-A317))),0)</f>
        <v>0</v>
      </c>
      <c r="S318">
        <f ca="1">IF(COUNTIF(IF(AND(配装计算器!$K$30&lt;&gt;"∞",0),INDEX(AU317:CB317,1,$AT$1),INDEX(AU319:CB319,1,$AT$1)),"*莺鸣柳*")=1,R318,0)</f>
        <v>0</v>
      </c>
      <c r="T318">
        <f ca="1" t="shared" si="87"/>
        <v>0</v>
      </c>
      <c r="U318">
        <f ca="1">IF(金蛇,IF(COUNTIF(B318,"*金环戴*")+COUNTIF(B318,"*吹风醒*")&gt;0,IF(A318&lt;=3,7.125-2.625-A318-加速!$L$11,7.125+加速!$K$9-(A318+加速!$L$11-T318)),0),0)+IF(金蛇,IF(COUNTIF(B318,"*千切子裂光*")&gt;0,2+加速!$K$9-(A318+加速!$L$11-T318),0),0)</f>
        <v>0</v>
      </c>
      <c r="V318">
        <f ca="1" t="shared" si="88"/>
        <v>0</v>
      </c>
      <c r="W318">
        <f ca="1" t="shared" si="80"/>
        <v>0</v>
      </c>
      <c r="X318">
        <f ca="1">INDEX(加速!$I$13:$I$21,W318+1)</f>
        <v>0</v>
      </c>
      <c r="Y318">
        <f ca="1" t="shared" si="89"/>
        <v>0.5</v>
      </c>
      <c r="Z318">
        <f ca="1" t="shared" si="85"/>
        <v>0</v>
      </c>
      <c r="AA318">
        <f ca="1">MAX(0,IFERROR(IF(COUNTIF(B318,"*叠*")&gt;0,IF(AC317&lt;3,8-A319+A318,AA317+6.875-A319+A318),AA317-A319+A318),AA317-加速!$L$11))</f>
        <v>0</v>
      </c>
      <c r="AB318" t="e">
        <f ca="1">MAX(0,IF(COUNTIF(IF(AND(配装计算器!$K$30&lt;&gt;"∞",0),INDEX(AU318:CB318,1,$AT$1),INDEX(AU318:CB318,1,$AT$1)),"*叠1*")=1,4*25-加速!$L$11,AB317-A318+A317)-IF(OR(COUNTIF(OFFSET(AT318,0,$AT$1,1,1),"*听雷*")&gt;0,AND(碧归&gt;0,COUNTIF(OFFSET(AT318,0,$AT$1,1,1),"*风来*")&gt;0)),0,1)*1.5)</f>
        <v>#VALUE!</v>
      </c>
      <c r="AC318">
        <f ca="1" t="shared" si="81"/>
        <v>0</v>
      </c>
      <c r="AD318">
        <f ca="1">IF(COUNTIF(IF(AND(配装计算器!$K$30&lt;&gt;"∞",0),INDEX(AU318:CB318,1,$AT$1),INDEX(AU319:CB319,1,$AT$1)),"*叠1*")=1,AB318*0+AE317,0)</f>
        <v>0</v>
      </c>
      <c r="AE318" t="e">
        <f ca="1">IF($AN$11&gt;0,IF(COUNTIF(B319,"*叠1*")&gt;0,50-加速!$L$11,MAX(0,AE317-(A319-A318))),0)</f>
        <v>#VALUE!</v>
      </c>
      <c r="AG318">
        <f ca="1" t="shared" si="82"/>
        <v>9</v>
      </c>
      <c r="AU318" t="s">
        <v>2768</v>
      </c>
      <c r="AV318">
        <v>2</v>
      </c>
      <c r="AW318" s="176" t="s">
        <v>2808</v>
      </c>
      <c r="AX318">
        <v>2</v>
      </c>
      <c r="AY318" t="s">
        <v>2776</v>
      </c>
      <c r="AZ318">
        <v>1</v>
      </c>
      <c r="BA318" t="s">
        <v>2768</v>
      </c>
      <c r="BB318">
        <v>0</v>
      </c>
      <c r="BC318" s="176" t="s">
        <v>3026</v>
      </c>
      <c r="BD318">
        <v>2</v>
      </c>
      <c r="BE318" t="s">
        <v>2768</v>
      </c>
      <c r="BF318">
        <v>2</v>
      </c>
      <c r="BG318" t="s">
        <v>2768</v>
      </c>
      <c r="BH318">
        <v>0</v>
      </c>
      <c r="BI318" t="s">
        <v>2776</v>
      </c>
      <c r="BJ318">
        <v>2</v>
      </c>
      <c r="BK318" t="s">
        <v>2768</v>
      </c>
      <c r="BL318">
        <v>1</v>
      </c>
      <c r="BM318" t="s">
        <v>2768</v>
      </c>
      <c r="BN318">
        <v>2</v>
      </c>
      <c r="BO318" s="176" t="str">
        <f>IF(0,"云飞玉皇-玉山揽云","夕照雷峰")</f>
        <v>夕照雷峰</v>
      </c>
      <c r="BP318">
        <v>2</v>
      </c>
      <c r="BQ318" t="s">
        <v>2776</v>
      </c>
      <c r="BR318">
        <v>2</v>
      </c>
      <c r="BS318" s="182" t="s">
        <v>3085</v>
      </c>
      <c r="BT318">
        <v>2</v>
      </c>
      <c r="BU318" t="s">
        <v>2776</v>
      </c>
      <c r="BV318">
        <v>2</v>
      </c>
      <c r="BW318" s="179" t="s">
        <v>2776</v>
      </c>
      <c r="BX318" s="179">
        <v>2</v>
      </c>
      <c r="BY318" t="s">
        <v>2776</v>
      </c>
      <c r="BZ318">
        <v>2</v>
      </c>
      <c r="CA318" t="s">
        <v>2776</v>
      </c>
      <c r="CB318">
        <v>2</v>
      </c>
    </row>
    <row r="319" spans="1:80">
      <c r="A319" s="178" t="str">
        <f ca="1">IFERROR(IF(AG318&lt;5+金蛇*2,IF(COUNTIF(B318,"*轻*")&gt;0,A318+加速!$L$9,A318+加速!$L$11)+V318,""),"")</f>
        <v/>
      </c>
      <c r="B319" s="167" t="str">
        <f ca="1" t="shared" si="77"/>
        <v/>
      </c>
      <c r="C319" t="str">
        <f ca="1" t="shared" si="86"/>
        <v/>
      </c>
      <c r="D319" t="str">
        <f ca="1">IF(B319&lt;&gt;"",IF(C318&lt;=加速!$L$11*(1-E319),0,1),"")</f>
        <v/>
      </c>
      <c r="E319">
        <f ca="1" t="shared" si="83"/>
        <v>1</v>
      </c>
      <c r="G319" t="str">
        <f ca="1" t="shared" si="84"/>
        <v/>
      </c>
      <c r="H319" t="str">
        <f ca="1">IF(B319&lt;&gt;"",IF(AND(COUNTIF(B318,"*轻*莺鸣柳*")&gt;0,COUNTIF(B319,"*轻*")&lt;1),MAX(0,15+I318-(A319-A318)+COUNTIF(B318,"*平湖*")*0),IF(AND(E319=0,MAX(0,H318-(A319-A318))&lt;=加速!$H$11),0,MAX(0,H318-(A319-A318)))),"")</f>
        <v/>
      </c>
      <c r="I319" t="str">
        <f ca="1" t="shared" si="90"/>
        <v/>
      </c>
      <c r="J319" t="str">
        <f ca="1" t="shared" si="91"/>
        <v/>
      </c>
      <c r="K319" t="str">
        <f ca="1" t="shared" si="78"/>
        <v/>
      </c>
      <c r="L319">
        <f ca="1">IFERROR(IF(AND(COUNTIF(B319,"*-峰插*"),技能数据库!$M$72&gt;0),0,IF(COUNTIF(B319,"*鹤归*")&gt;0,16-加速!$L$11,MAX(0,L318-(A319-A318)))),0)</f>
        <v>0</v>
      </c>
      <c r="M319">
        <f ca="1" t="shared" si="79"/>
        <v>0</v>
      </c>
      <c r="N319">
        <f ca="1">IFERROR(IF(AND(COUNTIF(B319,"*-峰插*"),技能数据库!$M$72&gt;0),0,IF(COUNTIF(B319,"*云飞*")&gt;0,4-COUNTIF(B319,"*玉山揽云*")*4--COUNTIF(B319,"*烟流暮景*")*4-COUNTIF(B319,"*云景*")*加速!$L$11-IF(J319&gt;0,2,0),MAX(0,N318-(A319-A318)-IF(J319&gt;0,2,0)))),0)</f>
        <v>0</v>
      </c>
      <c r="O319">
        <f ca="1">IF(AND(COUNTIF(IF(AND(配装计算器!$K$30&lt;&gt;"∞",0),INDEX(AU318:CB318,1,$AT$1),INDEX(AU320:CB320,1,$AT$1)),"*云飞*")=1,COUNTIF(IF(AND(配装计算器!$K$30&lt;&gt;"∞",0),INDEX(AU318:CB318,1,$AT$1),INDEX(AU320:CB320,1,$AT$1)),"*玉山*")=0),N319,0)</f>
        <v>0</v>
      </c>
      <c r="P319">
        <f ca="1">IFERROR(IF(COUNTIF(B319,"*云栖松*")&gt;0,50-加速!$L$11,MAX(0,P318-(A319-A318))),0)</f>
        <v>0</v>
      </c>
      <c r="Q319">
        <f ca="1">IF(COUNTIF(IF(AND(配装计算器!$K$30&lt;&gt;"∞",0),INDEX(AU318:CB318,1,$AT$1),INDEX(AU320:CB320,1,$AT$1)),"*云栖松*")=1,P319,0)</f>
        <v>0</v>
      </c>
      <c r="R319">
        <f ca="1">IFERROR(IF(COUNTIF(B319,"*莺鸣柳*")&gt;0,45-加速!$L$9,MAX(0,R318-(A319-A318))),0)</f>
        <v>0</v>
      </c>
      <c r="S319">
        <f ca="1">IF(COUNTIF(IF(AND(配装计算器!$K$30&lt;&gt;"∞",0),INDEX(AU318:CB318,1,$AT$1),INDEX(AU320:CB320,1,$AT$1)),"*莺鸣柳*")=1,R319,0)</f>
        <v>0</v>
      </c>
      <c r="T319">
        <f ca="1" t="shared" si="87"/>
        <v>0</v>
      </c>
      <c r="U319">
        <f ca="1">IF(金蛇,IF(COUNTIF(B319,"*金环戴*")+COUNTIF(B319,"*吹风醒*")&gt;0,IF(A319&lt;=3,7.125-2.625-A319-加速!$L$11,7.125+加速!$K$9-(A319+加速!$L$11-T319)),0),0)+IF(金蛇,IF(COUNTIF(B319,"*千切子裂光*")&gt;0,2+加速!$K$9-(A319+加速!$L$11-T319),0),0)</f>
        <v>0</v>
      </c>
      <c r="V319">
        <f ca="1" t="shared" si="88"/>
        <v>0</v>
      </c>
      <c r="W319">
        <f ca="1" t="shared" si="80"/>
        <v>0</v>
      </c>
      <c r="X319">
        <f ca="1">INDEX(加速!$I$13:$I$21,W319+1)</f>
        <v>0</v>
      </c>
      <c r="Y319">
        <f ca="1" t="shared" si="89"/>
        <v>0.5</v>
      </c>
      <c r="Z319">
        <f ca="1" t="shared" si="85"/>
        <v>0</v>
      </c>
      <c r="AA319">
        <f ca="1">MAX(0,IFERROR(IF(COUNTIF(B319,"*叠*")&gt;0,IF(AC318&lt;3,8-A320+A319,AA318+6.875-A320+A319),AA318-A320+A319),AA318-加速!$L$11))</f>
        <v>0</v>
      </c>
      <c r="AB319" t="e">
        <f ca="1">MAX(0,IF(COUNTIF(IF(AND(配装计算器!$K$30&lt;&gt;"∞",0),INDEX(AU319:CB319,1,$AT$1),INDEX(AU319:CB319,1,$AT$1)),"*叠1*")=1,4*25-加速!$L$11,AB318-A319+A318)-IF(OR(COUNTIF(OFFSET(AT319,0,$AT$1,1,1),"*听雷*")&gt;0,AND(碧归&gt;0,COUNTIF(OFFSET(AT319,0,$AT$1,1,1),"*风来*")&gt;0)),0,1)*1.5)</f>
        <v>#VALUE!</v>
      </c>
      <c r="AC319">
        <f ca="1" t="shared" si="81"/>
        <v>0</v>
      </c>
      <c r="AD319">
        <f ca="1">IF(COUNTIF(IF(AND(配装计算器!$K$30&lt;&gt;"∞",0),INDEX(AU319:CB319,1,$AT$1),INDEX(AU320:CB320,1,$AT$1)),"*叠1*")=1,AB319*0+AE318,0)</f>
        <v>0</v>
      </c>
      <c r="AE319" t="e">
        <f ca="1">IF($AN$11&gt;0,IF(COUNTIF(B320,"*叠1*")&gt;0,50-加速!$L$11,MAX(0,AE318-(A320-A319))),0)</f>
        <v>#VALUE!</v>
      </c>
      <c r="AG319">
        <f ca="1" t="shared" si="82"/>
        <v>9</v>
      </c>
      <c r="AU319" t="str">
        <f>IF($AN$11=1,"云飞玉皇-玉山揽云","夕照雷峰")</f>
        <v>云飞玉皇-玉山揽云</v>
      </c>
      <c r="AV319">
        <v>2</v>
      </c>
      <c r="AW319" t="s">
        <v>2768</v>
      </c>
      <c r="AX319">
        <v>2</v>
      </c>
      <c r="AY319" t="s">
        <v>2768</v>
      </c>
      <c r="AZ319">
        <v>1</v>
      </c>
      <c r="BA319" t="s">
        <v>2722</v>
      </c>
      <c r="BB319">
        <v>0</v>
      </c>
      <c r="BC319" s="176" t="s">
        <v>3026</v>
      </c>
      <c r="BD319">
        <v>2</v>
      </c>
      <c r="BE319" t="s">
        <v>2776</v>
      </c>
      <c r="BF319">
        <v>2</v>
      </c>
      <c r="BG319" t="s">
        <v>2768</v>
      </c>
      <c r="BH319">
        <v>0</v>
      </c>
      <c r="BI319" t="s">
        <v>2768</v>
      </c>
      <c r="BJ319">
        <v>2</v>
      </c>
      <c r="BK319" t="s">
        <v>2768</v>
      </c>
      <c r="BL319">
        <v>1</v>
      </c>
      <c r="BM319" t="s">
        <v>2768</v>
      </c>
      <c r="BN319">
        <v>2</v>
      </c>
      <c r="BO319" t="str">
        <f>IF(0,"云飞玉皇-玉山揽云","云飞玉皇")</f>
        <v>云飞玉皇</v>
      </c>
      <c r="BP319">
        <v>2</v>
      </c>
      <c r="BQ319" t="s">
        <v>2768</v>
      </c>
      <c r="BR319">
        <v>2</v>
      </c>
      <c r="BS319" s="182" t="s">
        <v>3084</v>
      </c>
      <c r="BT319">
        <v>2</v>
      </c>
      <c r="BU319" t="s">
        <v>2768</v>
      </c>
      <c r="BV319">
        <v>1</v>
      </c>
      <c r="BW319" s="182" t="s">
        <v>2794</v>
      </c>
      <c r="BX319" s="179">
        <v>2</v>
      </c>
      <c r="BY319" t="s">
        <v>2768</v>
      </c>
      <c r="BZ319">
        <v>2</v>
      </c>
      <c r="CA319" s="176" t="s">
        <v>2794</v>
      </c>
      <c r="CB319">
        <v>2</v>
      </c>
    </row>
    <row r="320" spans="1:80">
      <c r="A320" s="178" t="str">
        <f ca="1">IFERROR(IF(AG319&lt;5+金蛇*2,IF(COUNTIF(B319,"*轻*")&gt;0,A319+加速!$L$9,A319+加速!$L$11)+V319,""),"")</f>
        <v/>
      </c>
      <c r="B320" s="167" t="str">
        <f ca="1" t="shared" si="77"/>
        <v/>
      </c>
      <c r="C320" t="str">
        <f ca="1" t="shared" si="86"/>
        <v/>
      </c>
      <c r="D320" t="str">
        <f ca="1">IF(B320&lt;&gt;"",IF(C319&lt;=加速!$L$11*(1-E320),0,1),"")</f>
        <v/>
      </c>
      <c r="E320">
        <f ca="1" t="shared" si="83"/>
        <v>1</v>
      </c>
      <c r="G320" t="str">
        <f ca="1" t="shared" si="84"/>
        <v/>
      </c>
      <c r="H320" t="str">
        <f ca="1">IF(B320&lt;&gt;"",IF(AND(COUNTIF(B319,"*轻*莺鸣柳*")&gt;0,COUNTIF(B320,"*轻*")&lt;1),MAX(0,15+I319-(A320-A319)+COUNTIF(B319,"*平湖*")*0),IF(AND(E320=0,MAX(0,H319-(A320-A319))&lt;=加速!$H$11),0,MAX(0,H319-(A320-A319)))),"")</f>
        <v/>
      </c>
      <c r="I320" t="str">
        <f ca="1" t="shared" si="90"/>
        <v/>
      </c>
      <c r="J320" t="str">
        <f ca="1" t="shared" si="91"/>
        <v/>
      </c>
      <c r="K320" t="str">
        <f ca="1" t="shared" si="78"/>
        <v/>
      </c>
      <c r="L320">
        <f ca="1">IFERROR(IF(AND(COUNTIF(B320,"*-峰插*"),技能数据库!$M$72&gt;0),0,IF(COUNTIF(B320,"*鹤归*")&gt;0,16-加速!$L$11,MAX(0,L319-(A320-A319)))),0)</f>
        <v>0</v>
      </c>
      <c r="M320">
        <f ca="1" t="shared" si="79"/>
        <v>0</v>
      </c>
      <c r="N320">
        <f ca="1">IFERROR(IF(AND(COUNTIF(B320,"*-峰插*"),技能数据库!$M$72&gt;0),0,IF(COUNTIF(B320,"*云飞*")&gt;0,4-COUNTIF(B320,"*玉山揽云*")*4--COUNTIF(B320,"*烟流暮景*")*4-COUNTIF(B320,"*云景*")*加速!$L$11-IF(J320&gt;0,2,0),MAX(0,N319-(A320-A319)-IF(J320&gt;0,2,0)))),0)</f>
        <v>0</v>
      </c>
      <c r="O320">
        <f ca="1">IF(AND(COUNTIF(IF(AND(配装计算器!$K$30&lt;&gt;"∞",0),INDEX(AU319:CB319,1,$AT$1),INDEX(AU321:CB321,1,$AT$1)),"*云飞*")=1,COUNTIF(IF(AND(配装计算器!$K$30&lt;&gt;"∞",0),INDEX(AU319:CB319,1,$AT$1),INDEX(AU321:CB321,1,$AT$1)),"*玉山*")=0),N320,0)</f>
        <v>0</v>
      </c>
      <c r="P320">
        <f ca="1">IFERROR(IF(COUNTIF(B320,"*云栖松*")&gt;0,50-加速!$L$11,MAX(0,P319-(A320-A319))),0)</f>
        <v>0</v>
      </c>
      <c r="Q320">
        <f ca="1">IF(COUNTIF(IF(AND(配装计算器!$K$30&lt;&gt;"∞",0),INDEX(AU319:CB319,1,$AT$1),INDEX(AU321:CB321,1,$AT$1)),"*云栖松*")=1,P320,0)</f>
        <v>0</v>
      </c>
      <c r="R320">
        <f ca="1">IFERROR(IF(COUNTIF(B320,"*莺鸣柳*")&gt;0,45-加速!$L$9,MAX(0,R319-(A320-A319))),0)</f>
        <v>0</v>
      </c>
      <c r="S320">
        <f ca="1">IF(COUNTIF(IF(AND(配装计算器!$K$30&lt;&gt;"∞",0),INDEX(AU319:CB319,1,$AT$1),INDEX(AU321:CB321,1,$AT$1)),"*莺鸣柳*")=1,R320,0)</f>
        <v>0</v>
      </c>
      <c r="T320">
        <f ca="1" t="shared" si="87"/>
        <v>0</v>
      </c>
      <c r="U320">
        <f ca="1">IF(金蛇,IF(COUNTIF(B320,"*金环戴*")+COUNTIF(B320,"*吹风醒*")&gt;0,IF(A320&lt;=3,7.125-2.625-A320-加速!$L$11,7.125+加速!$K$9-(A320+加速!$L$11-T320)),0),0)+IF(金蛇,IF(COUNTIF(B320,"*千切子裂光*")&gt;0,2+加速!$K$9-(A320+加速!$L$11-T320),0),0)</f>
        <v>0</v>
      </c>
      <c r="V320">
        <f ca="1" t="shared" si="88"/>
        <v>0</v>
      </c>
      <c r="W320">
        <f ca="1" t="shared" si="80"/>
        <v>0</v>
      </c>
      <c r="X320">
        <f ca="1">INDEX(加速!$I$13:$I$21,W320+1)</f>
        <v>0</v>
      </c>
      <c r="Y320">
        <f ca="1" t="shared" si="89"/>
        <v>0.5</v>
      </c>
      <c r="Z320">
        <f ca="1" t="shared" si="85"/>
        <v>0</v>
      </c>
      <c r="AA320">
        <f ca="1">MAX(0,IFERROR(IF(COUNTIF(B320,"*叠*")&gt;0,IF(AC319&lt;3,8-A321+A320,AA319+6.875-A321+A320),AA319-A321+A320),AA319-加速!$L$11))</f>
        <v>0</v>
      </c>
      <c r="AB320" t="e">
        <f ca="1">MAX(0,IF(COUNTIF(IF(AND(配装计算器!$K$30&lt;&gt;"∞",0),INDEX(AU320:CB320,1,$AT$1),INDEX(AU320:CB320,1,$AT$1)),"*叠1*")=1,4*25-加速!$L$11,AB319-A320+A319)-IF(OR(COUNTIF(OFFSET(AT320,0,$AT$1,1,1),"*听雷*")&gt;0,AND(碧归&gt;0,COUNTIF(OFFSET(AT320,0,$AT$1,1,1),"*风来*")&gt;0)),0,1)*1.5)</f>
        <v>#VALUE!</v>
      </c>
      <c r="AC320">
        <f ca="1" t="shared" si="81"/>
        <v>0</v>
      </c>
      <c r="AD320">
        <f ca="1">IF(COUNTIF(IF(AND(配装计算器!$K$30&lt;&gt;"∞",0),INDEX(AU320:CB320,1,$AT$1),INDEX(AU321:CB321,1,$AT$1)),"*叠1*")=1,AB320*0+AE319,0)</f>
        <v>0</v>
      </c>
      <c r="AE320" t="e">
        <f ca="1">IF($AN$11&gt;0,IF(COUNTIF(B321,"*叠1*")&gt;0,50-加速!$L$11,MAX(0,AE319-(A321-A320))),0)</f>
        <v>#VALUE!</v>
      </c>
      <c r="AG320">
        <f ca="1" t="shared" si="82"/>
        <v>9</v>
      </c>
      <c r="AU320" t="str">
        <f>IF($AN$11=1,"云飞玉皇-玉山揽云","云飞玉皇")</f>
        <v>云飞玉皇-玉山揽云</v>
      </c>
      <c r="AV320">
        <v>2</v>
      </c>
      <c r="AW320" t="s">
        <v>2776</v>
      </c>
      <c r="AX320">
        <v>2</v>
      </c>
      <c r="AY320" t="s">
        <v>2768</v>
      </c>
      <c r="AZ320">
        <v>0</v>
      </c>
      <c r="BA320" t="s">
        <v>2776</v>
      </c>
      <c r="BB320">
        <v>2</v>
      </c>
      <c r="BC320" s="176" t="s">
        <v>3026</v>
      </c>
      <c r="BD320">
        <v>2</v>
      </c>
      <c r="BE320" t="s">
        <v>2768</v>
      </c>
      <c r="BF320">
        <v>2</v>
      </c>
      <c r="BG320" t="s">
        <v>2776</v>
      </c>
      <c r="BH320">
        <v>0</v>
      </c>
      <c r="BI320" t="s">
        <v>2776</v>
      </c>
      <c r="BJ320">
        <v>2</v>
      </c>
      <c r="BK320" t="s">
        <v>2768</v>
      </c>
      <c r="BL320">
        <v>0</v>
      </c>
      <c r="BM320" t="s">
        <v>2768</v>
      </c>
      <c r="BN320">
        <v>2</v>
      </c>
      <c r="BO320" t="str">
        <f>IF(秋,"云栖松","泉凝月")</f>
        <v>泉凝月</v>
      </c>
      <c r="BP320">
        <v>2</v>
      </c>
      <c r="BQ320" t="s">
        <v>2776</v>
      </c>
      <c r="BR320">
        <v>1</v>
      </c>
      <c r="BS320" s="176" t="s">
        <v>2768</v>
      </c>
      <c r="BT320">
        <v>2</v>
      </c>
      <c r="BU320" t="s">
        <v>2776</v>
      </c>
      <c r="BV320">
        <v>1</v>
      </c>
      <c r="BW320" s="182" t="s">
        <v>2768</v>
      </c>
      <c r="BX320" s="179">
        <v>2</v>
      </c>
      <c r="BY320" t="s">
        <v>2768</v>
      </c>
      <c r="BZ320">
        <v>2</v>
      </c>
      <c r="CA320" t="str">
        <f>IF(0,"云飞玉皇-玉山揽云","夕照雷峰")</f>
        <v>夕照雷峰</v>
      </c>
      <c r="CB320">
        <v>2</v>
      </c>
    </row>
    <row r="321" spans="1:80">
      <c r="A321" s="178" t="str">
        <f ca="1">IFERROR(IF(AG320&lt;5+金蛇*2,IF(COUNTIF(B320,"*轻*")&gt;0,A320+加速!$L$9,A320+加速!$L$11)+V320,""),"")</f>
        <v/>
      </c>
      <c r="B321" s="167" t="str">
        <f ca="1" t="shared" si="77"/>
        <v/>
      </c>
      <c r="C321" t="str">
        <f ca="1" t="shared" si="86"/>
        <v/>
      </c>
      <c r="D321" t="str">
        <f ca="1">IF(B321&lt;&gt;"",IF(C320&lt;=加速!$L$11*(1-E321),0,1),"")</f>
        <v/>
      </c>
      <c r="E321">
        <f ca="1" t="shared" si="83"/>
        <v>1</v>
      </c>
      <c r="G321" t="str">
        <f ca="1" t="shared" si="84"/>
        <v/>
      </c>
      <c r="H321" t="str">
        <f ca="1">IF(B321&lt;&gt;"",IF(AND(COUNTIF(B320,"*轻*莺鸣柳*")&gt;0,COUNTIF(B321,"*轻*")&lt;1),MAX(0,15+I320-(A321-A320)+COUNTIF(B320,"*平湖*")*0),IF(AND(E321=0,MAX(0,H320-(A321-A320))&lt;=加速!$H$11),0,MAX(0,H320-(A321-A320)))),"")</f>
        <v/>
      </c>
      <c r="I321" t="str">
        <f ca="1" t="shared" si="90"/>
        <v/>
      </c>
      <c r="J321" t="str">
        <f ca="1" t="shared" si="91"/>
        <v/>
      </c>
      <c r="K321" t="str">
        <f ca="1" t="shared" si="78"/>
        <v/>
      </c>
      <c r="L321">
        <f ca="1">IFERROR(IF(AND(COUNTIF(B321,"*-峰插*"),技能数据库!$M$72&gt;0),0,IF(COUNTIF(B321,"*鹤归*")&gt;0,16-加速!$L$11,MAX(0,L320-(A321-A320)))),0)</f>
        <v>0</v>
      </c>
      <c r="M321">
        <f ca="1" t="shared" si="79"/>
        <v>0</v>
      </c>
      <c r="N321">
        <f ca="1">IFERROR(IF(AND(COUNTIF(B321,"*-峰插*"),技能数据库!$M$72&gt;0),0,IF(COUNTIF(B321,"*云飞*")&gt;0,4-COUNTIF(B321,"*玉山揽云*")*4--COUNTIF(B321,"*烟流暮景*")*4-COUNTIF(B321,"*云景*")*加速!$L$11-IF(J321&gt;0,2,0),MAX(0,N320-(A321-A320)-IF(J321&gt;0,2,0)))),0)</f>
        <v>0</v>
      </c>
      <c r="O321">
        <f ca="1">IF(AND(COUNTIF(IF(AND(配装计算器!$K$30&lt;&gt;"∞",0),INDEX(AU320:CB320,1,$AT$1),INDEX(AU322:CB322,1,$AT$1)),"*云飞*")=1,COUNTIF(IF(AND(配装计算器!$K$30&lt;&gt;"∞",0),INDEX(AU320:CB320,1,$AT$1),INDEX(AU322:CB322,1,$AT$1)),"*玉山*")=0),N321,0)</f>
        <v>0</v>
      </c>
      <c r="P321">
        <f ca="1">IFERROR(IF(COUNTIF(B321,"*云栖松*")&gt;0,50-加速!$L$11,MAX(0,P320-(A321-A320))),0)</f>
        <v>0</v>
      </c>
      <c r="Q321">
        <f ca="1">IF(COUNTIF(IF(AND(配装计算器!$K$30&lt;&gt;"∞",0),INDEX(AU320:CB320,1,$AT$1),INDEX(AU322:CB322,1,$AT$1)),"*云栖松*")=1,P321,0)</f>
        <v>0</v>
      </c>
      <c r="R321">
        <f ca="1">IFERROR(IF(COUNTIF(B321,"*莺鸣柳*")&gt;0,45-加速!$L$9,MAX(0,R320-(A321-A320))),0)</f>
        <v>0</v>
      </c>
      <c r="S321">
        <f ca="1">IF(COUNTIF(IF(AND(配装计算器!$K$30&lt;&gt;"∞",0),INDEX(AU320:CB320,1,$AT$1),INDEX(AU322:CB322,1,$AT$1)),"*莺鸣柳*")=1,R321,0)</f>
        <v>0</v>
      </c>
      <c r="T321">
        <f ca="1" t="shared" si="87"/>
        <v>0</v>
      </c>
      <c r="U321">
        <f ca="1">IF(金蛇,IF(COUNTIF(B321,"*金环戴*")+COUNTIF(B321,"*吹风醒*")&gt;0,IF(A321&lt;=3,7.125-2.625-A321-加速!$L$11,7.125+加速!$K$9-(A321+加速!$L$11-T321)),0),0)+IF(金蛇,IF(COUNTIF(B321,"*千切子裂光*")&gt;0,2+加速!$K$9-(A321+加速!$L$11-T321),0),0)</f>
        <v>0</v>
      </c>
      <c r="V321">
        <f ca="1" t="shared" si="88"/>
        <v>0</v>
      </c>
      <c r="W321">
        <f ca="1" t="shared" si="80"/>
        <v>0</v>
      </c>
      <c r="X321">
        <f ca="1">INDEX(加速!$I$13:$I$21,W321+1)</f>
        <v>0</v>
      </c>
      <c r="Y321">
        <f ca="1" t="shared" si="89"/>
        <v>0.5</v>
      </c>
      <c r="Z321">
        <f ca="1" t="shared" si="85"/>
        <v>0</v>
      </c>
      <c r="AA321">
        <f ca="1">MAX(0,IFERROR(IF(COUNTIF(B321,"*叠*")&gt;0,IF(AC320&lt;3,8-A322+A321,AA320+6.875-A322+A321),AA320-A322+A321),AA320-加速!$L$11))</f>
        <v>0</v>
      </c>
      <c r="AB321" t="e">
        <f ca="1">MAX(0,IF(COUNTIF(IF(AND(配装计算器!$K$30&lt;&gt;"∞",0),INDEX(AU321:CB321,1,$AT$1),INDEX(AU321:CB321,1,$AT$1)),"*叠1*")=1,4*25-加速!$L$11,AB320-A321+A320)-IF(OR(COUNTIF(OFFSET(AT321,0,$AT$1,1,1),"*听雷*")&gt;0,AND(碧归&gt;0,COUNTIF(OFFSET(AT321,0,$AT$1,1,1),"*风来*")&gt;0)),0,1)*1.5)</f>
        <v>#VALUE!</v>
      </c>
      <c r="AC321">
        <f ca="1" t="shared" si="81"/>
        <v>0</v>
      </c>
      <c r="AD321">
        <f ca="1">IF(COUNTIF(IF(AND(配装计算器!$K$30&lt;&gt;"∞",0),INDEX(AU321:CB321,1,$AT$1),INDEX(AU322:CB322,1,$AT$1)),"*叠1*")=1,AB321*0+AE320,0)</f>
        <v>0</v>
      </c>
      <c r="AE321" t="e">
        <f ca="1">IF($AN$11&gt;0,IF(COUNTIF(B322,"*叠1*")&gt;0,50-加速!$L$11,MAX(0,AE320-(A322-A321))),0)</f>
        <v>#VALUE!</v>
      </c>
      <c r="AG321">
        <f ca="1" t="shared" si="82"/>
        <v>9</v>
      </c>
      <c r="AU321" t="str">
        <f>IF($AN$11=1,"云飞玉皇-玉山揽云","夕照雷峰")</f>
        <v>云飞玉皇-玉山揽云</v>
      </c>
      <c r="AV321">
        <v>2</v>
      </c>
      <c r="AW321" t="s">
        <v>2768</v>
      </c>
      <c r="AX321">
        <v>2</v>
      </c>
      <c r="AY321" t="s">
        <v>2722</v>
      </c>
      <c r="AZ321">
        <v>0</v>
      </c>
      <c r="BA321" t="s">
        <v>2768</v>
      </c>
      <c r="BB321">
        <v>2</v>
      </c>
      <c r="BC321" t="s">
        <v>3013</v>
      </c>
      <c r="BD321">
        <v>2</v>
      </c>
      <c r="BE321" t="s">
        <v>2776</v>
      </c>
      <c r="BF321">
        <v>2</v>
      </c>
      <c r="BG321" t="s">
        <v>3067</v>
      </c>
      <c r="BH321">
        <v>0</v>
      </c>
      <c r="BI321" t="s">
        <v>2768</v>
      </c>
      <c r="BJ321">
        <v>2</v>
      </c>
      <c r="BK321" t="s">
        <v>2776</v>
      </c>
      <c r="BL321">
        <v>0</v>
      </c>
      <c r="BM321" t="s">
        <v>2776</v>
      </c>
      <c r="BN321">
        <v>2</v>
      </c>
      <c r="BO321" t="s">
        <v>2768</v>
      </c>
      <c r="BP321">
        <v>2</v>
      </c>
      <c r="BQ321" t="s">
        <v>2768</v>
      </c>
      <c r="BR321">
        <v>1</v>
      </c>
      <c r="BS321" s="176" t="s">
        <v>2768</v>
      </c>
      <c r="BT321">
        <v>2</v>
      </c>
      <c r="BU321" t="s">
        <v>2768</v>
      </c>
      <c r="BV321">
        <v>0</v>
      </c>
      <c r="BW321" s="182" t="s">
        <v>2776</v>
      </c>
      <c r="BX321" s="179">
        <v>2</v>
      </c>
      <c r="BY321" t="s">
        <v>2768</v>
      </c>
      <c r="BZ321">
        <v>2</v>
      </c>
      <c r="CA321" t="str">
        <f>IF(0,"云飞玉皇-玉山揽云","云飞玉皇")</f>
        <v>云飞玉皇</v>
      </c>
      <c r="CB321">
        <v>2</v>
      </c>
    </row>
    <row r="322" spans="1:80">
      <c r="A322" s="178" t="str">
        <f ca="1">IFERROR(IF(AG321&lt;5+金蛇*2,IF(COUNTIF(B321,"*轻*")&gt;0,A321+加速!$L$9,A321+加速!$L$11)+V321,""),"")</f>
        <v/>
      </c>
      <c r="B322" s="167" t="str">
        <f ca="1" t="shared" ref="B322:B385" si="93">IF(A322&lt;&gt;"",INDEX(AU322:CB322,1,$AT$1),"")</f>
        <v/>
      </c>
      <c r="C322" t="str">
        <f ca="1" t="shared" si="86"/>
        <v/>
      </c>
      <c r="D322" t="str">
        <f ca="1">IF(B322&lt;&gt;"",IF(C321&lt;=加速!$L$11*(1-E322),0,1),"")</f>
        <v/>
      </c>
      <c r="E322">
        <f ca="1" t="shared" si="83"/>
        <v>1</v>
      </c>
      <c r="G322" t="str">
        <f ca="1" t="shared" si="84"/>
        <v/>
      </c>
      <c r="H322" t="str">
        <f ca="1">IF(B322&lt;&gt;"",IF(AND(COUNTIF(B321,"*轻*莺鸣柳*")&gt;0,COUNTIF(B322,"*轻*")&lt;1),MAX(0,15+I321-(A322-A321)+COUNTIF(B321,"*平湖*")*0),IF(AND(E322=0,MAX(0,H321-(A322-A321))&lt;=加速!$H$11),0,MAX(0,H321-(A322-A321)))),"")</f>
        <v/>
      </c>
      <c r="I322" t="str">
        <f ca="1" t="shared" si="90"/>
        <v/>
      </c>
      <c r="J322" t="str">
        <f ca="1" t="shared" si="91"/>
        <v/>
      </c>
      <c r="K322" t="str">
        <f ca="1" t="shared" ref="K322:K385" si="94">IF(A322&lt;&gt;"",INDEX(AU322:CB322,1,$AT$2),"")</f>
        <v/>
      </c>
      <c r="L322">
        <f ca="1">IFERROR(IF(AND(COUNTIF(B322,"*-峰插*"),技能数据库!$M$72&gt;0),0,IF(COUNTIF(B322,"*鹤归*")&gt;0,16-加速!$L$11,MAX(0,L321-(A322-A321)))),0)</f>
        <v>0</v>
      </c>
      <c r="M322">
        <f ca="1" t="shared" si="79"/>
        <v>0</v>
      </c>
      <c r="N322">
        <f ca="1">IFERROR(IF(AND(COUNTIF(B322,"*-峰插*"),技能数据库!$M$72&gt;0),0,IF(COUNTIF(B322,"*云飞*")&gt;0,4-COUNTIF(B322,"*玉山揽云*")*4--COUNTIF(B322,"*烟流暮景*")*4-COUNTIF(B322,"*云景*")*加速!$L$11-IF(J322&gt;0,2,0),MAX(0,N321-(A322-A321)-IF(J322&gt;0,2,0)))),0)</f>
        <v>0</v>
      </c>
      <c r="O322">
        <f ca="1">IF(AND(COUNTIF(IF(AND(配装计算器!$K$30&lt;&gt;"∞",0),INDEX(AU321:CB321,1,$AT$1),INDEX(AU323:CB323,1,$AT$1)),"*云飞*")=1,COUNTIF(IF(AND(配装计算器!$K$30&lt;&gt;"∞",0),INDEX(AU321:CB321,1,$AT$1),INDEX(AU323:CB323,1,$AT$1)),"*玉山*")=0),N322,0)</f>
        <v>0</v>
      </c>
      <c r="P322">
        <f ca="1">IFERROR(IF(COUNTIF(B322,"*云栖松*")&gt;0,50-加速!$L$11,MAX(0,P321-(A322-A321))),0)</f>
        <v>0</v>
      </c>
      <c r="Q322">
        <f ca="1">IF(COUNTIF(IF(AND(配装计算器!$K$30&lt;&gt;"∞",0),INDEX(AU321:CB321,1,$AT$1),INDEX(AU323:CB323,1,$AT$1)),"*云栖松*")=1,P322,0)</f>
        <v>0</v>
      </c>
      <c r="R322">
        <f ca="1">IFERROR(IF(COUNTIF(B322,"*莺鸣柳*")&gt;0,45-加速!$L$9,MAX(0,R321-(A322-A321))),0)</f>
        <v>0</v>
      </c>
      <c r="S322">
        <f ca="1">IF(COUNTIF(IF(AND(配装计算器!$K$30&lt;&gt;"∞",0),INDEX(AU321:CB321,1,$AT$1),INDEX(AU323:CB323,1,$AT$1)),"*莺鸣柳*")=1,R322,0)</f>
        <v>0</v>
      </c>
      <c r="T322">
        <f ca="1" t="shared" si="87"/>
        <v>0</v>
      </c>
      <c r="U322">
        <f ca="1">IF(金蛇,IF(COUNTIF(B322,"*金环戴*")+COUNTIF(B322,"*吹风醒*")&gt;0,IF(A322&lt;=3,7.125-2.625-A322-加速!$L$11,7.125+加速!$K$9-(A322+加速!$L$11-T322)),0),0)+IF(金蛇,IF(COUNTIF(B322,"*千切子裂光*")&gt;0,2+加速!$K$9-(A322+加速!$L$11-T322),0),0)</f>
        <v>0</v>
      </c>
      <c r="V322">
        <f ca="1" t="shared" si="88"/>
        <v>0</v>
      </c>
      <c r="W322">
        <f ca="1" t="shared" si="80"/>
        <v>0</v>
      </c>
      <c r="X322">
        <f ca="1">INDEX(加速!$I$13:$I$21,W322+1)</f>
        <v>0</v>
      </c>
      <c r="Y322">
        <f ca="1" t="shared" si="89"/>
        <v>0.5</v>
      </c>
      <c r="Z322">
        <f ca="1" t="shared" si="85"/>
        <v>0</v>
      </c>
      <c r="AA322">
        <f ca="1">MAX(0,IFERROR(IF(COUNTIF(B322,"*叠*")&gt;0,IF(AC321&lt;3,8-A323+A322,AA321+6.875-A323+A322),AA321-A323+A322),AA321-加速!$L$11))</f>
        <v>0</v>
      </c>
      <c r="AB322" t="e">
        <f ca="1">MAX(0,IF(COUNTIF(IF(AND(配装计算器!$K$30&lt;&gt;"∞",0),INDEX(AU322:CB322,1,$AT$1),INDEX(AU322:CB322,1,$AT$1)),"*叠1*")=1,4*25-加速!$L$11,AB321-A322+A321)-IF(OR(COUNTIF(OFFSET(AT322,0,$AT$1,1,1),"*听雷*")&gt;0,AND(碧归&gt;0,COUNTIF(OFFSET(AT322,0,$AT$1,1,1),"*风来*")&gt;0)),0,1)*1.5)</f>
        <v>#VALUE!</v>
      </c>
      <c r="AC322">
        <f ca="1" t="shared" si="81"/>
        <v>0</v>
      </c>
      <c r="AD322">
        <f ca="1">IF(COUNTIF(IF(AND(配装计算器!$K$30&lt;&gt;"∞",0),INDEX(AU322:CB322,1,$AT$1),INDEX(AU323:CB323,1,$AT$1)),"*叠1*")=1,AB322*0+AE321,0)</f>
        <v>0</v>
      </c>
      <c r="AE322" t="e">
        <f ca="1">IF($AN$11&gt;0,IF(COUNTIF(B323,"*叠1*")&gt;0,50-加速!$L$11,MAX(0,AE321-(A323-A322))),0)</f>
        <v>#VALUE!</v>
      </c>
      <c r="AG322">
        <f ca="1" t="shared" si="82"/>
        <v>9</v>
      </c>
      <c r="AU322" t="str">
        <f>IF($AN$11=1,橙武补雾锁,"夕照雷峰")</f>
        <v>云飞玉皇-玉山揽云</v>
      </c>
      <c r="AV322">
        <v>2</v>
      </c>
      <c r="AW322" t="str">
        <f>IF($AR$11=1,"云飞玉皇-玉山揽云","夕照雷峰")</f>
        <v>夕照雷峰</v>
      </c>
      <c r="AX322">
        <v>2</v>
      </c>
      <c r="AY322" t="s">
        <v>2776</v>
      </c>
      <c r="AZ322">
        <v>2</v>
      </c>
      <c r="BA322" t="s">
        <v>2768</v>
      </c>
      <c r="BB322">
        <v>2</v>
      </c>
      <c r="BC322" t="s">
        <v>2808</v>
      </c>
      <c r="BD322">
        <v>2</v>
      </c>
      <c r="BE322" t="s">
        <v>2768</v>
      </c>
      <c r="BF322">
        <v>1</v>
      </c>
      <c r="BG322" t="s">
        <v>2768</v>
      </c>
      <c r="BH322">
        <v>2</v>
      </c>
      <c r="BI322" t="s">
        <v>2808</v>
      </c>
      <c r="BJ322">
        <v>2</v>
      </c>
      <c r="BK322" t="s">
        <v>2768</v>
      </c>
      <c r="BL322">
        <v>0</v>
      </c>
      <c r="BM322" t="s">
        <v>2768</v>
      </c>
      <c r="BN322">
        <v>2</v>
      </c>
      <c r="BO322" t="s">
        <v>1886</v>
      </c>
      <c r="BP322">
        <v>2</v>
      </c>
      <c r="BQ322" t="s">
        <v>2776</v>
      </c>
      <c r="BR322">
        <v>1</v>
      </c>
      <c r="BS322" s="176" t="s">
        <v>2768</v>
      </c>
      <c r="BT322">
        <v>2</v>
      </c>
      <c r="BU322" t="s">
        <v>2768</v>
      </c>
      <c r="BV322">
        <v>0</v>
      </c>
      <c r="BW322" s="182" t="s">
        <v>2768</v>
      </c>
      <c r="BX322" s="179">
        <v>2</v>
      </c>
      <c r="BY322" t="s">
        <v>2776</v>
      </c>
      <c r="BZ322">
        <v>2</v>
      </c>
      <c r="CA322" t="str">
        <f>IF(0,橙武补雾锁,"夕照雷峰")</f>
        <v>夕照雷峰</v>
      </c>
      <c r="CB322">
        <v>2</v>
      </c>
    </row>
    <row r="323" spans="1:80">
      <c r="A323" s="178" t="str">
        <f ca="1">IFERROR(IF(AG322&lt;5+金蛇*2,IF(COUNTIF(B322,"*轻*")&gt;0,A322+加速!$L$9,A322+加速!$L$11)+V322,""),"")</f>
        <v/>
      </c>
      <c r="B323" s="167" t="str">
        <f ca="1" t="shared" si="93"/>
        <v/>
      </c>
      <c r="C323" t="str">
        <f ca="1" t="shared" si="86"/>
        <v/>
      </c>
      <c r="D323" t="str">
        <f ca="1">IF(B323&lt;&gt;"",IF(C322&lt;=加速!$L$11*(1-E323),0,1),"")</f>
        <v/>
      </c>
      <c r="E323">
        <f ca="1" t="shared" si="83"/>
        <v>1</v>
      </c>
      <c r="G323" t="str">
        <f ca="1" t="shared" si="84"/>
        <v/>
      </c>
      <c r="H323" t="str">
        <f ca="1">IF(B323&lt;&gt;"",IF(AND(COUNTIF(B322,"*轻*莺鸣柳*")&gt;0,COUNTIF(B323,"*轻*")&lt;1),MAX(0,15+I322-(A323-A322)+COUNTIF(B322,"*平湖*")*0),IF(AND(E323=0,MAX(0,H322-(A323-A322))&lt;=加速!$H$11),0,MAX(0,H322-(A323-A322)))),"")</f>
        <v/>
      </c>
      <c r="I323" t="str">
        <f ca="1" t="shared" si="90"/>
        <v/>
      </c>
      <c r="J323" t="str">
        <f ca="1" t="shared" si="91"/>
        <v/>
      </c>
      <c r="K323" t="str">
        <f ca="1" t="shared" si="94"/>
        <v/>
      </c>
      <c r="L323">
        <f ca="1">IFERROR(IF(AND(COUNTIF(B323,"*-峰插*"),技能数据库!$M$72&gt;0),0,IF(COUNTIF(B323,"*鹤归*")&gt;0,16-加速!$L$11,MAX(0,L322-(A323-A322)))),0)</f>
        <v>0</v>
      </c>
      <c r="M323">
        <f ca="1" t="shared" ref="M323:M386" si="95">IF(COUNTIF(INDEX(AU324:CB324,1,$AT$1),"*鹤归*")=1,L323,0)</f>
        <v>0</v>
      </c>
      <c r="N323">
        <f ca="1">IFERROR(IF(AND(COUNTIF(B323,"*-峰插*"),技能数据库!$M$72&gt;0),0,IF(COUNTIF(B323,"*云飞*")&gt;0,4-COUNTIF(B323,"*玉山揽云*")*4--COUNTIF(B323,"*烟流暮景*")*4-COUNTIF(B323,"*云景*")*加速!$L$11-IF(J323&gt;0,2,0),MAX(0,N322-(A323-A322)-IF(J323&gt;0,2,0)))),0)</f>
        <v>0</v>
      </c>
      <c r="O323">
        <f ca="1">IF(AND(COUNTIF(IF(AND(配装计算器!$K$30&lt;&gt;"∞",0),INDEX(AU322:CB322,1,$AT$1),INDEX(AU324:CB324,1,$AT$1)),"*云飞*")=1,COUNTIF(IF(AND(配装计算器!$K$30&lt;&gt;"∞",0),INDEX(AU322:CB322,1,$AT$1),INDEX(AU324:CB324,1,$AT$1)),"*玉山*")=0),N323,0)</f>
        <v>0</v>
      </c>
      <c r="P323">
        <f ca="1">IFERROR(IF(COUNTIF(B323,"*云栖松*")&gt;0,50-加速!$L$11,MAX(0,P322-(A323-A322))),0)</f>
        <v>0</v>
      </c>
      <c r="Q323">
        <f ca="1">IF(COUNTIF(IF(AND(配装计算器!$K$30&lt;&gt;"∞",0),INDEX(AU322:CB322,1,$AT$1),INDEX(AU324:CB324,1,$AT$1)),"*云栖松*")=1,P323,0)</f>
        <v>0</v>
      </c>
      <c r="R323">
        <f ca="1">IFERROR(IF(COUNTIF(B323,"*莺鸣柳*")&gt;0,45-加速!$L$9,MAX(0,R322-(A323-A322))),0)</f>
        <v>0</v>
      </c>
      <c r="S323">
        <f ca="1">IF(COUNTIF(IF(AND(配装计算器!$K$30&lt;&gt;"∞",0),INDEX(AU322:CB322,1,$AT$1),INDEX(AU324:CB324,1,$AT$1)),"*莺鸣柳*")=1,R323,0)</f>
        <v>0</v>
      </c>
      <c r="T323">
        <f ca="1" t="shared" si="87"/>
        <v>0</v>
      </c>
      <c r="U323">
        <f ca="1">IF(金蛇,IF(COUNTIF(B323,"*金环戴*")+COUNTIF(B323,"*吹风醒*")&gt;0,IF(A323&lt;=3,7.125-2.625-A323-加速!$L$11,7.125+加速!$K$9-(A323+加速!$L$11-T323)),0),0)+IF(金蛇,IF(COUNTIF(B323,"*千切子裂光*")&gt;0,2+加速!$K$9-(A323+加速!$L$11-T323),0),0)</f>
        <v>0</v>
      </c>
      <c r="V323">
        <f ca="1" t="shared" si="88"/>
        <v>0</v>
      </c>
      <c r="W323">
        <f ca="1" t="shared" ref="W323:W386" si="96">IF(COUNTIF(B323,"*风来吴山*")&gt;0,1,IF(W322+1&gt;风车GCD,0,IF(W322&gt;0,W322+1,0)))</f>
        <v>0</v>
      </c>
      <c r="X323">
        <f ca="1">INDEX(加速!$I$13:$I$21,W323+1)</f>
        <v>0</v>
      </c>
      <c r="Y323">
        <f ca="1" t="shared" si="89"/>
        <v>0.5</v>
      </c>
      <c r="Z323">
        <f ca="1" t="shared" si="85"/>
        <v>0</v>
      </c>
      <c r="AA323">
        <f ca="1">MAX(0,IFERROR(IF(COUNTIF(B323,"*叠*")&gt;0,IF(AC322&lt;3,8-A324+A323,AA322+6.875-A324+A323),AA322-A324+A323),AA322-加速!$L$11))</f>
        <v>0</v>
      </c>
      <c r="AB323" t="e">
        <f ca="1">MAX(0,IF(COUNTIF(IF(AND(配装计算器!$K$30&lt;&gt;"∞",0),INDEX(AU323:CB323,1,$AT$1),INDEX(AU323:CB323,1,$AT$1)),"*叠1*")=1,4*25-加速!$L$11,AB322-A323+A322)-IF(OR(COUNTIF(OFFSET(AT323,0,$AT$1,1,1),"*听雷*")&gt;0,AND(碧归&gt;0,COUNTIF(OFFSET(AT323,0,$AT$1,1,1),"*风来*")&gt;0)),0,1)*1.5)</f>
        <v>#VALUE!</v>
      </c>
      <c r="AC323">
        <f ca="1" t="shared" ref="AC323:AC386" si="97">IF(AND(AA323=0,E323=0),0,IF(AND(COUNTIF(B323,"*叠*")&gt;0,OR(AA322=0,AA322&gt;=5)),AC322+1,AC322))</f>
        <v>0</v>
      </c>
      <c r="AD323">
        <f ca="1">IF(COUNTIF(IF(AND(配装计算器!$K$30&lt;&gt;"∞",0),INDEX(AU323:CB323,1,$AT$1),INDEX(AU324:CB324,1,$AT$1)),"*叠1*")=1,AB323*0+AE322,0)</f>
        <v>0</v>
      </c>
      <c r="AE323" t="e">
        <f ca="1">IF($AN$11&gt;0,IF(COUNTIF(B324,"*叠1*")&gt;0,50-加速!$L$11,MAX(0,AE322-(A324-A323))),0)</f>
        <v>#VALUE!</v>
      </c>
      <c r="AG323">
        <f ca="1" t="shared" ref="AG323:AG386" si="98">COUNTIF(INDEX(AU324:CB324,1,$AT$1),"*莺鸣柳*")+COUNTIF(INDEX(AU324:CB324,1,$AT$1),"*叠1*")+AG322</f>
        <v>9</v>
      </c>
      <c r="AU323" t="str">
        <f>IF($AN$11=1,"云飞玉皇-玉山揽云","夕照雷峰")</f>
        <v>云飞玉皇-玉山揽云</v>
      </c>
      <c r="AV323">
        <v>2</v>
      </c>
      <c r="AW323" t="str">
        <f>IF($AR$11=1,"云飞玉皇-玉山揽云","夕照雷峰")</f>
        <v>夕照雷峰</v>
      </c>
      <c r="AX323">
        <v>2</v>
      </c>
      <c r="AY323" t="s">
        <v>2768</v>
      </c>
      <c r="AZ323">
        <v>2</v>
      </c>
      <c r="BA323" t="s">
        <v>2768</v>
      </c>
      <c r="BB323">
        <v>1</v>
      </c>
      <c r="BC323" t="s">
        <v>2768</v>
      </c>
      <c r="BD323">
        <v>2</v>
      </c>
      <c r="BE323" t="s">
        <v>2768</v>
      </c>
      <c r="BF323">
        <v>1</v>
      </c>
      <c r="BG323" t="s">
        <v>2768</v>
      </c>
      <c r="BH323">
        <v>2</v>
      </c>
      <c r="BI323" s="176" t="s">
        <v>2768</v>
      </c>
      <c r="BJ323">
        <v>2</v>
      </c>
      <c r="BK323" t="s">
        <v>3067</v>
      </c>
      <c r="BL323">
        <v>2</v>
      </c>
      <c r="BM323" s="176" t="s">
        <v>2794</v>
      </c>
      <c r="BN323">
        <v>2</v>
      </c>
      <c r="BO323" t="s">
        <v>2853</v>
      </c>
      <c r="BP323">
        <v>2</v>
      </c>
      <c r="BQ323" t="s">
        <v>2768</v>
      </c>
      <c r="BR323">
        <v>0</v>
      </c>
      <c r="BS323" s="176" t="s">
        <v>2776</v>
      </c>
      <c r="BT323">
        <v>2</v>
      </c>
      <c r="BU323" t="s">
        <v>2776</v>
      </c>
      <c r="BV323">
        <v>0</v>
      </c>
      <c r="BW323" s="182" t="s">
        <v>2776</v>
      </c>
      <c r="BX323" s="179">
        <v>2</v>
      </c>
      <c r="BY323" s="176" t="s">
        <v>2794</v>
      </c>
      <c r="BZ323">
        <v>2</v>
      </c>
      <c r="CA323" t="str">
        <f>IF(0,"云飞玉皇-玉山揽云","云景·云飞玉皇")</f>
        <v>云景·云飞玉皇</v>
      </c>
      <c r="CB323">
        <v>2</v>
      </c>
    </row>
    <row r="324" spans="1:80">
      <c r="A324" s="178" t="str">
        <f ca="1">IFERROR(IF(AG323&lt;5+金蛇*2,IF(COUNTIF(B323,"*轻*")&gt;0,A323+加速!$L$9,A323+加速!$L$11)+V323,""),"")</f>
        <v/>
      </c>
      <c r="B324" s="167" t="str">
        <f ca="1" t="shared" si="93"/>
        <v/>
      </c>
      <c r="C324" t="str">
        <f ca="1" t="shared" si="86"/>
        <v/>
      </c>
      <c r="D324" t="str">
        <f ca="1">IF(B324&lt;&gt;"",IF(C323&lt;=加速!$L$11*(1-E324),0,1),"")</f>
        <v/>
      </c>
      <c r="E324">
        <f ca="1" t="shared" ref="E324:E387" si="99">IF(OR(COUNTIF(B324,"夕照雷峰*")&gt;0,COUNTIF(B324,"云飞玉皇*")&gt;0,COUNTIF(B324,"风来吴山*")&gt;0),COUNTIF(B324,"*云景*")+COUNTIF(B324,"*玉山揽云*")+COUNTIF(B324,"*烟流暮景*"),1)</f>
        <v>1</v>
      </c>
      <c r="G324" t="str">
        <f ca="1" t="shared" ref="G324:G387" si="100">IF(B324&lt;&gt;"",IF(AND(碧归&gt;0,COUNTIF(B323,"*风来吴山*")&gt;0),8,MAX(0,G323-COUNTIF(B324,"*云飞*")-COUNTIF(B324,"*鹤*")-COUNTIF(B324,"*夕*"))),"")</f>
        <v/>
      </c>
      <c r="H324" t="str">
        <f ca="1">IF(B324&lt;&gt;"",IF(AND(COUNTIF(B323,"*轻*莺鸣柳*")&gt;0,COUNTIF(B324,"*轻*")&lt;1),MAX(0,15+I323-(A324-A323)+COUNTIF(B323,"*平湖*")*0),IF(AND(E324=0,MAX(0,H323-(A324-A323))&lt;=加速!$H$11),0,MAX(0,H323-(A324-A323)))),"")</f>
        <v/>
      </c>
      <c r="I324" t="str">
        <f ca="1" t="shared" si="90"/>
        <v/>
      </c>
      <c r="J324" t="str">
        <f ca="1" t="shared" si="91"/>
        <v/>
      </c>
      <c r="K324" t="str">
        <f ca="1" t="shared" si="94"/>
        <v/>
      </c>
      <c r="L324">
        <f ca="1">IFERROR(IF(AND(COUNTIF(B324,"*-峰插*"),技能数据库!$M$72&gt;0),0,IF(COUNTIF(B324,"*鹤归*")&gt;0,16-加速!$L$11,MAX(0,L323-(A324-A323)))),0)</f>
        <v>0</v>
      </c>
      <c r="M324">
        <f ca="1" t="shared" si="95"/>
        <v>0</v>
      </c>
      <c r="N324">
        <f ca="1">IFERROR(IF(AND(COUNTIF(B324,"*-峰插*"),技能数据库!$M$72&gt;0),0,IF(COUNTIF(B324,"*云飞*")&gt;0,4-COUNTIF(B324,"*玉山揽云*")*4--COUNTIF(B324,"*烟流暮景*")*4-COUNTIF(B324,"*云景*")*加速!$L$11-IF(J324&gt;0,2,0),MAX(0,N323-(A324-A323)-IF(J324&gt;0,2,0)))),0)</f>
        <v>0</v>
      </c>
      <c r="O324">
        <f ca="1">IF(AND(COUNTIF(IF(AND(配装计算器!$K$30&lt;&gt;"∞",0),INDEX(AU323:CB323,1,$AT$1),INDEX(AU325:CB325,1,$AT$1)),"*云飞*")=1,COUNTIF(IF(AND(配装计算器!$K$30&lt;&gt;"∞",0),INDEX(AU323:CB323,1,$AT$1),INDEX(AU325:CB325,1,$AT$1)),"*玉山*")=0),N324,0)</f>
        <v>0</v>
      </c>
      <c r="P324">
        <f ca="1">IFERROR(IF(COUNTIF(B324,"*云栖松*")&gt;0,50-加速!$L$11,MAX(0,P323-(A324-A323))),0)</f>
        <v>0</v>
      </c>
      <c r="Q324">
        <f ca="1">IF(COUNTIF(IF(AND(配装计算器!$K$30&lt;&gt;"∞",0),INDEX(AU323:CB323,1,$AT$1),INDEX(AU325:CB325,1,$AT$1)),"*云栖松*")=1,P324,0)</f>
        <v>0</v>
      </c>
      <c r="R324">
        <f ca="1">IFERROR(IF(COUNTIF(B324,"*莺鸣柳*")&gt;0,45-加速!$L$9,MAX(0,R323-(A324-A323))),0)</f>
        <v>0</v>
      </c>
      <c r="S324">
        <f ca="1">IF(COUNTIF(IF(AND(配装计算器!$K$30&lt;&gt;"∞",0),INDEX(AU323:CB323,1,$AT$1),INDEX(AU325:CB325,1,$AT$1)),"*莺鸣柳*")=1,R324,0)</f>
        <v>0</v>
      </c>
      <c r="T324">
        <f ca="1" t="shared" si="87"/>
        <v>0</v>
      </c>
      <c r="U324">
        <f ca="1">IF(金蛇,IF(COUNTIF(B324,"*金环戴*")+COUNTIF(B324,"*吹风醒*")&gt;0,IF(A324&lt;=3,7.125-2.625-A324-加速!$L$11,7.125+加速!$K$9-(A324+加速!$L$11-T324)),0),0)+IF(金蛇,IF(COUNTIF(B324,"*千切子裂光*")&gt;0,2+加速!$K$9-(A324+加速!$L$11-T324),0),0)</f>
        <v>0</v>
      </c>
      <c r="V324">
        <f ca="1" t="shared" si="88"/>
        <v>0</v>
      </c>
      <c r="W324">
        <f ca="1" t="shared" si="96"/>
        <v>0</v>
      </c>
      <c r="X324">
        <f ca="1">INDEX(加速!$I$13:$I$21,W324+1)</f>
        <v>0</v>
      </c>
      <c r="Y324">
        <f ca="1" t="shared" si="89"/>
        <v>0.5</v>
      </c>
      <c r="Z324">
        <f ca="1" t="shared" ref="Z324:Z387" si="101">IF(金蛇,IF(COUNTIF(B324,"*虎跑*")&gt;0,INT((A324-Y324)/3),0),0)</f>
        <v>0</v>
      </c>
      <c r="AA324">
        <f ca="1">MAX(0,IFERROR(IF(COUNTIF(B324,"*叠*")&gt;0,IF(AC323&lt;3,8-A325+A324,AA323+6.875-A325+A324),AA323-A325+A324),AA323-加速!$L$11))</f>
        <v>0</v>
      </c>
      <c r="AB324" t="e">
        <f ca="1">MAX(0,IF(COUNTIF(IF(AND(配装计算器!$K$30&lt;&gt;"∞",0),INDEX(AU324:CB324,1,$AT$1),INDEX(AU324:CB324,1,$AT$1)),"*叠1*")=1,4*25-加速!$L$11,AB323-A324+A323)-IF(OR(COUNTIF(OFFSET(AT324,0,$AT$1,1,1),"*听雷*")&gt;0,AND(碧归&gt;0,COUNTIF(OFFSET(AT324,0,$AT$1,1,1),"*风来*")&gt;0)),0,1)*1.5)</f>
        <v>#VALUE!</v>
      </c>
      <c r="AC324">
        <f ca="1" t="shared" si="97"/>
        <v>0</v>
      </c>
      <c r="AD324">
        <f ca="1">IF(COUNTIF(IF(AND(配装计算器!$K$30&lt;&gt;"∞",0),INDEX(AU324:CB324,1,$AT$1),INDEX(AU325:CB325,1,$AT$1)),"*叠1*")=1,AB324*0+AE323,0)</f>
        <v>0</v>
      </c>
      <c r="AE324" t="e">
        <f ca="1">IF($AN$11&gt;0,IF(COUNTIF(B325,"*叠1*")&gt;0,50-加速!$L$11,MAX(0,AE323-(A325-A324))),0)</f>
        <v>#VALUE!</v>
      </c>
      <c r="AG324">
        <f ca="1" t="shared" si="98"/>
        <v>9</v>
      </c>
      <c r="AU324" t="s">
        <v>2776</v>
      </c>
      <c r="AV324">
        <v>2</v>
      </c>
      <c r="AW324" t="str">
        <f>IF($AR$11=1,"云飞玉皇-玉山揽云","云飞玉皇")</f>
        <v>云飞玉皇</v>
      </c>
      <c r="AX324">
        <v>2</v>
      </c>
      <c r="AY324" t="s">
        <v>2768</v>
      </c>
      <c r="AZ324">
        <v>2</v>
      </c>
      <c r="BA324" t="s">
        <v>2776</v>
      </c>
      <c r="BB324">
        <v>1</v>
      </c>
      <c r="BC324" t="s">
        <v>2768</v>
      </c>
      <c r="BD324">
        <v>2</v>
      </c>
      <c r="BE324" t="s">
        <v>3042</v>
      </c>
      <c r="BF324">
        <v>0</v>
      </c>
      <c r="BG324" s="176" t="s">
        <v>2794</v>
      </c>
      <c r="BH324">
        <v>1</v>
      </c>
      <c r="BI324" s="176" t="s">
        <v>2776</v>
      </c>
      <c r="BJ324">
        <v>2</v>
      </c>
      <c r="BK324" s="176" t="s">
        <v>2768</v>
      </c>
      <c r="BL324">
        <v>2</v>
      </c>
      <c r="BM324" s="176" t="s">
        <v>2768</v>
      </c>
      <c r="BN324">
        <v>2</v>
      </c>
      <c r="BO324" s="176" t="s">
        <v>2850</v>
      </c>
      <c r="BP324">
        <f>IF(0,2,0)</f>
        <v>0</v>
      </c>
      <c r="BQ324" t="s">
        <v>2768</v>
      </c>
      <c r="BR324">
        <v>0</v>
      </c>
      <c r="BS324" s="176" t="s">
        <v>2768</v>
      </c>
      <c r="BT324">
        <v>2</v>
      </c>
      <c r="BU324" t="s">
        <v>3067</v>
      </c>
      <c r="BV324">
        <v>0</v>
      </c>
      <c r="BW324" s="182" t="str">
        <f t="shared" ref="BW324" si="102">IF($AN$11=1,"云飞玉皇-玉山揽云","夕照雷峰")</f>
        <v>云飞玉皇-玉山揽云</v>
      </c>
      <c r="BX324" s="179">
        <v>2</v>
      </c>
      <c r="BY324" s="176" t="s">
        <v>2768</v>
      </c>
      <c r="BZ324">
        <v>2</v>
      </c>
      <c r="CA324" t="str">
        <f>IF(0,"云飞玉皇-玉山揽云","夕照雷峰")</f>
        <v>夕照雷峰</v>
      </c>
      <c r="CB324">
        <v>2</v>
      </c>
    </row>
    <row r="325" spans="1:80">
      <c r="A325" s="178" t="str">
        <f ca="1">IFERROR(IF(AG324&lt;5+金蛇*2,IF(COUNTIF(B324,"*轻*")&gt;0,A324+加速!$L$9,A324+加速!$L$11)+V324,""),"")</f>
        <v/>
      </c>
      <c r="B325" s="167" t="str">
        <f ca="1" t="shared" si="93"/>
        <v/>
      </c>
      <c r="C325" t="str">
        <f ca="1" t="shared" ref="C325:C388" si="103">IFERROR(IF(COUNTIF(B325,"*夕照雷峰*")&gt;0,15,MAX(0,C324-(A325-A324))),"")</f>
        <v/>
      </c>
      <c r="D325" t="str">
        <f ca="1">IF(B325&lt;&gt;"",IF(C324&lt;=加速!$L$11*(1-E325),0,1),"")</f>
        <v/>
      </c>
      <c r="E325">
        <f ca="1" t="shared" si="99"/>
        <v>1</v>
      </c>
      <c r="G325" t="str">
        <f ca="1" t="shared" si="100"/>
        <v/>
      </c>
      <c r="H325" t="str">
        <f ca="1">IF(B325&lt;&gt;"",IF(AND(COUNTIF(B324,"*轻*莺鸣柳*")&gt;0,COUNTIF(B325,"*轻*")&lt;1),MAX(0,15+I324-(A325-A324)+COUNTIF(B324,"*平湖*")*0),IF(AND(E325=0,MAX(0,H324-(A325-A324))&lt;=加速!$H$11),0,MAX(0,H324-(A325-A324)))),"")</f>
        <v/>
      </c>
      <c r="I325" t="str">
        <f ca="1" t="shared" si="90"/>
        <v/>
      </c>
      <c r="J325" t="str">
        <f ca="1" t="shared" si="91"/>
        <v/>
      </c>
      <c r="K325" t="str">
        <f ca="1" t="shared" si="94"/>
        <v/>
      </c>
      <c r="L325">
        <f ca="1">IFERROR(IF(AND(COUNTIF(B325,"*-峰插*"),技能数据库!$M$72&gt;0),0,IF(COUNTIF(B325,"*鹤归*")&gt;0,16-加速!$L$11,MAX(0,L324-(A325-A324)))),0)</f>
        <v>0</v>
      </c>
      <c r="M325">
        <f ca="1" t="shared" si="95"/>
        <v>0</v>
      </c>
      <c r="N325">
        <f ca="1">IFERROR(IF(AND(COUNTIF(B325,"*-峰插*"),技能数据库!$M$72&gt;0),0,IF(COUNTIF(B325,"*云飞*")&gt;0,4-COUNTIF(B325,"*玉山揽云*")*4--COUNTIF(B325,"*烟流暮景*")*4-COUNTIF(B325,"*云景*")*加速!$L$11-IF(J325&gt;0,2,0),MAX(0,N324-(A325-A324)-IF(J325&gt;0,2,0)))),0)</f>
        <v>0</v>
      </c>
      <c r="O325">
        <f ca="1">IF(AND(COUNTIF(IF(AND(配装计算器!$K$30&lt;&gt;"∞",0),INDEX(AU324:CB324,1,$AT$1),INDEX(AU326:CB326,1,$AT$1)),"*云飞*")=1,COUNTIF(IF(AND(配装计算器!$K$30&lt;&gt;"∞",0),INDEX(AU324:CB324,1,$AT$1),INDEX(AU326:CB326,1,$AT$1)),"*玉山*")=0),N325,0)</f>
        <v>0</v>
      </c>
      <c r="P325">
        <f ca="1">IFERROR(IF(COUNTIF(B325,"*云栖松*")&gt;0,50-加速!$L$11,MAX(0,P324-(A325-A324))),0)</f>
        <v>0</v>
      </c>
      <c r="Q325">
        <f ca="1">IF(COUNTIF(IF(AND(配装计算器!$K$30&lt;&gt;"∞",0),INDEX(AU324:CB324,1,$AT$1),INDEX(AU326:CB326,1,$AT$1)),"*云栖松*")=1,P325,0)</f>
        <v>0</v>
      </c>
      <c r="R325">
        <f ca="1">IFERROR(IF(COUNTIF(B325,"*莺鸣柳*")&gt;0,45-加速!$L$9,MAX(0,R324-(A325-A324))),0)</f>
        <v>0</v>
      </c>
      <c r="S325">
        <f ca="1">IF(COUNTIF(IF(AND(配装计算器!$K$30&lt;&gt;"∞",0),INDEX(AU324:CB324,1,$AT$1),INDEX(AU326:CB326,1,$AT$1)),"*莺鸣柳*")=1,R325,0)</f>
        <v>0</v>
      </c>
      <c r="T325">
        <f ca="1" t="shared" ref="T325:T388" si="104">IF(COUNTIF(B325,"*岚尘金蛇*")+COUNTIF(B325,"*千切子寒光*")&gt;0,A325,T324)</f>
        <v>0</v>
      </c>
      <c r="U325">
        <f ca="1">IF(金蛇,IF(COUNTIF(B325,"*金环戴*")+COUNTIF(B325,"*吹风醒*")&gt;0,IF(A325&lt;=3,7.125-2.625-A325-加速!$L$11,7.125+加速!$K$9-(A325+加速!$L$11-T325)),0),0)+IF(金蛇,IF(COUNTIF(B325,"*千切子裂光*")&gt;0,2+加速!$K$9-(A325+加速!$L$11-T325),0),0)</f>
        <v>0</v>
      </c>
      <c r="V325">
        <f ca="1" t="shared" ref="V325:V388" si="105">MAX(0,M325+O325+Q325+S325+AD325)+U325</f>
        <v>0</v>
      </c>
      <c r="W325">
        <f ca="1" t="shared" si="96"/>
        <v>0</v>
      </c>
      <c r="X325">
        <f ca="1">INDEX(加速!$I$13:$I$21,W325+1)</f>
        <v>0</v>
      </c>
      <c r="Y325">
        <f ca="1" t="shared" ref="Y325:Y388" si="106">IF(COUNTIF(B325,"*岚尘金蛇*"),A325+2.6125+0.5,Y324)</f>
        <v>0.5</v>
      </c>
      <c r="Z325">
        <f ca="1" t="shared" si="101"/>
        <v>0</v>
      </c>
      <c r="AA325">
        <f ca="1">MAX(0,IFERROR(IF(COUNTIF(B325,"*叠*")&gt;0,IF(AC324&lt;3,8-A326+A325,AA324+6.875-A326+A325),AA324-A326+A325),AA324-加速!$L$11))</f>
        <v>0</v>
      </c>
      <c r="AB325" t="e">
        <f ca="1">MAX(0,IF(COUNTIF(IF(AND(配装计算器!$K$30&lt;&gt;"∞",0),INDEX(AU325:CB325,1,$AT$1),INDEX(AU325:CB325,1,$AT$1)),"*叠1*")=1,4*25-加速!$L$11,AB324-A325+A324)-IF(OR(COUNTIF(OFFSET(AT325,0,$AT$1,1,1),"*听雷*")&gt;0,AND(碧归&gt;0,COUNTIF(OFFSET(AT325,0,$AT$1,1,1),"*风来*")&gt;0)),0,1)*1.5)</f>
        <v>#VALUE!</v>
      </c>
      <c r="AC325">
        <f ca="1" t="shared" si="97"/>
        <v>0</v>
      </c>
      <c r="AD325">
        <f ca="1">IF(COUNTIF(IF(AND(配装计算器!$K$30&lt;&gt;"∞",0),INDEX(AU325:CB325,1,$AT$1),INDEX(AU326:CB326,1,$AT$1)),"*叠1*")=1,AB325*0+AE324,0)</f>
        <v>0</v>
      </c>
      <c r="AE325" t="e">
        <f ca="1">IF($AN$11&gt;0,IF(COUNTIF(B326,"*叠1*")&gt;0,50-加速!$L$11,MAX(0,AE324-(A326-A325))),0)</f>
        <v>#VALUE!</v>
      </c>
      <c r="AG325">
        <f ca="1" t="shared" si="98"/>
        <v>9</v>
      </c>
      <c r="AU325" s="176" t="s">
        <v>2794</v>
      </c>
      <c r="AV325">
        <v>2</v>
      </c>
      <c r="AW325" t="str">
        <f>IF($AR$11=1,"云飞玉皇-玉山揽云","夕照雷峰")</f>
        <v>夕照雷峰</v>
      </c>
      <c r="AX325">
        <v>2</v>
      </c>
      <c r="AY325" t="s">
        <v>2768</v>
      </c>
      <c r="AZ325">
        <v>1</v>
      </c>
      <c r="BA325" t="s">
        <v>2768</v>
      </c>
      <c r="BB325">
        <v>1</v>
      </c>
      <c r="BC325" t="s">
        <v>2776</v>
      </c>
      <c r="BD325">
        <v>1</v>
      </c>
      <c r="BE325" t="s">
        <v>2776</v>
      </c>
      <c r="BF325">
        <v>0</v>
      </c>
      <c r="BG325" t="s">
        <v>2776</v>
      </c>
      <c r="BH325">
        <v>1</v>
      </c>
      <c r="BI325" t="s">
        <v>2768</v>
      </c>
      <c r="BJ325">
        <v>2</v>
      </c>
      <c r="BK325" s="176" t="s">
        <v>2776</v>
      </c>
      <c r="BL325">
        <v>2</v>
      </c>
      <c r="BM325" s="176" t="s">
        <v>2776</v>
      </c>
      <c r="BN325">
        <v>2</v>
      </c>
      <c r="BO325" s="176" t="str">
        <f>IF(秋,"金环戴","吹风醒")</f>
        <v>吹风醒</v>
      </c>
      <c r="BP325">
        <v>2</v>
      </c>
      <c r="BQ325" t="s">
        <v>3067</v>
      </c>
      <c r="BR325">
        <v>0</v>
      </c>
      <c r="BS325" s="176" t="s">
        <v>2794</v>
      </c>
      <c r="BT325">
        <v>2</v>
      </c>
      <c r="BU325" t="s">
        <v>2768</v>
      </c>
      <c r="BV325">
        <v>2</v>
      </c>
      <c r="BW325" s="179" t="str">
        <f>IF($AN$11=1,"云飞玉皇-玉山揽云","云飞玉皇")</f>
        <v>云飞玉皇-玉山揽云</v>
      </c>
      <c r="BX325" s="179">
        <v>2</v>
      </c>
      <c r="BY325" s="176" t="s">
        <v>2776</v>
      </c>
      <c r="BZ325">
        <v>2</v>
      </c>
      <c r="CA325" t="s">
        <v>2776</v>
      </c>
      <c r="CB325">
        <v>2</v>
      </c>
    </row>
    <row r="326" spans="1:80">
      <c r="A326" s="178" t="str">
        <f ca="1">IFERROR(IF(AG325&lt;5+金蛇*2,IF(COUNTIF(B325,"*轻*")&gt;0,A325+加速!$L$9,A325+加速!$L$11)+V325,""),"")</f>
        <v/>
      </c>
      <c r="B326" s="167" t="str">
        <f ca="1" t="shared" si="93"/>
        <v/>
      </c>
      <c r="C326" t="str">
        <f ca="1" t="shared" si="103"/>
        <v/>
      </c>
      <c r="D326" t="str">
        <f ca="1">IF(B326&lt;&gt;"",IF(C325&lt;=加速!$L$11*(1-E326),0,1),"")</f>
        <v/>
      </c>
      <c r="E326">
        <f ca="1" t="shared" si="99"/>
        <v>1</v>
      </c>
      <c r="G326" t="str">
        <f ca="1" t="shared" si="100"/>
        <v/>
      </c>
      <c r="H326" t="str">
        <f ca="1">IF(B326&lt;&gt;"",IF(AND(COUNTIF(B325,"*轻*莺鸣柳*")&gt;0,COUNTIF(B326,"*轻*")&lt;1),MAX(0,15+I325-(A326-A325)+COUNTIF(B325,"*平湖*")*0),IF(AND(E326=0,MAX(0,H325-(A326-A325))&lt;=加速!$H$11),0,MAX(0,H325-(A326-A325)))),"")</f>
        <v/>
      </c>
      <c r="I326" t="str">
        <f ca="1" t="shared" ref="I326:I389" si="107">IF(B326&lt;&gt;"",IF(COUNTIF(B326,"*轻*")&lt;1,0,IF(COUNTIF(B326,"*莺鸣*")&gt;0,8,MAX(0,I325-(A326-A325)))),"")</f>
        <v/>
      </c>
      <c r="J326" t="str">
        <f ca="1" t="shared" ref="J326:J389" si="108">IF(B326&lt;&gt;"",IF(AND(J325=1,OR(AND(COUNTIF(B326,"*云景*")&gt;0,COUNTIF(B321:B325,"*鹤归*")&gt;0),AND(落剑5=1,COUNTIF(B321:B325,"*鹤归*")&gt;0))),1,IF(COUNTIF(B325,"*鹤归*")&gt;0,4+_666三听,MAX(J325-1,0))),"")</f>
        <v/>
      </c>
      <c r="K326" t="str">
        <f ca="1" t="shared" si="94"/>
        <v/>
      </c>
      <c r="L326">
        <f ca="1">IFERROR(IF(AND(COUNTIF(B326,"*-峰插*"),技能数据库!$M$72&gt;0),0,IF(COUNTIF(B326,"*鹤归*")&gt;0,16-加速!$L$11,MAX(0,L325-(A326-A325)))),0)</f>
        <v>0</v>
      </c>
      <c r="M326">
        <f ca="1" t="shared" si="95"/>
        <v>0</v>
      </c>
      <c r="N326">
        <f ca="1">IFERROR(IF(AND(COUNTIF(B326,"*-峰插*"),技能数据库!$M$72&gt;0),0,IF(COUNTIF(B326,"*云飞*")&gt;0,4-COUNTIF(B326,"*玉山揽云*")*4--COUNTIF(B326,"*烟流暮景*")*4-COUNTIF(B326,"*云景*")*加速!$L$11-IF(J326&gt;0,2,0),MAX(0,N325-(A326-A325)-IF(J326&gt;0,2,0)))),0)</f>
        <v>0</v>
      </c>
      <c r="O326">
        <f ca="1">IF(AND(COUNTIF(IF(AND(配装计算器!$K$30&lt;&gt;"∞",0),INDEX(AU325:CB325,1,$AT$1),INDEX(AU327:CB327,1,$AT$1)),"*云飞*")=1,COUNTIF(IF(AND(配装计算器!$K$30&lt;&gt;"∞",0),INDEX(AU325:CB325,1,$AT$1),INDEX(AU327:CB327,1,$AT$1)),"*玉山*")=0),N326,0)</f>
        <v>0</v>
      </c>
      <c r="P326">
        <f ca="1">IFERROR(IF(COUNTIF(B326,"*云栖松*")&gt;0,50-加速!$L$11,MAX(0,P325-(A326-A325))),0)</f>
        <v>0</v>
      </c>
      <c r="Q326">
        <f ca="1">IF(COUNTIF(IF(AND(配装计算器!$K$30&lt;&gt;"∞",0),INDEX(AU325:CB325,1,$AT$1),INDEX(AU327:CB327,1,$AT$1)),"*云栖松*")=1,P326,0)</f>
        <v>0</v>
      </c>
      <c r="R326">
        <f ca="1">IFERROR(IF(COUNTIF(B326,"*莺鸣柳*")&gt;0,45-加速!$L$9,MAX(0,R325-(A326-A325))),0)</f>
        <v>0</v>
      </c>
      <c r="S326">
        <f ca="1">IF(COUNTIF(IF(AND(配装计算器!$K$30&lt;&gt;"∞",0),INDEX(AU325:CB325,1,$AT$1),INDEX(AU327:CB327,1,$AT$1)),"*莺鸣柳*")=1,R326,0)</f>
        <v>0</v>
      </c>
      <c r="T326">
        <f ca="1" t="shared" si="104"/>
        <v>0</v>
      </c>
      <c r="U326">
        <f ca="1">IF(金蛇,IF(COUNTIF(B326,"*金环戴*")+COUNTIF(B326,"*吹风醒*")&gt;0,IF(A326&lt;=3,7.125-2.625-A326-加速!$L$11,7.125+加速!$K$9-(A326+加速!$L$11-T326)),0),0)+IF(金蛇,IF(COUNTIF(B326,"*千切子裂光*")&gt;0,2+加速!$K$9-(A326+加速!$L$11-T326),0),0)</f>
        <v>0</v>
      </c>
      <c r="V326">
        <f ca="1" t="shared" si="105"/>
        <v>0</v>
      </c>
      <c r="W326">
        <f ca="1" t="shared" si="96"/>
        <v>0</v>
      </c>
      <c r="X326">
        <f ca="1">INDEX(加速!$I$13:$I$21,W326+1)</f>
        <v>0</v>
      </c>
      <c r="Y326">
        <f ca="1" t="shared" si="106"/>
        <v>0.5</v>
      </c>
      <c r="Z326">
        <f ca="1" t="shared" si="101"/>
        <v>0</v>
      </c>
      <c r="AA326">
        <f ca="1">MAX(0,IFERROR(IF(COUNTIF(B326,"*叠*")&gt;0,IF(AC325&lt;3,8-A327+A326,AA325+6.875-A327+A326),AA325-A327+A326),AA325-加速!$L$11))</f>
        <v>0</v>
      </c>
      <c r="AB326" t="e">
        <f ca="1">MAX(0,IF(COUNTIF(IF(AND(配装计算器!$K$30&lt;&gt;"∞",0),INDEX(AU326:CB326,1,$AT$1),INDEX(AU326:CB326,1,$AT$1)),"*叠1*")=1,4*25-加速!$L$11,AB325-A326+A325)-IF(OR(COUNTIF(OFFSET(AT326,0,$AT$1,1,1),"*听雷*")&gt;0,AND(碧归&gt;0,COUNTIF(OFFSET(AT326,0,$AT$1,1,1),"*风来*")&gt;0)),0,1)*1.5)</f>
        <v>#VALUE!</v>
      </c>
      <c r="AC326">
        <f ca="1" t="shared" si="97"/>
        <v>0</v>
      </c>
      <c r="AD326">
        <f ca="1">IF(COUNTIF(IF(AND(配装计算器!$K$30&lt;&gt;"∞",0),INDEX(AU326:CB326,1,$AT$1),INDEX(AU327:CB327,1,$AT$1)),"*叠1*")=1,AB326*0+AE325,0)</f>
        <v>0</v>
      </c>
      <c r="AE326" t="e">
        <f ca="1">IF($AN$11&gt;0,IF(COUNTIF(B327,"*叠1*")&gt;0,50-加速!$L$11,MAX(0,AE325-(A327-A326))),0)</f>
        <v>#VALUE!</v>
      </c>
      <c r="AG326">
        <f ca="1" t="shared" si="98"/>
        <v>9</v>
      </c>
      <c r="AU326" s="176" t="s">
        <v>2768</v>
      </c>
      <c r="AV326">
        <v>2</v>
      </c>
      <c r="AW326" t="str">
        <f>IF($AR$11=1,橙武补雾锁,"鹤归孤山")</f>
        <v>鹤归孤山</v>
      </c>
      <c r="AX326">
        <v>2</v>
      </c>
      <c r="AY326" t="s">
        <v>2776</v>
      </c>
      <c r="AZ326">
        <v>1</v>
      </c>
      <c r="BA326" t="s">
        <v>2768</v>
      </c>
      <c r="BB326">
        <v>0</v>
      </c>
      <c r="BC326" t="s">
        <v>2768</v>
      </c>
      <c r="BD326">
        <v>1</v>
      </c>
      <c r="BE326" t="s">
        <v>2768</v>
      </c>
      <c r="BF326">
        <v>1</v>
      </c>
      <c r="BG326" t="s">
        <v>2768</v>
      </c>
      <c r="BH326">
        <v>1</v>
      </c>
      <c r="BI326" s="176" t="s">
        <v>2768</v>
      </c>
      <c r="BJ326">
        <v>1</v>
      </c>
      <c r="BK326" s="176" t="s">
        <v>2768</v>
      </c>
      <c r="BL326">
        <v>2</v>
      </c>
      <c r="BM326" s="176" t="s">
        <v>2768</v>
      </c>
      <c r="BN326">
        <v>2</v>
      </c>
      <c r="BO326" t="str">
        <f>IF(秋,"夕照雷峰","云飞玉皇")</f>
        <v>云飞玉皇</v>
      </c>
      <c r="BP326">
        <v>2</v>
      </c>
      <c r="BQ326" t="s">
        <v>2776</v>
      </c>
      <c r="BR326">
        <v>2</v>
      </c>
      <c r="BS326" t="s">
        <v>2768</v>
      </c>
      <c r="BT326">
        <v>2</v>
      </c>
      <c r="BU326" t="s">
        <v>2768</v>
      </c>
      <c r="BV326">
        <v>2</v>
      </c>
      <c r="BW326" s="182" t="s">
        <v>3063</v>
      </c>
      <c r="BX326" s="179">
        <v>0</v>
      </c>
      <c r="BY326" s="176" t="s">
        <v>2768</v>
      </c>
      <c r="BZ326">
        <v>2</v>
      </c>
      <c r="CA326" t="str">
        <f>IF(秋,"云栖松","泉凝月")</f>
        <v>泉凝月</v>
      </c>
      <c r="CB326">
        <v>2</v>
      </c>
    </row>
    <row r="327" spans="1:80">
      <c r="A327" s="178" t="str">
        <f ca="1">IFERROR(IF(AG326&lt;5+金蛇*2,IF(COUNTIF(B326,"*轻*")&gt;0,A326+加速!$L$9,A326+加速!$L$11)+V326,""),"")</f>
        <v/>
      </c>
      <c r="B327" s="167" t="str">
        <f ca="1" t="shared" si="93"/>
        <v/>
      </c>
      <c r="C327" t="str">
        <f ca="1" t="shared" si="103"/>
        <v/>
      </c>
      <c r="D327" t="str">
        <f ca="1">IF(B327&lt;&gt;"",IF(C326&lt;=加速!$L$11*(1-E327),0,1),"")</f>
        <v/>
      </c>
      <c r="E327">
        <f ca="1" t="shared" si="99"/>
        <v>1</v>
      </c>
      <c r="G327" t="str">
        <f ca="1" t="shared" si="100"/>
        <v/>
      </c>
      <c r="H327" t="str">
        <f ca="1">IF(B327&lt;&gt;"",IF(AND(COUNTIF(B326,"*轻*莺鸣柳*")&gt;0,COUNTIF(B327,"*轻*")&lt;1),MAX(0,15+I326-(A327-A326)+COUNTIF(B326,"*平湖*")*0),IF(AND(E327=0,MAX(0,H326-(A327-A326))&lt;=加速!$H$11),0,MAX(0,H326-(A327-A326)))),"")</f>
        <v/>
      </c>
      <c r="I327" t="str">
        <f ca="1" t="shared" si="107"/>
        <v/>
      </c>
      <c r="J327" t="str">
        <f ca="1" t="shared" si="108"/>
        <v/>
      </c>
      <c r="K327" t="str">
        <f ca="1" t="shared" si="94"/>
        <v/>
      </c>
      <c r="L327">
        <f ca="1">IFERROR(IF(AND(COUNTIF(B327,"*-峰插*"),技能数据库!$M$72&gt;0),0,IF(COUNTIF(B327,"*鹤归*")&gt;0,16-加速!$L$11,MAX(0,L326-(A327-A326)))),0)</f>
        <v>0</v>
      </c>
      <c r="M327">
        <f ca="1" t="shared" si="95"/>
        <v>0</v>
      </c>
      <c r="N327">
        <f ca="1">IFERROR(IF(AND(COUNTIF(B327,"*-峰插*"),技能数据库!$M$72&gt;0),0,IF(COUNTIF(B327,"*云飞*")&gt;0,4-COUNTIF(B327,"*玉山揽云*")*4--COUNTIF(B327,"*烟流暮景*")*4-COUNTIF(B327,"*云景*")*加速!$L$11-IF(J327&gt;0,2,0),MAX(0,N326-(A327-A326)-IF(J327&gt;0,2,0)))),0)</f>
        <v>0</v>
      </c>
      <c r="O327">
        <f ca="1">IF(AND(COUNTIF(IF(AND(配装计算器!$K$30&lt;&gt;"∞",0),INDEX(AU326:CB326,1,$AT$1),INDEX(AU328:CB328,1,$AT$1)),"*云飞*")=1,COUNTIF(IF(AND(配装计算器!$K$30&lt;&gt;"∞",0),INDEX(AU326:CB326,1,$AT$1),INDEX(AU328:CB328,1,$AT$1)),"*玉山*")=0),N327,0)</f>
        <v>0</v>
      </c>
      <c r="P327">
        <f ca="1">IFERROR(IF(COUNTIF(B327,"*云栖松*")&gt;0,50-加速!$L$11,MAX(0,P326-(A327-A326))),0)</f>
        <v>0</v>
      </c>
      <c r="Q327">
        <f ca="1">IF(COUNTIF(IF(AND(配装计算器!$K$30&lt;&gt;"∞",0),INDEX(AU326:CB326,1,$AT$1),INDEX(AU328:CB328,1,$AT$1)),"*云栖松*")=1,P327,0)</f>
        <v>0</v>
      </c>
      <c r="R327">
        <f ca="1">IFERROR(IF(COUNTIF(B327,"*莺鸣柳*")&gt;0,45-加速!$L$9,MAX(0,R326-(A327-A326))),0)</f>
        <v>0</v>
      </c>
      <c r="S327">
        <f ca="1">IF(COUNTIF(IF(AND(配装计算器!$K$30&lt;&gt;"∞",0),INDEX(AU326:CB326,1,$AT$1),INDEX(AU328:CB328,1,$AT$1)),"*莺鸣柳*")=1,R327,0)</f>
        <v>0</v>
      </c>
      <c r="T327">
        <f ca="1" t="shared" si="104"/>
        <v>0</v>
      </c>
      <c r="U327">
        <f ca="1">IF(金蛇,IF(COUNTIF(B327,"*金环戴*")+COUNTIF(B327,"*吹风醒*")&gt;0,IF(A327&lt;=3,7.125-2.625-A327-加速!$L$11,7.125+加速!$K$9-(A327+加速!$L$11-T327)),0),0)+IF(金蛇,IF(COUNTIF(B327,"*千切子裂光*")&gt;0,2+加速!$K$9-(A327+加速!$L$11-T327),0),0)</f>
        <v>0</v>
      </c>
      <c r="V327">
        <f ca="1" t="shared" si="105"/>
        <v>0</v>
      </c>
      <c r="W327">
        <f ca="1" t="shared" si="96"/>
        <v>0</v>
      </c>
      <c r="X327">
        <f ca="1">INDEX(加速!$I$13:$I$21,W327+1)</f>
        <v>0</v>
      </c>
      <c r="Y327">
        <f ca="1" t="shared" si="106"/>
        <v>0.5</v>
      </c>
      <c r="Z327">
        <f ca="1" t="shared" si="101"/>
        <v>0</v>
      </c>
      <c r="AA327">
        <f ca="1">MAX(0,IFERROR(IF(COUNTIF(B327,"*叠*")&gt;0,IF(AC326&lt;3,8-A328+A327,AA326+6.875-A328+A327),AA326-A328+A327),AA326-加速!$L$11))</f>
        <v>0</v>
      </c>
      <c r="AB327" t="e">
        <f ca="1">MAX(0,IF(COUNTIF(IF(AND(配装计算器!$K$30&lt;&gt;"∞",0),INDEX(AU327:CB327,1,$AT$1),INDEX(AU327:CB327,1,$AT$1)),"*叠1*")=1,4*25-加速!$L$11,AB326-A327+A326)-IF(OR(COUNTIF(OFFSET(AT327,0,$AT$1,1,1),"*听雷*")&gt;0,AND(碧归&gt;0,COUNTIF(OFFSET(AT327,0,$AT$1,1,1),"*风来*")&gt;0)),0,1)*1.5)</f>
        <v>#VALUE!</v>
      </c>
      <c r="AC327">
        <f ca="1" t="shared" si="97"/>
        <v>0</v>
      </c>
      <c r="AD327">
        <f ca="1">IF(COUNTIF(IF(AND(配装计算器!$K$30&lt;&gt;"∞",0),INDEX(AU327:CB327,1,$AT$1),INDEX(AU328:CB328,1,$AT$1)),"*叠1*")=1,AB327*0+AE326,0)</f>
        <v>0</v>
      </c>
      <c r="AE327" t="e">
        <f ca="1">IF($AN$11&gt;0,IF(COUNTIF(B328,"*叠1*")&gt;0,50-加速!$L$11,MAX(0,AE326-(A328-A327))),0)</f>
        <v>#VALUE!</v>
      </c>
      <c r="AG327">
        <f ca="1" t="shared" si="98"/>
        <v>9</v>
      </c>
      <c r="AU327" s="176" t="s">
        <v>2776</v>
      </c>
      <c r="AV327">
        <v>2</v>
      </c>
      <c r="AW327" s="176" t="str">
        <f>IF($AR$11=1,"夕照雷峰","夕照雷峰")</f>
        <v>夕照雷峰</v>
      </c>
      <c r="AX327">
        <v>2</v>
      </c>
      <c r="AY327" t="s">
        <v>2768</v>
      </c>
      <c r="AZ327">
        <v>1</v>
      </c>
      <c r="BA327" t="s">
        <v>3010</v>
      </c>
      <c r="BB327">
        <v>2</v>
      </c>
      <c r="BC327" t="s">
        <v>2794</v>
      </c>
      <c r="BD327">
        <v>2</v>
      </c>
      <c r="BE327" t="s">
        <v>2768</v>
      </c>
      <c r="BF327">
        <v>1</v>
      </c>
      <c r="BG327" t="s">
        <v>3011</v>
      </c>
      <c r="BH327">
        <v>2</v>
      </c>
      <c r="BI327" s="176" t="s">
        <v>2768</v>
      </c>
      <c r="BJ327">
        <v>1</v>
      </c>
      <c r="BK327" s="176" t="s">
        <v>2768</v>
      </c>
      <c r="BL327">
        <v>1</v>
      </c>
      <c r="BM327" s="176" t="s">
        <v>2776</v>
      </c>
      <c r="BN327">
        <v>2</v>
      </c>
      <c r="BO327" s="176" t="str">
        <f>IF(秋,"梦泉虎跑-轻","夕照雷峰")</f>
        <v>夕照雷峰</v>
      </c>
      <c r="BP327">
        <v>2</v>
      </c>
      <c r="BQ327" t="s">
        <v>2768</v>
      </c>
      <c r="BR327">
        <v>2</v>
      </c>
      <c r="BS327" t="s">
        <v>2776</v>
      </c>
      <c r="BT327">
        <v>2</v>
      </c>
      <c r="BU327" s="176" t="s">
        <v>2794</v>
      </c>
      <c r="BV327">
        <v>1</v>
      </c>
      <c r="BW327" s="179" t="s">
        <v>2768</v>
      </c>
      <c r="BX327" s="179">
        <v>2</v>
      </c>
      <c r="BY327" s="176" t="s">
        <v>2776</v>
      </c>
      <c r="BZ327">
        <v>2</v>
      </c>
      <c r="CA327" t="s">
        <v>2768</v>
      </c>
      <c r="CB327">
        <v>2</v>
      </c>
    </row>
    <row r="328" spans="1:80">
      <c r="A328" s="178" t="str">
        <f ca="1">IFERROR(IF(AG327&lt;5+金蛇*2,IF(COUNTIF(B327,"*轻*")&gt;0,A327+加速!$L$9,A327+加速!$L$11)+V327,""),"")</f>
        <v/>
      </c>
      <c r="B328" s="167" t="str">
        <f ca="1" t="shared" si="93"/>
        <v/>
      </c>
      <c r="C328" t="str">
        <f ca="1" t="shared" si="103"/>
        <v/>
      </c>
      <c r="D328" t="str">
        <f ca="1">IF(B328&lt;&gt;"",IF(C327&lt;=加速!$L$11*(1-E328),0,1),"")</f>
        <v/>
      </c>
      <c r="E328">
        <f ca="1" t="shared" si="99"/>
        <v>1</v>
      </c>
      <c r="G328" t="str">
        <f ca="1" t="shared" si="100"/>
        <v/>
      </c>
      <c r="H328" t="str">
        <f ca="1">IF(B328&lt;&gt;"",IF(AND(COUNTIF(B327,"*轻*莺鸣柳*")&gt;0,COUNTIF(B328,"*轻*")&lt;1),MAX(0,15+I327-(A328-A327)+COUNTIF(B327,"*平湖*")*0),IF(AND(E328=0,MAX(0,H327-(A328-A327))&lt;=加速!$H$11),0,MAX(0,H327-(A328-A327)))),"")</f>
        <v/>
      </c>
      <c r="I328" t="str">
        <f ca="1" t="shared" si="107"/>
        <v/>
      </c>
      <c r="J328" t="str">
        <f ca="1" t="shared" si="108"/>
        <v/>
      </c>
      <c r="K328" t="str">
        <f ca="1" t="shared" si="94"/>
        <v/>
      </c>
      <c r="L328">
        <f ca="1">IFERROR(IF(AND(COUNTIF(B328,"*-峰插*"),技能数据库!$M$72&gt;0),0,IF(COUNTIF(B328,"*鹤归*")&gt;0,16-加速!$L$11,MAX(0,L327-(A328-A327)))),0)</f>
        <v>0</v>
      </c>
      <c r="M328">
        <f ca="1" t="shared" si="95"/>
        <v>0</v>
      </c>
      <c r="N328">
        <f ca="1">IFERROR(IF(AND(COUNTIF(B328,"*-峰插*"),技能数据库!$M$72&gt;0),0,IF(COUNTIF(B328,"*云飞*")&gt;0,4-COUNTIF(B328,"*玉山揽云*")*4--COUNTIF(B328,"*烟流暮景*")*4-COUNTIF(B328,"*云景*")*加速!$L$11-IF(J328&gt;0,2,0),MAX(0,N327-(A328-A327)-IF(J328&gt;0,2,0)))),0)</f>
        <v>0</v>
      </c>
      <c r="O328">
        <f ca="1">IF(AND(COUNTIF(IF(AND(配装计算器!$K$30&lt;&gt;"∞",0),INDEX(AU327:CB327,1,$AT$1),INDEX(AU329:CB329,1,$AT$1)),"*云飞*")=1,COUNTIF(IF(AND(配装计算器!$K$30&lt;&gt;"∞",0),INDEX(AU327:CB327,1,$AT$1),INDEX(AU329:CB329,1,$AT$1)),"*玉山*")=0),N328,0)</f>
        <v>0</v>
      </c>
      <c r="P328">
        <f ca="1">IFERROR(IF(COUNTIF(B328,"*云栖松*")&gt;0,50-加速!$L$11,MAX(0,P327-(A328-A327))),0)</f>
        <v>0</v>
      </c>
      <c r="Q328">
        <f ca="1">IF(COUNTIF(IF(AND(配装计算器!$K$30&lt;&gt;"∞",0),INDEX(AU327:CB327,1,$AT$1),INDEX(AU329:CB329,1,$AT$1)),"*云栖松*")=1,P328,0)</f>
        <v>0</v>
      </c>
      <c r="R328">
        <f ca="1">IFERROR(IF(COUNTIF(B328,"*莺鸣柳*")&gt;0,45-加速!$L$9,MAX(0,R327-(A328-A327))),0)</f>
        <v>0</v>
      </c>
      <c r="S328">
        <f ca="1">IF(COUNTIF(IF(AND(配装计算器!$K$30&lt;&gt;"∞",0),INDEX(AU327:CB327,1,$AT$1),INDEX(AU329:CB329,1,$AT$1)),"*莺鸣柳*")=1,R328,0)</f>
        <v>0</v>
      </c>
      <c r="T328">
        <f ca="1" t="shared" si="104"/>
        <v>0</v>
      </c>
      <c r="U328">
        <f ca="1">IF(金蛇,IF(COUNTIF(B328,"*金环戴*")+COUNTIF(B328,"*吹风醒*")&gt;0,IF(A328&lt;=3,7.125-2.625-A328-加速!$L$11,7.125+加速!$K$9-(A328+加速!$L$11-T328)),0),0)+IF(金蛇,IF(COUNTIF(B328,"*千切子裂光*")&gt;0,2+加速!$K$9-(A328+加速!$L$11-T328),0),0)</f>
        <v>0</v>
      </c>
      <c r="V328">
        <f ca="1" t="shared" si="105"/>
        <v>0</v>
      </c>
      <c r="W328">
        <f ca="1" t="shared" si="96"/>
        <v>0</v>
      </c>
      <c r="X328">
        <f ca="1">INDEX(加速!$I$13:$I$21,W328+1)</f>
        <v>0</v>
      </c>
      <c r="Y328">
        <f ca="1" t="shared" si="106"/>
        <v>0.5</v>
      </c>
      <c r="Z328">
        <f ca="1" t="shared" si="101"/>
        <v>0</v>
      </c>
      <c r="AA328">
        <f ca="1">MAX(0,IFERROR(IF(COUNTIF(B328,"*叠*")&gt;0,IF(AC327&lt;3,8-A329+A328,AA327+6.875-A329+A328),AA327-A329+A328),AA327-加速!$L$11))</f>
        <v>0</v>
      </c>
      <c r="AB328" t="e">
        <f ca="1">MAX(0,IF(COUNTIF(IF(AND(配装计算器!$K$30&lt;&gt;"∞",0),INDEX(AU328:CB328,1,$AT$1),INDEX(AU328:CB328,1,$AT$1)),"*叠1*")=1,4*25-加速!$L$11,AB327-A328+A327)-IF(OR(COUNTIF(OFFSET(AT328,0,$AT$1,1,1),"*听雷*")&gt;0,AND(碧归&gt;0,COUNTIF(OFFSET(AT328,0,$AT$1,1,1),"*风来*")&gt;0)),0,1)*1.5)</f>
        <v>#VALUE!</v>
      </c>
      <c r="AC328">
        <f ca="1" t="shared" si="97"/>
        <v>0</v>
      </c>
      <c r="AD328">
        <f ca="1">IF(COUNTIF(IF(AND(配装计算器!$K$30&lt;&gt;"∞",0),INDEX(AU328:CB328,1,$AT$1),INDEX(AU329:CB329,1,$AT$1)),"*叠1*")=1,AB328*0+AE327,0)</f>
        <v>0</v>
      </c>
      <c r="AE328" t="e">
        <f ca="1">IF($AN$11&gt;0,IF(COUNTIF(B329,"*叠1*")&gt;0,50-加速!$L$11,MAX(0,AE327-(A329-A328))),0)</f>
        <v>#VALUE!</v>
      </c>
      <c r="AG328">
        <f ca="1" t="shared" si="98"/>
        <v>9</v>
      </c>
      <c r="AU328" s="176" t="s">
        <v>2768</v>
      </c>
      <c r="AV328">
        <v>2</v>
      </c>
      <c r="AW328" t="str">
        <f>IF($AR$11=1,"鹤归孤山","云飞玉皇")</f>
        <v>云飞玉皇</v>
      </c>
      <c r="AX328">
        <v>2</v>
      </c>
      <c r="AY328" t="s">
        <v>2768</v>
      </c>
      <c r="AZ328">
        <v>0</v>
      </c>
      <c r="BA328" t="s">
        <v>3013</v>
      </c>
      <c r="BB328">
        <v>2</v>
      </c>
      <c r="BC328" t="s">
        <v>2768</v>
      </c>
      <c r="BD328">
        <v>2</v>
      </c>
      <c r="BE328" t="s">
        <v>2794</v>
      </c>
      <c r="BF328">
        <v>0</v>
      </c>
      <c r="BG328" t="s">
        <v>2768</v>
      </c>
      <c r="BH328">
        <v>2</v>
      </c>
      <c r="BI328" s="176" t="s">
        <v>2776</v>
      </c>
      <c r="BJ328">
        <v>0</v>
      </c>
      <c r="BK328" s="176" t="s">
        <v>2768</v>
      </c>
      <c r="BL328">
        <v>1</v>
      </c>
      <c r="BM328" s="176" t="str">
        <f>IF(0,"云飞玉皇-玉山揽云","夕照雷峰")</f>
        <v>夕照雷峰</v>
      </c>
      <c r="BN328">
        <v>2</v>
      </c>
      <c r="BO328" s="176" t="str">
        <f>IF(秋,"九溪弥烟-轻-血毒金蛇锥","梦泉虎跑-轻")</f>
        <v>梦泉虎跑-轻</v>
      </c>
      <c r="BP328">
        <v>0</v>
      </c>
      <c r="BQ328" t="s">
        <v>2768</v>
      </c>
      <c r="BR328">
        <v>2</v>
      </c>
      <c r="BS328" t="s">
        <v>2768</v>
      </c>
      <c r="BT328">
        <v>2</v>
      </c>
      <c r="BU328" t="s">
        <v>2776</v>
      </c>
      <c r="BV328">
        <v>1</v>
      </c>
      <c r="BW328" s="179" t="s">
        <v>1886</v>
      </c>
      <c r="BX328" s="179">
        <v>2</v>
      </c>
      <c r="BY328" s="176" t="str">
        <f>IF(0,"云飞玉皇-玉山揽云","夕照雷峰")</f>
        <v>夕照雷峰</v>
      </c>
      <c r="BZ328">
        <v>2</v>
      </c>
      <c r="CA328" t="s">
        <v>1886</v>
      </c>
      <c r="CB328">
        <v>2</v>
      </c>
    </row>
    <row r="329" spans="1:80">
      <c r="A329" s="178" t="str">
        <f ca="1">IFERROR(IF(AG328&lt;5+金蛇*2,IF(COUNTIF(B328,"*轻*")&gt;0,A328+加速!$L$9,A328+加速!$L$11)+V328,""),"")</f>
        <v/>
      </c>
      <c r="B329" s="167" t="str">
        <f ca="1" t="shared" si="93"/>
        <v/>
      </c>
      <c r="C329" t="str">
        <f ca="1" t="shared" si="103"/>
        <v/>
      </c>
      <c r="D329" t="str">
        <f ca="1">IF(B329&lt;&gt;"",IF(C328&lt;=加速!$L$11*(1-E329),0,1),"")</f>
        <v/>
      </c>
      <c r="E329">
        <f ca="1" t="shared" si="99"/>
        <v>1</v>
      </c>
      <c r="G329" t="str">
        <f ca="1" t="shared" si="100"/>
        <v/>
      </c>
      <c r="H329" t="str">
        <f ca="1">IF(B329&lt;&gt;"",IF(AND(COUNTIF(B328,"*轻*莺鸣柳*")&gt;0,COUNTIF(B329,"*轻*")&lt;1),MAX(0,15+I328-(A329-A328)+COUNTIF(B328,"*平湖*")*0),IF(AND(E329=0,MAX(0,H328-(A329-A328))&lt;=加速!$H$11),0,MAX(0,H328-(A329-A328)))),"")</f>
        <v/>
      </c>
      <c r="I329" t="str">
        <f ca="1" t="shared" si="107"/>
        <v/>
      </c>
      <c r="J329" t="str">
        <f ca="1" t="shared" si="108"/>
        <v/>
      </c>
      <c r="K329" t="str">
        <f ca="1" t="shared" si="94"/>
        <v/>
      </c>
      <c r="L329">
        <f ca="1">IFERROR(IF(AND(COUNTIF(B329,"*-峰插*"),技能数据库!$M$72&gt;0),0,IF(COUNTIF(B329,"*鹤归*")&gt;0,16-加速!$L$11,MAX(0,L328-(A329-A328)))),0)</f>
        <v>0</v>
      </c>
      <c r="M329">
        <f ca="1" t="shared" si="95"/>
        <v>0</v>
      </c>
      <c r="N329">
        <f ca="1">IFERROR(IF(AND(COUNTIF(B329,"*-峰插*"),技能数据库!$M$72&gt;0),0,IF(COUNTIF(B329,"*云飞*")&gt;0,4-COUNTIF(B329,"*玉山揽云*")*4--COUNTIF(B329,"*烟流暮景*")*4-COUNTIF(B329,"*云景*")*加速!$L$11-IF(J329&gt;0,2,0),MAX(0,N328-(A329-A328)-IF(J329&gt;0,2,0)))),0)</f>
        <v>0</v>
      </c>
      <c r="O329">
        <f ca="1">IF(AND(COUNTIF(IF(AND(配装计算器!$K$30&lt;&gt;"∞",0),INDEX(AU328:CB328,1,$AT$1),INDEX(AU330:CB330,1,$AT$1)),"*云飞*")=1,COUNTIF(IF(AND(配装计算器!$K$30&lt;&gt;"∞",0),INDEX(AU328:CB328,1,$AT$1),INDEX(AU330:CB330,1,$AT$1)),"*玉山*")=0),N329,0)</f>
        <v>0</v>
      </c>
      <c r="P329">
        <f ca="1">IFERROR(IF(COUNTIF(B329,"*云栖松*")&gt;0,50-加速!$L$11,MAX(0,P328-(A329-A328))),0)</f>
        <v>0</v>
      </c>
      <c r="Q329">
        <f ca="1">IF(COUNTIF(IF(AND(配装计算器!$K$30&lt;&gt;"∞",0),INDEX(AU328:CB328,1,$AT$1),INDEX(AU330:CB330,1,$AT$1)),"*云栖松*")=1,P329,0)</f>
        <v>0</v>
      </c>
      <c r="R329">
        <f ca="1">IFERROR(IF(COUNTIF(B329,"*莺鸣柳*")&gt;0,45-加速!$L$9,MAX(0,R328-(A329-A328))),0)</f>
        <v>0</v>
      </c>
      <c r="S329">
        <f ca="1">IF(COUNTIF(IF(AND(配装计算器!$K$30&lt;&gt;"∞",0),INDEX(AU328:CB328,1,$AT$1),INDEX(AU330:CB330,1,$AT$1)),"*莺鸣柳*")=1,R329,0)</f>
        <v>0</v>
      </c>
      <c r="T329">
        <f ca="1" t="shared" si="104"/>
        <v>0</v>
      </c>
      <c r="U329">
        <f ca="1">IF(金蛇,IF(COUNTIF(B329,"*金环戴*")+COUNTIF(B329,"*吹风醒*")&gt;0,IF(A329&lt;=3,7.125-2.625-A329-加速!$L$11,7.125+加速!$K$9-(A329+加速!$L$11-T329)),0),0)+IF(金蛇,IF(COUNTIF(B329,"*千切子裂光*")&gt;0,2+加速!$K$9-(A329+加速!$L$11-T329),0),0)</f>
        <v>0</v>
      </c>
      <c r="V329">
        <f ca="1" t="shared" si="105"/>
        <v>0</v>
      </c>
      <c r="W329">
        <f ca="1" t="shared" si="96"/>
        <v>0</v>
      </c>
      <c r="X329">
        <f ca="1">INDEX(加速!$I$13:$I$21,W329+1)</f>
        <v>0</v>
      </c>
      <c r="Y329">
        <f ca="1" t="shared" si="106"/>
        <v>0.5</v>
      </c>
      <c r="Z329">
        <f ca="1" t="shared" si="101"/>
        <v>0</v>
      </c>
      <c r="AA329">
        <f ca="1">MAX(0,IFERROR(IF(COUNTIF(B329,"*叠*")&gt;0,IF(AC328&lt;3,8-A330+A329,AA328+6.875-A330+A329),AA328-A330+A329),AA328-加速!$L$11))</f>
        <v>0</v>
      </c>
      <c r="AB329" t="e">
        <f ca="1">MAX(0,IF(COUNTIF(IF(AND(配装计算器!$K$30&lt;&gt;"∞",0),INDEX(AU329:CB329,1,$AT$1),INDEX(AU329:CB329,1,$AT$1)),"*叠1*")=1,4*25-加速!$L$11,AB328-A329+A328)-IF(OR(COUNTIF(OFFSET(AT329,0,$AT$1,1,1),"*听雷*")&gt;0,AND(碧归&gt;0,COUNTIF(OFFSET(AT329,0,$AT$1,1,1),"*风来*")&gt;0)),0,1)*1.5)</f>
        <v>#VALUE!</v>
      </c>
      <c r="AC329">
        <f ca="1" t="shared" si="97"/>
        <v>0</v>
      </c>
      <c r="AD329">
        <f ca="1">IF(COUNTIF(IF(AND(配装计算器!$K$30&lt;&gt;"∞",0),INDEX(AU329:CB329,1,$AT$1),INDEX(AU330:CB330,1,$AT$1)),"*叠1*")=1,AB329*0+AE328,0)</f>
        <v>0</v>
      </c>
      <c r="AE329" t="e">
        <f ca="1">IF($AN$11&gt;0,IF(COUNTIF(B330,"*叠1*")&gt;0,50-加速!$L$11,MAX(0,AE328-(A330-A329))),0)</f>
        <v>#VALUE!</v>
      </c>
      <c r="AG329">
        <f ca="1" t="shared" si="98"/>
        <v>9</v>
      </c>
      <c r="AU329" s="176" t="s">
        <v>2776</v>
      </c>
      <c r="AV329">
        <v>2</v>
      </c>
      <c r="AW329" t="str">
        <f>IF($AR$11=1,"云飞玉皇","夕照雷峰")</f>
        <v>夕照雷峰</v>
      </c>
      <c r="AX329">
        <v>2</v>
      </c>
      <c r="AY329" t="s">
        <v>3010</v>
      </c>
      <c r="AZ329">
        <v>2</v>
      </c>
      <c r="BA329" t="s">
        <v>3017</v>
      </c>
      <c r="BB329">
        <v>2</v>
      </c>
      <c r="BC329" t="s">
        <v>2776</v>
      </c>
      <c r="BD329">
        <v>2</v>
      </c>
      <c r="BE329" t="s">
        <v>2776</v>
      </c>
      <c r="BF329">
        <v>0</v>
      </c>
      <c r="BG329" t="s">
        <v>3018</v>
      </c>
      <c r="BH329">
        <v>2</v>
      </c>
      <c r="BI329" t="s">
        <v>2794</v>
      </c>
      <c r="BJ329">
        <v>0</v>
      </c>
      <c r="BK329" s="176" t="s">
        <v>2776</v>
      </c>
      <c r="BL329">
        <v>0</v>
      </c>
      <c r="BM329" t="str">
        <f>IF(0,"云飞玉皇-玉山揽云","云飞玉皇")</f>
        <v>云飞玉皇</v>
      </c>
      <c r="BN329">
        <v>2</v>
      </c>
      <c r="BO329" t="s">
        <v>3009</v>
      </c>
      <c r="BP329">
        <v>2</v>
      </c>
      <c r="BQ329" t="s">
        <v>2768</v>
      </c>
      <c r="BR329">
        <v>1</v>
      </c>
      <c r="BS329" t="s">
        <v>2776</v>
      </c>
      <c r="BT329">
        <v>1</v>
      </c>
      <c r="BU329" t="s">
        <v>2768</v>
      </c>
      <c r="BV329">
        <v>1</v>
      </c>
      <c r="BW329" s="179" t="s">
        <v>2853</v>
      </c>
      <c r="BX329" s="179">
        <v>2</v>
      </c>
      <c r="BY329" t="str">
        <f>IF(0,"云飞玉皇-玉山揽云","云飞玉皇")</f>
        <v>云飞玉皇</v>
      </c>
      <c r="BZ329">
        <v>2</v>
      </c>
      <c r="CA329" t="s">
        <v>2853</v>
      </c>
      <c r="CB329">
        <v>2</v>
      </c>
    </row>
    <row r="330" spans="1:80">
      <c r="A330" s="178" t="str">
        <f ca="1">IFERROR(IF(AG329&lt;5+金蛇*2,IF(COUNTIF(B329,"*轻*")&gt;0,A329+加速!$L$9,A329+加速!$L$11)+V329,""),"")</f>
        <v/>
      </c>
      <c r="B330" s="167" t="str">
        <f ca="1" t="shared" si="93"/>
        <v/>
      </c>
      <c r="C330" t="str">
        <f ca="1" t="shared" si="103"/>
        <v/>
      </c>
      <c r="D330" t="str">
        <f ca="1">IF(B330&lt;&gt;"",IF(C329&lt;=加速!$L$11*(1-E330),0,1),"")</f>
        <v/>
      </c>
      <c r="E330">
        <f ca="1" t="shared" si="99"/>
        <v>1</v>
      </c>
      <c r="G330" t="str">
        <f ca="1" t="shared" si="100"/>
        <v/>
      </c>
      <c r="H330" t="str">
        <f ca="1">IF(B330&lt;&gt;"",IF(AND(COUNTIF(B329,"*轻*莺鸣柳*")&gt;0,COUNTIF(B330,"*轻*")&lt;1),MAX(0,15+I329-(A330-A329)+COUNTIF(B329,"*平湖*")*0),IF(AND(E330=0,MAX(0,H329-(A330-A329))&lt;=加速!$H$11),0,MAX(0,H329-(A330-A329)))),"")</f>
        <v/>
      </c>
      <c r="I330" t="str">
        <f ca="1" t="shared" si="107"/>
        <v/>
      </c>
      <c r="J330" t="str">
        <f ca="1" t="shared" si="108"/>
        <v/>
      </c>
      <c r="K330" t="str">
        <f ca="1" t="shared" si="94"/>
        <v/>
      </c>
      <c r="L330">
        <f ca="1">IFERROR(IF(AND(COUNTIF(B330,"*-峰插*"),技能数据库!$M$72&gt;0),0,IF(COUNTIF(B330,"*鹤归*")&gt;0,16-加速!$L$11,MAX(0,L329-(A330-A329)))),0)</f>
        <v>0</v>
      </c>
      <c r="M330">
        <f ca="1" t="shared" si="95"/>
        <v>0</v>
      </c>
      <c r="N330">
        <f ca="1">IFERROR(IF(AND(COUNTIF(B330,"*-峰插*"),技能数据库!$M$72&gt;0),0,IF(COUNTIF(B330,"*云飞*")&gt;0,4-COUNTIF(B330,"*玉山揽云*")*4--COUNTIF(B330,"*烟流暮景*")*4-COUNTIF(B330,"*云景*")*加速!$L$11-IF(J330&gt;0,2,0),MAX(0,N329-(A330-A329)-IF(J330&gt;0,2,0)))),0)</f>
        <v>0</v>
      </c>
      <c r="O330">
        <f ca="1">IF(AND(COUNTIF(IF(AND(配装计算器!$K$30&lt;&gt;"∞",0),INDEX(AU329:CB329,1,$AT$1),INDEX(AU331:CB331,1,$AT$1)),"*云飞*")=1,COUNTIF(IF(AND(配装计算器!$K$30&lt;&gt;"∞",0),INDEX(AU329:CB329,1,$AT$1),INDEX(AU331:CB331,1,$AT$1)),"*玉山*")=0),N330,0)</f>
        <v>0</v>
      </c>
      <c r="P330">
        <f ca="1">IFERROR(IF(COUNTIF(B330,"*云栖松*")&gt;0,50-加速!$L$11,MAX(0,P329-(A330-A329))),0)</f>
        <v>0</v>
      </c>
      <c r="Q330">
        <f ca="1">IF(COUNTIF(IF(AND(配装计算器!$K$30&lt;&gt;"∞",0),INDEX(AU329:CB329,1,$AT$1),INDEX(AU331:CB331,1,$AT$1)),"*云栖松*")=1,P330,0)</f>
        <v>0</v>
      </c>
      <c r="R330">
        <f ca="1">IFERROR(IF(COUNTIF(B330,"*莺鸣柳*")&gt;0,45-加速!$L$9,MAX(0,R329-(A330-A329))),0)</f>
        <v>0</v>
      </c>
      <c r="S330">
        <f ca="1">IF(COUNTIF(IF(AND(配装计算器!$K$30&lt;&gt;"∞",0),INDEX(AU329:CB329,1,$AT$1),INDEX(AU331:CB331,1,$AT$1)),"*莺鸣柳*")=1,R330,0)</f>
        <v>0</v>
      </c>
      <c r="T330">
        <f ca="1" t="shared" si="104"/>
        <v>0</v>
      </c>
      <c r="U330">
        <f ca="1">IF(金蛇,IF(COUNTIF(B330,"*金环戴*")+COUNTIF(B330,"*吹风醒*")&gt;0,IF(A330&lt;=3,7.125-2.625-A330-加速!$L$11,7.125+加速!$K$9-(A330+加速!$L$11-T330)),0),0)+IF(金蛇,IF(COUNTIF(B330,"*千切子裂光*")&gt;0,2+加速!$K$9-(A330+加速!$L$11-T330),0),0)</f>
        <v>0</v>
      </c>
      <c r="V330">
        <f ca="1" t="shared" si="105"/>
        <v>0</v>
      </c>
      <c r="W330">
        <f ca="1" t="shared" si="96"/>
        <v>0</v>
      </c>
      <c r="X330">
        <f ca="1">INDEX(加速!$I$13:$I$21,W330+1)</f>
        <v>0</v>
      </c>
      <c r="Y330">
        <f ca="1" t="shared" si="106"/>
        <v>0.5</v>
      </c>
      <c r="Z330">
        <f ca="1" t="shared" si="101"/>
        <v>0</v>
      </c>
      <c r="AA330">
        <f ca="1">MAX(0,IFERROR(IF(COUNTIF(B330,"*叠*")&gt;0,IF(AC329&lt;3,8-A331+A330,AA329+6.875-A331+A330),AA329-A331+A330),AA329-加速!$L$11))</f>
        <v>0</v>
      </c>
      <c r="AB330" t="e">
        <f ca="1">MAX(0,IF(COUNTIF(IF(AND(配装计算器!$K$30&lt;&gt;"∞",0),INDEX(AU330:CB330,1,$AT$1),INDEX(AU330:CB330,1,$AT$1)),"*叠1*")=1,4*25-加速!$L$11,AB329-A330+A329)-IF(OR(COUNTIF(OFFSET(AT330,0,$AT$1,1,1),"*听雷*")&gt;0,AND(碧归&gt;0,COUNTIF(OFFSET(AT330,0,$AT$1,1,1),"*风来*")&gt;0)),0,1)*1.5)</f>
        <v>#VALUE!</v>
      </c>
      <c r="AC330">
        <f ca="1" t="shared" si="97"/>
        <v>0</v>
      </c>
      <c r="AD330">
        <f ca="1">IF(COUNTIF(IF(AND(配装计算器!$K$30&lt;&gt;"∞",0),INDEX(AU330:CB330,1,$AT$1),INDEX(AU331:CB331,1,$AT$1)),"*叠1*")=1,AB330*0+AE329,0)</f>
        <v>0</v>
      </c>
      <c r="AE330" t="e">
        <f ca="1">IF($AN$11&gt;0,IF(COUNTIF(B331,"*叠1*")&gt;0,50-加速!$L$11,MAX(0,AE329-(A331-A330))),0)</f>
        <v>#VALUE!</v>
      </c>
      <c r="AG330">
        <f ca="1" t="shared" si="98"/>
        <v>9</v>
      </c>
      <c r="AU330" s="176" t="s">
        <v>2768</v>
      </c>
      <c r="AV330">
        <v>1</v>
      </c>
      <c r="AW330" t="str">
        <f>IF($AR$11=1,"夕照雷峰","云飞玉皇")</f>
        <v>云飞玉皇</v>
      </c>
      <c r="AX330">
        <v>2</v>
      </c>
      <c r="AY330" t="s">
        <v>3013</v>
      </c>
      <c r="AZ330">
        <v>2</v>
      </c>
      <c r="BA330" t="s">
        <v>2808</v>
      </c>
      <c r="BB330">
        <v>2</v>
      </c>
      <c r="BC330" t="s">
        <v>2768</v>
      </c>
      <c r="BD330">
        <v>2</v>
      </c>
      <c r="BE330" t="s">
        <v>2768</v>
      </c>
      <c r="BF330">
        <v>0</v>
      </c>
      <c r="BG330" t="s">
        <v>2768</v>
      </c>
      <c r="BH330">
        <v>2</v>
      </c>
      <c r="BI330" t="s">
        <v>2768</v>
      </c>
      <c r="BJ330">
        <v>2</v>
      </c>
      <c r="BK330" t="s">
        <v>2768</v>
      </c>
      <c r="BL330">
        <v>0</v>
      </c>
      <c r="BM330" t="str">
        <f>IF(秋,"云栖松","泉凝月")</f>
        <v>泉凝月</v>
      </c>
      <c r="BN330">
        <v>2</v>
      </c>
      <c r="BO330" s="176" t="str">
        <f>IF(秋,"云飞玉皇-蛇牙锥心","云飞玉皇-血毒金蛇锥")</f>
        <v>云飞玉皇-血毒金蛇锥</v>
      </c>
      <c r="BP330">
        <v>2</v>
      </c>
      <c r="BQ330" t="s">
        <v>2776</v>
      </c>
      <c r="BR330">
        <v>1</v>
      </c>
      <c r="BS330" t="s">
        <v>2768</v>
      </c>
      <c r="BT330">
        <v>1</v>
      </c>
      <c r="BU330" t="s">
        <v>3011</v>
      </c>
      <c r="BV330">
        <v>2</v>
      </c>
      <c r="BW330" s="182" t="s">
        <v>2850</v>
      </c>
      <c r="BX330" s="179">
        <v>2</v>
      </c>
      <c r="BY330" t="str">
        <f>IF(秋,"云栖松","泉凝月")</f>
        <v>泉凝月</v>
      </c>
      <c r="BZ330">
        <v>2</v>
      </c>
      <c r="CA330" s="176" t="s">
        <v>2850</v>
      </c>
      <c r="CB330">
        <f>IF(0,2,0)</f>
        <v>0</v>
      </c>
    </row>
    <row r="331" spans="1:80">
      <c r="A331" s="178" t="str">
        <f ca="1">IFERROR(IF(AG330&lt;5+金蛇*2,IF(COUNTIF(B330,"*轻*")&gt;0,A330+加速!$L$9,A330+加速!$L$11)+V330,""),"")</f>
        <v/>
      </c>
      <c r="B331" s="167" t="str">
        <f ca="1" t="shared" si="93"/>
        <v/>
      </c>
      <c r="C331" t="str">
        <f ca="1" t="shared" si="103"/>
        <v/>
      </c>
      <c r="D331" t="str">
        <f ca="1">IF(B331&lt;&gt;"",IF(C330&lt;=加速!$L$11*(1-E331),0,1),"")</f>
        <v/>
      </c>
      <c r="E331">
        <f ca="1" t="shared" si="99"/>
        <v>1</v>
      </c>
      <c r="G331" t="str">
        <f ca="1" t="shared" si="100"/>
        <v/>
      </c>
      <c r="H331" t="str">
        <f ca="1">IF(B331&lt;&gt;"",IF(AND(COUNTIF(B330,"*轻*莺鸣柳*")&gt;0,COUNTIF(B331,"*轻*")&lt;1),MAX(0,15+I330-(A331-A330)+COUNTIF(B330,"*平湖*")*0),IF(AND(E331=0,MAX(0,H330-(A331-A330))&lt;=加速!$H$11),0,MAX(0,H330-(A331-A330)))),"")</f>
        <v/>
      </c>
      <c r="I331" t="str">
        <f ca="1" t="shared" si="107"/>
        <v/>
      </c>
      <c r="J331" t="str">
        <f ca="1" t="shared" si="108"/>
        <v/>
      </c>
      <c r="K331" t="str">
        <f ca="1" t="shared" si="94"/>
        <v/>
      </c>
      <c r="L331">
        <f ca="1">IFERROR(IF(AND(COUNTIF(B331,"*-峰插*"),技能数据库!$M$72&gt;0),0,IF(COUNTIF(B331,"*鹤归*")&gt;0,16-加速!$L$11,MAX(0,L330-(A331-A330)))),0)</f>
        <v>0</v>
      </c>
      <c r="M331">
        <f ca="1" t="shared" si="95"/>
        <v>0</v>
      </c>
      <c r="N331">
        <f ca="1">IFERROR(IF(AND(COUNTIF(B331,"*-峰插*"),技能数据库!$M$72&gt;0),0,IF(COUNTIF(B331,"*云飞*")&gt;0,4-COUNTIF(B331,"*玉山揽云*")*4--COUNTIF(B331,"*烟流暮景*")*4-COUNTIF(B331,"*云景*")*加速!$L$11-IF(J331&gt;0,2,0),MAX(0,N330-(A331-A330)-IF(J331&gt;0,2,0)))),0)</f>
        <v>0</v>
      </c>
      <c r="O331">
        <f ca="1">IF(AND(COUNTIF(IF(AND(配装计算器!$K$30&lt;&gt;"∞",0),INDEX(AU330:CB330,1,$AT$1),INDEX(AU332:CB332,1,$AT$1)),"*云飞*")=1,COUNTIF(IF(AND(配装计算器!$K$30&lt;&gt;"∞",0),INDEX(AU330:CB330,1,$AT$1),INDEX(AU332:CB332,1,$AT$1)),"*玉山*")=0),N331,0)</f>
        <v>0</v>
      </c>
      <c r="P331">
        <f ca="1">IFERROR(IF(COUNTIF(B331,"*云栖松*")&gt;0,50-加速!$L$11,MAX(0,P330-(A331-A330))),0)</f>
        <v>0</v>
      </c>
      <c r="Q331">
        <f ca="1">IF(COUNTIF(IF(AND(配装计算器!$K$30&lt;&gt;"∞",0),INDEX(AU330:CB330,1,$AT$1),INDEX(AU332:CB332,1,$AT$1)),"*云栖松*")=1,P331,0)</f>
        <v>0</v>
      </c>
      <c r="R331">
        <f ca="1">IFERROR(IF(COUNTIF(B331,"*莺鸣柳*")&gt;0,45-加速!$L$9,MAX(0,R330-(A331-A330))),0)</f>
        <v>0</v>
      </c>
      <c r="S331">
        <f ca="1">IF(COUNTIF(IF(AND(配装计算器!$K$30&lt;&gt;"∞",0),INDEX(AU330:CB330,1,$AT$1),INDEX(AU332:CB332,1,$AT$1)),"*莺鸣柳*")=1,R331,0)</f>
        <v>0</v>
      </c>
      <c r="T331">
        <f ca="1" t="shared" si="104"/>
        <v>0</v>
      </c>
      <c r="U331">
        <f ca="1">IF(金蛇,IF(COUNTIF(B331,"*金环戴*")+COUNTIF(B331,"*吹风醒*")&gt;0,IF(A331&lt;=3,7.125-2.625-A331-加速!$L$11,7.125+加速!$K$9-(A331+加速!$L$11-T331)),0),0)+IF(金蛇,IF(COUNTIF(B331,"*千切子裂光*")&gt;0,2+加速!$K$9-(A331+加速!$L$11-T331),0),0)</f>
        <v>0</v>
      </c>
      <c r="V331">
        <f ca="1" t="shared" si="105"/>
        <v>0</v>
      </c>
      <c r="W331">
        <f ca="1" t="shared" si="96"/>
        <v>0</v>
      </c>
      <c r="X331">
        <f ca="1">INDEX(加速!$I$13:$I$21,W331+1)</f>
        <v>0</v>
      </c>
      <c r="Y331">
        <f ca="1" t="shared" si="106"/>
        <v>0.5</v>
      </c>
      <c r="Z331">
        <f ca="1" t="shared" si="101"/>
        <v>0</v>
      </c>
      <c r="AA331">
        <f ca="1">MAX(0,IFERROR(IF(COUNTIF(B331,"*叠*")&gt;0,IF(AC330&lt;3,8-A332+A331,AA330+6.875-A332+A331),AA330-A332+A331),AA330-加速!$L$11))</f>
        <v>0</v>
      </c>
      <c r="AB331" t="e">
        <f ca="1">MAX(0,IF(COUNTIF(IF(AND(配装计算器!$K$30&lt;&gt;"∞",0),INDEX(AU331:CB331,1,$AT$1),INDEX(AU331:CB331,1,$AT$1)),"*叠1*")=1,4*25-加速!$L$11,AB330-A331+A330)-IF(OR(COUNTIF(OFFSET(AT331,0,$AT$1,1,1),"*听雷*")&gt;0,AND(碧归&gt;0,COUNTIF(OFFSET(AT331,0,$AT$1,1,1),"*风来*")&gt;0)),0,1)*1.5)</f>
        <v>#VALUE!</v>
      </c>
      <c r="AC331">
        <f ca="1" t="shared" si="97"/>
        <v>0</v>
      </c>
      <c r="AD331">
        <f ca="1">IF(COUNTIF(IF(AND(配装计算器!$K$30&lt;&gt;"∞",0),INDEX(AU331:CB331,1,$AT$1),INDEX(AU332:CB332,1,$AT$1)),"*叠1*")=1,AB331*0+AE330,0)</f>
        <v>0</v>
      </c>
      <c r="AE331" t="e">
        <f ca="1">IF($AN$11&gt;0,IF(COUNTIF(B332,"*叠1*")&gt;0,50-加速!$L$11,MAX(0,AE330-(A332-A331))),0)</f>
        <v>#VALUE!</v>
      </c>
      <c r="AG331">
        <f ca="1" t="shared" si="98"/>
        <v>9</v>
      </c>
      <c r="AU331" t="s">
        <v>2776</v>
      </c>
      <c r="AV331">
        <v>1</v>
      </c>
      <c r="AW331" t="str">
        <f>IF($AR$11=1,"云飞玉皇","夕照雷峰")</f>
        <v>夕照雷峰</v>
      </c>
      <c r="AX331">
        <v>2</v>
      </c>
      <c r="AY331" t="s">
        <v>3017</v>
      </c>
      <c r="AZ331">
        <v>2</v>
      </c>
      <c r="BA331" t="s">
        <v>3022</v>
      </c>
      <c r="BB331">
        <v>2</v>
      </c>
      <c r="BC331" t="s">
        <v>2776</v>
      </c>
      <c r="BD331">
        <v>2</v>
      </c>
      <c r="BE331" t="s">
        <v>2776</v>
      </c>
      <c r="BF331">
        <v>0</v>
      </c>
      <c r="BG331" s="182" t="s">
        <v>3023</v>
      </c>
      <c r="BH331">
        <v>2</v>
      </c>
      <c r="BI331" t="s">
        <v>2776</v>
      </c>
      <c r="BJ331">
        <v>2</v>
      </c>
      <c r="BK331" t="s">
        <v>3012</v>
      </c>
      <c r="BL331">
        <v>2</v>
      </c>
      <c r="BM331" t="s">
        <v>2768</v>
      </c>
      <c r="BN331">
        <v>2</v>
      </c>
      <c r="BO331" t="s">
        <v>2768</v>
      </c>
      <c r="BP331">
        <v>2</v>
      </c>
      <c r="BQ331" t="s">
        <v>2768</v>
      </c>
      <c r="BR331">
        <v>1</v>
      </c>
      <c r="BS331" t="s">
        <v>3056</v>
      </c>
      <c r="BT331">
        <v>0</v>
      </c>
      <c r="BU331" t="s">
        <v>2768</v>
      </c>
      <c r="BV331">
        <v>2</v>
      </c>
      <c r="BW331" s="182" t="str">
        <f>IF(秋,"金环戴","吹风醒")</f>
        <v>吹风醒</v>
      </c>
      <c r="BX331" s="179">
        <v>2</v>
      </c>
      <c r="BY331" t="s">
        <v>2768</v>
      </c>
      <c r="BZ331">
        <v>2</v>
      </c>
      <c r="CA331" s="176" t="str">
        <f>IF(秋,"金环戴","吹风醒")</f>
        <v>吹风醒</v>
      </c>
      <c r="CB331">
        <v>2</v>
      </c>
    </row>
    <row r="332" spans="1:80">
      <c r="A332" s="178" t="str">
        <f ca="1">IFERROR(IF(AG331&lt;5+金蛇*2,IF(COUNTIF(B331,"*轻*")&gt;0,A331+加速!$L$9,A331+加速!$L$11)+V331,""),"")</f>
        <v/>
      </c>
      <c r="B332" s="167" t="str">
        <f ca="1" t="shared" si="93"/>
        <v/>
      </c>
      <c r="C332" t="str">
        <f ca="1" t="shared" si="103"/>
        <v/>
      </c>
      <c r="D332" t="str">
        <f ca="1">IF(B332&lt;&gt;"",IF(C331&lt;=加速!$L$11*(1-E332),0,1),"")</f>
        <v/>
      </c>
      <c r="E332">
        <f ca="1" t="shared" si="99"/>
        <v>1</v>
      </c>
      <c r="G332" t="str">
        <f ca="1" t="shared" si="100"/>
        <v/>
      </c>
      <c r="H332" t="str">
        <f ca="1">IF(B332&lt;&gt;"",IF(AND(COUNTIF(B331,"*轻*莺鸣柳*")&gt;0,COUNTIF(B332,"*轻*")&lt;1),MAX(0,15+I331-(A332-A331)+COUNTIF(B331,"*平湖*")*0),IF(AND(E332=0,MAX(0,H331-(A332-A331))&lt;=加速!$H$11),0,MAX(0,H331-(A332-A331)))),"")</f>
        <v/>
      </c>
      <c r="I332" t="str">
        <f ca="1" t="shared" si="107"/>
        <v/>
      </c>
      <c r="J332" t="str">
        <f ca="1" t="shared" si="108"/>
        <v/>
      </c>
      <c r="K332" t="str">
        <f ca="1" t="shared" si="94"/>
        <v/>
      </c>
      <c r="L332">
        <f ca="1">IFERROR(IF(AND(COUNTIF(B332,"*-峰插*"),技能数据库!$M$72&gt;0),0,IF(COUNTIF(B332,"*鹤归*")&gt;0,16-加速!$L$11,MAX(0,L331-(A332-A331)))),0)</f>
        <v>0</v>
      </c>
      <c r="M332">
        <f ca="1" t="shared" si="95"/>
        <v>0</v>
      </c>
      <c r="N332">
        <f ca="1">IFERROR(IF(AND(COUNTIF(B332,"*-峰插*"),技能数据库!$M$72&gt;0),0,IF(COUNTIF(B332,"*云飞*")&gt;0,4-COUNTIF(B332,"*玉山揽云*")*4--COUNTIF(B332,"*烟流暮景*")*4-COUNTIF(B332,"*云景*")*加速!$L$11-IF(J332&gt;0,2,0),MAX(0,N331-(A332-A331)-IF(J332&gt;0,2,0)))),0)</f>
        <v>0</v>
      </c>
      <c r="O332">
        <f ca="1">IF(AND(COUNTIF(IF(AND(配装计算器!$K$30&lt;&gt;"∞",0),INDEX(AU331:CB331,1,$AT$1),INDEX(AU333:CB333,1,$AT$1)),"*云飞*")=1,COUNTIF(IF(AND(配装计算器!$K$30&lt;&gt;"∞",0),INDEX(AU331:CB331,1,$AT$1),INDEX(AU333:CB333,1,$AT$1)),"*玉山*")=0),N332,0)</f>
        <v>0</v>
      </c>
      <c r="P332">
        <f ca="1">IFERROR(IF(COUNTIF(B332,"*云栖松*")&gt;0,50-加速!$L$11,MAX(0,P331-(A332-A331))),0)</f>
        <v>0</v>
      </c>
      <c r="Q332">
        <f ca="1">IF(COUNTIF(IF(AND(配装计算器!$K$30&lt;&gt;"∞",0),INDEX(AU331:CB331,1,$AT$1),INDEX(AU333:CB333,1,$AT$1)),"*云栖松*")=1,P332,0)</f>
        <v>0</v>
      </c>
      <c r="R332">
        <f ca="1">IFERROR(IF(COUNTIF(B332,"*莺鸣柳*")&gt;0,45-加速!$L$9,MAX(0,R331-(A332-A331))),0)</f>
        <v>0</v>
      </c>
      <c r="S332">
        <f ca="1">IF(COUNTIF(IF(AND(配装计算器!$K$30&lt;&gt;"∞",0),INDEX(AU331:CB331,1,$AT$1),INDEX(AU333:CB333,1,$AT$1)),"*莺鸣柳*")=1,R332,0)</f>
        <v>0</v>
      </c>
      <c r="T332">
        <f ca="1" t="shared" si="104"/>
        <v>0</v>
      </c>
      <c r="U332">
        <f ca="1">IF(金蛇,IF(COUNTIF(B332,"*金环戴*")+COUNTIF(B332,"*吹风醒*")&gt;0,IF(A332&lt;=3,7.125-2.625-A332-加速!$L$11,7.125+加速!$K$9-(A332+加速!$L$11-T332)),0),0)+IF(金蛇,IF(COUNTIF(B332,"*千切子裂光*")&gt;0,2+加速!$K$9-(A332+加速!$L$11-T332),0),0)</f>
        <v>0</v>
      </c>
      <c r="V332">
        <f ca="1" t="shared" si="105"/>
        <v>0</v>
      </c>
      <c r="W332">
        <f ca="1" t="shared" si="96"/>
        <v>0</v>
      </c>
      <c r="X332">
        <f ca="1">INDEX(加速!$I$13:$I$21,W332+1)</f>
        <v>0</v>
      </c>
      <c r="Y332">
        <f ca="1" t="shared" si="106"/>
        <v>0.5</v>
      </c>
      <c r="Z332">
        <f ca="1" t="shared" si="101"/>
        <v>0</v>
      </c>
      <c r="AA332">
        <f ca="1">MAX(0,IFERROR(IF(COUNTIF(B332,"*叠*")&gt;0,IF(AC331&lt;3,8-A333+A332,AA331+6.875-A333+A332),AA331-A333+A332),AA331-加速!$L$11))</f>
        <v>0</v>
      </c>
      <c r="AB332" t="e">
        <f ca="1">MAX(0,IF(COUNTIF(IF(AND(配装计算器!$K$30&lt;&gt;"∞",0),INDEX(AU332:CB332,1,$AT$1),INDEX(AU332:CB332,1,$AT$1)),"*叠1*")=1,4*25-加速!$L$11,AB331-A332+A331)-IF(OR(COUNTIF(OFFSET(AT332,0,$AT$1,1,1),"*听雷*")&gt;0,AND(碧归&gt;0,COUNTIF(OFFSET(AT332,0,$AT$1,1,1),"*风来*")&gt;0)),0,1)*1.5)</f>
        <v>#VALUE!</v>
      </c>
      <c r="AC332">
        <f ca="1" t="shared" si="97"/>
        <v>0</v>
      </c>
      <c r="AD332">
        <f ca="1">IF(COUNTIF(IF(AND(配装计算器!$K$30&lt;&gt;"∞",0),INDEX(AU332:CB332,1,$AT$1),INDEX(AU333:CB333,1,$AT$1)),"*叠1*")=1,AB332*0+AE331,0)</f>
        <v>0</v>
      </c>
      <c r="AE332" t="e">
        <f ca="1">IF($AN$11&gt;0,IF(COUNTIF(B333,"*叠1*")&gt;0,50-加速!$L$11,MAX(0,AE331-(A333-A332))),0)</f>
        <v>#VALUE!</v>
      </c>
      <c r="AG332">
        <f ca="1" t="shared" si="98"/>
        <v>9</v>
      </c>
      <c r="AU332" t="s">
        <v>2768</v>
      </c>
      <c r="AV332">
        <v>1</v>
      </c>
      <c r="AW332" t="str">
        <f>IF($AR$11=1,"夕照雷峰","云景·云飞玉皇-黄龙吐翠")</f>
        <v>云景·云飞玉皇-黄龙吐翠</v>
      </c>
      <c r="AX332">
        <f>IF($AR$11=1,2,1)</f>
        <v>1</v>
      </c>
      <c r="AY332" t="s">
        <v>2808</v>
      </c>
      <c r="AZ332">
        <v>2</v>
      </c>
      <c r="BA332" t="s">
        <v>2776</v>
      </c>
      <c r="BB332">
        <v>2</v>
      </c>
      <c r="BC332" t="s">
        <v>2768</v>
      </c>
      <c r="BD332">
        <v>2</v>
      </c>
      <c r="BE332" t="s">
        <v>3012</v>
      </c>
      <c r="BF332">
        <v>2</v>
      </c>
      <c r="BG332" s="176" t="s">
        <v>2768</v>
      </c>
      <c r="BH332">
        <v>2</v>
      </c>
      <c r="BI332" t="s">
        <v>2768</v>
      </c>
      <c r="BJ332">
        <v>2</v>
      </c>
      <c r="BK332" s="176" t="s">
        <v>2794</v>
      </c>
      <c r="BL332">
        <v>2</v>
      </c>
      <c r="BM332" t="s">
        <v>1886</v>
      </c>
      <c r="BN332">
        <v>2</v>
      </c>
      <c r="BO332" s="180" t="s">
        <v>2789</v>
      </c>
      <c r="BP332">
        <v>2</v>
      </c>
      <c r="BQ332" t="s">
        <v>2768</v>
      </c>
      <c r="BR332">
        <v>0</v>
      </c>
      <c r="BS332" t="s">
        <v>2768</v>
      </c>
      <c r="BT332">
        <v>2</v>
      </c>
      <c r="BU332" t="s">
        <v>3018</v>
      </c>
      <c r="BV332">
        <v>2</v>
      </c>
      <c r="BW332" s="182" t="s">
        <v>2768</v>
      </c>
      <c r="BX332" s="179">
        <v>2</v>
      </c>
      <c r="BY332" t="s">
        <v>1886</v>
      </c>
      <c r="BZ332">
        <v>2</v>
      </c>
      <c r="CA332" s="176" t="s">
        <v>2768</v>
      </c>
      <c r="CB332">
        <v>2</v>
      </c>
    </row>
    <row r="333" spans="1:80">
      <c r="A333" s="178" t="str">
        <f ca="1">IFERROR(IF(AG332&lt;5+金蛇*2,IF(COUNTIF(B332,"*轻*")&gt;0,A332+加速!$L$9,A332+加速!$L$11)+V332,""),"")</f>
        <v/>
      </c>
      <c r="B333" s="167" t="str">
        <f ca="1" t="shared" si="93"/>
        <v/>
      </c>
      <c r="C333" t="str">
        <f ca="1" t="shared" si="103"/>
        <v/>
      </c>
      <c r="D333" t="str">
        <f ca="1">IF(B333&lt;&gt;"",IF(C332&lt;=加速!$L$11*(1-E333),0,1),"")</f>
        <v/>
      </c>
      <c r="E333">
        <f ca="1" t="shared" si="99"/>
        <v>1</v>
      </c>
      <c r="G333" t="str">
        <f ca="1" t="shared" si="100"/>
        <v/>
      </c>
      <c r="H333" t="str">
        <f ca="1">IF(B333&lt;&gt;"",IF(AND(COUNTIF(B332,"*轻*莺鸣柳*")&gt;0,COUNTIF(B333,"*轻*")&lt;1),MAX(0,15+I332-(A333-A332)+COUNTIF(B332,"*平湖*")*0),IF(AND(E333=0,MAX(0,H332-(A333-A332))&lt;=加速!$H$11),0,MAX(0,H332-(A333-A332)))),"")</f>
        <v/>
      </c>
      <c r="I333" t="str">
        <f ca="1" t="shared" si="107"/>
        <v/>
      </c>
      <c r="J333" t="str">
        <f ca="1" t="shared" si="108"/>
        <v/>
      </c>
      <c r="K333" t="str">
        <f ca="1" t="shared" si="94"/>
        <v/>
      </c>
      <c r="L333">
        <f ca="1">IFERROR(IF(AND(COUNTIF(B333,"*-峰插*"),技能数据库!$M$72&gt;0),0,IF(COUNTIF(B333,"*鹤归*")&gt;0,16-加速!$L$11,MAX(0,L332-(A333-A332)))),0)</f>
        <v>0</v>
      </c>
      <c r="M333">
        <f ca="1" t="shared" si="95"/>
        <v>0</v>
      </c>
      <c r="N333">
        <f ca="1">IFERROR(IF(AND(COUNTIF(B333,"*-峰插*"),技能数据库!$M$72&gt;0),0,IF(COUNTIF(B333,"*云飞*")&gt;0,4-COUNTIF(B333,"*玉山揽云*")*4--COUNTIF(B333,"*烟流暮景*")*4-COUNTIF(B333,"*云景*")*加速!$L$11-IF(J333&gt;0,2,0),MAX(0,N332-(A333-A332)-IF(J333&gt;0,2,0)))),0)</f>
        <v>0</v>
      </c>
      <c r="O333">
        <f ca="1">IF(AND(COUNTIF(IF(AND(配装计算器!$K$30&lt;&gt;"∞",0),INDEX(AU332:CB332,1,$AT$1),INDEX(AU334:CB334,1,$AT$1)),"*云飞*")=1,COUNTIF(IF(AND(配装计算器!$K$30&lt;&gt;"∞",0),INDEX(AU332:CB332,1,$AT$1),INDEX(AU334:CB334,1,$AT$1)),"*玉山*")=0),N333,0)</f>
        <v>0</v>
      </c>
      <c r="P333">
        <f ca="1">IFERROR(IF(COUNTIF(B333,"*云栖松*")&gt;0,50-加速!$L$11,MAX(0,P332-(A333-A332))),0)</f>
        <v>0</v>
      </c>
      <c r="Q333">
        <f ca="1">IF(COUNTIF(IF(AND(配装计算器!$K$30&lt;&gt;"∞",0),INDEX(AU332:CB332,1,$AT$1),INDEX(AU334:CB334,1,$AT$1)),"*云栖松*")=1,P333,0)</f>
        <v>0</v>
      </c>
      <c r="R333">
        <f ca="1">IFERROR(IF(COUNTIF(B333,"*莺鸣柳*")&gt;0,45-加速!$L$9,MAX(0,R332-(A333-A332))),0)</f>
        <v>0</v>
      </c>
      <c r="S333">
        <f ca="1">IF(COUNTIF(IF(AND(配装计算器!$K$30&lt;&gt;"∞",0),INDEX(AU332:CB332,1,$AT$1),INDEX(AU334:CB334,1,$AT$1)),"*莺鸣柳*")=1,R333,0)</f>
        <v>0</v>
      </c>
      <c r="T333">
        <f ca="1" t="shared" si="104"/>
        <v>0</v>
      </c>
      <c r="U333">
        <f ca="1">IF(金蛇,IF(COUNTIF(B333,"*金环戴*")+COUNTIF(B333,"*吹风醒*")&gt;0,IF(A333&lt;=3,7.125-2.625-A333-加速!$L$11,7.125+加速!$K$9-(A333+加速!$L$11-T333)),0),0)+IF(金蛇,IF(COUNTIF(B333,"*千切子裂光*")&gt;0,2+加速!$K$9-(A333+加速!$L$11-T333),0),0)</f>
        <v>0</v>
      </c>
      <c r="V333">
        <f ca="1" t="shared" si="105"/>
        <v>0</v>
      </c>
      <c r="W333">
        <f ca="1" t="shared" si="96"/>
        <v>0</v>
      </c>
      <c r="X333">
        <f ca="1">INDEX(加速!$I$13:$I$21,W333+1)</f>
        <v>0</v>
      </c>
      <c r="Y333">
        <f ca="1" t="shared" si="106"/>
        <v>0.5</v>
      </c>
      <c r="Z333">
        <f ca="1" t="shared" si="101"/>
        <v>0</v>
      </c>
      <c r="AA333">
        <f ca="1">MAX(0,IFERROR(IF(COUNTIF(B333,"*叠*")&gt;0,IF(AC332&lt;3,8-A334+A333,AA332+6.875-A334+A333),AA332-A334+A333),AA332-加速!$L$11))</f>
        <v>0</v>
      </c>
      <c r="AB333" t="e">
        <f ca="1">MAX(0,IF(COUNTIF(IF(AND(配装计算器!$K$30&lt;&gt;"∞",0),INDEX(AU333:CB333,1,$AT$1),INDEX(AU333:CB333,1,$AT$1)),"*叠1*")=1,4*25-加速!$L$11,AB332-A333+A332)-IF(OR(COUNTIF(OFFSET(AT333,0,$AT$1,1,1),"*听雷*")&gt;0,AND(碧归&gt;0,COUNTIF(OFFSET(AT333,0,$AT$1,1,1),"*风来*")&gt;0)),0,1)*1.5)</f>
        <v>#VALUE!</v>
      </c>
      <c r="AC333">
        <f ca="1" t="shared" si="97"/>
        <v>0</v>
      </c>
      <c r="AD333">
        <f ca="1">IF(COUNTIF(IF(AND(配装计算器!$K$30&lt;&gt;"∞",0),INDEX(AU333:CB333,1,$AT$1),INDEX(AU334:CB334,1,$AT$1)),"*叠1*")=1,AB333*0+AE332,0)</f>
        <v>0</v>
      </c>
      <c r="AE333" t="e">
        <f ca="1">IF($AN$11&gt;0,IF(COUNTIF(B334,"*叠1*")&gt;0,50-加速!$L$11,MAX(0,AE332-(A334-A333))),0)</f>
        <v>#VALUE!</v>
      </c>
      <c r="AG333">
        <f ca="1" t="shared" si="98"/>
        <v>9</v>
      </c>
      <c r="AU333" t="s">
        <v>2768</v>
      </c>
      <c r="AV333">
        <v>1</v>
      </c>
      <c r="AW333" t="str">
        <f>IF($AR$11=1,"云飞玉皇","夕照雷峰")</f>
        <v>夕照雷峰</v>
      </c>
      <c r="AX333">
        <v>2</v>
      </c>
      <c r="AY333" t="s">
        <v>3022</v>
      </c>
      <c r="AZ333">
        <v>2</v>
      </c>
      <c r="BA333" t="s">
        <v>2768</v>
      </c>
      <c r="BB333">
        <v>2</v>
      </c>
      <c r="BC333" t="s">
        <v>2776</v>
      </c>
      <c r="BD333">
        <v>2</v>
      </c>
      <c r="BE333" t="s">
        <v>2776</v>
      </c>
      <c r="BF333">
        <v>2</v>
      </c>
      <c r="BG333" s="176" t="s">
        <v>2768</v>
      </c>
      <c r="BH333">
        <v>2</v>
      </c>
      <c r="BI333" t="s">
        <v>2776</v>
      </c>
      <c r="BJ333">
        <v>1</v>
      </c>
      <c r="BK333" s="176" t="s">
        <v>3019</v>
      </c>
      <c r="BL333">
        <v>2</v>
      </c>
      <c r="BM333" t="s">
        <v>2853</v>
      </c>
      <c r="BN333">
        <v>2</v>
      </c>
      <c r="BO333" s="176" t="s">
        <v>2794</v>
      </c>
      <c r="BP333">
        <v>2</v>
      </c>
      <c r="BQ333" t="s">
        <v>3010</v>
      </c>
      <c r="BR333">
        <v>2</v>
      </c>
      <c r="BS333" t="s">
        <v>2768</v>
      </c>
      <c r="BT333">
        <v>2</v>
      </c>
      <c r="BU333" t="s">
        <v>2768</v>
      </c>
      <c r="BV333">
        <v>2</v>
      </c>
      <c r="BW333" s="182" t="str">
        <f>IF(秋,"云飞玉皇","云飞玉皇·云景")</f>
        <v>云飞玉皇·云景</v>
      </c>
      <c r="BX333" s="179">
        <v>2</v>
      </c>
      <c r="BY333" t="s">
        <v>2853</v>
      </c>
      <c r="BZ333">
        <v>2</v>
      </c>
      <c r="CA333" s="176" t="str">
        <f>IF(秋,"云飞玉皇","云飞玉皇·云景")</f>
        <v>云飞玉皇·云景</v>
      </c>
      <c r="CB333">
        <v>2</v>
      </c>
    </row>
    <row r="334" spans="1:80">
      <c r="A334" s="178" t="str">
        <f ca="1">IFERROR(IF(AG333&lt;5+金蛇*2,IF(COUNTIF(B333,"*轻*")&gt;0,A333+加速!$L$9,A333+加速!$L$11)+V333,""),"")</f>
        <v/>
      </c>
      <c r="B334" s="167" t="str">
        <f ca="1" t="shared" si="93"/>
        <v/>
      </c>
      <c r="C334" t="str">
        <f ca="1" t="shared" si="103"/>
        <v/>
      </c>
      <c r="D334" t="str">
        <f ca="1">IF(B334&lt;&gt;"",IF(C333&lt;=加速!$L$11*(1-E334),0,1),"")</f>
        <v/>
      </c>
      <c r="E334">
        <f ca="1" t="shared" si="99"/>
        <v>1</v>
      </c>
      <c r="G334" t="str">
        <f ca="1" t="shared" si="100"/>
        <v/>
      </c>
      <c r="H334" t="str">
        <f ca="1">IF(B334&lt;&gt;"",IF(AND(COUNTIF(B333,"*轻*莺鸣柳*")&gt;0,COUNTIF(B334,"*轻*")&lt;1),MAX(0,15+I333-(A334-A333)+COUNTIF(B333,"*平湖*")*0),IF(AND(E334=0,MAX(0,H333-(A334-A333))&lt;=加速!$H$11),0,MAX(0,H333-(A334-A333)))),"")</f>
        <v/>
      </c>
      <c r="I334" t="str">
        <f ca="1" t="shared" si="107"/>
        <v/>
      </c>
      <c r="J334" t="str">
        <f ca="1" t="shared" si="108"/>
        <v/>
      </c>
      <c r="K334" t="str">
        <f ca="1" t="shared" si="94"/>
        <v/>
      </c>
      <c r="L334">
        <f ca="1">IFERROR(IF(AND(COUNTIF(B334,"*-峰插*"),技能数据库!$M$72&gt;0),0,IF(COUNTIF(B334,"*鹤归*")&gt;0,16-加速!$L$11,MAX(0,L333-(A334-A333)))),0)</f>
        <v>0</v>
      </c>
      <c r="M334">
        <f ca="1" t="shared" si="95"/>
        <v>0</v>
      </c>
      <c r="N334">
        <f ca="1">IFERROR(IF(AND(COUNTIF(B334,"*-峰插*"),技能数据库!$M$72&gt;0),0,IF(COUNTIF(B334,"*云飞*")&gt;0,4-COUNTIF(B334,"*玉山揽云*")*4--COUNTIF(B334,"*烟流暮景*")*4-COUNTIF(B334,"*云景*")*加速!$L$11-IF(J334&gt;0,2,0),MAX(0,N333-(A334-A333)-IF(J334&gt;0,2,0)))),0)</f>
        <v>0</v>
      </c>
      <c r="O334">
        <f ca="1">IF(AND(COUNTIF(IF(AND(配装计算器!$K$30&lt;&gt;"∞",0),INDEX(AU333:CB333,1,$AT$1),INDEX(AU335:CB335,1,$AT$1)),"*云飞*")=1,COUNTIF(IF(AND(配装计算器!$K$30&lt;&gt;"∞",0),INDEX(AU333:CB333,1,$AT$1),INDEX(AU335:CB335,1,$AT$1)),"*玉山*")=0),N334,0)</f>
        <v>0</v>
      </c>
      <c r="P334">
        <f ca="1">IFERROR(IF(COUNTIF(B334,"*云栖松*")&gt;0,50-加速!$L$11,MAX(0,P333-(A334-A333))),0)</f>
        <v>0</v>
      </c>
      <c r="Q334">
        <f ca="1">IF(COUNTIF(IF(AND(配装计算器!$K$30&lt;&gt;"∞",0),INDEX(AU333:CB333,1,$AT$1),INDEX(AU335:CB335,1,$AT$1)),"*云栖松*")=1,P334,0)</f>
        <v>0</v>
      </c>
      <c r="R334">
        <f ca="1">IFERROR(IF(COUNTIF(B334,"*莺鸣柳*")&gt;0,45-加速!$L$9,MAX(0,R333-(A334-A333))),0)</f>
        <v>0</v>
      </c>
      <c r="S334">
        <f ca="1">IF(COUNTIF(IF(AND(配装计算器!$K$30&lt;&gt;"∞",0),INDEX(AU333:CB333,1,$AT$1),INDEX(AU335:CB335,1,$AT$1)),"*莺鸣柳*")=1,R334,0)</f>
        <v>0</v>
      </c>
      <c r="T334">
        <f ca="1" t="shared" si="104"/>
        <v>0</v>
      </c>
      <c r="U334">
        <f ca="1">IF(金蛇,IF(COUNTIF(B334,"*金环戴*")+COUNTIF(B334,"*吹风醒*")&gt;0,IF(A334&lt;=3,7.125-2.625-A334-加速!$L$11,7.125+加速!$K$9-(A334+加速!$L$11-T334)),0),0)+IF(金蛇,IF(COUNTIF(B334,"*千切子裂光*")&gt;0,2+加速!$K$9-(A334+加速!$L$11-T334),0),0)</f>
        <v>0</v>
      </c>
      <c r="V334">
        <f ca="1" t="shared" si="105"/>
        <v>0</v>
      </c>
      <c r="W334">
        <f ca="1" t="shared" si="96"/>
        <v>0</v>
      </c>
      <c r="X334">
        <f ca="1">INDEX(加速!$I$13:$I$21,W334+1)</f>
        <v>0</v>
      </c>
      <c r="Y334">
        <f ca="1" t="shared" si="106"/>
        <v>0.5</v>
      </c>
      <c r="Z334">
        <f ca="1" t="shared" si="101"/>
        <v>0</v>
      </c>
      <c r="AA334">
        <f ca="1">MAX(0,IFERROR(IF(COUNTIF(B334,"*叠*")&gt;0,IF(AC333&lt;3,8-A335+A334,AA333+6.875-A335+A334),AA333-A335+A334),AA333-加速!$L$11))</f>
        <v>0</v>
      </c>
      <c r="AB334" t="e">
        <f ca="1">MAX(0,IF(COUNTIF(IF(AND(配装计算器!$K$30&lt;&gt;"∞",0),INDEX(AU334:CB334,1,$AT$1),INDEX(AU334:CB334,1,$AT$1)),"*叠1*")=1,4*25-加速!$L$11,AB333-A334+A333)-IF(OR(COUNTIF(OFFSET(AT334,0,$AT$1,1,1),"*听雷*")&gt;0,AND(碧归&gt;0,COUNTIF(OFFSET(AT334,0,$AT$1,1,1),"*风来*")&gt;0)),0,1)*1.5)</f>
        <v>#VALUE!</v>
      </c>
      <c r="AC334">
        <f ca="1" t="shared" si="97"/>
        <v>0</v>
      </c>
      <c r="AD334">
        <f ca="1">IF(COUNTIF(IF(AND(配装计算器!$K$30&lt;&gt;"∞",0),INDEX(AU334:CB334,1,$AT$1),INDEX(AU335:CB335,1,$AT$1)),"*叠1*")=1,AB334*0+AE333,0)</f>
        <v>0</v>
      </c>
      <c r="AE334" t="e">
        <f ca="1">IF($AN$11&gt;0,IF(COUNTIF(B335,"*叠1*")&gt;0,50-加速!$L$11,MAX(0,AE333-(A335-A334))),0)</f>
        <v>#VALUE!</v>
      </c>
      <c r="AG334">
        <f ca="1" t="shared" si="98"/>
        <v>9</v>
      </c>
      <c r="AU334" t="s">
        <v>3063</v>
      </c>
      <c r="AV334">
        <v>2</v>
      </c>
      <c r="AW334" t="s">
        <v>2768</v>
      </c>
      <c r="AX334">
        <v>2</v>
      </c>
      <c r="AY334" t="s">
        <v>2776</v>
      </c>
      <c r="AZ334">
        <v>2</v>
      </c>
      <c r="BA334" t="s">
        <v>2768</v>
      </c>
      <c r="BB334">
        <v>2</v>
      </c>
      <c r="BC334" t="s">
        <v>2768</v>
      </c>
      <c r="BD334">
        <v>1</v>
      </c>
      <c r="BE334" t="s">
        <v>3017</v>
      </c>
      <c r="BF334">
        <v>2</v>
      </c>
      <c r="BG334" s="176" t="s">
        <v>2768</v>
      </c>
      <c r="BH334">
        <v>2</v>
      </c>
      <c r="BI334" t="s">
        <v>2768</v>
      </c>
      <c r="BJ334">
        <v>1</v>
      </c>
      <c r="BK334" s="176" t="s">
        <v>2768</v>
      </c>
      <c r="BL334">
        <v>2</v>
      </c>
      <c r="BM334" s="176" t="s">
        <v>2850</v>
      </c>
      <c r="BN334">
        <f>IF(0,2,0)</f>
        <v>0</v>
      </c>
      <c r="BO334" s="176" t="s">
        <v>2776</v>
      </c>
      <c r="BP334">
        <v>2</v>
      </c>
      <c r="BQ334" t="s">
        <v>3013</v>
      </c>
      <c r="BR334">
        <v>2</v>
      </c>
      <c r="BS334" t="s">
        <v>2776</v>
      </c>
      <c r="BT334">
        <v>2</v>
      </c>
      <c r="BU334" s="182" t="s">
        <v>3023</v>
      </c>
      <c r="BV334">
        <v>2</v>
      </c>
      <c r="BW334" s="179" t="s">
        <v>2722</v>
      </c>
      <c r="BX334" s="179">
        <v>2</v>
      </c>
      <c r="BY334" s="176" t="s">
        <v>2850</v>
      </c>
      <c r="BZ334">
        <f>IF(0,2,0)</f>
        <v>0</v>
      </c>
      <c r="CA334" t="str">
        <f>IF(0,"云飞玉皇","夕照雷峰")</f>
        <v>夕照雷峰</v>
      </c>
      <c r="CB334">
        <f>IF(0,2,2)</f>
        <v>2</v>
      </c>
    </row>
    <row r="335" spans="1:80">
      <c r="A335" s="178" t="str">
        <f ca="1">IFERROR(IF(AG334&lt;5+金蛇*2,IF(COUNTIF(B334,"*轻*")&gt;0,A334+加速!$L$9,A334+加速!$L$11)+V334,""),"")</f>
        <v/>
      </c>
      <c r="B335" s="167" t="str">
        <f ca="1" t="shared" si="93"/>
        <v/>
      </c>
      <c r="C335" t="str">
        <f ca="1" t="shared" si="103"/>
        <v/>
      </c>
      <c r="D335" t="str">
        <f ca="1">IF(B335&lt;&gt;"",IF(C334&lt;=加速!$L$11*(1-E335),0,1),"")</f>
        <v/>
      </c>
      <c r="E335">
        <f ca="1" t="shared" si="99"/>
        <v>1</v>
      </c>
      <c r="G335" t="str">
        <f ca="1" t="shared" si="100"/>
        <v/>
      </c>
      <c r="H335" t="str">
        <f ca="1">IF(B335&lt;&gt;"",IF(AND(COUNTIF(B334,"*轻*莺鸣柳*")&gt;0,COUNTIF(B335,"*轻*")&lt;1),MAX(0,15+I334-(A335-A334)+COUNTIF(B334,"*平湖*")*0),IF(AND(E335=0,MAX(0,H334-(A335-A334))&lt;=加速!$H$11),0,MAX(0,H334-(A335-A334)))),"")</f>
        <v/>
      </c>
      <c r="I335" t="str">
        <f ca="1" t="shared" si="107"/>
        <v/>
      </c>
      <c r="J335" t="str">
        <f ca="1" t="shared" si="108"/>
        <v/>
      </c>
      <c r="K335" t="str">
        <f ca="1" t="shared" si="94"/>
        <v/>
      </c>
      <c r="L335">
        <f ca="1">IFERROR(IF(AND(COUNTIF(B335,"*-峰插*"),技能数据库!$M$72&gt;0),0,IF(COUNTIF(B335,"*鹤归*")&gt;0,16-加速!$L$11,MAX(0,L334-(A335-A334)))),0)</f>
        <v>0</v>
      </c>
      <c r="M335">
        <f ca="1" t="shared" si="95"/>
        <v>0</v>
      </c>
      <c r="N335">
        <f ca="1">IFERROR(IF(AND(COUNTIF(B335,"*-峰插*"),技能数据库!$M$72&gt;0),0,IF(COUNTIF(B335,"*云飞*")&gt;0,4-COUNTIF(B335,"*玉山揽云*")*4--COUNTIF(B335,"*烟流暮景*")*4-COUNTIF(B335,"*云景*")*加速!$L$11-IF(J335&gt;0,2,0),MAX(0,N334-(A335-A334)-IF(J335&gt;0,2,0)))),0)</f>
        <v>0</v>
      </c>
      <c r="O335">
        <f ca="1">IF(AND(COUNTIF(IF(AND(配装计算器!$K$30&lt;&gt;"∞",0),INDEX(AU334:CB334,1,$AT$1),INDEX(AU336:CB336,1,$AT$1)),"*云飞*")=1,COUNTIF(IF(AND(配装计算器!$K$30&lt;&gt;"∞",0),INDEX(AU334:CB334,1,$AT$1),INDEX(AU336:CB336,1,$AT$1)),"*玉山*")=0),N335,0)</f>
        <v>0</v>
      </c>
      <c r="P335">
        <f ca="1">IFERROR(IF(COUNTIF(B335,"*云栖松*")&gt;0,50-加速!$L$11,MAX(0,P334-(A335-A334))),0)</f>
        <v>0</v>
      </c>
      <c r="Q335">
        <f ca="1">IF(COUNTIF(IF(AND(配装计算器!$K$30&lt;&gt;"∞",0),INDEX(AU334:CB334,1,$AT$1),INDEX(AU336:CB336,1,$AT$1)),"*云栖松*")=1,P335,0)</f>
        <v>0</v>
      </c>
      <c r="R335">
        <f ca="1">IFERROR(IF(COUNTIF(B335,"*莺鸣柳*")&gt;0,45-加速!$L$9,MAX(0,R334-(A335-A334))),0)</f>
        <v>0</v>
      </c>
      <c r="S335">
        <f ca="1">IF(COUNTIF(IF(AND(配装计算器!$K$30&lt;&gt;"∞",0),INDEX(AU334:CB334,1,$AT$1),INDEX(AU336:CB336,1,$AT$1)),"*莺鸣柳*")=1,R335,0)</f>
        <v>0</v>
      </c>
      <c r="T335">
        <f ca="1" t="shared" si="104"/>
        <v>0</v>
      </c>
      <c r="U335">
        <f ca="1">IF(金蛇,IF(COUNTIF(B335,"*金环戴*")+COUNTIF(B335,"*吹风醒*")&gt;0,IF(A335&lt;=3,7.125-2.625-A335-加速!$L$11,7.125+加速!$K$9-(A335+加速!$L$11-T335)),0),0)+IF(金蛇,IF(COUNTIF(B335,"*千切子裂光*")&gt;0,2+加速!$K$9-(A335+加速!$L$11-T335),0),0)</f>
        <v>0</v>
      </c>
      <c r="V335">
        <f ca="1" t="shared" si="105"/>
        <v>0</v>
      </c>
      <c r="W335">
        <f ca="1" t="shared" si="96"/>
        <v>0</v>
      </c>
      <c r="X335">
        <f ca="1">INDEX(加速!$I$13:$I$21,W335+1)</f>
        <v>0</v>
      </c>
      <c r="Y335">
        <f ca="1" t="shared" si="106"/>
        <v>0.5</v>
      </c>
      <c r="Z335">
        <f ca="1" t="shared" si="101"/>
        <v>0</v>
      </c>
      <c r="AA335">
        <f ca="1">MAX(0,IFERROR(IF(COUNTIF(B335,"*叠*")&gt;0,IF(AC334&lt;3,8-A336+A335,AA334+6.875-A336+A335),AA334-A336+A335),AA334-加速!$L$11))</f>
        <v>0</v>
      </c>
      <c r="AB335" t="e">
        <f ca="1">MAX(0,IF(COUNTIF(IF(AND(配装计算器!$K$30&lt;&gt;"∞",0),INDEX(AU335:CB335,1,$AT$1),INDEX(AU335:CB335,1,$AT$1)),"*叠1*")=1,4*25-加速!$L$11,AB334-A335+A334)-IF(OR(COUNTIF(OFFSET(AT335,0,$AT$1,1,1),"*听雷*")&gt;0,AND(碧归&gt;0,COUNTIF(OFFSET(AT335,0,$AT$1,1,1),"*风来*")&gt;0)),0,1)*1.5)</f>
        <v>#VALUE!</v>
      </c>
      <c r="AC335">
        <f ca="1" t="shared" si="97"/>
        <v>0</v>
      </c>
      <c r="AD335">
        <f ca="1">IF(COUNTIF(IF(AND(配装计算器!$K$30&lt;&gt;"∞",0),INDEX(AU335:CB335,1,$AT$1),INDEX(AU336:CB336,1,$AT$1)),"*叠1*")=1,AB335*0+AE334,0)</f>
        <v>0</v>
      </c>
      <c r="AE335" t="e">
        <f ca="1">IF($AN$11&gt;0,IF(COUNTIF(B336,"*叠1*")&gt;0,50-加速!$L$11,MAX(0,AE334-(A336-A335))),0)</f>
        <v>#VALUE!</v>
      </c>
      <c r="AG335">
        <f ca="1" t="shared" si="98"/>
        <v>9</v>
      </c>
      <c r="AU335" t="s">
        <v>2776</v>
      </c>
      <c r="AV335">
        <v>1</v>
      </c>
      <c r="AW335" t="s">
        <v>2768</v>
      </c>
      <c r="AX335">
        <v>2</v>
      </c>
      <c r="AY335" t="s">
        <v>2768</v>
      </c>
      <c r="AZ335">
        <v>2</v>
      </c>
      <c r="BA335" t="s">
        <v>2776</v>
      </c>
      <c r="BB335">
        <v>2</v>
      </c>
      <c r="BC335" t="s">
        <v>2768</v>
      </c>
      <c r="BD335">
        <v>1</v>
      </c>
      <c r="BE335" t="s">
        <v>2768</v>
      </c>
      <c r="BF335">
        <v>2</v>
      </c>
      <c r="BG335" s="176" t="s">
        <v>2776</v>
      </c>
      <c r="BH335">
        <v>2</v>
      </c>
      <c r="BI335" t="s">
        <v>2776</v>
      </c>
      <c r="BJ335">
        <v>0</v>
      </c>
      <c r="BK335" s="176" t="s">
        <v>3023</v>
      </c>
      <c r="BL335">
        <v>2</v>
      </c>
      <c r="BM335" s="176" t="str">
        <f>IF(秋,"金环戴","吹风醒")</f>
        <v>吹风醒</v>
      </c>
      <c r="BN335">
        <v>2</v>
      </c>
      <c r="BO335" s="176" t="s">
        <v>2768</v>
      </c>
      <c r="BP335">
        <v>2</v>
      </c>
      <c r="BQ335" t="s">
        <v>3018</v>
      </c>
      <c r="BR335">
        <v>2</v>
      </c>
      <c r="BS335" t="s">
        <v>2768</v>
      </c>
      <c r="BT335">
        <v>1</v>
      </c>
      <c r="BU335" s="176" t="s">
        <v>2768</v>
      </c>
      <c r="BV335">
        <v>2</v>
      </c>
      <c r="BW335" s="179" t="s">
        <v>3009</v>
      </c>
      <c r="BX335" s="179">
        <v>2</v>
      </c>
      <c r="BY335" s="176" t="str">
        <f>IF(秋,"金环戴","吹风醒")</f>
        <v>吹风醒</v>
      </c>
      <c r="BZ335">
        <v>2</v>
      </c>
      <c r="CA335" t="str">
        <f>IF(0,"云飞玉皇","夕照雷峰")</f>
        <v>夕照雷峰</v>
      </c>
      <c r="CB335">
        <v>2</v>
      </c>
    </row>
    <row r="336" spans="1:80">
      <c r="A336" s="178" t="str">
        <f ca="1">IFERROR(IF(AG335&lt;5+金蛇*2,IF(COUNTIF(B335,"*轻*")&gt;0,A335+加速!$L$9,A335+加速!$L$11)+V335,""),"")</f>
        <v/>
      </c>
      <c r="B336" s="167" t="str">
        <f ca="1" t="shared" si="93"/>
        <v/>
      </c>
      <c r="C336" t="str">
        <f ca="1" t="shared" si="103"/>
        <v/>
      </c>
      <c r="D336" t="str">
        <f ca="1">IF(B336&lt;&gt;"",IF(C335&lt;=加速!$L$11*(1-E336),0,1),"")</f>
        <v/>
      </c>
      <c r="E336">
        <f ca="1" t="shared" si="99"/>
        <v>1</v>
      </c>
      <c r="G336" t="str">
        <f ca="1" t="shared" si="100"/>
        <v/>
      </c>
      <c r="H336" t="str">
        <f ca="1">IF(B336&lt;&gt;"",IF(AND(COUNTIF(B335,"*轻*莺鸣柳*")&gt;0,COUNTIF(B336,"*轻*")&lt;1),MAX(0,15+I335-(A336-A335)+COUNTIF(B335,"*平湖*")*0),IF(AND(E336=0,MAX(0,H335-(A336-A335))&lt;=加速!$H$11),0,MAX(0,H335-(A336-A335)))),"")</f>
        <v/>
      </c>
      <c r="I336" t="str">
        <f ca="1" t="shared" si="107"/>
        <v/>
      </c>
      <c r="J336" t="str">
        <f ca="1" t="shared" si="108"/>
        <v/>
      </c>
      <c r="K336" t="str">
        <f ca="1" t="shared" si="94"/>
        <v/>
      </c>
      <c r="L336">
        <f ca="1">IFERROR(IF(AND(COUNTIF(B336,"*-峰插*"),技能数据库!$M$72&gt;0),0,IF(COUNTIF(B336,"*鹤归*")&gt;0,16-加速!$L$11,MAX(0,L335-(A336-A335)))),0)</f>
        <v>0</v>
      </c>
      <c r="M336">
        <f ca="1" t="shared" si="95"/>
        <v>0</v>
      </c>
      <c r="N336">
        <f ca="1">IFERROR(IF(AND(COUNTIF(B336,"*-峰插*"),技能数据库!$M$72&gt;0),0,IF(COUNTIF(B336,"*云飞*")&gt;0,4-COUNTIF(B336,"*玉山揽云*")*4--COUNTIF(B336,"*烟流暮景*")*4-COUNTIF(B336,"*云景*")*加速!$L$11-IF(J336&gt;0,2,0),MAX(0,N335-(A336-A335)-IF(J336&gt;0,2,0)))),0)</f>
        <v>0</v>
      </c>
      <c r="O336">
        <f ca="1">IF(AND(COUNTIF(IF(AND(配装计算器!$K$30&lt;&gt;"∞",0),INDEX(AU335:CB335,1,$AT$1),INDEX(AU337:CB337,1,$AT$1)),"*云飞*")=1,COUNTIF(IF(AND(配装计算器!$K$30&lt;&gt;"∞",0),INDEX(AU335:CB335,1,$AT$1),INDEX(AU337:CB337,1,$AT$1)),"*玉山*")=0),N336,0)</f>
        <v>0</v>
      </c>
      <c r="P336">
        <f ca="1">IFERROR(IF(COUNTIF(B336,"*云栖松*")&gt;0,50-加速!$L$11,MAX(0,P335-(A336-A335))),0)</f>
        <v>0</v>
      </c>
      <c r="Q336">
        <f ca="1">IF(COUNTIF(IF(AND(配装计算器!$K$30&lt;&gt;"∞",0),INDEX(AU335:CB335,1,$AT$1),INDEX(AU337:CB337,1,$AT$1)),"*云栖松*")=1,P336,0)</f>
        <v>0</v>
      </c>
      <c r="R336">
        <f ca="1">IFERROR(IF(COUNTIF(B336,"*莺鸣柳*")&gt;0,45-加速!$L$9,MAX(0,R335-(A336-A335))),0)</f>
        <v>0</v>
      </c>
      <c r="S336">
        <f ca="1">IF(COUNTIF(IF(AND(配装计算器!$K$30&lt;&gt;"∞",0),INDEX(AU335:CB335,1,$AT$1),INDEX(AU337:CB337,1,$AT$1)),"*莺鸣柳*")=1,R336,0)</f>
        <v>0</v>
      </c>
      <c r="T336">
        <f ca="1" t="shared" si="104"/>
        <v>0</v>
      </c>
      <c r="U336">
        <f ca="1">IF(金蛇,IF(COUNTIF(B336,"*金环戴*")+COUNTIF(B336,"*吹风醒*")&gt;0,IF(A336&lt;=3,7.125-2.625-A336-加速!$L$11,7.125+加速!$K$9-(A336+加速!$L$11-T336)),0),0)+IF(金蛇,IF(COUNTIF(B336,"*千切子裂光*")&gt;0,2+加速!$K$9-(A336+加速!$L$11-T336),0),0)</f>
        <v>0</v>
      </c>
      <c r="V336">
        <f ca="1" t="shared" si="105"/>
        <v>0</v>
      </c>
      <c r="W336">
        <f ca="1" t="shared" si="96"/>
        <v>0</v>
      </c>
      <c r="X336">
        <f ca="1">INDEX(加速!$I$13:$I$21,W336+1)</f>
        <v>0</v>
      </c>
      <c r="Y336">
        <f ca="1" t="shared" si="106"/>
        <v>0.5</v>
      </c>
      <c r="Z336">
        <f ca="1" t="shared" si="101"/>
        <v>0</v>
      </c>
      <c r="AA336">
        <f ca="1">MAX(0,IFERROR(IF(COUNTIF(B336,"*叠*")&gt;0,IF(AC335&lt;3,8-A337+A336,AA335+6.875-A337+A336),AA335-A337+A336),AA335-加速!$L$11))</f>
        <v>0</v>
      </c>
      <c r="AB336" t="e">
        <f ca="1">MAX(0,IF(COUNTIF(IF(AND(配装计算器!$K$30&lt;&gt;"∞",0),INDEX(AU336:CB336,1,$AT$1),INDEX(AU336:CB336,1,$AT$1)),"*叠1*")=1,4*25-加速!$L$11,AB335-A336+A335)-IF(OR(COUNTIF(OFFSET(AT336,0,$AT$1,1,1),"*听雷*")&gt;0,AND(碧归&gt;0,COUNTIF(OFFSET(AT336,0,$AT$1,1,1),"*风来*")&gt;0)),0,1)*1.5)</f>
        <v>#VALUE!</v>
      </c>
      <c r="AC336">
        <f ca="1" t="shared" si="97"/>
        <v>0</v>
      </c>
      <c r="AD336">
        <f ca="1">IF(COUNTIF(IF(AND(配装计算器!$K$30&lt;&gt;"∞",0),INDEX(AU336:CB336,1,$AT$1),INDEX(AU337:CB337,1,$AT$1)),"*叠1*")=1,AB336*0+AE335,0)</f>
        <v>0</v>
      </c>
      <c r="AE336" t="e">
        <f ca="1">IF($AN$11&gt;0,IF(COUNTIF(B337,"*叠1*")&gt;0,50-加速!$L$11,MAX(0,AE335-(A337-A336))),0)</f>
        <v>#VALUE!</v>
      </c>
      <c r="AG336">
        <f ca="1" t="shared" si="98"/>
        <v>9</v>
      </c>
      <c r="AU336" t="s">
        <v>2768</v>
      </c>
      <c r="AV336">
        <v>2</v>
      </c>
      <c r="AW336" t="s">
        <v>2776</v>
      </c>
      <c r="AX336">
        <v>2</v>
      </c>
      <c r="AY336" t="s">
        <v>2768</v>
      </c>
      <c r="AZ336">
        <v>2</v>
      </c>
      <c r="BA336" t="s">
        <v>3035</v>
      </c>
      <c r="BB336">
        <v>2</v>
      </c>
      <c r="BC336" t="s">
        <v>2813</v>
      </c>
      <c r="BD336">
        <v>0</v>
      </c>
      <c r="BE336" t="s">
        <v>3023</v>
      </c>
      <c r="BF336">
        <v>2</v>
      </c>
      <c r="BG336" s="176" t="s">
        <v>3035</v>
      </c>
      <c r="BH336">
        <v>2</v>
      </c>
      <c r="BI336" t="s">
        <v>2768</v>
      </c>
      <c r="BJ336">
        <v>0</v>
      </c>
      <c r="BK336" s="176" t="s">
        <v>2768</v>
      </c>
      <c r="BL336">
        <v>2</v>
      </c>
      <c r="BM336" t="str">
        <f>IF(秋,"夕照雷峰","云飞玉皇")</f>
        <v>云飞玉皇</v>
      </c>
      <c r="BN336">
        <v>2</v>
      </c>
      <c r="BO336" s="176" t="s">
        <v>2776</v>
      </c>
      <c r="BP336">
        <v>2</v>
      </c>
      <c r="BQ336" t="s">
        <v>2768</v>
      </c>
      <c r="BR336">
        <v>2</v>
      </c>
      <c r="BS336" t="s">
        <v>2768</v>
      </c>
      <c r="BT336">
        <v>1</v>
      </c>
      <c r="BU336" s="176" t="s">
        <v>2768</v>
      </c>
      <c r="BV336">
        <v>2</v>
      </c>
      <c r="BW336" s="179" t="s">
        <v>2768</v>
      </c>
      <c r="BX336" s="179">
        <v>2</v>
      </c>
      <c r="BY336" t="str">
        <f>IF(秋,"夕照雷峰","云飞玉皇")</f>
        <v>云飞玉皇</v>
      </c>
      <c r="BZ336">
        <v>2</v>
      </c>
      <c r="CA336" s="176" t="str">
        <f>IF(秋,"夕照雷峰","云飞玉皇")</f>
        <v>云飞玉皇</v>
      </c>
      <c r="CB336">
        <v>2</v>
      </c>
    </row>
    <row r="337" spans="1:80">
      <c r="A337" s="178" t="str">
        <f ca="1">IFERROR(IF(AG336&lt;5+金蛇*2,IF(COUNTIF(B336,"*轻*")&gt;0,A336+加速!$L$9,A336+加速!$L$11)+V336,""),"")</f>
        <v/>
      </c>
      <c r="B337" s="167" t="str">
        <f ca="1" t="shared" si="93"/>
        <v/>
      </c>
      <c r="C337" t="str">
        <f ca="1" t="shared" si="103"/>
        <v/>
      </c>
      <c r="D337" t="str">
        <f ca="1">IF(B337&lt;&gt;"",IF(C336&lt;=加速!$L$11*(1-E337),0,1),"")</f>
        <v/>
      </c>
      <c r="E337">
        <f ca="1" t="shared" si="99"/>
        <v>1</v>
      </c>
      <c r="G337" t="str">
        <f ca="1" t="shared" si="100"/>
        <v/>
      </c>
      <c r="H337" t="str">
        <f ca="1">IF(B337&lt;&gt;"",IF(AND(COUNTIF(B336,"*轻*莺鸣柳*")&gt;0,COUNTIF(B337,"*轻*")&lt;1),MAX(0,15+I336-(A337-A336)+COUNTIF(B336,"*平湖*")*0),IF(AND(E337=0,MAX(0,H336-(A337-A336))&lt;=加速!$H$11),0,MAX(0,H336-(A337-A336)))),"")</f>
        <v/>
      </c>
      <c r="I337" t="str">
        <f ca="1" t="shared" si="107"/>
        <v/>
      </c>
      <c r="J337" t="str">
        <f ca="1" t="shared" si="108"/>
        <v/>
      </c>
      <c r="K337" t="str">
        <f ca="1" t="shared" si="94"/>
        <v/>
      </c>
      <c r="L337">
        <f ca="1">IFERROR(IF(AND(COUNTIF(B337,"*-峰插*"),技能数据库!$M$72&gt;0),0,IF(COUNTIF(B337,"*鹤归*")&gt;0,16-加速!$L$11,MAX(0,L336-(A337-A336)))),0)</f>
        <v>0</v>
      </c>
      <c r="M337">
        <f ca="1" t="shared" si="95"/>
        <v>0</v>
      </c>
      <c r="N337">
        <f ca="1">IFERROR(IF(AND(COUNTIF(B337,"*-峰插*"),技能数据库!$M$72&gt;0),0,IF(COUNTIF(B337,"*云飞*")&gt;0,4-COUNTIF(B337,"*玉山揽云*")*4--COUNTIF(B337,"*烟流暮景*")*4-COUNTIF(B337,"*云景*")*加速!$L$11-IF(J337&gt;0,2,0),MAX(0,N336-(A337-A336)-IF(J337&gt;0,2,0)))),0)</f>
        <v>0</v>
      </c>
      <c r="O337">
        <f ca="1">IF(AND(COUNTIF(IF(AND(配装计算器!$K$30&lt;&gt;"∞",0),INDEX(AU336:CB336,1,$AT$1),INDEX(AU338:CB338,1,$AT$1)),"*云飞*")=1,COUNTIF(IF(AND(配装计算器!$K$30&lt;&gt;"∞",0),INDEX(AU336:CB336,1,$AT$1),INDEX(AU338:CB338,1,$AT$1)),"*玉山*")=0),N337,0)</f>
        <v>0</v>
      </c>
      <c r="P337">
        <f ca="1">IFERROR(IF(COUNTIF(B337,"*云栖松*")&gt;0,50-加速!$L$11,MAX(0,P336-(A337-A336))),0)</f>
        <v>0</v>
      </c>
      <c r="Q337">
        <f ca="1">IF(COUNTIF(IF(AND(配装计算器!$K$30&lt;&gt;"∞",0),INDEX(AU336:CB336,1,$AT$1),INDEX(AU338:CB338,1,$AT$1)),"*云栖松*")=1,P337,0)</f>
        <v>0</v>
      </c>
      <c r="R337">
        <f ca="1">IFERROR(IF(COUNTIF(B337,"*莺鸣柳*")&gt;0,45-加速!$L$9,MAX(0,R336-(A337-A336))),0)</f>
        <v>0</v>
      </c>
      <c r="S337">
        <f ca="1">IF(COUNTIF(IF(AND(配装计算器!$K$30&lt;&gt;"∞",0),INDEX(AU336:CB336,1,$AT$1),INDEX(AU338:CB338,1,$AT$1)),"*莺鸣柳*")=1,R337,0)</f>
        <v>0</v>
      </c>
      <c r="T337">
        <f ca="1" t="shared" si="104"/>
        <v>0</v>
      </c>
      <c r="U337">
        <f ca="1">IF(金蛇,IF(COUNTIF(B337,"*金环戴*")+COUNTIF(B337,"*吹风醒*")&gt;0,IF(A337&lt;=3,7.125-2.625-A337-加速!$L$11,7.125+加速!$K$9-(A337+加速!$L$11-T337)),0),0)+IF(金蛇,IF(COUNTIF(B337,"*千切子裂光*")&gt;0,2+加速!$K$9-(A337+加速!$L$11-T337),0),0)</f>
        <v>0</v>
      </c>
      <c r="V337">
        <f ca="1" t="shared" si="105"/>
        <v>0</v>
      </c>
      <c r="W337">
        <f ca="1" t="shared" si="96"/>
        <v>0</v>
      </c>
      <c r="X337">
        <f ca="1">INDEX(加速!$I$13:$I$21,W337+1)</f>
        <v>0</v>
      </c>
      <c r="Y337">
        <f ca="1" t="shared" si="106"/>
        <v>0.5</v>
      </c>
      <c r="Z337">
        <f ca="1" t="shared" si="101"/>
        <v>0</v>
      </c>
      <c r="AA337">
        <f ca="1">MAX(0,IFERROR(IF(COUNTIF(B337,"*叠*")&gt;0,IF(AC336&lt;3,8-A338+A337,AA336+6.875-A338+A337),AA336-A338+A337),AA336-加速!$L$11))</f>
        <v>0</v>
      </c>
      <c r="AB337" t="e">
        <f ca="1">MAX(0,IF(COUNTIF(IF(AND(配装计算器!$K$30&lt;&gt;"∞",0),INDEX(AU337:CB337,1,$AT$1),INDEX(AU337:CB337,1,$AT$1)),"*叠1*")=1,4*25-加速!$L$11,AB336-A337+A336)-IF(OR(COUNTIF(OFFSET(AT337,0,$AT$1,1,1),"*听雷*")&gt;0,AND(碧归&gt;0,COUNTIF(OFFSET(AT337,0,$AT$1,1,1),"*风来*")&gt;0)),0,1)*1.5)</f>
        <v>#VALUE!</v>
      </c>
      <c r="AC337">
        <f ca="1" t="shared" si="97"/>
        <v>0</v>
      </c>
      <c r="AD337">
        <f ca="1">IF(COUNTIF(IF(AND(配装计算器!$K$30&lt;&gt;"∞",0),INDEX(AU337:CB337,1,$AT$1),INDEX(AU338:CB338,1,$AT$1)),"*叠1*")=1,AB337*0+AE336,0)</f>
        <v>0</v>
      </c>
      <c r="AE337" t="e">
        <f ca="1">IF($AN$11&gt;0,IF(COUNTIF(B338,"*叠1*")&gt;0,50-加速!$L$11,MAX(0,AE336-(A338-A337))),0)</f>
        <v>#VALUE!</v>
      </c>
      <c r="AG337">
        <f ca="1" t="shared" si="98"/>
        <v>9</v>
      </c>
      <c r="AU337" t="s">
        <v>2768</v>
      </c>
      <c r="AV337">
        <v>2</v>
      </c>
      <c r="AW337" t="s">
        <v>2768</v>
      </c>
      <c r="AX337">
        <v>2</v>
      </c>
      <c r="AY337" t="s">
        <v>2776</v>
      </c>
      <c r="AZ337">
        <v>2</v>
      </c>
      <c r="BA337" t="s">
        <v>2768</v>
      </c>
      <c r="BB337">
        <v>2</v>
      </c>
      <c r="BC337" t="s">
        <v>2776</v>
      </c>
      <c r="BD337">
        <v>2</v>
      </c>
      <c r="BE337" s="182" t="s">
        <v>2768</v>
      </c>
      <c r="BF337">
        <v>2</v>
      </c>
      <c r="BG337" t="s">
        <v>2768</v>
      </c>
      <c r="BH337">
        <v>2</v>
      </c>
      <c r="BI337" t="s">
        <v>2768</v>
      </c>
      <c r="BJ337">
        <v>0</v>
      </c>
      <c r="BK337" s="176" t="s">
        <v>2808</v>
      </c>
      <c r="BL337">
        <v>2</v>
      </c>
      <c r="BM337" s="176" t="str">
        <f>IF(秋,"梦泉虎跑-轻","夕照雷峰")</f>
        <v>夕照雷峰</v>
      </c>
      <c r="BN337">
        <v>2</v>
      </c>
      <c r="BO337" s="176" t="s">
        <v>2768</v>
      </c>
      <c r="BP337">
        <v>2</v>
      </c>
      <c r="BQ337" t="s">
        <v>3023</v>
      </c>
      <c r="BR337">
        <v>2</v>
      </c>
      <c r="BS337" t="s">
        <v>2768</v>
      </c>
      <c r="BT337">
        <v>0</v>
      </c>
      <c r="BU337" s="176" t="s">
        <v>2768</v>
      </c>
      <c r="BV337">
        <v>2</v>
      </c>
      <c r="BW337" s="179" t="s">
        <v>2776</v>
      </c>
      <c r="BX337" s="179">
        <v>2</v>
      </c>
      <c r="BY337" s="176" t="str">
        <f>IF(秋,"梦泉虎跑-轻","夕照雷峰")</f>
        <v>夕照雷峰</v>
      </c>
      <c r="BZ337">
        <v>2</v>
      </c>
      <c r="CA337" s="176" t="str">
        <f>IF(秋,"梦泉虎跑-轻","夕照雷峰")</f>
        <v>夕照雷峰</v>
      </c>
      <c r="CB337">
        <v>1</v>
      </c>
    </row>
    <row r="338" spans="1:80">
      <c r="A338" s="178" t="str">
        <f ca="1">IFERROR(IF(AG337&lt;5+金蛇*2,IF(COUNTIF(B337,"*轻*")&gt;0,A337+加速!$L$9,A337+加速!$L$11)+V337,""),"")</f>
        <v/>
      </c>
      <c r="B338" s="167" t="str">
        <f ca="1" t="shared" si="93"/>
        <v/>
      </c>
      <c r="C338" t="str">
        <f ca="1" t="shared" si="103"/>
        <v/>
      </c>
      <c r="D338" t="str">
        <f ca="1">IF(B338&lt;&gt;"",IF(C337&lt;=加速!$L$11*(1-E338),0,1),"")</f>
        <v/>
      </c>
      <c r="E338">
        <f ca="1" t="shared" si="99"/>
        <v>1</v>
      </c>
      <c r="G338" t="str">
        <f ca="1" t="shared" si="100"/>
        <v/>
      </c>
      <c r="H338" t="str">
        <f ca="1">IF(B338&lt;&gt;"",IF(AND(COUNTIF(B337,"*轻*莺鸣柳*")&gt;0,COUNTIF(B338,"*轻*")&lt;1),MAX(0,15+I337-(A338-A337)+COUNTIF(B337,"*平湖*")*0),IF(AND(E338=0,MAX(0,H337-(A338-A337))&lt;=加速!$H$11),0,MAX(0,H337-(A338-A337)))),"")</f>
        <v/>
      </c>
      <c r="I338" t="str">
        <f ca="1" t="shared" si="107"/>
        <v/>
      </c>
      <c r="J338" t="str">
        <f ca="1" t="shared" si="108"/>
        <v/>
      </c>
      <c r="K338" t="str">
        <f ca="1" t="shared" si="94"/>
        <v/>
      </c>
      <c r="L338">
        <f ca="1">IFERROR(IF(AND(COUNTIF(B338,"*-峰插*"),技能数据库!$M$72&gt;0),0,IF(COUNTIF(B338,"*鹤归*")&gt;0,16-加速!$L$11,MAX(0,L337-(A338-A337)))),0)</f>
        <v>0</v>
      </c>
      <c r="M338">
        <f ca="1" t="shared" si="95"/>
        <v>0</v>
      </c>
      <c r="N338">
        <f ca="1">IFERROR(IF(AND(COUNTIF(B338,"*-峰插*"),技能数据库!$M$72&gt;0),0,IF(COUNTIF(B338,"*云飞*")&gt;0,4-COUNTIF(B338,"*玉山揽云*")*4--COUNTIF(B338,"*烟流暮景*")*4-COUNTIF(B338,"*云景*")*加速!$L$11-IF(J338&gt;0,2,0),MAX(0,N337-(A338-A337)-IF(J338&gt;0,2,0)))),0)</f>
        <v>0</v>
      </c>
      <c r="O338">
        <f ca="1">IF(AND(COUNTIF(IF(AND(配装计算器!$K$30&lt;&gt;"∞",0),INDEX(AU337:CB337,1,$AT$1),INDEX(AU339:CB339,1,$AT$1)),"*云飞*")=1,COUNTIF(IF(AND(配装计算器!$K$30&lt;&gt;"∞",0),INDEX(AU337:CB337,1,$AT$1),INDEX(AU339:CB339,1,$AT$1)),"*玉山*")=0),N338,0)</f>
        <v>0</v>
      </c>
      <c r="P338">
        <f ca="1">IFERROR(IF(COUNTIF(B338,"*云栖松*")&gt;0,50-加速!$L$11,MAX(0,P337-(A338-A337))),0)</f>
        <v>0</v>
      </c>
      <c r="Q338">
        <f ca="1">IF(COUNTIF(IF(AND(配装计算器!$K$30&lt;&gt;"∞",0),INDEX(AU337:CB337,1,$AT$1),INDEX(AU339:CB339,1,$AT$1)),"*云栖松*")=1,P338,0)</f>
        <v>0</v>
      </c>
      <c r="R338">
        <f ca="1">IFERROR(IF(COUNTIF(B338,"*莺鸣柳*")&gt;0,45-加速!$L$9,MAX(0,R337-(A338-A337))),0)</f>
        <v>0</v>
      </c>
      <c r="S338">
        <f ca="1">IF(COUNTIF(IF(AND(配装计算器!$K$30&lt;&gt;"∞",0),INDEX(AU337:CB337,1,$AT$1),INDEX(AU339:CB339,1,$AT$1)),"*莺鸣柳*")=1,R338,0)</f>
        <v>0</v>
      </c>
      <c r="T338">
        <f ca="1" t="shared" si="104"/>
        <v>0</v>
      </c>
      <c r="U338">
        <f ca="1">IF(金蛇,IF(COUNTIF(B338,"*金环戴*")+COUNTIF(B338,"*吹风醒*")&gt;0,IF(A338&lt;=3,7.125-2.625-A338-加速!$L$11,7.125+加速!$K$9-(A338+加速!$L$11-T338)),0),0)+IF(金蛇,IF(COUNTIF(B338,"*千切子裂光*")&gt;0,2+加速!$K$9-(A338+加速!$L$11-T338),0),0)</f>
        <v>0</v>
      </c>
      <c r="V338">
        <f ca="1" t="shared" si="105"/>
        <v>0</v>
      </c>
      <c r="W338">
        <f ca="1" t="shared" si="96"/>
        <v>0</v>
      </c>
      <c r="X338">
        <f ca="1">INDEX(加速!$I$13:$I$21,W338+1)</f>
        <v>0</v>
      </c>
      <c r="Y338">
        <f ca="1" t="shared" si="106"/>
        <v>0.5</v>
      </c>
      <c r="Z338">
        <f ca="1" t="shared" si="101"/>
        <v>0</v>
      </c>
      <c r="AA338">
        <f ca="1">MAX(0,IFERROR(IF(COUNTIF(B338,"*叠*")&gt;0,IF(AC337&lt;3,8-A339+A338,AA337+6.875-A339+A338),AA337-A339+A338),AA337-加速!$L$11))</f>
        <v>0</v>
      </c>
      <c r="AB338" t="e">
        <f ca="1">MAX(0,IF(COUNTIF(IF(AND(配装计算器!$K$30&lt;&gt;"∞",0),INDEX(AU338:CB338,1,$AT$1),INDEX(AU338:CB338,1,$AT$1)),"*叠1*")=1,4*25-加速!$L$11,AB337-A338+A337)-IF(OR(COUNTIF(OFFSET(AT338,0,$AT$1,1,1),"*听雷*")&gt;0,AND(碧归&gt;0,COUNTIF(OFFSET(AT338,0,$AT$1,1,1),"*风来*")&gt;0)),0,1)*1.5)</f>
        <v>#VALUE!</v>
      </c>
      <c r="AC338">
        <f ca="1" t="shared" si="97"/>
        <v>0</v>
      </c>
      <c r="AD338">
        <f ca="1">IF(COUNTIF(IF(AND(配装计算器!$K$30&lt;&gt;"∞",0),INDEX(AU338:CB338,1,$AT$1),INDEX(AU339:CB339,1,$AT$1)),"*叠1*")=1,AB338*0+AE337,0)</f>
        <v>0</v>
      </c>
      <c r="AE338" t="e">
        <f ca="1">IF($AN$11&gt;0,IF(COUNTIF(B339,"*叠1*")&gt;0,50-加速!$L$11,MAX(0,AE337-(A339-A338))),0)</f>
        <v>#VALUE!</v>
      </c>
      <c r="AG338">
        <f ca="1" t="shared" si="98"/>
        <v>9</v>
      </c>
      <c r="AU338" s="176" t="s">
        <v>2794</v>
      </c>
      <c r="AV338">
        <v>2</v>
      </c>
      <c r="AW338" t="s">
        <v>2768</v>
      </c>
      <c r="AX338">
        <v>2</v>
      </c>
      <c r="AY338" t="s">
        <v>3035</v>
      </c>
      <c r="AZ338">
        <v>2</v>
      </c>
      <c r="BA338" t="s">
        <v>2776</v>
      </c>
      <c r="BB338">
        <v>2</v>
      </c>
      <c r="BC338" t="s">
        <v>2768</v>
      </c>
      <c r="BD338">
        <v>2</v>
      </c>
      <c r="BE338" s="176" t="s">
        <v>2768</v>
      </c>
      <c r="BF338">
        <v>2</v>
      </c>
      <c r="BG338" t="s">
        <v>2776</v>
      </c>
      <c r="BH338">
        <v>2</v>
      </c>
      <c r="BI338" t="s">
        <v>2722</v>
      </c>
      <c r="BJ338">
        <v>0</v>
      </c>
      <c r="BK338" t="s">
        <v>2789</v>
      </c>
      <c r="BL338">
        <v>2</v>
      </c>
      <c r="BM338" s="176" t="str">
        <f>IF(秋,"九溪弥烟-轻-血毒金蛇锥","梦泉虎跑-轻")</f>
        <v>梦泉虎跑-轻</v>
      </c>
      <c r="BN338">
        <v>0</v>
      </c>
      <c r="BO338" s="176" t="s">
        <v>2808</v>
      </c>
      <c r="BP338">
        <v>2</v>
      </c>
      <c r="BQ338" t="s">
        <v>2768</v>
      </c>
      <c r="BR338">
        <v>2</v>
      </c>
      <c r="BS338" t="s">
        <v>2776</v>
      </c>
      <c r="BT338">
        <v>0</v>
      </c>
      <c r="BU338" s="176" t="s">
        <v>2776</v>
      </c>
      <c r="BV338">
        <v>2</v>
      </c>
      <c r="BW338" s="179" t="s">
        <v>2768</v>
      </c>
      <c r="BX338" s="179">
        <v>2</v>
      </c>
      <c r="BY338" s="176" t="str">
        <f>IF(秋,"九溪弥烟-轻-血毒金蛇锥","梦泉虎跑-轻")</f>
        <v>梦泉虎跑-轻</v>
      </c>
      <c r="BZ338">
        <v>0</v>
      </c>
      <c r="CA338" s="176" t="str">
        <f>IF(秋,"九溪弥烟-轻-血毒金蛇锥","梦泉虎跑-轻")</f>
        <v>梦泉虎跑-轻</v>
      </c>
      <c r="CB338">
        <v>0</v>
      </c>
    </row>
    <row r="339" spans="1:80">
      <c r="A339" s="178" t="str">
        <f ca="1">IFERROR(IF(AG338&lt;5+金蛇*2,IF(COUNTIF(B338,"*轻*")&gt;0,A338+加速!$L$9,A338+加速!$L$11)+V338,""),"")</f>
        <v/>
      </c>
      <c r="B339" s="167" t="str">
        <f ca="1" t="shared" si="93"/>
        <v/>
      </c>
      <c r="C339" t="str">
        <f ca="1" t="shared" si="103"/>
        <v/>
      </c>
      <c r="D339" t="str">
        <f ca="1">IF(B339&lt;&gt;"",IF(C338&lt;=加速!$L$11*(1-E339),0,1),"")</f>
        <v/>
      </c>
      <c r="E339">
        <f ca="1" t="shared" si="99"/>
        <v>1</v>
      </c>
      <c r="G339" t="str">
        <f ca="1" t="shared" si="100"/>
        <v/>
      </c>
      <c r="H339" t="str">
        <f ca="1">IF(B339&lt;&gt;"",IF(AND(COUNTIF(B338,"*轻*莺鸣柳*")&gt;0,COUNTIF(B339,"*轻*")&lt;1),MAX(0,15+I338-(A339-A338)+COUNTIF(B338,"*平湖*")*0),IF(AND(E339=0,MAX(0,H338-(A339-A338))&lt;=加速!$H$11),0,MAX(0,H338-(A339-A338)))),"")</f>
        <v/>
      </c>
      <c r="I339" t="str">
        <f ca="1" t="shared" si="107"/>
        <v/>
      </c>
      <c r="J339" t="str">
        <f ca="1" t="shared" si="108"/>
        <v/>
      </c>
      <c r="K339" t="str">
        <f ca="1" t="shared" si="94"/>
        <v/>
      </c>
      <c r="L339">
        <f ca="1">IFERROR(IF(AND(COUNTIF(B339,"*-峰插*"),技能数据库!$M$72&gt;0),0,IF(COUNTIF(B339,"*鹤归*")&gt;0,16-加速!$L$11,MAX(0,L338-(A339-A338)))),0)</f>
        <v>0</v>
      </c>
      <c r="M339">
        <f ca="1" t="shared" si="95"/>
        <v>0</v>
      </c>
      <c r="N339">
        <f ca="1">IFERROR(IF(AND(COUNTIF(B339,"*-峰插*"),技能数据库!$M$72&gt;0),0,IF(COUNTIF(B339,"*云飞*")&gt;0,4-COUNTIF(B339,"*玉山揽云*")*4--COUNTIF(B339,"*烟流暮景*")*4-COUNTIF(B339,"*云景*")*加速!$L$11-IF(J339&gt;0,2,0),MAX(0,N338-(A339-A338)-IF(J339&gt;0,2,0)))),0)</f>
        <v>0</v>
      </c>
      <c r="O339">
        <f ca="1">IF(AND(COUNTIF(IF(AND(配装计算器!$K$30&lt;&gt;"∞",0),INDEX(AU338:CB338,1,$AT$1),INDEX(AU340:CB340,1,$AT$1)),"*云飞*")=1,COUNTIF(IF(AND(配装计算器!$K$30&lt;&gt;"∞",0),INDEX(AU338:CB338,1,$AT$1),INDEX(AU340:CB340,1,$AT$1)),"*玉山*")=0),N339,0)</f>
        <v>0</v>
      </c>
      <c r="P339">
        <f ca="1">IFERROR(IF(COUNTIF(B339,"*云栖松*")&gt;0,50-加速!$L$11,MAX(0,P338-(A339-A338))),0)</f>
        <v>0</v>
      </c>
      <c r="Q339">
        <f ca="1">IF(COUNTIF(IF(AND(配装计算器!$K$30&lt;&gt;"∞",0),INDEX(AU338:CB338,1,$AT$1),INDEX(AU340:CB340,1,$AT$1)),"*云栖松*")=1,P339,0)</f>
        <v>0</v>
      </c>
      <c r="R339">
        <f ca="1">IFERROR(IF(COUNTIF(B339,"*莺鸣柳*")&gt;0,45-加速!$L$9,MAX(0,R338-(A339-A338))),0)</f>
        <v>0</v>
      </c>
      <c r="S339">
        <f ca="1">IF(COUNTIF(IF(AND(配装计算器!$K$30&lt;&gt;"∞",0),INDEX(AU338:CB338,1,$AT$1),INDEX(AU340:CB340,1,$AT$1)),"*莺鸣柳*")=1,R339,0)</f>
        <v>0</v>
      </c>
      <c r="T339">
        <f ca="1" t="shared" si="104"/>
        <v>0</v>
      </c>
      <c r="U339">
        <f ca="1">IF(金蛇,IF(COUNTIF(B339,"*金环戴*")+COUNTIF(B339,"*吹风醒*")&gt;0,IF(A339&lt;=3,7.125-2.625-A339-加速!$L$11,7.125+加速!$K$9-(A339+加速!$L$11-T339)),0),0)+IF(金蛇,IF(COUNTIF(B339,"*千切子裂光*")&gt;0,2+加速!$K$9-(A339+加速!$L$11-T339),0),0)</f>
        <v>0</v>
      </c>
      <c r="V339">
        <f ca="1" t="shared" si="105"/>
        <v>0</v>
      </c>
      <c r="W339">
        <f ca="1" t="shared" si="96"/>
        <v>0</v>
      </c>
      <c r="X339">
        <f ca="1">INDEX(加速!$I$13:$I$21,W339+1)</f>
        <v>0</v>
      </c>
      <c r="Y339">
        <f ca="1" t="shared" si="106"/>
        <v>0.5</v>
      </c>
      <c r="Z339">
        <f ca="1" t="shared" si="101"/>
        <v>0</v>
      </c>
      <c r="AA339">
        <f ca="1">MAX(0,IFERROR(IF(COUNTIF(B339,"*叠*")&gt;0,IF(AC338&lt;3,8-A340+A339,AA338+6.875-A340+A339),AA338-A340+A339),AA338-加速!$L$11))</f>
        <v>0</v>
      </c>
      <c r="AB339" t="e">
        <f ca="1">MAX(0,IF(COUNTIF(IF(AND(配装计算器!$K$30&lt;&gt;"∞",0),INDEX(AU339:CB339,1,$AT$1),INDEX(AU339:CB339,1,$AT$1)),"*叠1*")=1,4*25-加速!$L$11,AB338-A339+A338)-IF(OR(COUNTIF(OFFSET(AT339,0,$AT$1,1,1),"*听雷*")&gt;0,AND(碧归&gt;0,COUNTIF(OFFSET(AT339,0,$AT$1,1,1),"*风来*")&gt;0)),0,1)*1.5)</f>
        <v>#VALUE!</v>
      </c>
      <c r="AC339">
        <f ca="1" t="shared" si="97"/>
        <v>0</v>
      </c>
      <c r="AD339">
        <f ca="1">IF(COUNTIF(IF(AND(配装计算器!$K$30&lt;&gt;"∞",0),INDEX(AU339:CB339,1,$AT$1),INDEX(AU340:CB340,1,$AT$1)),"*叠1*")=1,AB339*0+AE338,0)</f>
        <v>0</v>
      </c>
      <c r="AE339" t="e">
        <f ca="1">IF($AN$11&gt;0,IF(COUNTIF(B340,"*叠1*")&gt;0,50-加速!$L$11,MAX(0,AE338-(A340-A339))),0)</f>
        <v>#VALUE!</v>
      </c>
      <c r="AG339">
        <f ca="1" t="shared" si="98"/>
        <v>9</v>
      </c>
      <c r="AU339" s="176" t="s">
        <v>2776</v>
      </c>
      <c r="AV339">
        <v>2</v>
      </c>
      <c r="AW339" t="s">
        <v>2768</v>
      </c>
      <c r="AX339">
        <v>2</v>
      </c>
      <c r="AY339" t="s">
        <v>2768</v>
      </c>
      <c r="AZ339">
        <v>2</v>
      </c>
      <c r="BA339" t="s">
        <v>2768</v>
      </c>
      <c r="BB339">
        <v>2</v>
      </c>
      <c r="BC339" t="s">
        <v>2768</v>
      </c>
      <c r="BD339">
        <v>2</v>
      </c>
      <c r="BE339" s="176" t="s">
        <v>2789</v>
      </c>
      <c r="BF339">
        <v>2</v>
      </c>
      <c r="BG339" t="s">
        <v>2768</v>
      </c>
      <c r="BH339">
        <v>2</v>
      </c>
      <c r="BI339" t="s">
        <v>2776</v>
      </c>
      <c r="BJ339">
        <v>2</v>
      </c>
      <c r="BK339" t="s">
        <v>2776</v>
      </c>
      <c r="BL339">
        <v>2</v>
      </c>
      <c r="BM339" t="s">
        <v>3009</v>
      </c>
      <c r="BN339">
        <v>2</v>
      </c>
      <c r="BO339" t="str">
        <f>IF(0,"云飞玉皇-玉山揽云","夕照雷峰")</f>
        <v>夕照雷峰</v>
      </c>
      <c r="BP339">
        <v>2</v>
      </c>
      <c r="BQ339" t="s">
        <v>2776</v>
      </c>
      <c r="BR339">
        <v>2</v>
      </c>
      <c r="BS339" t="s">
        <v>2768</v>
      </c>
      <c r="BT339">
        <v>0</v>
      </c>
      <c r="BU339" s="176" t="s">
        <v>3035</v>
      </c>
      <c r="BV339">
        <v>2</v>
      </c>
      <c r="BW339" s="179" t="s">
        <v>2789</v>
      </c>
      <c r="BX339" s="179">
        <v>2</v>
      </c>
      <c r="BY339" t="s">
        <v>3009</v>
      </c>
      <c r="BZ339">
        <v>2</v>
      </c>
      <c r="CA339" t="s">
        <v>3009</v>
      </c>
      <c r="CB339">
        <v>2</v>
      </c>
    </row>
    <row r="340" spans="1:80">
      <c r="A340" s="178" t="str">
        <f ca="1">IFERROR(IF(AG339&lt;5+金蛇*2,IF(COUNTIF(B339,"*轻*")&gt;0,A339+加速!$L$9,A339+加速!$L$11)+V339,""),"")</f>
        <v/>
      </c>
      <c r="B340" s="167" t="str">
        <f ca="1" t="shared" si="93"/>
        <v/>
      </c>
      <c r="C340" t="str">
        <f ca="1" t="shared" si="103"/>
        <v/>
      </c>
      <c r="D340" t="str">
        <f ca="1">IF(B340&lt;&gt;"",IF(C339&lt;=加速!$L$11*(1-E340),0,1),"")</f>
        <v/>
      </c>
      <c r="E340">
        <f ca="1" t="shared" si="99"/>
        <v>1</v>
      </c>
      <c r="G340" t="str">
        <f ca="1" t="shared" si="100"/>
        <v/>
      </c>
      <c r="H340" t="str">
        <f ca="1">IF(B340&lt;&gt;"",IF(AND(COUNTIF(B339,"*轻*莺鸣柳*")&gt;0,COUNTIF(B340,"*轻*")&lt;1),MAX(0,15+I339-(A340-A339)+COUNTIF(B339,"*平湖*")*0),IF(AND(E340=0,MAX(0,H339-(A340-A339))&lt;=加速!$H$11),0,MAX(0,H339-(A340-A339)))),"")</f>
        <v/>
      </c>
      <c r="I340" t="str">
        <f ca="1" t="shared" si="107"/>
        <v/>
      </c>
      <c r="J340" t="str">
        <f ca="1" t="shared" si="108"/>
        <v/>
      </c>
      <c r="K340" t="str">
        <f ca="1" t="shared" si="94"/>
        <v/>
      </c>
      <c r="L340">
        <f ca="1">IFERROR(IF(AND(COUNTIF(B340,"*-峰插*"),技能数据库!$M$72&gt;0),0,IF(COUNTIF(B340,"*鹤归*")&gt;0,16-加速!$L$11,MAX(0,L339-(A340-A339)))),0)</f>
        <v>0</v>
      </c>
      <c r="M340">
        <f ca="1" t="shared" si="95"/>
        <v>0</v>
      </c>
      <c r="N340">
        <f ca="1">IFERROR(IF(AND(COUNTIF(B340,"*-峰插*"),技能数据库!$M$72&gt;0),0,IF(COUNTIF(B340,"*云飞*")&gt;0,4-COUNTIF(B340,"*玉山揽云*")*4--COUNTIF(B340,"*烟流暮景*")*4-COUNTIF(B340,"*云景*")*加速!$L$11-IF(J340&gt;0,2,0),MAX(0,N339-(A340-A339)-IF(J340&gt;0,2,0)))),0)</f>
        <v>0</v>
      </c>
      <c r="O340">
        <f ca="1">IF(AND(COUNTIF(IF(AND(配装计算器!$K$30&lt;&gt;"∞",0),INDEX(AU339:CB339,1,$AT$1),INDEX(AU341:CB341,1,$AT$1)),"*云飞*")=1,COUNTIF(IF(AND(配装计算器!$K$30&lt;&gt;"∞",0),INDEX(AU339:CB339,1,$AT$1),INDEX(AU341:CB341,1,$AT$1)),"*玉山*")=0),N340,0)</f>
        <v>0</v>
      </c>
      <c r="P340">
        <f ca="1">IFERROR(IF(COUNTIF(B340,"*云栖松*")&gt;0,50-加速!$L$11,MAX(0,P339-(A340-A339))),0)</f>
        <v>0</v>
      </c>
      <c r="Q340">
        <f ca="1">IF(COUNTIF(IF(AND(配装计算器!$K$30&lt;&gt;"∞",0),INDEX(AU339:CB339,1,$AT$1),INDEX(AU341:CB341,1,$AT$1)),"*云栖松*")=1,P340,0)</f>
        <v>0</v>
      </c>
      <c r="R340">
        <f ca="1">IFERROR(IF(COUNTIF(B340,"*莺鸣柳*")&gt;0,45-加速!$L$9,MAX(0,R339-(A340-A339))),0)</f>
        <v>0</v>
      </c>
      <c r="S340">
        <f ca="1">IF(COUNTIF(IF(AND(配装计算器!$K$30&lt;&gt;"∞",0),INDEX(AU339:CB339,1,$AT$1),INDEX(AU341:CB341,1,$AT$1)),"*莺鸣柳*")=1,R340,0)</f>
        <v>0</v>
      </c>
      <c r="T340">
        <f ca="1" t="shared" si="104"/>
        <v>0</v>
      </c>
      <c r="U340">
        <f ca="1">IF(金蛇,IF(COUNTIF(B340,"*金环戴*")+COUNTIF(B340,"*吹风醒*")&gt;0,IF(A340&lt;=3,7.125-2.625-A340-加速!$L$11,7.125+加速!$K$9-(A340+加速!$L$11-T340)),0),0)+IF(金蛇,IF(COUNTIF(B340,"*千切子裂光*")&gt;0,2+加速!$K$9-(A340+加速!$L$11-T340),0),0)</f>
        <v>0</v>
      </c>
      <c r="V340">
        <f ca="1" t="shared" si="105"/>
        <v>0</v>
      </c>
      <c r="W340">
        <f ca="1" t="shared" si="96"/>
        <v>0</v>
      </c>
      <c r="X340">
        <f ca="1">INDEX(加速!$I$13:$I$21,W340+1)</f>
        <v>0</v>
      </c>
      <c r="Y340">
        <f ca="1" t="shared" si="106"/>
        <v>0.5</v>
      </c>
      <c r="Z340">
        <f ca="1" t="shared" si="101"/>
        <v>0</v>
      </c>
      <c r="AA340">
        <f ca="1">MAX(0,IFERROR(IF(COUNTIF(B340,"*叠*")&gt;0,IF(AC339&lt;3,8-A341+A340,AA339+6.875-A341+A340),AA339-A341+A340),AA339-加速!$L$11))</f>
        <v>0</v>
      </c>
      <c r="AB340" t="e">
        <f ca="1">MAX(0,IF(COUNTIF(IF(AND(配装计算器!$K$30&lt;&gt;"∞",0),INDEX(AU340:CB340,1,$AT$1),INDEX(AU340:CB340,1,$AT$1)),"*叠1*")=1,4*25-加速!$L$11,AB339-A340+A339)-IF(OR(COUNTIF(OFFSET(AT340,0,$AT$1,1,1),"*听雷*")&gt;0,AND(碧归&gt;0,COUNTIF(OFFSET(AT340,0,$AT$1,1,1),"*风来*")&gt;0)),0,1)*1.5)</f>
        <v>#VALUE!</v>
      </c>
      <c r="AC340">
        <f ca="1" t="shared" si="97"/>
        <v>0</v>
      </c>
      <c r="AD340">
        <f ca="1">IF(COUNTIF(IF(AND(配装计算器!$K$30&lt;&gt;"∞",0),INDEX(AU340:CB340,1,$AT$1),INDEX(AU341:CB341,1,$AT$1)),"*叠1*")=1,AB340*0+AE339,0)</f>
        <v>0</v>
      </c>
      <c r="AE340" t="e">
        <f ca="1">IF($AN$11&gt;0,IF(COUNTIF(B341,"*叠1*")&gt;0,50-加速!$L$11,MAX(0,AE339-(A341-A340))),0)</f>
        <v>#VALUE!</v>
      </c>
      <c r="AG340">
        <f ca="1" t="shared" si="98"/>
        <v>9</v>
      </c>
      <c r="AU340" s="176" t="s">
        <v>2768</v>
      </c>
      <c r="AV340">
        <v>1</v>
      </c>
      <c r="AW340" t="s">
        <v>2776</v>
      </c>
      <c r="AX340">
        <v>2</v>
      </c>
      <c r="AY340" t="s">
        <v>2776</v>
      </c>
      <c r="AZ340">
        <v>2</v>
      </c>
      <c r="BA340" t="s">
        <v>2776</v>
      </c>
      <c r="BB340">
        <v>2</v>
      </c>
      <c r="BC340" t="s">
        <v>2768</v>
      </c>
      <c r="BD340">
        <v>1</v>
      </c>
      <c r="BE340" s="176" t="s">
        <v>2776</v>
      </c>
      <c r="BF340">
        <v>2</v>
      </c>
      <c r="BG340" t="s">
        <v>2776</v>
      </c>
      <c r="BH340">
        <v>2</v>
      </c>
      <c r="BI340" t="s">
        <v>2768</v>
      </c>
      <c r="BJ340">
        <v>2</v>
      </c>
      <c r="BK340" s="180" t="s">
        <v>3036</v>
      </c>
      <c r="BL340">
        <v>2</v>
      </c>
      <c r="BM340" s="176" t="str">
        <f>IF(秋,"云飞玉皇-蛇牙锥心","云飞玉皇-血毒金蛇锥")</f>
        <v>云飞玉皇-血毒金蛇锥</v>
      </c>
      <c r="BN340">
        <v>2</v>
      </c>
      <c r="BO340" t="str">
        <f>IF(0,"云飞玉皇-玉山揽云","云飞玉皇")</f>
        <v>云飞玉皇</v>
      </c>
      <c r="BP340">
        <v>2</v>
      </c>
      <c r="BQ340" t="s">
        <v>2768</v>
      </c>
      <c r="BR340">
        <v>2</v>
      </c>
      <c r="BS340" t="s">
        <v>3074</v>
      </c>
      <c r="BT340">
        <v>2</v>
      </c>
      <c r="BU340" t="s">
        <v>2768</v>
      </c>
      <c r="BV340">
        <v>2</v>
      </c>
      <c r="BW340" s="182" t="s">
        <v>2794</v>
      </c>
      <c r="BX340" s="179">
        <v>2</v>
      </c>
      <c r="BY340" t="str">
        <f>IF(秋,"夕照雷峰-蛇牙锥心","夕照雷峰")</f>
        <v>夕照雷峰</v>
      </c>
      <c r="BZ340">
        <v>2</v>
      </c>
      <c r="CA340" s="176" t="str">
        <f>IF(秋,"鹤归孤山-蛇牙锥心","鹤归孤山")</f>
        <v>鹤归孤山</v>
      </c>
      <c r="CB340">
        <v>2</v>
      </c>
    </row>
    <row r="341" spans="1:80">
      <c r="A341" s="178" t="str">
        <f ca="1">IFERROR(IF(AG340&lt;5+金蛇*2,IF(COUNTIF(B340,"*轻*")&gt;0,A340+加速!$L$9,A340+加速!$L$11)+V340,""),"")</f>
        <v/>
      </c>
      <c r="B341" s="167" t="str">
        <f ca="1" t="shared" si="93"/>
        <v/>
      </c>
      <c r="C341" t="str">
        <f ca="1" t="shared" si="103"/>
        <v/>
      </c>
      <c r="D341" t="str">
        <f ca="1">IF(B341&lt;&gt;"",IF(C340&lt;=加速!$L$11*(1-E341),0,1),"")</f>
        <v/>
      </c>
      <c r="E341">
        <f ca="1" t="shared" si="99"/>
        <v>1</v>
      </c>
      <c r="G341" t="str">
        <f ca="1" t="shared" si="100"/>
        <v/>
      </c>
      <c r="H341" t="str">
        <f ca="1">IF(B341&lt;&gt;"",IF(AND(COUNTIF(B340,"*轻*莺鸣柳*")&gt;0,COUNTIF(B341,"*轻*")&lt;1),MAX(0,15+I340-(A341-A340)+COUNTIF(B340,"*平湖*")*0),IF(AND(E341=0,MAX(0,H340-(A341-A340))&lt;=加速!$H$11),0,MAX(0,H340-(A341-A340)))),"")</f>
        <v/>
      </c>
      <c r="I341" t="str">
        <f ca="1" t="shared" si="107"/>
        <v/>
      </c>
      <c r="J341" t="str">
        <f ca="1" t="shared" si="108"/>
        <v/>
      </c>
      <c r="K341" t="str">
        <f ca="1" t="shared" si="94"/>
        <v/>
      </c>
      <c r="L341">
        <f ca="1">IFERROR(IF(AND(COUNTIF(B341,"*-峰插*"),技能数据库!$M$72&gt;0),0,IF(COUNTIF(B341,"*鹤归*")&gt;0,16-加速!$L$11,MAX(0,L340-(A341-A340)))),0)</f>
        <v>0</v>
      </c>
      <c r="M341">
        <f ca="1" t="shared" si="95"/>
        <v>0</v>
      </c>
      <c r="N341">
        <f ca="1">IFERROR(IF(AND(COUNTIF(B341,"*-峰插*"),技能数据库!$M$72&gt;0),0,IF(COUNTIF(B341,"*云飞*")&gt;0,4-COUNTIF(B341,"*玉山揽云*")*4--COUNTIF(B341,"*烟流暮景*")*4-COUNTIF(B341,"*云景*")*加速!$L$11-IF(J341&gt;0,2,0),MAX(0,N340-(A341-A340)-IF(J341&gt;0,2,0)))),0)</f>
        <v>0</v>
      </c>
      <c r="O341">
        <f ca="1">IF(AND(COUNTIF(IF(AND(配装计算器!$K$30&lt;&gt;"∞",0),INDEX(AU340:CB340,1,$AT$1),INDEX(AU342:CB342,1,$AT$1)),"*云飞*")=1,COUNTIF(IF(AND(配装计算器!$K$30&lt;&gt;"∞",0),INDEX(AU340:CB340,1,$AT$1),INDEX(AU342:CB342,1,$AT$1)),"*玉山*")=0),N341,0)</f>
        <v>0</v>
      </c>
      <c r="P341">
        <f ca="1">IFERROR(IF(COUNTIF(B341,"*云栖松*")&gt;0,50-加速!$L$11,MAX(0,P340-(A341-A340))),0)</f>
        <v>0</v>
      </c>
      <c r="Q341">
        <f ca="1">IF(COUNTIF(IF(AND(配装计算器!$K$30&lt;&gt;"∞",0),INDEX(AU340:CB340,1,$AT$1),INDEX(AU342:CB342,1,$AT$1)),"*云栖松*")=1,P341,0)</f>
        <v>0</v>
      </c>
      <c r="R341">
        <f ca="1">IFERROR(IF(COUNTIF(B341,"*莺鸣柳*")&gt;0,45-加速!$L$9,MAX(0,R340-(A341-A340))),0)</f>
        <v>0</v>
      </c>
      <c r="S341">
        <f ca="1">IF(COUNTIF(IF(AND(配装计算器!$K$30&lt;&gt;"∞",0),INDEX(AU340:CB340,1,$AT$1),INDEX(AU342:CB342,1,$AT$1)),"*莺鸣柳*")=1,R341,0)</f>
        <v>0</v>
      </c>
      <c r="T341">
        <f ca="1" t="shared" si="104"/>
        <v>0</v>
      </c>
      <c r="U341">
        <f ca="1">IF(金蛇,IF(COUNTIF(B341,"*金环戴*")+COUNTIF(B341,"*吹风醒*")&gt;0,IF(A341&lt;=3,7.125-2.625-A341-加速!$L$11,7.125+加速!$K$9-(A341+加速!$L$11-T341)),0),0)+IF(金蛇,IF(COUNTIF(B341,"*千切子裂光*")&gt;0,2+加速!$K$9-(A341+加速!$L$11-T341),0),0)</f>
        <v>0</v>
      </c>
      <c r="V341">
        <f ca="1" t="shared" si="105"/>
        <v>0</v>
      </c>
      <c r="W341">
        <f ca="1" t="shared" si="96"/>
        <v>0</v>
      </c>
      <c r="X341">
        <f ca="1">INDEX(加速!$I$13:$I$21,W341+1)</f>
        <v>0</v>
      </c>
      <c r="Y341">
        <f ca="1" t="shared" si="106"/>
        <v>0.5</v>
      </c>
      <c r="Z341">
        <f ca="1" t="shared" si="101"/>
        <v>0</v>
      </c>
      <c r="AA341">
        <f ca="1">MAX(0,IFERROR(IF(COUNTIF(B341,"*叠*")&gt;0,IF(AC340&lt;3,8-A342+A341,AA340+6.875-A342+A341),AA340-A342+A341),AA340-加速!$L$11))</f>
        <v>0</v>
      </c>
      <c r="AB341" t="e">
        <f ca="1">MAX(0,IF(COUNTIF(IF(AND(配装计算器!$K$30&lt;&gt;"∞",0),INDEX(AU341:CB341,1,$AT$1),INDEX(AU341:CB341,1,$AT$1)),"*叠1*")=1,4*25-加速!$L$11,AB340-A341+A340)-IF(OR(COUNTIF(OFFSET(AT341,0,$AT$1,1,1),"*听雷*")&gt;0,AND(碧归&gt;0,COUNTIF(OFFSET(AT341,0,$AT$1,1,1),"*风来*")&gt;0)),0,1)*1.5)</f>
        <v>#VALUE!</v>
      </c>
      <c r="AC341">
        <f ca="1" t="shared" si="97"/>
        <v>0</v>
      </c>
      <c r="AD341">
        <f ca="1">IF(COUNTIF(IF(AND(配装计算器!$K$30&lt;&gt;"∞",0),INDEX(AU341:CB341,1,$AT$1),INDEX(AU342:CB342,1,$AT$1)),"*叠1*")=1,AB341*0+AE340,0)</f>
        <v>0</v>
      </c>
      <c r="AE341" t="e">
        <f ca="1">IF($AN$11&gt;0,IF(COUNTIF(B342,"*叠1*")&gt;0,50-加速!$L$11,MAX(0,AE340-(A342-A341))),0)</f>
        <v>#VALUE!</v>
      </c>
      <c r="AG341">
        <f ca="1" t="shared" si="98"/>
        <v>9</v>
      </c>
      <c r="AU341" s="176" t="s">
        <v>2776</v>
      </c>
      <c r="AV341">
        <v>2</v>
      </c>
      <c r="AW341" t="s">
        <v>2768</v>
      </c>
      <c r="AX341">
        <v>2</v>
      </c>
      <c r="AY341" t="s">
        <v>2768</v>
      </c>
      <c r="AZ341">
        <v>2</v>
      </c>
      <c r="BA341" t="s">
        <v>3042</v>
      </c>
      <c r="BB341">
        <v>2</v>
      </c>
      <c r="BC341" t="s">
        <v>2776</v>
      </c>
      <c r="BD341">
        <v>1</v>
      </c>
      <c r="BE341" s="176" t="s">
        <v>3035</v>
      </c>
      <c r="BF341">
        <v>2</v>
      </c>
      <c r="BG341" t="s">
        <v>2768</v>
      </c>
      <c r="BH341">
        <v>2</v>
      </c>
      <c r="BI341" t="s">
        <v>2768</v>
      </c>
      <c r="BJ341">
        <v>2</v>
      </c>
      <c r="BK341" t="s">
        <v>3026</v>
      </c>
      <c r="BL341">
        <v>2</v>
      </c>
      <c r="BM341" t="s">
        <v>2768</v>
      </c>
      <c r="BN341">
        <v>2</v>
      </c>
      <c r="BO341" s="176" t="str">
        <f>IF(秋,"夕照雷峰","千切子寒光-千切子裂光")</f>
        <v>千切子寒光-千切子裂光</v>
      </c>
      <c r="BP341">
        <v>2</v>
      </c>
      <c r="BQ341" t="s">
        <v>2768</v>
      </c>
      <c r="BR341">
        <v>2</v>
      </c>
      <c r="BS341" t="s">
        <v>2768</v>
      </c>
      <c r="BT341">
        <v>2</v>
      </c>
      <c r="BU341" t="s">
        <v>2776</v>
      </c>
      <c r="BV341">
        <v>2</v>
      </c>
      <c r="BW341" s="182" t="s">
        <v>2776</v>
      </c>
      <c r="BX341" s="179">
        <v>2</v>
      </c>
      <c r="BY341" s="176" t="str">
        <f>IF(秋,"云飞玉皇","云飞玉皇-血毒金蛇锥")</f>
        <v>云飞玉皇-血毒金蛇锥</v>
      </c>
      <c r="BZ341">
        <v>2</v>
      </c>
      <c r="CA341" s="176" t="str">
        <f>IF(秋,"云飞玉皇","云飞玉皇-血毒金蛇锥")</f>
        <v>云飞玉皇-血毒金蛇锥</v>
      </c>
      <c r="CB341">
        <v>2</v>
      </c>
    </row>
    <row r="342" spans="1:80">
      <c r="A342" s="178" t="str">
        <f ca="1">IFERROR(IF(AG341&lt;5+金蛇*2,IF(COUNTIF(B341,"*轻*")&gt;0,A341+加速!$L$9,A341+加速!$L$11)+V341,""),"")</f>
        <v/>
      </c>
      <c r="B342" s="167" t="str">
        <f ca="1" t="shared" si="93"/>
        <v/>
      </c>
      <c r="C342" t="str">
        <f ca="1" t="shared" si="103"/>
        <v/>
      </c>
      <c r="D342" t="str">
        <f ca="1">IF(B342&lt;&gt;"",IF(C341&lt;=加速!$L$11*(1-E342),0,1),"")</f>
        <v/>
      </c>
      <c r="E342">
        <f ca="1" t="shared" si="99"/>
        <v>1</v>
      </c>
      <c r="G342" t="str">
        <f ca="1" t="shared" si="100"/>
        <v/>
      </c>
      <c r="H342" t="str">
        <f ca="1">IF(B342&lt;&gt;"",IF(AND(COUNTIF(B341,"*轻*莺鸣柳*")&gt;0,COUNTIF(B342,"*轻*")&lt;1),MAX(0,15+I341-(A342-A341)+COUNTIF(B341,"*平湖*")*0),IF(AND(E342=0,MAX(0,H341-(A342-A341))&lt;=加速!$H$11),0,MAX(0,H341-(A342-A341)))),"")</f>
        <v/>
      </c>
      <c r="I342" t="str">
        <f ca="1" t="shared" si="107"/>
        <v/>
      </c>
      <c r="J342" t="str">
        <f ca="1" t="shared" si="108"/>
        <v/>
      </c>
      <c r="K342" t="str">
        <f ca="1" t="shared" si="94"/>
        <v/>
      </c>
      <c r="L342">
        <f ca="1">IFERROR(IF(AND(COUNTIF(B342,"*-峰插*"),技能数据库!$M$72&gt;0),0,IF(COUNTIF(B342,"*鹤归*")&gt;0,16-加速!$L$11,MAX(0,L341-(A342-A341)))),0)</f>
        <v>0</v>
      </c>
      <c r="M342">
        <f ca="1" t="shared" si="95"/>
        <v>0</v>
      </c>
      <c r="N342">
        <f ca="1">IFERROR(IF(AND(COUNTIF(B342,"*-峰插*"),技能数据库!$M$72&gt;0),0,IF(COUNTIF(B342,"*云飞*")&gt;0,4-COUNTIF(B342,"*玉山揽云*")*4--COUNTIF(B342,"*烟流暮景*")*4-COUNTIF(B342,"*云景*")*加速!$L$11-IF(J342&gt;0,2,0),MAX(0,N341-(A342-A341)-IF(J342&gt;0,2,0)))),0)</f>
        <v>0</v>
      </c>
      <c r="O342">
        <f ca="1">IF(AND(COUNTIF(IF(AND(配装计算器!$K$30&lt;&gt;"∞",0),INDEX(AU341:CB341,1,$AT$1),INDEX(AU343:CB343,1,$AT$1)),"*云飞*")=1,COUNTIF(IF(AND(配装计算器!$K$30&lt;&gt;"∞",0),INDEX(AU341:CB341,1,$AT$1),INDEX(AU343:CB343,1,$AT$1)),"*玉山*")=0),N342,0)</f>
        <v>0</v>
      </c>
      <c r="P342">
        <f ca="1">IFERROR(IF(COUNTIF(B342,"*云栖松*")&gt;0,50-加速!$L$11,MAX(0,P341-(A342-A341))),0)</f>
        <v>0</v>
      </c>
      <c r="Q342">
        <f ca="1">IF(COUNTIF(IF(AND(配装计算器!$K$30&lt;&gt;"∞",0),INDEX(AU341:CB341,1,$AT$1),INDEX(AU343:CB343,1,$AT$1)),"*云栖松*")=1,P342,0)</f>
        <v>0</v>
      </c>
      <c r="R342">
        <f ca="1">IFERROR(IF(COUNTIF(B342,"*莺鸣柳*")&gt;0,45-加速!$L$9,MAX(0,R341-(A342-A341))),0)</f>
        <v>0</v>
      </c>
      <c r="S342">
        <f ca="1">IF(COUNTIF(IF(AND(配装计算器!$K$30&lt;&gt;"∞",0),INDEX(AU341:CB341,1,$AT$1),INDEX(AU343:CB343,1,$AT$1)),"*莺鸣柳*")=1,R342,0)</f>
        <v>0</v>
      </c>
      <c r="T342">
        <f ca="1" t="shared" si="104"/>
        <v>0</v>
      </c>
      <c r="U342">
        <f ca="1">IF(金蛇,IF(COUNTIF(B342,"*金环戴*")+COUNTIF(B342,"*吹风醒*")&gt;0,IF(A342&lt;=3,7.125-2.625-A342-加速!$L$11,7.125+加速!$K$9-(A342+加速!$L$11-T342)),0),0)+IF(金蛇,IF(COUNTIF(B342,"*千切子裂光*")&gt;0,2+加速!$K$9-(A342+加速!$L$11-T342),0),0)</f>
        <v>0</v>
      </c>
      <c r="V342">
        <f ca="1" t="shared" si="105"/>
        <v>0</v>
      </c>
      <c r="W342">
        <f ca="1" t="shared" si="96"/>
        <v>0</v>
      </c>
      <c r="X342">
        <f ca="1">INDEX(加速!$I$13:$I$21,W342+1)</f>
        <v>0</v>
      </c>
      <c r="Y342">
        <f ca="1" t="shared" si="106"/>
        <v>0.5</v>
      </c>
      <c r="Z342">
        <f ca="1" t="shared" si="101"/>
        <v>0</v>
      </c>
      <c r="AA342">
        <f ca="1">MAX(0,IFERROR(IF(COUNTIF(B342,"*叠*")&gt;0,IF(AC341&lt;3,8-A343+A342,AA341+6.875-A343+A342),AA341-A343+A342),AA341-加速!$L$11))</f>
        <v>0</v>
      </c>
      <c r="AB342" t="e">
        <f ca="1">MAX(0,IF(COUNTIF(IF(AND(配装计算器!$K$30&lt;&gt;"∞",0),INDEX(AU342:CB342,1,$AT$1),INDEX(AU342:CB342,1,$AT$1)),"*叠1*")=1,4*25-加速!$L$11,AB341-A342+A341)-IF(OR(COUNTIF(OFFSET(AT342,0,$AT$1,1,1),"*听雷*")&gt;0,AND(碧归&gt;0,COUNTIF(OFFSET(AT342,0,$AT$1,1,1),"*风来*")&gt;0)),0,1)*1.5)</f>
        <v>#VALUE!</v>
      </c>
      <c r="AC342">
        <f ca="1" t="shared" si="97"/>
        <v>0</v>
      </c>
      <c r="AD342">
        <f ca="1">IF(COUNTIF(IF(AND(配装计算器!$K$30&lt;&gt;"∞",0),INDEX(AU342:CB342,1,$AT$1),INDEX(AU343:CB343,1,$AT$1)),"*叠1*")=1,AB342*0+AE341,0)</f>
        <v>0</v>
      </c>
      <c r="AE342" t="e">
        <f ca="1">IF($AN$11&gt;0,IF(COUNTIF(B343,"*叠1*")&gt;0,50-加速!$L$11,MAX(0,AE341-(A343-A342))),0)</f>
        <v>#VALUE!</v>
      </c>
      <c r="AG342">
        <f ca="1" t="shared" si="98"/>
        <v>9</v>
      </c>
      <c r="AU342" s="176" t="s">
        <v>2768</v>
      </c>
      <c r="AV342">
        <v>1</v>
      </c>
      <c r="AW342" t="s">
        <v>2722</v>
      </c>
      <c r="AX342">
        <v>0</v>
      </c>
      <c r="AY342" t="s">
        <v>2776</v>
      </c>
      <c r="AZ342">
        <v>2</v>
      </c>
      <c r="BA342" t="s">
        <v>2808</v>
      </c>
      <c r="BB342">
        <v>2</v>
      </c>
      <c r="BC342" t="s">
        <v>2768</v>
      </c>
      <c r="BD342">
        <v>1</v>
      </c>
      <c r="BE342" t="s">
        <v>2768</v>
      </c>
      <c r="BF342">
        <v>2</v>
      </c>
      <c r="BG342" t="s">
        <v>2808</v>
      </c>
      <c r="BH342">
        <v>2</v>
      </c>
      <c r="BI342" s="176" t="s">
        <v>2794</v>
      </c>
      <c r="BJ342">
        <v>1</v>
      </c>
      <c r="BK342" t="s">
        <v>3026</v>
      </c>
      <c r="BL342">
        <v>2</v>
      </c>
      <c r="BM342" s="180" t="s">
        <v>2789</v>
      </c>
      <c r="BN342">
        <v>2</v>
      </c>
      <c r="BO342" s="176" t="str">
        <f>IF(秋,"夕照雷峰","夕照雷峰")</f>
        <v>夕照雷峰</v>
      </c>
      <c r="BP342">
        <v>2</v>
      </c>
      <c r="BQ342" t="s">
        <v>3035</v>
      </c>
      <c r="BR342">
        <v>2</v>
      </c>
      <c r="BS342" t="s">
        <v>2776</v>
      </c>
      <c r="BT342">
        <v>2</v>
      </c>
      <c r="BU342" t="s">
        <v>2768</v>
      </c>
      <c r="BV342">
        <v>2</v>
      </c>
      <c r="BW342" s="182" t="s">
        <v>2768</v>
      </c>
      <c r="BX342" s="179">
        <v>2</v>
      </c>
      <c r="BY342" t="s">
        <v>2768</v>
      </c>
      <c r="BZ342">
        <v>2</v>
      </c>
      <c r="CA342" s="176" t="s">
        <v>2768</v>
      </c>
      <c r="CB342">
        <v>2</v>
      </c>
    </row>
    <row r="343" spans="1:80">
      <c r="A343" s="178" t="str">
        <f ca="1">IFERROR(IF(AG342&lt;5+金蛇*2,IF(COUNTIF(B342,"*轻*")&gt;0,A342+加速!$L$9,A342+加速!$L$11)+V342,""),"")</f>
        <v/>
      </c>
      <c r="B343" s="167" t="str">
        <f ca="1" t="shared" si="93"/>
        <v/>
      </c>
      <c r="C343" t="str">
        <f ca="1" t="shared" si="103"/>
        <v/>
      </c>
      <c r="D343" t="str">
        <f ca="1">IF(B343&lt;&gt;"",IF(C342&lt;=加速!$L$11*(1-E343),0,1),"")</f>
        <v/>
      </c>
      <c r="E343">
        <f ca="1" t="shared" si="99"/>
        <v>1</v>
      </c>
      <c r="G343" t="str">
        <f ca="1" t="shared" si="100"/>
        <v/>
      </c>
      <c r="H343" t="str">
        <f ca="1">IF(B343&lt;&gt;"",IF(AND(COUNTIF(B342,"*轻*莺鸣柳*")&gt;0,COUNTIF(B343,"*轻*")&lt;1),MAX(0,15+I342-(A343-A342)+COUNTIF(B342,"*平湖*")*0),IF(AND(E343=0,MAX(0,H342-(A343-A342))&lt;=加速!$H$11),0,MAX(0,H342-(A343-A342)))),"")</f>
        <v/>
      </c>
      <c r="I343" t="str">
        <f ca="1" t="shared" si="107"/>
        <v/>
      </c>
      <c r="J343" t="str">
        <f ca="1" t="shared" si="108"/>
        <v/>
      </c>
      <c r="K343" t="str">
        <f ca="1" t="shared" si="94"/>
        <v/>
      </c>
      <c r="L343">
        <f ca="1">IFERROR(IF(AND(COUNTIF(B343,"*-峰插*"),技能数据库!$M$72&gt;0),0,IF(COUNTIF(B343,"*鹤归*")&gt;0,16-加速!$L$11,MAX(0,L342-(A343-A342)))),0)</f>
        <v>0</v>
      </c>
      <c r="M343">
        <f ca="1" t="shared" si="95"/>
        <v>0</v>
      </c>
      <c r="N343">
        <f ca="1">IFERROR(IF(AND(COUNTIF(B343,"*-峰插*"),技能数据库!$M$72&gt;0),0,IF(COUNTIF(B343,"*云飞*")&gt;0,4-COUNTIF(B343,"*玉山揽云*")*4--COUNTIF(B343,"*烟流暮景*")*4-COUNTIF(B343,"*云景*")*加速!$L$11-IF(J343&gt;0,2,0),MAX(0,N342-(A343-A342)-IF(J343&gt;0,2,0)))),0)</f>
        <v>0</v>
      </c>
      <c r="O343">
        <f ca="1">IF(AND(COUNTIF(IF(AND(配装计算器!$K$30&lt;&gt;"∞",0),INDEX(AU342:CB342,1,$AT$1),INDEX(AU344:CB344,1,$AT$1)),"*云飞*")=1,COUNTIF(IF(AND(配装计算器!$K$30&lt;&gt;"∞",0),INDEX(AU342:CB342,1,$AT$1),INDEX(AU344:CB344,1,$AT$1)),"*玉山*")=0),N343,0)</f>
        <v>0</v>
      </c>
      <c r="P343">
        <f ca="1">IFERROR(IF(COUNTIF(B343,"*云栖松*")&gt;0,50-加速!$L$11,MAX(0,P342-(A343-A342))),0)</f>
        <v>0</v>
      </c>
      <c r="Q343">
        <f ca="1">IF(COUNTIF(IF(AND(配装计算器!$K$30&lt;&gt;"∞",0),INDEX(AU342:CB342,1,$AT$1),INDEX(AU344:CB344,1,$AT$1)),"*云栖松*")=1,P343,0)</f>
        <v>0</v>
      </c>
      <c r="R343">
        <f ca="1">IFERROR(IF(COUNTIF(B343,"*莺鸣柳*")&gt;0,45-加速!$L$9,MAX(0,R342-(A343-A342))),0)</f>
        <v>0</v>
      </c>
      <c r="S343">
        <f ca="1">IF(COUNTIF(IF(AND(配装计算器!$K$30&lt;&gt;"∞",0),INDEX(AU342:CB342,1,$AT$1),INDEX(AU344:CB344,1,$AT$1)),"*莺鸣柳*")=1,R343,0)</f>
        <v>0</v>
      </c>
      <c r="T343">
        <f ca="1" t="shared" si="104"/>
        <v>0</v>
      </c>
      <c r="U343">
        <f ca="1">IF(金蛇,IF(COUNTIF(B343,"*金环戴*")+COUNTIF(B343,"*吹风醒*")&gt;0,IF(A343&lt;=3,7.125-2.625-A343-加速!$L$11,7.125+加速!$K$9-(A343+加速!$L$11-T343)),0),0)+IF(金蛇,IF(COUNTIF(B343,"*千切子裂光*")&gt;0,2+加速!$K$9-(A343+加速!$L$11-T343),0),0)</f>
        <v>0</v>
      </c>
      <c r="V343">
        <f ca="1" t="shared" si="105"/>
        <v>0</v>
      </c>
      <c r="W343">
        <f ca="1" t="shared" si="96"/>
        <v>0</v>
      </c>
      <c r="X343">
        <f ca="1">INDEX(加速!$I$13:$I$21,W343+1)</f>
        <v>0</v>
      </c>
      <c r="Y343">
        <f ca="1" t="shared" si="106"/>
        <v>0.5</v>
      </c>
      <c r="Z343">
        <f ca="1" t="shared" si="101"/>
        <v>0</v>
      </c>
      <c r="AA343">
        <f ca="1">MAX(0,IFERROR(IF(COUNTIF(B343,"*叠*")&gt;0,IF(AC342&lt;3,8-A344+A343,AA342+6.875-A344+A343),AA342-A344+A343),AA342-加速!$L$11))</f>
        <v>0</v>
      </c>
      <c r="AB343" t="e">
        <f ca="1">MAX(0,IF(COUNTIF(IF(AND(配装计算器!$K$30&lt;&gt;"∞",0),INDEX(AU343:CB343,1,$AT$1),INDEX(AU343:CB343,1,$AT$1)),"*叠1*")=1,4*25-加速!$L$11,AB342-A343+A342)-IF(OR(COUNTIF(OFFSET(AT343,0,$AT$1,1,1),"*听雷*")&gt;0,AND(碧归&gt;0,COUNTIF(OFFSET(AT343,0,$AT$1,1,1),"*风来*")&gt;0)),0,1)*1.5)</f>
        <v>#VALUE!</v>
      </c>
      <c r="AC343">
        <f ca="1" t="shared" si="97"/>
        <v>0</v>
      </c>
      <c r="AD343">
        <f ca="1">IF(COUNTIF(IF(AND(配装计算器!$K$30&lt;&gt;"∞",0),INDEX(AU343:CB343,1,$AT$1),INDEX(AU344:CB344,1,$AT$1)),"*叠1*")=1,AB343*0+AE342,0)</f>
        <v>0</v>
      </c>
      <c r="AE343" t="e">
        <f ca="1">IF($AN$11&gt;0,IF(COUNTIF(B344,"*叠1*")&gt;0,50-加速!$L$11,MAX(0,AE342-(A344-A343))),0)</f>
        <v>#VALUE!</v>
      </c>
      <c r="AG343">
        <f ca="1" t="shared" si="98"/>
        <v>9</v>
      </c>
      <c r="AU343" s="176" t="s">
        <v>2776</v>
      </c>
      <c r="AV343">
        <v>1</v>
      </c>
      <c r="AW343" t="s">
        <v>3009</v>
      </c>
      <c r="AX343">
        <v>2</v>
      </c>
      <c r="AY343" t="s">
        <v>3042</v>
      </c>
      <c r="AZ343">
        <v>2</v>
      </c>
      <c r="BA343" t="s">
        <v>2768</v>
      </c>
      <c r="BB343">
        <v>2</v>
      </c>
      <c r="BC343" t="s">
        <v>2768</v>
      </c>
      <c r="BD343">
        <v>0</v>
      </c>
      <c r="BE343" t="s">
        <v>2776</v>
      </c>
      <c r="BF343">
        <v>2</v>
      </c>
      <c r="BG343" t="s">
        <v>2768</v>
      </c>
      <c r="BH343">
        <v>2</v>
      </c>
      <c r="BI343" t="s">
        <v>2776</v>
      </c>
      <c r="BJ343">
        <v>1</v>
      </c>
      <c r="BK343" t="s">
        <v>3026</v>
      </c>
      <c r="BL343">
        <v>2</v>
      </c>
      <c r="BM343" s="176" t="s">
        <v>2794</v>
      </c>
      <c r="BN343">
        <v>2</v>
      </c>
      <c r="BO343" t="str">
        <f>IF(0,"云飞玉皇-玉山揽云","夕照雷峰")</f>
        <v>夕照雷峰</v>
      </c>
      <c r="BP343">
        <v>2</v>
      </c>
      <c r="BQ343" t="s">
        <v>2776</v>
      </c>
      <c r="BR343">
        <v>2</v>
      </c>
      <c r="BS343" t="s">
        <v>2768</v>
      </c>
      <c r="BT343">
        <v>2</v>
      </c>
      <c r="BU343" t="s">
        <v>2776</v>
      </c>
      <c r="BV343">
        <v>2</v>
      </c>
      <c r="BW343" s="182" t="s">
        <v>2776</v>
      </c>
      <c r="BX343" s="179">
        <v>2</v>
      </c>
      <c r="BY343" s="180" t="s">
        <v>2789</v>
      </c>
      <c r="BZ343">
        <v>2</v>
      </c>
      <c r="CA343" s="176" t="s">
        <v>2776</v>
      </c>
      <c r="CB343">
        <v>2</v>
      </c>
    </row>
    <row r="344" spans="1:80">
      <c r="A344" s="178" t="str">
        <f ca="1">IFERROR(IF(AG343&lt;5+金蛇*2,IF(COUNTIF(B343,"*轻*")&gt;0,A343+加速!$L$9,A343+加速!$L$11)+V343,""),"")</f>
        <v/>
      </c>
      <c r="B344" s="167" t="str">
        <f ca="1" t="shared" si="93"/>
        <v/>
      </c>
      <c r="C344" t="str">
        <f ca="1" t="shared" si="103"/>
        <v/>
      </c>
      <c r="D344" t="str">
        <f ca="1">IF(B344&lt;&gt;"",IF(C343&lt;=加速!$L$11*(1-E344),0,1),"")</f>
        <v/>
      </c>
      <c r="E344">
        <f ca="1" t="shared" si="99"/>
        <v>1</v>
      </c>
      <c r="G344" t="str">
        <f ca="1" t="shared" si="100"/>
        <v/>
      </c>
      <c r="H344" t="str">
        <f ca="1">IF(B344&lt;&gt;"",IF(AND(COUNTIF(B343,"*轻*莺鸣柳*")&gt;0,COUNTIF(B344,"*轻*")&lt;1),MAX(0,15+I343-(A344-A343)+COUNTIF(B343,"*平湖*")*0),IF(AND(E344=0,MAX(0,H343-(A344-A343))&lt;=加速!$H$11),0,MAX(0,H343-(A344-A343)))),"")</f>
        <v/>
      </c>
      <c r="I344" t="str">
        <f ca="1" t="shared" si="107"/>
        <v/>
      </c>
      <c r="J344" t="str">
        <f ca="1" t="shared" si="108"/>
        <v/>
      </c>
      <c r="K344" t="str">
        <f ca="1" t="shared" si="94"/>
        <v/>
      </c>
      <c r="L344">
        <f ca="1">IFERROR(IF(AND(COUNTIF(B344,"*-峰插*"),技能数据库!$M$72&gt;0),0,IF(COUNTIF(B344,"*鹤归*")&gt;0,16-加速!$L$11,MAX(0,L343-(A344-A343)))),0)</f>
        <v>0</v>
      </c>
      <c r="M344">
        <f ca="1" t="shared" si="95"/>
        <v>0</v>
      </c>
      <c r="N344">
        <f ca="1">IFERROR(IF(AND(COUNTIF(B344,"*-峰插*"),技能数据库!$M$72&gt;0),0,IF(COUNTIF(B344,"*云飞*")&gt;0,4-COUNTIF(B344,"*玉山揽云*")*4--COUNTIF(B344,"*烟流暮景*")*4-COUNTIF(B344,"*云景*")*加速!$L$11-IF(J344&gt;0,2,0),MAX(0,N343-(A344-A343)-IF(J344&gt;0,2,0)))),0)</f>
        <v>0</v>
      </c>
      <c r="O344">
        <f ca="1">IF(AND(COUNTIF(IF(AND(配装计算器!$K$30&lt;&gt;"∞",0),INDEX(AU343:CB343,1,$AT$1),INDEX(AU345:CB345,1,$AT$1)),"*云飞*")=1,COUNTIF(IF(AND(配装计算器!$K$30&lt;&gt;"∞",0),INDEX(AU343:CB343,1,$AT$1),INDEX(AU345:CB345,1,$AT$1)),"*玉山*")=0),N344,0)</f>
        <v>0</v>
      </c>
      <c r="P344">
        <f ca="1">IFERROR(IF(COUNTIF(B344,"*云栖松*")&gt;0,50-加速!$L$11,MAX(0,P343-(A344-A343))),0)</f>
        <v>0</v>
      </c>
      <c r="Q344">
        <f ca="1">IF(COUNTIF(IF(AND(配装计算器!$K$30&lt;&gt;"∞",0),INDEX(AU343:CB343,1,$AT$1),INDEX(AU345:CB345,1,$AT$1)),"*云栖松*")=1,P344,0)</f>
        <v>0</v>
      </c>
      <c r="R344">
        <f ca="1">IFERROR(IF(COUNTIF(B344,"*莺鸣柳*")&gt;0,45-加速!$L$9,MAX(0,R343-(A344-A343))),0)</f>
        <v>0</v>
      </c>
      <c r="S344">
        <f ca="1">IF(COUNTIF(IF(AND(配装计算器!$K$30&lt;&gt;"∞",0),INDEX(AU343:CB343,1,$AT$1),INDEX(AU345:CB345,1,$AT$1)),"*莺鸣柳*")=1,R344,0)</f>
        <v>0</v>
      </c>
      <c r="T344">
        <f ca="1" t="shared" si="104"/>
        <v>0</v>
      </c>
      <c r="U344">
        <f ca="1">IF(金蛇,IF(COUNTIF(B344,"*金环戴*")+COUNTIF(B344,"*吹风醒*")&gt;0,IF(A344&lt;=3,7.125-2.625-A344-加速!$L$11,7.125+加速!$K$9-(A344+加速!$L$11-T344)),0),0)+IF(金蛇,IF(COUNTIF(B344,"*千切子裂光*")&gt;0,2+加速!$K$9-(A344+加速!$L$11-T344),0),0)</f>
        <v>0</v>
      </c>
      <c r="V344" t="e">
        <f ca="1" t="shared" si="105"/>
        <v>#VALUE!</v>
      </c>
      <c r="W344">
        <f ca="1" t="shared" si="96"/>
        <v>0</v>
      </c>
      <c r="X344">
        <f ca="1">INDEX(加速!$I$13:$I$21,W344+1)</f>
        <v>0</v>
      </c>
      <c r="Y344">
        <f ca="1" t="shared" si="106"/>
        <v>0.5</v>
      </c>
      <c r="Z344">
        <f ca="1" t="shared" si="101"/>
        <v>0</v>
      </c>
      <c r="AA344">
        <f ca="1">MAX(0,IFERROR(IF(COUNTIF(B344,"*叠*")&gt;0,IF(AC343&lt;3,8-A345+A344,AA343+6.875-A345+A344),AA343-A345+A344),AA343-加速!$L$11))</f>
        <v>0</v>
      </c>
      <c r="AB344" t="e">
        <f ca="1">MAX(0,IF(COUNTIF(IF(AND(配装计算器!$K$30&lt;&gt;"∞",0),INDEX(AU344:CB344,1,$AT$1),INDEX(AU344:CB344,1,$AT$1)),"*叠1*")=1,4*25-加速!$L$11,AB343-A344+A343)-IF(OR(COUNTIF(OFFSET(AT344,0,$AT$1,1,1),"*听雷*")&gt;0,AND(碧归&gt;0,COUNTIF(OFFSET(AT344,0,$AT$1,1,1),"*风来*")&gt;0)),0,1)*1.5)</f>
        <v>#VALUE!</v>
      </c>
      <c r="AC344">
        <f ca="1" t="shared" si="97"/>
        <v>0</v>
      </c>
      <c r="AD344" t="e">
        <f ca="1">IF(COUNTIF(IF(AND(配装计算器!$K$30&lt;&gt;"∞",0),INDEX(AU344:CB344,1,$AT$1),INDEX(AU345:CB345,1,$AT$1)),"*叠1*")=1,AB344*0+AE343,0)</f>
        <v>#VALUE!</v>
      </c>
      <c r="AE344" t="e">
        <f ca="1">IF($AN$11&gt;0,IF(COUNTIF(B345,"*叠1*")&gt;0,50-加速!$L$11,MAX(0,AE343-(A345-A344))),0)</f>
        <v>#VALUE!</v>
      </c>
      <c r="AG344">
        <f ca="1" t="shared" si="98"/>
        <v>10</v>
      </c>
      <c r="AU344" t="s">
        <v>2722</v>
      </c>
      <c r="AV344">
        <v>0</v>
      </c>
      <c r="AW344" t="s">
        <v>2776</v>
      </c>
      <c r="AX344">
        <v>2</v>
      </c>
      <c r="AY344" t="s">
        <v>2808</v>
      </c>
      <c r="AZ344">
        <v>2</v>
      </c>
      <c r="BA344" t="s">
        <v>2768</v>
      </c>
      <c r="BB344">
        <v>2</v>
      </c>
      <c r="BC344" t="s">
        <v>2768</v>
      </c>
      <c r="BD344">
        <v>0</v>
      </c>
      <c r="BE344" t="s">
        <v>2768</v>
      </c>
      <c r="BF344">
        <v>2</v>
      </c>
      <c r="BG344" s="176" t="s">
        <v>2768</v>
      </c>
      <c r="BH344">
        <v>2</v>
      </c>
      <c r="BI344" t="s">
        <v>2768</v>
      </c>
      <c r="BJ344">
        <v>0</v>
      </c>
      <c r="BK344" s="176" t="s">
        <v>3026</v>
      </c>
      <c r="BL344">
        <v>2</v>
      </c>
      <c r="BM344" s="176" t="s">
        <v>2776</v>
      </c>
      <c r="BN344">
        <v>2</v>
      </c>
      <c r="BO344" t="s">
        <v>2776</v>
      </c>
      <c r="BP344">
        <v>2</v>
      </c>
      <c r="BQ344" t="s">
        <v>2768</v>
      </c>
      <c r="BR344">
        <v>2</v>
      </c>
      <c r="BS344" t="s">
        <v>2768</v>
      </c>
      <c r="BT344">
        <v>1</v>
      </c>
      <c r="BU344" t="s">
        <v>2768</v>
      </c>
      <c r="BV344">
        <v>2</v>
      </c>
      <c r="BW344" s="182" t="s">
        <v>2768</v>
      </c>
      <c r="BX344" s="179">
        <v>2</v>
      </c>
      <c r="BY344" s="176" t="s">
        <v>2794</v>
      </c>
      <c r="BZ344">
        <v>2</v>
      </c>
      <c r="CA344" s="176" t="s">
        <v>2768</v>
      </c>
      <c r="CB344">
        <v>2</v>
      </c>
    </row>
    <row r="345" spans="1:80">
      <c r="A345" s="178" t="str">
        <f ca="1">IFERROR(IF(AG344&lt;5+金蛇*2,IF(COUNTIF(B344,"*轻*")&gt;0,A344+加速!$L$9,A344+加速!$L$11)+V344,""),"")</f>
        <v/>
      </c>
      <c r="B345" s="167" t="str">
        <f ca="1" t="shared" si="93"/>
        <v/>
      </c>
      <c r="C345" t="str">
        <f ca="1" t="shared" si="103"/>
        <v/>
      </c>
      <c r="D345" t="str">
        <f ca="1">IF(B345&lt;&gt;"",IF(C344&lt;=加速!$L$11*(1-E345),0,1),"")</f>
        <v/>
      </c>
      <c r="E345">
        <f ca="1" t="shared" si="99"/>
        <v>1</v>
      </c>
      <c r="G345" t="str">
        <f ca="1" t="shared" si="100"/>
        <v/>
      </c>
      <c r="H345" t="str">
        <f ca="1">IF(B345&lt;&gt;"",IF(AND(COUNTIF(B344,"*轻*莺鸣柳*")&gt;0,COUNTIF(B345,"*轻*")&lt;1),MAX(0,15+I344-(A345-A344)+COUNTIF(B344,"*平湖*")*0),IF(AND(E345=0,MAX(0,H344-(A345-A344))&lt;=加速!$H$11),0,MAX(0,H344-(A345-A344)))),"")</f>
        <v/>
      </c>
      <c r="I345" t="str">
        <f ca="1" t="shared" si="107"/>
        <v/>
      </c>
      <c r="J345" t="str">
        <f ca="1" t="shared" si="108"/>
        <v/>
      </c>
      <c r="K345" t="str">
        <f ca="1" t="shared" si="94"/>
        <v/>
      </c>
      <c r="L345">
        <f ca="1">IFERROR(IF(AND(COUNTIF(B345,"*-峰插*"),技能数据库!$M$72&gt;0),0,IF(COUNTIF(B345,"*鹤归*")&gt;0,16-加速!$L$11,MAX(0,L344-(A345-A344)))),0)</f>
        <v>0</v>
      </c>
      <c r="M345">
        <f ca="1" t="shared" si="95"/>
        <v>0</v>
      </c>
      <c r="N345">
        <f ca="1">IFERROR(IF(AND(COUNTIF(B345,"*-峰插*"),技能数据库!$M$72&gt;0),0,IF(COUNTIF(B345,"*云飞*")&gt;0,4-COUNTIF(B345,"*玉山揽云*")*4--COUNTIF(B345,"*烟流暮景*")*4-COUNTIF(B345,"*云景*")*加速!$L$11-IF(J345&gt;0,2,0),MAX(0,N344-(A345-A344)-IF(J345&gt;0,2,0)))),0)</f>
        <v>0</v>
      </c>
      <c r="O345">
        <f ca="1">IF(AND(COUNTIF(IF(AND(配装计算器!$K$30&lt;&gt;"∞",0),INDEX(AU344:CB344,1,$AT$1),INDEX(AU346:CB346,1,$AT$1)),"*云飞*")=1,COUNTIF(IF(AND(配装计算器!$K$30&lt;&gt;"∞",0),INDEX(AU344:CB344,1,$AT$1),INDEX(AU346:CB346,1,$AT$1)),"*玉山*")=0),N345,0)</f>
        <v>0</v>
      </c>
      <c r="P345">
        <f ca="1">IFERROR(IF(COUNTIF(B345,"*云栖松*")&gt;0,50-加速!$L$11,MAX(0,P344-(A345-A344))),0)</f>
        <v>0</v>
      </c>
      <c r="Q345">
        <f ca="1">IF(COUNTIF(IF(AND(配装计算器!$K$30&lt;&gt;"∞",0),INDEX(AU344:CB344,1,$AT$1),INDEX(AU346:CB346,1,$AT$1)),"*云栖松*")=1,P345,0)</f>
        <v>0</v>
      </c>
      <c r="R345">
        <f ca="1">IFERROR(IF(COUNTIF(B345,"*莺鸣柳*")&gt;0,45-加速!$L$9,MAX(0,R344-(A345-A344))),0)</f>
        <v>0</v>
      </c>
      <c r="S345">
        <f ca="1">IF(COUNTIF(IF(AND(配装计算器!$K$30&lt;&gt;"∞",0),INDEX(AU344:CB344,1,$AT$1),INDEX(AU346:CB346,1,$AT$1)),"*莺鸣柳*")=1,R345,0)</f>
        <v>0</v>
      </c>
      <c r="T345">
        <f ca="1" t="shared" si="104"/>
        <v>0</v>
      </c>
      <c r="U345">
        <f ca="1">IF(金蛇,IF(COUNTIF(B345,"*金环戴*")+COUNTIF(B345,"*吹风醒*")&gt;0,IF(A345&lt;=3,7.125-2.625-A345-加速!$L$11,7.125+加速!$K$9-(A345+加速!$L$11-T345)),0),0)+IF(金蛇,IF(COUNTIF(B345,"*千切子裂光*")&gt;0,2+加速!$K$9-(A345+加速!$L$11-T345),0),0)</f>
        <v>0</v>
      </c>
      <c r="V345">
        <f ca="1" t="shared" si="105"/>
        <v>0</v>
      </c>
      <c r="W345">
        <f ca="1" t="shared" si="96"/>
        <v>0</v>
      </c>
      <c r="X345">
        <f ca="1">INDEX(加速!$I$13:$I$21,W345+1)</f>
        <v>0</v>
      </c>
      <c r="Y345">
        <f ca="1" t="shared" si="106"/>
        <v>0.5</v>
      </c>
      <c r="Z345">
        <f ca="1" t="shared" si="101"/>
        <v>0</v>
      </c>
      <c r="AA345">
        <f ca="1">MAX(0,IFERROR(IF(COUNTIF(B345,"*叠*")&gt;0,IF(AC344&lt;3,8-A346+A345,AA344+6.875-A346+A345),AA344-A346+A345),AA344-加速!$L$11))</f>
        <v>0</v>
      </c>
      <c r="AB345">
        <f ca="1">MAX(0,IF(COUNTIF(IF(AND(配装计算器!$K$30&lt;&gt;"∞",0),INDEX(AU345:CB345,1,$AT$1),INDEX(AU345:CB345,1,$AT$1)),"*叠1*")=1,4*25-加速!$L$11,AB344-A345+A344)-IF(OR(COUNTIF(OFFSET(AT345,0,$AT$1,1,1),"*听雷*")&gt;0,AND(碧归&gt;0,COUNTIF(OFFSET(AT345,0,$AT$1,1,1),"*风来*")&gt;0)),0,1)*1.5)</f>
        <v>97.21</v>
      </c>
      <c r="AC345">
        <f ca="1" t="shared" si="97"/>
        <v>0</v>
      </c>
      <c r="AD345">
        <f ca="1">IF(COUNTIF(IF(AND(配装计算器!$K$30&lt;&gt;"∞",0),INDEX(AU345:CB345,1,$AT$1),INDEX(AU346:CB346,1,$AT$1)),"*叠1*")=1,AB345*0+AE344,0)</f>
        <v>0</v>
      </c>
      <c r="AE345" t="e">
        <f ca="1">IF($AN$11&gt;0,IF(COUNTIF(B346,"*叠1*")&gt;0,50-加速!$L$11,MAX(0,AE344-(A346-A345))),0)</f>
        <v>#VALUE!</v>
      </c>
      <c r="AG345">
        <f ca="1" t="shared" si="98"/>
        <v>10</v>
      </c>
      <c r="AU345" t="s">
        <v>3009</v>
      </c>
      <c r="AV345">
        <v>2</v>
      </c>
      <c r="AW345" t="s">
        <v>2768</v>
      </c>
      <c r="AX345">
        <v>2</v>
      </c>
      <c r="AY345" t="s">
        <v>2768</v>
      </c>
      <c r="AZ345">
        <v>2</v>
      </c>
      <c r="BA345" t="s">
        <v>2776</v>
      </c>
      <c r="BB345">
        <v>2</v>
      </c>
      <c r="BC345" t="s">
        <v>3010</v>
      </c>
      <c r="BD345">
        <v>2</v>
      </c>
      <c r="BE345" t="s">
        <v>2776</v>
      </c>
      <c r="BF345">
        <v>2</v>
      </c>
      <c r="BG345" s="176" t="s">
        <v>2776</v>
      </c>
      <c r="BH345">
        <v>2</v>
      </c>
      <c r="BI345" t="s">
        <v>3011</v>
      </c>
      <c r="BJ345">
        <v>2</v>
      </c>
      <c r="BK345" s="176" t="s">
        <v>2776</v>
      </c>
      <c r="BL345">
        <v>2</v>
      </c>
      <c r="BM345" s="176" t="s">
        <v>2768</v>
      </c>
      <c r="BN345">
        <v>2</v>
      </c>
      <c r="BO345" s="176" t="s">
        <v>2794</v>
      </c>
      <c r="BP345">
        <v>2</v>
      </c>
      <c r="BQ345" t="s">
        <v>2776</v>
      </c>
      <c r="BR345">
        <v>2</v>
      </c>
      <c r="BS345" t="s">
        <v>2768</v>
      </c>
      <c r="BT345">
        <v>1</v>
      </c>
      <c r="BU345" t="s">
        <v>2808</v>
      </c>
      <c r="BV345">
        <v>2</v>
      </c>
      <c r="BW345" s="182" t="s">
        <v>2808</v>
      </c>
      <c r="BX345" s="179">
        <v>2</v>
      </c>
      <c r="BY345" s="176" t="s">
        <v>2776</v>
      </c>
      <c r="BZ345">
        <v>2</v>
      </c>
      <c r="CA345" s="176" t="s">
        <v>2808</v>
      </c>
      <c r="CB345">
        <v>2</v>
      </c>
    </row>
    <row r="346" spans="1:80">
      <c r="A346" s="178" t="str">
        <f ca="1">IFERROR(IF(AG345&lt;5+金蛇*2,IF(COUNTIF(B345,"*轻*")&gt;0,A345+加速!$L$9,A345+加速!$L$11)+V345,""),"")</f>
        <v/>
      </c>
      <c r="B346" s="167" t="str">
        <f ca="1" t="shared" si="93"/>
        <v/>
      </c>
      <c r="C346" t="str">
        <f ca="1" t="shared" si="103"/>
        <v/>
      </c>
      <c r="D346" t="str">
        <f ca="1">IF(B346&lt;&gt;"",IF(C345&lt;=加速!$L$11*(1-E346),0,1),"")</f>
        <v/>
      </c>
      <c r="E346">
        <f ca="1" t="shared" si="99"/>
        <v>1</v>
      </c>
      <c r="G346" t="str">
        <f ca="1" t="shared" si="100"/>
        <v/>
      </c>
      <c r="H346" t="str">
        <f ca="1">IF(B346&lt;&gt;"",IF(AND(COUNTIF(B345,"*轻*莺鸣柳*")&gt;0,COUNTIF(B346,"*轻*")&lt;1),MAX(0,15+I345-(A346-A345)+COUNTIF(B345,"*平湖*")*0),IF(AND(E346=0,MAX(0,H345-(A346-A345))&lt;=加速!$H$11),0,MAX(0,H345-(A346-A345)))),"")</f>
        <v/>
      </c>
      <c r="I346" t="str">
        <f ca="1" t="shared" si="107"/>
        <v/>
      </c>
      <c r="J346" t="str">
        <f ca="1" t="shared" si="108"/>
        <v/>
      </c>
      <c r="K346" t="str">
        <f ca="1" t="shared" si="94"/>
        <v/>
      </c>
      <c r="L346">
        <f ca="1">IFERROR(IF(AND(COUNTIF(B346,"*-峰插*"),技能数据库!$M$72&gt;0),0,IF(COUNTIF(B346,"*鹤归*")&gt;0,16-加速!$L$11,MAX(0,L345-(A346-A345)))),0)</f>
        <v>0</v>
      </c>
      <c r="M346">
        <f ca="1" t="shared" si="95"/>
        <v>0</v>
      </c>
      <c r="N346">
        <f ca="1">IFERROR(IF(AND(COUNTIF(B346,"*-峰插*"),技能数据库!$M$72&gt;0),0,IF(COUNTIF(B346,"*云飞*")&gt;0,4-COUNTIF(B346,"*玉山揽云*")*4--COUNTIF(B346,"*烟流暮景*")*4-COUNTIF(B346,"*云景*")*加速!$L$11-IF(J346&gt;0,2,0),MAX(0,N345-(A346-A345)-IF(J346&gt;0,2,0)))),0)</f>
        <v>0</v>
      </c>
      <c r="O346">
        <f ca="1">IF(AND(COUNTIF(IF(AND(配装计算器!$K$30&lt;&gt;"∞",0),INDEX(AU345:CB345,1,$AT$1),INDEX(AU347:CB347,1,$AT$1)),"*云飞*")=1,COUNTIF(IF(AND(配装计算器!$K$30&lt;&gt;"∞",0),INDEX(AU345:CB345,1,$AT$1),INDEX(AU347:CB347,1,$AT$1)),"*玉山*")=0),N346,0)</f>
        <v>0</v>
      </c>
      <c r="P346">
        <f ca="1">IFERROR(IF(COUNTIF(B346,"*云栖松*")&gt;0,50-加速!$L$11,MAX(0,P345-(A346-A345))),0)</f>
        <v>0</v>
      </c>
      <c r="Q346">
        <f ca="1">IF(COUNTIF(IF(AND(配装计算器!$K$30&lt;&gt;"∞",0),INDEX(AU345:CB345,1,$AT$1),INDEX(AU347:CB347,1,$AT$1)),"*云栖松*")=1,P346,0)</f>
        <v>0</v>
      </c>
      <c r="R346">
        <f ca="1">IFERROR(IF(COUNTIF(B346,"*莺鸣柳*")&gt;0,45-加速!$L$9,MAX(0,R345-(A346-A345))),0)</f>
        <v>0</v>
      </c>
      <c r="S346">
        <f ca="1">IF(COUNTIF(IF(AND(配装计算器!$K$30&lt;&gt;"∞",0),INDEX(AU345:CB345,1,$AT$1),INDEX(AU347:CB347,1,$AT$1)),"*莺鸣柳*")=1,R346,0)</f>
        <v>0</v>
      </c>
      <c r="T346">
        <f ca="1" t="shared" si="104"/>
        <v>0</v>
      </c>
      <c r="U346">
        <f ca="1">IF(金蛇,IF(COUNTIF(B346,"*金环戴*")+COUNTIF(B346,"*吹风醒*")&gt;0,IF(A346&lt;=3,7.125-2.625-A346-加速!$L$11,7.125+加速!$K$9-(A346+加速!$L$11-T346)),0),0)+IF(金蛇,IF(COUNTIF(B346,"*千切子裂光*")&gt;0,2+加速!$K$9-(A346+加速!$L$11-T346),0),0)</f>
        <v>0</v>
      </c>
      <c r="V346">
        <f ca="1" t="shared" si="105"/>
        <v>0</v>
      </c>
      <c r="W346">
        <f ca="1" t="shared" si="96"/>
        <v>0</v>
      </c>
      <c r="X346">
        <f ca="1">INDEX(加速!$I$13:$I$21,W346+1)</f>
        <v>0</v>
      </c>
      <c r="Y346">
        <f ca="1" t="shared" si="106"/>
        <v>0.5</v>
      </c>
      <c r="Z346">
        <f ca="1" t="shared" si="101"/>
        <v>0</v>
      </c>
      <c r="AA346">
        <f ca="1">MAX(0,IFERROR(IF(COUNTIF(B346,"*叠*")&gt;0,IF(AC345&lt;3,8-A347+A346,AA345+6.875-A347+A346),AA345-A347+A346),AA345-加速!$L$11))</f>
        <v>0</v>
      </c>
      <c r="AB346" t="e">
        <f ca="1">MAX(0,IF(COUNTIF(IF(AND(配装计算器!$K$30&lt;&gt;"∞",0),INDEX(AU346:CB346,1,$AT$1),INDEX(AU346:CB346,1,$AT$1)),"*叠1*")=1,4*25-加速!$L$11,AB345-A346+A345)-IF(OR(COUNTIF(OFFSET(AT346,0,$AT$1,1,1),"*听雷*")&gt;0,AND(碧归&gt;0,COUNTIF(OFFSET(AT346,0,$AT$1,1,1),"*风来*")&gt;0)),0,1)*1.5)</f>
        <v>#VALUE!</v>
      </c>
      <c r="AC346">
        <f ca="1" t="shared" si="97"/>
        <v>0</v>
      </c>
      <c r="AD346">
        <f ca="1">IF(COUNTIF(IF(AND(配装计算器!$K$30&lt;&gt;"∞",0),INDEX(AU346:CB346,1,$AT$1),INDEX(AU347:CB347,1,$AT$1)),"*叠1*")=1,AB346*0+AE345,0)</f>
        <v>0</v>
      </c>
      <c r="AE346" t="e">
        <f ca="1">IF($AN$11&gt;0,IF(COUNTIF(B347,"*叠1*")&gt;0,50-加速!$L$11,MAX(0,AE345-(A347-A346))),0)</f>
        <v>#VALUE!</v>
      </c>
      <c r="AG346">
        <f ca="1" t="shared" si="98"/>
        <v>10</v>
      </c>
      <c r="AU346" t="s">
        <v>2768</v>
      </c>
      <c r="AV346">
        <v>2</v>
      </c>
      <c r="AW346" s="180" t="s">
        <v>2789</v>
      </c>
      <c r="AX346">
        <v>2</v>
      </c>
      <c r="AY346" t="s">
        <v>2768</v>
      </c>
      <c r="AZ346">
        <v>2</v>
      </c>
      <c r="BA346" t="s">
        <v>2794</v>
      </c>
      <c r="BB346">
        <v>2</v>
      </c>
      <c r="BC346" t="s">
        <v>3013</v>
      </c>
      <c r="BD346">
        <v>2</v>
      </c>
      <c r="BE346" t="s">
        <v>3042</v>
      </c>
      <c r="BF346">
        <v>2</v>
      </c>
      <c r="BG346" t="s">
        <v>2768</v>
      </c>
      <c r="BH346">
        <v>1</v>
      </c>
      <c r="BI346" t="s">
        <v>2768</v>
      </c>
      <c r="BJ346">
        <v>2</v>
      </c>
      <c r="BK346" s="176" t="s">
        <v>2794</v>
      </c>
      <c r="BL346">
        <v>2</v>
      </c>
      <c r="BM346" s="176" t="s">
        <v>2776</v>
      </c>
      <c r="BN346">
        <v>2</v>
      </c>
      <c r="BO346" s="176" t="s">
        <v>2768</v>
      </c>
      <c r="BP346">
        <v>2</v>
      </c>
      <c r="BQ346" t="s">
        <v>2768</v>
      </c>
      <c r="BR346">
        <v>2</v>
      </c>
      <c r="BS346" t="s">
        <v>2776</v>
      </c>
      <c r="BT346">
        <v>0</v>
      </c>
      <c r="BU346" t="s">
        <v>2768</v>
      </c>
      <c r="BV346">
        <v>2</v>
      </c>
      <c r="BW346" s="179" t="s">
        <v>2768</v>
      </c>
      <c r="BX346" s="179">
        <v>2</v>
      </c>
      <c r="BY346" s="176" t="s">
        <v>2768</v>
      </c>
      <c r="BZ346">
        <v>2</v>
      </c>
      <c r="CA346" t="str">
        <f>IF(0,"风来吴山","风来吴山")</f>
        <v>风来吴山</v>
      </c>
      <c r="CB346">
        <v>2</v>
      </c>
    </row>
    <row r="347" spans="1:80">
      <c r="A347" s="178" t="str">
        <f ca="1">IFERROR(IF(AG346&lt;5+金蛇*2,IF(COUNTIF(B346,"*轻*")&gt;0,A346+加速!$L$9,A346+加速!$L$11)+V346,""),"")</f>
        <v/>
      </c>
      <c r="B347" s="167" t="str">
        <f ca="1" t="shared" si="93"/>
        <v/>
      </c>
      <c r="C347" t="str">
        <f ca="1" t="shared" si="103"/>
        <v/>
      </c>
      <c r="D347" t="str">
        <f ca="1">IF(B347&lt;&gt;"",IF(C346&lt;=加速!$L$11*(1-E347),0,1),"")</f>
        <v/>
      </c>
      <c r="E347">
        <f ca="1" t="shared" si="99"/>
        <v>1</v>
      </c>
      <c r="G347" t="str">
        <f ca="1" t="shared" si="100"/>
        <v/>
      </c>
      <c r="H347" t="str">
        <f ca="1">IF(B347&lt;&gt;"",IF(AND(COUNTIF(B346,"*轻*莺鸣柳*")&gt;0,COUNTIF(B347,"*轻*")&lt;1),MAX(0,15+I346-(A347-A346)+COUNTIF(B346,"*平湖*")*0),IF(AND(E347=0,MAX(0,H346-(A347-A346))&lt;=加速!$H$11),0,MAX(0,H346-(A347-A346)))),"")</f>
        <v/>
      </c>
      <c r="I347" t="str">
        <f ca="1" t="shared" si="107"/>
        <v/>
      </c>
      <c r="J347" t="str">
        <f ca="1" t="shared" si="108"/>
        <v/>
      </c>
      <c r="K347" t="str">
        <f ca="1" t="shared" si="94"/>
        <v/>
      </c>
      <c r="L347">
        <f ca="1">IFERROR(IF(AND(COUNTIF(B347,"*-峰插*"),技能数据库!$M$72&gt;0),0,IF(COUNTIF(B347,"*鹤归*")&gt;0,16-加速!$L$11,MAX(0,L346-(A347-A346)))),0)</f>
        <v>0</v>
      </c>
      <c r="M347">
        <f ca="1" t="shared" si="95"/>
        <v>0</v>
      </c>
      <c r="N347">
        <f ca="1">IFERROR(IF(AND(COUNTIF(B347,"*-峰插*"),技能数据库!$M$72&gt;0),0,IF(COUNTIF(B347,"*云飞*")&gt;0,4-COUNTIF(B347,"*玉山揽云*")*4--COUNTIF(B347,"*烟流暮景*")*4-COUNTIF(B347,"*云景*")*加速!$L$11-IF(J347&gt;0,2,0),MAX(0,N346-(A347-A346)-IF(J347&gt;0,2,0)))),0)</f>
        <v>0</v>
      </c>
      <c r="O347">
        <f ca="1">IF(AND(COUNTIF(IF(AND(配装计算器!$K$30&lt;&gt;"∞",0),INDEX(AU346:CB346,1,$AT$1),INDEX(AU348:CB348,1,$AT$1)),"*云飞*")=1,COUNTIF(IF(AND(配装计算器!$K$30&lt;&gt;"∞",0),INDEX(AU346:CB346,1,$AT$1),INDEX(AU348:CB348,1,$AT$1)),"*玉山*")=0),N347,0)</f>
        <v>0</v>
      </c>
      <c r="P347">
        <f ca="1">IFERROR(IF(COUNTIF(B347,"*云栖松*")&gt;0,50-加速!$L$11,MAX(0,P346-(A347-A346))),0)</f>
        <v>0</v>
      </c>
      <c r="Q347">
        <f ca="1">IF(COUNTIF(IF(AND(配装计算器!$K$30&lt;&gt;"∞",0),INDEX(AU346:CB346,1,$AT$1),INDEX(AU348:CB348,1,$AT$1)),"*云栖松*")=1,P347,0)</f>
        <v>0</v>
      </c>
      <c r="R347">
        <f ca="1">IFERROR(IF(COUNTIF(B347,"*莺鸣柳*")&gt;0,45-加速!$L$9,MAX(0,R346-(A347-A346))),0)</f>
        <v>0</v>
      </c>
      <c r="S347">
        <f ca="1">IF(COUNTIF(IF(AND(配装计算器!$K$30&lt;&gt;"∞",0),INDEX(AU346:CB346,1,$AT$1),INDEX(AU348:CB348,1,$AT$1)),"*莺鸣柳*")=1,R347,0)</f>
        <v>0</v>
      </c>
      <c r="T347">
        <f ca="1" t="shared" si="104"/>
        <v>0</v>
      </c>
      <c r="U347">
        <f ca="1">IF(金蛇,IF(COUNTIF(B347,"*金环戴*")+COUNTIF(B347,"*吹风醒*")&gt;0,IF(A347&lt;=3,7.125-2.625-A347-加速!$L$11,7.125+加速!$K$9-(A347+加速!$L$11-T347)),0),0)+IF(金蛇,IF(COUNTIF(B347,"*千切子裂光*")&gt;0,2+加速!$K$9-(A347+加速!$L$11-T347),0),0)</f>
        <v>0</v>
      </c>
      <c r="V347">
        <f ca="1" t="shared" si="105"/>
        <v>0</v>
      </c>
      <c r="W347">
        <f ca="1" t="shared" si="96"/>
        <v>0</v>
      </c>
      <c r="X347">
        <f ca="1">INDEX(加速!$I$13:$I$21,W347+1)</f>
        <v>0</v>
      </c>
      <c r="Y347">
        <f ca="1" t="shared" si="106"/>
        <v>0.5</v>
      </c>
      <c r="Z347">
        <f ca="1" t="shared" si="101"/>
        <v>0</v>
      </c>
      <c r="AA347">
        <f ca="1">MAX(0,IFERROR(IF(COUNTIF(B347,"*叠*")&gt;0,IF(AC346&lt;3,8-A348+A347,AA346+6.875-A348+A347),AA346-A348+A347),AA346-加速!$L$11))</f>
        <v>0</v>
      </c>
      <c r="AB347" t="e">
        <f ca="1">MAX(0,IF(COUNTIF(IF(AND(配装计算器!$K$30&lt;&gt;"∞",0),INDEX(AU347:CB347,1,$AT$1),INDEX(AU347:CB347,1,$AT$1)),"*叠1*")=1,4*25-加速!$L$11,AB346-A347+A346)-IF(OR(COUNTIF(OFFSET(AT347,0,$AT$1,1,1),"*听雷*")&gt;0,AND(碧归&gt;0,COUNTIF(OFFSET(AT347,0,$AT$1,1,1),"*风来*")&gt;0)),0,1)*1.5)</f>
        <v>#VALUE!</v>
      </c>
      <c r="AC347">
        <f ca="1" t="shared" si="97"/>
        <v>0</v>
      </c>
      <c r="AD347">
        <f ca="1">IF(COUNTIF(IF(AND(配装计算器!$K$30&lt;&gt;"∞",0),INDEX(AU347:CB347,1,$AT$1),INDEX(AU348:CB348,1,$AT$1)),"*叠1*")=1,AB347*0+AE346,0)</f>
        <v>0</v>
      </c>
      <c r="AE347" t="e">
        <f ca="1">IF($AN$11&gt;0,IF(COUNTIF(B348,"*叠1*")&gt;0,50-加速!$L$11,MAX(0,AE346-(A348-A347))),0)</f>
        <v>#VALUE!</v>
      </c>
      <c r="AG347">
        <f ca="1" t="shared" si="98"/>
        <v>10</v>
      </c>
      <c r="AU347" t="s">
        <v>2776</v>
      </c>
      <c r="AV347">
        <v>2</v>
      </c>
      <c r="AW347" s="176" t="s">
        <v>2794</v>
      </c>
      <c r="AX347">
        <v>2</v>
      </c>
      <c r="AY347" t="s">
        <v>2776</v>
      </c>
      <c r="AZ347">
        <v>2</v>
      </c>
      <c r="BA347" t="s">
        <v>2768</v>
      </c>
      <c r="BB347">
        <v>2</v>
      </c>
      <c r="BC347" t="s">
        <v>3018</v>
      </c>
      <c r="BD347">
        <v>2</v>
      </c>
      <c r="BE347" t="s">
        <v>2808</v>
      </c>
      <c r="BF347">
        <v>2</v>
      </c>
      <c r="BG347" s="176" t="s">
        <v>2768</v>
      </c>
      <c r="BH347">
        <v>1</v>
      </c>
      <c r="BI347" t="s">
        <v>3018</v>
      </c>
      <c r="BJ347">
        <v>2</v>
      </c>
      <c r="BK347" s="176" t="s">
        <v>2768</v>
      </c>
      <c r="BL347">
        <v>2</v>
      </c>
      <c r="BM347" s="176" t="s">
        <v>2768</v>
      </c>
      <c r="BN347">
        <v>2</v>
      </c>
      <c r="BO347" s="176" t="s">
        <v>2776</v>
      </c>
      <c r="BP347">
        <v>2</v>
      </c>
      <c r="BQ347" t="s">
        <v>3013</v>
      </c>
      <c r="BR347">
        <v>2</v>
      </c>
      <c r="BS347" t="s">
        <v>2768</v>
      </c>
      <c r="BT347">
        <v>0</v>
      </c>
      <c r="BU347" s="176" t="s">
        <v>2768</v>
      </c>
      <c r="BV347">
        <v>2</v>
      </c>
      <c r="BW347" s="179" t="s">
        <v>2776</v>
      </c>
      <c r="BX347" s="179">
        <v>2</v>
      </c>
      <c r="BY347" s="176" t="s">
        <v>2776</v>
      </c>
      <c r="BZ347">
        <v>2</v>
      </c>
      <c r="CA347" t="str">
        <f>IF(0,"云飞玉皇-玉山揽云","云飞玉皇")</f>
        <v>云飞玉皇</v>
      </c>
      <c r="CB347">
        <v>2</v>
      </c>
    </row>
    <row r="348" spans="1:80">
      <c r="A348" s="178" t="str">
        <f ca="1">IFERROR(IF(AG347&lt;5+金蛇*2,IF(COUNTIF(B347,"*轻*")&gt;0,A347+加速!$L$9,A347+加速!$L$11)+V347,""),"")</f>
        <v/>
      </c>
      <c r="B348" s="167" t="str">
        <f ca="1" t="shared" si="93"/>
        <v/>
      </c>
      <c r="C348" t="str">
        <f ca="1" t="shared" si="103"/>
        <v/>
      </c>
      <c r="D348" t="str">
        <f ca="1">IF(B348&lt;&gt;"",IF(C347&lt;=加速!$L$11*(1-E348),0,1),"")</f>
        <v/>
      </c>
      <c r="E348">
        <f ca="1" t="shared" si="99"/>
        <v>1</v>
      </c>
      <c r="G348" t="str">
        <f ca="1" t="shared" si="100"/>
        <v/>
      </c>
      <c r="H348" t="str">
        <f ca="1">IF(B348&lt;&gt;"",IF(AND(COUNTIF(B347,"*轻*莺鸣柳*")&gt;0,COUNTIF(B348,"*轻*")&lt;1),MAX(0,15+I347-(A348-A347)+COUNTIF(B347,"*平湖*")*0),IF(AND(E348=0,MAX(0,H347-(A348-A347))&lt;=加速!$H$11),0,MAX(0,H347-(A348-A347)))),"")</f>
        <v/>
      </c>
      <c r="I348" t="str">
        <f ca="1" t="shared" si="107"/>
        <v/>
      </c>
      <c r="J348" t="str">
        <f ca="1" t="shared" si="108"/>
        <v/>
      </c>
      <c r="K348" t="str">
        <f ca="1" t="shared" si="94"/>
        <v/>
      </c>
      <c r="L348">
        <f ca="1">IFERROR(IF(AND(COUNTIF(B348,"*-峰插*"),技能数据库!$M$72&gt;0),0,IF(COUNTIF(B348,"*鹤归*")&gt;0,16-加速!$L$11,MAX(0,L347-(A348-A347)))),0)</f>
        <v>0</v>
      </c>
      <c r="M348">
        <f ca="1" t="shared" si="95"/>
        <v>0</v>
      </c>
      <c r="N348">
        <f ca="1">IFERROR(IF(AND(COUNTIF(B348,"*-峰插*"),技能数据库!$M$72&gt;0),0,IF(COUNTIF(B348,"*云飞*")&gt;0,4-COUNTIF(B348,"*玉山揽云*")*4--COUNTIF(B348,"*烟流暮景*")*4-COUNTIF(B348,"*云景*")*加速!$L$11-IF(J348&gt;0,2,0),MAX(0,N347-(A348-A347)-IF(J348&gt;0,2,0)))),0)</f>
        <v>0</v>
      </c>
      <c r="O348">
        <f ca="1">IF(AND(COUNTIF(IF(AND(配装计算器!$K$30&lt;&gt;"∞",0),INDEX(AU347:CB347,1,$AT$1),INDEX(AU349:CB349,1,$AT$1)),"*云飞*")=1,COUNTIF(IF(AND(配装计算器!$K$30&lt;&gt;"∞",0),INDEX(AU347:CB347,1,$AT$1),INDEX(AU349:CB349,1,$AT$1)),"*玉山*")=0),N348,0)</f>
        <v>0</v>
      </c>
      <c r="P348">
        <f ca="1">IFERROR(IF(COUNTIF(B348,"*云栖松*")&gt;0,50-加速!$L$11,MAX(0,P347-(A348-A347))),0)</f>
        <v>0</v>
      </c>
      <c r="Q348">
        <f ca="1">IF(COUNTIF(IF(AND(配装计算器!$K$30&lt;&gt;"∞",0),INDEX(AU347:CB347,1,$AT$1),INDEX(AU349:CB349,1,$AT$1)),"*云栖松*")=1,P348,0)</f>
        <v>0</v>
      </c>
      <c r="R348">
        <f ca="1">IFERROR(IF(COUNTIF(B348,"*莺鸣柳*")&gt;0,45-加速!$L$9,MAX(0,R347-(A348-A347))),0)</f>
        <v>0</v>
      </c>
      <c r="S348">
        <f ca="1">IF(COUNTIF(IF(AND(配装计算器!$K$30&lt;&gt;"∞",0),INDEX(AU347:CB347,1,$AT$1),INDEX(AU349:CB349,1,$AT$1)),"*莺鸣柳*")=1,R348,0)</f>
        <v>0</v>
      </c>
      <c r="T348">
        <f ca="1" t="shared" si="104"/>
        <v>0</v>
      </c>
      <c r="U348">
        <f ca="1">IF(金蛇,IF(COUNTIF(B348,"*金环戴*")+COUNTIF(B348,"*吹风醒*")&gt;0,IF(A348&lt;=3,7.125-2.625-A348-加速!$L$11,7.125+加速!$K$9-(A348+加速!$L$11-T348)),0),0)+IF(金蛇,IF(COUNTIF(B348,"*千切子裂光*")&gt;0,2+加速!$K$9-(A348+加速!$L$11-T348),0),0)</f>
        <v>0</v>
      </c>
      <c r="V348">
        <f ca="1" t="shared" si="105"/>
        <v>0</v>
      </c>
      <c r="W348">
        <f ca="1" t="shared" si="96"/>
        <v>0</v>
      </c>
      <c r="X348">
        <f ca="1">INDEX(加速!$I$13:$I$21,W348+1)</f>
        <v>0</v>
      </c>
      <c r="Y348">
        <f ca="1" t="shared" si="106"/>
        <v>0.5</v>
      </c>
      <c r="Z348">
        <f ca="1" t="shared" si="101"/>
        <v>0</v>
      </c>
      <c r="AA348">
        <f ca="1">MAX(0,IFERROR(IF(COUNTIF(B348,"*叠*")&gt;0,IF(AC347&lt;3,8-A349+A348,AA347+6.875-A349+A348),AA347-A349+A348),AA347-加速!$L$11))</f>
        <v>0</v>
      </c>
      <c r="AB348" t="e">
        <f ca="1">MAX(0,IF(COUNTIF(IF(AND(配装计算器!$K$30&lt;&gt;"∞",0),INDEX(AU348:CB348,1,$AT$1),INDEX(AU348:CB348,1,$AT$1)),"*叠1*")=1,4*25-加速!$L$11,AB347-A348+A347)-IF(OR(COUNTIF(OFFSET(AT348,0,$AT$1,1,1),"*听雷*")&gt;0,AND(碧归&gt;0,COUNTIF(OFFSET(AT348,0,$AT$1,1,1),"*风来*")&gt;0)),0,1)*1.5)</f>
        <v>#VALUE!</v>
      </c>
      <c r="AC348">
        <f ca="1" t="shared" si="97"/>
        <v>0</v>
      </c>
      <c r="AD348">
        <f ca="1">IF(COUNTIF(IF(AND(配装计算器!$K$30&lt;&gt;"∞",0),INDEX(AU348:CB348,1,$AT$1),INDEX(AU349:CB349,1,$AT$1)),"*叠1*")=1,AB348*0+AE347,0)</f>
        <v>0</v>
      </c>
      <c r="AE348" t="e">
        <f ca="1">IF($AN$11&gt;0,IF(COUNTIF(B349,"*叠1*")&gt;0,50-加速!$L$11,MAX(0,AE347-(A349-A348))),0)</f>
        <v>#VALUE!</v>
      </c>
      <c r="AG348">
        <f ca="1" t="shared" si="98"/>
        <v>10</v>
      </c>
      <c r="AU348" t="s">
        <v>2768</v>
      </c>
      <c r="AV348">
        <v>2</v>
      </c>
      <c r="AW348" s="176" t="s">
        <v>2776</v>
      </c>
      <c r="AX348">
        <v>2</v>
      </c>
      <c r="AY348" t="s">
        <v>2794</v>
      </c>
      <c r="AZ348">
        <v>2</v>
      </c>
      <c r="BA348" t="s">
        <v>2776</v>
      </c>
      <c r="BB348">
        <v>2</v>
      </c>
      <c r="BC348" t="s">
        <v>2768</v>
      </c>
      <c r="BD348">
        <v>2</v>
      </c>
      <c r="BE348" t="s">
        <v>2768</v>
      </c>
      <c r="BF348">
        <v>2</v>
      </c>
      <c r="BG348" t="s">
        <v>3055</v>
      </c>
      <c r="BH348">
        <v>0</v>
      </c>
      <c r="BI348" t="s">
        <v>2768</v>
      </c>
      <c r="BJ348">
        <v>2</v>
      </c>
      <c r="BK348" s="176" t="s">
        <v>2776</v>
      </c>
      <c r="BL348">
        <v>2</v>
      </c>
      <c r="BM348" s="176" t="s">
        <v>2808</v>
      </c>
      <c r="BN348">
        <v>2</v>
      </c>
      <c r="BO348" s="176" t="s">
        <v>2768</v>
      </c>
      <c r="BP348">
        <v>2</v>
      </c>
      <c r="BQ348" t="s">
        <v>2808</v>
      </c>
      <c r="BR348">
        <v>2</v>
      </c>
      <c r="BS348" t="s">
        <v>3012</v>
      </c>
      <c r="BT348">
        <v>2</v>
      </c>
      <c r="BU348" s="176" t="s">
        <v>2776</v>
      </c>
      <c r="BV348">
        <v>2</v>
      </c>
      <c r="BW348" s="179" t="s">
        <v>2768</v>
      </c>
      <c r="BX348" s="179">
        <v>2</v>
      </c>
      <c r="BY348" s="176" t="s">
        <v>2768</v>
      </c>
      <c r="BZ348">
        <v>2</v>
      </c>
      <c r="CA348" s="180" t="str">
        <f>IF(0,"云飞玉皇-玉山揽云","夕照雷峰")</f>
        <v>夕照雷峰</v>
      </c>
      <c r="CB348">
        <v>2</v>
      </c>
    </row>
    <row r="349" spans="1:80">
      <c r="A349" s="178" t="str">
        <f ca="1">IFERROR(IF(AG348&lt;5+金蛇*2,IF(COUNTIF(B348,"*轻*")&gt;0,A348+加速!$L$9,A348+加速!$L$11)+V348,""),"")</f>
        <v/>
      </c>
      <c r="B349" s="167" t="str">
        <f ca="1" t="shared" si="93"/>
        <v/>
      </c>
      <c r="C349" t="str">
        <f ca="1" t="shared" si="103"/>
        <v/>
      </c>
      <c r="D349" t="str">
        <f ca="1">IF(B349&lt;&gt;"",IF(C348&lt;=加速!$L$11*(1-E349),0,1),"")</f>
        <v/>
      </c>
      <c r="E349">
        <f ca="1" t="shared" si="99"/>
        <v>1</v>
      </c>
      <c r="G349" t="str">
        <f ca="1" t="shared" si="100"/>
        <v/>
      </c>
      <c r="H349" t="str">
        <f ca="1">IF(B349&lt;&gt;"",IF(AND(COUNTIF(B348,"*轻*莺鸣柳*")&gt;0,COUNTIF(B349,"*轻*")&lt;1),MAX(0,15+I348-(A349-A348)+COUNTIF(B348,"*平湖*")*0),IF(AND(E349=0,MAX(0,H348-(A349-A348))&lt;=加速!$H$11),0,MAX(0,H348-(A349-A348)))),"")</f>
        <v/>
      </c>
      <c r="I349" t="str">
        <f ca="1" t="shared" si="107"/>
        <v/>
      </c>
      <c r="J349" t="str">
        <f ca="1" t="shared" si="108"/>
        <v/>
      </c>
      <c r="K349" t="str">
        <f ca="1" t="shared" si="94"/>
        <v/>
      </c>
      <c r="L349">
        <f ca="1">IFERROR(IF(AND(COUNTIF(B349,"*-峰插*"),技能数据库!$M$72&gt;0),0,IF(COUNTIF(B349,"*鹤归*")&gt;0,16-加速!$L$11,MAX(0,L348-(A349-A348)))),0)</f>
        <v>0</v>
      </c>
      <c r="M349">
        <f ca="1" t="shared" si="95"/>
        <v>0</v>
      </c>
      <c r="N349">
        <f ca="1">IFERROR(IF(AND(COUNTIF(B349,"*-峰插*"),技能数据库!$M$72&gt;0),0,IF(COUNTIF(B349,"*云飞*")&gt;0,4-COUNTIF(B349,"*玉山揽云*")*4--COUNTIF(B349,"*烟流暮景*")*4-COUNTIF(B349,"*云景*")*加速!$L$11-IF(J349&gt;0,2,0),MAX(0,N348-(A349-A348)-IF(J349&gt;0,2,0)))),0)</f>
        <v>0</v>
      </c>
      <c r="O349">
        <f ca="1">IF(AND(COUNTIF(IF(AND(配装计算器!$K$30&lt;&gt;"∞",0),INDEX(AU348:CB348,1,$AT$1),INDEX(AU350:CB350,1,$AT$1)),"*云飞*")=1,COUNTIF(IF(AND(配装计算器!$K$30&lt;&gt;"∞",0),INDEX(AU348:CB348,1,$AT$1),INDEX(AU350:CB350,1,$AT$1)),"*玉山*")=0),N349,0)</f>
        <v>0</v>
      </c>
      <c r="P349">
        <f ca="1">IFERROR(IF(COUNTIF(B349,"*云栖松*")&gt;0,50-加速!$L$11,MAX(0,P348-(A349-A348))),0)</f>
        <v>0</v>
      </c>
      <c r="Q349">
        <f ca="1">IF(COUNTIF(IF(AND(配装计算器!$K$30&lt;&gt;"∞",0),INDEX(AU348:CB348,1,$AT$1),INDEX(AU350:CB350,1,$AT$1)),"*云栖松*")=1,P349,0)</f>
        <v>0</v>
      </c>
      <c r="R349">
        <f ca="1">IFERROR(IF(COUNTIF(B349,"*莺鸣柳*")&gt;0,45-加速!$L$9,MAX(0,R348-(A349-A348))),0)</f>
        <v>0</v>
      </c>
      <c r="S349">
        <f ca="1">IF(COUNTIF(IF(AND(配装计算器!$K$30&lt;&gt;"∞",0),INDEX(AU348:CB348,1,$AT$1),INDEX(AU350:CB350,1,$AT$1)),"*莺鸣柳*")=1,R349,0)</f>
        <v>0</v>
      </c>
      <c r="T349">
        <f ca="1" t="shared" si="104"/>
        <v>0</v>
      </c>
      <c r="U349">
        <f ca="1">IF(金蛇,IF(COUNTIF(B349,"*金环戴*")+COUNTIF(B349,"*吹风醒*")&gt;0,IF(A349&lt;=3,7.125-2.625-A349-加速!$L$11,7.125+加速!$K$9-(A349+加速!$L$11-T349)),0),0)+IF(金蛇,IF(COUNTIF(B349,"*千切子裂光*")&gt;0,2+加速!$K$9-(A349+加速!$L$11-T349),0),0)</f>
        <v>0</v>
      </c>
      <c r="V349">
        <f ca="1" t="shared" si="105"/>
        <v>0</v>
      </c>
      <c r="W349">
        <f ca="1" t="shared" si="96"/>
        <v>0</v>
      </c>
      <c r="X349">
        <f ca="1">INDEX(加速!$I$13:$I$21,W349+1)</f>
        <v>0</v>
      </c>
      <c r="Y349">
        <f ca="1" t="shared" si="106"/>
        <v>0.5</v>
      </c>
      <c r="Z349">
        <f ca="1" t="shared" si="101"/>
        <v>0</v>
      </c>
      <c r="AA349">
        <f ca="1">MAX(0,IFERROR(IF(COUNTIF(B349,"*叠*")&gt;0,IF(AC348&lt;3,8-A350+A349,AA348+6.875-A350+A349),AA348-A350+A349),AA348-加速!$L$11))</f>
        <v>0</v>
      </c>
      <c r="AB349" t="e">
        <f ca="1">MAX(0,IF(COUNTIF(IF(AND(配装计算器!$K$30&lt;&gt;"∞",0),INDEX(AU349:CB349,1,$AT$1),INDEX(AU349:CB349,1,$AT$1)),"*叠1*")=1,4*25-加速!$L$11,AB348-A349+A348)-IF(OR(COUNTIF(OFFSET(AT349,0,$AT$1,1,1),"*听雷*")&gt;0,AND(碧归&gt;0,COUNTIF(OFFSET(AT349,0,$AT$1,1,1),"*风来*")&gt;0)),0,1)*1.5)</f>
        <v>#VALUE!</v>
      </c>
      <c r="AC349">
        <f ca="1" t="shared" si="97"/>
        <v>0</v>
      </c>
      <c r="AD349">
        <f ca="1">IF(COUNTIF(IF(AND(配装计算器!$K$30&lt;&gt;"∞",0),INDEX(AU349:CB349,1,$AT$1),INDEX(AU350:CB350,1,$AT$1)),"*叠1*")=1,AB349*0+AE348,0)</f>
        <v>0</v>
      </c>
      <c r="AE349" t="e">
        <f ca="1">IF($AN$11&gt;0,IF(COUNTIF(B350,"*叠1*")&gt;0,50-加速!$L$11,MAX(0,AE348-(A350-A349))),0)</f>
        <v>#VALUE!</v>
      </c>
      <c r="AG349">
        <f ca="1" t="shared" si="98"/>
        <v>10</v>
      </c>
      <c r="AU349" t="s">
        <v>2768</v>
      </c>
      <c r="AV349">
        <v>2</v>
      </c>
      <c r="AW349" s="176" t="s">
        <v>2768</v>
      </c>
      <c r="AX349">
        <v>2</v>
      </c>
      <c r="AY349" t="s">
        <v>2768</v>
      </c>
      <c r="AZ349">
        <v>2</v>
      </c>
      <c r="BA349" t="s">
        <v>2768</v>
      </c>
      <c r="BB349">
        <v>2</v>
      </c>
      <c r="BC349" t="s">
        <v>3023</v>
      </c>
      <c r="BD349">
        <v>2</v>
      </c>
      <c r="BE349" t="s">
        <v>2768</v>
      </c>
      <c r="BF349">
        <v>2</v>
      </c>
      <c r="BG349" t="s">
        <v>2776</v>
      </c>
      <c r="BH349">
        <v>2</v>
      </c>
      <c r="BI349" s="182" t="s">
        <v>3023</v>
      </c>
      <c r="BJ349">
        <v>2</v>
      </c>
      <c r="BK349" t="s">
        <v>2768</v>
      </c>
      <c r="BL349">
        <v>1</v>
      </c>
      <c r="BM349" t="str">
        <f>IF(0,"云飞玉皇-玉山揽云","夕照雷峰")</f>
        <v>夕照雷峰</v>
      </c>
      <c r="BN349">
        <v>2</v>
      </c>
      <c r="BO349" s="176" t="s">
        <v>2776</v>
      </c>
      <c r="BP349">
        <v>2</v>
      </c>
      <c r="BQ349" t="s">
        <v>2768</v>
      </c>
      <c r="BR349">
        <v>2</v>
      </c>
      <c r="BS349" s="179" t="s">
        <v>2794</v>
      </c>
      <c r="BT349">
        <v>2</v>
      </c>
      <c r="BU349" t="s">
        <v>2768</v>
      </c>
      <c r="BV349">
        <v>1</v>
      </c>
      <c r="BW349" s="179" t="s">
        <v>2768</v>
      </c>
      <c r="BX349" s="179">
        <v>2</v>
      </c>
      <c r="BY349" s="176" t="s">
        <v>2808</v>
      </c>
      <c r="BZ349">
        <v>2</v>
      </c>
      <c r="CA349" s="176" t="str">
        <f>IF(秋,"夕照雷峰","千切子寒光")</f>
        <v>千切子寒光</v>
      </c>
      <c r="CB349">
        <v>2</v>
      </c>
    </row>
    <row r="350" spans="1:80">
      <c r="A350" s="178" t="str">
        <f ca="1">IFERROR(IF(AG349&lt;5+金蛇*2,IF(COUNTIF(B349,"*轻*")&gt;0,A349+加速!$L$9,A349+加速!$L$11)+V349,""),"")</f>
        <v/>
      </c>
      <c r="B350" s="167" t="str">
        <f ca="1" t="shared" si="93"/>
        <v/>
      </c>
      <c r="C350" t="str">
        <f ca="1" t="shared" si="103"/>
        <v/>
      </c>
      <c r="D350" t="str">
        <f ca="1">IF(B350&lt;&gt;"",IF(C349&lt;=加速!$L$11*(1-E350),0,1),"")</f>
        <v/>
      </c>
      <c r="E350">
        <f ca="1" t="shared" si="99"/>
        <v>1</v>
      </c>
      <c r="G350" t="str">
        <f ca="1" t="shared" si="100"/>
        <v/>
      </c>
      <c r="H350" t="str">
        <f ca="1">IF(B350&lt;&gt;"",IF(AND(COUNTIF(B349,"*轻*莺鸣柳*")&gt;0,COUNTIF(B350,"*轻*")&lt;1),MAX(0,15+I349-(A350-A349)+COUNTIF(B349,"*平湖*")*0),IF(AND(E350=0,MAX(0,H349-(A350-A349))&lt;=加速!$H$11),0,MAX(0,H349-(A350-A349)))),"")</f>
        <v/>
      </c>
      <c r="I350" t="str">
        <f ca="1" t="shared" si="107"/>
        <v/>
      </c>
      <c r="J350" t="str">
        <f ca="1" t="shared" si="108"/>
        <v/>
      </c>
      <c r="K350" t="str">
        <f ca="1" t="shared" si="94"/>
        <v/>
      </c>
      <c r="L350">
        <f ca="1">IFERROR(IF(AND(COUNTIF(B350,"*-峰插*"),技能数据库!$M$72&gt;0),0,IF(COUNTIF(B350,"*鹤归*")&gt;0,16-加速!$L$11,MAX(0,L349-(A350-A349)))),0)</f>
        <v>0</v>
      </c>
      <c r="M350">
        <f ca="1" t="shared" si="95"/>
        <v>0</v>
      </c>
      <c r="N350">
        <f ca="1">IFERROR(IF(AND(COUNTIF(B350,"*-峰插*"),技能数据库!$M$72&gt;0),0,IF(COUNTIF(B350,"*云飞*")&gt;0,4-COUNTIF(B350,"*玉山揽云*")*4--COUNTIF(B350,"*烟流暮景*")*4-COUNTIF(B350,"*云景*")*加速!$L$11-IF(J350&gt;0,2,0),MAX(0,N349-(A350-A349)-IF(J350&gt;0,2,0)))),0)</f>
        <v>0</v>
      </c>
      <c r="O350">
        <f ca="1">IF(AND(COUNTIF(IF(AND(配装计算器!$K$30&lt;&gt;"∞",0),INDEX(AU349:CB349,1,$AT$1),INDEX(AU351:CB351,1,$AT$1)),"*云飞*")=1,COUNTIF(IF(AND(配装计算器!$K$30&lt;&gt;"∞",0),INDEX(AU349:CB349,1,$AT$1),INDEX(AU351:CB351,1,$AT$1)),"*玉山*")=0),N350,0)</f>
        <v>0</v>
      </c>
      <c r="P350">
        <f ca="1">IFERROR(IF(COUNTIF(B350,"*云栖松*")&gt;0,50-加速!$L$11,MAX(0,P349-(A350-A349))),0)</f>
        <v>0</v>
      </c>
      <c r="Q350">
        <f ca="1">IF(COUNTIF(IF(AND(配装计算器!$K$30&lt;&gt;"∞",0),INDEX(AU349:CB349,1,$AT$1),INDEX(AU351:CB351,1,$AT$1)),"*云栖松*")=1,P350,0)</f>
        <v>0</v>
      </c>
      <c r="R350">
        <f ca="1">IFERROR(IF(COUNTIF(B350,"*莺鸣柳*")&gt;0,45-加速!$L$9,MAX(0,R349-(A350-A349))),0)</f>
        <v>0</v>
      </c>
      <c r="S350">
        <f ca="1">IF(COUNTIF(IF(AND(配装计算器!$K$30&lt;&gt;"∞",0),INDEX(AU349:CB349,1,$AT$1),INDEX(AU351:CB351,1,$AT$1)),"*莺鸣柳*")=1,R350,0)</f>
        <v>0</v>
      </c>
      <c r="T350">
        <f ca="1" t="shared" si="104"/>
        <v>0</v>
      </c>
      <c r="U350">
        <f ca="1">IF(金蛇,IF(COUNTIF(B350,"*金环戴*")+COUNTIF(B350,"*吹风醒*")&gt;0,IF(A350&lt;=3,7.125-2.625-A350-加速!$L$11,7.125+加速!$K$9-(A350+加速!$L$11-T350)),0),0)+IF(金蛇,IF(COUNTIF(B350,"*千切子裂光*")&gt;0,2+加速!$K$9-(A350+加速!$L$11-T350),0),0)</f>
        <v>0</v>
      </c>
      <c r="V350">
        <f ca="1" t="shared" si="105"/>
        <v>0</v>
      </c>
      <c r="W350">
        <f ca="1" t="shared" si="96"/>
        <v>0</v>
      </c>
      <c r="X350">
        <f ca="1">INDEX(加速!$I$13:$I$21,W350+1)</f>
        <v>0</v>
      </c>
      <c r="Y350">
        <f ca="1" t="shared" si="106"/>
        <v>0.5</v>
      </c>
      <c r="Z350">
        <f ca="1" t="shared" si="101"/>
        <v>0</v>
      </c>
      <c r="AA350">
        <f ca="1">MAX(0,IFERROR(IF(COUNTIF(B350,"*叠*")&gt;0,IF(AC349&lt;3,8-A351+A350,AA349+6.875-A351+A350),AA349-A351+A350),AA349-加速!$L$11))</f>
        <v>0</v>
      </c>
      <c r="AB350" t="e">
        <f ca="1">MAX(0,IF(COUNTIF(IF(AND(配装计算器!$K$30&lt;&gt;"∞",0),INDEX(AU350:CB350,1,$AT$1),INDEX(AU350:CB350,1,$AT$1)),"*叠1*")=1,4*25-加速!$L$11,AB349-A350+A349)-IF(OR(COUNTIF(OFFSET(AT350,0,$AT$1,1,1),"*听雷*")&gt;0,AND(碧归&gt;0,COUNTIF(OFFSET(AT350,0,$AT$1,1,1),"*风来*")&gt;0)),0,1)*1.5)</f>
        <v>#VALUE!</v>
      </c>
      <c r="AC350">
        <f ca="1" t="shared" si="97"/>
        <v>0</v>
      </c>
      <c r="AD350">
        <f ca="1">IF(COUNTIF(IF(AND(配装计算器!$K$30&lt;&gt;"∞",0),INDEX(AU350:CB350,1,$AT$1),INDEX(AU351:CB351,1,$AT$1)),"*叠1*")=1,AB350*0+AE349,0)</f>
        <v>0</v>
      </c>
      <c r="AE350" t="e">
        <f ca="1">IF($AN$11&gt;0,IF(COUNTIF(B351,"*叠1*")&gt;0,50-加速!$L$11,MAX(0,AE349-(A351-A350))),0)</f>
        <v>#VALUE!</v>
      </c>
      <c r="AG350">
        <f ca="1" t="shared" si="98"/>
        <v>10</v>
      </c>
      <c r="AU350" s="176" t="s">
        <v>2794</v>
      </c>
      <c r="AV350">
        <v>2</v>
      </c>
      <c r="AW350" s="176" t="s">
        <v>2776</v>
      </c>
      <c r="AX350">
        <v>2</v>
      </c>
      <c r="AY350" t="s">
        <v>2776</v>
      </c>
      <c r="AZ350">
        <v>2</v>
      </c>
      <c r="BA350" t="s">
        <v>2776</v>
      </c>
      <c r="BB350">
        <v>2</v>
      </c>
      <c r="BC350" t="s">
        <v>2768</v>
      </c>
      <c r="BD350">
        <v>2</v>
      </c>
      <c r="BE350" t="s">
        <v>2768</v>
      </c>
      <c r="BF350">
        <v>2</v>
      </c>
      <c r="BG350" t="s">
        <v>2768</v>
      </c>
      <c r="BH350">
        <v>2</v>
      </c>
      <c r="BI350" s="176" t="s">
        <v>3026</v>
      </c>
      <c r="BJ350">
        <v>2</v>
      </c>
      <c r="BK350" t="s">
        <v>2776</v>
      </c>
      <c r="BL350">
        <v>1</v>
      </c>
      <c r="BM350" t="str">
        <f>IF(0,"云飞玉皇-玉山揽云","云飞玉皇")</f>
        <v>云飞玉皇</v>
      </c>
      <c r="BN350">
        <v>2</v>
      </c>
      <c r="BO350" s="176" t="s">
        <v>2768</v>
      </c>
      <c r="BP350">
        <v>2</v>
      </c>
      <c r="BQ350" t="s">
        <v>2768</v>
      </c>
      <c r="BR350">
        <v>2</v>
      </c>
      <c r="BS350" s="179" t="s">
        <v>3019</v>
      </c>
      <c r="BT350">
        <v>2</v>
      </c>
      <c r="BU350" s="176" t="s">
        <v>2768</v>
      </c>
      <c r="BV350">
        <v>1</v>
      </c>
      <c r="BW350" s="179" t="s">
        <v>3021</v>
      </c>
      <c r="BX350" s="179">
        <v>2</v>
      </c>
      <c r="BY350" t="str">
        <f>IF(0,"云飞玉皇-玉山揽云","夕照雷峰")</f>
        <v>夕照雷峰</v>
      </c>
      <c r="BZ350">
        <v>2</v>
      </c>
      <c r="CA350" s="176" t="str">
        <f>IF(秋,"夕照雷峰","千切子裂光")</f>
        <v>千切子裂光</v>
      </c>
      <c r="CB350">
        <v>2</v>
      </c>
    </row>
    <row r="351" spans="1:80">
      <c r="A351" s="178" t="str">
        <f ca="1">IFERROR(IF(AG350&lt;5+金蛇*2,IF(COUNTIF(B350,"*轻*")&gt;0,A350+加速!$L$9,A350+加速!$L$11)+V350,""),"")</f>
        <v/>
      </c>
      <c r="B351" s="167" t="str">
        <f ca="1" t="shared" si="93"/>
        <v/>
      </c>
      <c r="C351" t="str">
        <f ca="1" t="shared" si="103"/>
        <v/>
      </c>
      <c r="D351" t="str">
        <f ca="1">IF(B351&lt;&gt;"",IF(C350&lt;=加速!$L$11*(1-E351),0,1),"")</f>
        <v/>
      </c>
      <c r="E351">
        <f ca="1" t="shared" si="99"/>
        <v>1</v>
      </c>
      <c r="G351" t="str">
        <f ca="1" t="shared" si="100"/>
        <v/>
      </c>
      <c r="H351" t="str">
        <f ca="1">IF(B351&lt;&gt;"",IF(AND(COUNTIF(B350,"*轻*莺鸣柳*")&gt;0,COUNTIF(B351,"*轻*")&lt;1),MAX(0,15+I350-(A351-A350)+COUNTIF(B350,"*平湖*")*0),IF(AND(E351=0,MAX(0,H350-(A351-A350))&lt;=加速!$H$11),0,MAX(0,H350-(A351-A350)))),"")</f>
        <v/>
      </c>
      <c r="I351" t="str">
        <f ca="1" t="shared" si="107"/>
        <v/>
      </c>
      <c r="J351" t="str">
        <f ca="1" t="shared" si="108"/>
        <v/>
      </c>
      <c r="K351" t="str">
        <f ca="1" t="shared" si="94"/>
        <v/>
      </c>
      <c r="L351">
        <f ca="1">IFERROR(IF(AND(COUNTIF(B351,"*-峰插*"),技能数据库!$M$72&gt;0),0,IF(COUNTIF(B351,"*鹤归*")&gt;0,16-加速!$L$11,MAX(0,L350-(A351-A350)))),0)</f>
        <v>0</v>
      </c>
      <c r="M351">
        <f ca="1" t="shared" si="95"/>
        <v>0</v>
      </c>
      <c r="N351">
        <f ca="1">IFERROR(IF(AND(COUNTIF(B351,"*-峰插*"),技能数据库!$M$72&gt;0),0,IF(COUNTIF(B351,"*云飞*")&gt;0,4-COUNTIF(B351,"*玉山揽云*")*4--COUNTIF(B351,"*烟流暮景*")*4-COUNTIF(B351,"*云景*")*加速!$L$11-IF(J351&gt;0,2,0),MAX(0,N350-(A351-A350)-IF(J351&gt;0,2,0)))),0)</f>
        <v>0</v>
      </c>
      <c r="O351">
        <f ca="1">IF(AND(COUNTIF(IF(AND(配装计算器!$K$30&lt;&gt;"∞",0),INDEX(AU350:CB350,1,$AT$1),INDEX(AU352:CB352,1,$AT$1)),"*云飞*")=1,COUNTIF(IF(AND(配装计算器!$K$30&lt;&gt;"∞",0),INDEX(AU350:CB350,1,$AT$1),INDEX(AU352:CB352,1,$AT$1)),"*玉山*")=0),N351,0)</f>
        <v>0</v>
      </c>
      <c r="P351">
        <f ca="1">IFERROR(IF(COUNTIF(B351,"*云栖松*")&gt;0,50-加速!$L$11,MAX(0,P350-(A351-A350))),0)</f>
        <v>0</v>
      </c>
      <c r="Q351">
        <f ca="1">IF(COUNTIF(IF(AND(配装计算器!$K$30&lt;&gt;"∞",0),INDEX(AU350:CB350,1,$AT$1),INDEX(AU352:CB352,1,$AT$1)),"*云栖松*")=1,P351,0)</f>
        <v>0</v>
      </c>
      <c r="R351">
        <f ca="1">IFERROR(IF(COUNTIF(B351,"*莺鸣柳*")&gt;0,45-加速!$L$9,MAX(0,R350-(A351-A350))),0)</f>
        <v>0</v>
      </c>
      <c r="S351">
        <f ca="1">IF(COUNTIF(IF(AND(配装计算器!$K$30&lt;&gt;"∞",0),INDEX(AU350:CB350,1,$AT$1),INDEX(AU352:CB352,1,$AT$1)),"*莺鸣柳*")=1,R351,0)</f>
        <v>0</v>
      </c>
      <c r="T351">
        <f ca="1" t="shared" si="104"/>
        <v>0</v>
      </c>
      <c r="U351">
        <f ca="1">IF(金蛇,IF(COUNTIF(B351,"*金环戴*")+COUNTIF(B351,"*吹风醒*")&gt;0,IF(A351&lt;=3,7.125-2.625-A351-加速!$L$11,7.125+加速!$K$9-(A351+加速!$L$11-T351)),0),0)+IF(金蛇,IF(COUNTIF(B351,"*千切子裂光*")&gt;0,2+加速!$K$9-(A351+加速!$L$11-T351),0),0)</f>
        <v>0</v>
      </c>
      <c r="V351">
        <f ca="1" t="shared" si="105"/>
        <v>0</v>
      </c>
      <c r="W351">
        <f ca="1" t="shared" si="96"/>
        <v>0</v>
      </c>
      <c r="X351">
        <f ca="1">INDEX(加速!$I$13:$I$21,W351+1)</f>
        <v>0</v>
      </c>
      <c r="Y351">
        <f ca="1" t="shared" si="106"/>
        <v>0.5</v>
      </c>
      <c r="Z351">
        <f ca="1" t="shared" si="101"/>
        <v>0</v>
      </c>
      <c r="AA351">
        <f ca="1">MAX(0,IFERROR(IF(COUNTIF(B351,"*叠*")&gt;0,IF(AC350&lt;3,8-A352+A351,AA350+6.875-A352+A351),AA350-A352+A351),AA350-加速!$L$11))</f>
        <v>0</v>
      </c>
      <c r="AB351" t="e">
        <f ca="1">MAX(0,IF(COUNTIF(IF(AND(配装计算器!$K$30&lt;&gt;"∞",0),INDEX(AU351:CB351,1,$AT$1),INDEX(AU351:CB351,1,$AT$1)),"*叠1*")=1,4*25-加速!$L$11,AB350-A351+A350)-IF(OR(COUNTIF(OFFSET(AT351,0,$AT$1,1,1),"*听雷*")&gt;0,AND(碧归&gt;0,COUNTIF(OFFSET(AT351,0,$AT$1,1,1),"*风来*")&gt;0)),0,1)*1.5)</f>
        <v>#VALUE!</v>
      </c>
      <c r="AC351">
        <f ca="1" t="shared" si="97"/>
        <v>0</v>
      </c>
      <c r="AD351">
        <f ca="1">IF(COUNTIF(IF(AND(配装计算器!$K$30&lt;&gt;"∞",0),INDEX(AU351:CB351,1,$AT$1),INDEX(AU352:CB352,1,$AT$1)),"*叠1*")=1,AB351*0+AE350,0)</f>
        <v>0</v>
      </c>
      <c r="AE351" t="e">
        <f ca="1">IF($AN$11&gt;0,IF(COUNTIF(B352,"*叠1*")&gt;0,50-加速!$L$11,MAX(0,AE350-(A352-A351))),0)</f>
        <v>#VALUE!</v>
      </c>
      <c r="AG351">
        <f ca="1" t="shared" si="98"/>
        <v>10</v>
      </c>
      <c r="AU351" s="176" t="s">
        <v>2776</v>
      </c>
      <c r="AV351">
        <v>2</v>
      </c>
      <c r="AW351" s="176" t="s">
        <v>2768</v>
      </c>
      <c r="AX351">
        <v>2</v>
      </c>
      <c r="AY351" t="s">
        <v>2768</v>
      </c>
      <c r="AZ351">
        <v>2</v>
      </c>
      <c r="BA351" t="s">
        <v>2768</v>
      </c>
      <c r="BB351">
        <v>2</v>
      </c>
      <c r="BC351" t="s">
        <v>2776</v>
      </c>
      <c r="BD351">
        <v>2</v>
      </c>
      <c r="BE351" t="s">
        <v>2776</v>
      </c>
      <c r="BF351">
        <v>2</v>
      </c>
      <c r="BG351" t="s">
        <v>2776</v>
      </c>
      <c r="BH351">
        <v>2</v>
      </c>
      <c r="BI351" s="176" t="s">
        <v>3026</v>
      </c>
      <c r="BJ351">
        <v>2</v>
      </c>
      <c r="BK351" t="s">
        <v>2768</v>
      </c>
      <c r="BL351">
        <v>0</v>
      </c>
      <c r="BM351" s="176" t="str">
        <f>IF(秋,"夕照雷峰","千切子寒光")</f>
        <v>千切子寒光</v>
      </c>
      <c r="BN351">
        <v>2</v>
      </c>
      <c r="BO351" t="s">
        <v>3056</v>
      </c>
      <c r="BP351">
        <v>1</v>
      </c>
      <c r="BQ351" t="s">
        <v>2776</v>
      </c>
      <c r="BR351">
        <v>1</v>
      </c>
      <c r="BS351" s="179" t="s">
        <v>2768</v>
      </c>
      <c r="BT351">
        <v>2</v>
      </c>
      <c r="BU351" t="s">
        <v>3055</v>
      </c>
      <c r="BV351">
        <v>0</v>
      </c>
      <c r="BW351" s="179" t="s">
        <v>2722</v>
      </c>
      <c r="BX351" s="179">
        <v>2</v>
      </c>
      <c r="BY351" t="str">
        <f>IF(0,"云飞玉皇-玉山揽云","云飞玉皇")</f>
        <v>云飞玉皇</v>
      </c>
      <c r="BZ351">
        <v>2</v>
      </c>
      <c r="CA351" t="str">
        <f>IF(0,"云飞玉皇-玉山揽云","云飞玉皇")</f>
        <v>云飞玉皇</v>
      </c>
      <c r="CB351">
        <v>2</v>
      </c>
    </row>
    <row r="352" spans="1:80">
      <c r="A352" s="178" t="str">
        <f ca="1">IFERROR(IF(AG351&lt;5+金蛇*2,IF(COUNTIF(B351,"*轻*")&gt;0,A351+加速!$L$9,A351+加速!$L$11)+V351,""),"")</f>
        <v/>
      </c>
      <c r="B352" s="167" t="str">
        <f ca="1" t="shared" si="93"/>
        <v/>
      </c>
      <c r="C352" t="str">
        <f ca="1" t="shared" si="103"/>
        <v/>
      </c>
      <c r="D352" t="str">
        <f ca="1">IF(B352&lt;&gt;"",IF(C351&lt;=加速!$L$11*(1-E352),0,1),"")</f>
        <v/>
      </c>
      <c r="E352">
        <f ca="1" t="shared" si="99"/>
        <v>1</v>
      </c>
      <c r="G352" t="str">
        <f ca="1" t="shared" si="100"/>
        <v/>
      </c>
      <c r="H352" t="str">
        <f ca="1">IF(B352&lt;&gt;"",IF(AND(COUNTIF(B351,"*轻*莺鸣柳*")&gt;0,COUNTIF(B352,"*轻*")&lt;1),MAX(0,15+I351-(A352-A351)+COUNTIF(B351,"*平湖*")*0),IF(AND(E352=0,MAX(0,H351-(A352-A351))&lt;=加速!$H$11),0,MAX(0,H351-(A352-A351)))),"")</f>
        <v/>
      </c>
      <c r="I352" t="str">
        <f ca="1" t="shared" si="107"/>
        <v/>
      </c>
      <c r="J352" t="str">
        <f ca="1" t="shared" si="108"/>
        <v/>
      </c>
      <c r="K352" t="str">
        <f ca="1" t="shared" si="94"/>
        <v/>
      </c>
      <c r="L352">
        <f ca="1">IFERROR(IF(AND(COUNTIF(B352,"*-峰插*"),技能数据库!$M$72&gt;0),0,IF(COUNTIF(B352,"*鹤归*")&gt;0,16-加速!$L$11,MAX(0,L351-(A352-A351)))),0)</f>
        <v>0</v>
      </c>
      <c r="M352">
        <f ca="1" t="shared" si="95"/>
        <v>0</v>
      </c>
      <c r="N352">
        <f ca="1">IFERROR(IF(AND(COUNTIF(B352,"*-峰插*"),技能数据库!$M$72&gt;0),0,IF(COUNTIF(B352,"*云飞*")&gt;0,4-COUNTIF(B352,"*玉山揽云*")*4--COUNTIF(B352,"*烟流暮景*")*4-COUNTIF(B352,"*云景*")*加速!$L$11-IF(J352&gt;0,2,0),MAX(0,N351-(A352-A351)-IF(J352&gt;0,2,0)))),0)</f>
        <v>0</v>
      </c>
      <c r="O352">
        <f ca="1">IF(AND(COUNTIF(IF(AND(配装计算器!$K$30&lt;&gt;"∞",0),INDEX(AU351:CB351,1,$AT$1),INDEX(AU353:CB353,1,$AT$1)),"*云飞*")=1,COUNTIF(IF(AND(配装计算器!$K$30&lt;&gt;"∞",0),INDEX(AU351:CB351,1,$AT$1),INDEX(AU353:CB353,1,$AT$1)),"*玉山*")=0),N352,0)</f>
        <v>0</v>
      </c>
      <c r="P352">
        <f ca="1">IFERROR(IF(COUNTIF(B352,"*云栖松*")&gt;0,50-加速!$L$11,MAX(0,P351-(A352-A351))),0)</f>
        <v>0</v>
      </c>
      <c r="Q352">
        <f ca="1">IF(COUNTIF(IF(AND(配装计算器!$K$30&lt;&gt;"∞",0),INDEX(AU351:CB351,1,$AT$1),INDEX(AU353:CB353,1,$AT$1)),"*云栖松*")=1,P352,0)</f>
        <v>0</v>
      </c>
      <c r="R352">
        <f ca="1">IFERROR(IF(COUNTIF(B352,"*莺鸣柳*")&gt;0,45-加速!$L$9,MAX(0,R351-(A352-A351))),0)</f>
        <v>0</v>
      </c>
      <c r="S352">
        <f ca="1">IF(COUNTIF(IF(AND(配装计算器!$K$30&lt;&gt;"∞",0),INDEX(AU351:CB351,1,$AT$1),INDEX(AU353:CB353,1,$AT$1)),"*莺鸣柳*")=1,R352,0)</f>
        <v>0</v>
      </c>
      <c r="T352">
        <f ca="1" t="shared" si="104"/>
        <v>0</v>
      </c>
      <c r="U352">
        <f ca="1">IF(金蛇,IF(COUNTIF(B352,"*金环戴*")+COUNTIF(B352,"*吹风醒*")&gt;0,IF(A352&lt;=3,7.125-2.625-A352-加速!$L$11,7.125+加速!$K$9-(A352+加速!$L$11-T352)),0),0)+IF(金蛇,IF(COUNTIF(B352,"*千切子裂光*")&gt;0,2+加速!$K$9-(A352+加速!$L$11-T352),0),0)</f>
        <v>0</v>
      </c>
      <c r="V352">
        <f ca="1" t="shared" si="105"/>
        <v>0</v>
      </c>
      <c r="W352">
        <f ca="1" t="shared" si="96"/>
        <v>0</v>
      </c>
      <c r="X352">
        <f ca="1">INDEX(加速!$I$13:$I$21,W352+1)</f>
        <v>0</v>
      </c>
      <c r="Y352">
        <f ca="1" t="shared" si="106"/>
        <v>0.5</v>
      </c>
      <c r="Z352">
        <f ca="1" t="shared" si="101"/>
        <v>0</v>
      </c>
      <c r="AA352">
        <f ca="1">MAX(0,IFERROR(IF(COUNTIF(B352,"*叠*")&gt;0,IF(AC351&lt;3,8-A353+A352,AA351+6.875-A353+A352),AA351-A353+A352),AA351-加速!$L$11))</f>
        <v>0</v>
      </c>
      <c r="AB352" t="e">
        <f ca="1">MAX(0,IF(COUNTIF(IF(AND(配装计算器!$K$30&lt;&gt;"∞",0),INDEX(AU352:CB352,1,$AT$1),INDEX(AU352:CB352,1,$AT$1)),"*叠1*")=1,4*25-加速!$L$11,AB351-A352+A351)-IF(OR(COUNTIF(OFFSET(AT352,0,$AT$1,1,1),"*听雷*")&gt;0,AND(碧归&gt;0,COUNTIF(OFFSET(AT352,0,$AT$1,1,1),"*风来*")&gt;0)),0,1)*1.5)</f>
        <v>#VALUE!</v>
      </c>
      <c r="AC352">
        <f ca="1" t="shared" si="97"/>
        <v>0</v>
      </c>
      <c r="AD352">
        <f ca="1">IF(COUNTIF(IF(AND(配装计算器!$K$30&lt;&gt;"∞",0),INDEX(AU352:CB352,1,$AT$1),INDEX(AU353:CB353,1,$AT$1)),"*叠1*")=1,AB352*0+AE351,0)</f>
        <v>0</v>
      </c>
      <c r="AE352" t="e">
        <f ca="1">IF($AN$11&gt;0,IF(COUNTIF(B353,"*叠1*")&gt;0,50-加速!$L$11,MAX(0,AE351-(A353-A352))),0)</f>
        <v>#VALUE!</v>
      </c>
      <c r="AG352">
        <f ca="1" t="shared" si="98"/>
        <v>10</v>
      </c>
      <c r="AU352" s="176" t="s">
        <v>2768</v>
      </c>
      <c r="AV352">
        <v>2</v>
      </c>
      <c r="AW352" s="176" t="s">
        <v>2808</v>
      </c>
      <c r="AX352">
        <v>2</v>
      </c>
      <c r="AY352" t="s">
        <v>2776</v>
      </c>
      <c r="AZ352">
        <v>2</v>
      </c>
      <c r="BA352" t="s">
        <v>2776</v>
      </c>
      <c r="BB352">
        <v>1</v>
      </c>
      <c r="BC352" t="s">
        <v>2768</v>
      </c>
      <c r="BD352">
        <v>2</v>
      </c>
      <c r="BE352" t="s">
        <v>2768</v>
      </c>
      <c r="BF352">
        <v>1</v>
      </c>
      <c r="BG352" t="s">
        <v>2768</v>
      </c>
      <c r="BH352">
        <v>1</v>
      </c>
      <c r="BI352" s="176" t="s">
        <v>3026</v>
      </c>
      <c r="BJ352">
        <v>2</v>
      </c>
      <c r="BK352" t="s">
        <v>3056</v>
      </c>
      <c r="BL352">
        <v>0</v>
      </c>
      <c r="BM352" s="176" t="str">
        <f>IF(秋,"夕照雷峰","千切子裂光")</f>
        <v>千切子裂光</v>
      </c>
      <c r="BN352">
        <v>2</v>
      </c>
      <c r="BO352" t="s">
        <v>2768</v>
      </c>
      <c r="BP352">
        <v>2</v>
      </c>
      <c r="BQ352" t="s">
        <v>3055</v>
      </c>
      <c r="BR352">
        <v>2</v>
      </c>
      <c r="BS352" s="182" t="s">
        <v>3023</v>
      </c>
      <c r="BT352">
        <v>2</v>
      </c>
      <c r="BU352" t="s">
        <v>2776</v>
      </c>
      <c r="BV352">
        <v>2</v>
      </c>
      <c r="BW352" s="179" t="s">
        <v>3028</v>
      </c>
      <c r="BX352" s="179">
        <v>2</v>
      </c>
      <c r="BY352" s="176" t="str">
        <f>IF(秋,"夕照雷峰","千切子寒光")</f>
        <v>千切子寒光</v>
      </c>
      <c r="BZ352">
        <v>2</v>
      </c>
      <c r="CA352" s="176" t="s">
        <v>2794</v>
      </c>
      <c r="CB352">
        <v>2</v>
      </c>
    </row>
    <row r="353" spans="1:80">
      <c r="A353" s="178" t="str">
        <f ca="1">IFERROR(IF(AG352&lt;5+金蛇*2,IF(COUNTIF(B352,"*轻*")&gt;0,A352+加速!$L$9,A352+加速!$L$11)+V352,""),"")</f>
        <v/>
      </c>
      <c r="B353" s="167" t="str">
        <f ca="1" t="shared" si="93"/>
        <v/>
      </c>
      <c r="C353" t="str">
        <f ca="1" t="shared" si="103"/>
        <v/>
      </c>
      <c r="D353" t="str">
        <f ca="1">IF(B353&lt;&gt;"",IF(C352&lt;=加速!$L$11*(1-E353),0,1),"")</f>
        <v/>
      </c>
      <c r="E353">
        <f ca="1" t="shared" si="99"/>
        <v>1</v>
      </c>
      <c r="G353" t="str">
        <f ca="1" t="shared" si="100"/>
        <v/>
      </c>
      <c r="H353" t="str">
        <f ca="1">IF(B353&lt;&gt;"",IF(AND(COUNTIF(B352,"*轻*莺鸣柳*")&gt;0,COUNTIF(B353,"*轻*")&lt;1),MAX(0,15+I352-(A353-A352)+COUNTIF(B352,"*平湖*")*0),IF(AND(E353=0,MAX(0,H352-(A353-A352))&lt;=加速!$H$11),0,MAX(0,H352-(A353-A352)))),"")</f>
        <v/>
      </c>
      <c r="I353" t="str">
        <f ca="1" t="shared" si="107"/>
        <v/>
      </c>
      <c r="J353" t="str">
        <f ca="1" t="shared" si="108"/>
        <v/>
      </c>
      <c r="K353" t="str">
        <f ca="1" t="shared" si="94"/>
        <v/>
      </c>
      <c r="L353">
        <f ca="1">IFERROR(IF(AND(COUNTIF(B353,"*-峰插*"),技能数据库!$M$72&gt;0),0,IF(COUNTIF(B353,"*鹤归*")&gt;0,16-加速!$L$11,MAX(0,L352-(A353-A352)))),0)</f>
        <v>0</v>
      </c>
      <c r="M353">
        <f ca="1" t="shared" si="95"/>
        <v>0</v>
      </c>
      <c r="N353">
        <f ca="1">IFERROR(IF(AND(COUNTIF(B353,"*-峰插*"),技能数据库!$M$72&gt;0),0,IF(COUNTIF(B353,"*云飞*")&gt;0,4-COUNTIF(B353,"*玉山揽云*")*4--COUNTIF(B353,"*烟流暮景*")*4-COUNTIF(B353,"*云景*")*加速!$L$11-IF(J353&gt;0,2,0),MAX(0,N352-(A353-A352)-IF(J353&gt;0,2,0)))),0)</f>
        <v>0</v>
      </c>
      <c r="O353">
        <f ca="1">IF(AND(COUNTIF(IF(AND(配装计算器!$K$30&lt;&gt;"∞",0),INDEX(AU352:CB352,1,$AT$1),INDEX(AU354:CB354,1,$AT$1)),"*云飞*")=1,COUNTIF(IF(AND(配装计算器!$K$30&lt;&gt;"∞",0),INDEX(AU352:CB352,1,$AT$1),INDEX(AU354:CB354,1,$AT$1)),"*玉山*")=0),N353,0)</f>
        <v>0</v>
      </c>
      <c r="P353">
        <f ca="1">IFERROR(IF(COUNTIF(B353,"*云栖松*")&gt;0,50-加速!$L$11,MAX(0,P352-(A353-A352))),0)</f>
        <v>0</v>
      </c>
      <c r="Q353">
        <f ca="1">IF(COUNTIF(IF(AND(配装计算器!$K$30&lt;&gt;"∞",0),INDEX(AU352:CB352,1,$AT$1),INDEX(AU354:CB354,1,$AT$1)),"*云栖松*")=1,P353,0)</f>
        <v>0</v>
      </c>
      <c r="R353">
        <f ca="1">IFERROR(IF(COUNTIF(B353,"*莺鸣柳*")&gt;0,45-加速!$L$9,MAX(0,R352-(A353-A352))),0)</f>
        <v>0</v>
      </c>
      <c r="S353">
        <f ca="1">IF(COUNTIF(IF(AND(配装计算器!$K$30&lt;&gt;"∞",0),INDEX(AU352:CB352,1,$AT$1),INDEX(AU354:CB354,1,$AT$1)),"*莺鸣柳*")=1,R353,0)</f>
        <v>0</v>
      </c>
      <c r="T353">
        <f ca="1" t="shared" si="104"/>
        <v>0</v>
      </c>
      <c r="U353">
        <f ca="1">IF(金蛇,IF(COUNTIF(B353,"*金环戴*")+COUNTIF(B353,"*吹风醒*")&gt;0,IF(A353&lt;=3,7.125-2.625-A353-加速!$L$11,7.125+加速!$K$9-(A353+加速!$L$11-T353)),0),0)+IF(金蛇,IF(COUNTIF(B353,"*千切子裂光*")&gt;0,2+加速!$K$9-(A353+加速!$L$11-T353),0),0)</f>
        <v>0</v>
      </c>
      <c r="V353">
        <f ca="1" t="shared" si="105"/>
        <v>0</v>
      </c>
      <c r="W353">
        <f ca="1" t="shared" si="96"/>
        <v>0</v>
      </c>
      <c r="X353">
        <f ca="1">INDEX(加速!$I$13:$I$21,W353+1)</f>
        <v>0</v>
      </c>
      <c r="Y353">
        <f ca="1" t="shared" si="106"/>
        <v>0.5</v>
      </c>
      <c r="Z353">
        <f ca="1" t="shared" si="101"/>
        <v>0</v>
      </c>
      <c r="AA353">
        <f ca="1">MAX(0,IFERROR(IF(COUNTIF(B353,"*叠*")&gt;0,IF(AC352&lt;3,8-A354+A353,AA352+6.875-A354+A353),AA352-A354+A353),AA352-加速!$L$11))</f>
        <v>0</v>
      </c>
      <c r="AB353" t="e">
        <f ca="1">MAX(0,IF(COUNTIF(IF(AND(配装计算器!$K$30&lt;&gt;"∞",0),INDEX(AU353:CB353,1,$AT$1),INDEX(AU353:CB353,1,$AT$1)),"*叠1*")=1,4*25-加速!$L$11,AB352-A353+A352)-IF(OR(COUNTIF(OFFSET(AT353,0,$AT$1,1,1),"*听雷*")&gt;0,AND(碧归&gt;0,COUNTIF(OFFSET(AT353,0,$AT$1,1,1),"*风来*")&gt;0)),0,1)*1.5)</f>
        <v>#VALUE!</v>
      </c>
      <c r="AC353">
        <f ca="1" t="shared" si="97"/>
        <v>0</v>
      </c>
      <c r="AD353">
        <f ca="1">IF(COUNTIF(IF(AND(配装计算器!$K$30&lt;&gt;"∞",0),INDEX(AU353:CB353,1,$AT$1),INDEX(AU354:CB354,1,$AT$1)),"*叠1*")=1,AB353*0+AE352,0)</f>
        <v>0</v>
      </c>
      <c r="AE353" t="e">
        <f ca="1">IF($AN$11&gt;0,IF(COUNTIF(B354,"*叠1*")&gt;0,50-加速!$L$11,MAX(0,AE352-(A354-A353))),0)</f>
        <v>#VALUE!</v>
      </c>
      <c r="AG353">
        <f ca="1" t="shared" si="98"/>
        <v>10</v>
      </c>
      <c r="AU353" s="176" t="s">
        <v>2776</v>
      </c>
      <c r="AV353">
        <v>2</v>
      </c>
      <c r="AW353" t="s">
        <v>2768</v>
      </c>
      <c r="AX353">
        <v>2</v>
      </c>
      <c r="AY353" t="s">
        <v>2768</v>
      </c>
      <c r="AZ353">
        <v>2</v>
      </c>
      <c r="BA353" t="s">
        <v>2768</v>
      </c>
      <c r="BB353">
        <v>1</v>
      </c>
      <c r="BC353" t="s">
        <v>2794</v>
      </c>
      <c r="BD353">
        <v>2</v>
      </c>
      <c r="BE353" t="s">
        <v>2768</v>
      </c>
      <c r="BF353">
        <v>1</v>
      </c>
      <c r="BG353" t="s">
        <v>2776</v>
      </c>
      <c r="BH353">
        <v>1</v>
      </c>
      <c r="BI353" s="176" t="s">
        <v>3026</v>
      </c>
      <c r="BJ353">
        <v>2</v>
      </c>
      <c r="BK353" t="s">
        <v>2768</v>
      </c>
      <c r="BL353">
        <v>2</v>
      </c>
      <c r="BM353" t="str">
        <f>IF(0,"云飞玉皇-玉山揽云","夕照雷峰")</f>
        <v>夕照雷峰</v>
      </c>
      <c r="BN353">
        <v>2</v>
      </c>
      <c r="BO353" t="s">
        <v>2768</v>
      </c>
      <c r="BP353">
        <v>2</v>
      </c>
      <c r="BQ353" t="s">
        <v>2768</v>
      </c>
      <c r="BR353">
        <v>2</v>
      </c>
      <c r="BS353" s="182" t="s">
        <v>2768</v>
      </c>
      <c r="BT353">
        <v>2</v>
      </c>
      <c r="BU353" t="s">
        <v>2768</v>
      </c>
      <c r="BV353">
        <v>2</v>
      </c>
      <c r="BW353" s="179" t="s">
        <v>2768</v>
      </c>
      <c r="BX353" s="179">
        <v>2</v>
      </c>
      <c r="BY353" s="176" t="str">
        <f>IF(秋,"夕照雷峰","千切子裂光")</f>
        <v>千切子裂光</v>
      </c>
      <c r="BZ353">
        <v>2</v>
      </c>
      <c r="CA353" s="176" t="s">
        <v>2768</v>
      </c>
      <c r="CB353">
        <v>2</v>
      </c>
    </row>
    <row r="354" spans="1:80">
      <c r="A354" s="178" t="str">
        <f ca="1">IFERROR(IF(AG353&lt;5+金蛇*2,IF(COUNTIF(B353,"*轻*")&gt;0,A353+加速!$L$9,A353+加速!$L$11)+V353,""),"")</f>
        <v/>
      </c>
      <c r="B354" s="167" t="str">
        <f ca="1" t="shared" si="93"/>
        <v/>
      </c>
      <c r="C354" t="str">
        <f ca="1" t="shared" si="103"/>
        <v/>
      </c>
      <c r="D354" t="str">
        <f ca="1">IF(B354&lt;&gt;"",IF(C353&lt;=加速!$L$11*(1-E354),0,1),"")</f>
        <v/>
      </c>
      <c r="E354">
        <f ca="1" t="shared" si="99"/>
        <v>1</v>
      </c>
      <c r="G354" t="str">
        <f ca="1" t="shared" si="100"/>
        <v/>
      </c>
      <c r="H354" t="str">
        <f ca="1">IF(B354&lt;&gt;"",IF(AND(COUNTIF(B353,"*轻*莺鸣柳*")&gt;0,COUNTIF(B354,"*轻*")&lt;1),MAX(0,15+I353-(A354-A353)+COUNTIF(B353,"*平湖*")*0),IF(AND(E354=0,MAX(0,H353-(A354-A353))&lt;=加速!$H$11),0,MAX(0,H353-(A354-A353)))),"")</f>
        <v/>
      </c>
      <c r="I354" t="str">
        <f ca="1" t="shared" si="107"/>
        <v/>
      </c>
      <c r="J354" t="str">
        <f ca="1" t="shared" si="108"/>
        <v/>
      </c>
      <c r="K354" t="str">
        <f ca="1" t="shared" si="94"/>
        <v/>
      </c>
      <c r="L354">
        <f ca="1">IFERROR(IF(AND(COUNTIF(B354,"*-峰插*"),技能数据库!$M$72&gt;0),0,IF(COUNTIF(B354,"*鹤归*")&gt;0,16-加速!$L$11,MAX(0,L353-(A354-A353)))),0)</f>
        <v>0</v>
      </c>
      <c r="M354">
        <f ca="1" t="shared" si="95"/>
        <v>0</v>
      </c>
      <c r="N354">
        <f ca="1">IFERROR(IF(AND(COUNTIF(B354,"*-峰插*"),技能数据库!$M$72&gt;0),0,IF(COUNTIF(B354,"*云飞*")&gt;0,4-COUNTIF(B354,"*玉山揽云*")*4--COUNTIF(B354,"*烟流暮景*")*4-COUNTIF(B354,"*云景*")*加速!$L$11-IF(J354&gt;0,2,0),MAX(0,N353-(A354-A353)-IF(J354&gt;0,2,0)))),0)</f>
        <v>0</v>
      </c>
      <c r="O354">
        <f ca="1">IF(AND(COUNTIF(IF(AND(配装计算器!$K$30&lt;&gt;"∞",0),INDEX(AU353:CB353,1,$AT$1),INDEX(AU355:CB355,1,$AT$1)),"*云飞*")=1,COUNTIF(IF(AND(配装计算器!$K$30&lt;&gt;"∞",0),INDEX(AU353:CB353,1,$AT$1),INDEX(AU355:CB355,1,$AT$1)),"*玉山*")=0),N354,0)</f>
        <v>0</v>
      </c>
      <c r="P354">
        <f ca="1">IFERROR(IF(COUNTIF(B354,"*云栖松*")&gt;0,50-加速!$L$11,MAX(0,P353-(A354-A353))),0)</f>
        <v>0</v>
      </c>
      <c r="Q354">
        <f ca="1">IF(COUNTIF(IF(AND(配装计算器!$K$30&lt;&gt;"∞",0),INDEX(AU353:CB353,1,$AT$1),INDEX(AU355:CB355,1,$AT$1)),"*云栖松*")=1,P354,0)</f>
        <v>0</v>
      </c>
      <c r="R354">
        <f ca="1">IFERROR(IF(COUNTIF(B354,"*莺鸣柳*")&gt;0,45-加速!$L$9,MAX(0,R353-(A354-A353))),0)</f>
        <v>0</v>
      </c>
      <c r="S354">
        <f ca="1">IF(COUNTIF(IF(AND(配装计算器!$K$30&lt;&gt;"∞",0),INDEX(AU353:CB353,1,$AT$1),INDEX(AU355:CB355,1,$AT$1)),"*莺鸣柳*")=1,R354,0)</f>
        <v>0</v>
      </c>
      <c r="T354">
        <f ca="1" t="shared" si="104"/>
        <v>0</v>
      </c>
      <c r="U354">
        <f ca="1">IF(金蛇,IF(COUNTIF(B354,"*金环戴*")+COUNTIF(B354,"*吹风醒*")&gt;0,IF(A354&lt;=3,7.125-2.625-A354-加速!$L$11,7.125+加速!$K$9-(A354+加速!$L$11-T354)),0),0)+IF(金蛇,IF(COUNTIF(B354,"*千切子裂光*")&gt;0,2+加速!$K$9-(A354+加速!$L$11-T354),0),0)</f>
        <v>0</v>
      </c>
      <c r="V354">
        <f ca="1" t="shared" si="105"/>
        <v>0</v>
      </c>
      <c r="W354">
        <f ca="1" t="shared" si="96"/>
        <v>0</v>
      </c>
      <c r="X354">
        <f ca="1">INDEX(加速!$I$13:$I$21,W354+1)</f>
        <v>0</v>
      </c>
      <c r="Y354">
        <f ca="1" t="shared" si="106"/>
        <v>0.5</v>
      </c>
      <c r="Z354">
        <f ca="1" t="shared" si="101"/>
        <v>0</v>
      </c>
      <c r="AA354">
        <f ca="1">MAX(0,IFERROR(IF(COUNTIF(B354,"*叠*")&gt;0,IF(AC353&lt;3,8-A355+A354,AA353+6.875-A355+A354),AA353-A355+A354),AA353-加速!$L$11))</f>
        <v>0</v>
      </c>
      <c r="AB354" t="e">
        <f ca="1">MAX(0,IF(COUNTIF(IF(AND(配装计算器!$K$30&lt;&gt;"∞",0),INDEX(AU354:CB354,1,$AT$1),INDEX(AU354:CB354,1,$AT$1)),"*叠1*")=1,4*25-加速!$L$11,AB353-A354+A353)-IF(OR(COUNTIF(OFFSET(AT354,0,$AT$1,1,1),"*听雷*")&gt;0,AND(碧归&gt;0,COUNTIF(OFFSET(AT354,0,$AT$1,1,1),"*风来*")&gt;0)),0,1)*1.5)</f>
        <v>#VALUE!</v>
      </c>
      <c r="AC354">
        <f ca="1" t="shared" si="97"/>
        <v>0</v>
      </c>
      <c r="AD354">
        <f ca="1">IF(COUNTIF(IF(AND(配装计算器!$K$30&lt;&gt;"∞",0),INDEX(AU354:CB354,1,$AT$1),INDEX(AU355:CB355,1,$AT$1)),"*叠1*")=1,AB354*0+AE353,0)</f>
        <v>0</v>
      </c>
      <c r="AE354" t="e">
        <f ca="1">IF($AN$11&gt;0,IF(COUNTIF(B355,"*叠1*")&gt;0,50-加速!$L$11,MAX(0,AE353-(A355-A354))),0)</f>
        <v>#VALUE!</v>
      </c>
      <c r="AG354">
        <f ca="1" t="shared" si="98"/>
        <v>10</v>
      </c>
      <c r="AU354" s="176" t="s">
        <v>2768</v>
      </c>
      <c r="AV354">
        <v>2</v>
      </c>
      <c r="AW354" t="s">
        <v>2776</v>
      </c>
      <c r="AX354">
        <v>2</v>
      </c>
      <c r="AY354" t="s">
        <v>2776</v>
      </c>
      <c r="AZ354">
        <v>1</v>
      </c>
      <c r="BA354" t="s">
        <v>2768</v>
      </c>
      <c r="BB354">
        <v>0</v>
      </c>
      <c r="BC354" s="182" t="s">
        <v>3036</v>
      </c>
      <c r="BD354">
        <v>2</v>
      </c>
      <c r="BE354" t="s">
        <v>2794</v>
      </c>
      <c r="BF354">
        <v>1</v>
      </c>
      <c r="BG354" t="s">
        <v>2768</v>
      </c>
      <c r="BH354">
        <v>0</v>
      </c>
      <c r="BI354" s="176" t="s">
        <v>3036</v>
      </c>
      <c r="BJ354">
        <v>2</v>
      </c>
      <c r="BK354" t="s">
        <v>2768</v>
      </c>
      <c r="BL354">
        <v>2</v>
      </c>
      <c r="BM354" s="176" t="str">
        <f>IF(秋,"云飞玉皇","夕照雷峰")</f>
        <v>夕照雷峰</v>
      </c>
      <c r="BN354">
        <v>2</v>
      </c>
      <c r="BO354" t="s">
        <v>2768</v>
      </c>
      <c r="BP354">
        <v>2</v>
      </c>
      <c r="BQ354" t="s">
        <v>2776</v>
      </c>
      <c r="BR354">
        <v>2</v>
      </c>
      <c r="BS354" s="182" t="s">
        <v>2776</v>
      </c>
      <c r="BT354">
        <v>2</v>
      </c>
      <c r="BU354" t="s">
        <v>2776</v>
      </c>
      <c r="BV354">
        <v>2</v>
      </c>
      <c r="BW354" s="179" t="str">
        <f>IF(山重水复,"风来吴山","夕照雷峰")</f>
        <v>夕照雷峰</v>
      </c>
      <c r="BX354" s="179">
        <v>2</v>
      </c>
      <c r="BY354" t="str">
        <f>IF(0,"云飞玉皇-玉山揽云","夕照雷峰")</f>
        <v>夕照雷峰</v>
      </c>
      <c r="BZ354">
        <v>2</v>
      </c>
      <c r="CA354" s="176" t="s">
        <v>2776</v>
      </c>
      <c r="CB354">
        <v>2</v>
      </c>
    </row>
    <row r="355" spans="1:80">
      <c r="A355" s="178" t="str">
        <f ca="1">IFERROR(IF(AG354&lt;5+金蛇*2,IF(COUNTIF(B354,"*轻*")&gt;0,A354+加速!$L$9,A354+加速!$L$11)+V354,""),"")</f>
        <v/>
      </c>
      <c r="B355" s="167" t="str">
        <f ca="1" t="shared" si="93"/>
        <v/>
      </c>
      <c r="C355" t="str">
        <f ca="1" t="shared" si="103"/>
        <v/>
      </c>
      <c r="D355" t="str">
        <f ca="1">IF(B355&lt;&gt;"",IF(C354&lt;=加速!$L$11*(1-E355),0,1),"")</f>
        <v/>
      </c>
      <c r="E355">
        <f ca="1" t="shared" si="99"/>
        <v>1</v>
      </c>
      <c r="G355" t="str">
        <f ca="1" t="shared" si="100"/>
        <v/>
      </c>
      <c r="H355" t="str">
        <f ca="1">IF(B355&lt;&gt;"",IF(AND(COUNTIF(B354,"*轻*莺鸣柳*")&gt;0,COUNTIF(B355,"*轻*")&lt;1),MAX(0,15+I354-(A355-A354)+COUNTIF(B354,"*平湖*")*0),IF(AND(E355=0,MAX(0,H354-(A355-A354))&lt;=加速!$H$11),0,MAX(0,H354-(A355-A354)))),"")</f>
        <v/>
      </c>
      <c r="I355" t="str">
        <f ca="1" t="shared" si="107"/>
        <v/>
      </c>
      <c r="J355" t="str">
        <f ca="1" t="shared" si="108"/>
        <v/>
      </c>
      <c r="K355" t="str">
        <f ca="1" t="shared" si="94"/>
        <v/>
      </c>
      <c r="L355">
        <f ca="1">IFERROR(IF(AND(COUNTIF(B355,"*-峰插*"),技能数据库!$M$72&gt;0),0,IF(COUNTIF(B355,"*鹤归*")&gt;0,16-加速!$L$11,MAX(0,L354-(A355-A354)))),0)</f>
        <v>0</v>
      </c>
      <c r="M355">
        <f ca="1" t="shared" si="95"/>
        <v>0</v>
      </c>
      <c r="N355">
        <f ca="1">IFERROR(IF(AND(COUNTIF(B355,"*-峰插*"),技能数据库!$M$72&gt;0),0,IF(COUNTIF(B355,"*云飞*")&gt;0,4-COUNTIF(B355,"*玉山揽云*")*4--COUNTIF(B355,"*烟流暮景*")*4-COUNTIF(B355,"*云景*")*加速!$L$11-IF(J355&gt;0,2,0),MAX(0,N354-(A355-A354)-IF(J355&gt;0,2,0)))),0)</f>
        <v>0</v>
      </c>
      <c r="O355">
        <f ca="1">IF(AND(COUNTIF(IF(AND(配装计算器!$K$30&lt;&gt;"∞",0),INDEX(AU354:CB354,1,$AT$1),INDEX(AU356:CB356,1,$AT$1)),"*云飞*")=1,COUNTIF(IF(AND(配装计算器!$K$30&lt;&gt;"∞",0),INDEX(AU354:CB354,1,$AT$1),INDEX(AU356:CB356,1,$AT$1)),"*玉山*")=0),N355,0)</f>
        <v>0</v>
      </c>
      <c r="P355">
        <f ca="1">IFERROR(IF(COUNTIF(B355,"*云栖松*")&gt;0,50-加速!$L$11,MAX(0,P354-(A355-A354))),0)</f>
        <v>0</v>
      </c>
      <c r="Q355">
        <f ca="1">IF(COUNTIF(IF(AND(配装计算器!$K$30&lt;&gt;"∞",0),INDEX(AU354:CB354,1,$AT$1),INDEX(AU356:CB356,1,$AT$1)),"*云栖松*")=1,P355,0)</f>
        <v>0</v>
      </c>
      <c r="R355">
        <f ca="1">IFERROR(IF(COUNTIF(B355,"*莺鸣柳*")&gt;0,45-加速!$L$9,MAX(0,R354-(A355-A354))),0)</f>
        <v>0</v>
      </c>
      <c r="S355">
        <f ca="1">IF(COUNTIF(IF(AND(配装计算器!$K$30&lt;&gt;"∞",0),INDEX(AU354:CB354,1,$AT$1),INDEX(AU356:CB356,1,$AT$1)),"*莺鸣柳*")=1,R355,0)</f>
        <v>0</v>
      </c>
      <c r="T355">
        <f ca="1" t="shared" si="104"/>
        <v>0</v>
      </c>
      <c r="U355">
        <f ca="1">IF(金蛇,IF(COUNTIF(B355,"*金环戴*")+COUNTIF(B355,"*吹风醒*")&gt;0,IF(A355&lt;=3,7.125-2.625-A355-加速!$L$11,7.125+加速!$K$9-(A355+加速!$L$11-T355)),0),0)+IF(金蛇,IF(COUNTIF(B355,"*千切子裂光*")&gt;0,2+加速!$K$9-(A355+加速!$L$11-T355),0),0)</f>
        <v>0</v>
      </c>
      <c r="V355">
        <f ca="1" t="shared" si="105"/>
        <v>0</v>
      </c>
      <c r="W355">
        <f ca="1" t="shared" si="96"/>
        <v>0</v>
      </c>
      <c r="X355">
        <f ca="1">INDEX(加速!$I$13:$I$21,W355+1)</f>
        <v>0</v>
      </c>
      <c r="Y355">
        <f ca="1" t="shared" si="106"/>
        <v>0.5</v>
      </c>
      <c r="Z355">
        <f ca="1" t="shared" si="101"/>
        <v>0</v>
      </c>
      <c r="AA355">
        <f ca="1">MAX(0,IFERROR(IF(COUNTIF(B355,"*叠*")&gt;0,IF(AC354&lt;3,8-A356+A355,AA354+6.875-A356+A355),AA354-A356+A355),AA354-加速!$L$11))</f>
        <v>0</v>
      </c>
      <c r="AB355" t="e">
        <f ca="1">MAX(0,IF(COUNTIF(IF(AND(配装计算器!$K$30&lt;&gt;"∞",0),INDEX(AU355:CB355,1,$AT$1),INDEX(AU355:CB355,1,$AT$1)),"*叠1*")=1,4*25-加速!$L$11,AB354-A355+A354)-IF(OR(COUNTIF(OFFSET(AT355,0,$AT$1,1,1),"*听雷*")&gt;0,AND(碧归&gt;0,COUNTIF(OFFSET(AT355,0,$AT$1,1,1),"*风来*")&gt;0)),0,1)*1.5)</f>
        <v>#VALUE!</v>
      </c>
      <c r="AC355">
        <f ca="1" t="shared" si="97"/>
        <v>0</v>
      </c>
      <c r="AD355">
        <f ca="1">IF(COUNTIF(IF(AND(配装计算器!$K$30&lt;&gt;"∞",0),INDEX(AU355:CB355,1,$AT$1),INDEX(AU356:CB356,1,$AT$1)),"*叠1*")=1,AB355*0+AE354,0)</f>
        <v>0</v>
      </c>
      <c r="AE355" t="e">
        <f ca="1">IF($AN$11&gt;0,IF(COUNTIF(B356,"*叠1*")&gt;0,50-加速!$L$11,MAX(0,AE354-(A356-A355))),0)</f>
        <v>#VALUE!</v>
      </c>
      <c r="AG355">
        <f ca="1" t="shared" si="98"/>
        <v>10</v>
      </c>
      <c r="AU355" s="176" t="s">
        <v>2776</v>
      </c>
      <c r="AV355">
        <v>2</v>
      </c>
      <c r="AW355" t="s">
        <v>2768</v>
      </c>
      <c r="AX355">
        <v>2</v>
      </c>
      <c r="AY355" t="s">
        <v>2768</v>
      </c>
      <c r="AZ355">
        <v>1</v>
      </c>
      <c r="BA355" t="s">
        <v>2722</v>
      </c>
      <c r="BB355">
        <v>0</v>
      </c>
      <c r="BC355" s="176" t="s">
        <v>3026</v>
      </c>
      <c r="BD355">
        <v>2</v>
      </c>
      <c r="BE355" t="s">
        <v>2776</v>
      </c>
      <c r="BF355">
        <v>2</v>
      </c>
      <c r="BG355" t="s">
        <v>2768</v>
      </c>
      <c r="BH355">
        <v>0</v>
      </c>
      <c r="BI355" t="s">
        <v>2794</v>
      </c>
      <c r="BJ355">
        <v>2</v>
      </c>
      <c r="BK355" t="s">
        <v>2776</v>
      </c>
      <c r="BL355">
        <v>2</v>
      </c>
      <c r="BM355" s="176" t="str">
        <f>IF(秋,"夕照雷峰","云飞玉皇")</f>
        <v>云飞玉皇</v>
      </c>
      <c r="BN355">
        <v>2</v>
      </c>
      <c r="BO355" t="s">
        <v>2776</v>
      </c>
      <c r="BP355">
        <v>2</v>
      </c>
      <c r="BQ355" t="s">
        <v>2768</v>
      </c>
      <c r="BR355">
        <v>2</v>
      </c>
      <c r="BS355" s="182" t="s">
        <v>2768</v>
      </c>
      <c r="BT355">
        <v>2</v>
      </c>
      <c r="BU355" t="s">
        <v>2768</v>
      </c>
      <c r="BV355">
        <v>1</v>
      </c>
      <c r="BW355" s="182" t="s">
        <v>2794</v>
      </c>
      <c r="BX355" s="179">
        <v>2</v>
      </c>
      <c r="BY355" t="s">
        <v>2776</v>
      </c>
      <c r="BZ355">
        <v>2</v>
      </c>
      <c r="CA355" s="176" t="s">
        <v>2768</v>
      </c>
      <c r="CB355">
        <v>2</v>
      </c>
    </row>
    <row r="356" spans="1:80">
      <c r="A356" s="178" t="str">
        <f ca="1">IFERROR(IF(AG355&lt;5+金蛇*2,IF(COUNTIF(B355,"*轻*")&gt;0,A355+加速!$L$9,A355+加速!$L$11)+V355,""),"")</f>
        <v/>
      </c>
      <c r="B356" s="167" t="str">
        <f ca="1" t="shared" si="93"/>
        <v/>
      </c>
      <c r="C356" t="str">
        <f ca="1" t="shared" si="103"/>
        <v/>
      </c>
      <c r="D356" t="str">
        <f ca="1">IF(B356&lt;&gt;"",IF(C355&lt;=加速!$L$11*(1-E356),0,1),"")</f>
        <v/>
      </c>
      <c r="E356">
        <f ca="1" t="shared" si="99"/>
        <v>1</v>
      </c>
      <c r="G356" t="str">
        <f ca="1" t="shared" si="100"/>
        <v/>
      </c>
      <c r="H356" t="str">
        <f ca="1">IF(B356&lt;&gt;"",IF(AND(COUNTIF(B355,"*轻*莺鸣柳*")&gt;0,COUNTIF(B356,"*轻*")&lt;1),MAX(0,15+I355-(A356-A355)+COUNTIF(B355,"*平湖*")*0),IF(AND(E356=0,MAX(0,H355-(A356-A355))&lt;=加速!$H$11),0,MAX(0,H355-(A356-A355)))),"")</f>
        <v/>
      </c>
      <c r="I356" t="str">
        <f ca="1" t="shared" si="107"/>
        <v/>
      </c>
      <c r="J356" t="str">
        <f ca="1" t="shared" si="108"/>
        <v/>
      </c>
      <c r="K356" t="str">
        <f ca="1" t="shared" si="94"/>
        <v/>
      </c>
      <c r="L356">
        <f ca="1">IFERROR(IF(AND(COUNTIF(B356,"*-峰插*"),技能数据库!$M$72&gt;0),0,IF(COUNTIF(B356,"*鹤归*")&gt;0,16-加速!$L$11,MAX(0,L355-(A356-A355)))),0)</f>
        <v>0</v>
      </c>
      <c r="M356">
        <f ca="1" t="shared" si="95"/>
        <v>0</v>
      </c>
      <c r="N356">
        <f ca="1">IFERROR(IF(AND(COUNTIF(B356,"*-峰插*"),技能数据库!$M$72&gt;0),0,IF(COUNTIF(B356,"*云飞*")&gt;0,4-COUNTIF(B356,"*玉山揽云*")*4--COUNTIF(B356,"*烟流暮景*")*4-COUNTIF(B356,"*云景*")*加速!$L$11-IF(J356&gt;0,2,0),MAX(0,N355-(A356-A355)-IF(J356&gt;0,2,0)))),0)</f>
        <v>0</v>
      </c>
      <c r="O356">
        <f ca="1">IF(AND(COUNTIF(IF(AND(配装计算器!$K$30&lt;&gt;"∞",0),INDEX(AU355:CB355,1,$AT$1),INDEX(AU357:CB357,1,$AT$1)),"*云飞*")=1,COUNTIF(IF(AND(配装计算器!$K$30&lt;&gt;"∞",0),INDEX(AU355:CB355,1,$AT$1),INDEX(AU357:CB357,1,$AT$1)),"*玉山*")=0),N356,0)</f>
        <v>0</v>
      </c>
      <c r="P356">
        <f ca="1">IFERROR(IF(COUNTIF(B356,"*云栖松*")&gt;0,50-加速!$L$11,MAX(0,P355-(A356-A355))),0)</f>
        <v>0</v>
      </c>
      <c r="Q356">
        <f ca="1">IF(COUNTIF(IF(AND(配装计算器!$K$30&lt;&gt;"∞",0),INDEX(AU355:CB355,1,$AT$1),INDEX(AU357:CB357,1,$AT$1)),"*云栖松*")=1,P356,0)</f>
        <v>0</v>
      </c>
      <c r="R356">
        <f ca="1">IFERROR(IF(COUNTIF(B356,"*莺鸣柳*")&gt;0,45-加速!$L$9,MAX(0,R355-(A356-A355))),0)</f>
        <v>0</v>
      </c>
      <c r="S356">
        <f ca="1">IF(COUNTIF(IF(AND(配装计算器!$K$30&lt;&gt;"∞",0),INDEX(AU355:CB355,1,$AT$1),INDEX(AU357:CB357,1,$AT$1)),"*莺鸣柳*")=1,R356,0)</f>
        <v>0</v>
      </c>
      <c r="T356">
        <f ca="1" t="shared" si="104"/>
        <v>0</v>
      </c>
      <c r="U356">
        <f ca="1">IF(金蛇,IF(COUNTIF(B356,"*金环戴*")+COUNTIF(B356,"*吹风醒*")&gt;0,IF(A356&lt;=3,7.125-2.625-A356-加速!$L$11,7.125+加速!$K$9-(A356+加速!$L$11-T356)),0),0)+IF(金蛇,IF(COUNTIF(B356,"*千切子裂光*")&gt;0,2+加速!$K$9-(A356+加速!$L$11-T356),0),0)</f>
        <v>0</v>
      </c>
      <c r="V356">
        <f ca="1" t="shared" si="105"/>
        <v>0</v>
      </c>
      <c r="W356">
        <f ca="1" t="shared" si="96"/>
        <v>0</v>
      </c>
      <c r="X356">
        <f ca="1">INDEX(加速!$I$13:$I$21,W356+1)</f>
        <v>0</v>
      </c>
      <c r="Y356">
        <f ca="1" t="shared" si="106"/>
        <v>0.5</v>
      </c>
      <c r="Z356">
        <f ca="1" t="shared" si="101"/>
        <v>0</v>
      </c>
      <c r="AA356">
        <f ca="1">MAX(0,IFERROR(IF(COUNTIF(B356,"*叠*")&gt;0,IF(AC355&lt;3,8-A357+A356,AA355+6.875-A357+A356),AA355-A357+A356),AA355-加速!$L$11))</f>
        <v>0</v>
      </c>
      <c r="AB356" t="e">
        <f ca="1">MAX(0,IF(COUNTIF(IF(AND(配装计算器!$K$30&lt;&gt;"∞",0),INDEX(AU356:CB356,1,$AT$1),INDEX(AU356:CB356,1,$AT$1)),"*叠1*")=1,4*25-加速!$L$11,AB355-A356+A355)-IF(OR(COUNTIF(OFFSET(AT356,0,$AT$1,1,1),"*听雷*")&gt;0,AND(碧归&gt;0,COUNTIF(OFFSET(AT356,0,$AT$1,1,1),"*风来*")&gt;0)),0,1)*1.5)</f>
        <v>#VALUE!</v>
      </c>
      <c r="AC356">
        <f ca="1" t="shared" si="97"/>
        <v>0</v>
      </c>
      <c r="AD356">
        <f ca="1">IF(COUNTIF(IF(AND(配装计算器!$K$30&lt;&gt;"∞",0),INDEX(AU356:CB356,1,$AT$1),INDEX(AU357:CB357,1,$AT$1)),"*叠1*")=1,AB356*0+AE355,0)</f>
        <v>0</v>
      </c>
      <c r="AE356" t="e">
        <f ca="1">IF($AN$11&gt;0,IF(COUNTIF(B357,"*叠1*")&gt;0,50-加速!$L$11,MAX(0,AE355-(A357-A356))),0)</f>
        <v>#VALUE!</v>
      </c>
      <c r="AG356">
        <f ca="1" t="shared" si="98"/>
        <v>10</v>
      </c>
      <c r="AU356" t="s">
        <v>2768</v>
      </c>
      <c r="AV356">
        <v>2</v>
      </c>
      <c r="AW356" t="s">
        <v>2768</v>
      </c>
      <c r="AX356">
        <v>2</v>
      </c>
      <c r="AY356" t="s">
        <v>2768</v>
      </c>
      <c r="AZ356">
        <v>0</v>
      </c>
      <c r="BA356" t="s">
        <v>2776</v>
      </c>
      <c r="BB356">
        <v>2</v>
      </c>
      <c r="BC356" s="176" t="s">
        <v>3026</v>
      </c>
      <c r="BD356">
        <v>2</v>
      </c>
      <c r="BE356" t="s">
        <v>2768</v>
      </c>
      <c r="BF356">
        <v>2</v>
      </c>
      <c r="BG356" t="s">
        <v>2776</v>
      </c>
      <c r="BH356">
        <v>0</v>
      </c>
      <c r="BI356" t="s">
        <v>2776</v>
      </c>
      <c r="BJ356">
        <v>2</v>
      </c>
      <c r="BK356" t="s">
        <v>2768</v>
      </c>
      <c r="BL356">
        <v>1</v>
      </c>
      <c r="BM356" s="176" t="s">
        <v>2794</v>
      </c>
      <c r="BN356">
        <v>2</v>
      </c>
      <c r="BO356" t="s">
        <v>2768</v>
      </c>
      <c r="BP356">
        <v>2</v>
      </c>
      <c r="BQ356" t="s">
        <v>2776</v>
      </c>
      <c r="BR356">
        <v>1</v>
      </c>
      <c r="BS356" s="182" t="s">
        <v>3085</v>
      </c>
      <c r="BT356">
        <v>2</v>
      </c>
      <c r="BU356" t="s">
        <v>2776</v>
      </c>
      <c r="BV356">
        <v>1</v>
      </c>
      <c r="BW356" s="182" t="s">
        <v>2776</v>
      </c>
      <c r="BX356" s="179">
        <v>2</v>
      </c>
      <c r="BY356" s="176" t="s">
        <v>2794</v>
      </c>
      <c r="BZ356">
        <v>2</v>
      </c>
      <c r="CA356" s="176" t="s">
        <v>2808</v>
      </c>
      <c r="CB356">
        <v>2</v>
      </c>
    </row>
    <row r="357" spans="1:80">
      <c r="A357" s="178" t="str">
        <f ca="1">IFERROR(IF(AG356&lt;5+金蛇*2,IF(COUNTIF(B356,"*轻*")&gt;0,A356+加速!$L$9,A356+加速!$L$11)+V356,""),"")</f>
        <v/>
      </c>
      <c r="B357" s="167" t="str">
        <f ca="1" t="shared" si="93"/>
        <v/>
      </c>
      <c r="C357" t="str">
        <f ca="1" t="shared" si="103"/>
        <v/>
      </c>
      <c r="D357" t="str">
        <f ca="1">IF(B357&lt;&gt;"",IF(C356&lt;=加速!$L$11*(1-E357),0,1),"")</f>
        <v/>
      </c>
      <c r="E357">
        <f ca="1" t="shared" si="99"/>
        <v>1</v>
      </c>
      <c r="G357" t="str">
        <f ca="1" t="shared" si="100"/>
        <v/>
      </c>
      <c r="H357" t="str">
        <f ca="1">IF(B357&lt;&gt;"",IF(AND(COUNTIF(B356,"*轻*莺鸣柳*")&gt;0,COUNTIF(B357,"*轻*")&lt;1),MAX(0,15+I356-(A357-A356)+COUNTIF(B356,"*平湖*")*0),IF(AND(E357=0,MAX(0,H356-(A357-A356))&lt;=加速!$H$11),0,MAX(0,H356-(A357-A356)))),"")</f>
        <v/>
      </c>
      <c r="I357" t="str">
        <f ca="1" t="shared" si="107"/>
        <v/>
      </c>
      <c r="J357" t="str">
        <f ca="1" t="shared" si="108"/>
        <v/>
      </c>
      <c r="K357" t="str">
        <f ca="1" t="shared" si="94"/>
        <v/>
      </c>
      <c r="L357">
        <f ca="1">IFERROR(IF(AND(COUNTIF(B357,"*-峰插*"),技能数据库!$M$72&gt;0),0,IF(COUNTIF(B357,"*鹤归*")&gt;0,16-加速!$L$11,MAX(0,L356-(A357-A356)))),0)</f>
        <v>0</v>
      </c>
      <c r="M357">
        <f ca="1" t="shared" si="95"/>
        <v>0</v>
      </c>
      <c r="N357">
        <f ca="1">IFERROR(IF(AND(COUNTIF(B357,"*-峰插*"),技能数据库!$M$72&gt;0),0,IF(COUNTIF(B357,"*云飞*")&gt;0,4-COUNTIF(B357,"*玉山揽云*")*4--COUNTIF(B357,"*烟流暮景*")*4-COUNTIF(B357,"*云景*")*加速!$L$11-IF(J357&gt;0,2,0),MAX(0,N356-(A357-A356)-IF(J357&gt;0,2,0)))),0)</f>
        <v>0</v>
      </c>
      <c r="O357">
        <f ca="1">IF(AND(COUNTIF(IF(AND(配装计算器!$K$30&lt;&gt;"∞",0),INDEX(AU356:CB356,1,$AT$1),INDEX(AU358:CB358,1,$AT$1)),"*云飞*")=1,COUNTIF(IF(AND(配装计算器!$K$30&lt;&gt;"∞",0),INDEX(AU356:CB356,1,$AT$1),INDEX(AU358:CB358,1,$AT$1)),"*玉山*")=0),N357,0)</f>
        <v>0</v>
      </c>
      <c r="P357">
        <f ca="1">IFERROR(IF(COUNTIF(B357,"*云栖松*")&gt;0,50-加速!$L$11,MAX(0,P356-(A357-A356))),0)</f>
        <v>0</v>
      </c>
      <c r="Q357">
        <f ca="1">IF(COUNTIF(IF(AND(配装计算器!$K$30&lt;&gt;"∞",0),INDEX(AU356:CB356,1,$AT$1),INDEX(AU358:CB358,1,$AT$1)),"*云栖松*")=1,P357,0)</f>
        <v>0</v>
      </c>
      <c r="R357">
        <f ca="1">IFERROR(IF(COUNTIF(B357,"*莺鸣柳*")&gt;0,45-加速!$L$9,MAX(0,R356-(A357-A356))),0)</f>
        <v>0</v>
      </c>
      <c r="S357">
        <f ca="1">IF(COUNTIF(IF(AND(配装计算器!$K$30&lt;&gt;"∞",0),INDEX(AU356:CB356,1,$AT$1),INDEX(AU358:CB358,1,$AT$1)),"*莺鸣柳*")=1,R357,0)</f>
        <v>0</v>
      </c>
      <c r="T357">
        <f ca="1" t="shared" si="104"/>
        <v>0</v>
      </c>
      <c r="U357">
        <f ca="1">IF(金蛇,IF(COUNTIF(B357,"*金环戴*")+COUNTIF(B357,"*吹风醒*")&gt;0,IF(A357&lt;=3,7.125-2.625-A357-加速!$L$11,7.125+加速!$K$9-(A357+加速!$L$11-T357)),0),0)+IF(金蛇,IF(COUNTIF(B357,"*千切子裂光*")&gt;0,2+加速!$K$9-(A357+加速!$L$11-T357),0),0)</f>
        <v>0</v>
      </c>
      <c r="V357">
        <f ca="1" t="shared" si="105"/>
        <v>0</v>
      </c>
      <c r="W357">
        <f ca="1" t="shared" si="96"/>
        <v>0</v>
      </c>
      <c r="X357">
        <f ca="1">INDEX(加速!$I$13:$I$21,W357+1)</f>
        <v>0</v>
      </c>
      <c r="Y357">
        <f ca="1" t="shared" si="106"/>
        <v>0.5</v>
      </c>
      <c r="Z357">
        <f ca="1" t="shared" si="101"/>
        <v>0</v>
      </c>
      <c r="AA357">
        <f ca="1">MAX(0,IFERROR(IF(COUNTIF(B357,"*叠*")&gt;0,IF(AC356&lt;3,8-A358+A357,AA356+6.875-A358+A357),AA356-A358+A357),AA356-加速!$L$11))</f>
        <v>0</v>
      </c>
      <c r="AB357" t="e">
        <f ca="1">MAX(0,IF(COUNTIF(IF(AND(配装计算器!$K$30&lt;&gt;"∞",0),INDEX(AU357:CB357,1,$AT$1),INDEX(AU357:CB357,1,$AT$1)),"*叠1*")=1,4*25-加速!$L$11,AB356-A357+A356)-IF(OR(COUNTIF(OFFSET(AT357,0,$AT$1,1,1),"*听雷*")&gt;0,AND(碧归&gt;0,COUNTIF(OFFSET(AT357,0,$AT$1,1,1),"*风来*")&gt;0)),0,1)*1.5)</f>
        <v>#VALUE!</v>
      </c>
      <c r="AC357">
        <f ca="1" t="shared" si="97"/>
        <v>0</v>
      </c>
      <c r="AD357">
        <f ca="1">IF(COUNTIF(IF(AND(配装计算器!$K$30&lt;&gt;"∞",0),INDEX(AU357:CB357,1,$AT$1),INDEX(AU358:CB358,1,$AT$1)),"*叠1*")=1,AB357*0+AE356,0)</f>
        <v>0</v>
      </c>
      <c r="AE357" t="e">
        <f ca="1">IF($AN$11&gt;0,IF(COUNTIF(B358,"*叠1*")&gt;0,50-加速!$L$11,MAX(0,AE356-(A358-A357))),0)</f>
        <v>#VALUE!</v>
      </c>
      <c r="AG357">
        <f ca="1" t="shared" si="98"/>
        <v>10</v>
      </c>
      <c r="AU357" t="str">
        <f>IF($AN$11=1,"云飞玉皇-玉山揽云","夕照雷峰")</f>
        <v>云飞玉皇-玉山揽云</v>
      </c>
      <c r="AV357">
        <v>2</v>
      </c>
      <c r="AW357" t="s">
        <v>2768</v>
      </c>
      <c r="AX357">
        <v>2</v>
      </c>
      <c r="AY357" t="s">
        <v>2722</v>
      </c>
      <c r="AZ357">
        <v>0</v>
      </c>
      <c r="BA357" t="s">
        <v>2768</v>
      </c>
      <c r="BB357">
        <v>2</v>
      </c>
      <c r="BC357" s="176" t="s">
        <v>3026</v>
      </c>
      <c r="BD357">
        <v>2</v>
      </c>
      <c r="BE357" t="s">
        <v>2776</v>
      </c>
      <c r="BF357">
        <v>2</v>
      </c>
      <c r="BG357" t="s">
        <v>3067</v>
      </c>
      <c r="BH357">
        <v>0</v>
      </c>
      <c r="BI357" t="s">
        <v>2768</v>
      </c>
      <c r="BJ357">
        <v>2</v>
      </c>
      <c r="BK357" t="s">
        <v>2768</v>
      </c>
      <c r="BL357">
        <v>1</v>
      </c>
      <c r="BM357" s="176" t="s">
        <v>2768</v>
      </c>
      <c r="BN357">
        <v>2</v>
      </c>
      <c r="BO357" t="s">
        <v>2768</v>
      </c>
      <c r="BP357">
        <v>2</v>
      </c>
      <c r="BQ357" t="s">
        <v>2768</v>
      </c>
      <c r="BR357">
        <v>1</v>
      </c>
      <c r="BS357" s="182" t="s">
        <v>3084</v>
      </c>
      <c r="BT357">
        <v>2</v>
      </c>
      <c r="BU357" t="str">
        <f>IF(秋,"云栖松","泉凝月")</f>
        <v>泉凝月</v>
      </c>
      <c r="BV357">
        <v>0</v>
      </c>
      <c r="BW357" s="182" t="s">
        <v>2768</v>
      </c>
      <c r="BX357" s="179">
        <v>1</v>
      </c>
      <c r="BY357" s="176" t="s">
        <v>2768</v>
      </c>
      <c r="BZ357">
        <v>2</v>
      </c>
      <c r="CA357" t="s">
        <v>2768</v>
      </c>
      <c r="CB357">
        <v>2</v>
      </c>
    </row>
    <row r="358" spans="1:80">
      <c r="A358" s="178" t="str">
        <f ca="1">IFERROR(IF(AG357&lt;5+金蛇*2,IF(COUNTIF(B357,"*轻*")&gt;0,A357+加速!$L$9,A357+加速!$L$11)+V357,""),"")</f>
        <v/>
      </c>
      <c r="B358" s="167" t="str">
        <f ca="1" t="shared" si="93"/>
        <v/>
      </c>
      <c r="C358" t="str">
        <f ca="1" t="shared" si="103"/>
        <v/>
      </c>
      <c r="D358" t="str">
        <f ca="1">IF(B358&lt;&gt;"",IF(C357&lt;=加速!$L$11*(1-E358),0,1),"")</f>
        <v/>
      </c>
      <c r="E358">
        <f ca="1" t="shared" si="99"/>
        <v>1</v>
      </c>
      <c r="G358" t="str">
        <f ca="1" t="shared" si="100"/>
        <v/>
      </c>
      <c r="H358" t="str">
        <f ca="1">IF(B358&lt;&gt;"",IF(AND(COUNTIF(B357,"*轻*莺鸣柳*")&gt;0,COUNTIF(B358,"*轻*")&lt;1),MAX(0,15+I357-(A358-A357)+COUNTIF(B357,"*平湖*")*0),IF(AND(E358=0,MAX(0,H357-(A358-A357))&lt;=加速!$H$11),0,MAX(0,H357-(A358-A357)))),"")</f>
        <v/>
      </c>
      <c r="I358" t="str">
        <f ca="1" t="shared" si="107"/>
        <v/>
      </c>
      <c r="J358" t="str">
        <f ca="1" t="shared" si="108"/>
        <v/>
      </c>
      <c r="K358" t="str">
        <f ca="1" t="shared" si="94"/>
        <v/>
      </c>
      <c r="L358">
        <f ca="1">IFERROR(IF(AND(COUNTIF(B358,"*-峰插*"),技能数据库!$M$72&gt;0),0,IF(COUNTIF(B358,"*鹤归*")&gt;0,16-加速!$L$11,MAX(0,L357-(A358-A357)))),0)</f>
        <v>0</v>
      </c>
      <c r="M358">
        <f ca="1" t="shared" si="95"/>
        <v>0</v>
      </c>
      <c r="N358">
        <f ca="1">IFERROR(IF(AND(COUNTIF(B358,"*-峰插*"),技能数据库!$M$72&gt;0),0,IF(COUNTIF(B358,"*云飞*")&gt;0,4-COUNTIF(B358,"*玉山揽云*")*4--COUNTIF(B358,"*烟流暮景*")*4-COUNTIF(B358,"*云景*")*加速!$L$11-IF(J358&gt;0,2,0),MAX(0,N357-(A358-A357)-IF(J358&gt;0,2,0)))),0)</f>
        <v>0</v>
      </c>
      <c r="O358">
        <f ca="1">IF(AND(COUNTIF(IF(AND(配装计算器!$K$30&lt;&gt;"∞",0),INDEX(AU357:CB357,1,$AT$1),INDEX(AU359:CB359,1,$AT$1)),"*云飞*")=1,COUNTIF(IF(AND(配装计算器!$K$30&lt;&gt;"∞",0),INDEX(AU357:CB357,1,$AT$1),INDEX(AU359:CB359,1,$AT$1)),"*玉山*")=0),N358,0)</f>
        <v>0</v>
      </c>
      <c r="P358">
        <f ca="1">IFERROR(IF(COUNTIF(B358,"*云栖松*")&gt;0,50-加速!$L$11,MAX(0,P357-(A358-A357))),0)</f>
        <v>0</v>
      </c>
      <c r="Q358">
        <f ca="1">IF(COUNTIF(IF(AND(配装计算器!$K$30&lt;&gt;"∞",0),INDEX(AU357:CB357,1,$AT$1),INDEX(AU359:CB359,1,$AT$1)),"*云栖松*")=1,P358,0)</f>
        <v>0</v>
      </c>
      <c r="R358">
        <f ca="1">IFERROR(IF(COUNTIF(B358,"*莺鸣柳*")&gt;0,45-加速!$L$9,MAX(0,R357-(A358-A357))),0)</f>
        <v>0</v>
      </c>
      <c r="S358">
        <f ca="1">IF(COUNTIF(IF(AND(配装计算器!$K$30&lt;&gt;"∞",0),INDEX(AU357:CB357,1,$AT$1),INDEX(AU359:CB359,1,$AT$1)),"*莺鸣柳*")=1,R358,0)</f>
        <v>0</v>
      </c>
      <c r="T358">
        <f ca="1" t="shared" si="104"/>
        <v>0</v>
      </c>
      <c r="U358">
        <f ca="1">IF(金蛇,IF(COUNTIF(B358,"*金环戴*")+COUNTIF(B358,"*吹风醒*")&gt;0,IF(A358&lt;=3,7.125-2.625-A358-加速!$L$11,7.125+加速!$K$9-(A358+加速!$L$11-T358)),0),0)+IF(金蛇,IF(COUNTIF(B358,"*千切子裂光*")&gt;0,2+加速!$K$9-(A358+加速!$L$11-T358),0),0)</f>
        <v>0</v>
      </c>
      <c r="V358">
        <f ca="1" t="shared" si="105"/>
        <v>0</v>
      </c>
      <c r="W358">
        <f ca="1" t="shared" si="96"/>
        <v>0</v>
      </c>
      <c r="X358">
        <f ca="1">INDEX(加速!$I$13:$I$21,W358+1)</f>
        <v>0</v>
      </c>
      <c r="Y358">
        <f ca="1" t="shared" si="106"/>
        <v>0.5</v>
      </c>
      <c r="Z358">
        <f ca="1" t="shared" si="101"/>
        <v>0</v>
      </c>
      <c r="AA358">
        <f ca="1">MAX(0,IFERROR(IF(COUNTIF(B358,"*叠*")&gt;0,IF(AC357&lt;3,8-A359+A358,AA357+6.875-A359+A358),AA357-A359+A358),AA357-加速!$L$11))</f>
        <v>0</v>
      </c>
      <c r="AB358" t="e">
        <f ca="1">MAX(0,IF(COUNTIF(IF(AND(配装计算器!$K$30&lt;&gt;"∞",0),INDEX(AU358:CB358,1,$AT$1),INDEX(AU358:CB358,1,$AT$1)),"*叠1*")=1,4*25-加速!$L$11,AB357-A358+A357)-IF(OR(COUNTIF(OFFSET(AT358,0,$AT$1,1,1),"*听雷*")&gt;0,AND(碧归&gt;0,COUNTIF(OFFSET(AT358,0,$AT$1,1,1),"*风来*")&gt;0)),0,1)*1.5)</f>
        <v>#VALUE!</v>
      </c>
      <c r="AC358">
        <f ca="1" t="shared" si="97"/>
        <v>0</v>
      </c>
      <c r="AD358">
        <f ca="1">IF(COUNTIF(IF(AND(配装计算器!$K$30&lt;&gt;"∞",0),INDEX(AU358:CB358,1,$AT$1),INDEX(AU359:CB359,1,$AT$1)),"*叠1*")=1,AB358*0+AE357,0)</f>
        <v>0</v>
      </c>
      <c r="AE358" t="e">
        <f ca="1">IF($AN$11&gt;0,IF(COUNTIF(B359,"*叠1*")&gt;0,50-加速!$L$11,MAX(0,AE357-(A359-A358))),0)</f>
        <v>#VALUE!</v>
      </c>
      <c r="AG358">
        <f ca="1" t="shared" si="98"/>
        <v>10</v>
      </c>
      <c r="AU358" t="str">
        <f>IF($AN$11=1,"云飞玉皇-玉山揽云","云飞玉皇")</f>
        <v>云飞玉皇-玉山揽云</v>
      </c>
      <c r="AV358">
        <v>2</v>
      </c>
      <c r="AW358" t="s">
        <v>2776</v>
      </c>
      <c r="AX358">
        <v>2</v>
      </c>
      <c r="AY358" t="s">
        <v>2776</v>
      </c>
      <c r="AZ358">
        <v>2</v>
      </c>
      <c r="BA358" t="s">
        <v>2768</v>
      </c>
      <c r="BB358">
        <v>2</v>
      </c>
      <c r="BC358" s="176" t="s">
        <v>3026</v>
      </c>
      <c r="BD358">
        <v>2</v>
      </c>
      <c r="BE358" t="s">
        <v>2768</v>
      </c>
      <c r="BF358">
        <v>2</v>
      </c>
      <c r="BG358" t="s">
        <v>2768</v>
      </c>
      <c r="BH358">
        <v>2</v>
      </c>
      <c r="BI358" t="s">
        <v>2776</v>
      </c>
      <c r="BJ358">
        <v>2</v>
      </c>
      <c r="BK358" t="s">
        <v>2794</v>
      </c>
      <c r="BL358">
        <v>0</v>
      </c>
      <c r="BM358" s="176" t="s">
        <v>2776</v>
      </c>
      <c r="BN358">
        <v>2</v>
      </c>
      <c r="BO358" t="s">
        <v>2768</v>
      </c>
      <c r="BP358">
        <v>2</v>
      </c>
      <c r="BQ358" t="s">
        <v>2776</v>
      </c>
      <c r="BR358">
        <v>1</v>
      </c>
      <c r="BS358" s="176" t="s">
        <v>2768</v>
      </c>
      <c r="BT358">
        <v>2</v>
      </c>
      <c r="BU358" t="s">
        <v>2768</v>
      </c>
      <c r="BV358">
        <v>0</v>
      </c>
      <c r="BW358" s="182" t="s">
        <v>2776</v>
      </c>
      <c r="BX358" s="179">
        <v>1</v>
      </c>
      <c r="BY358" s="176" t="s">
        <v>2776</v>
      </c>
      <c r="BZ358">
        <v>2</v>
      </c>
      <c r="CA358" t="s">
        <v>2776</v>
      </c>
      <c r="CB358">
        <v>2</v>
      </c>
    </row>
    <row r="359" spans="1:80">
      <c r="A359" s="178" t="str">
        <f ca="1">IFERROR(IF(AG358&lt;5+金蛇*2,IF(COUNTIF(B358,"*轻*")&gt;0,A358+加速!$L$9,A358+加速!$L$11)+V358,""),"")</f>
        <v/>
      </c>
      <c r="B359" s="167" t="str">
        <f ca="1" t="shared" si="93"/>
        <v/>
      </c>
      <c r="C359" t="str">
        <f ca="1" t="shared" si="103"/>
        <v/>
      </c>
      <c r="D359" t="str">
        <f ca="1">IF(B359&lt;&gt;"",IF(C358&lt;=加速!$L$11*(1-E359),0,1),"")</f>
        <v/>
      </c>
      <c r="E359">
        <f ca="1" t="shared" si="99"/>
        <v>1</v>
      </c>
      <c r="G359" t="str">
        <f ca="1" t="shared" si="100"/>
        <v/>
      </c>
      <c r="H359" t="str">
        <f ca="1">IF(B359&lt;&gt;"",IF(AND(COUNTIF(B358,"*轻*莺鸣柳*")&gt;0,COUNTIF(B359,"*轻*")&lt;1),MAX(0,15+I358-(A359-A358)+COUNTIF(B358,"*平湖*")*0),IF(AND(E359=0,MAX(0,H358-(A359-A358))&lt;=加速!$H$11),0,MAX(0,H358-(A359-A358)))),"")</f>
        <v/>
      </c>
      <c r="I359" t="str">
        <f ca="1" t="shared" si="107"/>
        <v/>
      </c>
      <c r="J359" t="str">
        <f ca="1" t="shared" si="108"/>
        <v/>
      </c>
      <c r="K359" t="str">
        <f ca="1" t="shared" si="94"/>
        <v/>
      </c>
      <c r="L359">
        <f ca="1">IFERROR(IF(AND(COUNTIF(B359,"*-峰插*"),技能数据库!$M$72&gt;0),0,IF(COUNTIF(B359,"*鹤归*")&gt;0,16-加速!$L$11,MAX(0,L358-(A359-A358)))),0)</f>
        <v>0</v>
      </c>
      <c r="M359">
        <f ca="1" t="shared" si="95"/>
        <v>0</v>
      </c>
      <c r="N359">
        <f ca="1">IFERROR(IF(AND(COUNTIF(B359,"*-峰插*"),技能数据库!$M$72&gt;0),0,IF(COUNTIF(B359,"*云飞*")&gt;0,4-COUNTIF(B359,"*玉山揽云*")*4--COUNTIF(B359,"*烟流暮景*")*4-COUNTIF(B359,"*云景*")*加速!$L$11-IF(J359&gt;0,2,0),MAX(0,N358-(A359-A358)-IF(J359&gt;0,2,0)))),0)</f>
        <v>0</v>
      </c>
      <c r="O359">
        <f ca="1">IF(AND(COUNTIF(IF(AND(配装计算器!$K$30&lt;&gt;"∞",0),INDEX(AU358:CB358,1,$AT$1),INDEX(AU360:CB360,1,$AT$1)),"*云飞*")=1,COUNTIF(IF(AND(配装计算器!$K$30&lt;&gt;"∞",0),INDEX(AU358:CB358,1,$AT$1),INDEX(AU360:CB360,1,$AT$1)),"*玉山*")=0),N359,0)</f>
        <v>0</v>
      </c>
      <c r="P359">
        <f ca="1">IFERROR(IF(COUNTIF(B359,"*云栖松*")&gt;0,50-加速!$L$11,MAX(0,P358-(A359-A358))),0)</f>
        <v>0</v>
      </c>
      <c r="Q359">
        <f ca="1">IF(COUNTIF(IF(AND(配装计算器!$K$30&lt;&gt;"∞",0),INDEX(AU358:CB358,1,$AT$1),INDEX(AU360:CB360,1,$AT$1)),"*云栖松*")=1,P359,0)</f>
        <v>0</v>
      </c>
      <c r="R359">
        <f ca="1">IFERROR(IF(COUNTIF(B359,"*莺鸣柳*")&gt;0,45-加速!$L$9,MAX(0,R358-(A359-A358))),0)</f>
        <v>0</v>
      </c>
      <c r="S359">
        <f ca="1">IF(COUNTIF(IF(AND(配装计算器!$K$30&lt;&gt;"∞",0),INDEX(AU358:CB358,1,$AT$1),INDEX(AU360:CB360,1,$AT$1)),"*莺鸣柳*")=1,R359,0)</f>
        <v>0</v>
      </c>
      <c r="T359">
        <f ca="1" t="shared" si="104"/>
        <v>0</v>
      </c>
      <c r="U359">
        <f ca="1">IF(金蛇,IF(COUNTIF(B359,"*金环戴*")+COUNTIF(B359,"*吹风醒*")&gt;0,IF(A359&lt;=3,7.125-2.625-A359-加速!$L$11,7.125+加速!$K$9-(A359+加速!$L$11-T359)),0),0)+IF(金蛇,IF(COUNTIF(B359,"*千切子裂光*")&gt;0,2+加速!$K$9-(A359+加速!$L$11-T359),0),0)</f>
        <v>0</v>
      </c>
      <c r="V359">
        <f ca="1" t="shared" si="105"/>
        <v>0</v>
      </c>
      <c r="W359">
        <f ca="1" t="shared" si="96"/>
        <v>0</v>
      </c>
      <c r="X359">
        <f ca="1">INDEX(加速!$I$13:$I$21,W359+1)</f>
        <v>0</v>
      </c>
      <c r="Y359">
        <f ca="1" t="shared" si="106"/>
        <v>0.5</v>
      </c>
      <c r="Z359">
        <f ca="1" t="shared" si="101"/>
        <v>0</v>
      </c>
      <c r="AA359">
        <f ca="1">MAX(0,IFERROR(IF(COUNTIF(B359,"*叠*")&gt;0,IF(AC358&lt;3,8-A360+A359,AA358+6.875-A360+A359),AA358-A360+A359),AA358-加速!$L$11))</f>
        <v>0</v>
      </c>
      <c r="AB359" t="e">
        <f ca="1">MAX(0,IF(COUNTIF(IF(AND(配装计算器!$K$30&lt;&gt;"∞",0),INDEX(AU359:CB359,1,$AT$1),INDEX(AU359:CB359,1,$AT$1)),"*叠1*")=1,4*25-加速!$L$11,AB358-A359+A358)-IF(OR(COUNTIF(OFFSET(AT359,0,$AT$1,1,1),"*听雷*")&gt;0,AND(碧归&gt;0,COUNTIF(OFFSET(AT359,0,$AT$1,1,1),"*风来*")&gt;0)),0,1)*1.5)</f>
        <v>#VALUE!</v>
      </c>
      <c r="AC359">
        <f ca="1" t="shared" si="97"/>
        <v>0</v>
      </c>
      <c r="AD359">
        <f ca="1">IF(COUNTIF(IF(AND(配装计算器!$K$30&lt;&gt;"∞",0),INDEX(AU359:CB359,1,$AT$1),INDEX(AU360:CB360,1,$AT$1)),"*叠1*")=1,AB359*0+AE358,0)</f>
        <v>0</v>
      </c>
      <c r="AE359" t="e">
        <f ca="1">IF($AN$11&gt;0,IF(COUNTIF(B360,"*叠1*")&gt;0,50-加速!$L$11,MAX(0,AE358-(A360-A359))),0)</f>
        <v>#VALUE!</v>
      </c>
      <c r="AG359">
        <f ca="1" t="shared" si="98"/>
        <v>10</v>
      </c>
      <c r="AU359" t="str">
        <f>IF($AN$11=1,"云飞玉皇-玉山揽云","夕照雷峰")</f>
        <v>云飞玉皇-玉山揽云</v>
      </c>
      <c r="AV359">
        <v>2</v>
      </c>
      <c r="AW359" t="s">
        <v>2768</v>
      </c>
      <c r="AX359">
        <v>2</v>
      </c>
      <c r="AY359" t="s">
        <v>2768</v>
      </c>
      <c r="AZ359">
        <v>2</v>
      </c>
      <c r="BA359" t="s">
        <v>2768</v>
      </c>
      <c r="BB359">
        <v>1</v>
      </c>
      <c r="BC359" t="s">
        <v>3013</v>
      </c>
      <c r="BD359">
        <v>2</v>
      </c>
      <c r="BE359" t="s">
        <v>2776</v>
      </c>
      <c r="BF359">
        <v>1</v>
      </c>
      <c r="BG359" t="s">
        <v>2768</v>
      </c>
      <c r="BH359">
        <v>2</v>
      </c>
      <c r="BI359" t="s">
        <v>2768</v>
      </c>
      <c r="BJ359">
        <v>2</v>
      </c>
      <c r="BK359" t="s">
        <v>2776</v>
      </c>
      <c r="BL359">
        <v>0</v>
      </c>
      <c r="BM359" s="176" t="s">
        <v>2768</v>
      </c>
      <c r="BN359">
        <v>2</v>
      </c>
      <c r="BO359" t="s">
        <v>2776</v>
      </c>
      <c r="BP359">
        <v>2</v>
      </c>
      <c r="BQ359" t="s">
        <v>2768</v>
      </c>
      <c r="BR359">
        <v>0</v>
      </c>
      <c r="BS359" s="176" t="s">
        <v>2768</v>
      </c>
      <c r="BT359">
        <v>2</v>
      </c>
      <c r="BU359" t="s">
        <v>2776</v>
      </c>
      <c r="BV359">
        <v>0</v>
      </c>
      <c r="BW359" s="182" t="s">
        <v>2768</v>
      </c>
      <c r="BX359" s="179">
        <v>1</v>
      </c>
      <c r="BY359" s="176" t="s">
        <v>2768</v>
      </c>
      <c r="BZ359">
        <v>2</v>
      </c>
      <c r="CA359" t="s">
        <v>2768</v>
      </c>
      <c r="CB359">
        <v>2</v>
      </c>
    </row>
    <row r="360" spans="1:80">
      <c r="A360" s="178" t="str">
        <f ca="1">IFERROR(IF(AG359&lt;5+金蛇*2,IF(COUNTIF(B359,"*轻*")&gt;0,A359+加速!$L$9,A359+加速!$L$11)+V359,""),"")</f>
        <v/>
      </c>
      <c r="B360" s="167" t="str">
        <f ca="1" t="shared" si="93"/>
        <v/>
      </c>
      <c r="C360" t="str">
        <f ca="1" t="shared" si="103"/>
        <v/>
      </c>
      <c r="D360" t="str">
        <f ca="1">IF(B360&lt;&gt;"",IF(C359&lt;=加速!$L$11*(1-E360),0,1),"")</f>
        <v/>
      </c>
      <c r="E360">
        <f ca="1" t="shared" si="99"/>
        <v>1</v>
      </c>
      <c r="G360" t="str">
        <f ca="1" t="shared" si="100"/>
        <v/>
      </c>
      <c r="H360" t="str">
        <f ca="1">IF(B360&lt;&gt;"",IF(AND(COUNTIF(B359,"*轻*莺鸣柳*")&gt;0,COUNTIF(B360,"*轻*")&lt;1),MAX(0,15+I359-(A360-A359)+COUNTIF(B359,"*平湖*")*0),IF(AND(E360=0,MAX(0,H359-(A360-A359))&lt;=加速!$H$11),0,MAX(0,H359-(A360-A359)))),"")</f>
        <v/>
      </c>
      <c r="I360" t="str">
        <f ca="1" t="shared" si="107"/>
        <v/>
      </c>
      <c r="J360" t="str">
        <f ca="1" t="shared" si="108"/>
        <v/>
      </c>
      <c r="K360" t="str">
        <f ca="1" t="shared" si="94"/>
        <v/>
      </c>
      <c r="L360">
        <f ca="1">IFERROR(IF(AND(COUNTIF(B360,"*-峰插*"),技能数据库!$M$72&gt;0),0,IF(COUNTIF(B360,"*鹤归*")&gt;0,16-加速!$L$11,MAX(0,L359-(A360-A359)))),0)</f>
        <v>0</v>
      </c>
      <c r="M360">
        <f ca="1" t="shared" si="95"/>
        <v>0</v>
      </c>
      <c r="N360">
        <f ca="1">IFERROR(IF(AND(COUNTIF(B360,"*-峰插*"),技能数据库!$M$72&gt;0),0,IF(COUNTIF(B360,"*云飞*")&gt;0,4-COUNTIF(B360,"*玉山揽云*")*4--COUNTIF(B360,"*烟流暮景*")*4-COUNTIF(B360,"*云景*")*加速!$L$11-IF(J360&gt;0,2,0),MAX(0,N359-(A360-A359)-IF(J360&gt;0,2,0)))),0)</f>
        <v>0</v>
      </c>
      <c r="O360">
        <f ca="1">IF(AND(COUNTIF(IF(AND(配装计算器!$K$30&lt;&gt;"∞",0),INDEX(AU359:CB359,1,$AT$1),INDEX(AU361:CB361,1,$AT$1)),"*云飞*")=1,COUNTIF(IF(AND(配装计算器!$K$30&lt;&gt;"∞",0),INDEX(AU359:CB359,1,$AT$1),INDEX(AU361:CB361,1,$AT$1)),"*玉山*")=0),N360,0)</f>
        <v>0</v>
      </c>
      <c r="P360">
        <f ca="1">IFERROR(IF(COUNTIF(B360,"*云栖松*")&gt;0,50-加速!$L$11,MAX(0,P359-(A360-A359))),0)</f>
        <v>0</v>
      </c>
      <c r="Q360">
        <f ca="1">IF(COUNTIF(IF(AND(配装计算器!$K$30&lt;&gt;"∞",0),INDEX(AU359:CB359,1,$AT$1),INDEX(AU361:CB361,1,$AT$1)),"*云栖松*")=1,P360,0)</f>
        <v>0</v>
      </c>
      <c r="R360">
        <f ca="1">IFERROR(IF(COUNTIF(B360,"*莺鸣柳*")&gt;0,45-加速!$L$9,MAX(0,R359-(A360-A359))),0)</f>
        <v>0</v>
      </c>
      <c r="S360">
        <f ca="1">IF(COUNTIF(IF(AND(配装计算器!$K$30&lt;&gt;"∞",0),INDEX(AU359:CB359,1,$AT$1),INDEX(AU361:CB361,1,$AT$1)),"*莺鸣柳*")=1,R360,0)</f>
        <v>0</v>
      </c>
      <c r="T360">
        <f ca="1" t="shared" si="104"/>
        <v>0</v>
      </c>
      <c r="U360">
        <f ca="1">IF(金蛇,IF(COUNTIF(B360,"*金环戴*")+COUNTIF(B360,"*吹风醒*")&gt;0,IF(A360&lt;=3,7.125-2.625-A360-加速!$L$11,7.125+加速!$K$9-(A360+加速!$L$11-T360)),0),0)+IF(金蛇,IF(COUNTIF(B360,"*千切子裂光*")&gt;0,2+加速!$K$9-(A360+加速!$L$11-T360),0),0)</f>
        <v>0</v>
      </c>
      <c r="V360">
        <f ca="1" t="shared" si="105"/>
        <v>0</v>
      </c>
      <c r="W360">
        <f ca="1" t="shared" si="96"/>
        <v>0</v>
      </c>
      <c r="X360">
        <f ca="1">INDEX(加速!$I$13:$I$21,W360+1)</f>
        <v>0</v>
      </c>
      <c r="Y360">
        <f ca="1" t="shared" si="106"/>
        <v>0.5</v>
      </c>
      <c r="Z360">
        <f ca="1" t="shared" si="101"/>
        <v>0</v>
      </c>
      <c r="AA360">
        <f ca="1">MAX(0,IFERROR(IF(COUNTIF(B360,"*叠*")&gt;0,IF(AC359&lt;3,8-A361+A360,AA359+6.875-A361+A360),AA359-A361+A360),AA359-加速!$L$11))</f>
        <v>0</v>
      </c>
      <c r="AB360" t="e">
        <f ca="1">MAX(0,IF(COUNTIF(IF(AND(配装计算器!$K$30&lt;&gt;"∞",0),INDEX(AU360:CB360,1,$AT$1),INDEX(AU360:CB360,1,$AT$1)),"*叠1*")=1,4*25-加速!$L$11,AB359-A360+A359)-IF(OR(COUNTIF(OFFSET(AT360,0,$AT$1,1,1),"*听雷*")&gt;0,AND(碧归&gt;0,COUNTIF(OFFSET(AT360,0,$AT$1,1,1),"*风来*")&gt;0)),0,1)*1.5)</f>
        <v>#VALUE!</v>
      </c>
      <c r="AC360">
        <f ca="1" t="shared" si="97"/>
        <v>0</v>
      </c>
      <c r="AD360">
        <f ca="1">IF(COUNTIF(IF(AND(配装计算器!$K$30&lt;&gt;"∞",0),INDEX(AU360:CB360,1,$AT$1),INDEX(AU361:CB361,1,$AT$1)),"*叠1*")=1,AB360*0+AE359,0)</f>
        <v>0</v>
      </c>
      <c r="AE360" t="e">
        <f ca="1">IF($AN$11&gt;0,IF(COUNTIF(B361,"*叠1*")&gt;0,50-加速!$L$11,MAX(0,AE359-(A361-A360))),0)</f>
        <v>#VALUE!</v>
      </c>
      <c r="AG360">
        <f ca="1" t="shared" si="98"/>
        <v>10</v>
      </c>
      <c r="AU360" t="str">
        <f>IF($AN$11=1,橙武补雾锁,"夕照雷峰")</f>
        <v>云飞玉皇-玉山揽云</v>
      </c>
      <c r="AV360">
        <v>2</v>
      </c>
      <c r="AW360" s="176" t="s">
        <v>2794</v>
      </c>
      <c r="AX360">
        <v>2</v>
      </c>
      <c r="AY360" t="s">
        <v>2768</v>
      </c>
      <c r="AZ360">
        <v>2</v>
      </c>
      <c r="BA360" t="s">
        <v>2776</v>
      </c>
      <c r="BB360">
        <v>1</v>
      </c>
      <c r="BC360" t="s">
        <v>2808</v>
      </c>
      <c r="BD360">
        <v>2</v>
      </c>
      <c r="BE360" t="s">
        <v>2768</v>
      </c>
      <c r="BF360">
        <v>1</v>
      </c>
      <c r="BG360" s="176" t="s">
        <v>2794</v>
      </c>
      <c r="BH360">
        <v>1</v>
      </c>
      <c r="BI360" t="s">
        <v>2808</v>
      </c>
      <c r="BJ360">
        <v>2</v>
      </c>
      <c r="BK360" t="s">
        <v>2768</v>
      </c>
      <c r="BL360">
        <v>0</v>
      </c>
      <c r="BM360" s="176" t="s">
        <v>2776</v>
      </c>
      <c r="BN360">
        <v>2</v>
      </c>
      <c r="BO360" t="s">
        <v>2768</v>
      </c>
      <c r="BP360">
        <v>1</v>
      </c>
      <c r="BQ360" t="str">
        <f>IF(秋,"云栖松","泉凝月")</f>
        <v>泉凝月</v>
      </c>
      <c r="BR360">
        <v>0</v>
      </c>
      <c r="BS360" s="176" t="s">
        <v>2768</v>
      </c>
      <c r="BT360">
        <v>2</v>
      </c>
      <c r="BU360" t="s">
        <v>1886</v>
      </c>
      <c r="BV360">
        <v>0</v>
      </c>
      <c r="BW360" s="182" t="s">
        <v>2776</v>
      </c>
      <c r="BX360" s="179">
        <v>1</v>
      </c>
      <c r="BY360" s="176" t="s">
        <v>2776</v>
      </c>
      <c r="BZ360">
        <v>2</v>
      </c>
      <c r="CA360" t="s">
        <v>2768</v>
      </c>
      <c r="CB360">
        <v>2</v>
      </c>
    </row>
    <row r="361" spans="1:80">
      <c r="A361" s="178" t="str">
        <f ca="1">IFERROR(IF(AG360&lt;5+金蛇*2,IF(COUNTIF(B360,"*轻*")&gt;0,A360+加速!$L$9,A360+加速!$L$11)+V360,""),"")</f>
        <v/>
      </c>
      <c r="B361" s="167" t="str">
        <f ca="1" t="shared" si="93"/>
        <v/>
      </c>
      <c r="C361" t="str">
        <f ca="1" t="shared" si="103"/>
        <v/>
      </c>
      <c r="D361" t="str">
        <f ca="1">IF(B361&lt;&gt;"",IF(C360&lt;=加速!$L$11*(1-E361),0,1),"")</f>
        <v/>
      </c>
      <c r="E361">
        <f ca="1" t="shared" si="99"/>
        <v>1</v>
      </c>
      <c r="G361" t="str">
        <f ca="1" t="shared" si="100"/>
        <v/>
      </c>
      <c r="H361" t="str">
        <f ca="1">IF(B361&lt;&gt;"",IF(AND(COUNTIF(B360,"*轻*莺鸣柳*")&gt;0,COUNTIF(B361,"*轻*")&lt;1),MAX(0,15+I360-(A361-A360)+COUNTIF(B360,"*平湖*")*0),IF(AND(E361=0,MAX(0,H360-(A361-A360))&lt;=加速!$H$11),0,MAX(0,H360-(A361-A360)))),"")</f>
        <v/>
      </c>
      <c r="I361" t="str">
        <f ca="1" t="shared" si="107"/>
        <v/>
      </c>
      <c r="J361" t="str">
        <f ca="1" t="shared" si="108"/>
        <v/>
      </c>
      <c r="K361" t="str">
        <f ca="1" t="shared" si="94"/>
        <v/>
      </c>
      <c r="L361">
        <f ca="1">IFERROR(IF(AND(COUNTIF(B361,"*-峰插*"),技能数据库!$M$72&gt;0),0,IF(COUNTIF(B361,"*鹤归*")&gt;0,16-加速!$L$11,MAX(0,L360-(A361-A360)))),0)</f>
        <v>0</v>
      </c>
      <c r="M361">
        <f ca="1" t="shared" si="95"/>
        <v>0</v>
      </c>
      <c r="N361">
        <f ca="1">IFERROR(IF(AND(COUNTIF(B361,"*-峰插*"),技能数据库!$M$72&gt;0),0,IF(COUNTIF(B361,"*云飞*")&gt;0,4-COUNTIF(B361,"*玉山揽云*")*4--COUNTIF(B361,"*烟流暮景*")*4-COUNTIF(B361,"*云景*")*加速!$L$11-IF(J361&gt;0,2,0),MAX(0,N360-(A361-A360)-IF(J361&gt;0,2,0)))),0)</f>
        <v>0</v>
      </c>
      <c r="O361">
        <f ca="1">IF(AND(COUNTIF(IF(AND(配装计算器!$K$30&lt;&gt;"∞",0),INDEX(AU360:CB360,1,$AT$1),INDEX(AU362:CB362,1,$AT$1)),"*云飞*")=1,COUNTIF(IF(AND(配装计算器!$K$30&lt;&gt;"∞",0),INDEX(AU360:CB360,1,$AT$1),INDEX(AU362:CB362,1,$AT$1)),"*玉山*")=0),N361,0)</f>
        <v>0</v>
      </c>
      <c r="P361">
        <f ca="1">IFERROR(IF(COUNTIF(B361,"*云栖松*")&gt;0,50-加速!$L$11,MAX(0,P360-(A361-A360))),0)</f>
        <v>0</v>
      </c>
      <c r="Q361">
        <f ca="1">IF(COUNTIF(IF(AND(配装计算器!$K$30&lt;&gt;"∞",0),INDEX(AU360:CB360,1,$AT$1),INDEX(AU362:CB362,1,$AT$1)),"*云栖松*")=1,P361,0)</f>
        <v>0</v>
      </c>
      <c r="R361">
        <f ca="1">IFERROR(IF(COUNTIF(B361,"*莺鸣柳*")&gt;0,45-加速!$L$9,MAX(0,R360-(A361-A360))),0)</f>
        <v>0</v>
      </c>
      <c r="S361">
        <f ca="1">IF(COUNTIF(IF(AND(配装计算器!$K$30&lt;&gt;"∞",0),INDEX(AU360:CB360,1,$AT$1),INDEX(AU362:CB362,1,$AT$1)),"*莺鸣柳*")=1,R361,0)</f>
        <v>0</v>
      </c>
      <c r="T361">
        <f ca="1" t="shared" si="104"/>
        <v>0</v>
      </c>
      <c r="U361">
        <f ca="1">IF(金蛇,IF(COUNTIF(B361,"*金环戴*")+COUNTIF(B361,"*吹风醒*")&gt;0,IF(A361&lt;=3,7.125-2.625-A361-加速!$L$11,7.125+加速!$K$9-(A361+加速!$L$11-T361)),0),0)+IF(金蛇,IF(COUNTIF(B361,"*千切子裂光*")&gt;0,2+加速!$K$9-(A361+加速!$L$11-T361),0),0)</f>
        <v>0</v>
      </c>
      <c r="V361">
        <f ca="1" t="shared" si="105"/>
        <v>0</v>
      </c>
      <c r="W361">
        <f ca="1" t="shared" si="96"/>
        <v>0</v>
      </c>
      <c r="X361">
        <f ca="1">INDEX(加速!$I$13:$I$21,W361+1)</f>
        <v>0</v>
      </c>
      <c r="Y361">
        <f ca="1" t="shared" si="106"/>
        <v>0.5</v>
      </c>
      <c r="Z361">
        <f ca="1" t="shared" si="101"/>
        <v>0</v>
      </c>
      <c r="AA361">
        <f ca="1">MAX(0,IFERROR(IF(COUNTIF(B361,"*叠*")&gt;0,IF(AC360&lt;3,8-A362+A361,AA360+6.875-A362+A361),AA360-A362+A361),AA360-加速!$L$11))</f>
        <v>0</v>
      </c>
      <c r="AB361" t="e">
        <f ca="1">MAX(0,IF(COUNTIF(IF(AND(配装计算器!$K$30&lt;&gt;"∞",0),INDEX(AU361:CB361,1,$AT$1),INDEX(AU361:CB361,1,$AT$1)),"*叠1*")=1,4*25-加速!$L$11,AB360-A361+A360)-IF(OR(COUNTIF(OFFSET(AT361,0,$AT$1,1,1),"*听雷*")&gt;0,AND(碧归&gt;0,COUNTIF(OFFSET(AT361,0,$AT$1,1,1),"*风来*")&gt;0)),0,1)*1.5)</f>
        <v>#VALUE!</v>
      </c>
      <c r="AC361">
        <f ca="1" t="shared" si="97"/>
        <v>0</v>
      </c>
      <c r="AD361">
        <f ca="1">IF(COUNTIF(IF(AND(配装计算器!$K$30&lt;&gt;"∞",0),INDEX(AU361:CB361,1,$AT$1),INDEX(AU362:CB362,1,$AT$1)),"*叠1*")=1,AB361*0+AE360,0)</f>
        <v>0</v>
      </c>
      <c r="AE361" t="e">
        <f ca="1">IF($AN$11&gt;0,IF(COUNTIF(B362,"*叠1*")&gt;0,50-加速!$L$11,MAX(0,AE360-(A362-A361))),0)</f>
        <v>#VALUE!</v>
      </c>
      <c r="AG361">
        <f ca="1" t="shared" si="98"/>
        <v>10</v>
      </c>
      <c r="AU361" t="str">
        <f>IF($AN$11=1,"云飞玉皇-玉山揽云","夕照雷峰")</f>
        <v>云飞玉皇-玉山揽云</v>
      </c>
      <c r="AV361">
        <v>2</v>
      </c>
      <c r="AW361" s="176" t="s">
        <v>2768</v>
      </c>
      <c r="AX361">
        <v>2</v>
      </c>
      <c r="AY361" t="s">
        <v>2768</v>
      </c>
      <c r="AZ361">
        <v>1</v>
      </c>
      <c r="BA361" t="s">
        <v>2768</v>
      </c>
      <c r="BB361">
        <v>1</v>
      </c>
      <c r="BC361" t="s">
        <v>2768</v>
      </c>
      <c r="BD361">
        <v>2</v>
      </c>
      <c r="BE361" t="s">
        <v>2768</v>
      </c>
      <c r="BF361">
        <v>1</v>
      </c>
      <c r="BG361" t="s">
        <v>2776</v>
      </c>
      <c r="BH361">
        <v>1</v>
      </c>
      <c r="BI361" t="s">
        <v>2768</v>
      </c>
      <c r="BJ361">
        <v>2</v>
      </c>
      <c r="BK361" t="s">
        <v>3068</v>
      </c>
      <c r="BL361">
        <v>2</v>
      </c>
      <c r="BM361" s="176" t="s">
        <v>2768</v>
      </c>
      <c r="BN361">
        <v>2</v>
      </c>
      <c r="BO361" t="s">
        <v>2722</v>
      </c>
      <c r="BP361">
        <v>0</v>
      </c>
      <c r="BQ361" t="s">
        <v>2768</v>
      </c>
      <c r="BR361">
        <v>0</v>
      </c>
      <c r="BS361" s="176" t="s">
        <v>2776</v>
      </c>
      <c r="BT361">
        <v>2</v>
      </c>
      <c r="BU361" t="s">
        <v>2853</v>
      </c>
      <c r="BV361">
        <v>2</v>
      </c>
      <c r="BW361" s="179" t="s">
        <v>2718</v>
      </c>
      <c r="BX361" s="179">
        <v>1</v>
      </c>
      <c r="BY361" t="s">
        <v>2768</v>
      </c>
      <c r="BZ361">
        <v>2</v>
      </c>
      <c r="CA361" t="s">
        <v>2768</v>
      </c>
      <c r="CB361">
        <v>2</v>
      </c>
    </row>
    <row r="362" spans="1:80">
      <c r="A362" s="178" t="str">
        <f ca="1">IFERROR(IF(AG361&lt;5+金蛇*2,IF(COUNTIF(B361,"*轻*")&gt;0,A361+加速!$L$9,A361+加速!$L$11)+V361,""),"")</f>
        <v/>
      </c>
      <c r="B362" s="167" t="str">
        <f ca="1" t="shared" si="93"/>
        <v/>
      </c>
      <c r="C362" t="str">
        <f ca="1" t="shared" si="103"/>
        <v/>
      </c>
      <c r="D362" t="str">
        <f ca="1">IF(B362&lt;&gt;"",IF(C361&lt;=加速!$L$11*(1-E362),0,1),"")</f>
        <v/>
      </c>
      <c r="E362">
        <f ca="1" t="shared" si="99"/>
        <v>1</v>
      </c>
      <c r="G362" t="str">
        <f ca="1" t="shared" si="100"/>
        <v/>
      </c>
      <c r="H362" t="str">
        <f ca="1">IF(B362&lt;&gt;"",IF(AND(COUNTIF(B361,"*轻*莺鸣柳*")&gt;0,COUNTIF(B362,"*轻*")&lt;1),MAX(0,15+I361-(A362-A361)+COUNTIF(B361,"*平湖*")*0),IF(AND(E362=0,MAX(0,H361-(A362-A361))&lt;=加速!$H$11),0,MAX(0,H361-(A362-A361)))),"")</f>
        <v/>
      </c>
      <c r="I362" t="str">
        <f ca="1" t="shared" si="107"/>
        <v/>
      </c>
      <c r="J362" t="str">
        <f ca="1" t="shared" si="108"/>
        <v/>
      </c>
      <c r="K362" t="str">
        <f ca="1" t="shared" si="94"/>
        <v/>
      </c>
      <c r="L362">
        <f ca="1">IFERROR(IF(AND(COUNTIF(B362,"*-峰插*"),技能数据库!$M$72&gt;0),0,IF(COUNTIF(B362,"*鹤归*")&gt;0,16-加速!$L$11,MAX(0,L361-(A362-A361)))),0)</f>
        <v>0</v>
      </c>
      <c r="M362">
        <f ca="1" t="shared" si="95"/>
        <v>0</v>
      </c>
      <c r="N362">
        <f ca="1">IFERROR(IF(AND(COUNTIF(B362,"*-峰插*"),技能数据库!$M$72&gt;0),0,IF(COUNTIF(B362,"*云飞*")&gt;0,4-COUNTIF(B362,"*玉山揽云*")*4--COUNTIF(B362,"*烟流暮景*")*4-COUNTIF(B362,"*云景*")*加速!$L$11-IF(J362&gt;0,2,0),MAX(0,N361-(A362-A361)-IF(J362&gt;0,2,0)))),0)</f>
        <v>0</v>
      </c>
      <c r="O362">
        <f ca="1">IF(AND(COUNTIF(IF(AND(配装计算器!$K$30&lt;&gt;"∞",0),INDEX(AU361:CB361,1,$AT$1),INDEX(AU363:CB363,1,$AT$1)),"*云飞*")=1,COUNTIF(IF(AND(配装计算器!$K$30&lt;&gt;"∞",0),INDEX(AU361:CB361,1,$AT$1),INDEX(AU363:CB363,1,$AT$1)),"*玉山*")=0),N362,0)</f>
        <v>0</v>
      </c>
      <c r="P362">
        <f ca="1">IFERROR(IF(COUNTIF(B362,"*云栖松*")&gt;0,50-加速!$L$11,MAX(0,P361-(A362-A361))),0)</f>
        <v>0</v>
      </c>
      <c r="Q362">
        <f ca="1">IF(COUNTIF(IF(AND(配装计算器!$K$30&lt;&gt;"∞",0),INDEX(AU361:CB361,1,$AT$1),INDEX(AU363:CB363,1,$AT$1)),"*云栖松*")=1,P362,0)</f>
        <v>0</v>
      </c>
      <c r="R362">
        <f ca="1">IFERROR(IF(COUNTIF(B362,"*莺鸣柳*")&gt;0,45-加速!$L$9,MAX(0,R361-(A362-A361))),0)</f>
        <v>0</v>
      </c>
      <c r="S362">
        <f ca="1">IF(COUNTIF(IF(AND(配装计算器!$K$30&lt;&gt;"∞",0),INDEX(AU361:CB361,1,$AT$1),INDEX(AU363:CB363,1,$AT$1)),"*莺鸣柳*")=1,R362,0)</f>
        <v>0</v>
      </c>
      <c r="T362">
        <f ca="1" t="shared" si="104"/>
        <v>0</v>
      </c>
      <c r="U362">
        <f ca="1">IF(金蛇,IF(COUNTIF(B362,"*金环戴*")+COUNTIF(B362,"*吹风醒*")&gt;0,IF(A362&lt;=3,7.125-2.625-A362-加速!$L$11,7.125+加速!$K$9-(A362+加速!$L$11-T362)),0),0)+IF(金蛇,IF(COUNTIF(B362,"*千切子裂光*")&gt;0,2+加速!$K$9-(A362+加速!$L$11-T362),0),0)</f>
        <v>0</v>
      </c>
      <c r="V362">
        <f ca="1" t="shared" si="105"/>
        <v>0</v>
      </c>
      <c r="W362">
        <f ca="1" t="shared" si="96"/>
        <v>0</v>
      </c>
      <c r="X362">
        <f ca="1">INDEX(加速!$I$13:$I$21,W362+1)</f>
        <v>0</v>
      </c>
      <c r="Y362">
        <f ca="1" t="shared" si="106"/>
        <v>0.5</v>
      </c>
      <c r="Z362">
        <f ca="1" t="shared" si="101"/>
        <v>0</v>
      </c>
      <c r="AA362">
        <f ca="1">MAX(0,IFERROR(IF(COUNTIF(B362,"*叠*")&gt;0,IF(AC361&lt;3,8-A363+A362,AA361+6.875-A363+A362),AA361-A363+A362),AA361-加速!$L$11))</f>
        <v>0</v>
      </c>
      <c r="AB362" t="e">
        <f ca="1">MAX(0,IF(COUNTIF(IF(AND(配装计算器!$K$30&lt;&gt;"∞",0),INDEX(AU362:CB362,1,$AT$1),INDEX(AU362:CB362,1,$AT$1)),"*叠1*")=1,4*25-加速!$L$11,AB361-A362+A361)-IF(OR(COUNTIF(OFFSET(AT362,0,$AT$1,1,1),"*听雷*")&gt;0,AND(碧归&gt;0,COUNTIF(OFFSET(AT362,0,$AT$1,1,1),"*风来*")&gt;0)),0,1)*1.5)</f>
        <v>#VALUE!</v>
      </c>
      <c r="AC362">
        <f ca="1" t="shared" si="97"/>
        <v>0</v>
      </c>
      <c r="AD362">
        <f ca="1">IF(COUNTIF(IF(AND(配装计算器!$K$30&lt;&gt;"∞",0),INDEX(AU362:CB362,1,$AT$1),INDEX(AU363:CB363,1,$AT$1)),"*叠1*")=1,AB362*0+AE361,0)</f>
        <v>0</v>
      </c>
      <c r="AE362" t="e">
        <f ca="1">IF($AN$11&gt;0,IF(COUNTIF(B363,"*叠1*")&gt;0,50-加速!$L$11,MAX(0,AE361-(A363-A362))),0)</f>
        <v>#VALUE!</v>
      </c>
      <c r="AG362">
        <f ca="1" t="shared" si="98"/>
        <v>10</v>
      </c>
      <c r="AU362" t="s">
        <v>2776</v>
      </c>
      <c r="AV362">
        <v>2</v>
      </c>
      <c r="AW362" s="176" t="s">
        <v>2776</v>
      </c>
      <c r="AX362">
        <v>2</v>
      </c>
      <c r="AY362" t="s">
        <v>2776</v>
      </c>
      <c r="AZ362">
        <v>1</v>
      </c>
      <c r="BA362" t="s">
        <v>2768</v>
      </c>
      <c r="BB362">
        <v>0</v>
      </c>
      <c r="BC362" t="s">
        <v>2768</v>
      </c>
      <c r="BD362">
        <v>2</v>
      </c>
      <c r="BE362" t="s">
        <v>2776</v>
      </c>
      <c r="BF362">
        <v>0</v>
      </c>
      <c r="BG362" t="s">
        <v>2768</v>
      </c>
      <c r="BH362">
        <v>1</v>
      </c>
      <c r="BI362" s="176" t="s">
        <v>2776</v>
      </c>
      <c r="BJ362">
        <v>2</v>
      </c>
      <c r="BK362" t="s">
        <v>2768</v>
      </c>
      <c r="BL362">
        <v>2</v>
      </c>
      <c r="BM362" t="s">
        <v>3056</v>
      </c>
      <c r="BN362">
        <v>1</v>
      </c>
      <c r="BO362" t="s">
        <v>3009</v>
      </c>
      <c r="BP362">
        <v>2</v>
      </c>
      <c r="BQ362" t="s">
        <v>2776</v>
      </c>
      <c r="BR362">
        <v>0</v>
      </c>
      <c r="BS362" s="176" t="s">
        <v>2768</v>
      </c>
      <c r="BT362">
        <v>2</v>
      </c>
      <c r="BU362" s="176" t="str">
        <f>IF(秋,"金蛇锥-金环戴","金蛇锥-吹风醒")</f>
        <v>金蛇锥-吹风醒</v>
      </c>
      <c r="BV362">
        <v>2</v>
      </c>
      <c r="BW362" s="179" t="s">
        <v>2718</v>
      </c>
      <c r="BX362" s="179">
        <v>1</v>
      </c>
      <c r="BY362" t="s">
        <v>2776</v>
      </c>
      <c r="BZ362">
        <v>2</v>
      </c>
      <c r="CA362" t="s">
        <v>2776</v>
      </c>
      <c r="CB362">
        <v>2</v>
      </c>
    </row>
    <row r="363" spans="1:80">
      <c r="A363" s="178" t="str">
        <f ca="1">IFERROR(IF(AG362&lt;5+金蛇*2,IF(COUNTIF(B362,"*轻*")&gt;0,A362+加速!$L$9,A362+加速!$L$11)+V362,""),"")</f>
        <v/>
      </c>
      <c r="B363" s="167" t="str">
        <f ca="1" t="shared" si="93"/>
        <v/>
      </c>
      <c r="C363" t="str">
        <f ca="1" t="shared" si="103"/>
        <v/>
      </c>
      <c r="D363" t="str">
        <f ca="1">IF(B363&lt;&gt;"",IF(C362&lt;=加速!$L$11*(1-E363),0,1),"")</f>
        <v/>
      </c>
      <c r="E363">
        <f ca="1" t="shared" si="99"/>
        <v>1</v>
      </c>
      <c r="G363" t="str">
        <f ca="1" t="shared" si="100"/>
        <v/>
      </c>
      <c r="H363" t="str">
        <f ca="1">IF(B363&lt;&gt;"",IF(AND(COUNTIF(B362,"*轻*莺鸣柳*")&gt;0,COUNTIF(B363,"*轻*")&lt;1),MAX(0,15+I362-(A363-A362)+COUNTIF(B362,"*平湖*")*0),IF(AND(E363=0,MAX(0,H362-(A363-A362))&lt;=加速!$H$11),0,MAX(0,H362-(A363-A362)))),"")</f>
        <v/>
      </c>
      <c r="I363" t="str">
        <f ca="1" t="shared" si="107"/>
        <v/>
      </c>
      <c r="J363" t="str">
        <f ca="1" t="shared" si="108"/>
        <v/>
      </c>
      <c r="K363" t="str">
        <f ca="1" t="shared" si="94"/>
        <v/>
      </c>
      <c r="L363">
        <f ca="1">IFERROR(IF(AND(COUNTIF(B363,"*-峰插*"),技能数据库!$M$72&gt;0),0,IF(COUNTIF(B363,"*鹤归*")&gt;0,16-加速!$L$11,MAX(0,L362-(A363-A362)))),0)</f>
        <v>0</v>
      </c>
      <c r="M363">
        <f ca="1" t="shared" si="95"/>
        <v>0</v>
      </c>
      <c r="N363">
        <f ca="1">IFERROR(IF(AND(COUNTIF(B363,"*-峰插*"),技能数据库!$M$72&gt;0),0,IF(COUNTIF(B363,"*云飞*")&gt;0,4-COUNTIF(B363,"*玉山揽云*")*4--COUNTIF(B363,"*烟流暮景*")*4-COUNTIF(B363,"*云景*")*加速!$L$11-IF(J363&gt;0,2,0),MAX(0,N362-(A363-A362)-IF(J363&gt;0,2,0)))),0)</f>
        <v>0</v>
      </c>
      <c r="O363">
        <f ca="1">IF(AND(COUNTIF(IF(AND(配装计算器!$K$30&lt;&gt;"∞",0),INDEX(AU362:CB362,1,$AT$1),INDEX(AU364:CB364,1,$AT$1)),"*云飞*")=1,COUNTIF(IF(AND(配装计算器!$K$30&lt;&gt;"∞",0),INDEX(AU362:CB362,1,$AT$1),INDEX(AU364:CB364,1,$AT$1)),"*玉山*")=0),N363,0)</f>
        <v>0</v>
      </c>
      <c r="P363">
        <f ca="1">IFERROR(IF(COUNTIF(B363,"*云栖松*")&gt;0,50-加速!$L$11,MAX(0,P362-(A363-A362))),0)</f>
        <v>0</v>
      </c>
      <c r="Q363">
        <f ca="1">IF(COUNTIF(IF(AND(配装计算器!$K$30&lt;&gt;"∞",0),INDEX(AU362:CB362,1,$AT$1),INDEX(AU364:CB364,1,$AT$1)),"*云栖松*")=1,P363,0)</f>
        <v>0</v>
      </c>
      <c r="R363">
        <f ca="1">IFERROR(IF(COUNTIF(B363,"*莺鸣柳*")&gt;0,45-加速!$L$9,MAX(0,R362-(A363-A362))),0)</f>
        <v>0</v>
      </c>
      <c r="S363">
        <f ca="1">IF(COUNTIF(IF(AND(配装计算器!$K$30&lt;&gt;"∞",0),INDEX(AU362:CB362,1,$AT$1),INDEX(AU364:CB364,1,$AT$1)),"*莺鸣柳*")=1,R363,0)</f>
        <v>0</v>
      </c>
      <c r="T363">
        <f ca="1" t="shared" si="104"/>
        <v>0</v>
      </c>
      <c r="U363">
        <f ca="1">IF(金蛇,IF(COUNTIF(B363,"*金环戴*")+COUNTIF(B363,"*吹风醒*")&gt;0,IF(A363&lt;=3,7.125-2.625-A363-加速!$L$11,7.125+加速!$K$9-(A363+加速!$L$11-T363)),0),0)+IF(金蛇,IF(COUNTIF(B363,"*千切子裂光*")&gt;0,2+加速!$K$9-(A363+加速!$L$11-T363),0),0)</f>
        <v>0</v>
      </c>
      <c r="V363">
        <f ca="1" t="shared" si="105"/>
        <v>0</v>
      </c>
      <c r="W363">
        <f ca="1" t="shared" si="96"/>
        <v>0</v>
      </c>
      <c r="X363">
        <f ca="1">INDEX(加速!$I$13:$I$21,W363+1)</f>
        <v>0</v>
      </c>
      <c r="Y363">
        <f ca="1" t="shared" si="106"/>
        <v>0.5</v>
      </c>
      <c r="Z363">
        <f ca="1" t="shared" si="101"/>
        <v>0</v>
      </c>
      <c r="AA363">
        <f ca="1">MAX(0,IFERROR(IF(COUNTIF(B363,"*叠*")&gt;0,IF(AC362&lt;3,8-A364+A363,AA362+6.875-A364+A363),AA362-A364+A363),AA362-加速!$L$11))</f>
        <v>0</v>
      </c>
      <c r="AB363" t="e">
        <f ca="1">MAX(0,IF(COUNTIF(IF(AND(配装计算器!$K$30&lt;&gt;"∞",0),INDEX(AU363:CB363,1,$AT$1),INDEX(AU363:CB363,1,$AT$1)),"*叠1*")=1,4*25-加速!$L$11,AB362-A363+A362)-IF(OR(COUNTIF(OFFSET(AT363,0,$AT$1,1,1),"*听雷*")&gt;0,AND(碧归&gt;0,COUNTIF(OFFSET(AT363,0,$AT$1,1,1),"*风来*")&gt;0)),0,1)*1.5)</f>
        <v>#VALUE!</v>
      </c>
      <c r="AC363">
        <f ca="1" t="shared" si="97"/>
        <v>0</v>
      </c>
      <c r="AD363">
        <f ca="1">IF(COUNTIF(IF(AND(配装计算器!$K$30&lt;&gt;"∞",0),INDEX(AU363:CB363,1,$AT$1),INDEX(AU364:CB364,1,$AT$1)),"*叠1*")=1,AB363*0+AE362,0)</f>
        <v>0</v>
      </c>
      <c r="AE363" t="e">
        <f ca="1">IF($AN$11&gt;0,IF(COUNTIF(B364,"*叠1*")&gt;0,50-加速!$L$11,MAX(0,AE362-(A364-A363))),0)</f>
        <v>#VALUE!</v>
      </c>
      <c r="AG363">
        <f ca="1" t="shared" si="98"/>
        <v>10</v>
      </c>
      <c r="AU363" s="176" t="s">
        <v>2794</v>
      </c>
      <c r="AV363">
        <v>2</v>
      </c>
      <c r="AW363" s="176" t="s">
        <v>2768</v>
      </c>
      <c r="AX363">
        <v>2</v>
      </c>
      <c r="AY363" t="s">
        <v>2768</v>
      </c>
      <c r="AZ363">
        <v>1</v>
      </c>
      <c r="BA363" t="s">
        <v>3010</v>
      </c>
      <c r="BB363">
        <v>2</v>
      </c>
      <c r="BC363" t="s">
        <v>2776</v>
      </c>
      <c r="BD363">
        <v>1</v>
      </c>
      <c r="BE363" t="s">
        <v>2722</v>
      </c>
      <c r="BF363">
        <v>0</v>
      </c>
      <c r="BG363" t="s">
        <v>3011</v>
      </c>
      <c r="BH363">
        <v>2</v>
      </c>
      <c r="BI363" t="s">
        <v>2768</v>
      </c>
      <c r="BJ363">
        <v>2</v>
      </c>
      <c r="BK363" t="s">
        <v>2776</v>
      </c>
      <c r="BL363">
        <v>2</v>
      </c>
      <c r="BM363" t="s">
        <v>2768</v>
      </c>
      <c r="BN363">
        <v>2</v>
      </c>
      <c r="BO363" t="s">
        <v>2776</v>
      </c>
      <c r="BP363">
        <v>2</v>
      </c>
      <c r="BQ363" t="s">
        <v>1886</v>
      </c>
      <c r="BR363">
        <v>2</v>
      </c>
      <c r="BS363" s="176" t="s">
        <v>2794</v>
      </c>
      <c r="BT363">
        <v>2</v>
      </c>
      <c r="BU363" t="s">
        <v>2773</v>
      </c>
      <c r="BV363">
        <v>2</v>
      </c>
      <c r="BW363" s="179" t="s">
        <v>2776</v>
      </c>
      <c r="BX363" s="179">
        <v>2</v>
      </c>
      <c r="BY363" t="s">
        <v>2718</v>
      </c>
      <c r="BZ363">
        <v>0</v>
      </c>
      <c r="CA363" t="s">
        <v>2718</v>
      </c>
      <c r="CB363">
        <v>0</v>
      </c>
    </row>
    <row r="364" spans="1:80">
      <c r="A364" s="178" t="str">
        <f ca="1">IFERROR(IF(AG363&lt;5+金蛇*2,IF(COUNTIF(B363,"*轻*")&gt;0,A363+加速!$L$9,A363+加速!$L$11)+V363,""),"")</f>
        <v/>
      </c>
      <c r="B364" s="167" t="str">
        <f ca="1" t="shared" si="93"/>
        <v/>
      </c>
      <c r="C364" t="str">
        <f ca="1" t="shared" si="103"/>
        <v/>
      </c>
      <c r="D364" t="str">
        <f ca="1">IF(B364&lt;&gt;"",IF(C363&lt;=加速!$L$11*(1-E364),0,1),"")</f>
        <v/>
      </c>
      <c r="E364">
        <f ca="1" t="shared" si="99"/>
        <v>1</v>
      </c>
      <c r="G364" t="str">
        <f ca="1" t="shared" si="100"/>
        <v/>
      </c>
      <c r="H364" t="str">
        <f ca="1">IF(B364&lt;&gt;"",IF(AND(COUNTIF(B363,"*轻*莺鸣柳*")&gt;0,COUNTIF(B364,"*轻*")&lt;1),MAX(0,15+I363-(A364-A363)+COUNTIF(B363,"*平湖*")*0),IF(AND(E364=0,MAX(0,H363-(A364-A363))&lt;=加速!$H$11),0,MAX(0,H363-(A364-A363)))),"")</f>
        <v/>
      </c>
      <c r="I364" t="str">
        <f ca="1" t="shared" si="107"/>
        <v/>
      </c>
      <c r="J364" t="str">
        <f ca="1" t="shared" si="108"/>
        <v/>
      </c>
      <c r="K364" t="str">
        <f ca="1" t="shared" si="94"/>
        <v/>
      </c>
      <c r="L364">
        <f ca="1">IFERROR(IF(AND(COUNTIF(B364,"*-峰插*"),技能数据库!$M$72&gt;0),0,IF(COUNTIF(B364,"*鹤归*")&gt;0,16-加速!$L$11,MAX(0,L363-(A364-A363)))),0)</f>
        <v>0</v>
      </c>
      <c r="M364">
        <f ca="1" t="shared" si="95"/>
        <v>0</v>
      </c>
      <c r="N364">
        <f ca="1">IFERROR(IF(AND(COUNTIF(B364,"*-峰插*"),技能数据库!$M$72&gt;0),0,IF(COUNTIF(B364,"*云飞*")&gt;0,4-COUNTIF(B364,"*玉山揽云*")*4--COUNTIF(B364,"*烟流暮景*")*4-COUNTIF(B364,"*云景*")*加速!$L$11-IF(J364&gt;0,2,0),MAX(0,N363-(A364-A363)-IF(J364&gt;0,2,0)))),0)</f>
        <v>0</v>
      </c>
      <c r="O364">
        <f ca="1">IF(AND(COUNTIF(IF(AND(配装计算器!$K$30&lt;&gt;"∞",0),INDEX(AU363:CB363,1,$AT$1),INDEX(AU365:CB365,1,$AT$1)),"*云飞*")=1,COUNTIF(IF(AND(配装计算器!$K$30&lt;&gt;"∞",0),INDEX(AU363:CB363,1,$AT$1),INDEX(AU365:CB365,1,$AT$1)),"*玉山*")=0),N364,0)</f>
        <v>0</v>
      </c>
      <c r="P364">
        <f ca="1">IFERROR(IF(COUNTIF(B364,"*云栖松*")&gt;0,50-加速!$L$11,MAX(0,P363-(A364-A363))),0)</f>
        <v>0</v>
      </c>
      <c r="Q364">
        <f ca="1">IF(COUNTIF(IF(AND(配装计算器!$K$30&lt;&gt;"∞",0),INDEX(AU363:CB363,1,$AT$1),INDEX(AU365:CB365,1,$AT$1)),"*云栖松*")=1,P364,0)</f>
        <v>0</v>
      </c>
      <c r="R364">
        <f ca="1">IFERROR(IF(COUNTIF(B364,"*莺鸣柳*")&gt;0,45-加速!$L$9,MAX(0,R363-(A364-A363))),0)</f>
        <v>0</v>
      </c>
      <c r="S364">
        <f ca="1">IF(COUNTIF(IF(AND(配装计算器!$K$30&lt;&gt;"∞",0),INDEX(AU363:CB363,1,$AT$1),INDEX(AU365:CB365,1,$AT$1)),"*莺鸣柳*")=1,R364,0)</f>
        <v>0</v>
      </c>
      <c r="T364">
        <f ca="1" t="shared" si="104"/>
        <v>0</v>
      </c>
      <c r="U364">
        <f ca="1">IF(金蛇,IF(COUNTIF(B364,"*金环戴*")+COUNTIF(B364,"*吹风醒*")&gt;0,IF(A364&lt;=3,7.125-2.625-A364-加速!$L$11,7.125+加速!$K$9-(A364+加速!$L$11-T364)),0),0)+IF(金蛇,IF(COUNTIF(B364,"*千切子裂光*")&gt;0,2+加速!$K$9-(A364+加速!$L$11-T364),0),0)</f>
        <v>0</v>
      </c>
      <c r="V364">
        <f ca="1" t="shared" si="105"/>
        <v>0</v>
      </c>
      <c r="W364">
        <f ca="1" t="shared" si="96"/>
        <v>0</v>
      </c>
      <c r="X364">
        <f ca="1">INDEX(加速!$I$13:$I$21,W364+1)</f>
        <v>0</v>
      </c>
      <c r="Y364">
        <f ca="1" t="shared" si="106"/>
        <v>0.5</v>
      </c>
      <c r="Z364">
        <f ca="1" t="shared" si="101"/>
        <v>0</v>
      </c>
      <c r="AA364">
        <f ca="1">MAX(0,IFERROR(IF(COUNTIF(B364,"*叠*")&gt;0,IF(AC363&lt;3,8-A365+A364,AA363+6.875-A365+A364),AA363-A365+A364),AA363-加速!$L$11))</f>
        <v>0</v>
      </c>
      <c r="AB364" t="e">
        <f ca="1">MAX(0,IF(COUNTIF(IF(AND(配装计算器!$K$30&lt;&gt;"∞",0),INDEX(AU364:CB364,1,$AT$1),INDEX(AU364:CB364,1,$AT$1)),"*叠1*")=1,4*25-加速!$L$11,AB363-A364+A363)-IF(OR(COUNTIF(OFFSET(AT364,0,$AT$1,1,1),"*听雷*")&gt;0,AND(碧归&gt;0,COUNTIF(OFFSET(AT364,0,$AT$1,1,1),"*风来*")&gt;0)),0,1)*1.5)</f>
        <v>#VALUE!</v>
      </c>
      <c r="AC364">
        <f ca="1" t="shared" si="97"/>
        <v>0</v>
      </c>
      <c r="AD364">
        <f ca="1">IF(COUNTIF(IF(AND(配装计算器!$K$30&lt;&gt;"∞",0),INDEX(AU364:CB364,1,$AT$1),INDEX(AU365:CB365,1,$AT$1)),"*叠1*")=1,AB364*0+AE363,0)</f>
        <v>0</v>
      </c>
      <c r="AE364" t="e">
        <f ca="1">IF($AN$11&gt;0,IF(COUNTIF(B365,"*叠1*")&gt;0,50-加速!$L$11,MAX(0,AE363-(A365-A364))),0)</f>
        <v>#VALUE!</v>
      </c>
      <c r="AG364">
        <f ca="1" t="shared" si="98"/>
        <v>10</v>
      </c>
      <c r="AU364" s="176" t="s">
        <v>2768</v>
      </c>
      <c r="AV364">
        <v>2</v>
      </c>
      <c r="AW364" s="176" t="s">
        <v>2776</v>
      </c>
      <c r="AX364">
        <v>2</v>
      </c>
      <c r="AY364" t="s">
        <v>2768</v>
      </c>
      <c r="AZ364">
        <v>0</v>
      </c>
      <c r="BA364" t="s">
        <v>3013</v>
      </c>
      <c r="BB364">
        <v>2</v>
      </c>
      <c r="BC364" t="s">
        <v>2768</v>
      </c>
      <c r="BD364">
        <v>1</v>
      </c>
      <c r="BE364" t="s">
        <v>2722</v>
      </c>
      <c r="BF364">
        <v>2</v>
      </c>
      <c r="BG364" t="s">
        <v>2768</v>
      </c>
      <c r="BH364">
        <v>2</v>
      </c>
      <c r="BI364" t="s">
        <v>2768</v>
      </c>
      <c r="BJ364">
        <v>1</v>
      </c>
      <c r="BK364" t="s">
        <v>2768</v>
      </c>
      <c r="BL364">
        <v>2</v>
      </c>
      <c r="BM364" t="s">
        <v>2768</v>
      </c>
      <c r="BN364">
        <v>2</v>
      </c>
      <c r="BO364" t="s">
        <v>2768</v>
      </c>
      <c r="BP364">
        <v>2</v>
      </c>
      <c r="BQ364" t="s">
        <v>2853</v>
      </c>
      <c r="BR364">
        <v>2</v>
      </c>
      <c r="BS364" t="s">
        <v>2768</v>
      </c>
      <c r="BT364">
        <v>2</v>
      </c>
      <c r="BU364" s="176" t="s">
        <v>2794</v>
      </c>
      <c r="BV364">
        <v>1</v>
      </c>
      <c r="BW364" s="179" t="s">
        <v>2768</v>
      </c>
      <c r="BX364" s="179">
        <v>2</v>
      </c>
      <c r="BY364" t="s">
        <v>2768</v>
      </c>
      <c r="BZ364">
        <v>2</v>
      </c>
      <c r="CA364" t="s">
        <v>2768</v>
      </c>
      <c r="CB364">
        <v>2</v>
      </c>
    </row>
    <row r="365" spans="1:80">
      <c r="A365" s="178" t="str">
        <f ca="1">IFERROR(IF(AG364&lt;5+金蛇*2,IF(COUNTIF(B364,"*轻*")&gt;0,A364+加速!$L$9,A364+加速!$L$11)+V364,""),"")</f>
        <v/>
      </c>
      <c r="B365" s="167" t="str">
        <f ca="1" t="shared" si="93"/>
        <v/>
      </c>
      <c r="C365" t="str">
        <f ca="1" t="shared" si="103"/>
        <v/>
      </c>
      <c r="D365" t="str">
        <f ca="1">IF(B365&lt;&gt;"",IF(C364&lt;=加速!$L$11*(1-E365),0,1),"")</f>
        <v/>
      </c>
      <c r="E365">
        <f ca="1" t="shared" si="99"/>
        <v>1</v>
      </c>
      <c r="G365" t="str">
        <f ca="1" t="shared" si="100"/>
        <v/>
      </c>
      <c r="H365" t="str">
        <f ca="1">IF(B365&lt;&gt;"",IF(AND(COUNTIF(B364,"*轻*莺鸣柳*")&gt;0,COUNTIF(B365,"*轻*")&lt;1),MAX(0,15+I364-(A365-A364)+COUNTIF(B364,"*平湖*")*0),IF(AND(E365=0,MAX(0,H364-(A365-A364))&lt;=加速!$H$11),0,MAX(0,H364-(A365-A364)))),"")</f>
        <v/>
      </c>
      <c r="I365" t="str">
        <f ca="1" t="shared" si="107"/>
        <v/>
      </c>
      <c r="J365" t="str">
        <f ca="1" t="shared" si="108"/>
        <v/>
      </c>
      <c r="K365" t="str">
        <f ca="1" t="shared" si="94"/>
        <v/>
      </c>
      <c r="L365">
        <f ca="1">IFERROR(IF(AND(COUNTIF(B365,"*-峰插*"),技能数据库!$M$72&gt;0),0,IF(COUNTIF(B365,"*鹤归*")&gt;0,16-加速!$L$11,MAX(0,L364-(A365-A364)))),0)</f>
        <v>0</v>
      </c>
      <c r="M365">
        <f ca="1" t="shared" si="95"/>
        <v>0</v>
      </c>
      <c r="N365">
        <f ca="1">IFERROR(IF(AND(COUNTIF(B365,"*-峰插*"),技能数据库!$M$72&gt;0),0,IF(COUNTIF(B365,"*云飞*")&gt;0,4-COUNTIF(B365,"*玉山揽云*")*4--COUNTIF(B365,"*烟流暮景*")*4-COUNTIF(B365,"*云景*")*加速!$L$11-IF(J365&gt;0,2,0),MAX(0,N364-(A365-A364)-IF(J365&gt;0,2,0)))),0)</f>
        <v>0</v>
      </c>
      <c r="O365">
        <f ca="1">IF(AND(COUNTIF(IF(AND(配装计算器!$K$30&lt;&gt;"∞",0),INDEX(AU364:CB364,1,$AT$1),INDEX(AU366:CB366,1,$AT$1)),"*云飞*")=1,COUNTIF(IF(AND(配装计算器!$K$30&lt;&gt;"∞",0),INDEX(AU364:CB364,1,$AT$1),INDEX(AU366:CB366,1,$AT$1)),"*玉山*")=0),N365,0)</f>
        <v>0</v>
      </c>
      <c r="P365">
        <f ca="1">IFERROR(IF(COUNTIF(B365,"*云栖松*")&gt;0,50-加速!$L$11,MAX(0,P364-(A365-A364))),0)</f>
        <v>0</v>
      </c>
      <c r="Q365">
        <f ca="1">IF(COUNTIF(IF(AND(配装计算器!$K$30&lt;&gt;"∞",0),INDEX(AU364:CB364,1,$AT$1),INDEX(AU366:CB366,1,$AT$1)),"*云栖松*")=1,P365,0)</f>
        <v>0</v>
      </c>
      <c r="R365">
        <f ca="1">IFERROR(IF(COUNTIF(B365,"*莺鸣柳*")&gt;0,45-加速!$L$9,MAX(0,R364-(A365-A364))),0)</f>
        <v>0</v>
      </c>
      <c r="S365">
        <f ca="1">IF(COUNTIF(IF(AND(配装计算器!$K$30&lt;&gt;"∞",0),INDEX(AU364:CB364,1,$AT$1),INDEX(AU366:CB366,1,$AT$1)),"*莺鸣柳*")=1,R365,0)</f>
        <v>0</v>
      </c>
      <c r="T365">
        <f ca="1" t="shared" si="104"/>
        <v>0</v>
      </c>
      <c r="U365">
        <f ca="1">IF(金蛇,IF(COUNTIF(B365,"*金环戴*")+COUNTIF(B365,"*吹风醒*")&gt;0,IF(A365&lt;=3,7.125-2.625-A365-加速!$L$11,7.125+加速!$K$9-(A365+加速!$L$11-T365)),0),0)+IF(金蛇,IF(COUNTIF(B365,"*千切子裂光*")&gt;0,2+加速!$K$9-(A365+加速!$L$11-T365),0),0)</f>
        <v>0</v>
      </c>
      <c r="V365">
        <f ca="1" t="shared" si="105"/>
        <v>0</v>
      </c>
      <c r="W365">
        <f ca="1" t="shared" si="96"/>
        <v>0</v>
      </c>
      <c r="X365">
        <f ca="1">INDEX(加速!$I$13:$I$21,W365+1)</f>
        <v>0</v>
      </c>
      <c r="Y365">
        <f ca="1" t="shared" si="106"/>
        <v>0.5</v>
      </c>
      <c r="Z365">
        <f ca="1" t="shared" si="101"/>
        <v>0</v>
      </c>
      <c r="AA365">
        <f ca="1">MAX(0,IFERROR(IF(COUNTIF(B365,"*叠*")&gt;0,IF(AC364&lt;3,8-A366+A365,AA364+6.875-A366+A365),AA364-A366+A365),AA364-加速!$L$11))</f>
        <v>0</v>
      </c>
      <c r="AB365" t="e">
        <f ca="1">MAX(0,IF(COUNTIF(IF(AND(配装计算器!$K$30&lt;&gt;"∞",0),INDEX(AU365:CB365,1,$AT$1),INDEX(AU365:CB365,1,$AT$1)),"*叠1*")=1,4*25-加速!$L$11,AB364-A365+A364)-IF(OR(COUNTIF(OFFSET(AT365,0,$AT$1,1,1),"*听雷*")&gt;0,AND(碧归&gt;0,COUNTIF(OFFSET(AT365,0,$AT$1,1,1),"*风来*")&gt;0)),0,1)*1.5)</f>
        <v>#VALUE!</v>
      </c>
      <c r="AC365">
        <f ca="1" t="shared" si="97"/>
        <v>0</v>
      </c>
      <c r="AD365">
        <f ca="1">IF(COUNTIF(IF(AND(配装计算器!$K$30&lt;&gt;"∞",0),INDEX(AU365:CB365,1,$AT$1),INDEX(AU366:CB366,1,$AT$1)),"*叠1*")=1,AB365*0+AE364,0)</f>
        <v>0</v>
      </c>
      <c r="AE365" t="e">
        <f ca="1">IF($AN$11&gt;0,IF(COUNTIF(B366,"*叠1*")&gt;0,50-加速!$L$11,MAX(0,AE364-(A366-A365))),0)</f>
        <v>#VALUE!</v>
      </c>
      <c r="AG365">
        <f ca="1" t="shared" si="98"/>
        <v>10</v>
      </c>
      <c r="AU365" s="176" t="s">
        <v>2776</v>
      </c>
      <c r="AV365">
        <v>2</v>
      </c>
      <c r="AW365" s="176" t="str">
        <f t="shared" ref="AW365:AW369" si="109">IF($AR$11=1,"云飞玉皇-玉山揽云","夕照雷峰")</f>
        <v>夕照雷峰</v>
      </c>
      <c r="AX365">
        <v>2</v>
      </c>
      <c r="AY365" t="s">
        <v>3010</v>
      </c>
      <c r="AZ365">
        <v>2</v>
      </c>
      <c r="BA365" t="s">
        <v>3017</v>
      </c>
      <c r="BB365">
        <v>2</v>
      </c>
      <c r="BC365" t="s">
        <v>2794</v>
      </c>
      <c r="BD365">
        <v>2</v>
      </c>
      <c r="BE365" t="s">
        <v>2768</v>
      </c>
      <c r="BF365">
        <v>2</v>
      </c>
      <c r="BG365" t="s">
        <v>3018</v>
      </c>
      <c r="BH365">
        <v>2</v>
      </c>
      <c r="BI365" s="176" t="s">
        <v>2768</v>
      </c>
      <c r="BJ365">
        <v>1</v>
      </c>
      <c r="BK365" t="s">
        <v>2768</v>
      </c>
      <c r="BL365">
        <v>2</v>
      </c>
      <c r="BM365" t="s">
        <v>2768</v>
      </c>
      <c r="BN365">
        <v>2</v>
      </c>
      <c r="BO365" t="str">
        <f>IF(山重水复,"风来吴山","夕照雷峰")</f>
        <v>夕照雷峰</v>
      </c>
      <c r="BP365">
        <v>2</v>
      </c>
      <c r="BQ365" s="176" t="s">
        <v>2850</v>
      </c>
      <c r="BR365">
        <f>IF(0,2,0)</f>
        <v>0</v>
      </c>
      <c r="BS365" t="s">
        <v>2776</v>
      </c>
      <c r="BT365">
        <v>2</v>
      </c>
      <c r="BU365" t="s">
        <v>3028</v>
      </c>
      <c r="BV365">
        <v>1</v>
      </c>
      <c r="BW365" s="179" t="s">
        <v>2768</v>
      </c>
      <c r="BX365" s="179">
        <v>1</v>
      </c>
      <c r="BY365" t="s">
        <v>2768</v>
      </c>
      <c r="BZ365">
        <v>2</v>
      </c>
      <c r="CA365" t="s">
        <v>2768</v>
      </c>
      <c r="CB365">
        <v>2</v>
      </c>
    </row>
    <row r="366" spans="1:80">
      <c r="A366" s="178" t="str">
        <f ca="1">IFERROR(IF(AG365&lt;5+金蛇*2,IF(COUNTIF(B365,"*轻*")&gt;0,A365+加速!$L$9,A365+加速!$L$11)+V365,""),"")</f>
        <v/>
      </c>
      <c r="B366" s="167" t="str">
        <f ca="1" t="shared" si="93"/>
        <v/>
      </c>
      <c r="C366" t="str">
        <f ca="1" t="shared" si="103"/>
        <v/>
      </c>
      <c r="D366" t="str">
        <f ca="1">IF(B366&lt;&gt;"",IF(C365&lt;=加速!$L$11*(1-E366),0,1),"")</f>
        <v/>
      </c>
      <c r="E366">
        <f ca="1" t="shared" si="99"/>
        <v>1</v>
      </c>
      <c r="G366" t="str">
        <f ca="1" t="shared" si="100"/>
        <v/>
      </c>
      <c r="H366" t="str">
        <f ca="1">IF(B366&lt;&gt;"",IF(AND(COUNTIF(B365,"*轻*莺鸣柳*")&gt;0,COUNTIF(B366,"*轻*")&lt;1),MAX(0,15+I365-(A366-A365)+COUNTIF(B365,"*平湖*")*0),IF(AND(E366=0,MAX(0,H365-(A366-A365))&lt;=加速!$H$11),0,MAX(0,H365-(A366-A365)))),"")</f>
        <v/>
      </c>
      <c r="I366" t="str">
        <f ca="1" t="shared" si="107"/>
        <v/>
      </c>
      <c r="J366" t="str">
        <f ca="1" t="shared" si="108"/>
        <v/>
      </c>
      <c r="K366" t="str">
        <f ca="1" t="shared" si="94"/>
        <v/>
      </c>
      <c r="L366">
        <f ca="1">IFERROR(IF(AND(COUNTIF(B366,"*-峰插*"),技能数据库!$M$72&gt;0),0,IF(COUNTIF(B366,"*鹤归*")&gt;0,16-加速!$L$11,MAX(0,L365-(A366-A365)))),0)</f>
        <v>0</v>
      </c>
      <c r="M366">
        <f ca="1" t="shared" si="95"/>
        <v>0</v>
      </c>
      <c r="N366">
        <f ca="1">IFERROR(IF(AND(COUNTIF(B366,"*-峰插*"),技能数据库!$M$72&gt;0),0,IF(COUNTIF(B366,"*云飞*")&gt;0,4-COUNTIF(B366,"*玉山揽云*")*4--COUNTIF(B366,"*烟流暮景*")*4-COUNTIF(B366,"*云景*")*加速!$L$11-IF(J366&gt;0,2,0),MAX(0,N365-(A366-A365)-IF(J366&gt;0,2,0)))),0)</f>
        <v>0</v>
      </c>
      <c r="O366">
        <f ca="1">IF(AND(COUNTIF(IF(AND(配装计算器!$K$30&lt;&gt;"∞",0),INDEX(AU365:CB365,1,$AT$1),INDEX(AU367:CB367,1,$AT$1)),"*云飞*")=1,COUNTIF(IF(AND(配装计算器!$K$30&lt;&gt;"∞",0),INDEX(AU365:CB365,1,$AT$1),INDEX(AU367:CB367,1,$AT$1)),"*玉山*")=0),N366,0)</f>
        <v>0</v>
      </c>
      <c r="P366">
        <f ca="1">IFERROR(IF(COUNTIF(B366,"*云栖松*")&gt;0,50-加速!$L$11,MAX(0,P365-(A366-A365))),0)</f>
        <v>0</v>
      </c>
      <c r="Q366">
        <f ca="1">IF(COUNTIF(IF(AND(配装计算器!$K$30&lt;&gt;"∞",0),INDEX(AU365:CB365,1,$AT$1),INDEX(AU367:CB367,1,$AT$1)),"*云栖松*")=1,P366,0)</f>
        <v>0</v>
      </c>
      <c r="R366">
        <f ca="1">IFERROR(IF(COUNTIF(B366,"*莺鸣柳*")&gt;0,45-加速!$L$9,MAX(0,R365-(A366-A365))),0)</f>
        <v>0</v>
      </c>
      <c r="S366">
        <f ca="1">IF(COUNTIF(IF(AND(配装计算器!$K$30&lt;&gt;"∞",0),INDEX(AU365:CB365,1,$AT$1),INDEX(AU367:CB367,1,$AT$1)),"*莺鸣柳*")=1,R366,0)</f>
        <v>0</v>
      </c>
      <c r="T366">
        <f ca="1" t="shared" si="104"/>
        <v>0</v>
      </c>
      <c r="U366">
        <f ca="1">IF(金蛇,IF(COUNTIF(B366,"*金环戴*")+COUNTIF(B366,"*吹风醒*")&gt;0,IF(A366&lt;=3,7.125-2.625-A366-加速!$L$11,7.125+加速!$K$9-(A366+加速!$L$11-T366)),0),0)+IF(金蛇,IF(COUNTIF(B366,"*千切子裂光*")&gt;0,2+加速!$K$9-(A366+加速!$L$11-T366),0),0)</f>
        <v>0</v>
      </c>
      <c r="V366">
        <f ca="1" t="shared" si="105"/>
        <v>0</v>
      </c>
      <c r="W366">
        <f ca="1" t="shared" si="96"/>
        <v>0</v>
      </c>
      <c r="X366">
        <f ca="1">INDEX(加速!$I$13:$I$21,W366+1)</f>
        <v>0</v>
      </c>
      <c r="Y366">
        <f ca="1" t="shared" si="106"/>
        <v>0.5</v>
      </c>
      <c r="Z366">
        <f ca="1" t="shared" si="101"/>
        <v>0</v>
      </c>
      <c r="AA366">
        <f ca="1">MAX(0,IFERROR(IF(COUNTIF(B366,"*叠*")&gt;0,IF(AC365&lt;3,8-A367+A366,AA365+6.875-A367+A366),AA365-A367+A366),AA365-加速!$L$11))</f>
        <v>0</v>
      </c>
      <c r="AB366" t="e">
        <f ca="1">MAX(0,IF(COUNTIF(IF(AND(配装计算器!$K$30&lt;&gt;"∞",0),INDEX(AU366:CB366,1,$AT$1),INDEX(AU366:CB366,1,$AT$1)),"*叠1*")=1,4*25-加速!$L$11,AB365-A366+A365)-IF(OR(COUNTIF(OFFSET(AT366,0,$AT$1,1,1),"*听雷*")&gt;0,AND(碧归&gt;0,COUNTIF(OFFSET(AT366,0,$AT$1,1,1),"*风来*")&gt;0)),0,1)*1.5)</f>
        <v>#VALUE!</v>
      </c>
      <c r="AC366">
        <f ca="1" t="shared" si="97"/>
        <v>0</v>
      </c>
      <c r="AD366">
        <f ca="1">IF(COUNTIF(IF(AND(配装计算器!$K$30&lt;&gt;"∞",0),INDEX(AU366:CB366,1,$AT$1),INDEX(AU367:CB367,1,$AT$1)),"*叠1*")=1,AB366*0+AE365,0)</f>
        <v>0</v>
      </c>
      <c r="AE366" t="e">
        <f ca="1">IF($AN$11&gt;0,IF(COUNTIF(B367,"*叠1*")&gt;0,50-加速!$L$11,MAX(0,AE365-(A367-A366))),0)</f>
        <v>#VALUE!</v>
      </c>
      <c r="AG366">
        <f ca="1" t="shared" si="98"/>
        <v>10</v>
      </c>
      <c r="AU366" s="176" t="s">
        <v>2768</v>
      </c>
      <c r="AV366">
        <v>2</v>
      </c>
      <c r="AW366" t="str">
        <f>IF($AR$11=1,"云飞玉皇-玉山揽云","云景·云飞玉皇-黄龙吐翠")</f>
        <v>云景·云飞玉皇-黄龙吐翠</v>
      </c>
      <c r="AX366">
        <f>IF($AR$11=1,2,1)</f>
        <v>1</v>
      </c>
      <c r="AY366" t="s">
        <v>3013</v>
      </c>
      <c r="AZ366">
        <v>2</v>
      </c>
      <c r="BA366" t="s">
        <v>2808</v>
      </c>
      <c r="BB366">
        <v>2</v>
      </c>
      <c r="BC366" t="s">
        <v>2768</v>
      </c>
      <c r="BD366">
        <v>2</v>
      </c>
      <c r="BE366" t="s">
        <v>2776</v>
      </c>
      <c r="BF366">
        <v>2</v>
      </c>
      <c r="BG366" t="s">
        <v>2768</v>
      </c>
      <c r="BH366">
        <v>2</v>
      </c>
      <c r="BI366" s="176" t="s">
        <v>2776</v>
      </c>
      <c r="BJ366">
        <v>0</v>
      </c>
      <c r="BK366" s="176" t="s">
        <v>3056</v>
      </c>
      <c r="BL366">
        <v>2</v>
      </c>
      <c r="BM366" t="s">
        <v>2776</v>
      </c>
      <c r="BN366">
        <v>2</v>
      </c>
      <c r="BO366" s="176" t="s">
        <v>2794</v>
      </c>
      <c r="BP366">
        <v>2</v>
      </c>
      <c r="BQ366" s="176" t="str">
        <f>IF(秋,"金环戴","吹风醒")</f>
        <v>吹风醒</v>
      </c>
      <c r="BR366">
        <v>2</v>
      </c>
      <c r="BS366" t="s">
        <v>2768</v>
      </c>
      <c r="BT366">
        <v>2</v>
      </c>
      <c r="BU366" t="s">
        <v>2768</v>
      </c>
      <c r="BV366">
        <v>1</v>
      </c>
      <c r="BW366" s="179" t="s">
        <v>2768</v>
      </c>
      <c r="BX366" s="179">
        <v>1</v>
      </c>
      <c r="BY366" t="s">
        <v>2776</v>
      </c>
      <c r="BZ366">
        <v>2</v>
      </c>
      <c r="CA366" t="s">
        <v>2776</v>
      </c>
      <c r="CB366">
        <v>2</v>
      </c>
    </row>
    <row r="367" spans="1:80">
      <c r="A367" s="178" t="str">
        <f ca="1">IFERROR(IF(AG366&lt;5+金蛇*2,IF(COUNTIF(B366,"*轻*")&gt;0,A366+加速!$L$9,A366+加速!$L$11)+V366,""),"")</f>
        <v/>
      </c>
      <c r="B367" s="167" t="str">
        <f ca="1" t="shared" si="93"/>
        <v/>
      </c>
      <c r="C367" t="str">
        <f ca="1" t="shared" si="103"/>
        <v/>
      </c>
      <c r="D367" t="str">
        <f ca="1">IF(B367&lt;&gt;"",IF(C366&lt;=加速!$L$11*(1-E367),0,1),"")</f>
        <v/>
      </c>
      <c r="E367">
        <f ca="1" t="shared" si="99"/>
        <v>1</v>
      </c>
      <c r="G367" t="str">
        <f ca="1" t="shared" si="100"/>
        <v/>
      </c>
      <c r="H367" t="str">
        <f ca="1">IF(B367&lt;&gt;"",IF(AND(COUNTIF(B366,"*轻*莺鸣柳*")&gt;0,COUNTIF(B367,"*轻*")&lt;1),MAX(0,15+I366-(A367-A366)+COUNTIF(B366,"*平湖*")*0),IF(AND(E367=0,MAX(0,H366-(A367-A366))&lt;=加速!$H$11),0,MAX(0,H366-(A367-A366)))),"")</f>
        <v/>
      </c>
      <c r="I367" t="str">
        <f ca="1" t="shared" si="107"/>
        <v/>
      </c>
      <c r="J367" t="str">
        <f ca="1" t="shared" si="108"/>
        <v/>
      </c>
      <c r="K367" t="str">
        <f ca="1" t="shared" si="94"/>
        <v/>
      </c>
      <c r="L367">
        <f ca="1">IFERROR(IF(AND(COUNTIF(B367,"*-峰插*"),技能数据库!$M$72&gt;0),0,IF(COUNTIF(B367,"*鹤归*")&gt;0,16-加速!$L$11,MAX(0,L366-(A367-A366)))),0)</f>
        <v>0</v>
      </c>
      <c r="M367">
        <f ca="1" t="shared" si="95"/>
        <v>0</v>
      </c>
      <c r="N367">
        <f ca="1">IFERROR(IF(AND(COUNTIF(B367,"*-峰插*"),技能数据库!$M$72&gt;0),0,IF(COUNTIF(B367,"*云飞*")&gt;0,4-COUNTIF(B367,"*玉山揽云*")*4--COUNTIF(B367,"*烟流暮景*")*4-COUNTIF(B367,"*云景*")*加速!$L$11-IF(J367&gt;0,2,0),MAX(0,N366-(A367-A366)-IF(J367&gt;0,2,0)))),0)</f>
        <v>0</v>
      </c>
      <c r="O367">
        <f ca="1">IF(AND(COUNTIF(IF(AND(配装计算器!$K$30&lt;&gt;"∞",0),INDEX(AU366:CB366,1,$AT$1),INDEX(AU368:CB368,1,$AT$1)),"*云飞*")=1,COUNTIF(IF(AND(配装计算器!$K$30&lt;&gt;"∞",0),INDEX(AU366:CB366,1,$AT$1),INDEX(AU368:CB368,1,$AT$1)),"*玉山*")=0),N367,0)</f>
        <v>0</v>
      </c>
      <c r="P367">
        <f ca="1">IFERROR(IF(COUNTIF(B367,"*云栖松*")&gt;0,50-加速!$L$11,MAX(0,P366-(A367-A366))),0)</f>
        <v>0</v>
      </c>
      <c r="Q367">
        <f ca="1">IF(COUNTIF(IF(AND(配装计算器!$K$30&lt;&gt;"∞",0),INDEX(AU366:CB366,1,$AT$1),INDEX(AU368:CB368,1,$AT$1)),"*云栖松*")=1,P367,0)</f>
        <v>0</v>
      </c>
      <c r="R367">
        <f ca="1">IFERROR(IF(COUNTIF(B367,"*莺鸣柳*")&gt;0,45-加速!$L$9,MAX(0,R366-(A367-A366))),0)</f>
        <v>0</v>
      </c>
      <c r="S367">
        <f ca="1">IF(COUNTIF(IF(AND(配装计算器!$K$30&lt;&gt;"∞",0),INDEX(AU366:CB366,1,$AT$1),INDEX(AU368:CB368,1,$AT$1)),"*莺鸣柳*")=1,R367,0)</f>
        <v>0</v>
      </c>
      <c r="T367">
        <f ca="1" t="shared" si="104"/>
        <v>0</v>
      </c>
      <c r="U367">
        <f ca="1">IF(金蛇,IF(COUNTIF(B367,"*金环戴*")+COUNTIF(B367,"*吹风醒*")&gt;0,IF(A367&lt;=3,7.125-2.625-A367-加速!$L$11,7.125+加速!$K$9-(A367+加速!$L$11-T367)),0),0)+IF(金蛇,IF(COUNTIF(B367,"*千切子裂光*")&gt;0,2+加速!$K$9-(A367+加速!$L$11-T367),0),0)</f>
        <v>0</v>
      </c>
      <c r="V367">
        <f ca="1" t="shared" si="105"/>
        <v>0</v>
      </c>
      <c r="W367">
        <f ca="1" t="shared" si="96"/>
        <v>0</v>
      </c>
      <c r="X367">
        <f ca="1">INDEX(加速!$I$13:$I$21,W367+1)</f>
        <v>0</v>
      </c>
      <c r="Y367">
        <f ca="1" t="shared" si="106"/>
        <v>0.5</v>
      </c>
      <c r="Z367">
        <f ca="1" t="shared" si="101"/>
        <v>0</v>
      </c>
      <c r="AA367">
        <f ca="1">MAX(0,IFERROR(IF(COUNTIF(B367,"*叠*")&gt;0,IF(AC366&lt;3,8-A368+A367,AA366+6.875-A368+A367),AA366-A368+A367),AA366-加速!$L$11))</f>
        <v>0</v>
      </c>
      <c r="AB367" t="e">
        <f ca="1">MAX(0,IF(COUNTIF(IF(AND(配装计算器!$K$30&lt;&gt;"∞",0),INDEX(AU367:CB367,1,$AT$1),INDEX(AU367:CB367,1,$AT$1)),"*叠1*")=1,4*25-加速!$L$11,AB366-A367+A366)-IF(OR(COUNTIF(OFFSET(AT367,0,$AT$1,1,1),"*听雷*")&gt;0,AND(碧归&gt;0,COUNTIF(OFFSET(AT367,0,$AT$1,1,1),"*风来*")&gt;0)),0,1)*1.5)</f>
        <v>#VALUE!</v>
      </c>
      <c r="AC367">
        <f ca="1" t="shared" si="97"/>
        <v>0</v>
      </c>
      <c r="AD367">
        <f ca="1">IF(COUNTIF(IF(AND(配装计算器!$K$30&lt;&gt;"∞",0),INDEX(AU367:CB367,1,$AT$1),INDEX(AU368:CB368,1,$AT$1)),"*叠1*")=1,AB367*0+AE366,0)</f>
        <v>0</v>
      </c>
      <c r="AE367" t="e">
        <f ca="1">IF($AN$11&gt;0,IF(COUNTIF(B368,"*叠1*")&gt;0,50-加速!$L$11,MAX(0,AE366-(A368-A367))),0)</f>
        <v>#VALUE!</v>
      </c>
      <c r="AG367">
        <f ca="1" t="shared" si="98"/>
        <v>10</v>
      </c>
      <c r="AU367" s="176" t="s">
        <v>2776</v>
      </c>
      <c r="AV367">
        <v>2</v>
      </c>
      <c r="AW367" t="str">
        <f>IF($AR$11=1,橙武补雾锁,"夕照雷峰")</f>
        <v>夕照雷峰</v>
      </c>
      <c r="AX367">
        <v>2</v>
      </c>
      <c r="AY367" t="s">
        <v>3017</v>
      </c>
      <c r="AZ367">
        <v>2</v>
      </c>
      <c r="BA367" t="s">
        <v>3022</v>
      </c>
      <c r="BB367">
        <v>2</v>
      </c>
      <c r="BC367" t="s">
        <v>2776</v>
      </c>
      <c r="BD367">
        <v>2</v>
      </c>
      <c r="BE367" t="s">
        <v>2794</v>
      </c>
      <c r="BF367">
        <v>1</v>
      </c>
      <c r="BG367" s="182" t="s">
        <v>3023</v>
      </c>
      <c r="BH367">
        <v>2</v>
      </c>
      <c r="BI367" t="s">
        <v>2794</v>
      </c>
      <c r="BJ367">
        <v>0</v>
      </c>
      <c r="BK367" s="176" t="s">
        <v>2768</v>
      </c>
      <c r="BL367">
        <v>2</v>
      </c>
      <c r="BM367" t="s">
        <v>2768</v>
      </c>
      <c r="BN367">
        <v>2</v>
      </c>
      <c r="BO367" s="176" t="s">
        <v>2776</v>
      </c>
      <c r="BP367">
        <v>2</v>
      </c>
      <c r="BQ367" s="176" t="str">
        <f>IF(秋,"梦泉虎跑-轻","夕照雷峰")</f>
        <v>夕照雷峰</v>
      </c>
      <c r="BR367">
        <v>1</v>
      </c>
      <c r="BS367" t="s">
        <v>2776</v>
      </c>
      <c r="BT367">
        <v>1</v>
      </c>
      <c r="BU367" t="s">
        <v>3011</v>
      </c>
      <c r="BV367">
        <v>2</v>
      </c>
      <c r="BW367" s="179" t="s">
        <v>2776</v>
      </c>
      <c r="BX367" s="179">
        <v>1</v>
      </c>
      <c r="BY367" t="s">
        <v>2718</v>
      </c>
      <c r="BZ367">
        <v>0</v>
      </c>
      <c r="CA367" t="s">
        <v>2718</v>
      </c>
      <c r="CB367">
        <v>0</v>
      </c>
    </row>
    <row r="368" spans="1:80">
      <c r="A368" s="178" t="str">
        <f ca="1">IFERROR(IF(AG367&lt;5+金蛇*2,IF(COUNTIF(B367,"*轻*")&gt;0,A367+加速!$L$9,A367+加速!$L$11)+V367,""),"")</f>
        <v/>
      </c>
      <c r="B368" s="167" t="str">
        <f ca="1" t="shared" si="93"/>
        <v/>
      </c>
      <c r="C368" t="str">
        <f ca="1" t="shared" si="103"/>
        <v/>
      </c>
      <c r="D368" t="str">
        <f ca="1">IF(B368&lt;&gt;"",IF(C367&lt;=加速!$L$11*(1-E368),0,1),"")</f>
        <v/>
      </c>
      <c r="E368">
        <f ca="1" t="shared" si="99"/>
        <v>1</v>
      </c>
      <c r="G368" t="str">
        <f ca="1" t="shared" si="100"/>
        <v/>
      </c>
      <c r="H368" t="str">
        <f ca="1">IF(B368&lt;&gt;"",IF(AND(COUNTIF(B367,"*轻*莺鸣柳*")&gt;0,COUNTIF(B368,"*轻*")&lt;1),MAX(0,15+I367-(A368-A367)+COUNTIF(B367,"*平湖*")*0),IF(AND(E368=0,MAX(0,H367-(A368-A367))&lt;=加速!$H$11),0,MAX(0,H367-(A368-A367)))),"")</f>
        <v/>
      </c>
      <c r="I368" t="str">
        <f ca="1" t="shared" si="107"/>
        <v/>
      </c>
      <c r="J368" t="str">
        <f ca="1" t="shared" si="108"/>
        <v/>
      </c>
      <c r="K368" t="str">
        <f ca="1" t="shared" si="94"/>
        <v/>
      </c>
      <c r="L368">
        <f ca="1">IFERROR(IF(AND(COUNTIF(B368,"*-峰插*"),技能数据库!$M$72&gt;0),0,IF(COUNTIF(B368,"*鹤归*")&gt;0,16-加速!$L$11,MAX(0,L367-(A368-A367)))),0)</f>
        <v>0</v>
      </c>
      <c r="M368">
        <f ca="1" t="shared" si="95"/>
        <v>0</v>
      </c>
      <c r="N368">
        <f ca="1">IFERROR(IF(AND(COUNTIF(B368,"*-峰插*"),技能数据库!$M$72&gt;0),0,IF(COUNTIF(B368,"*云飞*")&gt;0,4-COUNTIF(B368,"*玉山揽云*")*4--COUNTIF(B368,"*烟流暮景*")*4-COUNTIF(B368,"*云景*")*加速!$L$11-IF(J368&gt;0,2,0),MAX(0,N367-(A368-A367)-IF(J368&gt;0,2,0)))),0)</f>
        <v>0</v>
      </c>
      <c r="O368">
        <f ca="1">IF(AND(COUNTIF(IF(AND(配装计算器!$K$30&lt;&gt;"∞",0),INDEX(AU367:CB367,1,$AT$1),INDEX(AU369:CB369,1,$AT$1)),"*云飞*")=1,COUNTIF(IF(AND(配装计算器!$K$30&lt;&gt;"∞",0),INDEX(AU367:CB367,1,$AT$1),INDEX(AU369:CB369,1,$AT$1)),"*玉山*")=0),N368,0)</f>
        <v>0</v>
      </c>
      <c r="P368">
        <f ca="1">IFERROR(IF(COUNTIF(B368,"*云栖松*")&gt;0,50-加速!$L$11,MAX(0,P367-(A368-A367))),0)</f>
        <v>0</v>
      </c>
      <c r="Q368">
        <f ca="1">IF(COUNTIF(IF(AND(配装计算器!$K$30&lt;&gt;"∞",0),INDEX(AU367:CB367,1,$AT$1),INDEX(AU369:CB369,1,$AT$1)),"*云栖松*")=1,P368,0)</f>
        <v>0</v>
      </c>
      <c r="R368">
        <f ca="1">IFERROR(IF(COUNTIF(B368,"*莺鸣柳*")&gt;0,45-加速!$L$9,MAX(0,R367-(A368-A367))),0)</f>
        <v>0</v>
      </c>
      <c r="S368">
        <f ca="1">IF(COUNTIF(IF(AND(配装计算器!$K$30&lt;&gt;"∞",0),INDEX(AU367:CB367,1,$AT$1),INDEX(AU369:CB369,1,$AT$1)),"*莺鸣柳*")=1,R368,0)</f>
        <v>0</v>
      </c>
      <c r="T368">
        <f ca="1" t="shared" si="104"/>
        <v>0</v>
      </c>
      <c r="U368">
        <f ca="1">IF(金蛇,IF(COUNTIF(B368,"*金环戴*")+COUNTIF(B368,"*吹风醒*")&gt;0,IF(A368&lt;=3,7.125-2.625-A368-加速!$L$11,7.125+加速!$K$9-(A368+加速!$L$11-T368)),0),0)+IF(金蛇,IF(COUNTIF(B368,"*千切子裂光*")&gt;0,2+加速!$K$9-(A368+加速!$L$11-T368),0),0)</f>
        <v>0</v>
      </c>
      <c r="V368">
        <f ca="1" t="shared" si="105"/>
        <v>0</v>
      </c>
      <c r="W368">
        <f ca="1" t="shared" si="96"/>
        <v>0</v>
      </c>
      <c r="X368">
        <f ca="1">INDEX(加速!$I$13:$I$21,W368+1)</f>
        <v>0</v>
      </c>
      <c r="Y368">
        <f ca="1" t="shared" si="106"/>
        <v>0.5</v>
      </c>
      <c r="Z368">
        <f ca="1" t="shared" si="101"/>
        <v>0</v>
      </c>
      <c r="AA368">
        <f ca="1">MAX(0,IFERROR(IF(COUNTIF(B368,"*叠*")&gt;0,IF(AC367&lt;3,8-A369+A368,AA367+6.875-A369+A368),AA367-A369+A368),AA367-加速!$L$11))</f>
        <v>0</v>
      </c>
      <c r="AB368" t="e">
        <f ca="1">MAX(0,IF(COUNTIF(IF(AND(配装计算器!$K$30&lt;&gt;"∞",0),INDEX(AU368:CB368,1,$AT$1),INDEX(AU368:CB368,1,$AT$1)),"*叠1*")=1,4*25-加速!$L$11,AB367-A368+A367)-IF(OR(COUNTIF(OFFSET(AT368,0,$AT$1,1,1),"*听雷*")&gt;0,AND(碧归&gt;0,COUNTIF(OFFSET(AT368,0,$AT$1,1,1),"*风来*")&gt;0)),0,1)*1.5)</f>
        <v>#VALUE!</v>
      </c>
      <c r="AC368">
        <f ca="1" t="shared" si="97"/>
        <v>0</v>
      </c>
      <c r="AD368">
        <f ca="1">IF(COUNTIF(IF(AND(配装计算器!$K$30&lt;&gt;"∞",0),INDEX(AU368:CB368,1,$AT$1),INDEX(AU369:CB369,1,$AT$1)),"*叠1*")=1,AB368*0+AE367,0)</f>
        <v>0</v>
      </c>
      <c r="AE368" t="e">
        <f ca="1">IF($AN$11&gt;0,IF(COUNTIF(B369,"*叠1*")&gt;0,50-加速!$L$11,MAX(0,AE367-(A369-A368))),0)</f>
        <v>#VALUE!</v>
      </c>
      <c r="AG368">
        <f ca="1" t="shared" si="98"/>
        <v>10</v>
      </c>
      <c r="AU368" s="176" t="s">
        <v>2768</v>
      </c>
      <c r="AV368">
        <v>1</v>
      </c>
      <c r="AW368" t="str">
        <f t="shared" si="109"/>
        <v>夕照雷峰</v>
      </c>
      <c r="AX368">
        <v>2</v>
      </c>
      <c r="AY368" t="s">
        <v>2808</v>
      </c>
      <c r="AZ368">
        <v>2</v>
      </c>
      <c r="BA368" t="s">
        <v>2776</v>
      </c>
      <c r="BB368">
        <v>2</v>
      </c>
      <c r="BC368" t="s">
        <v>2768</v>
      </c>
      <c r="BD368">
        <v>2</v>
      </c>
      <c r="BE368" t="s">
        <v>2768</v>
      </c>
      <c r="BF368">
        <v>1</v>
      </c>
      <c r="BG368" s="176" t="s">
        <v>2768</v>
      </c>
      <c r="BH368">
        <v>2</v>
      </c>
      <c r="BI368" t="s">
        <v>2768</v>
      </c>
      <c r="BJ368">
        <v>2</v>
      </c>
      <c r="BK368" s="176" t="s">
        <v>2768</v>
      </c>
      <c r="BL368">
        <v>2</v>
      </c>
      <c r="BM368" t="s">
        <v>2768</v>
      </c>
      <c r="BN368">
        <v>2</v>
      </c>
      <c r="BO368" s="176" t="s">
        <v>2768</v>
      </c>
      <c r="BP368">
        <v>2</v>
      </c>
      <c r="BQ368" t="s">
        <v>3028</v>
      </c>
      <c r="BR368">
        <v>2</v>
      </c>
      <c r="BS368" t="s">
        <v>2768</v>
      </c>
      <c r="BT368">
        <v>1</v>
      </c>
      <c r="BU368" t="s">
        <v>2768</v>
      </c>
      <c r="BV368">
        <v>2</v>
      </c>
      <c r="BW368" s="179" t="s">
        <v>2768</v>
      </c>
      <c r="BX368" s="179">
        <v>1</v>
      </c>
      <c r="BY368" t="s">
        <v>2768</v>
      </c>
      <c r="BZ368">
        <v>2</v>
      </c>
      <c r="CA368" t="s">
        <v>2768</v>
      </c>
      <c r="CB368">
        <v>2</v>
      </c>
    </row>
    <row r="369" spans="1:80">
      <c r="A369" s="178" t="str">
        <f ca="1">IFERROR(IF(AG368&lt;5+金蛇*2,IF(COUNTIF(B368,"*轻*")&gt;0,A368+加速!$L$9,A368+加速!$L$11)+V368,""),"")</f>
        <v/>
      </c>
      <c r="B369" s="167" t="str">
        <f ca="1" t="shared" si="93"/>
        <v/>
      </c>
      <c r="C369" t="str">
        <f ca="1" t="shared" si="103"/>
        <v/>
      </c>
      <c r="D369" t="str">
        <f ca="1">IF(B369&lt;&gt;"",IF(C368&lt;=加速!$L$11*(1-E369),0,1),"")</f>
        <v/>
      </c>
      <c r="E369">
        <f ca="1" t="shared" si="99"/>
        <v>1</v>
      </c>
      <c r="G369" t="str">
        <f ca="1" t="shared" si="100"/>
        <v/>
      </c>
      <c r="H369" t="str">
        <f ca="1">IF(B369&lt;&gt;"",IF(AND(COUNTIF(B368,"*轻*莺鸣柳*")&gt;0,COUNTIF(B369,"*轻*")&lt;1),MAX(0,15+I368-(A369-A368)+COUNTIF(B368,"*平湖*")*0),IF(AND(E369=0,MAX(0,H368-(A369-A368))&lt;=加速!$H$11),0,MAX(0,H368-(A369-A368)))),"")</f>
        <v/>
      </c>
      <c r="I369" t="str">
        <f ca="1" t="shared" si="107"/>
        <v/>
      </c>
      <c r="J369" t="str">
        <f ca="1" t="shared" si="108"/>
        <v/>
      </c>
      <c r="K369" t="str">
        <f ca="1" t="shared" si="94"/>
        <v/>
      </c>
      <c r="L369">
        <f ca="1">IFERROR(IF(AND(COUNTIF(B369,"*-峰插*"),技能数据库!$M$72&gt;0),0,IF(COUNTIF(B369,"*鹤归*")&gt;0,16-加速!$L$11,MAX(0,L368-(A369-A368)))),0)</f>
        <v>0</v>
      </c>
      <c r="M369">
        <f ca="1" t="shared" si="95"/>
        <v>0</v>
      </c>
      <c r="N369">
        <f ca="1">IFERROR(IF(AND(COUNTIF(B369,"*-峰插*"),技能数据库!$M$72&gt;0),0,IF(COUNTIF(B369,"*云飞*")&gt;0,4-COUNTIF(B369,"*玉山揽云*")*4--COUNTIF(B369,"*烟流暮景*")*4-COUNTIF(B369,"*云景*")*加速!$L$11-IF(J369&gt;0,2,0),MAX(0,N368-(A369-A368)-IF(J369&gt;0,2,0)))),0)</f>
        <v>0</v>
      </c>
      <c r="O369">
        <f ca="1">IF(AND(COUNTIF(IF(AND(配装计算器!$K$30&lt;&gt;"∞",0),INDEX(AU368:CB368,1,$AT$1),INDEX(AU370:CB370,1,$AT$1)),"*云飞*")=1,COUNTIF(IF(AND(配装计算器!$K$30&lt;&gt;"∞",0),INDEX(AU368:CB368,1,$AT$1),INDEX(AU370:CB370,1,$AT$1)),"*玉山*")=0),N369,0)</f>
        <v>0</v>
      </c>
      <c r="P369">
        <f ca="1">IFERROR(IF(COUNTIF(B369,"*云栖松*")&gt;0,50-加速!$L$11,MAX(0,P368-(A369-A368))),0)</f>
        <v>0</v>
      </c>
      <c r="Q369">
        <f ca="1">IF(COUNTIF(IF(AND(配装计算器!$K$30&lt;&gt;"∞",0),INDEX(AU368:CB368,1,$AT$1),INDEX(AU370:CB370,1,$AT$1)),"*云栖松*")=1,P369,0)</f>
        <v>0</v>
      </c>
      <c r="R369">
        <f ca="1">IFERROR(IF(COUNTIF(B369,"*莺鸣柳*")&gt;0,45-加速!$L$9,MAX(0,R368-(A369-A368))),0)</f>
        <v>0</v>
      </c>
      <c r="S369">
        <f ca="1">IF(COUNTIF(IF(AND(配装计算器!$K$30&lt;&gt;"∞",0),INDEX(AU368:CB368,1,$AT$1),INDEX(AU370:CB370,1,$AT$1)),"*莺鸣柳*")=1,R369,0)</f>
        <v>0</v>
      </c>
      <c r="T369">
        <f ca="1" t="shared" si="104"/>
        <v>0</v>
      </c>
      <c r="U369">
        <f ca="1">IF(金蛇,IF(COUNTIF(B369,"*金环戴*")+COUNTIF(B369,"*吹风醒*")&gt;0,IF(A369&lt;=3,7.125-2.625-A369-加速!$L$11,7.125+加速!$K$9-(A369+加速!$L$11-T369)),0),0)+IF(金蛇,IF(COUNTIF(B369,"*千切子裂光*")&gt;0,2+加速!$K$9-(A369+加速!$L$11-T369),0),0)</f>
        <v>0</v>
      </c>
      <c r="V369">
        <f ca="1" t="shared" si="105"/>
        <v>0</v>
      </c>
      <c r="W369">
        <f ca="1" t="shared" si="96"/>
        <v>0</v>
      </c>
      <c r="X369">
        <f ca="1">INDEX(加速!$I$13:$I$21,W369+1)</f>
        <v>0</v>
      </c>
      <c r="Y369">
        <f ca="1" t="shared" si="106"/>
        <v>0.5</v>
      </c>
      <c r="Z369">
        <f ca="1" t="shared" si="101"/>
        <v>0</v>
      </c>
      <c r="AA369">
        <f ca="1">MAX(0,IFERROR(IF(COUNTIF(B369,"*叠*")&gt;0,IF(AC368&lt;3,8-A370+A369,AA368+6.875-A370+A369),AA368-A370+A369),AA368-加速!$L$11))</f>
        <v>0</v>
      </c>
      <c r="AB369" t="e">
        <f ca="1">MAX(0,IF(COUNTIF(IF(AND(配装计算器!$K$30&lt;&gt;"∞",0),INDEX(AU369:CB369,1,$AT$1),INDEX(AU369:CB369,1,$AT$1)),"*叠1*")=1,4*25-加速!$L$11,AB368-A369+A368)-IF(OR(COUNTIF(OFFSET(AT369,0,$AT$1,1,1),"*听雷*")&gt;0,AND(碧归&gt;0,COUNTIF(OFFSET(AT369,0,$AT$1,1,1),"*风来*")&gt;0)),0,1)*1.5)</f>
        <v>#VALUE!</v>
      </c>
      <c r="AC369">
        <f ca="1" t="shared" si="97"/>
        <v>0</v>
      </c>
      <c r="AD369">
        <f ca="1">IF(COUNTIF(IF(AND(配装计算器!$K$30&lt;&gt;"∞",0),INDEX(AU369:CB369,1,$AT$1),INDEX(AU370:CB370,1,$AT$1)),"*叠1*")=1,AB369*0+AE368,0)</f>
        <v>0</v>
      </c>
      <c r="AE369" t="e">
        <f ca="1">IF($AN$11&gt;0,IF(COUNTIF(B370,"*叠1*")&gt;0,50-加速!$L$11,MAX(0,AE368-(A370-A369))),0)</f>
        <v>#VALUE!</v>
      </c>
      <c r="AG369">
        <f ca="1" t="shared" si="98"/>
        <v>10</v>
      </c>
      <c r="AU369" t="s">
        <v>2776</v>
      </c>
      <c r="AV369">
        <v>1</v>
      </c>
      <c r="AW369" t="str">
        <f t="shared" si="109"/>
        <v>夕照雷峰</v>
      </c>
      <c r="AX369">
        <v>2</v>
      </c>
      <c r="AY369" t="s">
        <v>3022</v>
      </c>
      <c r="AZ369">
        <v>2</v>
      </c>
      <c r="BA369" t="s">
        <v>2768</v>
      </c>
      <c r="BB369">
        <v>2</v>
      </c>
      <c r="BC369" t="s">
        <v>2776</v>
      </c>
      <c r="BD369">
        <v>2</v>
      </c>
      <c r="BE369" t="s">
        <v>2776</v>
      </c>
      <c r="BF369">
        <v>1</v>
      </c>
      <c r="BG369" s="176" t="s">
        <v>2768</v>
      </c>
      <c r="BH369">
        <v>2</v>
      </c>
      <c r="BI369" t="s">
        <v>2776</v>
      </c>
      <c r="BJ369">
        <v>2</v>
      </c>
      <c r="BK369" s="176" t="s">
        <v>2776</v>
      </c>
      <c r="BL369">
        <v>2</v>
      </c>
      <c r="BM369" t="s">
        <v>2768</v>
      </c>
      <c r="BN369">
        <v>2</v>
      </c>
      <c r="BO369" s="176" t="s">
        <v>2776</v>
      </c>
      <c r="BP369">
        <v>2</v>
      </c>
      <c r="BQ369" t="s">
        <v>2768</v>
      </c>
      <c r="BR369">
        <v>2</v>
      </c>
      <c r="BS369" t="s">
        <v>3056</v>
      </c>
      <c r="BT369">
        <v>0</v>
      </c>
      <c r="BU369" t="s">
        <v>3018</v>
      </c>
      <c r="BV369">
        <v>2</v>
      </c>
      <c r="BW369" s="179" t="s">
        <v>2722</v>
      </c>
      <c r="BX369" s="179">
        <v>2</v>
      </c>
      <c r="BY369" t="s">
        <v>2768</v>
      </c>
      <c r="BZ369">
        <v>1</v>
      </c>
      <c r="CA369" t="s">
        <v>2768</v>
      </c>
      <c r="CB369">
        <v>1</v>
      </c>
    </row>
    <row r="370" spans="1:80">
      <c r="A370" s="178" t="str">
        <f ca="1">IFERROR(IF(AG369&lt;5+金蛇*2,IF(COUNTIF(B369,"*轻*")&gt;0,A369+加速!$L$9,A369+加速!$L$11)+V369,""),"")</f>
        <v/>
      </c>
      <c r="B370" s="167" t="str">
        <f ca="1" t="shared" si="93"/>
        <v/>
      </c>
      <c r="C370" t="str">
        <f ca="1" t="shared" si="103"/>
        <v/>
      </c>
      <c r="D370" t="str">
        <f ca="1">IF(B370&lt;&gt;"",IF(C369&lt;=加速!$L$11*(1-E370),0,1),"")</f>
        <v/>
      </c>
      <c r="E370">
        <f ca="1" t="shared" si="99"/>
        <v>1</v>
      </c>
      <c r="G370" t="str">
        <f ca="1" t="shared" si="100"/>
        <v/>
      </c>
      <c r="H370" t="str">
        <f ca="1">IF(B370&lt;&gt;"",IF(AND(COUNTIF(B369,"*轻*莺鸣柳*")&gt;0,COUNTIF(B370,"*轻*")&lt;1),MAX(0,15+I369-(A370-A369)+COUNTIF(B369,"*平湖*")*0),IF(AND(E370=0,MAX(0,H369-(A370-A369))&lt;=加速!$H$11),0,MAX(0,H369-(A370-A369)))),"")</f>
        <v/>
      </c>
      <c r="I370" t="str">
        <f ca="1" t="shared" si="107"/>
        <v/>
      </c>
      <c r="J370" t="str">
        <f ca="1" t="shared" si="108"/>
        <v/>
      </c>
      <c r="K370" t="str">
        <f ca="1" t="shared" si="94"/>
        <v/>
      </c>
      <c r="L370">
        <f ca="1">IFERROR(IF(AND(COUNTIF(B370,"*-峰插*"),技能数据库!$M$72&gt;0),0,IF(COUNTIF(B370,"*鹤归*")&gt;0,16-加速!$L$11,MAX(0,L369-(A370-A369)))),0)</f>
        <v>0</v>
      </c>
      <c r="M370">
        <f ca="1" t="shared" si="95"/>
        <v>0</v>
      </c>
      <c r="N370">
        <f ca="1">IFERROR(IF(AND(COUNTIF(B370,"*-峰插*"),技能数据库!$M$72&gt;0),0,IF(COUNTIF(B370,"*云飞*")&gt;0,4-COUNTIF(B370,"*玉山揽云*")*4--COUNTIF(B370,"*烟流暮景*")*4-COUNTIF(B370,"*云景*")*加速!$L$11-IF(J370&gt;0,2,0),MAX(0,N369-(A370-A369)-IF(J370&gt;0,2,0)))),0)</f>
        <v>0</v>
      </c>
      <c r="O370">
        <f ca="1">IF(AND(COUNTIF(IF(AND(配装计算器!$K$30&lt;&gt;"∞",0),INDEX(AU369:CB369,1,$AT$1),INDEX(AU371:CB371,1,$AT$1)),"*云飞*")=1,COUNTIF(IF(AND(配装计算器!$K$30&lt;&gt;"∞",0),INDEX(AU369:CB369,1,$AT$1),INDEX(AU371:CB371,1,$AT$1)),"*玉山*")=0),N370,0)</f>
        <v>0</v>
      </c>
      <c r="P370">
        <f ca="1">IFERROR(IF(COUNTIF(B370,"*云栖松*")&gt;0,50-加速!$L$11,MAX(0,P369-(A370-A369))),0)</f>
        <v>0</v>
      </c>
      <c r="Q370">
        <f ca="1">IF(COUNTIF(IF(AND(配装计算器!$K$30&lt;&gt;"∞",0),INDEX(AU369:CB369,1,$AT$1),INDEX(AU371:CB371,1,$AT$1)),"*云栖松*")=1,P370,0)</f>
        <v>0</v>
      </c>
      <c r="R370">
        <f ca="1">IFERROR(IF(COUNTIF(B370,"*莺鸣柳*")&gt;0,45-加速!$L$9,MAX(0,R369-(A370-A369))),0)</f>
        <v>0</v>
      </c>
      <c r="S370">
        <f ca="1">IF(COUNTIF(IF(AND(配装计算器!$K$30&lt;&gt;"∞",0),INDEX(AU369:CB369,1,$AT$1),INDEX(AU371:CB371,1,$AT$1)),"*莺鸣柳*")=1,R370,0)</f>
        <v>0</v>
      </c>
      <c r="T370">
        <f ca="1" t="shared" si="104"/>
        <v>0</v>
      </c>
      <c r="U370">
        <f ca="1">IF(金蛇,IF(COUNTIF(B370,"*金环戴*")+COUNTIF(B370,"*吹风醒*")&gt;0,IF(A370&lt;=3,7.125-2.625-A370-加速!$L$11,7.125+加速!$K$9-(A370+加速!$L$11-T370)),0),0)+IF(金蛇,IF(COUNTIF(B370,"*千切子裂光*")&gt;0,2+加速!$K$9-(A370+加速!$L$11-T370),0),0)</f>
        <v>0</v>
      </c>
      <c r="V370">
        <f ca="1" t="shared" si="105"/>
        <v>0</v>
      </c>
      <c r="W370">
        <f ca="1" t="shared" si="96"/>
        <v>0</v>
      </c>
      <c r="X370">
        <f ca="1">INDEX(加速!$I$13:$I$21,W370+1)</f>
        <v>0</v>
      </c>
      <c r="Y370">
        <f ca="1" t="shared" si="106"/>
        <v>0.5</v>
      </c>
      <c r="Z370">
        <f ca="1" t="shared" si="101"/>
        <v>0</v>
      </c>
      <c r="AA370">
        <f ca="1">MAX(0,IFERROR(IF(COUNTIF(B370,"*叠*")&gt;0,IF(AC369&lt;3,8-A371+A370,AA369+6.875-A371+A370),AA369-A371+A370),AA369-加速!$L$11))</f>
        <v>0</v>
      </c>
      <c r="AB370" t="e">
        <f ca="1">MAX(0,IF(COUNTIF(IF(AND(配装计算器!$K$30&lt;&gt;"∞",0),INDEX(AU370:CB370,1,$AT$1),INDEX(AU370:CB370,1,$AT$1)),"*叠1*")=1,4*25-加速!$L$11,AB369-A370+A369)-IF(OR(COUNTIF(OFFSET(AT370,0,$AT$1,1,1),"*听雷*")&gt;0,AND(碧归&gt;0,COUNTIF(OFFSET(AT370,0,$AT$1,1,1),"*风来*")&gt;0)),0,1)*1.5)</f>
        <v>#VALUE!</v>
      </c>
      <c r="AC370">
        <f ca="1" t="shared" si="97"/>
        <v>0</v>
      </c>
      <c r="AD370">
        <f ca="1">IF(COUNTIF(IF(AND(配装计算器!$K$30&lt;&gt;"∞",0),INDEX(AU370:CB370,1,$AT$1),INDEX(AU371:CB371,1,$AT$1)),"*叠1*")=1,AB370*0+AE369,0)</f>
        <v>0</v>
      </c>
      <c r="AE370" t="e">
        <f ca="1">IF($AN$11&gt;0,IF(COUNTIF(B371,"*叠1*")&gt;0,50-加速!$L$11,MAX(0,AE369-(A371-A370))),0)</f>
        <v>#VALUE!</v>
      </c>
      <c r="AG370">
        <f ca="1" t="shared" si="98"/>
        <v>10</v>
      </c>
      <c r="AU370" t="s">
        <v>2768</v>
      </c>
      <c r="AV370">
        <v>1</v>
      </c>
      <c r="AW370" t="s">
        <v>2776</v>
      </c>
      <c r="AX370">
        <v>2</v>
      </c>
      <c r="AY370" t="s">
        <v>2776</v>
      </c>
      <c r="AZ370">
        <v>2</v>
      </c>
      <c r="BA370" t="s">
        <v>2789</v>
      </c>
      <c r="BB370">
        <v>2</v>
      </c>
      <c r="BC370" t="s">
        <v>2768</v>
      </c>
      <c r="BD370">
        <v>2</v>
      </c>
      <c r="BE370" t="s">
        <v>2768</v>
      </c>
      <c r="BF370">
        <v>0</v>
      </c>
      <c r="BG370" s="176" t="s">
        <v>2789</v>
      </c>
      <c r="BH370">
        <v>2</v>
      </c>
      <c r="BI370" t="s">
        <v>2768</v>
      </c>
      <c r="BJ370">
        <v>2</v>
      </c>
      <c r="BK370" t="s">
        <v>2768</v>
      </c>
      <c r="BL370">
        <v>1</v>
      </c>
      <c r="BM370" t="s">
        <v>2776</v>
      </c>
      <c r="BN370">
        <v>2</v>
      </c>
      <c r="BO370" s="176" t="s">
        <v>2768</v>
      </c>
      <c r="BP370">
        <v>2</v>
      </c>
      <c r="BQ370" t="s">
        <v>2768</v>
      </c>
      <c r="BR370">
        <v>2</v>
      </c>
      <c r="BS370" t="s">
        <v>2768</v>
      </c>
      <c r="BT370">
        <v>2</v>
      </c>
      <c r="BU370" t="s">
        <v>2768</v>
      </c>
      <c r="BV370">
        <v>2</v>
      </c>
      <c r="BW370" s="179" t="s">
        <v>3009</v>
      </c>
      <c r="BX370" s="179">
        <v>2</v>
      </c>
      <c r="BY370" t="s">
        <v>2776</v>
      </c>
      <c r="BZ370">
        <v>1</v>
      </c>
      <c r="CA370" t="s">
        <v>2776</v>
      </c>
      <c r="CB370">
        <v>1</v>
      </c>
    </row>
    <row r="371" spans="1:80">
      <c r="A371" s="178" t="str">
        <f ca="1">IFERROR(IF(AG370&lt;5+金蛇*2,IF(COUNTIF(B370,"*轻*")&gt;0,A370+加速!$L$9,A370+加速!$L$11)+V370,""),"")</f>
        <v/>
      </c>
      <c r="B371" s="167" t="str">
        <f ca="1" t="shared" si="93"/>
        <v/>
      </c>
      <c r="C371" t="str">
        <f ca="1" t="shared" si="103"/>
        <v/>
      </c>
      <c r="D371" t="str">
        <f ca="1">IF(B371&lt;&gt;"",IF(C370&lt;=加速!$L$11*(1-E371),0,1),"")</f>
        <v/>
      </c>
      <c r="E371">
        <f ca="1" t="shared" si="99"/>
        <v>1</v>
      </c>
      <c r="G371" t="str">
        <f ca="1" t="shared" si="100"/>
        <v/>
      </c>
      <c r="H371" t="str">
        <f ca="1">IF(B371&lt;&gt;"",IF(AND(COUNTIF(B370,"*轻*莺鸣柳*")&gt;0,COUNTIF(B371,"*轻*")&lt;1),MAX(0,15+I370-(A371-A370)+COUNTIF(B370,"*平湖*")*0),IF(AND(E371=0,MAX(0,H370-(A371-A370))&lt;=加速!$H$11),0,MAX(0,H370-(A371-A370)))),"")</f>
        <v/>
      </c>
      <c r="I371" t="str">
        <f ca="1" t="shared" si="107"/>
        <v/>
      </c>
      <c r="J371" t="str">
        <f ca="1" t="shared" si="108"/>
        <v/>
      </c>
      <c r="K371" t="str">
        <f ca="1" t="shared" si="94"/>
        <v/>
      </c>
      <c r="L371">
        <f ca="1">IFERROR(IF(AND(COUNTIF(B371,"*-峰插*"),技能数据库!$M$72&gt;0),0,IF(COUNTIF(B371,"*鹤归*")&gt;0,16-加速!$L$11,MAX(0,L370-(A371-A370)))),0)</f>
        <v>0</v>
      </c>
      <c r="M371">
        <f ca="1" t="shared" si="95"/>
        <v>0</v>
      </c>
      <c r="N371">
        <f ca="1">IFERROR(IF(AND(COUNTIF(B371,"*-峰插*"),技能数据库!$M$72&gt;0),0,IF(COUNTIF(B371,"*云飞*")&gt;0,4-COUNTIF(B371,"*玉山揽云*")*4--COUNTIF(B371,"*烟流暮景*")*4-COUNTIF(B371,"*云景*")*加速!$L$11-IF(J371&gt;0,2,0),MAX(0,N370-(A371-A370)-IF(J371&gt;0,2,0)))),0)</f>
        <v>0</v>
      </c>
      <c r="O371">
        <f ca="1">IF(AND(COUNTIF(IF(AND(配装计算器!$K$30&lt;&gt;"∞",0),INDEX(AU370:CB370,1,$AT$1),INDEX(AU372:CB372,1,$AT$1)),"*云飞*")=1,COUNTIF(IF(AND(配装计算器!$K$30&lt;&gt;"∞",0),INDEX(AU370:CB370,1,$AT$1),INDEX(AU372:CB372,1,$AT$1)),"*玉山*")=0),N371,0)</f>
        <v>0</v>
      </c>
      <c r="P371">
        <f ca="1">IFERROR(IF(COUNTIF(B371,"*云栖松*")&gt;0,50-加速!$L$11,MAX(0,P370-(A371-A370))),0)</f>
        <v>0</v>
      </c>
      <c r="Q371">
        <f ca="1">IF(COUNTIF(IF(AND(配装计算器!$K$30&lt;&gt;"∞",0),INDEX(AU370:CB370,1,$AT$1),INDEX(AU372:CB372,1,$AT$1)),"*云栖松*")=1,P371,0)</f>
        <v>0</v>
      </c>
      <c r="R371">
        <f ca="1">IFERROR(IF(COUNTIF(B371,"*莺鸣柳*")&gt;0,45-加速!$L$9,MAX(0,R370-(A371-A370))),0)</f>
        <v>0</v>
      </c>
      <c r="S371">
        <f ca="1">IF(COUNTIF(IF(AND(配装计算器!$K$30&lt;&gt;"∞",0),INDEX(AU370:CB370,1,$AT$1),INDEX(AU372:CB372,1,$AT$1)),"*莺鸣柳*")=1,R371,0)</f>
        <v>0</v>
      </c>
      <c r="T371">
        <f ca="1" t="shared" si="104"/>
        <v>0</v>
      </c>
      <c r="U371">
        <f ca="1">IF(金蛇,IF(COUNTIF(B371,"*金环戴*")+COUNTIF(B371,"*吹风醒*")&gt;0,IF(A371&lt;=3,7.125-2.625-A371-加速!$L$11,7.125+加速!$K$9-(A371+加速!$L$11-T371)),0),0)+IF(金蛇,IF(COUNTIF(B371,"*千切子裂光*")&gt;0,2+加速!$K$9-(A371+加速!$L$11-T371),0),0)</f>
        <v>0</v>
      </c>
      <c r="V371">
        <f ca="1" t="shared" si="105"/>
        <v>0</v>
      </c>
      <c r="W371">
        <f ca="1" t="shared" si="96"/>
        <v>0</v>
      </c>
      <c r="X371">
        <f ca="1">INDEX(加速!$I$13:$I$21,W371+1)</f>
        <v>0</v>
      </c>
      <c r="Y371">
        <f ca="1" t="shared" si="106"/>
        <v>0.5</v>
      </c>
      <c r="Z371">
        <f ca="1" t="shared" si="101"/>
        <v>0</v>
      </c>
      <c r="AA371">
        <f ca="1">MAX(0,IFERROR(IF(COUNTIF(B371,"*叠*")&gt;0,IF(AC370&lt;3,8-A372+A371,AA370+6.875-A372+A371),AA370-A372+A371),AA370-加速!$L$11))</f>
        <v>0</v>
      </c>
      <c r="AB371" t="e">
        <f ca="1">MAX(0,IF(COUNTIF(IF(AND(配装计算器!$K$30&lt;&gt;"∞",0),INDEX(AU371:CB371,1,$AT$1),INDEX(AU371:CB371,1,$AT$1)),"*叠1*")=1,4*25-加速!$L$11,AB370-A371+A370)-IF(OR(COUNTIF(OFFSET(AT371,0,$AT$1,1,1),"*听雷*")&gt;0,AND(碧归&gt;0,COUNTIF(OFFSET(AT371,0,$AT$1,1,1),"*风来*")&gt;0)),0,1)*1.5)</f>
        <v>#VALUE!</v>
      </c>
      <c r="AC371">
        <f ca="1" t="shared" si="97"/>
        <v>0</v>
      </c>
      <c r="AD371">
        <f ca="1">IF(COUNTIF(IF(AND(配装计算器!$K$30&lt;&gt;"∞",0),INDEX(AU371:CB371,1,$AT$1),INDEX(AU372:CB372,1,$AT$1)),"*叠1*")=1,AB371*0+AE370,0)</f>
        <v>0</v>
      </c>
      <c r="AE371" t="e">
        <f ca="1">IF($AN$11&gt;0,IF(COUNTIF(B372,"*叠1*")&gt;0,50-加速!$L$11,MAX(0,AE370-(A372-A371))),0)</f>
        <v>#VALUE!</v>
      </c>
      <c r="AG371">
        <f ca="1" t="shared" si="98"/>
        <v>10</v>
      </c>
      <c r="AU371" t="s">
        <v>2768</v>
      </c>
      <c r="AV371">
        <v>1</v>
      </c>
      <c r="AW371" t="s">
        <v>2768</v>
      </c>
      <c r="AX371">
        <v>2</v>
      </c>
      <c r="AY371" t="s">
        <v>2768</v>
      </c>
      <c r="AZ371">
        <v>2</v>
      </c>
      <c r="BA371" t="s">
        <v>2776</v>
      </c>
      <c r="BB371">
        <v>2</v>
      </c>
      <c r="BC371" t="s">
        <v>2776</v>
      </c>
      <c r="BD371">
        <v>2</v>
      </c>
      <c r="BE371" t="s">
        <v>3011</v>
      </c>
      <c r="BF371">
        <v>2</v>
      </c>
      <c r="BG371" s="176" t="s">
        <v>2776</v>
      </c>
      <c r="BH371">
        <v>2</v>
      </c>
      <c r="BI371" t="s">
        <v>2776</v>
      </c>
      <c r="BJ371">
        <v>1</v>
      </c>
      <c r="BK371" s="176" t="s">
        <v>2768</v>
      </c>
      <c r="BL371">
        <v>1</v>
      </c>
      <c r="BM371" t="s">
        <v>2768</v>
      </c>
      <c r="BN371">
        <v>1</v>
      </c>
      <c r="BO371" s="176" t="s">
        <v>2808</v>
      </c>
      <c r="BP371">
        <v>2</v>
      </c>
      <c r="BQ371" t="s">
        <v>3010</v>
      </c>
      <c r="BR371">
        <v>2</v>
      </c>
      <c r="BS371" t="s">
        <v>2768</v>
      </c>
      <c r="BT371">
        <v>2</v>
      </c>
      <c r="BU371" s="182" t="s">
        <v>3023</v>
      </c>
      <c r="BV371">
        <v>2</v>
      </c>
      <c r="BW371" s="179" t="s">
        <v>3078</v>
      </c>
      <c r="BX371" s="179">
        <v>2</v>
      </c>
      <c r="BY371" t="s">
        <v>2768</v>
      </c>
      <c r="BZ371">
        <v>1</v>
      </c>
      <c r="CA371" t="s">
        <v>2768</v>
      </c>
      <c r="CB371">
        <v>1</v>
      </c>
    </row>
    <row r="372" spans="1:80">
      <c r="A372" s="178" t="str">
        <f ca="1">IFERROR(IF(AG371&lt;5+金蛇*2,IF(COUNTIF(B371,"*轻*")&gt;0,A371+加速!$L$9,A371+加速!$L$11)+V371,""),"")</f>
        <v/>
      </c>
      <c r="B372" s="167" t="str">
        <f ca="1" t="shared" si="93"/>
        <v/>
      </c>
      <c r="C372" t="str">
        <f ca="1" t="shared" si="103"/>
        <v/>
      </c>
      <c r="D372" t="str">
        <f ca="1">IF(B372&lt;&gt;"",IF(C371&lt;=加速!$L$11*(1-E372),0,1),"")</f>
        <v/>
      </c>
      <c r="E372">
        <f ca="1" t="shared" si="99"/>
        <v>1</v>
      </c>
      <c r="G372" t="str">
        <f ca="1" t="shared" si="100"/>
        <v/>
      </c>
      <c r="H372" t="str">
        <f ca="1">IF(B372&lt;&gt;"",IF(AND(COUNTIF(B371,"*轻*莺鸣柳*")&gt;0,COUNTIF(B372,"*轻*")&lt;1),MAX(0,15+I371-(A372-A371)+COUNTIF(B371,"*平湖*")*0),IF(AND(E372=0,MAX(0,H371-(A372-A371))&lt;=加速!$H$11),0,MAX(0,H371-(A372-A371)))),"")</f>
        <v/>
      </c>
      <c r="I372" t="str">
        <f ca="1" t="shared" si="107"/>
        <v/>
      </c>
      <c r="J372" t="str">
        <f ca="1" t="shared" si="108"/>
        <v/>
      </c>
      <c r="K372" t="str">
        <f ca="1" t="shared" si="94"/>
        <v/>
      </c>
      <c r="L372">
        <f ca="1">IFERROR(IF(AND(COUNTIF(B372,"*-峰插*"),技能数据库!$M$72&gt;0),0,IF(COUNTIF(B372,"*鹤归*")&gt;0,16-加速!$L$11,MAX(0,L371-(A372-A371)))),0)</f>
        <v>0</v>
      </c>
      <c r="M372">
        <f ca="1" t="shared" si="95"/>
        <v>0</v>
      </c>
      <c r="N372">
        <f ca="1">IFERROR(IF(AND(COUNTIF(B372,"*-峰插*"),技能数据库!$M$72&gt;0),0,IF(COUNTIF(B372,"*云飞*")&gt;0,4-COUNTIF(B372,"*玉山揽云*")*4--COUNTIF(B372,"*烟流暮景*")*4-COUNTIF(B372,"*云景*")*加速!$L$11-IF(J372&gt;0,2,0),MAX(0,N371-(A372-A371)-IF(J372&gt;0,2,0)))),0)</f>
        <v>0</v>
      </c>
      <c r="O372">
        <f ca="1">IF(AND(COUNTIF(IF(AND(配装计算器!$K$30&lt;&gt;"∞",0),INDEX(AU371:CB371,1,$AT$1),INDEX(AU373:CB373,1,$AT$1)),"*云飞*")=1,COUNTIF(IF(AND(配装计算器!$K$30&lt;&gt;"∞",0),INDEX(AU371:CB371,1,$AT$1),INDEX(AU373:CB373,1,$AT$1)),"*玉山*")=0),N372,0)</f>
        <v>0</v>
      </c>
      <c r="P372">
        <f ca="1">IFERROR(IF(COUNTIF(B372,"*云栖松*")&gt;0,50-加速!$L$11,MAX(0,P371-(A372-A371))),0)</f>
        <v>0</v>
      </c>
      <c r="Q372">
        <f ca="1">IF(COUNTIF(IF(AND(配装计算器!$K$30&lt;&gt;"∞",0),INDEX(AU371:CB371,1,$AT$1),INDEX(AU373:CB373,1,$AT$1)),"*云栖松*")=1,P372,0)</f>
        <v>0</v>
      </c>
      <c r="R372">
        <f ca="1">IFERROR(IF(COUNTIF(B372,"*莺鸣柳*")&gt;0,45-加速!$L$9,MAX(0,R371-(A372-A371))),0)</f>
        <v>0</v>
      </c>
      <c r="S372">
        <f ca="1">IF(COUNTIF(IF(AND(配装计算器!$K$30&lt;&gt;"∞",0),INDEX(AU371:CB371,1,$AT$1),INDEX(AU373:CB373,1,$AT$1)),"*莺鸣柳*")=1,R372,0)</f>
        <v>0</v>
      </c>
      <c r="T372">
        <f ca="1" t="shared" si="104"/>
        <v>0</v>
      </c>
      <c r="U372">
        <f ca="1">IF(金蛇,IF(COUNTIF(B372,"*金环戴*")+COUNTIF(B372,"*吹风醒*")&gt;0,IF(A372&lt;=3,7.125-2.625-A372-加速!$L$11,7.125+加速!$K$9-(A372+加速!$L$11-T372)),0),0)+IF(金蛇,IF(COUNTIF(B372,"*千切子裂光*")&gt;0,2+加速!$K$9-(A372+加速!$L$11-T372),0),0)</f>
        <v>0</v>
      </c>
      <c r="V372">
        <f ca="1" t="shared" si="105"/>
        <v>0</v>
      </c>
      <c r="W372">
        <f ca="1" t="shared" si="96"/>
        <v>0</v>
      </c>
      <c r="X372">
        <f ca="1">INDEX(加速!$I$13:$I$21,W372+1)</f>
        <v>0</v>
      </c>
      <c r="Y372">
        <f ca="1" t="shared" si="106"/>
        <v>0.5</v>
      </c>
      <c r="Z372">
        <f ca="1" t="shared" si="101"/>
        <v>0</v>
      </c>
      <c r="AA372">
        <f ca="1">MAX(0,IFERROR(IF(COUNTIF(B372,"*叠*")&gt;0,IF(AC371&lt;3,8-A373+A372,AA371+6.875-A373+A372),AA371-A373+A372),AA371-加速!$L$11))</f>
        <v>0</v>
      </c>
      <c r="AB372" t="e">
        <f ca="1">MAX(0,IF(COUNTIF(IF(AND(配装计算器!$K$30&lt;&gt;"∞",0),INDEX(AU372:CB372,1,$AT$1),INDEX(AU372:CB372,1,$AT$1)),"*叠1*")=1,4*25-加速!$L$11,AB371-A372+A371)-IF(OR(COUNTIF(OFFSET(AT372,0,$AT$1,1,1),"*听雷*")&gt;0,AND(碧归&gt;0,COUNTIF(OFFSET(AT372,0,$AT$1,1,1),"*风来*")&gt;0)),0,1)*1.5)</f>
        <v>#VALUE!</v>
      </c>
      <c r="AC372">
        <f ca="1" t="shared" si="97"/>
        <v>0</v>
      </c>
      <c r="AD372">
        <f ca="1">IF(COUNTIF(IF(AND(配装计算器!$K$30&lt;&gt;"∞",0),INDEX(AU372:CB372,1,$AT$1),INDEX(AU373:CB373,1,$AT$1)),"*叠1*")=1,AB372*0+AE371,0)</f>
        <v>0</v>
      </c>
      <c r="AE372" t="e">
        <f ca="1">IF($AN$11&gt;0,IF(COUNTIF(B373,"*叠1*")&gt;0,50-加速!$L$11,MAX(0,AE371-(A373-A372))),0)</f>
        <v>#VALUE!</v>
      </c>
      <c r="AG372">
        <f ca="1" t="shared" si="98"/>
        <v>10</v>
      </c>
      <c r="AU372" t="s">
        <v>3063</v>
      </c>
      <c r="AV372">
        <v>2</v>
      </c>
      <c r="AW372" t="s">
        <v>2768</v>
      </c>
      <c r="AX372">
        <v>2</v>
      </c>
      <c r="AY372" t="s">
        <v>2789</v>
      </c>
      <c r="AZ372">
        <v>2</v>
      </c>
      <c r="BA372" t="s">
        <v>3035</v>
      </c>
      <c r="BB372">
        <v>2</v>
      </c>
      <c r="BC372" t="s">
        <v>2768</v>
      </c>
      <c r="BD372">
        <v>1</v>
      </c>
      <c r="BE372" t="s">
        <v>2768</v>
      </c>
      <c r="BF372">
        <v>2</v>
      </c>
      <c r="BG372" s="176" t="s">
        <v>3035</v>
      </c>
      <c r="BH372">
        <v>2</v>
      </c>
      <c r="BI372" t="s">
        <v>2768</v>
      </c>
      <c r="BJ372">
        <v>1</v>
      </c>
      <c r="BK372" s="176" t="s">
        <v>2768</v>
      </c>
      <c r="BL372">
        <v>0</v>
      </c>
      <c r="BM372" t="s">
        <v>2722</v>
      </c>
      <c r="BN372">
        <v>0</v>
      </c>
      <c r="BO372" t="s">
        <v>2768</v>
      </c>
      <c r="BP372">
        <v>2</v>
      </c>
      <c r="BQ372" t="s">
        <v>3013</v>
      </c>
      <c r="BR372">
        <v>2</v>
      </c>
      <c r="BS372" t="s">
        <v>2776</v>
      </c>
      <c r="BT372">
        <v>2</v>
      </c>
      <c r="BU372" s="186" t="str">
        <f>IF(秋,"夕照雷峰","千切子寒光")</f>
        <v>千切子寒光</v>
      </c>
      <c r="BV372">
        <v>2</v>
      </c>
      <c r="BW372" s="179" t="s">
        <v>2768</v>
      </c>
      <c r="BX372" s="179">
        <v>2</v>
      </c>
      <c r="BY372" t="s">
        <v>2722</v>
      </c>
      <c r="BZ372">
        <v>0</v>
      </c>
      <c r="CA372" t="s">
        <v>2722</v>
      </c>
      <c r="CB372">
        <v>0</v>
      </c>
    </row>
    <row r="373" spans="1:80">
      <c r="A373" s="178" t="str">
        <f ca="1">IFERROR(IF(AG372&lt;5+金蛇*2,IF(COUNTIF(B372,"*轻*")&gt;0,A372+加速!$L$9,A372+加速!$L$11)+V372,""),"")</f>
        <v/>
      </c>
      <c r="B373" s="167" t="str">
        <f ca="1" t="shared" si="93"/>
        <v/>
      </c>
      <c r="C373" t="str">
        <f ca="1" t="shared" si="103"/>
        <v/>
      </c>
      <c r="D373" t="str">
        <f ca="1">IF(B373&lt;&gt;"",IF(C372&lt;=加速!$L$11*(1-E373),0,1),"")</f>
        <v/>
      </c>
      <c r="E373">
        <f ca="1" t="shared" si="99"/>
        <v>1</v>
      </c>
      <c r="G373" t="str">
        <f ca="1" t="shared" si="100"/>
        <v/>
      </c>
      <c r="H373" t="str">
        <f ca="1">IF(B373&lt;&gt;"",IF(AND(COUNTIF(B372,"*轻*莺鸣柳*")&gt;0,COUNTIF(B373,"*轻*")&lt;1),MAX(0,15+I372-(A373-A372)+COUNTIF(B372,"*平湖*")*0),IF(AND(E373=0,MAX(0,H372-(A373-A372))&lt;=加速!$H$11),0,MAX(0,H372-(A373-A372)))),"")</f>
        <v/>
      </c>
      <c r="I373" t="str">
        <f ca="1" t="shared" si="107"/>
        <v/>
      </c>
      <c r="J373" t="str">
        <f ca="1" t="shared" si="108"/>
        <v/>
      </c>
      <c r="K373" t="str">
        <f ca="1" t="shared" si="94"/>
        <v/>
      </c>
      <c r="L373">
        <f ca="1">IFERROR(IF(AND(COUNTIF(B373,"*-峰插*"),技能数据库!$M$72&gt;0),0,IF(COUNTIF(B373,"*鹤归*")&gt;0,16-加速!$L$11,MAX(0,L372-(A373-A372)))),0)</f>
        <v>0</v>
      </c>
      <c r="M373">
        <f ca="1" t="shared" si="95"/>
        <v>0</v>
      </c>
      <c r="N373">
        <f ca="1">IFERROR(IF(AND(COUNTIF(B373,"*-峰插*"),技能数据库!$M$72&gt;0),0,IF(COUNTIF(B373,"*云飞*")&gt;0,4-COUNTIF(B373,"*玉山揽云*")*4--COUNTIF(B373,"*烟流暮景*")*4-COUNTIF(B373,"*云景*")*加速!$L$11-IF(J373&gt;0,2,0),MAX(0,N372-(A373-A372)-IF(J373&gt;0,2,0)))),0)</f>
        <v>0</v>
      </c>
      <c r="O373">
        <f ca="1">IF(AND(COUNTIF(IF(AND(配装计算器!$K$30&lt;&gt;"∞",0),INDEX(AU372:CB372,1,$AT$1),INDEX(AU374:CB374,1,$AT$1)),"*云飞*")=1,COUNTIF(IF(AND(配装计算器!$K$30&lt;&gt;"∞",0),INDEX(AU372:CB372,1,$AT$1),INDEX(AU374:CB374,1,$AT$1)),"*玉山*")=0),N373,0)</f>
        <v>0</v>
      </c>
      <c r="P373">
        <f ca="1">IFERROR(IF(COUNTIF(B373,"*云栖松*")&gt;0,50-加速!$L$11,MAX(0,P372-(A373-A372))),0)</f>
        <v>0</v>
      </c>
      <c r="Q373">
        <f ca="1">IF(COUNTIF(IF(AND(配装计算器!$K$30&lt;&gt;"∞",0),INDEX(AU372:CB372,1,$AT$1),INDEX(AU374:CB374,1,$AT$1)),"*云栖松*")=1,P373,0)</f>
        <v>0</v>
      </c>
      <c r="R373">
        <f ca="1">IFERROR(IF(COUNTIF(B373,"*莺鸣柳*")&gt;0,45-加速!$L$9,MAX(0,R372-(A373-A372))),0)</f>
        <v>0</v>
      </c>
      <c r="S373">
        <f ca="1">IF(COUNTIF(IF(AND(配装计算器!$K$30&lt;&gt;"∞",0),INDEX(AU372:CB372,1,$AT$1),INDEX(AU374:CB374,1,$AT$1)),"*莺鸣柳*")=1,R373,0)</f>
        <v>0</v>
      </c>
      <c r="T373">
        <f ca="1" t="shared" si="104"/>
        <v>0</v>
      </c>
      <c r="U373">
        <f ca="1">IF(金蛇,IF(COUNTIF(B373,"*金环戴*")+COUNTIF(B373,"*吹风醒*")&gt;0,IF(A373&lt;=3,7.125-2.625-A373-加速!$L$11,7.125+加速!$K$9-(A373+加速!$L$11-T373)),0),0)+IF(金蛇,IF(COUNTIF(B373,"*千切子裂光*")&gt;0,2+加速!$K$9-(A373+加速!$L$11-T373),0),0)</f>
        <v>0</v>
      </c>
      <c r="V373">
        <f ca="1" t="shared" si="105"/>
        <v>0</v>
      </c>
      <c r="W373">
        <f ca="1" t="shared" si="96"/>
        <v>0</v>
      </c>
      <c r="X373">
        <f ca="1">INDEX(加速!$I$13:$I$21,W373+1)</f>
        <v>0</v>
      </c>
      <c r="Y373">
        <f ca="1" t="shared" si="106"/>
        <v>0.5</v>
      </c>
      <c r="Z373">
        <f ca="1" t="shared" si="101"/>
        <v>0</v>
      </c>
      <c r="AA373">
        <f ca="1">MAX(0,IFERROR(IF(COUNTIF(B373,"*叠*")&gt;0,IF(AC372&lt;3,8-A374+A373,AA372+6.875-A374+A373),AA372-A374+A373),AA372-加速!$L$11))</f>
        <v>0</v>
      </c>
      <c r="AB373" t="e">
        <f ca="1">MAX(0,IF(COUNTIF(IF(AND(配装计算器!$K$30&lt;&gt;"∞",0),INDEX(AU373:CB373,1,$AT$1),INDEX(AU373:CB373,1,$AT$1)),"*叠1*")=1,4*25-加速!$L$11,AB372-A373+A372)-IF(OR(COUNTIF(OFFSET(AT373,0,$AT$1,1,1),"*听雷*")&gt;0,AND(碧归&gt;0,COUNTIF(OFFSET(AT373,0,$AT$1,1,1),"*风来*")&gt;0)),0,1)*1.5)</f>
        <v>#VALUE!</v>
      </c>
      <c r="AC373">
        <f ca="1" t="shared" si="97"/>
        <v>0</v>
      </c>
      <c r="AD373">
        <f ca="1">IF(COUNTIF(IF(AND(配装计算器!$K$30&lt;&gt;"∞",0),INDEX(AU373:CB373,1,$AT$1),INDEX(AU374:CB374,1,$AT$1)),"*叠1*")=1,AB373*0+AE372,0)</f>
        <v>0</v>
      </c>
      <c r="AE373" t="e">
        <f ca="1">IF($AN$11&gt;0,IF(COUNTIF(B374,"*叠1*")&gt;0,50-加速!$L$11,MAX(0,AE372-(A374-A373))),0)</f>
        <v>#VALUE!</v>
      </c>
      <c r="AG373">
        <f ca="1" t="shared" si="98"/>
        <v>10</v>
      </c>
      <c r="AU373" t="s">
        <v>2776</v>
      </c>
      <c r="AV373">
        <v>1</v>
      </c>
      <c r="AW373" t="s">
        <v>2768</v>
      </c>
      <c r="AX373">
        <v>2</v>
      </c>
      <c r="AY373" t="s">
        <v>2776</v>
      </c>
      <c r="AZ373">
        <v>2</v>
      </c>
      <c r="BA373" t="s">
        <v>2768</v>
      </c>
      <c r="BB373">
        <v>2</v>
      </c>
      <c r="BC373" t="s">
        <v>2768</v>
      </c>
      <c r="BD373">
        <v>1</v>
      </c>
      <c r="BE373" t="s">
        <v>3019</v>
      </c>
      <c r="BF373">
        <v>2</v>
      </c>
      <c r="BG373" t="s">
        <v>2768</v>
      </c>
      <c r="BH373">
        <v>2</v>
      </c>
      <c r="BI373" t="s">
        <v>2776</v>
      </c>
      <c r="BJ373">
        <v>0</v>
      </c>
      <c r="BK373" s="176" t="s">
        <v>2776</v>
      </c>
      <c r="BL373">
        <v>0</v>
      </c>
      <c r="BM373" t="s">
        <v>3009</v>
      </c>
      <c r="BN373">
        <v>2</v>
      </c>
      <c r="BO373" t="s">
        <v>2776</v>
      </c>
      <c r="BP373">
        <v>2</v>
      </c>
      <c r="BQ373" t="s">
        <v>3018</v>
      </c>
      <c r="BR373">
        <v>2</v>
      </c>
      <c r="BS373" t="s">
        <v>2768</v>
      </c>
      <c r="BT373">
        <v>1</v>
      </c>
      <c r="BU373" s="186" t="str">
        <f>IF(秋,"夕照雷峰","千切子裂光")</f>
        <v>千切子裂光</v>
      </c>
      <c r="BV373">
        <v>2</v>
      </c>
      <c r="BW373" s="188" t="s">
        <v>2768</v>
      </c>
      <c r="BX373" s="179">
        <v>2</v>
      </c>
      <c r="BY373" t="s">
        <v>3009</v>
      </c>
      <c r="BZ373">
        <v>2</v>
      </c>
      <c r="CA373" t="s">
        <v>3009</v>
      </c>
      <c r="CB373">
        <v>2</v>
      </c>
    </row>
    <row r="374" spans="1:80">
      <c r="A374" s="178" t="str">
        <f ca="1">IFERROR(IF(AG373&lt;5+金蛇*2,IF(COUNTIF(B373,"*轻*")&gt;0,A373+加速!$L$9,A373+加速!$L$11)+V373,""),"")</f>
        <v/>
      </c>
      <c r="B374" s="167" t="str">
        <f ca="1" t="shared" si="93"/>
        <v/>
      </c>
      <c r="C374" t="str">
        <f ca="1" t="shared" si="103"/>
        <v/>
      </c>
      <c r="D374" t="str">
        <f ca="1">IF(B374&lt;&gt;"",IF(C373&lt;=加速!$L$11*(1-E374),0,1),"")</f>
        <v/>
      </c>
      <c r="E374">
        <f ca="1" t="shared" si="99"/>
        <v>1</v>
      </c>
      <c r="G374" t="str">
        <f ca="1" t="shared" si="100"/>
        <v/>
      </c>
      <c r="H374" t="str">
        <f ca="1">IF(B374&lt;&gt;"",IF(AND(COUNTIF(B373,"*轻*莺鸣柳*")&gt;0,COUNTIF(B374,"*轻*")&lt;1),MAX(0,15+I373-(A374-A373)+COUNTIF(B373,"*平湖*")*0),IF(AND(E374=0,MAX(0,H373-(A374-A373))&lt;=加速!$H$11),0,MAX(0,H373-(A374-A373)))),"")</f>
        <v/>
      </c>
      <c r="I374" t="str">
        <f ca="1" t="shared" si="107"/>
        <v/>
      </c>
      <c r="J374" t="str">
        <f ca="1" t="shared" si="108"/>
        <v/>
      </c>
      <c r="K374" t="str">
        <f ca="1" t="shared" si="94"/>
        <v/>
      </c>
      <c r="L374">
        <f ca="1">IFERROR(IF(AND(COUNTIF(B374,"*-峰插*"),技能数据库!$M$72&gt;0),0,IF(COUNTIF(B374,"*鹤归*")&gt;0,16-加速!$L$11,MAX(0,L373-(A374-A373)))),0)</f>
        <v>0</v>
      </c>
      <c r="M374">
        <f ca="1" t="shared" si="95"/>
        <v>0</v>
      </c>
      <c r="N374">
        <f ca="1">IFERROR(IF(AND(COUNTIF(B374,"*-峰插*"),技能数据库!$M$72&gt;0),0,IF(COUNTIF(B374,"*云飞*")&gt;0,4-COUNTIF(B374,"*玉山揽云*")*4--COUNTIF(B374,"*烟流暮景*")*4-COUNTIF(B374,"*云景*")*加速!$L$11-IF(J374&gt;0,2,0),MAX(0,N373-(A374-A373)-IF(J374&gt;0,2,0)))),0)</f>
        <v>0</v>
      </c>
      <c r="O374">
        <f ca="1">IF(AND(COUNTIF(IF(AND(配装计算器!$K$30&lt;&gt;"∞",0),INDEX(AU373:CB373,1,$AT$1),INDEX(AU375:CB375,1,$AT$1)),"*云飞*")=1,COUNTIF(IF(AND(配装计算器!$K$30&lt;&gt;"∞",0),INDEX(AU373:CB373,1,$AT$1),INDEX(AU375:CB375,1,$AT$1)),"*玉山*")=0),N374,0)</f>
        <v>0</v>
      </c>
      <c r="P374">
        <f ca="1">IFERROR(IF(COUNTIF(B374,"*云栖松*")&gt;0,50-加速!$L$11,MAX(0,P373-(A374-A373))),0)</f>
        <v>0</v>
      </c>
      <c r="Q374">
        <f ca="1">IF(COUNTIF(IF(AND(配装计算器!$K$30&lt;&gt;"∞",0),INDEX(AU373:CB373,1,$AT$1),INDEX(AU375:CB375,1,$AT$1)),"*云栖松*")=1,P374,0)</f>
        <v>0</v>
      </c>
      <c r="R374">
        <f ca="1">IFERROR(IF(COUNTIF(B374,"*莺鸣柳*")&gt;0,45-加速!$L$9,MAX(0,R373-(A374-A373))),0)</f>
        <v>0</v>
      </c>
      <c r="S374">
        <f ca="1">IF(COUNTIF(IF(AND(配装计算器!$K$30&lt;&gt;"∞",0),INDEX(AU373:CB373,1,$AT$1),INDEX(AU375:CB375,1,$AT$1)),"*莺鸣柳*")=1,R374,0)</f>
        <v>0</v>
      </c>
      <c r="T374">
        <f ca="1" t="shared" si="104"/>
        <v>0</v>
      </c>
      <c r="U374">
        <f ca="1">IF(金蛇,IF(COUNTIF(B374,"*金环戴*")+COUNTIF(B374,"*吹风醒*")&gt;0,IF(A374&lt;=3,7.125-2.625-A374-加速!$L$11,7.125+加速!$K$9-(A374+加速!$L$11-T374)),0),0)+IF(金蛇,IF(COUNTIF(B374,"*千切子裂光*")&gt;0,2+加速!$K$9-(A374+加速!$L$11-T374),0),0)</f>
        <v>0</v>
      </c>
      <c r="V374">
        <f ca="1" t="shared" si="105"/>
        <v>0</v>
      </c>
      <c r="W374">
        <f ca="1" t="shared" si="96"/>
        <v>0</v>
      </c>
      <c r="X374">
        <f ca="1">INDEX(加速!$I$13:$I$21,W374+1)</f>
        <v>0</v>
      </c>
      <c r="Y374">
        <f ca="1" t="shared" si="106"/>
        <v>0.5</v>
      </c>
      <c r="Z374">
        <f ca="1" t="shared" si="101"/>
        <v>0</v>
      </c>
      <c r="AA374">
        <f ca="1">MAX(0,IFERROR(IF(COUNTIF(B374,"*叠*")&gt;0,IF(AC373&lt;3,8-A375+A374,AA373+6.875-A375+A374),AA373-A375+A374),AA373-加速!$L$11))</f>
        <v>0</v>
      </c>
      <c r="AB374" t="e">
        <f ca="1">MAX(0,IF(COUNTIF(IF(AND(配装计算器!$K$30&lt;&gt;"∞",0),INDEX(AU374:CB374,1,$AT$1),INDEX(AU374:CB374,1,$AT$1)),"*叠1*")=1,4*25-加速!$L$11,AB373-A374+A373)-IF(OR(COUNTIF(OFFSET(AT374,0,$AT$1,1,1),"*听雷*")&gt;0,AND(碧归&gt;0,COUNTIF(OFFSET(AT374,0,$AT$1,1,1),"*风来*")&gt;0)),0,1)*1.5)</f>
        <v>#VALUE!</v>
      </c>
      <c r="AC374">
        <f ca="1" t="shared" si="97"/>
        <v>0</v>
      </c>
      <c r="AD374">
        <f ca="1">IF(COUNTIF(IF(AND(配装计算器!$K$30&lt;&gt;"∞",0),INDEX(AU374:CB374,1,$AT$1),INDEX(AU375:CB375,1,$AT$1)),"*叠1*")=1,AB374*0+AE373,0)</f>
        <v>0</v>
      </c>
      <c r="AE374" t="e">
        <f ca="1">IF($AN$11&gt;0,IF(COUNTIF(B375,"*叠1*")&gt;0,50-加速!$L$11,MAX(0,AE373-(A375-A374))),0)</f>
        <v>#VALUE!</v>
      </c>
      <c r="AG374">
        <f ca="1" t="shared" si="98"/>
        <v>10</v>
      </c>
      <c r="AU374" t="s">
        <v>2768</v>
      </c>
      <c r="AV374">
        <v>2</v>
      </c>
      <c r="AW374" t="s">
        <v>2776</v>
      </c>
      <c r="AX374">
        <v>2</v>
      </c>
      <c r="AY374" t="s">
        <v>3035</v>
      </c>
      <c r="AZ374">
        <v>2</v>
      </c>
      <c r="BA374" t="s">
        <v>2776</v>
      </c>
      <c r="BB374">
        <v>2</v>
      </c>
      <c r="BC374" t="s">
        <v>2813</v>
      </c>
      <c r="BD374">
        <v>0</v>
      </c>
      <c r="BE374" t="s">
        <v>2768</v>
      </c>
      <c r="BF374">
        <v>2</v>
      </c>
      <c r="BG374" t="s">
        <v>2776</v>
      </c>
      <c r="BH374">
        <v>2</v>
      </c>
      <c r="BI374" t="s">
        <v>2768</v>
      </c>
      <c r="BJ374">
        <v>0</v>
      </c>
      <c r="BK374" s="176" t="s">
        <v>2768</v>
      </c>
      <c r="BL374">
        <v>0</v>
      </c>
      <c r="BM374" t="s">
        <v>2776</v>
      </c>
      <c r="BN374">
        <v>2</v>
      </c>
      <c r="BO374" t="s">
        <v>2768</v>
      </c>
      <c r="BP374">
        <v>2</v>
      </c>
      <c r="BQ374" t="s">
        <v>2768</v>
      </c>
      <c r="BR374">
        <v>2</v>
      </c>
      <c r="BS374" t="str">
        <f>IF(秋,"云栖松","泉凝月")</f>
        <v>泉凝月</v>
      </c>
      <c r="BT374">
        <v>1</v>
      </c>
      <c r="BU374" s="176" t="s">
        <v>2789</v>
      </c>
      <c r="BV374">
        <v>2</v>
      </c>
      <c r="BW374" s="182" t="s">
        <v>2794</v>
      </c>
      <c r="BX374" s="179">
        <v>2</v>
      </c>
      <c r="BY374" s="176" t="s">
        <v>2794</v>
      </c>
      <c r="BZ374">
        <v>2</v>
      </c>
      <c r="CA374" s="176" t="s">
        <v>2794</v>
      </c>
      <c r="CB374">
        <v>2</v>
      </c>
    </row>
    <row r="375" spans="1:80">
      <c r="A375" s="178" t="str">
        <f ca="1">IFERROR(IF(AG374&lt;5+金蛇*2,IF(COUNTIF(B374,"*轻*")&gt;0,A374+加速!$L$9,A374+加速!$L$11)+V374,""),"")</f>
        <v/>
      </c>
      <c r="B375" s="167" t="str">
        <f ca="1" t="shared" si="93"/>
        <v/>
      </c>
      <c r="C375" t="str">
        <f ca="1" t="shared" si="103"/>
        <v/>
      </c>
      <c r="D375" t="str">
        <f ca="1">IF(B375&lt;&gt;"",IF(C374&lt;=加速!$L$11*(1-E375),0,1),"")</f>
        <v/>
      </c>
      <c r="E375">
        <f ca="1" t="shared" si="99"/>
        <v>1</v>
      </c>
      <c r="G375" t="str">
        <f ca="1" t="shared" si="100"/>
        <v/>
      </c>
      <c r="H375" t="str">
        <f ca="1">IF(B375&lt;&gt;"",IF(AND(COUNTIF(B374,"*轻*莺鸣柳*")&gt;0,COUNTIF(B375,"*轻*")&lt;1),MAX(0,15+I374-(A375-A374)+COUNTIF(B374,"*平湖*")*0),IF(AND(E375=0,MAX(0,H374-(A375-A374))&lt;=加速!$H$11),0,MAX(0,H374-(A375-A374)))),"")</f>
        <v/>
      </c>
      <c r="I375" t="str">
        <f ca="1" t="shared" si="107"/>
        <v/>
      </c>
      <c r="J375" t="str">
        <f ca="1" t="shared" si="108"/>
        <v/>
      </c>
      <c r="K375" t="str">
        <f ca="1" t="shared" si="94"/>
        <v/>
      </c>
      <c r="L375">
        <f ca="1">IFERROR(IF(AND(COUNTIF(B375,"*-峰插*"),技能数据库!$M$72&gt;0),0,IF(COUNTIF(B375,"*鹤归*")&gt;0,16-加速!$L$11,MAX(0,L374-(A375-A374)))),0)</f>
        <v>0</v>
      </c>
      <c r="M375">
        <f ca="1" t="shared" si="95"/>
        <v>0</v>
      </c>
      <c r="N375">
        <f ca="1">IFERROR(IF(AND(COUNTIF(B375,"*-峰插*"),技能数据库!$M$72&gt;0),0,IF(COUNTIF(B375,"*云飞*")&gt;0,4-COUNTIF(B375,"*玉山揽云*")*4--COUNTIF(B375,"*烟流暮景*")*4-COUNTIF(B375,"*云景*")*加速!$L$11-IF(J375&gt;0,2,0),MAX(0,N374-(A375-A374)-IF(J375&gt;0,2,0)))),0)</f>
        <v>0</v>
      </c>
      <c r="O375">
        <f ca="1">IF(AND(COUNTIF(IF(AND(配装计算器!$K$30&lt;&gt;"∞",0),INDEX(AU374:CB374,1,$AT$1),INDEX(AU376:CB376,1,$AT$1)),"*云飞*")=1,COUNTIF(IF(AND(配装计算器!$K$30&lt;&gt;"∞",0),INDEX(AU374:CB374,1,$AT$1),INDEX(AU376:CB376,1,$AT$1)),"*玉山*")=0),N375,0)</f>
        <v>0</v>
      </c>
      <c r="P375">
        <f ca="1">IFERROR(IF(COUNTIF(B375,"*云栖松*")&gt;0,50-加速!$L$11,MAX(0,P374-(A375-A374))),0)</f>
        <v>0</v>
      </c>
      <c r="Q375">
        <f ca="1">IF(COUNTIF(IF(AND(配装计算器!$K$30&lt;&gt;"∞",0),INDEX(AU374:CB374,1,$AT$1),INDEX(AU376:CB376,1,$AT$1)),"*云栖松*")=1,P375,0)</f>
        <v>0</v>
      </c>
      <c r="R375">
        <f ca="1">IFERROR(IF(COUNTIF(B375,"*莺鸣柳*")&gt;0,45-加速!$L$9,MAX(0,R374-(A375-A374))),0)</f>
        <v>0</v>
      </c>
      <c r="S375">
        <f ca="1">IF(COUNTIF(IF(AND(配装计算器!$K$30&lt;&gt;"∞",0),INDEX(AU374:CB374,1,$AT$1),INDEX(AU376:CB376,1,$AT$1)),"*莺鸣柳*")=1,R375,0)</f>
        <v>0</v>
      </c>
      <c r="T375">
        <f ca="1" t="shared" si="104"/>
        <v>0</v>
      </c>
      <c r="U375">
        <f ca="1">IF(金蛇,IF(COUNTIF(B375,"*金环戴*")+COUNTIF(B375,"*吹风醒*")&gt;0,IF(A375&lt;=3,7.125-2.625-A375-加速!$L$11,7.125+加速!$K$9-(A375+加速!$L$11-T375)),0),0)+IF(金蛇,IF(COUNTIF(B375,"*千切子裂光*")&gt;0,2+加速!$K$9-(A375+加速!$L$11-T375),0),0)</f>
        <v>0</v>
      </c>
      <c r="V375">
        <f ca="1" t="shared" si="105"/>
        <v>0</v>
      </c>
      <c r="W375">
        <f ca="1" t="shared" si="96"/>
        <v>0</v>
      </c>
      <c r="X375">
        <f ca="1">INDEX(加速!$I$13:$I$21,W375+1)</f>
        <v>0</v>
      </c>
      <c r="Y375">
        <f ca="1" t="shared" si="106"/>
        <v>0.5</v>
      </c>
      <c r="Z375">
        <f ca="1" t="shared" si="101"/>
        <v>0</v>
      </c>
      <c r="AA375">
        <f ca="1">MAX(0,IFERROR(IF(COUNTIF(B375,"*叠*")&gt;0,IF(AC374&lt;3,8-A376+A375,AA374+6.875-A376+A375),AA374-A376+A375),AA374-加速!$L$11))</f>
        <v>0</v>
      </c>
      <c r="AB375" t="e">
        <f ca="1">MAX(0,IF(COUNTIF(IF(AND(配装计算器!$K$30&lt;&gt;"∞",0),INDEX(AU375:CB375,1,$AT$1),INDEX(AU375:CB375,1,$AT$1)),"*叠1*")=1,4*25-加速!$L$11,AB374-A375+A374)-IF(OR(COUNTIF(OFFSET(AT375,0,$AT$1,1,1),"*听雷*")&gt;0,AND(碧归&gt;0,COUNTIF(OFFSET(AT375,0,$AT$1,1,1),"*风来*")&gt;0)),0,1)*1.5)</f>
        <v>#VALUE!</v>
      </c>
      <c r="AC375">
        <f ca="1" t="shared" si="97"/>
        <v>0</v>
      </c>
      <c r="AD375">
        <f ca="1">IF(COUNTIF(IF(AND(配装计算器!$K$30&lt;&gt;"∞",0),INDEX(AU375:CB375,1,$AT$1),INDEX(AU376:CB376,1,$AT$1)),"*叠1*")=1,AB375*0+AE374,0)</f>
        <v>0</v>
      </c>
      <c r="AE375" t="e">
        <f ca="1">IF($AN$11&gt;0,IF(COUNTIF(B376,"*叠1*")&gt;0,50-加速!$L$11,MAX(0,AE374-(A376-A375))),0)</f>
        <v>#VALUE!</v>
      </c>
      <c r="AG375">
        <f ca="1" t="shared" si="98"/>
        <v>10</v>
      </c>
      <c r="AU375" t="s">
        <v>2768</v>
      </c>
      <c r="AV375">
        <v>2</v>
      </c>
      <c r="AW375" t="s">
        <v>2768</v>
      </c>
      <c r="AX375">
        <v>2</v>
      </c>
      <c r="AY375" t="s">
        <v>2768</v>
      </c>
      <c r="AZ375">
        <v>2</v>
      </c>
      <c r="BA375" t="s">
        <v>2768</v>
      </c>
      <c r="BB375">
        <v>2</v>
      </c>
      <c r="BC375" t="s">
        <v>2776</v>
      </c>
      <c r="BD375">
        <v>2</v>
      </c>
      <c r="BE375" t="s">
        <v>2768</v>
      </c>
      <c r="BF375">
        <v>2</v>
      </c>
      <c r="BG375" t="s">
        <v>2768</v>
      </c>
      <c r="BH375">
        <v>2</v>
      </c>
      <c r="BI375" t="s">
        <v>2768</v>
      </c>
      <c r="BJ375">
        <v>0</v>
      </c>
      <c r="BK375" s="176" t="s">
        <v>3012</v>
      </c>
      <c r="BL375">
        <v>2</v>
      </c>
      <c r="BM375" t="s">
        <v>2768</v>
      </c>
      <c r="BN375">
        <v>2</v>
      </c>
      <c r="BO375" t="str">
        <f>IF(0,"云飞玉皇-玉山揽云","夕照雷峰")</f>
        <v>夕照雷峰</v>
      </c>
      <c r="BP375">
        <v>2</v>
      </c>
      <c r="BQ375" t="s">
        <v>3023</v>
      </c>
      <c r="BR375">
        <v>2</v>
      </c>
      <c r="BS375" t="s">
        <v>2768</v>
      </c>
      <c r="BT375">
        <v>0</v>
      </c>
      <c r="BU375" s="176" t="s">
        <v>2776</v>
      </c>
      <c r="BV375">
        <v>2</v>
      </c>
      <c r="BW375" s="182" t="s">
        <v>2776</v>
      </c>
      <c r="BX375" s="179">
        <v>2</v>
      </c>
      <c r="BY375" s="176" t="s">
        <v>2776</v>
      </c>
      <c r="BZ375">
        <v>2</v>
      </c>
      <c r="CA375" s="176" t="s">
        <v>2776</v>
      </c>
      <c r="CB375">
        <v>2</v>
      </c>
    </row>
    <row r="376" spans="1:80">
      <c r="A376" s="178" t="str">
        <f ca="1">IFERROR(IF(AG375&lt;5+金蛇*2,IF(COUNTIF(B375,"*轻*")&gt;0,A375+加速!$L$9,A375+加速!$L$11)+V375,""),"")</f>
        <v/>
      </c>
      <c r="B376" s="167" t="str">
        <f ca="1" t="shared" si="93"/>
        <v/>
      </c>
      <c r="C376" t="str">
        <f ca="1" t="shared" si="103"/>
        <v/>
      </c>
      <c r="D376" t="str">
        <f ca="1">IF(B376&lt;&gt;"",IF(C375&lt;=加速!$L$11*(1-E376),0,1),"")</f>
        <v/>
      </c>
      <c r="E376">
        <f ca="1" t="shared" si="99"/>
        <v>1</v>
      </c>
      <c r="G376" t="str">
        <f ca="1" t="shared" si="100"/>
        <v/>
      </c>
      <c r="H376" t="str">
        <f ca="1">IF(B376&lt;&gt;"",IF(AND(COUNTIF(B375,"*轻*莺鸣柳*")&gt;0,COUNTIF(B376,"*轻*")&lt;1),MAX(0,15+I375-(A376-A375)+COUNTIF(B375,"*平湖*")*0),IF(AND(E376=0,MAX(0,H375-(A376-A375))&lt;=加速!$H$11),0,MAX(0,H375-(A376-A375)))),"")</f>
        <v/>
      </c>
      <c r="I376" t="str">
        <f ca="1" t="shared" si="107"/>
        <v/>
      </c>
      <c r="J376" t="str">
        <f ca="1" t="shared" si="108"/>
        <v/>
      </c>
      <c r="K376" t="str">
        <f ca="1" t="shared" si="94"/>
        <v/>
      </c>
      <c r="L376">
        <f ca="1">IFERROR(IF(AND(COUNTIF(B376,"*-峰插*"),技能数据库!$M$72&gt;0),0,IF(COUNTIF(B376,"*鹤归*")&gt;0,16-加速!$L$11,MAX(0,L375-(A376-A375)))),0)</f>
        <v>0</v>
      </c>
      <c r="M376">
        <f ca="1" t="shared" si="95"/>
        <v>0</v>
      </c>
      <c r="N376">
        <f ca="1">IFERROR(IF(AND(COUNTIF(B376,"*-峰插*"),技能数据库!$M$72&gt;0),0,IF(COUNTIF(B376,"*云飞*")&gt;0,4-COUNTIF(B376,"*玉山揽云*")*4--COUNTIF(B376,"*烟流暮景*")*4-COUNTIF(B376,"*云景*")*加速!$L$11-IF(J376&gt;0,2,0),MAX(0,N375-(A376-A375)-IF(J376&gt;0,2,0)))),0)</f>
        <v>0</v>
      </c>
      <c r="O376">
        <f ca="1">IF(AND(COUNTIF(IF(AND(配装计算器!$K$30&lt;&gt;"∞",0),INDEX(AU375:CB375,1,$AT$1),INDEX(AU377:CB377,1,$AT$1)),"*云飞*")=1,COUNTIF(IF(AND(配装计算器!$K$30&lt;&gt;"∞",0),INDEX(AU375:CB375,1,$AT$1),INDEX(AU377:CB377,1,$AT$1)),"*玉山*")=0),N376,0)</f>
        <v>0</v>
      </c>
      <c r="P376">
        <f ca="1">IFERROR(IF(COUNTIF(B376,"*云栖松*")&gt;0,50-加速!$L$11,MAX(0,P375-(A376-A375))),0)</f>
        <v>0</v>
      </c>
      <c r="Q376">
        <f ca="1">IF(COUNTIF(IF(AND(配装计算器!$K$30&lt;&gt;"∞",0),INDEX(AU375:CB375,1,$AT$1),INDEX(AU377:CB377,1,$AT$1)),"*云栖松*")=1,P376,0)</f>
        <v>0</v>
      </c>
      <c r="R376">
        <f ca="1">IFERROR(IF(COUNTIF(B376,"*莺鸣柳*")&gt;0,45-加速!$L$9,MAX(0,R375-(A376-A375))),0)</f>
        <v>0</v>
      </c>
      <c r="S376">
        <f ca="1">IF(COUNTIF(IF(AND(配装计算器!$K$30&lt;&gt;"∞",0),INDEX(AU375:CB375,1,$AT$1),INDEX(AU377:CB377,1,$AT$1)),"*莺鸣柳*")=1,R376,0)</f>
        <v>0</v>
      </c>
      <c r="T376">
        <f ca="1" t="shared" si="104"/>
        <v>0</v>
      </c>
      <c r="U376">
        <f ca="1">IF(金蛇,IF(COUNTIF(B376,"*金环戴*")+COUNTIF(B376,"*吹风醒*")&gt;0,IF(A376&lt;=3,7.125-2.625-A376-加速!$L$11,7.125+加速!$K$9-(A376+加速!$L$11-T376)),0),0)+IF(金蛇,IF(COUNTIF(B376,"*千切子裂光*")&gt;0,2+加速!$K$9-(A376+加速!$L$11-T376),0),0)</f>
        <v>0</v>
      </c>
      <c r="V376">
        <f ca="1" t="shared" si="105"/>
        <v>0</v>
      </c>
      <c r="W376">
        <f ca="1" t="shared" si="96"/>
        <v>0</v>
      </c>
      <c r="X376">
        <f ca="1">INDEX(加速!$I$13:$I$21,W376+1)</f>
        <v>0</v>
      </c>
      <c r="Y376">
        <f ca="1" t="shared" si="106"/>
        <v>0.5</v>
      </c>
      <c r="Z376">
        <f ca="1" t="shared" si="101"/>
        <v>0</v>
      </c>
      <c r="AA376">
        <f ca="1">MAX(0,IFERROR(IF(COUNTIF(B376,"*叠*")&gt;0,IF(AC375&lt;3,8-A377+A376,AA375+6.875-A377+A376),AA375-A377+A376),AA375-加速!$L$11))</f>
        <v>0</v>
      </c>
      <c r="AB376" t="e">
        <f ca="1">MAX(0,IF(COUNTIF(IF(AND(配装计算器!$K$30&lt;&gt;"∞",0),INDEX(AU376:CB376,1,$AT$1),INDEX(AU376:CB376,1,$AT$1)),"*叠1*")=1,4*25-加速!$L$11,AB375-A376+A375)-IF(OR(COUNTIF(OFFSET(AT376,0,$AT$1,1,1),"*听雷*")&gt;0,AND(碧归&gt;0,COUNTIF(OFFSET(AT376,0,$AT$1,1,1),"*风来*")&gt;0)),0,1)*1.5)</f>
        <v>#VALUE!</v>
      </c>
      <c r="AC376">
        <f ca="1" t="shared" si="97"/>
        <v>0</v>
      </c>
      <c r="AD376">
        <f ca="1">IF(COUNTIF(IF(AND(配装计算器!$K$30&lt;&gt;"∞",0),INDEX(AU376:CB376,1,$AT$1),INDEX(AU377:CB377,1,$AT$1)),"*叠1*")=1,AB376*0+AE375,0)</f>
        <v>0</v>
      </c>
      <c r="AE376" t="e">
        <f ca="1">IF($AN$11&gt;0,IF(COUNTIF(B377,"*叠1*")&gt;0,50-加速!$L$11,MAX(0,AE375-(A377-A376))),0)</f>
        <v>#VALUE!</v>
      </c>
      <c r="AG376">
        <f ca="1" t="shared" si="98"/>
        <v>10</v>
      </c>
      <c r="AU376" s="176" t="s">
        <v>2794</v>
      </c>
      <c r="AV376">
        <v>2</v>
      </c>
      <c r="AW376" t="s">
        <v>2722</v>
      </c>
      <c r="AX376">
        <v>0</v>
      </c>
      <c r="AY376" t="s">
        <v>2776</v>
      </c>
      <c r="AZ376">
        <v>2</v>
      </c>
      <c r="BA376" t="s">
        <v>2776</v>
      </c>
      <c r="BB376">
        <v>2</v>
      </c>
      <c r="BC376" t="s">
        <v>2768</v>
      </c>
      <c r="BD376">
        <v>2</v>
      </c>
      <c r="BE376" t="s">
        <v>2768</v>
      </c>
      <c r="BF376">
        <v>2</v>
      </c>
      <c r="BG376" t="s">
        <v>2776</v>
      </c>
      <c r="BH376">
        <v>2</v>
      </c>
      <c r="BI376" t="s">
        <v>2722</v>
      </c>
      <c r="BJ376">
        <v>0</v>
      </c>
      <c r="BK376" s="176" t="s">
        <v>2794</v>
      </c>
      <c r="BL376">
        <v>2</v>
      </c>
      <c r="BM376" t="str">
        <f>IF(山重水复,"风来吴山","夕照雷峰")</f>
        <v>夕照雷峰</v>
      </c>
      <c r="BN376">
        <v>2</v>
      </c>
      <c r="BO376" t="str">
        <f>IF(0,"云飞玉皇-玉山揽云","夕照雷峰")</f>
        <v>夕照雷峰</v>
      </c>
      <c r="BP376">
        <v>2</v>
      </c>
      <c r="BQ376" t="s">
        <v>2768</v>
      </c>
      <c r="BR376">
        <v>2</v>
      </c>
      <c r="BS376" t="s">
        <v>2776</v>
      </c>
      <c r="BT376">
        <v>0</v>
      </c>
      <c r="BU376" t="str">
        <f>IF(秋,"鹤归孤山-叠-蛇牙锥心","鹤归孤山-叠")</f>
        <v>鹤归孤山-叠</v>
      </c>
      <c r="BV376">
        <v>2</v>
      </c>
      <c r="BW376" s="182" t="s">
        <v>2768</v>
      </c>
      <c r="BX376" s="179">
        <v>2</v>
      </c>
      <c r="BY376" s="176" t="s">
        <v>2768</v>
      </c>
      <c r="BZ376">
        <v>2</v>
      </c>
      <c r="CA376" s="176" t="s">
        <v>2768</v>
      </c>
      <c r="CB376">
        <v>2</v>
      </c>
    </row>
    <row r="377" spans="1:80">
      <c r="A377" s="178" t="str">
        <f ca="1">IFERROR(IF(AG376&lt;5+金蛇*2,IF(COUNTIF(B376,"*轻*")&gt;0,A376+加速!$L$9,A376+加速!$L$11)+V376,""),"")</f>
        <v/>
      </c>
      <c r="B377" s="167" t="str">
        <f ca="1" t="shared" si="93"/>
        <v/>
      </c>
      <c r="C377" t="str">
        <f ca="1" t="shared" si="103"/>
        <v/>
      </c>
      <c r="D377" t="str">
        <f ca="1">IF(B377&lt;&gt;"",IF(C376&lt;=加速!$L$11*(1-E377),0,1),"")</f>
        <v/>
      </c>
      <c r="E377">
        <f ca="1" t="shared" si="99"/>
        <v>1</v>
      </c>
      <c r="G377" t="str">
        <f ca="1" t="shared" si="100"/>
        <v/>
      </c>
      <c r="H377" t="str">
        <f ca="1">IF(B377&lt;&gt;"",IF(AND(COUNTIF(B376,"*轻*莺鸣柳*")&gt;0,COUNTIF(B377,"*轻*")&lt;1),MAX(0,15+I376-(A377-A376)+COUNTIF(B376,"*平湖*")*0),IF(AND(E377=0,MAX(0,H376-(A377-A376))&lt;=加速!$H$11),0,MAX(0,H376-(A377-A376)))),"")</f>
        <v/>
      </c>
      <c r="I377" t="str">
        <f ca="1" t="shared" si="107"/>
        <v/>
      </c>
      <c r="J377" t="str">
        <f ca="1" t="shared" si="108"/>
        <v/>
      </c>
      <c r="K377" t="str">
        <f ca="1" t="shared" si="94"/>
        <v/>
      </c>
      <c r="L377">
        <f ca="1">IFERROR(IF(AND(COUNTIF(B377,"*-峰插*"),技能数据库!$M$72&gt;0),0,IF(COUNTIF(B377,"*鹤归*")&gt;0,16-加速!$L$11,MAX(0,L376-(A377-A376)))),0)</f>
        <v>0</v>
      </c>
      <c r="M377">
        <f ca="1" t="shared" si="95"/>
        <v>0</v>
      </c>
      <c r="N377">
        <f ca="1">IFERROR(IF(AND(COUNTIF(B377,"*-峰插*"),技能数据库!$M$72&gt;0),0,IF(COUNTIF(B377,"*云飞*")&gt;0,4-COUNTIF(B377,"*玉山揽云*")*4--COUNTIF(B377,"*烟流暮景*")*4-COUNTIF(B377,"*云景*")*加速!$L$11-IF(J377&gt;0,2,0),MAX(0,N376-(A377-A376)-IF(J377&gt;0,2,0)))),0)</f>
        <v>0</v>
      </c>
      <c r="O377">
        <f ca="1">IF(AND(COUNTIF(IF(AND(配装计算器!$K$30&lt;&gt;"∞",0),INDEX(AU376:CB376,1,$AT$1),INDEX(AU378:CB378,1,$AT$1)),"*云飞*")=1,COUNTIF(IF(AND(配装计算器!$K$30&lt;&gt;"∞",0),INDEX(AU376:CB376,1,$AT$1),INDEX(AU378:CB378,1,$AT$1)),"*玉山*")=0),N377,0)</f>
        <v>0</v>
      </c>
      <c r="P377">
        <f ca="1">IFERROR(IF(COUNTIF(B377,"*云栖松*")&gt;0,50-加速!$L$11,MAX(0,P376-(A377-A376))),0)</f>
        <v>0</v>
      </c>
      <c r="Q377">
        <f ca="1">IF(COUNTIF(IF(AND(配装计算器!$K$30&lt;&gt;"∞",0),INDEX(AU376:CB376,1,$AT$1),INDEX(AU378:CB378,1,$AT$1)),"*云栖松*")=1,P377,0)</f>
        <v>0</v>
      </c>
      <c r="R377">
        <f ca="1">IFERROR(IF(COUNTIF(B377,"*莺鸣柳*")&gt;0,45-加速!$L$9,MAX(0,R376-(A377-A376))),0)</f>
        <v>0</v>
      </c>
      <c r="S377">
        <f ca="1">IF(COUNTIF(IF(AND(配装计算器!$K$30&lt;&gt;"∞",0),INDEX(AU376:CB376,1,$AT$1),INDEX(AU378:CB378,1,$AT$1)),"*莺鸣柳*")=1,R377,0)</f>
        <v>0</v>
      </c>
      <c r="T377">
        <f ca="1" t="shared" si="104"/>
        <v>0</v>
      </c>
      <c r="U377">
        <f ca="1">IF(金蛇,IF(COUNTIF(B377,"*金环戴*")+COUNTIF(B377,"*吹风醒*")&gt;0,IF(A377&lt;=3,7.125-2.625-A377-加速!$L$11,7.125+加速!$K$9-(A377+加速!$L$11-T377)),0),0)+IF(金蛇,IF(COUNTIF(B377,"*千切子裂光*")&gt;0,2+加速!$K$9-(A377+加速!$L$11-T377),0),0)</f>
        <v>0</v>
      </c>
      <c r="V377">
        <f ca="1" t="shared" si="105"/>
        <v>0</v>
      </c>
      <c r="W377">
        <f ca="1" t="shared" si="96"/>
        <v>0</v>
      </c>
      <c r="X377">
        <f ca="1">INDEX(加速!$I$13:$I$21,W377+1)</f>
        <v>0</v>
      </c>
      <c r="Y377">
        <f ca="1" t="shared" si="106"/>
        <v>0.5</v>
      </c>
      <c r="Z377">
        <f ca="1" t="shared" si="101"/>
        <v>0</v>
      </c>
      <c r="AA377">
        <f ca="1">MAX(0,IFERROR(IF(COUNTIF(B377,"*叠*")&gt;0,IF(AC376&lt;3,8-A378+A377,AA376+6.875-A378+A377),AA376-A378+A377),AA376-加速!$L$11))</f>
        <v>0</v>
      </c>
      <c r="AB377" t="e">
        <f ca="1">MAX(0,IF(COUNTIF(IF(AND(配装计算器!$K$30&lt;&gt;"∞",0),INDEX(AU377:CB377,1,$AT$1),INDEX(AU377:CB377,1,$AT$1)),"*叠1*")=1,4*25-加速!$L$11,AB376-A377+A376)-IF(OR(COUNTIF(OFFSET(AT377,0,$AT$1,1,1),"*听雷*")&gt;0,AND(碧归&gt;0,COUNTIF(OFFSET(AT377,0,$AT$1,1,1),"*风来*")&gt;0)),0,1)*1.5)</f>
        <v>#VALUE!</v>
      </c>
      <c r="AC377">
        <f ca="1" t="shared" si="97"/>
        <v>0</v>
      </c>
      <c r="AD377">
        <f ca="1">IF(COUNTIF(IF(AND(配装计算器!$K$30&lt;&gt;"∞",0),INDEX(AU377:CB377,1,$AT$1),INDEX(AU378:CB378,1,$AT$1)),"*叠1*")=1,AB377*0+AE376,0)</f>
        <v>0</v>
      </c>
      <c r="AE377" t="e">
        <f ca="1">IF($AN$11&gt;0,IF(COUNTIF(B378,"*叠1*")&gt;0,50-加速!$L$11,MAX(0,AE376-(A378-A377))),0)</f>
        <v>#VALUE!</v>
      </c>
      <c r="AG377">
        <f ca="1" t="shared" si="98"/>
        <v>10</v>
      </c>
      <c r="AU377" s="176" t="s">
        <v>2776</v>
      </c>
      <c r="AV377">
        <v>2</v>
      </c>
      <c r="AW377" t="s">
        <v>3009</v>
      </c>
      <c r="AX377">
        <v>2</v>
      </c>
      <c r="AY377" t="s">
        <v>2768</v>
      </c>
      <c r="AZ377">
        <v>2</v>
      </c>
      <c r="BA377" t="s">
        <v>3042</v>
      </c>
      <c r="BB377">
        <v>2</v>
      </c>
      <c r="BC377" t="s">
        <v>2768</v>
      </c>
      <c r="BD377">
        <v>2</v>
      </c>
      <c r="BE377" t="s">
        <v>3042</v>
      </c>
      <c r="BF377">
        <v>2</v>
      </c>
      <c r="BG377" t="s">
        <v>2768</v>
      </c>
      <c r="BH377">
        <v>2</v>
      </c>
      <c r="BI377" t="s">
        <v>2776</v>
      </c>
      <c r="BJ377">
        <v>2</v>
      </c>
      <c r="BK377" s="176" t="s">
        <v>3019</v>
      </c>
      <c r="BL377">
        <v>2</v>
      </c>
      <c r="BM377" s="176" t="s">
        <v>2794</v>
      </c>
      <c r="BN377">
        <v>2</v>
      </c>
      <c r="BO377" t="str">
        <f>IF(0,"云飞玉皇-玉山揽云","云飞玉皇")</f>
        <v>云飞玉皇</v>
      </c>
      <c r="BP377">
        <v>2</v>
      </c>
      <c r="BQ377" t="s">
        <v>2776</v>
      </c>
      <c r="BR377">
        <v>2</v>
      </c>
      <c r="BS377" t="s">
        <v>1886</v>
      </c>
      <c r="BT377">
        <v>0</v>
      </c>
      <c r="BU377" t="s">
        <v>2768</v>
      </c>
      <c r="BV377">
        <v>2</v>
      </c>
      <c r="BW377" s="182" t="s">
        <v>2776</v>
      </c>
      <c r="BX377" s="179">
        <v>2</v>
      </c>
      <c r="BY377" s="176" t="s">
        <v>2776</v>
      </c>
      <c r="BZ377">
        <v>2</v>
      </c>
      <c r="CA377" s="176" t="s">
        <v>2776</v>
      </c>
      <c r="CB377">
        <v>2</v>
      </c>
    </row>
    <row r="378" spans="1:80">
      <c r="A378" s="178" t="str">
        <f ca="1">IFERROR(IF(AG377&lt;5+金蛇*2,IF(COUNTIF(B377,"*轻*")&gt;0,A377+加速!$L$9,A377+加速!$L$11)+V377,""),"")</f>
        <v/>
      </c>
      <c r="B378" s="167" t="str">
        <f ca="1" t="shared" si="93"/>
        <v/>
      </c>
      <c r="C378" t="str">
        <f ca="1" t="shared" si="103"/>
        <v/>
      </c>
      <c r="D378" t="str">
        <f ca="1">IF(B378&lt;&gt;"",IF(C377&lt;=加速!$L$11*(1-E378),0,1),"")</f>
        <v/>
      </c>
      <c r="E378">
        <f ca="1" t="shared" si="99"/>
        <v>1</v>
      </c>
      <c r="G378" t="str">
        <f ca="1" t="shared" si="100"/>
        <v/>
      </c>
      <c r="H378" t="str">
        <f ca="1">IF(B378&lt;&gt;"",IF(AND(COUNTIF(B377,"*轻*莺鸣柳*")&gt;0,COUNTIF(B378,"*轻*")&lt;1),MAX(0,15+I377-(A378-A377)+COUNTIF(B377,"*平湖*")*0),IF(AND(E378=0,MAX(0,H377-(A378-A377))&lt;=加速!$H$11),0,MAX(0,H377-(A378-A377)))),"")</f>
        <v/>
      </c>
      <c r="I378" t="str">
        <f ca="1" t="shared" si="107"/>
        <v/>
      </c>
      <c r="J378" t="str">
        <f ca="1" t="shared" si="108"/>
        <v/>
      </c>
      <c r="K378" t="str">
        <f ca="1" t="shared" si="94"/>
        <v/>
      </c>
      <c r="L378">
        <f ca="1">IFERROR(IF(AND(COUNTIF(B378,"*-峰插*"),技能数据库!$M$72&gt;0),0,IF(COUNTIF(B378,"*鹤归*")&gt;0,16-加速!$L$11,MAX(0,L377-(A378-A377)))),0)</f>
        <v>0</v>
      </c>
      <c r="M378">
        <f ca="1" t="shared" si="95"/>
        <v>0</v>
      </c>
      <c r="N378">
        <f ca="1">IFERROR(IF(AND(COUNTIF(B378,"*-峰插*"),技能数据库!$M$72&gt;0),0,IF(COUNTIF(B378,"*云飞*")&gt;0,4-COUNTIF(B378,"*玉山揽云*")*4--COUNTIF(B378,"*烟流暮景*")*4-COUNTIF(B378,"*云景*")*加速!$L$11-IF(J378&gt;0,2,0),MAX(0,N377-(A378-A377)-IF(J378&gt;0,2,0)))),0)</f>
        <v>0</v>
      </c>
      <c r="O378">
        <f ca="1">IF(AND(COUNTIF(IF(AND(配装计算器!$K$30&lt;&gt;"∞",0),INDEX(AU377:CB377,1,$AT$1),INDEX(AU379:CB379,1,$AT$1)),"*云飞*")=1,COUNTIF(IF(AND(配装计算器!$K$30&lt;&gt;"∞",0),INDEX(AU377:CB377,1,$AT$1),INDEX(AU379:CB379,1,$AT$1)),"*玉山*")=0),N378,0)</f>
        <v>0</v>
      </c>
      <c r="P378">
        <f ca="1">IFERROR(IF(COUNTIF(B378,"*云栖松*")&gt;0,50-加速!$L$11,MAX(0,P377-(A378-A377))),0)</f>
        <v>0</v>
      </c>
      <c r="Q378">
        <f ca="1">IF(COUNTIF(IF(AND(配装计算器!$K$30&lt;&gt;"∞",0),INDEX(AU377:CB377,1,$AT$1),INDEX(AU379:CB379,1,$AT$1)),"*云栖松*")=1,P378,0)</f>
        <v>0</v>
      </c>
      <c r="R378">
        <f ca="1">IFERROR(IF(COUNTIF(B378,"*莺鸣柳*")&gt;0,45-加速!$L$9,MAX(0,R377-(A378-A377))),0)</f>
        <v>0</v>
      </c>
      <c r="S378">
        <f ca="1">IF(COUNTIF(IF(AND(配装计算器!$K$30&lt;&gt;"∞",0),INDEX(AU377:CB377,1,$AT$1),INDEX(AU379:CB379,1,$AT$1)),"*莺鸣柳*")=1,R378,0)</f>
        <v>0</v>
      </c>
      <c r="T378">
        <f ca="1" t="shared" si="104"/>
        <v>0</v>
      </c>
      <c r="U378">
        <f ca="1">IF(金蛇,IF(COUNTIF(B378,"*金环戴*")+COUNTIF(B378,"*吹风醒*")&gt;0,IF(A378&lt;=3,7.125-2.625-A378-加速!$L$11,7.125+加速!$K$9-(A378+加速!$L$11-T378)),0),0)+IF(金蛇,IF(COUNTIF(B378,"*千切子裂光*")&gt;0,2+加速!$K$9-(A378+加速!$L$11-T378),0),0)</f>
        <v>0</v>
      </c>
      <c r="V378">
        <f ca="1" t="shared" si="105"/>
        <v>0</v>
      </c>
      <c r="W378">
        <f ca="1" t="shared" si="96"/>
        <v>0</v>
      </c>
      <c r="X378">
        <f ca="1">INDEX(加速!$I$13:$I$21,W378+1)</f>
        <v>0</v>
      </c>
      <c r="Y378">
        <f ca="1" t="shared" si="106"/>
        <v>0.5</v>
      </c>
      <c r="Z378">
        <f ca="1" t="shared" si="101"/>
        <v>0</v>
      </c>
      <c r="AA378">
        <f ca="1">MAX(0,IFERROR(IF(COUNTIF(B378,"*叠*")&gt;0,IF(AC377&lt;3,8-A379+A378,AA377+6.875-A379+A378),AA377-A379+A378),AA377-加速!$L$11))</f>
        <v>0</v>
      </c>
      <c r="AB378" t="e">
        <f ca="1">MAX(0,IF(COUNTIF(IF(AND(配装计算器!$K$30&lt;&gt;"∞",0),INDEX(AU378:CB378,1,$AT$1),INDEX(AU378:CB378,1,$AT$1)),"*叠1*")=1,4*25-加速!$L$11,AB377-A378+A377)-IF(OR(COUNTIF(OFFSET(AT378,0,$AT$1,1,1),"*听雷*")&gt;0,AND(碧归&gt;0,COUNTIF(OFFSET(AT378,0,$AT$1,1,1),"*风来*")&gt;0)),0,1)*1.5)</f>
        <v>#VALUE!</v>
      </c>
      <c r="AC378">
        <f ca="1" t="shared" si="97"/>
        <v>0</v>
      </c>
      <c r="AD378">
        <f ca="1">IF(COUNTIF(IF(AND(配装计算器!$K$30&lt;&gt;"∞",0),INDEX(AU378:CB378,1,$AT$1),INDEX(AU379:CB379,1,$AT$1)),"*叠1*")=1,AB378*0+AE377,0)</f>
        <v>0</v>
      </c>
      <c r="AE378" t="e">
        <f ca="1">IF($AN$11&gt;0,IF(COUNTIF(B379,"*叠1*")&gt;0,50-加速!$L$11,MAX(0,AE377-(A379-A378))),0)</f>
        <v>#VALUE!</v>
      </c>
      <c r="AG378">
        <f ca="1" t="shared" si="98"/>
        <v>10</v>
      </c>
      <c r="AU378" s="176" t="s">
        <v>2768</v>
      </c>
      <c r="AV378">
        <v>1</v>
      </c>
      <c r="AW378" t="s">
        <v>2776</v>
      </c>
      <c r="AX378">
        <v>2</v>
      </c>
      <c r="AY378" t="s">
        <v>2776</v>
      </c>
      <c r="AZ378">
        <v>2</v>
      </c>
      <c r="BA378" t="s">
        <v>2808</v>
      </c>
      <c r="BB378">
        <v>2</v>
      </c>
      <c r="BC378" t="s">
        <v>2768</v>
      </c>
      <c r="BD378">
        <v>1</v>
      </c>
      <c r="BE378" t="s">
        <v>3084</v>
      </c>
      <c r="BF378">
        <v>2</v>
      </c>
      <c r="BG378" t="s">
        <v>2808</v>
      </c>
      <c r="BH378">
        <v>2</v>
      </c>
      <c r="BI378" t="s">
        <v>2768</v>
      </c>
      <c r="BJ378">
        <v>2</v>
      </c>
      <c r="BK378" t="s">
        <v>2768</v>
      </c>
      <c r="BL378">
        <v>2</v>
      </c>
      <c r="BM378" s="176" t="s">
        <v>2776</v>
      </c>
      <c r="BN378">
        <v>2</v>
      </c>
      <c r="BO378" s="176" t="s">
        <v>2794</v>
      </c>
      <c r="BP378">
        <v>2</v>
      </c>
      <c r="BQ378" t="s">
        <v>2789</v>
      </c>
      <c r="BR378">
        <v>2</v>
      </c>
      <c r="BS378" t="s">
        <v>2853</v>
      </c>
      <c r="BT378">
        <v>1</v>
      </c>
      <c r="BU378" t="s">
        <v>2776</v>
      </c>
      <c r="BV378">
        <v>2</v>
      </c>
      <c r="BW378" s="182" t="s">
        <v>2768</v>
      </c>
      <c r="BX378" s="179">
        <v>2</v>
      </c>
      <c r="BY378" s="176" t="s">
        <v>2768</v>
      </c>
      <c r="BZ378">
        <v>2</v>
      </c>
      <c r="CA378" s="176" t="s">
        <v>2768</v>
      </c>
      <c r="CB378">
        <v>2</v>
      </c>
    </row>
    <row r="379" spans="1:80">
      <c r="A379" s="178" t="str">
        <f ca="1">IFERROR(IF(AG378&lt;5+金蛇*2,IF(COUNTIF(B378,"*轻*")&gt;0,A378+加速!$L$9,A378+加速!$L$11)+V378,""),"")</f>
        <v/>
      </c>
      <c r="B379" s="167" t="str">
        <f ca="1" t="shared" si="93"/>
        <v/>
      </c>
      <c r="C379" t="str">
        <f ca="1" t="shared" si="103"/>
        <v/>
      </c>
      <c r="D379" t="str">
        <f ca="1">IF(B379&lt;&gt;"",IF(C378&lt;=加速!$L$11*(1-E379),0,1),"")</f>
        <v/>
      </c>
      <c r="E379">
        <f ca="1" t="shared" si="99"/>
        <v>1</v>
      </c>
      <c r="G379" t="str">
        <f ca="1" t="shared" si="100"/>
        <v/>
      </c>
      <c r="H379" t="str">
        <f ca="1">IF(B379&lt;&gt;"",IF(AND(COUNTIF(B378,"*轻*莺鸣柳*")&gt;0,COUNTIF(B379,"*轻*")&lt;1),MAX(0,15+I378-(A379-A378)+COUNTIF(B378,"*平湖*")*0),IF(AND(E379=0,MAX(0,H378-(A379-A378))&lt;=加速!$H$11),0,MAX(0,H378-(A379-A378)))),"")</f>
        <v/>
      </c>
      <c r="I379" t="str">
        <f ca="1" t="shared" si="107"/>
        <v/>
      </c>
      <c r="J379" t="str">
        <f ca="1" t="shared" si="108"/>
        <v/>
      </c>
      <c r="K379" t="str">
        <f ca="1" t="shared" si="94"/>
        <v/>
      </c>
      <c r="L379">
        <f ca="1">IFERROR(IF(AND(COUNTIF(B379,"*-峰插*"),技能数据库!$M$72&gt;0),0,IF(COUNTIF(B379,"*鹤归*")&gt;0,16-加速!$L$11,MAX(0,L378-(A379-A378)))),0)</f>
        <v>0</v>
      </c>
      <c r="M379">
        <f ca="1" t="shared" si="95"/>
        <v>0</v>
      </c>
      <c r="N379">
        <f ca="1">IFERROR(IF(AND(COUNTIF(B379,"*-峰插*"),技能数据库!$M$72&gt;0),0,IF(COUNTIF(B379,"*云飞*")&gt;0,4-COUNTIF(B379,"*玉山揽云*")*4--COUNTIF(B379,"*烟流暮景*")*4-COUNTIF(B379,"*云景*")*加速!$L$11-IF(J379&gt;0,2,0),MAX(0,N378-(A379-A378)-IF(J379&gt;0,2,0)))),0)</f>
        <v>0</v>
      </c>
      <c r="O379">
        <f ca="1">IF(AND(COUNTIF(IF(AND(配装计算器!$K$30&lt;&gt;"∞",0),INDEX(AU378:CB378,1,$AT$1),INDEX(AU380:CB380,1,$AT$1)),"*云飞*")=1,COUNTIF(IF(AND(配装计算器!$K$30&lt;&gt;"∞",0),INDEX(AU378:CB378,1,$AT$1),INDEX(AU380:CB380,1,$AT$1)),"*玉山*")=0),N379,0)</f>
        <v>0</v>
      </c>
      <c r="P379">
        <f ca="1">IFERROR(IF(COUNTIF(B379,"*云栖松*")&gt;0,50-加速!$L$11,MAX(0,P378-(A379-A378))),0)</f>
        <v>0</v>
      </c>
      <c r="Q379">
        <f ca="1">IF(COUNTIF(IF(AND(配装计算器!$K$30&lt;&gt;"∞",0),INDEX(AU378:CB378,1,$AT$1),INDEX(AU380:CB380,1,$AT$1)),"*云栖松*")=1,P379,0)</f>
        <v>0</v>
      </c>
      <c r="R379">
        <f ca="1">IFERROR(IF(COUNTIF(B379,"*莺鸣柳*")&gt;0,45-加速!$L$9,MAX(0,R378-(A379-A378))),0)</f>
        <v>0</v>
      </c>
      <c r="S379">
        <f ca="1">IF(COUNTIF(IF(AND(配装计算器!$K$30&lt;&gt;"∞",0),INDEX(AU378:CB378,1,$AT$1),INDEX(AU380:CB380,1,$AT$1)),"*莺鸣柳*")=1,R379,0)</f>
        <v>0</v>
      </c>
      <c r="T379">
        <f ca="1" t="shared" si="104"/>
        <v>0</v>
      </c>
      <c r="U379">
        <f ca="1">IF(金蛇,IF(COUNTIF(B379,"*金环戴*")+COUNTIF(B379,"*吹风醒*")&gt;0,IF(A379&lt;=3,7.125-2.625-A379-加速!$L$11,7.125+加速!$K$9-(A379+加速!$L$11-T379)),0),0)+IF(金蛇,IF(COUNTIF(B379,"*千切子裂光*")&gt;0,2+加速!$K$9-(A379+加速!$L$11-T379),0),0)</f>
        <v>0</v>
      </c>
      <c r="V379">
        <f ca="1" t="shared" si="105"/>
        <v>0</v>
      </c>
      <c r="W379">
        <f ca="1" t="shared" si="96"/>
        <v>0</v>
      </c>
      <c r="X379">
        <f ca="1">INDEX(加速!$I$13:$I$21,W379+1)</f>
        <v>0</v>
      </c>
      <c r="Y379">
        <f ca="1" t="shared" si="106"/>
        <v>0.5</v>
      </c>
      <c r="Z379">
        <f ca="1" t="shared" si="101"/>
        <v>0</v>
      </c>
      <c r="AA379">
        <f ca="1">MAX(0,IFERROR(IF(COUNTIF(B379,"*叠*")&gt;0,IF(AC378&lt;3,8-A380+A379,AA378+6.875-A380+A379),AA378-A380+A379),AA378-加速!$L$11))</f>
        <v>0</v>
      </c>
      <c r="AB379" t="e">
        <f ca="1">MAX(0,IF(COUNTIF(IF(AND(配装计算器!$K$30&lt;&gt;"∞",0),INDEX(AU379:CB379,1,$AT$1),INDEX(AU379:CB379,1,$AT$1)),"*叠1*")=1,4*25-加速!$L$11,AB378-A379+A378)-IF(OR(COUNTIF(OFFSET(AT379,0,$AT$1,1,1),"*听雷*")&gt;0,AND(碧归&gt;0,COUNTIF(OFFSET(AT379,0,$AT$1,1,1),"*风来*")&gt;0)),0,1)*1.5)</f>
        <v>#VALUE!</v>
      </c>
      <c r="AC379">
        <f ca="1" t="shared" si="97"/>
        <v>0</v>
      </c>
      <c r="AD379">
        <f ca="1">IF(COUNTIF(IF(AND(配装计算器!$K$30&lt;&gt;"∞",0),INDEX(AU379:CB379,1,$AT$1),INDEX(AU380:CB380,1,$AT$1)),"*叠1*")=1,AB379*0+AE378,0)</f>
        <v>0</v>
      </c>
      <c r="AE379" t="e">
        <f ca="1">IF($AN$11&gt;0,IF(COUNTIF(B380,"*叠1*")&gt;0,50-加速!$L$11,MAX(0,AE378-(A380-A379))),0)</f>
        <v>#VALUE!</v>
      </c>
      <c r="AG379">
        <f ca="1" t="shared" si="98"/>
        <v>10</v>
      </c>
      <c r="AU379" s="176" t="s">
        <v>2776</v>
      </c>
      <c r="AV379">
        <v>2</v>
      </c>
      <c r="AW379" t="s">
        <v>2768</v>
      </c>
      <c r="AX379">
        <v>2</v>
      </c>
      <c r="AY379" t="s">
        <v>3042</v>
      </c>
      <c r="AZ379">
        <v>2</v>
      </c>
      <c r="BA379" t="s">
        <v>2768</v>
      </c>
      <c r="BB379">
        <v>2</v>
      </c>
      <c r="BC379" t="s">
        <v>2776</v>
      </c>
      <c r="BD379">
        <v>1</v>
      </c>
      <c r="BE379" t="s">
        <v>2768</v>
      </c>
      <c r="BF379">
        <v>2</v>
      </c>
      <c r="BG379" t="s">
        <v>2768</v>
      </c>
      <c r="BH379">
        <v>2</v>
      </c>
      <c r="BI379" t="s">
        <v>2768</v>
      </c>
      <c r="BJ379">
        <v>2</v>
      </c>
      <c r="BK379" t="s">
        <v>3023</v>
      </c>
      <c r="BL379">
        <v>2</v>
      </c>
      <c r="BM379" s="176" t="s">
        <v>2768</v>
      </c>
      <c r="BN379">
        <v>2</v>
      </c>
      <c r="BO379" s="176" t="str">
        <f>IF(0,橙武补雾锁,"夕照雷峰")</f>
        <v>夕照雷峰</v>
      </c>
      <c r="BP379">
        <v>2</v>
      </c>
      <c r="BQ379" t="str">
        <f>IF(秋,"夕照雷峰","千切子寒光-千切子裂光")</f>
        <v>千切子寒光-千切子裂光</v>
      </c>
      <c r="BR379">
        <v>2</v>
      </c>
      <c r="BS379" s="176" t="str">
        <f>IF(秋,"金蛇锥-金环戴","金蛇锥-吹风醒")</f>
        <v>金蛇锥-吹风醒</v>
      </c>
      <c r="BT379">
        <v>0</v>
      </c>
      <c r="BU379" t="s">
        <v>2768</v>
      </c>
      <c r="BV379">
        <v>2</v>
      </c>
      <c r="BW379" s="182" t="s">
        <v>2808</v>
      </c>
      <c r="BX379" s="179">
        <v>2</v>
      </c>
      <c r="BY379" s="176" t="s">
        <v>2808</v>
      </c>
      <c r="BZ379">
        <v>2</v>
      </c>
      <c r="CA379" s="176" t="s">
        <v>2808</v>
      </c>
      <c r="CB379">
        <v>2</v>
      </c>
    </row>
    <row r="380" spans="1:80">
      <c r="A380" s="178" t="str">
        <f ca="1">IFERROR(IF(AG379&lt;5+金蛇*2,IF(COUNTIF(B379,"*轻*")&gt;0,A379+加速!$L$9,A379+加速!$L$11)+V379,""),"")</f>
        <v/>
      </c>
      <c r="B380" s="167" t="str">
        <f ca="1" t="shared" si="93"/>
        <v/>
      </c>
      <c r="C380" t="str">
        <f ca="1" t="shared" si="103"/>
        <v/>
      </c>
      <c r="D380" t="str">
        <f ca="1">IF(B380&lt;&gt;"",IF(C379&lt;=加速!$L$11*(1-E380),0,1),"")</f>
        <v/>
      </c>
      <c r="E380">
        <f ca="1" t="shared" si="99"/>
        <v>1</v>
      </c>
      <c r="G380" t="str">
        <f ca="1" t="shared" si="100"/>
        <v/>
      </c>
      <c r="H380" t="str">
        <f ca="1">IF(B380&lt;&gt;"",IF(AND(COUNTIF(B379,"*轻*莺鸣柳*")&gt;0,COUNTIF(B380,"*轻*")&lt;1),MAX(0,15+I379-(A380-A379)+COUNTIF(B379,"*平湖*")*0),IF(AND(E380=0,MAX(0,H379-(A380-A379))&lt;=加速!$H$11),0,MAX(0,H379-(A380-A379)))),"")</f>
        <v/>
      </c>
      <c r="I380" t="str">
        <f ca="1" t="shared" si="107"/>
        <v/>
      </c>
      <c r="J380" t="str">
        <f ca="1" t="shared" si="108"/>
        <v/>
      </c>
      <c r="K380" t="str">
        <f ca="1" t="shared" si="94"/>
        <v/>
      </c>
      <c r="L380">
        <f ca="1">IFERROR(IF(AND(COUNTIF(B380,"*-峰插*"),技能数据库!$M$72&gt;0),0,IF(COUNTIF(B380,"*鹤归*")&gt;0,16-加速!$L$11,MAX(0,L379-(A380-A379)))),0)</f>
        <v>0</v>
      </c>
      <c r="M380">
        <f ca="1" t="shared" si="95"/>
        <v>0</v>
      </c>
      <c r="N380">
        <f ca="1">IFERROR(IF(AND(COUNTIF(B380,"*-峰插*"),技能数据库!$M$72&gt;0),0,IF(COUNTIF(B380,"*云飞*")&gt;0,4-COUNTIF(B380,"*玉山揽云*")*4--COUNTIF(B380,"*烟流暮景*")*4-COUNTIF(B380,"*云景*")*加速!$L$11-IF(J380&gt;0,2,0),MAX(0,N379-(A380-A379)-IF(J380&gt;0,2,0)))),0)</f>
        <v>0</v>
      </c>
      <c r="O380">
        <f ca="1">IF(AND(COUNTIF(IF(AND(配装计算器!$K$30&lt;&gt;"∞",0),INDEX(AU379:CB379,1,$AT$1),INDEX(AU381:CB381,1,$AT$1)),"*云飞*")=1,COUNTIF(IF(AND(配装计算器!$K$30&lt;&gt;"∞",0),INDEX(AU379:CB379,1,$AT$1),INDEX(AU381:CB381,1,$AT$1)),"*玉山*")=0),N380,0)</f>
        <v>0</v>
      </c>
      <c r="P380">
        <f ca="1">IFERROR(IF(COUNTIF(B380,"*云栖松*")&gt;0,50-加速!$L$11,MAX(0,P379-(A380-A379))),0)</f>
        <v>0</v>
      </c>
      <c r="Q380">
        <f ca="1">IF(COUNTIF(IF(AND(配装计算器!$K$30&lt;&gt;"∞",0),INDEX(AU379:CB379,1,$AT$1),INDEX(AU381:CB381,1,$AT$1)),"*云栖松*")=1,P380,0)</f>
        <v>0</v>
      </c>
      <c r="R380">
        <f ca="1">IFERROR(IF(COUNTIF(B380,"*莺鸣柳*")&gt;0,45-加速!$L$9,MAX(0,R379-(A380-A379))),0)</f>
        <v>0</v>
      </c>
      <c r="S380">
        <f ca="1">IF(COUNTIF(IF(AND(配装计算器!$K$30&lt;&gt;"∞",0),INDEX(AU379:CB379,1,$AT$1),INDEX(AU381:CB381,1,$AT$1)),"*莺鸣柳*")=1,R380,0)</f>
        <v>0</v>
      </c>
      <c r="T380">
        <f ca="1" t="shared" si="104"/>
        <v>0</v>
      </c>
      <c r="U380">
        <f ca="1">IF(金蛇,IF(COUNTIF(B380,"*金环戴*")+COUNTIF(B380,"*吹风醒*")&gt;0,IF(A380&lt;=3,7.125-2.625-A380-加速!$L$11,7.125+加速!$K$9-(A380+加速!$L$11-T380)),0),0)+IF(金蛇,IF(COUNTIF(B380,"*千切子裂光*")&gt;0,2+加速!$K$9-(A380+加速!$L$11-T380),0),0)</f>
        <v>0</v>
      </c>
      <c r="V380">
        <f ca="1" t="shared" si="105"/>
        <v>0</v>
      </c>
      <c r="W380">
        <f ca="1" t="shared" si="96"/>
        <v>0</v>
      </c>
      <c r="X380">
        <f ca="1">INDEX(加速!$I$13:$I$21,W380+1)</f>
        <v>0</v>
      </c>
      <c r="Y380">
        <f ca="1" t="shared" si="106"/>
        <v>0.5</v>
      </c>
      <c r="Z380">
        <f ca="1" t="shared" si="101"/>
        <v>0</v>
      </c>
      <c r="AA380">
        <f ca="1">MAX(0,IFERROR(IF(COUNTIF(B380,"*叠*")&gt;0,IF(AC379&lt;3,8-A381+A380,AA379+6.875-A381+A380),AA379-A381+A380),AA379-加速!$L$11))</f>
        <v>0</v>
      </c>
      <c r="AB380" t="e">
        <f ca="1">MAX(0,IF(COUNTIF(IF(AND(配装计算器!$K$30&lt;&gt;"∞",0),INDEX(AU380:CB380,1,$AT$1),INDEX(AU380:CB380,1,$AT$1)),"*叠1*")=1,4*25-加速!$L$11,AB379-A380+A379)-IF(OR(COUNTIF(OFFSET(AT380,0,$AT$1,1,1),"*听雷*")&gt;0,AND(碧归&gt;0,COUNTIF(OFFSET(AT380,0,$AT$1,1,1),"*风来*")&gt;0)),0,1)*1.5)</f>
        <v>#VALUE!</v>
      </c>
      <c r="AC380">
        <f ca="1" t="shared" si="97"/>
        <v>0</v>
      </c>
      <c r="AD380">
        <f ca="1">IF(COUNTIF(IF(AND(配装计算器!$K$30&lt;&gt;"∞",0),INDEX(AU380:CB380,1,$AT$1),INDEX(AU381:CB381,1,$AT$1)),"*叠1*")=1,AB380*0+AE379,0)</f>
        <v>0</v>
      </c>
      <c r="AE380" t="e">
        <f ca="1">IF($AN$11&gt;0,IF(COUNTIF(B381,"*叠1*")&gt;0,50-加速!$L$11,MAX(0,AE379-(A381-A380))),0)</f>
        <v>#VALUE!</v>
      </c>
      <c r="AG380">
        <f ca="1" t="shared" si="98"/>
        <v>10</v>
      </c>
      <c r="AU380" s="176" t="s">
        <v>2768</v>
      </c>
      <c r="AV380">
        <v>1</v>
      </c>
      <c r="AW380" t="str">
        <f>IF(山重水复,"风来吴山","夕照雷峰")</f>
        <v>夕照雷峰</v>
      </c>
      <c r="AX380">
        <v>2</v>
      </c>
      <c r="AY380" t="s">
        <v>2808</v>
      </c>
      <c r="AZ380">
        <v>2</v>
      </c>
      <c r="BA380" t="s">
        <v>2768</v>
      </c>
      <c r="BB380">
        <v>2</v>
      </c>
      <c r="BC380" t="s">
        <v>2768</v>
      </c>
      <c r="BD380">
        <v>1</v>
      </c>
      <c r="BE380" t="s">
        <v>2794</v>
      </c>
      <c r="BF380">
        <v>2</v>
      </c>
      <c r="BG380" s="176" t="s">
        <v>2768</v>
      </c>
      <c r="BH380">
        <v>2</v>
      </c>
      <c r="BI380" s="176" t="s">
        <v>2794</v>
      </c>
      <c r="BJ380">
        <v>1</v>
      </c>
      <c r="BK380" t="s">
        <v>2768</v>
      </c>
      <c r="BL380">
        <v>2</v>
      </c>
      <c r="BM380" s="176" t="s">
        <v>2776</v>
      </c>
      <c r="BN380">
        <v>2</v>
      </c>
      <c r="BO380" s="176" t="s">
        <v>2776</v>
      </c>
      <c r="BP380">
        <v>2</v>
      </c>
      <c r="BQ380" t="str">
        <f>IF(秋,"鹤归孤山-叠-蛇牙锥心","鹤归孤山-叠")</f>
        <v>鹤归孤山-叠</v>
      </c>
      <c r="BR380">
        <v>2</v>
      </c>
      <c r="BS380" t="s">
        <v>2773</v>
      </c>
      <c r="BT380">
        <v>2</v>
      </c>
      <c r="BU380" t="s">
        <v>2776</v>
      </c>
      <c r="BV380">
        <v>2</v>
      </c>
      <c r="BW380" s="179" t="s">
        <v>2768</v>
      </c>
      <c r="BX380" s="179">
        <v>2</v>
      </c>
      <c r="BY380" t="s">
        <v>2768</v>
      </c>
      <c r="BZ380">
        <v>2</v>
      </c>
      <c r="CA380" t="s">
        <v>2768</v>
      </c>
      <c r="CB380">
        <v>2</v>
      </c>
    </row>
    <row r="381" spans="1:80">
      <c r="A381" s="178" t="str">
        <f ca="1">IFERROR(IF(AG380&lt;5+金蛇*2,IF(COUNTIF(B380,"*轻*")&gt;0,A380+加速!$L$9,A380+加速!$L$11)+V380,""),"")</f>
        <v/>
      </c>
      <c r="B381" s="167" t="str">
        <f ca="1" t="shared" si="93"/>
        <v/>
      </c>
      <c r="C381" t="str">
        <f ca="1" t="shared" si="103"/>
        <v/>
      </c>
      <c r="D381" t="str">
        <f ca="1">IF(B381&lt;&gt;"",IF(C380&lt;=加速!$L$11*(1-E381),0,1),"")</f>
        <v/>
      </c>
      <c r="E381">
        <f ca="1" t="shared" si="99"/>
        <v>1</v>
      </c>
      <c r="G381" t="str">
        <f ca="1" t="shared" si="100"/>
        <v/>
      </c>
      <c r="H381" t="str">
        <f ca="1">IF(B381&lt;&gt;"",IF(AND(COUNTIF(B380,"*轻*莺鸣柳*")&gt;0,COUNTIF(B381,"*轻*")&lt;1),MAX(0,15+I380-(A381-A380)+COUNTIF(B380,"*平湖*")*0),IF(AND(E381=0,MAX(0,H380-(A381-A380))&lt;=加速!$H$11),0,MAX(0,H380-(A381-A380)))),"")</f>
        <v/>
      </c>
      <c r="I381" t="str">
        <f ca="1" t="shared" si="107"/>
        <v/>
      </c>
      <c r="J381" t="str">
        <f ca="1" t="shared" si="108"/>
        <v/>
      </c>
      <c r="K381" t="str">
        <f ca="1" t="shared" si="94"/>
        <v/>
      </c>
      <c r="L381">
        <f ca="1">IFERROR(IF(AND(COUNTIF(B381,"*-峰插*"),技能数据库!$M$72&gt;0),0,IF(COUNTIF(B381,"*鹤归*")&gt;0,16-加速!$L$11,MAX(0,L380-(A381-A380)))),0)</f>
        <v>0</v>
      </c>
      <c r="M381">
        <f ca="1" t="shared" si="95"/>
        <v>0</v>
      </c>
      <c r="N381">
        <f ca="1">IFERROR(IF(AND(COUNTIF(B381,"*-峰插*"),技能数据库!$M$72&gt;0),0,IF(COUNTIF(B381,"*云飞*")&gt;0,4-COUNTIF(B381,"*玉山揽云*")*4--COUNTIF(B381,"*烟流暮景*")*4-COUNTIF(B381,"*云景*")*加速!$L$11-IF(J381&gt;0,2,0),MAX(0,N380-(A381-A380)-IF(J381&gt;0,2,0)))),0)</f>
        <v>0</v>
      </c>
      <c r="O381">
        <f ca="1">IF(AND(COUNTIF(IF(AND(配装计算器!$K$30&lt;&gt;"∞",0),INDEX(AU380:CB380,1,$AT$1),INDEX(AU382:CB382,1,$AT$1)),"*云飞*")=1,COUNTIF(IF(AND(配装计算器!$K$30&lt;&gt;"∞",0),INDEX(AU380:CB380,1,$AT$1),INDEX(AU382:CB382,1,$AT$1)),"*玉山*")=0),N381,0)</f>
        <v>0</v>
      </c>
      <c r="P381">
        <f ca="1">IFERROR(IF(COUNTIF(B381,"*云栖松*")&gt;0,50-加速!$L$11,MAX(0,P380-(A381-A380))),0)</f>
        <v>0</v>
      </c>
      <c r="Q381">
        <f ca="1">IF(COUNTIF(IF(AND(配装计算器!$K$30&lt;&gt;"∞",0),INDEX(AU380:CB380,1,$AT$1),INDEX(AU382:CB382,1,$AT$1)),"*云栖松*")=1,P381,0)</f>
        <v>0</v>
      </c>
      <c r="R381">
        <f ca="1">IFERROR(IF(COUNTIF(B381,"*莺鸣柳*")&gt;0,45-加速!$L$9,MAX(0,R380-(A381-A380))),0)</f>
        <v>0</v>
      </c>
      <c r="S381">
        <f ca="1">IF(COUNTIF(IF(AND(配装计算器!$K$30&lt;&gt;"∞",0),INDEX(AU380:CB380,1,$AT$1),INDEX(AU382:CB382,1,$AT$1)),"*莺鸣柳*")=1,R381,0)</f>
        <v>0</v>
      </c>
      <c r="T381">
        <f ca="1" t="shared" si="104"/>
        <v>0</v>
      </c>
      <c r="U381">
        <f ca="1">IF(金蛇,IF(COUNTIF(B381,"*金环戴*")+COUNTIF(B381,"*吹风醒*")&gt;0,IF(A381&lt;=3,7.125-2.625-A381-加速!$L$11,7.125+加速!$K$9-(A381+加速!$L$11-T381)),0),0)+IF(金蛇,IF(COUNTIF(B381,"*千切子裂光*")&gt;0,2+加速!$K$9-(A381+加速!$L$11-T381),0),0)</f>
        <v>0</v>
      </c>
      <c r="V381">
        <f ca="1" t="shared" si="105"/>
        <v>0</v>
      </c>
      <c r="W381">
        <f ca="1" t="shared" si="96"/>
        <v>0</v>
      </c>
      <c r="X381">
        <f ca="1">INDEX(加速!$I$13:$I$21,W381+1)</f>
        <v>0</v>
      </c>
      <c r="Y381">
        <f ca="1" t="shared" si="106"/>
        <v>0.5</v>
      </c>
      <c r="Z381">
        <f ca="1" t="shared" si="101"/>
        <v>0</v>
      </c>
      <c r="AA381">
        <f ca="1">MAX(0,IFERROR(IF(COUNTIF(B381,"*叠*")&gt;0,IF(AC380&lt;3,8-A382+A381,AA380+6.875-A382+A381),AA380-A382+A381),AA380-加速!$L$11))</f>
        <v>0</v>
      </c>
      <c r="AB381" t="e">
        <f ca="1">MAX(0,IF(COUNTIF(IF(AND(配装计算器!$K$30&lt;&gt;"∞",0),INDEX(AU381:CB381,1,$AT$1),INDEX(AU381:CB381,1,$AT$1)),"*叠1*")=1,4*25-加速!$L$11,AB380-A381+A380)-IF(OR(COUNTIF(OFFSET(AT381,0,$AT$1,1,1),"*听雷*")&gt;0,AND(碧归&gt;0,COUNTIF(OFFSET(AT381,0,$AT$1,1,1),"*风来*")&gt;0)),0,1)*1.5)</f>
        <v>#VALUE!</v>
      </c>
      <c r="AC381">
        <f ca="1" t="shared" si="97"/>
        <v>0</v>
      </c>
      <c r="AD381">
        <f ca="1">IF(COUNTIF(IF(AND(配装计算器!$K$30&lt;&gt;"∞",0),INDEX(AU381:CB381,1,$AT$1),INDEX(AU382:CB382,1,$AT$1)),"*叠1*")=1,AB381*0+AE380,0)</f>
        <v>0</v>
      </c>
      <c r="AE381" t="e">
        <f ca="1">IF($AN$11&gt;0,IF(COUNTIF(B382,"*叠1*")&gt;0,50-加速!$L$11,MAX(0,AE380-(A382-A381))),0)</f>
        <v>#VALUE!</v>
      </c>
      <c r="AG381">
        <f ca="1" t="shared" si="98"/>
        <v>10</v>
      </c>
      <c r="AU381" s="176" t="s">
        <v>2776</v>
      </c>
      <c r="AV381">
        <v>1</v>
      </c>
      <c r="AW381" s="176" t="s">
        <v>2794</v>
      </c>
      <c r="AX381">
        <v>2</v>
      </c>
      <c r="AY381" t="s">
        <v>2768</v>
      </c>
      <c r="AZ381">
        <v>2</v>
      </c>
      <c r="BA381" t="s">
        <v>2776</v>
      </c>
      <c r="BB381">
        <v>2</v>
      </c>
      <c r="BC381" t="s">
        <v>2768</v>
      </c>
      <c r="BD381">
        <v>0</v>
      </c>
      <c r="BE381" t="s">
        <v>2768</v>
      </c>
      <c r="BF381">
        <v>2</v>
      </c>
      <c r="BG381" s="176" t="s">
        <v>2776</v>
      </c>
      <c r="BH381">
        <v>2</v>
      </c>
      <c r="BI381" t="s">
        <v>2776</v>
      </c>
      <c r="BJ381">
        <v>1</v>
      </c>
      <c r="BK381" t="s">
        <v>2808</v>
      </c>
      <c r="BL381">
        <v>2</v>
      </c>
      <c r="BM381" s="176" t="s">
        <v>2768</v>
      </c>
      <c r="BN381">
        <v>2</v>
      </c>
      <c r="BO381" s="176" t="s">
        <v>2768</v>
      </c>
      <c r="BP381">
        <v>2</v>
      </c>
      <c r="BQ381" t="s">
        <v>2776</v>
      </c>
      <c r="BR381">
        <v>2</v>
      </c>
      <c r="BS381" t="s">
        <v>2776</v>
      </c>
      <c r="BT381">
        <v>2</v>
      </c>
      <c r="BU381" t="s">
        <v>2768</v>
      </c>
      <c r="BV381">
        <v>2</v>
      </c>
      <c r="BW381" s="179" t="s">
        <v>2776</v>
      </c>
      <c r="BX381" s="179">
        <v>2</v>
      </c>
      <c r="BY381" t="s">
        <v>2776</v>
      </c>
      <c r="BZ381">
        <v>2</v>
      </c>
      <c r="CA381" t="s">
        <v>2776</v>
      </c>
      <c r="CB381">
        <v>2</v>
      </c>
    </row>
    <row r="382" spans="1:80">
      <c r="A382" s="178" t="str">
        <f ca="1">IFERROR(IF(AG381&lt;5+金蛇*2,IF(COUNTIF(B381,"*轻*")&gt;0,A381+加速!$L$9,A381+加速!$L$11)+V381,""),"")</f>
        <v/>
      </c>
      <c r="B382" s="167" t="str">
        <f ca="1" t="shared" si="93"/>
        <v/>
      </c>
      <c r="C382" t="str">
        <f ca="1" t="shared" si="103"/>
        <v/>
      </c>
      <c r="D382" t="str">
        <f ca="1">IF(B382&lt;&gt;"",IF(C381&lt;=加速!$L$11*(1-E382),0,1),"")</f>
        <v/>
      </c>
      <c r="E382">
        <f ca="1" t="shared" si="99"/>
        <v>1</v>
      </c>
      <c r="G382" t="str">
        <f ca="1" t="shared" si="100"/>
        <v/>
      </c>
      <c r="H382" t="str">
        <f ca="1">IF(B382&lt;&gt;"",IF(AND(COUNTIF(B381,"*轻*莺鸣柳*")&gt;0,COUNTIF(B382,"*轻*")&lt;1),MAX(0,15+I381-(A382-A381)+COUNTIF(B381,"*平湖*")*0),IF(AND(E382=0,MAX(0,H381-(A382-A381))&lt;=加速!$H$11),0,MAX(0,H381-(A382-A381)))),"")</f>
        <v/>
      </c>
      <c r="I382" t="str">
        <f ca="1" t="shared" si="107"/>
        <v/>
      </c>
      <c r="J382" t="str">
        <f ca="1" t="shared" si="108"/>
        <v/>
      </c>
      <c r="K382" t="str">
        <f ca="1" t="shared" si="94"/>
        <v/>
      </c>
      <c r="L382">
        <f ca="1">IFERROR(IF(AND(COUNTIF(B382,"*-峰插*"),技能数据库!$M$72&gt;0),0,IF(COUNTIF(B382,"*鹤归*")&gt;0,16-加速!$L$11,MAX(0,L381-(A382-A381)))),0)</f>
        <v>0</v>
      </c>
      <c r="M382">
        <f ca="1" t="shared" si="95"/>
        <v>0</v>
      </c>
      <c r="N382">
        <f ca="1">IFERROR(IF(AND(COUNTIF(B382,"*-峰插*"),技能数据库!$M$72&gt;0),0,IF(COUNTIF(B382,"*云飞*")&gt;0,4-COUNTIF(B382,"*玉山揽云*")*4--COUNTIF(B382,"*烟流暮景*")*4-COUNTIF(B382,"*云景*")*加速!$L$11-IF(J382&gt;0,2,0),MAX(0,N381-(A382-A381)-IF(J382&gt;0,2,0)))),0)</f>
        <v>0</v>
      </c>
      <c r="O382">
        <f ca="1">IF(AND(COUNTIF(IF(AND(配装计算器!$K$30&lt;&gt;"∞",0),INDEX(AU381:CB381,1,$AT$1),INDEX(AU383:CB383,1,$AT$1)),"*云飞*")=1,COUNTIF(IF(AND(配装计算器!$K$30&lt;&gt;"∞",0),INDEX(AU381:CB381,1,$AT$1),INDEX(AU383:CB383,1,$AT$1)),"*玉山*")=0),N382,0)</f>
        <v>0</v>
      </c>
      <c r="P382">
        <f ca="1">IFERROR(IF(COUNTIF(B382,"*云栖松*")&gt;0,50-加速!$L$11,MAX(0,P381-(A382-A381))),0)</f>
        <v>0</v>
      </c>
      <c r="Q382">
        <f ca="1">IF(COUNTIF(IF(AND(配装计算器!$K$30&lt;&gt;"∞",0),INDEX(AU381:CB381,1,$AT$1),INDEX(AU383:CB383,1,$AT$1)),"*云栖松*")=1,P382,0)</f>
        <v>0</v>
      </c>
      <c r="R382">
        <f ca="1">IFERROR(IF(COUNTIF(B382,"*莺鸣柳*")&gt;0,45-加速!$L$9,MAX(0,R381-(A382-A381))),0)</f>
        <v>0</v>
      </c>
      <c r="S382">
        <f ca="1">IF(COUNTIF(IF(AND(配装计算器!$K$30&lt;&gt;"∞",0),INDEX(AU381:CB381,1,$AT$1),INDEX(AU383:CB383,1,$AT$1)),"*莺鸣柳*")=1,R382,0)</f>
        <v>0</v>
      </c>
      <c r="T382">
        <f ca="1" t="shared" si="104"/>
        <v>0</v>
      </c>
      <c r="U382">
        <f ca="1">IF(金蛇,IF(COUNTIF(B382,"*金环戴*")+COUNTIF(B382,"*吹风醒*")&gt;0,IF(A382&lt;=3,7.125-2.625-A382-加速!$L$11,7.125+加速!$K$9-(A382+加速!$L$11-T382)),0),0)+IF(金蛇,IF(COUNTIF(B382,"*千切子裂光*")&gt;0,2+加速!$K$9-(A382+加速!$L$11-T382),0),0)</f>
        <v>0</v>
      </c>
      <c r="V382" t="e">
        <f ca="1" t="shared" si="105"/>
        <v>#VALUE!</v>
      </c>
      <c r="W382">
        <f ca="1" t="shared" si="96"/>
        <v>0</v>
      </c>
      <c r="X382">
        <f ca="1">INDEX(加速!$I$13:$I$21,W382+1)</f>
        <v>0</v>
      </c>
      <c r="Y382">
        <f ca="1" t="shared" si="106"/>
        <v>0.5</v>
      </c>
      <c r="Z382">
        <f ca="1" t="shared" si="101"/>
        <v>0</v>
      </c>
      <c r="AA382">
        <f ca="1">MAX(0,IFERROR(IF(COUNTIF(B382,"*叠*")&gt;0,IF(AC381&lt;3,8-A383+A382,AA381+6.875-A383+A382),AA381-A383+A382),AA381-加速!$L$11))</f>
        <v>0</v>
      </c>
      <c r="AB382" t="e">
        <f ca="1">MAX(0,IF(COUNTIF(IF(AND(配装计算器!$K$30&lt;&gt;"∞",0),INDEX(AU382:CB382,1,$AT$1),INDEX(AU382:CB382,1,$AT$1)),"*叠1*")=1,4*25-加速!$L$11,AB381-A382+A381)-IF(OR(COUNTIF(OFFSET(AT382,0,$AT$1,1,1),"*听雷*")&gt;0,AND(碧归&gt;0,COUNTIF(OFFSET(AT382,0,$AT$1,1,1),"*风来*")&gt;0)),0,1)*1.5)</f>
        <v>#VALUE!</v>
      </c>
      <c r="AC382">
        <f ca="1" t="shared" si="97"/>
        <v>0</v>
      </c>
      <c r="AD382" t="e">
        <f ca="1">IF(COUNTIF(IF(AND(配装计算器!$K$30&lt;&gt;"∞",0),INDEX(AU382:CB382,1,$AT$1),INDEX(AU383:CB383,1,$AT$1)),"*叠1*")=1,AB382*0+AE381,0)</f>
        <v>#VALUE!</v>
      </c>
      <c r="AE382" t="e">
        <f ca="1">IF($AN$11&gt;0,IF(COUNTIF(B383,"*叠1*")&gt;0,50-加速!$L$11,MAX(0,AE381-(A383-A382))),0)</f>
        <v>#VALUE!</v>
      </c>
      <c r="AG382">
        <f ca="1" t="shared" si="98"/>
        <v>11</v>
      </c>
      <c r="AU382" t="s">
        <v>2722</v>
      </c>
      <c r="AV382">
        <v>0</v>
      </c>
      <c r="AW382" s="176" t="s">
        <v>2776</v>
      </c>
      <c r="AX382">
        <v>2</v>
      </c>
      <c r="AY382" t="s">
        <v>2768</v>
      </c>
      <c r="AZ382">
        <v>2</v>
      </c>
      <c r="BA382" t="s">
        <v>2794</v>
      </c>
      <c r="BB382">
        <v>2</v>
      </c>
      <c r="BC382" t="s">
        <v>2768</v>
      </c>
      <c r="BD382">
        <v>0</v>
      </c>
      <c r="BE382" t="s">
        <v>2776</v>
      </c>
      <c r="BF382">
        <v>2</v>
      </c>
      <c r="BG382" t="s">
        <v>2768</v>
      </c>
      <c r="BH382">
        <v>1</v>
      </c>
      <c r="BI382" t="s">
        <v>2768</v>
      </c>
      <c r="BJ382">
        <v>0</v>
      </c>
      <c r="BK382" t="s">
        <v>2768</v>
      </c>
      <c r="BL382">
        <v>2</v>
      </c>
      <c r="BM382" s="176" t="s">
        <v>2808</v>
      </c>
      <c r="BN382">
        <v>2</v>
      </c>
      <c r="BO382" s="176" t="s">
        <v>2776</v>
      </c>
      <c r="BP382">
        <v>2</v>
      </c>
      <c r="BQ382" t="s">
        <v>2768</v>
      </c>
      <c r="BR382">
        <v>2</v>
      </c>
      <c r="BS382" t="s">
        <v>2768</v>
      </c>
      <c r="BT382">
        <v>2</v>
      </c>
      <c r="BU382" t="s">
        <v>2808</v>
      </c>
      <c r="BV382">
        <v>2</v>
      </c>
      <c r="BW382" s="179" t="s">
        <v>2768</v>
      </c>
      <c r="BX382" s="179">
        <v>2</v>
      </c>
      <c r="BY382" t="str">
        <f>IF(山重水复,"风来吴山","夕照雷峰")</f>
        <v>夕照雷峰</v>
      </c>
      <c r="BZ382">
        <v>2</v>
      </c>
      <c r="CA382" t="str">
        <f>IF(山重水复,"风来吴山","夕照雷峰")</f>
        <v>夕照雷峰</v>
      </c>
      <c r="CB382">
        <v>2</v>
      </c>
    </row>
    <row r="383" spans="1:80">
      <c r="A383" s="178" t="str">
        <f ca="1">IFERROR(IF(AG382&lt;5+金蛇*2,IF(COUNTIF(B382,"*轻*")&gt;0,A382+加速!$L$9,A382+加速!$L$11)+V382,""),"")</f>
        <v/>
      </c>
      <c r="B383" s="167" t="str">
        <f ca="1" t="shared" si="93"/>
        <v/>
      </c>
      <c r="C383" t="str">
        <f ca="1" t="shared" si="103"/>
        <v/>
      </c>
      <c r="D383" t="str">
        <f ca="1">IF(B383&lt;&gt;"",IF(C382&lt;=加速!$L$11*(1-E383),0,1),"")</f>
        <v/>
      </c>
      <c r="E383">
        <f ca="1" t="shared" si="99"/>
        <v>1</v>
      </c>
      <c r="G383" t="str">
        <f ca="1" t="shared" si="100"/>
        <v/>
      </c>
      <c r="H383" t="str">
        <f ca="1">IF(B383&lt;&gt;"",IF(AND(COUNTIF(B382,"*轻*莺鸣柳*")&gt;0,COUNTIF(B383,"*轻*")&lt;1),MAX(0,15+I382-(A383-A382)+COUNTIF(B382,"*平湖*")*0),IF(AND(E383=0,MAX(0,H382-(A383-A382))&lt;=加速!$H$11),0,MAX(0,H382-(A383-A382)))),"")</f>
        <v/>
      </c>
      <c r="I383" t="str">
        <f ca="1" t="shared" si="107"/>
        <v/>
      </c>
      <c r="J383" t="str">
        <f ca="1" t="shared" si="108"/>
        <v/>
      </c>
      <c r="K383" t="str">
        <f ca="1" t="shared" si="94"/>
        <v/>
      </c>
      <c r="L383">
        <f ca="1">IFERROR(IF(AND(COUNTIF(B383,"*-峰插*"),技能数据库!$M$72&gt;0),0,IF(COUNTIF(B383,"*鹤归*")&gt;0,16-加速!$L$11,MAX(0,L382-(A383-A382)))),0)</f>
        <v>0</v>
      </c>
      <c r="M383">
        <f ca="1" t="shared" si="95"/>
        <v>0</v>
      </c>
      <c r="N383">
        <f ca="1">IFERROR(IF(AND(COUNTIF(B383,"*-峰插*"),技能数据库!$M$72&gt;0),0,IF(COUNTIF(B383,"*云飞*")&gt;0,4-COUNTIF(B383,"*玉山揽云*")*4--COUNTIF(B383,"*烟流暮景*")*4-COUNTIF(B383,"*云景*")*加速!$L$11-IF(J383&gt;0,2,0),MAX(0,N382-(A383-A382)-IF(J383&gt;0,2,0)))),0)</f>
        <v>0</v>
      </c>
      <c r="O383">
        <f ca="1">IF(AND(COUNTIF(IF(AND(配装计算器!$K$30&lt;&gt;"∞",0),INDEX(AU382:CB382,1,$AT$1),INDEX(AU384:CB384,1,$AT$1)),"*云飞*")=1,COUNTIF(IF(AND(配装计算器!$K$30&lt;&gt;"∞",0),INDEX(AU382:CB382,1,$AT$1),INDEX(AU384:CB384,1,$AT$1)),"*玉山*")=0),N383,0)</f>
        <v>0</v>
      </c>
      <c r="P383">
        <f ca="1">IFERROR(IF(COUNTIF(B383,"*云栖松*")&gt;0,50-加速!$L$11,MAX(0,P382-(A383-A382))),0)</f>
        <v>0</v>
      </c>
      <c r="Q383">
        <f ca="1">IF(COUNTIF(IF(AND(配装计算器!$K$30&lt;&gt;"∞",0),INDEX(AU382:CB382,1,$AT$1),INDEX(AU384:CB384,1,$AT$1)),"*云栖松*")=1,P383,0)</f>
        <v>0</v>
      </c>
      <c r="R383">
        <f ca="1">IFERROR(IF(COUNTIF(B383,"*莺鸣柳*")&gt;0,45-加速!$L$9,MAX(0,R382-(A383-A382))),0)</f>
        <v>0</v>
      </c>
      <c r="S383">
        <f ca="1">IF(COUNTIF(IF(AND(配装计算器!$K$30&lt;&gt;"∞",0),INDEX(AU382:CB382,1,$AT$1),INDEX(AU384:CB384,1,$AT$1)),"*莺鸣柳*")=1,R383,0)</f>
        <v>0</v>
      </c>
      <c r="T383">
        <f ca="1" t="shared" si="104"/>
        <v>0</v>
      </c>
      <c r="U383">
        <f ca="1">IF(金蛇,IF(COUNTIF(B383,"*金环戴*")+COUNTIF(B383,"*吹风醒*")&gt;0,IF(A383&lt;=3,7.125-2.625-A383-加速!$L$11,7.125+加速!$K$9-(A383+加速!$L$11-T383)),0),0)+IF(金蛇,IF(COUNTIF(B383,"*千切子裂光*")&gt;0,2+加速!$K$9-(A383+加速!$L$11-T383),0),0)</f>
        <v>0</v>
      </c>
      <c r="V383">
        <f ca="1" t="shared" si="105"/>
        <v>0</v>
      </c>
      <c r="W383">
        <f ca="1" t="shared" si="96"/>
        <v>0</v>
      </c>
      <c r="X383">
        <f ca="1">INDEX(加速!$I$13:$I$21,W383+1)</f>
        <v>0</v>
      </c>
      <c r="Y383">
        <f ca="1" t="shared" si="106"/>
        <v>0.5</v>
      </c>
      <c r="Z383">
        <f ca="1" t="shared" si="101"/>
        <v>0</v>
      </c>
      <c r="AA383">
        <f ca="1">MAX(0,IFERROR(IF(COUNTIF(B383,"*叠*")&gt;0,IF(AC382&lt;3,8-A384+A383,AA382+6.875-A384+A383),AA382-A384+A383),AA382-加速!$L$11))</f>
        <v>0</v>
      </c>
      <c r="AB383">
        <f ca="1">MAX(0,IF(COUNTIF(IF(AND(配装计算器!$K$30&lt;&gt;"∞",0),INDEX(AU383:CB383,1,$AT$1),INDEX(AU383:CB383,1,$AT$1)),"*叠1*")=1,4*25-加速!$L$11,AB382-A383+A382)-IF(OR(COUNTIF(OFFSET(AT383,0,$AT$1,1,1),"*听雷*")&gt;0,AND(碧归&gt;0,COUNTIF(OFFSET(AT383,0,$AT$1,1,1),"*风来*")&gt;0)),0,1)*1.5)</f>
        <v>97.21</v>
      </c>
      <c r="AC383">
        <f ca="1" t="shared" si="97"/>
        <v>0</v>
      </c>
      <c r="AD383">
        <f ca="1">IF(COUNTIF(IF(AND(配装计算器!$K$30&lt;&gt;"∞",0),INDEX(AU383:CB383,1,$AT$1),INDEX(AU384:CB384,1,$AT$1)),"*叠1*")=1,AB383*0+AE382,0)</f>
        <v>0</v>
      </c>
      <c r="AE383" t="e">
        <f ca="1">IF($AN$11&gt;0,IF(COUNTIF(B384,"*叠1*")&gt;0,50-加速!$L$11,MAX(0,AE382-(A384-A383))),0)</f>
        <v>#VALUE!</v>
      </c>
      <c r="AG383">
        <f ca="1" t="shared" si="98"/>
        <v>11</v>
      </c>
      <c r="AU383" t="s">
        <v>3009</v>
      </c>
      <c r="AV383">
        <v>2</v>
      </c>
      <c r="AW383" s="176" t="s">
        <v>2768</v>
      </c>
      <c r="AX383">
        <v>2</v>
      </c>
      <c r="AY383" t="s">
        <v>2776</v>
      </c>
      <c r="AZ383">
        <v>2</v>
      </c>
      <c r="BA383" t="s">
        <v>2768</v>
      </c>
      <c r="BB383">
        <v>2</v>
      </c>
      <c r="BC383" t="s">
        <v>3010</v>
      </c>
      <c r="BD383">
        <v>2</v>
      </c>
      <c r="BE383" t="s">
        <v>2768</v>
      </c>
      <c r="BF383">
        <v>2</v>
      </c>
      <c r="BG383" s="176" t="s">
        <v>2768</v>
      </c>
      <c r="BH383">
        <v>1</v>
      </c>
      <c r="BI383" t="s">
        <v>3011</v>
      </c>
      <c r="BJ383">
        <v>2</v>
      </c>
      <c r="BK383" t="s">
        <v>2776</v>
      </c>
      <c r="BL383">
        <v>2</v>
      </c>
      <c r="BM383" t="s">
        <v>2768</v>
      </c>
      <c r="BN383">
        <v>2</v>
      </c>
      <c r="BO383" s="176" t="s">
        <v>2768</v>
      </c>
      <c r="BP383">
        <v>2</v>
      </c>
      <c r="BQ383" t="s">
        <v>2776</v>
      </c>
      <c r="BR383">
        <v>2</v>
      </c>
      <c r="BS383" t="s">
        <v>2768</v>
      </c>
      <c r="BT383">
        <v>2</v>
      </c>
      <c r="BU383" t="s">
        <v>2768</v>
      </c>
      <c r="BV383">
        <v>2</v>
      </c>
      <c r="BW383" s="179" t="s">
        <v>2768</v>
      </c>
      <c r="BX383" s="179">
        <v>2</v>
      </c>
      <c r="BY383" t="s">
        <v>2768</v>
      </c>
      <c r="BZ383">
        <v>2</v>
      </c>
      <c r="CA383" t="s">
        <v>2768</v>
      </c>
      <c r="CB383">
        <v>2</v>
      </c>
    </row>
    <row r="384" spans="1:80">
      <c r="A384" s="178" t="str">
        <f ca="1">IFERROR(IF(AG383&lt;5+金蛇*2,IF(COUNTIF(B383,"*轻*")&gt;0,A383+加速!$L$9,A383+加速!$L$11)+V383,""),"")</f>
        <v/>
      </c>
      <c r="B384" s="167" t="str">
        <f ca="1" t="shared" si="93"/>
        <v/>
      </c>
      <c r="C384" t="str">
        <f ca="1" t="shared" si="103"/>
        <v/>
      </c>
      <c r="D384" t="str">
        <f ca="1">IF(B384&lt;&gt;"",IF(C383&lt;=加速!$L$11*(1-E384),0,1),"")</f>
        <v/>
      </c>
      <c r="E384">
        <f ca="1" t="shared" si="99"/>
        <v>1</v>
      </c>
      <c r="G384" t="str">
        <f ca="1" t="shared" si="100"/>
        <v/>
      </c>
      <c r="H384" t="str">
        <f ca="1">IF(B384&lt;&gt;"",IF(AND(COUNTIF(B383,"*轻*莺鸣柳*")&gt;0,COUNTIF(B384,"*轻*")&lt;1),MAX(0,15+I383-(A384-A383)+COUNTIF(B383,"*平湖*")*0),IF(AND(E384=0,MAX(0,H383-(A384-A383))&lt;=加速!$H$11),0,MAX(0,H383-(A384-A383)))),"")</f>
        <v/>
      </c>
      <c r="I384" t="str">
        <f ca="1" t="shared" si="107"/>
        <v/>
      </c>
      <c r="J384" t="str">
        <f ca="1" t="shared" si="108"/>
        <v/>
      </c>
      <c r="K384" t="str">
        <f ca="1" t="shared" si="94"/>
        <v/>
      </c>
      <c r="L384">
        <f ca="1">IFERROR(IF(AND(COUNTIF(B384,"*-峰插*"),技能数据库!$M$72&gt;0),0,IF(COUNTIF(B384,"*鹤归*")&gt;0,16-加速!$L$11,MAX(0,L383-(A384-A383)))),0)</f>
        <v>0</v>
      </c>
      <c r="M384">
        <f ca="1" t="shared" si="95"/>
        <v>0</v>
      </c>
      <c r="N384">
        <f ca="1">IFERROR(IF(AND(COUNTIF(B384,"*-峰插*"),技能数据库!$M$72&gt;0),0,IF(COUNTIF(B384,"*云飞*")&gt;0,4-COUNTIF(B384,"*玉山揽云*")*4--COUNTIF(B384,"*烟流暮景*")*4-COUNTIF(B384,"*云景*")*加速!$L$11-IF(J384&gt;0,2,0),MAX(0,N383-(A384-A383)-IF(J384&gt;0,2,0)))),0)</f>
        <v>0</v>
      </c>
      <c r="O384">
        <f ca="1">IF(AND(COUNTIF(IF(AND(配装计算器!$K$30&lt;&gt;"∞",0),INDEX(AU383:CB383,1,$AT$1),INDEX(AU385:CB385,1,$AT$1)),"*云飞*")=1,COUNTIF(IF(AND(配装计算器!$K$30&lt;&gt;"∞",0),INDEX(AU383:CB383,1,$AT$1),INDEX(AU385:CB385,1,$AT$1)),"*玉山*")=0),N384,0)</f>
        <v>0</v>
      </c>
      <c r="P384">
        <f ca="1">IFERROR(IF(COUNTIF(B384,"*云栖松*")&gt;0,50-加速!$L$11,MAX(0,P383-(A384-A383))),0)</f>
        <v>0</v>
      </c>
      <c r="Q384">
        <f ca="1">IF(COUNTIF(IF(AND(配装计算器!$K$30&lt;&gt;"∞",0),INDEX(AU383:CB383,1,$AT$1),INDEX(AU385:CB385,1,$AT$1)),"*云栖松*")=1,P384,0)</f>
        <v>0</v>
      </c>
      <c r="R384">
        <f ca="1">IFERROR(IF(COUNTIF(B384,"*莺鸣柳*")&gt;0,45-加速!$L$9,MAX(0,R383-(A384-A383))),0)</f>
        <v>0</v>
      </c>
      <c r="S384">
        <f ca="1">IF(COUNTIF(IF(AND(配装计算器!$K$30&lt;&gt;"∞",0),INDEX(AU383:CB383,1,$AT$1),INDEX(AU385:CB385,1,$AT$1)),"*莺鸣柳*")=1,R384,0)</f>
        <v>0</v>
      </c>
      <c r="T384">
        <f ca="1" t="shared" si="104"/>
        <v>0</v>
      </c>
      <c r="U384">
        <f ca="1">IF(金蛇,IF(COUNTIF(B384,"*金环戴*")+COUNTIF(B384,"*吹风醒*")&gt;0,IF(A384&lt;=3,7.125-2.625-A384-加速!$L$11,7.125+加速!$K$9-(A384+加速!$L$11-T384)),0),0)+IF(金蛇,IF(COUNTIF(B384,"*千切子裂光*")&gt;0,2+加速!$K$9-(A384+加速!$L$11-T384),0),0)</f>
        <v>0</v>
      </c>
      <c r="V384">
        <f ca="1" t="shared" si="105"/>
        <v>0</v>
      </c>
      <c r="W384">
        <f ca="1" t="shared" si="96"/>
        <v>0</v>
      </c>
      <c r="X384">
        <f ca="1">INDEX(加速!$I$13:$I$21,W384+1)</f>
        <v>0</v>
      </c>
      <c r="Y384">
        <f ca="1" t="shared" si="106"/>
        <v>0.5</v>
      </c>
      <c r="Z384">
        <f ca="1" t="shared" si="101"/>
        <v>0</v>
      </c>
      <c r="AA384">
        <f ca="1">MAX(0,IFERROR(IF(COUNTIF(B384,"*叠*")&gt;0,IF(AC383&lt;3,8-A385+A384,AA383+6.875-A385+A384),AA383-A385+A384),AA383-加速!$L$11))</f>
        <v>0</v>
      </c>
      <c r="AB384" t="e">
        <f ca="1">MAX(0,IF(COUNTIF(IF(AND(配装计算器!$K$30&lt;&gt;"∞",0),INDEX(AU384:CB384,1,$AT$1),INDEX(AU384:CB384,1,$AT$1)),"*叠1*")=1,4*25-加速!$L$11,AB383-A384+A383)-IF(OR(COUNTIF(OFFSET(AT384,0,$AT$1,1,1),"*听雷*")&gt;0,AND(碧归&gt;0,COUNTIF(OFFSET(AT384,0,$AT$1,1,1),"*风来*")&gt;0)),0,1)*1.5)</f>
        <v>#VALUE!</v>
      </c>
      <c r="AC384">
        <f ca="1" t="shared" si="97"/>
        <v>0</v>
      </c>
      <c r="AD384">
        <f ca="1">IF(COUNTIF(IF(AND(配装计算器!$K$30&lt;&gt;"∞",0),INDEX(AU384:CB384,1,$AT$1),INDEX(AU385:CB385,1,$AT$1)),"*叠1*")=1,AB384*0+AE383,0)</f>
        <v>0</v>
      </c>
      <c r="AE384" t="e">
        <f ca="1">IF($AN$11&gt;0,IF(COUNTIF(B385,"*叠1*")&gt;0,50-加速!$L$11,MAX(0,AE383-(A385-A384))),0)</f>
        <v>#VALUE!</v>
      </c>
      <c r="AG384">
        <f ca="1" t="shared" si="98"/>
        <v>11</v>
      </c>
      <c r="AU384" t="s">
        <v>2768</v>
      </c>
      <c r="AV384">
        <v>2</v>
      </c>
      <c r="AW384" s="176" t="s">
        <v>2776</v>
      </c>
      <c r="AX384">
        <v>2</v>
      </c>
      <c r="AY384" t="s">
        <v>2794</v>
      </c>
      <c r="AZ384">
        <v>2</v>
      </c>
      <c r="BA384" t="s">
        <v>2776</v>
      </c>
      <c r="BB384">
        <v>2</v>
      </c>
      <c r="BC384" t="s">
        <v>3013</v>
      </c>
      <c r="BD384">
        <v>2</v>
      </c>
      <c r="BE384" t="s">
        <v>2776</v>
      </c>
      <c r="BF384">
        <v>2</v>
      </c>
      <c r="BG384" t="s">
        <v>3055</v>
      </c>
      <c r="BH384">
        <v>0</v>
      </c>
      <c r="BI384" t="s">
        <v>2768</v>
      </c>
      <c r="BJ384">
        <v>2</v>
      </c>
      <c r="BK384" t="s">
        <v>3036</v>
      </c>
      <c r="BL384">
        <v>2</v>
      </c>
      <c r="BM384" t="s">
        <v>2776</v>
      </c>
      <c r="BN384">
        <v>2</v>
      </c>
      <c r="BO384" t="s">
        <v>3056</v>
      </c>
      <c r="BP384">
        <v>1</v>
      </c>
      <c r="BQ384" t="s">
        <v>2768</v>
      </c>
      <c r="BR384">
        <v>2</v>
      </c>
      <c r="BS384" t="s">
        <v>2768</v>
      </c>
      <c r="BT384">
        <v>1</v>
      </c>
      <c r="BU384" s="176" t="s">
        <v>2768</v>
      </c>
      <c r="BV384">
        <v>2</v>
      </c>
      <c r="BW384" s="179" t="s">
        <v>2768</v>
      </c>
      <c r="BX384" s="179">
        <v>2</v>
      </c>
      <c r="BY384" t="s">
        <v>2768</v>
      </c>
      <c r="BZ384">
        <v>2</v>
      </c>
      <c r="CA384" t="s">
        <v>2768</v>
      </c>
      <c r="CB384">
        <v>2</v>
      </c>
    </row>
    <row r="385" spans="1:80">
      <c r="A385" s="178" t="str">
        <f ca="1">IFERROR(IF(AG384&lt;5+金蛇*2,IF(COUNTIF(B384,"*轻*")&gt;0,A384+加速!$L$9,A384+加速!$L$11)+V384,""),"")</f>
        <v/>
      </c>
      <c r="B385" s="167" t="str">
        <f ca="1" t="shared" si="93"/>
        <v/>
      </c>
      <c r="C385" t="str">
        <f ca="1" t="shared" si="103"/>
        <v/>
      </c>
      <c r="D385" t="str">
        <f ca="1">IF(B385&lt;&gt;"",IF(C384&lt;=加速!$L$11*(1-E385),0,1),"")</f>
        <v/>
      </c>
      <c r="E385">
        <f ca="1" t="shared" si="99"/>
        <v>1</v>
      </c>
      <c r="G385" t="str">
        <f ca="1" t="shared" si="100"/>
        <v/>
      </c>
      <c r="H385" t="str">
        <f ca="1">IF(B385&lt;&gt;"",IF(AND(COUNTIF(B384,"*轻*莺鸣柳*")&gt;0,COUNTIF(B385,"*轻*")&lt;1),MAX(0,15+I384-(A385-A384)+COUNTIF(B384,"*平湖*")*0),IF(AND(E385=0,MAX(0,H384-(A385-A384))&lt;=加速!$H$11),0,MAX(0,H384-(A385-A384)))),"")</f>
        <v/>
      </c>
      <c r="I385" t="str">
        <f ca="1" t="shared" si="107"/>
        <v/>
      </c>
      <c r="J385" t="str">
        <f ca="1" t="shared" si="108"/>
        <v/>
      </c>
      <c r="K385" t="str">
        <f ca="1" t="shared" si="94"/>
        <v/>
      </c>
      <c r="L385">
        <f ca="1">IFERROR(IF(AND(COUNTIF(B385,"*-峰插*"),技能数据库!$M$72&gt;0),0,IF(COUNTIF(B385,"*鹤归*")&gt;0,16-加速!$L$11,MAX(0,L384-(A385-A384)))),0)</f>
        <v>0</v>
      </c>
      <c r="M385">
        <f ca="1" t="shared" si="95"/>
        <v>0</v>
      </c>
      <c r="N385">
        <f ca="1">IFERROR(IF(AND(COUNTIF(B385,"*-峰插*"),技能数据库!$M$72&gt;0),0,IF(COUNTIF(B385,"*云飞*")&gt;0,4-COUNTIF(B385,"*玉山揽云*")*4--COUNTIF(B385,"*烟流暮景*")*4-COUNTIF(B385,"*云景*")*加速!$L$11-IF(J385&gt;0,2,0),MAX(0,N384-(A385-A384)-IF(J385&gt;0,2,0)))),0)</f>
        <v>0</v>
      </c>
      <c r="O385">
        <f ca="1">IF(AND(COUNTIF(IF(AND(配装计算器!$K$30&lt;&gt;"∞",0),INDEX(AU384:CB384,1,$AT$1),INDEX(AU386:CB386,1,$AT$1)),"*云飞*")=1,COUNTIF(IF(AND(配装计算器!$K$30&lt;&gt;"∞",0),INDEX(AU384:CB384,1,$AT$1),INDEX(AU386:CB386,1,$AT$1)),"*玉山*")=0),N385,0)</f>
        <v>0</v>
      </c>
      <c r="P385">
        <f ca="1">IFERROR(IF(COUNTIF(B385,"*云栖松*")&gt;0,50-加速!$L$11,MAX(0,P384-(A385-A384))),0)</f>
        <v>0</v>
      </c>
      <c r="Q385">
        <f ca="1">IF(COUNTIF(IF(AND(配装计算器!$K$30&lt;&gt;"∞",0),INDEX(AU384:CB384,1,$AT$1),INDEX(AU386:CB386,1,$AT$1)),"*云栖松*")=1,P385,0)</f>
        <v>0</v>
      </c>
      <c r="R385">
        <f ca="1">IFERROR(IF(COUNTIF(B385,"*莺鸣柳*")&gt;0,45-加速!$L$9,MAX(0,R384-(A385-A384))),0)</f>
        <v>0</v>
      </c>
      <c r="S385">
        <f ca="1">IF(COUNTIF(IF(AND(配装计算器!$K$30&lt;&gt;"∞",0),INDEX(AU384:CB384,1,$AT$1),INDEX(AU386:CB386,1,$AT$1)),"*莺鸣柳*")=1,R385,0)</f>
        <v>0</v>
      </c>
      <c r="T385">
        <f ca="1" t="shared" si="104"/>
        <v>0</v>
      </c>
      <c r="U385">
        <f ca="1">IF(金蛇,IF(COUNTIF(B385,"*金环戴*")+COUNTIF(B385,"*吹风醒*")&gt;0,IF(A385&lt;=3,7.125-2.625-A385-加速!$L$11,7.125+加速!$K$9-(A385+加速!$L$11-T385)),0),0)+IF(金蛇,IF(COUNTIF(B385,"*千切子裂光*")&gt;0,2+加速!$K$9-(A385+加速!$L$11-T385),0),0)</f>
        <v>0</v>
      </c>
      <c r="V385">
        <f ca="1" t="shared" si="105"/>
        <v>0</v>
      </c>
      <c r="W385">
        <f ca="1" t="shared" si="96"/>
        <v>0</v>
      </c>
      <c r="X385">
        <f ca="1">INDEX(加速!$I$13:$I$21,W385+1)</f>
        <v>0</v>
      </c>
      <c r="Y385">
        <f ca="1" t="shared" si="106"/>
        <v>0.5</v>
      </c>
      <c r="Z385">
        <f ca="1" t="shared" si="101"/>
        <v>0</v>
      </c>
      <c r="AA385">
        <f ca="1">MAX(0,IFERROR(IF(COUNTIF(B385,"*叠*")&gt;0,IF(AC384&lt;3,8-A386+A385,AA384+6.875-A386+A385),AA384-A386+A385),AA384-加速!$L$11))</f>
        <v>0</v>
      </c>
      <c r="AB385" t="e">
        <f ca="1">MAX(0,IF(COUNTIF(IF(AND(配装计算器!$K$30&lt;&gt;"∞",0),INDEX(AU385:CB385,1,$AT$1),INDEX(AU385:CB385,1,$AT$1)),"*叠1*")=1,4*25-加速!$L$11,AB384-A385+A384)-IF(OR(COUNTIF(OFFSET(AT385,0,$AT$1,1,1),"*听雷*")&gt;0,AND(碧归&gt;0,COUNTIF(OFFSET(AT385,0,$AT$1,1,1),"*风来*")&gt;0)),0,1)*1.5)</f>
        <v>#VALUE!</v>
      </c>
      <c r="AC385">
        <f ca="1" t="shared" si="97"/>
        <v>0</v>
      </c>
      <c r="AD385">
        <f ca="1">IF(COUNTIF(IF(AND(配装计算器!$K$30&lt;&gt;"∞",0),INDEX(AU385:CB385,1,$AT$1),INDEX(AU386:CB386,1,$AT$1)),"*叠1*")=1,AB385*0+AE384,0)</f>
        <v>0</v>
      </c>
      <c r="AE385" t="e">
        <f ca="1">IF($AN$11&gt;0,IF(COUNTIF(B386,"*叠1*")&gt;0,50-加速!$L$11,MAX(0,AE384-(A386-A385))),0)</f>
        <v>#VALUE!</v>
      </c>
      <c r="AG385">
        <f ca="1" t="shared" si="98"/>
        <v>11</v>
      </c>
      <c r="AU385" t="s">
        <v>2776</v>
      </c>
      <c r="AV385">
        <v>2</v>
      </c>
      <c r="AW385" s="176" t="s">
        <v>2768</v>
      </c>
      <c r="AX385">
        <v>2</v>
      </c>
      <c r="AY385" t="s">
        <v>2768</v>
      </c>
      <c r="AZ385">
        <v>2</v>
      </c>
      <c r="BA385" t="s">
        <v>2768</v>
      </c>
      <c r="BB385">
        <v>2</v>
      </c>
      <c r="BC385" t="s">
        <v>3018</v>
      </c>
      <c r="BD385">
        <v>2</v>
      </c>
      <c r="BE385" t="s">
        <v>2768</v>
      </c>
      <c r="BF385">
        <v>2</v>
      </c>
      <c r="BG385" t="s">
        <v>2776</v>
      </c>
      <c r="BH385">
        <v>2</v>
      </c>
      <c r="BI385" t="s">
        <v>3018</v>
      </c>
      <c r="BJ385">
        <v>2</v>
      </c>
      <c r="BK385" t="s">
        <v>3026</v>
      </c>
      <c r="BL385">
        <v>2</v>
      </c>
      <c r="BM385" t="s">
        <v>2768</v>
      </c>
      <c r="BN385">
        <v>2</v>
      </c>
      <c r="BO385" t="s">
        <v>2768</v>
      </c>
      <c r="BP385">
        <v>2</v>
      </c>
      <c r="BQ385" t="s">
        <v>3013</v>
      </c>
      <c r="BR385">
        <v>2</v>
      </c>
      <c r="BS385" t="s">
        <v>2776</v>
      </c>
      <c r="BT385">
        <v>1</v>
      </c>
      <c r="BU385" s="176" t="s">
        <v>2776</v>
      </c>
      <c r="BV385">
        <v>2</v>
      </c>
      <c r="BW385" s="179" t="s">
        <v>2776</v>
      </c>
      <c r="BX385" s="179">
        <v>2</v>
      </c>
      <c r="BY385" t="s">
        <v>2776</v>
      </c>
      <c r="BZ385">
        <v>2</v>
      </c>
      <c r="CA385" t="s">
        <v>2776</v>
      </c>
      <c r="CB385">
        <v>2</v>
      </c>
    </row>
    <row r="386" spans="1:80">
      <c r="A386" s="178" t="str">
        <f ca="1">IFERROR(IF(AG385&lt;5+金蛇*2,IF(COUNTIF(B385,"*轻*")&gt;0,A385+加速!$L$9,A385+加速!$L$11)+V385,""),"")</f>
        <v/>
      </c>
      <c r="B386" s="167" t="str">
        <f ca="1" t="shared" ref="B386:B449" si="110">IF(A386&lt;&gt;"",INDEX(AU386:CB386,1,$AT$1),"")</f>
        <v/>
      </c>
      <c r="C386" t="str">
        <f ca="1" t="shared" si="103"/>
        <v/>
      </c>
      <c r="D386" t="str">
        <f ca="1">IF(B386&lt;&gt;"",IF(C385&lt;=加速!$L$11*(1-E386),0,1),"")</f>
        <v/>
      </c>
      <c r="E386">
        <f ca="1" t="shared" si="99"/>
        <v>1</v>
      </c>
      <c r="G386" t="str">
        <f ca="1" t="shared" si="100"/>
        <v/>
      </c>
      <c r="H386" t="str">
        <f ca="1">IF(B386&lt;&gt;"",IF(AND(COUNTIF(B385,"*轻*莺鸣柳*")&gt;0,COUNTIF(B386,"*轻*")&lt;1),MAX(0,15+I385-(A386-A385)+COUNTIF(B385,"*平湖*")*0),IF(AND(E386=0,MAX(0,H385-(A386-A385))&lt;=加速!$H$11),0,MAX(0,H385-(A386-A385)))),"")</f>
        <v/>
      </c>
      <c r="I386" t="str">
        <f ca="1" t="shared" si="107"/>
        <v/>
      </c>
      <c r="J386" t="str">
        <f ca="1" t="shared" si="108"/>
        <v/>
      </c>
      <c r="K386" t="str">
        <f ca="1" t="shared" ref="K386:K449" si="111">IF(A386&lt;&gt;"",INDEX(AU386:CB386,1,$AT$2),"")</f>
        <v/>
      </c>
      <c r="L386">
        <f ca="1">IFERROR(IF(AND(COUNTIF(B386,"*-峰插*"),技能数据库!$M$72&gt;0),0,IF(COUNTIF(B386,"*鹤归*")&gt;0,16-加速!$L$11,MAX(0,L385-(A386-A385)))),0)</f>
        <v>0</v>
      </c>
      <c r="M386">
        <f ca="1" t="shared" si="95"/>
        <v>0</v>
      </c>
      <c r="N386">
        <f ca="1">IFERROR(IF(AND(COUNTIF(B386,"*-峰插*"),技能数据库!$M$72&gt;0),0,IF(COUNTIF(B386,"*云飞*")&gt;0,4-COUNTIF(B386,"*玉山揽云*")*4--COUNTIF(B386,"*烟流暮景*")*4-COUNTIF(B386,"*云景*")*加速!$L$11-IF(J386&gt;0,2,0),MAX(0,N385-(A386-A385)-IF(J386&gt;0,2,0)))),0)</f>
        <v>0</v>
      </c>
      <c r="O386">
        <f ca="1">IF(AND(COUNTIF(IF(AND(配装计算器!$K$30&lt;&gt;"∞",0),INDEX(AU385:CB385,1,$AT$1),INDEX(AU387:CB387,1,$AT$1)),"*云飞*")=1,COUNTIF(IF(AND(配装计算器!$K$30&lt;&gt;"∞",0),INDEX(AU385:CB385,1,$AT$1),INDEX(AU387:CB387,1,$AT$1)),"*玉山*")=0),N386,0)</f>
        <v>0</v>
      </c>
      <c r="P386">
        <f ca="1">IFERROR(IF(COUNTIF(B386,"*云栖松*")&gt;0,50-加速!$L$11,MAX(0,P385-(A386-A385))),0)</f>
        <v>0</v>
      </c>
      <c r="Q386">
        <f ca="1">IF(COUNTIF(IF(AND(配装计算器!$K$30&lt;&gt;"∞",0),INDEX(AU385:CB385,1,$AT$1),INDEX(AU387:CB387,1,$AT$1)),"*云栖松*")=1,P386,0)</f>
        <v>0</v>
      </c>
      <c r="R386">
        <f ca="1">IFERROR(IF(COUNTIF(B386,"*莺鸣柳*")&gt;0,45-加速!$L$9,MAX(0,R385-(A386-A385))),0)</f>
        <v>0</v>
      </c>
      <c r="S386">
        <f ca="1">IF(COUNTIF(IF(AND(配装计算器!$K$30&lt;&gt;"∞",0),INDEX(AU385:CB385,1,$AT$1),INDEX(AU387:CB387,1,$AT$1)),"*莺鸣柳*")=1,R386,0)</f>
        <v>0</v>
      </c>
      <c r="T386">
        <f ca="1" t="shared" si="104"/>
        <v>0</v>
      </c>
      <c r="U386">
        <f ca="1">IF(金蛇,IF(COUNTIF(B386,"*金环戴*")+COUNTIF(B386,"*吹风醒*")&gt;0,IF(A386&lt;=3,7.125-2.625-A386-加速!$L$11,7.125+加速!$K$9-(A386+加速!$L$11-T386)),0),0)+IF(金蛇,IF(COUNTIF(B386,"*千切子裂光*")&gt;0,2+加速!$K$9-(A386+加速!$L$11-T386),0),0)</f>
        <v>0</v>
      </c>
      <c r="V386">
        <f ca="1" t="shared" si="105"/>
        <v>0</v>
      </c>
      <c r="W386">
        <f ca="1" t="shared" si="96"/>
        <v>0</v>
      </c>
      <c r="X386">
        <f ca="1">INDEX(加速!$I$13:$I$21,W386+1)</f>
        <v>0</v>
      </c>
      <c r="Y386">
        <f ca="1" t="shared" si="106"/>
        <v>0.5</v>
      </c>
      <c r="Z386">
        <f ca="1" t="shared" si="101"/>
        <v>0</v>
      </c>
      <c r="AA386">
        <f ca="1">MAX(0,IFERROR(IF(COUNTIF(B386,"*叠*")&gt;0,IF(AC385&lt;3,8-A387+A386,AA385+6.875-A387+A386),AA385-A387+A386),AA385-加速!$L$11))</f>
        <v>0</v>
      </c>
      <c r="AB386" t="e">
        <f ca="1">MAX(0,IF(COUNTIF(IF(AND(配装计算器!$K$30&lt;&gt;"∞",0),INDEX(AU386:CB386,1,$AT$1),INDEX(AU386:CB386,1,$AT$1)),"*叠1*")=1,4*25-加速!$L$11,AB385-A386+A385)-IF(OR(COUNTIF(OFFSET(AT386,0,$AT$1,1,1),"*听雷*")&gt;0,AND(碧归&gt;0,COUNTIF(OFFSET(AT386,0,$AT$1,1,1),"*风来*")&gt;0)),0,1)*1.5)</f>
        <v>#VALUE!</v>
      </c>
      <c r="AC386">
        <f ca="1" t="shared" si="97"/>
        <v>0</v>
      </c>
      <c r="AD386">
        <f ca="1">IF(COUNTIF(IF(AND(配装计算器!$K$30&lt;&gt;"∞",0),INDEX(AU386:CB386,1,$AT$1),INDEX(AU387:CB387,1,$AT$1)),"*叠1*")=1,AB386*0+AE385,0)</f>
        <v>0</v>
      </c>
      <c r="AE386" t="e">
        <f ca="1">IF($AN$11&gt;0,IF(COUNTIF(B387,"*叠1*")&gt;0,50-加速!$L$11,MAX(0,AE385-(A387-A386))),0)</f>
        <v>#VALUE!</v>
      </c>
      <c r="AG386">
        <f ca="1" t="shared" si="98"/>
        <v>11</v>
      </c>
      <c r="AU386" t="s">
        <v>2768</v>
      </c>
      <c r="AV386">
        <v>2</v>
      </c>
      <c r="AW386" s="176" t="s">
        <v>2808</v>
      </c>
      <c r="AX386">
        <v>2</v>
      </c>
      <c r="AY386" t="s">
        <v>2776</v>
      </c>
      <c r="AZ386">
        <v>2</v>
      </c>
      <c r="BA386" t="s">
        <v>2776</v>
      </c>
      <c r="BB386">
        <v>2</v>
      </c>
      <c r="BC386" t="s">
        <v>2768</v>
      </c>
      <c r="BD386">
        <v>2</v>
      </c>
      <c r="BE386" t="s">
        <v>2776</v>
      </c>
      <c r="BF386">
        <v>2</v>
      </c>
      <c r="BG386" t="s">
        <v>2768</v>
      </c>
      <c r="BH386">
        <v>2</v>
      </c>
      <c r="BI386" t="s">
        <v>2789</v>
      </c>
      <c r="BJ386">
        <v>2</v>
      </c>
      <c r="BK386" t="s">
        <v>3026</v>
      </c>
      <c r="BL386">
        <v>2</v>
      </c>
      <c r="BM386" t="str">
        <f>IF(0,"云飞玉皇-玉山揽云","夕照雷峰")</f>
        <v>夕照雷峰</v>
      </c>
      <c r="BN386">
        <v>2</v>
      </c>
      <c r="BO386" t="s">
        <v>2768</v>
      </c>
      <c r="BP386">
        <v>2</v>
      </c>
      <c r="BQ386" t="s">
        <v>2808</v>
      </c>
      <c r="BR386">
        <v>2</v>
      </c>
      <c r="BS386" t="s">
        <v>2768</v>
      </c>
      <c r="BT386">
        <v>0</v>
      </c>
      <c r="BU386" t="s">
        <v>2768</v>
      </c>
      <c r="BV386">
        <v>1</v>
      </c>
      <c r="BW386" s="182" t="s">
        <v>2794</v>
      </c>
      <c r="BX386" s="179">
        <v>2</v>
      </c>
      <c r="BY386" s="176" t="s">
        <v>2794</v>
      </c>
      <c r="BZ386">
        <v>2</v>
      </c>
      <c r="CA386" s="176" t="s">
        <v>2794</v>
      </c>
      <c r="CB386">
        <v>2</v>
      </c>
    </row>
    <row r="387" spans="1:80">
      <c r="A387" s="178" t="str">
        <f ca="1">IFERROR(IF(AG386&lt;5+金蛇*2,IF(COUNTIF(B386,"*轻*")&gt;0,A386+加速!$L$9,A386+加速!$L$11)+V386,""),"")</f>
        <v/>
      </c>
      <c r="B387" s="167" t="str">
        <f ca="1" t="shared" si="110"/>
        <v/>
      </c>
      <c r="C387" t="str">
        <f ca="1" t="shared" si="103"/>
        <v/>
      </c>
      <c r="D387" t="str">
        <f ca="1">IF(B387&lt;&gt;"",IF(C386&lt;=加速!$L$11*(1-E387),0,1),"")</f>
        <v/>
      </c>
      <c r="E387">
        <f ca="1" t="shared" si="99"/>
        <v>1</v>
      </c>
      <c r="G387" t="str">
        <f ca="1" t="shared" si="100"/>
        <v/>
      </c>
      <c r="H387" t="str">
        <f ca="1">IF(B387&lt;&gt;"",IF(AND(COUNTIF(B386,"*轻*莺鸣柳*")&gt;0,COUNTIF(B387,"*轻*")&lt;1),MAX(0,15+I386-(A387-A386)+COUNTIF(B386,"*平湖*")*0),IF(AND(E387=0,MAX(0,H386-(A387-A386))&lt;=加速!$H$11),0,MAX(0,H386-(A387-A386)))),"")</f>
        <v/>
      </c>
      <c r="I387" t="str">
        <f ca="1" t="shared" si="107"/>
        <v/>
      </c>
      <c r="J387" t="str">
        <f ca="1" t="shared" si="108"/>
        <v/>
      </c>
      <c r="K387" t="str">
        <f ca="1" t="shared" si="111"/>
        <v/>
      </c>
      <c r="L387">
        <f ca="1">IFERROR(IF(AND(COUNTIF(B387,"*-峰插*"),技能数据库!$M$72&gt;0),0,IF(COUNTIF(B387,"*鹤归*")&gt;0,16-加速!$L$11,MAX(0,L386-(A387-A386)))),0)</f>
        <v>0</v>
      </c>
      <c r="M387">
        <f ca="1" t="shared" ref="M387:M450" si="112">IF(COUNTIF(INDEX(AU388:CB388,1,$AT$1),"*鹤归*")=1,L387,0)</f>
        <v>0</v>
      </c>
      <c r="N387">
        <f ca="1">IFERROR(IF(AND(COUNTIF(B387,"*-峰插*"),技能数据库!$M$72&gt;0),0,IF(COUNTIF(B387,"*云飞*")&gt;0,4-COUNTIF(B387,"*玉山揽云*")*4--COUNTIF(B387,"*烟流暮景*")*4-COUNTIF(B387,"*云景*")*加速!$L$11-IF(J387&gt;0,2,0),MAX(0,N386-(A387-A386)-IF(J387&gt;0,2,0)))),0)</f>
        <v>0</v>
      </c>
      <c r="O387">
        <f ca="1">IF(AND(COUNTIF(IF(AND(配装计算器!$K$30&lt;&gt;"∞",0),INDEX(AU386:CB386,1,$AT$1),INDEX(AU388:CB388,1,$AT$1)),"*云飞*")=1,COUNTIF(IF(AND(配装计算器!$K$30&lt;&gt;"∞",0),INDEX(AU386:CB386,1,$AT$1),INDEX(AU388:CB388,1,$AT$1)),"*玉山*")=0),N387,0)</f>
        <v>0</v>
      </c>
      <c r="P387">
        <f ca="1">IFERROR(IF(COUNTIF(B387,"*云栖松*")&gt;0,50-加速!$L$11,MAX(0,P386-(A387-A386))),0)</f>
        <v>0</v>
      </c>
      <c r="Q387">
        <f ca="1">IF(COUNTIF(IF(AND(配装计算器!$K$30&lt;&gt;"∞",0),INDEX(AU386:CB386,1,$AT$1),INDEX(AU388:CB388,1,$AT$1)),"*云栖松*")=1,P387,0)</f>
        <v>0</v>
      </c>
      <c r="R387">
        <f ca="1">IFERROR(IF(COUNTIF(B387,"*莺鸣柳*")&gt;0,45-加速!$L$9,MAX(0,R386-(A387-A386))),0)</f>
        <v>0</v>
      </c>
      <c r="S387">
        <f ca="1">IF(COUNTIF(IF(AND(配装计算器!$K$30&lt;&gt;"∞",0),INDEX(AU386:CB386,1,$AT$1),INDEX(AU388:CB388,1,$AT$1)),"*莺鸣柳*")=1,R387,0)</f>
        <v>0</v>
      </c>
      <c r="T387">
        <f ca="1" t="shared" si="104"/>
        <v>0</v>
      </c>
      <c r="U387">
        <f ca="1">IF(金蛇,IF(COUNTIF(B387,"*金环戴*")+COUNTIF(B387,"*吹风醒*")&gt;0,IF(A387&lt;=3,7.125-2.625-A387-加速!$L$11,7.125+加速!$K$9-(A387+加速!$L$11-T387)),0),0)+IF(金蛇,IF(COUNTIF(B387,"*千切子裂光*")&gt;0,2+加速!$K$9-(A387+加速!$L$11-T387),0),0)</f>
        <v>0</v>
      </c>
      <c r="V387">
        <f ca="1" t="shared" si="105"/>
        <v>0</v>
      </c>
      <c r="W387">
        <f ca="1" t="shared" ref="W387:W450" si="113">IF(COUNTIF(B387,"*风来吴山*")&gt;0,1,IF(W386+1&gt;风车GCD,0,IF(W386&gt;0,W386+1,0)))</f>
        <v>0</v>
      </c>
      <c r="X387">
        <f ca="1">INDEX(加速!$I$13:$I$21,W387+1)</f>
        <v>0</v>
      </c>
      <c r="Y387">
        <f ca="1" t="shared" si="106"/>
        <v>0.5</v>
      </c>
      <c r="Z387">
        <f ca="1" t="shared" si="101"/>
        <v>0</v>
      </c>
      <c r="AA387">
        <f ca="1">MAX(0,IFERROR(IF(COUNTIF(B387,"*叠*")&gt;0,IF(AC386&lt;3,8-A388+A387,AA386+6.875-A388+A387),AA386-A388+A387),AA386-加速!$L$11))</f>
        <v>0</v>
      </c>
      <c r="AB387" t="e">
        <f ca="1">MAX(0,IF(COUNTIF(IF(AND(配装计算器!$K$30&lt;&gt;"∞",0),INDEX(AU387:CB387,1,$AT$1),INDEX(AU387:CB387,1,$AT$1)),"*叠1*")=1,4*25-加速!$L$11,AB386-A387+A386)-IF(OR(COUNTIF(OFFSET(AT387,0,$AT$1,1,1),"*听雷*")&gt;0,AND(碧归&gt;0,COUNTIF(OFFSET(AT387,0,$AT$1,1,1),"*风来*")&gt;0)),0,1)*1.5)</f>
        <v>#VALUE!</v>
      </c>
      <c r="AC387">
        <f ca="1" t="shared" ref="AC387:AC450" si="114">IF(AND(AA387=0,E387=0),0,IF(AND(COUNTIF(B387,"*叠*")&gt;0,OR(AA386=0,AA386&gt;=5)),AC386+1,AC386))</f>
        <v>0</v>
      </c>
      <c r="AD387">
        <f ca="1">IF(COUNTIF(IF(AND(配装计算器!$K$30&lt;&gt;"∞",0),INDEX(AU387:CB387,1,$AT$1),INDEX(AU388:CB388,1,$AT$1)),"*叠1*")=1,AB387*0+AE386,0)</f>
        <v>0</v>
      </c>
      <c r="AE387" t="e">
        <f ca="1">IF($AN$11&gt;0,IF(COUNTIF(B388,"*叠1*")&gt;0,50-加速!$L$11,MAX(0,AE386-(A388-A387))),0)</f>
        <v>#VALUE!</v>
      </c>
      <c r="AG387">
        <f ca="1" t="shared" ref="AG387:AG450" si="115">COUNTIF(INDEX(AU388:CB388,1,$AT$1),"*莺鸣柳*")+COUNTIF(INDEX(AU388:CB388,1,$AT$1),"*叠1*")+AG386</f>
        <v>11</v>
      </c>
      <c r="AU387" s="180" t="s">
        <v>2789</v>
      </c>
      <c r="AV387">
        <v>2</v>
      </c>
      <c r="AW387" t="s">
        <v>2768</v>
      </c>
      <c r="AX387">
        <v>2</v>
      </c>
      <c r="AY387" t="s">
        <v>2768</v>
      </c>
      <c r="AZ387">
        <v>2</v>
      </c>
      <c r="BA387" t="s">
        <v>2768</v>
      </c>
      <c r="BB387">
        <v>2</v>
      </c>
      <c r="BC387" t="s">
        <v>3023</v>
      </c>
      <c r="BD387">
        <v>2</v>
      </c>
      <c r="BE387" t="s">
        <v>2768</v>
      </c>
      <c r="BF387">
        <v>1</v>
      </c>
      <c r="BG387" t="s">
        <v>2776</v>
      </c>
      <c r="BH387">
        <v>2</v>
      </c>
      <c r="BI387" s="182" t="s">
        <v>3023</v>
      </c>
      <c r="BJ387">
        <v>2</v>
      </c>
      <c r="BK387" t="s">
        <v>3026</v>
      </c>
      <c r="BL387">
        <v>2</v>
      </c>
      <c r="BM387" t="str">
        <f>IF(0,"云飞玉皇-玉山揽云","夕照雷峰")</f>
        <v>夕照雷峰</v>
      </c>
      <c r="BN387">
        <v>2</v>
      </c>
      <c r="BO387" t="s">
        <v>2768</v>
      </c>
      <c r="BP387">
        <v>2</v>
      </c>
      <c r="BQ387" t="s">
        <v>2768</v>
      </c>
      <c r="BR387">
        <v>2</v>
      </c>
      <c r="BS387" t="s">
        <v>3024</v>
      </c>
      <c r="BT387">
        <v>2</v>
      </c>
      <c r="BU387" s="176" t="s">
        <v>2768</v>
      </c>
      <c r="BV387">
        <v>1</v>
      </c>
      <c r="BW387" s="182" t="s">
        <v>2768</v>
      </c>
      <c r="BX387" s="179">
        <v>2</v>
      </c>
      <c r="BY387" s="176" t="str">
        <f>IF(0,"云飞玉皇-玉山揽云","夕照雷峰")</f>
        <v>夕照雷峰</v>
      </c>
      <c r="BZ387">
        <v>2</v>
      </c>
      <c r="CA387" t="str">
        <f>IF(0,"云飞玉皇-玉山揽云","夕照雷峰")</f>
        <v>夕照雷峰</v>
      </c>
      <c r="CB387">
        <v>2</v>
      </c>
    </row>
    <row r="388" spans="1:80">
      <c r="A388" s="178" t="str">
        <f ca="1">IFERROR(IF(AG387&lt;5+金蛇*2,IF(COUNTIF(B387,"*轻*")&gt;0,A387+加速!$L$9,A387+加速!$L$11)+V387,""),"")</f>
        <v/>
      </c>
      <c r="B388" s="167" t="str">
        <f ca="1" t="shared" si="110"/>
        <v/>
      </c>
      <c r="C388" t="str">
        <f ca="1" t="shared" si="103"/>
        <v/>
      </c>
      <c r="D388" t="str">
        <f ca="1">IF(B388&lt;&gt;"",IF(C387&lt;=加速!$L$11*(1-E388),0,1),"")</f>
        <v/>
      </c>
      <c r="E388">
        <f ca="1" t="shared" ref="E388:E451" si="116">IF(OR(COUNTIF(B388,"夕照雷峰*")&gt;0,COUNTIF(B388,"云飞玉皇*")&gt;0,COUNTIF(B388,"风来吴山*")&gt;0),COUNTIF(B388,"*云景*")+COUNTIF(B388,"*玉山揽云*")+COUNTIF(B388,"*烟流暮景*"),1)</f>
        <v>1</v>
      </c>
      <c r="G388" t="str">
        <f ca="1" t="shared" ref="G388:G451" si="117">IF(B388&lt;&gt;"",IF(AND(碧归&gt;0,COUNTIF(B387,"*风来吴山*")&gt;0),8,MAX(0,G387-COUNTIF(B388,"*云飞*")-COUNTIF(B388,"*鹤*")-COUNTIF(B388,"*夕*"))),"")</f>
        <v/>
      </c>
      <c r="H388" t="str">
        <f ca="1">IF(B388&lt;&gt;"",IF(AND(COUNTIF(B387,"*轻*莺鸣柳*")&gt;0,COUNTIF(B388,"*轻*")&lt;1),MAX(0,15+I387-(A388-A387)+COUNTIF(B387,"*平湖*")*0),IF(AND(E388=0,MAX(0,H387-(A388-A387))&lt;=加速!$H$11),0,MAX(0,H387-(A388-A387)))),"")</f>
        <v/>
      </c>
      <c r="I388" t="str">
        <f ca="1" t="shared" si="107"/>
        <v/>
      </c>
      <c r="J388" t="str">
        <f ca="1" t="shared" si="108"/>
        <v/>
      </c>
      <c r="K388" t="str">
        <f ca="1" t="shared" si="111"/>
        <v/>
      </c>
      <c r="L388">
        <f ca="1">IFERROR(IF(AND(COUNTIF(B388,"*-峰插*"),技能数据库!$M$72&gt;0),0,IF(COUNTIF(B388,"*鹤归*")&gt;0,16-加速!$L$11,MAX(0,L387-(A388-A387)))),0)</f>
        <v>0</v>
      </c>
      <c r="M388">
        <f ca="1" t="shared" si="112"/>
        <v>0</v>
      </c>
      <c r="N388">
        <f ca="1">IFERROR(IF(AND(COUNTIF(B388,"*-峰插*"),技能数据库!$M$72&gt;0),0,IF(COUNTIF(B388,"*云飞*")&gt;0,4-COUNTIF(B388,"*玉山揽云*")*4--COUNTIF(B388,"*烟流暮景*")*4-COUNTIF(B388,"*云景*")*加速!$L$11-IF(J388&gt;0,2,0),MAX(0,N387-(A388-A387)-IF(J388&gt;0,2,0)))),0)</f>
        <v>0</v>
      </c>
      <c r="O388">
        <f ca="1">IF(AND(COUNTIF(IF(AND(配装计算器!$K$30&lt;&gt;"∞",0),INDEX(AU387:CB387,1,$AT$1),INDEX(AU389:CB389,1,$AT$1)),"*云飞*")=1,COUNTIF(IF(AND(配装计算器!$K$30&lt;&gt;"∞",0),INDEX(AU387:CB387,1,$AT$1),INDEX(AU389:CB389,1,$AT$1)),"*玉山*")=0),N388,0)</f>
        <v>0</v>
      </c>
      <c r="P388">
        <f ca="1">IFERROR(IF(COUNTIF(B388,"*云栖松*")&gt;0,50-加速!$L$11,MAX(0,P387-(A388-A387))),0)</f>
        <v>0</v>
      </c>
      <c r="Q388">
        <f ca="1">IF(COUNTIF(IF(AND(配装计算器!$K$30&lt;&gt;"∞",0),INDEX(AU387:CB387,1,$AT$1),INDEX(AU389:CB389,1,$AT$1)),"*云栖松*")=1,P388,0)</f>
        <v>0</v>
      </c>
      <c r="R388">
        <f ca="1">IFERROR(IF(COUNTIF(B388,"*莺鸣柳*")&gt;0,45-加速!$L$9,MAX(0,R387-(A388-A387))),0)</f>
        <v>0</v>
      </c>
      <c r="S388">
        <f ca="1">IF(COUNTIF(IF(AND(配装计算器!$K$30&lt;&gt;"∞",0),INDEX(AU387:CB387,1,$AT$1),INDEX(AU389:CB389,1,$AT$1)),"*莺鸣柳*")=1,R388,0)</f>
        <v>0</v>
      </c>
      <c r="T388">
        <f ca="1" t="shared" si="104"/>
        <v>0</v>
      </c>
      <c r="U388">
        <f ca="1">IF(金蛇,IF(COUNTIF(B388,"*金环戴*")+COUNTIF(B388,"*吹风醒*")&gt;0,IF(A388&lt;=3,7.125-2.625-A388-加速!$L$11,7.125+加速!$K$9-(A388+加速!$L$11-T388)),0),0)+IF(金蛇,IF(COUNTIF(B388,"*千切子裂光*")&gt;0,2+加速!$K$9-(A388+加速!$L$11-T388),0),0)</f>
        <v>0</v>
      </c>
      <c r="V388">
        <f ca="1" t="shared" si="105"/>
        <v>0</v>
      </c>
      <c r="W388">
        <f ca="1" t="shared" si="113"/>
        <v>0</v>
      </c>
      <c r="X388">
        <f ca="1">INDEX(加速!$I$13:$I$21,W388+1)</f>
        <v>0</v>
      </c>
      <c r="Y388">
        <f ca="1" t="shared" si="106"/>
        <v>0.5</v>
      </c>
      <c r="Z388">
        <f ca="1" t="shared" ref="Z388:Z451" si="118">IF(金蛇,IF(COUNTIF(B388,"*虎跑*")&gt;0,INT((A388-Y388)/3),0),0)</f>
        <v>0</v>
      </c>
      <c r="AA388">
        <f ca="1">MAX(0,IFERROR(IF(COUNTIF(B388,"*叠*")&gt;0,IF(AC387&lt;3,8-A389+A388,AA387+6.875-A389+A388),AA387-A389+A388),AA387-加速!$L$11))</f>
        <v>0</v>
      </c>
      <c r="AB388" t="e">
        <f ca="1">MAX(0,IF(COUNTIF(IF(AND(配装计算器!$K$30&lt;&gt;"∞",0),INDEX(AU388:CB388,1,$AT$1),INDEX(AU388:CB388,1,$AT$1)),"*叠1*")=1,4*25-加速!$L$11,AB387-A388+A387)-IF(OR(COUNTIF(OFFSET(AT388,0,$AT$1,1,1),"*听雷*")&gt;0,AND(碧归&gt;0,COUNTIF(OFFSET(AT388,0,$AT$1,1,1),"*风来*")&gt;0)),0,1)*1.5)</f>
        <v>#VALUE!</v>
      </c>
      <c r="AC388">
        <f ca="1" t="shared" si="114"/>
        <v>0</v>
      </c>
      <c r="AD388">
        <f ca="1">IF(COUNTIF(IF(AND(配装计算器!$K$30&lt;&gt;"∞",0),INDEX(AU388:CB388,1,$AT$1),INDEX(AU389:CB389,1,$AT$1)),"*叠1*")=1,AB388*0+AE387,0)</f>
        <v>0</v>
      </c>
      <c r="AE388" t="e">
        <f ca="1">IF($AN$11&gt;0,IF(COUNTIF(B389,"*叠1*")&gt;0,50-加速!$L$11,MAX(0,AE387-(A389-A388))),0)</f>
        <v>#VALUE!</v>
      </c>
      <c r="AG388">
        <f ca="1" t="shared" si="115"/>
        <v>11</v>
      </c>
      <c r="AU388" s="176" t="s">
        <v>2794</v>
      </c>
      <c r="AV388">
        <v>2</v>
      </c>
      <c r="AW388" t="s">
        <v>2776</v>
      </c>
      <c r="AX388">
        <v>2</v>
      </c>
      <c r="AY388" t="s">
        <v>2776</v>
      </c>
      <c r="AZ388">
        <v>2</v>
      </c>
      <c r="BA388" t="s">
        <v>2776</v>
      </c>
      <c r="BB388">
        <v>1</v>
      </c>
      <c r="BC388" t="s">
        <v>2768</v>
      </c>
      <c r="BD388">
        <v>2</v>
      </c>
      <c r="BE388" t="s">
        <v>2768</v>
      </c>
      <c r="BF388">
        <v>1</v>
      </c>
      <c r="BG388" t="s">
        <v>2768</v>
      </c>
      <c r="BH388">
        <v>1</v>
      </c>
      <c r="BI388" s="176" t="s">
        <v>3026</v>
      </c>
      <c r="BJ388">
        <v>2</v>
      </c>
      <c r="BK388" t="s">
        <v>3026</v>
      </c>
      <c r="BL388">
        <v>2</v>
      </c>
      <c r="BM388" t="str">
        <f>IF(0,"云飞玉皇-玉山揽云","云飞玉皇")</f>
        <v>云飞玉皇</v>
      </c>
      <c r="BN388">
        <v>2</v>
      </c>
      <c r="BO388" t="s">
        <v>2776</v>
      </c>
      <c r="BP388">
        <v>2</v>
      </c>
      <c r="BQ388" t="s">
        <v>2768</v>
      </c>
      <c r="BR388">
        <v>2</v>
      </c>
      <c r="BS388" s="179" t="s">
        <v>2794</v>
      </c>
      <c r="BT388">
        <v>2</v>
      </c>
      <c r="BU388" t="s">
        <v>3055</v>
      </c>
      <c r="BV388">
        <v>0</v>
      </c>
      <c r="BW388" s="182" t="s">
        <v>2776</v>
      </c>
      <c r="BX388" s="179">
        <v>2</v>
      </c>
      <c r="BY388" s="176" t="str">
        <f>IF(0,"云飞玉皇-玉山揽云","云飞玉皇")</f>
        <v>云飞玉皇</v>
      </c>
      <c r="BZ388">
        <v>2</v>
      </c>
      <c r="CA388" t="str">
        <f>IF(0,"云飞玉皇-玉山揽云","云飞玉皇")</f>
        <v>云飞玉皇</v>
      </c>
      <c r="CB388">
        <v>2</v>
      </c>
    </row>
    <row r="389" spans="1:80">
      <c r="A389" s="178" t="str">
        <f ca="1">IFERROR(IF(AG388&lt;5+金蛇*2,IF(COUNTIF(B388,"*轻*")&gt;0,A388+加速!$L$9,A388+加速!$L$11)+V388,""),"")</f>
        <v/>
      </c>
      <c r="B389" s="167" t="str">
        <f ca="1" t="shared" si="110"/>
        <v/>
      </c>
      <c r="C389" t="str">
        <f ca="1" t="shared" ref="C389:C452" si="119">IFERROR(IF(COUNTIF(B389,"*夕照雷峰*")&gt;0,15,MAX(0,C388-(A389-A388))),"")</f>
        <v/>
      </c>
      <c r="D389" t="str">
        <f ca="1">IF(B389&lt;&gt;"",IF(C388&lt;=加速!$L$11*(1-E389),0,1),"")</f>
        <v/>
      </c>
      <c r="E389">
        <f ca="1" t="shared" si="116"/>
        <v>1</v>
      </c>
      <c r="G389" t="str">
        <f ca="1" t="shared" si="117"/>
        <v/>
      </c>
      <c r="H389" t="str">
        <f ca="1">IF(B389&lt;&gt;"",IF(AND(COUNTIF(B388,"*轻*莺鸣柳*")&gt;0,COUNTIF(B389,"*轻*")&lt;1),MAX(0,15+I388-(A389-A388)+COUNTIF(B388,"*平湖*")*0),IF(AND(E389=0,MAX(0,H388-(A389-A388))&lt;=加速!$H$11),0,MAX(0,H388-(A389-A388)))),"")</f>
        <v/>
      </c>
      <c r="I389" t="str">
        <f ca="1" t="shared" si="107"/>
        <v/>
      </c>
      <c r="J389" t="str">
        <f ca="1" t="shared" si="108"/>
        <v/>
      </c>
      <c r="K389" t="str">
        <f ca="1" t="shared" si="111"/>
        <v/>
      </c>
      <c r="L389">
        <f ca="1">IFERROR(IF(AND(COUNTIF(B389,"*-峰插*"),技能数据库!$M$72&gt;0),0,IF(COUNTIF(B389,"*鹤归*")&gt;0,16-加速!$L$11,MAX(0,L388-(A389-A388)))),0)</f>
        <v>0</v>
      </c>
      <c r="M389">
        <f ca="1" t="shared" si="112"/>
        <v>0</v>
      </c>
      <c r="N389">
        <f ca="1">IFERROR(IF(AND(COUNTIF(B389,"*-峰插*"),技能数据库!$M$72&gt;0),0,IF(COUNTIF(B389,"*云飞*")&gt;0,4-COUNTIF(B389,"*玉山揽云*")*4--COUNTIF(B389,"*烟流暮景*")*4-COUNTIF(B389,"*云景*")*加速!$L$11-IF(J389&gt;0,2,0),MAX(0,N388-(A389-A388)-IF(J389&gt;0,2,0)))),0)</f>
        <v>0</v>
      </c>
      <c r="O389">
        <f ca="1">IF(AND(COUNTIF(IF(AND(配装计算器!$K$30&lt;&gt;"∞",0),INDEX(AU388:CB388,1,$AT$1),INDEX(AU390:CB390,1,$AT$1)),"*云飞*")=1,COUNTIF(IF(AND(配装计算器!$K$30&lt;&gt;"∞",0),INDEX(AU388:CB388,1,$AT$1),INDEX(AU390:CB390,1,$AT$1)),"*玉山*")=0),N389,0)</f>
        <v>0</v>
      </c>
      <c r="P389">
        <f ca="1">IFERROR(IF(COUNTIF(B389,"*云栖松*")&gt;0,50-加速!$L$11,MAX(0,P388-(A389-A388))),0)</f>
        <v>0</v>
      </c>
      <c r="Q389">
        <f ca="1">IF(COUNTIF(IF(AND(配装计算器!$K$30&lt;&gt;"∞",0),INDEX(AU388:CB388,1,$AT$1),INDEX(AU390:CB390,1,$AT$1)),"*云栖松*")=1,P389,0)</f>
        <v>0</v>
      </c>
      <c r="R389">
        <f ca="1">IFERROR(IF(COUNTIF(B389,"*莺鸣柳*")&gt;0,45-加速!$L$9,MAX(0,R388-(A389-A388))),0)</f>
        <v>0</v>
      </c>
      <c r="S389">
        <f ca="1">IF(COUNTIF(IF(AND(配装计算器!$K$30&lt;&gt;"∞",0),INDEX(AU388:CB388,1,$AT$1),INDEX(AU390:CB390,1,$AT$1)),"*莺鸣柳*")=1,R389,0)</f>
        <v>0</v>
      </c>
      <c r="T389">
        <f ca="1" t="shared" ref="T389:T452" si="120">IF(COUNTIF(B389,"*岚尘金蛇*")+COUNTIF(B389,"*千切子寒光*")&gt;0,A389,T388)</f>
        <v>0</v>
      </c>
      <c r="U389">
        <f ca="1">IF(金蛇,IF(COUNTIF(B389,"*金环戴*")+COUNTIF(B389,"*吹风醒*")&gt;0,IF(A389&lt;=3,7.125-2.625-A389-加速!$L$11,7.125+加速!$K$9-(A389+加速!$L$11-T389)),0),0)+IF(金蛇,IF(COUNTIF(B389,"*千切子裂光*")&gt;0,2+加速!$K$9-(A389+加速!$L$11-T389),0),0)</f>
        <v>0</v>
      </c>
      <c r="V389">
        <f ca="1" t="shared" ref="V389:V452" si="121">MAX(0,M389+O389+Q389+S389+AD389)+U389</f>
        <v>0</v>
      </c>
      <c r="W389">
        <f ca="1" t="shared" si="113"/>
        <v>0</v>
      </c>
      <c r="X389">
        <f ca="1">INDEX(加速!$I$13:$I$21,W389+1)</f>
        <v>0</v>
      </c>
      <c r="Y389">
        <f ca="1" t="shared" ref="Y389:Y452" si="122">IF(COUNTIF(B389,"*岚尘金蛇*"),A389+2.6125+0.5,Y388)</f>
        <v>0.5</v>
      </c>
      <c r="Z389">
        <f ca="1" t="shared" si="118"/>
        <v>0</v>
      </c>
      <c r="AA389">
        <f ca="1">MAX(0,IFERROR(IF(COUNTIF(B389,"*叠*")&gt;0,IF(AC388&lt;3,8-A390+A389,AA388+6.875-A390+A389),AA388-A390+A389),AA388-加速!$L$11))</f>
        <v>0</v>
      </c>
      <c r="AB389" t="e">
        <f ca="1">MAX(0,IF(COUNTIF(IF(AND(配装计算器!$K$30&lt;&gt;"∞",0),INDEX(AU389:CB389,1,$AT$1),INDEX(AU389:CB389,1,$AT$1)),"*叠1*")=1,4*25-加速!$L$11,AB388-A389+A388)-IF(OR(COUNTIF(OFFSET(AT389,0,$AT$1,1,1),"*听雷*")&gt;0,AND(碧归&gt;0,COUNTIF(OFFSET(AT389,0,$AT$1,1,1),"*风来*")&gt;0)),0,1)*1.5)</f>
        <v>#VALUE!</v>
      </c>
      <c r="AC389">
        <f ca="1" t="shared" si="114"/>
        <v>0</v>
      </c>
      <c r="AD389">
        <f ca="1">IF(COUNTIF(IF(AND(配装计算器!$K$30&lt;&gt;"∞",0),INDEX(AU389:CB389,1,$AT$1),INDEX(AU390:CB390,1,$AT$1)),"*叠1*")=1,AB389*0+AE388,0)</f>
        <v>0</v>
      </c>
      <c r="AE389" t="e">
        <f ca="1">IF($AN$11&gt;0,IF(COUNTIF(B390,"*叠1*")&gt;0,50-加速!$L$11,MAX(0,AE388-(A390-A389))),0)</f>
        <v>#VALUE!</v>
      </c>
      <c r="AG389">
        <f ca="1" t="shared" si="115"/>
        <v>11</v>
      </c>
      <c r="AU389" s="176" t="s">
        <v>2776</v>
      </c>
      <c r="AV389">
        <v>2</v>
      </c>
      <c r="AW389" t="s">
        <v>2768</v>
      </c>
      <c r="AX389">
        <v>2</v>
      </c>
      <c r="AY389" t="s">
        <v>2768</v>
      </c>
      <c r="AZ389">
        <v>2</v>
      </c>
      <c r="BA389" t="s">
        <v>2768</v>
      </c>
      <c r="BB389">
        <v>1</v>
      </c>
      <c r="BC389" t="s">
        <v>2776</v>
      </c>
      <c r="BD389">
        <v>2</v>
      </c>
      <c r="BE389" t="s">
        <v>3042</v>
      </c>
      <c r="BF389">
        <v>0</v>
      </c>
      <c r="BG389" t="s">
        <v>2776</v>
      </c>
      <c r="BH389">
        <v>1</v>
      </c>
      <c r="BI389" s="176" t="s">
        <v>3026</v>
      </c>
      <c r="BJ389">
        <v>2</v>
      </c>
      <c r="BK389" t="s">
        <v>2776</v>
      </c>
      <c r="BL389">
        <v>2</v>
      </c>
      <c r="BM389" t="str">
        <f>IF(0,"云飞玉皇-玉山揽云","夕照雷峰")</f>
        <v>夕照雷峰</v>
      </c>
      <c r="BN389">
        <v>2</v>
      </c>
      <c r="BO389" t="s">
        <v>2768</v>
      </c>
      <c r="BP389">
        <v>2</v>
      </c>
      <c r="BQ389" t="s">
        <v>2776</v>
      </c>
      <c r="BR389">
        <v>1</v>
      </c>
      <c r="BS389" s="179" t="s">
        <v>3030</v>
      </c>
      <c r="BT389">
        <v>2</v>
      </c>
      <c r="BU389" t="s">
        <v>2776</v>
      </c>
      <c r="BV389">
        <v>2</v>
      </c>
      <c r="BW389" s="182" t="s">
        <v>2768</v>
      </c>
      <c r="BX389" s="179">
        <v>2</v>
      </c>
      <c r="BY389" s="176" t="str">
        <f>IF(0,橙武补雾锁,"夕照雷峰")</f>
        <v>夕照雷峰</v>
      </c>
      <c r="BZ389">
        <v>2</v>
      </c>
      <c r="CA389" t="str">
        <f>IF(0,橙武补雾锁,"夕照雷峰")</f>
        <v>夕照雷峰</v>
      </c>
      <c r="CB389">
        <v>2</v>
      </c>
    </row>
    <row r="390" spans="1:80">
      <c r="A390" s="178" t="str">
        <f ca="1">IFERROR(IF(AG389&lt;5+金蛇*2,IF(COUNTIF(B389,"*轻*")&gt;0,A389+加速!$L$9,A389+加速!$L$11)+V389,""),"")</f>
        <v/>
      </c>
      <c r="B390" s="167" t="str">
        <f ca="1" t="shared" si="110"/>
        <v/>
      </c>
      <c r="C390" t="str">
        <f ca="1" t="shared" si="119"/>
        <v/>
      </c>
      <c r="D390" t="str">
        <f ca="1">IF(B390&lt;&gt;"",IF(C389&lt;=加速!$L$11*(1-E390),0,1),"")</f>
        <v/>
      </c>
      <c r="E390">
        <f ca="1" t="shared" si="116"/>
        <v>1</v>
      </c>
      <c r="G390" t="str">
        <f ca="1" t="shared" si="117"/>
        <v/>
      </c>
      <c r="H390" t="str">
        <f ca="1">IF(B390&lt;&gt;"",IF(AND(COUNTIF(B389,"*轻*莺鸣柳*")&gt;0,COUNTIF(B390,"*轻*")&lt;1),MAX(0,15+I389-(A390-A389)+COUNTIF(B389,"*平湖*")*0),IF(AND(E390=0,MAX(0,H389-(A390-A389))&lt;=加速!$H$11),0,MAX(0,H389-(A390-A389)))),"")</f>
        <v/>
      </c>
      <c r="I390" t="str">
        <f ca="1" t="shared" ref="I390:I453" si="123">IF(B390&lt;&gt;"",IF(COUNTIF(B390,"*轻*")&lt;1,0,IF(COUNTIF(B390,"*莺鸣*")&gt;0,8,MAX(0,I389-(A390-A389)))),"")</f>
        <v/>
      </c>
      <c r="J390" t="str">
        <f ca="1" t="shared" ref="J390:J453" si="124">IF(B390&lt;&gt;"",IF(AND(J389=1,OR(AND(COUNTIF(B390,"*云景*")&gt;0,COUNTIF(B385:B389,"*鹤归*")&gt;0),AND(落剑5=1,COUNTIF(B385:B389,"*鹤归*")&gt;0))),1,IF(COUNTIF(B389,"*鹤归*")&gt;0,4+_666三听,MAX(J389-1,0))),"")</f>
        <v/>
      </c>
      <c r="K390" t="str">
        <f ca="1" t="shared" si="111"/>
        <v/>
      </c>
      <c r="L390">
        <f ca="1">IFERROR(IF(AND(COUNTIF(B390,"*-峰插*"),技能数据库!$M$72&gt;0),0,IF(COUNTIF(B390,"*鹤归*")&gt;0,16-加速!$L$11,MAX(0,L389-(A390-A389)))),0)</f>
        <v>0</v>
      </c>
      <c r="M390">
        <f ca="1" t="shared" si="112"/>
        <v>0</v>
      </c>
      <c r="N390">
        <f ca="1">IFERROR(IF(AND(COUNTIF(B390,"*-峰插*"),技能数据库!$M$72&gt;0),0,IF(COUNTIF(B390,"*云飞*")&gt;0,4-COUNTIF(B390,"*玉山揽云*")*4--COUNTIF(B390,"*烟流暮景*")*4-COUNTIF(B390,"*云景*")*加速!$L$11-IF(J390&gt;0,2,0),MAX(0,N389-(A390-A389)-IF(J390&gt;0,2,0)))),0)</f>
        <v>0</v>
      </c>
      <c r="O390">
        <f ca="1">IF(AND(COUNTIF(IF(AND(配装计算器!$K$30&lt;&gt;"∞",0),INDEX(AU389:CB389,1,$AT$1),INDEX(AU391:CB391,1,$AT$1)),"*云飞*")=1,COUNTIF(IF(AND(配装计算器!$K$30&lt;&gt;"∞",0),INDEX(AU389:CB389,1,$AT$1),INDEX(AU391:CB391,1,$AT$1)),"*玉山*")=0),N390,0)</f>
        <v>0</v>
      </c>
      <c r="P390">
        <f ca="1">IFERROR(IF(COUNTIF(B390,"*云栖松*")&gt;0,50-加速!$L$11,MAX(0,P389-(A390-A389))),0)</f>
        <v>0</v>
      </c>
      <c r="Q390">
        <f ca="1">IF(COUNTIF(IF(AND(配装计算器!$K$30&lt;&gt;"∞",0),INDEX(AU389:CB389,1,$AT$1),INDEX(AU391:CB391,1,$AT$1)),"*云栖松*")=1,P390,0)</f>
        <v>0</v>
      </c>
      <c r="R390">
        <f ca="1">IFERROR(IF(COUNTIF(B390,"*莺鸣柳*")&gt;0,45-加速!$L$9,MAX(0,R389-(A390-A389))),0)</f>
        <v>0</v>
      </c>
      <c r="S390">
        <f ca="1">IF(COUNTIF(IF(AND(配装计算器!$K$30&lt;&gt;"∞",0),INDEX(AU389:CB389,1,$AT$1),INDEX(AU391:CB391,1,$AT$1)),"*莺鸣柳*")=1,R390,0)</f>
        <v>0</v>
      </c>
      <c r="T390">
        <f ca="1" t="shared" si="120"/>
        <v>0</v>
      </c>
      <c r="U390">
        <f ca="1">IF(金蛇,IF(COUNTIF(B390,"*金环戴*")+COUNTIF(B390,"*吹风醒*")&gt;0,IF(A390&lt;=3,7.125-2.625-A390-加速!$L$11,7.125+加速!$K$9-(A390+加速!$L$11-T390)),0),0)+IF(金蛇,IF(COUNTIF(B390,"*千切子裂光*")&gt;0,2+加速!$K$9-(A390+加速!$L$11-T390),0),0)</f>
        <v>0</v>
      </c>
      <c r="V390">
        <f ca="1" t="shared" si="121"/>
        <v>0</v>
      </c>
      <c r="W390">
        <f ca="1" t="shared" si="113"/>
        <v>0</v>
      </c>
      <c r="X390">
        <f ca="1">INDEX(加速!$I$13:$I$21,W390+1)</f>
        <v>0</v>
      </c>
      <c r="Y390">
        <f ca="1" t="shared" si="122"/>
        <v>0.5</v>
      </c>
      <c r="Z390">
        <f ca="1" t="shared" si="118"/>
        <v>0</v>
      </c>
      <c r="AA390">
        <f ca="1">MAX(0,IFERROR(IF(COUNTIF(B390,"*叠*")&gt;0,IF(AC389&lt;3,8-A391+A390,AA389+6.875-A391+A390),AA389-A391+A390),AA389-加速!$L$11))</f>
        <v>0</v>
      </c>
      <c r="AB390" t="e">
        <f ca="1">MAX(0,IF(COUNTIF(IF(AND(配装计算器!$K$30&lt;&gt;"∞",0),INDEX(AU390:CB390,1,$AT$1),INDEX(AU390:CB390,1,$AT$1)),"*叠1*")=1,4*25-加速!$L$11,AB389-A390+A389)-IF(OR(COUNTIF(OFFSET(AT390,0,$AT$1,1,1),"*听雷*")&gt;0,AND(碧归&gt;0,COUNTIF(OFFSET(AT390,0,$AT$1,1,1),"*风来*")&gt;0)),0,1)*1.5)</f>
        <v>#VALUE!</v>
      </c>
      <c r="AC390">
        <f ca="1" t="shared" si="114"/>
        <v>0</v>
      </c>
      <c r="AD390">
        <f ca="1">IF(COUNTIF(IF(AND(配装计算器!$K$30&lt;&gt;"∞",0),INDEX(AU390:CB390,1,$AT$1),INDEX(AU391:CB391,1,$AT$1)),"*叠1*")=1,AB390*0+AE389,0)</f>
        <v>0</v>
      </c>
      <c r="AE390" t="e">
        <f ca="1">IF($AN$11&gt;0,IF(COUNTIF(B391,"*叠1*")&gt;0,50-加速!$L$11,MAX(0,AE389-(A391-A390))),0)</f>
        <v>#VALUE!</v>
      </c>
      <c r="AG390">
        <f ca="1" t="shared" si="115"/>
        <v>11</v>
      </c>
      <c r="AU390" s="176" t="s">
        <v>2768</v>
      </c>
      <c r="AV390">
        <v>2</v>
      </c>
      <c r="AW390" t="s">
        <v>2768</v>
      </c>
      <c r="AX390">
        <v>2</v>
      </c>
      <c r="AY390" t="s">
        <v>2776</v>
      </c>
      <c r="AZ390">
        <v>1</v>
      </c>
      <c r="BA390" t="s">
        <v>2768</v>
      </c>
      <c r="BB390">
        <v>0</v>
      </c>
      <c r="BC390" t="s">
        <v>2789</v>
      </c>
      <c r="BD390">
        <v>2</v>
      </c>
      <c r="BE390" t="s">
        <v>2776</v>
      </c>
      <c r="BF390">
        <v>0</v>
      </c>
      <c r="BG390" t="s">
        <v>2768</v>
      </c>
      <c r="BH390">
        <v>0</v>
      </c>
      <c r="BI390" s="176" t="s">
        <v>3026</v>
      </c>
      <c r="BJ390">
        <v>2</v>
      </c>
      <c r="BK390" t="s">
        <v>2794</v>
      </c>
      <c r="BL390">
        <v>2</v>
      </c>
      <c r="BM390" s="176" t="s">
        <v>2794</v>
      </c>
      <c r="BN390">
        <v>2</v>
      </c>
      <c r="BO390" t="s">
        <v>2768</v>
      </c>
      <c r="BP390">
        <v>2</v>
      </c>
      <c r="BQ390" t="s">
        <v>3055</v>
      </c>
      <c r="BR390">
        <v>2</v>
      </c>
      <c r="BS390" s="179" t="s">
        <v>2768</v>
      </c>
      <c r="BT390">
        <v>2</v>
      </c>
      <c r="BU390" t="s">
        <v>2768</v>
      </c>
      <c r="BV390">
        <v>2</v>
      </c>
      <c r="BW390" s="182" t="s">
        <v>2776</v>
      </c>
      <c r="BX390" s="179">
        <v>2</v>
      </c>
      <c r="BY390" s="176" t="str">
        <f>IF(0,"云飞玉皇-玉山揽云","云景·云飞玉皇")</f>
        <v>云景·云飞玉皇</v>
      </c>
      <c r="BZ390">
        <v>2</v>
      </c>
      <c r="CA390" t="str">
        <f>IF(0,"云飞玉皇-玉山揽云","云景·云飞玉皇")</f>
        <v>云景·云飞玉皇</v>
      </c>
      <c r="CB390">
        <v>2</v>
      </c>
    </row>
    <row r="391" spans="1:80">
      <c r="A391" s="178" t="str">
        <f ca="1">IFERROR(IF(AG390&lt;5+金蛇*2,IF(COUNTIF(B390,"*轻*")&gt;0,A390+加速!$L$9,A390+加速!$L$11)+V390,""),"")</f>
        <v/>
      </c>
      <c r="B391" s="167" t="str">
        <f ca="1" t="shared" si="110"/>
        <v/>
      </c>
      <c r="C391" t="str">
        <f ca="1" t="shared" si="119"/>
        <v/>
      </c>
      <c r="D391" t="str">
        <f ca="1">IF(B391&lt;&gt;"",IF(C390&lt;=加速!$L$11*(1-E391),0,1),"")</f>
        <v/>
      </c>
      <c r="E391">
        <f ca="1" t="shared" si="116"/>
        <v>1</v>
      </c>
      <c r="G391" t="str">
        <f ca="1" t="shared" si="117"/>
        <v/>
      </c>
      <c r="H391" t="str">
        <f ca="1">IF(B391&lt;&gt;"",IF(AND(COUNTIF(B390,"*轻*莺鸣柳*")&gt;0,COUNTIF(B391,"*轻*")&lt;1),MAX(0,15+I390-(A391-A390)+COUNTIF(B390,"*平湖*")*0),IF(AND(E391=0,MAX(0,H390-(A391-A390))&lt;=加速!$H$11),0,MAX(0,H390-(A391-A390)))),"")</f>
        <v/>
      </c>
      <c r="I391" t="str">
        <f ca="1" t="shared" si="123"/>
        <v/>
      </c>
      <c r="J391" t="str">
        <f ca="1" t="shared" si="124"/>
        <v/>
      </c>
      <c r="K391" t="str">
        <f ca="1" t="shared" si="111"/>
        <v/>
      </c>
      <c r="L391">
        <f ca="1">IFERROR(IF(AND(COUNTIF(B391,"*-峰插*"),技能数据库!$M$72&gt;0),0,IF(COUNTIF(B391,"*鹤归*")&gt;0,16-加速!$L$11,MAX(0,L390-(A391-A390)))),0)</f>
        <v>0</v>
      </c>
      <c r="M391">
        <f ca="1" t="shared" si="112"/>
        <v>0</v>
      </c>
      <c r="N391">
        <f ca="1">IFERROR(IF(AND(COUNTIF(B391,"*-峰插*"),技能数据库!$M$72&gt;0),0,IF(COUNTIF(B391,"*云飞*")&gt;0,4-COUNTIF(B391,"*玉山揽云*")*4--COUNTIF(B391,"*烟流暮景*")*4-COUNTIF(B391,"*云景*")*加速!$L$11-IF(J391&gt;0,2,0),MAX(0,N390-(A391-A390)-IF(J391&gt;0,2,0)))),0)</f>
        <v>0</v>
      </c>
      <c r="O391">
        <f ca="1">IF(AND(COUNTIF(IF(AND(配装计算器!$K$30&lt;&gt;"∞",0),INDEX(AU390:CB390,1,$AT$1),INDEX(AU392:CB392,1,$AT$1)),"*云飞*")=1,COUNTIF(IF(AND(配装计算器!$K$30&lt;&gt;"∞",0),INDEX(AU390:CB390,1,$AT$1),INDEX(AU392:CB392,1,$AT$1)),"*玉山*")=0),N391,0)</f>
        <v>0</v>
      </c>
      <c r="P391">
        <f ca="1">IFERROR(IF(COUNTIF(B391,"*云栖松*")&gt;0,50-加速!$L$11,MAX(0,P390-(A391-A390))),0)</f>
        <v>0</v>
      </c>
      <c r="Q391">
        <f ca="1">IF(COUNTIF(IF(AND(配装计算器!$K$30&lt;&gt;"∞",0),INDEX(AU390:CB390,1,$AT$1),INDEX(AU392:CB392,1,$AT$1)),"*云栖松*")=1,P391,0)</f>
        <v>0</v>
      </c>
      <c r="R391">
        <f ca="1">IFERROR(IF(COUNTIF(B391,"*莺鸣柳*")&gt;0,45-加速!$L$9,MAX(0,R390-(A391-A390))),0)</f>
        <v>0</v>
      </c>
      <c r="S391">
        <f ca="1">IF(COUNTIF(IF(AND(配装计算器!$K$30&lt;&gt;"∞",0),INDEX(AU390:CB390,1,$AT$1),INDEX(AU392:CB392,1,$AT$1)),"*莺鸣柳*")=1,R391,0)</f>
        <v>0</v>
      </c>
      <c r="T391">
        <f ca="1" t="shared" si="120"/>
        <v>0</v>
      </c>
      <c r="U391">
        <f ca="1">IF(金蛇,IF(COUNTIF(B391,"*金环戴*")+COUNTIF(B391,"*吹风醒*")&gt;0,IF(A391&lt;=3,7.125-2.625-A391-加速!$L$11,7.125+加速!$K$9-(A391+加速!$L$11-T391)),0),0)+IF(金蛇,IF(COUNTIF(B391,"*千切子裂光*")&gt;0,2+加速!$K$9-(A391+加速!$L$11-T391),0),0)</f>
        <v>0</v>
      </c>
      <c r="V391">
        <f ca="1" t="shared" si="121"/>
        <v>0</v>
      </c>
      <c r="W391">
        <f ca="1" t="shared" si="113"/>
        <v>0</v>
      </c>
      <c r="X391">
        <f ca="1">INDEX(加速!$I$13:$I$21,W391+1)</f>
        <v>0</v>
      </c>
      <c r="Y391">
        <f ca="1" t="shared" si="122"/>
        <v>0.5</v>
      </c>
      <c r="Z391">
        <f ca="1" t="shared" si="118"/>
        <v>0</v>
      </c>
      <c r="AA391">
        <f ca="1">MAX(0,IFERROR(IF(COUNTIF(B391,"*叠*")&gt;0,IF(AC390&lt;3,8-A392+A391,AA390+6.875-A392+A391),AA390-A392+A391),AA390-加速!$L$11))</f>
        <v>0</v>
      </c>
      <c r="AB391" t="e">
        <f ca="1">MAX(0,IF(COUNTIF(IF(AND(配装计算器!$K$30&lt;&gt;"∞",0),INDEX(AU391:CB391,1,$AT$1),INDEX(AU391:CB391,1,$AT$1)),"*叠1*")=1,4*25-加速!$L$11,AB390-A391+A390)-IF(OR(COUNTIF(OFFSET(AT391,0,$AT$1,1,1),"*听雷*")&gt;0,AND(碧归&gt;0,COUNTIF(OFFSET(AT391,0,$AT$1,1,1),"*风来*")&gt;0)),0,1)*1.5)</f>
        <v>#VALUE!</v>
      </c>
      <c r="AC391">
        <f ca="1" t="shared" si="114"/>
        <v>0</v>
      </c>
      <c r="AD391">
        <f ca="1">IF(COUNTIF(IF(AND(配装计算器!$K$30&lt;&gt;"∞",0),INDEX(AU391:CB391,1,$AT$1),INDEX(AU392:CB392,1,$AT$1)),"*叠1*")=1,AB391*0+AE390,0)</f>
        <v>0</v>
      </c>
      <c r="AE391" t="e">
        <f ca="1">IF($AN$11&gt;0,IF(COUNTIF(B392,"*叠1*")&gt;0,50-加速!$L$11,MAX(0,AE390-(A392-A391))),0)</f>
        <v>#VALUE!</v>
      </c>
      <c r="AG391">
        <f ca="1" t="shared" si="115"/>
        <v>11</v>
      </c>
      <c r="AU391" s="176" t="s">
        <v>2776</v>
      </c>
      <c r="AV391">
        <v>2</v>
      </c>
      <c r="AW391" t="s">
        <v>2768</v>
      </c>
      <c r="AX391">
        <v>2</v>
      </c>
      <c r="AY391" t="s">
        <v>2768</v>
      </c>
      <c r="AZ391">
        <v>1</v>
      </c>
      <c r="BA391" t="s">
        <v>2722</v>
      </c>
      <c r="BB391">
        <v>0</v>
      </c>
      <c r="BC391" t="s">
        <v>2794</v>
      </c>
      <c r="BD391">
        <v>2</v>
      </c>
      <c r="BE391" t="s">
        <v>2768</v>
      </c>
      <c r="BF391">
        <v>1</v>
      </c>
      <c r="BG391" t="s">
        <v>2768</v>
      </c>
      <c r="BH391">
        <v>0</v>
      </c>
      <c r="BI391" s="176" t="s">
        <v>3026</v>
      </c>
      <c r="BJ391">
        <v>2</v>
      </c>
      <c r="BK391" t="s">
        <v>2768</v>
      </c>
      <c r="BL391">
        <v>2</v>
      </c>
      <c r="BM391" s="176" t="str">
        <f>IF(0,橙武补雾锁,"夕照雷峰")</f>
        <v>夕照雷峰</v>
      </c>
      <c r="BN391">
        <v>2</v>
      </c>
      <c r="BO391" t="s">
        <v>2768</v>
      </c>
      <c r="BP391">
        <v>2</v>
      </c>
      <c r="BQ391" t="s">
        <v>2768</v>
      </c>
      <c r="BR391">
        <v>2</v>
      </c>
      <c r="BS391" s="182" t="s">
        <v>3023</v>
      </c>
      <c r="BT391">
        <v>2</v>
      </c>
      <c r="BU391" t="s">
        <v>2776</v>
      </c>
      <c r="BV391">
        <v>2</v>
      </c>
      <c r="BW391" s="182" t="str">
        <f t="shared" ref="BW391:BW395" si="125">IF($AN$11=1,"云飞玉皇-玉山揽云","夕照雷峰")</f>
        <v>云飞玉皇-玉山揽云</v>
      </c>
      <c r="BX391" s="179">
        <v>2</v>
      </c>
      <c r="BY391" s="176" t="str">
        <f>IF(0,"云飞玉皇-玉山揽云","夕照雷峰")</f>
        <v>夕照雷峰</v>
      </c>
      <c r="BZ391">
        <v>2</v>
      </c>
      <c r="CA391" t="str">
        <f>IF(0,"云飞玉皇-玉山揽云","夕照雷峰")</f>
        <v>夕照雷峰</v>
      </c>
      <c r="CB391">
        <v>2</v>
      </c>
    </row>
    <row r="392" spans="1:80">
      <c r="A392" s="178" t="str">
        <f ca="1">IFERROR(IF(AG391&lt;5+金蛇*2,IF(COUNTIF(B391,"*轻*")&gt;0,A391+加速!$L$9,A391+加速!$L$11)+V391,""),"")</f>
        <v/>
      </c>
      <c r="B392" s="167" t="str">
        <f ca="1" t="shared" si="110"/>
        <v/>
      </c>
      <c r="C392" t="str">
        <f ca="1" t="shared" si="119"/>
        <v/>
      </c>
      <c r="D392" t="str">
        <f ca="1">IF(B392&lt;&gt;"",IF(C391&lt;=加速!$L$11*(1-E392),0,1),"")</f>
        <v/>
      </c>
      <c r="E392">
        <f ca="1" t="shared" si="116"/>
        <v>1</v>
      </c>
      <c r="G392" t="str">
        <f ca="1" t="shared" si="117"/>
        <v/>
      </c>
      <c r="H392" t="str">
        <f ca="1">IF(B392&lt;&gt;"",IF(AND(COUNTIF(B391,"*轻*莺鸣柳*")&gt;0,COUNTIF(B392,"*轻*")&lt;1),MAX(0,15+I391-(A392-A391)+COUNTIF(B391,"*平湖*")*0),IF(AND(E392=0,MAX(0,H391-(A392-A391))&lt;=加速!$H$11),0,MAX(0,H391-(A392-A391)))),"")</f>
        <v/>
      </c>
      <c r="I392" t="str">
        <f ca="1" t="shared" si="123"/>
        <v/>
      </c>
      <c r="J392" t="str">
        <f ca="1" t="shared" si="124"/>
        <v/>
      </c>
      <c r="K392" t="str">
        <f ca="1" t="shared" si="111"/>
        <v/>
      </c>
      <c r="L392">
        <f ca="1">IFERROR(IF(AND(COUNTIF(B392,"*-峰插*"),技能数据库!$M$72&gt;0),0,IF(COUNTIF(B392,"*鹤归*")&gt;0,16-加速!$L$11,MAX(0,L391-(A392-A391)))),0)</f>
        <v>0</v>
      </c>
      <c r="M392">
        <f ca="1" t="shared" si="112"/>
        <v>0</v>
      </c>
      <c r="N392">
        <f ca="1">IFERROR(IF(AND(COUNTIF(B392,"*-峰插*"),技能数据库!$M$72&gt;0),0,IF(COUNTIF(B392,"*云飞*")&gt;0,4-COUNTIF(B392,"*玉山揽云*")*4--COUNTIF(B392,"*烟流暮景*")*4-COUNTIF(B392,"*云景*")*加速!$L$11-IF(J392&gt;0,2,0),MAX(0,N391-(A392-A391)-IF(J392&gt;0,2,0)))),0)</f>
        <v>0</v>
      </c>
      <c r="O392">
        <f ca="1">IF(AND(COUNTIF(IF(AND(配装计算器!$K$30&lt;&gt;"∞",0),INDEX(AU391:CB391,1,$AT$1),INDEX(AU393:CB393,1,$AT$1)),"*云飞*")=1,COUNTIF(IF(AND(配装计算器!$K$30&lt;&gt;"∞",0),INDEX(AU391:CB391,1,$AT$1),INDEX(AU393:CB393,1,$AT$1)),"*玉山*")=0),N392,0)</f>
        <v>0</v>
      </c>
      <c r="P392">
        <f ca="1">IFERROR(IF(COUNTIF(B392,"*云栖松*")&gt;0,50-加速!$L$11,MAX(0,P391-(A392-A391))),0)</f>
        <v>0</v>
      </c>
      <c r="Q392">
        <f ca="1">IF(COUNTIF(IF(AND(配装计算器!$K$30&lt;&gt;"∞",0),INDEX(AU391:CB391,1,$AT$1),INDEX(AU393:CB393,1,$AT$1)),"*云栖松*")=1,P392,0)</f>
        <v>0</v>
      </c>
      <c r="R392">
        <f ca="1">IFERROR(IF(COUNTIF(B392,"*莺鸣柳*")&gt;0,45-加速!$L$9,MAX(0,R391-(A392-A391))),0)</f>
        <v>0</v>
      </c>
      <c r="S392">
        <f ca="1">IF(COUNTIF(IF(AND(配装计算器!$K$30&lt;&gt;"∞",0),INDEX(AU391:CB391,1,$AT$1),INDEX(AU393:CB393,1,$AT$1)),"*莺鸣柳*")=1,R392,0)</f>
        <v>0</v>
      </c>
      <c r="T392">
        <f ca="1" t="shared" si="120"/>
        <v>0</v>
      </c>
      <c r="U392">
        <f ca="1">IF(金蛇,IF(COUNTIF(B392,"*金环戴*")+COUNTIF(B392,"*吹风醒*")&gt;0,IF(A392&lt;=3,7.125-2.625-A392-加速!$L$11,7.125+加速!$K$9-(A392+加速!$L$11-T392)),0),0)+IF(金蛇,IF(COUNTIF(B392,"*千切子裂光*")&gt;0,2+加速!$K$9-(A392+加速!$L$11-T392),0),0)</f>
        <v>0</v>
      </c>
      <c r="V392">
        <f ca="1" t="shared" si="121"/>
        <v>0</v>
      </c>
      <c r="W392">
        <f ca="1" t="shared" si="113"/>
        <v>0</v>
      </c>
      <c r="X392">
        <f ca="1">INDEX(加速!$I$13:$I$21,W392+1)</f>
        <v>0</v>
      </c>
      <c r="Y392">
        <f ca="1" t="shared" si="122"/>
        <v>0.5</v>
      </c>
      <c r="Z392">
        <f ca="1" t="shared" si="118"/>
        <v>0</v>
      </c>
      <c r="AA392">
        <f ca="1">MAX(0,IFERROR(IF(COUNTIF(B392,"*叠*")&gt;0,IF(AC391&lt;3,8-A393+A392,AA391+6.875-A393+A392),AA391-A393+A392),AA391-加速!$L$11))</f>
        <v>0</v>
      </c>
      <c r="AB392" t="e">
        <f ca="1">MAX(0,IF(COUNTIF(IF(AND(配装计算器!$K$30&lt;&gt;"∞",0),INDEX(AU392:CB392,1,$AT$1),INDEX(AU392:CB392,1,$AT$1)),"*叠1*")=1,4*25-加速!$L$11,AB391-A392+A391)-IF(OR(COUNTIF(OFFSET(AT392,0,$AT$1,1,1),"*听雷*")&gt;0,AND(碧归&gt;0,COUNTIF(OFFSET(AT392,0,$AT$1,1,1),"*风来*")&gt;0)),0,1)*1.5)</f>
        <v>#VALUE!</v>
      </c>
      <c r="AC392">
        <f ca="1" t="shared" si="114"/>
        <v>0</v>
      </c>
      <c r="AD392">
        <f ca="1">IF(COUNTIF(IF(AND(配装计算器!$K$30&lt;&gt;"∞",0),INDEX(AU392:CB392,1,$AT$1),INDEX(AU393:CB393,1,$AT$1)),"*叠1*")=1,AB392*0+AE391,0)</f>
        <v>0</v>
      </c>
      <c r="AE392" t="e">
        <f ca="1">IF($AN$11&gt;0,IF(COUNTIF(B393,"*叠1*")&gt;0,50-加速!$L$11,MAX(0,AE391-(A393-A392))),0)</f>
        <v>#VALUE!</v>
      </c>
      <c r="AG392">
        <f ca="1" t="shared" si="115"/>
        <v>11</v>
      </c>
      <c r="AU392" s="176" t="s">
        <v>2768</v>
      </c>
      <c r="AV392">
        <v>2</v>
      </c>
      <c r="AW392" t="s">
        <v>2776</v>
      </c>
      <c r="AX392">
        <v>2</v>
      </c>
      <c r="AY392" t="s">
        <v>2768</v>
      </c>
      <c r="AZ392">
        <v>0</v>
      </c>
      <c r="BA392" t="s">
        <v>2776</v>
      </c>
      <c r="BB392">
        <v>2</v>
      </c>
      <c r="BC392" s="182" t="s">
        <v>3036</v>
      </c>
      <c r="BD392">
        <v>2</v>
      </c>
      <c r="BE392" t="s">
        <v>2768</v>
      </c>
      <c r="BF392">
        <v>1</v>
      </c>
      <c r="BG392" t="s">
        <v>2776</v>
      </c>
      <c r="BH392">
        <v>0</v>
      </c>
      <c r="BI392" s="176" t="s">
        <v>3036</v>
      </c>
      <c r="BJ392">
        <v>2</v>
      </c>
      <c r="BK392" t="s">
        <v>2776</v>
      </c>
      <c r="BL392">
        <v>2</v>
      </c>
      <c r="BM392" s="176" t="s">
        <v>2776</v>
      </c>
      <c r="BN392">
        <v>2</v>
      </c>
      <c r="BO392" t="s">
        <v>2776</v>
      </c>
      <c r="BP392">
        <v>2</v>
      </c>
      <c r="BQ392" t="s">
        <v>2776</v>
      </c>
      <c r="BR392">
        <v>2</v>
      </c>
      <c r="BS392" s="182" t="s">
        <v>2768</v>
      </c>
      <c r="BT392">
        <v>2</v>
      </c>
      <c r="BU392" t="s">
        <v>2768</v>
      </c>
      <c r="BV392">
        <v>1</v>
      </c>
      <c r="BW392" s="179" t="str">
        <f>IF($AN$11=1,"云飞玉皇-玉山揽云","云飞玉皇")</f>
        <v>云飞玉皇-玉山揽云</v>
      </c>
      <c r="BX392" s="179">
        <v>2</v>
      </c>
      <c r="BY392" t="s">
        <v>2776</v>
      </c>
      <c r="BZ392">
        <v>2</v>
      </c>
      <c r="CA392" t="s">
        <v>2776</v>
      </c>
      <c r="CB392">
        <v>2</v>
      </c>
    </row>
    <row r="393" spans="1:80">
      <c r="A393" s="178" t="str">
        <f ca="1">IFERROR(IF(AG392&lt;5+金蛇*2,IF(COUNTIF(B392,"*轻*")&gt;0,A392+加速!$L$9,A392+加速!$L$11)+V392,""),"")</f>
        <v/>
      </c>
      <c r="B393" s="167" t="str">
        <f ca="1" t="shared" si="110"/>
        <v/>
      </c>
      <c r="C393" t="str">
        <f ca="1" t="shared" si="119"/>
        <v/>
      </c>
      <c r="D393" t="str">
        <f ca="1">IF(B393&lt;&gt;"",IF(C392&lt;=加速!$L$11*(1-E393),0,1),"")</f>
        <v/>
      </c>
      <c r="E393">
        <f ca="1" t="shared" si="116"/>
        <v>1</v>
      </c>
      <c r="G393" t="str">
        <f ca="1" t="shared" si="117"/>
        <v/>
      </c>
      <c r="H393" t="str">
        <f ca="1">IF(B393&lt;&gt;"",IF(AND(COUNTIF(B392,"*轻*莺鸣柳*")&gt;0,COUNTIF(B393,"*轻*")&lt;1),MAX(0,15+I392-(A393-A392)+COUNTIF(B392,"*平湖*")*0),IF(AND(E393=0,MAX(0,H392-(A393-A392))&lt;=加速!$H$11),0,MAX(0,H392-(A393-A392)))),"")</f>
        <v/>
      </c>
      <c r="I393" t="str">
        <f ca="1" t="shared" si="123"/>
        <v/>
      </c>
      <c r="J393" t="str">
        <f ca="1" t="shared" si="124"/>
        <v/>
      </c>
      <c r="K393" t="str">
        <f ca="1" t="shared" si="111"/>
        <v/>
      </c>
      <c r="L393">
        <f ca="1">IFERROR(IF(AND(COUNTIF(B393,"*-峰插*"),技能数据库!$M$72&gt;0),0,IF(COUNTIF(B393,"*鹤归*")&gt;0,16-加速!$L$11,MAX(0,L392-(A393-A392)))),0)</f>
        <v>0</v>
      </c>
      <c r="M393">
        <f ca="1" t="shared" si="112"/>
        <v>0</v>
      </c>
      <c r="N393">
        <f ca="1">IFERROR(IF(AND(COUNTIF(B393,"*-峰插*"),技能数据库!$M$72&gt;0),0,IF(COUNTIF(B393,"*云飞*")&gt;0,4-COUNTIF(B393,"*玉山揽云*")*4--COUNTIF(B393,"*烟流暮景*")*4-COUNTIF(B393,"*云景*")*加速!$L$11-IF(J393&gt;0,2,0),MAX(0,N392-(A393-A392)-IF(J393&gt;0,2,0)))),0)</f>
        <v>0</v>
      </c>
      <c r="O393">
        <f ca="1">IF(AND(COUNTIF(IF(AND(配装计算器!$K$30&lt;&gt;"∞",0),INDEX(AU392:CB392,1,$AT$1),INDEX(AU394:CB394,1,$AT$1)),"*云飞*")=1,COUNTIF(IF(AND(配装计算器!$K$30&lt;&gt;"∞",0),INDEX(AU392:CB392,1,$AT$1),INDEX(AU394:CB394,1,$AT$1)),"*玉山*")=0),N393,0)</f>
        <v>0</v>
      </c>
      <c r="P393">
        <f ca="1">IFERROR(IF(COUNTIF(B393,"*云栖松*")&gt;0,50-加速!$L$11,MAX(0,P392-(A393-A392))),0)</f>
        <v>0</v>
      </c>
      <c r="Q393">
        <f ca="1">IF(COUNTIF(IF(AND(配装计算器!$K$30&lt;&gt;"∞",0),INDEX(AU392:CB392,1,$AT$1),INDEX(AU394:CB394,1,$AT$1)),"*云栖松*")=1,P393,0)</f>
        <v>0</v>
      </c>
      <c r="R393">
        <f ca="1">IFERROR(IF(COUNTIF(B393,"*莺鸣柳*")&gt;0,45-加速!$L$9,MAX(0,R392-(A393-A392))),0)</f>
        <v>0</v>
      </c>
      <c r="S393">
        <f ca="1">IF(COUNTIF(IF(AND(配装计算器!$K$30&lt;&gt;"∞",0),INDEX(AU392:CB392,1,$AT$1),INDEX(AU394:CB394,1,$AT$1)),"*莺鸣柳*")=1,R393,0)</f>
        <v>0</v>
      </c>
      <c r="T393">
        <f ca="1" t="shared" si="120"/>
        <v>0</v>
      </c>
      <c r="U393">
        <f ca="1">IF(金蛇,IF(COUNTIF(B393,"*金环戴*")+COUNTIF(B393,"*吹风醒*")&gt;0,IF(A393&lt;=3,7.125-2.625-A393-加速!$L$11,7.125+加速!$K$9-(A393+加速!$L$11-T393)),0),0)+IF(金蛇,IF(COUNTIF(B393,"*千切子裂光*")&gt;0,2+加速!$K$9-(A393+加速!$L$11-T393),0),0)</f>
        <v>0</v>
      </c>
      <c r="V393">
        <f ca="1" t="shared" si="121"/>
        <v>0</v>
      </c>
      <c r="W393">
        <f ca="1" t="shared" si="113"/>
        <v>0</v>
      </c>
      <c r="X393">
        <f ca="1">INDEX(加速!$I$13:$I$21,W393+1)</f>
        <v>0</v>
      </c>
      <c r="Y393">
        <f ca="1" t="shared" si="122"/>
        <v>0.5</v>
      </c>
      <c r="Z393">
        <f ca="1" t="shared" si="118"/>
        <v>0</v>
      </c>
      <c r="AA393">
        <f ca="1">MAX(0,IFERROR(IF(COUNTIF(B393,"*叠*")&gt;0,IF(AC392&lt;3,8-A394+A393,AA392+6.875-A394+A393),AA392-A394+A393),AA392-加速!$L$11))</f>
        <v>0</v>
      </c>
      <c r="AB393" t="e">
        <f ca="1">MAX(0,IF(COUNTIF(IF(AND(配装计算器!$K$30&lt;&gt;"∞",0),INDEX(AU393:CB393,1,$AT$1),INDEX(AU393:CB393,1,$AT$1)),"*叠1*")=1,4*25-加速!$L$11,AB392-A393+A392)-IF(OR(COUNTIF(OFFSET(AT393,0,$AT$1,1,1),"*听雷*")&gt;0,AND(碧归&gt;0,COUNTIF(OFFSET(AT393,0,$AT$1,1,1),"*风来*")&gt;0)),0,1)*1.5)</f>
        <v>#VALUE!</v>
      </c>
      <c r="AC393">
        <f ca="1" t="shared" si="114"/>
        <v>0</v>
      </c>
      <c r="AD393">
        <f ca="1">IF(COUNTIF(IF(AND(配装计算器!$K$30&lt;&gt;"∞",0),INDEX(AU393:CB393,1,$AT$1),INDEX(AU394:CB394,1,$AT$1)),"*叠1*")=1,AB393*0+AE392,0)</f>
        <v>0</v>
      </c>
      <c r="AE393" t="e">
        <f ca="1">IF($AN$11&gt;0,IF(COUNTIF(B394,"*叠1*")&gt;0,50-加速!$L$11,MAX(0,AE392-(A394-A393))),0)</f>
        <v>#VALUE!</v>
      </c>
      <c r="AG393">
        <f ca="1" t="shared" si="115"/>
        <v>11</v>
      </c>
      <c r="AU393" s="176" t="s">
        <v>2776</v>
      </c>
      <c r="AV393">
        <v>2</v>
      </c>
      <c r="AW393" t="s">
        <v>2768</v>
      </c>
      <c r="AX393">
        <v>2</v>
      </c>
      <c r="AY393" t="s">
        <v>2722</v>
      </c>
      <c r="AZ393">
        <v>0</v>
      </c>
      <c r="BA393" t="s">
        <v>2768</v>
      </c>
      <c r="BB393">
        <v>2</v>
      </c>
      <c r="BC393" s="176" t="s">
        <v>3026</v>
      </c>
      <c r="BD393">
        <v>2</v>
      </c>
      <c r="BE393" t="s">
        <v>2794</v>
      </c>
      <c r="BF393">
        <v>0</v>
      </c>
      <c r="BG393" t="s">
        <v>3067</v>
      </c>
      <c r="BH393">
        <v>0</v>
      </c>
      <c r="BI393" t="s">
        <v>2794</v>
      </c>
      <c r="BJ393">
        <v>2</v>
      </c>
      <c r="BK393" t="s">
        <v>2768</v>
      </c>
      <c r="BL393">
        <v>1</v>
      </c>
      <c r="BM393" s="176" t="s">
        <v>2768</v>
      </c>
      <c r="BN393">
        <v>2</v>
      </c>
      <c r="BO393" t="s">
        <v>2768</v>
      </c>
      <c r="BP393">
        <v>1</v>
      </c>
      <c r="BQ393" t="s">
        <v>2768</v>
      </c>
      <c r="BR393">
        <v>2</v>
      </c>
      <c r="BS393" s="182" t="s">
        <v>2776</v>
      </c>
      <c r="BT393">
        <v>2</v>
      </c>
      <c r="BU393" t="s">
        <v>2776</v>
      </c>
      <c r="BV393">
        <v>1</v>
      </c>
      <c r="BW393" s="179" t="str">
        <f>IF($AN$11=1,橙武补雾锁,"听雷-重")</f>
        <v>云飞玉皇-玉山揽云</v>
      </c>
      <c r="BX393" s="179">
        <v>0</v>
      </c>
      <c r="BY393" t="s">
        <v>2768</v>
      </c>
      <c r="BZ393">
        <v>2</v>
      </c>
      <c r="CA393" t="s">
        <v>2768</v>
      </c>
      <c r="CB393">
        <v>2</v>
      </c>
    </row>
    <row r="394" spans="1:80">
      <c r="A394" s="178" t="str">
        <f ca="1">IFERROR(IF(AG393&lt;5+金蛇*2,IF(COUNTIF(B393,"*轻*")&gt;0,A393+加速!$L$9,A393+加速!$L$11)+V393,""),"")</f>
        <v/>
      </c>
      <c r="B394" s="167" t="str">
        <f ca="1" t="shared" si="110"/>
        <v/>
      </c>
      <c r="C394" t="str">
        <f ca="1" t="shared" si="119"/>
        <v/>
      </c>
      <c r="D394" t="str">
        <f ca="1">IF(B394&lt;&gt;"",IF(C393&lt;=加速!$L$11*(1-E394),0,1),"")</f>
        <v/>
      </c>
      <c r="E394">
        <f ca="1" t="shared" si="116"/>
        <v>1</v>
      </c>
      <c r="G394" t="str">
        <f ca="1" t="shared" si="117"/>
        <v/>
      </c>
      <c r="H394" t="str">
        <f ca="1">IF(B394&lt;&gt;"",IF(AND(COUNTIF(B393,"*轻*莺鸣柳*")&gt;0,COUNTIF(B394,"*轻*")&lt;1),MAX(0,15+I393-(A394-A393)+COUNTIF(B393,"*平湖*")*0),IF(AND(E394=0,MAX(0,H393-(A394-A393))&lt;=加速!$H$11),0,MAX(0,H393-(A394-A393)))),"")</f>
        <v/>
      </c>
      <c r="I394" t="str">
        <f ca="1" t="shared" si="123"/>
        <v/>
      </c>
      <c r="J394" t="str">
        <f ca="1" t="shared" si="124"/>
        <v/>
      </c>
      <c r="K394" t="str">
        <f ca="1" t="shared" si="111"/>
        <v/>
      </c>
      <c r="L394">
        <f ca="1">IFERROR(IF(AND(COUNTIF(B394,"*-峰插*"),技能数据库!$M$72&gt;0),0,IF(COUNTIF(B394,"*鹤归*")&gt;0,16-加速!$L$11,MAX(0,L393-(A394-A393)))),0)</f>
        <v>0</v>
      </c>
      <c r="M394">
        <f ca="1" t="shared" si="112"/>
        <v>0</v>
      </c>
      <c r="N394">
        <f ca="1">IFERROR(IF(AND(COUNTIF(B394,"*-峰插*"),技能数据库!$M$72&gt;0),0,IF(COUNTIF(B394,"*云飞*")&gt;0,4-COUNTIF(B394,"*玉山揽云*")*4--COUNTIF(B394,"*烟流暮景*")*4-COUNTIF(B394,"*云景*")*加速!$L$11-IF(J394&gt;0,2,0),MAX(0,N393-(A394-A393)-IF(J394&gt;0,2,0)))),0)</f>
        <v>0</v>
      </c>
      <c r="O394">
        <f ca="1">IF(AND(COUNTIF(IF(AND(配装计算器!$K$30&lt;&gt;"∞",0),INDEX(AU393:CB393,1,$AT$1),INDEX(AU395:CB395,1,$AT$1)),"*云飞*")=1,COUNTIF(IF(AND(配装计算器!$K$30&lt;&gt;"∞",0),INDEX(AU393:CB393,1,$AT$1),INDEX(AU395:CB395,1,$AT$1)),"*玉山*")=0),N394,0)</f>
        <v>0</v>
      </c>
      <c r="P394">
        <f ca="1">IFERROR(IF(COUNTIF(B394,"*云栖松*")&gt;0,50-加速!$L$11,MAX(0,P393-(A394-A393))),0)</f>
        <v>0</v>
      </c>
      <c r="Q394">
        <f ca="1">IF(COUNTIF(IF(AND(配装计算器!$K$30&lt;&gt;"∞",0),INDEX(AU393:CB393,1,$AT$1),INDEX(AU395:CB395,1,$AT$1)),"*云栖松*")=1,P394,0)</f>
        <v>0</v>
      </c>
      <c r="R394">
        <f ca="1">IFERROR(IF(COUNTIF(B394,"*莺鸣柳*")&gt;0,45-加速!$L$9,MAX(0,R393-(A394-A393))),0)</f>
        <v>0</v>
      </c>
      <c r="S394">
        <f ca="1">IF(COUNTIF(IF(AND(配装计算器!$K$30&lt;&gt;"∞",0),INDEX(AU393:CB393,1,$AT$1),INDEX(AU395:CB395,1,$AT$1)),"*莺鸣柳*")=1,R394,0)</f>
        <v>0</v>
      </c>
      <c r="T394">
        <f ca="1" t="shared" si="120"/>
        <v>0</v>
      </c>
      <c r="U394">
        <f ca="1">IF(金蛇,IF(COUNTIF(B394,"*金环戴*")+COUNTIF(B394,"*吹风醒*")&gt;0,IF(A394&lt;=3,7.125-2.625-A394-加速!$L$11,7.125+加速!$K$9-(A394+加速!$L$11-T394)),0),0)+IF(金蛇,IF(COUNTIF(B394,"*千切子裂光*")&gt;0,2+加速!$K$9-(A394+加速!$L$11-T394),0),0)</f>
        <v>0</v>
      </c>
      <c r="V394">
        <f ca="1" t="shared" si="121"/>
        <v>0</v>
      </c>
      <c r="W394">
        <f ca="1" t="shared" si="113"/>
        <v>0</v>
      </c>
      <c r="X394">
        <f ca="1">INDEX(加速!$I$13:$I$21,W394+1)</f>
        <v>0</v>
      </c>
      <c r="Y394">
        <f ca="1" t="shared" si="122"/>
        <v>0.5</v>
      </c>
      <c r="Z394">
        <f ca="1" t="shared" si="118"/>
        <v>0</v>
      </c>
      <c r="AA394">
        <f ca="1">MAX(0,IFERROR(IF(COUNTIF(B394,"*叠*")&gt;0,IF(AC393&lt;3,8-A395+A394,AA393+6.875-A395+A394),AA393-A395+A394),AA393-加速!$L$11))</f>
        <v>0</v>
      </c>
      <c r="AB394" t="e">
        <f ca="1">MAX(0,IF(COUNTIF(IF(AND(配装计算器!$K$30&lt;&gt;"∞",0),INDEX(AU394:CB394,1,$AT$1),INDEX(AU394:CB394,1,$AT$1)),"*叠1*")=1,4*25-加速!$L$11,AB393-A394+A393)-IF(OR(COUNTIF(OFFSET(AT394,0,$AT$1,1,1),"*听雷*")&gt;0,AND(碧归&gt;0,COUNTIF(OFFSET(AT394,0,$AT$1,1,1),"*风来*")&gt;0)),0,1)*1.5)</f>
        <v>#VALUE!</v>
      </c>
      <c r="AC394">
        <f ca="1" t="shared" si="114"/>
        <v>0</v>
      </c>
      <c r="AD394">
        <f ca="1">IF(COUNTIF(IF(AND(配装计算器!$K$30&lt;&gt;"∞",0),INDEX(AU394:CB394,1,$AT$1),INDEX(AU395:CB395,1,$AT$1)),"*叠1*")=1,AB394*0+AE393,0)</f>
        <v>0</v>
      </c>
      <c r="AE394" t="e">
        <f ca="1">IF($AN$11&gt;0,IF(COUNTIF(B395,"*叠1*")&gt;0,50-加速!$L$11,MAX(0,AE393-(A395-A394))),0)</f>
        <v>#VALUE!</v>
      </c>
      <c r="AG394">
        <f ca="1" t="shared" si="115"/>
        <v>11</v>
      </c>
      <c r="AU394" t="s">
        <v>2768</v>
      </c>
      <c r="AV394">
        <v>2</v>
      </c>
      <c r="AW394" s="176" t="s">
        <v>2794</v>
      </c>
      <c r="AX394">
        <v>2</v>
      </c>
      <c r="AY394" t="s">
        <v>2776</v>
      </c>
      <c r="AZ394">
        <v>2</v>
      </c>
      <c r="BA394" t="s">
        <v>2768</v>
      </c>
      <c r="BB394">
        <v>2</v>
      </c>
      <c r="BC394" s="176" t="s">
        <v>3026</v>
      </c>
      <c r="BD394">
        <v>2</v>
      </c>
      <c r="BE394" t="s">
        <v>2776</v>
      </c>
      <c r="BF394">
        <v>0</v>
      </c>
      <c r="BG394" t="s">
        <v>2768</v>
      </c>
      <c r="BH394">
        <v>2</v>
      </c>
      <c r="BI394" t="s">
        <v>2776</v>
      </c>
      <c r="BJ394">
        <v>2</v>
      </c>
      <c r="BK394" t="s">
        <v>2776</v>
      </c>
      <c r="BL394">
        <v>1</v>
      </c>
      <c r="BM394" s="176" t="s">
        <v>2776</v>
      </c>
      <c r="BN394">
        <v>2</v>
      </c>
      <c r="BO394" t="s">
        <v>2722</v>
      </c>
      <c r="BP394">
        <v>0</v>
      </c>
      <c r="BQ394" t="s">
        <v>2776</v>
      </c>
      <c r="BR394">
        <v>1</v>
      </c>
      <c r="BS394" s="182" t="s">
        <v>2768</v>
      </c>
      <c r="BT394">
        <v>2</v>
      </c>
      <c r="BU394" t="s">
        <v>2768</v>
      </c>
      <c r="BV394">
        <v>0</v>
      </c>
      <c r="BW394" s="179" t="str">
        <f t="shared" si="125"/>
        <v>云飞玉皇-玉山揽云</v>
      </c>
      <c r="BX394" s="179">
        <v>2</v>
      </c>
      <c r="BY394" t="s">
        <v>2718</v>
      </c>
      <c r="BZ394">
        <v>0</v>
      </c>
      <c r="CA394" t="s">
        <v>2768</v>
      </c>
      <c r="CB394">
        <v>2</v>
      </c>
    </row>
    <row r="395" spans="1:80">
      <c r="A395" s="178" t="str">
        <f ca="1">IFERROR(IF(AG394&lt;5+金蛇*2,IF(COUNTIF(B394,"*轻*")&gt;0,A394+加速!$L$9,A394+加速!$L$11)+V394,""),"")</f>
        <v/>
      </c>
      <c r="B395" s="167" t="str">
        <f ca="1" t="shared" si="110"/>
        <v/>
      </c>
      <c r="C395" t="str">
        <f ca="1" t="shared" si="119"/>
        <v/>
      </c>
      <c r="D395" t="str">
        <f ca="1">IF(B395&lt;&gt;"",IF(C394&lt;=加速!$L$11*(1-E395),0,1),"")</f>
        <v/>
      </c>
      <c r="E395">
        <f ca="1" t="shared" si="116"/>
        <v>1</v>
      </c>
      <c r="G395" t="str">
        <f ca="1" t="shared" si="117"/>
        <v/>
      </c>
      <c r="H395" t="str">
        <f ca="1">IF(B395&lt;&gt;"",IF(AND(COUNTIF(B394,"*轻*莺鸣柳*")&gt;0,COUNTIF(B395,"*轻*")&lt;1),MAX(0,15+I394-(A395-A394)+COUNTIF(B394,"*平湖*")*0),IF(AND(E395=0,MAX(0,H394-(A395-A394))&lt;=加速!$H$11),0,MAX(0,H394-(A395-A394)))),"")</f>
        <v/>
      </c>
      <c r="I395" t="str">
        <f ca="1" t="shared" si="123"/>
        <v/>
      </c>
      <c r="J395" t="str">
        <f ca="1" t="shared" si="124"/>
        <v/>
      </c>
      <c r="K395" t="str">
        <f ca="1" t="shared" si="111"/>
        <v/>
      </c>
      <c r="L395">
        <f ca="1">IFERROR(IF(AND(COUNTIF(B395,"*-峰插*"),技能数据库!$M$72&gt;0),0,IF(COUNTIF(B395,"*鹤归*")&gt;0,16-加速!$L$11,MAX(0,L394-(A395-A394)))),0)</f>
        <v>0</v>
      </c>
      <c r="M395">
        <f ca="1" t="shared" si="112"/>
        <v>0</v>
      </c>
      <c r="N395">
        <f ca="1">IFERROR(IF(AND(COUNTIF(B395,"*-峰插*"),技能数据库!$M$72&gt;0),0,IF(COUNTIF(B395,"*云飞*")&gt;0,4-COUNTIF(B395,"*玉山揽云*")*4--COUNTIF(B395,"*烟流暮景*")*4-COUNTIF(B395,"*云景*")*加速!$L$11-IF(J395&gt;0,2,0),MAX(0,N394-(A395-A394)-IF(J395&gt;0,2,0)))),0)</f>
        <v>0</v>
      </c>
      <c r="O395">
        <f ca="1">IF(AND(COUNTIF(IF(AND(配装计算器!$K$30&lt;&gt;"∞",0),INDEX(AU394:CB394,1,$AT$1),INDEX(AU396:CB396,1,$AT$1)),"*云飞*")=1,COUNTIF(IF(AND(配装计算器!$K$30&lt;&gt;"∞",0),INDEX(AU394:CB394,1,$AT$1),INDEX(AU396:CB396,1,$AT$1)),"*玉山*")=0),N395,0)</f>
        <v>0</v>
      </c>
      <c r="P395">
        <f ca="1">IFERROR(IF(COUNTIF(B395,"*云栖松*")&gt;0,50-加速!$L$11,MAX(0,P394-(A395-A394))),0)</f>
        <v>0</v>
      </c>
      <c r="Q395">
        <f ca="1">IF(COUNTIF(IF(AND(配装计算器!$K$30&lt;&gt;"∞",0),INDEX(AU394:CB394,1,$AT$1),INDEX(AU396:CB396,1,$AT$1)),"*云栖松*")=1,P395,0)</f>
        <v>0</v>
      </c>
      <c r="R395">
        <f ca="1">IFERROR(IF(COUNTIF(B395,"*莺鸣柳*")&gt;0,45-加速!$L$9,MAX(0,R394-(A395-A394))),0)</f>
        <v>0</v>
      </c>
      <c r="S395">
        <f ca="1">IF(COUNTIF(IF(AND(配装计算器!$K$30&lt;&gt;"∞",0),INDEX(AU394:CB394,1,$AT$1),INDEX(AU396:CB396,1,$AT$1)),"*莺鸣柳*")=1,R395,0)</f>
        <v>0</v>
      </c>
      <c r="T395">
        <f ca="1" t="shared" si="120"/>
        <v>0</v>
      </c>
      <c r="U395">
        <f ca="1">IF(金蛇,IF(COUNTIF(B395,"*金环戴*")+COUNTIF(B395,"*吹风醒*")&gt;0,IF(A395&lt;=3,7.125-2.625-A395-加速!$L$11,7.125+加速!$K$9-(A395+加速!$L$11-T395)),0),0)+IF(金蛇,IF(COUNTIF(B395,"*千切子裂光*")&gt;0,2+加速!$K$9-(A395+加速!$L$11-T395),0),0)</f>
        <v>0</v>
      </c>
      <c r="V395">
        <f ca="1" t="shared" si="121"/>
        <v>0</v>
      </c>
      <c r="W395">
        <f ca="1" t="shared" si="113"/>
        <v>0</v>
      </c>
      <c r="X395">
        <f ca="1">INDEX(加速!$I$13:$I$21,W395+1)</f>
        <v>0</v>
      </c>
      <c r="Y395">
        <f ca="1" t="shared" si="122"/>
        <v>0.5</v>
      </c>
      <c r="Z395">
        <f ca="1" t="shared" si="118"/>
        <v>0</v>
      </c>
      <c r="AA395">
        <f ca="1">MAX(0,IFERROR(IF(COUNTIF(B395,"*叠*")&gt;0,IF(AC394&lt;3,8-A396+A395,AA394+6.875-A396+A395),AA394-A396+A395),AA394-加速!$L$11))</f>
        <v>0</v>
      </c>
      <c r="AB395" t="e">
        <f ca="1">MAX(0,IF(COUNTIF(IF(AND(配装计算器!$K$30&lt;&gt;"∞",0),INDEX(AU395:CB395,1,$AT$1),INDEX(AU395:CB395,1,$AT$1)),"*叠1*")=1,4*25-加速!$L$11,AB394-A395+A394)-IF(OR(COUNTIF(OFFSET(AT395,0,$AT$1,1,1),"*听雷*")&gt;0,AND(碧归&gt;0,COUNTIF(OFFSET(AT395,0,$AT$1,1,1),"*风来*")&gt;0)),0,1)*1.5)</f>
        <v>#VALUE!</v>
      </c>
      <c r="AC395">
        <f ca="1" t="shared" si="114"/>
        <v>0</v>
      </c>
      <c r="AD395">
        <f ca="1">IF(COUNTIF(IF(AND(配装计算器!$K$30&lt;&gt;"∞",0),INDEX(AU395:CB395,1,$AT$1),INDEX(AU396:CB396,1,$AT$1)),"*叠1*")=1,AB395*0+AE394,0)</f>
        <v>0</v>
      </c>
      <c r="AE395" t="e">
        <f ca="1">IF($AN$11&gt;0,IF(COUNTIF(B396,"*叠1*")&gt;0,50-加速!$L$11,MAX(0,AE394-(A396-A395))),0)</f>
        <v>#VALUE!</v>
      </c>
      <c r="AG395">
        <f ca="1" t="shared" si="115"/>
        <v>11</v>
      </c>
      <c r="AU395" t="str">
        <f>IF($AN$11=1,"云飞玉皇-玉山揽云","夕照雷峰")</f>
        <v>云飞玉皇-玉山揽云</v>
      </c>
      <c r="AV395">
        <v>2</v>
      </c>
      <c r="AW395" s="176" t="s">
        <v>2768</v>
      </c>
      <c r="AX395">
        <v>2</v>
      </c>
      <c r="AY395" t="s">
        <v>2768</v>
      </c>
      <c r="AZ395">
        <v>2</v>
      </c>
      <c r="BA395" t="s">
        <v>2768</v>
      </c>
      <c r="BB395">
        <v>1</v>
      </c>
      <c r="BC395" s="176" t="s">
        <v>3026</v>
      </c>
      <c r="BD395">
        <v>2</v>
      </c>
      <c r="BE395" t="s">
        <v>2768</v>
      </c>
      <c r="BF395">
        <v>0</v>
      </c>
      <c r="BG395" t="s">
        <v>2768</v>
      </c>
      <c r="BH395">
        <v>2</v>
      </c>
      <c r="BI395" t="s">
        <v>2768</v>
      </c>
      <c r="BJ395">
        <v>2</v>
      </c>
      <c r="BK395" t="s">
        <v>2768</v>
      </c>
      <c r="BL395">
        <v>0</v>
      </c>
      <c r="BM395" s="176" t="s">
        <v>2768</v>
      </c>
      <c r="BN395">
        <v>2</v>
      </c>
      <c r="BO395" t="s">
        <v>3009</v>
      </c>
      <c r="BP395">
        <v>2</v>
      </c>
      <c r="BQ395" t="s">
        <v>2768</v>
      </c>
      <c r="BR395">
        <v>1</v>
      </c>
      <c r="BS395" s="182" t="s">
        <v>2768</v>
      </c>
      <c r="BT395">
        <v>2</v>
      </c>
      <c r="BU395" t="s">
        <v>2768</v>
      </c>
      <c r="BV395">
        <v>0</v>
      </c>
      <c r="BW395" s="179" t="str">
        <f t="shared" si="125"/>
        <v>云飞玉皇-玉山揽云</v>
      </c>
      <c r="BX395" s="179">
        <v>2</v>
      </c>
      <c r="BY395" t="s">
        <v>2768</v>
      </c>
      <c r="BZ395">
        <v>2</v>
      </c>
      <c r="CA395" t="s">
        <v>2768</v>
      </c>
      <c r="CB395">
        <v>2</v>
      </c>
    </row>
    <row r="396" spans="1:80">
      <c r="A396" s="178" t="str">
        <f ca="1">IFERROR(IF(AG395&lt;5+金蛇*2,IF(COUNTIF(B395,"*轻*")&gt;0,A395+加速!$L$9,A395+加速!$L$11)+V395,""),"")</f>
        <v/>
      </c>
      <c r="B396" s="167" t="str">
        <f ca="1" t="shared" si="110"/>
        <v/>
      </c>
      <c r="C396" t="str">
        <f ca="1" t="shared" si="119"/>
        <v/>
      </c>
      <c r="D396" t="str">
        <f ca="1">IF(B396&lt;&gt;"",IF(C395&lt;=加速!$L$11*(1-E396),0,1),"")</f>
        <v/>
      </c>
      <c r="E396">
        <f ca="1" t="shared" si="116"/>
        <v>1</v>
      </c>
      <c r="G396" t="str">
        <f ca="1" t="shared" si="117"/>
        <v/>
      </c>
      <c r="H396" t="str">
        <f ca="1">IF(B396&lt;&gt;"",IF(AND(COUNTIF(B395,"*轻*莺鸣柳*")&gt;0,COUNTIF(B396,"*轻*")&lt;1),MAX(0,15+I395-(A396-A395)+COUNTIF(B395,"*平湖*")*0),IF(AND(E396=0,MAX(0,H395-(A396-A395))&lt;=加速!$H$11),0,MAX(0,H395-(A396-A395)))),"")</f>
        <v/>
      </c>
      <c r="I396" t="str">
        <f ca="1" t="shared" si="123"/>
        <v/>
      </c>
      <c r="J396" t="str">
        <f ca="1" t="shared" si="124"/>
        <v/>
      </c>
      <c r="K396" t="str">
        <f ca="1" t="shared" si="111"/>
        <v/>
      </c>
      <c r="L396">
        <f ca="1">IFERROR(IF(AND(COUNTIF(B396,"*-峰插*"),技能数据库!$M$72&gt;0),0,IF(COUNTIF(B396,"*鹤归*")&gt;0,16-加速!$L$11,MAX(0,L395-(A396-A395)))),0)</f>
        <v>0</v>
      </c>
      <c r="M396">
        <f ca="1" t="shared" si="112"/>
        <v>0</v>
      </c>
      <c r="N396">
        <f ca="1">IFERROR(IF(AND(COUNTIF(B396,"*-峰插*"),技能数据库!$M$72&gt;0),0,IF(COUNTIF(B396,"*云飞*")&gt;0,4-COUNTIF(B396,"*玉山揽云*")*4--COUNTIF(B396,"*烟流暮景*")*4-COUNTIF(B396,"*云景*")*加速!$L$11-IF(J396&gt;0,2,0),MAX(0,N395-(A396-A395)-IF(J396&gt;0,2,0)))),0)</f>
        <v>0</v>
      </c>
      <c r="O396">
        <f ca="1">IF(AND(COUNTIF(IF(AND(配装计算器!$K$30&lt;&gt;"∞",0),INDEX(AU395:CB395,1,$AT$1),INDEX(AU397:CB397,1,$AT$1)),"*云飞*")=1,COUNTIF(IF(AND(配装计算器!$K$30&lt;&gt;"∞",0),INDEX(AU395:CB395,1,$AT$1),INDEX(AU397:CB397,1,$AT$1)),"*玉山*")=0),N396,0)</f>
        <v>0</v>
      </c>
      <c r="P396">
        <f ca="1">IFERROR(IF(COUNTIF(B396,"*云栖松*")&gt;0,50-加速!$L$11,MAX(0,P395-(A396-A395))),0)</f>
        <v>0</v>
      </c>
      <c r="Q396">
        <f ca="1">IF(COUNTIF(IF(AND(配装计算器!$K$30&lt;&gt;"∞",0),INDEX(AU395:CB395,1,$AT$1),INDEX(AU397:CB397,1,$AT$1)),"*云栖松*")=1,P396,0)</f>
        <v>0</v>
      </c>
      <c r="R396">
        <f ca="1">IFERROR(IF(COUNTIF(B396,"*莺鸣柳*")&gt;0,45-加速!$L$9,MAX(0,R395-(A396-A395))),0)</f>
        <v>0</v>
      </c>
      <c r="S396">
        <f ca="1">IF(COUNTIF(IF(AND(配装计算器!$K$30&lt;&gt;"∞",0),INDEX(AU395:CB395,1,$AT$1),INDEX(AU397:CB397,1,$AT$1)),"*莺鸣柳*")=1,R396,0)</f>
        <v>0</v>
      </c>
      <c r="T396">
        <f ca="1" t="shared" si="120"/>
        <v>0</v>
      </c>
      <c r="U396">
        <f ca="1">IF(金蛇,IF(COUNTIF(B396,"*金环戴*")+COUNTIF(B396,"*吹风醒*")&gt;0,IF(A396&lt;=3,7.125-2.625-A396-加速!$L$11,7.125+加速!$K$9-(A396+加速!$L$11-T396)),0),0)+IF(金蛇,IF(COUNTIF(B396,"*千切子裂光*")&gt;0,2+加速!$K$9-(A396+加速!$L$11-T396),0),0)</f>
        <v>0</v>
      </c>
      <c r="V396">
        <f ca="1" t="shared" si="121"/>
        <v>0</v>
      </c>
      <c r="W396">
        <f ca="1" t="shared" si="113"/>
        <v>0</v>
      </c>
      <c r="X396">
        <f ca="1">INDEX(加速!$I$13:$I$21,W396+1)</f>
        <v>0</v>
      </c>
      <c r="Y396">
        <f ca="1" t="shared" si="122"/>
        <v>0.5</v>
      </c>
      <c r="Z396">
        <f ca="1" t="shared" si="118"/>
        <v>0</v>
      </c>
      <c r="AA396">
        <f ca="1">MAX(0,IFERROR(IF(COUNTIF(B396,"*叠*")&gt;0,IF(AC395&lt;3,8-A397+A396,AA395+6.875-A397+A396),AA395-A397+A396),AA395-加速!$L$11))</f>
        <v>0</v>
      </c>
      <c r="AB396" t="e">
        <f ca="1">MAX(0,IF(COUNTIF(IF(AND(配装计算器!$K$30&lt;&gt;"∞",0),INDEX(AU396:CB396,1,$AT$1),INDEX(AU396:CB396,1,$AT$1)),"*叠1*")=1,4*25-加速!$L$11,AB395-A396+A395)-IF(OR(COUNTIF(OFFSET(AT396,0,$AT$1,1,1),"*听雷*")&gt;0,AND(碧归&gt;0,COUNTIF(OFFSET(AT396,0,$AT$1,1,1),"*风来*")&gt;0)),0,1)*1.5)</f>
        <v>#VALUE!</v>
      </c>
      <c r="AC396">
        <f ca="1" t="shared" si="114"/>
        <v>0</v>
      </c>
      <c r="AD396">
        <f ca="1">IF(COUNTIF(IF(AND(配装计算器!$K$30&lt;&gt;"∞",0),INDEX(AU396:CB396,1,$AT$1),INDEX(AU397:CB397,1,$AT$1)),"*叠1*")=1,AB396*0+AE395,0)</f>
        <v>0</v>
      </c>
      <c r="AE396" t="e">
        <f ca="1">IF($AN$11&gt;0,IF(COUNTIF(B397,"*叠1*")&gt;0,50-加速!$L$11,MAX(0,AE395-(A397-A396))),0)</f>
        <v>#VALUE!</v>
      </c>
      <c r="AG396">
        <f ca="1" t="shared" si="115"/>
        <v>11</v>
      </c>
      <c r="AU396" t="str">
        <f>IF($AN$11=1,"云飞玉皇-玉山揽云","云飞玉皇")</f>
        <v>云飞玉皇-玉山揽云</v>
      </c>
      <c r="AV396">
        <v>2</v>
      </c>
      <c r="AW396" s="176" t="s">
        <v>2776</v>
      </c>
      <c r="AX396">
        <v>2</v>
      </c>
      <c r="AY396" t="s">
        <v>2768</v>
      </c>
      <c r="AZ396">
        <v>2</v>
      </c>
      <c r="BA396" t="s">
        <v>2776</v>
      </c>
      <c r="BB396">
        <v>1</v>
      </c>
      <c r="BC396" s="176" t="s">
        <v>3026</v>
      </c>
      <c r="BD396">
        <v>2</v>
      </c>
      <c r="BE396" t="s">
        <v>2776</v>
      </c>
      <c r="BF396">
        <v>0</v>
      </c>
      <c r="BG396" s="176" t="s">
        <v>2794</v>
      </c>
      <c r="BH396">
        <v>1</v>
      </c>
      <c r="BI396" t="s">
        <v>2776</v>
      </c>
      <c r="BJ396">
        <v>2</v>
      </c>
      <c r="BK396" t="s">
        <v>3056</v>
      </c>
      <c r="BL396">
        <v>0</v>
      </c>
      <c r="BM396" t="s">
        <v>3056</v>
      </c>
      <c r="BN396">
        <v>1</v>
      </c>
      <c r="BO396" t="s">
        <v>2776</v>
      </c>
      <c r="BP396">
        <v>2</v>
      </c>
      <c r="BQ396" t="s">
        <v>2776</v>
      </c>
      <c r="BR396">
        <v>1</v>
      </c>
      <c r="BS396" s="187" t="str">
        <f>IF(秋,"云景·云飞玉皇-叠-蛇牙锥心","云景·云飞玉皇-叠")</f>
        <v>云景·云飞玉皇-叠</v>
      </c>
      <c r="BT396">
        <v>2</v>
      </c>
      <c r="BU396" t="s">
        <v>2776</v>
      </c>
      <c r="BV396">
        <v>0</v>
      </c>
      <c r="BW396" s="179" t="s">
        <v>2776</v>
      </c>
      <c r="BX396" s="179">
        <v>2</v>
      </c>
      <c r="BY396" t="s">
        <v>2776</v>
      </c>
      <c r="BZ396">
        <v>2</v>
      </c>
      <c r="CA396" t="s">
        <v>2776</v>
      </c>
      <c r="CB396">
        <v>2</v>
      </c>
    </row>
    <row r="397" spans="1:80">
      <c r="A397" s="178" t="str">
        <f ca="1">IFERROR(IF(AG396&lt;5+金蛇*2,IF(COUNTIF(B396,"*轻*")&gt;0,A396+加速!$L$9,A396+加速!$L$11)+V396,""),"")</f>
        <v/>
      </c>
      <c r="B397" s="167" t="str">
        <f ca="1" t="shared" si="110"/>
        <v/>
      </c>
      <c r="C397" t="str">
        <f ca="1" t="shared" si="119"/>
        <v/>
      </c>
      <c r="D397" t="str">
        <f ca="1">IF(B397&lt;&gt;"",IF(C396&lt;=加速!$L$11*(1-E397),0,1),"")</f>
        <v/>
      </c>
      <c r="E397">
        <f ca="1" t="shared" si="116"/>
        <v>1</v>
      </c>
      <c r="G397" t="str">
        <f ca="1" t="shared" si="117"/>
        <v/>
      </c>
      <c r="H397" t="str">
        <f ca="1">IF(B397&lt;&gt;"",IF(AND(COUNTIF(B396,"*轻*莺鸣柳*")&gt;0,COUNTIF(B397,"*轻*")&lt;1),MAX(0,15+I396-(A397-A396)+COUNTIF(B396,"*平湖*")*0),IF(AND(E397=0,MAX(0,H396-(A397-A396))&lt;=加速!$H$11),0,MAX(0,H396-(A397-A396)))),"")</f>
        <v/>
      </c>
      <c r="I397" t="str">
        <f ca="1" t="shared" si="123"/>
        <v/>
      </c>
      <c r="J397" t="str">
        <f ca="1" t="shared" si="124"/>
        <v/>
      </c>
      <c r="K397" t="str">
        <f ca="1" t="shared" si="111"/>
        <v/>
      </c>
      <c r="L397">
        <f ca="1">IFERROR(IF(AND(COUNTIF(B397,"*-峰插*"),技能数据库!$M$72&gt;0),0,IF(COUNTIF(B397,"*鹤归*")&gt;0,16-加速!$L$11,MAX(0,L396-(A397-A396)))),0)</f>
        <v>0</v>
      </c>
      <c r="M397">
        <f ca="1" t="shared" si="112"/>
        <v>0</v>
      </c>
      <c r="N397">
        <f ca="1">IFERROR(IF(AND(COUNTIF(B397,"*-峰插*"),技能数据库!$M$72&gt;0),0,IF(COUNTIF(B397,"*云飞*")&gt;0,4-COUNTIF(B397,"*玉山揽云*")*4--COUNTIF(B397,"*烟流暮景*")*4-COUNTIF(B397,"*云景*")*加速!$L$11-IF(J397&gt;0,2,0),MAX(0,N396-(A397-A396)-IF(J397&gt;0,2,0)))),0)</f>
        <v>0</v>
      </c>
      <c r="O397">
        <f ca="1">IF(AND(COUNTIF(IF(AND(配装计算器!$K$30&lt;&gt;"∞",0),INDEX(AU396:CB396,1,$AT$1),INDEX(AU398:CB398,1,$AT$1)),"*云飞*")=1,COUNTIF(IF(AND(配装计算器!$K$30&lt;&gt;"∞",0),INDEX(AU396:CB396,1,$AT$1),INDEX(AU398:CB398,1,$AT$1)),"*玉山*")=0),N397,0)</f>
        <v>0</v>
      </c>
      <c r="P397">
        <f ca="1">IFERROR(IF(COUNTIF(B397,"*云栖松*")&gt;0,50-加速!$L$11,MAX(0,P396-(A397-A396))),0)</f>
        <v>0</v>
      </c>
      <c r="Q397">
        <f ca="1">IF(COUNTIF(IF(AND(配装计算器!$K$30&lt;&gt;"∞",0),INDEX(AU396:CB396,1,$AT$1),INDEX(AU398:CB398,1,$AT$1)),"*云栖松*")=1,P397,0)</f>
        <v>0</v>
      </c>
      <c r="R397">
        <f ca="1">IFERROR(IF(COUNTIF(B397,"*莺鸣柳*")&gt;0,45-加速!$L$9,MAX(0,R396-(A397-A396))),0)</f>
        <v>0</v>
      </c>
      <c r="S397">
        <f ca="1">IF(COUNTIF(IF(AND(配装计算器!$K$30&lt;&gt;"∞",0),INDEX(AU396:CB396,1,$AT$1),INDEX(AU398:CB398,1,$AT$1)),"*莺鸣柳*")=1,R397,0)</f>
        <v>0</v>
      </c>
      <c r="T397">
        <f ca="1" t="shared" si="120"/>
        <v>0</v>
      </c>
      <c r="U397">
        <f ca="1">IF(金蛇,IF(COUNTIF(B397,"*金环戴*")+COUNTIF(B397,"*吹风醒*")&gt;0,IF(A397&lt;=3,7.125-2.625-A397-加速!$L$11,7.125+加速!$K$9-(A397+加速!$L$11-T397)),0),0)+IF(金蛇,IF(COUNTIF(B397,"*千切子裂光*")&gt;0,2+加速!$K$9-(A397+加速!$L$11-T397),0),0)</f>
        <v>0</v>
      </c>
      <c r="V397">
        <f ca="1" t="shared" si="121"/>
        <v>0</v>
      </c>
      <c r="W397">
        <f ca="1" t="shared" si="113"/>
        <v>0</v>
      </c>
      <c r="X397">
        <f ca="1">INDEX(加速!$I$13:$I$21,W397+1)</f>
        <v>0</v>
      </c>
      <c r="Y397">
        <f ca="1" t="shared" si="122"/>
        <v>0.5</v>
      </c>
      <c r="Z397">
        <f ca="1" t="shared" si="118"/>
        <v>0</v>
      </c>
      <c r="AA397">
        <f ca="1">MAX(0,IFERROR(IF(COUNTIF(B397,"*叠*")&gt;0,IF(AC396&lt;3,8-A398+A397,AA396+6.875-A398+A397),AA396-A398+A397),AA396-加速!$L$11))</f>
        <v>0</v>
      </c>
      <c r="AB397" t="e">
        <f ca="1">MAX(0,IF(COUNTIF(IF(AND(配装计算器!$K$30&lt;&gt;"∞",0),INDEX(AU397:CB397,1,$AT$1),INDEX(AU397:CB397,1,$AT$1)),"*叠1*")=1,4*25-加速!$L$11,AB396-A397+A396)-IF(OR(COUNTIF(OFFSET(AT397,0,$AT$1,1,1),"*听雷*")&gt;0,AND(碧归&gt;0,COUNTIF(OFFSET(AT397,0,$AT$1,1,1),"*风来*")&gt;0)),0,1)*1.5)</f>
        <v>#VALUE!</v>
      </c>
      <c r="AC397">
        <f ca="1" t="shared" si="114"/>
        <v>0</v>
      </c>
      <c r="AD397">
        <f ca="1">IF(COUNTIF(IF(AND(配装计算器!$K$30&lt;&gt;"∞",0),INDEX(AU397:CB397,1,$AT$1),INDEX(AU398:CB398,1,$AT$1)),"*叠1*")=1,AB397*0+AE396,0)</f>
        <v>0</v>
      </c>
      <c r="AE397" t="e">
        <f ca="1">IF($AN$11&gt;0,IF(COUNTIF(B398,"*叠1*")&gt;0,50-加速!$L$11,MAX(0,AE396-(A398-A397))),0)</f>
        <v>#VALUE!</v>
      </c>
      <c r="AG397">
        <f ca="1" t="shared" si="115"/>
        <v>11</v>
      </c>
      <c r="AU397" t="str">
        <f>IF($AN$11=1,"云飞玉皇-玉山揽云","夕照雷峰")</f>
        <v>云飞玉皇-玉山揽云</v>
      </c>
      <c r="AV397">
        <v>2</v>
      </c>
      <c r="AW397" s="176" t="s">
        <v>2768</v>
      </c>
      <c r="AX397">
        <v>2</v>
      </c>
      <c r="AY397" t="s">
        <v>2768</v>
      </c>
      <c r="AZ397">
        <v>1</v>
      </c>
      <c r="BA397" t="s">
        <v>2768</v>
      </c>
      <c r="BB397">
        <v>1</v>
      </c>
      <c r="BC397" t="s">
        <v>3013</v>
      </c>
      <c r="BD397">
        <v>2</v>
      </c>
      <c r="BE397" t="s">
        <v>3012</v>
      </c>
      <c r="BF397">
        <v>2</v>
      </c>
      <c r="BG397" t="s">
        <v>2776</v>
      </c>
      <c r="BH397">
        <v>1</v>
      </c>
      <c r="BI397" t="s">
        <v>2768</v>
      </c>
      <c r="BJ397">
        <v>2</v>
      </c>
      <c r="BK397" t="s">
        <v>2768</v>
      </c>
      <c r="BL397">
        <v>2</v>
      </c>
      <c r="BM397" t="s">
        <v>2768</v>
      </c>
      <c r="BN397">
        <v>2</v>
      </c>
      <c r="BO397" t="s">
        <v>2768</v>
      </c>
      <c r="BP397">
        <v>2</v>
      </c>
      <c r="BQ397" t="s">
        <v>2768</v>
      </c>
      <c r="BR397">
        <v>0</v>
      </c>
      <c r="BS397" s="186" t="str">
        <f>IF(秋,"夕照雷峰","千切子寒光")</f>
        <v>千切子寒光</v>
      </c>
      <c r="BT397">
        <v>2</v>
      </c>
      <c r="BU397" t="s">
        <v>3067</v>
      </c>
      <c r="BV397">
        <v>0</v>
      </c>
      <c r="BW397" s="179" t="s">
        <v>2768</v>
      </c>
      <c r="BX397" s="179">
        <v>2</v>
      </c>
      <c r="BY397" t="s">
        <v>2718</v>
      </c>
      <c r="BZ397">
        <v>0</v>
      </c>
      <c r="CA397" t="s">
        <v>2718</v>
      </c>
      <c r="CB397">
        <v>0</v>
      </c>
    </row>
    <row r="398" spans="1:80">
      <c r="A398" s="178" t="str">
        <f ca="1">IFERROR(IF(AG397&lt;5+金蛇*2,IF(COUNTIF(B397,"*轻*")&gt;0,A397+加速!$L$9,A397+加速!$L$11)+V397,""),"")</f>
        <v/>
      </c>
      <c r="B398" s="167" t="str">
        <f ca="1" t="shared" si="110"/>
        <v/>
      </c>
      <c r="C398" t="str">
        <f ca="1" t="shared" si="119"/>
        <v/>
      </c>
      <c r="D398" t="str">
        <f ca="1">IF(B398&lt;&gt;"",IF(C397&lt;=加速!$L$11*(1-E398),0,1),"")</f>
        <v/>
      </c>
      <c r="E398">
        <f ca="1" t="shared" si="116"/>
        <v>1</v>
      </c>
      <c r="G398" t="str">
        <f ca="1" t="shared" si="117"/>
        <v/>
      </c>
      <c r="H398" t="str">
        <f ca="1">IF(B398&lt;&gt;"",IF(AND(COUNTIF(B397,"*轻*莺鸣柳*")&gt;0,COUNTIF(B398,"*轻*")&lt;1),MAX(0,15+I397-(A398-A397)+COUNTIF(B397,"*平湖*")*0),IF(AND(E398=0,MAX(0,H397-(A398-A397))&lt;=加速!$H$11),0,MAX(0,H397-(A398-A397)))),"")</f>
        <v/>
      </c>
      <c r="I398" t="str">
        <f ca="1" t="shared" si="123"/>
        <v/>
      </c>
      <c r="J398" t="str">
        <f ca="1" t="shared" si="124"/>
        <v/>
      </c>
      <c r="K398" t="str">
        <f ca="1" t="shared" si="111"/>
        <v/>
      </c>
      <c r="L398">
        <f ca="1">IFERROR(IF(AND(COUNTIF(B398,"*-峰插*"),技能数据库!$M$72&gt;0),0,IF(COUNTIF(B398,"*鹤归*")&gt;0,16-加速!$L$11,MAX(0,L397-(A398-A397)))),0)</f>
        <v>0</v>
      </c>
      <c r="M398">
        <f ca="1" t="shared" si="112"/>
        <v>0</v>
      </c>
      <c r="N398">
        <f ca="1">IFERROR(IF(AND(COUNTIF(B398,"*-峰插*"),技能数据库!$M$72&gt;0),0,IF(COUNTIF(B398,"*云飞*")&gt;0,4-COUNTIF(B398,"*玉山揽云*")*4--COUNTIF(B398,"*烟流暮景*")*4-COUNTIF(B398,"*云景*")*加速!$L$11-IF(J398&gt;0,2,0),MAX(0,N397-(A398-A397)-IF(J398&gt;0,2,0)))),0)</f>
        <v>0</v>
      </c>
      <c r="O398">
        <f ca="1">IF(AND(COUNTIF(IF(AND(配装计算器!$K$30&lt;&gt;"∞",0),INDEX(AU397:CB397,1,$AT$1),INDEX(AU399:CB399,1,$AT$1)),"*云飞*")=1,COUNTIF(IF(AND(配装计算器!$K$30&lt;&gt;"∞",0),INDEX(AU397:CB397,1,$AT$1),INDEX(AU399:CB399,1,$AT$1)),"*玉山*")=0),N398,0)</f>
        <v>0</v>
      </c>
      <c r="P398">
        <f ca="1">IFERROR(IF(COUNTIF(B398,"*云栖松*")&gt;0,50-加速!$L$11,MAX(0,P397-(A398-A397))),0)</f>
        <v>0</v>
      </c>
      <c r="Q398">
        <f ca="1">IF(COUNTIF(IF(AND(配装计算器!$K$30&lt;&gt;"∞",0),INDEX(AU397:CB397,1,$AT$1),INDEX(AU399:CB399,1,$AT$1)),"*云栖松*")=1,P398,0)</f>
        <v>0</v>
      </c>
      <c r="R398">
        <f ca="1">IFERROR(IF(COUNTIF(B398,"*莺鸣柳*")&gt;0,45-加速!$L$9,MAX(0,R397-(A398-A397))),0)</f>
        <v>0</v>
      </c>
      <c r="S398">
        <f ca="1">IF(COUNTIF(IF(AND(配装计算器!$K$30&lt;&gt;"∞",0),INDEX(AU397:CB397,1,$AT$1),INDEX(AU399:CB399,1,$AT$1)),"*莺鸣柳*")=1,R398,0)</f>
        <v>0</v>
      </c>
      <c r="T398">
        <f ca="1" t="shared" si="120"/>
        <v>0</v>
      </c>
      <c r="U398">
        <f ca="1">IF(金蛇,IF(COUNTIF(B398,"*金环戴*")+COUNTIF(B398,"*吹风醒*")&gt;0,IF(A398&lt;=3,7.125-2.625-A398-加速!$L$11,7.125+加速!$K$9-(A398+加速!$L$11-T398)),0),0)+IF(金蛇,IF(COUNTIF(B398,"*千切子裂光*")&gt;0,2+加速!$K$9-(A398+加速!$L$11-T398),0),0)</f>
        <v>0</v>
      </c>
      <c r="V398">
        <f ca="1" t="shared" si="121"/>
        <v>0</v>
      </c>
      <c r="W398">
        <f ca="1" t="shared" si="113"/>
        <v>0</v>
      </c>
      <c r="X398">
        <f ca="1">INDEX(加速!$I$13:$I$21,W398+1)</f>
        <v>0</v>
      </c>
      <c r="Y398">
        <f ca="1" t="shared" si="122"/>
        <v>0.5</v>
      </c>
      <c r="Z398">
        <f ca="1" t="shared" si="118"/>
        <v>0</v>
      </c>
      <c r="AA398">
        <f ca="1">MAX(0,IFERROR(IF(COUNTIF(B398,"*叠*")&gt;0,IF(AC397&lt;3,8-A399+A398,AA397+6.875-A399+A398),AA397-A399+A398),AA397-加速!$L$11))</f>
        <v>0</v>
      </c>
      <c r="AB398" t="e">
        <f ca="1">MAX(0,IF(COUNTIF(IF(AND(配装计算器!$K$30&lt;&gt;"∞",0),INDEX(AU398:CB398,1,$AT$1),INDEX(AU398:CB398,1,$AT$1)),"*叠1*")=1,4*25-加速!$L$11,AB397-A398+A397)-IF(OR(COUNTIF(OFFSET(AT398,0,$AT$1,1,1),"*听雷*")&gt;0,AND(碧归&gt;0,COUNTIF(OFFSET(AT398,0,$AT$1,1,1),"*风来*")&gt;0)),0,1)*1.5)</f>
        <v>#VALUE!</v>
      </c>
      <c r="AC398">
        <f ca="1" t="shared" si="114"/>
        <v>0</v>
      </c>
      <c r="AD398">
        <f ca="1">IF(COUNTIF(IF(AND(配装计算器!$K$30&lt;&gt;"∞",0),INDEX(AU398:CB398,1,$AT$1),INDEX(AU399:CB399,1,$AT$1)),"*叠1*")=1,AB398*0+AE397,0)</f>
        <v>0</v>
      </c>
      <c r="AE398" t="e">
        <f ca="1">IF($AN$11&gt;0,IF(COUNTIF(B399,"*叠1*")&gt;0,50-加速!$L$11,MAX(0,AE397-(A399-A398))),0)</f>
        <v>#VALUE!</v>
      </c>
      <c r="AG398">
        <f ca="1" t="shared" si="115"/>
        <v>11</v>
      </c>
      <c r="AU398" t="str">
        <f>IF($AN$11=1,橙武补雾锁,"夕照雷峰")</f>
        <v>云飞玉皇-玉山揽云</v>
      </c>
      <c r="AV398">
        <v>2</v>
      </c>
      <c r="AW398" s="176" t="s">
        <v>2776</v>
      </c>
      <c r="AX398">
        <v>2</v>
      </c>
      <c r="AY398" t="s">
        <v>2776</v>
      </c>
      <c r="AZ398">
        <v>1</v>
      </c>
      <c r="BA398" t="s">
        <v>2768</v>
      </c>
      <c r="BB398">
        <v>0</v>
      </c>
      <c r="BC398" t="s">
        <v>2808</v>
      </c>
      <c r="BD398">
        <v>2</v>
      </c>
      <c r="BE398" t="s">
        <v>2776</v>
      </c>
      <c r="BF398">
        <v>2</v>
      </c>
      <c r="BG398" t="s">
        <v>2768</v>
      </c>
      <c r="BH398">
        <v>1</v>
      </c>
      <c r="BI398" t="s">
        <v>2808</v>
      </c>
      <c r="BJ398">
        <v>2</v>
      </c>
      <c r="BK398" t="s">
        <v>2768</v>
      </c>
      <c r="BL398">
        <v>2</v>
      </c>
      <c r="BM398" t="s">
        <v>2768</v>
      </c>
      <c r="BN398">
        <v>2</v>
      </c>
      <c r="BO398" s="180" t="s">
        <v>2789</v>
      </c>
      <c r="BP398">
        <v>2</v>
      </c>
      <c r="BQ398" t="s">
        <v>2768</v>
      </c>
      <c r="BR398">
        <v>0</v>
      </c>
      <c r="BS398" s="186" t="str">
        <f>IF(秋,"夕照雷峰","千切子裂光")</f>
        <v>千切子裂光</v>
      </c>
      <c r="BT398">
        <v>2</v>
      </c>
      <c r="BU398" t="s">
        <v>2768</v>
      </c>
      <c r="BV398">
        <v>2</v>
      </c>
      <c r="BW398" s="179" t="s">
        <v>2768</v>
      </c>
      <c r="BX398" s="179">
        <v>1</v>
      </c>
      <c r="BY398" s="176" t="s">
        <v>2794</v>
      </c>
      <c r="BZ398">
        <v>0</v>
      </c>
      <c r="CA398" t="s">
        <v>2768</v>
      </c>
      <c r="CB398">
        <v>2</v>
      </c>
    </row>
    <row r="399" spans="1:80">
      <c r="A399" s="178" t="str">
        <f ca="1">IFERROR(IF(AG398&lt;5+金蛇*2,IF(COUNTIF(B398,"*轻*")&gt;0,A398+加速!$L$9,A398+加速!$L$11)+V398,""),"")</f>
        <v/>
      </c>
      <c r="B399" s="167" t="str">
        <f ca="1" t="shared" si="110"/>
        <v/>
      </c>
      <c r="C399" t="str">
        <f ca="1" t="shared" si="119"/>
        <v/>
      </c>
      <c r="D399" t="str">
        <f ca="1">IF(B399&lt;&gt;"",IF(C398&lt;=加速!$L$11*(1-E399),0,1),"")</f>
        <v/>
      </c>
      <c r="E399">
        <f ca="1" t="shared" si="116"/>
        <v>1</v>
      </c>
      <c r="G399" t="str">
        <f ca="1" t="shared" si="117"/>
        <v/>
      </c>
      <c r="H399" t="str">
        <f ca="1">IF(B399&lt;&gt;"",IF(AND(COUNTIF(B398,"*轻*莺鸣柳*")&gt;0,COUNTIF(B399,"*轻*")&lt;1),MAX(0,15+I398-(A399-A398)+COUNTIF(B398,"*平湖*")*0),IF(AND(E399=0,MAX(0,H398-(A399-A398))&lt;=加速!$H$11),0,MAX(0,H398-(A399-A398)))),"")</f>
        <v/>
      </c>
      <c r="I399" t="str">
        <f ca="1" t="shared" si="123"/>
        <v/>
      </c>
      <c r="J399" t="str">
        <f ca="1" t="shared" si="124"/>
        <v/>
      </c>
      <c r="K399" t="str">
        <f ca="1" t="shared" si="111"/>
        <v/>
      </c>
      <c r="L399">
        <f ca="1">IFERROR(IF(AND(COUNTIF(B399,"*-峰插*"),技能数据库!$M$72&gt;0),0,IF(COUNTIF(B399,"*鹤归*")&gt;0,16-加速!$L$11,MAX(0,L398-(A399-A398)))),0)</f>
        <v>0</v>
      </c>
      <c r="M399">
        <f ca="1" t="shared" si="112"/>
        <v>0</v>
      </c>
      <c r="N399">
        <f ca="1">IFERROR(IF(AND(COUNTIF(B399,"*-峰插*"),技能数据库!$M$72&gt;0),0,IF(COUNTIF(B399,"*云飞*")&gt;0,4-COUNTIF(B399,"*玉山揽云*")*4--COUNTIF(B399,"*烟流暮景*")*4-COUNTIF(B399,"*云景*")*加速!$L$11-IF(J399&gt;0,2,0),MAX(0,N398-(A399-A398)-IF(J399&gt;0,2,0)))),0)</f>
        <v>0</v>
      </c>
      <c r="O399">
        <f ca="1">IF(AND(COUNTIF(IF(AND(配装计算器!$K$30&lt;&gt;"∞",0),INDEX(AU398:CB398,1,$AT$1),INDEX(AU400:CB400,1,$AT$1)),"*云飞*")=1,COUNTIF(IF(AND(配装计算器!$K$30&lt;&gt;"∞",0),INDEX(AU398:CB398,1,$AT$1),INDEX(AU400:CB400,1,$AT$1)),"*玉山*")=0),N399,0)</f>
        <v>0</v>
      </c>
      <c r="P399">
        <f ca="1">IFERROR(IF(COUNTIF(B399,"*云栖松*")&gt;0,50-加速!$L$11,MAX(0,P398-(A399-A398))),0)</f>
        <v>0</v>
      </c>
      <c r="Q399">
        <f ca="1">IF(COUNTIF(IF(AND(配装计算器!$K$30&lt;&gt;"∞",0),INDEX(AU398:CB398,1,$AT$1),INDEX(AU400:CB400,1,$AT$1)),"*云栖松*")=1,P399,0)</f>
        <v>0</v>
      </c>
      <c r="R399">
        <f ca="1">IFERROR(IF(COUNTIF(B399,"*莺鸣柳*")&gt;0,45-加速!$L$9,MAX(0,R398-(A399-A398))),0)</f>
        <v>0</v>
      </c>
      <c r="S399">
        <f ca="1">IF(COUNTIF(IF(AND(配装计算器!$K$30&lt;&gt;"∞",0),INDEX(AU398:CB398,1,$AT$1),INDEX(AU400:CB400,1,$AT$1)),"*莺鸣柳*")=1,R399,0)</f>
        <v>0</v>
      </c>
      <c r="T399">
        <f ca="1" t="shared" si="120"/>
        <v>0</v>
      </c>
      <c r="U399">
        <f ca="1">IF(金蛇,IF(COUNTIF(B399,"*金环戴*")+COUNTIF(B399,"*吹风醒*")&gt;0,IF(A399&lt;=3,7.125-2.625-A399-加速!$L$11,7.125+加速!$K$9-(A399+加速!$L$11-T399)),0),0)+IF(金蛇,IF(COUNTIF(B399,"*千切子裂光*")&gt;0,2+加速!$K$9-(A399+加速!$L$11-T399),0),0)</f>
        <v>0</v>
      </c>
      <c r="V399">
        <f ca="1" t="shared" si="121"/>
        <v>0</v>
      </c>
      <c r="W399">
        <f ca="1" t="shared" si="113"/>
        <v>0</v>
      </c>
      <c r="X399">
        <f ca="1">INDEX(加速!$I$13:$I$21,W399+1)</f>
        <v>0</v>
      </c>
      <c r="Y399">
        <f ca="1" t="shared" si="122"/>
        <v>0.5</v>
      </c>
      <c r="Z399">
        <f ca="1" t="shared" si="118"/>
        <v>0</v>
      </c>
      <c r="AA399">
        <f ca="1">MAX(0,IFERROR(IF(COUNTIF(B399,"*叠*")&gt;0,IF(AC398&lt;3,8-A400+A399,AA398+6.875-A400+A399),AA398-A400+A399),AA398-加速!$L$11))</f>
        <v>0</v>
      </c>
      <c r="AB399" t="e">
        <f ca="1">MAX(0,IF(COUNTIF(IF(AND(配装计算器!$K$30&lt;&gt;"∞",0),INDEX(AU399:CB399,1,$AT$1),INDEX(AU399:CB399,1,$AT$1)),"*叠1*")=1,4*25-加速!$L$11,AB398-A399+A398)-IF(OR(COUNTIF(OFFSET(AT399,0,$AT$1,1,1),"*听雷*")&gt;0,AND(碧归&gt;0,COUNTIF(OFFSET(AT399,0,$AT$1,1,1),"*风来*")&gt;0)),0,1)*1.5)</f>
        <v>#VALUE!</v>
      </c>
      <c r="AC399">
        <f ca="1" t="shared" si="114"/>
        <v>0</v>
      </c>
      <c r="AD399">
        <f ca="1">IF(COUNTIF(IF(AND(配装计算器!$K$30&lt;&gt;"∞",0),INDEX(AU399:CB399,1,$AT$1),INDEX(AU400:CB400,1,$AT$1)),"*叠1*")=1,AB399*0+AE398,0)</f>
        <v>0</v>
      </c>
      <c r="AE399" t="e">
        <f ca="1">IF($AN$11&gt;0,IF(COUNTIF(B400,"*叠1*")&gt;0,50-加速!$L$11,MAX(0,AE398-(A400-A399))),0)</f>
        <v>#VALUE!</v>
      </c>
      <c r="AG399">
        <f ca="1" t="shared" si="115"/>
        <v>11</v>
      </c>
      <c r="AU399" t="str">
        <f>IF($AN$11=1,"云飞玉皇-玉山揽云","夕照雷峰")</f>
        <v>云飞玉皇-玉山揽云</v>
      </c>
      <c r="AV399">
        <v>2</v>
      </c>
      <c r="AW399" s="176" t="s">
        <v>2768</v>
      </c>
      <c r="AX399">
        <v>2</v>
      </c>
      <c r="AY399" t="s">
        <v>2768</v>
      </c>
      <c r="AZ399">
        <v>1</v>
      </c>
      <c r="BA399" t="s">
        <v>3010</v>
      </c>
      <c r="BB399">
        <v>2</v>
      </c>
      <c r="BC399" t="s">
        <v>2768</v>
      </c>
      <c r="BD399">
        <v>2</v>
      </c>
      <c r="BE399" t="s">
        <v>3017</v>
      </c>
      <c r="BF399">
        <v>2</v>
      </c>
      <c r="BG399" t="s">
        <v>3011</v>
      </c>
      <c r="BH399">
        <v>2</v>
      </c>
      <c r="BI399" s="176" t="s">
        <v>2768</v>
      </c>
      <c r="BJ399">
        <v>2</v>
      </c>
      <c r="BK399" t="s">
        <v>2776</v>
      </c>
      <c r="BL399">
        <v>2</v>
      </c>
      <c r="BM399" t="s">
        <v>2768</v>
      </c>
      <c r="BN399">
        <v>2</v>
      </c>
      <c r="BO399" s="176" t="s">
        <v>2794</v>
      </c>
      <c r="BP399">
        <v>2</v>
      </c>
      <c r="BQ399" t="s">
        <v>3067</v>
      </c>
      <c r="BR399">
        <v>0</v>
      </c>
      <c r="BS399" s="176" t="s">
        <v>2768</v>
      </c>
      <c r="BT399">
        <v>2</v>
      </c>
      <c r="BU399" t="s">
        <v>2768</v>
      </c>
      <c r="BV399">
        <v>2</v>
      </c>
      <c r="BW399" s="179" t="s">
        <v>2768</v>
      </c>
      <c r="BX399" s="179">
        <v>1</v>
      </c>
      <c r="BY399" s="176" t="s">
        <v>2768</v>
      </c>
      <c r="BZ399">
        <v>2</v>
      </c>
      <c r="CA399" t="s">
        <v>2768</v>
      </c>
      <c r="CB399">
        <v>2</v>
      </c>
    </row>
    <row r="400" spans="1:80">
      <c r="A400" s="178" t="str">
        <f ca="1">IFERROR(IF(AG399&lt;5+金蛇*2,IF(COUNTIF(B399,"*轻*")&gt;0,A399+加速!$L$9,A399+加速!$L$11)+V399,""),"")</f>
        <v/>
      </c>
      <c r="B400" s="167" t="str">
        <f ca="1" t="shared" si="110"/>
        <v/>
      </c>
      <c r="C400" t="str">
        <f ca="1" t="shared" si="119"/>
        <v/>
      </c>
      <c r="D400" t="str">
        <f ca="1">IF(B400&lt;&gt;"",IF(C399&lt;=加速!$L$11*(1-E400),0,1),"")</f>
        <v/>
      </c>
      <c r="E400">
        <f ca="1" t="shared" si="116"/>
        <v>1</v>
      </c>
      <c r="G400" t="str">
        <f ca="1" t="shared" si="117"/>
        <v/>
      </c>
      <c r="H400" t="str">
        <f ca="1">IF(B400&lt;&gt;"",IF(AND(COUNTIF(B399,"*轻*莺鸣柳*")&gt;0,COUNTIF(B400,"*轻*")&lt;1),MAX(0,15+I399-(A400-A399)+COUNTIF(B399,"*平湖*")*0),IF(AND(E400=0,MAX(0,H399-(A400-A399))&lt;=加速!$H$11),0,MAX(0,H399-(A400-A399)))),"")</f>
        <v/>
      </c>
      <c r="I400" t="str">
        <f ca="1" t="shared" si="123"/>
        <v/>
      </c>
      <c r="J400" t="str">
        <f ca="1" t="shared" si="124"/>
        <v/>
      </c>
      <c r="K400" t="str">
        <f ca="1" t="shared" si="111"/>
        <v/>
      </c>
      <c r="L400">
        <f ca="1">IFERROR(IF(AND(COUNTIF(B400,"*-峰插*"),技能数据库!$M$72&gt;0),0,IF(COUNTIF(B400,"*鹤归*")&gt;0,16-加速!$L$11,MAX(0,L399-(A400-A399)))),0)</f>
        <v>0</v>
      </c>
      <c r="M400">
        <f ca="1" t="shared" si="112"/>
        <v>0</v>
      </c>
      <c r="N400">
        <f ca="1">IFERROR(IF(AND(COUNTIF(B400,"*-峰插*"),技能数据库!$M$72&gt;0),0,IF(COUNTIF(B400,"*云飞*")&gt;0,4-COUNTIF(B400,"*玉山揽云*")*4--COUNTIF(B400,"*烟流暮景*")*4-COUNTIF(B400,"*云景*")*加速!$L$11-IF(J400&gt;0,2,0),MAX(0,N399-(A400-A399)-IF(J400&gt;0,2,0)))),0)</f>
        <v>0</v>
      </c>
      <c r="O400">
        <f ca="1">IF(AND(COUNTIF(IF(AND(配装计算器!$K$30&lt;&gt;"∞",0),INDEX(AU399:CB399,1,$AT$1),INDEX(AU401:CB401,1,$AT$1)),"*云飞*")=1,COUNTIF(IF(AND(配装计算器!$K$30&lt;&gt;"∞",0),INDEX(AU399:CB399,1,$AT$1),INDEX(AU401:CB401,1,$AT$1)),"*玉山*")=0),N400,0)</f>
        <v>0</v>
      </c>
      <c r="P400">
        <f ca="1">IFERROR(IF(COUNTIF(B400,"*云栖松*")&gt;0,50-加速!$L$11,MAX(0,P399-(A400-A399))),0)</f>
        <v>0</v>
      </c>
      <c r="Q400">
        <f ca="1">IF(COUNTIF(IF(AND(配装计算器!$K$30&lt;&gt;"∞",0),INDEX(AU399:CB399,1,$AT$1),INDEX(AU401:CB401,1,$AT$1)),"*云栖松*")=1,P400,0)</f>
        <v>0</v>
      </c>
      <c r="R400">
        <f ca="1">IFERROR(IF(COUNTIF(B400,"*莺鸣柳*")&gt;0,45-加速!$L$9,MAX(0,R399-(A400-A399))),0)</f>
        <v>0</v>
      </c>
      <c r="S400">
        <f ca="1">IF(COUNTIF(IF(AND(配装计算器!$K$30&lt;&gt;"∞",0),INDEX(AU399:CB399,1,$AT$1),INDEX(AU401:CB401,1,$AT$1)),"*莺鸣柳*")=1,R400,0)</f>
        <v>0</v>
      </c>
      <c r="T400">
        <f ca="1" t="shared" si="120"/>
        <v>0</v>
      </c>
      <c r="U400">
        <f ca="1">IF(金蛇,IF(COUNTIF(B400,"*金环戴*")+COUNTIF(B400,"*吹风醒*")&gt;0,IF(A400&lt;=3,7.125-2.625-A400-加速!$L$11,7.125+加速!$K$9-(A400+加速!$L$11-T400)),0),0)+IF(金蛇,IF(COUNTIF(B400,"*千切子裂光*")&gt;0,2+加速!$K$9-(A400+加速!$L$11-T400),0),0)</f>
        <v>0</v>
      </c>
      <c r="V400">
        <f ca="1" t="shared" si="121"/>
        <v>0</v>
      </c>
      <c r="W400">
        <f ca="1" t="shared" si="113"/>
        <v>0</v>
      </c>
      <c r="X400">
        <f ca="1">INDEX(加速!$I$13:$I$21,W400+1)</f>
        <v>0</v>
      </c>
      <c r="Y400">
        <f ca="1" t="shared" si="122"/>
        <v>0.5</v>
      </c>
      <c r="Z400">
        <f ca="1" t="shared" si="118"/>
        <v>0</v>
      </c>
      <c r="AA400">
        <f ca="1">MAX(0,IFERROR(IF(COUNTIF(B400,"*叠*")&gt;0,IF(AC399&lt;3,8-A401+A400,AA399+6.875-A401+A400),AA399-A401+A400),AA399-加速!$L$11))</f>
        <v>0</v>
      </c>
      <c r="AB400" t="e">
        <f ca="1">MAX(0,IF(COUNTIF(IF(AND(配装计算器!$K$30&lt;&gt;"∞",0),INDEX(AU400:CB400,1,$AT$1),INDEX(AU400:CB400,1,$AT$1)),"*叠1*")=1,4*25-加速!$L$11,AB399-A400+A399)-IF(OR(COUNTIF(OFFSET(AT400,0,$AT$1,1,1),"*听雷*")&gt;0,AND(碧归&gt;0,COUNTIF(OFFSET(AT400,0,$AT$1,1,1),"*风来*")&gt;0)),0,1)*1.5)</f>
        <v>#VALUE!</v>
      </c>
      <c r="AC400">
        <f ca="1" t="shared" si="114"/>
        <v>0</v>
      </c>
      <c r="AD400">
        <f ca="1">IF(COUNTIF(IF(AND(配装计算器!$K$30&lt;&gt;"∞",0),INDEX(AU400:CB400,1,$AT$1),INDEX(AU401:CB401,1,$AT$1)),"*叠1*")=1,AB400*0+AE399,0)</f>
        <v>0</v>
      </c>
      <c r="AE400" t="e">
        <f ca="1">IF($AN$11&gt;0,IF(COUNTIF(B401,"*叠1*")&gt;0,50-加速!$L$11,MAX(0,AE399-(A401-A400))),0)</f>
        <v>#VALUE!</v>
      </c>
      <c r="AG400">
        <f ca="1" t="shared" si="115"/>
        <v>11</v>
      </c>
      <c r="AU400" t="s">
        <v>2776</v>
      </c>
      <c r="AV400">
        <v>2</v>
      </c>
      <c r="AW400" t="s">
        <v>3056</v>
      </c>
      <c r="AX400">
        <v>1</v>
      </c>
      <c r="AY400" t="s">
        <v>2768</v>
      </c>
      <c r="AZ400">
        <v>0</v>
      </c>
      <c r="BA400" t="s">
        <v>3013</v>
      </c>
      <c r="BB400">
        <v>2</v>
      </c>
      <c r="BC400" t="s">
        <v>2768</v>
      </c>
      <c r="BD400">
        <v>2</v>
      </c>
      <c r="BE400" t="s">
        <v>2768</v>
      </c>
      <c r="BF400">
        <v>2</v>
      </c>
      <c r="BG400" t="s">
        <v>2768</v>
      </c>
      <c r="BH400">
        <v>2</v>
      </c>
      <c r="BI400" s="176" t="s">
        <v>2776</v>
      </c>
      <c r="BJ400">
        <v>2</v>
      </c>
      <c r="BK400" t="s">
        <v>2768</v>
      </c>
      <c r="BL400">
        <v>1</v>
      </c>
      <c r="BM400" t="s">
        <v>2776</v>
      </c>
      <c r="BN400">
        <v>2</v>
      </c>
      <c r="BO400" s="176" t="s">
        <v>2776</v>
      </c>
      <c r="BP400">
        <v>2</v>
      </c>
      <c r="BQ400" t="s">
        <v>2776</v>
      </c>
      <c r="BR400">
        <v>2</v>
      </c>
      <c r="BS400" s="176" t="s">
        <v>2776</v>
      </c>
      <c r="BT400">
        <v>2</v>
      </c>
      <c r="BU400" s="176" t="s">
        <v>2794</v>
      </c>
      <c r="BV400">
        <v>1</v>
      </c>
      <c r="BW400" s="179" t="s">
        <v>2776</v>
      </c>
      <c r="BX400" s="179">
        <v>1</v>
      </c>
      <c r="BY400" s="176" t="s">
        <v>2776</v>
      </c>
      <c r="BZ400">
        <v>2</v>
      </c>
      <c r="CA400" t="s">
        <v>2776</v>
      </c>
      <c r="CB400">
        <v>2</v>
      </c>
    </row>
    <row r="401" spans="1:80">
      <c r="A401" s="178" t="str">
        <f ca="1">IFERROR(IF(AG400&lt;5+金蛇*2,IF(COUNTIF(B400,"*轻*")&gt;0,A400+加速!$L$9,A400+加速!$L$11)+V400,""),"")</f>
        <v/>
      </c>
      <c r="B401" s="167" t="str">
        <f ca="1" t="shared" si="110"/>
        <v/>
      </c>
      <c r="C401" t="str">
        <f ca="1" t="shared" si="119"/>
        <v/>
      </c>
      <c r="D401" t="str">
        <f ca="1">IF(B401&lt;&gt;"",IF(C400&lt;=加速!$L$11*(1-E401),0,1),"")</f>
        <v/>
      </c>
      <c r="E401">
        <f ca="1" t="shared" si="116"/>
        <v>1</v>
      </c>
      <c r="G401" t="str">
        <f ca="1" t="shared" si="117"/>
        <v/>
      </c>
      <c r="H401" t="str">
        <f ca="1">IF(B401&lt;&gt;"",IF(AND(COUNTIF(B400,"*轻*莺鸣柳*")&gt;0,COUNTIF(B401,"*轻*")&lt;1),MAX(0,15+I400-(A401-A400)+COUNTIF(B400,"*平湖*")*0),IF(AND(E401=0,MAX(0,H400-(A401-A400))&lt;=加速!$H$11),0,MAX(0,H400-(A401-A400)))),"")</f>
        <v/>
      </c>
      <c r="I401" t="str">
        <f ca="1" t="shared" si="123"/>
        <v/>
      </c>
      <c r="J401" t="str">
        <f ca="1" t="shared" si="124"/>
        <v/>
      </c>
      <c r="K401" t="str">
        <f ca="1" t="shared" si="111"/>
        <v/>
      </c>
      <c r="L401">
        <f ca="1">IFERROR(IF(AND(COUNTIF(B401,"*-峰插*"),技能数据库!$M$72&gt;0),0,IF(COUNTIF(B401,"*鹤归*")&gt;0,16-加速!$L$11,MAX(0,L400-(A401-A400)))),0)</f>
        <v>0</v>
      </c>
      <c r="M401">
        <f ca="1" t="shared" si="112"/>
        <v>0</v>
      </c>
      <c r="N401">
        <f ca="1">IFERROR(IF(AND(COUNTIF(B401,"*-峰插*"),技能数据库!$M$72&gt;0),0,IF(COUNTIF(B401,"*云飞*")&gt;0,4-COUNTIF(B401,"*玉山揽云*")*4--COUNTIF(B401,"*烟流暮景*")*4-COUNTIF(B401,"*云景*")*加速!$L$11-IF(J401&gt;0,2,0),MAX(0,N400-(A401-A400)-IF(J401&gt;0,2,0)))),0)</f>
        <v>0</v>
      </c>
      <c r="O401">
        <f ca="1">IF(AND(COUNTIF(IF(AND(配装计算器!$K$30&lt;&gt;"∞",0),INDEX(AU400:CB400,1,$AT$1),INDEX(AU402:CB402,1,$AT$1)),"*云飞*")=1,COUNTIF(IF(AND(配装计算器!$K$30&lt;&gt;"∞",0),INDEX(AU400:CB400,1,$AT$1),INDEX(AU402:CB402,1,$AT$1)),"*玉山*")=0),N401,0)</f>
        <v>0</v>
      </c>
      <c r="P401">
        <f ca="1">IFERROR(IF(COUNTIF(B401,"*云栖松*")&gt;0,50-加速!$L$11,MAX(0,P400-(A401-A400))),0)</f>
        <v>0</v>
      </c>
      <c r="Q401">
        <f ca="1">IF(COUNTIF(IF(AND(配装计算器!$K$30&lt;&gt;"∞",0),INDEX(AU400:CB400,1,$AT$1),INDEX(AU402:CB402,1,$AT$1)),"*云栖松*")=1,P401,0)</f>
        <v>0</v>
      </c>
      <c r="R401">
        <f ca="1">IFERROR(IF(COUNTIF(B401,"*莺鸣柳*")&gt;0,45-加速!$L$9,MAX(0,R400-(A401-A400))),0)</f>
        <v>0</v>
      </c>
      <c r="S401">
        <f ca="1">IF(COUNTIF(IF(AND(配装计算器!$K$30&lt;&gt;"∞",0),INDEX(AU400:CB400,1,$AT$1),INDEX(AU402:CB402,1,$AT$1)),"*莺鸣柳*")=1,R401,0)</f>
        <v>0</v>
      </c>
      <c r="T401">
        <f ca="1" t="shared" si="120"/>
        <v>0</v>
      </c>
      <c r="U401">
        <f ca="1">IF(金蛇,IF(COUNTIF(B401,"*金环戴*")+COUNTIF(B401,"*吹风醒*")&gt;0,IF(A401&lt;=3,7.125-2.625-A401-加速!$L$11,7.125+加速!$K$9-(A401+加速!$L$11-T401)),0),0)+IF(金蛇,IF(COUNTIF(B401,"*千切子裂光*")&gt;0,2+加速!$K$9-(A401+加速!$L$11-T401),0),0)</f>
        <v>0</v>
      </c>
      <c r="V401">
        <f ca="1" t="shared" si="121"/>
        <v>0</v>
      </c>
      <c r="W401">
        <f ca="1" t="shared" si="113"/>
        <v>0</v>
      </c>
      <c r="X401">
        <f ca="1">INDEX(加速!$I$13:$I$21,W401+1)</f>
        <v>0</v>
      </c>
      <c r="Y401">
        <f ca="1" t="shared" si="122"/>
        <v>0.5</v>
      </c>
      <c r="Z401">
        <f ca="1" t="shared" si="118"/>
        <v>0</v>
      </c>
      <c r="AA401">
        <f ca="1">MAX(0,IFERROR(IF(COUNTIF(B401,"*叠*")&gt;0,IF(AC400&lt;3,8-A402+A401,AA400+6.875-A402+A401),AA400-A402+A401),AA400-加速!$L$11))</f>
        <v>0</v>
      </c>
      <c r="AB401" t="e">
        <f ca="1">MAX(0,IF(COUNTIF(IF(AND(配装计算器!$K$30&lt;&gt;"∞",0),INDEX(AU401:CB401,1,$AT$1),INDEX(AU401:CB401,1,$AT$1)),"*叠1*")=1,4*25-加速!$L$11,AB400-A401+A400)-IF(OR(COUNTIF(OFFSET(AT401,0,$AT$1,1,1),"*听雷*")&gt;0,AND(碧归&gt;0,COUNTIF(OFFSET(AT401,0,$AT$1,1,1),"*风来*")&gt;0)),0,1)*1.5)</f>
        <v>#VALUE!</v>
      </c>
      <c r="AC401">
        <f ca="1" t="shared" si="114"/>
        <v>0</v>
      </c>
      <c r="AD401">
        <f ca="1">IF(COUNTIF(IF(AND(配装计算器!$K$30&lt;&gt;"∞",0),INDEX(AU401:CB401,1,$AT$1),INDEX(AU402:CB402,1,$AT$1)),"*叠1*")=1,AB401*0+AE400,0)</f>
        <v>0</v>
      </c>
      <c r="AE401" t="e">
        <f ca="1">IF($AN$11&gt;0,IF(COUNTIF(B402,"*叠1*")&gt;0,50-加速!$L$11,MAX(0,AE400-(A402-A401))),0)</f>
        <v>#VALUE!</v>
      </c>
      <c r="AG401">
        <f ca="1" t="shared" si="115"/>
        <v>11</v>
      </c>
      <c r="AU401" s="176" t="s">
        <v>2794</v>
      </c>
      <c r="AV401">
        <v>2</v>
      </c>
      <c r="AW401" t="s">
        <v>2768</v>
      </c>
      <c r="AX401">
        <v>2</v>
      </c>
      <c r="AY401" t="s">
        <v>3010</v>
      </c>
      <c r="AZ401">
        <v>2</v>
      </c>
      <c r="BA401" t="s">
        <v>3017</v>
      </c>
      <c r="BB401">
        <v>2</v>
      </c>
      <c r="BC401" t="s">
        <v>2776</v>
      </c>
      <c r="BD401">
        <v>1</v>
      </c>
      <c r="BE401" t="s">
        <v>3023</v>
      </c>
      <c r="BF401">
        <v>2</v>
      </c>
      <c r="BG401" t="s">
        <v>3018</v>
      </c>
      <c r="BH401">
        <v>2</v>
      </c>
      <c r="BI401" t="s">
        <v>2768</v>
      </c>
      <c r="BJ401">
        <v>2</v>
      </c>
      <c r="BK401" t="s">
        <v>2768</v>
      </c>
      <c r="BL401">
        <v>1</v>
      </c>
      <c r="BM401" t="s">
        <v>2768</v>
      </c>
      <c r="BN401">
        <v>2</v>
      </c>
      <c r="BO401" s="176" t="s">
        <v>2768</v>
      </c>
      <c r="BP401">
        <v>2</v>
      </c>
      <c r="BQ401" t="s">
        <v>2768</v>
      </c>
      <c r="BR401">
        <v>2</v>
      </c>
      <c r="BS401" s="176" t="s">
        <v>2768</v>
      </c>
      <c r="BT401">
        <v>2</v>
      </c>
      <c r="BU401" t="s">
        <v>2776</v>
      </c>
      <c r="BV401">
        <v>1</v>
      </c>
      <c r="BW401" s="179" t="s">
        <v>2768</v>
      </c>
      <c r="BX401" s="179">
        <v>1</v>
      </c>
      <c r="BY401" s="176" t="s">
        <v>2768</v>
      </c>
      <c r="BZ401">
        <v>1</v>
      </c>
      <c r="CA401" t="s">
        <v>2718</v>
      </c>
      <c r="CB401">
        <v>0</v>
      </c>
    </row>
    <row r="402" spans="1:80">
      <c r="A402" s="178" t="str">
        <f ca="1">IFERROR(IF(AG401&lt;5+金蛇*2,IF(COUNTIF(B401,"*轻*")&gt;0,A401+加速!$L$9,A401+加速!$L$11)+V401,""),"")</f>
        <v/>
      </c>
      <c r="B402" s="167" t="str">
        <f ca="1" t="shared" si="110"/>
        <v/>
      </c>
      <c r="C402" t="str">
        <f ca="1" t="shared" si="119"/>
        <v/>
      </c>
      <c r="D402" t="str">
        <f ca="1">IF(B402&lt;&gt;"",IF(C401&lt;=加速!$L$11*(1-E402),0,1),"")</f>
        <v/>
      </c>
      <c r="E402">
        <f ca="1" t="shared" si="116"/>
        <v>1</v>
      </c>
      <c r="G402" t="str">
        <f ca="1" t="shared" si="117"/>
        <v/>
      </c>
      <c r="H402" t="str">
        <f ca="1">IF(B402&lt;&gt;"",IF(AND(COUNTIF(B401,"*轻*莺鸣柳*")&gt;0,COUNTIF(B402,"*轻*")&lt;1),MAX(0,15+I401-(A402-A401)+COUNTIF(B401,"*平湖*")*0),IF(AND(E402=0,MAX(0,H401-(A402-A401))&lt;=加速!$H$11),0,MAX(0,H401-(A402-A401)))),"")</f>
        <v/>
      </c>
      <c r="I402" t="str">
        <f ca="1" t="shared" si="123"/>
        <v/>
      </c>
      <c r="J402" t="str">
        <f ca="1" t="shared" si="124"/>
        <v/>
      </c>
      <c r="K402" t="str">
        <f ca="1" t="shared" si="111"/>
        <v/>
      </c>
      <c r="L402">
        <f ca="1">IFERROR(IF(AND(COUNTIF(B402,"*-峰插*"),技能数据库!$M$72&gt;0),0,IF(COUNTIF(B402,"*鹤归*")&gt;0,16-加速!$L$11,MAX(0,L401-(A402-A401)))),0)</f>
        <v>0</v>
      </c>
      <c r="M402">
        <f ca="1" t="shared" si="112"/>
        <v>0</v>
      </c>
      <c r="N402">
        <f ca="1">IFERROR(IF(AND(COUNTIF(B402,"*-峰插*"),技能数据库!$M$72&gt;0),0,IF(COUNTIF(B402,"*云飞*")&gt;0,4-COUNTIF(B402,"*玉山揽云*")*4--COUNTIF(B402,"*烟流暮景*")*4-COUNTIF(B402,"*云景*")*加速!$L$11-IF(J402&gt;0,2,0),MAX(0,N401-(A402-A401)-IF(J402&gt;0,2,0)))),0)</f>
        <v>0</v>
      </c>
      <c r="O402">
        <f ca="1">IF(AND(COUNTIF(IF(AND(配装计算器!$K$30&lt;&gt;"∞",0),INDEX(AU401:CB401,1,$AT$1),INDEX(AU403:CB403,1,$AT$1)),"*云飞*")=1,COUNTIF(IF(AND(配装计算器!$K$30&lt;&gt;"∞",0),INDEX(AU401:CB401,1,$AT$1),INDEX(AU403:CB403,1,$AT$1)),"*玉山*")=0),N402,0)</f>
        <v>0</v>
      </c>
      <c r="P402">
        <f ca="1">IFERROR(IF(COUNTIF(B402,"*云栖松*")&gt;0,50-加速!$L$11,MAX(0,P401-(A402-A401))),0)</f>
        <v>0</v>
      </c>
      <c r="Q402">
        <f ca="1">IF(COUNTIF(IF(AND(配装计算器!$K$30&lt;&gt;"∞",0),INDEX(AU401:CB401,1,$AT$1),INDEX(AU403:CB403,1,$AT$1)),"*云栖松*")=1,P402,0)</f>
        <v>0</v>
      </c>
      <c r="R402">
        <f ca="1">IFERROR(IF(COUNTIF(B402,"*莺鸣柳*")&gt;0,45-加速!$L$9,MAX(0,R401-(A402-A401))),0)</f>
        <v>0</v>
      </c>
      <c r="S402">
        <f ca="1">IF(COUNTIF(IF(AND(配装计算器!$K$30&lt;&gt;"∞",0),INDEX(AU401:CB401,1,$AT$1),INDEX(AU403:CB403,1,$AT$1)),"*莺鸣柳*")=1,R402,0)</f>
        <v>0</v>
      </c>
      <c r="T402">
        <f ca="1" t="shared" si="120"/>
        <v>0</v>
      </c>
      <c r="U402">
        <f ca="1">IF(金蛇,IF(COUNTIF(B402,"*金环戴*")+COUNTIF(B402,"*吹风醒*")&gt;0,IF(A402&lt;=3,7.125-2.625-A402-加速!$L$11,7.125+加速!$K$9-(A402+加速!$L$11-T402)),0),0)+IF(金蛇,IF(COUNTIF(B402,"*千切子裂光*")&gt;0,2+加速!$K$9-(A402+加速!$L$11-T402),0),0)</f>
        <v>0</v>
      </c>
      <c r="V402">
        <f ca="1" t="shared" si="121"/>
        <v>0</v>
      </c>
      <c r="W402">
        <f ca="1" t="shared" si="113"/>
        <v>0</v>
      </c>
      <c r="X402">
        <f ca="1">INDEX(加速!$I$13:$I$21,W402+1)</f>
        <v>0</v>
      </c>
      <c r="Y402">
        <f ca="1" t="shared" si="122"/>
        <v>0.5</v>
      </c>
      <c r="Z402">
        <f ca="1" t="shared" si="118"/>
        <v>0</v>
      </c>
      <c r="AA402">
        <f ca="1">MAX(0,IFERROR(IF(COUNTIF(B402,"*叠*")&gt;0,IF(AC401&lt;3,8-A403+A402,AA401+6.875-A403+A402),AA401-A403+A402),AA401-加速!$L$11))</f>
        <v>0</v>
      </c>
      <c r="AB402" t="e">
        <f ca="1">MAX(0,IF(COUNTIF(IF(AND(配装计算器!$K$30&lt;&gt;"∞",0),INDEX(AU402:CB402,1,$AT$1),INDEX(AU402:CB402,1,$AT$1)),"*叠1*")=1,4*25-加速!$L$11,AB401-A402+A401)-IF(OR(COUNTIF(OFFSET(AT402,0,$AT$1,1,1),"*听雷*")&gt;0,AND(碧归&gt;0,COUNTIF(OFFSET(AT402,0,$AT$1,1,1),"*风来*")&gt;0)),0,1)*1.5)</f>
        <v>#VALUE!</v>
      </c>
      <c r="AC402">
        <f ca="1" t="shared" si="114"/>
        <v>0</v>
      </c>
      <c r="AD402">
        <f ca="1">IF(COUNTIF(IF(AND(配装计算器!$K$30&lt;&gt;"∞",0),INDEX(AU402:CB402,1,$AT$1),INDEX(AU403:CB403,1,$AT$1)),"*叠1*")=1,AB402*0+AE401,0)</f>
        <v>0</v>
      </c>
      <c r="AE402" t="e">
        <f ca="1">IF($AN$11&gt;0,IF(COUNTIF(B403,"*叠1*")&gt;0,50-加速!$L$11,MAX(0,AE401-(A403-A402))),0)</f>
        <v>#VALUE!</v>
      </c>
      <c r="AG402">
        <f ca="1" t="shared" si="115"/>
        <v>11</v>
      </c>
      <c r="AU402" s="176" t="s">
        <v>2768</v>
      </c>
      <c r="AV402">
        <v>2</v>
      </c>
      <c r="AW402" t="s">
        <v>2768</v>
      </c>
      <c r="AX402">
        <v>2</v>
      </c>
      <c r="AY402" t="s">
        <v>3013</v>
      </c>
      <c r="AZ402">
        <v>2</v>
      </c>
      <c r="BA402" t="s">
        <v>2808</v>
      </c>
      <c r="BB402">
        <v>2</v>
      </c>
      <c r="BC402" t="s">
        <v>2768</v>
      </c>
      <c r="BD402">
        <v>1</v>
      </c>
      <c r="BE402" s="182" t="s">
        <v>2768</v>
      </c>
      <c r="BF402">
        <v>2</v>
      </c>
      <c r="BG402" t="s">
        <v>2768</v>
      </c>
      <c r="BH402">
        <v>2</v>
      </c>
      <c r="BI402" s="176" t="s">
        <v>2768</v>
      </c>
      <c r="BJ402">
        <v>1</v>
      </c>
      <c r="BK402" t="s">
        <v>2768</v>
      </c>
      <c r="BL402">
        <v>0</v>
      </c>
      <c r="BM402" t="s">
        <v>2768</v>
      </c>
      <c r="BN402">
        <v>2</v>
      </c>
      <c r="BO402" s="176" t="s">
        <v>2776</v>
      </c>
      <c r="BP402">
        <v>2</v>
      </c>
      <c r="BQ402" t="s">
        <v>2768</v>
      </c>
      <c r="BR402">
        <v>2</v>
      </c>
      <c r="BS402" s="176" t="s">
        <v>2794</v>
      </c>
      <c r="BT402">
        <v>2</v>
      </c>
      <c r="BU402" t="s">
        <v>2768</v>
      </c>
      <c r="BV402">
        <v>1</v>
      </c>
      <c r="BW402" s="182" t="s">
        <v>2722</v>
      </c>
      <c r="BX402" s="179">
        <v>0</v>
      </c>
      <c r="BY402" s="176" t="s">
        <v>2776</v>
      </c>
      <c r="BZ402">
        <v>1</v>
      </c>
      <c r="CA402" t="s">
        <v>2768</v>
      </c>
      <c r="CB402">
        <v>2</v>
      </c>
    </row>
    <row r="403" spans="1:80">
      <c r="A403" s="178" t="str">
        <f ca="1">IFERROR(IF(AG402&lt;5+金蛇*2,IF(COUNTIF(B402,"*轻*")&gt;0,A402+加速!$L$9,A402+加速!$L$11)+V402,""),"")</f>
        <v/>
      </c>
      <c r="B403" s="167" t="str">
        <f ca="1" t="shared" si="110"/>
        <v/>
      </c>
      <c r="C403" t="str">
        <f ca="1" t="shared" si="119"/>
        <v/>
      </c>
      <c r="D403" t="str">
        <f ca="1">IF(B403&lt;&gt;"",IF(C402&lt;=加速!$L$11*(1-E403),0,1),"")</f>
        <v/>
      </c>
      <c r="E403">
        <f ca="1" t="shared" si="116"/>
        <v>1</v>
      </c>
      <c r="G403" t="str">
        <f ca="1" t="shared" si="117"/>
        <v/>
      </c>
      <c r="H403" t="str">
        <f ca="1">IF(B403&lt;&gt;"",IF(AND(COUNTIF(B402,"*轻*莺鸣柳*")&gt;0,COUNTIF(B403,"*轻*")&lt;1),MAX(0,15+I402-(A403-A402)+COUNTIF(B402,"*平湖*")*0),IF(AND(E403=0,MAX(0,H402-(A403-A402))&lt;=加速!$H$11),0,MAX(0,H402-(A403-A402)))),"")</f>
        <v/>
      </c>
      <c r="I403" t="str">
        <f ca="1" t="shared" si="123"/>
        <v/>
      </c>
      <c r="J403" t="str">
        <f ca="1" t="shared" si="124"/>
        <v/>
      </c>
      <c r="K403" t="str">
        <f ca="1" t="shared" si="111"/>
        <v/>
      </c>
      <c r="L403">
        <f ca="1">IFERROR(IF(AND(COUNTIF(B403,"*-峰插*"),技能数据库!$M$72&gt;0),0,IF(COUNTIF(B403,"*鹤归*")&gt;0,16-加速!$L$11,MAX(0,L402-(A403-A402)))),0)</f>
        <v>0</v>
      </c>
      <c r="M403">
        <f ca="1" t="shared" si="112"/>
        <v>0</v>
      </c>
      <c r="N403">
        <f ca="1">IFERROR(IF(AND(COUNTIF(B403,"*-峰插*"),技能数据库!$M$72&gt;0),0,IF(COUNTIF(B403,"*云飞*")&gt;0,4-COUNTIF(B403,"*玉山揽云*")*4--COUNTIF(B403,"*烟流暮景*")*4-COUNTIF(B403,"*云景*")*加速!$L$11-IF(J403&gt;0,2,0),MAX(0,N402-(A403-A402)-IF(J403&gt;0,2,0)))),0)</f>
        <v>0</v>
      </c>
      <c r="O403">
        <f ca="1">IF(AND(COUNTIF(IF(AND(配装计算器!$K$30&lt;&gt;"∞",0),INDEX(AU402:CB402,1,$AT$1),INDEX(AU404:CB404,1,$AT$1)),"*云飞*")=1,COUNTIF(IF(AND(配装计算器!$K$30&lt;&gt;"∞",0),INDEX(AU402:CB402,1,$AT$1),INDEX(AU404:CB404,1,$AT$1)),"*玉山*")=0),N403,0)</f>
        <v>0</v>
      </c>
      <c r="P403">
        <f ca="1">IFERROR(IF(COUNTIF(B403,"*云栖松*")&gt;0,50-加速!$L$11,MAX(0,P402-(A403-A402))),0)</f>
        <v>0</v>
      </c>
      <c r="Q403">
        <f ca="1">IF(COUNTIF(IF(AND(配装计算器!$K$30&lt;&gt;"∞",0),INDEX(AU402:CB402,1,$AT$1),INDEX(AU404:CB404,1,$AT$1)),"*云栖松*")=1,P403,0)</f>
        <v>0</v>
      </c>
      <c r="R403">
        <f ca="1">IFERROR(IF(COUNTIF(B403,"*莺鸣柳*")&gt;0,45-加速!$L$9,MAX(0,R402-(A403-A402))),0)</f>
        <v>0</v>
      </c>
      <c r="S403">
        <f ca="1">IF(COUNTIF(IF(AND(配装计算器!$K$30&lt;&gt;"∞",0),INDEX(AU402:CB402,1,$AT$1),INDEX(AU404:CB404,1,$AT$1)),"*莺鸣柳*")=1,R403,0)</f>
        <v>0</v>
      </c>
      <c r="T403">
        <f ca="1" t="shared" si="120"/>
        <v>0</v>
      </c>
      <c r="U403">
        <f ca="1">IF(金蛇,IF(COUNTIF(B403,"*金环戴*")+COUNTIF(B403,"*吹风醒*")&gt;0,IF(A403&lt;=3,7.125-2.625-A403-加速!$L$11,7.125+加速!$K$9-(A403+加速!$L$11-T403)),0),0)+IF(金蛇,IF(COUNTIF(B403,"*千切子裂光*")&gt;0,2+加速!$K$9-(A403+加速!$L$11-T403),0),0)</f>
        <v>0</v>
      </c>
      <c r="V403">
        <f ca="1" t="shared" si="121"/>
        <v>0</v>
      </c>
      <c r="W403">
        <f ca="1" t="shared" si="113"/>
        <v>0</v>
      </c>
      <c r="X403">
        <f ca="1">INDEX(加速!$I$13:$I$21,W403+1)</f>
        <v>0</v>
      </c>
      <c r="Y403">
        <f ca="1" t="shared" si="122"/>
        <v>0.5</v>
      </c>
      <c r="Z403">
        <f ca="1" t="shared" si="118"/>
        <v>0</v>
      </c>
      <c r="AA403">
        <f ca="1">MAX(0,IFERROR(IF(COUNTIF(B403,"*叠*")&gt;0,IF(AC402&lt;3,8-A404+A403,AA402+6.875-A404+A403),AA402-A404+A403),AA402-加速!$L$11))</f>
        <v>0</v>
      </c>
      <c r="AB403" t="e">
        <f ca="1">MAX(0,IF(COUNTIF(IF(AND(配装计算器!$K$30&lt;&gt;"∞",0),INDEX(AU403:CB403,1,$AT$1),INDEX(AU403:CB403,1,$AT$1)),"*叠1*")=1,4*25-加速!$L$11,AB402-A403+A402)-IF(OR(COUNTIF(OFFSET(AT403,0,$AT$1,1,1),"*听雷*")&gt;0,AND(碧归&gt;0,COUNTIF(OFFSET(AT403,0,$AT$1,1,1),"*风来*")&gt;0)),0,1)*1.5)</f>
        <v>#VALUE!</v>
      </c>
      <c r="AC403">
        <f ca="1" t="shared" si="114"/>
        <v>0</v>
      </c>
      <c r="AD403">
        <f ca="1">IF(COUNTIF(IF(AND(配装计算器!$K$30&lt;&gt;"∞",0),INDEX(AU403:CB403,1,$AT$1),INDEX(AU404:CB404,1,$AT$1)),"*叠1*")=1,AB403*0+AE402,0)</f>
        <v>0</v>
      </c>
      <c r="AE403" t="e">
        <f ca="1">IF($AN$11&gt;0,IF(COUNTIF(B404,"*叠1*")&gt;0,50-加速!$L$11,MAX(0,AE402-(A404-A403))),0)</f>
        <v>#VALUE!</v>
      </c>
      <c r="AG403">
        <f ca="1" t="shared" si="115"/>
        <v>11</v>
      </c>
      <c r="AU403" s="176" t="s">
        <v>2776</v>
      </c>
      <c r="AV403">
        <v>2</v>
      </c>
      <c r="AW403" t="s">
        <v>2768</v>
      </c>
      <c r="AX403">
        <v>2</v>
      </c>
      <c r="AY403" t="s">
        <v>3017</v>
      </c>
      <c r="AZ403">
        <v>2</v>
      </c>
      <c r="BA403" t="s">
        <v>3022</v>
      </c>
      <c r="BB403">
        <v>2</v>
      </c>
      <c r="BC403" t="s">
        <v>2794</v>
      </c>
      <c r="BD403">
        <v>2</v>
      </c>
      <c r="BE403" s="176" t="s">
        <v>2768</v>
      </c>
      <c r="BF403">
        <v>2</v>
      </c>
      <c r="BG403" s="182" t="s">
        <v>3023</v>
      </c>
      <c r="BH403">
        <v>2</v>
      </c>
      <c r="BI403" s="176" t="s">
        <v>2768</v>
      </c>
      <c r="BJ403">
        <v>1</v>
      </c>
      <c r="BK403" t="s">
        <v>2776</v>
      </c>
      <c r="BL403">
        <v>0</v>
      </c>
      <c r="BM403" t="s">
        <v>2768</v>
      </c>
      <c r="BN403">
        <v>2</v>
      </c>
      <c r="BO403" s="176" t="s">
        <v>2768</v>
      </c>
      <c r="BP403">
        <v>2</v>
      </c>
      <c r="BQ403" t="s">
        <v>2768</v>
      </c>
      <c r="BR403">
        <v>1</v>
      </c>
      <c r="BS403" t="s">
        <v>2768</v>
      </c>
      <c r="BT403">
        <v>2</v>
      </c>
      <c r="BU403" t="s">
        <v>3011</v>
      </c>
      <c r="BV403">
        <v>2</v>
      </c>
      <c r="BW403" s="179" t="s">
        <v>3009</v>
      </c>
      <c r="BX403" s="179">
        <v>2</v>
      </c>
      <c r="BY403" s="176" t="s">
        <v>2768</v>
      </c>
      <c r="BZ403">
        <v>1</v>
      </c>
      <c r="CA403" t="s">
        <v>2768</v>
      </c>
      <c r="CB403">
        <v>1</v>
      </c>
    </row>
    <row r="404" spans="1:80">
      <c r="A404" s="178" t="str">
        <f ca="1">IFERROR(IF(AG403&lt;5+金蛇*2,IF(COUNTIF(B403,"*轻*")&gt;0,A403+加速!$L$9,A403+加速!$L$11)+V403,""),"")</f>
        <v/>
      </c>
      <c r="B404" s="167" t="str">
        <f ca="1" t="shared" si="110"/>
        <v/>
      </c>
      <c r="C404" t="str">
        <f ca="1" t="shared" si="119"/>
        <v/>
      </c>
      <c r="D404" t="str">
        <f ca="1">IF(B404&lt;&gt;"",IF(C403&lt;=加速!$L$11*(1-E404),0,1),"")</f>
        <v/>
      </c>
      <c r="E404">
        <f ca="1" t="shared" si="116"/>
        <v>1</v>
      </c>
      <c r="G404" t="str">
        <f ca="1" t="shared" si="117"/>
        <v/>
      </c>
      <c r="H404" t="str">
        <f ca="1">IF(B404&lt;&gt;"",IF(AND(COUNTIF(B403,"*轻*莺鸣柳*")&gt;0,COUNTIF(B404,"*轻*")&lt;1),MAX(0,15+I403-(A404-A403)+COUNTIF(B403,"*平湖*")*0),IF(AND(E404=0,MAX(0,H403-(A404-A403))&lt;=加速!$H$11),0,MAX(0,H403-(A404-A403)))),"")</f>
        <v/>
      </c>
      <c r="I404" t="str">
        <f ca="1" t="shared" si="123"/>
        <v/>
      </c>
      <c r="J404" t="str">
        <f ca="1" t="shared" si="124"/>
        <v/>
      </c>
      <c r="K404" t="str">
        <f ca="1" t="shared" si="111"/>
        <v/>
      </c>
      <c r="L404">
        <f ca="1">IFERROR(IF(AND(COUNTIF(B404,"*-峰插*"),技能数据库!$M$72&gt;0),0,IF(COUNTIF(B404,"*鹤归*")&gt;0,16-加速!$L$11,MAX(0,L403-(A404-A403)))),0)</f>
        <v>0</v>
      </c>
      <c r="M404">
        <f ca="1" t="shared" si="112"/>
        <v>0</v>
      </c>
      <c r="N404">
        <f ca="1">IFERROR(IF(AND(COUNTIF(B404,"*-峰插*"),技能数据库!$M$72&gt;0),0,IF(COUNTIF(B404,"*云飞*")&gt;0,4-COUNTIF(B404,"*玉山揽云*")*4--COUNTIF(B404,"*烟流暮景*")*4-COUNTIF(B404,"*云景*")*加速!$L$11-IF(J404&gt;0,2,0),MAX(0,N403-(A404-A403)-IF(J404&gt;0,2,0)))),0)</f>
        <v>0</v>
      </c>
      <c r="O404">
        <f ca="1">IF(AND(COUNTIF(IF(AND(配装计算器!$K$30&lt;&gt;"∞",0),INDEX(AU403:CB403,1,$AT$1),INDEX(AU405:CB405,1,$AT$1)),"*云飞*")=1,COUNTIF(IF(AND(配装计算器!$K$30&lt;&gt;"∞",0),INDEX(AU403:CB403,1,$AT$1),INDEX(AU405:CB405,1,$AT$1)),"*玉山*")=0),N404,0)</f>
        <v>0</v>
      </c>
      <c r="P404">
        <f ca="1">IFERROR(IF(COUNTIF(B404,"*云栖松*")&gt;0,50-加速!$L$11,MAX(0,P403-(A404-A403))),0)</f>
        <v>0</v>
      </c>
      <c r="Q404">
        <f ca="1">IF(COUNTIF(IF(AND(配装计算器!$K$30&lt;&gt;"∞",0),INDEX(AU403:CB403,1,$AT$1),INDEX(AU405:CB405,1,$AT$1)),"*云栖松*")=1,P404,0)</f>
        <v>0</v>
      </c>
      <c r="R404">
        <f ca="1">IFERROR(IF(COUNTIF(B404,"*莺鸣柳*")&gt;0,45-加速!$L$9,MAX(0,R403-(A404-A403))),0)</f>
        <v>0</v>
      </c>
      <c r="S404">
        <f ca="1">IF(COUNTIF(IF(AND(配装计算器!$K$30&lt;&gt;"∞",0),INDEX(AU403:CB403,1,$AT$1),INDEX(AU405:CB405,1,$AT$1)),"*莺鸣柳*")=1,R404,0)</f>
        <v>0</v>
      </c>
      <c r="T404">
        <f ca="1" t="shared" si="120"/>
        <v>0</v>
      </c>
      <c r="U404">
        <f ca="1">IF(金蛇,IF(COUNTIF(B404,"*金环戴*")+COUNTIF(B404,"*吹风醒*")&gt;0,IF(A404&lt;=3,7.125-2.625-A404-加速!$L$11,7.125+加速!$K$9-(A404+加速!$L$11-T404)),0),0)+IF(金蛇,IF(COUNTIF(B404,"*千切子裂光*")&gt;0,2+加速!$K$9-(A404+加速!$L$11-T404),0),0)</f>
        <v>0</v>
      </c>
      <c r="V404">
        <f ca="1" t="shared" si="121"/>
        <v>0</v>
      </c>
      <c r="W404">
        <f ca="1" t="shared" si="113"/>
        <v>0</v>
      </c>
      <c r="X404">
        <f ca="1">INDEX(加速!$I$13:$I$21,W404+1)</f>
        <v>0</v>
      </c>
      <c r="Y404">
        <f ca="1" t="shared" si="122"/>
        <v>0.5</v>
      </c>
      <c r="Z404">
        <f ca="1" t="shared" si="118"/>
        <v>0</v>
      </c>
      <c r="AA404">
        <f ca="1">MAX(0,IFERROR(IF(COUNTIF(B404,"*叠*")&gt;0,IF(AC403&lt;3,8-A405+A404,AA403+6.875-A405+A404),AA403-A405+A404),AA403-加速!$L$11))</f>
        <v>0</v>
      </c>
      <c r="AB404" t="e">
        <f ca="1">MAX(0,IF(COUNTIF(IF(AND(配装计算器!$K$30&lt;&gt;"∞",0),INDEX(AU404:CB404,1,$AT$1),INDEX(AU404:CB404,1,$AT$1)),"*叠1*")=1,4*25-加速!$L$11,AB403-A404+A403)-IF(OR(COUNTIF(OFFSET(AT404,0,$AT$1,1,1),"*听雷*")&gt;0,AND(碧归&gt;0,COUNTIF(OFFSET(AT404,0,$AT$1,1,1),"*风来*")&gt;0)),0,1)*1.5)</f>
        <v>#VALUE!</v>
      </c>
      <c r="AC404">
        <f ca="1" t="shared" si="114"/>
        <v>0</v>
      </c>
      <c r="AD404">
        <f ca="1">IF(COUNTIF(IF(AND(配装计算器!$K$30&lt;&gt;"∞",0),INDEX(AU404:CB404,1,$AT$1),INDEX(AU405:CB405,1,$AT$1)),"*叠1*")=1,AB404*0+AE403,0)</f>
        <v>0</v>
      </c>
      <c r="AE404" t="e">
        <f ca="1">IF($AN$11&gt;0,IF(COUNTIF(B405,"*叠1*")&gt;0,50-加速!$L$11,MAX(0,AE403-(A405-A404))),0)</f>
        <v>#VALUE!</v>
      </c>
      <c r="AG404">
        <f ca="1" t="shared" si="115"/>
        <v>11</v>
      </c>
      <c r="AU404" s="176" t="s">
        <v>2768</v>
      </c>
      <c r="AV404">
        <v>2</v>
      </c>
      <c r="AW404" t="s">
        <v>2776</v>
      </c>
      <c r="AX404">
        <v>2</v>
      </c>
      <c r="AY404" t="s">
        <v>2808</v>
      </c>
      <c r="AZ404">
        <v>2</v>
      </c>
      <c r="BA404" t="s">
        <v>2776</v>
      </c>
      <c r="BB404">
        <v>2</v>
      </c>
      <c r="BC404" t="s">
        <v>2768</v>
      </c>
      <c r="BD404">
        <v>2</v>
      </c>
      <c r="BE404" s="176" t="s">
        <v>2789</v>
      </c>
      <c r="BF404">
        <v>2</v>
      </c>
      <c r="BG404" s="176" t="s">
        <v>2768</v>
      </c>
      <c r="BH404">
        <v>2</v>
      </c>
      <c r="BI404" s="176" t="s">
        <v>2776</v>
      </c>
      <c r="BJ404">
        <v>0</v>
      </c>
      <c r="BK404" t="s">
        <v>2768</v>
      </c>
      <c r="BL404">
        <v>0</v>
      </c>
      <c r="BM404" t="s">
        <v>2776</v>
      </c>
      <c r="BN404">
        <v>2</v>
      </c>
      <c r="BO404" s="176" t="s">
        <v>2808</v>
      </c>
      <c r="BP404">
        <v>2</v>
      </c>
      <c r="BQ404" t="s">
        <v>2776</v>
      </c>
      <c r="BR404">
        <v>1</v>
      </c>
      <c r="BS404" t="s">
        <v>2776</v>
      </c>
      <c r="BT404">
        <v>2</v>
      </c>
      <c r="BU404" t="s">
        <v>2768</v>
      </c>
      <c r="BV404">
        <v>2</v>
      </c>
      <c r="BW404" s="179" t="s">
        <v>2776</v>
      </c>
      <c r="BX404" s="179">
        <v>2</v>
      </c>
      <c r="BY404" t="s">
        <v>2776</v>
      </c>
      <c r="BZ404">
        <v>1</v>
      </c>
      <c r="CA404" t="s">
        <v>2776</v>
      </c>
      <c r="CB404">
        <v>1</v>
      </c>
    </row>
    <row r="405" spans="1:80">
      <c r="A405" s="178" t="str">
        <f ca="1">IFERROR(IF(AG404&lt;5+金蛇*2,IF(COUNTIF(B404,"*轻*")&gt;0,A404+加速!$L$9,A404+加速!$L$11)+V404,""),"")</f>
        <v/>
      </c>
      <c r="B405" s="167" t="str">
        <f ca="1" t="shared" si="110"/>
        <v/>
      </c>
      <c r="C405" t="str">
        <f ca="1" t="shared" si="119"/>
        <v/>
      </c>
      <c r="D405" t="str">
        <f ca="1">IF(B405&lt;&gt;"",IF(C404&lt;=加速!$L$11*(1-E405),0,1),"")</f>
        <v/>
      </c>
      <c r="E405">
        <f ca="1" t="shared" si="116"/>
        <v>1</v>
      </c>
      <c r="G405" t="str">
        <f ca="1" t="shared" si="117"/>
        <v/>
      </c>
      <c r="H405" t="str">
        <f ca="1">IF(B405&lt;&gt;"",IF(AND(COUNTIF(B404,"*轻*莺鸣柳*")&gt;0,COUNTIF(B405,"*轻*")&lt;1),MAX(0,15+I404-(A405-A404)+COUNTIF(B404,"*平湖*")*0),IF(AND(E405=0,MAX(0,H404-(A405-A404))&lt;=加速!$H$11),0,MAX(0,H404-(A405-A404)))),"")</f>
        <v/>
      </c>
      <c r="I405" t="str">
        <f ca="1" t="shared" si="123"/>
        <v/>
      </c>
      <c r="J405" t="str">
        <f ca="1" t="shared" si="124"/>
        <v/>
      </c>
      <c r="K405" t="str">
        <f ca="1" t="shared" si="111"/>
        <v/>
      </c>
      <c r="L405">
        <f ca="1">IFERROR(IF(AND(COUNTIF(B405,"*-峰插*"),技能数据库!$M$72&gt;0),0,IF(COUNTIF(B405,"*鹤归*")&gt;0,16-加速!$L$11,MAX(0,L404-(A405-A404)))),0)</f>
        <v>0</v>
      </c>
      <c r="M405">
        <f ca="1" t="shared" si="112"/>
        <v>0</v>
      </c>
      <c r="N405">
        <f ca="1">IFERROR(IF(AND(COUNTIF(B405,"*-峰插*"),技能数据库!$M$72&gt;0),0,IF(COUNTIF(B405,"*云飞*")&gt;0,4-COUNTIF(B405,"*玉山揽云*")*4--COUNTIF(B405,"*烟流暮景*")*4-COUNTIF(B405,"*云景*")*加速!$L$11-IF(J405&gt;0,2,0),MAX(0,N404-(A405-A404)-IF(J405&gt;0,2,0)))),0)</f>
        <v>0</v>
      </c>
      <c r="O405">
        <f ca="1">IF(AND(COUNTIF(IF(AND(配装计算器!$K$30&lt;&gt;"∞",0),INDEX(AU404:CB404,1,$AT$1),INDEX(AU406:CB406,1,$AT$1)),"*云飞*")=1,COUNTIF(IF(AND(配装计算器!$K$30&lt;&gt;"∞",0),INDEX(AU404:CB404,1,$AT$1),INDEX(AU406:CB406,1,$AT$1)),"*玉山*")=0),N405,0)</f>
        <v>0</v>
      </c>
      <c r="P405">
        <f ca="1">IFERROR(IF(COUNTIF(B405,"*云栖松*")&gt;0,50-加速!$L$11,MAX(0,P404-(A405-A404))),0)</f>
        <v>0</v>
      </c>
      <c r="Q405">
        <f ca="1">IF(COUNTIF(IF(AND(配装计算器!$K$30&lt;&gt;"∞",0),INDEX(AU404:CB404,1,$AT$1),INDEX(AU406:CB406,1,$AT$1)),"*云栖松*")=1,P405,0)</f>
        <v>0</v>
      </c>
      <c r="R405">
        <f ca="1">IFERROR(IF(COUNTIF(B405,"*莺鸣柳*")&gt;0,45-加速!$L$9,MAX(0,R404-(A405-A404))),0)</f>
        <v>0</v>
      </c>
      <c r="S405">
        <f ca="1">IF(COUNTIF(IF(AND(配装计算器!$K$30&lt;&gt;"∞",0),INDEX(AU404:CB404,1,$AT$1),INDEX(AU406:CB406,1,$AT$1)),"*莺鸣柳*")=1,R405,0)</f>
        <v>0</v>
      </c>
      <c r="T405">
        <f ca="1" t="shared" si="120"/>
        <v>0</v>
      </c>
      <c r="U405">
        <f ca="1">IF(金蛇,IF(COUNTIF(B405,"*金环戴*")+COUNTIF(B405,"*吹风醒*")&gt;0,IF(A405&lt;=3,7.125-2.625-A405-加速!$L$11,7.125+加速!$K$9-(A405+加速!$L$11-T405)),0),0)+IF(金蛇,IF(COUNTIF(B405,"*千切子裂光*")&gt;0,2+加速!$K$9-(A405+加速!$L$11-T405),0),0)</f>
        <v>0</v>
      </c>
      <c r="V405">
        <f ca="1" t="shared" si="121"/>
        <v>0</v>
      </c>
      <c r="W405">
        <f ca="1" t="shared" si="113"/>
        <v>0</v>
      </c>
      <c r="X405">
        <f ca="1">INDEX(加速!$I$13:$I$21,W405+1)</f>
        <v>0</v>
      </c>
      <c r="Y405">
        <f ca="1" t="shared" si="122"/>
        <v>0.5</v>
      </c>
      <c r="Z405">
        <f ca="1" t="shared" si="118"/>
        <v>0</v>
      </c>
      <c r="AA405">
        <f ca="1">MAX(0,IFERROR(IF(COUNTIF(B405,"*叠*")&gt;0,IF(AC404&lt;3,8-A406+A405,AA404+6.875-A406+A405),AA404-A406+A405),AA404-加速!$L$11))</f>
        <v>0</v>
      </c>
      <c r="AB405" t="e">
        <f ca="1">MAX(0,IF(COUNTIF(IF(AND(配装计算器!$K$30&lt;&gt;"∞",0),INDEX(AU405:CB405,1,$AT$1),INDEX(AU405:CB405,1,$AT$1)),"*叠1*")=1,4*25-加速!$L$11,AB404-A405+A404)-IF(OR(COUNTIF(OFFSET(AT405,0,$AT$1,1,1),"*听雷*")&gt;0,AND(碧归&gt;0,COUNTIF(OFFSET(AT405,0,$AT$1,1,1),"*风来*")&gt;0)),0,1)*1.5)</f>
        <v>#VALUE!</v>
      </c>
      <c r="AC405">
        <f ca="1" t="shared" si="114"/>
        <v>0</v>
      </c>
      <c r="AD405">
        <f ca="1">IF(COUNTIF(IF(AND(配装计算器!$K$30&lt;&gt;"∞",0),INDEX(AU405:CB405,1,$AT$1),INDEX(AU406:CB406,1,$AT$1)),"*叠1*")=1,AB405*0+AE404,0)</f>
        <v>0</v>
      </c>
      <c r="AE405" t="e">
        <f ca="1">IF($AN$11&gt;0,IF(COUNTIF(B406,"*叠1*")&gt;0,50-加速!$L$11,MAX(0,AE404-(A406-A405))),0)</f>
        <v>#VALUE!</v>
      </c>
      <c r="AG405">
        <f ca="1" t="shared" si="115"/>
        <v>11</v>
      </c>
      <c r="AU405" s="176" t="s">
        <v>2776</v>
      </c>
      <c r="AV405">
        <v>2</v>
      </c>
      <c r="AW405" t="s">
        <v>2768</v>
      </c>
      <c r="AX405">
        <v>2</v>
      </c>
      <c r="AY405" t="s">
        <v>3022</v>
      </c>
      <c r="AZ405">
        <v>2</v>
      </c>
      <c r="BA405" t="s">
        <v>2768</v>
      </c>
      <c r="BB405">
        <v>2</v>
      </c>
      <c r="BC405" t="s">
        <v>2776</v>
      </c>
      <c r="BD405">
        <v>2</v>
      </c>
      <c r="BE405" s="176" t="s">
        <v>2776</v>
      </c>
      <c r="BF405">
        <v>2</v>
      </c>
      <c r="BG405" s="176" t="s">
        <v>2768</v>
      </c>
      <c r="BH405">
        <v>2</v>
      </c>
      <c r="BI405" t="s">
        <v>2794</v>
      </c>
      <c r="BJ405">
        <v>0</v>
      </c>
      <c r="BK405" t="s">
        <v>3067</v>
      </c>
      <c r="BL405">
        <v>2</v>
      </c>
      <c r="BM405" t="s">
        <v>2768</v>
      </c>
      <c r="BN405">
        <v>1</v>
      </c>
      <c r="BO405" t="s">
        <v>2768</v>
      </c>
      <c r="BP405">
        <v>2</v>
      </c>
      <c r="BQ405" t="s">
        <v>2768</v>
      </c>
      <c r="BR405">
        <v>1</v>
      </c>
      <c r="BS405" t="s">
        <v>2768</v>
      </c>
      <c r="BT405">
        <v>2</v>
      </c>
      <c r="BU405" t="s">
        <v>3018</v>
      </c>
      <c r="BV405">
        <v>2</v>
      </c>
      <c r="BW405" s="179" t="s">
        <v>2768</v>
      </c>
      <c r="BX405" s="179">
        <v>2</v>
      </c>
      <c r="BY405" t="s">
        <v>2768</v>
      </c>
      <c r="BZ405">
        <v>1</v>
      </c>
      <c r="CA405" t="s">
        <v>2768</v>
      </c>
      <c r="CB405">
        <v>1</v>
      </c>
    </row>
    <row r="406" spans="1:80">
      <c r="A406" s="178" t="str">
        <f ca="1">IFERROR(IF(AG405&lt;5+金蛇*2,IF(COUNTIF(B405,"*轻*")&gt;0,A405+加速!$L$9,A405+加速!$L$11)+V405,""),"")</f>
        <v/>
      </c>
      <c r="B406" s="167" t="str">
        <f ca="1" t="shared" si="110"/>
        <v/>
      </c>
      <c r="C406" t="str">
        <f ca="1" t="shared" si="119"/>
        <v/>
      </c>
      <c r="D406" t="str">
        <f ca="1">IF(B406&lt;&gt;"",IF(C405&lt;=加速!$L$11*(1-E406),0,1),"")</f>
        <v/>
      </c>
      <c r="E406">
        <f ca="1" t="shared" si="116"/>
        <v>1</v>
      </c>
      <c r="G406" t="str">
        <f ca="1" t="shared" si="117"/>
        <v/>
      </c>
      <c r="H406" t="str">
        <f ca="1">IF(B406&lt;&gt;"",IF(AND(COUNTIF(B405,"*轻*莺鸣柳*")&gt;0,COUNTIF(B406,"*轻*")&lt;1),MAX(0,15+I405-(A406-A405)+COUNTIF(B405,"*平湖*")*0),IF(AND(E406=0,MAX(0,H405-(A406-A405))&lt;=加速!$H$11),0,MAX(0,H405-(A406-A405)))),"")</f>
        <v/>
      </c>
      <c r="I406" t="str">
        <f ca="1" t="shared" si="123"/>
        <v/>
      </c>
      <c r="J406" t="str">
        <f ca="1" t="shared" si="124"/>
        <v/>
      </c>
      <c r="K406" t="str">
        <f ca="1" t="shared" si="111"/>
        <v/>
      </c>
      <c r="L406">
        <f ca="1">IFERROR(IF(AND(COUNTIF(B406,"*-峰插*"),技能数据库!$M$72&gt;0),0,IF(COUNTIF(B406,"*鹤归*")&gt;0,16-加速!$L$11,MAX(0,L405-(A406-A405)))),0)</f>
        <v>0</v>
      </c>
      <c r="M406">
        <f ca="1" t="shared" si="112"/>
        <v>0</v>
      </c>
      <c r="N406">
        <f ca="1">IFERROR(IF(AND(COUNTIF(B406,"*-峰插*"),技能数据库!$M$72&gt;0),0,IF(COUNTIF(B406,"*云飞*")&gt;0,4-COUNTIF(B406,"*玉山揽云*")*4--COUNTIF(B406,"*烟流暮景*")*4-COUNTIF(B406,"*云景*")*加速!$L$11-IF(J406&gt;0,2,0),MAX(0,N405-(A406-A405)-IF(J406&gt;0,2,0)))),0)</f>
        <v>0</v>
      </c>
      <c r="O406">
        <f ca="1">IF(AND(COUNTIF(IF(AND(配装计算器!$K$30&lt;&gt;"∞",0),INDEX(AU405:CB405,1,$AT$1),INDEX(AU407:CB407,1,$AT$1)),"*云飞*")=1,COUNTIF(IF(AND(配装计算器!$K$30&lt;&gt;"∞",0),INDEX(AU405:CB405,1,$AT$1),INDEX(AU407:CB407,1,$AT$1)),"*玉山*")=0),N406,0)</f>
        <v>0</v>
      </c>
      <c r="P406">
        <f ca="1">IFERROR(IF(COUNTIF(B406,"*云栖松*")&gt;0,50-加速!$L$11,MAX(0,P405-(A406-A405))),0)</f>
        <v>0</v>
      </c>
      <c r="Q406">
        <f ca="1">IF(COUNTIF(IF(AND(配装计算器!$K$30&lt;&gt;"∞",0),INDEX(AU405:CB405,1,$AT$1),INDEX(AU407:CB407,1,$AT$1)),"*云栖松*")=1,P406,0)</f>
        <v>0</v>
      </c>
      <c r="R406">
        <f ca="1">IFERROR(IF(COUNTIF(B406,"*莺鸣柳*")&gt;0,45-加速!$L$9,MAX(0,R405-(A406-A405))),0)</f>
        <v>0</v>
      </c>
      <c r="S406">
        <f ca="1">IF(COUNTIF(IF(AND(配装计算器!$K$30&lt;&gt;"∞",0),INDEX(AU405:CB405,1,$AT$1),INDEX(AU407:CB407,1,$AT$1)),"*莺鸣柳*")=1,R406,0)</f>
        <v>0</v>
      </c>
      <c r="T406">
        <f ca="1" t="shared" si="120"/>
        <v>0</v>
      </c>
      <c r="U406">
        <f ca="1">IF(金蛇,IF(COUNTIF(B406,"*金环戴*")+COUNTIF(B406,"*吹风醒*")&gt;0,IF(A406&lt;=3,7.125-2.625-A406-加速!$L$11,7.125+加速!$K$9-(A406+加速!$L$11-T406)),0),0)+IF(金蛇,IF(COUNTIF(B406,"*千切子裂光*")&gt;0,2+加速!$K$9-(A406+加速!$L$11-T406),0),0)</f>
        <v>0</v>
      </c>
      <c r="V406">
        <f ca="1" t="shared" si="121"/>
        <v>0</v>
      </c>
      <c r="W406">
        <f ca="1" t="shared" si="113"/>
        <v>0</v>
      </c>
      <c r="X406">
        <f ca="1">INDEX(加速!$I$13:$I$21,W406+1)</f>
        <v>0</v>
      </c>
      <c r="Y406">
        <f ca="1" t="shared" si="122"/>
        <v>0.5</v>
      </c>
      <c r="Z406">
        <f ca="1" t="shared" si="118"/>
        <v>0</v>
      </c>
      <c r="AA406">
        <f ca="1">MAX(0,IFERROR(IF(COUNTIF(B406,"*叠*")&gt;0,IF(AC405&lt;3,8-A407+A406,AA405+6.875-A407+A406),AA405-A407+A406),AA405-加速!$L$11))</f>
        <v>0</v>
      </c>
      <c r="AB406" t="e">
        <f ca="1">MAX(0,IF(COUNTIF(IF(AND(配装计算器!$K$30&lt;&gt;"∞",0),INDEX(AU406:CB406,1,$AT$1),INDEX(AU406:CB406,1,$AT$1)),"*叠1*")=1,4*25-加速!$L$11,AB405-A406+A405)-IF(OR(COUNTIF(OFFSET(AT406,0,$AT$1,1,1),"*听雷*")&gt;0,AND(碧归&gt;0,COUNTIF(OFFSET(AT406,0,$AT$1,1,1),"*风来*")&gt;0)),0,1)*1.5)</f>
        <v>#VALUE!</v>
      </c>
      <c r="AC406">
        <f ca="1" t="shared" si="114"/>
        <v>0</v>
      </c>
      <c r="AD406">
        <f ca="1">IF(COUNTIF(IF(AND(配装计算器!$K$30&lt;&gt;"∞",0),INDEX(AU406:CB406,1,$AT$1),INDEX(AU407:CB407,1,$AT$1)),"*叠1*")=1,AB406*0+AE405,0)</f>
        <v>0</v>
      </c>
      <c r="AE406" t="e">
        <f ca="1">IF($AN$11&gt;0,IF(COUNTIF(B407,"*叠1*")&gt;0,50-加速!$L$11,MAX(0,AE405-(A407-A406))),0)</f>
        <v>#VALUE!</v>
      </c>
      <c r="AG406">
        <f ca="1" t="shared" si="115"/>
        <v>11</v>
      </c>
      <c r="AU406" s="176" t="s">
        <v>2768</v>
      </c>
      <c r="AV406">
        <v>1</v>
      </c>
      <c r="AW406" t="s">
        <v>2768</v>
      </c>
      <c r="AX406">
        <v>2</v>
      </c>
      <c r="AY406" t="s">
        <v>2776</v>
      </c>
      <c r="AZ406">
        <v>2</v>
      </c>
      <c r="BA406" t="s">
        <v>2768</v>
      </c>
      <c r="BB406">
        <v>2</v>
      </c>
      <c r="BC406" t="s">
        <v>2768</v>
      </c>
      <c r="BD406">
        <v>2</v>
      </c>
      <c r="BE406" s="176" t="s">
        <v>3035</v>
      </c>
      <c r="BF406">
        <v>2</v>
      </c>
      <c r="BG406" s="176" t="s">
        <v>2768</v>
      </c>
      <c r="BH406">
        <v>2</v>
      </c>
      <c r="BI406" t="s">
        <v>2768</v>
      </c>
      <c r="BJ406">
        <v>2</v>
      </c>
      <c r="BK406" s="176" t="s">
        <v>2768</v>
      </c>
      <c r="BL406">
        <v>2</v>
      </c>
      <c r="BM406" t="s">
        <v>2722</v>
      </c>
      <c r="BN406">
        <v>0</v>
      </c>
      <c r="BO406" t="s">
        <v>2776</v>
      </c>
      <c r="BP406">
        <v>2</v>
      </c>
      <c r="BQ406" t="s">
        <v>2768</v>
      </c>
      <c r="BR406">
        <v>0</v>
      </c>
      <c r="BS406" t="s">
        <v>2776</v>
      </c>
      <c r="BT406">
        <v>1</v>
      </c>
      <c r="BU406" t="s">
        <v>2768</v>
      </c>
      <c r="BV406">
        <v>2</v>
      </c>
      <c r="BW406" s="181" t="s">
        <v>2789</v>
      </c>
      <c r="BX406" s="179">
        <v>2</v>
      </c>
      <c r="BY406" t="s">
        <v>2722</v>
      </c>
      <c r="BZ406">
        <v>0</v>
      </c>
      <c r="CA406" t="s">
        <v>2722</v>
      </c>
      <c r="CB406">
        <v>0</v>
      </c>
    </row>
    <row r="407" spans="1:80">
      <c r="A407" s="178" t="str">
        <f ca="1">IFERROR(IF(AG406&lt;5+金蛇*2,IF(COUNTIF(B406,"*轻*")&gt;0,A406+加速!$L$9,A406+加速!$L$11)+V406,""),"")</f>
        <v/>
      </c>
      <c r="B407" s="167" t="str">
        <f ca="1" t="shared" si="110"/>
        <v/>
      </c>
      <c r="C407" t="str">
        <f ca="1" t="shared" si="119"/>
        <v/>
      </c>
      <c r="D407" t="str">
        <f ca="1">IF(B407&lt;&gt;"",IF(C406&lt;=加速!$L$11*(1-E407),0,1),"")</f>
        <v/>
      </c>
      <c r="E407">
        <f ca="1" t="shared" si="116"/>
        <v>1</v>
      </c>
      <c r="G407" t="str">
        <f ca="1" t="shared" si="117"/>
        <v/>
      </c>
      <c r="H407" t="str">
        <f ca="1">IF(B407&lt;&gt;"",IF(AND(COUNTIF(B406,"*轻*莺鸣柳*")&gt;0,COUNTIF(B407,"*轻*")&lt;1),MAX(0,15+I406-(A407-A406)+COUNTIF(B406,"*平湖*")*0),IF(AND(E407=0,MAX(0,H406-(A407-A406))&lt;=加速!$H$11),0,MAX(0,H406-(A407-A406)))),"")</f>
        <v/>
      </c>
      <c r="I407" t="str">
        <f ca="1" t="shared" si="123"/>
        <v/>
      </c>
      <c r="J407" t="str">
        <f ca="1" t="shared" si="124"/>
        <v/>
      </c>
      <c r="K407" t="str">
        <f ca="1" t="shared" si="111"/>
        <v/>
      </c>
      <c r="L407">
        <f ca="1">IFERROR(IF(AND(COUNTIF(B407,"*-峰插*"),技能数据库!$M$72&gt;0),0,IF(COUNTIF(B407,"*鹤归*")&gt;0,16-加速!$L$11,MAX(0,L406-(A407-A406)))),0)</f>
        <v>0</v>
      </c>
      <c r="M407">
        <f ca="1" t="shared" si="112"/>
        <v>0</v>
      </c>
      <c r="N407">
        <f ca="1">IFERROR(IF(AND(COUNTIF(B407,"*-峰插*"),技能数据库!$M$72&gt;0),0,IF(COUNTIF(B407,"*云飞*")&gt;0,4-COUNTIF(B407,"*玉山揽云*")*4--COUNTIF(B407,"*烟流暮景*")*4-COUNTIF(B407,"*云景*")*加速!$L$11-IF(J407&gt;0,2,0),MAX(0,N406-(A407-A406)-IF(J407&gt;0,2,0)))),0)</f>
        <v>0</v>
      </c>
      <c r="O407">
        <f ca="1">IF(AND(COUNTIF(IF(AND(配装计算器!$K$30&lt;&gt;"∞",0),INDEX(AU406:CB406,1,$AT$1),INDEX(AU408:CB408,1,$AT$1)),"*云飞*")=1,COUNTIF(IF(AND(配装计算器!$K$30&lt;&gt;"∞",0),INDEX(AU406:CB406,1,$AT$1),INDEX(AU408:CB408,1,$AT$1)),"*玉山*")=0),N407,0)</f>
        <v>0</v>
      </c>
      <c r="P407">
        <f ca="1">IFERROR(IF(COUNTIF(B407,"*云栖松*")&gt;0,50-加速!$L$11,MAX(0,P406-(A407-A406))),0)</f>
        <v>0</v>
      </c>
      <c r="Q407">
        <f ca="1">IF(COUNTIF(IF(AND(配装计算器!$K$30&lt;&gt;"∞",0),INDEX(AU406:CB406,1,$AT$1),INDEX(AU408:CB408,1,$AT$1)),"*云栖松*")=1,P407,0)</f>
        <v>0</v>
      </c>
      <c r="R407">
        <f ca="1">IFERROR(IF(COUNTIF(B407,"*莺鸣柳*")&gt;0,45-加速!$L$9,MAX(0,R406-(A407-A406))),0)</f>
        <v>0</v>
      </c>
      <c r="S407">
        <f ca="1">IF(COUNTIF(IF(AND(配装计算器!$K$30&lt;&gt;"∞",0),INDEX(AU406:CB406,1,$AT$1),INDEX(AU408:CB408,1,$AT$1)),"*莺鸣柳*")=1,R407,0)</f>
        <v>0</v>
      </c>
      <c r="T407">
        <f ca="1" t="shared" si="120"/>
        <v>0</v>
      </c>
      <c r="U407">
        <f ca="1">IF(金蛇,IF(COUNTIF(B407,"*金环戴*")+COUNTIF(B407,"*吹风醒*")&gt;0,IF(A407&lt;=3,7.125-2.625-A407-加速!$L$11,7.125+加速!$K$9-(A407+加速!$L$11-T407)),0),0)+IF(金蛇,IF(COUNTIF(B407,"*千切子裂光*")&gt;0,2+加速!$K$9-(A407+加速!$L$11-T407),0),0)</f>
        <v>0</v>
      </c>
      <c r="V407">
        <f ca="1" t="shared" si="121"/>
        <v>0</v>
      </c>
      <c r="W407">
        <f ca="1" t="shared" si="113"/>
        <v>0</v>
      </c>
      <c r="X407">
        <f ca="1">INDEX(加速!$I$13:$I$21,W407+1)</f>
        <v>0</v>
      </c>
      <c r="Y407">
        <f ca="1" t="shared" si="122"/>
        <v>0.5</v>
      </c>
      <c r="Z407">
        <f ca="1" t="shared" si="118"/>
        <v>0</v>
      </c>
      <c r="AA407">
        <f ca="1">MAX(0,IFERROR(IF(COUNTIF(B407,"*叠*")&gt;0,IF(AC406&lt;3,8-A408+A407,AA406+6.875-A408+A407),AA406-A408+A407),AA406-加速!$L$11))</f>
        <v>0</v>
      </c>
      <c r="AB407" t="e">
        <f ca="1">MAX(0,IF(COUNTIF(IF(AND(配装计算器!$K$30&lt;&gt;"∞",0),INDEX(AU407:CB407,1,$AT$1),INDEX(AU407:CB407,1,$AT$1)),"*叠1*")=1,4*25-加速!$L$11,AB406-A407+A406)-IF(OR(COUNTIF(OFFSET(AT407,0,$AT$1,1,1),"*听雷*")&gt;0,AND(碧归&gt;0,COUNTIF(OFFSET(AT407,0,$AT$1,1,1),"*风来*")&gt;0)),0,1)*1.5)</f>
        <v>#VALUE!</v>
      </c>
      <c r="AC407">
        <f ca="1" t="shared" si="114"/>
        <v>0</v>
      </c>
      <c r="AD407">
        <f ca="1">IF(COUNTIF(IF(AND(配装计算器!$K$30&lt;&gt;"∞",0),INDEX(AU407:CB407,1,$AT$1),INDEX(AU408:CB408,1,$AT$1)),"*叠1*")=1,AB407*0+AE406,0)</f>
        <v>0</v>
      </c>
      <c r="AE407" t="e">
        <f ca="1">IF($AN$11&gt;0,IF(COUNTIF(B408,"*叠1*")&gt;0,50-加速!$L$11,MAX(0,AE406-(A408-A407))),0)</f>
        <v>#VALUE!</v>
      </c>
      <c r="AG407">
        <f ca="1" t="shared" si="115"/>
        <v>11</v>
      </c>
      <c r="AU407" t="s">
        <v>2776</v>
      </c>
      <c r="AV407">
        <v>1</v>
      </c>
      <c r="AW407" t="s">
        <v>2768</v>
      </c>
      <c r="AX407">
        <v>2</v>
      </c>
      <c r="AY407" t="s">
        <v>2768</v>
      </c>
      <c r="AZ407">
        <v>2</v>
      </c>
      <c r="BA407" t="s">
        <v>2776</v>
      </c>
      <c r="BB407">
        <v>2</v>
      </c>
      <c r="BC407" t="s">
        <v>2776</v>
      </c>
      <c r="BD407">
        <v>2</v>
      </c>
      <c r="BE407" t="s">
        <v>2768</v>
      </c>
      <c r="BF407">
        <v>2</v>
      </c>
      <c r="BG407" s="176" t="s">
        <v>2776</v>
      </c>
      <c r="BH407">
        <v>2</v>
      </c>
      <c r="BI407" t="s">
        <v>2776</v>
      </c>
      <c r="BJ407">
        <v>2</v>
      </c>
      <c r="BK407" s="176" t="s">
        <v>2776</v>
      </c>
      <c r="BL407">
        <v>2</v>
      </c>
      <c r="BM407" t="s">
        <v>3009</v>
      </c>
      <c r="BN407">
        <v>2</v>
      </c>
      <c r="BO407" t="s">
        <v>2768</v>
      </c>
      <c r="BP407">
        <v>2</v>
      </c>
      <c r="BQ407" t="s">
        <v>3010</v>
      </c>
      <c r="BR407">
        <v>2</v>
      </c>
      <c r="BS407" t="s">
        <v>2768</v>
      </c>
      <c r="BT407">
        <v>1</v>
      </c>
      <c r="BU407" s="182" t="s">
        <v>3023</v>
      </c>
      <c r="BV407">
        <v>2</v>
      </c>
      <c r="BW407" s="182" t="s">
        <v>2794</v>
      </c>
      <c r="BX407" s="179">
        <v>2</v>
      </c>
      <c r="BY407" t="s">
        <v>3009</v>
      </c>
      <c r="BZ407">
        <v>2</v>
      </c>
      <c r="CA407" t="s">
        <v>3009</v>
      </c>
      <c r="CB407">
        <v>2</v>
      </c>
    </row>
    <row r="408" spans="1:80">
      <c r="A408" s="178" t="str">
        <f ca="1">IFERROR(IF(AG407&lt;5+金蛇*2,IF(COUNTIF(B407,"*轻*")&gt;0,A407+加速!$L$9,A407+加速!$L$11)+V407,""),"")</f>
        <v/>
      </c>
      <c r="B408" s="167" t="str">
        <f ca="1" t="shared" si="110"/>
        <v/>
      </c>
      <c r="C408" t="str">
        <f ca="1" t="shared" si="119"/>
        <v/>
      </c>
      <c r="D408" t="str">
        <f ca="1">IF(B408&lt;&gt;"",IF(C407&lt;=加速!$L$11*(1-E408),0,1),"")</f>
        <v/>
      </c>
      <c r="E408">
        <f ca="1" t="shared" si="116"/>
        <v>1</v>
      </c>
      <c r="G408" t="str">
        <f ca="1" t="shared" si="117"/>
        <v/>
      </c>
      <c r="H408" t="str">
        <f ca="1">IF(B408&lt;&gt;"",IF(AND(COUNTIF(B407,"*轻*莺鸣柳*")&gt;0,COUNTIF(B408,"*轻*")&lt;1),MAX(0,15+I407-(A408-A407)+COUNTIF(B407,"*平湖*")*0),IF(AND(E408=0,MAX(0,H407-(A408-A407))&lt;=加速!$H$11),0,MAX(0,H407-(A408-A407)))),"")</f>
        <v/>
      </c>
      <c r="I408" t="str">
        <f ca="1" t="shared" si="123"/>
        <v/>
      </c>
      <c r="J408" t="str">
        <f ca="1" t="shared" si="124"/>
        <v/>
      </c>
      <c r="K408" t="str">
        <f ca="1" t="shared" si="111"/>
        <v/>
      </c>
      <c r="L408">
        <f ca="1">IFERROR(IF(AND(COUNTIF(B408,"*-峰插*"),技能数据库!$M$72&gt;0),0,IF(COUNTIF(B408,"*鹤归*")&gt;0,16-加速!$L$11,MAX(0,L407-(A408-A407)))),0)</f>
        <v>0</v>
      </c>
      <c r="M408">
        <f ca="1" t="shared" si="112"/>
        <v>0</v>
      </c>
      <c r="N408">
        <f ca="1">IFERROR(IF(AND(COUNTIF(B408,"*-峰插*"),技能数据库!$M$72&gt;0),0,IF(COUNTIF(B408,"*云飞*")&gt;0,4-COUNTIF(B408,"*玉山揽云*")*4--COUNTIF(B408,"*烟流暮景*")*4-COUNTIF(B408,"*云景*")*加速!$L$11-IF(J408&gt;0,2,0),MAX(0,N407-(A408-A407)-IF(J408&gt;0,2,0)))),0)</f>
        <v>0</v>
      </c>
      <c r="O408">
        <f ca="1">IF(AND(COUNTIF(IF(AND(配装计算器!$K$30&lt;&gt;"∞",0),INDEX(AU407:CB407,1,$AT$1),INDEX(AU409:CB409,1,$AT$1)),"*云飞*")=1,COUNTIF(IF(AND(配装计算器!$K$30&lt;&gt;"∞",0),INDEX(AU407:CB407,1,$AT$1),INDEX(AU409:CB409,1,$AT$1)),"*玉山*")=0),N408,0)</f>
        <v>0</v>
      </c>
      <c r="P408">
        <f ca="1">IFERROR(IF(COUNTIF(B408,"*云栖松*")&gt;0,50-加速!$L$11,MAX(0,P407-(A408-A407))),0)</f>
        <v>0</v>
      </c>
      <c r="Q408">
        <f ca="1">IF(COUNTIF(IF(AND(配装计算器!$K$30&lt;&gt;"∞",0),INDEX(AU407:CB407,1,$AT$1),INDEX(AU409:CB409,1,$AT$1)),"*云栖松*")=1,P408,0)</f>
        <v>0</v>
      </c>
      <c r="R408">
        <f ca="1">IFERROR(IF(COUNTIF(B408,"*莺鸣柳*")&gt;0,45-加速!$L$9,MAX(0,R407-(A408-A407))),0)</f>
        <v>0</v>
      </c>
      <c r="S408">
        <f ca="1">IF(COUNTIF(IF(AND(配装计算器!$K$30&lt;&gt;"∞",0),INDEX(AU407:CB407,1,$AT$1),INDEX(AU409:CB409,1,$AT$1)),"*莺鸣柳*")=1,R408,0)</f>
        <v>0</v>
      </c>
      <c r="T408">
        <f ca="1" t="shared" si="120"/>
        <v>0</v>
      </c>
      <c r="U408">
        <f ca="1">IF(金蛇,IF(COUNTIF(B408,"*金环戴*")+COUNTIF(B408,"*吹风醒*")&gt;0,IF(A408&lt;=3,7.125-2.625-A408-加速!$L$11,7.125+加速!$K$9-(A408+加速!$L$11-T408)),0),0)+IF(金蛇,IF(COUNTIF(B408,"*千切子裂光*")&gt;0,2+加速!$K$9-(A408+加速!$L$11-T408),0),0)</f>
        <v>0</v>
      </c>
      <c r="V408">
        <f ca="1" t="shared" si="121"/>
        <v>0</v>
      </c>
      <c r="W408">
        <f ca="1" t="shared" si="113"/>
        <v>0</v>
      </c>
      <c r="X408">
        <f ca="1">INDEX(加速!$I$13:$I$21,W408+1)</f>
        <v>0</v>
      </c>
      <c r="Y408">
        <f ca="1" t="shared" si="122"/>
        <v>0.5</v>
      </c>
      <c r="Z408">
        <f ca="1" t="shared" si="118"/>
        <v>0</v>
      </c>
      <c r="AA408">
        <f ca="1">MAX(0,IFERROR(IF(COUNTIF(B408,"*叠*")&gt;0,IF(AC407&lt;3,8-A409+A408,AA407+6.875-A409+A408),AA407-A409+A408),AA407-加速!$L$11))</f>
        <v>0</v>
      </c>
      <c r="AB408" t="e">
        <f ca="1">MAX(0,IF(COUNTIF(IF(AND(配装计算器!$K$30&lt;&gt;"∞",0),INDEX(AU408:CB408,1,$AT$1),INDEX(AU408:CB408,1,$AT$1)),"*叠1*")=1,4*25-加速!$L$11,AB407-A408+A407)-IF(OR(COUNTIF(OFFSET(AT408,0,$AT$1,1,1),"*听雷*")&gt;0,AND(碧归&gt;0,COUNTIF(OFFSET(AT408,0,$AT$1,1,1),"*风来*")&gt;0)),0,1)*1.5)</f>
        <v>#VALUE!</v>
      </c>
      <c r="AC408">
        <f ca="1" t="shared" si="114"/>
        <v>0</v>
      </c>
      <c r="AD408">
        <f ca="1">IF(COUNTIF(IF(AND(配装计算器!$K$30&lt;&gt;"∞",0),INDEX(AU408:CB408,1,$AT$1),INDEX(AU409:CB409,1,$AT$1)),"*叠1*")=1,AB408*0+AE407,0)</f>
        <v>0</v>
      </c>
      <c r="AE408" t="e">
        <f ca="1">IF($AN$11&gt;0,IF(COUNTIF(B409,"*叠1*")&gt;0,50-加速!$L$11,MAX(0,AE407-(A409-A408))),0)</f>
        <v>#VALUE!</v>
      </c>
      <c r="AG408">
        <f ca="1" t="shared" si="115"/>
        <v>11</v>
      </c>
      <c r="AU408" t="s">
        <v>2768</v>
      </c>
      <c r="AV408">
        <v>1</v>
      </c>
      <c r="AW408" t="s">
        <v>2776</v>
      </c>
      <c r="AX408">
        <v>2</v>
      </c>
      <c r="AY408" t="s">
        <v>2768</v>
      </c>
      <c r="AZ408">
        <v>2</v>
      </c>
      <c r="BA408" t="s">
        <v>3035</v>
      </c>
      <c r="BB408">
        <v>2</v>
      </c>
      <c r="BC408" t="s">
        <v>2768</v>
      </c>
      <c r="BD408">
        <v>2</v>
      </c>
      <c r="BE408" t="s">
        <v>2776</v>
      </c>
      <c r="BF408">
        <v>2</v>
      </c>
      <c r="BG408" s="176" t="s">
        <v>3035</v>
      </c>
      <c r="BH408">
        <v>2</v>
      </c>
      <c r="BI408" t="s">
        <v>2768</v>
      </c>
      <c r="BJ408">
        <v>2</v>
      </c>
      <c r="BK408" s="176" t="s">
        <v>2768</v>
      </c>
      <c r="BL408">
        <v>2</v>
      </c>
      <c r="BM408" t="s">
        <v>2776</v>
      </c>
      <c r="BN408">
        <v>2</v>
      </c>
      <c r="BO408" t="s">
        <v>2768</v>
      </c>
      <c r="BP408">
        <v>2</v>
      </c>
      <c r="BQ408" t="s">
        <v>3013</v>
      </c>
      <c r="BR408">
        <v>2</v>
      </c>
      <c r="BS408" t="s">
        <v>3056</v>
      </c>
      <c r="BT408">
        <v>0</v>
      </c>
      <c r="BU408" s="176" t="s">
        <v>2768</v>
      </c>
      <c r="BV408">
        <v>2</v>
      </c>
      <c r="BW408" s="182" t="s">
        <v>2776</v>
      </c>
      <c r="BX408" s="179">
        <v>2</v>
      </c>
      <c r="BY408" t="s">
        <v>2768</v>
      </c>
      <c r="BZ408">
        <v>2</v>
      </c>
      <c r="CA408" s="176" t="s">
        <v>2794</v>
      </c>
      <c r="CB408">
        <v>2</v>
      </c>
    </row>
    <row r="409" spans="1:80">
      <c r="A409" s="178" t="str">
        <f ca="1">IFERROR(IF(AG408&lt;5+金蛇*2,IF(COUNTIF(B408,"*轻*")&gt;0,A408+加速!$L$9,A408+加速!$L$11)+V408,""),"")</f>
        <v/>
      </c>
      <c r="B409" s="167" t="str">
        <f ca="1" t="shared" si="110"/>
        <v/>
      </c>
      <c r="C409" t="str">
        <f ca="1" t="shared" si="119"/>
        <v/>
      </c>
      <c r="D409" t="str">
        <f ca="1">IF(B409&lt;&gt;"",IF(C408&lt;=加速!$L$11*(1-E409),0,1),"")</f>
        <v/>
      </c>
      <c r="E409">
        <f ca="1" t="shared" si="116"/>
        <v>1</v>
      </c>
      <c r="G409" t="str">
        <f ca="1" t="shared" si="117"/>
        <v/>
      </c>
      <c r="H409" t="str">
        <f ca="1">IF(B409&lt;&gt;"",IF(AND(COUNTIF(B408,"*轻*莺鸣柳*")&gt;0,COUNTIF(B409,"*轻*")&lt;1),MAX(0,15+I408-(A409-A408)+COUNTIF(B408,"*平湖*")*0),IF(AND(E409=0,MAX(0,H408-(A409-A408))&lt;=加速!$H$11),0,MAX(0,H408-(A409-A408)))),"")</f>
        <v/>
      </c>
      <c r="I409" t="str">
        <f ca="1" t="shared" si="123"/>
        <v/>
      </c>
      <c r="J409" t="str">
        <f ca="1" t="shared" si="124"/>
        <v/>
      </c>
      <c r="K409" t="str">
        <f ca="1" t="shared" si="111"/>
        <v/>
      </c>
      <c r="L409">
        <f ca="1">IFERROR(IF(AND(COUNTIF(B409,"*-峰插*"),技能数据库!$M$72&gt;0),0,IF(COUNTIF(B409,"*鹤归*")&gt;0,16-加速!$L$11,MAX(0,L408-(A409-A408)))),0)</f>
        <v>0</v>
      </c>
      <c r="M409">
        <f ca="1" t="shared" si="112"/>
        <v>0</v>
      </c>
      <c r="N409">
        <f ca="1">IFERROR(IF(AND(COUNTIF(B409,"*-峰插*"),技能数据库!$M$72&gt;0),0,IF(COUNTIF(B409,"*云飞*")&gt;0,4-COUNTIF(B409,"*玉山揽云*")*4--COUNTIF(B409,"*烟流暮景*")*4-COUNTIF(B409,"*云景*")*加速!$L$11-IF(J409&gt;0,2,0),MAX(0,N408-(A409-A408)-IF(J409&gt;0,2,0)))),0)</f>
        <v>0</v>
      </c>
      <c r="O409">
        <f ca="1">IF(AND(COUNTIF(IF(AND(配装计算器!$K$30&lt;&gt;"∞",0),INDEX(AU408:CB408,1,$AT$1),INDEX(AU410:CB410,1,$AT$1)),"*云飞*")=1,COUNTIF(IF(AND(配装计算器!$K$30&lt;&gt;"∞",0),INDEX(AU408:CB408,1,$AT$1),INDEX(AU410:CB410,1,$AT$1)),"*玉山*")=0),N409,0)</f>
        <v>0</v>
      </c>
      <c r="P409">
        <f ca="1">IFERROR(IF(COUNTIF(B409,"*云栖松*")&gt;0,50-加速!$L$11,MAX(0,P408-(A409-A408))),0)</f>
        <v>0</v>
      </c>
      <c r="Q409">
        <f ca="1">IF(COUNTIF(IF(AND(配装计算器!$K$30&lt;&gt;"∞",0),INDEX(AU408:CB408,1,$AT$1),INDEX(AU410:CB410,1,$AT$1)),"*云栖松*")=1,P409,0)</f>
        <v>0</v>
      </c>
      <c r="R409">
        <f ca="1">IFERROR(IF(COUNTIF(B409,"*莺鸣柳*")&gt;0,45-加速!$L$9,MAX(0,R408-(A409-A408))),0)</f>
        <v>0</v>
      </c>
      <c r="S409">
        <f ca="1">IF(COUNTIF(IF(AND(配装计算器!$K$30&lt;&gt;"∞",0),INDEX(AU408:CB408,1,$AT$1),INDEX(AU410:CB410,1,$AT$1)),"*莺鸣柳*")=1,R409,0)</f>
        <v>0</v>
      </c>
      <c r="T409">
        <f ca="1" t="shared" si="120"/>
        <v>0</v>
      </c>
      <c r="U409">
        <f ca="1">IF(金蛇,IF(COUNTIF(B409,"*金环戴*")+COUNTIF(B409,"*吹风醒*")&gt;0,IF(A409&lt;=3,7.125-2.625-A409-加速!$L$11,7.125+加速!$K$9-(A409+加速!$L$11-T409)),0),0)+IF(金蛇,IF(COUNTIF(B409,"*千切子裂光*")&gt;0,2+加速!$K$9-(A409+加速!$L$11-T409),0),0)</f>
        <v>0</v>
      </c>
      <c r="V409">
        <f ca="1" t="shared" si="121"/>
        <v>0</v>
      </c>
      <c r="W409">
        <f ca="1" t="shared" si="113"/>
        <v>0</v>
      </c>
      <c r="X409">
        <f ca="1">INDEX(加速!$I$13:$I$21,W409+1)</f>
        <v>0</v>
      </c>
      <c r="Y409">
        <f ca="1" t="shared" si="122"/>
        <v>0.5</v>
      </c>
      <c r="Z409">
        <f ca="1" t="shared" si="118"/>
        <v>0</v>
      </c>
      <c r="AA409">
        <f ca="1">MAX(0,IFERROR(IF(COUNTIF(B409,"*叠*")&gt;0,IF(AC408&lt;3,8-A410+A409,AA408+6.875-A410+A409),AA408-A410+A409),AA408-加速!$L$11))</f>
        <v>0</v>
      </c>
      <c r="AB409" t="e">
        <f ca="1">MAX(0,IF(COUNTIF(IF(AND(配装计算器!$K$30&lt;&gt;"∞",0),INDEX(AU409:CB409,1,$AT$1),INDEX(AU409:CB409,1,$AT$1)),"*叠1*")=1,4*25-加速!$L$11,AB408-A409+A408)-IF(OR(COUNTIF(OFFSET(AT409,0,$AT$1,1,1),"*听雷*")&gt;0,AND(碧归&gt;0,COUNTIF(OFFSET(AT409,0,$AT$1,1,1),"*风来*")&gt;0)),0,1)*1.5)</f>
        <v>#VALUE!</v>
      </c>
      <c r="AC409">
        <f ca="1" t="shared" si="114"/>
        <v>0</v>
      </c>
      <c r="AD409">
        <f ca="1">IF(COUNTIF(IF(AND(配装计算器!$K$30&lt;&gt;"∞",0),INDEX(AU409:CB409,1,$AT$1),INDEX(AU410:CB410,1,$AT$1)),"*叠1*")=1,AB409*0+AE408,0)</f>
        <v>0</v>
      </c>
      <c r="AE409" t="e">
        <f ca="1">IF($AN$11&gt;0,IF(COUNTIF(B410,"*叠1*")&gt;0,50-加速!$L$11,MAX(0,AE408-(A410-A409))),0)</f>
        <v>#VALUE!</v>
      </c>
      <c r="AG409">
        <f ca="1" t="shared" si="115"/>
        <v>11</v>
      </c>
      <c r="AU409" t="s">
        <v>2768</v>
      </c>
      <c r="AV409">
        <v>1</v>
      </c>
      <c r="AW409" t="s">
        <v>2768</v>
      </c>
      <c r="AX409">
        <v>2</v>
      </c>
      <c r="AY409" t="s">
        <v>2776</v>
      </c>
      <c r="AZ409">
        <v>2</v>
      </c>
      <c r="BA409" t="s">
        <v>2768</v>
      </c>
      <c r="BB409">
        <v>2</v>
      </c>
      <c r="BC409" t="s">
        <v>2776</v>
      </c>
      <c r="BD409">
        <v>2</v>
      </c>
      <c r="BE409" t="s">
        <v>2768</v>
      </c>
      <c r="BF409">
        <v>2</v>
      </c>
      <c r="BG409" t="s">
        <v>2768</v>
      </c>
      <c r="BH409">
        <v>2</v>
      </c>
      <c r="BI409" t="s">
        <v>2776</v>
      </c>
      <c r="BJ409">
        <v>1</v>
      </c>
      <c r="BK409" s="176" t="s">
        <v>2768</v>
      </c>
      <c r="BL409">
        <v>1</v>
      </c>
      <c r="BM409" t="s">
        <v>2768</v>
      </c>
      <c r="BN409">
        <v>2</v>
      </c>
      <c r="BO409" t="s">
        <v>2768</v>
      </c>
      <c r="BP409">
        <v>2</v>
      </c>
      <c r="BQ409" t="s">
        <v>3018</v>
      </c>
      <c r="BR409">
        <v>2</v>
      </c>
      <c r="BS409" t="s">
        <v>2768</v>
      </c>
      <c r="BT409">
        <v>2</v>
      </c>
      <c r="BU409" s="176" t="s">
        <v>2768</v>
      </c>
      <c r="BV409">
        <v>2</v>
      </c>
      <c r="BW409" s="182" t="s">
        <v>2768</v>
      </c>
      <c r="BX409" s="179">
        <v>2</v>
      </c>
      <c r="BY409" t="s">
        <v>2776</v>
      </c>
      <c r="BZ409">
        <v>2</v>
      </c>
      <c r="CA409" s="176" t="s">
        <v>2776</v>
      </c>
      <c r="CB409">
        <v>2</v>
      </c>
    </row>
    <row r="410" spans="1:80">
      <c r="A410" s="178" t="str">
        <f ca="1">IFERROR(IF(AG409&lt;5+金蛇*2,IF(COUNTIF(B409,"*轻*")&gt;0,A409+加速!$L$9,A409+加速!$L$11)+V409,""),"")</f>
        <v/>
      </c>
      <c r="B410" s="167" t="str">
        <f ca="1" t="shared" si="110"/>
        <v/>
      </c>
      <c r="C410" t="str">
        <f ca="1" t="shared" si="119"/>
        <v/>
      </c>
      <c r="D410" t="str">
        <f ca="1">IF(B410&lt;&gt;"",IF(C409&lt;=加速!$L$11*(1-E410),0,1),"")</f>
        <v/>
      </c>
      <c r="E410">
        <f ca="1" t="shared" si="116"/>
        <v>1</v>
      </c>
      <c r="G410" t="str">
        <f ca="1" t="shared" si="117"/>
        <v/>
      </c>
      <c r="H410" t="str">
        <f ca="1">IF(B410&lt;&gt;"",IF(AND(COUNTIF(B409,"*轻*莺鸣柳*")&gt;0,COUNTIF(B410,"*轻*")&lt;1),MAX(0,15+I409-(A410-A409)+COUNTIF(B409,"*平湖*")*0),IF(AND(E410=0,MAX(0,H409-(A410-A409))&lt;=加速!$H$11),0,MAX(0,H409-(A410-A409)))),"")</f>
        <v/>
      </c>
      <c r="I410" t="str">
        <f ca="1" t="shared" si="123"/>
        <v/>
      </c>
      <c r="J410" t="str">
        <f ca="1" t="shared" si="124"/>
        <v/>
      </c>
      <c r="K410" t="str">
        <f ca="1" t="shared" si="111"/>
        <v/>
      </c>
      <c r="L410">
        <f ca="1">IFERROR(IF(AND(COUNTIF(B410,"*-峰插*"),技能数据库!$M$72&gt;0),0,IF(COUNTIF(B410,"*鹤归*")&gt;0,16-加速!$L$11,MAX(0,L409-(A410-A409)))),0)</f>
        <v>0</v>
      </c>
      <c r="M410">
        <f ca="1" t="shared" si="112"/>
        <v>0</v>
      </c>
      <c r="N410">
        <f ca="1">IFERROR(IF(AND(COUNTIF(B410,"*-峰插*"),技能数据库!$M$72&gt;0),0,IF(COUNTIF(B410,"*云飞*")&gt;0,4-COUNTIF(B410,"*玉山揽云*")*4--COUNTIF(B410,"*烟流暮景*")*4-COUNTIF(B410,"*云景*")*加速!$L$11-IF(J410&gt;0,2,0),MAX(0,N409-(A410-A409)-IF(J410&gt;0,2,0)))),0)</f>
        <v>0</v>
      </c>
      <c r="O410">
        <f ca="1">IF(AND(COUNTIF(IF(AND(配装计算器!$K$30&lt;&gt;"∞",0),INDEX(AU409:CB409,1,$AT$1),INDEX(AU411:CB411,1,$AT$1)),"*云飞*")=1,COUNTIF(IF(AND(配装计算器!$K$30&lt;&gt;"∞",0),INDEX(AU409:CB409,1,$AT$1),INDEX(AU411:CB411,1,$AT$1)),"*玉山*")=0),N410,0)</f>
        <v>0</v>
      </c>
      <c r="P410">
        <f ca="1">IFERROR(IF(COUNTIF(B410,"*云栖松*")&gt;0,50-加速!$L$11,MAX(0,P409-(A410-A409))),0)</f>
        <v>0</v>
      </c>
      <c r="Q410">
        <f ca="1">IF(COUNTIF(IF(AND(配装计算器!$K$30&lt;&gt;"∞",0),INDEX(AU409:CB409,1,$AT$1),INDEX(AU411:CB411,1,$AT$1)),"*云栖松*")=1,P410,0)</f>
        <v>0</v>
      </c>
      <c r="R410">
        <f ca="1">IFERROR(IF(COUNTIF(B410,"*莺鸣柳*")&gt;0,45-加速!$L$9,MAX(0,R409-(A410-A409))),0)</f>
        <v>0</v>
      </c>
      <c r="S410">
        <f ca="1">IF(COUNTIF(IF(AND(配装计算器!$K$30&lt;&gt;"∞",0),INDEX(AU409:CB409,1,$AT$1),INDEX(AU411:CB411,1,$AT$1)),"*莺鸣柳*")=1,R410,0)</f>
        <v>0</v>
      </c>
      <c r="T410">
        <f ca="1" t="shared" si="120"/>
        <v>0</v>
      </c>
      <c r="U410">
        <f ca="1">IF(金蛇,IF(COUNTIF(B410,"*金环戴*")+COUNTIF(B410,"*吹风醒*")&gt;0,IF(A410&lt;=3,7.125-2.625-A410-加速!$L$11,7.125+加速!$K$9-(A410+加速!$L$11-T410)),0),0)+IF(金蛇,IF(COUNTIF(B410,"*千切子裂光*")&gt;0,2+加速!$K$9-(A410+加速!$L$11-T410),0),0)</f>
        <v>0</v>
      </c>
      <c r="V410">
        <f ca="1" t="shared" si="121"/>
        <v>0</v>
      </c>
      <c r="W410">
        <f ca="1" t="shared" si="113"/>
        <v>0</v>
      </c>
      <c r="X410">
        <f ca="1">INDEX(加速!$I$13:$I$21,W410+1)</f>
        <v>0</v>
      </c>
      <c r="Y410">
        <f ca="1" t="shared" si="122"/>
        <v>0.5</v>
      </c>
      <c r="Z410">
        <f ca="1" t="shared" si="118"/>
        <v>0</v>
      </c>
      <c r="AA410">
        <f ca="1">MAX(0,IFERROR(IF(COUNTIF(B410,"*叠*")&gt;0,IF(AC409&lt;3,8-A411+A410,AA409+6.875-A411+A410),AA409-A411+A410),AA409-加速!$L$11))</f>
        <v>0</v>
      </c>
      <c r="AB410" t="e">
        <f ca="1">MAX(0,IF(COUNTIF(IF(AND(配装计算器!$K$30&lt;&gt;"∞",0),INDEX(AU410:CB410,1,$AT$1),INDEX(AU410:CB410,1,$AT$1)),"*叠1*")=1,4*25-加速!$L$11,AB409-A410+A409)-IF(OR(COUNTIF(OFFSET(AT410,0,$AT$1,1,1),"*听雷*")&gt;0,AND(碧归&gt;0,COUNTIF(OFFSET(AT410,0,$AT$1,1,1),"*风来*")&gt;0)),0,1)*1.5)</f>
        <v>#VALUE!</v>
      </c>
      <c r="AC410">
        <f ca="1" t="shared" si="114"/>
        <v>0</v>
      </c>
      <c r="AD410">
        <f ca="1">IF(COUNTIF(IF(AND(配装计算器!$K$30&lt;&gt;"∞",0),INDEX(AU410:CB410,1,$AT$1),INDEX(AU411:CB411,1,$AT$1)),"*叠1*")=1,AB410*0+AE409,0)</f>
        <v>0</v>
      </c>
      <c r="AE410" t="e">
        <f ca="1">IF($AN$11&gt;0,IF(COUNTIF(B411,"*叠1*")&gt;0,50-加速!$L$11,MAX(0,AE409-(A411-A410))),0)</f>
        <v>#VALUE!</v>
      </c>
      <c r="AG410">
        <f ca="1" t="shared" si="115"/>
        <v>11</v>
      </c>
      <c r="AU410" t="s">
        <v>3063</v>
      </c>
      <c r="AV410">
        <v>2</v>
      </c>
      <c r="AW410" t="s">
        <v>2722</v>
      </c>
      <c r="AX410">
        <v>0</v>
      </c>
      <c r="AY410" t="s">
        <v>3035</v>
      </c>
      <c r="AZ410">
        <v>2</v>
      </c>
      <c r="BA410" t="s">
        <v>2776</v>
      </c>
      <c r="BB410">
        <v>2</v>
      </c>
      <c r="BC410" t="s">
        <v>2768</v>
      </c>
      <c r="BD410">
        <v>1</v>
      </c>
      <c r="BE410" t="s">
        <v>2776</v>
      </c>
      <c r="BF410">
        <v>2</v>
      </c>
      <c r="BG410" t="s">
        <v>2776</v>
      </c>
      <c r="BH410">
        <v>2</v>
      </c>
      <c r="BI410" t="s">
        <v>2768</v>
      </c>
      <c r="BJ410">
        <v>1</v>
      </c>
      <c r="BK410" s="176" t="s">
        <v>2768</v>
      </c>
      <c r="BL410">
        <v>1</v>
      </c>
      <c r="BM410" s="180" t="s">
        <v>2789</v>
      </c>
      <c r="BN410">
        <v>2</v>
      </c>
      <c r="BO410" t="s">
        <v>2776</v>
      </c>
      <c r="BP410">
        <v>2</v>
      </c>
      <c r="BQ410" t="s">
        <v>2768</v>
      </c>
      <c r="BR410">
        <v>2</v>
      </c>
      <c r="BS410" t="s">
        <v>2768</v>
      </c>
      <c r="BT410">
        <v>2</v>
      </c>
      <c r="BU410" s="176" t="s">
        <v>2768</v>
      </c>
      <c r="BV410">
        <v>2</v>
      </c>
      <c r="BW410" s="182" t="s">
        <v>2776</v>
      </c>
      <c r="BX410" s="179">
        <v>2</v>
      </c>
      <c r="BY410" t="s">
        <v>2768</v>
      </c>
      <c r="BZ410">
        <v>2</v>
      </c>
      <c r="CA410" s="176" t="s">
        <v>2768</v>
      </c>
      <c r="CB410">
        <v>2</v>
      </c>
    </row>
    <row r="411" spans="1:80">
      <c r="A411" s="178" t="str">
        <f ca="1">IFERROR(IF(AG410&lt;5+金蛇*2,IF(COUNTIF(B410,"*轻*")&gt;0,A410+加速!$L$9,A410+加速!$L$11)+V410,""),"")</f>
        <v/>
      </c>
      <c r="B411" s="167" t="str">
        <f ca="1" t="shared" si="110"/>
        <v/>
      </c>
      <c r="C411" t="str">
        <f ca="1" t="shared" si="119"/>
        <v/>
      </c>
      <c r="D411" t="str">
        <f ca="1">IF(B411&lt;&gt;"",IF(C410&lt;=加速!$L$11*(1-E411),0,1),"")</f>
        <v/>
      </c>
      <c r="E411">
        <f ca="1" t="shared" si="116"/>
        <v>1</v>
      </c>
      <c r="G411" t="str">
        <f ca="1" t="shared" si="117"/>
        <v/>
      </c>
      <c r="H411" t="str">
        <f ca="1">IF(B411&lt;&gt;"",IF(AND(COUNTIF(B410,"*轻*莺鸣柳*")&gt;0,COUNTIF(B411,"*轻*")&lt;1),MAX(0,15+I410-(A411-A410)+COUNTIF(B410,"*平湖*")*0),IF(AND(E411=0,MAX(0,H410-(A411-A410))&lt;=加速!$H$11),0,MAX(0,H410-(A411-A410)))),"")</f>
        <v/>
      </c>
      <c r="I411" t="str">
        <f ca="1" t="shared" si="123"/>
        <v/>
      </c>
      <c r="J411" t="str">
        <f ca="1" t="shared" si="124"/>
        <v/>
      </c>
      <c r="K411" t="str">
        <f ca="1" t="shared" si="111"/>
        <v/>
      </c>
      <c r="L411">
        <f ca="1">IFERROR(IF(AND(COUNTIF(B411,"*-峰插*"),技能数据库!$M$72&gt;0),0,IF(COUNTIF(B411,"*鹤归*")&gt;0,16-加速!$L$11,MAX(0,L410-(A411-A410)))),0)</f>
        <v>0</v>
      </c>
      <c r="M411">
        <f ca="1" t="shared" si="112"/>
        <v>0</v>
      </c>
      <c r="N411">
        <f ca="1">IFERROR(IF(AND(COUNTIF(B411,"*-峰插*"),技能数据库!$M$72&gt;0),0,IF(COUNTIF(B411,"*云飞*")&gt;0,4-COUNTIF(B411,"*玉山揽云*")*4--COUNTIF(B411,"*烟流暮景*")*4-COUNTIF(B411,"*云景*")*加速!$L$11-IF(J411&gt;0,2,0),MAX(0,N410-(A411-A410)-IF(J411&gt;0,2,0)))),0)</f>
        <v>0</v>
      </c>
      <c r="O411">
        <f ca="1">IF(AND(COUNTIF(IF(AND(配装计算器!$K$30&lt;&gt;"∞",0),INDEX(AU410:CB410,1,$AT$1),INDEX(AU412:CB412,1,$AT$1)),"*云飞*")=1,COUNTIF(IF(AND(配装计算器!$K$30&lt;&gt;"∞",0),INDEX(AU410:CB410,1,$AT$1),INDEX(AU412:CB412,1,$AT$1)),"*玉山*")=0),N411,0)</f>
        <v>0</v>
      </c>
      <c r="P411">
        <f ca="1">IFERROR(IF(COUNTIF(B411,"*云栖松*")&gt;0,50-加速!$L$11,MAX(0,P410-(A411-A410))),0)</f>
        <v>0</v>
      </c>
      <c r="Q411">
        <f ca="1">IF(COUNTIF(IF(AND(配装计算器!$K$30&lt;&gt;"∞",0),INDEX(AU410:CB410,1,$AT$1),INDEX(AU412:CB412,1,$AT$1)),"*云栖松*")=1,P411,0)</f>
        <v>0</v>
      </c>
      <c r="R411">
        <f ca="1">IFERROR(IF(COUNTIF(B411,"*莺鸣柳*")&gt;0,45-加速!$L$9,MAX(0,R410-(A411-A410))),0)</f>
        <v>0</v>
      </c>
      <c r="S411">
        <f ca="1">IF(COUNTIF(IF(AND(配装计算器!$K$30&lt;&gt;"∞",0),INDEX(AU410:CB410,1,$AT$1),INDEX(AU412:CB412,1,$AT$1)),"*莺鸣柳*")=1,R411,0)</f>
        <v>0</v>
      </c>
      <c r="T411">
        <f ca="1" t="shared" si="120"/>
        <v>0</v>
      </c>
      <c r="U411">
        <f ca="1">IF(金蛇,IF(COUNTIF(B411,"*金环戴*")+COUNTIF(B411,"*吹风醒*")&gt;0,IF(A411&lt;=3,7.125-2.625-A411-加速!$L$11,7.125+加速!$K$9-(A411+加速!$L$11-T411)),0),0)+IF(金蛇,IF(COUNTIF(B411,"*千切子裂光*")&gt;0,2+加速!$K$9-(A411+加速!$L$11-T411),0),0)</f>
        <v>0</v>
      </c>
      <c r="V411">
        <f ca="1" t="shared" si="121"/>
        <v>0</v>
      </c>
      <c r="W411">
        <f ca="1" t="shared" si="113"/>
        <v>0</v>
      </c>
      <c r="X411">
        <f ca="1">INDEX(加速!$I$13:$I$21,W411+1)</f>
        <v>0</v>
      </c>
      <c r="Y411">
        <f ca="1" t="shared" si="122"/>
        <v>0.5</v>
      </c>
      <c r="Z411">
        <f ca="1" t="shared" si="118"/>
        <v>0</v>
      </c>
      <c r="AA411">
        <f ca="1">MAX(0,IFERROR(IF(COUNTIF(B411,"*叠*")&gt;0,IF(AC410&lt;3,8-A412+A411,AA410+6.875-A412+A411),AA410-A412+A411),AA410-加速!$L$11))</f>
        <v>0</v>
      </c>
      <c r="AB411" t="e">
        <f ca="1">MAX(0,IF(COUNTIF(IF(AND(配装计算器!$K$30&lt;&gt;"∞",0),INDEX(AU411:CB411,1,$AT$1),INDEX(AU411:CB411,1,$AT$1)),"*叠1*")=1,4*25-加速!$L$11,AB410-A411+A410)-IF(OR(COUNTIF(OFFSET(AT411,0,$AT$1,1,1),"*听雷*")&gt;0,AND(碧归&gt;0,COUNTIF(OFFSET(AT411,0,$AT$1,1,1),"*风来*")&gt;0)),0,1)*1.5)</f>
        <v>#VALUE!</v>
      </c>
      <c r="AC411">
        <f ca="1" t="shared" si="114"/>
        <v>0</v>
      </c>
      <c r="AD411">
        <f ca="1">IF(COUNTIF(IF(AND(配装计算器!$K$30&lt;&gt;"∞",0),INDEX(AU411:CB411,1,$AT$1),INDEX(AU412:CB412,1,$AT$1)),"*叠1*")=1,AB411*0+AE410,0)</f>
        <v>0</v>
      </c>
      <c r="AE411" t="e">
        <f ca="1">IF($AN$11&gt;0,IF(COUNTIF(B412,"*叠1*")&gt;0,50-加速!$L$11,MAX(0,AE410-(A412-A411))),0)</f>
        <v>#VALUE!</v>
      </c>
      <c r="AG411">
        <f ca="1" t="shared" si="115"/>
        <v>11</v>
      </c>
      <c r="AU411" t="s">
        <v>2776</v>
      </c>
      <c r="AV411">
        <v>1</v>
      </c>
      <c r="AW411" t="s">
        <v>3009</v>
      </c>
      <c r="AX411">
        <v>2</v>
      </c>
      <c r="AY411" t="s">
        <v>2768</v>
      </c>
      <c r="AZ411">
        <v>2</v>
      </c>
      <c r="BA411" t="s">
        <v>2768</v>
      </c>
      <c r="BB411">
        <v>2</v>
      </c>
      <c r="BC411" t="s">
        <v>2768</v>
      </c>
      <c r="BD411">
        <v>1</v>
      </c>
      <c r="BE411" t="s">
        <v>3042</v>
      </c>
      <c r="BF411">
        <v>2</v>
      </c>
      <c r="BG411" t="s">
        <v>2768</v>
      </c>
      <c r="BH411">
        <v>2</v>
      </c>
      <c r="BI411" t="s">
        <v>2776</v>
      </c>
      <c r="BJ411">
        <v>0</v>
      </c>
      <c r="BK411" s="176" t="s">
        <v>2776</v>
      </c>
      <c r="BL411">
        <v>0</v>
      </c>
      <c r="BM411" s="176" t="s">
        <v>2794</v>
      </c>
      <c r="BN411">
        <v>2</v>
      </c>
      <c r="BO411" s="176" t="s">
        <v>2794</v>
      </c>
      <c r="BP411">
        <v>2</v>
      </c>
      <c r="BQ411" t="s">
        <v>3023</v>
      </c>
      <c r="BR411">
        <v>2</v>
      </c>
      <c r="BS411" t="s">
        <v>2776</v>
      </c>
      <c r="BT411">
        <v>2</v>
      </c>
      <c r="BU411" s="176" t="s">
        <v>2776</v>
      </c>
      <c r="BV411">
        <v>2</v>
      </c>
      <c r="BW411" s="182" t="s">
        <v>2768</v>
      </c>
      <c r="BX411" s="179">
        <v>2</v>
      </c>
      <c r="BY411" s="180" t="s">
        <v>2789</v>
      </c>
      <c r="BZ411">
        <v>2</v>
      </c>
      <c r="CA411" s="176" t="s">
        <v>2776</v>
      </c>
      <c r="CB411">
        <v>2</v>
      </c>
    </row>
    <row r="412" spans="1:80">
      <c r="A412" s="178" t="str">
        <f ca="1">IFERROR(IF(AG411&lt;5+金蛇*2,IF(COUNTIF(B411,"*轻*")&gt;0,A411+加速!$L$9,A411+加速!$L$11)+V411,""),"")</f>
        <v/>
      </c>
      <c r="B412" s="167" t="str">
        <f ca="1" t="shared" si="110"/>
        <v/>
      </c>
      <c r="C412" t="str">
        <f ca="1" t="shared" si="119"/>
        <v/>
      </c>
      <c r="D412" t="str">
        <f ca="1">IF(B412&lt;&gt;"",IF(C411&lt;=加速!$L$11*(1-E412),0,1),"")</f>
        <v/>
      </c>
      <c r="E412">
        <f ca="1" t="shared" si="116"/>
        <v>1</v>
      </c>
      <c r="G412" t="str">
        <f ca="1" t="shared" si="117"/>
        <v/>
      </c>
      <c r="H412" t="str">
        <f ca="1">IF(B412&lt;&gt;"",IF(AND(COUNTIF(B411,"*轻*莺鸣柳*")&gt;0,COUNTIF(B412,"*轻*")&lt;1),MAX(0,15+I411-(A412-A411)+COUNTIF(B411,"*平湖*")*0),IF(AND(E412=0,MAX(0,H411-(A412-A411))&lt;=加速!$H$11),0,MAX(0,H411-(A412-A411)))),"")</f>
        <v/>
      </c>
      <c r="I412" t="str">
        <f ca="1" t="shared" si="123"/>
        <v/>
      </c>
      <c r="J412" t="str">
        <f ca="1" t="shared" si="124"/>
        <v/>
      </c>
      <c r="K412" t="str">
        <f ca="1" t="shared" si="111"/>
        <v/>
      </c>
      <c r="L412">
        <f ca="1">IFERROR(IF(AND(COUNTIF(B412,"*-峰插*"),技能数据库!$M$72&gt;0),0,IF(COUNTIF(B412,"*鹤归*")&gt;0,16-加速!$L$11,MAX(0,L411-(A412-A411)))),0)</f>
        <v>0</v>
      </c>
      <c r="M412">
        <f ca="1" t="shared" si="112"/>
        <v>0</v>
      </c>
      <c r="N412">
        <f ca="1">IFERROR(IF(AND(COUNTIF(B412,"*-峰插*"),技能数据库!$M$72&gt;0),0,IF(COUNTIF(B412,"*云飞*")&gt;0,4-COUNTIF(B412,"*玉山揽云*")*4--COUNTIF(B412,"*烟流暮景*")*4-COUNTIF(B412,"*云景*")*加速!$L$11-IF(J412&gt;0,2,0),MAX(0,N411-(A412-A411)-IF(J412&gt;0,2,0)))),0)</f>
        <v>0</v>
      </c>
      <c r="O412">
        <f ca="1">IF(AND(COUNTIF(IF(AND(配装计算器!$K$30&lt;&gt;"∞",0),INDEX(AU411:CB411,1,$AT$1),INDEX(AU413:CB413,1,$AT$1)),"*云飞*")=1,COUNTIF(IF(AND(配装计算器!$K$30&lt;&gt;"∞",0),INDEX(AU411:CB411,1,$AT$1),INDEX(AU413:CB413,1,$AT$1)),"*玉山*")=0),N412,0)</f>
        <v>0</v>
      </c>
      <c r="P412">
        <f ca="1">IFERROR(IF(COUNTIF(B412,"*云栖松*")&gt;0,50-加速!$L$11,MAX(0,P411-(A412-A411))),0)</f>
        <v>0</v>
      </c>
      <c r="Q412">
        <f ca="1">IF(COUNTIF(IF(AND(配装计算器!$K$30&lt;&gt;"∞",0),INDEX(AU411:CB411,1,$AT$1),INDEX(AU413:CB413,1,$AT$1)),"*云栖松*")=1,P412,0)</f>
        <v>0</v>
      </c>
      <c r="R412">
        <f ca="1">IFERROR(IF(COUNTIF(B412,"*莺鸣柳*")&gt;0,45-加速!$L$9,MAX(0,R411-(A412-A411))),0)</f>
        <v>0</v>
      </c>
      <c r="S412">
        <f ca="1">IF(COUNTIF(IF(AND(配装计算器!$K$30&lt;&gt;"∞",0),INDEX(AU411:CB411,1,$AT$1),INDEX(AU413:CB413,1,$AT$1)),"*莺鸣柳*")=1,R412,0)</f>
        <v>0</v>
      </c>
      <c r="T412">
        <f ca="1" t="shared" si="120"/>
        <v>0</v>
      </c>
      <c r="U412">
        <f ca="1">IF(金蛇,IF(COUNTIF(B412,"*金环戴*")+COUNTIF(B412,"*吹风醒*")&gt;0,IF(A412&lt;=3,7.125-2.625-A412-加速!$L$11,7.125+加速!$K$9-(A412+加速!$L$11-T412)),0),0)+IF(金蛇,IF(COUNTIF(B412,"*千切子裂光*")&gt;0,2+加速!$K$9-(A412+加速!$L$11-T412),0),0)</f>
        <v>0</v>
      </c>
      <c r="V412">
        <f ca="1" t="shared" si="121"/>
        <v>0</v>
      </c>
      <c r="W412">
        <f ca="1" t="shared" si="113"/>
        <v>0</v>
      </c>
      <c r="X412">
        <f ca="1">INDEX(加速!$I$13:$I$21,W412+1)</f>
        <v>0</v>
      </c>
      <c r="Y412">
        <f ca="1" t="shared" si="122"/>
        <v>0.5</v>
      </c>
      <c r="Z412">
        <f ca="1" t="shared" si="118"/>
        <v>0</v>
      </c>
      <c r="AA412">
        <f ca="1">MAX(0,IFERROR(IF(COUNTIF(B412,"*叠*")&gt;0,IF(AC411&lt;3,8-A413+A412,AA411+6.875-A413+A412),AA411-A413+A412),AA411-加速!$L$11))</f>
        <v>0</v>
      </c>
      <c r="AB412" t="e">
        <f ca="1">MAX(0,IF(COUNTIF(IF(AND(配装计算器!$K$30&lt;&gt;"∞",0),INDEX(AU412:CB412,1,$AT$1),INDEX(AU412:CB412,1,$AT$1)),"*叠1*")=1,4*25-加速!$L$11,AB411-A412+A411)-IF(OR(COUNTIF(OFFSET(AT412,0,$AT$1,1,1),"*听雷*")&gt;0,AND(碧归&gt;0,COUNTIF(OFFSET(AT412,0,$AT$1,1,1),"*风来*")&gt;0)),0,1)*1.5)</f>
        <v>#VALUE!</v>
      </c>
      <c r="AC412">
        <f ca="1" t="shared" si="114"/>
        <v>0</v>
      </c>
      <c r="AD412">
        <f ca="1">IF(COUNTIF(IF(AND(配装计算器!$K$30&lt;&gt;"∞",0),INDEX(AU412:CB412,1,$AT$1),INDEX(AU413:CB413,1,$AT$1)),"*叠1*")=1,AB412*0+AE411,0)</f>
        <v>0</v>
      </c>
      <c r="AE412" t="e">
        <f ca="1">IF($AN$11&gt;0,IF(COUNTIF(B413,"*叠1*")&gt;0,50-加速!$L$11,MAX(0,AE411-(A413-A412))),0)</f>
        <v>#VALUE!</v>
      </c>
      <c r="AG412">
        <f ca="1" t="shared" si="115"/>
        <v>11</v>
      </c>
      <c r="AU412" t="s">
        <v>2768</v>
      </c>
      <c r="AV412">
        <v>2</v>
      </c>
      <c r="AW412" t="s">
        <v>2776</v>
      </c>
      <c r="AX412">
        <v>2</v>
      </c>
      <c r="AY412" t="s">
        <v>2776</v>
      </c>
      <c r="AZ412">
        <v>2</v>
      </c>
      <c r="BA412" t="s">
        <v>2776</v>
      </c>
      <c r="BB412">
        <v>2</v>
      </c>
      <c r="BC412" t="s">
        <v>2813</v>
      </c>
      <c r="BD412">
        <v>0</v>
      </c>
      <c r="BE412" t="s">
        <v>2808</v>
      </c>
      <c r="BF412">
        <v>2</v>
      </c>
      <c r="BG412" t="s">
        <v>2776</v>
      </c>
      <c r="BH412">
        <v>2</v>
      </c>
      <c r="BI412" t="s">
        <v>2768</v>
      </c>
      <c r="BJ412">
        <v>0</v>
      </c>
      <c r="BK412" t="s">
        <v>2768</v>
      </c>
      <c r="BL412">
        <v>0</v>
      </c>
      <c r="BM412" s="176" t="s">
        <v>2776</v>
      </c>
      <c r="BN412">
        <v>2</v>
      </c>
      <c r="BO412" s="176" t="s">
        <v>2768</v>
      </c>
      <c r="BP412">
        <v>2</v>
      </c>
      <c r="BQ412" t="s">
        <v>2768</v>
      </c>
      <c r="BR412">
        <v>2</v>
      </c>
      <c r="BS412" t="s">
        <v>2768</v>
      </c>
      <c r="BT412">
        <v>1</v>
      </c>
      <c r="BU412" s="176" t="s">
        <v>3035</v>
      </c>
      <c r="BV412">
        <v>2</v>
      </c>
      <c r="BW412" s="182" t="s">
        <v>2808</v>
      </c>
      <c r="BX412" s="179">
        <v>2</v>
      </c>
      <c r="BY412" s="176" t="s">
        <v>2794</v>
      </c>
      <c r="BZ412">
        <v>2</v>
      </c>
      <c r="CA412" s="176" t="s">
        <v>2768</v>
      </c>
      <c r="CB412">
        <v>2</v>
      </c>
    </row>
    <row r="413" spans="1:80">
      <c r="A413" s="178" t="str">
        <f ca="1">IFERROR(IF(AG412&lt;5+金蛇*2,IF(COUNTIF(B412,"*轻*")&gt;0,A412+加速!$L$9,A412+加速!$L$11)+V412,""),"")</f>
        <v/>
      </c>
      <c r="B413" s="167" t="str">
        <f ca="1" t="shared" si="110"/>
        <v/>
      </c>
      <c r="C413" t="str">
        <f ca="1" t="shared" si="119"/>
        <v/>
      </c>
      <c r="D413" t="str">
        <f ca="1">IF(B413&lt;&gt;"",IF(C412&lt;=加速!$L$11*(1-E413),0,1),"")</f>
        <v/>
      </c>
      <c r="E413">
        <f ca="1" t="shared" si="116"/>
        <v>1</v>
      </c>
      <c r="G413" t="str">
        <f ca="1" t="shared" si="117"/>
        <v/>
      </c>
      <c r="H413" t="str">
        <f ca="1">IF(B413&lt;&gt;"",IF(AND(COUNTIF(B412,"*轻*莺鸣柳*")&gt;0,COUNTIF(B413,"*轻*")&lt;1),MAX(0,15+I412-(A413-A412)+COUNTIF(B412,"*平湖*")*0),IF(AND(E413=0,MAX(0,H412-(A413-A412))&lt;=加速!$H$11),0,MAX(0,H412-(A413-A412)))),"")</f>
        <v/>
      </c>
      <c r="I413" t="str">
        <f ca="1" t="shared" si="123"/>
        <v/>
      </c>
      <c r="J413" t="str">
        <f ca="1" t="shared" si="124"/>
        <v/>
      </c>
      <c r="K413" t="str">
        <f ca="1" t="shared" si="111"/>
        <v/>
      </c>
      <c r="L413">
        <f ca="1">IFERROR(IF(AND(COUNTIF(B413,"*-峰插*"),技能数据库!$M$72&gt;0),0,IF(COUNTIF(B413,"*鹤归*")&gt;0,16-加速!$L$11,MAX(0,L412-(A413-A412)))),0)</f>
        <v>0</v>
      </c>
      <c r="M413">
        <f ca="1" t="shared" si="112"/>
        <v>0</v>
      </c>
      <c r="N413">
        <f ca="1">IFERROR(IF(AND(COUNTIF(B413,"*-峰插*"),技能数据库!$M$72&gt;0),0,IF(COUNTIF(B413,"*云飞*")&gt;0,4-COUNTIF(B413,"*玉山揽云*")*4--COUNTIF(B413,"*烟流暮景*")*4-COUNTIF(B413,"*云景*")*加速!$L$11-IF(J413&gt;0,2,0),MAX(0,N412-(A413-A412)-IF(J413&gt;0,2,0)))),0)</f>
        <v>0</v>
      </c>
      <c r="O413">
        <f ca="1">IF(AND(COUNTIF(IF(AND(配装计算器!$K$30&lt;&gt;"∞",0),INDEX(AU412:CB412,1,$AT$1),INDEX(AU414:CB414,1,$AT$1)),"*云飞*")=1,COUNTIF(IF(AND(配装计算器!$K$30&lt;&gt;"∞",0),INDEX(AU412:CB412,1,$AT$1),INDEX(AU414:CB414,1,$AT$1)),"*玉山*")=0),N413,0)</f>
        <v>0</v>
      </c>
      <c r="P413">
        <f ca="1">IFERROR(IF(COUNTIF(B413,"*云栖松*")&gt;0,50-加速!$L$11,MAX(0,P412-(A413-A412))),0)</f>
        <v>0</v>
      </c>
      <c r="Q413">
        <f ca="1">IF(COUNTIF(IF(AND(配装计算器!$K$30&lt;&gt;"∞",0),INDEX(AU412:CB412,1,$AT$1),INDEX(AU414:CB414,1,$AT$1)),"*云栖松*")=1,P413,0)</f>
        <v>0</v>
      </c>
      <c r="R413">
        <f ca="1">IFERROR(IF(COUNTIF(B413,"*莺鸣柳*")&gt;0,45-加速!$L$9,MAX(0,R412-(A413-A412))),0)</f>
        <v>0</v>
      </c>
      <c r="S413">
        <f ca="1">IF(COUNTIF(IF(AND(配装计算器!$K$30&lt;&gt;"∞",0),INDEX(AU412:CB412,1,$AT$1),INDEX(AU414:CB414,1,$AT$1)),"*莺鸣柳*")=1,R413,0)</f>
        <v>0</v>
      </c>
      <c r="T413">
        <f ca="1" t="shared" si="120"/>
        <v>0</v>
      </c>
      <c r="U413">
        <f ca="1">IF(金蛇,IF(COUNTIF(B413,"*金环戴*")+COUNTIF(B413,"*吹风醒*")&gt;0,IF(A413&lt;=3,7.125-2.625-A413-加速!$L$11,7.125+加速!$K$9-(A413+加速!$L$11-T413)),0),0)+IF(金蛇,IF(COUNTIF(B413,"*千切子裂光*")&gt;0,2+加速!$K$9-(A413+加速!$L$11-T413),0),0)</f>
        <v>0</v>
      </c>
      <c r="V413">
        <f ca="1" t="shared" si="121"/>
        <v>0</v>
      </c>
      <c r="W413">
        <f ca="1" t="shared" si="113"/>
        <v>0</v>
      </c>
      <c r="X413">
        <f ca="1">INDEX(加速!$I$13:$I$21,W413+1)</f>
        <v>0</v>
      </c>
      <c r="Y413">
        <f ca="1" t="shared" si="122"/>
        <v>0.5</v>
      </c>
      <c r="Z413">
        <f ca="1" t="shared" si="118"/>
        <v>0</v>
      </c>
      <c r="AA413">
        <f ca="1">MAX(0,IFERROR(IF(COUNTIF(B413,"*叠*")&gt;0,IF(AC412&lt;3,8-A414+A413,AA412+6.875-A414+A413),AA412-A414+A413),AA412-加速!$L$11))</f>
        <v>0</v>
      </c>
      <c r="AB413" t="e">
        <f ca="1">MAX(0,IF(COUNTIF(IF(AND(配装计算器!$K$30&lt;&gt;"∞",0),INDEX(AU413:CB413,1,$AT$1),INDEX(AU413:CB413,1,$AT$1)),"*叠1*")=1,4*25-加速!$L$11,AB412-A413+A412)-IF(OR(COUNTIF(OFFSET(AT413,0,$AT$1,1,1),"*听雷*")&gt;0,AND(碧归&gt;0,COUNTIF(OFFSET(AT413,0,$AT$1,1,1),"*风来*")&gt;0)),0,1)*1.5)</f>
        <v>#VALUE!</v>
      </c>
      <c r="AC413">
        <f ca="1" t="shared" si="114"/>
        <v>0</v>
      </c>
      <c r="AD413">
        <f ca="1">IF(COUNTIF(IF(AND(配装计算器!$K$30&lt;&gt;"∞",0),INDEX(AU413:CB413,1,$AT$1),INDEX(AU414:CB414,1,$AT$1)),"*叠1*")=1,AB413*0+AE412,0)</f>
        <v>0</v>
      </c>
      <c r="AE413" t="e">
        <f ca="1">IF($AN$11&gt;0,IF(COUNTIF(B414,"*叠1*")&gt;0,50-加速!$L$11,MAX(0,AE412-(A414-A413))),0)</f>
        <v>#VALUE!</v>
      </c>
      <c r="AG413">
        <f ca="1" t="shared" si="115"/>
        <v>11</v>
      </c>
      <c r="AU413" t="s">
        <v>2768</v>
      </c>
      <c r="AV413">
        <v>2</v>
      </c>
      <c r="AW413" t="s">
        <v>2768</v>
      </c>
      <c r="AX413">
        <v>2</v>
      </c>
      <c r="AY413" t="s">
        <v>2768</v>
      </c>
      <c r="AZ413">
        <v>2</v>
      </c>
      <c r="BA413" t="s">
        <v>3042</v>
      </c>
      <c r="BB413">
        <v>2</v>
      </c>
      <c r="BC413" t="s">
        <v>2776</v>
      </c>
      <c r="BD413">
        <v>2</v>
      </c>
      <c r="BE413" t="s">
        <v>2768</v>
      </c>
      <c r="BF413">
        <v>2</v>
      </c>
      <c r="BG413" t="s">
        <v>2768</v>
      </c>
      <c r="BH413">
        <v>2</v>
      </c>
      <c r="BI413" t="s">
        <v>2768</v>
      </c>
      <c r="BJ413">
        <v>0</v>
      </c>
      <c r="BK413" t="s">
        <v>3012</v>
      </c>
      <c r="BL413">
        <v>2</v>
      </c>
      <c r="BM413" s="176" t="s">
        <v>2768</v>
      </c>
      <c r="BN413">
        <v>2</v>
      </c>
      <c r="BO413" s="176" t="s">
        <v>2776</v>
      </c>
      <c r="BP413">
        <v>2</v>
      </c>
      <c r="BQ413" t="s">
        <v>2776</v>
      </c>
      <c r="BR413">
        <v>2</v>
      </c>
      <c r="BS413" t="s">
        <v>2768</v>
      </c>
      <c r="BT413">
        <v>1</v>
      </c>
      <c r="BU413" t="s">
        <v>2768</v>
      </c>
      <c r="BV413">
        <v>2</v>
      </c>
      <c r="BW413" s="179" t="s">
        <v>2768</v>
      </c>
      <c r="BX413" s="179">
        <v>2</v>
      </c>
      <c r="BY413" s="176" t="s">
        <v>2776</v>
      </c>
      <c r="BZ413">
        <v>2</v>
      </c>
      <c r="CA413" s="176" t="s">
        <v>2808</v>
      </c>
      <c r="CB413">
        <v>2</v>
      </c>
    </row>
    <row r="414" spans="1:80">
      <c r="A414" s="178" t="str">
        <f ca="1">IFERROR(IF(AG413&lt;5+金蛇*2,IF(COUNTIF(B413,"*轻*")&gt;0,A413+加速!$L$9,A413+加速!$L$11)+V413,""),"")</f>
        <v/>
      </c>
      <c r="B414" s="167" t="str">
        <f ca="1" t="shared" si="110"/>
        <v/>
      </c>
      <c r="C414" t="str">
        <f ca="1" t="shared" si="119"/>
        <v/>
      </c>
      <c r="D414" t="str">
        <f ca="1">IF(B414&lt;&gt;"",IF(C413&lt;=加速!$L$11*(1-E414),0,1),"")</f>
        <v/>
      </c>
      <c r="E414">
        <f ca="1" t="shared" si="116"/>
        <v>1</v>
      </c>
      <c r="G414" t="str">
        <f ca="1" t="shared" si="117"/>
        <v/>
      </c>
      <c r="H414" t="str">
        <f ca="1">IF(B414&lt;&gt;"",IF(AND(COUNTIF(B413,"*轻*莺鸣柳*")&gt;0,COUNTIF(B414,"*轻*")&lt;1),MAX(0,15+I413-(A414-A413)+COUNTIF(B413,"*平湖*")*0),IF(AND(E414=0,MAX(0,H413-(A414-A413))&lt;=加速!$H$11),0,MAX(0,H413-(A414-A413)))),"")</f>
        <v/>
      </c>
      <c r="I414" t="str">
        <f ca="1" t="shared" si="123"/>
        <v/>
      </c>
      <c r="J414" t="str">
        <f ca="1" t="shared" si="124"/>
        <v/>
      </c>
      <c r="K414" t="str">
        <f ca="1" t="shared" si="111"/>
        <v/>
      </c>
      <c r="L414">
        <f ca="1">IFERROR(IF(AND(COUNTIF(B414,"*-峰插*"),技能数据库!$M$72&gt;0),0,IF(COUNTIF(B414,"*鹤归*")&gt;0,16-加速!$L$11,MAX(0,L413-(A414-A413)))),0)</f>
        <v>0</v>
      </c>
      <c r="M414">
        <f ca="1" t="shared" si="112"/>
        <v>0</v>
      </c>
      <c r="N414">
        <f ca="1">IFERROR(IF(AND(COUNTIF(B414,"*-峰插*"),技能数据库!$M$72&gt;0),0,IF(COUNTIF(B414,"*云飞*")&gt;0,4-COUNTIF(B414,"*玉山揽云*")*4--COUNTIF(B414,"*烟流暮景*")*4-COUNTIF(B414,"*云景*")*加速!$L$11-IF(J414&gt;0,2,0),MAX(0,N413-(A414-A413)-IF(J414&gt;0,2,0)))),0)</f>
        <v>0</v>
      </c>
      <c r="O414">
        <f ca="1">IF(AND(COUNTIF(IF(AND(配装计算器!$K$30&lt;&gt;"∞",0),INDEX(AU413:CB413,1,$AT$1),INDEX(AU415:CB415,1,$AT$1)),"*云飞*")=1,COUNTIF(IF(AND(配装计算器!$K$30&lt;&gt;"∞",0),INDEX(AU413:CB413,1,$AT$1),INDEX(AU415:CB415,1,$AT$1)),"*玉山*")=0),N414,0)</f>
        <v>0</v>
      </c>
      <c r="P414">
        <f ca="1">IFERROR(IF(COUNTIF(B414,"*云栖松*")&gt;0,50-加速!$L$11,MAX(0,P413-(A414-A413))),0)</f>
        <v>0</v>
      </c>
      <c r="Q414">
        <f ca="1">IF(COUNTIF(IF(AND(配装计算器!$K$30&lt;&gt;"∞",0),INDEX(AU413:CB413,1,$AT$1),INDEX(AU415:CB415,1,$AT$1)),"*云栖松*")=1,P414,0)</f>
        <v>0</v>
      </c>
      <c r="R414">
        <f ca="1">IFERROR(IF(COUNTIF(B414,"*莺鸣柳*")&gt;0,45-加速!$L$9,MAX(0,R413-(A414-A413))),0)</f>
        <v>0</v>
      </c>
      <c r="S414">
        <f ca="1">IF(COUNTIF(IF(AND(配装计算器!$K$30&lt;&gt;"∞",0),INDEX(AU413:CB413,1,$AT$1),INDEX(AU415:CB415,1,$AT$1)),"*莺鸣柳*")=1,R414,0)</f>
        <v>0</v>
      </c>
      <c r="T414">
        <f ca="1" t="shared" si="120"/>
        <v>0</v>
      </c>
      <c r="U414">
        <f ca="1">IF(金蛇,IF(COUNTIF(B414,"*金环戴*")+COUNTIF(B414,"*吹风醒*")&gt;0,IF(A414&lt;=3,7.125-2.625-A414-加速!$L$11,7.125+加速!$K$9-(A414+加速!$L$11-T414)),0),0)+IF(金蛇,IF(COUNTIF(B414,"*千切子裂光*")&gt;0,2+加速!$K$9-(A414+加速!$L$11-T414),0),0)</f>
        <v>0</v>
      </c>
      <c r="V414">
        <f ca="1" t="shared" si="121"/>
        <v>0</v>
      </c>
      <c r="W414">
        <f ca="1" t="shared" si="113"/>
        <v>0</v>
      </c>
      <c r="X414">
        <f ca="1">INDEX(加速!$I$13:$I$21,W414+1)</f>
        <v>0</v>
      </c>
      <c r="Y414">
        <f ca="1" t="shared" si="122"/>
        <v>0.5</v>
      </c>
      <c r="Z414">
        <f ca="1" t="shared" si="118"/>
        <v>0</v>
      </c>
      <c r="AA414">
        <f ca="1">MAX(0,IFERROR(IF(COUNTIF(B414,"*叠*")&gt;0,IF(AC413&lt;3,8-A415+A414,AA413+6.875-A415+A414),AA413-A415+A414),AA413-加速!$L$11))</f>
        <v>0</v>
      </c>
      <c r="AB414" t="e">
        <f ca="1">MAX(0,IF(COUNTIF(IF(AND(配装计算器!$K$30&lt;&gt;"∞",0),INDEX(AU414:CB414,1,$AT$1),INDEX(AU414:CB414,1,$AT$1)),"*叠1*")=1,4*25-加速!$L$11,AB413-A414+A413)-IF(OR(COUNTIF(OFFSET(AT414,0,$AT$1,1,1),"*听雷*")&gt;0,AND(碧归&gt;0,COUNTIF(OFFSET(AT414,0,$AT$1,1,1),"*风来*")&gt;0)),0,1)*1.5)</f>
        <v>#VALUE!</v>
      </c>
      <c r="AC414">
        <f ca="1" t="shared" si="114"/>
        <v>0</v>
      </c>
      <c r="AD414">
        <f ca="1">IF(COUNTIF(IF(AND(配装计算器!$K$30&lt;&gt;"∞",0),INDEX(AU414:CB414,1,$AT$1),INDEX(AU415:CB415,1,$AT$1)),"*叠1*")=1,AB414*0+AE413,0)</f>
        <v>0</v>
      </c>
      <c r="AE414" t="e">
        <f ca="1">IF($AN$11&gt;0,IF(COUNTIF(B415,"*叠1*")&gt;0,50-加速!$L$11,MAX(0,AE413-(A415-A414))),0)</f>
        <v>#VALUE!</v>
      </c>
      <c r="AG414">
        <f ca="1" t="shared" si="115"/>
        <v>11</v>
      </c>
      <c r="AU414" s="176" t="s">
        <v>2794</v>
      </c>
      <c r="AV414">
        <v>2</v>
      </c>
      <c r="AW414" s="180" t="s">
        <v>2789</v>
      </c>
      <c r="AX414">
        <v>2</v>
      </c>
      <c r="AY414" t="s">
        <v>2776</v>
      </c>
      <c r="AZ414">
        <v>2</v>
      </c>
      <c r="BA414" t="s">
        <v>2808</v>
      </c>
      <c r="BB414">
        <v>2</v>
      </c>
      <c r="BC414" t="s">
        <v>2768</v>
      </c>
      <c r="BD414">
        <v>2</v>
      </c>
      <c r="BE414" t="s">
        <v>2768</v>
      </c>
      <c r="BF414">
        <v>2</v>
      </c>
      <c r="BG414" t="s">
        <v>2808</v>
      </c>
      <c r="BH414">
        <v>2</v>
      </c>
      <c r="BI414" t="s">
        <v>2722</v>
      </c>
      <c r="BJ414">
        <v>0</v>
      </c>
      <c r="BK414" s="176" t="s">
        <v>2794</v>
      </c>
      <c r="BL414">
        <v>2</v>
      </c>
      <c r="BM414" s="176" t="s">
        <v>2776</v>
      </c>
      <c r="BN414">
        <v>2</v>
      </c>
      <c r="BO414" s="176" t="s">
        <v>2768</v>
      </c>
      <c r="BP414">
        <v>2</v>
      </c>
      <c r="BQ414" t="s">
        <v>2768</v>
      </c>
      <c r="BR414">
        <v>2</v>
      </c>
      <c r="BS414" t="s">
        <v>2768</v>
      </c>
      <c r="BT414">
        <v>0</v>
      </c>
      <c r="BU414" t="s">
        <v>2776</v>
      </c>
      <c r="BV414">
        <v>2</v>
      </c>
      <c r="BW414" s="179" t="s">
        <v>2776</v>
      </c>
      <c r="BX414" s="179">
        <v>2</v>
      </c>
      <c r="BY414" s="176" t="s">
        <v>2768</v>
      </c>
      <c r="BZ414">
        <v>2</v>
      </c>
      <c r="CA414" s="180" t="s">
        <v>2789</v>
      </c>
      <c r="CB414">
        <v>2</v>
      </c>
    </row>
    <row r="415" spans="1:80">
      <c r="A415" s="178" t="str">
        <f ca="1">IFERROR(IF(AG414&lt;5+金蛇*2,IF(COUNTIF(B414,"*轻*")&gt;0,A414+加速!$L$9,A414+加速!$L$11)+V414,""),"")</f>
        <v/>
      </c>
      <c r="B415" s="167" t="str">
        <f ca="1" t="shared" si="110"/>
        <v/>
      </c>
      <c r="C415" t="str">
        <f ca="1" t="shared" si="119"/>
        <v/>
      </c>
      <c r="D415" t="str">
        <f ca="1">IF(B415&lt;&gt;"",IF(C414&lt;=加速!$L$11*(1-E415),0,1),"")</f>
        <v/>
      </c>
      <c r="E415">
        <f ca="1" t="shared" si="116"/>
        <v>1</v>
      </c>
      <c r="G415" t="str">
        <f ca="1" t="shared" si="117"/>
        <v/>
      </c>
      <c r="H415" t="str">
        <f ca="1">IF(B415&lt;&gt;"",IF(AND(COUNTIF(B414,"*轻*莺鸣柳*")&gt;0,COUNTIF(B415,"*轻*")&lt;1),MAX(0,15+I414-(A415-A414)+COUNTIF(B414,"*平湖*")*0),IF(AND(E415=0,MAX(0,H414-(A415-A414))&lt;=加速!$H$11),0,MAX(0,H414-(A415-A414)))),"")</f>
        <v/>
      </c>
      <c r="I415" t="str">
        <f ca="1" t="shared" si="123"/>
        <v/>
      </c>
      <c r="J415" t="str">
        <f ca="1" t="shared" si="124"/>
        <v/>
      </c>
      <c r="K415" t="str">
        <f ca="1" t="shared" si="111"/>
        <v/>
      </c>
      <c r="L415">
        <f ca="1">IFERROR(IF(AND(COUNTIF(B415,"*-峰插*"),技能数据库!$M$72&gt;0),0,IF(COUNTIF(B415,"*鹤归*")&gt;0,16-加速!$L$11,MAX(0,L414-(A415-A414)))),0)</f>
        <v>0</v>
      </c>
      <c r="M415">
        <f ca="1" t="shared" si="112"/>
        <v>0</v>
      </c>
      <c r="N415">
        <f ca="1">IFERROR(IF(AND(COUNTIF(B415,"*-峰插*"),技能数据库!$M$72&gt;0),0,IF(COUNTIF(B415,"*云飞*")&gt;0,4-COUNTIF(B415,"*玉山揽云*")*4--COUNTIF(B415,"*烟流暮景*")*4-COUNTIF(B415,"*云景*")*加速!$L$11-IF(J415&gt;0,2,0),MAX(0,N414-(A415-A414)-IF(J415&gt;0,2,0)))),0)</f>
        <v>0</v>
      </c>
      <c r="O415">
        <f ca="1">IF(AND(COUNTIF(IF(AND(配装计算器!$K$30&lt;&gt;"∞",0),INDEX(AU414:CB414,1,$AT$1),INDEX(AU416:CB416,1,$AT$1)),"*云飞*")=1,COUNTIF(IF(AND(配装计算器!$K$30&lt;&gt;"∞",0),INDEX(AU414:CB414,1,$AT$1),INDEX(AU416:CB416,1,$AT$1)),"*玉山*")=0),N415,0)</f>
        <v>0</v>
      </c>
      <c r="P415">
        <f ca="1">IFERROR(IF(COUNTIF(B415,"*云栖松*")&gt;0,50-加速!$L$11,MAX(0,P414-(A415-A414))),0)</f>
        <v>0</v>
      </c>
      <c r="Q415">
        <f ca="1">IF(COUNTIF(IF(AND(配装计算器!$K$30&lt;&gt;"∞",0),INDEX(AU414:CB414,1,$AT$1),INDEX(AU416:CB416,1,$AT$1)),"*云栖松*")=1,P415,0)</f>
        <v>0</v>
      </c>
      <c r="R415">
        <f ca="1">IFERROR(IF(COUNTIF(B415,"*莺鸣柳*")&gt;0,45-加速!$L$9,MAX(0,R414-(A415-A414))),0)</f>
        <v>0</v>
      </c>
      <c r="S415">
        <f ca="1">IF(COUNTIF(IF(AND(配装计算器!$K$30&lt;&gt;"∞",0),INDEX(AU414:CB414,1,$AT$1),INDEX(AU416:CB416,1,$AT$1)),"*莺鸣柳*")=1,R415,0)</f>
        <v>0</v>
      </c>
      <c r="T415">
        <f ca="1" t="shared" si="120"/>
        <v>0</v>
      </c>
      <c r="U415">
        <f ca="1">IF(金蛇,IF(COUNTIF(B415,"*金环戴*")+COUNTIF(B415,"*吹风醒*")&gt;0,IF(A415&lt;=3,7.125-2.625-A415-加速!$L$11,7.125+加速!$K$9-(A415+加速!$L$11-T415)),0),0)+IF(金蛇,IF(COUNTIF(B415,"*千切子裂光*")&gt;0,2+加速!$K$9-(A415+加速!$L$11-T415),0),0)</f>
        <v>0</v>
      </c>
      <c r="V415">
        <f ca="1" t="shared" si="121"/>
        <v>0</v>
      </c>
      <c r="W415">
        <f ca="1" t="shared" si="113"/>
        <v>0</v>
      </c>
      <c r="X415">
        <f ca="1">INDEX(加速!$I$13:$I$21,W415+1)</f>
        <v>0</v>
      </c>
      <c r="Y415">
        <f ca="1" t="shared" si="122"/>
        <v>0.5</v>
      </c>
      <c r="Z415">
        <f ca="1" t="shared" si="118"/>
        <v>0</v>
      </c>
      <c r="AA415">
        <f ca="1">MAX(0,IFERROR(IF(COUNTIF(B415,"*叠*")&gt;0,IF(AC414&lt;3,8-A416+A415,AA414+6.875-A416+A415),AA414-A416+A415),AA414-加速!$L$11))</f>
        <v>0</v>
      </c>
      <c r="AB415" t="e">
        <f ca="1">MAX(0,IF(COUNTIF(IF(AND(配装计算器!$K$30&lt;&gt;"∞",0),INDEX(AU415:CB415,1,$AT$1),INDEX(AU415:CB415,1,$AT$1)),"*叠1*")=1,4*25-加速!$L$11,AB414-A415+A414)-IF(OR(COUNTIF(OFFSET(AT415,0,$AT$1,1,1),"*听雷*")&gt;0,AND(碧归&gt;0,COUNTIF(OFFSET(AT415,0,$AT$1,1,1),"*风来*")&gt;0)),0,1)*1.5)</f>
        <v>#VALUE!</v>
      </c>
      <c r="AC415">
        <f ca="1" t="shared" si="114"/>
        <v>0</v>
      </c>
      <c r="AD415">
        <f ca="1">IF(COUNTIF(IF(AND(配装计算器!$K$30&lt;&gt;"∞",0),INDEX(AU415:CB415,1,$AT$1),INDEX(AU416:CB416,1,$AT$1)),"*叠1*")=1,AB415*0+AE414,0)</f>
        <v>0</v>
      </c>
      <c r="AE415" t="e">
        <f ca="1">IF($AN$11&gt;0,IF(COUNTIF(B416,"*叠1*")&gt;0,50-加速!$L$11,MAX(0,AE414-(A416-A415))),0)</f>
        <v>#VALUE!</v>
      </c>
      <c r="AG415">
        <f ca="1" t="shared" si="115"/>
        <v>11</v>
      </c>
      <c r="AU415" s="176" t="s">
        <v>2776</v>
      </c>
      <c r="AV415">
        <v>2</v>
      </c>
      <c r="AW415" s="176" t="s">
        <v>2794</v>
      </c>
      <c r="AX415">
        <v>2</v>
      </c>
      <c r="AY415" t="s">
        <v>3042</v>
      </c>
      <c r="AZ415">
        <v>2</v>
      </c>
      <c r="BA415" t="s">
        <v>2768</v>
      </c>
      <c r="BB415">
        <v>2</v>
      </c>
      <c r="BC415" t="s">
        <v>2768</v>
      </c>
      <c r="BD415">
        <v>2</v>
      </c>
      <c r="BE415" t="s">
        <v>2768</v>
      </c>
      <c r="BF415">
        <v>2</v>
      </c>
      <c r="BG415" t="s">
        <v>2768</v>
      </c>
      <c r="BH415">
        <v>2</v>
      </c>
      <c r="BI415" t="s">
        <v>2776</v>
      </c>
      <c r="BJ415">
        <v>2</v>
      </c>
      <c r="BK415" s="176" t="s">
        <v>3019</v>
      </c>
      <c r="BL415">
        <v>2</v>
      </c>
      <c r="BM415" s="176" t="s">
        <v>2768</v>
      </c>
      <c r="BN415">
        <v>2</v>
      </c>
      <c r="BO415" s="176" t="s">
        <v>2776</v>
      </c>
      <c r="BP415">
        <v>2</v>
      </c>
      <c r="BQ415" t="s">
        <v>2768</v>
      </c>
      <c r="BR415">
        <v>2</v>
      </c>
      <c r="BS415" t="s">
        <v>2776</v>
      </c>
      <c r="BT415">
        <v>0</v>
      </c>
      <c r="BU415" t="s">
        <v>2768</v>
      </c>
      <c r="BV415">
        <v>2</v>
      </c>
      <c r="BW415" s="179" t="s">
        <v>2768</v>
      </c>
      <c r="BX415" s="179">
        <v>2</v>
      </c>
      <c r="BY415" s="176" t="s">
        <v>2776</v>
      </c>
      <c r="BZ415">
        <v>2</v>
      </c>
      <c r="CA415" t="s">
        <v>2776</v>
      </c>
      <c r="CB415">
        <v>2</v>
      </c>
    </row>
    <row r="416" spans="1:80">
      <c r="A416" s="178" t="str">
        <f ca="1">IFERROR(IF(AG415&lt;5+金蛇*2,IF(COUNTIF(B415,"*轻*")&gt;0,A415+加速!$L$9,A415+加速!$L$11)+V415,""),"")</f>
        <v/>
      </c>
      <c r="B416" s="167" t="str">
        <f ca="1" t="shared" si="110"/>
        <v/>
      </c>
      <c r="C416" t="str">
        <f ca="1" t="shared" si="119"/>
        <v/>
      </c>
      <c r="D416" t="str">
        <f ca="1">IF(B416&lt;&gt;"",IF(C415&lt;=加速!$L$11*(1-E416),0,1),"")</f>
        <v/>
      </c>
      <c r="E416">
        <f ca="1" t="shared" si="116"/>
        <v>1</v>
      </c>
      <c r="G416" t="str">
        <f ca="1" t="shared" si="117"/>
        <v/>
      </c>
      <c r="H416" t="str">
        <f ca="1">IF(B416&lt;&gt;"",IF(AND(COUNTIF(B415,"*轻*莺鸣柳*")&gt;0,COUNTIF(B416,"*轻*")&lt;1),MAX(0,15+I415-(A416-A415)+COUNTIF(B415,"*平湖*")*0),IF(AND(E416=0,MAX(0,H415-(A416-A415))&lt;=加速!$H$11),0,MAX(0,H415-(A416-A415)))),"")</f>
        <v/>
      </c>
      <c r="I416" t="str">
        <f ca="1" t="shared" si="123"/>
        <v/>
      </c>
      <c r="J416" t="str">
        <f ca="1" t="shared" si="124"/>
        <v/>
      </c>
      <c r="K416" t="str">
        <f ca="1" t="shared" si="111"/>
        <v/>
      </c>
      <c r="L416">
        <f ca="1">IFERROR(IF(AND(COUNTIF(B416,"*-峰插*"),技能数据库!$M$72&gt;0),0,IF(COUNTIF(B416,"*鹤归*")&gt;0,16-加速!$L$11,MAX(0,L415-(A416-A415)))),0)</f>
        <v>0</v>
      </c>
      <c r="M416">
        <f ca="1" t="shared" si="112"/>
        <v>0</v>
      </c>
      <c r="N416">
        <f ca="1">IFERROR(IF(AND(COUNTIF(B416,"*-峰插*"),技能数据库!$M$72&gt;0),0,IF(COUNTIF(B416,"*云飞*")&gt;0,4-COUNTIF(B416,"*玉山揽云*")*4--COUNTIF(B416,"*烟流暮景*")*4-COUNTIF(B416,"*云景*")*加速!$L$11-IF(J416&gt;0,2,0),MAX(0,N415-(A416-A415)-IF(J416&gt;0,2,0)))),0)</f>
        <v>0</v>
      </c>
      <c r="O416">
        <f ca="1">IF(AND(COUNTIF(IF(AND(配装计算器!$K$30&lt;&gt;"∞",0),INDEX(AU415:CB415,1,$AT$1),INDEX(AU417:CB417,1,$AT$1)),"*云飞*")=1,COUNTIF(IF(AND(配装计算器!$K$30&lt;&gt;"∞",0),INDEX(AU415:CB415,1,$AT$1),INDEX(AU417:CB417,1,$AT$1)),"*玉山*")=0),N416,0)</f>
        <v>0</v>
      </c>
      <c r="P416">
        <f ca="1">IFERROR(IF(COUNTIF(B416,"*云栖松*")&gt;0,50-加速!$L$11,MAX(0,P415-(A416-A415))),0)</f>
        <v>0</v>
      </c>
      <c r="Q416">
        <f ca="1">IF(COUNTIF(IF(AND(配装计算器!$K$30&lt;&gt;"∞",0),INDEX(AU415:CB415,1,$AT$1),INDEX(AU417:CB417,1,$AT$1)),"*云栖松*")=1,P416,0)</f>
        <v>0</v>
      </c>
      <c r="R416">
        <f ca="1">IFERROR(IF(COUNTIF(B416,"*莺鸣柳*")&gt;0,45-加速!$L$9,MAX(0,R415-(A416-A415))),0)</f>
        <v>0</v>
      </c>
      <c r="S416">
        <f ca="1">IF(COUNTIF(IF(AND(配装计算器!$K$30&lt;&gt;"∞",0),INDEX(AU415:CB415,1,$AT$1),INDEX(AU417:CB417,1,$AT$1)),"*莺鸣柳*")=1,R416,0)</f>
        <v>0</v>
      </c>
      <c r="T416">
        <f ca="1" t="shared" si="120"/>
        <v>0</v>
      </c>
      <c r="U416">
        <f ca="1">IF(金蛇,IF(COUNTIF(B416,"*金环戴*")+COUNTIF(B416,"*吹风醒*")&gt;0,IF(A416&lt;=3,7.125-2.625-A416-加速!$L$11,7.125+加速!$K$9-(A416+加速!$L$11-T416)),0),0)+IF(金蛇,IF(COUNTIF(B416,"*千切子裂光*")&gt;0,2+加速!$K$9-(A416+加速!$L$11-T416),0),0)</f>
        <v>0</v>
      </c>
      <c r="V416">
        <f ca="1" t="shared" si="121"/>
        <v>0</v>
      </c>
      <c r="W416">
        <f ca="1" t="shared" si="113"/>
        <v>0</v>
      </c>
      <c r="X416">
        <f ca="1">INDEX(加速!$I$13:$I$21,W416+1)</f>
        <v>0</v>
      </c>
      <c r="Y416">
        <f ca="1" t="shared" si="122"/>
        <v>0.5</v>
      </c>
      <c r="Z416">
        <f ca="1" t="shared" si="118"/>
        <v>0</v>
      </c>
      <c r="AA416">
        <f ca="1">MAX(0,IFERROR(IF(COUNTIF(B416,"*叠*")&gt;0,IF(AC415&lt;3,8-A417+A416,AA415+6.875-A417+A416),AA415-A417+A416),AA415-加速!$L$11))</f>
        <v>0</v>
      </c>
      <c r="AB416" t="e">
        <f ca="1">MAX(0,IF(COUNTIF(IF(AND(配装计算器!$K$30&lt;&gt;"∞",0),INDEX(AU416:CB416,1,$AT$1),INDEX(AU416:CB416,1,$AT$1)),"*叠1*")=1,4*25-加速!$L$11,AB415-A416+A415)-IF(OR(COUNTIF(OFFSET(AT416,0,$AT$1,1,1),"*听雷*")&gt;0,AND(碧归&gt;0,COUNTIF(OFFSET(AT416,0,$AT$1,1,1),"*风来*")&gt;0)),0,1)*1.5)</f>
        <v>#VALUE!</v>
      </c>
      <c r="AC416">
        <f ca="1" t="shared" si="114"/>
        <v>0</v>
      </c>
      <c r="AD416">
        <f ca="1">IF(COUNTIF(IF(AND(配装计算器!$K$30&lt;&gt;"∞",0),INDEX(AU416:CB416,1,$AT$1),INDEX(AU417:CB417,1,$AT$1)),"*叠1*")=1,AB416*0+AE415,0)</f>
        <v>0</v>
      </c>
      <c r="AE416" t="e">
        <f ca="1">IF($AN$11&gt;0,IF(COUNTIF(B417,"*叠1*")&gt;0,50-加速!$L$11,MAX(0,AE415-(A417-A416))),0)</f>
        <v>#VALUE!</v>
      </c>
      <c r="AG416">
        <f ca="1" t="shared" si="115"/>
        <v>11</v>
      </c>
      <c r="AU416" s="176" t="s">
        <v>2768</v>
      </c>
      <c r="AV416">
        <v>1</v>
      </c>
      <c r="AW416" s="176" t="s">
        <v>2776</v>
      </c>
      <c r="AX416">
        <v>2</v>
      </c>
      <c r="AY416" t="s">
        <v>2808</v>
      </c>
      <c r="AZ416">
        <v>2</v>
      </c>
      <c r="BA416" t="s">
        <v>2768</v>
      </c>
      <c r="BB416">
        <v>2</v>
      </c>
      <c r="BC416" t="s">
        <v>2768</v>
      </c>
      <c r="BD416">
        <v>1</v>
      </c>
      <c r="BE416" t="s">
        <v>2776</v>
      </c>
      <c r="BF416">
        <v>2</v>
      </c>
      <c r="BG416" s="176" t="s">
        <v>2768</v>
      </c>
      <c r="BH416">
        <v>2</v>
      </c>
      <c r="BI416" t="s">
        <v>2768</v>
      </c>
      <c r="BJ416">
        <v>2</v>
      </c>
      <c r="BK416" s="176" t="s">
        <v>2768</v>
      </c>
      <c r="BL416">
        <v>2</v>
      </c>
      <c r="BM416" s="176" t="s">
        <v>2808</v>
      </c>
      <c r="BN416">
        <v>2</v>
      </c>
      <c r="BO416" s="176" t="str">
        <f>IF(0,"云飞玉皇-玉山揽云","夕照雷峰")</f>
        <v>夕照雷峰</v>
      </c>
      <c r="BP416">
        <v>2</v>
      </c>
      <c r="BQ416" t="s">
        <v>3035</v>
      </c>
      <c r="BR416">
        <v>2</v>
      </c>
      <c r="BS416" t="s">
        <v>2768</v>
      </c>
      <c r="BT416">
        <v>0</v>
      </c>
      <c r="BU416" t="s">
        <v>2776</v>
      </c>
      <c r="BV416">
        <v>2</v>
      </c>
      <c r="BW416" s="179" t="s">
        <v>2768</v>
      </c>
      <c r="BX416" s="179">
        <v>2</v>
      </c>
      <c r="BY416" s="176" t="s">
        <v>2768</v>
      </c>
      <c r="BZ416">
        <v>2</v>
      </c>
      <c r="CA416" t="s">
        <v>2768</v>
      </c>
      <c r="CB416">
        <v>2</v>
      </c>
    </row>
    <row r="417" spans="1:80">
      <c r="A417" s="178" t="str">
        <f ca="1">IFERROR(IF(AG416&lt;5+金蛇*2,IF(COUNTIF(B416,"*轻*")&gt;0,A416+加速!$L$9,A416+加速!$L$11)+V416,""),"")</f>
        <v/>
      </c>
      <c r="B417" s="167" t="str">
        <f ca="1" t="shared" si="110"/>
        <v/>
      </c>
      <c r="C417" t="str">
        <f ca="1" t="shared" si="119"/>
        <v/>
      </c>
      <c r="D417" t="str">
        <f ca="1">IF(B417&lt;&gt;"",IF(C416&lt;=加速!$L$11*(1-E417),0,1),"")</f>
        <v/>
      </c>
      <c r="E417">
        <f ca="1" t="shared" si="116"/>
        <v>1</v>
      </c>
      <c r="G417" t="str">
        <f ca="1" t="shared" si="117"/>
        <v/>
      </c>
      <c r="H417" t="str">
        <f ca="1">IF(B417&lt;&gt;"",IF(AND(COUNTIF(B416,"*轻*莺鸣柳*")&gt;0,COUNTIF(B417,"*轻*")&lt;1),MAX(0,15+I416-(A417-A416)+COUNTIF(B416,"*平湖*")*0),IF(AND(E417=0,MAX(0,H416-(A417-A416))&lt;=加速!$H$11),0,MAX(0,H416-(A417-A416)))),"")</f>
        <v/>
      </c>
      <c r="I417" t="str">
        <f ca="1" t="shared" si="123"/>
        <v/>
      </c>
      <c r="J417" t="str">
        <f ca="1" t="shared" si="124"/>
        <v/>
      </c>
      <c r="K417" t="str">
        <f ca="1" t="shared" si="111"/>
        <v/>
      </c>
      <c r="L417">
        <f ca="1">IFERROR(IF(AND(COUNTIF(B417,"*-峰插*"),技能数据库!$M$72&gt;0),0,IF(COUNTIF(B417,"*鹤归*")&gt;0,16-加速!$L$11,MAX(0,L416-(A417-A416)))),0)</f>
        <v>0</v>
      </c>
      <c r="M417">
        <f ca="1" t="shared" si="112"/>
        <v>0</v>
      </c>
      <c r="N417">
        <f ca="1">IFERROR(IF(AND(COUNTIF(B417,"*-峰插*"),技能数据库!$M$72&gt;0),0,IF(COUNTIF(B417,"*云飞*")&gt;0,4-COUNTIF(B417,"*玉山揽云*")*4--COUNTIF(B417,"*烟流暮景*")*4-COUNTIF(B417,"*云景*")*加速!$L$11-IF(J417&gt;0,2,0),MAX(0,N416-(A417-A416)-IF(J417&gt;0,2,0)))),0)</f>
        <v>0</v>
      </c>
      <c r="O417">
        <f ca="1">IF(AND(COUNTIF(IF(AND(配装计算器!$K$30&lt;&gt;"∞",0),INDEX(AU416:CB416,1,$AT$1),INDEX(AU418:CB418,1,$AT$1)),"*云飞*")=1,COUNTIF(IF(AND(配装计算器!$K$30&lt;&gt;"∞",0),INDEX(AU416:CB416,1,$AT$1),INDEX(AU418:CB418,1,$AT$1)),"*玉山*")=0),N417,0)</f>
        <v>0</v>
      </c>
      <c r="P417">
        <f ca="1">IFERROR(IF(COUNTIF(B417,"*云栖松*")&gt;0,50-加速!$L$11,MAX(0,P416-(A417-A416))),0)</f>
        <v>0</v>
      </c>
      <c r="Q417">
        <f ca="1">IF(COUNTIF(IF(AND(配装计算器!$K$30&lt;&gt;"∞",0),INDEX(AU416:CB416,1,$AT$1),INDEX(AU418:CB418,1,$AT$1)),"*云栖松*")=1,P417,0)</f>
        <v>0</v>
      </c>
      <c r="R417">
        <f ca="1">IFERROR(IF(COUNTIF(B417,"*莺鸣柳*")&gt;0,45-加速!$L$9,MAX(0,R416-(A417-A416))),0)</f>
        <v>0</v>
      </c>
      <c r="S417">
        <f ca="1">IF(COUNTIF(IF(AND(配装计算器!$K$30&lt;&gt;"∞",0),INDEX(AU416:CB416,1,$AT$1),INDEX(AU418:CB418,1,$AT$1)),"*莺鸣柳*")=1,R417,0)</f>
        <v>0</v>
      </c>
      <c r="T417">
        <f ca="1" t="shared" si="120"/>
        <v>0</v>
      </c>
      <c r="U417">
        <f ca="1">IF(金蛇,IF(COUNTIF(B417,"*金环戴*")+COUNTIF(B417,"*吹风醒*")&gt;0,IF(A417&lt;=3,7.125-2.625-A417-加速!$L$11,7.125+加速!$K$9-(A417+加速!$L$11-T417)),0),0)+IF(金蛇,IF(COUNTIF(B417,"*千切子裂光*")&gt;0,2+加速!$K$9-(A417+加速!$L$11-T417),0),0)</f>
        <v>0</v>
      </c>
      <c r="V417">
        <f ca="1" t="shared" si="121"/>
        <v>0</v>
      </c>
      <c r="W417">
        <f ca="1" t="shared" si="113"/>
        <v>0</v>
      </c>
      <c r="X417">
        <f ca="1">INDEX(加速!$I$13:$I$21,W417+1)</f>
        <v>0</v>
      </c>
      <c r="Y417">
        <f ca="1" t="shared" si="122"/>
        <v>0.5</v>
      </c>
      <c r="Z417">
        <f ca="1" t="shared" si="118"/>
        <v>0</v>
      </c>
      <c r="AA417">
        <f ca="1">MAX(0,IFERROR(IF(COUNTIF(B417,"*叠*")&gt;0,IF(AC416&lt;3,8-A418+A417,AA416+6.875-A418+A417),AA416-A418+A417),AA416-加速!$L$11))</f>
        <v>0</v>
      </c>
      <c r="AB417" t="e">
        <f ca="1">MAX(0,IF(COUNTIF(IF(AND(配装计算器!$K$30&lt;&gt;"∞",0),INDEX(AU417:CB417,1,$AT$1),INDEX(AU417:CB417,1,$AT$1)),"*叠1*")=1,4*25-加速!$L$11,AB416-A417+A416)-IF(OR(COUNTIF(OFFSET(AT417,0,$AT$1,1,1),"*听雷*")&gt;0,AND(碧归&gt;0,COUNTIF(OFFSET(AT417,0,$AT$1,1,1),"*风来*")&gt;0)),0,1)*1.5)</f>
        <v>#VALUE!</v>
      </c>
      <c r="AC417">
        <f ca="1" t="shared" si="114"/>
        <v>0</v>
      </c>
      <c r="AD417">
        <f ca="1">IF(COUNTIF(IF(AND(配装计算器!$K$30&lt;&gt;"∞",0),INDEX(AU417:CB417,1,$AT$1),INDEX(AU418:CB418,1,$AT$1)),"*叠1*")=1,AB417*0+AE416,0)</f>
        <v>0</v>
      </c>
      <c r="AE417" t="e">
        <f ca="1">IF($AN$11&gt;0,IF(COUNTIF(B418,"*叠1*")&gt;0,50-加速!$L$11,MAX(0,AE416-(A418-A417))),0)</f>
        <v>#VALUE!</v>
      </c>
      <c r="AG417">
        <f ca="1" t="shared" si="115"/>
        <v>11</v>
      </c>
      <c r="AU417" s="176" t="s">
        <v>2776</v>
      </c>
      <c r="AV417">
        <v>2</v>
      </c>
      <c r="AW417" s="176" t="s">
        <v>2768</v>
      </c>
      <c r="AX417">
        <v>2</v>
      </c>
      <c r="AY417" t="s">
        <v>2768</v>
      </c>
      <c r="AZ417">
        <v>2</v>
      </c>
      <c r="BA417" t="s">
        <v>2776</v>
      </c>
      <c r="BB417">
        <v>2</v>
      </c>
      <c r="BC417" t="s">
        <v>2776</v>
      </c>
      <c r="BD417">
        <v>1</v>
      </c>
      <c r="BE417" t="s">
        <v>2768</v>
      </c>
      <c r="BF417">
        <v>1</v>
      </c>
      <c r="BG417" s="176" t="s">
        <v>2776</v>
      </c>
      <c r="BH417">
        <v>2</v>
      </c>
      <c r="BI417" t="s">
        <v>2768</v>
      </c>
      <c r="BJ417">
        <v>2</v>
      </c>
      <c r="BK417" s="176" t="s">
        <v>3023</v>
      </c>
      <c r="BL417">
        <v>2</v>
      </c>
      <c r="BM417" t="s">
        <v>2768</v>
      </c>
      <c r="BN417">
        <v>2</v>
      </c>
      <c r="BO417" t="str">
        <f>IF(0,"云飞玉皇-玉山揽云","云飞玉皇")</f>
        <v>云飞玉皇</v>
      </c>
      <c r="BP417">
        <v>2</v>
      </c>
      <c r="BQ417" t="s">
        <v>2776</v>
      </c>
      <c r="BR417">
        <v>2</v>
      </c>
      <c r="BS417" t="s">
        <v>3074</v>
      </c>
      <c r="BT417">
        <v>2</v>
      </c>
      <c r="BU417" t="s">
        <v>2768</v>
      </c>
      <c r="BV417">
        <v>2</v>
      </c>
      <c r="BW417" s="179" t="s">
        <v>2768</v>
      </c>
      <c r="BX417" s="179">
        <v>2</v>
      </c>
      <c r="BY417" s="176" t="s">
        <v>2808</v>
      </c>
      <c r="BZ417">
        <v>2</v>
      </c>
      <c r="CA417" t="s">
        <v>2768</v>
      </c>
      <c r="CB417">
        <v>2</v>
      </c>
    </row>
    <row r="418" spans="1:80">
      <c r="A418" s="178" t="str">
        <f ca="1">IFERROR(IF(AG417&lt;5+金蛇*2,IF(COUNTIF(B417,"*轻*")&gt;0,A417+加速!$L$9,A417+加速!$L$11)+V417,""),"")</f>
        <v/>
      </c>
      <c r="B418" s="167" t="str">
        <f ca="1" t="shared" si="110"/>
        <v/>
      </c>
      <c r="C418" t="str">
        <f ca="1" t="shared" si="119"/>
        <v/>
      </c>
      <c r="D418" t="str">
        <f ca="1">IF(B418&lt;&gt;"",IF(C417&lt;=加速!$L$11*(1-E418),0,1),"")</f>
        <v/>
      </c>
      <c r="E418">
        <f ca="1" t="shared" si="116"/>
        <v>1</v>
      </c>
      <c r="G418" t="str">
        <f ca="1" t="shared" si="117"/>
        <v/>
      </c>
      <c r="H418" t="str">
        <f ca="1">IF(B418&lt;&gt;"",IF(AND(COUNTIF(B417,"*轻*莺鸣柳*")&gt;0,COUNTIF(B418,"*轻*")&lt;1),MAX(0,15+I417-(A418-A417)+COUNTIF(B417,"*平湖*")*0),IF(AND(E418=0,MAX(0,H417-(A418-A417))&lt;=加速!$H$11),0,MAX(0,H417-(A418-A417)))),"")</f>
        <v/>
      </c>
      <c r="I418" t="str">
        <f ca="1" t="shared" si="123"/>
        <v/>
      </c>
      <c r="J418" t="str">
        <f ca="1" t="shared" si="124"/>
        <v/>
      </c>
      <c r="K418" t="str">
        <f ca="1" t="shared" si="111"/>
        <v/>
      </c>
      <c r="L418">
        <f ca="1">IFERROR(IF(AND(COUNTIF(B418,"*-峰插*"),技能数据库!$M$72&gt;0),0,IF(COUNTIF(B418,"*鹤归*")&gt;0,16-加速!$L$11,MAX(0,L417-(A418-A417)))),0)</f>
        <v>0</v>
      </c>
      <c r="M418">
        <f ca="1" t="shared" si="112"/>
        <v>0</v>
      </c>
      <c r="N418">
        <f ca="1">IFERROR(IF(AND(COUNTIF(B418,"*-峰插*"),技能数据库!$M$72&gt;0),0,IF(COUNTIF(B418,"*云飞*")&gt;0,4-COUNTIF(B418,"*玉山揽云*")*4--COUNTIF(B418,"*烟流暮景*")*4-COUNTIF(B418,"*云景*")*加速!$L$11-IF(J418&gt;0,2,0),MAX(0,N417-(A418-A417)-IF(J418&gt;0,2,0)))),0)</f>
        <v>0</v>
      </c>
      <c r="O418">
        <f ca="1">IF(AND(COUNTIF(IF(AND(配装计算器!$K$30&lt;&gt;"∞",0),INDEX(AU417:CB417,1,$AT$1),INDEX(AU419:CB419,1,$AT$1)),"*云飞*")=1,COUNTIF(IF(AND(配装计算器!$K$30&lt;&gt;"∞",0),INDEX(AU417:CB417,1,$AT$1),INDEX(AU419:CB419,1,$AT$1)),"*玉山*")=0),N418,0)</f>
        <v>0</v>
      </c>
      <c r="P418">
        <f ca="1">IFERROR(IF(COUNTIF(B418,"*云栖松*")&gt;0,50-加速!$L$11,MAX(0,P417-(A418-A417))),0)</f>
        <v>0</v>
      </c>
      <c r="Q418">
        <f ca="1">IF(COUNTIF(IF(AND(配装计算器!$K$30&lt;&gt;"∞",0),INDEX(AU417:CB417,1,$AT$1),INDEX(AU419:CB419,1,$AT$1)),"*云栖松*")=1,P418,0)</f>
        <v>0</v>
      </c>
      <c r="R418">
        <f ca="1">IFERROR(IF(COUNTIF(B418,"*莺鸣柳*")&gt;0,45-加速!$L$9,MAX(0,R417-(A418-A417))),0)</f>
        <v>0</v>
      </c>
      <c r="S418">
        <f ca="1">IF(COUNTIF(IF(AND(配装计算器!$K$30&lt;&gt;"∞",0),INDEX(AU417:CB417,1,$AT$1),INDEX(AU419:CB419,1,$AT$1)),"*莺鸣柳*")=1,R418,0)</f>
        <v>0</v>
      </c>
      <c r="T418">
        <f ca="1" t="shared" si="120"/>
        <v>0</v>
      </c>
      <c r="U418">
        <f ca="1">IF(金蛇,IF(COUNTIF(B418,"*金环戴*")+COUNTIF(B418,"*吹风醒*")&gt;0,IF(A418&lt;=3,7.125-2.625-A418-加速!$L$11,7.125+加速!$K$9-(A418+加速!$L$11-T418)),0),0)+IF(金蛇,IF(COUNTIF(B418,"*千切子裂光*")&gt;0,2+加速!$K$9-(A418+加速!$L$11-T418),0),0)</f>
        <v>0</v>
      </c>
      <c r="V418">
        <f ca="1" t="shared" si="121"/>
        <v>0</v>
      </c>
      <c r="W418">
        <f ca="1" t="shared" si="113"/>
        <v>0</v>
      </c>
      <c r="X418">
        <f ca="1">INDEX(加速!$I$13:$I$21,W418+1)</f>
        <v>0</v>
      </c>
      <c r="Y418">
        <f ca="1" t="shared" si="122"/>
        <v>0.5</v>
      </c>
      <c r="Z418">
        <f ca="1" t="shared" si="118"/>
        <v>0</v>
      </c>
      <c r="AA418">
        <f ca="1">MAX(0,IFERROR(IF(COUNTIF(B418,"*叠*")&gt;0,IF(AC417&lt;3,8-A419+A418,AA417+6.875-A419+A418),AA417-A419+A418),AA417-加速!$L$11))</f>
        <v>0</v>
      </c>
      <c r="AB418" t="e">
        <f ca="1">MAX(0,IF(COUNTIF(IF(AND(配装计算器!$K$30&lt;&gt;"∞",0),INDEX(AU418:CB418,1,$AT$1),INDEX(AU418:CB418,1,$AT$1)),"*叠1*")=1,4*25-加速!$L$11,AB417-A418+A417)-IF(OR(COUNTIF(OFFSET(AT418,0,$AT$1,1,1),"*听雷*")&gt;0,AND(碧归&gt;0,COUNTIF(OFFSET(AT418,0,$AT$1,1,1),"*风来*")&gt;0)),0,1)*1.5)</f>
        <v>#VALUE!</v>
      </c>
      <c r="AC418">
        <f ca="1" t="shared" si="114"/>
        <v>0</v>
      </c>
      <c r="AD418">
        <f ca="1">IF(COUNTIF(IF(AND(配装计算器!$K$30&lt;&gt;"∞",0),INDEX(AU418:CB418,1,$AT$1),INDEX(AU419:CB419,1,$AT$1)),"*叠1*")=1,AB418*0+AE417,0)</f>
        <v>0</v>
      </c>
      <c r="AE418" t="e">
        <f ca="1">IF($AN$11&gt;0,IF(COUNTIF(B419,"*叠1*")&gt;0,50-加速!$L$11,MAX(0,AE417-(A419-A418))),0)</f>
        <v>#VALUE!</v>
      </c>
      <c r="AG418">
        <f ca="1" t="shared" si="115"/>
        <v>11</v>
      </c>
      <c r="AU418" s="176" t="s">
        <v>2768</v>
      </c>
      <c r="AV418">
        <v>1</v>
      </c>
      <c r="AW418" s="176" t="s">
        <v>2776</v>
      </c>
      <c r="AX418">
        <v>2</v>
      </c>
      <c r="AY418" t="s">
        <v>2768</v>
      </c>
      <c r="AZ418">
        <v>2</v>
      </c>
      <c r="BA418" t="s">
        <v>2794</v>
      </c>
      <c r="BB418">
        <v>2</v>
      </c>
      <c r="BC418" t="s">
        <v>2768</v>
      </c>
      <c r="BD418">
        <v>1</v>
      </c>
      <c r="BE418" t="s">
        <v>2768</v>
      </c>
      <c r="BF418">
        <v>1</v>
      </c>
      <c r="BG418" t="s">
        <v>2768</v>
      </c>
      <c r="BH418">
        <v>1</v>
      </c>
      <c r="BI418" s="176" t="s">
        <v>2794</v>
      </c>
      <c r="BJ418">
        <v>1</v>
      </c>
      <c r="BK418" s="176" t="s">
        <v>2768</v>
      </c>
      <c r="BL418">
        <v>2</v>
      </c>
      <c r="BM418" t="s">
        <v>2776</v>
      </c>
      <c r="BN418">
        <v>2</v>
      </c>
      <c r="BO418" t="str">
        <f>IF(秋,"云栖松","泉凝月")</f>
        <v>泉凝月</v>
      </c>
      <c r="BP418">
        <v>2</v>
      </c>
      <c r="BQ418" t="s">
        <v>2768</v>
      </c>
      <c r="BR418">
        <v>2</v>
      </c>
      <c r="BS418" t="s">
        <v>2768</v>
      </c>
      <c r="BT418">
        <v>2</v>
      </c>
      <c r="BU418" t="s">
        <v>2808</v>
      </c>
      <c r="BV418">
        <v>2</v>
      </c>
      <c r="BW418" s="179" t="s">
        <v>2776</v>
      </c>
      <c r="BX418" s="179">
        <v>2</v>
      </c>
      <c r="BY418" t="s">
        <v>2768</v>
      </c>
      <c r="BZ418">
        <v>2</v>
      </c>
      <c r="CA418" t="s">
        <v>2768</v>
      </c>
      <c r="CB418">
        <v>2</v>
      </c>
    </row>
    <row r="419" spans="1:80">
      <c r="A419" s="178" t="str">
        <f ca="1">IFERROR(IF(AG418&lt;5+金蛇*2,IF(COUNTIF(B418,"*轻*")&gt;0,A418+加速!$L$9,A418+加速!$L$11)+V418,""),"")</f>
        <v/>
      </c>
      <c r="B419" s="167" t="str">
        <f ca="1" t="shared" si="110"/>
        <v/>
      </c>
      <c r="C419" t="str">
        <f ca="1" t="shared" si="119"/>
        <v/>
      </c>
      <c r="D419" t="str">
        <f ca="1">IF(B419&lt;&gt;"",IF(C418&lt;=加速!$L$11*(1-E419),0,1),"")</f>
        <v/>
      </c>
      <c r="E419">
        <f ca="1" t="shared" si="116"/>
        <v>1</v>
      </c>
      <c r="G419" t="str">
        <f ca="1" t="shared" si="117"/>
        <v/>
      </c>
      <c r="H419" t="str">
        <f ca="1">IF(B419&lt;&gt;"",IF(AND(COUNTIF(B418,"*轻*莺鸣柳*")&gt;0,COUNTIF(B419,"*轻*")&lt;1),MAX(0,15+I418-(A419-A418)+COUNTIF(B418,"*平湖*")*0),IF(AND(E419=0,MAX(0,H418-(A419-A418))&lt;=加速!$H$11),0,MAX(0,H418-(A419-A418)))),"")</f>
        <v/>
      </c>
      <c r="I419" t="str">
        <f ca="1" t="shared" si="123"/>
        <v/>
      </c>
      <c r="J419" t="str">
        <f ca="1" t="shared" si="124"/>
        <v/>
      </c>
      <c r="K419" t="str">
        <f ca="1" t="shared" si="111"/>
        <v/>
      </c>
      <c r="L419">
        <f ca="1">IFERROR(IF(AND(COUNTIF(B419,"*-峰插*"),技能数据库!$M$72&gt;0),0,IF(COUNTIF(B419,"*鹤归*")&gt;0,16-加速!$L$11,MAX(0,L418-(A419-A418)))),0)</f>
        <v>0</v>
      </c>
      <c r="M419">
        <f ca="1" t="shared" si="112"/>
        <v>0</v>
      </c>
      <c r="N419">
        <f ca="1">IFERROR(IF(AND(COUNTIF(B419,"*-峰插*"),技能数据库!$M$72&gt;0),0,IF(COUNTIF(B419,"*云飞*")&gt;0,4-COUNTIF(B419,"*玉山揽云*")*4--COUNTIF(B419,"*烟流暮景*")*4-COUNTIF(B419,"*云景*")*加速!$L$11-IF(J419&gt;0,2,0),MAX(0,N418-(A419-A418)-IF(J419&gt;0,2,0)))),0)</f>
        <v>0</v>
      </c>
      <c r="O419">
        <f ca="1">IF(AND(COUNTIF(IF(AND(配装计算器!$K$30&lt;&gt;"∞",0),INDEX(AU418:CB418,1,$AT$1),INDEX(AU420:CB420,1,$AT$1)),"*云飞*")=1,COUNTIF(IF(AND(配装计算器!$K$30&lt;&gt;"∞",0),INDEX(AU418:CB418,1,$AT$1),INDEX(AU420:CB420,1,$AT$1)),"*玉山*")=0),N419,0)</f>
        <v>0</v>
      </c>
      <c r="P419">
        <f ca="1">IFERROR(IF(COUNTIF(B419,"*云栖松*")&gt;0,50-加速!$L$11,MAX(0,P418-(A419-A418))),0)</f>
        <v>0</v>
      </c>
      <c r="Q419">
        <f ca="1">IF(COUNTIF(IF(AND(配装计算器!$K$30&lt;&gt;"∞",0),INDEX(AU418:CB418,1,$AT$1),INDEX(AU420:CB420,1,$AT$1)),"*云栖松*")=1,P419,0)</f>
        <v>0</v>
      </c>
      <c r="R419">
        <f ca="1">IFERROR(IF(COUNTIF(B419,"*莺鸣柳*")&gt;0,45-加速!$L$9,MAX(0,R418-(A419-A418))),0)</f>
        <v>0</v>
      </c>
      <c r="S419">
        <f ca="1">IF(COUNTIF(IF(AND(配装计算器!$K$30&lt;&gt;"∞",0),INDEX(AU418:CB418,1,$AT$1),INDEX(AU420:CB420,1,$AT$1)),"*莺鸣柳*")=1,R419,0)</f>
        <v>0</v>
      </c>
      <c r="T419">
        <f ca="1" t="shared" si="120"/>
        <v>0</v>
      </c>
      <c r="U419">
        <f ca="1">IF(金蛇,IF(COUNTIF(B419,"*金环戴*")+COUNTIF(B419,"*吹风醒*")&gt;0,IF(A419&lt;=3,7.125-2.625-A419-加速!$L$11,7.125+加速!$K$9-(A419+加速!$L$11-T419)),0),0)+IF(金蛇,IF(COUNTIF(B419,"*千切子裂光*")&gt;0,2+加速!$K$9-(A419+加速!$L$11-T419),0),0)</f>
        <v>0</v>
      </c>
      <c r="V419">
        <f ca="1" t="shared" si="121"/>
        <v>0</v>
      </c>
      <c r="W419">
        <f ca="1" t="shared" si="113"/>
        <v>0</v>
      </c>
      <c r="X419">
        <f ca="1">INDEX(加速!$I$13:$I$21,W419+1)</f>
        <v>0</v>
      </c>
      <c r="Y419">
        <f ca="1" t="shared" si="122"/>
        <v>0.5</v>
      </c>
      <c r="Z419">
        <f ca="1" t="shared" si="118"/>
        <v>0</v>
      </c>
      <c r="AA419">
        <f ca="1">MAX(0,IFERROR(IF(COUNTIF(B419,"*叠*")&gt;0,IF(AC418&lt;3,8-A420+A419,AA418+6.875-A420+A419),AA418-A420+A419),AA418-加速!$L$11))</f>
        <v>0</v>
      </c>
      <c r="AB419" t="e">
        <f ca="1">MAX(0,IF(COUNTIF(IF(AND(配装计算器!$K$30&lt;&gt;"∞",0),INDEX(AU419:CB419,1,$AT$1),INDEX(AU419:CB419,1,$AT$1)),"*叠1*")=1,4*25-加速!$L$11,AB418-A419+A418)-IF(OR(COUNTIF(OFFSET(AT419,0,$AT$1,1,1),"*听雷*")&gt;0,AND(碧归&gt;0,COUNTIF(OFFSET(AT419,0,$AT$1,1,1),"*风来*")&gt;0)),0,1)*1.5)</f>
        <v>#VALUE!</v>
      </c>
      <c r="AC419">
        <f ca="1" t="shared" si="114"/>
        <v>0</v>
      </c>
      <c r="AD419">
        <f ca="1">IF(COUNTIF(IF(AND(配装计算器!$K$30&lt;&gt;"∞",0),INDEX(AU419:CB419,1,$AT$1),INDEX(AU420:CB420,1,$AT$1)),"*叠1*")=1,AB419*0+AE418,0)</f>
        <v>0</v>
      </c>
      <c r="AE419" t="e">
        <f ca="1">IF($AN$11&gt;0,IF(COUNTIF(B420,"*叠1*")&gt;0,50-加速!$L$11,MAX(0,AE418-(A420-A419))),0)</f>
        <v>#VALUE!</v>
      </c>
      <c r="AG419">
        <f ca="1" t="shared" si="115"/>
        <v>11</v>
      </c>
      <c r="AU419" s="176" t="s">
        <v>2776</v>
      </c>
      <c r="AV419">
        <v>1</v>
      </c>
      <c r="AW419" s="176" t="s">
        <v>2768</v>
      </c>
      <c r="AX419">
        <v>2</v>
      </c>
      <c r="AY419" t="s">
        <v>2776</v>
      </c>
      <c r="AZ419">
        <v>2</v>
      </c>
      <c r="BA419" t="s">
        <v>2768</v>
      </c>
      <c r="BB419">
        <v>2</v>
      </c>
      <c r="BC419" t="s">
        <v>2768</v>
      </c>
      <c r="BD419">
        <v>0</v>
      </c>
      <c r="BE419" t="s">
        <v>2794</v>
      </c>
      <c r="BF419">
        <v>1</v>
      </c>
      <c r="BG419" s="176" t="s">
        <v>2768</v>
      </c>
      <c r="BH419">
        <v>1</v>
      </c>
      <c r="BI419" t="s">
        <v>2776</v>
      </c>
      <c r="BJ419">
        <v>1</v>
      </c>
      <c r="BK419" s="176" t="s">
        <v>2808</v>
      </c>
      <c r="BL419">
        <v>2</v>
      </c>
      <c r="BM419" t="s">
        <v>2768</v>
      </c>
      <c r="BN419">
        <v>2</v>
      </c>
      <c r="BO419" t="s">
        <v>2768</v>
      </c>
      <c r="BP419">
        <v>2</v>
      </c>
      <c r="BQ419" t="s">
        <v>2776</v>
      </c>
      <c r="BR419">
        <v>2</v>
      </c>
      <c r="BS419" t="s">
        <v>2776</v>
      </c>
      <c r="BT419">
        <v>2</v>
      </c>
      <c r="BU419" t="s">
        <v>2768</v>
      </c>
      <c r="BV419">
        <v>2</v>
      </c>
      <c r="BW419" s="182" t="s">
        <v>2794</v>
      </c>
      <c r="BX419" s="179">
        <v>2</v>
      </c>
      <c r="BY419" t="s">
        <v>2776</v>
      </c>
      <c r="BZ419">
        <v>2</v>
      </c>
      <c r="CA419" t="s">
        <v>2776</v>
      </c>
      <c r="CB419">
        <v>2</v>
      </c>
    </row>
    <row r="420" spans="1:80">
      <c r="A420" s="178" t="str">
        <f ca="1">IFERROR(IF(AG419&lt;5+金蛇*2,IF(COUNTIF(B419,"*轻*")&gt;0,A419+加速!$L$9,A419+加速!$L$11)+V419,""),"")</f>
        <v/>
      </c>
      <c r="B420" s="167" t="str">
        <f ca="1" t="shared" si="110"/>
        <v/>
      </c>
      <c r="C420" t="str">
        <f ca="1" t="shared" si="119"/>
        <v/>
      </c>
      <c r="D420" t="str">
        <f ca="1">IF(B420&lt;&gt;"",IF(C419&lt;=加速!$L$11*(1-E420),0,1),"")</f>
        <v/>
      </c>
      <c r="E420">
        <f ca="1" t="shared" si="116"/>
        <v>1</v>
      </c>
      <c r="G420" t="str">
        <f ca="1" t="shared" si="117"/>
        <v/>
      </c>
      <c r="H420" t="str">
        <f ca="1">IF(B420&lt;&gt;"",IF(AND(COUNTIF(B419,"*轻*莺鸣柳*")&gt;0,COUNTIF(B420,"*轻*")&lt;1),MAX(0,15+I419-(A420-A419)+COUNTIF(B419,"*平湖*")*0),IF(AND(E420=0,MAX(0,H419-(A420-A419))&lt;=加速!$H$11),0,MAX(0,H419-(A420-A419)))),"")</f>
        <v/>
      </c>
      <c r="I420" t="str">
        <f ca="1" t="shared" si="123"/>
        <v/>
      </c>
      <c r="J420" t="str">
        <f ca="1" t="shared" si="124"/>
        <v/>
      </c>
      <c r="K420" t="str">
        <f ca="1" t="shared" si="111"/>
        <v/>
      </c>
      <c r="L420">
        <f ca="1">IFERROR(IF(AND(COUNTIF(B420,"*-峰插*"),技能数据库!$M$72&gt;0),0,IF(COUNTIF(B420,"*鹤归*")&gt;0,16-加速!$L$11,MAX(0,L419-(A420-A419)))),0)</f>
        <v>0</v>
      </c>
      <c r="M420">
        <f ca="1" t="shared" si="112"/>
        <v>0</v>
      </c>
      <c r="N420">
        <f ca="1">IFERROR(IF(AND(COUNTIF(B420,"*-峰插*"),技能数据库!$M$72&gt;0),0,IF(COUNTIF(B420,"*云飞*")&gt;0,4-COUNTIF(B420,"*玉山揽云*")*4--COUNTIF(B420,"*烟流暮景*")*4-COUNTIF(B420,"*云景*")*加速!$L$11-IF(J420&gt;0,2,0),MAX(0,N419-(A420-A419)-IF(J420&gt;0,2,0)))),0)</f>
        <v>0</v>
      </c>
      <c r="O420">
        <f ca="1">IF(AND(COUNTIF(IF(AND(配装计算器!$K$30&lt;&gt;"∞",0),INDEX(AU419:CB419,1,$AT$1),INDEX(AU421:CB421,1,$AT$1)),"*云飞*")=1,COUNTIF(IF(AND(配装计算器!$K$30&lt;&gt;"∞",0),INDEX(AU419:CB419,1,$AT$1),INDEX(AU421:CB421,1,$AT$1)),"*玉山*")=0),N420,0)</f>
        <v>0</v>
      </c>
      <c r="P420">
        <f ca="1">IFERROR(IF(COUNTIF(B420,"*云栖松*")&gt;0,50-加速!$L$11,MAX(0,P419-(A420-A419))),0)</f>
        <v>0</v>
      </c>
      <c r="Q420">
        <f ca="1">IF(COUNTIF(IF(AND(配装计算器!$K$30&lt;&gt;"∞",0),INDEX(AU419:CB419,1,$AT$1),INDEX(AU421:CB421,1,$AT$1)),"*云栖松*")=1,P420,0)</f>
        <v>0</v>
      </c>
      <c r="R420">
        <f ca="1">IFERROR(IF(COUNTIF(B420,"*莺鸣柳*")&gt;0,45-加速!$L$9,MAX(0,R419-(A420-A419))),0)</f>
        <v>0</v>
      </c>
      <c r="S420">
        <f ca="1">IF(COUNTIF(IF(AND(配装计算器!$K$30&lt;&gt;"∞",0),INDEX(AU419:CB419,1,$AT$1),INDEX(AU421:CB421,1,$AT$1)),"*莺鸣柳*")=1,R420,0)</f>
        <v>0</v>
      </c>
      <c r="T420">
        <f ca="1" t="shared" si="120"/>
        <v>0</v>
      </c>
      <c r="U420">
        <f ca="1">IF(金蛇,IF(COUNTIF(B420,"*金环戴*")+COUNTIF(B420,"*吹风醒*")&gt;0,IF(A420&lt;=3,7.125-2.625-A420-加速!$L$11,7.125+加速!$K$9-(A420+加速!$L$11-T420)),0),0)+IF(金蛇,IF(COUNTIF(B420,"*千切子裂光*")&gt;0,2+加速!$K$9-(A420+加速!$L$11-T420),0),0)</f>
        <v>0</v>
      </c>
      <c r="V420" t="e">
        <f ca="1" t="shared" si="121"/>
        <v>#VALUE!</v>
      </c>
      <c r="W420">
        <f ca="1" t="shared" si="113"/>
        <v>0</v>
      </c>
      <c r="X420">
        <f ca="1">INDEX(加速!$I$13:$I$21,W420+1)</f>
        <v>0</v>
      </c>
      <c r="Y420">
        <f ca="1" t="shared" si="122"/>
        <v>0.5</v>
      </c>
      <c r="Z420">
        <f ca="1" t="shared" si="118"/>
        <v>0</v>
      </c>
      <c r="AA420">
        <f ca="1">MAX(0,IFERROR(IF(COUNTIF(B420,"*叠*")&gt;0,IF(AC419&lt;3,8-A421+A420,AA419+6.875-A421+A420),AA419-A421+A420),AA419-加速!$L$11))</f>
        <v>0</v>
      </c>
      <c r="AB420" t="e">
        <f ca="1">MAX(0,IF(COUNTIF(IF(AND(配装计算器!$K$30&lt;&gt;"∞",0),INDEX(AU420:CB420,1,$AT$1),INDEX(AU420:CB420,1,$AT$1)),"*叠1*")=1,4*25-加速!$L$11,AB419-A420+A419)-IF(OR(COUNTIF(OFFSET(AT420,0,$AT$1,1,1),"*听雷*")&gt;0,AND(碧归&gt;0,COUNTIF(OFFSET(AT420,0,$AT$1,1,1),"*风来*")&gt;0)),0,1)*1.5)</f>
        <v>#VALUE!</v>
      </c>
      <c r="AC420">
        <f ca="1" t="shared" si="114"/>
        <v>0</v>
      </c>
      <c r="AD420" t="e">
        <f ca="1">IF(COUNTIF(IF(AND(配装计算器!$K$30&lt;&gt;"∞",0),INDEX(AU420:CB420,1,$AT$1),INDEX(AU421:CB421,1,$AT$1)),"*叠1*")=1,AB420*0+AE419,0)</f>
        <v>#VALUE!</v>
      </c>
      <c r="AE420" t="e">
        <f ca="1">IF($AN$11&gt;0,IF(COUNTIF(B421,"*叠1*")&gt;0,50-加速!$L$11,MAX(0,AE419-(A421-A420))),0)</f>
        <v>#VALUE!</v>
      </c>
      <c r="AG420">
        <f ca="1" t="shared" si="115"/>
        <v>12</v>
      </c>
      <c r="AU420" t="s">
        <v>2722</v>
      </c>
      <c r="AV420">
        <v>0</v>
      </c>
      <c r="AW420" s="176" t="s">
        <v>2808</v>
      </c>
      <c r="AX420">
        <v>2</v>
      </c>
      <c r="AY420" t="s">
        <v>2768</v>
      </c>
      <c r="AZ420">
        <v>2</v>
      </c>
      <c r="BA420" t="s">
        <v>2776</v>
      </c>
      <c r="BB420">
        <v>2</v>
      </c>
      <c r="BC420" t="s">
        <v>2768</v>
      </c>
      <c r="BD420">
        <v>0</v>
      </c>
      <c r="BE420" t="s">
        <v>2776</v>
      </c>
      <c r="BF420">
        <v>2</v>
      </c>
      <c r="BG420" t="s">
        <v>3055</v>
      </c>
      <c r="BH420">
        <v>0</v>
      </c>
      <c r="BI420" t="s">
        <v>2768</v>
      </c>
      <c r="BJ420">
        <v>0</v>
      </c>
      <c r="BK420" t="s">
        <v>2789</v>
      </c>
      <c r="BL420">
        <v>2</v>
      </c>
      <c r="BM420" t="s">
        <v>2768</v>
      </c>
      <c r="BN420">
        <v>2</v>
      </c>
      <c r="BO420" t="s">
        <v>1886</v>
      </c>
      <c r="BP420">
        <v>2</v>
      </c>
      <c r="BQ420" t="s">
        <v>2768</v>
      </c>
      <c r="BR420">
        <v>2</v>
      </c>
      <c r="BS420" t="s">
        <v>2768</v>
      </c>
      <c r="BT420">
        <v>2</v>
      </c>
      <c r="BU420" s="176" t="s">
        <v>2768</v>
      </c>
      <c r="BV420">
        <v>2</v>
      </c>
      <c r="BW420" s="182" t="s">
        <v>2768</v>
      </c>
      <c r="BX420" s="179">
        <v>2</v>
      </c>
      <c r="BY420" t="s">
        <v>2768</v>
      </c>
      <c r="BZ420">
        <v>2</v>
      </c>
      <c r="CA420" s="176" t="s">
        <v>2794</v>
      </c>
      <c r="CB420">
        <v>2</v>
      </c>
    </row>
    <row r="421" spans="1:80">
      <c r="A421" s="178" t="str">
        <f ca="1">IFERROR(IF(AG420&lt;5+金蛇*2,IF(COUNTIF(B420,"*轻*")&gt;0,A420+加速!$L$9,A420+加速!$L$11)+V420,""),"")</f>
        <v/>
      </c>
      <c r="B421" s="167" t="str">
        <f ca="1" t="shared" si="110"/>
        <v/>
      </c>
      <c r="C421" t="str">
        <f ca="1" t="shared" si="119"/>
        <v/>
      </c>
      <c r="D421" t="str">
        <f ca="1">IF(B421&lt;&gt;"",IF(C420&lt;=加速!$L$11*(1-E421),0,1),"")</f>
        <v/>
      </c>
      <c r="E421">
        <f ca="1" t="shared" si="116"/>
        <v>1</v>
      </c>
      <c r="G421" t="str">
        <f ca="1" t="shared" si="117"/>
        <v/>
      </c>
      <c r="H421" t="str">
        <f ca="1">IF(B421&lt;&gt;"",IF(AND(COUNTIF(B420,"*轻*莺鸣柳*")&gt;0,COUNTIF(B421,"*轻*")&lt;1),MAX(0,15+I420-(A421-A420)+COUNTIF(B420,"*平湖*")*0),IF(AND(E421=0,MAX(0,H420-(A421-A420))&lt;=加速!$H$11),0,MAX(0,H420-(A421-A420)))),"")</f>
        <v/>
      </c>
      <c r="I421" t="str">
        <f ca="1" t="shared" si="123"/>
        <v/>
      </c>
      <c r="J421" t="str">
        <f ca="1" t="shared" si="124"/>
        <v/>
      </c>
      <c r="K421" t="str">
        <f ca="1" t="shared" si="111"/>
        <v/>
      </c>
      <c r="L421">
        <f ca="1">IFERROR(IF(AND(COUNTIF(B421,"*-峰插*"),技能数据库!$M$72&gt;0),0,IF(COUNTIF(B421,"*鹤归*")&gt;0,16-加速!$L$11,MAX(0,L420-(A421-A420)))),0)</f>
        <v>0</v>
      </c>
      <c r="M421">
        <f ca="1" t="shared" si="112"/>
        <v>0</v>
      </c>
      <c r="N421">
        <f ca="1">IFERROR(IF(AND(COUNTIF(B421,"*-峰插*"),技能数据库!$M$72&gt;0),0,IF(COUNTIF(B421,"*云飞*")&gt;0,4-COUNTIF(B421,"*玉山揽云*")*4--COUNTIF(B421,"*烟流暮景*")*4-COUNTIF(B421,"*云景*")*加速!$L$11-IF(J421&gt;0,2,0),MAX(0,N420-(A421-A420)-IF(J421&gt;0,2,0)))),0)</f>
        <v>0</v>
      </c>
      <c r="O421">
        <f ca="1">IF(AND(COUNTIF(IF(AND(配装计算器!$K$30&lt;&gt;"∞",0),INDEX(AU420:CB420,1,$AT$1),INDEX(AU422:CB422,1,$AT$1)),"*云飞*")=1,COUNTIF(IF(AND(配装计算器!$K$30&lt;&gt;"∞",0),INDEX(AU420:CB420,1,$AT$1),INDEX(AU422:CB422,1,$AT$1)),"*玉山*")=0),N421,0)</f>
        <v>0</v>
      </c>
      <c r="P421">
        <f ca="1">IFERROR(IF(COUNTIF(B421,"*云栖松*")&gt;0,50-加速!$L$11,MAX(0,P420-(A421-A420))),0)</f>
        <v>0</v>
      </c>
      <c r="Q421">
        <f ca="1">IF(COUNTIF(IF(AND(配装计算器!$K$30&lt;&gt;"∞",0),INDEX(AU420:CB420,1,$AT$1),INDEX(AU422:CB422,1,$AT$1)),"*云栖松*")=1,P421,0)</f>
        <v>0</v>
      </c>
      <c r="R421">
        <f ca="1">IFERROR(IF(COUNTIF(B421,"*莺鸣柳*")&gt;0,45-加速!$L$9,MAX(0,R420-(A421-A420))),0)</f>
        <v>0</v>
      </c>
      <c r="S421">
        <f ca="1">IF(COUNTIF(IF(AND(配装计算器!$K$30&lt;&gt;"∞",0),INDEX(AU420:CB420,1,$AT$1),INDEX(AU422:CB422,1,$AT$1)),"*莺鸣柳*")=1,R421,0)</f>
        <v>0</v>
      </c>
      <c r="T421">
        <f ca="1" t="shared" si="120"/>
        <v>0</v>
      </c>
      <c r="U421">
        <f ca="1">IF(金蛇,IF(COUNTIF(B421,"*金环戴*")+COUNTIF(B421,"*吹风醒*")&gt;0,IF(A421&lt;=3,7.125-2.625-A421-加速!$L$11,7.125+加速!$K$9-(A421+加速!$L$11-T421)),0),0)+IF(金蛇,IF(COUNTIF(B421,"*千切子裂光*")&gt;0,2+加速!$K$9-(A421+加速!$L$11-T421),0),0)</f>
        <v>0</v>
      </c>
      <c r="V421">
        <f ca="1" t="shared" si="121"/>
        <v>0</v>
      </c>
      <c r="W421">
        <f ca="1" t="shared" si="113"/>
        <v>0</v>
      </c>
      <c r="X421">
        <f ca="1">INDEX(加速!$I$13:$I$21,W421+1)</f>
        <v>0</v>
      </c>
      <c r="Y421">
        <f ca="1" t="shared" si="122"/>
        <v>0.5</v>
      </c>
      <c r="Z421">
        <f ca="1" t="shared" si="118"/>
        <v>0</v>
      </c>
      <c r="AA421">
        <f ca="1">MAX(0,IFERROR(IF(COUNTIF(B421,"*叠*")&gt;0,IF(AC420&lt;3,8-A422+A421,AA420+6.875-A422+A421),AA420-A422+A421),AA420-加速!$L$11))</f>
        <v>0</v>
      </c>
      <c r="AB421">
        <f ca="1">MAX(0,IF(COUNTIF(IF(AND(配装计算器!$K$30&lt;&gt;"∞",0),INDEX(AU421:CB421,1,$AT$1),INDEX(AU421:CB421,1,$AT$1)),"*叠1*")=1,4*25-加速!$L$11,AB420-A421+A420)-IF(OR(COUNTIF(OFFSET(AT421,0,$AT$1,1,1),"*听雷*")&gt;0,AND(碧归&gt;0,COUNTIF(OFFSET(AT421,0,$AT$1,1,1),"*风来*")&gt;0)),0,1)*1.5)</f>
        <v>97.21</v>
      </c>
      <c r="AC421">
        <f ca="1" t="shared" si="114"/>
        <v>0</v>
      </c>
      <c r="AD421">
        <f ca="1">IF(COUNTIF(IF(AND(配装计算器!$K$30&lt;&gt;"∞",0),INDEX(AU421:CB421,1,$AT$1),INDEX(AU422:CB422,1,$AT$1)),"*叠1*")=1,AB421*0+AE420,0)</f>
        <v>0</v>
      </c>
      <c r="AE421" t="e">
        <f ca="1">IF($AN$11&gt;0,IF(COUNTIF(B422,"*叠1*")&gt;0,50-加速!$L$11,MAX(0,AE420-(A422-A421))),0)</f>
        <v>#VALUE!</v>
      </c>
      <c r="AG421">
        <f ca="1" t="shared" si="115"/>
        <v>12</v>
      </c>
      <c r="AU421" t="s">
        <v>3009</v>
      </c>
      <c r="AV421">
        <v>2</v>
      </c>
      <c r="AW421" t="str">
        <f>IF($AR$11=1,"云飞玉皇-玉山揽云","夕照雷峰")</f>
        <v>夕照雷峰</v>
      </c>
      <c r="AX421">
        <v>2</v>
      </c>
      <c r="AY421" t="s">
        <v>2794</v>
      </c>
      <c r="AZ421">
        <v>2</v>
      </c>
      <c r="BA421" t="s">
        <v>2768</v>
      </c>
      <c r="BB421">
        <v>2</v>
      </c>
      <c r="BC421" t="s">
        <v>3010</v>
      </c>
      <c r="BD421">
        <v>2</v>
      </c>
      <c r="BE421" t="s">
        <v>2768</v>
      </c>
      <c r="BF421">
        <v>2</v>
      </c>
      <c r="BG421" t="s">
        <v>2776</v>
      </c>
      <c r="BH421">
        <v>2</v>
      </c>
      <c r="BI421" t="s">
        <v>3011</v>
      </c>
      <c r="BJ421">
        <v>2</v>
      </c>
      <c r="BK421" t="s">
        <v>2776</v>
      </c>
      <c r="BL421">
        <v>2</v>
      </c>
      <c r="BM421" t="s">
        <v>2768</v>
      </c>
      <c r="BN421">
        <v>2</v>
      </c>
      <c r="BO421" t="s">
        <v>2853</v>
      </c>
      <c r="BP421">
        <v>2</v>
      </c>
      <c r="BQ421" t="s">
        <v>3013</v>
      </c>
      <c r="BR421">
        <v>2</v>
      </c>
      <c r="BS421" t="s">
        <v>2768</v>
      </c>
      <c r="BT421">
        <v>1</v>
      </c>
      <c r="BU421" s="176" t="s">
        <v>2776</v>
      </c>
      <c r="BV421">
        <v>2</v>
      </c>
      <c r="BW421" s="182" t="s">
        <v>2776</v>
      </c>
      <c r="BX421" s="179">
        <v>2</v>
      </c>
      <c r="BY421" t="s">
        <v>2768</v>
      </c>
      <c r="BZ421">
        <v>2</v>
      </c>
      <c r="CA421" s="176" t="s">
        <v>2768</v>
      </c>
      <c r="CB421">
        <v>2</v>
      </c>
    </row>
    <row r="422" spans="1:80">
      <c r="A422" s="178" t="str">
        <f ca="1">IFERROR(IF(AG421&lt;5+金蛇*2,IF(COUNTIF(B421,"*轻*")&gt;0,A421+加速!$L$9,A421+加速!$L$11)+V421,""),"")</f>
        <v/>
      </c>
      <c r="B422" s="167" t="str">
        <f ca="1" t="shared" si="110"/>
        <v/>
      </c>
      <c r="C422" t="str">
        <f ca="1" t="shared" si="119"/>
        <v/>
      </c>
      <c r="D422" t="str">
        <f ca="1">IF(B422&lt;&gt;"",IF(C421&lt;=加速!$L$11*(1-E422),0,1),"")</f>
        <v/>
      </c>
      <c r="E422">
        <f ca="1" t="shared" si="116"/>
        <v>1</v>
      </c>
      <c r="G422" t="str">
        <f ca="1" t="shared" si="117"/>
        <v/>
      </c>
      <c r="H422" t="str">
        <f ca="1">IF(B422&lt;&gt;"",IF(AND(COUNTIF(B421,"*轻*莺鸣柳*")&gt;0,COUNTIF(B422,"*轻*")&lt;1),MAX(0,15+I421-(A422-A421)+COUNTIF(B421,"*平湖*")*0),IF(AND(E422=0,MAX(0,H421-(A422-A421))&lt;=加速!$H$11),0,MAX(0,H421-(A422-A421)))),"")</f>
        <v/>
      </c>
      <c r="I422" t="str">
        <f ca="1" t="shared" si="123"/>
        <v/>
      </c>
      <c r="J422" t="str">
        <f ca="1" t="shared" si="124"/>
        <v/>
      </c>
      <c r="K422" t="str">
        <f ca="1" t="shared" si="111"/>
        <v/>
      </c>
      <c r="L422">
        <f ca="1">IFERROR(IF(AND(COUNTIF(B422,"*-峰插*"),技能数据库!$M$72&gt;0),0,IF(COUNTIF(B422,"*鹤归*")&gt;0,16-加速!$L$11,MAX(0,L421-(A422-A421)))),0)</f>
        <v>0</v>
      </c>
      <c r="M422">
        <f ca="1" t="shared" si="112"/>
        <v>0</v>
      </c>
      <c r="N422">
        <f ca="1">IFERROR(IF(AND(COUNTIF(B422,"*-峰插*"),技能数据库!$M$72&gt;0),0,IF(COUNTIF(B422,"*云飞*")&gt;0,4-COUNTIF(B422,"*玉山揽云*")*4--COUNTIF(B422,"*烟流暮景*")*4-COUNTIF(B422,"*云景*")*加速!$L$11-IF(J422&gt;0,2,0),MAX(0,N421-(A422-A421)-IF(J422&gt;0,2,0)))),0)</f>
        <v>0</v>
      </c>
      <c r="O422">
        <f ca="1">IF(AND(COUNTIF(IF(AND(配装计算器!$K$30&lt;&gt;"∞",0),INDEX(AU421:CB421,1,$AT$1),INDEX(AU423:CB423,1,$AT$1)),"*云飞*")=1,COUNTIF(IF(AND(配装计算器!$K$30&lt;&gt;"∞",0),INDEX(AU421:CB421,1,$AT$1),INDEX(AU423:CB423,1,$AT$1)),"*玉山*")=0),N422,0)</f>
        <v>0</v>
      </c>
      <c r="P422">
        <f ca="1">IFERROR(IF(COUNTIF(B422,"*云栖松*")&gt;0,50-加速!$L$11,MAX(0,P421-(A422-A421))),0)</f>
        <v>0</v>
      </c>
      <c r="Q422">
        <f ca="1">IF(COUNTIF(IF(AND(配装计算器!$K$30&lt;&gt;"∞",0),INDEX(AU421:CB421,1,$AT$1),INDEX(AU423:CB423,1,$AT$1)),"*云栖松*")=1,P422,0)</f>
        <v>0</v>
      </c>
      <c r="R422">
        <f ca="1">IFERROR(IF(COUNTIF(B422,"*莺鸣柳*")&gt;0,45-加速!$L$9,MAX(0,R421-(A422-A421))),0)</f>
        <v>0</v>
      </c>
      <c r="S422">
        <f ca="1">IF(COUNTIF(IF(AND(配装计算器!$K$30&lt;&gt;"∞",0),INDEX(AU421:CB421,1,$AT$1),INDEX(AU423:CB423,1,$AT$1)),"*莺鸣柳*")=1,R422,0)</f>
        <v>0</v>
      </c>
      <c r="T422">
        <f ca="1" t="shared" si="120"/>
        <v>0</v>
      </c>
      <c r="U422">
        <f ca="1">IF(金蛇,IF(COUNTIF(B422,"*金环戴*")+COUNTIF(B422,"*吹风醒*")&gt;0,IF(A422&lt;=3,7.125-2.625-A422-加速!$L$11,7.125+加速!$K$9-(A422+加速!$L$11-T422)),0),0)+IF(金蛇,IF(COUNTIF(B422,"*千切子裂光*")&gt;0,2+加速!$K$9-(A422+加速!$L$11-T422),0),0)</f>
        <v>0</v>
      </c>
      <c r="V422">
        <f ca="1" t="shared" si="121"/>
        <v>0</v>
      </c>
      <c r="W422">
        <f ca="1" t="shared" si="113"/>
        <v>0</v>
      </c>
      <c r="X422">
        <f ca="1">INDEX(加速!$I$13:$I$21,W422+1)</f>
        <v>0</v>
      </c>
      <c r="Y422">
        <f ca="1" t="shared" si="122"/>
        <v>0.5</v>
      </c>
      <c r="Z422">
        <f ca="1" t="shared" si="118"/>
        <v>0</v>
      </c>
      <c r="AA422">
        <f ca="1">MAX(0,IFERROR(IF(COUNTIF(B422,"*叠*")&gt;0,IF(AC421&lt;3,8-A423+A422,AA421+6.875-A423+A422),AA421-A423+A422),AA421-加速!$L$11))</f>
        <v>0</v>
      </c>
      <c r="AB422" t="e">
        <f ca="1">MAX(0,IF(COUNTIF(IF(AND(配装计算器!$K$30&lt;&gt;"∞",0),INDEX(AU422:CB422,1,$AT$1),INDEX(AU422:CB422,1,$AT$1)),"*叠1*")=1,4*25-加速!$L$11,AB421-A422+A421)-IF(OR(COUNTIF(OFFSET(AT422,0,$AT$1,1,1),"*听雷*")&gt;0,AND(碧归&gt;0,COUNTIF(OFFSET(AT422,0,$AT$1,1,1),"*风来*")&gt;0)),0,1)*1.5)</f>
        <v>#VALUE!</v>
      </c>
      <c r="AC422">
        <f ca="1" t="shared" si="114"/>
        <v>0</v>
      </c>
      <c r="AD422">
        <f ca="1">IF(COUNTIF(IF(AND(配装计算器!$K$30&lt;&gt;"∞",0),INDEX(AU422:CB422,1,$AT$1),INDEX(AU423:CB423,1,$AT$1)),"*叠1*")=1,AB422*0+AE421,0)</f>
        <v>0</v>
      </c>
      <c r="AE422" t="e">
        <f ca="1">IF($AN$11&gt;0,IF(COUNTIF(B423,"*叠1*")&gt;0,50-加速!$L$11,MAX(0,AE421-(A423-A422))),0)</f>
        <v>#VALUE!</v>
      </c>
      <c r="AG422">
        <f ca="1" t="shared" si="115"/>
        <v>12</v>
      </c>
      <c r="AU422" t="s">
        <v>2768</v>
      </c>
      <c r="AV422">
        <v>2</v>
      </c>
      <c r="AW422" t="str">
        <f>IF($AR$11=1,"云飞玉皇-玉山揽云","云飞玉皇")</f>
        <v>云飞玉皇</v>
      </c>
      <c r="AX422">
        <v>2</v>
      </c>
      <c r="AY422" t="s">
        <v>2768</v>
      </c>
      <c r="AZ422">
        <v>2</v>
      </c>
      <c r="BA422" t="s">
        <v>2776</v>
      </c>
      <c r="BB422">
        <v>2</v>
      </c>
      <c r="BC422" t="s">
        <v>3013</v>
      </c>
      <c r="BD422">
        <v>2</v>
      </c>
      <c r="BE422" t="s">
        <v>2776</v>
      </c>
      <c r="BF422">
        <v>2</v>
      </c>
      <c r="BG422" t="s">
        <v>2768</v>
      </c>
      <c r="BH422">
        <v>2</v>
      </c>
      <c r="BI422" t="s">
        <v>2768</v>
      </c>
      <c r="BJ422">
        <v>2</v>
      </c>
      <c r="BK422" s="180" t="s">
        <v>3036</v>
      </c>
      <c r="BL422">
        <v>2</v>
      </c>
      <c r="BM422" t="s">
        <v>2776</v>
      </c>
      <c r="BN422">
        <v>2</v>
      </c>
      <c r="BO422" s="176" t="s">
        <v>2850</v>
      </c>
      <c r="BP422">
        <f>IF(0,2,0)</f>
        <v>0</v>
      </c>
      <c r="BQ422" t="s">
        <v>2808</v>
      </c>
      <c r="BR422">
        <v>2</v>
      </c>
      <c r="BS422" t="s">
        <v>2768</v>
      </c>
      <c r="BT422">
        <v>1</v>
      </c>
      <c r="BU422" t="s">
        <v>2768</v>
      </c>
      <c r="BV422">
        <v>1</v>
      </c>
      <c r="BW422" s="182" t="s">
        <v>2768</v>
      </c>
      <c r="BX422" s="179">
        <v>2</v>
      </c>
      <c r="BY422" t="s">
        <v>2768</v>
      </c>
      <c r="BZ422">
        <v>2</v>
      </c>
      <c r="CA422" s="176" t="s">
        <v>2776</v>
      </c>
      <c r="CB422">
        <v>2</v>
      </c>
    </row>
    <row r="423" spans="1:80">
      <c r="A423" s="178" t="str">
        <f ca="1">IFERROR(IF(AG422&lt;5+金蛇*2,IF(COUNTIF(B422,"*轻*")&gt;0,A422+加速!$L$9,A422+加速!$L$11)+V422,""),"")</f>
        <v/>
      </c>
      <c r="B423" s="167" t="str">
        <f ca="1" t="shared" si="110"/>
        <v/>
      </c>
      <c r="C423" t="str">
        <f ca="1" t="shared" si="119"/>
        <v/>
      </c>
      <c r="D423" t="str">
        <f ca="1">IF(B423&lt;&gt;"",IF(C422&lt;=加速!$L$11*(1-E423),0,1),"")</f>
        <v/>
      </c>
      <c r="E423">
        <f ca="1" t="shared" si="116"/>
        <v>1</v>
      </c>
      <c r="G423" t="str">
        <f ca="1" t="shared" si="117"/>
        <v/>
      </c>
      <c r="H423" t="str">
        <f ca="1">IF(B423&lt;&gt;"",IF(AND(COUNTIF(B422,"*轻*莺鸣柳*")&gt;0,COUNTIF(B423,"*轻*")&lt;1),MAX(0,15+I422-(A423-A422)+COUNTIF(B422,"*平湖*")*0),IF(AND(E423=0,MAX(0,H422-(A423-A422))&lt;=加速!$H$11),0,MAX(0,H422-(A423-A422)))),"")</f>
        <v/>
      </c>
      <c r="I423" t="str">
        <f ca="1" t="shared" si="123"/>
        <v/>
      </c>
      <c r="J423" t="str">
        <f ca="1" t="shared" si="124"/>
        <v/>
      </c>
      <c r="K423" t="str">
        <f ca="1" t="shared" si="111"/>
        <v/>
      </c>
      <c r="L423">
        <f ca="1">IFERROR(IF(AND(COUNTIF(B423,"*-峰插*"),技能数据库!$M$72&gt;0),0,IF(COUNTIF(B423,"*鹤归*")&gt;0,16-加速!$L$11,MAX(0,L422-(A423-A422)))),0)</f>
        <v>0</v>
      </c>
      <c r="M423">
        <f ca="1" t="shared" si="112"/>
        <v>0</v>
      </c>
      <c r="N423">
        <f ca="1">IFERROR(IF(AND(COUNTIF(B423,"*-峰插*"),技能数据库!$M$72&gt;0),0,IF(COUNTIF(B423,"*云飞*")&gt;0,4-COUNTIF(B423,"*玉山揽云*")*4--COUNTIF(B423,"*烟流暮景*")*4-COUNTIF(B423,"*云景*")*加速!$L$11-IF(J423&gt;0,2,0),MAX(0,N422-(A423-A422)-IF(J423&gt;0,2,0)))),0)</f>
        <v>0</v>
      </c>
      <c r="O423">
        <f ca="1">IF(AND(COUNTIF(IF(AND(配装计算器!$K$30&lt;&gt;"∞",0),INDEX(AU422:CB422,1,$AT$1),INDEX(AU424:CB424,1,$AT$1)),"*云飞*")=1,COUNTIF(IF(AND(配装计算器!$K$30&lt;&gt;"∞",0),INDEX(AU422:CB422,1,$AT$1),INDEX(AU424:CB424,1,$AT$1)),"*玉山*")=0),N423,0)</f>
        <v>0</v>
      </c>
      <c r="P423">
        <f ca="1">IFERROR(IF(COUNTIF(B423,"*云栖松*")&gt;0,50-加速!$L$11,MAX(0,P422-(A423-A422))),0)</f>
        <v>0</v>
      </c>
      <c r="Q423">
        <f ca="1">IF(COUNTIF(IF(AND(配装计算器!$K$30&lt;&gt;"∞",0),INDEX(AU422:CB422,1,$AT$1),INDEX(AU424:CB424,1,$AT$1)),"*云栖松*")=1,P423,0)</f>
        <v>0</v>
      </c>
      <c r="R423">
        <f ca="1">IFERROR(IF(COUNTIF(B423,"*莺鸣柳*")&gt;0,45-加速!$L$9,MAX(0,R422-(A423-A422))),0)</f>
        <v>0</v>
      </c>
      <c r="S423">
        <f ca="1">IF(COUNTIF(IF(AND(配装计算器!$K$30&lt;&gt;"∞",0),INDEX(AU422:CB422,1,$AT$1),INDEX(AU424:CB424,1,$AT$1)),"*莺鸣柳*")=1,R423,0)</f>
        <v>0</v>
      </c>
      <c r="T423">
        <f ca="1" t="shared" si="120"/>
        <v>0</v>
      </c>
      <c r="U423">
        <f ca="1">IF(金蛇,IF(COUNTIF(B423,"*金环戴*")+COUNTIF(B423,"*吹风醒*")&gt;0,IF(A423&lt;=3,7.125-2.625-A423-加速!$L$11,7.125+加速!$K$9-(A423+加速!$L$11-T423)),0),0)+IF(金蛇,IF(COUNTIF(B423,"*千切子裂光*")&gt;0,2+加速!$K$9-(A423+加速!$L$11-T423),0),0)</f>
        <v>0</v>
      </c>
      <c r="V423">
        <f ca="1" t="shared" si="121"/>
        <v>0</v>
      </c>
      <c r="W423">
        <f ca="1" t="shared" si="113"/>
        <v>0</v>
      </c>
      <c r="X423">
        <f ca="1">INDEX(加速!$I$13:$I$21,W423+1)</f>
        <v>0</v>
      </c>
      <c r="Y423">
        <f ca="1" t="shared" si="122"/>
        <v>0.5</v>
      </c>
      <c r="Z423">
        <f ca="1" t="shared" si="118"/>
        <v>0</v>
      </c>
      <c r="AA423">
        <f ca="1">MAX(0,IFERROR(IF(COUNTIF(B423,"*叠*")&gt;0,IF(AC422&lt;3,8-A424+A423,AA422+6.875-A424+A423),AA422-A424+A423),AA422-加速!$L$11))</f>
        <v>0</v>
      </c>
      <c r="AB423" t="e">
        <f ca="1">MAX(0,IF(COUNTIF(IF(AND(配装计算器!$K$30&lt;&gt;"∞",0),INDEX(AU423:CB423,1,$AT$1),INDEX(AU423:CB423,1,$AT$1)),"*叠1*")=1,4*25-加速!$L$11,AB422-A423+A422)-IF(OR(COUNTIF(OFFSET(AT423,0,$AT$1,1,1),"*听雷*")&gt;0,AND(碧归&gt;0,COUNTIF(OFFSET(AT423,0,$AT$1,1,1),"*风来*")&gt;0)),0,1)*1.5)</f>
        <v>#VALUE!</v>
      </c>
      <c r="AC423">
        <f ca="1" t="shared" si="114"/>
        <v>0</v>
      </c>
      <c r="AD423">
        <f ca="1">IF(COUNTIF(IF(AND(配装计算器!$K$30&lt;&gt;"∞",0),INDEX(AU423:CB423,1,$AT$1),INDEX(AU424:CB424,1,$AT$1)),"*叠1*")=1,AB423*0+AE422,0)</f>
        <v>0</v>
      </c>
      <c r="AE423" t="e">
        <f ca="1">IF($AN$11&gt;0,IF(COUNTIF(B424,"*叠1*")&gt;0,50-加速!$L$11,MAX(0,AE422-(A424-A423))),0)</f>
        <v>#VALUE!</v>
      </c>
      <c r="AG423">
        <f ca="1" t="shared" si="115"/>
        <v>12</v>
      </c>
      <c r="AU423" t="s">
        <v>2776</v>
      </c>
      <c r="AV423">
        <v>2</v>
      </c>
      <c r="AW423" t="str">
        <f>IF($AR$11=1,"云飞玉皇-玉山揽云","夕照雷峰")</f>
        <v>夕照雷峰</v>
      </c>
      <c r="AX423">
        <v>2</v>
      </c>
      <c r="AY423" t="s">
        <v>2776</v>
      </c>
      <c r="AZ423">
        <v>2</v>
      </c>
      <c r="BA423" t="s">
        <v>2768</v>
      </c>
      <c r="BB423">
        <v>2</v>
      </c>
      <c r="BC423" t="s">
        <v>3018</v>
      </c>
      <c r="BD423">
        <v>2</v>
      </c>
      <c r="BE423" t="s">
        <v>2768</v>
      </c>
      <c r="BF423">
        <v>2</v>
      </c>
      <c r="BG423" t="s">
        <v>2776</v>
      </c>
      <c r="BH423">
        <v>2</v>
      </c>
      <c r="BI423" t="s">
        <v>3018</v>
      </c>
      <c r="BJ423">
        <v>2</v>
      </c>
      <c r="BK423" t="s">
        <v>3026</v>
      </c>
      <c r="BL423">
        <v>2</v>
      </c>
      <c r="BM423" t="s">
        <v>2768</v>
      </c>
      <c r="BN423">
        <v>2</v>
      </c>
      <c r="BO423" s="176" t="str">
        <f>IF(秋,"金环戴","吹风醒")</f>
        <v>吹风醒</v>
      </c>
      <c r="BP423">
        <v>2</v>
      </c>
      <c r="BQ423" t="s">
        <v>2768</v>
      </c>
      <c r="BR423">
        <v>2</v>
      </c>
      <c r="BS423" t="s">
        <v>2776</v>
      </c>
      <c r="BT423">
        <v>0</v>
      </c>
      <c r="BU423" s="176" t="s">
        <v>2768</v>
      </c>
      <c r="BV423">
        <v>1</v>
      </c>
      <c r="BW423" s="182" t="s">
        <v>2776</v>
      </c>
      <c r="BX423" s="179">
        <v>2</v>
      </c>
      <c r="BY423" t="s">
        <v>2776</v>
      </c>
      <c r="BZ423">
        <v>2</v>
      </c>
      <c r="CA423" s="176" t="s">
        <v>2768</v>
      </c>
      <c r="CB423">
        <v>2</v>
      </c>
    </row>
    <row r="424" spans="1:80">
      <c r="A424" s="178" t="str">
        <f ca="1">IFERROR(IF(AG423&lt;5+金蛇*2,IF(COUNTIF(B423,"*轻*")&gt;0,A423+加速!$L$9,A423+加速!$L$11)+V423,""),"")</f>
        <v/>
      </c>
      <c r="B424" s="167" t="str">
        <f ca="1" t="shared" si="110"/>
        <v/>
      </c>
      <c r="C424" t="str">
        <f ca="1" t="shared" si="119"/>
        <v/>
      </c>
      <c r="D424" t="str">
        <f ca="1">IF(B424&lt;&gt;"",IF(C423&lt;=加速!$L$11*(1-E424),0,1),"")</f>
        <v/>
      </c>
      <c r="E424">
        <f ca="1" t="shared" si="116"/>
        <v>1</v>
      </c>
      <c r="G424" t="str">
        <f ca="1" t="shared" si="117"/>
        <v/>
      </c>
      <c r="H424" t="str">
        <f ca="1">IF(B424&lt;&gt;"",IF(AND(COUNTIF(B423,"*轻*莺鸣柳*")&gt;0,COUNTIF(B424,"*轻*")&lt;1),MAX(0,15+I423-(A424-A423)+COUNTIF(B423,"*平湖*")*0),IF(AND(E424=0,MAX(0,H423-(A424-A423))&lt;=加速!$H$11),0,MAX(0,H423-(A424-A423)))),"")</f>
        <v/>
      </c>
      <c r="I424" t="str">
        <f ca="1" t="shared" si="123"/>
        <v/>
      </c>
      <c r="J424" t="str">
        <f ca="1" t="shared" si="124"/>
        <v/>
      </c>
      <c r="K424" t="str">
        <f ca="1" t="shared" si="111"/>
        <v/>
      </c>
      <c r="L424">
        <f ca="1">IFERROR(IF(AND(COUNTIF(B424,"*-峰插*"),技能数据库!$M$72&gt;0),0,IF(COUNTIF(B424,"*鹤归*")&gt;0,16-加速!$L$11,MAX(0,L423-(A424-A423)))),0)</f>
        <v>0</v>
      </c>
      <c r="M424">
        <f ca="1" t="shared" si="112"/>
        <v>0</v>
      </c>
      <c r="N424">
        <f ca="1">IFERROR(IF(AND(COUNTIF(B424,"*-峰插*"),技能数据库!$M$72&gt;0),0,IF(COUNTIF(B424,"*云飞*")&gt;0,4-COUNTIF(B424,"*玉山揽云*")*4--COUNTIF(B424,"*烟流暮景*")*4-COUNTIF(B424,"*云景*")*加速!$L$11-IF(J424&gt;0,2,0),MAX(0,N423-(A424-A423)-IF(J424&gt;0,2,0)))),0)</f>
        <v>0</v>
      </c>
      <c r="O424">
        <f ca="1">IF(AND(COUNTIF(IF(AND(配装计算器!$K$30&lt;&gt;"∞",0),INDEX(AU423:CB423,1,$AT$1),INDEX(AU425:CB425,1,$AT$1)),"*云飞*")=1,COUNTIF(IF(AND(配装计算器!$K$30&lt;&gt;"∞",0),INDEX(AU423:CB423,1,$AT$1),INDEX(AU425:CB425,1,$AT$1)),"*玉山*")=0),N424,0)</f>
        <v>0</v>
      </c>
      <c r="P424">
        <f ca="1">IFERROR(IF(COUNTIF(B424,"*云栖松*")&gt;0,50-加速!$L$11,MAX(0,P423-(A424-A423))),0)</f>
        <v>0</v>
      </c>
      <c r="Q424">
        <f ca="1">IF(COUNTIF(IF(AND(配装计算器!$K$30&lt;&gt;"∞",0),INDEX(AU423:CB423,1,$AT$1),INDEX(AU425:CB425,1,$AT$1)),"*云栖松*")=1,P424,0)</f>
        <v>0</v>
      </c>
      <c r="R424">
        <f ca="1">IFERROR(IF(COUNTIF(B424,"*莺鸣柳*")&gt;0,45-加速!$L$9,MAX(0,R423-(A424-A423))),0)</f>
        <v>0</v>
      </c>
      <c r="S424">
        <f ca="1">IF(COUNTIF(IF(AND(配装计算器!$K$30&lt;&gt;"∞",0),INDEX(AU423:CB423,1,$AT$1),INDEX(AU425:CB425,1,$AT$1)),"*莺鸣柳*")=1,R424,0)</f>
        <v>0</v>
      </c>
      <c r="T424">
        <f ca="1" t="shared" si="120"/>
        <v>0</v>
      </c>
      <c r="U424">
        <f ca="1">IF(金蛇,IF(COUNTIF(B424,"*金环戴*")+COUNTIF(B424,"*吹风醒*")&gt;0,IF(A424&lt;=3,7.125-2.625-A424-加速!$L$11,7.125+加速!$K$9-(A424+加速!$L$11-T424)),0),0)+IF(金蛇,IF(COUNTIF(B424,"*千切子裂光*")&gt;0,2+加速!$K$9-(A424+加速!$L$11-T424),0),0)</f>
        <v>0</v>
      </c>
      <c r="V424">
        <f ca="1" t="shared" si="121"/>
        <v>0</v>
      </c>
      <c r="W424">
        <f ca="1" t="shared" si="113"/>
        <v>0</v>
      </c>
      <c r="X424">
        <f ca="1">INDEX(加速!$I$13:$I$21,W424+1)</f>
        <v>0</v>
      </c>
      <c r="Y424">
        <f ca="1" t="shared" si="122"/>
        <v>0.5</v>
      </c>
      <c r="Z424">
        <f ca="1" t="shared" si="118"/>
        <v>0</v>
      </c>
      <c r="AA424">
        <f ca="1">MAX(0,IFERROR(IF(COUNTIF(B424,"*叠*")&gt;0,IF(AC423&lt;3,8-A425+A424,AA423+6.875-A425+A424),AA423-A425+A424),AA423-加速!$L$11))</f>
        <v>0</v>
      </c>
      <c r="AB424" t="e">
        <f ca="1">MAX(0,IF(COUNTIF(IF(AND(配装计算器!$K$30&lt;&gt;"∞",0),INDEX(AU424:CB424,1,$AT$1),INDEX(AU424:CB424,1,$AT$1)),"*叠1*")=1,4*25-加速!$L$11,AB423-A424+A423)-IF(OR(COUNTIF(OFFSET(AT424,0,$AT$1,1,1),"*听雷*")&gt;0,AND(碧归&gt;0,COUNTIF(OFFSET(AT424,0,$AT$1,1,1),"*风来*")&gt;0)),0,1)*1.5)</f>
        <v>#VALUE!</v>
      </c>
      <c r="AC424">
        <f ca="1" t="shared" si="114"/>
        <v>0</v>
      </c>
      <c r="AD424">
        <f ca="1">IF(COUNTIF(IF(AND(配装计算器!$K$30&lt;&gt;"∞",0),INDEX(AU424:CB424,1,$AT$1),INDEX(AU425:CB425,1,$AT$1)),"*叠1*")=1,AB424*0+AE423,0)</f>
        <v>0</v>
      </c>
      <c r="AE424" t="e">
        <f ca="1">IF($AN$11&gt;0,IF(COUNTIF(B425,"*叠1*")&gt;0,50-加速!$L$11,MAX(0,AE423-(A425-A424))),0)</f>
        <v>#VALUE!</v>
      </c>
      <c r="AG424">
        <f ca="1" t="shared" si="115"/>
        <v>12</v>
      </c>
      <c r="AU424" t="s">
        <v>2768</v>
      </c>
      <c r="AV424">
        <v>2</v>
      </c>
      <c r="AW424" t="str">
        <f>IF($AR$11=1,橙武补雾锁,"夕照雷峰")</f>
        <v>夕照雷峰</v>
      </c>
      <c r="AX424">
        <v>2</v>
      </c>
      <c r="AY424" t="s">
        <v>2768</v>
      </c>
      <c r="AZ424">
        <v>2</v>
      </c>
      <c r="BA424" t="s">
        <v>2776</v>
      </c>
      <c r="BB424">
        <v>1</v>
      </c>
      <c r="BC424" t="s">
        <v>2768</v>
      </c>
      <c r="BD424">
        <v>2</v>
      </c>
      <c r="BE424" t="s">
        <v>2776</v>
      </c>
      <c r="BF424">
        <v>1</v>
      </c>
      <c r="BG424" t="s">
        <v>2768</v>
      </c>
      <c r="BH424">
        <v>1</v>
      </c>
      <c r="BI424" t="s">
        <v>2768</v>
      </c>
      <c r="BJ424">
        <v>2</v>
      </c>
      <c r="BK424" t="s">
        <v>3026</v>
      </c>
      <c r="BL424">
        <v>2</v>
      </c>
      <c r="BM424" s="176" t="s">
        <v>2794</v>
      </c>
      <c r="BN424">
        <v>2</v>
      </c>
      <c r="BO424" t="str">
        <f>IF(秋,"夕照雷峰","云飞玉皇")</f>
        <v>云飞玉皇</v>
      </c>
      <c r="BP424">
        <v>2</v>
      </c>
      <c r="BQ424" t="s">
        <v>2768</v>
      </c>
      <c r="BR424">
        <v>2</v>
      </c>
      <c r="BS424" t="s">
        <v>2768</v>
      </c>
      <c r="BT424">
        <v>0</v>
      </c>
      <c r="BU424" t="s">
        <v>3055</v>
      </c>
      <c r="BV424">
        <v>0</v>
      </c>
      <c r="BW424" s="182" t="str">
        <f t="shared" ref="BW424" si="126">IF($AN$11=1,"云飞玉皇-玉山揽云","夕照雷峰")</f>
        <v>云飞玉皇-玉山揽云</v>
      </c>
      <c r="BX424" s="179">
        <v>2</v>
      </c>
      <c r="BY424" s="176" t="s">
        <v>2794</v>
      </c>
      <c r="BZ424">
        <v>2</v>
      </c>
      <c r="CA424" s="176" t="s">
        <v>2808</v>
      </c>
      <c r="CB424">
        <v>2</v>
      </c>
    </row>
    <row r="425" spans="1:80">
      <c r="A425" s="178" t="str">
        <f ca="1">IFERROR(IF(AG424&lt;5+金蛇*2,IF(COUNTIF(B424,"*轻*")&gt;0,A424+加速!$L$9,A424+加速!$L$11)+V424,""),"")</f>
        <v/>
      </c>
      <c r="B425" s="167" t="str">
        <f ca="1" t="shared" si="110"/>
        <v/>
      </c>
      <c r="C425" t="str">
        <f ca="1" t="shared" si="119"/>
        <v/>
      </c>
      <c r="D425" t="str">
        <f ca="1">IF(B425&lt;&gt;"",IF(C424&lt;=加速!$L$11*(1-E425),0,1),"")</f>
        <v/>
      </c>
      <c r="E425">
        <f ca="1" t="shared" si="116"/>
        <v>1</v>
      </c>
      <c r="G425" t="str">
        <f ca="1" t="shared" si="117"/>
        <v/>
      </c>
      <c r="H425" t="str">
        <f ca="1">IF(B425&lt;&gt;"",IF(AND(COUNTIF(B424,"*轻*莺鸣柳*")&gt;0,COUNTIF(B425,"*轻*")&lt;1),MAX(0,15+I424-(A425-A424)+COUNTIF(B424,"*平湖*")*0),IF(AND(E425=0,MAX(0,H424-(A425-A424))&lt;=加速!$H$11),0,MAX(0,H424-(A425-A424)))),"")</f>
        <v/>
      </c>
      <c r="I425" t="str">
        <f ca="1" t="shared" si="123"/>
        <v/>
      </c>
      <c r="J425" t="str">
        <f ca="1" t="shared" si="124"/>
        <v/>
      </c>
      <c r="K425" t="str">
        <f ca="1" t="shared" si="111"/>
        <v/>
      </c>
      <c r="L425">
        <f ca="1">IFERROR(IF(AND(COUNTIF(B425,"*-峰插*"),技能数据库!$M$72&gt;0),0,IF(COUNTIF(B425,"*鹤归*")&gt;0,16-加速!$L$11,MAX(0,L424-(A425-A424)))),0)</f>
        <v>0</v>
      </c>
      <c r="M425">
        <f ca="1" t="shared" si="112"/>
        <v>0</v>
      </c>
      <c r="N425">
        <f ca="1">IFERROR(IF(AND(COUNTIF(B425,"*-峰插*"),技能数据库!$M$72&gt;0),0,IF(COUNTIF(B425,"*云飞*")&gt;0,4-COUNTIF(B425,"*玉山揽云*")*4--COUNTIF(B425,"*烟流暮景*")*4-COUNTIF(B425,"*云景*")*加速!$L$11-IF(J425&gt;0,2,0),MAX(0,N424-(A425-A424)-IF(J425&gt;0,2,0)))),0)</f>
        <v>0</v>
      </c>
      <c r="O425">
        <f ca="1">IF(AND(COUNTIF(IF(AND(配装计算器!$K$30&lt;&gt;"∞",0),INDEX(AU424:CB424,1,$AT$1),INDEX(AU426:CB426,1,$AT$1)),"*云飞*")=1,COUNTIF(IF(AND(配装计算器!$K$30&lt;&gt;"∞",0),INDEX(AU424:CB424,1,$AT$1),INDEX(AU426:CB426,1,$AT$1)),"*玉山*")=0),N425,0)</f>
        <v>0</v>
      </c>
      <c r="P425">
        <f ca="1">IFERROR(IF(COUNTIF(B425,"*云栖松*")&gt;0,50-加速!$L$11,MAX(0,P424-(A425-A424))),0)</f>
        <v>0</v>
      </c>
      <c r="Q425">
        <f ca="1">IF(COUNTIF(IF(AND(配装计算器!$K$30&lt;&gt;"∞",0),INDEX(AU424:CB424,1,$AT$1),INDEX(AU426:CB426,1,$AT$1)),"*云栖松*")=1,P425,0)</f>
        <v>0</v>
      </c>
      <c r="R425">
        <f ca="1">IFERROR(IF(COUNTIF(B425,"*莺鸣柳*")&gt;0,45-加速!$L$9,MAX(0,R424-(A425-A424))),0)</f>
        <v>0</v>
      </c>
      <c r="S425">
        <f ca="1">IF(COUNTIF(IF(AND(配装计算器!$K$30&lt;&gt;"∞",0),INDEX(AU424:CB424,1,$AT$1),INDEX(AU426:CB426,1,$AT$1)),"*莺鸣柳*")=1,R425,0)</f>
        <v>0</v>
      </c>
      <c r="T425">
        <f ca="1" t="shared" si="120"/>
        <v>0</v>
      </c>
      <c r="U425">
        <f ca="1">IF(金蛇,IF(COUNTIF(B425,"*金环戴*")+COUNTIF(B425,"*吹风醒*")&gt;0,IF(A425&lt;=3,7.125-2.625-A425-加速!$L$11,7.125+加速!$K$9-(A425+加速!$L$11-T425)),0),0)+IF(金蛇,IF(COUNTIF(B425,"*千切子裂光*")&gt;0,2+加速!$K$9-(A425+加速!$L$11-T425),0),0)</f>
        <v>0</v>
      </c>
      <c r="V425">
        <f ca="1" t="shared" si="121"/>
        <v>0</v>
      </c>
      <c r="W425">
        <f ca="1" t="shared" si="113"/>
        <v>0</v>
      </c>
      <c r="X425">
        <f ca="1">INDEX(加速!$I$13:$I$21,W425+1)</f>
        <v>0</v>
      </c>
      <c r="Y425">
        <f ca="1" t="shared" si="122"/>
        <v>0.5</v>
      </c>
      <c r="Z425">
        <f ca="1" t="shared" si="118"/>
        <v>0</v>
      </c>
      <c r="AA425">
        <f ca="1">MAX(0,IFERROR(IF(COUNTIF(B425,"*叠*")&gt;0,IF(AC424&lt;3,8-A426+A425,AA424+6.875-A426+A425),AA424-A426+A425),AA424-加速!$L$11))</f>
        <v>0</v>
      </c>
      <c r="AB425" t="e">
        <f ca="1">MAX(0,IF(COUNTIF(IF(AND(配装计算器!$K$30&lt;&gt;"∞",0),INDEX(AU425:CB425,1,$AT$1),INDEX(AU425:CB425,1,$AT$1)),"*叠1*")=1,4*25-加速!$L$11,AB424-A425+A424)-IF(OR(COUNTIF(OFFSET(AT425,0,$AT$1,1,1),"*听雷*")&gt;0,AND(碧归&gt;0,COUNTIF(OFFSET(AT425,0,$AT$1,1,1),"*风来*")&gt;0)),0,1)*1.5)</f>
        <v>#VALUE!</v>
      </c>
      <c r="AC425">
        <f ca="1" t="shared" si="114"/>
        <v>0</v>
      </c>
      <c r="AD425">
        <f ca="1">IF(COUNTIF(IF(AND(配装计算器!$K$30&lt;&gt;"∞",0),INDEX(AU425:CB425,1,$AT$1),INDEX(AU426:CB426,1,$AT$1)),"*叠1*")=1,AB425*0+AE424,0)</f>
        <v>0</v>
      </c>
      <c r="AE425" t="e">
        <f ca="1">IF($AN$11&gt;0,IF(COUNTIF(B426,"*叠1*")&gt;0,50-加速!$L$11,MAX(0,AE424-(A426-A425))),0)</f>
        <v>#VALUE!</v>
      </c>
      <c r="AG425">
        <f ca="1" t="shared" si="115"/>
        <v>12</v>
      </c>
      <c r="AU425" t="s">
        <v>2768</v>
      </c>
      <c r="AV425">
        <v>2</v>
      </c>
      <c r="AW425" t="str">
        <f>IF($AR$11=1,"云飞玉皇-玉山揽云","夕照雷峰")</f>
        <v>夕照雷峰</v>
      </c>
      <c r="AX425">
        <v>2</v>
      </c>
      <c r="AY425" t="s">
        <v>2776</v>
      </c>
      <c r="AZ425">
        <v>2</v>
      </c>
      <c r="BA425" t="s">
        <v>2768</v>
      </c>
      <c r="BB425">
        <v>1</v>
      </c>
      <c r="BC425" t="s">
        <v>3023</v>
      </c>
      <c r="BD425">
        <v>2</v>
      </c>
      <c r="BE425" t="s">
        <v>2768</v>
      </c>
      <c r="BF425">
        <v>1</v>
      </c>
      <c r="BG425" t="s">
        <v>2776</v>
      </c>
      <c r="BH425">
        <v>1</v>
      </c>
      <c r="BI425" s="182" t="s">
        <v>3023</v>
      </c>
      <c r="BJ425">
        <v>2</v>
      </c>
      <c r="BK425" t="s">
        <v>3026</v>
      </c>
      <c r="BL425">
        <v>2</v>
      </c>
      <c r="BM425" s="176" t="s">
        <v>2768</v>
      </c>
      <c r="BN425">
        <v>2</v>
      </c>
      <c r="BO425" s="176" t="str">
        <f>IF(秋,"梦泉虎跑-轻","夕照雷峰")</f>
        <v>夕照雷峰</v>
      </c>
      <c r="BP425">
        <v>2</v>
      </c>
      <c r="BQ425" t="s">
        <v>2776</v>
      </c>
      <c r="BR425">
        <v>1</v>
      </c>
      <c r="BS425" t="s">
        <v>3012</v>
      </c>
      <c r="BT425">
        <v>2</v>
      </c>
      <c r="BU425" t="s">
        <v>2776</v>
      </c>
      <c r="BV425">
        <v>2</v>
      </c>
      <c r="BW425" s="179" t="str">
        <f>IF($AN$11=1,"云飞玉皇-玉山揽云","云飞玉皇")</f>
        <v>云飞玉皇-玉山揽云</v>
      </c>
      <c r="BX425" s="179">
        <v>2</v>
      </c>
      <c r="BY425" s="176" t="s">
        <v>2768</v>
      </c>
      <c r="BZ425">
        <v>2</v>
      </c>
      <c r="CA425" t="s">
        <v>2768</v>
      </c>
      <c r="CB425">
        <v>2</v>
      </c>
    </row>
    <row r="426" spans="1:80">
      <c r="A426" s="178" t="str">
        <f ca="1">IFERROR(IF(AG425&lt;5+金蛇*2,IF(COUNTIF(B425,"*轻*")&gt;0,A425+加速!$L$9,A425+加速!$L$11)+V425,""),"")</f>
        <v/>
      </c>
      <c r="B426" s="167" t="str">
        <f ca="1" t="shared" si="110"/>
        <v/>
      </c>
      <c r="C426" t="str">
        <f ca="1" t="shared" si="119"/>
        <v/>
      </c>
      <c r="D426" t="str">
        <f ca="1">IF(B426&lt;&gt;"",IF(C425&lt;=加速!$L$11*(1-E426),0,1),"")</f>
        <v/>
      </c>
      <c r="E426">
        <f ca="1" t="shared" si="116"/>
        <v>1</v>
      </c>
      <c r="G426" t="str">
        <f ca="1" t="shared" si="117"/>
        <v/>
      </c>
      <c r="H426" t="str">
        <f ca="1">IF(B426&lt;&gt;"",IF(AND(COUNTIF(B425,"*轻*莺鸣柳*")&gt;0,COUNTIF(B426,"*轻*")&lt;1),MAX(0,15+I425-(A426-A425)+COUNTIF(B425,"*平湖*")*0),IF(AND(E426=0,MAX(0,H425-(A426-A425))&lt;=加速!$H$11),0,MAX(0,H425-(A426-A425)))),"")</f>
        <v/>
      </c>
      <c r="I426" t="str">
        <f ca="1" t="shared" si="123"/>
        <v/>
      </c>
      <c r="J426" t="str">
        <f ca="1" t="shared" si="124"/>
        <v/>
      </c>
      <c r="K426" t="str">
        <f ca="1" t="shared" si="111"/>
        <v/>
      </c>
      <c r="L426">
        <f ca="1">IFERROR(IF(AND(COUNTIF(B426,"*-峰插*"),技能数据库!$M$72&gt;0),0,IF(COUNTIF(B426,"*鹤归*")&gt;0,16-加速!$L$11,MAX(0,L425-(A426-A425)))),0)</f>
        <v>0</v>
      </c>
      <c r="M426">
        <f ca="1" t="shared" si="112"/>
        <v>0</v>
      </c>
      <c r="N426">
        <f ca="1">IFERROR(IF(AND(COUNTIF(B426,"*-峰插*"),技能数据库!$M$72&gt;0),0,IF(COUNTIF(B426,"*云飞*")&gt;0,4-COUNTIF(B426,"*玉山揽云*")*4--COUNTIF(B426,"*烟流暮景*")*4-COUNTIF(B426,"*云景*")*加速!$L$11-IF(J426&gt;0,2,0),MAX(0,N425-(A426-A425)-IF(J426&gt;0,2,0)))),0)</f>
        <v>0</v>
      </c>
      <c r="O426">
        <f ca="1">IF(AND(COUNTIF(IF(AND(配装计算器!$K$30&lt;&gt;"∞",0),INDEX(AU425:CB425,1,$AT$1),INDEX(AU427:CB427,1,$AT$1)),"*云飞*")=1,COUNTIF(IF(AND(配装计算器!$K$30&lt;&gt;"∞",0),INDEX(AU425:CB425,1,$AT$1),INDEX(AU427:CB427,1,$AT$1)),"*玉山*")=0),N426,0)</f>
        <v>0</v>
      </c>
      <c r="P426">
        <f ca="1">IFERROR(IF(COUNTIF(B426,"*云栖松*")&gt;0,50-加速!$L$11,MAX(0,P425-(A426-A425))),0)</f>
        <v>0</v>
      </c>
      <c r="Q426">
        <f ca="1">IF(COUNTIF(IF(AND(配装计算器!$K$30&lt;&gt;"∞",0),INDEX(AU425:CB425,1,$AT$1),INDEX(AU427:CB427,1,$AT$1)),"*云栖松*")=1,P426,0)</f>
        <v>0</v>
      </c>
      <c r="R426">
        <f ca="1">IFERROR(IF(COUNTIF(B426,"*莺鸣柳*")&gt;0,45-加速!$L$9,MAX(0,R425-(A426-A425))),0)</f>
        <v>0</v>
      </c>
      <c r="S426">
        <f ca="1">IF(COUNTIF(IF(AND(配装计算器!$K$30&lt;&gt;"∞",0),INDEX(AU425:CB425,1,$AT$1),INDEX(AU427:CB427,1,$AT$1)),"*莺鸣柳*")=1,R426,0)</f>
        <v>0</v>
      </c>
      <c r="T426">
        <f ca="1" t="shared" si="120"/>
        <v>0</v>
      </c>
      <c r="U426">
        <f ca="1">IF(金蛇,IF(COUNTIF(B426,"*金环戴*")+COUNTIF(B426,"*吹风醒*")&gt;0,IF(A426&lt;=3,7.125-2.625-A426-加速!$L$11,7.125+加速!$K$9-(A426+加速!$L$11-T426)),0),0)+IF(金蛇,IF(COUNTIF(B426,"*千切子裂光*")&gt;0,2+加速!$K$9-(A426+加速!$L$11-T426),0),0)</f>
        <v>0</v>
      </c>
      <c r="V426">
        <f ca="1" t="shared" si="121"/>
        <v>0</v>
      </c>
      <c r="W426">
        <f ca="1" t="shared" si="113"/>
        <v>0</v>
      </c>
      <c r="X426">
        <f ca="1">INDEX(加速!$I$13:$I$21,W426+1)</f>
        <v>0</v>
      </c>
      <c r="Y426">
        <f ca="1" t="shared" si="122"/>
        <v>0.5</v>
      </c>
      <c r="Z426">
        <f ca="1" t="shared" si="118"/>
        <v>0</v>
      </c>
      <c r="AA426">
        <f ca="1">MAX(0,IFERROR(IF(COUNTIF(B426,"*叠*")&gt;0,IF(AC425&lt;3,8-A427+A426,AA425+6.875-A427+A426),AA425-A427+A426),AA425-加速!$L$11))</f>
        <v>0</v>
      </c>
      <c r="AB426" t="e">
        <f ca="1">MAX(0,IF(COUNTIF(IF(AND(配装计算器!$K$30&lt;&gt;"∞",0),INDEX(AU426:CB426,1,$AT$1),INDEX(AU426:CB426,1,$AT$1)),"*叠1*")=1,4*25-加速!$L$11,AB425-A426+A425)-IF(OR(COUNTIF(OFFSET(AT426,0,$AT$1,1,1),"*听雷*")&gt;0,AND(碧归&gt;0,COUNTIF(OFFSET(AT426,0,$AT$1,1,1),"*风来*")&gt;0)),0,1)*1.5)</f>
        <v>#VALUE!</v>
      </c>
      <c r="AC426">
        <f ca="1" t="shared" si="114"/>
        <v>0</v>
      </c>
      <c r="AD426">
        <f ca="1">IF(COUNTIF(IF(AND(配装计算器!$K$30&lt;&gt;"∞",0),INDEX(AU426:CB426,1,$AT$1),INDEX(AU427:CB427,1,$AT$1)),"*叠1*")=1,AB426*0+AE425,0)</f>
        <v>0</v>
      </c>
      <c r="AE426" t="e">
        <f ca="1">IF($AN$11&gt;0,IF(COUNTIF(B427,"*叠1*")&gt;0,50-加速!$L$11,MAX(0,AE425-(A427-A426))),0)</f>
        <v>#VALUE!</v>
      </c>
      <c r="AG426">
        <f ca="1" t="shared" si="115"/>
        <v>12</v>
      </c>
      <c r="AU426" s="176" t="s">
        <v>2794</v>
      </c>
      <c r="AV426">
        <v>2</v>
      </c>
      <c r="AW426" t="s">
        <v>2776</v>
      </c>
      <c r="AX426">
        <v>2</v>
      </c>
      <c r="AY426" t="s">
        <v>2768</v>
      </c>
      <c r="AZ426">
        <v>2</v>
      </c>
      <c r="BA426" t="s">
        <v>2768</v>
      </c>
      <c r="BB426">
        <v>0</v>
      </c>
      <c r="BC426" t="s">
        <v>2768</v>
      </c>
      <c r="BD426">
        <v>2</v>
      </c>
      <c r="BE426" t="s">
        <v>2768</v>
      </c>
      <c r="BF426">
        <v>1</v>
      </c>
      <c r="BG426" t="s">
        <v>2768</v>
      </c>
      <c r="BH426">
        <v>0</v>
      </c>
      <c r="BI426" s="176" t="s">
        <v>3026</v>
      </c>
      <c r="BJ426">
        <v>2</v>
      </c>
      <c r="BK426" s="176" t="s">
        <v>3026</v>
      </c>
      <c r="BL426">
        <v>2</v>
      </c>
      <c r="BM426" s="176" t="s">
        <v>2776</v>
      </c>
      <c r="BN426">
        <v>2</v>
      </c>
      <c r="BO426" s="176" t="str">
        <f>IF(秋,"九溪弥烟-轻-血毒金蛇锥","梦泉虎跑-轻")</f>
        <v>梦泉虎跑-轻</v>
      </c>
      <c r="BP426">
        <v>0</v>
      </c>
      <c r="BQ426" t="s">
        <v>3055</v>
      </c>
      <c r="BR426">
        <v>2</v>
      </c>
      <c r="BS426" s="179" t="s">
        <v>2794</v>
      </c>
      <c r="BT426">
        <v>2</v>
      </c>
      <c r="BU426" t="s">
        <v>2768</v>
      </c>
      <c r="BV426">
        <v>2</v>
      </c>
      <c r="BW426" s="182" t="s">
        <v>3063</v>
      </c>
      <c r="BX426" s="179">
        <v>0</v>
      </c>
      <c r="BY426" s="176" t="s">
        <v>2776</v>
      </c>
      <c r="BZ426">
        <v>2</v>
      </c>
      <c r="CA426" t="s">
        <v>2776</v>
      </c>
      <c r="CB426">
        <v>2</v>
      </c>
    </row>
    <row r="427" spans="1:80">
      <c r="A427" s="178" t="str">
        <f ca="1">IFERROR(IF(AG426&lt;5+金蛇*2,IF(COUNTIF(B426,"*轻*")&gt;0,A426+加速!$L$9,A426+加速!$L$11)+V426,""),"")</f>
        <v/>
      </c>
      <c r="B427" s="167" t="str">
        <f ca="1" t="shared" si="110"/>
        <v/>
      </c>
      <c r="C427" t="str">
        <f ca="1" t="shared" si="119"/>
        <v/>
      </c>
      <c r="D427" t="str">
        <f ca="1">IF(B427&lt;&gt;"",IF(C426&lt;=加速!$L$11*(1-E427),0,1),"")</f>
        <v/>
      </c>
      <c r="E427">
        <f ca="1" t="shared" si="116"/>
        <v>1</v>
      </c>
      <c r="G427" t="str">
        <f ca="1" t="shared" si="117"/>
        <v/>
      </c>
      <c r="H427" t="str">
        <f ca="1">IF(B427&lt;&gt;"",IF(AND(COUNTIF(B426,"*轻*莺鸣柳*")&gt;0,COUNTIF(B427,"*轻*")&lt;1),MAX(0,15+I426-(A427-A426)+COUNTIF(B426,"*平湖*")*0),IF(AND(E427=0,MAX(0,H426-(A427-A426))&lt;=加速!$H$11),0,MAX(0,H426-(A427-A426)))),"")</f>
        <v/>
      </c>
      <c r="I427" t="str">
        <f ca="1" t="shared" si="123"/>
        <v/>
      </c>
      <c r="J427" t="str">
        <f ca="1" t="shared" si="124"/>
        <v/>
      </c>
      <c r="K427" t="str">
        <f ca="1" t="shared" si="111"/>
        <v/>
      </c>
      <c r="L427">
        <f ca="1">IFERROR(IF(AND(COUNTIF(B427,"*-峰插*"),技能数据库!$M$72&gt;0),0,IF(COUNTIF(B427,"*鹤归*")&gt;0,16-加速!$L$11,MAX(0,L426-(A427-A426)))),0)</f>
        <v>0</v>
      </c>
      <c r="M427">
        <f ca="1" t="shared" si="112"/>
        <v>0</v>
      </c>
      <c r="N427">
        <f ca="1">IFERROR(IF(AND(COUNTIF(B427,"*-峰插*"),技能数据库!$M$72&gt;0),0,IF(COUNTIF(B427,"*云飞*")&gt;0,4-COUNTIF(B427,"*玉山揽云*")*4--COUNTIF(B427,"*烟流暮景*")*4-COUNTIF(B427,"*云景*")*加速!$L$11-IF(J427&gt;0,2,0),MAX(0,N426-(A427-A426)-IF(J427&gt;0,2,0)))),0)</f>
        <v>0</v>
      </c>
      <c r="O427">
        <f ca="1">IF(AND(COUNTIF(IF(AND(配装计算器!$K$30&lt;&gt;"∞",0),INDEX(AU426:CB426,1,$AT$1),INDEX(AU428:CB428,1,$AT$1)),"*云飞*")=1,COUNTIF(IF(AND(配装计算器!$K$30&lt;&gt;"∞",0),INDEX(AU426:CB426,1,$AT$1),INDEX(AU428:CB428,1,$AT$1)),"*玉山*")=0),N427,0)</f>
        <v>0</v>
      </c>
      <c r="P427">
        <f ca="1">IFERROR(IF(COUNTIF(B427,"*云栖松*")&gt;0,50-加速!$L$11,MAX(0,P426-(A427-A426))),0)</f>
        <v>0</v>
      </c>
      <c r="Q427">
        <f ca="1">IF(COUNTIF(IF(AND(配装计算器!$K$30&lt;&gt;"∞",0),INDEX(AU426:CB426,1,$AT$1),INDEX(AU428:CB428,1,$AT$1)),"*云栖松*")=1,P427,0)</f>
        <v>0</v>
      </c>
      <c r="R427">
        <f ca="1">IFERROR(IF(COUNTIF(B427,"*莺鸣柳*")&gt;0,45-加速!$L$9,MAX(0,R426-(A427-A426))),0)</f>
        <v>0</v>
      </c>
      <c r="S427">
        <f ca="1">IF(COUNTIF(IF(AND(配装计算器!$K$30&lt;&gt;"∞",0),INDEX(AU426:CB426,1,$AT$1),INDEX(AU428:CB428,1,$AT$1)),"*莺鸣柳*")=1,R427,0)</f>
        <v>0</v>
      </c>
      <c r="T427">
        <f ca="1" t="shared" si="120"/>
        <v>0</v>
      </c>
      <c r="U427">
        <f ca="1">IF(金蛇,IF(COUNTIF(B427,"*金环戴*")+COUNTIF(B427,"*吹风醒*")&gt;0,IF(A427&lt;=3,7.125-2.625-A427-加速!$L$11,7.125+加速!$K$9-(A427+加速!$L$11-T427)),0),0)+IF(金蛇,IF(COUNTIF(B427,"*千切子裂光*")&gt;0,2+加速!$K$9-(A427+加速!$L$11-T427),0),0)</f>
        <v>0</v>
      </c>
      <c r="V427">
        <f ca="1" t="shared" si="121"/>
        <v>0</v>
      </c>
      <c r="W427">
        <f ca="1" t="shared" si="113"/>
        <v>0</v>
      </c>
      <c r="X427">
        <f ca="1">INDEX(加速!$I$13:$I$21,W427+1)</f>
        <v>0</v>
      </c>
      <c r="Y427">
        <f ca="1" t="shared" si="122"/>
        <v>0.5</v>
      </c>
      <c r="Z427">
        <f ca="1" t="shared" si="118"/>
        <v>0</v>
      </c>
      <c r="AA427">
        <f ca="1">MAX(0,IFERROR(IF(COUNTIF(B427,"*叠*")&gt;0,IF(AC426&lt;3,8-A428+A427,AA426+6.875-A428+A427),AA426-A428+A427),AA426-加速!$L$11))</f>
        <v>0</v>
      </c>
      <c r="AB427" t="e">
        <f ca="1">MAX(0,IF(COUNTIF(IF(AND(配装计算器!$K$30&lt;&gt;"∞",0),INDEX(AU427:CB427,1,$AT$1),INDEX(AU427:CB427,1,$AT$1)),"*叠1*")=1,4*25-加速!$L$11,AB426-A427+A426)-IF(OR(COUNTIF(OFFSET(AT427,0,$AT$1,1,1),"*听雷*")&gt;0,AND(碧归&gt;0,COUNTIF(OFFSET(AT427,0,$AT$1,1,1),"*风来*")&gt;0)),0,1)*1.5)</f>
        <v>#VALUE!</v>
      </c>
      <c r="AC427">
        <f ca="1" t="shared" si="114"/>
        <v>0</v>
      </c>
      <c r="AD427">
        <f ca="1">IF(COUNTIF(IF(AND(配装计算器!$K$30&lt;&gt;"∞",0),INDEX(AU427:CB427,1,$AT$1),INDEX(AU428:CB428,1,$AT$1)),"*叠1*")=1,AB427*0+AE426,0)</f>
        <v>0</v>
      </c>
      <c r="AE427" t="e">
        <f ca="1">IF($AN$11&gt;0,IF(COUNTIF(B428,"*叠1*")&gt;0,50-加速!$L$11,MAX(0,AE426-(A428-A427))),0)</f>
        <v>#VALUE!</v>
      </c>
      <c r="AG427">
        <f ca="1" t="shared" si="115"/>
        <v>12</v>
      </c>
      <c r="AU427" s="176" t="s">
        <v>2776</v>
      </c>
      <c r="AV427">
        <v>2</v>
      </c>
      <c r="AW427" t="s">
        <v>2768</v>
      </c>
      <c r="AX427">
        <v>2</v>
      </c>
      <c r="AY427" t="s">
        <v>2776</v>
      </c>
      <c r="AZ427">
        <v>1</v>
      </c>
      <c r="BA427" t="s">
        <v>2722</v>
      </c>
      <c r="BB427">
        <v>0</v>
      </c>
      <c r="BC427" t="s">
        <v>2776</v>
      </c>
      <c r="BD427">
        <v>2</v>
      </c>
      <c r="BE427" t="s">
        <v>2776</v>
      </c>
      <c r="BF427">
        <v>0</v>
      </c>
      <c r="BG427" t="s">
        <v>2768</v>
      </c>
      <c r="BH427">
        <v>0</v>
      </c>
      <c r="BI427" s="176" t="s">
        <v>3026</v>
      </c>
      <c r="BJ427">
        <v>2</v>
      </c>
      <c r="BK427" s="176" t="s">
        <v>2776</v>
      </c>
      <c r="BL427">
        <v>2</v>
      </c>
      <c r="BM427" s="176" t="s">
        <v>2768</v>
      </c>
      <c r="BN427">
        <v>2</v>
      </c>
      <c r="BO427" t="s">
        <v>3009</v>
      </c>
      <c r="BP427">
        <v>2</v>
      </c>
      <c r="BQ427" t="s">
        <v>2768</v>
      </c>
      <c r="BR427">
        <v>2</v>
      </c>
      <c r="BS427" s="179" t="s">
        <v>3019</v>
      </c>
      <c r="BT427">
        <v>2</v>
      </c>
      <c r="BU427" t="s">
        <v>2776</v>
      </c>
      <c r="BV427">
        <v>2</v>
      </c>
      <c r="BW427" s="179" t="s">
        <v>2768</v>
      </c>
      <c r="BX427" s="179">
        <v>2</v>
      </c>
      <c r="BY427" s="176" t="s">
        <v>2768</v>
      </c>
      <c r="BZ427">
        <v>2</v>
      </c>
      <c r="CA427" t="str">
        <f>IF(秋,"云栖松","泉凝月")</f>
        <v>泉凝月</v>
      </c>
      <c r="CB427">
        <v>2</v>
      </c>
    </row>
    <row r="428" spans="1:80">
      <c r="A428" s="178" t="str">
        <f ca="1">IFERROR(IF(AG427&lt;5+金蛇*2,IF(COUNTIF(B427,"*轻*")&gt;0,A427+加速!$L$9,A427+加速!$L$11)+V427,""),"")</f>
        <v/>
      </c>
      <c r="B428" s="167" t="str">
        <f ca="1" t="shared" si="110"/>
        <v/>
      </c>
      <c r="C428" t="str">
        <f ca="1" t="shared" si="119"/>
        <v/>
      </c>
      <c r="D428" t="str">
        <f ca="1">IF(B428&lt;&gt;"",IF(C427&lt;=加速!$L$11*(1-E428),0,1),"")</f>
        <v/>
      </c>
      <c r="E428">
        <f ca="1" t="shared" si="116"/>
        <v>1</v>
      </c>
      <c r="G428" t="str">
        <f ca="1" t="shared" si="117"/>
        <v/>
      </c>
      <c r="H428" t="str">
        <f ca="1">IF(B428&lt;&gt;"",IF(AND(COUNTIF(B427,"*轻*莺鸣柳*")&gt;0,COUNTIF(B428,"*轻*")&lt;1),MAX(0,15+I427-(A428-A427)+COUNTIF(B427,"*平湖*")*0),IF(AND(E428=0,MAX(0,H427-(A428-A427))&lt;=加速!$H$11),0,MAX(0,H427-(A428-A427)))),"")</f>
        <v/>
      </c>
      <c r="I428" t="str">
        <f ca="1" t="shared" si="123"/>
        <v/>
      </c>
      <c r="J428" t="str">
        <f ca="1" t="shared" si="124"/>
        <v/>
      </c>
      <c r="K428" t="str">
        <f ca="1" t="shared" si="111"/>
        <v/>
      </c>
      <c r="L428">
        <f ca="1">IFERROR(IF(AND(COUNTIF(B428,"*-峰插*"),技能数据库!$M$72&gt;0),0,IF(COUNTIF(B428,"*鹤归*")&gt;0,16-加速!$L$11,MAX(0,L427-(A428-A427)))),0)</f>
        <v>0</v>
      </c>
      <c r="M428">
        <f ca="1" t="shared" si="112"/>
        <v>0</v>
      </c>
      <c r="N428">
        <f ca="1">IFERROR(IF(AND(COUNTIF(B428,"*-峰插*"),技能数据库!$M$72&gt;0),0,IF(COUNTIF(B428,"*云飞*")&gt;0,4-COUNTIF(B428,"*玉山揽云*")*4--COUNTIF(B428,"*烟流暮景*")*4-COUNTIF(B428,"*云景*")*加速!$L$11-IF(J428&gt;0,2,0),MAX(0,N427-(A428-A427)-IF(J428&gt;0,2,0)))),0)</f>
        <v>0</v>
      </c>
      <c r="O428">
        <f ca="1">IF(AND(COUNTIF(IF(AND(配装计算器!$K$30&lt;&gt;"∞",0),INDEX(AU427:CB427,1,$AT$1),INDEX(AU429:CB429,1,$AT$1)),"*云飞*")=1,COUNTIF(IF(AND(配装计算器!$K$30&lt;&gt;"∞",0),INDEX(AU427:CB427,1,$AT$1),INDEX(AU429:CB429,1,$AT$1)),"*玉山*")=0),N428,0)</f>
        <v>0</v>
      </c>
      <c r="P428">
        <f ca="1">IFERROR(IF(COUNTIF(B428,"*云栖松*")&gt;0,50-加速!$L$11,MAX(0,P427-(A428-A427))),0)</f>
        <v>0</v>
      </c>
      <c r="Q428">
        <f ca="1">IF(COUNTIF(IF(AND(配装计算器!$K$30&lt;&gt;"∞",0),INDEX(AU427:CB427,1,$AT$1),INDEX(AU429:CB429,1,$AT$1)),"*云栖松*")=1,P428,0)</f>
        <v>0</v>
      </c>
      <c r="R428">
        <f ca="1">IFERROR(IF(COUNTIF(B428,"*莺鸣柳*")&gt;0,45-加速!$L$9,MAX(0,R427-(A428-A427))),0)</f>
        <v>0</v>
      </c>
      <c r="S428">
        <f ca="1">IF(COUNTIF(IF(AND(配装计算器!$K$30&lt;&gt;"∞",0),INDEX(AU427:CB427,1,$AT$1),INDEX(AU429:CB429,1,$AT$1)),"*莺鸣柳*")=1,R428,0)</f>
        <v>0</v>
      </c>
      <c r="T428">
        <f ca="1" t="shared" si="120"/>
        <v>0</v>
      </c>
      <c r="U428">
        <f ca="1">IF(金蛇,IF(COUNTIF(B428,"*金环戴*")+COUNTIF(B428,"*吹风醒*")&gt;0,IF(A428&lt;=3,7.125-2.625-A428-加速!$L$11,7.125+加速!$K$9-(A428+加速!$L$11-T428)),0),0)+IF(金蛇,IF(COUNTIF(B428,"*千切子裂光*")&gt;0,2+加速!$K$9-(A428+加速!$L$11-T428),0),0)</f>
        <v>0</v>
      </c>
      <c r="V428">
        <f ca="1" t="shared" si="121"/>
        <v>0</v>
      </c>
      <c r="W428">
        <f ca="1" t="shared" si="113"/>
        <v>0</v>
      </c>
      <c r="X428">
        <f ca="1">INDEX(加速!$I$13:$I$21,W428+1)</f>
        <v>0</v>
      </c>
      <c r="Y428">
        <f ca="1" t="shared" si="122"/>
        <v>0.5</v>
      </c>
      <c r="Z428">
        <f ca="1" t="shared" si="118"/>
        <v>0</v>
      </c>
      <c r="AA428">
        <f ca="1">MAX(0,IFERROR(IF(COUNTIF(B428,"*叠*")&gt;0,IF(AC427&lt;3,8-A429+A428,AA427+6.875-A429+A428),AA427-A429+A428),AA427-加速!$L$11))</f>
        <v>0</v>
      </c>
      <c r="AB428" t="e">
        <f ca="1">MAX(0,IF(COUNTIF(IF(AND(配装计算器!$K$30&lt;&gt;"∞",0),INDEX(AU428:CB428,1,$AT$1),INDEX(AU428:CB428,1,$AT$1)),"*叠1*")=1,4*25-加速!$L$11,AB427-A428+A427)-IF(OR(COUNTIF(OFFSET(AT428,0,$AT$1,1,1),"*听雷*")&gt;0,AND(碧归&gt;0,COUNTIF(OFFSET(AT428,0,$AT$1,1,1),"*风来*")&gt;0)),0,1)*1.5)</f>
        <v>#VALUE!</v>
      </c>
      <c r="AC428">
        <f ca="1" t="shared" si="114"/>
        <v>0</v>
      </c>
      <c r="AD428">
        <f ca="1">IF(COUNTIF(IF(AND(配装计算器!$K$30&lt;&gt;"∞",0),INDEX(AU428:CB428,1,$AT$1),INDEX(AU429:CB429,1,$AT$1)),"*叠1*")=1,AB428*0+AE427,0)</f>
        <v>0</v>
      </c>
      <c r="AE428" t="e">
        <f ca="1">IF($AN$11&gt;0,IF(COUNTIF(B429,"*叠1*")&gt;0,50-加速!$L$11,MAX(0,AE427-(A429-A428))),0)</f>
        <v>#VALUE!</v>
      </c>
      <c r="AG428">
        <f ca="1" t="shared" si="115"/>
        <v>12</v>
      </c>
      <c r="AU428" s="176" t="s">
        <v>2768</v>
      </c>
      <c r="AV428">
        <v>2</v>
      </c>
      <c r="AW428" s="176" t="s">
        <v>2794</v>
      </c>
      <c r="AX428">
        <v>2</v>
      </c>
      <c r="AY428" t="s">
        <v>2768</v>
      </c>
      <c r="AZ428">
        <v>1</v>
      </c>
      <c r="BA428" t="s">
        <v>2776</v>
      </c>
      <c r="BB428">
        <v>2</v>
      </c>
      <c r="BC428" t="s">
        <v>2768</v>
      </c>
      <c r="BD428">
        <v>2</v>
      </c>
      <c r="BE428" t="s">
        <v>2722</v>
      </c>
      <c r="BF428">
        <v>0</v>
      </c>
      <c r="BG428" t="s">
        <v>2776</v>
      </c>
      <c r="BH428">
        <v>0</v>
      </c>
      <c r="BI428" s="176" t="s">
        <v>3026</v>
      </c>
      <c r="BJ428">
        <v>2</v>
      </c>
      <c r="BK428" s="176" t="s">
        <v>2794</v>
      </c>
      <c r="BL428">
        <v>2</v>
      </c>
      <c r="BM428" s="176" t="s">
        <v>2776</v>
      </c>
      <c r="BN428">
        <v>2</v>
      </c>
      <c r="BO428" s="176" t="str">
        <f>IF(秋,"云飞玉皇-蛇牙锥心","云飞玉皇-血毒金蛇锥")</f>
        <v>云飞玉皇-血毒金蛇锥</v>
      </c>
      <c r="BP428">
        <v>2</v>
      </c>
      <c r="BQ428" t="s">
        <v>2776</v>
      </c>
      <c r="BR428">
        <v>2</v>
      </c>
      <c r="BS428" s="179" t="s">
        <v>2768</v>
      </c>
      <c r="BT428">
        <v>2</v>
      </c>
      <c r="BU428" t="s">
        <v>2768</v>
      </c>
      <c r="BV428">
        <v>1</v>
      </c>
      <c r="BW428" s="179" t="s">
        <v>1886</v>
      </c>
      <c r="BX428" s="179">
        <v>2</v>
      </c>
      <c r="BY428" s="176" t="s">
        <v>2776</v>
      </c>
      <c r="BZ428">
        <v>2</v>
      </c>
      <c r="CA428" t="s">
        <v>2768</v>
      </c>
      <c r="CB428">
        <v>2</v>
      </c>
    </row>
    <row r="429" spans="1:80">
      <c r="A429" s="178" t="str">
        <f ca="1">IFERROR(IF(AG428&lt;5+金蛇*2,IF(COUNTIF(B428,"*轻*")&gt;0,A428+加速!$L$9,A428+加速!$L$11)+V428,""),"")</f>
        <v/>
      </c>
      <c r="B429" s="167" t="str">
        <f ca="1" t="shared" si="110"/>
        <v/>
      </c>
      <c r="C429" t="str">
        <f ca="1" t="shared" si="119"/>
        <v/>
      </c>
      <c r="D429" t="str">
        <f ca="1">IF(B429&lt;&gt;"",IF(C428&lt;=加速!$L$11*(1-E429),0,1),"")</f>
        <v/>
      </c>
      <c r="E429">
        <f ca="1" t="shared" si="116"/>
        <v>1</v>
      </c>
      <c r="G429" t="str">
        <f ca="1" t="shared" si="117"/>
        <v/>
      </c>
      <c r="H429" t="str">
        <f ca="1">IF(B429&lt;&gt;"",IF(AND(COUNTIF(B428,"*轻*莺鸣柳*")&gt;0,COUNTIF(B429,"*轻*")&lt;1),MAX(0,15+I428-(A429-A428)+COUNTIF(B428,"*平湖*")*0),IF(AND(E429=0,MAX(0,H428-(A429-A428))&lt;=加速!$H$11),0,MAX(0,H428-(A429-A428)))),"")</f>
        <v/>
      </c>
      <c r="I429" t="str">
        <f ca="1" t="shared" si="123"/>
        <v/>
      </c>
      <c r="J429" t="str">
        <f ca="1" t="shared" si="124"/>
        <v/>
      </c>
      <c r="K429" t="str">
        <f ca="1" t="shared" si="111"/>
        <v/>
      </c>
      <c r="L429">
        <f ca="1">IFERROR(IF(AND(COUNTIF(B429,"*-峰插*"),技能数据库!$M$72&gt;0),0,IF(COUNTIF(B429,"*鹤归*")&gt;0,16-加速!$L$11,MAX(0,L428-(A429-A428)))),0)</f>
        <v>0</v>
      </c>
      <c r="M429">
        <f ca="1" t="shared" si="112"/>
        <v>0</v>
      </c>
      <c r="N429">
        <f ca="1">IFERROR(IF(AND(COUNTIF(B429,"*-峰插*"),技能数据库!$M$72&gt;0),0,IF(COUNTIF(B429,"*云飞*")&gt;0,4-COUNTIF(B429,"*玉山揽云*")*4--COUNTIF(B429,"*烟流暮景*")*4-COUNTIF(B429,"*云景*")*加速!$L$11-IF(J429&gt;0,2,0),MAX(0,N428-(A429-A428)-IF(J429&gt;0,2,0)))),0)</f>
        <v>0</v>
      </c>
      <c r="O429">
        <f ca="1">IF(AND(COUNTIF(IF(AND(配装计算器!$K$30&lt;&gt;"∞",0),INDEX(AU428:CB428,1,$AT$1),INDEX(AU430:CB430,1,$AT$1)),"*云飞*")=1,COUNTIF(IF(AND(配装计算器!$K$30&lt;&gt;"∞",0),INDEX(AU428:CB428,1,$AT$1),INDEX(AU430:CB430,1,$AT$1)),"*玉山*")=0),N429,0)</f>
        <v>0</v>
      </c>
      <c r="P429">
        <f ca="1">IFERROR(IF(COUNTIF(B429,"*云栖松*")&gt;0,50-加速!$L$11,MAX(0,P428-(A429-A428))),0)</f>
        <v>0</v>
      </c>
      <c r="Q429">
        <f ca="1">IF(COUNTIF(IF(AND(配装计算器!$K$30&lt;&gt;"∞",0),INDEX(AU428:CB428,1,$AT$1),INDEX(AU430:CB430,1,$AT$1)),"*云栖松*")=1,P429,0)</f>
        <v>0</v>
      </c>
      <c r="R429">
        <f ca="1">IFERROR(IF(COUNTIF(B429,"*莺鸣柳*")&gt;0,45-加速!$L$9,MAX(0,R428-(A429-A428))),0)</f>
        <v>0</v>
      </c>
      <c r="S429">
        <f ca="1">IF(COUNTIF(IF(AND(配装计算器!$K$30&lt;&gt;"∞",0),INDEX(AU428:CB428,1,$AT$1),INDEX(AU430:CB430,1,$AT$1)),"*莺鸣柳*")=1,R429,0)</f>
        <v>0</v>
      </c>
      <c r="T429">
        <f ca="1" t="shared" si="120"/>
        <v>0</v>
      </c>
      <c r="U429">
        <f ca="1">IF(金蛇,IF(COUNTIF(B429,"*金环戴*")+COUNTIF(B429,"*吹风醒*")&gt;0,IF(A429&lt;=3,7.125-2.625-A429-加速!$L$11,7.125+加速!$K$9-(A429+加速!$L$11-T429)),0),0)+IF(金蛇,IF(COUNTIF(B429,"*千切子裂光*")&gt;0,2+加速!$K$9-(A429+加速!$L$11-T429),0),0)</f>
        <v>0</v>
      </c>
      <c r="V429">
        <f ca="1" t="shared" si="121"/>
        <v>0</v>
      </c>
      <c r="W429">
        <f ca="1" t="shared" si="113"/>
        <v>0</v>
      </c>
      <c r="X429">
        <f ca="1">INDEX(加速!$I$13:$I$21,W429+1)</f>
        <v>0</v>
      </c>
      <c r="Y429">
        <f ca="1" t="shared" si="122"/>
        <v>0.5</v>
      </c>
      <c r="Z429">
        <f ca="1" t="shared" si="118"/>
        <v>0</v>
      </c>
      <c r="AA429">
        <f ca="1">MAX(0,IFERROR(IF(COUNTIF(B429,"*叠*")&gt;0,IF(AC428&lt;3,8-A430+A429,AA428+6.875-A430+A429),AA428-A430+A429),AA428-加速!$L$11))</f>
        <v>0</v>
      </c>
      <c r="AB429" t="e">
        <f ca="1">MAX(0,IF(COUNTIF(IF(AND(配装计算器!$K$30&lt;&gt;"∞",0),INDEX(AU429:CB429,1,$AT$1),INDEX(AU429:CB429,1,$AT$1)),"*叠1*")=1,4*25-加速!$L$11,AB428-A429+A428)-IF(OR(COUNTIF(OFFSET(AT429,0,$AT$1,1,1),"*听雷*")&gt;0,AND(碧归&gt;0,COUNTIF(OFFSET(AT429,0,$AT$1,1,1),"*风来*")&gt;0)),0,1)*1.5)</f>
        <v>#VALUE!</v>
      </c>
      <c r="AC429">
        <f ca="1" t="shared" si="114"/>
        <v>0</v>
      </c>
      <c r="AD429">
        <f ca="1">IF(COUNTIF(IF(AND(配装计算器!$K$30&lt;&gt;"∞",0),INDEX(AU429:CB429,1,$AT$1),INDEX(AU430:CB430,1,$AT$1)),"*叠1*")=1,AB429*0+AE428,0)</f>
        <v>0</v>
      </c>
      <c r="AE429" t="e">
        <f ca="1">IF($AN$11&gt;0,IF(COUNTIF(B430,"*叠1*")&gt;0,50-加速!$L$11,MAX(0,AE428-(A430-A429))),0)</f>
        <v>#VALUE!</v>
      </c>
      <c r="AG429">
        <f ca="1" t="shared" si="115"/>
        <v>12</v>
      </c>
      <c r="AU429" s="176" t="s">
        <v>2776</v>
      </c>
      <c r="AV429">
        <v>2</v>
      </c>
      <c r="AW429" s="176" t="s">
        <v>2768</v>
      </c>
      <c r="AX429">
        <v>2</v>
      </c>
      <c r="AY429" t="s">
        <v>2768</v>
      </c>
      <c r="AZ429">
        <v>0</v>
      </c>
      <c r="BA429" t="s">
        <v>2768</v>
      </c>
      <c r="BB429">
        <v>2</v>
      </c>
      <c r="BC429" t="s">
        <v>2794</v>
      </c>
      <c r="BD429">
        <v>2</v>
      </c>
      <c r="BE429" t="s">
        <v>2722</v>
      </c>
      <c r="BF429">
        <v>2</v>
      </c>
      <c r="BG429" t="s">
        <v>3067</v>
      </c>
      <c r="BH429">
        <v>0</v>
      </c>
      <c r="BI429" s="176" t="s">
        <v>3026</v>
      </c>
      <c r="BJ429">
        <v>2</v>
      </c>
      <c r="BK429" s="176" t="s">
        <v>2768</v>
      </c>
      <c r="BL429">
        <v>2</v>
      </c>
      <c r="BM429" s="176" t="str">
        <f>IF(0,"云飞玉皇-玉山揽云","夕照雷峰")</f>
        <v>夕照雷峰</v>
      </c>
      <c r="BN429">
        <v>2</v>
      </c>
      <c r="BO429" t="s">
        <v>2768</v>
      </c>
      <c r="BP429">
        <v>2</v>
      </c>
      <c r="BQ429" t="s">
        <v>2768</v>
      </c>
      <c r="BR429">
        <v>2</v>
      </c>
      <c r="BS429" s="182" t="s">
        <v>3023</v>
      </c>
      <c r="BT429">
        <v>2</v>
      </c>
      <c r="BU429" t="s">
        <v>2776</v>
      </c>
      <c r="BV429">
        <v>1</v>
      </c>
      <c r="BW429" s="179" t="s">
        <v>2853</v>
      </c>
      <c r="BX429" s="179">
        <v>2</v>
      </c>
      <c r="BY429" s="176" t="str">
        <f>IF(0,"云飞玉皇-玉山揽云","夕照雷峰")</f>
        <v>夕照雷峰</v>
      </c>
      <c r="BZ429">
        <v>2</v>
      </c>
      <c r="CA429" t="s">
        <v>1886</v>
      </c>
      <c r="CB429">
        <v>2</v>
      </c>
    </row>
    <row r="430" spans="1:80">
      <c r="A430" s="178" t="str">
        <f ca="1">IFERROR(IF(AG429&lt;5+金蛇*2,IF(COUNTIF(B429,"*轻*")&gt;0,A429+加速!$L$9,A429+加速!$L$11)+V429,""),"")</f>
        <v/>
      </c>
      <c r="B430" s="167" t="str">
        <f ca="1" t="shared" si="110"/>
        <v/>
      </c>
      <c r="C430" t="str">
        <f ca="1" t="shared" si="119"/>
        <v/>
      </c>
      <c r="D430" t="str">
        <f ca="1">IF(B430&lt;&gt;"",IF(C429&lt;=加速!$L$11*(1-E430),0,1),"")</f>
        <v/>
      </c>
      <c r="E430">
        <f ca="1" t="shared" si="116"/>
        <v>1</v>
      </c>
      <c r="G430" t="str">
        <f ca="1" t="shared" si="117"/>
        <v/>
      </c>
      <c r="H430" t="str">
        <f ca="1">IF(B430&lt;&gt;"",IF(AND(COUNTIF(B429,"*轻*莺鸣柳*")&gt;0,COUNTIF(B430,"*轻*")&lt;1),MAX(0,15+I429-(A430-A429)+COUNTIF(B429,"*平湖*")*0),IF(AND(E430=0,MAX(0,H429-(A430-A429))&lt;=加速!$H$11),0,MAX(0,H429-(A430-A429)))),"")</f>
        <v/>
      </c>
      <c r="I430" t="str">
        <f ca="1" t="shared" si="123"/>
        <v/>
      </c>
      <c r="J430" t="str">
        <f ca="1" t="shared" si="124"/>
        <v/>
      </c>
      <c r="K430" t="str">
        <f ca="1" t="shared" si="111"/>
        <v/>
      </c>
      <c r="L430">
        <f ca="1">IFERROR(IF(AND(COUNTIF(B430,"*-峰插*"),技能数据库!$M$72&gt;0),0,IF(COUNTIF(B430,"*鹤归*")&gt;0,16-加速!$L$11,MAX(0,L429-(A430-A429)))),0)</f>
        <v>0</v>
      </c>
      <c r="M430">
        <f ca="1" t="shared" si="112"/>
        <v>0</v>
      </c>
      <c r="N430">
        <f ca="1">IFERROR(IF(AND(COUNTIF(B430,"*-峰插*"),技能数据库!$M$72&gt;0),0,IF(COUNTIF(B430,"*云飞*")&gt;0,4-COUNTIF(B430,"*玉山揽云*")*4--COUNTIF(B430,"*烟流暮景*")*4-COUNTIF(B430,"*云景*")*加速!$L$11-IF(J430&gt;0,2,0),MAX(0,N429-(A430-A429)-IF(J430&gt;0,2,0)))),0)</f>
        <v>0</v>
      </c>
      <c r="O430">
        <f ca="1">IF(AND(COUNTIF(IF(AND(配装计算器!$K$30&lt;&gt;"∞",0),INDEX(AU429:CB429,1,$AT$1),INDEX(AU431:CB431,1,$AT$1)),"*云飞*")=1,COUNTIF(IF(AND(配装计算器!$K$30&lt;&gt;"∞",0),INDEX(AU429:CB429,1,$AT$1),INDEX(AU431:CB431,1,$AT$1)),"*玉山*")=0),N430,0)</f>
        <v>0</v>
      </c>
      <c r="P430">
        <f ca="1">IFERROR(IF(COUNTIF(B430,"*云栖松*")&gt;0,50-加速!$L$11,MAX(0,P429-(A430-A429))),0)</f>
        <v>0</v>
      </c>
      <c r="Q430">
        <f ca="1">IF(COUNTIF(IF(AND(配装计算器!$K$30&lt;&gt;"∞",0),INDEX(AU429:CB429,1,$AT$1),INDEX(AU431:CB431,1,$AT$1)),"*云栖松*")=1,P430,0)</f>
        <v>0</v>
      </c>
      <c r="R430">
        <f ca="1">IFERROR(IF(COUNTIF(B430,"*莺鸣柳*")&gt;0,45-加速!$L$9,MAX(0,R429-(A430-A429))),0)</f>
        <v>0</v>
      </c>
      <c r="S430">
        <f ca="1">IF(COUNTIF(IF(AND(配装计算器!$K$30&lt;&gt;"∞",0),INDEX(AU429:CB429,1,$AT$1),INDEX(AU431:CB431,1,$AT$1)),"*莺鸣柳*")=1,R430,0)</f>
        <v>0</v>
      </c>
      <c r="T430">
        <f ca="1" t="shared" si="120"/>
        <v>0</v>
      </c>
      <c r="U430">
        <f ca="1">IF(金蛇,IF(COUNTIF(B430,"*金环戴*")+COUNTIF(B430,"*吹风醒*")&gt;0,IF(A430&lt;=3,7.125-2.625-A430-加速!$L$11,7.125+加速!$K$9-(A430+加速!$L$11-T430)),0),0)+IF(金蛇,IF(COUNTIF(B430,"*千切子裂光*")&gt;0,2+加速!$K$9-(A430+加速!$L$11-T430),0),0)</f>
        <v>0</v>
      </c>
      <c r="V430">
        <f ca="1" t="shared" si="121"/>
        <v>0</v>
      </c>
      <c r="W430">
        <f ca="1" t="shared" si="113"/>
        <v>0</v>
      </c>
      <c r="X430">
        <f ca="1">INDEX(加速!$I$13:$I$21,W430+1)</f>
        <v>0</v>
      </c>
      <c r="Y430">
        <f ca="1" t="shared" si="122"/>
        <v>0.5</v>
      </c>
      <c r="Z430">
        <f ca="1" t="shared" si="118"/>
        <v>0</v>
      </c>
      <c r="AA430">
        <f ca="1">MAX(0,IFERROR(IF(COUNTIF(B430,"*叠*")&gt;0,IF(AC429&lt;3,8-A431+A430,AA429+6.875-A431+A430),AA429-A431+A430),AA429-加速!$L$11))</f>
        <v>0</v>
      </c>
      <c r="AB430" t="e">
        <f ca="1">MAX(0,IF(COUNTIF(IF(AND(配装计算器!$K$30&lt;&gt;"∞",0),INDEX(AU430:CB430,1,$AT$1),INDEX(AU430:CB430,1,$AT$1)),"*叠1*")=1,4*25-加速!$L$11,AB429-A430+A429)-IF(OR(COUNTIF(OFFSET(AT430,0,$AT$1,1,1),"*听雷*")&gt;0,AND(碧归&gt;0,COUNTIF(OFFSET(AT430,0,$AT$1,1,1),"*风来*")&gt;0)),0,1)*1.5)</f>
        <v>#VALUE!</v>
      </c>
      <c r="AC430">
        <f ca="1" t="shared" si="114"/>
        <v>0</v>
      </c>
      <c r="AD430">
        <f ca="1">IF(COUNTIF(IF(AND(配装计算器!$K$30&lt;&gt;"∞",0),INDEX(AU430:CB430,1,$AT$1),INDEX(AU431:CB431,1,$AT$1)),"*叠1*")=1,AB430*0+AE429,0)</f>
        <v>0</v>
      </c>
      <c r="AE430" t="e">
        <f ca="1">IF($AN$11&gt;0,IF(COUNTIF(B431,"*叠1*")&gt;0,50-加速!$L$11,MAX(0,AE429-(A431-A430))),0)</f>
        <v>#VALUE!</v>
      </c>
      <c r="AG430">
        <f ca="1" t="shared" si="115"/>
        <v>12</v>
      </c>
      <c r="AU430" s="176" t="s">
        <v>2768</v>
      </c>
      <c r="AV430">
        <v>2</v>
      </c>
      <c r="AW430" s="176" t="s">
        <v>2776</v>
      </c>
      <c r="AX430">
        <v>2</v>
      </c>
      <c r="AY430" t="s">
        <v>2722</v>
      </c>
      <c r="AZ430">
        <v>0</v>
      </c>
      <c r="BA430" t="s">
        <v>2768</v>
      </c>
      <c r="BB430">
        <v>2</v>
      </c>
      <c r="BC430" s="182" t="s">
        <v>3036</v>
      </c>
      <c r="BD430">
        <v>2</v>
      </c>
      <c r="BE430" t="s">
        <v>2768</v>
      </c>
      <c r="BF430">
        <v>2</v>
      </c>
      <c r="BG430" t="s">
        <v>2768</v>
      </c>
      <c r="BH430">
        <v>2</v>
      </c>
      <c r="BI430" s="176" t="s">
        <v>3036</v>
      </c>
      <c r="BJ430">
        <v>2</v>
      </c>
      <c r="BK430" s="176" t="s">
        <v>2776</v>
      </c>
      <c r="BL430">
        <v>2</v>
      </c>
      <c r="BM430" t="str">
        <f>IF(0,"云飞玉皇-玉山揽云","云飞玉皇")</f>
        <v>云飞玉皇</v>
      </c>
      <c r="BN430">
        <v>2</v>
      </c>
      <c r="BO430" t="str">
        <f>IF(山重水复,"风来吴山","夕照雷峰")</f>
        <v>夕照雷峰</v>
      </c>
      <c r="BP430">
        <v>2</v>
      </c>
      <c r="BQ430" t="s">
        <v>2776</v>
      </c>
      <c r="BR430">
        <v>1</v>
      </c>
      <c r="BS430" s="182" t="s">
        <v>2768</v>
      </c>
      <c r="BT430">
        <v>2</v>
      </c>
      <c r="BU430" t="s">
        <v>2768</v>
      </c>
      <c r="BV430">
        <v>0</v>
      </c>
      <c r="BW430" s="182" t="s">
        <v>2850</v>
      </c>
      <c r="BX430" s="179">
        <v>2</v>
      </c>
      <c r="BY430" t="str">
        <f>IF(0,"云飞玉皇-玉山揽云","云飞玉皇")</f>
        <v>云飞玉皇</v>
      </c>
      <c r="BZ430">
        <v>2</v>
      </c>
      <c r="CA430" t="s">
        <v>2853</v>
      </c>
      <c r="CB430">
        <v>2</v>
      </c>
    </row>
    <row r="431" spans="1:80">
      <c r="A431" s="178" t="str">
        <f ca="1">IFERROR(IF(AG430&lt;5+金蛇*2,IF(COUNTIF(B430,"*轻*")&gt;0,A430+加速!$L$9,A430+加速!$L$11)+V430,""),"")</f>
        <v/>
      </c>
      <c r="B431" s="167" t="str">
        <f ca="1" t="shared" si="110"/>
        <v/>
      </c>
      <c r="C431" t="str">
        <f ca="1" t="shared" si="119"/>
        <v/>
      </c>
      <c r="D431" t="str">
        <f ca="1">IF(B431&lt;&gt;"",IF(C430&lt;=加速!$L$11*(1-E431),0,1),"")</f>
        <v/>
      </c>
      <c r="E431">
        <f ca="1" t="shared" si="116"/>
        <v>1</v>
      </c>
      <c r="G431" t="str">
        <f ca="1" t="shared" si="117"/>
        <v/>
      </c>
      <c r="H431" t="str">
        <f ca="1">IF(B431&lt;&gt;"",IF(AND(COUNTIF(B430,"*轻*莺鸣柳*")&gt;0,COUNTIF(B431,"*轻*")&lt;1),MAX(0,15+I430-(A431-A430)+COUNTIF(B430,"*平湖*")*0),IF(AND(E431=0,MAX(0,H430-(A431-A430))&lt;=加速!$H$11),0,MAX(0,H430-(A431-A430)))),"")</f>
        <v/>
      </c>
      <c r="I431" t="str">
        <f ca="1" t="shared" si="123"/>
        <v/>
      </c>
      <c r="J431" t="str">
        <f ca="1" t="shared" si="124"/>
        <v/>
      </c>
      <c r="K431" t="str">
        <f ca="1" t="shared" si="111"/>
        <v/>
      </c>
      <c r="L431">
        <f ca="1">IFERROR(IF(AND(COUNTIF(B431,"*-峰插*"),技能数据库!$M$72&gt;0),0,IF(COUNTIF(B431,"*鹤归*")&gt;0,16-加速!$L$11,MAX(0,L430-(A431-A430)))),0)</f>
        <v>0</v>
      </c>
      <c r="M431">
        <f ca="1" t="shared" si="112"/>
        <v>0</v>
      </c>
      <c r="N431">
        <f ca="1">IFERROR(IF(AND(COUNTIF(B431,"*-峰插*"),技能数据库!$M$72&gt;0),0,IF(COUNTIF(B431,"*云飞*")&gt;0,4-COUNTIF(B431,"*玉山揽云*")*4--COUNTIF(B431,"*烟流暮景*")*4-COUNTIF(B431,"*云景*")*加速!$L$11-IF(J431&gt;0,2,0),MAX(0,N430-(A431-A430)-IF(J431&gt;0,2,0)))),0)</f>
        <v>0</v>
      </c>
      <c r="O431">
        <f ca="1">IF(AND(COUNTIF(IF(AND(配装计算器!$K$30&lt;&gt;"∞",0),INDEX(AU430:CB430,1,$AT$1),INDEX(AU432:CB432,1,$AT$1)),"*云飞*")=1,COUNTIF(IF(AND(配装计算器!$K$30&lt;&gt;"∞",0),INDEX(AU430:CB430,1,$AT$1),INDEX(AU432:CB432,1,$AT$1)),"*玉山*")=0),N431,0)</f>
        <v>0</v>
      </c>
      <c r="P431">
        <f ca="1">IFERROR(IF(COUNTIF(B431,"*云栖松*")&gt;0,50-加速!$L$11,MAX(0,P430-(A431-A430))),0)</f>
        <v>0</v>
      </c>
      <c r="Q431">
        <f ca="1">IF(COUNTIF(IF(AND(配装计算器!$K$30&lt;&gt;"∞",0),INDEX(AU430:CB430,1,$AT$1),INDEX(AU432:CB432,1,$AT$1)),"*云栖松*")=1,P431,0)</f>
        <v>0</v>
      </c>
      <c r="R431">
        <f ca="1">IFERROR(IF(COUNTIF(B431,"*莺鸣柳*")&gt;0,45-加速!$L$9,MAX(0,R430-(A431-A430))),0)</f>
        <v>0</v>
      </c>
      <c r="S431">
        <f ca="1">IF(COUNTIF(IF(AND(配装计算器!$K$30&lt;&gt;"∞",0),INDEX(AU430:CB430,1,$AT$1),INDEX(AU432:CB432,1,$AT$1)),"*莺鸣柳*")=1,R431,0)</f>
        <v>0</v>
      </c>
      <c r="T431">
        <f ca="1" t="shared" si="120"/>
        <v>0</v>
      </c>
      <c r="U431">
        <f ca="1">IF(金蛇,IF(COUNTIF(B431,"*金环戴*")+COUNTIF(B431,"*吹风醒*")&gt;0,IF(A431&lt;=3,7.125-2.625-A431-加速!$L$11,7.125+加速!$K$9-(A431+加速!$L$11-T431)),0),0)+IF(金蛇,IF(COUNTIF(B431,"*千切子裂光*")&gt;0,2+加速!$K$9-(A431+加速!$L$11-T431),0),0)</f>
        <v>0</v>
      </c>
      <c r="V431">
        <f ca="1" t="shared" si="121"/>
        <v>0</v>
      </c>
      <c r="W431">
        <f ca="1" t="shared" si="113"/>
        <v>0</v>
      </c>
      <c r="X431">
        <f ca="1">INDEX(加速!$I$13:$I$21,W431+1)</f>
        <v>0</v>
      </c>
      <c r="Y431">
        <f ca="1" t="shared" si="122"/>
        <v>0.5</v>
      </c>
      <c r="Z431">
        <f ca="1" t="shared" si="118"/>
        <v>0</v>
      </c>
      <c r="AA431">
        <f ca="1">MAX(0,IFERROR(IF(COUNTIF(B431,"*叠*")&gt;0,IF(AC430&lt;3,8-A432+A431,AA430+6.875-A432+A431),AA430-A432+A431),AA430-加速!$L$11))</f>
        <v>0</v>
      </c>
      <c r="AB431" t="e">
        <f ca="1">MAX(0,IF(COUNTIF(IF(AND(配装计算器!$K$30&lt;&gt;"∞",0),INDEX(AU431:CB431,1,$AT$1),INDEX(AU431:CB431,1,$AT$1)),"*叠1*")=1,4*25-加速!$L$11,AB430-A431+A430)-IF(OR(COUNTIF(OFFSET(AT431,0,$AT$1,1,1),"*听雷*")&gt;0,AND(碧归&gt;0,COUNTIF(OFFSET(AT431,0,$AT$1,1,1),"*风来*")&gt;0)),0,1)*1.5)</f>
        <v>#VALUE!</v>
      </c>
      <c r="AC431">
        <f ca="1" t="shared" si="114"/>
        <v>0</v>
      </c>
      <c r="AD431">
        <f ca="1">IF(COUNTIF(IF(AND(配装计算器!$K$30&lt;&gt;"∞",0),INDEX(AU431:CB431,1,$AT$1),INDEX(AU432:CB432,1,$AT$1)),"*叠1*")=1,AB431*0+AE430,0)</f>
        <v>0</v>
      </c>
      <c r="AE431" t="e">
        <f ca="1">IF($AN$11&gt;0,IF(COUNTIF(B432,"*叠1*")&gt;0,50-加速!$L$11,MAX(0,AE430-(A432-A431))),0)</f>
        <v>#VALUE!</v>
      </c>
      <c r="AG431">
        <f ca="1" t="shared" si="115"/>
        <v>12</v>
      </c>
      <c r="AU431" s="176" t="s">
        <v>2776</v>
      </c>
      <c r="AV431">
        <v>2</v>
      </c>
      <c r="AW431" s="176" t="s">
        <v>2768</v>
      </c>
      <c r="AX431">
        <v>2</v>
      </c>
      <c r="AY431" t="s">
        <v>2776</v>
      </c>
      <c r="AZ431">
        <v>2</v>
      </c>
      <c r="BA431" t="s">
        <v>2768</v>
      </c>
      <c r="BB431">
        <v>1</v>
      </c>
      <c r="BC431" s="176" t="s">
        <v>3026</v>
      </c>
      <c r="BD431">
        <v>2</v>
      </c>
      <c r="BE431" t="s">
        <v>2776</v>
      </c>
      <c r="BF431">
        <v>2</v>
      </c>
      <c r="BG431" t="s">
        <v>2768</v>
      </c>
      <c r="BH431">
        <v>2</v>
      </c>
      <c r="BI431" t="s">
        <v>2794</v>
      </c>
      <c r="BJ431">
        <v>2</v>
      </c>
      <c r="BK431" t="s">
        <v>2768</v>
      </c>
      <c r="BL431">
        <v>1</v>
      </c>
      <c r="BM431" t="str">
        <f>IF(秋,"云栖松","泉凝月")</f>
        <v>泉凝月</v>
      </c>
      <c r="BN431">
        <v>2</v>
      </c>
      <c r="BO431" s="176" t="s">
        <v>2794</v>
      </c>
      <c r="BP431">
        <v>2</v>
      </c>
      <c r="BQ431" t="s">
        <v>2768</v>
      </c>
      <c r="BR431">
        <v>1</v>
      </c>
      <c r="BS431" s="182" t="s">
        <v>2776</v>
      </c>
      <c r="BT431">
        <v>2</v>
      </c>
      <c r="BU431" t="s">
        <v>2768</v>
      </c>
      <c r="BV431">
        <v>0</v>
      </c>
      <c r="BW431" s="182" t="str">
        <f>IF(秋,"金环戴","吹风醒")</f>
        <v>吹风醒</v>
      </c>
      <c r="BX431" s="179">
        <v>2</v>
      </c>
      <c r="BY431" t="str">
        <f>IF(秋,"云栖松","泉凝月")</f>
        <v>泉凝月</v>
      </c>
      <c r="BZ431">
        <v>2</v>
      </c>
      <c r="CA431" s="176" t="s">
        <v>2850</v>
      </c>
      <c r="CB431">
        <f>IF(0,2,0)</f>
        <v>0</v>
      </c>
    </row>
    <row r="432" spans="1:80">
      <c r="A432" s="178" t="str">
        <f ca="1">IFERROR(IF(AG431&lt;5+金蛇*2,IF(COUNTIF(B431,"*轻*")&gt;0,A431+加速!$L$9,A431+加速!$L$11)+V431,""),"")</f>
        <v/>
      </c>
      <c r="B432" s="167" t="str">
        <f ca="1" t="shared" si="110"/>
        <v/>
      </c>
      <c r="C432" t="str">
        <f ca="1" t="shared" si="119"/>
        <v/>
      </c>
      <c r="D432" t="str">
        <f ca="1">IF(B432&lt;&gt;"",IF(C431&lt;=加速!$L$11*(1-E432),0,1),"")</f>
        <v/>
      </c>
      <c r="E432">
        <f ca="1" t="shared" si="116"/>
        <v>1</v>
      </c>
      <c r="G432" t="str">
        <f ca="1" t="shared" si="117"/>
        <v/>
      </c>
      <c r="H432" t="str">
        <f ca="1">IF(B432&lt;&gt;"",IF(AND(COUNTIF(B431,"*轻*莺鸣柳*")&gt;0,COUNTIF(B432,"*轻*")&lt;1),MAX(0,15+I431-(A432-A431)+COUNTIF(B431,"*平湖*")*0),IF(AND(E432=0,MAX(0,H431-(A432-A431))&lt;=加速!$H$11),0,MAX(0,H431-(A432-A431)))),"")</f>
        <v/>
      </c>
      <c r="I432" t="str">
        <f ca="1" t="shared" si="123"/>
        <v/>
      </c>
      <c r="J432" t="str">
        <f ca="1" t="shared" si="124"/>
        <v/>
      </c>
      <c r="K432" t="str">
        <f ca="1" t="shared" si="111"/>
        <v/>
      </c>
      <c r="L432">
        <f ca="1">IFERROR(IF(AND(COUNTIF(B432,"*-峰插*"),技能数据库!$M$72&gt;0),0,IF(COUNTIF(B432,"*鹤归*")&gt;0,16-加速!$L$11,MAX(0,L431-(A432-A431)))),0)</f>
        <v>0</v>
      </c>
      <c r="M432">
        <f ca="1" t="shared" si="112"/>
        <v>0</v>
      </c>
      <c r="N432">
        <f ca="1">IFERROR(IF(AND(COUNTIF(B432,"*-峰插*"),技能数据库!$M$72&gt;0),0,IF(COUNTIF(B432,"*云飞*")&gt;0,4-COUNTIF(B432,"*玉山揽云*")*4--COUNTIF(B432,"*烟流暮景*")*4-COUNTIF(B432,"*云景*")*加速!$L$11-IF(J432&gt;0,2,0),MAX(0,N431-(A432-A431)-IF(J432&gt;0,2,0)))),0)</f>
        <v>0</v>
      </c>
      <c r="O432">
        <f ca="1">IF(AND(COUNTIF(IF(AND(配装计算器!$K$30&lt;&gt;"∞",0),INDEX(AU431:CB431,1,$AT$1),INDEX(AU433:CB433,1,$AT$1)),"*云飞*")=1,COUNTIF(IF(AND(配装计算器!$K$30&lt;&gt;"∞",0),INDEX(AU431:CB431,1,$AT$1),INDEX(AU433:CB433,1,$AT$1)),"*玉山*")=0),N432,0)</f>
        <v>0</v>
      </c>
      <c r="P432">
        <f ca="1">IFERROR(IF(COUNTIF(B432,"*云栖松*")&gt;0,50-加速!$L$11,MAX(0,P431-(A432-A431))),0)</f>
        <v>0</v>
      </c>
      <c r="Q432">
        <f ca="1">IF(COUNTIF(IF(AND(配装计算器!$K$30&lt;&gt;"∞",0),INDEX(AU431:CB431,1,$AT$1),INDEX(AU433:CB433,1,$AT$1)),"*云栖松*")=1,P432,0)</f>
        <v>0</v>
      </c>
      <c r="R432">
        <f ca="1">IFERROR(IF(COUNTIF(B432,"*莺鸣柳*")&gt;0,45-加速!$L$9,MAX(0,R431-(A432-A431))),0)</f>
        <v>0</v>
      </c>
      <c r="S432">
        <f ca="1">IF(COUNTIF(IF(AND(配装计算器!$K$30&lt;&gt;"∞",0),INDEX(AU431:CB431,1,$AT$1),INDEX(AU433:CB433,1,$AT$1)),"*莺鸣柳*")=1,R432,0)</f>
        <v>0</v>
      </c>
      <c r="T432">
        <f ca="1" t="shared" si="120"/>
        <v>0</v>
      </c>
      <c r="U432">
        <f ca="1">IF(金蛇,IF(COUNTIF(B432,"*金环戴*")+COUNTIF(B432,"*吹风醒*")&gt;0,IF(A432&lt;=3,7.125-2.625-A432-加速!$L$11,7.125+加速!$K$9-(A432+加速!$L$11-T432)),0),0)+IF(金蛇,IF(COUNTIF(B432,"*千切子裂光*")&gt;0,2+加速!$K$9-(A432+加速!$L$11-T432),0),0)</f>
        <v>0</v>
      </c>
      <c r="V432">
        <f ca="1" t="shared" si="121"/>
        <v>0</v>
      </c>
      <c r="W432">
        <f ca="1" t="shared" si="113"/>
        <v>0</v>
      </c>
      <c r="X432">
        <f ca="1">INDEX(加速!$I$13:$I$21,W432+1)</f>
        <v>0</v>
      </c>
      <c r="Y432">
        <f ca="1" t="shared" si="122"/>
        <v>0.5</v>
      </c>
      <c r="Z432">
        <f ca="1" t="shared" si="118"/>
        <v>0</v>
      </c>
      <c r="AA432">
        <f ca="1">MAX(0,IFERROR(IF(COUNTIF(B432,"*叠*")&gt;0,IF(AC431&lt;3,8-A433+A432,AA431+6.875-A433+A432),AA431-A433+A432),AA431-加速!$L$11))</f>
        <v>0</v>
      </c>
      <c r="AB432" t="e">
        <f ca="1">MAX(0,IF(COUNTIF(IF(AND(配装计算器!$K$30&lt;&gt;"∞",0),INDEX(AU432:CB432,1,$AT$1),INDEX(AU432:CB432,1,$AT$1)),"*叠1*")=1,4*25-加速!$L$11,AB431-A432+A431)-IF(OR(COUNTIF(OFFSET(AT432,0,$AT$1,1,1),"*听雷*")&gt;0,AND(碧归&gt;0,COUNTIF(OFFSET(AT432,0,$AT$1,1,1),"*风来*")&gt;0)),0,1)*1.5)</f>
        <v>#VALUE!</v>
      </c>
      <c r="AC432">
        <f ca="1" t="shared" si="114"/>
        <v>0</v>
      </c>
      <c r="AD432">
        <f ca="1">IF(COUNTIF(IF(AND(配装计算器!$K$30&lt;&gt;"∞",0),INDEX(AU432:CB432,1,$AT$1),INDEX(AU433:CB433,1,$AT$1)),"*叠1*")=1,AB432*0+AE431,0)</f>
        <v>0</v>
      </c>
      <c r="AE432" t="e">
        <f ca="1">IF($AN$11&gt;0,IF(COUNTIF(B433,"*叠1*")&gt;0,50-加速!$L$11,MAX(0,AE431-(A433-A432))),0)</f>
        <v>#VALUE!</v>
      </c>
      <c r="AG432">
        <f ca="1" t="shared" si="115"/>
        <v>12</v>
      </c>
      <c r="AU432" t="s">
        <v>2768</v>
      </c>
      <c r="AV432">
        <v>2</v>
      </c>
      <c r="AW432" s="176" t="s">
        <v>2776</v>
      </c>
      <c r="AX432">
        <v>2</v>
      </c>
      <c r="AY432" t="s">
        <v>2768</v>
      </c>
      <c r="AZ432">
        <v>2</v>
      </c>
      <c r="BA432" t="s">
        <v>2776</v>
      </c>
      <c r="BB432">
        <v>1</v>
      </c>
      <c r="BC432" s="176" t="s">
        <v>3026</v>
      </c>
      <c r="BD432">
        <v>2</v>
      </c>
      <c r="BE432" t="s">
        <v>2794</v>
      </c>
      <c r="BF432">
        <v>1</v>
      </c>
      <c r="BG432" s="176" t="s">
        <v>2794</v>
      </c>
      <c r="BH432">
        <v>1</v>
      </c>
      <c r="BI432" t="s">
        <v>2776</v>
      </c>
      <c r="BJ432">
        <v>2</v>
      </c>
      <c r="BK432" t="s">
        <v>2776</v>
      </c>
      <c r="BL432">
        <v>1</v>
      </c>
      <c r="BM432" t="s">
        <v>2768</v>
      </c>
      <c r="BN432">
        <v>2</v>
      </c>
      <c r="BO432" s="176" t="s">
        <v>2776</v>
      </c>
      <c r="BP432">
        <v>2</v>
      </c>
      <c r="BQ432" t="s">
        <v>2776</v>
      </c>
      <c r="BR432">
        <v>1</v>
      </c>
      <c r="BS432" s="182" t="s">
        <v>2768</v>
      </c>
      <c r="BT432">
        <v>2</v>
      </c>
      <c r="BU432" t="s">
        <v>2776</v>
      </c>
      <c r="BV432">
        <v>0</v>
      </c>
      <c r="BW432" s="182" t="s">
        <v>2768</v>
      </c>
      <c r="BX432" s="179">
        <v>2</v>
      </c>
      <c r="BY432" t="s">
        <v>2768</v>
      </c>
      <c r="BZ432">
        <v>2</v>
      </c>
      <c r="CA432" s="176" t="str">
        <f>IF(秋,"金环戴","吹风醒")</f>
        <v>吹风醒</v>
      </c>
      <c r="CB432">
        <v>2</v>
      </c>
    </row>
    <row r="433" spans="1:80">
      <c r="A433" s="178" t="str">
        <f ca="1">IFERROR(IF(AG432&lt;5+金蛇*2,IF(COUNTIF(B432,"*轻*")&gt;0,A432+加速!$L$9,A432+加速!$L$11)+V432,""),"")</f>
        <v/>
      </c>
      <c r="B433" s="167" t="str">
        <f ca="1" t="shared" si="110"/>
        <v/>
      </c>
      <c r="C433" t="str">
        <f ca="1" t="shared" si="119"/>
        <v/>
      </c>
      <c r="D433" t="str">
        <f ca="1">IF(B433&lt;&gt;"",IF(C432&lt;=加速!$L$11*(1-E433),0,1),"")</f>
        <v/>
      </c>
      <c r="E433">
        <f ca="1" t="shared" si="116"/>
        <v>1</v>
      </c>
      <c r="G433" t="str">
        <f ca="1" t="shared" si="117"/>
        <v/>
      </c>
      <c r="H433" t="str">
        <f ca="1">IF(B433&lt;&gt;"",IF(AND(COUNTIF(B432,"*轻*莺鸣柳*")&gt;0,COUNTIF(B433,"*轻*")&lt;1),MAX(0,15+I432-(A433-A432)+COUNTIF(B432,"*平湖*")*0),IF(AND(E433=0,MAX(0,H432-(A433-A432))&lt;=加速!$H$11),0,MAX(0,H432-(A433-A432)))),"")</f>
        <v/>
      </c>
      <c r="I433" t="str">
        <f ca="1" t="shared" si="123"/>
        <v/>
      </c>
      <c r="J433" t="str">
        <f ca="1" t="shared" si="124"/>
        <v/>
      </c>
      <c r="K433" t="str">
        <f ca="1" t="shared" si="111"/>
        <v/>
      </c>
      <c r="L433">
        <f ca="1">IFERROR(IF(AND(COUNTIF(B433,"*-峰插*"),技能数据库!$M$72&gt;0),0,IF(COUNTIF(B433,"*鹤归*")&gt;0,16-加速!$L$11,MAX(0,L432-(A433-A432)))),0)</f>
        <v>0</v>
      </c>
      <c r="M433">
        <f ca="1" t="shared" si="112"/>
        <v>0</v>
      </c>
      <c r="N433">
        <f ca="1">IFERROR(IF(AND(COUNTIF(B433,"*-峰插*"),技能数据库!$M$72&gt;0),0,IF(COUNTIF(B433,"*云飞*")&gt;0,4-COUNTIF(B433,"*玉山揽云*")*4--COUNTIF(B433,"*烟流暮景*")*4-COUNTIF(B433,"*云景*")*加速!$L$11-IF(J433&gt;0,2,0),MAX(0,N432-(A433-A432)-IF(J433&gt;0,2,0)))),0)</f>
        <v>0</v>
      </c>
      <c r="O433">
        <f ca="1">IF(AND(COUNTIF(IF(AND(配装计算器!$K$30&lt;&gt;"∞",0),INDEX(AU432:CB432,1,$AT$1),INDEX(AU434:CB434,1,$AT$1)),"*云飞*")=1,COUNTIF(IF(AND(配装计算器!$K$30&lt;&gt;"∞",0),INDEX(AU432:CB432,1,$AT$1),INDEX(AU434:CB434,1,$AT$1)),"*玉山*")=0),N433,0)</f>
        <v>0</v>
      </c>
      <c r="P433">
        <f ca="1">IFERROR(IF(COUNTIF(B433,"*云栖松*")&gt;0,50-加速!$L$11,MAX(0,P432-(A433-A432))),0)</f>
        <v>0</v>
      </c>
      <c r="Q433">
        <f ca="1">IF(COUNTIF(IF(AND(配装计算器!$K$30&lt;&gt;"∞",0),INDEX(AU432:CB432,1,$AT$1),INDEX(AU434:CB434,1,$AT$1)),"*云栖松*")=1,P433,0)</f>
        <v>0</v>
      </c>
      <c r="R433">
        <f ca="1">IFERROR(IF(COUNTIF(B433,"*莺鸣柳*")&gt;0,45-加速!$L$9,MAX(0,R432-(A433-A432))),0)</f>
        <v>0</v>
      </c>
      <c r="S433">
        <f ca="1">IF(COUNTIF(IF(AND(配装计算器!$K$30&lt;&gt;"∞",0),INDEX(AU432:CB432,1,$AT$1),INDEX(AU434:CB434,1,$AT$1)),"*莺鸣柳*")=1,R433,0)</f>
        <v>0</v>
      </c>
      <c r="T433">
        <f ca="1" t="shared" si="120"/>
        <v>0</v>
      </c>
      <c r="U433">
        <f ca="1">IF(金蛇,IF(COUNTIF(B433,"*金环戴*")+COUNTIF(B433,"*吹风醒*")&gt;0,IF(A433&lt;=3,7.125-2.625-A433-加速!$L$11,7.125+加速!$K$9-(A433+加速!$L$11-T433)),0),0)+IF(金蛇,IF(COUNTIF(B433,"*千切子裂光*")&gt;0,2+加速!$K$9-(A433+加速!$L$11-T433),0),0)</f>
        <v>0</v>
      </c>
      <c r="V433">
        <f ca="1" t="shared" si="121"/>
        <v>0</v>
      </c>
      <c r="W433">
        <f ca="1" t="shared" si="113"/>
        <v>0</v>
      </c>
      <c r="X433">
        <f ca="1">INDEX(加速!$I$13:$I$21,W433+1)</f>
        <v>0</v>
      </c>
      <c r="Y433">
        <f ca="1" t="shared" si="122"/>
        <v>0.5</v>
      </c>
      <c r="Z433">
        <f ca="1" t="shared" si="118"/>
        <v>0</v>
      </c>
      <c r="AA433">
        <f ca="1">MAX(0,IFERROR(IF(COUNTIF(B433,"*叠*")&gt;0,IF(AC432&lt;3,8-A434+A433,AA432+6.875-A434+A433),AA432-A434+A433),AA432-加速!$L$11))</f>
        <v>0</v>
      </c>
      <c r="AB433" t="e">
        <f ca="1">MAX(0,IF(COUNTIF(IF(AND(配装计算器!$K$30&lt;&gt;"∞",0),INDEX(AU433:CB433,1,$AT$1),INDEX(AU433:CB433,1,$AT$1)),"*叠1*")=1,4*25-加速!$L$11,AB432-A433+A432)-IF(OR(COUNTIF(OFFSET(AT433,0,$AT$1,1,1),"*听雷*")&gt;0,AND(碧归&gt;0,COUNTIF(OFFSET(AT433,0,$AT$1,1,1),"*风来*")&gt;0)),0,1)*1.5)</f>
        <v>#VALUE!</v>
      </c>
      <c r="AC433">
        <f ca="1" t="shared" si="114"/>
        <v>0</v>
      </c>
      <c r="AD433">
        <f ca="1">IF(COUNTIF(IF(AND(配装计算器!$K$30&lt;&gt;"∞",0),INDEX(AU433:CB433,1,$AT$1),INDEX(AU434:CB434,1,$AT$1)),"*叠1*")=1,AB433*0+AE432,0)</f>
        <v>0</v>
      </c>
      <c r="AE433" t="e">
        <f ca="1">IF($AN$11&gt;0,IF(COUNTIF(B434,"*叠1*")&gt;0,50-加速!$L$11,MAX(0,AE432-(A434-A433))),0)</f>
        <v>#VALUE!</v>
      </c>
      <c r="AG433">
        <f ca="1" t="shared" si="115"/>
        <v>12</v>
      </c>
      <c r="AU433" t="str">
        <f>IF($AN$11=1,"云飞玉皇-玉山揽云","夕照雷峰")</f>
        <v>云飞玉皇-玉山揽云</v>
      </c>
      <c r="AV433">
        <v>2</v>
      </c>
      <c r="AW433" s="176" t="s">
        <v>2768</v>
      </c>
      <c r="AX433">
        <v>2</v>
      </c>
      <c r="AY433" t="s">
        <v>2768</v>
      </c>
      <c r="AZ433">
        <v>2</v>
      </c>
      <c r="BA433" t="s">
        <v>2768</v>
      </c>
      <c r="BB433">
        <v>1</v>
      </c>
      <c r="BC433" s="176" t="s">
        <v>3026</v>
      </c>
      <c r="BD433">
        <v>2</v>
      </c>
      <c r="BE433" t="s">
        <v>2768</v>
      </c>
      <c r="BF433">
        <v>1</v>
      </c>
      <c r="BG433" t="s">
        <v>2776</v>
      </c>
      <c r="BH433">
        <v>1</v>
      </c>
      <c r="BI433" t="s">
        <v>2768</v>
      </c>
      <c r="BJ433">
        <v>2</v>
      </c>
      <c r="BK433" t="s">
        <v>2768</v>
      </c>
      <c r="BL433">
        <v>0</v>
      </c>
      <c r="BM433" t="s">
        <v>1886</v>
      </c>
      <c r="BN433">
        <v>2</v>
      </c>
      <c r="BO433" s="176" t="s">
        <v>2768</v>
      </c>
      <c r="BP433">
        <v>2</v>
      </c>
      <c r="BQ433" t="s">
        <v>2768</v>
      </c>
      <c r="BR433">
        <v>0</v>
      </c>
      <c r="BS433" s="182" t="s">
        <v>3085</v>
      </c>
      <c r="BT433">
        <v>2</v>
      </c>
      <c r="BU433" t="s">
        <v>3067</v>
      </c>
      <c r="BV433">
        <v>0</v>
      </c>
      <c r="BW433" s="182" t="str">
        <f>IF(秋,"云飞玉皇","云飞玉皇·云景")</f>
        <v>云飞玉皇·云景</v>
      </c>
      <c r="BX433" s="179">
        <v>2</v>
      </c>
      <c r="BY433" t="s">
        <v>1886</v>
      </c>
      <c r="BZ433">
        <v>2</v>
      </c>
      <c r="CA433" s="176" t="s">
        <v>2768</v>
      </c>
      <c r="CB433">
        <v>2</v>
      </c>
    </row>
    <row r="434" spans="1:80">
      <c r="A434" s="178" t="str">
        <f ca="1">IFERROR(IF(AG433&lt;5+金蛇*2,IF(COUNTIF(B433,"*轻*")&gt;0,A433+加速!$L$9,A433+加速!$L$11)+V433,""),"")</f>
        <v/>
      </c>
      <c r="B434" s="167" t="str">
        <f ca="1" t="shared" si="110"/>
        <v/>
      </c>
      <c r="C434" t="str">
        <f ca="1" t="shared" si="119"/>
        <v/>
      </c>
      <c r="D434" t="str">
        <f ca="1">IF(B434&lt;&gt;"",IF(C433&lt;=加速!$L$11*(1-E434),0,1),"")</f>
        <v/>
      </c>
      <c r="E434">
        <f ca="1" t="shared" si="116"/>
        <v>1</v>
      </c>
      <c r="G434" t="str">
        <f ca="1" t="shared" si="117"/>
        <v/>
      </c>
      <c r="H434" t="str">
        <f ca="1">IF(B434&lt;&gt;"",IF(AND(COUNTIF(B433,"*轻*莺鸣柳*")&gt;0,COUNTIF(B434,"*轻*")&lt;1),MAX(0,15+I433-(A434-A433)+COUNTIF(B433,"*平湖*")*0),IF(AND(E434=0,MAX(0,H433-(A434-A433))&lt;=加速!$H$11),0,MAX(0,H433-(A434-A433)))),"")</f>
        <v/>
      </c>
      <c r="I434" t="str">
        <f ca="1" t="shared" si="123"/>
        <v/>
      </c>
      <c r="J434" t="str">
        <f ca="1" t="shared" si="124"/>
        <v/>
      </c>
      <c r="K434" t="str">
        <f ca="1" t="shared" si="111"/>
        <v/>
      </c>
      <c r="L434">
        <f ca="1">IFERROR(IF(AND(COUNTIF(B434,"*-峰插*"),技能数据库!$M$72&gt;0),0,IF(COUNTIF(B434,"*鹤归*")&gt;0,16-加速!$L$11,MAX(0,L433-(A434-A433)))),0)</f>
        <v>0</v>
      </c>
      <c r="M434">
        <f ca="1" t="shared" si="112"/>
        <v>0</v>
      </c>
      <c r="N434">
        <f ca="1">IFERROR(IF(AND(COUNTIF(B434,"*-峰插*"),技能数据库!$M$72&gt;0),0,IF(COUNTIF(B434,"*云飞*")&gt;0,4-COUNTIF(B434,"*玉山揽云*")*4--COUNTIF(B434,"*烟流暮景*")*4-COUNTIF(B434,"*云景*")*加速!$L$11-IF(J434&gt;0,2,0),MAX(0,N433-(A434-A433)-IF(J434&gt;0,2,0)))),0)</f>
        <v>0</v>
      </c>
      <c r="O434">
        <f ca="1">IF(AND(COUNTIF(IF(AND(配装计算器!$K$30&lt;&gt;"∞",0),INDEX(AU433:CB433,1,$AT$1),INDEX(AU435:CB435,1,$AT$1)),"*云飞*")=1,COUNTIF(IF(AND(配装计算器!$K$30&lt;&gt;"∞",0),INDEX(AU433:CB433,1,$AT$1),INDEX(AU435:CB435,1,$AT$1)),"*玉山*")=0),N434,0)</f>
        <v>0</v>
      </c>
      <c r="P434">
        <f ca="1">IFERROR(IF(COUNTIF(B434,"*云栖松*")&gt;0,50-加速!$L$11,MAX(0,P433-(A434-A433))),0)</f>
        <v>0</v>
      </c>
      <c r="Q434">
        <f ca="1">IF(COUNTIF(IF(AND(配装计算器!$K$30&lt;&gt;"∞",0),INDEX(AU433:CB433,1,$AT$1),INDEX(AU435:CB435,1,$AT$1)),"*云栖松*")=1,P434,0)</f>
        <v>0</v>
      </c>
      <c r="R434">
        <f ca="1">IFERROR(IF(COUNTIF(B434,"*莺鸣柳*")&gt;0,45-加速!$L$9,MAX(0,R433-(A434-A433))),0)</f>
        <v>0</v>
      </c>
      <c r="S434">
        <f ca="1">IF(COUNTIF(IF(AND(配装计算器!$K$30&lt;&gt;"∞",0),INDEX(AU433:CB433,1,$AT$1),INDEX(AU435:CB435,1,$AT$1)),"*莺鸣柳*")=1,R434,0)</f>
        <v>0</v>
      </c>
      <c r="T434">
        <f ca="1" t="shared" si="120"/>
        <v>0</v>
      </c>
      <c r="U434">
        <f ca="1">IF(金蛇,IF(COUNTIF(B434,"*金环戴*")+COUNTIF(B434,"*吹风醒*")&gt;0,IF(A434&lt;=3,7.125-2.625-A434-加速!$L$11,7.125+加速!$K$9-(A434+加速!$L$11-T434)),0),0)+IF(金蛇,IF(COUNTIF(B434,"*千切子裂光*")&gt;0,2+加速!$K$9-(A434+加速!$L$11-T434),0),0)</f>
        <v>0</v>
      </c>
      <c r="V434">
        <f ca="1" t="shared" si="121"/>
        <v>0</v>
      </c>
      <c r="W434">
        <f ca="1" t="shared" si="113"/>
        <v>0</v>
      </c>
      <c r="X434">
        <f ca="1">INDEX(加速!$I$13:$I$21,W434+1)</f>
        <v>0</v>
      </c>
      <c r="Y434">
        <f ca="1" t="shared" si="122"/>
        <v>0.5</v>
      </c>
      <c r="Z434">
        <f ca="1" t="shared" si="118"/>
        <v>0</v>
      </c>
      <c r="AA434">
        <f ca="1">MAX(0,IFERROR(IF(COUNTIF(B434,"*叠*")&gt;0,IF(AC433&lt;3,8-A435+A434,AA433+6.875-A435+A434),AA433-A435+A434),AA433-加速!$L$11))</f>
        <v>0</v>
      </c>
      <c r="AB434" t="e">
        <f ca="1">MAX(0,IF(COUNTIF(IF(AND(配装计算器!$K$30&lt;&gt;"∞",0),INDEX(AU434:CB434,1,$AT$1),INDEX(AU434:CB434,1,$AT$1)),"*叠1*")=1,4*25-加速!$L$11,AB433-A434+A433)-IF(OR(COUNTIF(OFFSET(AT434,0,$AT$1,1,1),"*听雷*")&gt;0,AND(碧归&gt;0,COUNTIF(OFFSET(AT434,0,$AT$1,1,1),"*风来*")&gt;0)),0,1)*1.5)</f>
        <v>#VALUE!</v>
      </c>
      <c r="AC434">
        <f ca="1" t="shared" si="114"/>
        <v>0</v>
      </c>
      <c r="AD434">
        <f ca="1">IF(COUNTIF(IF(AND(配装计算器!$K$30&lt;&gt;"∞",0),INDEX(AU434:CB434,1,$AT$1),INDEX(AU435:CB435,1,$AT$1)),"*叠1*")=1,AB434*0+AE433,0)</f>
        <v>0</v>
      </c>
      <c r="AE434" t="e">
        <f ca="1">IF($AN$11&gt;0,IF(COUNTIF(B435,"*叠1*")&gt;0,50-加速!$L$11,MAX(0,AE433-(A435-A434))),0)</f>
        <v>#VALUE!</v>
      </c>
      <c r="AG434">
        <f ca="1" t="shared" si="115"/>
        <v>12</v>
      </c>
      <c r="AU434" t="str">
        <f>IF($AN$11=1,"云飞玉皇-玉山揽云","云飞玉皇")</f>
        <v>云飞玉皇-玉山揽云</v>
      </c>
      <c r="AV434">
        <v>2</v>
      </c>
      <c r="AW434" t="s">
        <v>3056</v>
      </c>
      <c r="AX434">
        <v>1</v>
      </c>
      <c r="AY434" t="s">
        <v>2768</v>
      </c>
      <c r="AZ434">
        <v>1</v>
      </c>
      <c r="BA434" t="s">
        <v>2768</v>
      </c>
      <c r="BB434">
        <v>0</v>
      </c>
      <c r="BC434" s="176" t="s">
        <v>3026</v>
      </c>
      <c r="BD434">
        <v>2</v>
      </c>
      <c r="BE434" t="s">
        <v>2776</v>
      </c>
      <c r="BF434">
        <v>1</v>
      </c>
      <c r="BG434" t="s">
        <v>2768</v>
      </c>
      <c r="BH434">
        <v>1</v>
      </c>
      <c r="BI434" t="s">
        <v>2776</v>
      </c>
      <c r="BJ434">
        <v>2</v>
      </c>
      <c r="BK434" t="s">
        <v>3056</v>
      </c>
      <c r="BL434">
        <v>0</v>
      </c>
      <c r="BM434" t="s">
        <v>2853</v>
      </c>
      <c r="BN434">
        <v>2</v>
      </c>
      <c r="BO434" s="176" t="s">
        <v>2776</v>
      </c>
      <c r="BP434">
        <v>2</v>
      </c>
      <c r="BQ434" t="s">
        <v>2768</v>
      </c>
      <c r="BR434">
        <v>0</v>
      </c>
      <c r="BS434" s="182" t="s">
        <v>3084</v>
      </c>
      <c r="BT434">
        <v>2</v>
      </c>
      <c r="BU434" t="s">
        <v>2768</v>
      </c>
      <c r="BV434">
        <v>2</v>
      </c>
      <c r="BW434" s="179" t="s">
        <v>2722</v>
      </c>
      <c r="BX434" s="179">
        <v>2</v>
      </c>
      <c r="BY434" t="s">
        <v>2853</v>
      </c>
      <c r="BZ434">
        <v>2</v>
      </c>
      <c r="CA434" s="176" t="str">
        <f>IF(秋,"云飞玉皇","云飞玉皇·云景")</f>
        <v>云飞玉皇·云景</v>
      </c>
      <c r="CB434">
        <v>2</v>
      </c>
    </row>
    <row r="435" spans="1:80">
      <c r="A435" s="178" t="str">
        <f ca="1">IFERROR(IF(AG434&lt;5+金蛇*2,IF(COUNTIF(B434,"*轻*")&gt;0,A434+加速!$L$9,A434+加速!$L$11)+V434,""),"")</f>
        <v/>
      </c>
      <c r="B435" s="167" t="str">
        <f ca="1" t="shared" si="110"/>
        <v/>
      </c>
      <c r="C435" t="str">
        <f ca="1" t="shared" si="119"/>
        <v/>
      </c>
      <c r="D435" t="str">
        <f ca="1">IF(B435&lt;&gt;"",IF(C434&lt;=加速!$L$11*(1-E435),0,1),"")</f>
        <v/>
      </c>
      <c r="E435">
        <f ca="1" t="shared" si="116"/>
        <v>1</v>
      </c>
      <c r="G435" t="str">
        <f ca="1" t="shared" si="117"/>
        <v/>
      </c>
      <c r="H435" t="str">
        <f ca="1">IF(B435&lt;&gt;"",IF(AND(COUNTIF(B434,"*轻*莺鸣柳*")&gt;0,COUNTIF(B435,"*轻*")&lt;1),MAX(0,15+I434-(A435-A434)+COUNTIF(B434,"*平湖*")*0),IF(AND(E435=0,MAX(0,H434-(A435-A434))&lt;=加速!$H$11),0,MAX(0,H434-(A435-A434)))),"")</f>
        <v/>
      </c>
      <c r="I435" t="str">
        <f ca="1" t="shared" si="123"/>
        <v/>
      </c>
      <c r="J435" t="str">
        <f ca="1" t="shared" si="124"/>
        <v/>
      </c>
      <c r="K435" t="str">
        <f ca="1" t="shared" si="111"/>
        <v/>
      </c>
      <c r="L435">
        <f ca="1">IFERROR(IF(AND(COUNTIF(B435,"*-峰插*"),技能数据库!$M$72&gt;0),0,IF(COUNTIF(B435,"*鹤归*")&gt;0,16-加速!$L$11,MAX(0,L434-(A435-A434)))),0)</f>
        <v>0</v>
      </c>
      <c r="M435">
        <f ca="1" t="shared" si="112"/>
        <v>0</v>
      </c>
      <c r="N435">
        <f ca="1">IFERROR(IF(AND(COUNTIF(B435,"*-峰插*"),技能数据库!$M$72&gt;0),0,IF(COUNTIF(B435,"*云飞*")&gt;0,4-COUNTIF(B435,"*玉山揽云*")*4--COUNTIF(B435,"*烟流暮景*")*4-COUNTIF(B435,"*云景*")*加速!$L$11-IF(J435&gt;0,2,0),MAX(0,N434-(A435-A434)-IF(J435&gt;0,2,0)))),0)</f>
        <v>0</v>
      </c>
      <c r="O435">
        <f ca="1">IF(AND(COUNTIF(IF(AND(配装计算器!$K$30&lt;&gt;"∞",0),INDEX(AU434:CB434,1,$AT$1),INDEX(AU436:CB436,1,$AT$1)),"*云飞*")=1,COUNTIF(IF(AND(配装计算器!$K$30&lt;&gt;"∞",0),INDEX(AU434:CB434,1,$AT$1),INDEX(AU436:CB436,1,$AT$1)),"*玉山*")=0),N435,0)</f>
        <v>0</v>
      </c>
      <c r="P435">
        <f ca="1">IFERROR(IF(COUNTIF(B435,"*云栖松*")&gt;0,50-加速!$L$11,MAX(0,P434-(A435-A434))),0)</f>
        <v>0</v>
      </c>
      <c r="Q435">
        <f ca="1">IF(COUNTIF(IF(AND(配装计算器!$K$30&lt;&gt;"∞",0),INDEX(AU434:CB434,1,$AT$1),INDEX(AU436:CB436,1,$AT$1)),"*云栖松*")=1,P435,0)</f>
        <v>0</v>
      </c>
      <c r="R435">
        <f ca="1">IFERROR(IF(COUNTIF(B435,"*莺鸣柳*")&gt;0,45-加速!$L$9,MAX(0,R434-(A435-A434))),0)</f>
        <v>0</v>
      </c>
      <c r="S435">
        <f ca="1">IF(COUNTIF(IF(AND(配装计算器!$K$30&lt;&gt;"∞",0),INDEX(AU434:CB434,1,$AT$1),INDEX(AU436:CB436,1,$AT$1)),"*莺鸣柳*")=1,R435,0)</f>
        <v>0</v>
      </c>
      <c r="T435">
        <f ca="1" t="shared" si="120"/>
        <v>0</v>
      </c>
      <c r="U435">
        <f ca="1">IF(金蛇,IF(COUNTIF(B435,"*金环戴*")+COUNTIF(B435,"*吹风醒*")&gt;0,IF(A435&lt;=3,7.125-2.625-A435-加速!$L$11,7.125+加速!$K$9-(A435+加速!$L$11-T435)),0),0)+IF(金蛇,IF(COUNTIF(B435,"*千切子裂光*")&gt;0,2+加速!$K$9-(A435+加速!$L$11-T435),0),0)</f>
        <v>0</v>
      </c>
      <c r="V435">
        <f ca="1" t="shared" si="121"/>
        <v>0</v>
      </c>
      <c r="W435">
        <f ca="1" t="shared" si="113"/>
        <v>0</v>
      </c>
      <c r="X435">
        <f ca="1">INDEX(加速!$I$13:$I$21,W435+1)</f>
        <v>0</v>
      </c>
      <c r="Y435">
        <f ca="1" t="shared" si="122"/>
        <v>0.5</v>
      </c>
      <c r="Z435">
        <f ca="1" t="shared" si="118"/>
        <v>0</v>
      </c>
      <c r="AA435">
        <f ca="1">MAX(0,IFERROR(IF(COUNTIF(B435,"*叠*")&gt;0,IF(AC434&lt;3,8-A436+A435,AA434+6.875-A436+A435),AA434-A436+A435),AA434-加速!$L$11))</f>
        <v>0</v>
      </c>
      <c r="AB435" t="e">
        <f ca="1">MAX(0,IF(COUNTIF(IF(AND(配装计算器!$K$30&lt;&gt;"∞",0),INDEX(AU435:CB435,1,$AT$1),INDEX(AU435:CB435,1,$AT$1)),"*叠1*")=1,4*25-加速!$L$11,AB434-A435+A434)-IF(OR(COUNTIF(OFFSET(AT435,0,$AT$1,1,1),"*听雷*")&gt;0,AND(碧归&gt;0,COUNTIF(OFFSET(AT435,0,$AT$1,1,1),"*风来*")&gt;0)),0,1)*1.5)</f>
        <v>#VALUE!</v>
      </c>
      <c r="AC435">
        <f ca="1" t="shared" si="114"/>
        <v>0</v>
      </c>
      <c r="AD435">
        <f ca="1">IF(COUNTIF(IF(AND(配装计算器!$K$30&lt;&gt;"∞",0),INDEX(AU435:CB435,1,$AT$1),INDEX(AU436:CB436,1,$AT$1)),"*叠1*")=1,AB435*0+AE434,0)</f>
        <v>0</v>
      </c>
      <c r="AE435" t="e">
        <f ca="1">IF($AN$11&gt;0,IF(COUNTIF(B436,"*叠1*")&gt;0,50-加速!$L$11,MAX(0,AE434-(A436-A435))),0)</f>
        <v>#VALUE!</v>
      </c>
      <c r="AG435">
        <f ca="1" t="shared" si="115"/>
        <v>12</v>
      </c>
      <c r="AU435" t="str">
        <f>IF($AN$11=1,"云飞玉皇-玉山揽云","夕照雷峰")</f>
        <v>云飞玉皇-玉山揽云</v>
      </c>
      <c r="AV435">
        <v>2</v>
      </c>
      <c r="AW435" t="s">
        <v>2768</v>
      </c>
      <c r="AX435">
        <v>2</v>
      </c>
      <c r="AY435" t="s">
        <v>2776</v>
      </c>
      <c r="AZ435">
        <v>1</v>
      </c>
      <c r="BA435" t="s">
        <v>3010</v>
      </c>
      <c r="BB435">
        <v>2</v>
      </c>
      <c r="BC435" t="s">
        <v>3013</v>
      </c>
      <c r="BD435">
        <v>2</v>
      </c>
      <c r="BE435" t="s">
        <v>2768</v>
      </c>
      <c r="BF435">
        <v>0</v>
      </c>
      <c r="BG435" t="s">
        <v>3011</v>
      </c>
      <c r="BH435">
        <v>2</v>
      </c>
      <c r="BI435" t="s">
        <v>2768</v>
      </c>
      <c r="BJ435">
        <v>2</v>
      </c>
      <c r="BK435" t="s">
        <v>2768</v>
      </c>
      <c r="BL435">
        <v>2</v>
      </c>
      <c r="BM435" s="176" t="s">
        <v>2850</v>
      </c>
      <c r="BN435">
        <f>IF(0,2,0)</f>
        <v>0</v>
      </c>
      <c r="BO435" s="176" t="s">
        <v>2768</v>
      </c>
      <c r="BP435">
        <v>2</v>
      </c>
      <c r="BQ435" t="s">
        <v>3067</v>
      </c>
      <c r="BR435">
        <v>0</v>
      </c>
      <c r="BS435" s="176" t="s">
        <v>2768</v>
      </c>
      <c r="BT435">
        <v>2</v>
      </c>
      <c r="BU435" t="s">
        <v>2768</v>
      </c>
      <c r="BV435">
        <v>2</v>
      </c>
      <c r="BW435" s="179" t="s">
        <v>3009</v>
      </c>
      <c r="BX435" s="179">
        <v>2</v>
      </c>
      <c r="BY435" s="176" t="s">
        <v>2850</v>
      </c>
      <c r="BZ435">
        <f>IF(0,2,0)</f>
        <v>0</v>
      </c>
      <c r="CA435" t="str">
        <f>IF(0,"云飞玉皇","夕照雷峰")</f>
        <v>夕照雷峰</v>
      </c>
      <c r="CB435">
        <f>IF(0,2,2)</f>
        <v>2</v>
      </c>
    </row>
    <row r="436" spans="1:80">
      <c r="A436" s="178" t="str">
        <f ca="1">IFERROR(IF(AG435&lt;5+金蛇*2,IF(COUNTIF(B435,"*轻*")&gt;0,A435+加速!$L$9,A435+加速!$L$11)+V435,""),"")</f>
        <v/>
      </c>
      <c r="B436" s="167" t="str">
        <f ca="1" t="shared" si="110"/>
        <v/>
      </c>
      <c r="C436" t="str">
        <f ca="1" t="shared" si="119"/>
        <v/>
      </c>
      <c r="D436" t="str">
        <f ca="1">IF(B436&lt;&gt;"",IF(C435&lt;=加速!$L$11*(1-E436),0,1),"")</f>
        <v/>
      </c>
      <c r="E436">
        <f ca="1" t="shared" si="116"/>
        <v>1</v>
      </c>
      <c r="G436" t="str">
        <f ca="1" t="shared" si="117"/>
        <v/>
      </c>
      <c r="H436" t="str">
        <f ca="1">IF(B436&lt;&gt;"",IF(AND(COUNTIF(B435,"*轻*莺鸣柳*")&gt;0,COUNTIF(B436,"*轻*")&lt;1),MAX(0,15+I435-(A436-A435)+COUNTIF(B435,"*平湖*")*0),IF(AND(E436=0,MAX(0,H435-(A436-A435))&lt;=加速!$H$11),0,MAX(0,H435-(A436-A435)))),"")</f>
        <v/>
      </c>
      <c r="I436" t="str">
        <f ca="1" t="shared" si="123"/>
        <v/>
      </c>
      <c r="J436" t="str">
        <f ca="1" t="shared" si="124"/>
        <v/>
      </c>
      <c r="K436" t="str">
        <f ca="1" t="shared" si="111"/>
        <v/>
      </c>
      <c r="L436">
        <f ca="1">IFERROR(IF(AND(COUNTIF(B436,"*-峰插*"),技能数据库!$M$72&gt;0),0,IF(COUNTIF(B436,"*鹤归*")&gt;0,16-加速!$L$11,MAX(0,L435-(A436-A435)))),0)</f>
        <v>0</v>
      </c>
      <c r="M436">
        <f ca="1" t="shared" si="112"/>
        <v>0</v>
      </c>
      <c r="N436">
        <f ca="1">IFERROR(IF(AND(COUNTIF(B436,"*-峰插*"),技能数据库!$M$72&gt;0),0,IF(COUNTIF(B436,"*云飞*")&gt;0,4-COUNTIF(B436,"*玉山揽云*")*4--COUNTIF(B436,"*烟流暮景*")*4-COUNTIF(B436,"*云景*")*加速!$L$11-IF(J436&gt;0,2,0),MAX(0,N435-(A436-A435)-IF(J436&gt;0,2,0)))),0)</f>
        <v>0</v>
      </c>
      <c r="O436">
        <f ca="1">IF(AND(COUNTIF(IF(AND(配装计算器!$K$30&lt;&gt;"∞",0),INDEX(AU435:CB435,1,$AT$1),INDEX(AU437:CB437,1,$AT$1)),"*云飞*")=1,COUNTIF(IF(AND(配装计算器!$K$30&lt;&gt;"∞",0),INDEX(AU435:CB435,1,$AT$1),INDEX(AU437:CB437,1,$AT$1)),"*玉山*")=0),N436,0)</f>
        <v>0</v>
      </c>
      <c r="P436">
        <f ca="1">IFERROR(IF(COUNTIF(B436,"*云栖松*")&gt;0,50-加速!$L$11,MAX(0,P435-(A436-A435))),0)</f>
        <v>0</v>
      </c>
      <c r="Q436">
        <f ca="1">IF(COUNTIF(IF(AND(配装计算器!$K$30&lt;&gt;"∞",0),INDEX(AU435:CB435,1,$AT$1),INDEX(AU437:CB437,1,$AT$1)),"*云栖松*")=1,P436,0)</f>
        <v>0</v>
      </c>
      <c r="R436">
        <f ca="1">IFERROR(IF(COUNTIF(B436,"*莺鸣柳*")&gt;0,45-加速!$L$9,MAX(0,R435-(A436-A435))),0)</f>
        <v>0</v>
      </c>
      <c r="S436">
        <f ca="1">IF(COUNTIF(IF(AND(配装计算器!$K$30&lt;&gt;"∞",0),INDEX(AU435:CB435,1,$AT$1),INDEX(AU437:CB437,1,$AT$1)),"*莺鸣柳*")=1,R436,0)</f>
        <v>0</v>
      </c>
      <c r="T436">
        <f ca="1" t="shared" si="120"/>
        <v>0</v>
      </c>
      <c r="U436">
        <f ca="1">IF(金蛇,IF(COUNTIF(B436,"*金环戴*")+COUNTIF(B436,"*吹风醒*")&gt;0,IF(A436&lt;=3,7.125-2.625-A436-加速!$L$11,7.125+加速!$K$9-(A436+加速!$L$11-T436)),0),0)+IF(金蛇,IF(COUNTIF(B436,"*千切子裂光*")&gt;0,2+加速!$K$9-(A436+加速!$L$11-T436),0),0)</f>
        <v>0</v>
      </c>
      <c r="V436">
        <f ca="1" t="shared" si="121"/>
        <v>0</v>
      </c>
      <c r="W436">
        <f ca="1" t="shared" si="113"/>
        <v>0</v>
      </c>
      <c r="X436">
        <f ca="1">INDEX(加速!$I$13:$I$21,W436+1)</f>
        <v>0</v>
      </c>
      <c r="Y436">
        <f ca="1" t="shared" si="122"/>
        <v>0.5</v>
      </c>
      <c r="Z436">
        <f ca="1" t="shared" si="118"/>
        <v>0</v>
      </c>
      <c r="AA436">
        <f ca="1">MAX(0,IFERROR(IF(COUNTIF(B436,"*叠*")&gt;0,IF(AC435&lt;3,8-A437+A436,AA435+6.875-A437+A436),AA435-A437+A436),AA435-加速!$L$11))</f>
        <v>0</v>
      </c>
      <c r="AB436" t="e">
        <f ca="1">MAX(0,IF(COUNTIF(IF(AND(配装计算器!$K$30&lt;&gt;"∞",0),INDEX(AU436:CB436,1,$AT$1),INDEX(AU436:CB436,1,$AT$1)),"*叠1*")=1,4*25-加速!$L$11,AB435-A436+A435)-IF(OR(COUNTIF(OFFSET(AT436,0,$AT$1,1,1),"*听雷*")&gt;0,AND(碧归&gt;0,COUNTIF(OFFSET(AT436,0,$AT$1,1,1),"*风来*")&gt;0)),0,1)*1.5)</f>
        <v>#VALUE!</v>
      </c>
      <c r="AC436">
        <f ca="1" t="shared" si="114"/>
        <v>0</v>
      </c>
      <c r="AD436">
        <f ca="1">IF(COUNTIF(IF(AND(配装计算器!$K$30&lt;&gt;"∞",0),INDEX(AU436:CB436,1,$AT$1),INDEX(AU437:CB437,1,$AT$1)),"*叠1*")=1,AB436*0+AE435,0)</f>
        <v>0</v>
      </c>
      <c r="AE436" t="e">
        <f ca="1">IF($AN$11&gt;0,IF(COUNTIF(B437,"*叠1*")&gt;0,50-加速!$L$11,MAX(0,AE435-(A437-A436))),0)</f>
        <v>#VALUE!</v>
      </c>
      <c r="AG436">
        <f ca="1" t="shared" si="115"/>
        <v>12</v>
      </c>
      <c r="AU436" t="str">
        <f>IF($AN$11=1,橙武补雾锁,"夕照雷峰")</f>
        <v>云飞玉皇-玉山揽云</v>
      </c>
      <c r="AV436">
        <v>2</v>
      </c>
      <c r="AW436" t="s">
        <v>2768</v>
      </c>
      <c r="AX436">
        <v>2</v>
      </c>
      <c r="AY436" t="s">
        <v>2768</v>
      </c>
      <c r="AZ436">
        <v>1</v>
      </c>
      <c r="BA436" t="s">
        <v>3013</v>
      </c>
      <c r="BB436">
        <v>2</v>
      </c>
      <c r="BC436" t="s">
        <v>2808</v>
      </c>
      <c r="BD436">
        <v>2</v>
      </c>
      <c r="BE436" t="s">
        <v>3011</v>
      </c>
      <c r="BF436">
        <v>2</v>
      </c>
      <c r="BG436" t="s">
        <v>2768</v>
      </c>
      <c r="BH436">
        <v>2</v>
      </c>
      <c r="BI436" t="s">
        <v>2808</v>
      </c>
      <c r="BJ436">
        <v>2</v>
      </c>
      <c r="BK436" t="s">
        <v>2768</v>
      </c>
      <c r="BL436">
        <v>2</v>
      </c>
      <c r="BM436" s="176" t="str">
        <f>IF(秋,"金环戴","吹风醒")</f>
        <v>吹风醒</v>
      </c>
      <c r="BN436">
        <v>2</v>
      </c>
      <c r="BO436" s="176" t="s">
        <v>2808</v>
      </c>
      <c r="BP436">
        <v>2</v>
      </c>
      <c r="BQ436" t="s">
        <v>2776</v>
      </c>
      <c r="BR436">
        <v>2</v>
      </c>
      <c r="BS436" s="176" t="s">
        <v>2768</v>
      </c>
      <c r="BT436">
        <v>2</v>
      </c>
      <c r="BU436" s="176" t="s">
        <v>2794</v>
      </c>
      <c r="BV436">
        <v>1</v>
      </c>
      <c r="BW436" s="179" t="s">
        <v>2768</v>
      </c>
      <c r="BX436" s="179">
        <v>2</v>
      </c>
      <c r="BY436" s="176" t="str">
        <f>IF(秋,"金环戴","吹风醒")</f>
        <v>吹风醒</v>
      </c>
      <c r="BZ436">
        <v>2</v>
      </c>
      <c r="CA436" t="str">
        <f>IF(0,"云飞玉皇","夕照雷峰")</f>
        <v>夕照雷峰</v>
      </c>
      <c r="CB436">
        <v>2</v>
      </c>
    </row>
    <row r="437" spans="1:80">
      <c r="A437" s="178" t="str">
        <f ca="1">IFERROR(IF(AG436&lt;5+金蛇*2,IF(COUNTIF(B436,"*轻*")&gt;0,A436+加速!$L$9,A436+加速!$L$11)+V436,""),"")</f>
        <v/>
      </c>
      <c r="B437" s="167" t="str">
        <f ca="1" t="shared" si="110"/>
        <v/>
      </c>
      <c r="C437" t="str">
        <f ca="1" t="shared" si="119"/>
        <v/>
      </c>
      <c r="D437" t="str">
        <f ca="1">IF(B437&lt;&gt;"",IF(C436&lt;=加速!$L$11*(1-E437),0,1),"")</f>
        <v/>
      </c>
      <c r="E437">
        <f ca="1" t="shared" si="116"/>
        <v>1</v>
      </c>
      <c r="G437" t="str">
        <f ca="1" t="shared" si="117"/>
        <v/>
      </c>
      <c r="H437" t="str">
        <f ca="1">IF(B437&lt;&gt;"",IF(AND(COUNTIF(B436,"*轻*莺鸣柳*")&gt;0,COUNTIF(B437,"*轻*")&lt;1),MAX(0,15+I436-(A437-A436)+COUNTIF(B436,"*平湖*")*0),IF(AND(E437=0,MAX(0,H436-(A437-A436))&lt;=加速!$H$11),0,MAX(0,H436-(A437-A436)))),"")</f>
        <v/>
      </c>
      <c r="I437" t="str">
        <f ca="1" t="shared" si="123"/>
        <v/>
      </c>
      <c r="J437" t="str">
        <f ca="1" t="shared" si="124"/>
        <v/>
      </c>
      <c r="K437" t="str">
        <f ca="1" t="shared" si="111"/>
        <v/>
      </c>
      <c r="L437">
        <f ca="1">IFERROR(IF(AND(COUNTIF(B437,"*-峰插*"),技能数据库!$M$72&gt;0),0,IF(COUNTIF(B437,"*鹤归*")&gt;0,16-加速!$L$11,MAX(0,L436-(A437-A436)))),0)</f>
        <v>0</v>
      </c>
      <c r="M437">
        <f ca="1" t="shared" si="112"/>
        <v>0</v>
      </c>
      <c r="N437">
        <f ca="1">IFERROR(IF(AND(COUNTIF(B437,"*-峰插*"),技能数据库!$M$72&gt;0),0,IF(COUNTIF(B437,"*云飞*")&gt;0,4-COUNTIF(B437,"*玉山揽云*")*4--COUNTIF(B437,"*烟流暮景*")*4-COUNTIF(B437,"*云景*")*加速!$L$11-IF(J437&gt;0,2,0),MAX(0,N436-(A437-A436)-IF(J437&gt;0,2,0)))),0)</f>
        <v>0</v>
      </c>
      <c r="O437">
        <f ca="1">IF(AND(COUNTIF(IF(AND(配装计算器!$K$30&lt;&gt;"∞",0),INDEX(AU436:CB436,1,$AT$1),INDEX(AU438:CB438,1,$AT$1)),"*云飞*")=1,COUNTIF(IF(AND(配装计算器!$K$30&lt;&gt;"∞",0),INDEX(AU436:CB436,1,$AT$1),INDEX(AU438:CB438,1,$AT$1)),"*玉山*")=0),N437,0)</f>
        <v>0</v>
      </c>
      <c r="P437">
        <f ca="1">IFERROR(IF(COUNTIF(B437,"*云栖松*")&gt;0,50-加速!$L$11,MAX(0,P436-(A437-A436))),0)</f>
        <v>0</v>
      </c>
      <c r="Q437">
        <f ca="1">IF(COUNTIF(IF(AND(配装计算器!$K$30&lt;&gt;"∞",0),INDEX(AU436:CB436,1,$AT$1),INDEX(AU438:CB438,1,$AT$1)),"*云栖松*")=1,P437,0)</f>
        <v>0</v>
      </c>
      <c r="R437">
        <f ca="1">IFERROR(IF(COUNTIF(B437,"*莺鸣柳*")&gt;0,45-加速!$L$9,MAX(0,R436-(A437-A436))),0)</f>
        <v>0</v>
      </c>
      <c r="S437">
        <f ca="1">IF(COUNTIF(IF(AND(配装计算器!$K$30&lt;&gt;"∞",0),INDEX(AU436:CB436,1,$AT$1),INDEX(AU438:CB438,1,$AT$1)),"*莺鸣柳*")=1,R437,0)</f>
        <v>0</v>
      </c>
      <c r="T437">
        <f ca="1" t="shared" si="120"/>
        <v>0</v>
      </c>
      <c r="U437">
        <f ca="1">IF(金蛇,IF(COUNTIF(B437,"*金环戴*")+COUNTIF(B437,"*吹风醒*")&gt;0,IF(A437&lt;=3,7.125-2.625-A437-加速!$L$11,7.125+加速!$K$9-(A437+加速!$L$11-T437)),0),0)+IF(金蛇,IF(COUNTIF(B437,"*千切子裂光*")&gt;0,2+加速!$K$9-(A437+加速!$L$11-T437),0),0)</f>
        <v>0</v>
      </c>
      <c r="V437">
        <f ca="1" t="shared" si="121"/>
        <v>0</v>
      </c>
      <c r="W437">
        <f ca="1" t="shared" si="113"/>
        <v>0</v>
      </c>
      <c r="X437">
        <f ca="1">INDEX(加速!$I$13:$I$21,W437+1)</f>
        <v>0</v>
      </c>
      <c r="Y437">
        <f ca="1" t="shared" si="122"/>
        <v>0.5</v>
      </c>
      <c r="Z437">
        <f ca="1" t="shared" si="118"/>
        <v>0</v>
      </c>
      <c r="AA437">
        <f ca="1">MAX(0,IFERROR(IF(COUNTIF(B437,"*叠*")&gt;0,IF(AC436&lt;3,8-A438+A437,AA436+6.875-A438+A437),AA436-A438+A437),AA436-加速!$L$11))</f>
        <v>0</v>
      </c>
      <c r="AB437" t="e">
        <f ca="1">MAX(0,IF(COUNTIF(IF(AND(配装计算器!$K$30&lt;&gt;"∞",0),INDEX(AU437:CB437,1,$AT$1),INDEX(AU437:CB437,1,$AT$1)),"*叠1*")=1,4*25-加速!$L$11,AB436-A437+A436)-IF(OR(COUNTIF(OFFSET(AT437,0,$AT$1,1,1),"*听雷*")&gt;0,AND(碧归&gt;0,COUNTIF(OFFSET(AT437,0,$AT$1,1,1),"*风来*")&gt;0)),0,1)*1.5)</f>
        <v>#VALUE!</v>
      </c>
      <c r="AC437">
        <f ca="1" t="shared" si="114"/>
        <v>0</v>
      </c>
      <c r="AD437">
        <f ca="1">IF(COUNTIF(IF(AND(配装计算器!$K$30&lt;&gt;"∞",0),INDEX(AU437:CB437,1,$AT$1),INDEX(AU438:CB438,1,$AT$1)),"*叠1*")=1,AB437*0+AE436,0)</f>
        <v>0</v>
      </c>
      <c r="AE437" t="e">
        <f ca="1">IF($AN$11&gt;0,IF(COUNTIF(B438,"*叠1*")&gt;0,50-加速!$L$11,MAX(0,AE436-(A438-A437))),0)</f>
        <v>#VALUE!</v>
      </c>
      <c r="AG437">
        <f ca="1" t="shared" si="115"/>
        <v>12</v>
      </c>
      <c r="AU437" t="str">
        <f>IF($AN$11=1,"云飞玉皇-玉山揽云","夕照雷峰")</f>
        <v>云飞玉皇-玉山揽云</v>
      </c>
      <c r="AV437">
        <v>2</v>
      </c>
      <c r="AW437" t="s">
        <v>2768</v>
      </c>
      <c r="AX437">
        <v>2</v>
      </c>
      <c r="AY437" t="s">
        <v>2768</v>
      </c>
      <c r="AZ437">
        <v>0</v>
      </c>
      <c r="BA437" t="s">
        <v>3017</v>
      </c>
      <c r="BB437">
        <v>2</v>
      </c>
      <c r="BC437" t="s">
        <v>2768</v>
      </c>
      <c r="BD437">
        <v>2</v>
      </c>
      <c r="BE437" t="s">
        <v>2768</v>
      </c>
      <c r="BF437">
        <v>2</v>
      </c>
      <c r="BG437" t="s">
        <v>3018</v>
      </c>
      <c r="BH437">
        <v>2</v>
      </c>
      <c r="BI437" t="s">
        <v>2768</v>
      </c>
      <c r="BJ437">
        <v>2</v>
      </c>
      <c r="BK437" t="s">
        <v>2776</v>
      </c>
      <c r="BL437">
        <v>2</v>
      </c>
      <c r="BM437" t="str">
        <f>IF(秋,"夕照雷峰","云飞玉皇")</f>
        <v>云飞玉皇</v>
      </c>
      <c r="BN437">
        <v>2</v>
      </c>
      <c r="BO437" t="str">
        <f>IF(0,"云飞玉皇-玉山揽云","夕照雷峰")</f>
        <v>夕照雷峰</v>
      </c>
      <c r="BP437">
        <v>2</v>
      </c>
      <c r="BQ437" t="s">
        <v>2768</v>
      </c>
      <c r="BR437">
        <v>2</v>
      </c>
      <c r="BS437" s="176" t="s">
        <v>2768</v>
      </c>
      <c r="BT437">
        <v>2</v>
      </c>
      <c r="BU437" t="s">
        <v>2776</v>
      </c>
      <c r="BV437">
        <v>1</v>
      </c>
      <c r="BW437" s="179" t="s">
        <v>2776</v>
      </c>
      <c r="BX437" s="179">
        <v>2</v>
      </c>
      <c r="BY437" t="str">
        <f>IF(秋,"夕照雷峰","云飞玉皇")</f>
        <v>云飞玉皇</v>
      </c>
      <c r="BZ437">
        <v>2</v>
      </c>
      <c r="CA437" s="176" t="str">
        <f>IF(秋,"夕照雷峰","云飞玉皇")</f>
        <v>云飞玉皇</v>
      </c>
      <c r="CB437">
        <v>2</v>
      </c>
    </row>
    <row r="438" spans="1:80">
      <c r="A438" s="178" t="str">
        <f ca="1">IFERROR(IF(AG437&lt;5+金蛇*2,IF(COUNTIF(B437,"*轻*")&gt;0,A437+加速!$L$9,A437+加速!$L$11)+V437,""),"")</f>
        <v/>
      </c>
      <c r="B438" s="167" t="str">
        <f ca="1" t="shared" si="110"/>
        <v/>
      </c>
      <c r="C438" t="str">
        <f ca="1" t="shared" si="119"/>
        <v/>
      </c>
      <c r="D438" t="str">
        <f ca="1">IF(B438&lt;&gt;"",IF(C437&lt;=加速!$L$11*(1-E438),0,1),"")</f>
        <v/>
      </c>
      <c r="E438">
        <f ca="1" t="shared" si="116"/>
        <v>1</v>
      </c>
      <c r="G438" t="str">
        <f ca="1" t="shared" si="117"/>
        <v/>
      </c>
      <c r="H438" t="str">
        <f ca="1">IF(B438&lt;&gt;"",IF(AND(COUNTIF(B437,"*轻*莺鸣柳*")&gt;0,COUNTIF(B438,"*轻*")&lt;1),MAX(0,15+I437-(A438-A437)+COUNTIF(B437,"*平湖*")*0),IF(AND(E438=0,MAX(0,H437-(A438-A437))&lt;=加速!$H$11),0,MAX(0,H437-(A438-A437)))),"")</f>
        <v/>
      </c>
      <c r="I438" t="str">
        <f ca="1" t="shared" si="123"/>
        <v/>
      </c>
      <c r="J438" t="str">
        <f ca="1" t="shared" si="124"/>
        <v/>
      </c>
      <c r="K438" t="str">
        <f ca="1" t="shared" si="111"/>
        <v/>
      </c>
      <c r="L438">
        <f ca="1">IFERROR(IF(AND(COUNTIF(B438,"*-峰插*"),技能数据库!$M$72&gt;0),0,IF(COUNTIF(B438,"*鹤归*")&gt;0,16-加速!$L$11,MAX(0,L437-(A438-A437)))),0)</f>
        <v>0</v>
      </c>
      <c r="M438">
        <f ca="1" t="shared" si="112"/>
        <v>0</v>
      </c>
      <c r="N438">
        <f ca="1">IFERROR(IF(AND(COUNTIF(B438,"*-峰插*"),技能数据库!$M$72&gt;0),0,IF(COUNTIF(B438,"*云飞*")&gt;0,4-COUNTIF(B438,"*玉山揽云*")*4--COUNTIF(B438,"*烟流暮景*")*4-COUNTIF(B438,"*云景*")*加速!$L$11-IF(J438&gt;0,2,0),MAX(0,N437-(A438-A437)-IF(J438&gt;0,2,0)))),0)</f>
        <v>0</v>
      </c>
      <c r="O438">
        <f ca="1">IF(AND(COUNTIF(IF(AND(配装计算器!$K$30&lt;&gt;"∞",0),INDEX(AU437:CB437,1,$AT$1),INDEX(AU439:CB439,1,$AT$1)),"*云飞*")=1,COUNTIF(IF(AND(配装计算器!$K$30&lt;&gt;"∞",0),INDEX(AU437:CB437,1,$AT$1),INDEX(AU439:CB439,1,$AT$1)),"*玉山*")=0),N438,0)</f>
        <v>0</v>
      </c>
      <c r="P438">
        <f ca="1">IFERROR(IF(COUNTIF(B438,"*云栖松*")&gt;0,50-加速!$L$11,MAX(0,P437-(A438-A437))),0)</f>
        <v>0</v>
      </c>
      <c r="Q438">
        <f ca="1">IF(COUNTIF(IF(AND(配装计算器!$K$30&lt;&gt;"∞",0),INDEX(AU437:CB437,1,$AT$1),INDEX(AU439:CB439,1,$AT$1)),"*云栖松*")=1,P438,0)</f>
        <v>0</v>
      </c>
      <c r="R438">
        <f ca="1">IFERROR(IF(COUNTIF(B438,"*莺鸣柳*")&gt;0,45-加速!$L$9,MAX(0,R437-(A438-A437))),0)</f>
        <v>0</v>
      </c>
      <c r="S438">
        <f ca="1">IF(COUNTIF(IF(AND(配装计算器!$K$30&lt;&gt;"∞",0),INDEX(AU437:CB437,1,$AT$1),INDEX(AU439:CB439,1,$AT$1)),"*莺鸣柳*")=1,R438,0)</f>
        <v>0</v>
      </c>
      <c r="T438">
        <f ca="1" t="shared" si="120"/>
        <v>0</v>
      </c>
      <c r="U438">
        <f ca="1">IF(金蛇,IF(COUNTIF(B438,"*金环戴*")+COUNTIF(B438,"*吹风醒*")&gt;0,IF(A438&lt;=3,7.125-2.625-A438-加速!$L$11,7.125+加速!$K$9-(A438+加速!$L$11-T438)),0),0)+IF(金蛇,IF(COUNTIF(B438,"*千切子裂光*")&gt;0,2+加速!$K$9-(A438+加速!$L$11-T438),0),0)</f>
        <v>0</v>
      </c>
      <c r="V438">
        <f ca="1" t="shared" si="121"/>
        <v>0</v>
      </c>
      <c r="W438">
        <f ca="1" t="shared" si="113"/>
        <v>0</v>
      </c>
      <c r="X438">
        <f ca="1">INDEX(加速!$I$13:$I$21,W438+1)</f>
        <v>0</v>
      </c>
      <c r="Y438">
        <f ca="1" t="shared" si="122"/>
        <v>0.5</v>
      </c>
      <c r="Z438">
        <f ca="1" t="shared" si="118"/>
        <v>0</v>
      </c>
      <c r="AA438">
        <f ca="1">MAX(0,IFERROR(IF(COUNTIF(B438,"*叠*")&gt;0,IF(AC437&lt;3,8-A439+A438,AA437+6.875-A439+A438),AA437-A439+A438),AA437-加速!$L$11))</f>
        <v>0</v>
      </c>
      <c r="AB438" t="e">
        <f ca="1">MAX(0,IF(COUNTIF(IF(AND(配装计算器!$K$30&lt;&gt;"∞",0),INDEX(AU438:CB438,1,$AT$1),INDEX(AU438:CB438,1,$AT$1)),"*叠1*")=1,4*25-加速!$L$11,AB437-A438+A437)-IF(OR(COUNTIF(OFFSET(AT438,0,$AT$1,1,1),"*听雷*")&gt;0,AND(碧归&gt;0,COUNTIF(OFFSET(AT438,0,$AT$1,1,1),"*风来*")&gt;0)),0,1)*1.5)</f>
        <v>#VALUE!</v>
      </c>
      <c r="AC438">
        <f ca="1" t="shared" si="114"/>
        <v>0</v>
      </c>
      <c r="AD438">
        <f ca="1">IF(COUNTIF(IF(AND(配装计算器!$K$30&lt;&gt;"∞",0),INDEX(AU438:CB438,1,$AT$1),INDEX(AU439:CB439,1,$AT$1)),"*叠1*")=1,AB438*0+AE437,0)</f>
        <v>0</v>
      </c>
      <c r="AE438" t="e">
        <f ca="1">IF($AN$11&gt;0,IF(COUNTIF(B439,"*叠1*")&gt;0,50-加速!$L$11,MAX(0,AE437-(A439-A438))),0)</f>
        <v>#VALUE!</v>
      </c>
      <c r="AG438">
        <f ca="1" t="shared" si="115"/>
        <v>12</v>
      </c>
      <c r="AU438" t="s">
        <v>2776</v>
      </c>
      <c r="AV438">
        <v>2</v>
      </c>
      <c r="AW438" t="s">
        <v>2776</v>
      </c>
      <c r="AX438">
        <v>2</v>
      </c>
      <c r="AY438" t="s">
        <v>3010</v>
      </c>
      <c r="AZ438">
        <v>2</v>
      </c>
      <c r="BA438" t="s">
        <v>2808</v>
      </c>
      <c r="BB438">
        <v>2</v>
      </c>
      <c r="BC438" t="s">
        <v>2768</v>
      </c>
      <c r="BD438">
        <v>2</v>
      </c>
      <c r="BE438" t="s">
        <v>3019</v>
      </c>
      <c r="BF438">
        <v>2</v>
      </c>
      <c r="BG438" t="s">
        <v>2768</v>
      </c>
      <c r="BH438">
        <v>2</v>
      </c>
      <c r="BI438" s="176" t="s">
        <v>2776</v>
      </c>
      <c r="BJ438">
        <v>2</v>
      </c>
      <c r="BK438" t="s">
        <v>2768</v>
      </c>
      <c r="BL438">
        <v>1</v>
      </c>
      <c r="BM438" s="176" t="str">
        <f>IF(秋,"梦泉虎跑-轻","夕照雷峰")</f>
        <v>夕照雷峰</v>
      </c>
      <c r="BN438">
        <v>2</v>
      </c>
      <c r="BO438" t="str">
        <f>IF(0,"云飞玉皇-玉山揽云","云飞玉皇")</f>
        <v>云飞玉皇</v>
      </c>
      <c r="BP438">
        <v>2</v>
      </c>
      <c r="BQ438" t="s">
        <v>2768</v>
      </c>
      <c r="BR438">
        <v>2</v>
      </c>
      <c r="BS438" s="176" t="s">
        <v>2776</v>
      </c>
      <c r="BT438">
        <v>2</v>
      </c>
      <c r="BU438" t="s">
        <v>2768</v>
      </c>
      <c r="BV438">
        <v>1</v>
      </c>
      <c r="BW438" s="179" t="s">
        <v>2768</v>
      </c>
      <c r="BX438" s="179">
        <v>2</v>
      </c>
      <c r="BY438" s="176" t="str">
        <f>IF(秋,"梦泉虎跑-轻","夕照雷峰")</f>
        <v>夕照雷峰</v>
      </c>
      <c r="BZ438">
        <v>2</v>
      </c>
      <c r="CA438" s="176" t="str">
        <f>IF(秋,"梦泉虎跑-轻","夕照雷峰")</f>
        <v>夕照雷峰</v>
      </c>
      <c r="CB438">
        <v>1</v>
      </c>
    </row>
    <row r="439" spans="1:80">
      <c r="A439" s="178" t="str">
        <f ca="1">IFERROR(IF(AG438&lt;5+金蛇*2,IF(COUNTIF(B438,"*轻*")&gt;0,A438+加速!$L$9,A438+加速!$L$11)+V438,""),"")</f>
        <v/>
      </c>
      <c r="B439" s="167" t="str">
        <f ca="1" t="shared" si="110"/>
        <v/>
      </c>
      <c r="C439" t="str">
        <f ca="1" t="shared" si="119"/>
        <v/>
      </c>
      <c r="D439" t="str">
        <f ca="1">IF(B439&lt;&gt;"",IF(C438&lt;=加速!$L$11*(1-E439),0,1),"")</f>
        <v/>
      </c>
      <c r="E439">
        <f ca="1" t="shared" si="116"/>
        <v>1</v>
      </c>
      <c r="G439" t="str">
        <f ca="1" t="shared" si="117"/>
        <v/>
      </c>
      <c r="H439" t="str">
        <f ca="1">IF(B439&lt;&gt;"",IF(AND(COUNTIF(B438,"*轻*莺鸣柳*")&gt;0,COUNTIF(B439,"*轻*")&lt;1),MAX(0,15+I438-(A439-A438)+COUNTIF(B438,"*平湖*")*0),IF(AND(E439=0,MAX(0,H438-(A439-A438))&lt;=加速!$H$11),0,MAX(0,H438-(A439-A438)))),"")</f>
        <v/>
      </c>
      <c r="I439" t="str">
        <f ca="1" t="shared" si="123"/>
        <v/>
      </c>
      <c r="J439" t="str">
        <f ca="1" t="shared" si="124"/>
        <v/>
      </c>
      <c r="K439" t="str">
        <f ca="1" t="shared" si="111"/>
        <v/>
      </c>
      <c r="L439">
        <f ca="1">IFERROR(IF(AND(COUNTIF(B439,"*-峰插*"),技能数据库!$M$72&gt;0),0,IF(COUNTIF(B439,"*鹤归*")&gt;0,16-加速!$L$11,MAX(0,L438-(A439-A438)))),0)</f>
        <v>0</v>
      </c>
      <c r="M439">
        <f ca="1" t="shared" si="112"/>
        <v>0</v>
      </c>
      <c r="N439">
        <f ca="1">IFERROR(IF(AND(COUNTIF(B439,"*-峰插*"),技能数据库!$M$72&gt;0),0,IF(COUNTIF(B439,"*云飞*")&gt;0,4-COUNTIF(B439,"*玉山揽云*")*4--COUNTIF(B439,"*烟流暮景*")*4-COUNTIF(B439,"*云景*")*加速!$L$11-IF(J439&gt;0,2,0),MAX(0,N438-(A439-A438)-IF(J439&gt;0,2,0)))),0)</f>
        <v>0</v>
      </c>
      <c r="O439">
        <f ca="1">IF(AND(COUNTIF(IF(AND(配装计算器!$K$30&lt;&gt;"∞",0),INDEX(AU438:CB438,1,$AT$1),INDEX(AU440:CB440,1,$AT$1)),"*云飞*")=1,COUNTIF(IF(AND(配装计算器!$K$30&lt;&gt;"∞",0),INDEX(AU438:CB438,1,$AT$1),INDEX(AU440:CB440,1,$AT$1)),"*玉山*")=0),N439,0)</f>
        <v>0</v>
      </c>
      <c r="P439">
        <f ca="1">IFERROR(IF(COUNTIF(B439,"*云栖松*")&gt;0,50-加速!$L$11,MAX(0,P438-(A439-A438))),0)</f>
        <v>0</v>
      </c>
      <c r="Q439">
        <f ca="1">IF(COUNTIF(IF(AND(配装计算器!$K$30&lt;&gt;"∞",0),INDEX(AU438:CB438,1,$AT$1),INDEX(AU440:CB440,1,$AT$1)),"*云栖松*")=1,P439,0)</f>
        <v>0</v>
      </c>
      <c r="R439">
        <f ca="1">IFERROR(IF(COUNTIF(B439,"*莺鸣柳*")&gt;0,45-加速!$L$9,MAX(0,R438-(A439-A438))),0)</f>
        <v>0</v>
      </c>
      <c r="S439">
        <f ca="1">IF(COUNTIF(IF(AND(配装计算器!$K$30&lt;&gt;"∞",0),INDEX(AU438:CB438,1,$AT$1),INDEX(AU440:CB440,1,$AT$1)),"*莺鸣柳*")=1,R439,0)</f>
        <v>0</v>
      </c>
      <c r="T439">
        <f ca="1" t="shared" si="120"/>
        <v>0</v>
      </c>
      <c r="U439">
        <f ca="1">IF(金蛇,IF(COUNTIF(B439,"*金环戴*")+COUNTIF(B439,"*吹风醒*")&gt;0,IF(A439&lt;=3,7.125-2.625-A439-加速!$L$11,7.125+加速!$K$9-(A439+加速!$L$11-T439)),0),0)+IF(金蛇,IF(COUNTIF(B439,"*千切子裂光*")&gt;0,2+加速!$K$9-(A439+加速!$L$11-T439),0),0)</f>
        <v>0</v>
      </c>
      <c r="V439">
        <f ca="1" t="shared" si="121"/>
        <v>0</v>
      </c>
      <c r="W439">
        <f ca="1" t="shared" si="113"/>
        <v>0</v>
      </c>
      <c r="X439">
        <f ca="1">INDEX(加速!$I$13:$I$21,W439+1)</f>
        <v>0</v>
      </c>
      <c r="Y439">
        <f ca="1" t="shared" si="122"/>
        <v>0.5</v>
      </c>
      <c r="Z439">
        <f ca="1" t="shared" si="118"/>
        <v>0</v>
      </c>
      <c r="AA439">
        <f ca="1">MAX(0,IFERROR(IF(COUNTIF(B439,"*叠*")&gt;0,IF(AC438&lt;3,8-A440+A439,AA438+6.875-A440+A439),AA438-A440+A439),AA438-加速!$L$11))</f>
        <v>0</v>
      </c>
      <c r="AB439" t="e">
        <f ca="1">MAX(0,IF(COUNTIF(IF(AND(配装计算器!$K$30&lt;&gt;"∞",0),INDEX(AU439:CB439,1,$AT$1),INDEX(AU439:CB439,1,$AT$1)),"*叠1*")=1,4*25-加速!$L$11,AB438-A439+A438)-IF(OR(COUNTIF(OFFSET(AT439,0,$AT$1,1,1),"*听雷*")&gt;0,AND(碧归&gt;0,COUNTIF(OFFSET(AT439,0,$AT$1,1,1),"*风来*")&gt;0)),0,1)*1.5)</f>
        <v>#VALUE!</v>
      </c>
      <c r="AC439">
        <f ca="1" t="shared" si="114"/>
        <v>0</v>
      </c>
      <c r="AD439">
        <f ca="1">IF(COUNTIF(IF(AND(配装计算器!$K$30&lt;&gt;"∞",0),INDEX(AU439:CB439,1,$AT$1),INDEX(AU440:CB440,1,$AT$1)),"*叠1*")=1,AB439*0+AE438,0)</f>
        <v>0</v>
      </c>
      <c r="AE439" t="e">
        <f ca="1">IF($AN$11&gt;0,IF(COUNTIF(B440,"*叠1*")&gt;0,50-加速!$L$11,MAX(0,AE438-(A440-A439))),0)</f>
        <v>#VALUE!</v>
      </c>
      <c r="AG439">
        <f ca="1" t="shared" si="115"/>
        <v>12</v>
      </c>
      <c r="AU439" s="176" t="s">
        <v>2794</v>
      </c>
      <c r="AV439">
        <v>2</v>
      </c>
      <c r="AW439" t="s">
        <v>2768</v>
      </c>
      <c r="AX439">
        <v>2</v>
      </c>
      <c r="AY439" t="s">
        <v>3013</v>
      </c>
      <c r="AZ439">
        <v>2</v>
      </c>
      <c r="BA439" t="s">
        <v>3022</v>
      </c>
      <c r="BB439">
        <v>2</v>
      </c>
      <c r="BC439" t="s">
        <v>2776</v>
      </c>
      <c r="BD439">
        <v>1</v>
      </c>
      <c r="BE439" t="s">
        <v>2768</v>
      </c>
      <c r="BF439">
        <v>2</v>
      </c>
      <c r="BG439" s="182" t="s">
        <v>3023</v>
      </c>
      <c r="BH439">
        <v>2</v>
      </c>
      <c r="BI439" t="s">
        <v>2768</v>
      </c>
      <c r="BJ439">
        <v>2</v>
      </c>
      <c r="BK439" t="s">
        <v>2768</v>
      </c>
      <c r="BL439">
        <v>1</v>
      </c>
      <c r="BM439" s="176" t="str">
        <f>IF(秋,"九溪弥烟-轻-血毒金蛇锥","梦泉虎跑-轻")</f>
        <v>梦泉虎跑-轻</v>
      </c>
      <c r="BN439">
        <v>0</v>
      </c>
      <c r="BO439" s="176" t="str">
        <f>IF(秋,"夕照雷峰","千切子寒光-千切子裂光")</f>
        <v>千切子寒光-千切子裂光</v>
      </c>
      <c r="BP439">
        <v>2</v>
      </c>
      <c r="BQ439" t="s">
        <v>2768</v>
      </c>
      <c r="BR439">
        <v>1</v>
      </c>
      <c r="BS439" s="176" t="s">
        <v>2768</v>
      </c>
      <c r="BT439">
        <v>2</v>
      </c>
      <c r="BU439" t="s">
        <v>3011</v>
      </c>
      <c r="BV439">
        <v>2</v>
      </c>
      <c r="BW439" s="179" t="s">
        <v>2768</v>
      </c>
      <c r="BX439" s="179">
        <v>2</v>
      </c>
      <c r="BY439" s="176" t="str">
        <f>IF(秋,"九溪弥烟-轻-血毒金蛇锥","梦泉虎跑-轻")</f>
        <v>梦泉虎跑-轻</v>
      </c>
      <c r="BZ439">
        <v>0</v>
      </c>
      <c r="CA439" s="176" t="str">
        <f>IF(秋,"九溪弥烟-轻-血毒金蛇锥","梦泉虎跑-轻")</f>
        <v>梦泉虎跑-轻</v>
      </c>
      <c r="CB439">
        <v>0</v>
      </c>
    </row>
    <row r="440" spans="1:80">
      <c r="A440" s="178" t="str">
        <f ca="1">IFERROR(IF(AG439&lt;5+金蛇*2,IF(COUNTIF(B439,"*轻*")&gt;0,A439+加速!$L$9,A439+加速!$L$11)+V439,""),"")</f>
        <v/>
      </c>
      <c r="B440" s="167" t="str">
        <f ca="1" t="shared" si="110"/>
        <v/>
      </c>
      <c r="C440" t="str">
        <f ca="1" t="shared" si="119"/>
        <v/>
      </c>
      <c r="D440" t="str">
        <f ca="1">IF(B440&lt;&gt;"",IF(C439&lt;=加速!$L$11*(1-E440),0,1),"")</f>
        <v/>
      </c>
      <c r="E440">
        <f ca="1" t="shared" si="116"/>
        <v>1</v>
      </c>
      <c r="G440" t="str">
        <f ca="1" t="shared" si="117"/>
        <v/>
      </c>
      <c r="H440" t="str">
        <f ca="1">IF(B440&lt;&gt;"",IF(AND(COUNTIF(B439,"*轻*莺鸣柳*")&gt;0,COUNTIF(B440,"*轻*")&lt;1),MAX(0,15+I439-(A440-A439)+COUNTIF(B439,"*平湖*")*0),IF(AND(E440=0,MAX(0,H439-(A440-A439))&lt;=加速!$H$11),0,MAX(0,H439-(A440-A439)))),"")</f>
        <v/>
      </c>
      <c r="I440" t="str">
        <f ca="1" t="shared" si="123"/>
        <v/>
      </c>
      <c r="J440" t="str">
        <f ca="1" t="shared" si="124"/>
        <v/>
      </c>
      <c r="K440" t="str">
        <f ca="1" t="shared" si="111"/>
        <v/>
      </c>
      <c r="L440">
        <f ca="1">IFERROR(IF(AND(COUNTIF(B440,"*-峰插*"),技能数据库!$M$72&gt;0),0,IF(COUNTIF(B440,"*鹤归*")&gt;0,16-加速!$L$11,MAX(0,L439-(A440-A439)))),0)</f>
        <v>0</v>
      </c>
      <c r="M440">
        <f ca="1" t="shared" si="112"/>
        <v>0</v>
      </c>
      <c r="N440">
        <f ca="1">IFERROR(IF(AND(COUNTIF(B440,"*-峰插*"),技能数据库!$M$72&gt;0),0,IF(COUNTIF(B440,"*云飞*")&gt;0,4-COUNTIF(B440,"*玉山揽云*")*4--COUNTIF(B440,"*烟流暮景*")*4-COUNTIF(B440,"*云景*")*加速!$L$11-IF(J440&gt;0,2,0),MAX(0,N439-(A440-A439)-IF(J440&gt;0,2,0)))),0)</f>
        <v>0</v>
      </c>
      <c r="O440">
        <f ca="1">IF(AND(COUNTIF(IF(AND(配装计算器!$K$30&lt;&gt;"∞",0),INDEX(AU439:CB439,1,$AT$1),INDEX(AU441:CB441,1,$AT$1)),"*云飞*")=1,COUNTIF(IF(AND(配装计算器!$K$30&lt;&gt;"∞",0),INDEX(AU439:CB439,1,$AT$1),INDEX(AU441:CB441,1,$AT$1)),"*玉山*")=0),N440,0)</f>
        <v>0</v>
      </c>
      <c r="P440">
        <f ca="1">IFERROR(IF(COUNTIF(B440,"*云栖松*")&gt;0,50-加速!$L$11,MAX(0,P439-(A440-A439))),0)</f>
        <v>0</v>
      </c>
      <c r="Q440">
        <f ca="1">IF(COUNTIF(IF(AND(配装计算器!$K$30&lt;&gt;"∞",0),INDEX(AU439:CB439,1,$AT$1),INDEX(AU441:CB441,1,$AT$1)),"*云栖松*")=1,P440,0)</f>
        <v>0</v>
      </c>
      <c r="R440">
        <f ca="1">IFERROR(IF(COUNTIF(B440,"*莺鸣柳*")&gt;0,45-加速!$L$9,MAX(0,R439-(A440-A439))),0)</f>
        <v>0</v>
      </c>
      <c r="S440">
        <f ca="1">IF(COUNTIF(IF(AND(配装计算器!$K$30&lt;&gt;"∞",0),INDEX(AU439:CB439,1,$AT$1),INDEX(AU441:CB441,1,$AT$1)),"*莺鸣柳*")=1,R440,0)</f>
        <v>0</v>
      </c>
      <c r="T440">
        <f ca="1" t="shared" si="120"/>
        <v>0</v>
      </c>
      <c r="U440">
        <f ca="1">IF(金蛇,IF(COUNTIF(B440,"*金环戴*")+COUNTIF(B440,"*吹风醒*")&gt;0,IF(A440&lt;=3,7.125-2.625-A440-加速!$L$11,7.125+加速!$K$9-(A440+加速!$L$11-T440)),0),0)+IF(金蛇,IF(COUNTIF(B440,"*千切子裂光*")&gt;0,2+加速!$K$9-(A440+加速!$L$11-T440),0),0)</f>
        <v>0</v>
      </c>
      <c r="V440">
        <f ca="1" t="shared" si="121"/>
        <v>0</v>
      </c>
      <c r="W440">
        <f ca="1" t="shared" si="113"/>
        <v>0</v>
      </c>
      <c r="X440">
        <f ca="1">INDEX(加速!$I$13:$I$21,W440+1)</f>
        <v>0</v>
      </c>
      <c r="Y440">
        <f ca="1" t="shared" si="122"/>
        <v>0.5</v>
      </c>
      <c r="Z440">
        <f ca="1" t="shared" si="118"/>
        <v>0</v>
      </c>
      <c r="AA440">
        <f ca="1">MAX(0,IFERROR(IF(COUNTIF(B440,"*叠*")&gt;0,IF(AC439&lt;3,8-A441+A440,AA439+6.875-A441+A440),AA439-A441+A440),AA439-加速!$L$11))</f>
        <v>0</v>
      </c>
      <c r="AB440" t="e">
        <f ca="1">MAX(0,IF(COUNTIF(IF(AND(配装计算器!$K$30&lt;&gt;"∞",0),INDEX(AU440:CB440,1,$AT$1),INDEX(AU440:CB440,1,$AT$1)),"*叠1*")=1,4*25-加速!$L$11,AB439-A440+A439)-IF(OR(COUNTIF(OFFSET(AT440,0,$AT$1,1,1),"*听雷*")&gt;0,AND(碧归&gt;0,COUNTIF(OFFSET(AT440,0,$AT$1,1,1),"*风来*")&gt;0)),0,1)*1.5)</f>
        <v>#VALUE!</v>
      </c>
      <c r="AC440">
        <f ca="1" t="shared" si="114"/>
        <v>0</v>
      </c>
      <c r="AD440">
        <f ca="1">IF(COUNTIF(IF(AND(配装计算器!$K$30&lt;&gt;"∞",0),INDEX(AU440:CB440,1,$AT$1),INDEX(AU441:CB441,1,$AT$1)),"*叠1*")=1,AB440*0+AE439,0)</f>
        <v>0</v>
      </c>
      <c r="AE440" t="e">
        <f ca="1">IF($AN$11&gt;0,IF(COUNTIF(B441,"*叠1*")&gt;0,50-加速!$L$11,MAX(0,AE439-(A441-A440))),0)</f>
        <v>#VALUE!</v>
      </c>
      <c r="AG440">
        <f ca="1" t="shared" si="115"/>
        <v>12</v>
      </c>
      <c r="AU440" s="176" t="s">
        <v>2768</v>
      </c>
      <c r="AV440">
        <v>2</v>
      </c>
      <c r="AW440" t="s">
        <v>2768</v>
      </c>
      <c r="AX440">
        <v>2</v>
      </c>
      <c r="AY440" t="s">
        <v>3017</v>
      </c>
      <c r="AZ440">
        <v>2</v>
      </c>
      <c r="BA440" t="s">
        <v>2776</v>
      </c>
      <c r="BB440">
        <v>2</v>
      </c>
      <c r="BC440" t="s">
        <v>2768</v>
      </c>
      <c r="BD440">
        <v>1</v>
      </c>
      <c r="BE440" t="s">
        <v>2768</v>
      </c>
      <c r="BF440">
        <v>2</v>
      </c>
      <c r="BG440" s="176" t="s">
        <v>2768</v>
      </c>
      <c r="BH440">
        <v>2</v>
      </c>
      <c r="BI440" t="s">
        <v>2768</v>
      </c>
      <c r="BJ440">
        <v>1</v>
      </c>
      <c r="BK440" t="s">
        <v>2794</v>
      </c>
      <c r="BL440">
        <v>0</v>
      </c>
      <c r="BM440" t="s">
        <v>3009</v>
      </c>
      <c r="BN440">
        <v>2</v>
      </c>
      <c r="BO440" s="176" t="str">
        <f>IF(秋,"夕照雷峰","夕照雷峰")</f>
        <v>夕照雷峰</v>
      </c>
      <c r="BP440">
        <v>2</v>
      </c>
      <c r="BQ440" t="s">
        <v>2776</v>
      </c>
      <c r="BR440">
        <v>1</v>
      </c>
      <c r="BS440" s="176" t="s">
        <v>2794</v>
      </c>
      <c r="BT440">
        <v>2</v>
      </c>
      <c r="BU440" t="s">
        <v>2768</v>
      </c>
      <c r="BV440">
        <v>2</v>
      </c>
      <c r="BW440" s="182" t="s">
        <v>2794</v>
      </c>
      <c r="BX440" s="179">
        <v>2</v>
      </c>
      <c r="BY440" t="s">
        <v>3009</v>
      </c>
      <c r="BZ440">
        <v>2</v>
      </c>
      <c r="CA440" t="s">
        <v>3009</v>
      </c>
      <c r="CB440">
        <v>2</v>
      </c>
    </row>
    <row r="441" spans="1:80">
      <c r="A441" s="178" t="str">
        <f ca="1">IFERROR(IF(AG440&lt;5+金蛇*2,IF(COUNTIF(B440,"*轻*")&gt;0,A440+加速!$L$9,A440+加速!$L$11)+V440,""),"")</f>
        <v/>
      </c>
      <c r="B441" s="167" t="str">
        <f ca="1" t="shared" si="110"/>
        <v/>
      </c>
      <c r="C441" t="str">
        <f ca="1" t="shared" si="119"/>
        <v/>
      </c>
      <c r="D441" t="str">
        <f ca="1">IF(B441&lt;&gt;"",IF(C440&lt;=加速!$L$11*(1-E441),0,1),"")</f>
        <v/>
      </c>
      <c r="E441">
        <f ca="1" t="shared" si="116"/>
        <v>1</v>
      </c>
      <c r="G441" t="str">
        <f ca="1" t="shared" si="117"/>
        <v/>
      </c>
      <c r="H441" t="str">
        <f ca="1">IF(B441&lt;&gt;"",IF(AND(COUNTIF(B440,"*轻*莺鸣柳*")&gt;0,COUNTIF(B441,"*轻*")&lt;1),MAX(0,15+I440-(A441-A440)+COUNTIF(B440,"*平湖*")*0),IF(AND(E441=0,MAX(0,H440-(A441-A440))&lt;=加速!$H$11),0,MAX(0,H440-(A441-A440)))),"")</f>
        <v/>
      </c>
      <c r="I441" t="str">
        <f ca="1" t="shared" si="123"/>
        <v/>
      </c>
      <c r="J441" t="str">
        <f ca="1" t="shared" si="124"/>
        <v/>
      </c>
      <c r="K441" t="str">
        <f ca="1" t="shared" si="111"/>
        <v/>
      </c>
      <c r="L441">
        <f ca="1">IFERROR(IF(AND(COUNTIF(B441,"*-峰插*"),技能数据库!$M$72&gt;0),0,IF(COUNTIF(B441,"*鹤归*")&gt;0,16-加速!$L$11,MAX(0,L440-(A441-A440)))),0)</f>
        <v>0</v>
      </c>
      <c r="M441">
        <f ca="1" t="shared" si="112"/>
        <v>0</v>
      </c>
      <c r="N441">
        <f ca="1">IFERROR(IF(AND(COUNTIF(B441,"*-峰插*"),技能数据库!$M$72&gt;0),0,IF(COUNTIF(B441,"*云飞*")&gt;0,4-COUNTIF(B441,"*玉山揽云*")*4--COUNTIF(B441,"*烟流暮景*")*4-COUNTIF(B441,"*云景*")*加速!$L$11-IF(J441&gt;0,2,0),MAX(0,N440-(A441-A440)-IF(J441&gt;0,2,0)))),0)</f>
        <v>0</v>
      </c>
      <c r="O441">
        <f ca="1">IF(AND(COUNTIF(IF(AND(配装计算器!$K$30&lt;&gt;"∞",0),INDEX(AU440:CB440,1,$AT$1),INDEX(AU442:CB442,1,$AT$1)),"*云飞*")=1,COUNTIF(IF(AND(配装计算器!$K$30&lt;&gt;"∞",0),INDEX(AU440:CB440,1,$AT$1),INDEX(AU442:CB442,1,$AT$1)),"*玉山*")=0),N441,0)</f>
        <v>0</v>
      </c>
      <c r="P441">
        <f ca="1">IFERROR(IF(COUNTIF(B441,"*云栖松*")&gt;0,50-加速!$L$11,MAX(0,P440-(A441-A440))),0)</f>
        <v>0</v>
      </c>
      <c r="Q441">
        <f ca="1">IF(COUNTIF(IF(AND(配装计算器!$K$30&lt;&gt;"∞",0),INDEX(AU440:CB440,1,$AT$1),INDEX(AU442:CB442,1,$AT$1)),"*云栖松*")=1,P441,0)</f>
        <v>0</v>
      </c>
      <c r="R441">
        <f ca="1">IFERROR(IF(COUNTIF(B441,"*莺鸣柳*")&gt;0,45-加速!$L$9,MAX(0,R440-(A441-A440))),0)</f>
        <v>0</v>
      </c>
      <c r="S441">
        <f ca="1">IF(COUNTIF(IF(AND(配装计算器!$K$30&lt;&gt;"∞",0),INDEX(AU440:CB440,1,$AT$1),INDEX(AU442:CB442,1,$AT$1)),"*莺鸣柳*")=1,R441,0)</f>
        <v>0</v>
      </c>
      <c r="T441">
        <f ca="1" t="shared" si="120"/>
        <v>0</v>
      </c>
      <c r="U441">
        <f ca="1">IF(金蛇,IF(COUNTIF(B441,"*金环戴*")+COUNTIF(B441,"*吹风醒*")&gt;0,IF(A441&lt;=3,7.125-2.625-A441-加速!$L$11,7.125+加速!$K$9-(A441+加速!$L$11-T441)),0),0)+IF(金蛇,IF(COUNTIF(B441,"*千切子裂光*")&gt;0,2+加速!$K$9-(A441+加速!$L$11-T441),0),0)</f>
        <v>0</v>
      </c>
      <c r="V441">
        <f ca="1" t="shared" si="121"/>
        <v>0</v>
      </c>
      <c r="W441">
        <f ca="1" t="shared" si="113"/>
        <v>0</v>
      </c>
      <c r="X441">
        <f ca="1">INDEX(加速!$I$13:$I$21,W441+1)</f>
        <v>0</v>
      </c>
      <c r="Y441">
        <f ca="1" t="shared" si="122"/>
        <v>0.5</v>
      </c>
      <c r="Z441">
        <f ca="1" t="shared" si="118"/>
        <v>0</v>
      </c>
      <c r="AA441">
        <f ca="1">MAX(0,IFERROR(IF(COUNTIF(B441,"*叠*")&gt;0,IF(AC440&lt;3,8-A442+A441,AA440+6.875-A442+A441),AA440-A442+A441),AA440-加速!$L$11))</f>
        <v>0</v>
      </c>
      <c r="AB441" t="e">
        <f ca="1">MAX(0,IF(COUNTIF(IF(AND(配装计算器!$K$30&lt;&gt;"∞",0),INDEX(AU441:CB441,1,$AT$1),INDEX(AU441:CB441,1,$AT$1)),"*叠1*")=1,4*25-加速!$L$11,AB440-A441+A440)-IF(OR(COUNTIF(OFFSET(AT441,0,$AT$1,1,1),"*听雷*")&gt;0,AND(碧归&gt;0,COUNTIF(OFFSET(AT441,0,$AT$1,1,1),"*风来*")&gt;0)),0,1)*1.5)</f>
        <v>#VALUE!</v>
      </c>
      <c r="AC441">
        <f ca="1" t="shared" si="114"/>
        <v>0</v>
      </c>
      <c r="AD441">
        <f ca="1">IF(COUNTIF(IF(AND(配装计算器!$K$30&lt;&gt;"∞",0),INDEX(AU441:CB441,1,$AT$1),INDEX(AU442:CB442,1,$AT$1)),"*叠1*")=1,AB441*0+AE440,0)</f>
        <v>0</v>
      </c>
      <c r="AE441" t="e">
        <f ca="1">IF($AN$11&gt;0,IF(COUNTIF(B442,"*叠1*")&gt;0,50-加速!$L$11,MAX(0,AE440-(A442-A441))),0)</f>
        <v>#VALUE!</v>
      </c>
      <c r="AG441">
        <f ca="1" t="shared" si="115"/>
        <v>12</v>
      </c>
      <c r="AU441" s="176" t="s">
        <v>2776</v>
      </c>
      <c r="AV441">
        <v>2</v>
      </c>
      <c r="AW441" t="s">
        <v>2768</v>
      </c>
      <c r="AX441">
        <v>2</v>
      </c>
      <c r="AY441" t="s">
        <v>2808</v>
      </c>
      <c r="AZ441">
        <v>2</v>
      </c>
      <c r="BA441" t="s">
        <v>2768</v>
      </c>
      <c r="BB441">
        <v>2</v>
      </c>
      <c r="BC441" t="s">
        <v>2794</v>
      </c>
      <c r="BD441">
        <v>2</v>
      </c>
      <c r="BE441" t="s">
        <v>2768</v>
      </c>
      <c r="BF441">
        <v>2</v>
      </c>
      <c r="BG441" s="176" t="s">
        <v>2768</v>
      </c>
      <c r="BH441">
        <v>2</v>
      </c>
      <c r="BI441" s="176" t="s">
        <v>2768</v>
      </c>
      <c r="BJ441">
        <v>1</v>
      </c>
      <c r="BK441" t="s">
        <v>2776</v>
      </c>
      <c r="BL441">
        <v>0</v>
      </c>
      <c r="BM441" s="176" t="str">
        <f>IF(秋,"云飞玉皇-蛇牙锥心","云飞玉皇-血毒金蛇锥")</f>
        <v>云飞玉皇-血毒金蛇锥</v>
      </c>
      <c r="BN441">
        <v>2</v>
      </c>
      <c r="BO441" t="str">
        <f>IF(0,"云飞玉皇-玉山揽云","夕照雷峰")</f>
        <v>夕照雷峰</v>
      </c>
      <c r="BP441">
        <v>2</v>
      </c>
      <c r="BQ441" t="s">
        <v>2768</v>
      </c>
      <c r="BR441">
        <v>1</v>
      </c>
      <c r="BS441" t="s">
        <v>2768</v>
      </c>
      <c r="BT441">
        <v>2</v>
      </c>
      <c r="BU441" t="s">
        <v>3018</v>
      </c>
      <c r="BV441">
        <v>2</v>
      </c>
      <c r="BW441" s="182" t="s">
        <v>2776</v>
      </c>
      <c r="BX441" s="179">
        <v>2</v>
      </c>
      <c r="BY441" t="str">
        <f>IF(秋,"夕照雷峰-蛇牙锥心","夕照雷峰")</f>
        <v>夕照雷峰</v>
      </c>
      <c r="BZ441">
        <v>2</v>
      </c>
      <c r="CA441" s="176" t="str">
        <f>IF(秋,"鹤归孤山-蛇牙锥心","鹤归孤山")</f>
        <v>鹤归孤山</v>
      </c>
      <c r="CB441">
        <v>2</v>
      </c>
    </row>
    <row r="442" spans="1:80">
      <c r="A442" s="178" t="str">
        <f ca="1">IFERROR(IF(AG441&lt;5+金蛇*2,IF(COUNTIF(B441,"*轻*")&gt;0,A441+加速!$L$9,A441+加速!$L$11)+V441,""),"")</f>
        <v/>
      </c>
      <c r="B442" s="167" t="str">
        <f ca="1" t="shared" si="110"/>
        <v/>
      </c>
      <c r="C442" t="str">
        <f ca="1" t="shared" si="119"/>
        <v/>
      </c>
      <c r="D442" t="str">
        <f ca="1">IF(B442&lt;&gt;"",IF(C441&lt;=加速!$L$11*(1-E442),0,1),"")</f>
        <v/>
      </c>
      <c r="E442">
        <f ca="1" t="shared" si="116"/>
        <v>1</v>
      </c>
      <c r="G442" t="str">
        <f ca="1" t="shared" si="117"/>
        <v/>
      </c>
      <c r="H442" t="str">
        <f ca="1">IF(B442&lt;&gt;"",IF(AND(COUNTIF(B441,"*轻*莺鸣柳*")&gt;0,COUNTIF(B442,"*轻*")&lt;1),MAX(0,15+I441-(A442-A441)+COUNTIF(B441,"*平湖*")*0),IF(AND(E442=0,MAX(0,H441-(A442-A441))&lt;=加速!$H$11),0,MAX(0,H441-(A442-A441)))),"")</f>
        <v/>
      </c>
      <c r="I442" t="str">
        <f ca="1" t="shared" si="123"/>
        <v/>
      </c>
      <c r="J442" t="str">
        <f ca="1" t="shared" si="124"/>
        <v/>
      </c>
      <c r="K442" t="str">
        <f ca="1" t="shared" si="111"/>
        <v/>
      </c>
      <c r="L442">
        <f ca="1">IFERROR(IF(AND(COUNTIF(B442,"*-峰插*"),技能数据库!$M$72&gt;0),0,IF(COUNTIF(B442,"*鹤归*")&gt;0,16-加速!$L$11,MAX(0,L441-(A442-A441)))),0)</f>
        <v>0</v>
      </c>
      <c r="M442">
        <f ca="1" t="shared" si="112"/>
        <v>0</v>
      </c>
      <c r="N442">
        <f ca="1">IFERROR(IF(AND(COUNTIF(B442,"*-峰插*"),技能数据库!$M$72&gt;0),0,IF(COUNTIF(B442,"*云飞*")&gt;0,4-COUNTIF(B442,"*玉山揽云*")*4--COUNTIF(B442,"*烟流暮景*")*4-COUNTIF(B442,"*云景*")*加速!$L$11-IF(J442&gt;0,2,0),MAX(0,N441-(A442-A441)-IF(J442&gt;0,2,0)))),0)</f>
        <v>0</v>
      </c>
      <c r="O442">
        <f ca="1">IF(AND(COUNTIF(IF(AND(配装计算器!$K$30&lt;&gt;"∞",0),INDEX(AU441:CB441,1,$AT$1),INDEX(AU443:CB443,1,$AT$1)),"*云飞*")=1,COUNTIF(IF(AND(配装计算器!$K$30&lt;&gt;"∞",0),INDEX(AU441:CB441,1,$AT$1),INDEX(AU443:CB443,1,$AT$1)),"*玉山*")=0),N442,0)</f>
        <v>0</v>
      </c>
      <c r="P442">
        <f ca="1">IFERROR(IF(COUNTIF(B442,"*云栖松*")&gt;0,50-加速!$L$11,MAX(0,P441-(A442-A441))),0)</f>
        <v>0</v>
      </c>
      <c r="Q442">
        <f ca="1">IF(COUNTIF(IF(AND(配装计算器!$K$30&lt;&gt;"∞",0),INDEX(AU441:CB441,1,$AT$1),INDEX(AU443:CB443,1,$AT$1)),"*云栖松*")=1,P442,0)</f>
        <v>0</v>
      </c>
      <c r="R442">
        <f ca="1">IFERROR(IF(COUNTIF(B442,"*莺鸣柳*")&gt;0,45-加速!$L$9,MAX(0,R441-(A442-A441))),0)</f>
        <v>0</v>
      </c>
      <c r="S442">
        <f ca="1">IF(COUNTIF(IF(AND(配装计算器!$K$30&lt;&gt;"∞",0),INDEX(AU441:CB441,1,$AT$1),INDEX(AU443:CB443,1,$AT$1)),"*莺鸣柳*")=1,R442,0)</f>
        <v>0</v>
      </c>
      <c r="T442">
        <f ca="1" t="shared" si="120"/>
        <v>0</v>
      </c>
      <c r="U442">
        <f ca="1">IF(金蛇,IF(COUNTIF(B442,"*金环戴*")+COUNTIF(B442,"*吹风醒*")&gt;0,IF(A442&lt;=3,7.125-2.625-A442-加速!$L$11,7.125+加速!$K$9-(A442+加速!$L$11-T442)),0),0)+IF(金蛇,IF(COUNTIF(B442,"*千切子裂光*")&gt;0,2+加速!$K$9-(A442+加速!$L$11-T442),0),0)</f>
        <v>0</v>
      </c>
      <c r="V442">
        <f ca="1" t="shared" si="121"/>
        <v>0</v>
      </c>
      <c r="W442">
        <f ca="1" t="shared" si="113"/>
        <v>0</v>
      </c>
      <c r="X442">
        <f ca="1">INDEX(加速!$I$13:$I$21,W442+1)</f>
        <v>0</v>
      </c>
      <c r="Y442">
        <f ca="1" t="shared" si="122"/>
        <v>0.5</v>
      </c>
      <c r="Z442">
        <f ca="1" t="shared" si="118"/>
        <v>0</v>
      </c>
      <c r="AA442">
        <f ca="1">MAX(0,IFERROR(IF(COUNTIF(B442,"*叠*")&gt;0,IF(AC441&lt;3,8-A443+A442,AA441+6.875-A443+A442),AA441-A443+A442),AA441-加速!$L$11))</f>
        <v>0</v>
      </c>
      <c r="AB442" t="e">
        <f ca="1">MAX(0,IF(COUNTIF(IF(AND(配装计算器!$K$30&lt;&gt;"∞",0),INDEX(AU442:CB442,1,$AT$1),INDEX(AU442:CB442,1,$AT$1)),"*叠1*")=1,4*25-加速!$L$11,AB441-A442+A441)-IF(OR(COUNTIF(OFFSET(AT442,0,$AT$1,1,1),"*听雷*")&gt;0,AND(碧归&gt;0,COUNTIF(OFFSET(AT442,0,$AT$1,1,1),"*风来*")&gt;0)),0,1)*1.5)</f>
        <v>#VALUE!</v>
      </c>
      <c r="AC442">
        <f ca="1" t="shared" si="114"/>
        <v>0</v>
      </c>
      <c r="AD442">
        <f ca="1">IF(COUNTIF(IF(AND(配装计算器!$K$30&lt;&gt;"∞",0),INDEX(AU442:CB442,1,$AT$1),INDEX(AU443:CB443,1,$AT$1)),"*叠1*")=1,AB442*0+AE441,0)</f>
        <v>0</v>
      </c>
      <c r="AE442" t="e">
        <f ca="1">IF($AN$11&gt;0,IF(COUNTIF(B443,"*叠1*")&gt;0,50-加速!$L$11,MAX(0,AE441-(A443-A442))),0)</f>
        <v>#VALUE!</v>
      </c>
      <c r="AG442">
        <f ca="1" t="shared" si="115"/>
        <v>12</v>
      </c>
      <c r="AU442" s="176" t="s">
        <v>2768</v>
      </c>
      <c r="AV442">
        <v>2</v>
      </c>
      <c r="AW442" t="s">
        <v>2776</v>
      </c>
      <c r="AX442">
        <v>2</v>
      </c>
      <c r="AY442" t="s">
        <v>3022</v>
      </c>
      <c r="AZ442">
        <v>2</v>
      </c>
      <c r="BA442" t="s">
        <v>2789</v>
      </c>
      <c r="BB442">
        <v>2</v>
      </c>
      <c r="BC442" t="s">
        <v>2768</v>
      </c>
      <c r="BD442">
        <v>2</v>
      </c>
      <c r="BE442" t="s">
        <v>3042</v>
      </c>
      <c r="BF442">
        <v>2</v>
      </c>
      <c r="BG442" s="176" t="s">
        <v>2789</v>
      </c>
      <c r="BH442">
        <v>2</v>
      </c>
      <c r="BI442" s="176" t="s">
        <v>2776</v>
      </c>
      <c r="BJ442">
        <v>0</v>
      </c>
      <c r="BK442" t="s">
        <v>2768</v>
      </c>
      <c r="BL442">
        <v>0</v>
      </c>
      <c r="BM442" t="s">
        <v>2768</v>
      </c>
      <c r="BN442">
        <v>2</v>
      </c>
      <c r="BO442" t="s">
        <v>2776</v>
      </c>
      <c r="BP442">
        <v>2</v>
      </c>
      <c r="BQ442" t="s">
        <v>2768</v>
      </c>
      <c r="BR442">
        <v>0</v>
      </c>
      <c r="BS442" t="s">
        <v>2776</v>
      </c>
      <c r="BT442">
        <v>2</v>
      </c>
      <c r="BU442" t="s">
        <v>2768</v>
      </c>
      <c r="BV442">
        <v>2</v>
      </c>
      <c r="BW442" s="182" t="s">
        <v>2768</v>
      </c>
      <c r="BX442" s="179">
        <v>2</v>
      </c>
      <c r="BY442" s="176" t="str">
        <f>IF(秋,"云飞玉皇","云飞玉皇-血毒金蛇锥")</f>
        <v>云飞玉皇-血毒金蛇锥</v>
      </c>
      <c r="BZ442">
        <v>2</v>
      </c>
      <c r="CA442" s="176" t="str">
        <f>IF(秋,"云飞玉皇","云飞玉皇-血毒金蛇锥")</f>
        <v>云飞玉皇-血毒金蛇锥</v>
      </c>
      <c r="CB442">
        <v>2</v>
      </c>
    </row>
    <row r="443" spans="1:80">
      <c r="A443" s="178" t="str">
        <f ca="1">IFERROR(IF(AG442&lt;5+金蛇*2,IF(COUNTIF(B442,"*轻*")&gt;0,A442+加速!$L$9,A442+加速!$L$11)+V442,""),"")</f>
        <v/>
      </c>
      <c r="B443" s="167" t="str">
        <f ca="1" t="shared" si="110"/>
        <v/>
      </c>
      <c r="C443" t="str">
        <f ca="1" t="shared" si="119"/>
        <v/>
      </c>
      <c r="D443" t="str">
        <f ca="1">IF(B443&lt;&gt;"",IF(C442&lt;=加速!$L$11*(1-E443),0,1),"")</f>
        <v/>
      </c>
      <c r="E443">
        <f ca="1" t="shared" si="116"/>
        <v>1</v>
      </c>
      <c r="G443" t="str">
        <f ca="1" t="shared" si="117"/>
        <v/>
      </c>
      <c r="H443" t="str">
        <f ca="1">IF(B443&lt;&gt;"",IF(AND(COUNTIF(B442,"*轻*莺鸣柳*")&gt;0,COUNTIF(B443,"*轻*")&lt;1),MAX(0,15+I442-(A443-A442)+COUNTIF(B442,"*平湖*")*0),IF(AND(E443=0,MAX(0,H442-(A443-A442))&lt;=加速!$H$11),0,MAX(0,H442-(A443-A442)))),"")</f>
        <v/>
      </c>
      <c r="I443" t="str">
        <f ca="1" t="shared" si="123"/>
        <v/>
      </c>
      <c r="J443" t="str">
        <f ca="1" t="shared" si="124"/>
        <v/>
      </c>
      <c r="K443" t="str">
        <f ca="1" t="shared" si="111"/>
        <v/>
      </c>
      <c r="L443">
        <f ca="1">IFERROR(IF(AND(COUNTIF(B443,"*-峰插*"),技能数据库!$M$72&gt;0),0,IF(COUNTIF(B443,"*鹤归*")&gt;0,16-加速!$L$11,MAX(0,L442-(A443-A442)))),0)</f>
        <v>0</v>
      </c>
      <c r="M443">
        <f ca="1" t="shared" si="112"/>
        <v>0</v>
      </c>
      <c r="N443">
        <f ca="1">IFERROR(IF(AND(COUNTIF(B443,"*-峰插*"),技能数据库!$M$72&gt;0),0,IF(COUNTIF(B443,"*云飞*")&gt;0,4-COUNTIF(B443,"*玉山揽云*")*4--COUNTIF(B443,"*烟流暮景*")*4-COUNTIF(B443,"*云景*")*加速!$L$11-IF(J443&gt;0,2,0),MAX(0,N442-(A443-A442)-IF(J443&gt;0,2,0)))),0)</f>
        <v>0</v>
      </c>
      <c r="O443">
        <f ca="1">IF(AND(COUNTIF(IF(AND(配装计算器!$K$30&lt;&gt;"∞",0),INDEX(AU442:CB442,1,$AT$1),INDEX(AU444:CB444,1,$AT$1)),"*云飞*")=1,COUNTIF(IF(AND(配装计算器!$K$30&lt;&gt;"∞",0),INDEX(AU442:CB442,1,$AT$1),INDEX(AU444:CB444,1,$AT$1)),"*玉山*")=0),N443,0)</f>
        <v>0</v>
      </c>
      <c r="P443">
        <f ca="1">IFERROR(IF(COUNTIF(B443,"*云栖松*")&gt;0,50-加速!$L$11,MAX(0,P442-(A443-A442))),0)</f>
        <v>0</v>
      </c>
      <c r="Q443">
        <f ca="1">IF(COUNTIF(IF(AND(配装计算器!$K$30&lt;&gt;"∞",0),INDEX(AU442:CB442,1,$AT$1),INDEX(AU444:CB444,1,$AT$1)),"*云栖松*")=1,P443,0)</f>
        <v>0</v>
      </c>
      <c r="R443">
        <f ca="1">IFERROR(IF(COUNTIF(B443,"*莺鸣柳*")&gt;0,45-加速!$L$9,MAX(0,R442-(A443-A442))),0)</f>
        <v>0</v>
      </c>
      <c r="S443">
        <f ca="1">IF(COUNTIF(IF(AND(配装计算器!$K$30&lt;&gt;"∞",0),INDEX(AU442:CB442,1,$AT$1),INDEX(AU444:CB444,1,$AT$1)),"*莺鸣柳*")=1,R443,0)</f>
        <v>0</v>
      </c>
      <c r="T443">
        <f ca="1" t="shared" si="120"/>
        <v>0</v>
      </c>
      <c r="U443">
        <f ca="1">IF(金蛇,IF(COUNTIF(B443,"*金环戴*")+COUNTIF(B443,"*吹风醒*")&gt;0,IF(A443&lt;=3,7.125-2.625-A443-加速!$L$11,7.125+加速!$K$9-(A443+加速!$L$11-T443)),0),0)+IF(金蛇,IF(COUNTIF(B443,"*千切子裂光*")&gt;0,2+加速!$K$9-(A443+加速!$L$11-T443),0),0)</f>
        <v>0</v>
      </c>
      <c r="V443">
        <f ca="1" t="shared" si="121"/>
        <v>0</v>
      </c>
      <c r="W443">
        <f ca="1" t="shared" si="113"/>
        <v>0</v>
      </c>
      <c r="X443">
        <f ca="1">INDEX(加速!$I$13:$I$21,W443+1)</f>
        <v>0</v>
      </c>
      <c r="Y443">
        <f ca="1" t="shared" si="122"/>
        <v>0.5</v>
      </c>
      <c r="Z443">
        <f ca="1" t="shared" si="118"/>
        <v>0</v>
      </c>
      <c r="AA443">
        <f ca="1">MAX(0,IFERROR(IF(COUNTIF(B443,"*叠*")&gt;0,IF(AC442&lt;3,8-A444+A443,AA442+6.875-A444+A443),AA442-A444+A443),AA442-加速!$L$11))</f>
        <v>0</v>
      </c>
      <c r="AB443" t="e">
        <f ca="1">MAX(0,IF(COUNTIF(IF(AND(配装计算器!$K$30&lt;&gt;"∞",0),INDEX(AU443:CB443,1,$AT$1),INDEX(AU443:CB443,1,$AT$1)),"*叠1*")=1,4*25-加速!$L$11,AB442-A443+A442)-IF(OR(COUNTIF(OFFSET(AT443,0,$AT$1,1,1),"*听雷*")&gt;0,AND(碧归&gt;0,COUNTIF(OFFSET(AT443,0,$AT$1,1,1),"*风来*")&gt;0)),0,1)*1.5)</f>
        <v>#VALUE!</v>
      </c>
      <c r="AC443">
        <f ca="1" t="shared" si="114"/>
        <v>0</v>
      </c>
      <c r="AD443">
        <f ca="1">IF(COUNTIF(IF(AND(配装计算器!$K$30&lt;&gt;"∞",0),INDEX(AU443:CB443,1,$AT$1),INDEX(AU444:CB444,1,$AT$1)),"*叠1*")=1,AB443*0+AE442,0)</f>
        <v>0</v>
      </c>
      <c r="AE443" t="e">
        <f ca="1">IF($AN$11&gt;0,IF(COUNTIF(B444,"*叠1*")&gt;0,50-加速!$L$11,MAX(0,AE442-(A444-A443))),0)</f>
        <v>#VALUE!</v>
      </c>
      <c r="AG443">
        <f ca="1" t="shared" si="115"/>
        <v>12</v>
      </c>
      <c r="AU443" s="176" t="s">
        <v>2776</v>
      </c>
      <c r="AV443">
        <v>2</v>
      </c>
      <c r="AW443" t="s">
        <v>2768</v>
      </c>
      <c r="AX443">
        <v>2</v>
      </c>
      <c r="AY443" t="s">
        <v>2776</v>
      </c>
      <c r="AZ443">
        <v>2</v>
      </c>
      <c r="BA443" t="s">
        <v>2776</v>
      </c>
      <c r="BB443">
        <v>2</v>
      </c>
      <c r="BC443" t="s">
        <v>2776</v>
      </c>
      <c r="BD443">
        <v>2</v>
      </c>
      <c r="BE443" t="s">
        <v>3084</v>
      </c>
      <c r="BF443">
        <v>2</v>
      </c>
      <c r="BG443" s="176" t="s">
        <v>2776</v>
      </c>
      <c r="BH443">
        <v>2</v>
      </c>
      <c r="BI443" t="s">
        <v>2794</v>
      </c>
      <c r="BJ443">
        <v>0</v>
      </c>
      <c r="BK443" t="s">
        <v>3068</v>
      </c>
      <c r="BL443">
        <v>2</v>
      </c>
      <c r="BM443" t="str">
        <f>IF(山重水复,"风来吴山","夕照雷峰")</f>
        <v>夕照雷峰</v>
      </c>
      <c r="BN443">
        <v>2</v>
      </c>
      <c r="BO443" s="176" t="s">
        <v>2794</v>
      </c>
      <c r="BP443">
        <v>2</v>
      </c>
      <c r="BQ443" t="s">
        <v>3010</v>
      </c>
      <c r="BR443">
        <v>2</v>
      </c>
      <c r="BS443" t="s">
        <v>2768</v>
      </c>
      <c r="BT443">
        <v>2</v>
      </c>
      <c r="BU443" s="182" t="s">
        <v>3023</v>
      </c>
      <c r="BV443">
        <v>2</v>
      </c>
      <c r="BW443" s="182" t="s">
        <v>2776</v>
      </c>
      <c r="BX443" s="179">
        <v>2</v>
      </c>
      <c r="BY443" t="s">
        <v>2768</v>
      </c>
      <c r="BZ443">
        <v>2</v>
      </c>
      <c r="CA443" s="176" t="s">
        <v>2768</v>
      </c>
      <c r="CB443">
        <v>2</v>
      </c>
    </row>
    <row r="444" spans="1:80">
      <c r="A444" s="178" t="str">
        <f ca="1">IFERROR(IF(AG443&lt;5+金蛇*2,IF(COUNTIF(B443,"*轻*")&gt;0,A443+加速!$L$9,A443+加速!$L$11)+V443,""),"")</f>
        <v/>
      </c>
      <c r="B444" s="167" t="str">
        <f ca="1" t="shared" si="110"/>
        <v/>
      </c>
      <c r="C444" t="str">
        <f ca="1" t="shared" si="119"/>
        <v/>
      </c>
      <c r="D444" t="str">
        <f ca="1">IF(B444&lt;&gt;"",IF(C443&lt;=加速!$L$11*(1-E444),0,1),"")</f>
        <v/>
      </c>
      <c r="E444">
        <f ca="1" t="shared" si="116"/>
        <v>1</v>
      </c>
      <c r="G444" t="str">
        <f ca="1" t="shared" si="117"/>
        <v/>
      </c>
      <c r="H444" t="str">
        <f ca="1">IF(B444&lt;&gt;"",IF(AND(COUNTIF(B443,"*轻*莺鸣柳*")&gt;0,COUNTIF(B444,"*轻*")&lt;1),MAX(0,15+I443-(A444-A443)+COUNTIF(B443,"*平湖*")*0),IF(AND(E444=0,MAX(0,H443-(A444-A443))&lt;=加速!$H$11),0,MAX(0,H443-(A444-A443)))),"")</f>
        <v/>
      </c>
      <c r="I444" t="str">
        <f ca="1" t="shared" si="123"/>
        <v/>
      </c>
      <c r="J444" t="str">
        <f ca="1" t="shared" si="124"/>
        <v/>
      </c>
      <c r="K444" t="str">
        <f ca="1" t="shared" si="111"/>
        <v/>
      </c>
      <c r="L444">
        <f ca="1">IFERROR(IF(AND(COUNTIF(B444,"*-峰插*"),技能数据库!$M$72&gt;0),0,IF(COUNTIF(B444,"*鹤归*")&gt;0,16-加速!$L$11,MAX(0,L443-(A444-A443)))),0)</f>
        <v>0</v>
      </c>
      <c r="M444">
        <f ca="1" t="shared" si="112"/>
        <v>0</v>
      </c>
      <c r="N444">
        <f ca="1">IFERROR(IF(AND(COUNTIF(B444,"*-峰插*"),技能数据库!$M$72&gt;0),0,IF(COUNTIF(B444,"*云飞*")&gt;0,4-COUNTIF(B444,"*玉山揽云*")*4--COUNTIF(B444,"*烟流暮景*")*4-COUNTIF(B444,"*云景*")*加速!$L$11-IF(J444&gt;0,2,0),MAX(0,N443-(A444-A443)-IF(J444&gt;0,2,0)))),0)</f>
        <v>0</v>
      </c>
      <c r="O444">
        <f ca="1">IF(AND(COUNTIF(IF(AND(配装计算器!$K$30&lt;&gt;"∞",0),INDEX(AU443:CB443,1,$AT$1),INDEX(AU445:CB445,1,$AT$1)),"*云飞*")=1,COUNTIF(IF(AND(配装计算器!$K$30&lt;&gt;"∞",0),INDEX(AU443:CB443,1,$AT$1),INDEX(AU445:CB445,1,$AT$1)),"*玉山*")=0),N444,0)</f>
        <v>0</v>
      </c>
      <c r="P444">
        <f ca="1">IFERROR(IF(COUNTIF(B444,"*云栖松*")&gt;0,50-加速!$L$11,MAX(0,P443-(A444-A443))),0)</f>
        <v>0</v>
      </c>
      <c r="Q444">
        <f ca="1">IF(COUNTIF(IF(AND(配装计算器!$K$30&lt;&gt;"∞",0),INDEX(AU443:CB443,1,$AT$1),INDEX(AU445:CB445,1,$AT$1)),"*云栖松*")=1,P444,0)</f>
        <v>0</v>
      </c>
      <c r="R444">
        <f ca="1">IFERROR(IF(COUNTIF(B444,"*莺鸣柳*")&gt;0,45-加速!$L$9,MAX(0,R443-(A444-A443))),0)</f>
        <v>0</v>
      </c>
      <c r="S444">
        <f ca="1">IF(COUNTIF(IF(AND(配装计算器!$K$30&lt;&gt;"∞",0),INDEX(AU443:CB443,1,$AT$1),INDEX(AU445:CB445,1,$AT$1)),"*莺鸣柳*")=1,R444,0)</f>
        <v>0</v>
      </c>
      <c r="T444">
        <f ca="1" t="shared" si="120"/>
        <v>0</v>
      </c>
      <c r="U444">
        <f ca="1">IF(金蛇,IF(COUNTIF(B444,"*金环戴*")+COUNTIF(B444,"*吹风醒*")&gt;0,IF(A444&lt;=3,7.125-2.625-A444-加速!$L$11,7.125+加速!$K$9-(A444+加速!$L$11-T444)),0),0)+IF(金蛇,IF(COUNTIF(B444,"*千切子裂光*")&gt;0,2+加速!$K$9-(A444+加速!$L$11-T444),0),0)</f>
        <v>0</v>
      </c>
      <c r="V444">
        <f ca="1" t="shared" si="121"/>
        <v>0</v>
      </c>
      <c r="W444">
        <f ca="1" t="shared" si="113"/>
        <v>0</v>
      </c>
      <c r="X444">
        <f ca="1">INDEX(加速!$I$13:$I$21,W444+1)</f>
        <v>0</v>
      </c>
      <c r="Y444">
        <f ca="1" t="shared" si="122"/>
        <v>0.5</v>
      </c>
      <c r="Z444">
        <f ca="1" t="shared" si="118"/>
        <v>0</v>
      </c>
      <c r="AA444">
        <f ca="1">MAX(0,IFERROR(IF(COUNTIF(B444,"*叠*")&gt;0,IF(AC443&lt;3,8-A445+A444,AA443+6.875-A445+A444),AA443-A445+A444),AA443-加速!$L$11))</f>
        <v>0</v>
      </c>
      <c r="AB444" t="e">
        <f ca="1">MAX(0,IF(COUNTIF(IF(AND(配装计算器!$K$30&lt;&gt;"∞",0),INDEX(AU444:CB444,1,$AT$1),INDEX(AU444:CB444,1,$AT$1)),"*叠1*")=1,4*25-加速!$L$11,AB443-A444+A443)-IF(OR(COUNTIF(OFFSET(AT444,0,$AT$1,1,1),"*听雷*")&gt;0,AND(碧归&gt;0,COUNTIF(OFFSET(AT444,0,$AT$1,1,1),"*风来*")&gt;0)),0,1)*1.5)</f>
        <v>#VALUE!</v>
      </c>
      <c r="AC444">
        <f ca="1" t="shared" si="114"/>
        <v>0</v>
      </c>
      <c r="AD444">
        <f ca="1">IF(COUNTIF(IF(AND(配装计算器!$K$30&lt;&gt;"∞",0),INDEX(AU444:CB444,1,$AT$1),INDEX(AU445:CB445,1,$AT$1)),"*叠1*")=1,AB444*0+AE443,0)</f>
        <v>0</v>
      </c>
      <c r="AE444" t="e">
        <f ca="1">IF($AN$11&gt;0,IF(COUNTIF(B445,"*叠1*")&gt;0,50-加速!$L$11,MAX(0,AE443-(A445-A444))),0)</f>
        <v>#VALUE!</v>
      </c>
      <c r="AG444">
        <f ca="1" t="shared" si="115"/>
        <v>12</v>
      </c>
      <c r="AU444" s="176" t="s">
        <v>2768</v>
      </c>
      <c r="AV444">
        <v>1</v>
      </c>
      <c r="AW444" t="s">
        <v>2722</v>
      </c>
      <c r="AX444">
        <v>0</v>
      </c>
      <c r="AY444" t="s">
        <v>2768</v>
      </c>
      <c r="AZ444">
        <v>2</v>
      </c>
      <c r="BA444" t="s">
        <v>3035</v>
      </c>
      <c r="BB444">
        <v>2</v>
      </c>
      <c r="BC444" t="s">
        <v>2768</v>
      </c>
      <c r="BD444">
        <v>2</v>
      </c>
      <c r="BE444" t="s">
        <v>2768</v>
      </c>
      <c r="BF444">
        <v>2</v>
      </c>
      <c r="BG444" s="176" t="s">
        <v>3035</v>
      </c>
      <c r="BH444">
        <v>2</v>
      </c>
      <c r="BI444" t="s">
        <v>2768</v>
      </c>
      <c r="BJ444">
        <v>2</v>
      </c>
      <c r="BK444" t="s">
        <v>2768</v>
      </c>
      <c r="BL444">
        <v>2</v>
      </c>
      <c r="BM444" s="176" t="s">
        <v>2794</v>
      </c>
      <c r="BN444">
        <v>2</v>
      </c>
      <c r="BO444" s="176" t="s">
        <v>2768</v>
      </c>
      <c r="BP444">
        <v>2</v>
      </c>
      <c r="BQ444" t="s">
        <v>3013</v>
      </c>
      <c r="BR444">
        <v>2</v>
      </c>
      <c r="BS444" t="s">
        <v>2776</v>
      </c>
      <c r="BT444">
        <v>1</v>
      </c>
      <c r="BU444" s="176" t="s">
        <v>2768</v>
      </c>
      <c r="BV444">
        <v>2</v>
      </c>
      <c r="BW444" s="182" t="s">
        <v>2768</v>
      </c>
      <c r="BX444" s="179">
        <v>2</v>
      </c>
      <c r="BY444" t="str">
        <f>IF(山重水复,"风来吴山","夕照雷峰")</f>
        <v>夕照雷峰</v>
      </c>
      <c r="BZ444">
        <v>2</v>
      </c>
      <c r="CA444" s="176" t="s">
        <v>2776</v>
      </c>
      <c r="CB444">
        <v>2</v>
      </c>
    </row>
    <row r="445" spans="1:80">
      <c r="A445" s="178" t="str">
        <f ca="1">IFERROR(IF(AG444&lt;5+金蛇*2,IF(COUNTIF(B444,"*轻*")&gt;0,A444+加速!$L$9,A444+加速!$L$11)+V444,""),"")</f>
        <v/>
      </c>
      <c r="B445" s="167" t="str">
        <f ca="1" t="shared" si="110"/>
        <v/>
      </c>
      <c r="C445" t="str">
        <f ca="1" t="shared" si="119"/>
        <v/>
      </c>
      <c r="D445" t="str">
        <f ca="1">IF(B445&lt;&gt;"",IF(C444&lt;=加速!$L$11*(1-E445),0,1),"")</f>
        <v/>
      </c>
      <c r="E445">
        <f ca="1" t="shared" si="116"/>
        <v>1</v>
      </c>
      <c r="G445" t="str">
        <f ca="1" t="shared" si="117"/>
        <v/>
      </c>
      <c r="H445" t="str">
        <f ca="1">IF(B445&lt;&gt;"",IF(AND(COUNTIF(B444,"*轻*莺鸣柳*")&gt;0,COUNTIF(B445,"*轻*")&lt;1),MAX(0,15+I444-(A445-A444)+COUNTIF(B444,"*平湖*")*0),IF(AND(E445=0,MAX(0,H444-(A445-A444))&lt;=加速!$H$11),0,MAX(0,H444-(A445-A444)))),"")</f>
        <v/>
      </c>
      <c r="I445" t="str">
        <f ca="1" t="shared" si="123"/>
        <v/>
      </c>
      <c r="J445" t="str">
        <f ca="1" t="shared" si="124"/>
        <v/>
      </c>
      <c r="K445" t="str">
        <f ca="1" t="shared" si="111"/>
        <v/>
      </c>
      <c r="L445">
        <f ca="1">IFERROR(IF(AND(COUNTIF(B445,"*-峰插*"),技能数据库!$M$72&gt;0),0,IF(COUNTIF(B445,"*鹤归*")&gt;0,16-加速!$L$11,MAX(0,L444-(A445-A444)))),0)</f>
        <v>0</v>
      </c>
      <c r="M445">
        <f ca="1" t="shared" si="112"/>
        <v>0</v>
      </c>
      <c r="N445">
        <f ca="1">IFERROR(IF(AND(COUNTIF(B445,"*-峰插*"),技能数据库!$M$72&gt;0),0,IF(COUNTIF(B445,"*云飞*")&gt;0,4-COUNTIF(B445,"*玉山揽云*")*4--COUNTIF(B445,"*烟流暮景*")*4-COUNTIF(B445,"*云景*")*加速!$L$11-IF(J445&gt;0,2,0),MAX(0,N444-(A445-A444)-IF(J445&gt;0,2,0)))),0)</f>
        <v>0</v>
      </c>
      <c r="O445">
        <f ca="1">IF(AND(COUNTIF(IF(AND(配装计算器!$K$30&lt;&gt;"∞",0),INDEX(AU444:CB444,1,$AT$1),INDEX(AU446:CB446,1,$AT$1)),"*云飞*")=1,COUNTIF(IF(AND(配装计算器!$K$30&lt;&gt;"∞",0),INDEX(AU444:CB444,1,$AT$1),INDEX(AU446:CB446,1,$AT$1)),"*玉山*")=0),N445,0)</f>
        <v>0</v>
      </c>
      <c r="P445">
        <f ca="1">IFERROR(IF(COUNTIF(B445,"*云栖松*")&gt;0,50-加速!$L$11,MAX(0,P444-(A445-A444))),0)</f>
        <v>0</v>
      </c>
      <c r="Q445">
        <f ca="1">IF(COUNTIF(IF(AND(配装计算器!$K$30&lt;&gt;"∞",0),INDEX(AU444:CB444,1,$AT$1),INDEX(AU446:CB446,1,$AT$1)),"*云栖松*")=1,P445,0)</f>
        <v>0</v>
      </c>
      <c r="R445">
        <f ca="1">IFERROR(IF(COUNTIF(B445,"*莺鸣柳*")&gt;0,45-加速!$L$9,MAX(0,R444-(A445-A444))),0)</f>
        <v>0</v>
      </c>
      <c r="S445">
        <f ca="1">IF(COUNTIF(IF(AND(配装计算器!$K$30&lt;&gt;"∞",0),INDEX(AU444:CB444,1,$AT$1),INDEX(AU446:CB446,1,$AT$1)),"*莺鸣柳*")=1,R445,0)</f>
        <v>0</v>
      </c>
      <c r="T445">
        <f ca="1" t="shared" si="120"/>
        <v>0</v>
      </c>
      <c r="U445">
        <f ca="1">IF(金蛇,IF(COUNTIF(B445,"*金环戴*")+COUNTIF(B445,"*吹风醒*")&gt;0,IF(A445&lt;=3,7.125-2.625-A445-加速!$L$11,7.125+加速!$K$9-(A445+加速!$L$11-T445)),0),0)+IF(金蛇,IF(COUNTIF(B445,"*千切子裂光*")&gt;0,2+加速!$K$9-(A445+加速!$L$11-T445),0),0)</f>
        <v>0</v>
      </c>
      <c r="V445">
        <f ca="1" t="shared" si="121"/>
        <v>0</v>
      </c>
      <c r="W445">
        <f ca="1" t="shared" si="113"/>
        <v>0</v>
      </c>
      <c r="X445">
        <f ca="1">INDEX(加速!$I$13:$I$21,W445+1)</f>
        <v>0</v>
      </c>
      <c r="Y445">
        <f ca="1" t="shared" si="122"/>
        <v>0.5</v>
      </c>
      <c r="Z445">
        <f ca="1" t="shared" si="118"/>
        <v>0</v>
      </c>
      <c r="AA445">
        <f ca="1">MAX(0,IFERROR(IF(COUNTIF(B445,"*叠*")&gt;0,IF(AC444&lt;3,8-A446+A445,AA444+6.875-A446+A445),AA444-A446+A445),AA444-加速!$L$11))</f>
        <v>0</v>
      </c>
      <c r="AB445" t="e">
        <f ca="1">MAX(0,IF(COUNTIF(IF(AND(配装计算器!$K$30&lt;&gt;"∞",0),INDEX(AU445:CB445,1,$AT$1),INDEX(AU445:CB445,1,$AT$1)),"*叠1*")=1,4*25-加速!$L$11,AB444-A445+A444)-IF(OR(COUNTIF(OFFSET(AT445,0,$AT$1,1,1),"*听雷*")&gt;0,AND(碧归&gt;0,COUNTIF(OFFSET(AT445,0,$AT$1,1,1),"*风来*")&gt;0)),0,1)*1.5)</f>
        <v>#VALUE!</v>
      </c>
      <c r="AC445">
        <f ca="1" t="shared" si="114"/>
        <v>0</v>
      </c>
      <c r="AD445">
        <f ca="1">IF(COUNTIF(IF(AND(配装计算器!$K$30&lt;&gt;"∞",0),INDEX(AU445:CB445,1,$AT$1),INDEX(AU446:CB446,1,$AT$1)),"*叠1*")=1,AB445*0+AE444,0)</f>
        <v>0</v>
      </c>
      <c r="AE445" t="e">
        <f ca="1">IF($AN$11&gt;0,IF(COUNTIF(B446,"*叠1*")&gt;0,50-加速!$L$11,MAX(0,AE444-(A446-A445))),0)</f>
        <v>#VALUE!</v>
      </c>
      <c r="AG445">
        <f ca="1" t="shared" si="115"/>
        <v>12</v>
      </c>
      <c r="AU445" t="s">
        <v>2776</v>
      </c>
      <c r="AV445">
        <v>1</v>
      </c>
      <c r="AW445" t="s">
        <v>3009</v>
      </c>
      <c r="AX445">
        <v>2</v>
      </c>
      <c r="AY445" t="s">
        <v>2789</v>
      </c>
      <c r="AZ445">
        <v>2</v>
      </c>
      <c r="BA445" t="s">
        <v>2768</v>
      </c>
      <c r="BB445">
        <v>2</v>
      </c>
      <c r="BC445" t="s">
        <v>2776</v>
      </c>
      <c r="BD445">
        <v>2</v>
      </c>
      <c r="BE445" t="s">
        <v>2794</v>
      </c>
      <c r="BF445">
        <v>2</v>
      </c>
      <c r="BG445" t="s">
        <v>2768</v>
      </c>
      <c r="BH445">
        <v>2</v>
      </c>
      <c r="BI445" t="s">
        <v>2776</v>
      </c>
      <c r="BJ445">
        <v>2</v>
      </c>
      <c r="BK445" t="s">
        <v>2776</v>
      </c>
      <c r="BL445">
        <v>2</v>
      </c>
      <c r="BM445" s="176" t="s">
        <v>2776</v>
      </c>
      <c r="BN445">
        <v>2</v>
      </c>
      <c r="BO445" s="176" t="s">
        <v>2776</v>
      </c>
      <c r="BP445">
        <v>2</v>
      </c>
      <c r="BQ445" t="s">
        <v>3018</v>
      </c>
      <c r="BR445">
        <v>2</v>
      </c>
      <c r="BS445" t="s">
        <v>2768</v>
      </c>
      <c r="BT445">
        <v>1</v>
      </c>
      <c r="BU445" s="176" t="s">
        <v>2768</v>
      </c>
      <c r="BV445">
        <v>2</v>
      </c>
      <c r="BW445" s="182" t="s">
        <v>2808</v>
      </c>
      <c r="BX445" s="179">
        <v>2</v>
      </c>
      <c r="BY445" s="176" t="s">
        <v>2794</v>
      </c>
      <c r="BZ445">
        <v>2</v>
      </c>
      <c r="CA445" s="176" t="s">
        <v>2768</v>
      </c>
      <c r="CB445">
        <v>2</v>
      </c>
    </row>
    <row r="446" spans="1:80">
      <c r="A446" s="178" t="str">
        <f ca="1">IFERROR(IF(AG445&lt;5+金蛇*2,IF(COUNTIF(B445,"*轻*")&gt;0,A445+加速!$L$9,A445+加速!$L$11)+V445,""),"")</f>
        <v/>
      </c>
      <c r="B446" s="167" t="str">
        <f ca="1" t="shared" si="110"/>
        <v/>
      </c>
      <c r="C446" t="str">
        <f ca="1" t="shared" si="119"/>
        <v/>
      </c>
      <c r="D446" t="str">
        <f ca="1">IF(B446&lt;&gt;"",IF(C445&lt;=加速!$L$11*(1-E446),0,1),"")</f>
        <v/>
      </c>
      <c r="E446">
        <f ca="1" t="shared" si="116"/>
        <v>1</v>
      </c>
      <c r="G446" t="str">
        <f ca="1" t="shared" si="117"/>
        <v/>
      </c>
      <c r="H446" t="str">
        <f ca="1">IF(B446&lt;&gt;"",IF(AND(COUNTIF(B445,"*轻*莺鸣柳*")&gt;0,COUNTIF(B446,"*轻*")&lt;1),MAX(0,15+I445-(A446-A445)+COUNTIF(B445,"*平湖*")*0),IF(AND(E446=0,MAX(0,H445-(A446-A445))&lt;=加速!$H$11),0,MAX(0,H445-(A446-A445)))),"")</f>
        <v/>
      </c>
      <c r="I446" t="str">
        <f ca="1" t="shared" si="123"/>
        <v/>
      </c>
      <c r="J446" t="str">
        <f ca="1" t="shared" si="124"/>
        <v/>
      </c>
      <c r="K446" t="str">
        <f ca="1" t="shared" si="111"/>
        <v/>
      </c>
      <c r="L446">
        <f ca="1">IFERROR(IF(AND(COUNTIF(B446,"*-峰插*"),技能数据库!$M$72&gt;0),0,IF(COUNTIF(B446,"*鹤归*")&gt;0,16-加速!$L$11,MAX(0,L445-(A446-A445)))),0)</f>
        <v>0</v>
      </c>
      <c r="M446">
        <f ca="1" t="shared" si="112"/>
        <v>0</v>
      </c>
      <c r="N446">
        <f ca="1">IFERROR(IF(AND(COUNTIF(B446,"*-峰插*"),技能数据库!$M$72&gt;0),0,IF(COUNTIF(B446,"*云飞*")&gt;0,4-COUNTIF(B446,"*玉山揽云*")*4--COUNTIF(B446,"*烟流暮景*")*4-COUNTIF(B446,"*云景*")*加速!$L$11-IF(J446&gt;0,2,0),MAX(0,N445-(A446-A445)-IF(J446&gt;0,2,0)))),0)</f>
        <v>0</v>
      </c>
      <c r="O446">
        <f ca="1">IF(AND(COUNTIF(IF(AND(配装计算器!$K$30&lt;&gt;"∞",0),INDEX(AU445:CB445,1,$AT$1),INDEX(AU447:CB447,1,$AT$1)),"*云飞*")=1,COUNTIF(IF(AND(配装计算器!$K$30&lt;&gt;"∞",0),INDEX(AU445:CB445,1,$AT$1),INDEX(AU447:CB447,1,$AT$1)),"*玉山*")=0),N446,0)</f>
        <v>0</v>
      </c>
      <c r="P446">
        <f ca="1">IFERROR(IF(COUNTIF(B446,"*云栖松*")&gt;0,50-加速!$L$11,MAX(0,P445-(A446-A445))),0)</f>
        <v>0</v>
      </c>
      <c r="Q446">
        <f ca="1">IF(COUNTIF(IF(AND(配装计算器!$K$30&lt;&gt;"∞",0),INDEX(AU445:CB445,1,$AT$1),INDEX(AU447:CB447,1,$AT$1)),"*云栖松*")=1,P446,0)</f>
        <v>0</v>
      </c>
      <c r="R446">
        <f ca="1">IFERROR(IF(COUNTIF(B446,"*莺鸣柳*")&gt;0,45-加速!$L$9,MAX(0,R445-(A446-A445))),0)</f>
        <v>0</v>
      </c>
      <c r="S446">
        <f ca="1">IF(COUNTIF(IF(AND(配装计算器!$K$30&lt;&gt;"∞",0),INDEX(AU445:CB445,1,$AT$1),INDEX(AU447:CB447,1,$AT$1)),"*莺鸣柳*")=1,R446,0)</f>
        <v>0</v>
      </c>
      <c r="T446">
        <f ca="1" t="shared" si="120"/>
        <v>0</v>
      </c>
      <c r="U446">
        <f ca="1">IF(金蛇,IF(COUNTIF(B446,"*金环戴*")+COUNTIF(B446,"*吹风醒*")&gt;0,IF(A446&lt;=3,7.125-2.625-A446-加速!$L$11,7.125+加速!$K$9-(A446+加速!$L$11-T446)),0),0)+IF(金蛇,IF(COUNTIF(B446,"*千切子裂光*")&gt;0,2+加速!$K$9-(A446+加速!$L$11-T446),0),0)</f>
        <v>0</v>
      </c>
      <c r="V446">
        <f ca="1" t="shared" si="121"/>
        <v>0</v>
      </c>
      <c r="W446">
        <f ca="1" t="shared" si="113"/>
        <v>0</v>
      </c>
      <c r="X446">
        <f ca="1">INDEX(加速!$I$13:$I$21,W446+1)</f>
        <v>0</v>
      </c>
      <c r="Y446">
        <f ca="1" t="shared" si="122"/>
        <v>0.5</v>
      </c>
      <c r="Z446">
        <f ca="1" t="shared" si="118"/>
        <v>0</v>
      </c>
      <c r="AA446">
        <f ca="1">MAX(0,IFERROR(IF(COUNTIF(B446,"*叠*")&gt;0,IF(AC445&lt;3,8-A447+A446,AA445+6.875-A447+A446),AA445-A447+A446),AA445-加速!$L$11))</f>
        <v>0</v>
      </c>
      <c r="AB446" t="e">
        <f ca="1">MAX(0,IF(COUNTIF(IF(AND(配装计算器!$K$30&lt;&gt;"∞",0),INDEX(AU446:CB446,1,$AT$1),INDEX(AU446:CB446,1,$AT$1)),"*叠1*")=1,4*25-加速!$L$11,AB445-A446+A445)-IF(OR(COUNTIF(OFFSET(AT446,0,$AT$1,1,1),"*听雷*")&gt;0,AND(碧归&gt;0,COUNTIF(OFFSET(AT446,0,$AT$1,1,1),"*风来*")&gt;0)),0,1)*1.5)</f>
        <v>#VALUE!</v>
      </c>
      <c r="AC446">
        <f ca="1" t="shared" si="114"/>
        <v>0</v>
      </c>
      <c r="AD446">
        <f ca="1">IF(COUNTIF(IF(AND(配装计算器!$K$30&lt;&gt;"∞",0),INDEX(AU446:CB446,1,$AT$1),INDEX(AU447:CB447,1,$AT$1)),"*叠1*")=1,AB446*0+AE445,0)</f>
        <v>0</v>
      </c>
      <c r="AE446" t="e">
        <f ca="1">IF($AN$11&gt;0,IF(COUNTIF(B447,"*叠1*")&gt;0,50-加速!$L$11,MAX(0,AE445-(A447-A446))),0)</f>
        <v>#VALUE!</v>
      </c>
      <c r="AG446">
        <f ca="1" t="shared" si="115"/>
        <v>12</v>
      </c>
      <c r="AU446" t="s">
        <v>2768</v>
      </c>
      <c r="AV446">
        <v>1</v>
      </c>
      <c r="AW446" t="s">
        <v>2776</v>
      </c>
      <c r="AX446">
        <v>2</v>
      </c>
      <c r="AY446" t="s">
        <v>2776</v>
      </c>
      <c r="AZ446">
        <v>2</v>
      </c>
      <c r="BA446" t="s">
        <v>2776</v>
      </c>
      <c r="BB446">
        <v>2</v>
      </c>
      <c r="BC446" t="s">
        <v>2768</v>
      </c>
      <c r="BD446">
        <v>2</v>
      </c>
      <c r="BE446" t="s">
        <v>2768</v>
      </c>
      <c r="BF446">
        <v>2</v>
      </c>
      <c r="BG446" t="s">
        <v>2776</v>
      </c>
      <c r="BH446">
        <v>2</v>
      </c>
      <c r="BI446" t="s">
        <v>2768</v>
      </c>
      <c r="BJ446">
        <v>2</v>
      </c>
      <c r="BK446" t="s">
        <v>2768</v>
      </c>
      <c r="BL446">
        <v>2</v>
      </c>
      <c r="BM446" s="176" t="s">
        <v>2768</v>
      </c>
      <c r="BN446">
        <v>2</v>
      </c>
      <c r="BO446" s="176" t="s">
        <v>2768</v>
      </c>
      <c r="BP446">
        <v>2</v>
      </c>
      <c r="BQ446" t="s">
        <v>2768</v>
      </c>
      <c r="BR446">
        <v>2</v>
      </c>
      <c r="BS446" t="s">
        <v>3056</v>
      </c>
      <c r="BT446">
        <v>0</v>
      </c>
      <c r="BU446" s="176" t="s">
        <v>2789</v>
      </c>
      <c r="BV446">
        <v>2</v>
      </c>
      <c r="BW446" s="179" t="s">
        <v>2768</v>
      </c>
      <c r="BX446" s="179">
        <v>2</v>
      </c>
      <c r="BY446" s="176" t="s">
        <v>2776</v>
      </c>
      <c r="BZ446">
        <v>2</v>
      </c>
      <c r="CA446" s="176" t="s">
        <v>2808</v>
      </c>
      <c r="CB446">
        <v>2</v>
      </c>
    </row>
    <row r="447" spans="1:80">
      <c r="A447" s="178" t="str">
        <f ca="1">IFERROR(IF(AG446&lt;5+金蛇*2,IF(COUNTIF(B446,"*轻*")&gt;0,A446+加速!$L$9,A446+加速!$L$11)+V446,""),"")</f>
        <v/>
      </c>
      <c r="B447" s="167" t="str">
        <f ca="1" t="shared" si="110"/>
        <v/>
      </c>
      <c r="C447" t="str">
        <f ca="1" t="shared" si="119"/>
        <v/>
      </c>
      <c r="D447" t="str">
        <f ca="1">IF(B447&lt;&gt;"",IF(C446&lt;=加速!$L$11*(1-E447),0,1),"")</f>
        <v/>
      </c>
      <c r="E447">
        <f ca="1" t="shared" si="116"/>
        <v>1</v>
      </c>
      <c r="G447" t="str">
        <f ca="1" t="shared" si="117"/>
        <v/>
      </c>
      <c r="H447" t="str">
        <f ca="1">IF(B447&lt;&gt;"",IF(AND(COUNTIF(B446,"*轻*莺鸣柳*")&gt;0,COUNTIF(B447,"*轻*")&lt;1),MAX(0,15+I446-(A447-A446)+COUNTIF(B446,"*平湖*")*0),IF(AND(E447=0,MAX(0,H446-(A447-A446))&lt;=加速!$H$11),0,MAX(0,H446-(A447-A446)))),"")</f>
        <v/>
      </c>
      <c r="I447" t="str">
        <f ca="1" t="shared" si="123"/>
        <v/>
      </c>
      <c r="J447" t="str">
        <f ca="1" t="shared" si="124"/>
        <v/>
      </c>
      <c r="K447" t="str">
        <f ca="1" t="shared" si="111"/>
        <v/>
      </c>
      <c r="L447">
        <f ca="1">IFERROR(IF(AND(COUNTIF(B447,"*-峰插*"),技能数据库!$M$72&gt;0),0,IF(COUNTIF(B447,"*鹤归*")&gt;0,16-加速!$L$11,MAX(0,L446-(A447-A446)))),0)</f>
        <v>0</v>
      </c>
      <c r="M447">
        <f ca="1" t="shared" si="112"/>
        <v>0</v>
      </c>
      <c r="N447">
        <f ca="1">IFERROR(IF(AND(COUNTIF(B447,"*-峰插*"),技能数据库!$M$72&gt;0),0,IF(COUNTIF(B447,"*云飞*")&gt;0,4-COUNTIF(B447,"*玉山揽云*")*4--COUNTIF(B447,"*烟流暮景*")*4-COUNTIF(B447,"*云景*")*加速!$L$11-IF(J447&gt;0,2,0),MAX(0,N446-(A447-A446)-IF(J447&gt;0,2,0)))),0)</f>
        <v>0</v>
      </c>
      <c r="O447">
        <f ca="1">IF(AND(COUNTIF(IF(AND(配装计算器!$K$30&lt;&gt;"∞",0),INDEX(AU446:CB446,1,$AT$1),INDEX(AU448:CB448,1,$AT$1)),"*云飞*")=1,COUNTIF(IF(AND(配装计算器!$K$30&lt;&gt;"∞",0),INDEX(AU446:CB446,1,$AT$1),INDEX(AU448:CB448,1,$AT$1)),"*玉山*")=0),N447,0)</f>
        <v>0</v>
      </c>
      <c r="P447">
        <f ca="1">IFERROR(IF(COUNTIF(B447,"*云栖松*")&gt;0,50-加速!$L$11,MAX(0,P446-(A447-A446))),0)</f>
        <v>0</v>
      </c>
      <c r="Q447">
        <f ca="1">IF(COUNTIF(IF(AND(配装计算器!$K$30&lt;&gt;"∞",0),INDEX(AU446:CB446,1,$AT$1),INDEX(AU448:CB448,1,$AT$1)),"*云栖松*")=1,P447,0)</f>
        <v>0</v>
      </c>
      <c r="R447">
        <f ca="1">IFERROR(IF(COUNTIF(B447,"*莺鸣柳*")&gt;0,45-加速!$L$9,MAX(0,R446-(A447-A446))),0)</f>
        <v>0</v>
      </c>
      <c r="S447">
        <f ca="1">IF(COUNTIF(IF(AND(配装计算器!$K$30&lt;&gt;"∞",0),INDEX(AU446:CB446,1,$AT$1),INDEX(AU448:CB448,1,$AT$1)),"*莺鸣柳*")=1,R447,0)</f>
        <v>0</v>
      </c>
      <c r="T447">
        <f ca="1" t="shared" si="120"/>
        <v>0</v>
      </c>
      <c r="U447">
        <f ca="1">IF(金蛇,IF(COUNTIF(B447,"*金环戴*")+COUNTIF(B447,"*吹风醒*")&gt;0,IF(A447&lt;=3,7.125-2.625-A447-加速!$L$11,7.125+加速!$K$9-(A447+加速!$L$11-T447)),0),0)+IF(金蛇,IF(COUNTIF(B447,"*千切子裂光*")&gt;0,2+加速!$K$9-(A447+加速!$L$11-T447),0),0)</f>
        <v>0</v>
      </c>
      <c r="V447">
        <f ca="1" t="shared" si="121"/>
        <v>0</v>
      </c>
      <c r="W447">
        <f ca="1" t="shared" si="113"/>
        <v>0</v>
      </c>
      <c r="X447">
        <f ca="1">INDEX(加速!$I$13:$I$21,W447+1)</f>
        <v>0</v>
      </c>
      <c r="Y447">
        <f ca="1" t="shared" si="122"/>
        <v>0.5</v>
      </c>
      <c r="Z447">
        <f ca="1" t="shared" si="118"/>
        <v>0</v>
      </c>
      <c r="AA447">
        <f ca="1">MAX(0,IFERROR(IF(COUNTIF(B447,"*叠*")&gt;0,IF(AC446&lt;3,8-A448+A447,AA446+6.875-A448+A447),AA446-A448+A447),AA446-加速!$L$11))</f>
        <v>0</v>
      </c>
      <c r="AB447" t="e">
        <f ca="1">MAX(0,IF(COUNTIF(IF(AND(配装计算器!$K$30&lt;&gt;"∞",0),INDEX(AU447:CB447,1,$AT$1),INDEX(AU447:CB447,1,$AT$1)),"*叠1*")=1,4*25-加速!$L$11,AB446-A447+A446)-IF(OR(COUNTIF(OFFSET(AT447,0,$AT$1,1,1),"*听雷*")&gt;0,AND(碧归&gt;0,COUNTIF(OFFSET(AT447,0,$AT$1,1,1),"*风来*")&gt;0)),0,1)*1.5)</f>
        <v>#VALUE!</v>
      </c>
      <c r="AC447">
        <f ca="1" t="shared" si="114"/>
        <v>0</v>
      </c>
      <c r="AD447">
        <f ca="1">IF(COUNTIF(IF(AND(配装计算器!$K$30&lt;&gt;"∞",0),INDEX(AU447:CB447,1,$AT$1),INDEX(AU448:CB448,1,$AT$1)),"*叠1*")=1,AB447*0+AE446,0)</f>
        <v>0</v>
      </c>
      <c r="AE447" t="e">
        <f ca="1">IF($AN$11&gt;0,IF(COUNTIF(B448,"*叠1*")&gt;0,50-加速!$L$11,MAX(0,AE446-(A448-A447))),0)</f>
        <v>#VALUE!</v>
      </c>
      <c r="AG447">
        <f ca="1" t="shared" si="115"/>
        <v>12</v>
      </c>
      <c r="AU447" t="s">
        <v>2768</v>
      </c>
      <c r="AV447">
        <v>1</v>
      </c>
      <c r="AW447" t="s">
        <v>2768</v>
      </c>
      <c r="AX447">
        <v>2</v>
      </c>
      <c r="AY447" t="s">
        <v>3035</v>
      </c>
      <c r="AZ447">
        <v>2</v>
      </c>
      <c r="BA447" t="s">
        <v>2768</v>
      </c>
      <c r="BB447">
        <v>2</v>
      </c>
      <c r="BC447" t="s">
        <v>2776</v>
      </c>
      <c r="BD447">
        <v>2</v>
      </c>
      <c r="BE447" t="s">
        <v>2776</v>
      </c>
      <c r="BF447">
        <v>2</v>
      </c>
      <c r="BG447" t="s">
        <v>2768</v>
      </c>
      <c r="BH447">
        <v>2</v>
      </c>
      <c r="BI447" t="s">
        <v>2776</v>
      </c>
      <c r="BJ447">
        <v>1</v>
      </c>
      <c r="BK447" t="s">
        <v>2768</v>
      </c>
      <c r="BL447">
        <v>2</v>
      </c>
      <c r="BM447" s="176" t="s">
        <v>2776</v>
      </c>
      <c r="BN447">
        <v>2</v>
      </c>
      <c r="BO447" s="176" t="s">
        <v>2776</v>
      </c>
      <c r="BP447">
        <v>2</v>
      </c>
      <c r="BQ447" t="s">
        <v>3023</v>
      </c>
      <c r="BR447">
        <v>2</v>
      </c>
      <c r="BS447" t="s">
        <v>2768</v>
      </c>
      <c r="BT447">
        <v>2</v>
      </c>
      <c r="BU447" s="176" t="s">
        <v>2776</v>
      </c>
      <c r="BV447">
        <v>2</v>
      </c>
      <c r="BW447" s="179" t="s">
        <v>2776</v>
      </c>
      <c r="BX447" s="179">
        <v>2</v>
      </c>
      <c r="BY447" s="176" t="s">
        <v>2768</v>
      </c>
      <c r="BZ447">
        <v>2</v>
      </c>
      <c r="CA447" t="str">
        <f>IF(山重水复,"风来吴山","夕照雷峰")</f>
        <v>夕照雷峰</v>
      </c>
      <c r="CB447">
        <v>2</v>
      </c>
    </row>
    <row r="448" spans="1:80">
      <c r="A448" s="178" t="str">
        <f ca="1">IFERROR(IF(AG447&lt;5+金蛇*2,IF(COUNTIF(B447,"*轻*")&gt;0,A447+加速!$L$9,A447+加速!$L$11)+V447,""),"")</f>
        <v/>
      </c>
      <c r="B448" s="167" t="str">
        <f ca="1" t="shared" si="110"/>
        <v/>
      </c>
      <c r="C448" t="str">
        <f ca="1" t="shared" si="119"/>
        <v/>
      </c>
      <c r="D448" t="str">
        <f ca="1">IF(B448&lt;&gt;"",IF(C447&lt;=加速!$L$11*(1-E448),0,1),"")</f>
        <v/>
      </c>
      <c r="E448">
        <f ca="1" t="shared" si="116"/>
        <v>1</v>
      </c>
      <c r="G448" t="str">
        <f ca="1" t="shared" si="117"/>
        <v/>
      </c>
      <c r="H448" t="str">
        <f ca="1">IF(B448&lt;&gt;"",IF(AND(COUNTIF(B447,"*轻*莺鸣柳*")&gt;0,COUNTIF(B448,"*轻*")&lt;1),MAX(0,15+I447-(A448-A447)+COUNTIF(B447,"*平湖*")*0),IF(AND(E448=0,MAX(0,H447-(A448-A447))&lt;=加速!$H$11),0,MAX(0,H447-(A448-A447)))),"")</f>
        <v/>
      </c>
      <c r="I448" t="str">
        <f ca="1" t="shared" si="123"/>
        <v/>
      </c>
      <c r="J448" t="str">
        <f ca="1" t="shared" si="124"/>
        <v/>
      </c>
      <c r="K448" t="str">
        <f ca="1" t="shared" si="111"/>
        <v/>
      </c>
      <c r="L448">
        <f ca="1">IFERROR(IF(AND(COUNTIF(B448,"*-峰插*"),技能数据库!$M$72&gt;0),0,IF(COUNTIF(B448,"*鹤归*")&gt;0,16-加速!$L$11,MAX(0,L447-(A448-A447)))),0)</f>
        <v>0</v>
      </c>
      <c r="M448">
        <f ca="1" t="shared" si="112"/>
        <v>0</v>
      </c>
      <c r="N448">
        <f ca="1">IFERROR(IF(AND(COUNTIF(B448,"*-峰插*"),技能数据库!$M$72&gt;0),0,IF(COUNTIF(B448,"*云飞*")&gt;0,4-COUNTIF(B448,"*玉山揽云*")*4--COUNTIF(B448,"*烟流暮景*")*4-COUNTIF(B448,"*云景*")*加速!$L$11-IF(J448&gt;0,2,0),MAX(0,N447-(A448-A447)-IF(J448&gt;0,2,0)))),0)</f>
        <v>0</v>
      </c>
      <c r="O448">
        <f ca="1">IF(AND(COUNTIF(IF(AND(配装计算器!$K$30&lt;&gt;"∞",0),INDEX(AU447:CB447,1,$AT$1),INDEX(AU449:CB449,1,$AT$1)),"*云飞*")=1,COUNTIF(IF(AND(配装计算器!$K$30&lt;&gt;"∞",0),INDEX(AU447:CB447,1,$AT$1),INDEX(AU449:CB449,1,$AT$1)),"*玉山*")=0),N448,0)</f>
        <v>0</v>
      </c>
      <c r="P448">
        <f ca="1">IFERROR(IF(COUNTIF(B448,"*云栖松*")&gt;0,50-加速!$L$11,MAX(0,P447-(A448-A447))),0)</f>
        <v>0</v>
      </c>
      <c r="Q448">
        <f ca="1">IF(COUNTIF(IF(AND(配装计算器!$K$30&lt;&gt;"∞",0),INDEX(AU447:CB447,1,$AT$1),INDEX(AU449:CB449,1,$AT$1)),"*云栖松*")=1,P448,0)</f>
        <v>0</v>
      </c>
      <c r="R448">
        <f ca="1">IFERROR(IF(COUNTIF(B448,"*莺鸣柳*")&gt;0,45-加速!$L$9,MAX(0,R447-(A448-A447))),0)</f>
        <v>0</v>
      </c>
      <c r="S448">
        <f ca="1">IF(COUNTIF(IF(AND(配装计算器!$K$30&lt;&gt;"∞",0),INDEX(AU447:CB447,1,$AT$1),INDEX(AU449:CB449,1,$AT$1)),"*莺鸣柳*")=1,R448,0)</f>
        <v>0</v>
      </c>
      <c r="T448">
        <f ca="1" t="shared" si="120"/>
        <v>0</v>
      </c>
      <c r="U448">
        <f ca="1">IF(金蛇,IF(COUNTIF(B448,"*金环戴*")+COUNTIF(B448,"*吹风醒*")&gt;0,IF(A448&lt;=3,7.125-2.625-A448-加速!$L$11,7.125+加速!$K$9-(A448+加速!$L$11-T448)),0),0)+IF(金蛇,IF(COUNTIF(B448,"*千切子裂光*")&gt;0,2+加速!$K$9-(A448+加速!$L$11-T448),0),0)</f>
        <v>0</v>
      </c>
      <c r="V448">
        <f ca="1" t="shared" si="121"/>
        <v>0</v>
      </c>
      <c r="W448">
        <f ca="1" t="shared" si="113"/>
        <v>0</v>
      </c>
      <c r="X448">
        <f ca="1">INDEX(加速!$I$13:$I$21,W448+1)</f>
        <v>0</v>
      </c>
      <c r="Y448">
        <f ca="1" t="shared" si="122"/>
        <v>0.5</v>
      </c>
      <c r="Z448">
        <f ca="1" t="shared" si="118"/>
        <v>0</v>
      </c>
      <c r="AA448">
        <f ca="1">MAX(0,IFERROR(IF(COUNTIF(B448,"*叠*")&gt;0,IF(AC447&lt;3,8-A449+A448,AA447+6.875-A449+A448),AA447-A449+A448),AA447-加速!$L$11))</f>
        <v>0</v>
      </c>
      <c r="AB448" t="e">
        <f ca="1">MAX(0,IF(COUNTIF(IF(AND(配装计算器!$K$30&lt;&gt;"∞",0),INDEX(AU448:CB448,1,$AT$1),INDEX(AU448:CB448,1,$AT$1)),"*叠1*")=1,4*25-加速!$L$11,AB447-A448+A447)-IF(OR(COUNTIF(OFFSET(AT448,0,$AT$1,1,1),"*听雷*")&gt;0,AND(碧归&gt;0,COUNTIF(OFFSET(AT448,0,$AT$1,1,1),"*风来*")&gt;0)),0,1)*1.5)</f>
        <v>#VALUE!</v>
      </c>
      <c r="AC448">
        <f ca="1" t="shared" si="114"/>
        <v>0</v>
      </c>
      <c r="AD448">
        <f ca="1">IF(COUNTIF(IF(AND(配装计算器!$K$30&lt;&gt;"∞",0),INDEX(AU448:CB448,1,$AT$1),INDEX(AU449:CB449,1,$AT$1)),"*叠1*")=1,AB448*0+AE447,0)</f>
        <v>0</v>
      </c>
      <c r="AE448" t="e">
        <f ca="1">IF($AN$11&gt;0,IF(COUNTIF(B449,"*叠1*")&gt;0,50-加速!$L$11,MAX(0,AE447-(A449-A448))),0)</f>
        <v>#VALUE!</v>
      </c>
      <c r="AG448">
        <f ca="1" t="shared" si="115"/>
        <v>12</v>
      </c>
      <c r="AU448" t="s">
        <v>3063</v>
      </c>
      <c r="AV448">
        <v>2</v>
      </c>
      <c r="AW448" t="str">
        <f>IF(山重水复,"风来吴山","夕照雷峰")</f>
        <v>夕照雷峰</v>
      </c>
      <c r="AX448">
        <v>2</v>
      </c>
      <c r="AY448" t="s">
        <v>2768</v>
      </c>
      <c r="AZ448">
        <v>2</v>
      </c>
      <c r="BA448" t="s">
        <v>2776</v>
      </c>
      <c r="BB448">
        <v>2</v>
      </c>
      <c r="BC448" t="s">
        <v>2768</v>
      </c>
      <c r="BD448">
        <v>1</v>
      </c>
      <c r="BE448" t="s">
        <v>2768</v>
      </c>
      <c r="BF448">
        <v>2</v>
      </c>
      <c r="BG448" t="s">
        <v>2776</v>
      </c>
      <c r="BH448">
        <v>2</v>
      </c>
      <c r="BI448" t="s">
        <v>2768</v>
      </c>
      <c r="BJ448">
        <v>1</v>
      </c>
      <c r="BK448" s="176" t="s">
        <v>3056</v>
      </c>
      <c r="BL448">
        <v>2</v>
      </c>
      <c r="BM448" s="176" t="s">
        <v>2768</v>
      </c>
      <c r="BN448">
        <v>2</v>
      </c>
      <c r="BO448" s="176" t="s">
        <v>2768</v>
      </c>
      <c r="BP448">
        <v>2</v>
      </c>
      <c r="BQ448" t="s">
        <v>2768</v>
      </c>
      <c r="BR448">
        <v>2</v>
      </c>
      <c r="BS448" t="s">
        <v>2768</v>
      </c>
      <c r="BT448">
        <v>2</v>
      </c>
      <c r="BU448" s="176" t="s">
        <v>3035</v>
      </c>
      <c r="BV448">
        <v>2</v>
      </c>
      <c r="BW448" s="179" t="s">
        <v>2768</v>
      </c>
      <c r="BX448" s="179">
        <v>2</v>
      </c>
      <c r="BY448" s="176" t="s">
        <v>2776</v>
      </c>
      <c r="BZ448">
        <v>2</v>
      </c>
      <c r="CA448" t="str">
        <f>IF(0,"云飞玉皇-玉山揽云","云飞玉皇")</f>
        <v>云飞玉皇</v>
      </c>
      <c r="CB448">
        <v>2</v>
      </c>
    </row>
    <row r="449" spans="1:80">
      <c r="A449" s="178" t="str">
        <f ca="1">IFERROR(IF(AG448&lt;5+金蛇*2,IF(COUNTIF(B448,"*轻*")&gt;0,A448+加速!$L$9,A448+加速!$L$11)+V448,""),"")</f>
        <v/>
      </c>
      <c r="B449" s="167" t="str">
        <f ca="1" t="shared" si="110"/>
        <v/>
      </c>
      <c r="C449" t="str">
        <f ca="1" t="shared" si="119"/>
        <v/>
      </c>
      <c r="D449" t="str">
        <f ca="1">IF(B449&lt;&gt;"",IF(C448&lt;=加速!$L$11*(1-E449),0,1),"")</f>
        <v/>
      </c>
      <c r="E449">
        <f ca="1" t="shared" si="116"/>
        <v>1</v>
      </c>
      <c r="G449" t="str">
        <f ca="1" t="shared" si="117"/>
        <v/>
      </c>
      <c r="H449" t="str">
        <f ca="1">IF(B449&lt;&gt;"",IF(AND(COUNTIF(B448,"*轻*莺鸣柳*")&gt;0,COUNTIF(B449,"*轻*")&lt;1),MAX(0,15+I448-(A449-A448)+COUNTIF(B448,"*平湖*")*0),IF(AND(E449=0,MAX(0,H448-(A449-A448))&lt;=加速!$H$11),0,MAX(0,H448-(A449-A448)))),"")</f>
        <v/>
      </c>
      <c r="I449" t="str">
        <f ca="1" t="shared" si="123"/>
        <v/>
      </c>
      <c r="J449" t="str">
        <f ca="1" t="shared" si="124"/>
        <v/>
      </c>
      <c r="K449" t="str">
        <f ca="1" t="shared" si="111"/>
        <v/>
      </c>
      <c r="L449">
        <f ca="1">IFERROR(IF(AND(COUNTIF(B449,"*-峰插*"),技能数据库!$M$72&gt;0),0,IF(COUNTIF(B449,"*鹤归*")&gt;0,16-加速!$L$11,MAX(0,L448-(A449-A448)))),0)</f>
        <v>0</v>
      </c>
      <c r="M449">
        <f ca="1" t="shared" si="112"/>
        <v>0</v>
      </c>
      <c r="N449">
        <f ca="1">IFERROR(IF(AND(COUNTIF(B449,"*-峰插*"),技能数据库!$M$72&gt;0),0,IF(COUNTIF(B449,"*云飞*")&gt;0,4-COUNTIF(B449,"*玉山揽云*")*4--COUNTIF(B449,"*烟流暮景*")*4-COUNTIF(B449,"*云景*")*加速!$L$11-IF(J449&gt;0,2,0),MAX(0,N448-(A449-A448)-IF(J449&gt;0,2,0)))),0)</f>
        <v>0</v>
      </c>
      <c r="O449">
        <f ca="1">IF(AND(COUNTIF(IF(AND(配装计算器!$K$30&lt;&gt;"∞",0),INDEX(AU448:CB448,1,$AT$1),INDEX(AU450:CB450,1,$AT$1)),"*云飞*")=1,COUNTIF(IF(AND(配装计算器!$K$30&lt;&gt;"∞",0),INDEX(AU448:CB448,1,$AT$1),INDEX(AU450:CB450,1,$AT$1)),"*玉山*")=0),N449,0)</f>
        <v>0</v>
      </c>
      <c r="P449">
        <f ca="1">IFERROR(IF(COUNTIF(B449,"*云栖松*")&gt;0,50-加速!$L$11,MAX(0,P448-(A449-A448))),0)</f>
        <v>0</v>
      </c>
      <c r="Q449">
        <f ca="1">IF(COUNTIF(IF(AND(配装计算器!$K$30&lt;&gt;"∞",0),INDEX(AU448:CB448,1,$AT$1),INDEX(AU450:CB450,1,$AT$1)),"*云栖松*")=1,P449,0)</f>
        <v>0</v>
      </c>
      <c r="R449">
        <f ca="1">IFERROR(IF(COUNTIF(B449,"*莺鸣柳*")&gt;0,45-加速!$L$9,MAX(0,R448-(A449-A448))),0)</f>
        <v>0</v>
      </c>
      <c r="S449">
        <f ca="1">IF(COUNTIF(IF(AND(配装计算器!$K$30&lt;&gt;"∞",0),INDEX(AU448:CB448,1,$AT$1),INDEX(AU450:CB450,1,$AT$1)),"*莺鸣柳*")=1,R449,0)</f>
        <v>0</v>
      </c>
      <c r="T449">
        <f ca="1" t="shared" si="120"/>
        <v>0</v>
      </c>
      <c r="U449">
        <f ca="1">IF(金蛇,IF(COUNTIF(B449,"*金环戴*")+COUNTIF(B449,"*吹风醒*")&gt;0,IF(A449&lt;=3,7.125-2.625-A449-加速!$L$11,7.125+加速!$K$9-(A449+加速!$L$11-T449)),0),0)+IF(金蛇,IF(COUNTIF(B449,"*千切子裂光*")&gt;0,2+加速!$K$9-(A449+加速!$L$11-T449),0),0)</f>
        <v>0</v>
      </c>
      <c r="V449">
        <f ca="1" t="shared" si="121"/>
        <v>0</v>
      </c>
      <c r="W449">
        <f ca="1" t="shared" si="113"/>
        <v>0</v>
      </c>
      <c r="X449">
        <f ca="1">INDEX(加速!$I$13:$I$21,W449+1)</f>
        <v>0</v>
      </c>
      <c r="Y449">
        <f ca="1" t="shared" si="122"/>
        <v>0.5</v>
      </c>
      <c r="Z449">
        <f ca="1" t="shared" si="118"/>
        <v>0</v>
      </c>
      <c r="AA449">
        <f ca="1">MAX(0,IFERROR(IF(COUNTIF(B449,"*叠*")&gt;0,IF(AC448&lt;3,8-A450+A449,AA448+6.875-A450+A449),AA448-A450+A449),AA448-加速!$L$11))</f>
        <v>0</v>
      </c>
      <c r="AB449" t="e">
        <f ca="1">MAX(0,IF(COUNTIF(IF(AND(配装计算器!$K$30&lt;&gt;"∞",0),INDEX(AU449:CB449,1,$AT$1),INDEX(AU449:CB449,1,$AT$1)),"*叠1*")=1,4*25-加速!$L$11,AB448-A449+A448)-IF(OR(COUNTIF(OFFSET(AT449,0,$AT$1,1,1),"*听雷*")&gt;0,AND(碧归&gt;0,COUNTIF(OFFSET(AT449,0,$AT$1,1,1),"*风来*")&gt;0)),0,1)*1.5)</f>
        <v>#VALUE!</v>
      </c>
      <c r="AC449">
        <f ca="1" t="shared" si="114"/>
        <v>0</v>
      </c>
      <c r="AD449">
        <f ca="1">IF(COUNTIF(IF(AND(配装计算器!$K$30&lt;&gt;"∞",0),INDEX(AU449:CB449,1,$AT$1),INDEX(AU450:CB450,1,$AT$1)),"*叠1*")=1,AB449*0+AE448,0)</f>
        <v>0</v>
      </c>
      <c r="AE449" t="e">
        <f ca="1">IF($AN$11&gt;0,IF(COUNTIF(B450,"*叠1*")&gt;0,50-加速!$L$11,MAX(0,AE448-(A450-A449))),0)</f>
        <v>#VALUE!</v>
      </c>
      <c r="AG449">
        <f ca="1" t="shared" si="115"/>
        <v>12</v>
      </c>
      <c r="AU449" t="s">
        <v>2776</v>
      </c>
      <c r="AV449">
        <v>1</v>
      </c>
      <c r="AW449" s="176" t="s">
        <v>2794</v>
      </c>
      <c r="AX449">
        <v>2</v>
      </c>
      <c r="AY449" t="s">
        <v>2776</v>
      </c>
      <c r="AZ449">
        <v>2</v>
      </c>
      <c r="BA449" t="s">
        <v>3042</v>
      </c>
      <c r="BB449">
        <v>2</v>
      </c>
      <c r="BC449" t="s">
        <v>2768</v>
      </c>
      <c r="BD449">
        <v>1</v>
      </c>
      <c r="BE449" t="s">
        <v>2776</v>
      </c>
      <c r="BF449">
        <v>2</v>
      </c>
      <c r="BG449" t="s">
        <v>2768</v>
      </c>
      <c r="BH449">
        <v>2</v>
      </c>
      <c r="BI449" t="s">
        <v>2776</v>
      </c>
      <c r="BJ449">
        <v>0</v>
      </c>
      <c r="BK449" s="176" t="s">
        <v>2768</v>
      </c>
      <c r="BL449">
        <v>2</v>
      </c>
      <c r="BM449" s="176" t="s">
        <v>2808</v>
      </c>
      <c r="BN449">
        <v>2</v>
      </c>
      <c r="BO449" t="s">
        <v>3056</v>
      </c>
      <c r="BP449">
        <v>1</v>
      </c>
      <c r="BQ449" t="s">
        <v>2776</v>
      </c>
      <c r="BR449">
        <v>2</v>
      </c>
      <c r="BS449" t="s">
        <v>2776</v>
      </c>
      <c r="BT449">
        <v>2</v>
      </c>
      <c r="BU449" t="s">
        <v>2768</v>
      </c>
      <c r="BV449">
        <v>2</v>
      </c>
      <c r="BW449" s="179" t="s">
        <v>2768</v>
      </c>
      <c r="BX449" s="179">
        <v>2</v>
      </c>
      <c r="BY449" s="176" t="s">
        <v>2768</v>
      </c>
      <c r="BZ449">
        <v>2</v>
      </c>
      <c r="CA449" s="180" t="str">
        <f>IF(0,"云飞玉皇-玉山揽云","夕照雷峰")</f>
        <v>夕照雷峰</v>
      </c>
      <c r="CB449">
        <v>2</v>
      </c>
    </row>
    <row r="450" spans="1:80">
      <c r="A450" s="178" t="str">
        <f ca="1">IFERROR(IF(AG449&lt;5+金蛇*2,IF(COUNTIF(B449,"*轻*")&gt;0,A449+加速!$L$9,A449+加速!$L$11)+V449,""),"")</f>
        <v/>
      </c>
      <c r="B450" s="167" t="str">
        <f ca="1" t="shared" ref="B450:B513" si="127">IF(A450&lt;&gt;"",INDEX(AU450:CB450,1,$AT$1),"")</f>
        <v/>
      </c>
      <c r="C450" t="str">
        <f ca="1" t="shared" si="119"/>
        <v/>
      </c>
      <c r="D450" t="str">
        <f ca="1">IF(B450&lt;&gt;"",IF(C449&lt;=加速!$L$11*(1-E450),0,1),"")</f>
        <v/>
      </c>
      <c r="E450">
        <f ca="1" t="shared" si="116"/>
        <v>1</v>
      </c>
      <c r="G450" t="str">
        <f ca="1" t="shared" si="117"/>
        <v/>
      </c>
      <c r="H450" t="str">
        <f ca="1">IF(B450&lt;&gt;"",IF(AND(COUNTIF(B449,"*轻*莺鸣柳*")&gt;0,COUNTIF(B450,"*轻*")&lt;1),MAX(0,15+I449-(A450-A449)+COUNTIF(B449,"*平湖*")*0),IF(AND(E450=0,MAX(0,H449-(A450-A449))&lt;=加速!$H$11),0,MAX(0,H449-(A450-A449)))),"")</f>
        <v/>
      </c>
      <c r="I450" t="str">
        <f ca="1" t="shared" si="123"/>
        <v/>
      </c>
      <c r="J450" t="str">
        <f ca="1" t="shared" si="124"/>
        <v/>
      </c>
      <c r="K450" t="str">
        <f ca="1" t="shared" ref="K450:K515" si="128">IF(A450&lt;&gt;"",INDEX(AU450:CB450,1,$AT$2),"")</f>
        <v/>
      </c>
      <c r="L450">
        <f ca="1">IFERROR(IF(AND(COUNTIF(B450,"*-峰插*"),技能数据库!$M$72&gt;0),0,IF(COUNTIF(B450,"*鹤归*")&gt;0,16-加速!$L$11,MAX(0,L449-(A450-A449)))),0)</f>
        <v>0</v>
      </c>
      <c r="M450">
        <f ca="1" t="shared" si="112"/>
        <v>0</v>
      </c>
      <c r="N450">
        <f ca="1">IFERROR(IF(AND(COUNTIF(B450,"*-峰插*"),技能数据库!$M$72&gt;0),0,IF(COUNTIF(B450,"*云飞*")&gt;0,4-COUNTIF(B450,"*玉山揽云*")*4--COUNTIF(B450,"*烟流暮景*")*4-COUNTIF(B450,"*云景*")*加速!$L$11-IF(J450&gt;0,2,0),MAX(0,N449-(A450-A449)-IF(J450&gt;0,2,0)))),0)</f>
        <v>0</v>
      </c>
      <c r="O450">
        <f ca="1">IF(AND(COUNTIF(IF(AND(配装计算器!$K$30&lt;&gt;"∞",0),INDEX(AU449:CB449,1,$AT$1),INDEX(AU451:CB451,1,$AT$1)),"*云飞*")=1,COUNTIF(IF(AND(配装计算器!$K$30&lt;&gt;"∞",0),INDEX(AU449:CB449,1,$AT$1),INDEX(AU451:CB451,1,$AT$1)),"*玉山*")=0),N450,0)</f>
        <v>0</v>
      </c>
      <c r="P450">
        <f ca="1">IFERROR(IF(COUNTIF(B450,"*云栖松*")&gt;0,50-加速!$L$11,MAX(0,P449-(A450-A449))),0)</f>
        <v>0</v>
      </c>
      <c r="Q450">
        <f ca="1">IF(COUNTIF(IF(AND(配装计算器!$K$30&lt;&gt;"∞",0),INDEX(AU449:CB449,1,$AT$1),INDEX(AU451:CB451,1,$AT$1)),"*云栖松*")=1,P450,0)</f>
        <v>0</v>
      </c>
      <c r="R450">
        <f ca="1">IFERROR(IF(COUNTIF(B450,"*莺鸣柳*")&gt;0,45-加速!$L$9,MAX(0,R449-(A450-A449))),0)</f>
        <v>0</v>
      </c>
      <c r="S450">
        <f ca="1">IF(COUNTIF(IF(AND(配装计算器!$K$30&lt;&gt;"∞",0),INDEX(AU449:CB449,1,$AT$1),INDEX(AU451:CB451,1,$AT$1)),"*莺鸣柳*")=1,R450,0)</f>
        <v>0</v>
      </c>
      <c r="T450">
        <f ca="1" t="shared" si="120"/>
        <v>0</v>
      </c>
      <c r="U450">
        <f ca="1">IF(金蛇,IF(COUNTIF(B450,"*金环戴*")+COUNTIF(B450,"*吹风醒*")&gt;0,IF(A450&lt;=3,7.125-2.625-A450-加速!$L$11,7.125+加速!$K$9-(A450+加速!$L$11-T450)),0),0)+IF(金蛇,IF(COUNTIF(B450,"*千切子裂光*")&gt;0,2+加速!$K$9-(A450+加速!$L$11-T450),0),0)</f>
        <v>0</v>
      </c>
      <c r="V450">
        <f ca="1" t="shared" si="121"/>
        <v>0</v>
      </c>
      <c r="W450">
        <f ca="1" t="shared" si="113"/>
        <v>0</v>
      </c>
      <c r="X450">
        <f ca="1">INDEX(加速!$I$13:$I$21,W450+1)</f>
        <v>0</v>
      </c>
      <c r="Y450">
        <f ca="1" t="shared" si="122"/>
        <v>0.5</v>
      </c>
      <c r="Z450">
        <f ca="1" t="shared" si="118"/>
        <v>0</v>
      </c>
      <c r="AA450">
        <f ca="1">MAX(0,IFERROR(IF(COUNTIF(B450,"*叠*")&gt;0,IF(AC449&lt;3,8-A451+A450,AA449+6.875-A451+A450),AA449-A451+A450),AA449-加速!$L$11))</f>
        <v>0</v>
      </c>
      <c r="AB450" t="e">
        <f ca="1">MAX(0,IF(COUNTIF(IF(AND(配装计算器!$K$30&lt;&gt;"∞",0),INDEX(AU450:CB450,1,$AT$1),INDEX(AU450:CB450,1,$AT$1)),"*叠1*")=1,4*25-加速!$L$11,AB449-A450+A449)-IF(OR(COUNTIF(OFFSET(AT450,0,$AT$1,1,1),"*听雷*")&gt;0,AND(碧归&gt;0,COUNTIF(OFFSET(AT450,0,$AT$1,1,1),"*风来*")&gt;0)),0,1)*1.5)</f>
        <v>#VALUE!</v>
      </c>
      <c r="AC450">
        <f ca="1" t="shared" si="114"/>
        <v>0</v>
      </c>
      <c r="AD450">
        <f ca="1">IF(COUNTIF(IF(AND(配装计算器!$K$30&lt;&gt;"∞",0),INDEX(AU450:CB450,1,$AT$1),INDEX(AU451:CB451,1,$AT$1)),"*叠1*")=1,AB450*0+AE449,0)</f>
        <v>0</v>
      </c>
      <c r="AE450" t="e">
        <f ca="1">IF($AN$11&gt;0,IF(COUNTIF(B451,"*叠1*")&gt;0,50-加速!$L$11,MAX(0,AE449-(A451-A450))),0)</f>
        <v>#VALUE!</v>
      </c>
      <c r="AG450">
        <f ca="1" t="shared" si="115"/>
        <v>12</v>
      </c>
      <c r="AU450" t="s">
        <v>2768</v>
      </c>
      <c r="AV450">
        <v>2</v>
      </c>
      <c r="AW450" s="176" t="s">
        <v>2776</v>
      </c>
      <c r="AX450">
        <v>2</v>
      </c>
      <c r="AY450" t="s">
        <v>2768</v>
      </c>
      <c r="AZ450">
        <v>2</v>
      </c>
      <c r="BA450" t="s">
        <v>2808</v>
      </c>
      <c r="BB450">
        <v>2</v>
      </c>
      <c r="BC450" t="s">
        <v>2813</v>
      </c>
      <c r="BD450">
        <v>0</v>
      </c>
      <c r="BE450" t="s">
        <v>2768</v>
      </c>
      <c r="BF450">
        <v>2</v>
      </c>
      <c r="BG450" t="s">
        <v>2808</v>
      </c>
      <c r="BH450">
        <v>2</v>
      </c>
      <c r="BI450" t="s">
        <v>2768</v>
      </c>
      <c r="BJ450">
        <v>0</v>
      </c>
      <c r="BK450" s="176" t="s">
        <v>2768</v>
      </c>
      <c r="BL450">
        <v>2</v>
      </c>
      <c r="BM450" t="str">
        <f>IF(0,"云飞玉皇-玉山揽云","夕照雷峰")</f>
        <v>夕照雷峰</v>
      </c>
      <c r="BN450">
        <v>2</v>
      </c>
      <c r="BO450" t="s">
        <v>2768</v>
      </c>
      <c r="BP450">
        <v>2</v>
      </c>
      <c r="BQ450" t="s">
        <v>2789</v>
      </c>
      <c r="BR450">
        <v>2</v>
      </c>
      <c r="BS450" t="s">
        <v>2768</v>
      </c>
      <c r="BT450">
        <v>1</v>
      </c>
      <c r="BU450" t="s">
        <v>2776</v>
      </c>
      <c r="BV450">
        <v>2</v>
      </c>
      <c r="BW450" s="179" t="s">
        <v>3021</v>
      </c>
      <c r="BX450" s="179">
        <v>2</v>
      </c>
      <c r="BY450" s="176" t="s">
        <v>2808</v>
      </c>
      <c r="BZ450">
        <v>2</v>
      </c>
      <c r="CA450" s="176" t="str">
        <f>IF(秋,"夕照雷峰","千切子寒光")</f>
        <v>千切子寒光</v>
      </c>
      <c r="CB450">
        <v>2</v>
      </c>
    </row>
    <row r="451" spans="1:80">
      <c r="A451" s="178" t="str">
        <f ca="1">IFERROR(IF(AG450&lt;5+金蛇*2,IF(COUNTIF(B450,"*轻*")&gt;0,A450+加速!$L$9,A450+加速!$L$11)+V450,""),"")</f>
        <v/>
      </c>
      <c r="B451" s="167" t="str">
        <f ca="1" t="shared" si="127"/>
        <v/>
      </c>
      <c r="C451" t="str">
        <f ca="1" t="shared" si="119"/>
        <v/>
      </c>
      <c r="D451" t="str">
        <f ca="1">IF(B451&lt;&gt;"",IF(C450&lt;=加速!$L$11*(1-E451),0,1),"")</f>
        <v/>
      </c>
      <c r="E451">
        <f ca="1" t="shared" si="116"/>
        <v>1</v>
      </c>
      <c r="G451" t="str">
        <f ca="1" t="shared" si="117"/>
        <v/>
      </c>
      <c r="H451" t="str">
        <f ca="1">IF(B451&lt;&gt;"",IF(AND(COUNTIF(B450,"*轻*莺鸣柳*")&gt;0,COUNTIF(B451,"*轻*")&lt;1),MAX(0,15+I450-(A451-A450)+COUNTIF(B450,"*平湖*")*0),IF(AND(E451=0,MAX(0,H450-(A451-A450))&lt;=加速!$H$11),0,MAX(0,H450-(A451-A450)))),"")</f>
        <v/>
      </c>
      <c r="I451" t="str">
        <f ca="1" t="shared" si="123"/>
        <v/>
      </c>
      <c r="J451" t="str">
        <f ca="1" t="shared" si="124"/>
        <v/>
      </c>
      <c r="K451" t="str">
        <f ca="1" t="shared" si="128"/>
        <v/>
      </c>
      <c r="L451">
        <f ca="1">IFERROR(IF(AND(COUNTIF(B451,"*-峰插*"),技能数据库!$M$72&gt;0),0,IF(COUNTIF(B451,"*鹤归*")&gt;0,16-加速!$L$11,MAX(0,L450-(A451-A450)))),0)</f>
        <v>0</v>
      </c>
      <c r="M451">
        <f ca="1" t="shared" ref="M451:M514" si="129">IF(COUNTIF(INDEX(AU452:CB452,1,$AT$1),"*鹤归*")=1,L451,0)</f>
        <v>0</v>
      </c>
      <c r="N451">
        <f ca="1">IFERROR(IF(AND(COUNTIF(B451,"*-峰插*"),技能数据库!$M$72&gt;0),0,IF(COUNTIF(B451,"*云飞*")&gt;0,4-COUNTIF(B451,"*玉山揽云*")*4--COUNTIF(B451,"*烟流暮景*")*4-COUNTIF(B451,"*云景*")*加速!$L$11-IF(J451&gt;0,2,0),MAX(0,N450-(A451-A450)-IF(J451&gt;0,2,0)))),0)</f>
        <v>0</v>
      </c>
      <c r="O451">
        <f ca="1">IF(AND(COUNTIF(IF(AND(配装计算器!$K$30&lt;&gt;"∞",0),INDEX(AU450:CB450,1,$AT$1),INDEX(AU452:CB452,1,$AT$1)),"*云飞*")=1,COUNTIF(IF(AND(配装计算器!$K$30&lt;&gt;"∞",0),INDEX(AU450:CB450,1,$AT$1),INDEX(AU452:CB452,1,$AT$1)),"*玉山*")=0),N451,0)</f>
        <v>0</v>
      </c>
      <c r="P451">
        <f ca="1">IFERROR(IF(COUNTIF(B451,"*云栖松*")&gt;0,50-加速!$L$11,MAX(0,P450-(A451-A450))),0)</f>
        <v>0</v>
      </c>
      <c r="Q451">
        <f ca="1">IF(COUNTIF(IF(AND(配装计算器!$K$30&lt;&gt;"∞",0),INDEX(AU450:CB450,1,$AT$1),INDEX(AU452:CB452,1,$AT$1)),"*云栖松*")=1,P451,0)</f>
        <v>0</v>
      </c>
      <c r="R451">
        <f ca="1">IFERROR(IF(COUNTIF(B451,"*莺鸣柳*")&gt;0,45-加速!$L$9,MAX(0,R450-(A451-A450))),0)</f>
        <v>0</v>
      </c>
      <c r="S451">
        <f ca="1">IF(COUNTIF(IF(AND(配装计算器!$K$30&lt;&gt;"∞",0),INDEX(AU450:CB450,1,$AT$1),INDEX(AU452:CB452,1,$AT$1)),"*莺鸣柳*")=1,R451,0)</f>
        <v>0</v>
      </c>
      <c r="T451">
        <f ca="1" t="shared" si="120"/>
        <v>0</v>
      </c>
      <c r="U451">
        <f ca="1">IF(金蛇,IF(COUNTIF(B451,"*金环戴*")+COUNTIF(B451,"*吹风醒*")&gt;0,IF(A451&lt;=3,7.125-2.625-A451-加速!$L$11,7.125+加速!$K$9-(A451+加速!$L$11-T451)),0),0)+IF(金蛇,IF(COUNTIF(B451,"*千切子裂光*")&gt;0,2+加速!$K$9-(A451+加速!$L$11-T451),0),0)</f>
        <v>0</v>
      </c>
      <c r="V451">
        <f ca="1" t="shared" si="121"/>
        <v>0</v>
      </c>
      <c r="W451">
        <f ca="1" t="shared" ref="W451:W514" si="130">IF(COUNTIF(B451,"*风来吴山*")&gt;0,1,IF(W450+1&gt;风车GCD,0,IF(W450&gt;0,W450+1,0)))</f>
        <v>0</v>
      </c>
      <c r="X451">
        <f ca="1">INDEX(加速!$I$13:$I$21,W451+1)</f>
        <v>0</v>
      </c>
      <c r="Y451">
        <f ca="1" t="shared" si="122"/>
        <v>0.5</v>
      </c>
      <c r="Z451">
        <f ca="1" t="shared" si="118"/>
        <v>0</v>
      </c>
      <c r="AA451">
        <f ca="1">MAX(0,IFERROR(IF(COUNTIF(B451,"*叠*")&gt;0,IF(AC450&lt;3,8-A452+A451,AA450+6.875-A452+A451),AA450-A452+A451),AA450-加速!$L$11))</f>
        <v>0</v>
      </c>
      <c r="AB451" t="e">
        <f ca="1">MAX(0,IF(COUNTIF(IF(AND(配装计算器!$K$30&lt;&gt;"∞",0),INDEX(AU451:CB451,1,$AT$1),INDEX(AU451:CB451,1,$AT$1)),"*叠1*")=1,4*25-加速!$L$11,AB450-A451+A450)-IF(OR(COUNTIF(OFFSET(AT451,0,$AT$1,1,1),"*听雷*")&gt;0,AND(碧归&gt;0,COUNTIF(OFFSET(AT451,0,$AT$1,1,1),"*风来*")&gt;0)),0,1)*1.5)</f>
        <v>#VALUE!</v>
      </c>
      <c r="AC451">
        <f ca="1" t="shared" ref="AC451:AC514" si="131">IF(AND(AA451=0,E451=0),0,IF(AND(COUNTIF(B451,"*叠*")&gt;0,OR(AA450=0,AA450&gt;=5)),AC450+1,AC450))</f>
        <v>0</v>
      </c>
      <c r="AD451">
        <f ca="1">IF(COUNTIF(IF(AND(配装计算器!$K$30&lt;&gt;"∞",0),INDEX(AU451:CB451,1,$AT$1),INDEX(AU452:CB452,1,$AT$1)),"*叠1*")=1,AB451*0+AE450,0)</f>
        <v>0</v>
      </c>
      <c r="AE451" t="e">
        <f ca="1">IF($AN$11&gt;0,IF(COUNTIF(B452,"*叠1*")&gt;0,50-加速!$L$11,MAX(0,AE450-(A452-A451))),0)</f>
        <v>#VALUE!</v>
      </c>
      <c r="AG451">
        <f ca="1" t="shared" ref="AG451:AG515" si="132">COUNTIF(INDEX(AU452:CB452,1,$AT$1),"*莺鸣柳*")+COUNTIF(INDEX(AU452:CB452,1,$AT$1),"*叠1*")+AG450</f>
        <v>12</v>
      </c>
      <c r="AU451" t="s">
        <v>2768</v>
      </c>
      <c r="AV451">
        <v>2</v>
      </c>
      <c r="AW451" s="176" t="s">
        <v>2768</v>
      </c>
      <c r="AX451">
        <v>2</v>
      </c>
      <c r="AY451" t="s">
        <v>2776</v>
      </c>
      <c r="AZ451">
        <v>2</v>
      </c>
      <c r="BA451" t="s">
        <v>2768</v>
      </c>
      <c r="BB451">
        <v>2</v>
      </c>
      <c r="BC451" t="s">
        <v>2776</v>
      </c>
      <c r="BD451">
        <v>2</v>
      </c>
      <c r="BE451" t="s">
        <v>2776</v>
      </c>
      <c r="BF451">
        <v>2</v>
      </c>
      <c r="BG451" t="s">
        <v>2768</v>
      </c>
      <c r="BH451">
        <v>2</v>
      </c>
      <c r="BI451" t="s">
        <v>2768</v>
      </c>
      <c r="BJ451">
        <v>0</v>
      </c>
      <c r="BK451" s="176" t="s">
        <v>2776</v>
      </c>
      <c r="BL451">
        <v>2</v>
      </c>
      <c r="BM451" t="str">
        <f>IF(0,"云飞玉皇-玉山揽云","云飞玉皇")</f>
        <v>云飞玉皇</v>
      </c>
      <c r="BN451">
        <v>2</v>
      </c>
      <c r="BO451" t="s">
        <v>2768</v>
      </c>
      <c r="BP451">
        <v>2</v>
      </c>
      <c r="BQ451" t="s">
        <v>2768</v>
      </c>
      <c r="BR451">
        <v>2</v>
      </c>
      <c r="BS451" t="s">
        <v>2768</v>
      </c>
      <c r="BT451">
        <v>1</v>
      </c>
      <c r="BU451" t="s">
        <v>2768</v>
      </c>
      <c r="BV451">
        <v>2</v>
      </c>
      <c r="BW451" s="179" t="s">
        <v>2722</v>
      </c>
      <c r="BX451" s="179">
        <v>2</v>
      </c>
      <c r="BY451" t="str">
        <f>IF(0,"云飞玉皇-玉山揽云","夕照雷峰")</f>
        <v>夕照雷峰</v>
      </c>
      <c r="BZ451">
        <v>2</v>
      </c>
      <c r="CA451" s="176" t="str">
        <f>IF(秋,"夕照雷峰","千切子裂光")</f>
        <v>千切子裂光</v>
      </c>
      <c r="CB451">
        <v>2</v>
      </c>
    </row>
    <row r="452" spans="1:80">
      <c r="A452" s="178" t="str">
        <f ca="1">IFERROR(IF(AG451&lt;5+金蛇*2,IF(COUNTIF(B451,"*轻*")&gt;0,A451+加速!$L$9,A451+加速!$L$11)+V451,""),"")</f>
        <v/>
      </c>
      <c r="B452" s="167" t="str">
        <f ca="1" t="shared" si="127"/>
        <v/>
      </c>
      <c r="C452" t="str">
        <f ca="1" t="shared" si="119"/>
        <v/>
      </c>
      <c r="D452" t="str">
        <f ca="1">IF(B452&lt;&gt;"",IF(C451&lt;=加速!$L$11*(1-E452),0,1),"")</f>
        <v/>
      </c>
      <c r="E452">
        <f ca="1" t="shared" ref="E452:E515" si="133">IF(OR(COUNTIF(B452,"夕照雷峰*")&gt;0,COUNTIF(B452,"云飞玉皇*")&gt;0,COUNTIF(B452,"风来吴山*")&gt;0),COUNTIF(B452,"*云景*")+COUNTIF(B452,"*玉山揽云*")+COUNTIF(B452,"*烟流暮景*"),1)</f>
        <v>1</v>
      </c>
      <c r="G452" t="str">
        <f ca="1" t="shared" ref="G452:G515" si="134">IF(B452&lt;&gt;"",IF(AND(碧归&gt;0,COUNTIF(B451,"*风来吴山*")&gt;0),8,MAX(0,G451-COUNTIF(B452,"*云飞*")-COUNTIF(B452,"*鹤*")-COUNTIF(B452,"*夕*"))),"")</f>
        <v/>
      </c>
      <c r="H452" t="str">
        <f ca="1">IF(B452&lt;&gt;"",IF(AND(COUNTIF(B451,"*轻*莺鸣柳*")&gt;0,COUNTIF(B452,"*轻*")&lt;1),MAX(0,15+I451-(A452-A451)+COUNTIF(B451,"*平湖*")*0),IF(AND(E452=0,MAX(0,H451-(A452-A451))&lt;=加速!$H$11),0,MAX(0,H451-(A452-A451)))),"")</f>
        <v/>
      </c>
      <c r="I452" t="str">
        <f ca="1" t="shared" si="123"/>
        <v/>
      </c>
      <c r="J452" t="str">
        <f ca="1" t="shared" si="124"/>
        <v/>
      </c>
      <c r="K452" t="str">
        <f ca="1" t="shared" si="128"/>
        <v/>
      </c>
      <c r="L452">
        <f ca="1">IFERROR(IF(AND(COUNTIF(B452,"*-峰插*"),技能数据库!$M$72&gt;0),0,IF(COUNTIF(B452,"*鹤归*")&gt;0,16-加速!$L$11,MAX(0,L451-(A452-A451)))),0)</f>
        <v>0</v>
      </c>
      <c r="M452">
        <f ca="1" t="shared" si="129"/>
        <v>0</v>
      </c>
      <c r="N452">
        <f ca="1">IFERROR(IF(AND(COUNTIF(B452,"*-峰插*"),技能数据库!$M$72&gt;0),0,IF(COUNTIF(B452,"*云飞*")&gt;0,4-COUNTIF(B452,"*玉山揽云*")*4--COUNTIF(B452,"*烟流暮景*")*4-COUNTIF(B452,"*云景*")*加速!$L$11-IF(J452&gt;0,2,0),MAX(0,N451-(A452-A451)-IF(J452&gt;0,2,0)))),0)</f>
        <v>0</v>
      </c>
      <c r="O452">
        <f ca="1">IF(AND(COUNTIF(IF(AND(配装计算器!$K$30&lt;&gt;"∞",0),INDEX(AU451:CB451,1,$AT$1),INDEX(AU453:CB453,1,$AT$1)),"*云飞*")=1,COUNTIF(IF(AND(配装计算器!$K$30&lt;&gt;"∞",0),INDEX(AU451:CB451,1,$AT$1),INDEX(AU453:CB453,1,$AT$1)),"*玉山*")=0),N452,0)</f>
        <v>0</v>
      </c>
      <c r="P452">
        <f ca="1">IFERROR(IF(COUNTIF(B452,"*云栖松*")&gt;0,50-加速!$L$11,MAX(0,P451-(A452-A451))),0)</f>
        <v>0</v>
      </c>
      <c r="Q452">
        <f ca="1">IF(COUNTIF(IF(AND(配装计算器!$K$30&lt;&gt;"∞",0),INDEX(AU451:CB451,1,$AT$1),INDEX(AU453:CB453,1,$AT$1)),"*云栖松*")=1,P452,0)</f>
        <v>0</v>
      </c>
      <c r="R452">
        <f ca="1">IFERROR(IF(COUNTIF(B452,"*莺鸣柳*")&gt;0,45-加速!$L$9,MAX(0,R451-(A452-A451))),0)</f>
        <v>0</v>
      </c>
      <c r="S452">
        <f ca="1">IF(COUNTIF(IF(AND(配装计算器!$K$30&lt;&gt;"∞",0),INDEX(AU451:CB451,1,$AT$1),INDEX(AU453:CB453,1,$AT$1)),"*莺鸣柳*")=1,R452,0)</f>
        <v>0</v>
      </c>
      <c r="T452">
        <f ca="1" t="shared" si="120"/>
        <v>0</v>
      </c>
      <c r="U452">
        <f ca="1">IF(金蛇,IF(COUNTIF(B452,"*金环戴*")+COUNTIF(B452,"*吹风醒*")&gt;0,IF(A452&lt;=3,7.125-2.625-A452-加速!$L$11,7.125+加速!$K$9-(A452+加速!$L$11-T452)),0),0)+IF(金蛇,IF(COUNTIF(B452,"*千切子裂光*")&gt;0,2+加速!$K$9-(A452+加速!$L$11-T452),0),0)</f>
        <v>0</v>
      </c>
      <c r="V452">
        <f ca="1" t="shared" si="121"/>
        <v>0</v>
      </c>
      <c r="W452">
        <f ca="1" t="shared" si="130"/>
        <v>0</v>
      </c>
      <c r="X452">
        <f ca="1">INDEX(加速!$I$13:$I$21,W452+1)</f>
        <v>0</v>
      </c>
      <c r="Y452">
        <f ca="1" t="shared" si="122"/>
        <v>0.5</v>
      </c>
      <c r="Z452">
        <f ca="1" t="shared" ref="Z452:Z515" si="135">IF(金蛇,IF(COUNTIF(B452,"*虎跑*")&gt;0,INT((A452-Y452)/3),0),0)</f>
        <v>0</v>
      </c>
      <c r="AA452">
        <f ca="1">MAX(0,IFERROR(IF(COUNTIF(B452,"*叠*")&gt;0,IF(AC451&lt;3,8-A453+A452,AA451+6.875-A453+A452),AA451-A453+A452),AA451-加速!$L$11))</f>
        <v>0</v>
      </c>
      <c r="AB452" t="e">
        <f ca="1">MAX(0,IF(COUNTIF(IF(AND(配装计算器!$K$30&lt;&gt;"∞",0),INDEX(AU452:CB452,1,$AT$1),INDEX(AU452:CB452,1,$AT$1)),"*叠1*")=1,4*25-加速!$L$11,AB451-A452+A451)-IF(OR(COUNTIF(OFFSET(AT452,0,$AT$1,1,1),"*听雷*")&gt;0,AND(碧归&gt;0,COUNTIF(OFFSET(AT452,0,$AT$1,1,1),"*风来*")&gt;0)),0,1)*1.5)</f>
        <v>#VALUE!</v>
      </c>
      <c r="AC452">
        <f ca="1" t="shared" si="131"/>
        <v>0</v>
      </c>
      <c r="AD452">
        <f ca="1">IF(COUNTIF(IF(AND(配装计算器!$K$30&lt;&gt;"∞",0),INDEX(AU452:CB452,1,$AT$1),INDEX(AU453:CB453,1,$AT$1)),"*叠1*")=1,AB452*0+AE451,0)</f>
        <v>0</v>
      </c>
      <c r="AE452" t="e">
        <f ca="1">IF($AN$11&gt;0,IF(COUNTIF(B453,"*叠1*")&gt;0,50-加速!$L$11,MAX(0,AE451-(A453-A452))),0)</f>
        <v>#VALUE!</v>
      </c>
      <c r="AG452">
        <f ca="1" t="shared" si="132"/>
        <v>12</v>
      </c>
      <c r="AU452" s="176" t="s">
        <v>2794</v>
      </c>
      <c r="AV452">
        <v>2</v>
      </c>
      <c r="AW452" s="176" t="s">
        <v>2776</v>
      </c>
      <c r="AX452">
        <v>2</v>
      </c>
      <c r="AY452" t="s">
        <v>3042</v>
      </c>
      <c r="AZ452">
        <v>2</v>
      </c>
      <c r="BA452" t="s">
        <v>2768</v>
      </c>
      <c r="BB452">
        <v>2</v>
      </c>
      <c r="BC452" t="s">
        <v>2768</v>
      </c>
      <c r="BD452">
        <v>2</v>
      </c>
      <c r="BE452" t="s">
        <v>2768</v>
      </c>
      <c r="BF452">
        <v>1</v>
      </c>
      <c r="BG452" s="176" t="s">
        <v>2768</v>
      </c>
      <c r="BH452">
        <v>2</v>
      </c>
      <c r="BI452" t="s">
        <v>2722</v>
      </c>
      <c r="BJ452">
        <v>0</v>
      </c>
      <c r="BK452" t="s">
        <v>2768</v>
      </c>
      <c r="BL452">
        <v>1</v>
      </c>
      <c r="BM452" s="176" t="str">
        <f>IF(秋,"夕照雷峰","千切子寒光")</f>
        <v>千切子寒光</v>
      </c>
      <c r="BN452">
        <v>2</v>
      </c>
      <c r="BO452" t="s">
        <v>2768</v>
      </c>
      <c r="BP452">
        <v>2</v>
      </c>
      <c r="BQ452" t="s">
        <v>3035</v>
      </c>
      <c r="BR452">
        <v>2</v>
      </c>
      <c r="BS452" t="s">
        <v>2768</v>
      </c>
      <c r="BT452">
        <v>0</v>
      </c>
      <c r="BU452" t="s">
        <v>2776</v>
      </c>
      <c r="BV452">
        <v>2</v>
      </c>
      <c r="BW452" s="179" t="s">
        <v>3028</v>
      </c>
      <c r="BX452" s="179">
        <v>2</v>
      </c>
      <c r="BY452" t="str">
        <f>IF(0,"云飞玉皇-玉山揽云","云飞玉皇")</f>
        <v>云飞玉皇</v>
      </c>
      <c r="BZ452">
        <v>2</v>
      </c>
      <c r="CA452" t="s">
        <v>2776</v>
      </c>
      <c r="CB452">
        <v>2</v>
      </c>
    </row>
    <row r="453" spans="1:80">
      <c r="A453" s="178" t="str">
        <f ca="1">IFERROR(IF(AG452&lt;5+金蛇*2,IF(COUNTIF(B452,"*轻*")&gt;0,A452+加速!$L$9,A452+加速!$L$11)+V452,""),"")</f>
        <v/>
      </c>
      <c r="B453" s="167" t="str">
        <f ca="1" t="shared" si="127"/>
        <v/>
      </c>
      <c r="C453" t="str">
        <f ca="1" t="shared" ref="C453:C515" si="136">IFERROR(IF(COUNTIF(B453,"*夕照雷峰*")&gt;0,15,MAX(0,C452-(A453-A452))),"")</f>
        <v/>
      </c>
      <c r="D453" t="str">
        <f ca="1">IF(B453&lt;&gt;"",IF(C452&lt;=加速!$L$11*(1-E453),0,1),"")</f>
        <v/>
      </c>
      <c r="E453">
        <f ca="1" t="shared" si="133"/>
        <v>1</v>
      </c>
      <c r="G453" t="str">
        <f ca="1" t="shared" si="134"/>
        <v/>
      </c>
      <c r="H453" t="str">
        <f ca="1">IF(B453&lt;&gt;"",IF(AND(COUNTIF(B452,"*轻*莺鸣柳*")&gt;0,COUNTIF(B453,"*轻*")&lt;1),MAX(0,15+I452-(A453-A452)+COUNTIF(B452,"*平湖*")*0),IF(AND(E453=0,MAX(0,H452-(A453-A452))&lt;=加速!$H$11),0,MAX(0,H452-(A453-A452)))),"")</f>
        <v/>
      </c>
      <c r="I453" t="str">
        <f ca="1" t="shared" si="123"/>
        <v/>
      </c>
      <c r="J453" t="str">
        <f ca="1" t="shared" si="124"/>
        <v/>
      </c>
      <c r="K453" t="str">
        <f ca="1" t="shared" si="128"/>
        <v/>
      </c>
      <c r="L453">
        <f ca="1">IFERROR(IF(AND(COUNTIF(B453,"*-峰插*"),技能数据库!$M$72&gt;0),0,IF(COUNTIF(B453,"*鹤归*")&gt;0,16-加速!$L$11,MAX(0,L452-(A453-A452)))),0)</f>
        <v>0</v>
      </c>
      <c r="M453">
        <f ca="1" t="shared" si="129"/>
        <v>0</v>
      </c>
      <c r="N453">
        <f ca="1">IFERROR(IF(AND(COUNTIF(B453,"*-峰插*"),技能数据库!$M$72&gt;0),0,IF(COUNTIF(B453,"*云飞*")&gt;0,4-COUNTIF(B453,"*玉山揽云*")*4--COUNTIF(B453,"*烟流暮景*")*4-COUNTIF(B453,"*云景*")*加速!$L$11-IF(J453&gt;0,2,0),MAX(0,N452-(A453-A452)-IF(J453&gt;0,2,0)))),0)</f>
        <v>0</v>
      </c>
      <c r="O453">
        <f ca="1">IF(AND(COUNTIF(IF(AND(配装计算器!$K$30&lt;&gt;"∞",0),INDEX(AU452:CB452,1,$AT$1),INDEX(AU454:CB454,1,$AT$1)),"*云飞*")=1,COUNTIF(IF(AND(配装计算器!$K$30&lt;&gt;"∞",0),INDEX(AU452:CB452,1,$AT$1),INDEX(AU454:CB454,1,$AT$1)),"*玉山*")=0),N453,0)</f>
        <v>0</v>
      </c>
      <c r="P453">
        <f ca="1">IFERROR(IF(COUNTIF(B453,"*云栖松*")&gt;0,50-加速!$L$11,MAX(0,P452-(A453-A452))),0)</f>
        <v>0</v>
      </c>
      <c r="Q453">
        <f ca="1">IF(COUNTIF(IF(AND(配装计算器!$K$30&lt;&gt;"∞",0),INDEX(AU452:CB452,1,$AT$1),INDEX(AU454:CB454,1,$AT$1)),"*云栖松*")=1,P453,0)</f>
        <v>0</v>
      </c>
      <c r="R453">
        <f ca="1">IFERROR(IF(COUNTIF(B453,"*莺鸣柳*")&gt;0,45-加速!$L$9,MAX(0,R452-(A453-A452))),0)</f>
        <v>0</v>
      </c>
      <c r="S453">
        <f ca="1">IF(COUNTIF(IF(AND(配装计算器!$K$30&lt;&gt;"∞",0),INDEX(AU452:CB452,1,$AT$1),INDEX(AU454:CB454,1,$AT$1)),"*莺鸣柳*")=1,R453,0)</f>
        <v>0</v>
      </c>
      <c r="T453">
        <f ca="1" t="shared" ref="T453:T515" si="137">IF(COUNTIF(B453,"*岚尘金蛇*")+COUNTIF(B453,"*千切子寒光*")&gt;0,A453,T452)</f>
        <v>0</v>
      </c>
      <c r="U453">
        <f ca="1">IF(金蛇,IF(COUNTIF(B453,"*金环戴*")+COUNTIF(B453,"*吹风醒*")&gt;0,IF(A453&lt;=3,7.125-2.625-A453-加速!$L$11,7.125+加速!$K$9-(A453+加速!$L$11-T453)),0),0)+IF(金蛇,IF(COUNTIF(B453,"*千切子裂光*")&gt;0,2+加速!$K$9-(A453+加速!$L$11-T453),0),0)</f>
        <v>0</v>
      </c>
      <c r="V453">
        <f ca="1" t="shared" ref="V453:V515" si="138">MAX(0,M453+O453+Q453+S453+AD453)+U453</f>
        <v>0</v>
      </c>
      <c r="W453">
        <f ca="1" t="shared" si="130"/>
        <v>0</v>
      </c>
      <c r="X453">
        <f ca="1">INDEX(加速!$I$13:$I$21,W453+1)</f>
        <v>0</v>
      </c>
      <c r="Y453">
        <f ca="1" t="shared" ref="Y453:Y515" si="139">IF(COUNTIF(B453,"*岚尘金蛇*"),A453+2.6125+0.5,Y452)</f>
        <v>0.5</v>
      </c>
      <c r="Z453">
        <f ca="1" t="shared" si="135"/>
        <v>0</v>
      </c>
      <c r="AA453">
        <f ca="1">MAX(0,IFERROR(IF(COUNTIF(B453,"*叠*")&gt;0,IF(AC452&lt;3,8-A454+A453,AA452+6.875-A454+A453),AA452-A454+A453),AA452-加速!$L$11))</f>
        <v>0</v>
      </c>
      <c r="AB453" t="e">
        <f ca="1">MAX(0,IF(COUNTIF(IF(AND(配装计算器!$K$30&lt;&gt;"∞",0),INDEX(AU453:CB453,1,$AT$1),INDEX(AU453:CB453,1,$AT$1)),"*叠1*")=1,4*25-加速!$L$11,AB452-A453+A452)-IF(OR(COUNTIF(OFFSET(AT453,0,$AT$1,1,1),"*听雷*")&gt;0,AND(碧归&gt;0,COUNTIF(OFFSET(AT453,0,$AT$1,1,1),"*风来*")&gt;0)),0,1)*1.5)</f>
        <v>#VALUE!</v>
      </c>
      <c r="AC453">
        <f ca="1" t="shared" si="131"/>
        <v>0</v>
      </c>
      <c r="AD453">
        <f ca="1">IF(COUNTIF(IF(AND(配装计算器!$K$30&lt;&gt;"∞",0),INDEX(AU453:CB453,1,$AT$1),INDEX(AU454:CB454,1,$AT$1)),"*叠1*")=1,AB453*0+AE452,0)</f>
        <v>0</v>
      </c>
      <c r="AE453" t="e">
        <f ca="1">IF($AN$11&gt;0,IF(COUNTIF(B454,"*叠1*")&gt;0,50-加速!$L$11,MAX(0,AE452-(A454-A453))),0)</f>
        <v>#VALUE!</v>
      </c>
      <c r="AG453">
        <f ca="1" t="shared" si="132"/>
        <v>12</v>
      </c>
      <c r="AU453" s="176" t="s">
        <v>2776</v>
      </c>
      <c r="AV453">
        <v>2</v>
      </c>
      <c r="AW453" s="176" t="s">
        <v>2768</v>
      </c>
      <c r="AX453">
        <v>2</v>
      </c>
      <c r="AY453" t="s">
        <v>2808</v>
      </c>
      <c r="AZ453">
        <v>2</v>
      </c>
      <c r="BA453" t="s">
        <v>2776</v>
      </c>
      <c r="BB453">
        <v>2</v>
      </c>
      <c r="BC453" t="s">
        <v>2768</v>
      </c>
      <c r="BD453">
        <v>2</v>
      </c>
      <c r="BE453" t="s">
        <v>2768</v>
      </c>
      <c r="BF453">
        <v>1</v>
      </c>
      <c r="BG453" s="176" t="s">
        <v>2776</v>
      </c>
      <c r="BH453">
        <v>2</v>
      </c>
      <c r="BI453" t="s">
        <v>2776</v>
      </c>
      <c r="BJ453">
        <v>2</v>
      </c>
      <c r="BK453" s="176" t="s">
        <v>2768</v>
      </c>
      <c r="BL453">
        <v>1</v>
      </c>
      <c r="BM453" s="176" t="str">
        <f>IF(秋,"夕照雷峰","千切子裂光")</f>
        <v>千切子裂光</v>
      </c>
      <c r="BN453">
        <v>2</v>
      </c>
      <c r="BO453" t="s">
        <v>2776</v>
      </c>
      <c r="BP453">
        <v>2</v>
      </c>
      <c r="BQ453" t="s">
        <v>2776</v>
      </c>
      <c r="BR453">
        <v>2</v>
      </c>
      <c r="BS453" t="s">
        <v>2776</v>
      </c>
      <c r="BT453">
        <v>0</v>
      </c>
      <c r="BU453" t="s">
        <v>2768</v>
      </c>
      <c r="BV453">
        <v>2</v>
      </c>
      <c r="BW453" s="179" t="s">
        <v>2768</v>
      </c>
      <c r="BX453" s="179">
        <v>2</v>
      </c>
      <c r="BY453" s="176" t="str">
        <f>IF(秋,"夕照雷峰","千切子寒光")</f>
        <v>千切子寒光</v>
      </c>
      <c r="BZ453">
        <v>2</v>
      </c>
      <c r="CA453" s="176" t="s">
        <v>2794</v>
      </c>
      <c r="CB453">
        <v>2</v>
      </c>
    </row>
    <row r="454" spans="1:80">
      <c r="A454" s="178" t="str">
        <f ca="1">IFERROR(IF(AG453&lt;5+金蛇*2,IF(COUNTIF(B453,"*轻*")&gt;0,A453+加速!$L$9,A453+加速!$L$11)+V453,""),"")</f>
        <v/>
      </c>
      <c r="B454" s="167" t="str">
        <f ca="1" t="shared" si="127"/>
        <v/>
      </c>
      <c r="C454" t="str">
        <f ca="1" t="shared" si="136"/>
        <v/>
      </c>
      <c r="D454" t="str">
        <f ca="1">IF(B454&lt;&gt;"",IF(C453&lt;=加速!$L$11*(1-E454),0,1),"")</f>
        <v/>
      </c>
      <c r="E454">
        <f ca="1" t="shared" si="133"/>
        <v>1</v>
      </c>
      <c r="G454" t="str">
        <f ca="1" t="shared" si="134"/>
        <v/>
      </c>
      <c r="H454" t="str">
        <f ca="1">IF(B454&lt;&gt;"",IF(AND(COUNTIF(B453,"*轻*莺鸣柳*")&gt;0,COUNTIF(B454,"*轻*")&lt;1),MAX(0,15+I453-(A454-A453)+COUNTIF(B453,"*平湖*")*0),IF(AND(E454=0,MAX(0,H453-(A454-A453))&lt;=加速!$H$11),0,MAX(0,H453-(A454-A453)))),"")</f>
        <v/>
      </c>
      <c r="I454" t="str">
        <f ca="1" t="shared" ref="I454:I515" si="140">IF(B454&lt;&gt;"",IF(COUNTIF(B454,"*轻*")&lt;1,0,IF(COUNTIF(B454,"*莺鸣*")&gt;0,8,MAX(0,I453-(A454-A453)))),"")</f>
        <v/>
      </c>
      <c r="J454" t="str">
        <f ca="1" t="shared" ref="J454:J515" si="141">IF(B454&lt;&gt;"",IF(AND(J453=1,OR(AND(COUNTIF(B454,"*云景*")&gt;0,COUNTIF(B449:B453,"*鹤归*")&gt;0),AND(落剑5=1,COUNTIF(B449:B453,"*鹤归*")&gt;0))),1,IF(COUNTIF(B453,"*鹤归*")&gt;0,4+_666三听,MAX(J453-1,0))),"")</f>
        <v/>
      </c>
      <c r="K454" t="str">
        <f ca="1" t="shared" si="128"/>
        <v/>
      </c>
      <c r="L454">
        <f ca="1">IFERROR(IF(AND(COUNTIF(B454,"*-峰插*"),技能数据库!$M$72&gt;0),0,IF(COUNTIF(B454,"*鹤归*")&gt;0,16-加速!$L$11,MAX(0,L453-(A454-A453)))),0)</f>
        <v>0</v>
      </c>
      <c r="M454">
        <f ca="1" t="shared" si="129"/>
        <v>0</v>
      </c>
      <c r="N454">
        <f ca="1">IFERROR(IF(AND(COUNTIF(B454,"*-峰插*"),技能数据库!$M$72&gt;0),0,IF(COUNTIF(B454,"*云飞*")&gt;0,4-COUNTIF(B454,"*玉山揽云*")*4--COUNTIF(B454,"*烟流暮景*")*4-COUNTIF(B454,"*云景*")*加速!$L$11-IF(J454&gt;0,2,0),MAX(0,N453-(A454-A453)-IF(J454&gt;0,2,0)))),0)</f>
        <v>0</v>
      </c>
      <c r="O454">
        <f ca="1">IF(AND(COUNTIF(IF(AND(配装计算器!$K$30&lt;&gt;"∞",0),INDEX(AU453:CB453,1,$AT$1),INDEX(AU455:CB455,1,$AT$1)),"*云飞*")=1,COUNTIF(IF(AND(配装计算器!$K$30&lt;&gt;"∞",0),INDEX(AU453:CB453,1,$AT$1),INDEX(AU455:CB455,1,$AT$1)),"*玉山*")=0),N454,0)</f>
        <v>0</v>
      </c>
      <c r="P454">
        <f ca="1">IFERROR(IF(COUNTIF(B454,"*云栖松*")&gt;0,50-加速!$L$11,MAX(0,P453-(A454-A453))),0)</f>
        <v>0</v>
      </c>
      <c r="Q454">
        <f ca="1">IF(COUNTIF(IF(AND(配装计算器!$K$30&lt;&gt;"∞",0),INDEX(AU453:CB453,1,$AT$1),INDEX(AU455:CB455,1,$AT$1)),"*云栖松*")=1,P454,0)</f>
        <v>0</v>
      </c>
      <c r="R454">
        <f ca="1">IFERROR(IF(COUNTIF(B454,"*莺鸣柳*")&gt;0,45-加速!$L$9,MAX(0,R453-(A454-A453))),0)</f>
        <v>0</v>
      </c>
      <c r="S454">
        <f ca="1">IF(COUNTIF(IF(AND(配装计算器!$K$30&lt;&gt;"∞",0),INDEX(AU453:CB453,1,$AT$1),INDEX(AU455:CB455,1,$AT$1)),"*莺鸣柳*")=1,R454,0)</f>
        <v>0</v>
      </c>
      <c r="T454">
        <f ca="1" t="shared" si="137"/>
        <v>0</v>
      </c>
      <c r="U454">
        <f ca="1">IF(金蛇,IF(COUNTIF(B454,"*金环戴*")+COUNTIF(B454,"*吹风醒*")&gt;0,IF(A454&lt;=3,7.125-2.625-A454-加速!$L$11,7.125+加速!$K$9-(A454+加速!$L$11-T454)),0),0)+IF(金蛇,IF(COUNTIF(B454,"*千切子裂光*")&gt;0,2+加速!$K$9-(A454+加速!$L$11-T454),0),0)</f>
        <v>0</v>
      </c>
      <c r="V454">
        <f ca="1" t="shared" si="138"/>
        <v>0</v>
      </c>
      <c r="W454">
        <f ca="1" t="shared" si="130"/>
        <v>0</v>
      </c>
      <c r="X454">
        <f ca="1">INDEX(加速!$I$13:$I$21,W454+1)</f>
        <v>0</v>
      </c>
      <c r="Y454">
        <f ca="1" t="shared" si="139"/>
        <v>0.5</v>
      </c>
      <c r="Z454">
        <f ca="1" t="shared" si="135"/>
        <v>0</v>
      </c>
      <c r="AA454">
        <f ca="1">MAX(0,IFERROR(IF(COUNTIF(B454,"*叠*")&gt;0,IF(AC453&lt;3,8-A455+A454,AA453+6.875-A455+A454),AA453-A455+A454),AA453-加速!$L$11))</f>
        <v>0</v>
      </c>
      <c r="AB454" t="e">
        <f ca="1">MAX(0,IF(COUNTIF(IF(AND(配装计算器!$K$30&lt;&gt;"∞",0),INDEX(AU454:CB454,1,$AT$1),INDEX(AU454:CB454,1,$AT$1)),"*叠1*")=1,4*25-加速!$L$11,AB453-A454+A453)-IF(OR(COUNTIF(OFFSET(AT454,0,$AT$1,1,1),"*听雷*")&gt;0,AND(碧归&gt;0,COUNTIF(OFFSET(AT454,0,$AT$1,1,1),"*风来*")&gt;0)),0,1)*1.5)</f>
        <v>#VALUE!</v>
      </c>
      <c r="AC454">
        <f ca="1" t="shared" si="131"/>
        <v>0</v>
      </c>
      <c r="AD454">
        <f ca="1">IF(COUNTIF(IF(AND(配装计算器!$K$30&lt;&gt;"∞",0),INDEX(AU454:CB454,1,$AT$1),INDEX(AU455:CB455,1,$AT$1)),"*叠1*")=1,AB454*0+AE453,0)</f>
        <v>0</v>
      </c>
      <c r="AE454" t="e">
        <f ca="1">IF($AN$11&gt;0,IF(COUNTIF(B455,"*叠1*")&gt;0,50-加速!$L$11,MAX(0,AE453-(A455-A454))),0)</f>
        <v>#VALUE!</v>
      </c>
      <c r="AG454">
        <f ca="1" t="shared" si="132"/>
        <v>12</v>
      </c>
      <c r="AU454" s="176" t="s">
        <v>2768</v>
      </c>
      <c r="AV454">
        <v>1</v>
      </c>
      <c r="AW454" s="176" t="s">
        <v>2808</v>
      </c>
      <c r="AX454">
        <v>2</v>
      </c>
      <c r="AY454" t="s">
        <v>2768</v>
      </c>
      <c r="AZ454">
        <v>2</v>
      </c>
      <c r="BA454" t="s">
        <v>2794</v>
      </c>
      <c r="BB454">
        <v>2</v>
      </c>
      <c r="BC454" t="s">
        <v>2768</v>
      </c>
      <c r="BD454">
        <v>1</v>
      </c>
      <c r="BE454" t="s">
        <v>3042</v>
      </c>
      <c r="BF454">
        <v>0</v>
      </c>
      <c r="BG454" t="s">
        <v>2768</v>
      </c>
      <c r="BH454">
        <v>1</v>
      </c>
      <c r="BI454" t="s">
        <v>2768</v>
      </c>
      <c r="BJ454">
        <v>2</v>
      </c>
      <c r="BK454" s="176" t="s">
        <v>2768</v>
      </c>
      <c r="BL454">
        <v>0</v>
      </c>
      <c r="BM454" t="str">
        <f>IF(0,"云飞玉皇-玉山揽云","夕照雷峰")</f>
        <v>夕照雷峰</v>
      </c>
      <c r="BN454">
        <v>2</v>
      </c>
      <c r="BO454" t="s">
        <v>2768</v>
      </c>
      <c r="BP454">
        <v>2</v>
      </c>
      <c r="BQ454" t="s">
        <v>2768</v>
      </c>
      <c r="BR454">
        <v>2</v>
      </c>
      <c r="BS454" t="s">
        <v>2768</v>
      </c>
      <c r="BT454">
        <v>0</v>
      </c>
      <c r="BU454" t="s">
        <v>2808</v>
      </c>
      <c r="BV454">
        <v>2</v>
      </c>
      <c r="BW454" s="179" t="str">
        <f>IF(山重水复,"风来吴山","夕照雷峰")</f>
        <v>夕照雷峰</v>
      </c>
      <c r="BX454" s="179">
        <v>2</v>
      </c>
      <c r="BY454" s="176" t="str">
        <f>IF(秋,"夕照雷峰","千切子裂光")</f>
        <v>千切子裂光</v>
      </c>
      <c r="BZ454">
        <v>2</v>
      </c>
      <c r="CA454" s="176" t="s">
        <v>2768</v>
      </c>
      <c r="CB454">
        <v>2</v>
      </c>
    </row>
    <row r="455" spans="1:80">
      <c r="A455" s="178" t="str">
        <f ca="1">IFERROR(IF(AG454&lt;5+金蛇*2,IF(COUNTIF(B454,"*轻*")&gt;0,A454+加速!$L$9,A454+加速!$L$11)+V454,""),"")</f>
        <v/>
      </c>
      <c r="B455" s="167" t="str">
        <f ca="1" t="shared" si="127"/>
        <v/>
      </c>
      <c r="C455" t="str">
        <f ca="1" t="shared" si="136"/>
        <v/>
      </c>
      <c r="D455" t="str">
        <f ca="1">IF(B455&lt;&gt;"",IF(C454&lt;=加速!$L$11*(1-E455),0,1),"")</f>
        <v/>
      </c>
      <c r="E455">
        <f ca="1" t="shared" si="133"/>
        <v>1</v>
      </c>
      <c r="G455" t="str">
        <f ca="1" t="shared" si="134"/>
        <v/>
      </c>
      <c r="H455" t="str">
        <f ca="1">IF(B455&lt;&gt;"",IF(AND(COUNTIF(B454,"*轻*莺鸣柳*")&gt;0,COUNTIF(B455,"*轻*")&lt;1),MAX(0,15+I454-(A455-A454)+COUNTIF(B454,"*平湖*")*0),IF(AND(E455=0,MAX(0,H454-(A455-A454))&lt;=加速!$H$11),0,MAX(0,H454-(A455-A454)))),"")</f>
        <v/>
      </c>
      <c r="I455" t="str">
        <f ca="1" t="shared" si="140"/>
        <v/>
      </c>
      <c r="J455" t="str">
        <f ca="1" t="shared" si="141"/>
        <v/>
      </c>
      <c r="K455" t="str">
        <f ca="1" t="shared" si="128"/>
        <v/>
      </c>
      <c r="L455">
        <f ca="1">IFERROR(IF(AND(COUNTIF(B455,"*-峰插*"),技能数据库!$M$72&gt;0),0,IF(COUNTIF(B455,"*鹤归*")&gt;0,16-加速!$L$11,MAX(0,L454-(A455-A454)))),0)</f>
        <v>0</v>
      </c>
      <c r="M455">
        <f ca="1" t="shared" si="129"/>
        <v>0</v>
      </c>
      <c r="N455">
        <f ca="1">IFERROR(IF(AND(COUNTIF(B455,"*-峰插*"),技能数据库!$M$72&gt;0),0,IF(COUNTIF(B455,"*云飞*")&gt;0,4-COUNTIF(B455,"*玉山揽云*")*4--COUNTIF(B455,"*烟流暮景*")*4-COUNTIF(B455,"*云景*")*加速!$L$11-IF(J455&gt;0,2,0),MAX(0,N454-(A455-A454)-IF(J455&gt;0,2,0)))),0)</f>
        <v>0</v>
      </c>
      <c r="O455">
        <f ca="1">IF(AND(COUNTIF(IF(AND(配装计算器!$K$30&lt;&gt;"∞",0),INDEX(AU454:CB454,1,$AT$1),INDEX(AU456:CB456,1,$AT$1)),"*云飞*")=1,COUNTIF(IF(AND(配装计算器!$K$30&lt;&gt;"∞",0),INDEX(AU454:CB454,1,$AT$1),INDEX(AU456:CB456,1,$AT$1)),"*玉山*")=0),N455,0)</f>
        <v>0</v>
      </c>
      <c r="P455">
        <f ca="1">IFERROR(IF(COUNTIF(B455,"*云栖松*")&gt;0,50-加速!$L$11,MAX(0,P454-(A455-A454))),0)</f>
        <v>0</v>
      </c>
      <c r="Q455">
        <f ca="1">IF(COUNTIF(IF(AND(配装计算器!$K$30&lt;&gt;"∞",0),INDEX(AU454:CB454,1,$AT$1),INDEX(AU456:CB456,1,$AT$1)),"*云栖松*")=1,P455,0)</f>
        <v>0</v>
      </c>
      <c r="R455">
        <f ca="1">IFERROR(IF(COUNTIF(B455,"*莺鸣柳*")&gt;0,45-加速!$L$9,MAX(0,R454-(A455-A454))),0)</f>
        <v>0</v>
      </c>
      <c r="S455">
        <f ca="1">IF(COUNTIF(IF(AND(配装计算器!$K$30&lt;&gt;"∞",0),INDEX(AU454:CB454,1,$AT$1),INDEX(AU456:CB456,1,$AT$1)),"*莺鸣柳*")=1,R455,0)</f>
        <v>0</v>
      </c>
      <c r="T455">
        <f ca="1" t="shared" si="137"/>
        <v>0</v>
      </c>
      <c r="U455">
        <f ca="1">IF(金蛇,IF(COUNTIF(B455,"*金环戴*")+COUNTIF(B455,"*吹风醒*")&gt;0,IF(A455&lt;=3,7.125-2.625-A455-加速!$L$11,7.125+加速!$K$9-(A455+加速!$L$11-T455)),0),0)+IF(金蛇,IF(COUNTIF(B455,"*千切子裂光*")&gt;0,2+加速!$K$9-(A455+加速!$L$11-T455),0),0)</f>
        <v>0</v>
      </c>
      <c r="V455">
        <f ca="1" t="shared" si="138"/>
        <v>0</v>
      </c>
      <c r="W455">
        <f ca="1" t="shared" si="130"/>
        <v>0</v>
      </c>
      <c r="X455">
        <f ca="1">INDEX(加速!$I$13:$I$21,W455+1)</f>
        <v>0</v>
      </c>
      <c r="Y455">
        <f ca="1" t="shared" si="139"/>
        <v>0.5</v>
      </c>
      <c r="Z455">
        <f ca="1" t="shared" si="135"/>
        <v>0</v>
      </c>
      <c r="AA455">
        <f ca="1">MAX(0,IFERROR(IF(COUNTIF(B455,"*叠*")&gt;0,IF(AC454&lt;3,8-A456+A455,AA454+6.875-A456+A455),AA454-A456+A455),AA454-加速!$L$11))</f>
        <v>0</v>
      </c>
      <c r="AB455" t="e">
        <f ca="1">MAX(0,IF(COUNTIF(IF(AND(配装计算器!$K$30&lt;&gt;"∞",0),INDEX(AU455:CB455,1,$AT$1),INDEX(AU455:CB455,1,$AT$1)),"*叠1*")=1,4*25-加速!$L$11,AB454-A455+A454)-IF(OR(COUNTIF(OFFSET(AT455,0,$AT$1,1,1),"*听雷*")&gt;0,AND(碧归&gt;0,COUNTIF(OFFSET(AT455,0,$AT$1,1,1),"*风来*")&gt;0)),0,1)*1.5)</f>
        <v>#VALUE!</v>
      </c>
      <c r="AC455">
        <f ca="1" t="shared" si="131"/>
        <v>0</v>
      </c>
      <c r="AD455">
        <f ca="1">IF(COUNTIF(IF(AND(配装计算器!$K$30&lt;&gt;"∞",0),INDEX(AU455:CB455,1,$AT$1),INDEX(AU456:CB456,1,$AT$1)),"*叠1*")=1,AB455*0+AE454,0)</f>
        <v>0</v>
      </c>
      <c r="AE455" t="e">
        <f ca="1">IF($AN$11&gt;0,IF(COUNTIF(B456,"*叠1*")&gt;0,50-加速!$L$11,MAX(0,AE454-(A456-A455))),0)</f>
        <v>#VALUE!</v>
      </c>
      <c r="AG455">
        <f ca="1" t="shared" si="132"/>
        <v>12</v>
      </c>
      <c r="AU455" s="176" t="s">
        <v>2776</v>
      </c>
      <c r="AV455">
        <v>2</v>
      </c>
      <c r="AW455" t="s">
        <v>2768</v>
      </c>
      <c r="AX455">
        <v>2</v>
      </c>
      <c r="AY455" t="s">
        <v>2768</v>
      </c>
      <c r="AZ455">
        <v>2</v>
      </c>
      <c r="BA455" t="s">
        <v>2768</v>
      </c>
      <c r="BB455">
        <v>2</v>
      </c>
      <c r="BC455" t="s">
        <v>2776</v>
      </c>
      <c r="BD455">
        <v>1</v>
      </c>
      <c r="BE455" t="s">
        <v>2776</v>
      </c>
      <c r="BF455">
        <v>0</v>
      </c>
      <c r="BG455" s="176" t="s">
        <v>2768</v>
      </c>
      <c r="BH455">
        <v>1</v>
      </c>
      <c r="BI455" t="s">
        <v>2768</v>
      </c>
      <c r="BJ455">
        <v>2</v>
      </c>
      <c r="BK455" s="176" t="s">
        <v>2776</v>
      </c>
      <c r="BL455">
        <v>0</v>
      </c>
      <c r="BM455" s="176" t="str">
        <f>IF(秋,"云飞玉皇","夕照雷峰")</f>
        <v>夕照雷峰</v>
      </c>
      <c r="BN455">
        <v>2</v>
      </c>
      <c r="BO455" t="s">
        <v>2768</v>
      </c>
      <c r="BP455">
        <v>2</v>
      </c>
      <c r="BQ455" t="s">
        <v>2776</v>
      </c>
      <c r="BR455">
        <v>2</v>
      </c>
      <c r="BS455" t="s">
        <v>3074</v>
      </c>
      <c r="BT455">
        <v>2</v>
      </c>
      <c r="BU455" t="s">
        <v>2768</v>
      </c>
      <c r="BV455">
        <v>2</v>
      </c>
      <c r="BW455" s="182" t="s">
        <v>2794</v>
      </c>
      <c r="BX455" s="179">
        <v>2</v>
      </c>
      <c r="BY455" t="str">
        <f>IF(0,"云飞玉皇-玉山揽云","夕照雷峰")</f>
        <v>夕照雷峰</v>
      </c>
      <c r="BZ455">
        <v>2</v>
      </c>
      <c r="CA455" s="176" t="s">
        <v>2776</v>
      </c>
      <c r="CB455">
        <v>2</v>
      </c>
    </row>
    <row r="456" spans="1:80">
      <c r="A456" s="178" t="str">
        <f ca="1">IFERROR(IF(AG455&lt;5+金蛇*2,IF(COUNTIF(B455,"*轻*")&gt;0,A455+加速!$L$9,A455+加速!$L$11)+V455,""),"")</f>
        <v/>
      </c>
      <c r="B456" s="167" t="str">
        <f ca="1" t="shared" si="127"/>
        <v/>
      </c>
      <c r="C456" t="str">
        <f ca="1" t="shared" si="136"/>
        <v/>
      </c>
      <c r="D456" t="str">
        <f ca="1">IF(B456&lt;&gt;"",IF(C455&lt;=加速!$L$11*(1-E456),0,1),"")</f>
        <v/>
      </c>
      <c r="E456">
        <f ca="1" t="shared" si="133"/>
        <v>1</v>
      </c>
      <c r="G456" t="str">
        <f ca="1" t="shared" si="134"/>
        <v/>
      </c>
      <c r="H456" t="str">
        <f ca="1">IF(B456&lt;&gt;"",IF(AND(COUNTIF(B455,"*轻*莺鸣柳*")&gt;0,COUNTIF(B456,"*轻*")&lt;1),MAX(0,15+I455-(A456-A455)+COUNTIF(B455,"*平湖*")*0),IF(AND(E456=0,MAX(0,H455-(A456-A455))&lt;=加速!$H$11),0,MAX(0,H455-(A456-A455)))),"")</f>
        <v/>
      </c>
      <c r="I456" t="str">
        <f ca="1" t="shared" si="140"/>
        <v/>
      </c>
      <c r="J456" t="str">
        <f ca="1" t="shared" si="141"/>
        <v/>
      </c>
      <c r="K456" t="str">
        <f ca="1" t="shared" si="128"/>
        <v/>
      </c>
      <c r="L456">
        <f ca="1">IFERROR(IF(AND(COUNTIF(B456,"*-峰插*"),技能数据库!$M$72&gt;0),0,IF(COUNTIF(B456,"*鹤归*")&gt;0,16-加速!$L$11,MAX(0,L455-(A456-A455)))),0)</f>
        <v>0</v>
      </c>
      <c r="M456">
        <f ca="1" t="shared" si="129"/>
        <v>0</v>
      </c>
      <c r="N456">
        <f ca="1">IFERROR(IF(AND(COUNTIF(B456,"*-峰插*"),技能数据库!$M$72&gt;0),0,IF(COUNTIF(B456,"*云飞*")&gt;0,4-COUNTIF(B456,"*玉山揽云*")*4--COUNTIF(B456,"*烟流暮景*")*4-COUNTIF(B456,"*云景*")*加速!$L$11-IF(J456&gt;0,2,0),MAX(0,N455-(A456-A455)-IF(J456&gt;0,2,0)))),0)</f>
        <v>0</v>
      </c>
      <c r="O456">
        <f ca="1">IF(AND(COUNTIF(IF(AND(配装计算器!$K$30&lt;&gt;"∞",0),INDEX(AU455:CB455,1,$AT$1),INDEX(AU457:CB457,1,$AT$1)),"*云飞*")=1,COUNTIF(IF(AND(配装计算器!$K$30&lt;&gt;"∞",0),INDEX(AU455:CB455,1,$AT$1),INDEX(AU457:CB457,1,$AT$1)),"*玉山*")=0),N456,0)</f>
        <v>0</v>
      </c>
      <c r="P456">
        <f ca="1">IFERROR(IF(COUNTIF(B456,"*云栖松*")&gt;0,50-加速!$L$11,MAX(0,P455-(A456-A455))),0)</f>
        <v>0</v>
      </c>
      <c r="Q456">
        <f ca="1">IF(COUNTIF(IF(AND(配装计算器!$K$30&lt;&gt;"∞",0),INDEX(AU455:CB455,1,$AT$1),INDEX(AU457:CB457,1,$AT$1)),"*云栖松*")=1,P456,0)</f>
        <v>0</v>
      </c>
      <c r="R456">
        <f ca="1">IFERROR(IF(COUNTIF(B456,"*莺鸣柳*")&gt;0,45-加速!$L$9,MAX(0,R455-(A456-A455))),0)</f>
        <v>0</v>
      </c>
      <c r="S456">
        <f ca="1">IF(COUNTIF(IF(AND(配装计算器!$K$30&lt;&gt;"∞",0),INDEX(AU455:CB455,1,$AT$1),INDEX(AU457:CB457,1,$AT$1)),"*莺鸣柳*")=1,R456,0)</f>
        <v>0</v>
      </c>
      <c r="T456">
        <f ca="1" t="shared" si="137"/>
        <v>0</v>
      </c>
      <c r="U456">
        <f ca="1">IF(金蛇,IF(COUNTIF(B456,"*金环戴*")+COUNTIF(B456,"*吹风醒*")&gt;0,IF(A456&lt;=3,7.125-2.625-A456-加速!$L$11,7.125+加速!$K$9-(A456+加速!$L$11-T456)),0),0)+IF(金蛇,IF(COUNTIF(B456,"*千切子裂光*")&gt;0,2+加速!$K$9-(A456+加速!$L$11-T456),0),0)</f>
        <v>0</v>
      </c>
      <c r="V456">
        <f ca="1" t="shared" si="138"/>
        <v>0</v>
      </c>
      <c r="W456">
        <f ca="1" t="shared" si="130"/>
        <v>0</v>
      </c>
      <c r="X456">
        <f ca="1">INDEX(加速!$I$13:$I$21,W456+1)</f>
        <v>0</v>
      </c>
      <c r="Y456">
        <f ca="1" t="shared" si="139"/>
        <v>0.5</v>
      </c>
      <c r="Z456">
        <f ca="1" t="shared" si="135"/>
        <v>0</v>
      </c>
      <c r="AA456">
        <f ca="1">MAX(0,IFERROR(IF(COUNTIF(B456,"*叠*")&gt;0,IF(AC455&lt;3,8-A457+A456,AA455+6.875-A457+A456),AA455-A457+A456),AA455-加速!$L$11))</f>
        <v>0</v>
      </c>
      <c r="AB456" t="e">
        <f ca="1">MAX(0,IF(COUNTIF(IF(AND(配装计算器!$K$30&lt;&gt;"∞",0),INDEX(AU456:CB456,1,$AT$1),INDEX(AU456:CB456,1,$AT$1)),"*叠1*")=1,4*25-加速!$L$11,AB455-A456+A455)-IF(OR(COUNTIF(OFFSET(AT456,0,$AT$1,1,1),"*听雷*")&gt;0,AND(碧归&gt;0,COUNTIF(OFFSET(AT456,0,$AT$1,1,1),"*风来*")&gt;0)),0,1)*1.5)</f>
        <v>#VALUE!</v>
      </c>
      <c r="AC456">
        <f ca="1" t="shared" si="131"/>
        <v>0</v>
      </c>
      <c r="AD456">
        <f ca="1">IF(COUNTIF(IF(AND(配装计算器!$K$30&lt;&gt;"∞",0),INDEX(AU456:CB456,1,$AT$1),INDEX(AU457:CB457,1,$AT$1)),"*叠1*")=1,AB456*0+AE455,0)</f>
        <v>0</v>
      </c>
      <c r="AE456" t="e">
        <f ca="1">IF($AN$11&gt;0,IF(COUNTIF(B457,"*叠1*")&gt;0,50-加速!$L$11,MAX(0,AE455-(A457-A456))),0)</f>
        <v>#VALUE!</v>
      </c>
      <c r="AG456">
        <f ca="1" t="shared" si="132"/>
        <v>12</v>
      </c>
      <c r="AU456" s="176" t="s">
        <v>2768</v>
      </c>
      <c r="AV456">
        <v>1</v>
      </c>
      <c r="AW456" t="s">
        <v>2776</v>
      </c>
      <c r="AX456">
        <v>2</v>
      </c>
      <c r="AY456" t="s">
        <v>2776</v>
      </c>
      <c r="AZ456">
        <v>2</v>
      </c>
      <c r="BA456" t="s">
        <v>2776</v>
      </c>
      <c r="BB456">
        <v>2</v>
      </c>
      <c r="BC456" t="s">
        <v>2768</v>
      </c>
      <c r="BD456">
        <v>1</v>
      </c>
      <c r="BE456" t="s">
        <v>2768</v>
      </c>
      <c r="BF456">
        <v>1</v>
      </c>
      <c r="BG456" t="s">
        <v>3055</v>
      </c>
      <c r="BH456">
        <v>0</v>
      </c>
      <c r="BI456" s="176" t="s">
        <v>2794</v>
      </c>
      <c r="BJ456">
        <v>1</v>
      </c>
      <c r="BK456" s="176" t="s">
        <v>2768</v>
      </c>
      <c r="BL456">
        <v>0</v>
      </c>
      <c r="BM456" s="176" t="str">
        <f>IF(秋,"夕照雷峰","云飞玉皇")</f>
        <v>云飞玉皇</v>
      </c>
      <c r="BN456">
        <v>2</v>
      </c>
      <c r="BO456" t="s">
        <v>2768</v>
      </c>
      <c r="BP456">
        <v>2</v>
      </c>
      <c r="BQ456" t="s">
        <v>2768</v>
      </c>
      <c r="BR456">
        <v>2</v>
      </c>
      <c r="BS456" t="s">
        <v>2768</v>
      </c>
      <c r="BT456">
        <v>2</v>
      </c>
      <c r="BU456" s="176" t="s">
        <v>2768</v>
      </c>
      <c r="BV456">
        <v>2</v>
      </c>
      <c r="BW456" s="182" t="s">
        <v>2776</v>
      </c>
      <c r="BX456" s="179">
        <v>2</v>
      </c>
      <c r="BY456" t="s">
        <v>2776</v>
      </c>
      <c r="BZ456">
        <v>2</v>
      </c>
      <c r="CA456" s="176" t="s">
        <v>2768</v>
      </c>
      <c r="CB456">
        <v>2</v>
      </c>
    </row>
    <row r="457" spans="1:80">
      <c r="A457" s="178" t="str">
        <f ca="1">IFERROR(IF(AG456&lt;5+金蛇*2,IF(COUNTIF(B456,"*轻*")&gt;0,A456+加速!$L$9,A456+加速!$L$11)+V456,""),"")</f>
        <v/>
      </c>
      <c r="B457" s="167" t="str">
        <f ca="1" t="shared" si="127"/>
        <v/>
      </c>
      <c r="C457" t="str">
        <f ca="1" t="shared" si="136"/>
        <v/>
      </c>
      <c r="D457" t="str">
        <f ca="1">IF(B457&lt;&gt;"",IF(C456&lt;=加速!$L$11*(1-E457),0,1),"")</f>
        <v/>
      </c>
      <c r="E457">
        <f ca="1" t="shared" si="133"/>
        <v>1</v>
      </c>
      <c r="G457" t="str">
        <f ca="1" t="shared" si="134"/>
        <v/>
      </c>
      <c r="H457" t="str">
        <f ca="1">IF(B457&lt;&gt;"",IF(AND(COUNTIF(B456,"*轻*莺鸣柳*")&gt;0,COUNTIF(B457,"*轻*")&lt;1),MAX(0,15+I456-(A457-A456)+COUNTIF(B456,"*平湖*")*0),IF(AND(E457=0,MAX(0,H456-(A457-A456))&lt;=加速!$H$11),0,MAX(0,H456-(A457-A456)))),"")</f>
        <v/>
      </c>
      <c r="I457" t="str">
        <f ca="1" t="shared" si="140"/>
        <v/>
      </c>
      <c r="J457" t="str">
        <f ca="1" t="shared" si="141"/>
        <v/>
      </c>
      <c r="K457" t="str">
        <f ca="1" t="shared" si="128"/>
        <v/>
      </c>
      <c r="L457">
        <f ca="1">IFERROR(IF(AND(COUNTIF(B457,"*-峰插*"),技能数据库!$M$72&gt;0),0,IF(COUNTIF(B457,"*鹤归*")&gt;0,16-加速!$L$11,MAX(0,L456-(A457-A456)))),0)</f>
        <v>0</v>
      </c>
      <c r="M457">
        <f ca="1" t="shared" si="129"/>
        <v>0</v>
      </c>
      <c r="N457">
        <f ca="1">IFERROR(IF(AND(COUNTIF(B457,"*-峰插*"),技能数据库!$M$72&gt;0),0,IF(COUNTIF(B457,"*云飞*")&gt;0,4-COUNTIF(B457,"*玉山揽云*")*4--COUNTIF(B457,"*烟流暮景*")*4-COUNTIF(B457,"*云景*")*加速!$L$11-IF(J457&gt;0,2,0),MAX(0,N456-(A457-A456)-IF(J457&gt;0,2,0)))),0)</f>
        <v>0</v>
      </c>
      <c r="O457">
        <f ca="1">IF(AND(COUNTIF(IF(AND(配装计算器!$K$30&lt;&gt;"∞",0),INDEX(AU456:CB456,1,$AT$1),INDEX(AU458:CB458,1,$AT$1)),"*云飞*")=1,COUNTIF(IF(AND(配装计算器!$K$30&lt;&gt;"∞",0),INDEX(AU456:CB456,1,$AT$1),INDEX(AU458:CB458,1,$AT$1)),"*玉山*")=0),N457,0)</f>
        <v>0</v>
      </c>
      <c r="P457">
        <f ca="1">IFERROR(IF(COUNTIF(B457,"*云栖松*")&gt;0,50-加速!$L$11,MAX(0,P456-(A457-A456))),0)</f>
        <v>0</v>
      </c>
      <c r="Q457">
        <f ca="1">IF(COUNTIF(IF(AND(配装计算器!$K$30&lt;&gt;"∞",0),INDEX(AU456:CB456,1,$AT$1),INDEX(AU458:CB458,1,$AT$1)),"*云栖松*")=1,P457,0)</f>
        <v>0</v>
      </c>
      <c r="R457">
        <f ca="1">IFERROR(IF(COUNTIF(B457,"*莺鸣柳*")&gt;0,45-加速!$L$9,MAX(0,R456-(A457-A456))),0)</f>
        <v>0</v>
      </c>
      <c r="S457">
        <f ca="1">IF(COUNTIF(IF(AND(配装计算器!$K$30&lt;&gt;"∞",0),INDEX(AU456:CB456,1,$AT$1),INDEX(AU458:CB458,1,$AT$1)),"*莺鸣柳*")=1,R457,0)</f>
        <v>0</v>
      </c>
      <c r="T457">
        <f ca="1" t="shared" si="137"/>
        <v>0</v>
      </c>
      <c r="U457">
        <f ca="1">IF(金蛇,IF(COUNTIF(B457,"*金环戴*")+COUNTIF(B457,"*吹风醒*")&gt;0,IF(A457&lt;=3,7.125-2.625-A457-加速!$L$11,7.125+加速!$K$9-(A457+加速!$L$11-T457)),0),0)+IF(金蛇,IF(COUNTIF(B457,"*千切子裂光*")&gt;0,2+加速!$K$9-(A457+加速!$L$11-T457),0),0)</f>
        <v>0</v>
      </c>
      <c r="V457">
        <f ca="1" t="shared" si="138"/>
        <v>0</v>
      </c>
      <c r="W457">
        <f ca="1" t="shared" si="130"/>
        <v>0</v>
      </c>
      <c r="X457">
        <f ca="1">INDEX(加速!$I$13:$I$21,W457+1)</f>
        <v>0</v>
      </c>
      <c r="Y457">
        <f ca="1" t="shared" si="139"/>
        <v>0.5</v>
      </c>
      <c r="Z457">
        <f ca="1" t="shared" si="135"/>
        <v>0</v>
      </c>
      <c r="AA457">
        <f ca="1">MAX(0,IFERROR(IF(COUNTIF(B457,"*叠*")&gt;0,IF(AC456&lt;3,8-A458+A457,AA456+6.875-A458+A457),AA456-A458+A457),AA456-加速!$L$11))</f>
        <v>0</v>
      </c>
      <c r="AB457" t="e">
        <f ca="1">MAX(0,IF(COUNTIF(IF(AND(配装计算器!$K$30&lt;&gt;"∞",0),INDEX(AU457:CB457,1,$AT$1),INDEX(AU457:CB457,1,$AT$1)),"*叠1*")=1,4*25-加速!$L$11,AB456-A457+A456)-IF(OR(COUNTIF(OFFSET(AT457,0,$AT$1,1,1),"*听雷*")&gt;0,AND(碧归&gt;0,COUNTIF(OFFSET(AT457,0,$AT$1,1,1),"*风来*")&gt;0)),0,1)*1.5)</f>
        <v>#VALUE!</v>
      </c>
      <c r="AC457">
        <f ca="1" t="shared" si="131"/>
        <v>0</v>
      </c>
      <c r="AD457">
        <f ca="1">IF(COUNTIF(IF(AND(配装计算器!$K$30&lt;&gt;"∞",0),INDEX(AU457:CB457,1,$AT$1),INDEX(AU458:CB458,1,$AT$1)),"*叠1*")=1,AB457*0+AE456,0)</f>
        <v>0</v>
      </c>
      <c r="AE457" t="e">
        <f ca="1">IF($AN$11&gt;0,IF(COUNTIF(B458,"*叠1*")&gt;0,50-加速!$L$11,MAX(0,AE456-(A458-A457))),0)</f>
        <v>#VALUE!</v>
      </c>
      <c r="AG457">
        <f ca="1" t="shared" si="132"/>
        <v>12</v>
      </c>
      <c r="AU457" s="176" t="s">
        <v>2776</v>
      </c>
      <c r="AV457">
        <v>1</v>
      </c>
      <c r="AW457" t="s">
        <v>2768</v>
      </c>
      <c r="AX457">
        <v>2</v>
      </c>
      <c r="AY457" t="s">
        <v>2794</v>
      </c>
      <c r="AZ457">
        <v>2</v>
      </c>
      <c r="BA457" t="s">
        <v>2768</v>
      </c>
      <c r="BB457">
        <v>2</v>
      </c>
      <c r="BC457" t="s">
        <v>2768</v>
      </c>
      <c r="BD457">
        <v>0</v>
      </c>
      <c r="BE457" t="s">
        <v>2768</v>
      </c>
      <c r="BF457">
        <v>1</v>
      </c>
      <c r="BG457" t="s">
        <v>2776</v>
      </c>
      <c r="BH457">
        <v>2</v>
      </c>
      <c r="BI457" t="s">
        <v>2776</v>
      </c>
      <c r="BJ457">
        <v>1</v>
      </c>
      <c r="BK457" s="176" t="s">
        <v>3012</v>
      </c>
      <c r="BL457">
        <v>2</v>
      </c>
      <c r="BM457" s="176" t="s">
        <v>2794</v>
      </c>
      <c r="BN457">
        <v>2</v>
      </c>
      <c r="BO457" t="s">
        <v>2776</v>
      </c>
      <c r="BP457">
        <v>2</v>
      </c>
      <c r="BQ457" t="s">
        <v>3013</v>
      </c>
      <c r="BR457">
        <v>2</v>
      </c>
      <c r="BS457" t="s">
        <v>2776</v>
      </c>
      <c r="BT457">
        <v>2</v>
      </c>
      <c r="BU457" s="176" t="s">
        <v>2776</v>
      </c>
      <c r="BV457">
        <v>2</v>
      </c>
      <c r="BW457" s="182" t="s">
        <v>2768</v>
      </c>
      <c r="BX457" s="179">
        <v>1</v>
      </c>
      <c r="BY457" s="176" t="s">
        <v>2794</v>
      </c>
      <c r="BZ457">
        <v>2</v>
      </c>
      <c r="CA457" s="176" t="s">
        <v>2808</v>
      </c>
      <c r="CB457">
        <v>2</v>
      </c>
    </row>
    <row r="458" spans="1:80">
      <c r="A458" s="178" t="str">
        <f ca="1">IFERROR(IF(AG457&lt;5+金蛇*2,IF(COUNTIF(B457,"*轻*")&gt;0,A457+加速!$L$9,A457+加速!$L$11)+V457,""),"")</f>
        <v/>
      </c>
      <c r="B458" s="167" t="str">
        <f ca="1" t="shared" si="127"/>
        <v/>
      </c>
      <c r="C458" t="str">
        <f ca="1" t="shared" si="136"/>
        <v/>
      </c>
      <c r="D458" t="str">
        <f ca="1">IF(B458&lt;&gt;"",IF(C457&lt;=加速!$L$11*(1-E458),0,1),"")</f>
        <v/>
      </c>
      <c r="E458">
        <f ca="1" t="shared" si="133"/>
        <v>1</v>
      </c>
      <c r="G458" t="str">
        <f ca="1" t="shared" si="134"/>
        <v/>
      </c>
      <c r="H458" t="str">
        <f ca="1">IF(B458&lt;&gt;"",IF(AND(COUNTIF(B457,"*轻*莺鸣柳*")&gt;0,COUNTIF(B458,"*轻*")&lt;1),MAX(0,15+I457-(A458-A457)+COUNTIF(B457,"*平湖*")*0),IF(AND(E458=0,MAX(0,H457-(A458-A457))&lt;=加速!$H$11),0,MAX(0,H457-(A458-A457)))),"")</f>
        <v/>
      </c>
      <c r="I458" t="str">
        <f ca="1" t="shared" si="140"/>
        <v/>
      </c>
      <c r="J458" t="str">
        <f ca="1" t="shared" si="141"/>
        <v/>
      </c>
      <c r="K458" t="str">
        <f ca="1" t="shared" si="128"/>
        <v/>
      </c>
      <c r="L458">
        <f ca="1">IFERROR(IF(AND(COUNTIF(B458,"*-峰插*"),技能数据库!$M$72&gt;0),0,IF(COUNTIF(B458,"*鹤归*")&gt;0,16-加速!$L$11,MAX(0,L457-(A458-A457)))),0)</f>
        <v>0</v>
      </c>
      <c r="M458">
        <f ca="1" t="shared" si="129"/>
        <v>0</v>
      </c>
      <c r="N458">
        <f ca="1">IFERROR(IF(AND(COUNTIF(B458,"*-峰插*"),技能数据库!$M$72&gt;0),0,IF(COUNTIF(B458,"*云飞*")&gt;0,4-COUNTIF(B458,"*玉山揽云*")*4--COUNTIF(B458,"*烟流暮景*")*4-COUNTIF(B458,"*云景*")*加速!$L$11-IF(J458&gt;0,2,0),MAX(0,N457-(A458-A457)-IF(J458&gt;0,2,0)))),0)</f>
        <v>0</v>
      </c>
      <c r="O458">
        <f ca="1">IF(AND(COUNTIF(IF(AND(配装计算器!$K$30&lt;&gt;"∞",0),INDEX(AU457:CB457,1,$AT$1),INDEX(AU459:CB459,1,$AT$1)),"*云飞*")=1,COUNTIF(IF(AND(配装计算器!$K$30&lt;&gt;"∞",0),INDEX(AU457:CB457,1,$AT$1),INDEX(AU459:CB459,1,$AT$1)),"*玉山*")=0),N458,0)</f>
        <v>0</v>
      </c>
      <c r="P458">
        <f ca="1">IFERROR(IF(COUNTIF(B458,"*云栖松*")&gt;0,50-加速!$L$11,MAX(0,P457-(A458-A457))),0)</f>
        <v>0</v>
      </c>
      <c r="Q458">
        <f ca="1">IF(COUNTIF(IF(AND(配装计算器!$K$30&lt;&gt;"∞",0),INDEX(AU457:CB457,1,$AT$1),INDEX(AU459:CB459,1,$AT$1)),"*云栖松*")=1,P458,0)</f>
        <v>0</v>
      </c>
      <c r="R458">
        <f ca="1">IFERROR(IF(COUNTIF(B458,"*莺鸣柳*")&gt;0,45-加速!$L$9,MAX(0,R457-(A458-A457))),0)</f>
        <v>0</v>
      </c>
      <c r="S458">
        <f ca="1">IF(COUNTIF(IF(AND(配装计算器!$K$30&lt;&gt;"∞",0),INDEX(AU457:CB457,1,$AT$1),INDEX(AU459:CB459,1,$AT$1)),"*莺鸣柳*")=1,R458,0)</f>
        <v>0</v>
      </c>
      <c r="T458">
        <f ca="1" t="shared" si="137"/>
        <v>0</v>
      </c>
      <c r="U458">
        <f ca="1">IF(金蛇,IF(COUNTIF(B458,"*金环戴*")+COUNTIF(B458,"*吹风醒*")&gt;0,IF(A458&lt;=3,7.125-2.625-A458-加速!$L$11,7.125+加速!$K$9-(A458+加速!$L$11-T458)),0),0)+IF(金蛇,IF(COUNTIF(B458,"*千切子裂光*")&gt;0,2+加速!$K$9-(A458+加速!$L$11-T458),0),0)</f>
        <v>0</v>
      </c>
      <c r="V458" t="e">
        <f ca="1" t="shared" si="138"/>
        <v>#VALUE!</v>
      </c>
      <c r="W458">
        <f ca="1" t="shared" si="130"/>
        <v>0</v>
      </c>
      <c r="X458">
        <f ca="1">INDEX(加速!$I$13:$I$21,W458+1)</f>
        <v>0</v>
      </c>
      <c r="Y458">
        <f ca="1" t="shared" si="139"/>
        <v>0.5</v>
      </c>
      <c r="Z458">
        <f ca="1" t="shared" si="135"/>
        <v>0</v>
      </c>
      <c r="AA458">
        <f ca="1">MAX(0,IFERROR(IF(COUNTIF(B458,"*叠*")&gt;0,IF(AC457&lt;3,8-A459+A458,AA457+6.875-A459+A458),AA457-A459+A458),AA457-加速!$L$11))</f>
        <v>0</v>
      </c>
      <c r="AB458" t="e">
        <f ca="1">MAX(0,IF(COUNTIF(IF(AND(配装计算器!$K$30&lt;&gt;"∞",0),INDEX(AU458:CB458,1,$AT$1),INDEX(AU458:CB458,1,$AT$1)),"*叠1*")=1,4*25-加速!$L$11,AB457-A458+A457)-IF(OR(COUNTIF(OFFSET(AT458,0,$AT$1,1,1),"*听雷*")&gt;0,AND(碧归&gt;0,COUNTIF(OFFSET(AT458,0,$AT$1,1,1),"*风来*")&gt;0)),0,1)*1.5)</f>
        <v>#VALUE!</v>
      </c>
      <c r="AC458">
        <f ca="1" t="shared" si="131"/>
        <v>0</v>
      </c>
      <c r="AD458" t="e">
        <f ca="1">IF(COUNTIF(IF(AND(配装计算器!$K$30&lt;&gt;"∞",0),INDEX(AU458:CB458,1,$AT$1),INDEX(AU459:CB459,1,$AT$1)),"*叠1*")=1,AB458*0+AE457,0)</f>
        <v>#VALUE!</v>
      </c>
      <c r="AE458" t="e">
        <f ca="1">IF($AN$11&gt;0,IF(COUNTIF(B459,"*叠1*")&gt;0,50-加速!$L$11,MAX(0,AE457-(A459-A458))),0)</f>
        <v>#VALUE!</v>
      </c>
      <c r="AG458">
        <f ca="1" t="shared" si="132"/>
        <v>13</v>
      </c>
      <c r="AU458" t="s">
        <v>2722</v>
      </c>
      <c r="AV458">
        <v>0</v>
      </c>
      <c r="AW458" t="str">
        <f>IF($AR$11=1,"云飞玉皇-玉山揽云","夕照雷峰")</f>
        <v>夕照雷峰</v>
      </c>
      <c r="AX458">
        <v>2</v>
      </c>
      <c r="AY458" t="s">
        <v>2768</v>
      </c>
      <c r="AZ458">
        <v>2</v>
      </c>
      <c r="BA458" t="s">
        <v>2776</v>
      </c>
      <c r="BB458">
        <v>2</v>
      </c>
      <c r="BC458" t="s">
        <v>2768</v>
      </c>
      <c r="BD458">
        <v>0</v>
      </c>
      <c r="BE458" t="s">
        <v>2794</v>
      </c>
      <c r="BF458">
        <v>0</v>
      </c>
      <c r="BG458" t="s">
        <v>2768</v>
      </c>
      <c r="BH458">
        <v>2</v>
      </c>
      <c r="BI458" t="s">
        <v>2768</v>
      </c>
      <c r="BJ458">
        <v>0</v>
      </c>
      <c r="BK458" s="176" t="s">
        <v>2794</v>
      </c>
      <c r="BL458">
        <v>2</v>
      </c>
      <c r="BM458" s="176" t="s">
        <v>2768</v>
      </c>
      <c r="BN458">
        <v>2</v>
      </c>
      <c r="BO458" t="s">
        <v>2768</v>
      </c>
      <c r="BP458">
        <v>1</v>
      </c>
      <c r="BQ458" t="s">
        <v>2808</v>
      </c>
      <c r="BR458">
        <v>2</v>
      </c>
      <c r="BS458" t="s">
        <v>2768</v>
      </c>
      <c r="BT458">
        <v>2</v>
      </c>
      <c r="BU458" t="s">
        <v>2768</v>
      </c>
      <c r="BV458">
        <v>1</v>
      </c>
      <c r="BW458" s="182" t="s">
        <v>2776</v>
      </c>
      <c r="BX458" s="179">
        <v>1</v>
      </c>
      <c r="BY458" s="176" t="s">
        <v>2768</v>
      </c>
      <c r="BZ458">
        <v>2</v>
      </c>
      <c r="CA458" t="s">
        <v>2768</v>
      </c>
      <c r="CB458">
        <v>2</v>
      </c>
    </row>
    <row r="459" spans="1:80">
      <c r="A459" s="178" t="str">
        <f ca="1">IFERROR(IF(AG458&lt;5+金蛇*2,IF(COUNTIF(B458,"*轻*")&gt;0,A458+加速!$L$9,A458+加速!$L$11)+V458,""),"")</f>
        <v/>
      </c>
      <c r="B459" s="167" t="str">
        <f ca="1" t="shared" si="127"/>
        <v/>
      </c>
      <c r="C459" t="str">
        <f ca="1" t="shared" si="136"/>
        <v/>
      </c>
      <c r="D459" t="str">
        <f ca="1">IF(B459&lt;&gt;"",IF(C458&lt;=加速!$L$11*(1-E459),0,1),"")</f>
        <v/>
      </c>
      <c r="E459">
        <f ca="1" t="shared" si="133"/>
        <v>1</v>
      </c>
      <c r="G459" t="str">
        <f ca="1" t="shared" si="134"/>
        <v/>
      </c>
      <c r="H459" t="str">
        <f ca="1">IF(B459&lt;&gt;"",IF(AND(COUNTIF(B458,"*轻*莺鸣柳*")&gt;0,COUNTIF(B459,"*轻*")&lt;1),MAX(0,15+I458-(A459-A458)+COUNTIF(B458,"*平湖*")*0),IF(AND(E459=0,MAX(0,H458-(A459-A458))&lt;=加速!$H$11),0,MAX(0,H458-(A459-A458)))),"")</f>
        <v/>
      </c>
      <c r="I459" t="str">
        <f ca="1" t="shared" si="140"/>
        <v/>
      </c>
      <c r="J459" t="str">
        <f ca="1" t="shared" si="141"/>
        <v/>
      </c>
      <c r="K459" t="str">
        <f ca="1" t="shared" si="128"/>
        <v/>
      </c>
      <c r="L459">
        <f ca="1">IFERROR(IF(AND(COUNTIF(B459,"*-峰插*"),技能数据库!$M$72&gt;0),0,IF(COUNTIF(B459,"*鹤归*")&gt;0,16-加速!$L$11,MAX(0,L458-(A459-A458)))),0)</f>
        <v>0</v>
      </c>
      <c r="M459">
        <f ca="1" t="shared" si="129"/>
        <v>0</v>
      </c>
      <c r="N459">
        <f ca="1">IFERROR(IF(AND(COUNTIF(B459,"*-峰插*"),技能数据库!$M$72&gt;0),0,IF(COUNTIF(B459,"*云飞*")&gt;0,4-COUNTIF(B459,"*玉山揽云*")*4--COUNTIF(B459,"*烟流暮景*")*4-COUNTIF(B459,"*云景*")*加速!$L$11-IF(J459&gt;0,2,0),MAX(0,N458-(A459-A458)-IF(J459&gt;0,2,0)))),0)</f>
        <v>0</v>
      </c>
      <c r="O459">
        <f ca="1">IF(AND(COUNTIF(IF(AND(配装计算器!$K$30&lt;&gt;"∞",0),INDEX(AU458:CB458,1,$AT$1),INDEX(AU460:CB460,1,$AT$1)),"*云飞*")=1,COUNTIF(IF(AND(配装计算器!$K$30&lt;&gt;"∞",0),INDEX(AU458:CB458,1,$AT$1),INDEX(AU460:CB460,1,$AT$1)),"*玉山*")=0),N459,0)</f>
        <v>0</v>
      </c>
      <c r="P459">
        <f ca="1">IFERROR(IF(COUNTIF(B459,"*云栖松*")&gt;0,50-加速!$L$11,MAX(0,P458-(A459-A458))),0)</f>
        <v>0</v>
      </c>
      <c r="Q459">
        <f ca="1">IF(COUNTIF(IF(AND(配装计算器!$K$30&lt;&gt;"∞",0),INDEX(AU458:CB458,1,$AT$1),INDEX(AU460:CB460,1,$AT$1)),"*云栖松*")=1,P459,0)</f>
        <v>0</v>
      </c>
      <c r="R459">
        <f ca="1">IFERROR(IF(COUNTIF(B459,"*莺鸣柳*")&gt;0,45-加速!$L$9,MAX(0,R458-(A459-A458))),0)</f>
        <v>0</v>
      </c>
      <c r="S459">
        <f ca="1">IF(COUNTIF(IF(AND(配装计算器!$K$30&lt;&gt;"∞",0),INDEX(AU458:CB458,1,$AT$1),INDEX(AU460:CB460,1,$AT$1)),"*莺鸣柳*")=1,R459,0)</f>
        <v>0</v>
      </c>
      <c r="T459">
        <f ca="1" t="shared" si="137"/>
        <v>0</v>
      </c>
      <c r="U459">
        <f ca="1">IF(金蛇,IF(COUNTIF(B459,"*金环戴*")+COUNTIF(B459,"*吹风醒*")&gt;0,IF(A459&lt;=3,7.125-2.625-A459-加速!$L$11,7.125+加速!$K$9-(A459+加速!$L$11-T459)),0),0)+IF(金蛇,IF(COUNTIF(B459,"*千切子裂光*")&gt;0,2+加速!$K$9-(A459+加速!$L$11-T459),0),0)</f>
        <v>0</v>
      </c>
      <c r="V459">
        <f ca="1" t="shared" si="138"/>
        <v>0</v>
      </c>
      <c r="W459">
        <f ca="1" t="shared" si="130"/>
        <v>0</v>
      </c>
      <c r="X459">
        <f ca="1">INDEX(加速!$I$13:$I$21,W459+1)</f>
        <v>0</v>
      </c>
      <c r="Y459">
        <f ca="1" t="shared" si="139"/>
        <v>0.5</v>
      </c>
      <c r="Z459">
        <f ca="1" t="shared" si="135"/>
        <v>0</v>
      </c>
      <c r="AA459">
        <f ca="1">MAX(0,IFERROR(IF(COUNTIF(B459,"*叠*")&gt;0,IF(AC458&lt;3,8-A460+A459,AA458+6.875-A460+A459),AA458-A460+A459),AA458-加速!$L$11))</f>
        <v>0</v>
      </c>
      <c r="AB459">
        <f ca="1">MAX(0,IF(COUNTIF(IF(AND(配装计算器!$K$30&lt;&gt;"∞",0),INDEX(AU459:CB459,1,$AT$1),INDEX(AU459:CB459,1,$AT$1)),"*叠1*")=1,4*25-加速!$L$11,AB458-A459+A458)-IF(OR(COUNTIF(OFFSET(AT459,0,$AT$1,1,1),"*听雷*")&gt;0,AND(碧归&gt;0,COUNTIF(OFFSET(AT459,0,$AT$1,1,1),"*风来*")&gt;0)),0,1)*1.5)</f>
        <v>97.21</v>
      </c>
      <c r="AC459">
        <f ca="1" t="shared" si="131"/>
        <v>0</v>
      </c>
      <c r="AD459">
        <f ca="1">IF(COUNTIF(IF(AND(配装计算器!$K$30&lt;&gt;"∞",0),INDEX(AU459:CB459,1,$AT$1),INDEX(AU460:CB460,1,$AT$1)),"*叠1*")=1,AB459*0+AE458,0)</f>
        <v>0</v>
      </c>
      <c r="AE459" t="e">
        <f ca="1">IF($AN$11&gt;0,IF(COUNTIF(B460,"*叠1*")&gt;0,50-加速!$L$11,MAX(0,AE458-(A460-A459))),0)</f>
        <v>#VALUE!</v>
      </c>
      <c r="AG459">
        <f ca="1" t="shared" si="132"/>
        <v>13</v>
      </c>
      <c r="AU459" t="s">
        <v>3009</v>
      </c>
      <c r="AV459">
        <v>2</v>
      </c>
      <c r="AW459" t="str">
        <f>IF($AR$11=1,"云飞玉皇-玉山揽云","夕照雷峰")</f>
        <v>夕照雷峰</v>
      </c>
      <c r="AX459">
        <v>2</v>
      </c>
      <c r="AY459" t="s">
        <v>2776</v>
      </c>
      <c r="AZ459">
        <v>2</v>
      </c>
      <c r="BA459" t="s">
        <v>2768</v>
      </c>
      <c r="BB459">
        <v>2</v>
      </c>
      <c r="BC459" t="s">
        <v>3010</v>
      </c>
      <c r="BD459">
        <v>2</v>
      </c>
      <c r="BE459" t="s">
        <v>2776</v>
      </c>
      <c r="BF459">
        <v>0</v>
      </c>
      <c r="BG459" t="s">
        <v>2776</v>
      </c>
      <c r="BH459">
        <v>2</v>
      </c>
      <c r="BI459" t="s">
        <v>3011</v>
      </c>
      <c r="BJ459">
        <v>2</v>
      </c>
      <c r="BK459" s="176" t="s">
        <v>3019</v>
      </c>
      <c r="BL459">
        <v>2</v>
      </c>
      <c r="BM459" s="176" t="s">
        <v>2776</v>
      </c>
      <c r="BN459">
        <v>2</v>
      </c>
      <c r="BO459" t="s">
        <v>2722</v>
      </c>
      <c r="BP459">
        <v>0</v>
      </c>
      <c r="BQ459" t="s">
        <v>2768</v>
      </c>
      <c r="BR459">
        <v>2</v>
      </c>
      <c r="BS459" t="s">
        <v>2768</v>
      </c>
      <c r="BT459">
        <v>1</v>
      </c>
      <c r="BU459" s="176" t="s">
        <v>2768</v>
      </c>
      <c r="BV459">
        <v>1</v>
      </c>
      <c r="BW459" s="182" t="s">
        <v>2768</v>
      </c>
      <c r="BX459" s="179">
        <v>1</v>
      </c>
      <c r="BY459" s="176" t="s">
        <v>2776</v>
      </c>
      <c r="BZ459">
        <v>2</v>
      </c>
      <c r="CA459" t="s">
        <v>2776</v>
      </c>
      <c r="CB459">
        <v>2</v>
      </c>
    </row>
    <row r="460" spans="1:80">
      <c r="A460" s="178" t="str">
        <f ca="1">IFERROR(IF(AG459&lt;5+金蛇*2,IF(COUNTIF(B459,"*轻*")&gt;0,A459+加速!$L$9,A459+加速!$L$11)+V459,""),"")</f>
        <v/>
      </c>
      <c r="B460" s="167" t="str">
        <f ca="1" t="shared" si="127"/>
        <v/>
      </c>
      <c r="C460" t="str">
        <f ca="1" t="shared" si="136"/>
        <v/>
      </c>
      <c r="D460" t="str">
        <f ca="1">IF(B460&lt;&gt;"",IF(C459&lt;=加速!$L$11*(1-E460),0,1),"")</f>
        <v/>
      </c>
      <c r="E460">
        <f ca="1" t="shared" si="133"/>
        <v>1</v>
      </c>
      <c r="G460" t="str">
        <f ca="1" t="shared" si="134"/>
        <v/>
      </c>
      <c r="H460" t="str">
        <f ca="1">IF(B460&lt;&gt;"",IF(AND(COUNTIF(B459,"*轻*莺鸣柳*")&gt;0,COUNTIF(B460,"*轻*")&lt;1),MAX(0,15+I459-(A460-A459)+COUNTIF(B459,"*平湖*")*0),IF(AND(E460=0,MAX(0,H459-(A460-A459))&lt;=加速!$H$11),0,MAX(0,H459-(A460-A459)))),"")</f>
        <v/>
      </c>
      <c r="I460" t="str">
        <f ca="1" t="shared" si="140"/>
        <v/>
      </c>
      <c r="J460" t="str">
        <f ca="1" t="shared" si="141"/>
        <v/>
      </c>
      <c r="K460" t="str">
        <f ca="1" t="shared" si="128"/>
        <v/>
      </c>
      <c r="L460">
        <f ca="1">IFERROR(IF(AND(COUNTIF(B460,"*-峰插*"),技能数据库!$M$72&gt;0),0,IF(COUNTIF(B460,"*鹤归*")&gt;0,16-加速!$L$11,MAX(0,L459-(A460-A459)))),0)</f>
        <v>0</v>
      </c>
      <c r="M460">
        <f ca="1" t="shared" si="129"/>
        <v>0</v>
      </c>
      <c r="N460">
        <f ca="1">IFERROR(IF(AND(COUNTIF(B460,"*-峰插*"),技能数据库!$M$72&gt;0),0,IF(COUNTIF(B460,"*云飞*")&gt;0,4-COUNTIF(B460,"*玉山揽云*")*4--COUNTIF(B460,"*烟流暮景*")*4-COUNTIF(B460,"*云景*")*加速!$L$11-IF(J460&gt;0,2,0),MAX(0,N459-(A460-A459)-IF(J460&gt;0,2,0)))),0)</f>
        <v>0</v>
      </c>
      <c r="O460">
        <f ca="1">IF(AND(COUNTIF(IF(AND(配装计算器!$K$30&lt;&gt;"∞",0),INDEX(AU459:CB459,1,$AT$1),INDEX(AU461:CB461,1,$AT$1)),"*云飞*")=1,COUNTIF(IF(AND(配装计算器!$K$30&lt;&gt;"∞",0),INDEX(AU459:CB459,1,$AT$1),INDEX(AU461:CB461,1,$AT$1)),"*玉山*")=0),N460,0)</f>
        <v>0</v>
      </c>
      <c r="P460">
        <f ca="1">IFERROR(IF(COUNTIF(B460,"*云栖松*")&gt;0,50-加速!$L$11,MAX(0,P459-(A460-A459))),0)</f>
        <v>0</v>
      </c>
      <c r="Q460">
        <f ca="1">IF(COUNTIF(IF(AND(配装计算器!$K$30&lt;&gt;"∞",0),INDEX(AU459:CB459,1,$AT$1),INDEX(AU461:CB461,1,$AT$1)),"*云栖松*")=1,P460,0)</f>
        <v>0</v>
      </c>
      <c r="R460">
        <f ca="1">IFERROR(IF(COUNTIF(B460,"*莺鸣柳*")&gt;0,45-加速!$L$9,MAX(0,R459-(A460-A459))),0)</f>
        <v>0</v>
      </c>
      <c r="S460">
        <f ca="1">IF(COUNTIF(IF(AND(配装计算器!$K$30&lt;&gt;"∞",0),INDEX(AU459:CB459,1,$AT$1),INDEX(AU461:CB461,1,$AT$1)),"*莺鸣柳*")=1,R460,0)</f>
        <v>0</v>
      </c>
      <c r="T460">
        <f ca="1" t="shared" si="137"/>
        <v>0</v>
      </c>
      <c r="U460">
        <f ca="1">IF(金蛇,IF(COUNTIF(B460,"*金环戴*")+COUNTIF(B460,"*吹风醒*")&gt;0,IF(A460&lt;=3,7.125-2.625-A460-加速!$L$11,7.125+加速!$K$9-(A460+加速!$L$11-T460)),0),0)+IF(金蛇,IF(COUNTIF(B460,"*千切子裂光*")&gt;0,2+加速!$K$9-(A460+加速!$L$11-T460),0),0)</f>
        <v>0</v>
      </c>
      <c r="V460">
        <f ca="1" t="shared" si="138"/>
        <v>0</v>
      </c>
      <c r="W460">
        <f ca="1" t="shared" si="130"/>
        <v>0</v>
      </c>
      <c r="X460">
        <f ca="1">INDEX(加速!$I$13:$I$21,W460+1)</f>
        <v>0</v>
      </c>
      <c r="Y460">
        <f ca="1" t="shared" si="139"/>
        <v>0.5</v>
      </c>
      <c r="Z460">
        <f ca="1" t="shared" si="135"/>
        <v>0</v>
      </c>
      <c r="AA460">
        <f ca="1">MAX(0,IFERROR(IF(COUNTIF(B460,"*叠*")&gt;0,IF(AC459&lt;3,8-A461+A460,AA459+6.875-A461+A460),AA459-A461+A460),AA459-加速!$L$11))</f>
        <v>0</v>
      </c>
      <c r="AB460" t="e">
        <f ca="1">MAX(0,IF(COUNTIF(IF(AND(配装计算器!$K$30&lt;&gt;"∞",0),INDEX(AU460:CB460,1,$AT$1),INDEX(AU460:CB460,1,$AT$1)),"*叠1*")=1,4*25-加速!$L$11,AB459-A460+A459)-IF(OR(COUNTIF(OFFSET(AT460,0,$AT$1,1,1),"*听雷*")&gt;0,AND(碧归&gt;0,COUNTIF(OFFSET(AT460,0,$AT$1,1,1),"*风来*")&gt;0)),0,1)*1.5)</f>
        <v>#VALUE!</v>
      </c>
      <c r="AC460">
        <f ca="1" t="shared" si="131"/>
        <v>0</v>
      </c>
      <c r="AD460">
        <f ca="1">IF(COUNTIF(IF(AND(配装计算器!$K$30&lt;&gt;"∞",0),INDEX(AU460:CB460,1,$AT$1),INDEX(AU461:CB461,1,$AT$1)),"*叠1*")=1,AB460*0+AE459,0)</f>
        <v>0</v>
      </c>
      <c r="AE460" t="e">
        <f ca="1">IF($AN$11&gt;0,IF(COUNTIF(B461,"*叠1*")&gt;0,50-加速!$L$11,MAX(0,AE459-(A461-A460))),0)</f>
        <v>#VALUE!</v>
      </c>
      <c r="AG460">
        <f ca="1" t="shared" si="132"/>
        <v>13</v>
      </c>
      <c r="AU460" t="s">
        <v>2768</v>
      </c>
      <c r="AV460">
        <v>2</v>
      </c>
      <c r="AW460" t="str">
        <f>IF($AR$11=1,"云飞玉皇-玉山揽云","云飞玉皇")</f>
        <v>云飞玉皇</v>
      </c>
      <c r="AX460">
        <v>2</v>
      </c>
      <c r="AY460" t="s">
        <v>2768</v>
      </c>
      <c r="AZ460">
        <v>2</v>
      </c>
      <c r="BA460" t="s">
        <v>2776</v>
      </c>
      <c r="BB460">
        <v>1</v>
      </c>
      <c r="BC460" t="s">
        <v>3013</v>
      </c>
      <c r="BD460">
        <v>2</v>
      </c>
      <c r="BE460" t="s">
        <v>2768</v>
      </c>
      <c r="BF460">
        <v>0</v>
      </c>
      <c r="BG460" t="s">
        <v>2768</v>
      </c>
      <c r="BH460">
        <v>1</v>
      </c>
      <c r="BI460" t="s">
        <v>2768</v>
      </c>
      <c r="BJ460">
        <v>2</v>
      </c>
      <c r="BK460" t="s">
        <v>2768</v>
      </c>
      <c r="BL460">
        <v>2</v>
      </c>
      <c r="BM460" s="176" t="s">
        <v>2768</v>
      </c>
      <c r="BN460">
        <v>2</v>
      </c>
      <c r="BO460" t="s">
        <v>3009</v>
      </c>
      <c r="BP460">
        <v>2</v>
      </c>
      <c r="BQ460" t="s">
        <v>2768</v>
      </c>
      <c r="BR460">
        <v>2</v>
      </c>
      <c r="BS460" t="s">
        <v>2768</v>
      </c>
      <c r="BT460">
        <v>1</v>
      </c>
      <c r="BU460" t="s">
        <v>3055</v>
      </c>
      <c r="BV460">
        <v>0</v>
      </c>
      <c r="BW460" s="182" t="s">
        <v>2776</v>
      </c>
      <c r="BX460" s="179">
        <v>1</v>
      </c>
      <c r="BY460" s="176" t="s">
        <v>2768</v>
      </c>
      <c r="BZ460">
        <v>2</v>
      </c>
      <c r="CA460" t="s">
        <v>2768</v>
      </c>
      <c r="CB460">
        <v>2</v>
      </c>
    </row>
    <row r="461" spans="1:80">
      <c r="A461" s="178" t="str">
        <f ca="1">IFERROR(IF(AG460&lt;5+金蛇*2,IF(COUNTIF(B460,"*轻*")&gt;0,A460+加速!$L$9,A460+加速!$L$11)+V460,""),"")</f>
        <v/>
      </c>
      <c r="B461" s="167" t="str">
        <f ca="1" t="shared" si="127"/>
        <v/>
      </c>
      <c r="C461" t="str">
        <f ca="1" t="shared" si="136"/>
        <v/>
      </c>
      <c r="D461" t="str">
        <f ca="1">IF(B461&lt;&gt;"",IF(C460&lt;=加速!$L$11*(1-E461),0,1),"")</f>
        <v/>
      </c>
      <c r="E461">
        <f ca="1" t="shared" si="133"/>
        <v>1</v>
      </c>
      <c r="G461" t="str">
        <f ca="1" t="shared" si="134"/>
        <v/>
      </c>
      <c r="H461" t="str">
        <f ca="1">IF(B461&lt;&gt;"",IF(AND(COUNTIF(B460,"*轻*莺鸣柳*")&gt;0,COUNTIF(B461,"*轻*")&lt;1),MAX(0,15+I460-(A461-A460)+COUNTIF(B460,"*平湖*")*0),IF(AND(E461=0,MAX(0,H460-(A461-A460))&lt;=加速!$H$11),0,MAX(0,H460-(A461-A460)))),"")</f>
        <v/>
      </c>
      <c r="I461" t="str">
        <f ca="1" t="shared" si="140"/>
        <v/>
      </c>
      <c r="J461" t="str">
        <f ca="1" t="shared" si="141"/>
        <v/>
      </c>
      <c r="K461" t="str">
        <f ca="1" t="shared" si="128"/>
        <v/>
      </c>
      <c r="L461">
        <f ca="1">IFERROR(IF(AND(COUNTIF(B461,"*-峰插*"),技能数据库!$M$72&gt;0),0,IF(COUNTIF(B461,"*鹤归*")&gt;0,16-加速!$L$11,MAX(0,L460-(A461-A460)))),0)</f>
        <v>0</v>
      </c>
      <c r="M461">
        <f ca="1" t="shared" si="129"/>
        <v>0</v>
      </c>
      <c r="N461">
        <f ca="1">IFERROR(IF(AND(COUNTIF(B461,"*-峰插*"),技能数据库!$M$72&gt;0),0,IF(COUNTIF(B461,"*云飞*")&gt;0,4-COUNTIF(B461,"*玉山揽云*")*4--COUNTIF(B461,"*烟流暮景*")*4-COUNTIF(B461,"*云景*")*加速!$L$11-IF(J461&gt;0,2,0),MAX(0,N460-(A461-A460)-IF(J461&gt;0,2,0)))),0)</f>
        <v>0</v>
      </c>
      <c r="O461">
        <f ca="1">IF(AND(COUNTIF(IF(AND(配装计算器!$K$30&lt;&gt;"∞",0),INDEX(AU460:CB460,1,$AT$1),INDEX(AU462:CB462,1,$AT$1)),"*云飞*")=1,COUNTIF(IF(AND(配装计算器!$K$30&lt;&gt;"∞",0),INDEX(AU460:CB460,1,$AT$1),INDEX(AU462:CB462,1,$AT$1)),"*玉山*")=0),N461,0)</f>
        <v>0</v>
      </c>
      <c r="P461">
        <f ca="1">IFERROR(IF(COUNTIF(B461,"*云栖松*")&gt;0,50-加速!$L$11,MAX(0,P460-(A461-A460))),0)</f>
        <v>0</v>
      </c>
      <c r="Q461">
        <f ca="1">IF(COUNTIF(IF(AND(配装计算器!$K$30&lt;&gt;"∞",0),INDEX(AU460:CB460,1,$AT$1),INDEX(AU462:CB462,1,$AT$1)),"*云栖松*")=1,P461,0)</f>
        <v>0</v>
      </c>
      <c r="R461">
        <f ca="1">IFERROR(IF(COUNTIF(B461,"*莺鸣柳*")&gt;0,45-加速!$L$9,MAX(0,R460-(A461-A460))),0)</f>
        <v>0</v>
      </c>
      <c r="S461">
        <f ca="1">IF(COUNTIF(IF(AND(配装计算器!$K$30&lt;&gt;"∞",0),INDEX(AU460:CB460,1,$AT$1),INDEX(AU462:CB462,1,$AT$1)),"*莺鸣柳*")=1,R461,0)</f>
        <v>0</v>
      </c>
      <c r="T461">
        <f ca="1" t="shared" si="137"/>
        <v>0</v>
      </c>
      <c r="U461">
        <f ca="1">IF(金蛇,IF(COUNTIF(B461,"*金环戴*")+COUNTIF(B461,"*吹风醒*")&gt;0,IF(A461&lt;=3,7.125-2.625-A461-加速!$L$11,7.125+加速!$K$9-(A461+加速!$L$11-T461)),0),0)+IF(金蛇,IF(COUNTIF(B461,"*千切子裂光*")&gt;0,2+加速!$K$9-(A461+加速!$L$11-T461),0),0)</f>
        <v>0</v>
      </c>
      <c r="V461">
        <f ca="1" t="shared" si="138"/>
        <v>0</v>
      </c>
      <c r="W461">
        <f ca="1" t="shared" si="130"/>
        <v>0</v>
      </c>
      <c r="X461">
        <f ca="1">INDEX(加速!$I$13:$I$21,W461+1)</f>
        <v>0</v>
      </c>
      <c r="Y461">
        <f ca="1" t="shared" si="139"/>
        <v>0.5</v>
      </c>
      <c r="Z461">
        <f ca="1" t="shared" si="135"/>
        <v>0</v>
      </c>
      <c r="AA461">
        <f ca="1">MAX(0,IFERROR(IF(COUNTIF(B461,"*叠*")&gt;0,IF(AC460&lt;3,8-A462+A461,AA460+6.875-A462+A461),AA460-A462+A461),AA460-加速!$L$11))</f>
        <v>0</v>
      </c>
      <c r="AB461" t="e">
        <f ca="1">MAX(0,IF(COUNTIF(IF(AND(配装计算器!$K$30&lt;&gt;"∞",0),INDEX(AU461:CB461,1,$AT$1),INDEX(AU461:CB461,1,$AT$1)),"*叠1*")=1,4*25-加速!$L$11,AB460-A461+A460)-IF(OR(COUNTIF(OFFSET(AT461,0,$AT$1,1,1),"*听雷*")&gt;0,AND(碧归&gt;0,COUNTIF(OFFSET(AT461,0,$AT$1,1,1),"*风来*")&gt;0)),0,1)*1.5)</f>
        <v>#VALUE!</v>
      </c>
      <c r="AC461">
        <f ca="1" t="shared" si="131"/>
        <v>0</v>
      </c>
      <c r="AD461">
        <f ca="1">IF(COUNTIF(IF(AND(配装计算器!$K$30&lt;&gt;"∞",0),INDEX(AU461:CB461,1,$AT$1),INDEX(AU462:CB462,1,$AT$1)),"*叠1*")=1,AB461*0+AE460,0)</f>
        <v>0</v>
      </c>
      <c r="AE461" t="e">
        <f ca="1">IF($AN$11&gt;0,IF(COUNTIF(B462,"*叠1*")&gt;0,50-加速!$L$11,MAX(0,AE460-(A462-A461))),0)</f>
        <v>#VALUE!</v>
      </c>
      <c r="AG461">
        <f ca="1" t="shared" si="132"/>
        <v>13</v>
      </c>
      <c r="AU461" t="s">
        <v>2776</v>
      </c>
      <c r="AV461">
        <v>2</v>
      </c>
      <c r="AW461" t="str">
        <f>IF($AR$11=1,"云飞玉皇-玉山揽云","夕照雷峰")</f>
        <v>夕照雷峰</v>
      </c>
      <c r="AX461">
        <v>2</v>
      </c>
      <c r="AY461" t="s">
        <v>2776</v>
      </c>
      <c r="AZ461">
        <v>2</v>
      </c>
      <c r="BA461" t="s">
        <v>2768</v>
      </c>
      <c r="BB461">
        <v>1</v>
      </c>
      <c r="BC461" t="s">
        <v>3018</v>
      </c>
      <c r="BD461">
        <v>2</v>
      </c>
      <c r="BE461" t="s">
        <v>2776</v>
      </c>
      <c r="BF461">
        <v>0</v>
      </c>
      <c r="BG461" t="s">
        <v>2776</v>
      </c>
      <c r="BH461">
        <v>1</v>
      </c>
      <c r="BI461" t="s">
        <v>3018</v>
      </c>
      <c r="BJ461">
        <v>2</v>
      </c>
      <c r="BK461" t="s">
        <v>3023</v>
      </c>
      <c r="BL461">
        <v>2</v>
      </c>
      <c r="BM461" s="176" t="s">
        <v>2776</v>
      </c>
      <c r="BN461">
        <v>2</v>
      </c>
      <c r="BO461" t="s">
        <v>2776</v>
      </c>
      <c r="BP461">
        <v>2</v>
      </c>
      <c r="BQ461" t="s">
        <v>2776</v>
      </c>
      <c r="BR461">
        <v>1</v>
      </c>
      <c r="BS461" t="s">
        <v>2776</v>
      </c>
      <c r="BT461">
        <v>0</v>
      </c>
      <c r="BU461" t="s">
        <v>2776</v>
      </c>
      <c r="BV461">
        <v>2</v>
      </c>
      <c r="BW461" s="179" t="s">
        <v>2718</v>
      </c>
      <c r="BX461" s="179">
        <v>1</v>
      </c>
      <c r="BY461" s="176" t="s">
        <v>2776</v>
      </c>
      <c r="BZ461">
        <v>2</v>
      </c>
      <c r="CA461" t="s">
        <v>2768</v>
      </c>
      <c r="CB461">
        <v>2</v>
      </c>
    </row>
    <row r="462" spans="1:80">
      <c r="A462" s="178" t="str">
        <f ca="1">IFERROR(IF(AG461&lt;5+金蛇*2,IF(COUNTIF(B461,"*轻*")&gt;0,A461+加速!$L$9,A461+加速!$L$11)+V461,""),"")</f>
        <v/>
      </c>
      <c r="B462" s="167" t="str">
        <f ca="1" t="shared" si="127"/>
        <v/>
      </c>
      <c r="C462" t="str">
        <f ca="1" t="shared" si="136"/>
        <v/>
      </c>
      <c r="D462" t="str">
        <f ca="1">IF(B462&lt;&gt;"",IF(C461&lt;=加速!$L$11*(1-E462),0,1),"")</f>
        <v/>
      </c>
      <c r="E462">
        <f ca="1" t="shared" si="133"/>
        <v>1</v>
      </c>
      <c r="G462" t="str">
        <f ca="1" t="shared" si="134"/>
        <v/>
      </c>
      <c r="H462" t="str">
        <f ca="1">IF(B462&lt;&gt;"",IF(AND(COUNTIF(B461,"*轻*莺鸣柳*")&gt;0,COUNTIF(B462,"*轻*")&lt;1),MAX(0,15+I461-(A462-A461)+COUNTIF(B461,"*平湖*")*0),IF(AND(E462=0,MAX(0,H461-(A462-A461))&lt;=加速!$H$11),0,MAX(0,H461-(A462-A461)))),"")</f>
        <v/>
      </c>
      <c r="I462" t="str">
        <f ca="1" t="shared" si="140"/>
        <v/>
      </c>
      <c r="J462" t="str">
        <f ca="1" t="shared" si="141"/>
        <v/>
      </c>
      <c r="K462" t="str">
        <f ca="1" t="shared" si="128"/>
        <v/>
      </c>
      <c r="L462">
        <f ca="1">IFERROR(IF(AND(COUNTIF(B462,"*-峰插*"),技能数据库!$M$72&gt;0),0,IF(COUNTIF(B462,"*鹤归*")&gt;0,16-加速!$L$11,MAX(0,L461-(A462-A461)))),0)</f>
        <v>0</v>
      </c>
      <c r="M462">
        <f ca="1" t="shared" si="129"/>
        <v>0</v>
      </c>
      <c r="N462">
        <f ca="1">IFERROR(IF(AND(COUNTIF(B462,"*-峰插*"),技能数据库!$M$72&gt;0),0,IF(COUNTIF(B462,"*云飞*")&gt;0,4-COUNTIF(B462,"*玉山揽云*")*4--COUNTIF(B462,"*烟流暮景*")*4-COUNTIF(B462,"*云景*")*加速!$L$11-IF(J462&gt;0,2,0),MAX(0,N461-(A462-A461)-IF(J462&gt;0,2,0)))),0)</f>
        <v>0</v>
      </c>
      <c r="O462">
        <f ca="1">IF(AND(COUNTIF(IF(AND(配装计算器!$K$30&lt;&gt;"∞",0),INDEX(AU461:CB461,1,$AT$1),INDEX(AU463:CB463,1,$AT$1)),"*云飞*")=1,COUNTIF(IF(AND(配装计算器!$K$30&lt;&gt;"∞",0),INDEX(AU461:CB461,1,$AT$1),INDEX(AU463:CB463,1,$AT$1)),"*玉山*")=0),N462,0)</f>
        <v>0</v>
      </c>
      <c r="P462">
        <f ca="1">IFERROR(IF(COUNTIF(B462,"*云栖松*")&gt;0,50-加速!$L$11,MAX(0,P461-(A462-A461))),0)</f>
        <v>0</v>
      </c>
      <c r="Q462">
        <f ca="1">IF(COUNTIF(IF(AND(配装计算器!$K$30&lt;&gt;"∞",0),INDEX(AU461:CB461,1,$AT$1),INDEX(AU463:CB463,1,$AT$1)),"*云栖松*")=1,P462,0)</f>
        <v>0</v>
      </c>
      <c r="R462">
        <f ca="1">IFERROR(IF(COUNTIF(B462,"*莺鸣柳*")&gt;0,45-加速!$L$9,MAX(0,R461-(A462-A461))),0)</f>
        <v>0</v>
      </c>
      <c r="S462">
        <f ca="1">IF(COUNTIF(IF(AND(配装计算器!$K$30&lt;&gt;"∞",0),INDEX(AU461:CB461,1,$AT$1),INDEX(AU463:CB463,1,$AT$1)),"*莺鸣柳*")=1,R462,0)</f>
        <v>0</v>
      </c>
      <c r="T462">
        <f ca="1" t="shared" si="137"/>
        <v>0</v>
      </c>
      <c r="U462">
        <f ca="1">IF(金蛇,IF(COUNTIF(B462,"*金环戴*")+COUNTIF(B462,"*吹风醒*")&gt;0,IF(A462&lt;=3,7.125-2.625-A462-加速!$L$11,7.125+加速!$K$9-(A462+加速!$L$11-T462)),0),0)+IF(金蛇,IF(COUNTIF(B462,"*千切子裂光*")&gt;0,2+加速!$K$9-(A462+加速!$L$11-T462),0),0)</f>
        <v>0</v>
      </c>
      <c r="V462">
        <f ca="1" t="shared" si="138"/>
        <v>0</v>
      </c>
      <c r="W462">
        <f ca="1" t="shared" si="130"/>
        <v>0</v>
      </c>
      <c r="X462">
        <f ca="1">INDEX(加速!$I$13:$I$21,W462+1)</f>
        <v>0</v>
      </c>
      <c r="Y462">
        <f ca="1" t="shared" si="139"/>
        <v>0.5</v>
      </c>
      <c r="Z462">
        <f ca="1" t="shared" si="135"/>
        <v>0</v>
      </c>
      <c r="AA462">
        <f ca="1">MAX(0,IFERROR(IF(COUNTIF(B462,"*叠*")&gt;0,IF(AC461&lt;3,8-A463+A462,AA461+6.875-A463+A462),AA461-A463+A462),AA461-加速!$L$11))</f>
        <v>0</v>
      </c>
      <c r="AB462" t="e">
        <f ca="1">MAX(0,IF(COUNTIF(IF(AND(配装计算器!$K$30&lt;&gt;"∞",0),INDEX(AU462:CB462,1,$AT$1),INDEX(AU462:CB462,1,$AT$1)),"*叠1*")=1,4*25-加速!$L$11,AB461-A462+A461)-IF(OR(COUNTIF(OFFSET(AT462,0,$AT$1,1,1),"*听雷*")&gt;0,AND(碧归&gt;0,COUNTIF(OFFSET(AT462,0,$AT$1,1,1),"*风来*")&gt;0)),0,1)*1.5)</f>
        <v>#VALUE!</v>
      </c>
      <c r="AC462">
        <f ca="1" t="shared" si="131"/>
        <v>0</v>
      </c>
      <c r="AD462">
        <f ca="1">IF(COUNTIF(IF(AND(配装计算器!$K$30&lt;&gt;"∞",0),INDEX(AU462:CB462,1,$AT$1),INDEX(AU463:CB463,1,$AT$1)),"*叠1*")=1,AB462*0+AE461,0)</f>
        <v>0</v>
      </c>
      <c r="AE462" t="e">
        <f ca="1">IF($AN$11&gt;0,IF(COUNTIF(B463,"*叠1*")&gt;0,50-加速!$L$11,MAX(0,AE461-(A463-A462))),0)</f>
        <v>#VALUE!</v>
      </c>
      <c r="AG462">
        <f ca="1" t="shared" si="132"/>
        <v>13</v>
      </c>
      <c r="AU462" t="s">
        <v>2768</v>
      </c>
      <c r="AV462">
        <v>2</v>
      </c>
      <c r="AW462" t="str">
        <f>IF($AR$11=1,橙武补雾锁,"鹤归孤山")</f>
        <v>鹤归孤山</v>
      </c>
      <c r="AX462">
        <v>2</v>
      </c>
      <c r="AY462" t="s">
        <v>2768</v>
      </c>
      <c r="AZ462">
        <v>2</v>
      </c>
      <c r="BA462" t="s">
        <v>2768</v>
      </c>
      <c r="BB462">
        <v>0</v>
      </c>
      <c r="BC462" t="s">
        <v>2768</v>
      </c>
      <c r="BD462">
        <v>2</v>
      </c>
      <c r="BE462" t="s">
        <v>3012</v>
      </c>
      <c r="BF462">
        <v>2</v>
      </c>
      <c r="BG462" t="s">
        <v>2768</v>
      </c>
      <c r="BH462">
        <v>0</v>
      </c>
      <c r="BI462" t="s">
        <v>2789</v>
      </c>
      <c r="BJ462">
        <v>2</v>
      </c>
      <c r="BK462" t="s">
        <v>2768</v>
      </c>
      <c r="BL462">
        <v>2</v>
      </c>
      <c r="BM462" s="176" t="s">
        <v>2768</v>
      </c>
      <c r="BN462">
        <v>2</v>
      </c>
      <c r="BO462" t="s">
        <v>2768</v>
      </c>
      <c r="BP462">
        <v>2</v>
      </c>
      <c r="BQ462" t="s">
        <v>3055</v>
      </c>
      <c r="BR462">
        <v>2</v>
      </c>
      <c r="BS462" t="s">
        <v>2768</v>
      </c>
      <c r="BT462">
        <v>0</v>
      </c>
      <c r="BU462" t="s">
        <v>2768</v>
      </c>
      <c r="BV462">
        <v>2</v>
      </c>
      <c r="BW462" s="179" t="s">
        <v>2718</v>
      </c>
      <c r="BX462" s="179">
        <v>1</v>
      </c>
      <c r="BY462" t="s">
        <v>2768</v>
      </c>
      <c r="BZ462">
        <v>2</v>
      </c>
      <c r="CA462" t="s">
        <v>2768</v>
      </c>
      <c r="CB462">
        <v>2</v>
      </c>
    </row>
    <row r="463" spans="1:80">
      <c r="A463" s="178" t="str">
        <f ca="1">IFERROR(IF(AG462&lt;5+金蛇*2,IF(COUNTIF(B462,"*轻*")&gt;0,A462+加速!$L$9,A462+加速!$L$11)+V462,""),"")</f>
        <v/>
      </c>
      <c r="B463" s="167" t="str">
        <f ca="1" t="shared" si="127"/>
        <v/>
      </c>
      <c r="C463" t="str">
        <f ca="1" t="shared" si="136"/>
        <v/>
      </c>
      <c r="D463" t="str">
        <f ca="1">IF(B463&lt;&gt;"",IF(C462&lt;=加速!$L$11*(1-E463),0,1),"")</f>
        <v/>
      </c>
      <c r="E463">
        <f ca="1" t="shared" si="133"/>
        <v>1</v>
      </c>
      <c r="G463" t="str">
        <f ca="1" t="shared" si="134"/>
        <v/>
      </c>
      <c r="H463" t="str">
        <f ca="1">IF(B463&lt;&gt;"",IF(AND(COUNTIF(B462,"*轻*莺鸣柳*")&gt;0,COUNTIF(B463,"*轻*")&lt;1),MAX(0,15+I462-(A463-A462)+COUNTIF(B462,"*平湖*")*0),IF(AND(E463=0,MAX(0,H462-(A463-A462))&lt;=加速!$H$11),0,MAX(0,H462-(A463-A462)))),"")</f>
        <v/>
      </c>
      <c r="I463" t="str">
        <f ca="1" t="shared" si="140"/>
        <v/>
      </c>
      <c r="J463" t="str">
        <f ca="1" t="shared" si="141"/>
        <v/>
      </c>
      <c r="K463" t="str">
        <f ca="1" t="shared" si="128"/>
        <v/>
      </c>
      <c r="L463">
        <f ca="1">IFERROR(IF(AND(COUNTIF(B463,"*-峰插*"),技能数据库!$M$72&gt;0),0,IF(COUNTIF(B463,"*鹤归*")&gt;0,16-加速!$L$11,MAX(0,L462-(A463-A462)))),0)</f>
        <v>0</v>
      </c>
      <c r="M463">
        <f ca="1" t="shared" si="129"/>
        <v>0</v>
      </c>
      <c r="N463">
        <f ca="1">IFERROR(IF(AND(COUNTIF(B463,"*-峰插*"),技能数据库!$M$72&gt;0),0,IF(COUNTIF(B463,"*云飞*")&gt;0,4-COUNTIF(B463,"*玉山揽云*")*4--COUNTIF(B463,"*烟流暮景*")*4-COUNTIF(B463,"*云景*")*加速!$L$11-IF(J463&gt;0,2,0),MAX(0,N462-(A463-A462)-IF(J463&gt;0,2,0)))),0)</f>
        <v>0</v>
      </c>
      <c r="O463">
        <f ca="1">IF(AND(COUNTIF(IF(AND(配装计算器!$K$30&lt;&gt;"∞",0),INDEX(AU462:CB462,1,$AT$1),INDEX(AU464:CB464,1,$AT$1)),"*云飞*")=1,COUNTIF(IF(AND(配装计算器!$K$30&lt;&gt;"∞",0),INDEX(AU462:CB462,1,$AT$1),INDEX(AU464:CB464,1,$AT$1)),"*玉山*")=0),N463,0)</f>
        <v>0</v>
      </c>
      <c r="P463">
        <f ca="1">IFERROR(IF(COUNTIF(B463,"*云栖松*")&gt;0,50-加速!$L$11,MAX(0,P462-(A463-A462))),0)</f>
        <v>0</v>
      </c>
      <c r="Q463">
        <f ca="1">IF(COUNTIF(IF(AND(配装计算器!$K$30&lt;&gt;"∞",0),INDEX(AU462:CB462,1,$AT$1),INDEX(AU464:CB464,1,$AT$1)),"*云栖松*")=1,P463,0)</f>
        <v>0</v>
      </c>
      <c r="R463">
        <f ca="1">IFERROR(IF(COUNTIF(B463,"*莺鸣柳*")&gt;0,45-加速!$L$9,MAX(0,R462-(A463-A462))),0)</f>
        <v>0</v>
      </c>
      <c r="S463">
        <f ca="1">IF(COUNTIF(IF(AND(配装计算器!$K$30&lt;&gt;"∞",0),INDEX(AU462:CB462,1,$AT$1),INDEX(AU464:CB464,1,$AT$1)),"*莺鸣柳*")=1,R463,0)</f>
        <v>0</v>
      </c>
      <c r="T463">
        <f ca="1" t="shared" si="137"/>
        <v>0</v>
      </c>
      <c r="U463">
        <f ca="1">IF(金蛇,IF(COUNTIF(B463,"*金环戴*")+COUNTIF(B463,"*吹风醒*")&gt;0,IF(A463&lt;=3,7.125-2.625-A463-加速!$L$11,7.125+加速!$K$9-(A463+加速!$L$11-T463)),0),0)+IF(金蛇,IF(COUNTIF(B463,"*千切子裂光*")&gt;0,2+加速!$K$9-(A463+加速!$L$11-T463),0),0)</f>
        <v>0</v>
      </c>
      <c r="V463">
        <f ca="1" t="shared" si="138"/>
        <v>0</v>
      </c>
      <c r="W463">
        <f ca="1" t="shared" si="130"/>
        <v>0</v>
      </c>
      <c r="X463">
        <f ca="1">INDEX(加速!$I$13:$I$21,W463+1)</f>
        <v>0</v>
      </c>
      <c r="Y463">
        <f ca="1" t="shared" si="139"/>
        <v>0.5</v>
      </c>
      <c r="Z463">
        <f ca="1" t="shared" si="135"/>
        <v>0</v>
      </c>
      <c r="AA463">
        <f ca="1">MAX(0,IFERROR(IF(COUNTIF(B463,"*叠*")&gt;0,IF(AC462&lt;3,8-A464+A463,AA462+6.875-A464+A463),AA462-A464+A463),AA462-加速!$L$11))</f>
        <v>0</v>
      </c>
      <c r="AB463" t="e">
        <f ca="1">MAX(0,IF(COUNTIF(IF(AND(配装计算器!$K$30&lt;&gt;"∞",0),INDEX(AU463:CB463,1,$AT$1),INDEX(AU463:CB463,1,$AT$1)),"*叠1*")=1,4*25-加速!$L$11,AB462-A463+A462)-IF(OR(COUNTIF(OFFSET(AT463,0,$AT$1,1,1),"*听雷*")&gt;0,AND(碧归&gt;0,COUNTIF(OFFSET(AT463,0,$AT$1,1,1),"*风来*")&gt;0)),0,1)*1.5)</f>
        <v>#VALUE!</v>
      </c>
      <c r="AC463">
        <f ca="1" t="shared" si="131"/>
        <v>0</v>
      </c>
      <c r="AD463">
        <f ca="1">IF(COUNTIF(IF(AND(配装计算器!$K$30&lt;&gt;"∞",0),INDEX(AU463:CB463,1,$AT$1),INDEX(AU464:CB464,1,$AT$1)),"*叠1*")=1,AB463*0+AE462,0)</f>
        <v>0</v>
      </c>
      <c r="AE463" t="e">
        <f ca="1">IF($AN$11&gt;0,IF(COUNTIF(B464,"*叠1*")&gt;0,50-加速!$L$11,MAX(0,AE462-(A464-A463))),0)</f>
        <v>#VALUE!</v>
      </c>
      <c r="AG463">
        <f ca="1" t="shared" si="132"/>
        <v>13</v>
      </c>
      <c r="AU463" s="180" t="s">
        <v>2789</v>
      </c>
      <c r="AV463">
        <v>2</v>
      </c>
      <c r="AW463" s="176" t="str">
        <f>IF($AR$11=1,"夕照雷峰","夕照雷峰")</f>
        <v>夕照雷峰</v>
      </c>
      <c r="AX463">
        <v>2</v>
      </c>
      <c r="AY463" t="s">
        <v>2776</v>
      </c>
      <c r="AZ463">
        <v>1</v>
      </c>
      <c r="BA463" t="s">
        <v>2722</v>
      </c>
      <c r="BB463">
        <v>0</v>
      </c>
      <c r="BC463" t="s">
        <v>3023</v>
      </c>
      <c r="BD463">
        <v>2</v>
      </c>
      <c r="BE463" t="s">
        <v>2776</v>
      </c>
      <c r="BF463">
        <v>2</v>
      </c>
      <c r="BG463" t="s">
        <v>2768</v>
      </c>
      <c r="BH463">
        <v>0</v>
      </c>
      <c r="BI463" s="182" t="s">
        <v>3023</v>
      </c>
      <c r="BJ463">
        <v>2</v>
      </c>
      <c r="BK463" t="s">
        <v>2808</v>
      </c>
      <c r="BL463">
        <v>2</v>
      </c>
      <c r="BM463" t="s">
        <v>3056</v>
      </c>
      <c r="BN463">
        <v>1</v>
      </c>
      <c r="BO463" s="180" t="s">
        <v>2789</v>
      </c>
      <c r="BP463">
        <v>2</v>
      </c>
      <c r="BQ463" t="s">
        <v>2768</v>
      </c>
      <c r="BR463">
        <v>2</v>
      </c>
      <c r="BS463" t="s">
        <v>3024</v>
      </c>
      <c r="BT463">
        <v>2</v>
      </c>
      <c r="BU463" t="s">
        <v>2776</v>
      </c>
      <c r="BV463">
        <v>2</v>
      </c>
      <c r="BW463" s="179" t="s">
        <v>2776</v>
      </c>
      <c r="BX463" s="179">
        <v>2</v>
      </c>
      <c r="BY463" t="s">
        <v>2776</v>
      </c>
      <c r="BZ463">
        <v>2</v>
      </c>
      <c r="CA463" t="s">
        <v>2776</v>
      </c>
      <c r="CB463">
        <v>2</v>
      </c>
    </row>
    <row r="464" spans="1:80">
      <c r="A464" s="178" t="str">
        <f ca="1">IFERROR(IF(AG463&lt;5+金蛇*2,IF(COUNTIF(B463,"*轻*")&gt;0,A463+加速!$L$9,A463+加速!$L$11)+V463,""),"")</f>
        <v/>
      </c>
      <c r="B464" s="167" t="str">
        <f ca="1" t="shared" si="127"/>
        <v/>
      </c>
      <c r="C464" t="str">
        <f ca="1" t="shared" si="136"/>
        <v/>
      </c>
      <c r="D464" t="str">
        <f ca="1">IF(B464&lt;&gt;"",IF(C463&lt;=加速!$L$11*(1-E464),0,1),"")</f>
        <v/>
      </c>
      <c r="E464">
        <f ca="1" t="shared" si="133"/>
        <v>1</v>
      </c>
      <c r="G464" t="str">
        <f ca="1" t="shared" si="134"/>
        <v/>
      </c>
      <c r="H464" t="str">
        <f ca="1">IF(B464&lt;&gt;"",IF(AND(COUNTIF(B463,"*轻*莺鸣柳*")&gt;0,COUNTIF(B464,"*轻*")&lt;1),MAX(0,15+I463-(A464-A463)+COUNTIF(B463,"*平湖*")*0),IF(AND(E464=0,MAX(0,H463-(A464-A463))&lt;=加速!$H$11),0,MAX(0,H463-(A464-A463)))),"")</f>
        <v/>
      </c>
      <c r="I464" t="str">
        <f ca="1" t="shared" si="140"/>
        <v/>
      </c>
      <c r="J464" t="str">
        <f ca="1" t="shared" si="141"/>
        <v/>
      </c>
      <c r="K464" t="str">
        <f ca="1" t="shared" si="128"/>
        <v/>
      </c>
      <c r="L464">
        <f ca="1">IFERROR(IF(AND(COUNTIF(B464,"*-峰插*"),技能数据库!$M$72&gt;0),0,IF(COUNTIF(B464,"*鹤归*")&gt;0,16-加速!$L$11,MAX(0,L463-(A464-A463)))),0)</f>
        <v>0</v>
      </c>
      <c r="M464">
        <f ca="1" t="shared" si="129"/>
        <v>0</v>
      </c>
      <c r="N464">
        <f ca="1">IFERROR(IF(AND(COUNTIF(B464,"*-峰插*"),技能数据库!$M$72&gt;0),0,IF(COUNTIF(B464,"*云飞*")&gt;0,4-COUNTIF(B464,"*玉山揽云*")*4--COUNTIF(B464,"*烟流暮景*")*4-COUNTIF(B464,"*云景*")*加速!$L$11-IF(J464&gt;0,2,0),MAX(0,N463-(A464-A463)-IF(J464&gt;0,2,0)))),0)</f>
        <v>0</v>
      </c>
      <c r="O464">
        <f ca="1">IF(AND(COUNTIF(IF(AND(配装计算器!$K$30&lt;&gt;"∞",0),INDEX(AU463:CB463,1,$AT$1),INDEX(AU465:CB465,1,$AT$1)),"*云飞*")=1,COUNTIF(IF(AND(配装计算器!$K$30&lt;&gt;"∞",0),INDEX(AU463:CB463,1,$AT$1),INDEX(AU465:CB465,1,$AT$1)),"*玉山*")=0),N464,0)</f>
        <v>0</v>
      </c>
      <c r="P464">
        <f ca="1">IFERROR(IF(COUNTIF(B464,"*云栖松*")&gt;0,50-加速!$L$11,MAX(0,P463-(A464-A463))),0)</f>
        <v>0</v>
      </c>
      <c r="Q464">
        <f ca="1">IF(COUNTIF(IF(AND(配装计算器!$K$30&lt;&gt;"∞",0),INDEX(AU463:CB463,1,$AT$1),INDEX(AU465:CB465,1,$AT$1)),"*云栖松*")=1,P464,0)</f>
        <v>0</v>
      </c>
      <c r="R464">
        <f ca="1">IFERROR(IF(COUNTIF(B464,"*莺鸣柳*")&gt;0,45-加速!$L$9,MAX(0,R463-(A464-A463))),0)</f>
        <v>0</v>
      </c>
      <c r="S464">
        <f ca="1">IF(COUNTIF(IF(AND(配装计算器!$K$30&lt;&gt;"∞",0),INDEX(AU463:CB463,1,$AT$1),INDEX(AU465:CB465,1,$AT$1)),"*莺鸣柳*")=1,R464,0)</f>
        <v>0</v>
      </c>
      <c r="T464">
        <f ca="1" t="shared" si="137"/>
        <v>0</v>
      </c>
      <c r="U464">
        <f ca="1">IF(金蛇,IF(COUNTIF(B464,"*金环戴*")+COUNTIF(B464,"*吹风醒*")&gt;0,IF(A464&lt;=3,7.125-2.625-A464-加速!$L$11,7.125+加速!$K$9-(A464+加速!$L$11-T464)),0),0)+IF(金蛇,IF(COUNTIF(B464,"*千切子裂光*")&gt;0,2+加速!$K$9-(A464+加速!$L$11-T464),0),0)</f>
        <v>0</v>
      </c>
      <c r="V464">
        <f ca="1" t="shared" si="138"/>
        <v>0</v>
      </c>
      <c r="W464">
        <f ca="1" t="shared" si="130"/>
        <v>0</v>
      </c>
      <c r="X464">
        <f ca="1">INDEX(加速!$I$13:$I$21,W464+1)</f>
        <v>0</v>
      </c>
      <c r="Y464">
        <f ca="1" t="shared" si="139"/>
        <v>0.5</v>
      </c>
      <c r="Z464">
        <f ca="1" t="shared" si="135"/>
        <v>0</v>
      </c>
      <c r="AA464">
        <f ca="1">MAX(0,IFERROR(IF(COUNTIF(B464,"*叠*")&gt;0,IF(AC463&lt;3,8-A465+A464,AA463+6.875-A465+A464),AA463-A465+A464),AA463-加速!$L$11))</f>
        <v>0</v>
      </c>
      <c r="AB464" t="e">
        <f ca="1">MAX(0,IF(COUNTIF(IF(AND(配装计算器!$K$30&lt;&gt;"∞",0),INDEX(AU464:CB464,1,$AT$1),INDEX(AU464:CB464,1,$AT$1)),"*叠1*")=1,4*25-加速!$L$11,AB463-A464+A463)-IF(OR(COUNTIF(OFFSET(AT464,0,$AT$1,1,1),"*听雷*")&gt;0,AND(碧归&gt;0,COUNTIF(OFFSET(AT464,0,$AT$1,1,1),"*风来*")&gt;0)),0,1)*1.5)</f>
        <v>#VALUE!</v>
      </c>
      <c r="AC464">
        <f ca="1" t="shared" si="131"/>
        <v>0</v>
      </c>
      <c r="AD464">
        <f ca="1">IF(COUNTIF(IF(AND(配装计算器!$K$30&lt;&gt;"∞",0),INDEX(AU464:CB464,1,$AT$1),INDEX(AU465:CB465,1,$AT$1)),"*叠1*")=1,AB464*0+AE463,0)</f>
        <v>0</v>
      </c>
      <c r="AE464" t="e">
        <f ca="1">IF($AN$11&gt;0,IF(COUNTIF(B465,"*叠1*")&gt;0,50-加速!$L$11,MAX(0,AE463-(A465-A464))),0)</f>
        <v>#VALUE!</v>
      </c>
      <c r="AG464">
        <f ca="1" t="shared" si="132"/>
        <v>13</v>
      </c>
      <c r="AU464" s="176" t="s">
        <v>2794</v>
      </c>
      <c r="AV464">
        <v>2</v>
      </c>
      <c r="AW464" t="str">
        <f>IF($AR$11=1,"鹤归孤山","云飞玉皇")</f>
        <v>云飞玉皇</v>
      </c>
      <c r="AX464">
        <v>2</v>
      </c>
      <c r="AY464" t="s">
        <v>2768</v>
      </c>
      <c r="AZ464">
        <v>1</v>
      </c>
      <c r="BA464" t="s">
        <v>2776</v>
      </c>
      <c r="BB464">
        <v>2</v>
      </c>
      <c r="BC464" t="s">
        <v>2768</v>
      </c>
      <c r="BD464">
        <v>2</v>
      </c>
      <c r="BE464" t="s">
        <v>3017</v>
      </c>
      <c r="BF464">
        <v>2</v>
      </c>
      <c r="BG464" t="s">
        <v>2776</v>
      </c>
      <c r="BH464">
        <v>0</v>
      </c>
      <c r="BI464" s="176" t="s">
        <v>3026</v>
      </c>
      <c r="BJ464">
        <v>2</v>
      </c>
      <c r="BK464" t="s">
        <v>2768</v>
      </c>
      <c r="BL464">
        <v>2</v>
      </c>
      <c r="BM464" t="s">
        <v>2768</v>
      </c>
      <c r="BN464">
        <v>2</v>
      </c>
      <c r="BO464" s="176" t="s">
        <v>2794</v>
      </c>
      <c r="BP464">
        <v>2</v>
      </c>
      <c r="BQ464" t="s">
        <v>2776</v>
      </c>
      <c r="BR464">
        <v>2</v>
      </c>
      <c r="BS464" s="179" t="s">
        <v>2794</v>
      </c>
      <c r="BT464">
        <v>2</v>
      </c>
      <c r="BU464" t="s">
        <v>2768</v>
      </c>
      <c r="BV464">
        <v>1</v>
      </c>
      <c r="BW464" s="179" t="s">
        <v>2768</v>
      </c>
      <c r="BX464" s="179">
        <v>2</v>
      </c>
      <c r="BY464" t="s">
        <v>2718</v>
      </c>
      <c r="BZ464">
        <v>0</v>
      </c>
      <c r="CA464" t="s">
        <v>2718</v>
      </c>
      <c r="CB464">
        <v>0</v>
      </c>
    </row>
    <row r="465" spans="1:80">
      <c r="A465" s="178" t="str">
        <f ca="1">IFERROR(IF(AG464&lt;5+金蛇*2,IF(COUNTIF(B464,"*轻*")&gt;0,A464+加速!$L$9,A464+加速!$L$11)+V464,""),"")</f>
        <v/>
      </c>
      <c r="B465" s="167" t="str">
        <f ca="1" t="shared" si="127"/>
        <v/>
      </c>
      <c r="C465" t="str">
        <f ca="1" t="shared" si="136"/>
        <v/>
      </c>
      <c r="D465" t="str">
        <f ca="1">IF(B465&lt;&gt;"",IF(C464&lt;=加速!$L$11*(1-E465),0,1),"")</f>
        <v/>
      </c>
      <c r="E465">
        <f ca="1" t="shared" si="133"/>
        <v>1</v>
      </c>
      <c r="G465" t="str">
        <f ca="1" t="shared" si="134"/>
        <v/>
      </c>
      <c r="H465" t="str">
        <f ca="1">IF(B465&lt;&gt;"",IF(AND(COUNTIF(B464,"*轻*莺鸣柳*")&gt;0,COUNTIF(B465,"*轻*")&lt;1),MAX(0,15+I464-(A465-A464)+COUNTIF(B464,"*平湖*")*0),IF(AND(E465=0,MAX(0,H464-(A465-A464))&lt;=加速!$H$11),0,MAX(0,H464-(A465-A464)))),"")</f>
        <v/>
      </c>
      <c r="I465" t="str">
        <f ca="1" t="shared" si="140"/>
        <v/>
      </c>
      <c r="J465" t="str">
        <f ca="1" t="shared" si="141"/>
        <v/>
      </c>
      <c r="K465" t="str">
        <f ca="1" t="shared" si="128"/>
        <v/>
      </c>
      <c r="L465">
        <f ca="1">IFERROR(IF(AND(COUNTIF(B465,"*-峰插*"),技能数据库!$M$72&gt;0),0,IF(COUNTIF(B465,"*鹤归*")&gt;0,16-加速!$L$11,MAX(0,L464-(A465-A464)))),0)</f>
        <v>0</v>
      </c>
      <c r="M465">
        <f ca="1" t="shared" si="129"/>
        <v>0</v>
      </c>
      <c r="N465">
        <f ca="1">IFERROR(IF(AND(COUNTIF(B465,"*-峰插*"),技能数据库!$M$72&gt;0),0,IF(COUNTIF(B465,"*云飞*")&gt;0,4-COUNTIF(B465,"*玉山揽云*")*4--COUNTIF(B465,"*烟流暮景*")*4-COUNTIF(B465,"*云景*")*加速!$L$11-IF(J465&gt;0,2,0),MAX(0,N464-(A465-A464)-IF(J465&gt;0,2,0)))),0)</f>
        <v>0</v>
      </c>
      <c r="O465">
        <f ca="1">IF(AND(COUNTIF(IF(AND(配装计算器!$K$30&lt;&gt;"∞",0),INDEX(AU464:CB464,1,$AT$1),INDEX(AU466:CB466,1,$AT$1)),"*云飞*")=1,COUNTIF(IF(AND(配装计算器!$K$30&lt;&gt;"∞",0),INDEX(AU464:CB464,1,$AT$1),INDEX(AU466:CB466,1,$AT$1)),"*玉山*")=0),N465,0)</f>
        <v>0</v>
      </c>
      <c r="P465">
        <f ca="1">IFERROR(IF(COUNTIF(B465,"*云栖松*")&gt;0,50-加速!$L$11,MAX(0,P464-(A465-A464))),0)</f>
        <v>0</v>
      </c>
      <c r="Q465">
        <f ca="1">IF(COUNTIF(IF(AND(配装计算器!$K$30&lt;&gt;"∞",0),INDEX(AU464:CB464,1,$AT$1),INDEX(AU466:CB466,1,$AT$1)),"*云栖松*")=1,P465,0)</f>
        <v>0</v>
      </c>
      <c r="R465">
        <f ca="1">IFERROR(IF(COUNTIF(B465,"*莺鸣柳*")&gt;0,45-加速!$L$9,MAX(0,R464-(A465-A464))),0)</f>
        <v>0</v>
      </c>
      <c r="S465">
        <f ca="1">IF(COUNTIF(IF(AND(配装计算器!$K$30&lt;&gt;"∞",0),INDEX(AU464:CB464,1,$AT$1),INDEX(AU466:CB466,1,$AT$1)),"*莺鸣柳*")=1,R465,0)</f>
        <v>0</v>
      </c>
      <c r="T465">
        <f ca="1" t="shared" si="137"/>
        <v>0</v>
      </c>
      <c r="U465">
        <f ca="1">IF(金蛇,IF(COUNTIF(B465,"*金环戴*")+COUNTIF(B465,"*吹风醒*")&gt;0,IF(A465&lt;=3,7.125-2.625-A465-加速!$L$11,7.125+加速!$K$9-(A465+加速!$L$11-T465)),0),0)+IF(金蛇,IF(COUNTIF(B465,"*千切子裂光*")&gt;0,2+加速!$K$9-(A465+加速!$L$11-T465),0),0)</f>
        <v>0</v>
      </c>
      <c r="V465">
        <f ca="1" t="shared" si="138"/>
        <v>0</v>
      </c>
      <c r="W465">
        <f ca="1" t="shared" si="130"/>
        <v>0</v>
      </c>
      <c r="X465">
        <f ca="1">INDEX(加速!$I$13:$I$21,W465+1)</f>
        <v>0</v>
      </c>
      <c r="Y465">
        <f ca="1" t="shared" si="139"/>
        <v>0.5</v>
      </c>
      <c r="Z465">
        <f ca="1" t="shared" si="135"/>
        <v>0</v>
      </c>
      <c r="AA465">
        <f ca="1">MAX(0,IFERROR(IF(COUNTIF(B465,"*叠*")&gt;0,IF(AC464&lt;3,8-A466+A465,AA464+6.875-A466+A465),AA464-A466+A465),AA464-加速!$L$11))</f>
        <v>0</v>
      </c>
      <c r="AB465" t="e">
        <f ca="1">MAX(0,IF(COUNTIF(IF(AND(配装计算器!$K$30&lt;&gt;"∞",0),INDEX(AU465:CB465,1,$AT$1),INDEX(AU465:CB465,1,$AT$1)),"*叠1*")=1,4*25-加速!$L$11,AB464-A465+A464)-IF(OR(COUNTIF(OFFSET(AT465,0,$AT$1,1,1),"*听雷*")&gt;0,AND(碧归&gt;0,COUNTIF(OFFSET(AT465,0,$AT$1,1,1),"*风来*")&gt;0)),0,1)*1.5)</f>
        <v>#VALUE!</v>
      </c>
      <c r="AC465">
        <f ca="1" t="shared" si="131"/>
        <v>0</v>
      </c>
      <c r="AD465">
        <f ca="1">IF(COUNTIF(IF(AND(配装计算器!$K$30&lt;&gt;"∞",0),INDEX(AU465:CB465,1,$AT$1),INDEX(AU466:CB466,1,$AT$1)),"*叠1*")=1,AB465*0+AE464,0)</f>
        <v>0</v>
      </c>
      <c r="AE465" t="e">
        <f ca="1">IF($AN$11&gt;0,IF(COUNTIF(B466,"*叠1*")&gt;0,50-加速!$L$11,MAX(0,AE464-(A466-A465))),0)</f>
        <v>#VALUE!</v>
      </c>
      <c r="AG465">
        <f ca="1" t="shared" si="132"/>
        <v>13</v>
      </c>
      <c r="AU465" s="176" t="s">
        <v>2776</v>
      </c>
      <c r="AV465">
        <v>2</v>
      </c>
      <c r="AW465" t="str">
        <f>IF($AR$11=1,"云飞玉皇","夕照雷峰")</f>
        <v>夕照雷峰</v>
      </c>
      <c r="AX465">
        <v>2</v>
      </c>
      <c r="AY465" t="s">
        <v>2768</v>
      </c>
      <c r="AZ465">
        <v>0</v>
      </c>
      <c r="BA465" t="s">
        <v>2768</v>
      </c>
      <c r="BB465">
        <v>2</v>
      </c>
      <c r="BC465" t="s">
        <v>2776</v>
      </c>
      <c r="BD465">
        <v>2</v>
      </c>
      <c r="BE465" t="s">
        <v>2768</v>
      </c>
      <c r="BF465">
        <v>2</v>
      </c>
      <c r="BG465" t="s">
        <v>3067</v>
      </c>
      <c r="BH465">
        <v>0</v>
      </c>
      <c r="BI465" s="176" t="s">
        <v>3026</v>
      </c>
      <c r="BJ465">
        <v>2</v>
      </c>
      <c r="BK465" t="s">
        <v>2776</v>
      </c>
      <c r="BL465">
        <v>2</v>
      </c>
      <c r="BM465" t="s">
        <v>2768</v>
      </c>
      <c r="BN465">
        <v>2</v>
      </c>
      <c r="BO465" s="176" t="s">
        <v>2776</v>
      </c>
      <c r="BP465">
        <v>2</v>
      </c>
      <c r="BQ465" t="s">
        <v>2768</v>
      </c>
      <c r="BR465">
        <v>2</v>
      </c>
      <c r="BS465" s="179" t="s">
        <v>3019</v>
      </c>
      <c r="BT465">
        <v>2</v>
      </c>
      <c r="BU465" t="s">
        <v>2776</v>
      </c>
      <c r="BV465">
        <v>1</v>
      </c>
      <c r="BW465" s="179" t="s">
        <v>2768</v>
      </c>
      <c r="BX465" s="179">
        <v>1</v>
      </c>
      <c r="BY465" t="s">
        <v>2768</v>
      </c>
      <c r="BZ465">
        <v>2</v>
      </c>
      <c r="CA465" t="s">
        <v>2768</v>
      </c>
      <c r="CB465">
        <v>2</v>
      </c>
    </row>
    <row r="466" spans="1:80">
      <c r="A466" s="178" t="str">
        <f ca="1">IFERROR(IF(AG465&lt;5+金蛇*2,IF(COUNTIF(B465,"*轻*")&gt;0,A465+加速!$L$9,A465+加速!$L$11)+V465,""),"")</f>
        <v/>
      </c>
      <c r="B466" s="167" t="str">
        <f ca="1" t="shared" si="127"/>
        <v/>
      </c>
      <c r="C466" t="str">
        <f ca="1" t="shared" si="136"/>
        <v/>
      </c>
      <c r="D466" t="str">
        <f ca="1">IF(B466&lt;&gt;"",IF(C465&lt;=加速!$L$11*(1-E466),0,1),"")</f>
        <v/>
      </c>
      <c r="E466">
        <f ca="1" t="shared" si="133"/>
        <v>1</v>
      </c>
      <c r="G466" t="str">
        <f ca="1" t="shared" si="134"/>
        <v/>
      </c>
      <c r="H466" t="str">
        <f ca="1">IF(B466&lt;&gt;"",IF(AND(COUNTIF(B465,"*轻*莺鸣柳*")&gt;0,COUNTIF(B466,"*轻*")&lt;1),MAX(0,15+I465-(A466-A465)+COUNTIF(B465,"*平湖*")*0),IF(AND(E466=0,MAX(0,H465-(A466-A465))&lt;=加速!$H$11),0,MAX(0,H465-(A466-A465)))),"")</f>
        <v/>
      </c>
      <c r="I466" t="str">
        <f ca="1" t="shared" si="140"/>
        <v/>
      </c>
      <c r="J466" t="str">
        <f ca="1" t="shared" si="141"/>
        <v/>
      </c>
      <c r="K466" t="str">
        <f ca="1" t="shared" si="128"/>
        <v/>
      </c>
      <c r="L466">
        <f ca="1">IFERROR(IF(AND(COUNTIF(B466,"*-峰插*"),技能数据库!$M$72&gt;0),0,IF(COUNTIF(B466,"*鹤归*")&gt;0,16-加速!$L$11,MAX(0,L465-(A466-A465)))),0)</f>
        <v>0</v>
      </c>
      <c r="M466">
        <f ca="1" t="shared" si="129"/>
        <v>0</v>
      </c>
      <c r="N466">
        <f ca="1">IFERROR(IF(AND(COUNTIF(B466,"*-峰插*"),技能数据库!$M$72&gt;0),0,IF(COUNTIF(B466,"*云飞*")&gt;0,4-COUNTIF(B466,"*玉山揽云*")*4--COUNTIF(B466,"*烟流暮景*")*4-COUNTIF(B466,"*云景*")*加速!$L$11-IF(J466&gt;0,2,0),MAX(0,N465-(A466-A465)-IF(J466&gt;0,2,0)))),0)</f>
        <v>0</v>
      </c>
      <c r="O466">
        <f ca="1">IF(AND(COUNTIF(IF(AND(配装计算器!$K$30&lt;&gt;"∞",0),INDEX(AU465:CB465,1,$AT$1),INDEX(AU467:CB467,1,$AT$1)),"*云飞*")=1,COUNTIF(IF(AND(配装计算器!$K$30&lt;&gt;"∞",0),INDEX(AU465:CB465,1,$AT$1),INDEX(AU467:CB467,1,$AT$1)),"*玉山*")=0),N466,0)</f>
        <v>0</v>
      </c>
      <c r="P466">
        <f ca="1">IFERROR(IF(COUNTIF(B466,"*云栖松*")&gt;0,50-加速!$L$11,MAX(0,P465-(A466-A465))),0)</f>
        <v>0</v>
      </c>
      <c r="Q466">
        <f ca="1">IF(COUNTIF(IF(AND(配装计算器!$K$30&lt;&gt;"∞",0),INDEX(AU465:CB465,1,$AT$1),INDEX(AU467:CB467,1,$AT$1)),"*云栖松*")=1,P466,0)</f>
        <v>0</v>
      </c>
      <c r="R466">
        <f ca="1">IFERROR(IF(COUNTIF(B466,"*莺鸣柳*")&gt;0,45-加速!$L$9,MAX(0,R465-(A466-A465))),0)</f>
        <v>0</v>
      </c>
      <c r="S466">
        <f ca="1">IF(COUNTIF(IF(AND(配装计算器!$K$30&lt;&gt;"∞",0),INDEX(AU465:CB465,1,$AT$1),INDEX(AU467:CB467,1,$AT$1)),"*莺鸣柳*")=1,R466,0)</f>
        <v>0</v>
      </c>
      <c r="T466">
        <f ca="1" t="shared" si="137"/>
        <v>0</v>
      </c>
      <c r="U466">
        <f ca="1">IF(金蛇,IF(COUNTIF(B466,"*金环戴*")+COUNTIF(B466,"*吹风醒*")&gt;0,IF(A466&lt;=3,7.125-2.625-A466-加速!$L$11,7.125+加速!$K$9-(A466+加速!$L$11-T466)),0),0)+IF(金蛇,IF(COUNTIF(B466,"*千切子裂光*")&gt;0,2+加速!$K$9-(A466+加速!$L$11-T466),0),0)</f>
        <v>0</v>
      </c>
      <c r="V466">
        <f ca="1" t="shared" si="138"/>
        <v>0</v>
      </c>
      <c r="W466">
        <f ca="1" t="shared" si="130"/>
        <v>0</v>
      </c>
      <c r="X466">
        <f ca="1">INDEX(加速!$I$13:$I$21,W466+1)</f>
        <v>0</v>
      </c>
      <c r="Y466">
        <f ca="1" t="shared" si="139"/>
        <v>0.5</v>
      </c>
      <c r="Z466">
        <f ca="1" t="shared" si="135"/>
        <v>0</v>
      </c>
      <c r="AA466">
        <f ca="1">MAX(0,IFERROR(IF(COUNTIF(B466,"*叠*")&gt;0,IF(AC465&lt;3,8-A467+A466,AA465+6.875-A467+A466),AA465-A467+A466),AA465-加速!$L$11))</f>
        <v>0</v>
      </c>
      <c r="AB466" t="e">
        <f ca="1">MAX(0,IF(COUNTIF(IF(AND(配装计算器!$K$30&lt;&gt;"∞",0),INDEX(AU466:CB466,1,$AT$1),INDEX(AU466:CB466,1,$AT$1)),"*叠1*")=1,4*25-加速!$L$11,AB465-A466+A465)-IF(OR(COUNTIF(OFFSET(AT466,0,$AT$1,1,1),"*听雷*")&gt;0,AND(碧归&gt;0,COUNTIF(OFFSET(AT466,0,$AT$1,1,1),"*风来*")&gt;0)),0,1)*1.5)</f>
        <v>#VALUE!</v>
      </c>
      <c r="AC466">
        <f ca="1" t="shared" si="131"/>
        <v>0</v>
      </c>
      <c r="AD466">
        <f ca="1">IF(COUNTIF(IF(AND(配装计算器!$K$30&lt;&gt;"∞",0),INDEX(AU466:CB466,1,$AT$1),INDEX(AU467:CB467,1,$AT$1)),"*叠1*")=1,AB466*0+AE465,0)</f>
        <v>0</v>
      </c>
      <c r="AE466" t="e">
        <f ca="1">IF($AN$11&gt;0,IF(COUNTIF(B467,"*叠1*")&gt;0,50-加速!$L$11,MAX(0,AE465-(A467-A466))),0)</f>
        <v>#VALUE!</v>
      </c>
      <c r="AG466">
        <f ca="1" t="shared" si="132"/>
        <v>13</v>
      </c>
      <c r="AU466" s="176" t="s">
        <v>2768</v>
      </c>
      <c r="AV466">
        <v>2</v>
      </c>
      <c r="AW466" t="str">
        <f>IF($AR$11=1,"夕照雷峰","云飞玉皇")</f>
        <v>云飞玉皇</v>
      </c>
      <c r="AX466">
        <v>2</v>
      </c>
      <c r="AY466" t="s">
        <v>2722</v>
      </c>
      <c r="AZ466">
        <v>0</v>
      </c>
      <c r="BA466" t="s">
        <v>2768</v>
      </c>
      <c r="BB466">
        <v>2</v>
      </c>
      <c r="BC466" t="s">
        <v>2789</v>
      </c>
      <c r="BD466">
        <v>2</v>
      </c>
      <c r="BE466" t="s">
        <v>3023</v>
      </c>
      <c r="BF466">
        <v>2</v>
      </c>
      <c r="BG466" t="s">
        <v>2768</v>
      </c>
      <c r="BH466">
        <v>2</v>
      </c>
      <c r="BI466" s="176" t="s">
        <v>3026</v>
      </c>
      <c r="BJ466">
        <v>2</v>
      </c>
      <c r="BK466" t="s">
        <v>3036</v>
      </c>
      <c r="BL466">
        <v>2</v>
      </c>
      <c r="BM466" t="s">
        <v>2768</v>
      </c>
      <c r="BN466">
        <v>2</v>
      </c>
      <c r="BO466" s="176" t="s">
        <v>2768</v>
      </c>
      <c r="BP466">
        <v>2</v>
      </c>
      <c r="BQ466" t="s">
        <v>2776</v>
      </c>
      <c r="BR466">
        <v>1</v>
      </c>
      <c r="BS466" s="179" t="s">
        <v>2768</v>
      </c>
      <c r="BT466">
        <v>2</v>
      </c>
      <c r="BU466" t="str">
        <f>IF(秋,"云栖松","泉凝月")</f>
        <v>泉凝月</v>
      </c>
      <c r="BV466">
        <v>0</v>
      </c>
      <c r="BW466" s="179" t="s">
        <v>2768</v>
      </c>
      <c r="BX466" s="179">
        <v>1</v>
      </c>
      <c r="BY466" t="s">
        <v>2768</v>
      </c>
      <c r="BZ466">
        <v>2</v>
      </c>
      <c r="CA466" t="s">
        <v>2768</v>
      </c>
      <c r="CB466">
        <v>2</v>
      </c>
    </row>
    <row r="467" spans="1:80">
      <c r="A467" s="178" t="str">
        <f ca="1">IFERROR(IF(AG466&lt;5+金蛇*2,IF(COUNTIF(B466,"*轻*")&gt;0,A466+加速!$L$9,A466+加速!$L$11)+V466,""),"")</f>
        <v/>
      </c>
      <c r="B467" s="167" t="str">
        <f ca="1" t="shared" si="127"/>
        <v/>
      </c>
      <c r="C467" t="str">
        <f ca="1" t="shared" si="136"/>
        <v/>
      </c>
      <c r="D467" t="str">
        <f ca="1">IF(B467&lt;&gt;"",IF(C466&lt;=加速!$L$11*(1-E467),0,1),"")</f>
        <v/>
      </c>
      <c r="E467">
        <f ca="1" t="shared" si="133"/>
        <v>1</v>
      </c>
      <c r="G467" t="str">
        <f ca="1" t="shared" si="134"/>
        <v/>
      </c>
      <c r="H467" t="str">
        <f ca="1">IF(B467&lt;&gt;"",IF(AND(COUNTIF(B466,"*轻*莺鸣柳*")&gt;0,COUNTIF(B467,"*轻*")&lt;1),MAX(0,15+I466-(A467-A466)+COUNTIF(B466,"*平湖*")*0),IF(AND(E467=0,MAX(0,H466-(A467-A466))&lt;=加速!$H$11),0,MAX(0,H466-(A467-A466)))),"")</f>
        <v/>
      </c>
      <c r="I467" t="str">
        <f ca="1" t="shared" si="140"/>
        <v/>
      </c>
      <c r="J467" t="str">
        <f ca="1" t="shared" si="141"/>
        <v/>
      </c>
      <c r="K467" t="str">
        <f ca="1" t="shared" si="128"/>
        <v/>
      </c>
      <c r="L467">
        <f ca="1">IFERROR(IF(AND(COUNTIF(B467,"*-峰插*"),技能数据库!$M$72&gt;0),0,IF(COUNTIF(B467,"*鹤归*")&gt;0,16-加速!$L$11,MAX(0,L466-(A467-A466)))),0)</f>
        <v>0</v>
      </c>
      <c r="M467">
        <f ca="1" t="shared" si="129"/>
        <v>0</v>
      </c>
      <c r="N467">
        <f ca="1">IFERROR(IF(AND(COUNTIF(B467,"*-峰插*"),技能数据库!$M$72&gt;0),0,IF(COUNTIF(B467,"*云飞*")&gt;0,4-COUNTIF(B467,"*玉山揽云*")*4--COUNTIF(B467,"*烟流暮景*")*4-COUNTIF(B467,"*云景*")*加速!$L$11-IF(J467&gt;0,2,0),MAX(0,N466-(A467-A466)-IF(J467&gt;0,2,0)))),0)</f>
        <v>0</v>
      </c>
      <c r="O467">
        <f ca="1">IF(AND(COUNTIF(IF(AND(配装计算器!$K$30&lt;&gt;"∞",0),INDEX(AU466:CB466,1,$AT$1),INDEX(AU468:CB468,1,$AT$1)),"*云飞*")=1,COUNTIF(IF(AND(配装计算器!$K$30&lt;&gt;"∞",0),INDEX(AU466:CB466,1,$AT$1),INDEX(AU468:CB468,1,$AT$1)),"*玉山*")=0),N467,0)</f>
        <v>0</v>
      </c>
      <c r="P467">
        <f ca="1">IFERROR(IF(COUNTIF(B467,"*云栖松*")&gt;0,50-加速!$L$11,MAX(0,P466-(A467-A466))),0)</f>
        <v>0</v>
      </c>
      <c r="Q467">
        <f ca="1">IF(COUNTIF(IF(AND(配装计算器!$K$30&lt;&gt;"∞",0),INDEX(AU466:CB466,1,$AT$1),INDEX(AU468:CB468,1,$AT$1)),"*云栖松*")=1,P467,0)</f>
        <v>0</v>
      </c>
      <c r="R467">
        <f ca="1">IFERROR(IF(COUNTIF(B467,"*莺鸣柳*")&gt;0,45-加速!$L$9,MAX(0,R466-(A467-A466))),0)</f>
        <v>0</v>
      </c>
      <c r="S467">
        <f ca="1">IF(COUNTIF(IF(AND(配装计算器!$K$30&lt;&gt;"∞",0),INDEX(AU466:CB466,1,$AT$1),INDEX(AU468:CB468,1,$AT$1)),"*莺鸣柳*")=1,R467,0)</f>
        <v>0</v>
      </c>
      <c r="T467">
        <f ca="1" t="shared" si="137"/>
        <v>0</v>
      </c>
      <c r="U467">
        <f ca="1">IF(金蛇,IF(COUNTIF(B467,"*金环戴*")+COUNTIF(B467,"*吹风醒*")&gt;0,IF(A467&lt;=3,7.125-2.625-A467-加速!$L$11,7.125+加速!$K$9-(A467+加速!$L$11-T467)),0),0)+IF(金蛇,IF(COUNTIF(B467,"*千切子裂光*")&gt;0,2+加速!$K$9-(A467+加速!$L$11-T467),0),0)</f>
        <v>0</v>
      </c>
      <c r="V467">
        <f ca="1" t="shared" si="138"/>
        <v>0</v>
      </c>
      <c r="W467">
        <f ca="1" t="shared" si="130"/>
        <v>0</v>
      </c>
      <c r="X467">
        <f ca="1">INDEX(加速!$I$13:$I$21,W467+1)</f>
        <v>0</v>
      </c>
      <c r="Y467">
        <f ca="1" t="shared" si="139"/>
        <v>0.5</v>
      </c>
      <c r="Z467">
        <f ca="1" t="shared" si="135"/>
        <v>0</v>
      </c>
      <c r="AA467">
        <f ca="1">MAX(0,IFERROR(IF(COUNTIF(B467,"*叠*")&gt;0,IF(AC466&lt;3,8-A468+A467,AA466+6.875-A468+A467),AA466-A468+A467),AA466-加速!$L$11))</f>
        <v>0</v>
      </c>
      <c r="AB467" t="e">
        <f ca="1">MAX(0,IF(COUNTIF(IF(AND(配装计算器!$K$30&lt;&gt;"∞",0),INDEX(AU467:CB467,1,$AT$1),INDEX(AU467:CB467,1,$AT$1)),"*叠1*")=1,4*25-加速!$L$11,AB466-A467+A466)-IF(OR(COUNTIF(OFFSET(AT467,0,$AT$1,1,1),"*听雷*")&gt;0,AND(碧归&gt;0,COUNTIF(OFFSET(AT467,0,$AT$1,1,1),"*风来*")&gt;0)),0,1)*1.5)</f>
        <v>#VALUE!</v>
      </c>
      <c r="AC467">
        <f ca="1" t="shared" si="131"/>
        <v>0</v>
      </c>
      <c r="AD467">
        <f ca="1">IF(COUNTIF(IF(AND(配装计算器!$K$30&lt;&gt;"∞",0),INDEX(AU467:CB467,1,$AT$1),INDEX(AU468:CB468,1,$AT$1)),"*叠1*")=1,AB467*0+AE466,0)</f>
        <v>0</v>
      </c>
      <c r="AE467" t="e">
        <f ca="1">IF($AN$11&gt;0,IF(COUNTIF(B468,"*叠1*")&gt;0,50-加速!$L$11,MAX(0,AE466-(A468-A467))),0)</f>
        <v>#VALUE!</v>
      </c>
      <c r="AG467">
        <f ca="1" t="shared" si="132"/>
        <v>13</v>
      </c>
      <c r="AU467" s="176" t="s">
        <v>2776</v>
      </c>
      <c r="AV467">
        <v>2</v>
      </c>
      <c r="AW467" t="str">
        <f>IF($AR$11=1,"云飞玉皇","夕照雷峰")</f>
        <v>夕照雷峰</v>
      </c>
      <c r="AX467">
        <v>2</v>
      </c>
      <c r="AY467" t="s">
        <v>2776</v>
      </c>
      <c r="AZ467">
        <v>2</v>
      </c>
      <c r="BA467" t="s">
        <v>2768</v>
      </c>
      <c r="BB467">
        <v>1</v>
      </c>
      <c r="BC467" t="s">
        <v>2794</v>
      </c>
      <c r="BD467">
        <v>2</v>
      </c>
      <c r="BE467" s="182" t="s">
        <v>2768</v>
      </c>
      <c r="BF467">
        <v>2</v>
      </c>
      <c r="BG467" t="s">
        <v>2768</v>
      </c>
      <c r="BH467">
        <v>2</v>
      </c>
      <c r="BI467" s="176" t="s">
        <v>3026</v>
      </c>
      <c r="BJ467">
        <v>2</v>
      </c>
      <c r="BK467" t="s">
        <v>3026</v>
      </c>
      <c r="BL467">
        <v>2</v>
      </c>
      <c r="BM467" t="s">
        <v>2776</v>
      </c>
      <c r="BN467">
        <v>2</v>
      </c>
      <c r="BO467" s="176" t="s">
        <v>2776</v>
      </c>
      <c r="BP467">
        <v>2</v>
      </c>
      <c r="BQ467" t="s">
        <v>2768</v>
      </c>
      <c r="BR467">
        <v>1</v>
      </c>
      <c r="BS467" s="182" t="s">
        <v>3023</v>
      </c>
      <c r="BT467">
        <v>2</v>
      </c>
      <c r="BU467" t="s">
        <v>2768</v>
      </c>
      <c r="BV467">
        <v>0</v>
      </c>
      <c r="BW467" s="179" t="s">
        <v>2776</v>
      </c>
      <c r="BX467" s="179">
        <v>1</v>
      </c>
      <c r="BY467" t="s">
        <v>2776</v>
      </c>
      <c r="BZ467">
        <v>2</v>
      </c>
      <c r="CA467" t="s">
        <v>2776</v>
      </c>
      <c r="CB467">
        <v>2</v>
      </c>
    </row>
    <row r="468" spans="1:80">
      <c r="A468" s="178" t="str">
        <f ca="1">IFERROR(IF(AG467&lt;5+金蛇*2,IF(COUNTIF(B467,"*轻*")&gt;0,A467+加速!$L$9,A467+加速!$L$11)+V467,""),"")</f>
        <v/>
      </c>
      <c r="B468" s="167" t="str">
        <f ca="1" t="shared" si="127"/>
        <v/>
      </c>
      <c r="C468" t="str">
        <f ca="1" t="shared" si="136"/>
        <v/>
      </c>
      <c r="D468" t="str">
        <f ca="1">IF(B468&lt;&gt;"",IF(C467&lt;=加速!$L$11*(1-E468),0,1),"")</f>
        <v/>
      </c>
      <c r="E468">
        <f ca="1" t="shared" si="133"/>
        <v>1</v>
      </c>
      <c r="G468" t="str">
        <f ca="1" t="shared" si="134"/>
        <v/>
      </c>
      <c r="H468" t="str">
        <f ca="1">IF(B468&lt;&gt;"",IF(AND(COUNTIF(B467,"*轻*莺鸣柳*")&gt;0,COUNTIF(B468,"*轻*")&lt;1),MAX(0,15+I467-(A468-A467)+COUNTIF(B467,"*平湖*")*0),IF(AND(E468=0,MAX(0,H467-(A468-A467))&lt;=加速!$H$11),0,MAX(0,H467-(A468-A467)))),"")</f>
        <v/>
      </c>
      <c r="I468" t="str">
        <f ca="1" t="shared" si="140"/>
        <v/>
      </c>
      <c r="J468" t="str">
        <f ca="1" t="shared" si="141"/>
        <v/>
      </c>
      <c r="K468" t="str">
        <f ca="1" t="shared" si="128"/>
        <v/>
      </c>
      <c r="L468">
        <f ca="1">IFERROR(IF(AND(COUNTIF(B468,"*-峰插*"),技能数据库!$M$72&gt;0),0,IF(COUNTIF(B468,"*鹤归*")&gt;0,16-加速!$L$11,MAX(0,L467-(A468-A467)))),0)</f>
        <v>0</v>
      </c>
      <c r="M468">
        <f ca="1" t="shared" si="129"/>
        <v>0</v>
      </c>
      <c r="N468">
        <f ca="1">IFERROR(IF(AND(COUNTIF(B468,"*-峰插*"),技能数据库!$M$72&gt;0),0,IF(COUNTIF(B468,"*云飞*")&gt;0,4-COUNTIF(B468,"*玉山揽云*")*4--COUNTIF(B468,"*烟流暮景*")*4-COUNTIF(B468,"*云景*")*加速!$L$11-IF(J468&gt;0,2,0),MAX(0,N467-(A468-A467)-IF(J468&gt;0,2,0)))),0)</f>
        <v>0</v>
      </c>
      <c r="O468">
        <f ca="1">IF(AND(COUNTIF(IF(AND(配装计算器!$K$30&lt;&gt;"∞",0),INDEX(AU467:CB467,1,$AT$1),INDEX(AU469:CB469,1,$AT$1)),"*云飞*")=1,COUNTIF(IF(AND(配装计算器!$K$30&lt;&gt;"∞",0),INDEX(AU467:CB467,1,$AT$1),INDEX(AU469:CB469,1,$AT$1)),"*玉山*")=0),N468,0)</f>
        <v>0</v>
      </c>
      <c r="P468">
        <f ca="1">IFERROR(IF(COUNTIF(B468,"*云栖松*")&gt;0,50-加速!$L$11,MAX(0,P467-(A468-A467))),0)</f>
        <v>0</v>
      </c>
      <c r="Q468">
        <f ca="1">IF(COUNTIF(IF(AND(配装计算器!$K$30&lt;&gt;"∞",0),INDEX(AU467:CB467,1,$AT$1),INDEX(AU469:CB469,1,$AT$1)),"*云栖松*")=1,P468,0)</f>
        <v>0</v>
      </c>
      <c r="R468">
        <f ca="1">IFERROR(IF(COUNTIF(B468,"*莺鸣柳*")&gt;0,45-加速!$L$9,MAX(0,R467-(A468-A467))),0)</f>
        <v>0</v>
      </c>
      <c r="S468">
        <f ca="1">IF(COUNTIF(IF(AND(配装计算器!$K$30&lt;&gt;"∞",0),INDEX(AU467:CB467,1,$AT$1),INDEX(AU469:CB469,1,$AT$1)),"*莺鸣柳*")=1,R468,0)</f>
        <v>0</v>
      </c>
      <c r="T468">
        <f ca="1" t="shared" si="137"/>
        <v>0</v>
      </c>
      <c r="U468">
        <f ca="1">IF(金蛇,IF(COUNTIF(B468,"*金环戴*")+COUNTIF(B468,"*吹风醒*")&gt;0,IF(A468&lt;=3,7.125-2.625-A468-加速!$L$11,7.125+加速!$K$9-(A468+加速!$L$11-T468)),0),0)+IF(金蛇,IF(COUNTIF(B468,"*千切子裂光*")&gt;0,2+加速!$K$9-(A468+加速!$L$11-T468),0),0)</f>
        <v>0</v>
      </c>
      <c r="V468">
        <f ca="1" t="shared" si="138"/>
        <v>0</v>
      </c>
      <c r="W468">
        <f ca="1" t="shared" si="130"/>
        <v>0</v>
      </c>
      <c r="X468">
        <f ca="1">INDEX(加速!$I$13:$I$21,W468+1)</f>
        <v>0</v>
      </c>
      <c r="Y468">
        <f ca="1" t="shared" si="139"/>
        <v>0.5</v>
      </c>
      <c r="Z468">
        <f ca="1" t="shared" si="135"/>
        <v>0</v>
      </c>
      <c r="AA468">
        <f ca="1">MAX(0,IFERROR(IF(COUNTIF(B468,"*叠*")&gt;0,IF(AC467&lt;3,8-A469+A468,AA467+6.875-A469+A468),AA467-A469+A468),AA467-加速!$L$11))</f>
        <v>0</v>
      </c>
      <c r="AB468" t="e">
        <f ca="1">MAX(0,IF(COUNTIF(IF(AND(配装计算器!$K$30&lt;&gt;"∞",0),INDEX(AU468:CB468,1,$AT$1),INDEX(AU468:CB468,1,$AT$1)),"*叠1*")=1,4*25-加速!$L$11,AB467-A468+A467)-IF(OR(COUNTIF(OFFSET(AT468,0,$AT$1,1,1),"*听雷*")&gt;0,AND(碧归&gt;0,COUNTIF(OFFSET(AT468,0,$AT$1,1,1),"*风来*")&gt;0)),0,1)*1.5)</f>
        <v>#VALUE!</v>
      </c>
      <c r="AC468">
        <f ca="1" t="shared" si="131"/>
        <v>0</v>
      </c>
      <c r="AD468">
        <f ca="1">IF(COUNTIF(IF(AND(配装计算器!$K$30&lt;&gt;"∞",0),INDEX(AU468:CB468,1,$AT$1),INDEX(AU469:CB469,1,$AT$1)),"*叠1*")=1,AB468*0+AE467,0)</f>
        <v>0</v>
      </c>
      <c r="AE468" t="e">
        <f ca="1">IF($AN$11&gt;0,IF(COUNTIF(B469,"*叠1*")&gt;0,50-加速!$L$11,MAX(0,AE467-(A469-A468))),0)</f>
        <v>#VALUE!</v>
      </c>
      <c r="AG468">
        <f ca="1" t="shared" si="132"/>
        <v>13</v>
      </c>
      <c r="AU468" s="176" t="s">
        <v>2768</v>
      </c>
      <c r="AV468">
        <v>2</v>
      </c>
      <c r="AW468" t="str">
        <f>IF($AR$11=1,"夕照雷峰","云景·云飞玉皇-黄龙吐翠")</f>
        <v>云景·云飞玉皇-黄龙吐翠</v>
      </c>
      <c r="AX468">
        <f>IF($AR$11=1,2,1)</f>
        <v>1</v>
      </c>
      <c r="AY468" t="s">
        <v>2768</v>
      </c>
      <c r="AZ468">
        <v>2</v>
      </c>
      <c r="BA468" t="s">
        <v>2776</v>
      </c>
      <c r="BB468">
        <v>1</v>
      </c>
      <c r="BC468" s="182" t="s">
        <v>3036</v>
      </c>
      <c r="BD468">
        <v>2</v>
      </c>
      <c r="BE468" s="176" t="s">
        <v>2768</v>
      </c>
      <c r="BF468">
        <v>2</v>
      </c>
      <c r="BG468" s="176" t="s">
        <v>2794</v>
      </c>
      <c r="BH468">
        <v>1</v>
      </c>
      <c r="BI468" s="176" t="s">
        <v>3036</v>
      </c>
      <c r="BJ468">
        <v>2</v>
      </c>
      <c r="BK468" t="s">
        <v>3026</v>
      </c>
      <c r="BL468">
        <v>2</v>
      </c>
      <c r="BM468" t="s">
        <v>2768</v>
      </c>
      <c r="BN468">
        <v>2</v>
      </c>
      <c r="BO468" s="176" t="s">
        <v>2768</v>
      </c>
      <c r="BP468">
        <v>2</v>
      </c>
      <c r="BQ468" t="s">
        <v>2776</v>
      </c>
      <c r="BR468">
        <v>1</v>
      </c>
      <c r="BS468" s="182" t="s">
        <v>2768</v>
      </c>
      <c r="BT468">
        <v>2</v>
      </c>
      <c r="BU468" t="s">
        <v>2776</v>
      </c>
      <c r="BV468">
        <v>0</v>
      </c>
      <c r="BW468" s="179" t="s">
        <v>2768</v>
      </c>
      <c r="BX468" s="179">
        <v>1</v>
      </c>
      <c r="BY468" t="s">
        <v>2718</v>
      </c>
      <c r="BZ468">
        <v>0</v>
      </c>
      <c r="CA468" t="s">
        <v>2718</v>
      </c>
      <c r="CB468">
        <v>0</v>
      </c>
    </row>
    <row r="469" spans="1:80">
      <c r="A469" s="178" t="str">
        <f ca="1">IFERROR(IF(AG468&lt;5+金蛇*2,IF(COUNTIF(B468,"*轻*")&gt;0,A468+加速!$L$9,A468+加速!$L$11)+V468,""),"")</f>
        <v/>
      </c>
      <c r="B469" s="167" t="str">
        <f ca="1" t="shared" si="127"/>
        <v/>
      </c>
      <c r="C469" t="str">
        <f ca="1" t="shared" si="136"/>
        <v/>
      </c>
      <c r="D469" t="str">
        <f ca="1">IF(B469&lt;&gt;"",IF(C468&lt;=加速!$L$11*(1-E469),0,1),"")</f>
        <v/>
      </c>
      <c r="E469">
        <f ca="1" t="shared" si="133"/>
        <v>1</v>
      </c>
      <c r="G469" t="str">
        <f ca="1" t="shared" si="134"/>
        <v/>
      </c>
      <c r="H469" t="str">
        <f ca="1">IF(B469&lt;&gt;"",IF(AND(COUNTIF(B468,"*轻*莺鸣柳*")&gt;0,COUNTIF(B469,"*轻*")&lt;1),MAX(0,15+I468-(A469-A468)+COUNTIF(B468,"*平湖*")*0),IF(AND(E469=0,MAX(0,H468-(A469-A468))&lt;=加速!$H$11),0,MAX(0,H468-(A469-A468)))),"")</f>
        <v/>
      </c>
      <c r="I469" t="str">
        <f ca="1" t="shared" si="140"/>
        <v/>
      </c>
      <c r="J469" t="str">
        <f ca="1" t="shared" si="141"/>
        <v/>
      </c>
      <c r="K469" t="str">
        <f ca="1" t="shared" si="128"/>
        <v/>
      </c>
      <c r="L469">
        <f ca="1">IFERROR(IF(AND(COUNTIF(B469,"*-峰插*"),技能数据库!$M$72&gt;0),0,IF(COUNTIF(B469,"*鹤归*")&gt;0,16-加速!$L$11,MAX(0,L468-(A469-A468)))),0)</f>
        <v>0</v>
      </c>
      <c r="M469">
        <f ca="1" t="shared" si="129"/>
        <v>0</v>
      </c>
      <c r="N469">
        <f ca="1">IFERROR(IF(AND(COUNTIF(B469,"*-峰插*"),技能数据库!$M$72&gt;0),0,IF(COUNTIF(B469,"*云飞*")&gt;0,4-COUNTIF(B469,"*玉山揽云*")*4--COUNTIF(B469,"*烟流暮景*")*4-COUNTIF(B469,"*云景*")*加速!$L$11-IF(J469&gt;0,2,0),MAX(0,N468-(A469-A468)-IF(J469&gt;0,2,0)))),0)</f>
        <v>0</v>
      </c>
      <c r="O469">
        <f ca="1">IF(AND(COUNTIF(IF(AND(配装计算器!$K$30&lt;&gt;"∞",0),INDEX(AU468:CB468,1,$AT$1),INDEX(AU470:CB470,1,$AT$1)),"*云飞*")=1,COUNTIF(IF(AND(配装计算器!$K$30&lt;&gt;"∞",0),INDEX(AU468:CB468,1,$AT$1),INDEX(AU470:CB470,1,$AT$1)),"*玉山*")=0),N469,0)</f>
        <v>0</v>
      </c>
      <c r="P469">
        <f ca="1">IFERROR(IF(COUNTIF(B469,"*云栖松*")&gt;0,50-加速!$L$11,MAX(0,P468-(A469-A468))),0)</f>
        <v>0</v>
      </c>
      <c r="Q469">
        <f ca="1">IF(COUNTIF(IF(AND(配装计算器!$K$30&lt;&gt;"∞",0),INDEX(AU468:CB468,1,$AT$1),INDEX(AU470:CB470,1,$AT$1)),"*云栖松*")=1,P469,0)</f>
        <v>0</v>
      </c>
      <c r="R469">
        <f ca="1">IFERROR(IF(COUNTIF(B469,"*莺鸣柳*")&gt;0,45-加速!$L$9,MAX(0,R468-(A469-A468))),0)</f>
        <v>0</v>
      </c>
      <c r="S469">
        <f ca="1">IF(COUNTIF(IF(AND(配装计算器!$K$30&lt;&gt;"∞",0),INDEX(AU468:CB468,1,$AT$1),INDEX(AU470:CB470,1,$AT$1)),"*莺鸣柳*")=1,R469,0)</f>
        <v>0</v>
      </c>
      <c r="T469">
        <f ca="1" t="shared" si="137"/>
        <v>0</v>
      </c>
      <c r="U469">
        <f ca="1">IF(金蛇,IF(COUNTIF(B469,"*金环戴*")+COUNTIF(B469,"*吹风醒*")&gt;0,IF(A469&lt;=3,7.125-2.625-A469-加速!$L$11,7.125+加速!$K$9-(A469+加速!$L$11-T469)),0),0)+IF(金蛇,IF(COUNTIF(B469,"*千切子裂光*")&gt;0,2+加速!$K$9-(A469+加速!$L$11-T469),0),0)</f>
        <v>0</v>
      </c>
      <c r="V469">
        <f ca="1" t="shared" si="138"/>
        <v>0</v>
      </c>
      <c r="W469">
        <f ca="1" t="shared" si="130"/>
        <v>0</v>
      </c>
      <c r="X469">
        <f ca="1">INDEX(加速!$I$13:$I$21,W469+1)</f>
        <v>0</v>
      </c>
      <c r="Y469">
        <f ca="1" t="shared" si="139"/>
        <v>0.5</v>
      </c>
      <c r="Z469">
        <f ca="1" t="shared" si="135"/>
        <v>0</v>
      </c>
      <c r="AA469">
        <f ca="1">MAX(0,IFERROR(IF(COUNTIF(B469,"*叠*")&gt;0,IF(AC468&lt;3,8-A470+A469,AA468+6.875-A470+A469),AA468-A470+A469),AA468-加速!$L$11))</f>
        <v>0</v>
      </c>
      <c r="AB469" t="e">
        <f ca="1">MAX(0,IF(COUNTIF(IF(AND(配装计算器!$K$30&lt;&gt;"∞",0),INDEX(AU469:CB469,1,$AT$1),INDEX(AU469:CB469,1,$AT$1)),"*叠1*")=1,4*25-加速!$L$11,AB468-A469+A468)-IF(OR(COUNTIF(OFFSET(AT469,0,$AT$1,1,1),"*听雷*")&gt;0,AND(碧归&gt;0,COUNTIF(OFFSET(AT469,0,$AT$1,1,1),"*风来*")&gt;0)),0,1)*1.5)</f>
        <v>#VALUE!</v>
      </c>
      <c r="AC469">
        <f ca="1" t="shared" si="131"/>
        <v>0</v>
      </c>
      <c r="AD469">
        <f ca="1">IF(COUNTIF(IF(AND(配装计算器!$K$30&lt;&gt;"∞",0),INDEX(AU469:CB469,1,$AT$1),INDEX(AU470:CB470,1,$AT$1)),"*叠1*")=1,AB469*0+AE468,0)</f>
        <v>0</v>
      </c>
      <c r="AE469" t="e">
        <f ca="1">IF($AN$11&gt;0,IF(COUNTIF(B470,"*叠1*")&gt;0,50-加速!$L$11,MAX(0,AE468-(A470-A469))),0)</f>
        <v>#VALUE!</v>
      </c>
      <c r="AG469">
        <f ca="1" t="shared" si="132"/>
        <v>13</v>
      </c>
      <c r="AU469" s="176" t="s">
        <v>2776</v>
      </c>
      <c r="AV469">
        <v>2</v>
      </c>
      <c r="AW469" t="str">
        <f>IF($AR$11=1,"云飞玉皇","夕照雷峰")</f>
        <v>夕照雷峰</v>
      </c>
      <c r="AX469">
        <v>2</v>
      </c>
      <c r="AY469" t="s">
        <v>2768</v>
      </c>
      <c r="AZ469">
        <v>2</v>
      </c>
      <c r="BA469" t="s">
        <v>2768</v>
      </c>
      <c r="BB469">
        <v>1</v>
      </c>
      <c r="BC469" s="176" t="s">
        <v>3026</v>
      </c>
      <c r="BD469">
        <v>2</v>
      </c>
      <c r="BE469" s="176" t="s">
        <v>2789</v>
      </c>
      <c r="BF469">
        <v>2</v>
      </c>
      <c r="BG469" t="s">
        <v>2776</v>
      </c>
      <c r="BH469">
        <v>1</v>
      </c>
      <c r="BI469" t="s">
        <v>2794</v>
      </c>
      <c r="BJ469">
        <v>2</v>
      </c>
      <c r="BK469" t="s">
        <v>3026</v>
      </c>
      <c r="BL469">
        <v>2</v>
      </c>
      <c r="BM469" t="s">
        <v>2768</v>
      </c>
      <c r="BN469">
        <v>2</v>
      </c>
      <c r="BO469" s="176" t="s">
        <v>2808</v>
      </c>
      <c r="BP469">
        <v>2</v>
      </c>
      <c r="BQ469" t="s">
        <v>2768</v>
      </c>
      <c r="BR469">
        <v>0</v>
      </c>
      <c r="BS469" s="182" t="s">
        <v>2776</v>
      </c>
      <c r="BT469">
        <v>2</v>
      </c>
      <c r="BU469" t="s">
        <v>1886</v>
      </c>
      <c r="BV469">
        <v>0</v>
      </c>
      <c r="BW469" s="179" t="s">
        <v>2722</v>
      </c>
      <c r="BX469" s="179">
        <v>2</v>
      </c>
      <c r="BY469" t="s">
        <v>2768</v>
      </c>
      <c r="BZ469">
        <v>2</v>
      </c>
      <c r="CA469" t="s">
        <v>2768</v>
      </c>
      <c r="CB469">
        <v>2</v>
      </c>
    </row>
    <row r="470" spans="1:80">
      <c r="A470" s="178" t="str">
        <f ca="1">IFERROR(IF(AG469&lt;5+金蛇*2,IF(COUNTIF(B469,"*轻*")&gt;0,A469+加速!$L$9,A469+加速!$L$11)+V469,""),"")</f>
        <v/>
      </c>
      <c r="B470" s="167" t="str">
        <f ca="1" t="shared" si="127"/>
        <v/>
      </c>
      <c r="C470" t="str">
        <f ca="1" t="shared" si="136"/>
        <v/>
      </c>
      <c r="D470" t="str">
        <f ca="1">IF(B470&lt;&gt;"",IF(C469&lt;=加速!$L$11*(1-E470),0,1),"")</f>
        <v/>
      </c>
      <c r="E470">
        <f ca="1" t="shared" si="133"/>
        <v>1</v>
      </c>
      <c r="G470" t="str">
        <f ca="1" t="shared" si="134"/>
        <v/>
      </c>
      <c r="H470" t="str">
        <f ca="1">IF(B470&lt;&gt;"",IF(AND(COUNTIF(B469,"*轻*莺鸣柳*")&gt;0,COUNTIF(B470,"*轻*")&lt;1),MAX(0,15+I469-(A470-A469)+COUNTIF(B469,"*平湖*")*0),IF(AND(E470=0,MAX(0,H469-(A470-A469))&lt;=加速!$H$11),0,MAX(0,H469-(A470-A469)))),"")</f>
        <v/>
      </c>
      <c r="I470" t="str">
        <f ca="1" t="shared" si="140"/>
        <v/>
      </c>
      <c r="J470" t="str">
        <f ca="1" t="shared" si="141"/>
        <v/>
      </c>
      <c r="K470" t="str">
        <f ca="1" t="shared" si="128"/>
        <v/>
      </c>
      <c r="L470">
        <f ca="1">IFERROR(IF(AND(COUNTIF(B470,"*-峰插*"),技能数据库!$M$72&gt;0),0,IF(COUNTIF(B470,"*鹤归*")&gt;0,16-加速!$L$11,MAX(0,L469-(A470-A469)))),0)</f>
        <v>0</v>
      </c>
      <c r="M470">
        <f ca="1" t="shared" si="129"/>
        <v>0</v>
      </c>
      <c r="N470">
        <f ca="1">IFERROR(IF(AND(COUNTIF(B470,"*-峰插*"),技能数据库!$M$72&gt;0),0,IF(COUNTIF(B470,"*云飞*")&gt;0,4-COUNTIF(B470,"*玉山揽云*")*4--COUNTIF(B470,"*烟流暮景*")*4-COUNTIF(B470,"*云景*")*加速!$L$11-IF(J470&gt;0,2,0),MAX(0,N469-(A470-A469)-IF(J470&gt;0,2,0)))),0)</f>
        <v>0</v>
      </c>
      <c r="O470">
        <f ca="1">IF(AND(COUNTIF(IF(AND(配装计算器!$K$30&lt;&gt;"∞",0),INDEX(AU469:CB469,1,$AT$1),INDEX(AU471:CB471,1,$AT$1)),"*云飞*")=1,COUNTIF(IF(AND(配装计算器!$K$30&lt;&gt;"∞",0),INDEX(AU469:CB469,1,$AT$1),INDEX(AU471:CB471,1,$AT$1)),"*玉山*")=0),N470,0)</f>
        <v>0</v>
      </c>
      <c r="P470">
        <f ca="1">IFERROR(IF(COUNTIF(B470,"*云栖松*")&gt;0,50-加速!$L$11,MAX(0,P469-(A470-A469))),0)</f>
        <v>0</v>
      </c>
      <c r="Q470">
        <f ca="1">IF(COUNTIF(IF(AND(配装计算器!$K$30&lt;&gt;"∞",0),INDEX(AU469:CB469,1,$AT$1),INDEX(AU471:CB471,1,$AT$1)),"*云栖松*")=1,P470,0)</f>
        <v>0</v>
      </c>
      <c r="R470">
        <f ca="1">IFERROR(IF(COUNTIF(B470,"*莺鸣柳*")&gt;0,45-加速!$L$9,MAX(0,R469-(A470-A469))),0)</f>
        <v>0</v>
      </c>
      <c r="S470">
        <f ca="1">IF(COUNTIF(IF(AND(配装计算器!$K$30&lt;&gt;"∞",0),INDEX(AU469:CB469,1,$AT$1),INDEX(AU471:CB471,1,$AT$1)),"*莺鸣柳*")=1,R470,0)</f>
        <v>0</v>
      </c>
      <c r="T470">
        <f ca="1" t="shared" si="137"/>
        <v>0</v>
      </c>
      <c r="U470">
        <f ca="1">IF(金蛇,IF(COUNTIF(B470,"*金环戴*")+COUNTIF(B470,"*吹风醒*")&gt;0,IF(A470&lt;=3,7.125-2.625-A470-加速!$L$11,7.125+加速!$K$9-(A470+加速!$L$11-T470)),0),0)+IF(金蛇,IF(COUNTIF(B470,"*千切子裂光*")&gt;0,2+加速!$K$9-(A470+加速!$L$11-T470),0),0)</f>
        <v>0</v>
      </c>
      <c r="V470">
        <f ca="1" t="shared" si="138"/>
        <v>0</v>
      </c>
      <c r="W470">
        <f ca="1" t="shared" si="130"/>
        <v>0</v>
      </c>
      <c r="X470">
        <f ca="1">INDEX(加速!$I$13:$I$21,W470+1)</f>
        <v>0</v>
      </c>
      <c r="Y470">
        <f ca="1" t="shared" si="139"/>
        <v>0.5</v>
      </c>
      <c r="Z470">
        <f ca="1" t="shared" si="135"/>
        <v>0</v>
      </c>
      <c r="AA470">
        <f ca="1">MAX(0,IFERROR(IF(COUNTIF(B470,"*叠*")&gt;0,IF(AC469&lt;3,8-A471+A470,AA469+6.875-A471+A470),AA469-A471+A470),AA469-加速!$L$11))</f>
        <v>0</v>
      </c>
      <c r="AB470" t="e">
        <f ca="1">MAX(0,IF(COUNTIF(IF(AND(配装计算器!$K$30&lt;&gt;"∞",0),INDEX(AU470:CB470,1,$AT$1),INDEX(AU470:CB470,1,$AT$1)),"*叠1*")=1,4*25-加速!$L$11,AB469-A470+A469)-IF(OR(COUNTIF(OFFSET(AT470,0,$AT$1,1,1),"*听雷*")&gt;0,AND(碧归&gt;0,COUNTIF(OFFSET(AT470,0,$AT$1,1,1),"*风来*")&gt;0)),0,1)*1.5)</f>
        <v>#VALUE!</v>
      </c>
      <c r="AC470">
        <f ca="1" t="shared" si="131"/>
        <v>0</v>
      </c>
      <c r="AD470">
        <f ca="1">IF(COUNTIF(IF(AND(配装计算器!$K$30&lt;&gt;"∞",0),INDEX(AU470:CB470,1,$AT$1),INDEX(AU471:CB471,1,$AT$1)),"*叠1*")=1,AB470*0+AE469,0)</f>
        <v>0</v>
      </c>
      <c r="AE470" t="e">
        <f ca="1">IF($AN$11&gt;0,IF(COUNTIF(B471,"*叠1*")&gt;0,50-加速!$L$11,MAX(0,AE469-(A471-A470))),0)</f>
        <v>#VALUE!</v>
      </c>
      <c r="AG470">
        <f ca="1" t="shared" si="132"/>
        <v>13</v>
      </c>
      <c r="AU470" t="s">
        <v>2768</v>
      </c>
      <c r="AV470">
        <v>2</v>
      </c>
      <c r="AW470" t="s">
        <v>2768</v>
      </c>
      <c r="AX470">
        <v>2</v>
      </c>
      <c r="AY470" t="s">
        <v>2768</v>
      </c>
      <c r="AZ470">
        <v>1</v>
      </c>
      <c r="BA470" t="s">
        <v>2768</v>
      </c>
      <c r="BB470">
        <v>0</v>
      </c>
      <c r="BC470" s="176" t="s">
        <v>3026</v>
      </c>
      <c r="BD470">
        <v>2</v>
      </c>
      <c r="BE470" s="176" t="s">
        <v>2776</v>
      </c>
      <c r="BF470">
        <v>2</v>
      </c>
      <c r="BG470" t="s">
        <v>2768</v>
      </c>
      <c r="BH470">
        <v>1</v>
      </c>
      <c r="BI470" t="s">
        <v>2776</v>
      </c>
      <c r="BJ470">
        <v>2</v>
      </c>
      <c r="BK470" t="s">
        <v>3026</v>
      </c>
      <c r="BL470">
        <v>2</v>
      </c>
      <c r="BM470" t="s">
        <v>2768</v>
      </c>
      <c r="BN470">
        <v>2</v>
      </c>
      <c r="BO470" t="str">
        <f>IF(0,"云飞玉皇-玉山揽云","夕照雷峰")</f>
        <v>夕照雷峰</v>
      </c>
      <c r="BP470">
        <v>2</v>
      </c>
      <c r="BQ470" t="str">
        <f>IF(秋,"云栖松","泉凝月")</f>
        <v>泉凝月</v>
      </c>
      <c r="BR470">
        <v>0</v>
      </c>
      <c r="BS470" s="182" t="s">
        <v>2768</v>
      </c>
      <c r="BT470">
        <v>2</v>
      </c>
      <c r="BU470" t="s">
        <v>2853</v>
      </c>
      <c r="BV470">
        <v>2</v>
      </c>
      <c r="BW470" s="179" t="s">
        <v>3009</v>
      </c>
      <c r="BX470" s="179">
        <v>2</v>
      </c>
      <c r="BY470" t="s">
        <v>2768</v>
      </c>
      <c r="BZ470">
        <v>1</v>
      </c>
      <c r="CA470" t="s">
        <v>2768</v>
      </c>
      <c r="CB470">
        <v>1</v>
      </c>
    </row>
    <row r="471" spans="1:80">
      <c r="A471" s="178" t="str">
        <f ca="1">IFERROR(IF(AG470&lt;5+金蛇*2,IF(COUNTIF(B470,"*轻*")&gt;0,A470+加速!$L$9,A470+加速!$L$11)+V470,""),"")</f>
        <v/>
      </c>
      <c r="B471" s="167" t="str">
        <f ca="1" t="shared" si="127"/>
        <v/>
      </c>
      <c r="C471" t="str">
        <f ca="1" t="shared" si="136"/>
        <v/>
      </c>
      <c r="D471" t="str">
        <f ca="1">IF(B471&lt;&gt;"",IF(C470&lt;=加速!$L$11*(1-E471),0,1),"")</f>
        <v/>
      </c>
      <c r="E471">
        <f ca="1" t="shared" si="133"/>
        <v>1</v>
      </c>
      <c r="G471" t="str">
        <f ca="1" t="shared" si="134"/>
        <v/>
      </c>
      <c r="H471" t="str">
        <f ca="1">IF(B471&lt;&gt;"",IF(AND(COUNTIF(B470,"*轻*莺鸣柳*")&gt;0,COUNTIF(B471,"*轻*")&lt;1),MAX(0,15+I470-(A471-A470)+COUNTIF(B470,"*平湖*")*0),IF(AND(E471=0,MAX(0,H470-(A471-A470))&lt;=加速!$H$11),0,MAX(0,H470-(A471-A470)))),"")</f>
        <v/>
      </c>
      <c r="I471" t="str">
        <f ca="1" t="shared" si="140"/>
        <v/>
      </c>
      <c r="J471" t="str">
        <f ca="1" t="shared" si="141"/>
        <v/>
      </c>
      <c r="K471" t="str">
        <f ca="1" t="shared" si="128"/>
        <v/>
      </c>
      <c r="L471">
        <f ca="1">IFERROR(IF(AND(COUNTIF(B471,"*-峰插*"),技能数据库!$M$72&gt;0),0,IF(COUNTIF(B471,"*鹤归*")&gt;0,16-加速!$L$11,MAX(0,L470-(A471-A470)))),0)</f>
        <v>0</v>
      </c>
      <c r="M471">
        <f ca="1" t="shared" si="129"/>
        <v>0</v>
      </c>
      <c r="N471">
        <f ca="1">IFERROR(IF(AND(COUNTIF(B471,"*-峰插*"),技能数据库!$M$72&gt;0),0,IF(COUNTIF(B471,"*云飞*")&gt;0,4-COUNTIF(B471,"*玉山揽云*")*4--COUNTIF(B471,"*烟流暮景*")*4-COUNTIF(B471,"*云景*")*加速!$L$11-IF(J471&gt;0,2,0),MAX(0,N470-(A471-A470)-IF(J471&gt;0,2,0)))),0)</f>
        <v>0</v>
      </c>
      <c r="O471">
        <f ca="1">IF(AND(COUNTIF(IF(AND(配装计算器!$K$30&lt;&gt;"∞",0),INDEX(AU470:CB470,1,$AT$1),INDEX(AU472:CB472,1,$AT$1)),"*云飞*")=1,COUNTIF(IF(AND(配装计算器!$K$30&lt;&gt;"∞",0),INDEX(AU470:CB470,1,$AT$1),INDEX(AU472:CB472,1,$AT$1)),"*玉山*")=0),N471,0)</f>
        <v>0</v>
      </c>
      <c r="P471">
        <f ca="1">IFERROR(IF(COUNTIF(B471,"*云栖松*")&gt;0,50-加速!$L$11,MAX(0,P470-(A471-A470))),0)</f>
        <v>0</v>
      </c>
      <c r="Q471">
        <f ca="1">IF(COUNTIF(IF(AND(配装计算器!$K$30&lt;&gt;"∞",0),INDEX(AU470:CB470,1,$AT$1),INDEX(AU472:CB472,1,$AT$1)),"*云栖松*")=1,P471,0)</f>
        <v>0</v>
      </c>
      <c r="R471">
        <f ca="1">IFERROR(IF(COUNTIF(B471,"*莺鸣柳*")&gt;0,45-加速!$L$9,MAX(0,R470-(A471-A470))),0)</f>
        <v>0</v>
      </c>
      <c r="S471">
        <f ca="1">IF(COUNTIF(IF(AND(配装计算器!$K$30&lt;&gt;"∞",0),INDEX(AU470:CB470,1,$AT$1),INDEX(AU472:CB472,1,$AT$1)),"*莺鸣柳*")=1,R471,0)</f>
        <v>0</v>
      </c>
      <c r="T471">
        <f ca="1" t="shared" si="137"/>
        <v>0</v>
      </c>
      <c r="U471">
        <f ca="1">IF(金蛇,IF(COUNTIF(B471,"*金环戴*")+COUNTIF(B471,"*吹风醒*")&gt;0,IF(A471&lt;=3,7.125-2.625-A471-加速!$L$11,7.125+加速!$K$9-(A471+加速!$L$11-T471)),0),0)+IF(金蛇,IF(COUNTIF(B471,"*千切子裂光*")&gt;0,2+加速!$K$9-(A471+加速!$L$11-T471),0),0)</f>
        <v>0</v>
      </c>
      <c r="V471">
        <f ca="1" t="shared" si="138"/>
        <v>0</v>
      </c>
      <c r="W471">
        <f ca="1" t="shared" si="130"/>
        <v>0</v>
      </c>
      <c r="X471">
        <f ca="1">INDEX(加速!$I$13:$I$21,W471+1)</f>
        <v>0</v>
      </c>
      <c r="Y471">
        <f ca="1" t="shared" si="139"/>
        <v>0.5</v>
      </c>
      <c r="Z471">
        <f ca="1" t="shared" si="135"/>
        <v>0</v>
      </c>
      <c r="AA471">
        <f ca="1">MAX(0,IFERROR(IF(COUNTIF(B471,"*叠*")&gt;0,IF(AC470&lt;3,8-A472+A471,AA470+6.875-A472+A471),AA470-A472+A471),AA470-加速!$L$11))</f>
        <v>0</v>
      </c>
      <c r="AB471" t="e">
        <f ca="1">MAX(0,IF(COUNTIF(IF(AND(配装计算器!$K$30&lt;&gt;"∞",0),INDEX(AU471:CB471,1,$AT$1),INDEX(AU471:CB471,1,$AT$1)),"*叠1*")=1,4*25-加速!$L$11,AB470-A471+A470)-IF(OR(COUNTIF(OFFSET(AT471,0,$AT$1,1,1),"*听雷*")&gt;0,AND(碧归&gt;0,COUNTIF(OFFSET(AT471,0,$AT$1,1,1),"*风来*")&gt;0)),0,1)*1.5)</f>
        <v>#VALUE!</v>
      </c>
      <c r="AC471">
        <f ca="1" t="shared" si="131"/>
        <v>0</v>
      </c>
      <c r="AD471">
        <f ca="1">IF(COUNTIF(IF(AND(配装计算器!$K$30&lt;&gt;"∞",0),INDEX(AU471:CB471,1,$AT$1),INDEX(AU472:CB472,1,$AT$1)),"*叠1*")=1,AB471*0+AE470,0)</f>
        <v>0</v>
      </c>
      <c r="AE471" t="e">
        <f ca="1">IF($AN$11&gt;0,IF(COUNTIF(B472,"*叠1*")&gt;0,50-加速!$L$11,MAX(0,AE470-(A472-A471))),0)</f>
        <v>#VALUE!</v>
      </c>
      <c r="AG471">
        <f ca="1" t="shared" si="132"/>
        <v>13</v>
      </c>
      <c r="AU471" t="str">
        <f>IF($AN$11=1,"云飞玉皇-玉山揽云","夕照雷峰")</f>
        <v>云飞玉皇-玉山揽云</v>
      </c>
      <c r="AV471">
        <v>2</v>
      </c>
      <c r="AW471" t="s">
        <v>2768</v>
      </c>
      <c r="AX471">
        <v>2</v>
      </c>
      <c r="AY471" t="s">
        <v>2776</v>
      </c>
      <c r="AZ471">
        <v>1</v>
      </c>
      <c r="BA471" t="s">
        <v>3010</v>
      </c>
      <c r="BB471">
        <v>2</v>
      </c>
      <c r="BC471" s="176" t="s">
        <v>3026</v>
      </c>
      <c r="BD471">
        <v>2</v>
      </c>
      <c r="BE471" s="176" t="s">
        <v>3035</v>
      </c>
      <c r="BF471">
        <v>2</v>
      </c>
      <c r="BG471" t="s">
        <v>3011</v>
      </c>
      <c r="BH471">
        <v>2</v>
      </c>
      <c r="BI471" t="s">
        <v>2768</v>
      </c>
      <c r="BJ471">
        <v>2</v>
      </c>
      <c r="BK471" t="s">
        <v>2776</v>
      </c>
      <c r="BL471">
        <v>2</v>
      </c>
      <c r="BM471" t="s">
        <v>2776</v>
      </c>
      <c r="BN471">
        <v>2</v>
      </c>
      <c r="BO471" t="str">
        <f>IF(0,"云飞玉皇-玉山揽云","云飞玉皇")</f>
        <v>云飞玉皇</v>
      </c>
      <c r="BP471">
        <v>2</v>
      </c>
      <c r="BQ471" t="s">
        <v>2768</v>
      </c>
      <c r="BR471">
        <v>0</v>
      </c>
      <c r="BS471" s="182" t="s">
        <v>3085</v>
      </c>
      <c r="BT471">
        <v>2</v>
      </c>
      <c r="BU471" s="176" t="str">
        <f>IF(秋,"金蛇锥-金环戴","金蛇锥-吹风醒")</f>
        <v>金蛇锥-吹风醒</v>
      </c>
      <c r="BV471">
        <v>2</v>
      </c>
      <c r="BW471" s="179" t="s">
        <v>3078</v>
      </c>
      <c r="BX471" s="179">
        <v>2</v>
      </c>
      <c r="BY471" t="s">
        <v>2776</v>
      </c>
      <c r="BZ471">
        <v>1</v>
      </c>
      <c r="CA471" t="s">
        <v>2776</v>
      </c>
      <c r="CB471">
        <v>1</v>
      </c>
    </row>
    <row r="472" spans="1:80">
      <c r="A472" s="178" t="str">
        <f ca="1">IFERROR(IF(AG471&lt;5+金蛇*2,IF(COUNTIF(B471,"*轻*")&gt;0,A471+加速!$L$9,A471+加速!$L$11)+V471,""),"")</f>
        <v/>
      </c>
      <c r="B472" s="167" t="str">
        <f ca="1" t="shared" si="127"/>
        <v/>
      </c>
      <c r="C472" t="str">
        <f ca="1" t="shared" si="136"/>
        <v/>
      </c>
      <c r="D472" t="str">
        <f ca="1">IF(B472&lt;&gt;"",IF(C471&lt;=加速!$L$11*(1-E472),0,1),"")</f>
        <v/>
      </c>
      <c r="E472">
        <f ca="1" t="shared" si="133"/>
        <v>1</v>
      </c>
      <c r="G472" t="str">
        <f ca="1" t="shared" si="134"/>
        <v/>
      </c>
      <c r="H472" t="str">
        <f ca="1">IF(B472&lt;&gt;"",IF(AND(COUNTIF(B471,"*轻*莺鸣柳*")&gt;0,COUNTIF(B472,"*轻*")&lt;1),MAX(0,15+I471-(A472-A471)+COUNTIF(B471,"*平湖*")*0),IF(AND(E472=0,MAX(0,H471-(A472-A471))&lt;=加速!$H$11),0,MAX(0,H471-(A472-A471)))),"")</f>
        <v/>
      </c>
      <c r="I472" t="str">
        <f ca="1" t="shared" si="140"/>
        <v/>
      </c>
      <c r="J472" t="str">
        <f ca="1" t="shared" si="141"/>
        <v/>
      </c>
      <c r="K472" t="str">
        <f ca="1" t="shared" si="128"/>
        <v/>
      </c>
      <c r="L472">
        <f ca="1">IFERROR(IF(AND(COUNTIF(B472,"*-峰插*"),技能数据库!$M$72&gt;0),0,IF(COUNTIF(B472,"*鹤归*")&gt;0,16-加速!$L$11,MAX(0,L471-(A472-A471)))),0)</f>
        <v>0</v>
      </c>
      <c r="M472">
        <f ca="1" t="shared" si="129"/>
        <v>0</v>
      </c>
      <c r="N472">
        <f ca="1">IFERROR(IF(AND(COUNTIF(B472,"*-峰插*"),技能数据库!$M$72&gt;0),0,IF(COUNTIF(B472,"*云飞*")&gt;0,4-COUNTIF(B472,"*玉山揽云*")*4--COUNTIF(B472,"*烟流暮景*")*4-COUNTIF(B472,"*云景*")*加速!$L$11-IF(J472&gt;0,2,0),MAX(0,N471-(A472-A471)-IF(J472&gt;0,2,0)))),0)</f>
        <v>0</v>
      </c>
      <c r="O472">
        <f ca="1">IF(AND(COUNTIF(IF(AND(配装计算器!$K$30&lt;&gt;"∞",0),INDEX(AU471:CB471,1,$AT$1),INDEX(AU473:CB473,1,$AT$1)),"*云飞*")=1,COUNTIF(IF(AND(配装计算器!$K$30&lt;&gt;"∞",0),INDEX(AU471:CB471,1,$AT$1),INDEX(AU473:CB473,1,$AT$1)),"*玉山*")=0),N472,0)</f>
        <v>0</v>
      </c>
      <c r="P472">
        <f ca="1">IFERROR(IF(COUNTIF(B472,"*云栖松*")&gt;0,50-加速!$L$11,MAX(0,P471-(A472-A471))),0)</f>
        <v>0</v>
      </c>
      <c r="Q472">
        <f ca="1">IF(COUNTIF(IF(AND(配装计算器!$K$30&lt;&gt;"∞",0),INDEX(AU471:CB471,1,$AT$1),INDEX(AU473:CB473,1,$AT$1)),"*云栖松*")=1,P472,0)</f>
        <v>0</v>
      </c>
      <c r="R472">
        <f ca="1">IFERROR(IF(COUNTIF(B472,"*莺鸣柳*")&gt;0,45-加速!$L$9,MAX(0,R471-(A472-A471))),0)</f>
        <v>0</v>
      </c>
      <c r="S472">
        <f ca="1">IF(COUNTIF(IF(AND(配装计算器!$K$30&lt;&gt;"∞",0),INDEX(AU471:CB471,1,$AT$1),INDEX(AU473:CB473,1,$AT$1)),"*莺鸣柳*")=1,R472,0)</f>
        <v>0</v>
      </c>
      <c r="T472">
        <f ca="1" t="shared" si="137"/>
        <v>0</v>
      </c>
      <c r="U472">
        <f ca="1">IF(金蛇,IF(COUNTIF(B472,"*金环戴*")+COUNTIF(B472,"*吹风醒*")&gt;0,IF(A472&lt;=3,7.125-2.625-A472-加速!$L$11,7.125+加速!$K$9-(A472+加速!$L$11-T472)),0),0)+IF(金蛇,IF(COUNTIF(B472,"*千切子裂光*")&gt;0,2+加速!$K$9-(A472+加速!$L$11-T472),0),0)</f>
        <v>0</v>
      </c>
      <c r="V472">
        <f ca="1" t="shared" si="138"/>
        <v>0</v>
      </c>
      <c r="W472">
        <f ca="1" t="shared" si="130"/>
        <v>0</v>
      </c>
      <c r="X472">
        <f ca="1">INDEX(加速!$I$13:$I$21,W472+1)</f>
        <v>0</v>
      </c>
      <c r="Y472">
        <f ca="1" t="shared" si="139"/>
        <v>0.5</v>
      </c>
      <c r="Z472">
        <f ca="1" t="shared" si="135"/>
        <v>0</v>
      </c>
      <c r="AA472">
        <f ca="1">MAX(0,IFERROR(IF(COUNTIF(B472,"*叠*")&gt;0,IF(AC471&lt;3,8-A473+A472,AA471+6.875-A473+A472),AA471-A473+A472),AA471-加速!$L$11))</f>
        <v>0</v>
      </c>
      <c r="AB472" t="e">
        <f ca="1">MAX(0,IF(COUNTIF(IF(AND(配装计算器!$K$30&lt;&gt;"∞",0),INDEX(AU472:CB472,1,$AT$1),INDEX(AU472:CB472,1,$AT$1)),"*叠1*")=1,4*25-加速!$L$11,AB471-A472+A471)-IF(OR(COUNTIF(OFFSET(AT472,0,$AT$1,1,1),"*听雷*")&gt;0,AND(碧归&gt;0,COUNTIF(OFFSET(AT472,0,$AT$1,1,1),"*风来*")&gt;0)),0,1)*1.5)</f>
        <v>#VALUE!</v>
      </c>
      <c r="AC472">
        <f ca="1" t="shared" si="131"/>
        <v>0</v>
      </c>
      <c r="AD472">
        <f ca="1">IF(COUNTIF(IF(AND(配装计算器!$K$30&lt;&gt;"∞",0),INDEX(AU472:CB472,1,$AT$1),INDEX(AU473:CB473,1,$AT$1)),"*叠1*")=1,AB472*0+AE471,0)</f>
        <v>0</v>
      </c>
      <c r="AE472" t="e">
        <f ca="1">IF($AN$11&gt;0,IF(COUNTIF(B473,"*叠1*")&gt;0,50-加速!$L$11,MAX(0,AE471-(A473-A472))),0)</f>
        <v>#VALUE!</v>
      </c>
      <c r="AG472">
        <f ca="1" t="shared" si="132"/>
        <v>13</v>
      </c>
      <c r="AU472" t="str">
        <f>IF($AN$11=1,"云飞玉皇-玉山揽云","云飞玉皇")</f>
        <v>云飞玉皇-玉山揽云</v>
      </c>
      <c r="AV472">
        <v>2</v>
      </c>
      <c r="AW472" t="s">
        <v>2776</v>
      </c>
      <c r="AX472">
        <v>2</v>
      </c>
      <c r="AY472" t="s">
        <v>2768</v>
      </c>
      <c r="AZ472">
        <v>1</v>
      </c>
      <c r="BA472" t="s">
        <v>3013</v>
      </c>
      <c r="BB472">
        <v>2</v>
      </c>
      <c r="BC472" s="176" t="s">
        <v>3026</v>
      </c>
      <c r="BD472">
        <v>2</v>
      </c>
      <c r="BE472" t="s">
        <v>2768</v>
      </c>
      <c r="BF472">
        <v>2</v>
      </c>
      <c r="BG472" t="s">
        <v>2768</v>
      </c>
      <c r="BH472">
        <v>2</v>
      </c>
      <c r="BI472" t="s">
        <v>2776</v>
      </c>
      <c r="BJ472">
        <v>2</v>
      </c>
      <c r="BK472" t="s">
        <v>2794</v>
      </c>
      <c r="BL472">
        <v>2</v>
      </c>
      <c r="BM472" t="s">
        <v>2768</v>
      </c>
      <c r="BN472">
        <v>1</v>
      </c>
      <c r="BO472" t="str">
        <f>IF(0,"云飞玉皇-玉山揽云","夕照雷峰")</f>
        <v>夕照雷峰</v>
      </c>
      <c r="BP472">
        <v>2</v>
      </c>
      <c r="BQ472" t="s">
        <v>2776</v>
      </c>
      <c r="BR472">
        <v>2</v>
      </c>
      <c r="BS472" s="182" t="s">
        <v>3084</v>
      </c>
      <c r="BT472">
        <v>2</v>
      </c>
      <c r="BU472" t="s">
        <v>2773</v>
      </c>
      <c r="BV472">
        <v>2</v>
      </c>
      <c r="BW472" s="179" t="s">
        <v>2768</v>
      </c>
      <c r="BX472" s="179">
        <v>2</v>
      </c>
      <c r="BY472" t="s">
        <v>2768</v>
      </c>
      <c r="BZ472">
        <v>1</v>
      </c>
      <c r="CA472" t="s">
        <v>2768</v>
      </c>
      <c r="CB472">
        <v>1</v>
      </c>
    </row>
    <row r="473" spans="1:80">
      <c r="A473" s="178" t="str">
        <f ca="1">IFERROR(IF(AG472&lt;5+金蛇*2,IF(COUNTIF(B472,"*轻*")&gt;0,A472+加速!$L$9,A472+加速!$L$11)+V472,""),"")</f>
        <v/>
      </c>
      <c r="B473" s="167" t="str">
        <f ca="1" t="shared" si="127"/>
        <v/>
      </c>
      <c r="C473" t="str">
        <f ca="1" t="shared" si="136"/>
        <v/>
      </c>
      <c r="D473" t="str">
        <f ca="1">IF(B473&lt;&gt;"",IF(C472&lt;=加速!$L$11*(1-E473),0,1),"")</f>
        <v/>
      </c>
      <c r="E473">
        <f ca="1" t="shared" si="133"/>
        <v>1</v>
      </c>
      <c r="G473" t="str">
        <f ca="1" t="shared" si="134"/>
        <v/>
      </c>
      <c r="H473" t="str">
        <f ca="1">IF(B473&lt;&gt;"",IF(AND(COUNTIF(B472,"*轻*莺鸣柳*")&gt;0,COUNTIF(B473,"*轻*")&lt;1),MAX(0,15+I472-(A473-A472)+COUNTIF(B472,"*平湖*")*0),IF(AND(E473=0,MAX(0,H472-(A473-A472))&lt;=加速!$H$11),0,MAX(0,H472-(A473-A472)))),"")</f>
        <v/>
      </c>
      <c r="I473" t="str">
        <f ca="1" t="shared" si="140"/>
        <v/>
      </c>
      <c r="J473" t="str">
        <f ca="1" t="shared" si="141"/>
        <v/>
      </c>
      <c r="K473" t="str">
        <f ca="1" t="shared" si="128"/>
        <v/>
      </c>
      <c r="L473">
        <f ca="1">IFERROR(IF(AND(COUNTIF(B473,"*-峰插*"),技能数据库!$M$72&gt;0),0,IF(COUNTIF(B473,"*鹤归*")&gt;0,16-加速!$L$11,MAX(0,L472-(A473-A472)))),0)</f>
        <v>0</v>
      </c>
      <c r="M473">
        <f ca="1" t="shared" si="129"/>
        <v>0</v>
      </c>
      <c r="N473">
        <f ca="1">IFERROR(IF(AND(COUNTIF(B473,"*-峰插*"),技能数据库!$M$72&gt;0),0,IF(COUNTIF(B473,"*云飞*")&gt;0,4-COUNTIF(B473,"*玉山揽云*")*4--COUNTIF(B473,"*烟流暮景*")*4-COUNTIF(B473,"*云景*")*加速!$L$11-IF(J473&gt;0,2,0),MAX(0,N472-(A473-A472)-IF(J473&gt;0,2,0)))),0)</f>
        <v>0</v>
      </c>
      <c r="O473">
        <f ca="1">IF(AND(COUNTIF(IF(AND(配装计算器!$K$30&lt;&gt;"∞",0),INDEX(AU472:CB472,1,$AT$1),INDEX(AU474:CB474,1,$AT$1)),"*云飞*")=1,COUNTIF(IF(AND(配装计算器!$K$30&lt;&gt;"∞",0),INDEX(AU472:CB472,1,$AT$1),INDEX(AU474:CB474,1,$AT$1)),"*玉山*")=0),N473,0)</f>
        <v>0</v>
      </c>
      <c r="P473">
        <f ca="1">IFERROR(IF(COUNTIF(B473,"*云栖松*")&gt;0,50-加速!$L$11,MAX(0,P472-(A473-A472))),0)</f>
        <v>0</v>
      </c>
      <c r="Q473">
        <f ca="1">IF(COUNTIF(IF(AND(配装计算器!$K$30&lt;&gt;"∞",0),INDEX(AU472:CB472,1,$AT$1),INDEX(AU474:CB474,1,$AT$1)),"*云栖松*")=1,P473,0)</f>
        <v>0</v>
      </c>
      <c r="R473">
        <f ca="1">IFERROR(IF(COUNTIF(B473,"*莺鸣柳*")&gt;0,45-加速!$L$9,MAX(0,R472-(A473-A472))),0)</f>
        <v>0</v>
      </c>
      <c r="S473">
        <f ca="1">IF(COUNTIF(IF(AND(配装计算器!$K$30&lt;&gt;"∞",0),INDEX(AU472:CB472,1,$AT$1),INDEX(AU474:CB474,1,$AT$1)),"*莺鸣柳*")=1,R473,0)</f>
        <v>0</v>
      </c>
      <c r="T473">
        <f ca="1" t="shared" si="137"/>
        <v>0</v>
      </c>
      <c r="U473">
        <f ca="1">IF(金蛇,IF(COUNTIF(B473,"*金环戴*")+COUNTIF(B473,"*吹风醒*")&gt;0,IF(A473&lt;=3,7.125-2.625-A473-加速!$L$11,7.125+加速!$K$9-(A473+加速!$L$11-T473)),0),0)+IF(金蛇,IF(COUNTIF(B473,"*千切子裂光*")&gt;0,2+加速!$K$9-(A473+加速!$L$11-T473),0),0)</f>
        <v>0</v>
      </c>
      <c r="V473">
        <f ca="1" t="shared" si="138"/>
        <v>0</v>
      </c>
      <c r="W473">
        <f ca="1" t="shared" si="130"/>
        <v>0</v>
      </c>
      <c r="X473">
        <f ca="1">INDEX(加速!$I$13:$I$21,W473+1)</f>
        <v>0</v>
      </c>
      <c r="Y473">
        <f ca="1" t="shared" si="139"/>
        <v>0.5</v>
      </c>
      <c r="Z473">
        <f ca="1" t="shared" si="135"/>
        <v>0</v>
      </c>
      <c r="AA473">
        <f ca="1">MAX(0,IFERROR(IF(COUNTIF(B473,"*叠*")&gt;0,IF(AC472&lt;3,8-A474+A473,AA472+6.875-A474+A473),AA472-A474+A473),AA472-加速!$L$11))</f>
        <v>0</v>
      </c>
      <c r="AB473" t="e">
        <f ca="1">MAX(0,IF(COUNTIF(IF(AND(配装计算器!$K$30&lt;&gt;"∞",0),INDEX(AU473:CB473,1,$AT$1),INDEX(AU473:CB473,1,$AT$1)),"*叠1*")=1,4*25-加速!$L$11,AB472-A473+A472)-IF(OR(COUNTIF(OFFSET(AT473,0,$AT$1,1,1),"*听雷*")&gt;0,AND(碧归&gt;0,COUNTIF(OFFSET(AT473,0,$AT$1,1,1),"*风来*")&gt;0)),0,1)*1.5)</f>
        <v>#VALUE!</v>
      </c>
      <c r="AC473">
        <f ca="1" t="shared" si="131"/>
        <v>0</v>
      </c>
      <c r="AD473">
        <f ca="1">IF(COUNTIF(IF(AND(配装计算器!$K$30&lt;&gt;"∞",0),INDEX(AU473:CB473,1,$AT$1),INDEX(AU474:CB474,1,$AT$1)),"*叠1*")=1,AB473*0+AE472,0)</f>
        <v>0</v>
      </c>
      <c r="AE473" t="e">
        <f ca="1">IF($AN$11&gt;0,IF(COUNTIF(B474,"*叠1*")&gt;0,50-加速!$L$11,MAX(0,AE472-(A474-A473))),0)</f>
        <v>#VALUE!</v>
      </c>
      <c r="AG473">
        <f ca="1" t="shared" si="132"/>
        <v>13</v>
      </c>
      <c r="AU473" t="str">
        <f>IF($AN$11=1,"云飞玉皇-玉山揽云","夕照雷峰")</f>
        <v>云飞玉皇-玉山揽云</v>
      </c>
      <c r="AV473">
        <v>2</v>
      </c>
      <c r="AW473" t="s">
        <v>2768</v>
      </c>
      <c r="AX473">
        <v>2</v>
      </c>
      <c r="AY473" t="s">
        <v>2768</v>
      </c>
      <c r="AZ473">
        <v>0</v>
      </c>
      <c r="BA473" t="s">
        <v>3017</v>
      </c>
      <c r="BB473">
        <v>2</v>
      </c>
      <c r="BC473" t="s">
        <v>3013</v>
      </c>
      <c r="BD473">
        <v>2</v>
      </c>
      <c r="BE473" t="s">
        <v>2776</v>
      </c>
      <c r="BF473">
        <v>2</v>
      </c>
      <c r="BG473" t="s">
        <v>3018</v>
      </c>
      <c r="BH473">
        <v>2</v>
      </c>
      <c r="BI473" t="s">
        <v>2768</v>
      </c>
      <c r="BJ473">
        <v>2</v>
      </c>
      <c r="BK473" t="s">
        <v>2768</v>
      </c>
      <c r="BL473">
        <v>2</v>
      </c>
      <c r="BM473" t="s">
        <v>2722</v>
      </c>
      <c r="BN473">
        <v>0</v>
      </c>
      <c r="BO473" t="str">
        <f>IF(0,橙武补雾锁,"夕照雷峰")</f>
        <v>夕照雷峰</v>
      </c>
      <c r="BP473">
        <v>2</v>
      </c>
      <c r="BQ473" t="s">
        <v>1886</v>
      </c>
      <c r="BR473">
        <v>2</v>
      </c>
      <c r="BS473" s="176" t="s">
        <v>2768</v>
      </c>
      <c r="BT473">
        <v>2</v>
      </c>
      <c r="BU473" s="176" t="s">
        <v>2794</v>
      </c>
      <c r="BV473">
        <v>1</v>
      </c>
      <c r="BW473" s="188" t="s">
        <v>2789</v>
      </c>
      <c r="BX473" s="179">
        <v>2</v>
      </c>
      <c r="BY473" t="s">
        <v>2722</v>
      </c>
      <c r="BZ473">
        <v>0</v>
      </c>
      <c r="CA473" t="s">
        <v>2722</v>
      </c>
      <c r="CB473">
        <v>0</v>
      </c>
    </row>
    <row r="474" spans="1:80">
      <c r="A474" s="178" t="str">
        <f ca="1">IFERROR(IF(AG473&lt;5+金蛇*2,IF(COUNTIF(B473,"*轻*")&gt;0,A473+加速!$L$9,A473+加速!$L$11)+V473,""),"")</f>
        <v/>
      </c>
      <c r="B474" s="167" t="str">
        <f ca="1" t="shared" si="127"/>
        <v/>
      </c>
      <c r="C474" t="str">
        <f ca="1" t="shared" si="136"/>
        <v/>
      </c>
      <c r="D474" t="str">
        <f ca="1">IF(B474&lt;&gt;"",IF(C473&lt;=加速!$L$11*(1-E474),0,1),"")</f>
        <v/>
      </c>
      <c r="E474">
        <f ca="1" t="shared" si="133"/>
        <v>1</v>
      </c>
      <c r="G474" t="str">
        <f ca="1" t="shared" si="134"/>
        <v/>
      </c>
      <c r="H474" t="str">
        <f ca="1">IF(B474&lt;&gt;"",IF(AND(COUNTIF(B473,"*轻*莺鸣柳*")&gt;0,COUNTIF(B474,"*轻*")&lt;1),MAX(0,15+I473-(A474-A473)+COUNTIF(B473,"*平湖*")*0),IF(AND(E474=0,MAX(0,H473-(A474-A473))&lt;=加速!$H$11),0,MAX(0,H473-(A474-A473)))),"")</f>
        <v/>
      </c>
      <c r="I474" t="str">
        <f ca="1" t="shared" si="140"/>
        <v/>
      </c>
      <c r="J474" t="str">
        <f ca="1" t="shared" si="141"/>
        <v/>
      </c>
      <c r="K474" t="str">
        <f ca="1" t="shared" si="128"/>
        <v/>
      </c>
      <c r="L474">
        <f ca="1">IFERROR(IF(AND(COUNTIF(B474,"*-峰插*"),技能数据库!$M$72&gt;0),0,IF(COUNTIF(B474,"*鹤归*")&gt;0,16-加速!$L$11,MAX(0,L473-(A474-A473)))),0)</f>
        <v>0</v>
      </c>
      <c r="M474">
        <f ca="1" t="shared" si="129"/>
        <v>0</v>
      </c>
      <c r="N474">
        <f ca="1">IFERROR(IF(AND(COUNTIF(B474,"*-峰插*"),技能数据库!$M$72&gt;0),0,IF(COUNTIF(B474,"*云飞*")&gt;0,4-COUNTIF(B474,"*玉山揽云*")*4--COUNTIF(B474,"*烟流暮景*")*4-COUNTIF(B474,"*云景*")*加速!$L$11-IF(J474&gt;0,2,0),MAX(0,N473-(A474-A473)-IF(J474&gt;0,2,0)))),0)</f>
        <v>0</v>
      </c>
      <c r="O474">
        <f ca="1">IF(AND(COUNTIF(IF(AND(配装计算器!$K$30&lt;&gt;"∞",0),INDEX(AU473:CB473,1,$AT$1),INDEX(AU475:CB475,1,$AT$1)),"*云飞*")=1,COUNTIF(IF(AND(配装计算器!$K$30&lt;&gt;"∞",0),INDEX(AU473:CB473,1,$AT$1),INDEX(AU475:CB475,1,$AT$1)),"*玉山*")=0),N474,0)</f>
        <v>0</v>
      </c>
      <c r="P474">
        <f ca="1">IFERROR(IF(COUNTIF(B474,"*云栖松*")&gt;0,50-加速!$L$11,MAX(0,P473-(A474-A473))),0)</f>
        <v>0</v>
      </c>
      <c r="Q474">
        <f ca="1">IF(COUNTIF(IF(AND(配装计算器!$K$30&lt;&gt;"∞",0),INDEX(AU473:CB473,1,$AT$1),INDEX(AU475:CB475,1,$AT$1)),"*云栖松*")=1,P474,0)</f>
        <v>0</v>
      </c>
      <c r="R474">
        <f ca="1">IFERROR(IF(COUNTIF(B474,"*莺鸣柳*")&gt;0,45-加速!$L$9,MAX(0,R473-(A474-A473))),0)</f>
        <v>0</v>
      </c>
      <c r="S474">
        <f ca="1">IF(COUNTIF(IF(AND(配装计算器!$K$30&lt;&gt;"∞",0),INDEX(AU473:CB473,1,$AT$1),INDEX(AU475:CB475,1,$AT$1)),"*莺鸣柳*")=1,R474,0)</f>
        <v>0</v>
      </c>
      <c r="T474">
        <f ca="1" t="shared" si="137"/>
        <v>0</v>
      </c>
      <c r="U474">
        <f ca="1">IF(金蛇,IF(COUNTIF(B474,"*金环戴*")+COUNTIF(B474,"*吹风醒*")&gt;0,IF(A474&lt;=3,7.125-2.625-A474-加速!$L$11,7.125+加速!$K$9-(A474+加速!$L$11-T474)),0),0)+IF(金蛇,IF(COUNTIF(B474,"*千切子裂光*")&gt;0,2+加速!$K$9-(A474+加速!$L$11-T474),0),0)</f>
        <v>0</v>
      </c>
      <c r="V474">
        <f ca="1" t="shared" si="138"/>
        <v>0</v>
      </c>
      <c r="W474">
        <f ca="1" t="shared" si="130"/>
        <v>0</v>
      </c>
      <c r="X474">
        <f ca="1">INDEX(加速!$I$13:$I$21,W474+1)</f>
        <v>0</v>
      </c>
      <c r="Y474">
        <f ca="1" t="shared" si="139"/>
        <v>0.5</v>
      </c>
      <c r="Z474">
        <f ca="1" t="shared" si="135"/>
        <v>0</v>
      </c>
      <c r="AA474">
        <f ca="1">MAX(0,IFERROR(IF(COUNTIF(B474,"*叠*")&gt;0,IF(AC473&lt;3,8-A475+A474,AA473+6.875-A475+A474),AA473-A475+A474),AA473-加速!$L$11))</f>
        <v>0</v>
      </c>
      <c r="AB474" t="e">
        <f ca="1">MAX(0,IF(COUNTIF(IF(AND(配装计算器!$K$30&lt;&gt;"∞",0),INDEX(AU474:CB474,1,$AT$1),INDEX(AU474:CB474,1,$AT$1)),"*叠1*")=1,4*25-加速!$L$11,AB473-A474+A473)-IF(OR(COUNTIF(OFFSET(AT474,0,$AT$1,1,1),"*听雷*")&gt;0,AND(碧归&gt;0,COUNTIF(OFFSET(AT474,0,$AT$1,1,1),"*风来*")&gt;0)),0,1)*1.5)</f>
        <v>#VALUE!</v>
      </c>
      <c r="AC474">
        <f ca="1" t="shared" si="131"/>
        <v>0</v>
      </c>
      <c r="AD474">
        <f ca="1">IF(COUNTIF(IF(AND(配装计算器!$K$30&lt;&gt;"∞",0),INDEX(AU474:CB474,1,$AT$1),INDEX(AU475:CB475,1,$AT$1)),"*叠1*")=1,AB474*0+AE473,0)</f>
        <v>0</v>
      </c>
      <c r="AE474" t="e">
        <f ca="1">IF($AN$11&gt;0,IF(COUNTIF(B475,"*叠1*")&gt;0,50-加速!$L$11,MAX(0,AE473-(A475-A474))),0)</f>
        <v>#VALUE!</v>
      </c>
      <c r="AG474">
        <f ca="1" t="shared" si="132"/>
        <v>13</v>
      </c>
      <c r="AU474" t="str">
        <f>IF($AN$11=1,橙武补雾锁,"夕照雷峰")</f>
        <v>云飞玉皇-玉山揽云</v>
      </c>
      <c r="AV474">
        <v>2</v>
      </c>
      <c r="AW474" t="s">
        <v>2768</v>
      </c>
      <c r="AX474">
        <v>2</v>
      </c>
      <c r="AY474" t="s">
        <v>3010</v>
      </c>
      <c r="AZ474">
        <v>2</v>
      </c>
      <c r="BA474" t="s">
        <v>2808</v>
      </c>
      <c r="BB474">
        <v>2</v>
      </c>
      <c r="BC474" t="s">
        <v>2808</v>
      </c>
      <c r="BD474">
        <v>2</v>
      </c>
      <c r="BE474" t="s">
        <v>2768</v>
      </c>
      <c r="BF474">
        <v>2</v>
      </c>
      <c r="BG474" t="s">
        <v>2768</v>
      </c>
      <c r="BH474">
        <v>2</v>
      </c>
      <c r="BI474" t="s">
        <v>2808</v>
      </c>
      <c r="BJ474">
        <v>2</v>
      </c>
      <c r="BK474" t="s">
        <v>2776</v>
      </c>
      <c r="BL474">
        <v>2</v>
      </c>
      <c r="BM474" t="s">
        <v>3009</v>
      </c>
      <c r="BN474">
        <v>2</v>
      </c>
      <c r="BO474" t="str">
        <f>IF(0,"云飞玉皇-玉山揽云","夕照雷峰")</f>
        <v>夕照雷峰</v>
      </c>
      <c r="BP474">
        <v>2</v>
      </c>
      <c r="BQ474" t="s">
        <v>2853</v>
      </c>
      <c r="BR474">
        <v>2</v>
      </c>
      <c r="BS474" s="176" t="s">
        <v>2768</v>
      </c>
      <c r="BT474">
        <v>2</v>
      </c>
      <c r="BU474" t="s">
        <v>3028</v>
      </c>
      <c r="BV474">
        <v>1</v>
      </c>
      <c r="BW474" s="182" t="s">
        <v>2794</v>
      </c>
      <c r="BX474" s="179">
        <v>2</v>
      </c>
      <c r="BY474" t="s">
        <v>3009</v>
      </c>
      <c r="BZ474">
        <v>2</v>
      </c>
      <c r="CA474" t="s">
        <v>3009</v>
      </c>
      <c r="CB474">
        <v>2</v>
      </c>
    </row>
    <row r="475" spans="1:80">
      <c r="A475" s="178" t="str">
        <f ca="1">IFERROR(IF(AG474&lt;5+金蛇*2,IF(COUNTIF(B474,"*轻*")&gt;0,A474+加速!$L$9,A474+加速!$L$11)+V474,""),"")</f>
        <v/>
      </c>
      <c r="B475" s="167" t="str">
        <f ca="1" t="shared" si="127"/>
        <v/>
      </c>
      <c r="C475" t="str">
        <f ca="1" t="shared" si="136"/>
        <v/>
      </c>
      <c r="D475" t="str">
        <f ca="1">IF(B475&lt;&gt;"",IF(C474&lt;=加速!$L$11*(1-E475),0,1),"")</f>
        <v/>
      </c>
      <c r="E475">
        <f ca="1" t="shared" si="133"/>
        <v>1</v>
      </c>
      <c r="G475" t="str">
        <f ca="1" t="shared" si="134"/>
        <v/>
      </c>
      <c r="H475" t="str">
        <f ca="1">IF(B475&lt;&gt;"",IF(AND(COUNTIF(B474,"*轻*莺鸣柳*")&gt;0,COUNTIF(B475,"*轻*")&lt;1),MAX(0,15+I474-(A475-A474)+COUNTIF(B474,"*平湖*")*0),IF(AND(E475=0,MAX(0,H474-(A475-A474))&lt;=加速!$H$11),0,MAX(0,H474-(A475-A474)))),"")</f>
        <v/>
      </c>
      <c r="I475" t="str">
        <f ca="1" t="shared" si="140"/>
        <v/>
      </c>
      <c r="J475" t="str">
        <f ca="1" t="shared" si="141"/>
        <v/>
      </c>
      <c r="K475" t="str">
        <f ca="1" t="shared" si="128"/>
        <v/>
      </c>
      <c r="L475">
        <f ca="1">IFERROR(IF(AND(COUNTIF(B475,"*-峰插*"),技能数据库!$M$72&gt;0),0,IF(COUNTIF(B475,"*鹤归*")&gt;0,16-加速!$L$11,MAX(0,L474-(A475-A474)))),0)</f>
        <v>0</v>
      </c>
      <c r="M475">
        <f ca="1" t="shared" si="129"/>
        <v>0</v>
      </c>
      <c r="N475">
        <f ca="1">IFERROR(IF(AND(COUNTIF(B475,"*-峰插*"),技能数据库!$M$72&gt;0),0,IF(COUNTIF(B475,"*云飞*")&gt;0,4-COUNTIF(B475,"*玉山揽云*")*4--COUNTIF(B475,"*烟流暮景*")*4-COUNTIF(B475,"*云景*")*加速!$L$11-IF(J475&gt;0,2,0),MAX(0,N474-(A475-A474)-IF(J475&gt;0,2,0)))),0)</f>
        <v>0</v>
      </c>
      <c r="O475">
        <f ca="1">IF(AND(COUNTIF(IF(AND(配装计算器!$K$30&lt;&gt;"∞",0),INDEX(AU474:CB474,1,$AT$1),INDEX(AU476:CB476,1,$AT$1)),"*云飞*")=1,COUNTIF(IF(AND(配装计算器!$K$30&lt;&gt;"∞",0),INDEX(AU474:CB474,1,$AT$1),INDEX(AU476:CB476,1,$AT$1)),"*玉山*")=0),N475,0)</f>
        <v>0</v>
      </c>
      <c r="P475">
        <f ca="1">IFERROR(IF(COUNTIF(B475,"*云栖松*")&gt;0,50-加速!$L$11,MAX(0,P474-(A475-A474))),0)</f>
        <v>0</v>
      </c>
      <c r="Q475">
        <f ca="1">IF(COUNTIF(IF(AND(配装计算器!$K$30&lt;&gt;"∞",0),INDEX(AU474:CB474,1,$AT$1),INDEX(AU476:CB476,1,$AT$1)),"*云栖松*")=1,P475,0)</f>
        <v>0</v>
      </c>
      <c r="R475">
        <f ca="1">IFERROR(IF(COUNTIF(B475,"*莺鸣柳*")&gt;0,45-加速!$L$9,MAX(0,R474-(A475-A474))),0)</f>
        <v>0</v>
      </c>
      <c r="S475">
        <f ca="1">IF(COUNTIF(IF(AND(配装计算器!$K$30&lt;&gt;"∞",0),INDEX(AU474:CB474,1,$AT$1),INDEX(AU476:CB476,1,$AT$1)),"*莺鸣柳*")=1,R475,0)</f>
        <v>0</v>
      </c>
      <c r="T475">
        <f ca="1" t="shared" si="137"/>
        <v>0</v>
      </c>
      <c r="U475">
        <f ca="1">IF(金蛇,IF(COUNTIF(B475,"*金环戴*")+COUNTIF(B475,"*吹风醒*")&gt;0,IF(A475&lt;=3,7.125-2.625-A475-加速!$L$11,7.125+加速!$K$9-(A475+加速!$L$11-T475)),0),0)+IF(金蛇,IF(COUNTIF(B475,"*千切子裂光*")&gt;0,2+加速!$K$9-(A475+加速!$L$11-T475),0),0)</f>
        <v>0</v>
      </c>
      <c r="V475">
        <f ca="1" t="shared" si="138"/>
        <v>0</v>
      </c>
      <c r="W475">
        <f ca="1" t="shared" si="130"/>
        <v>0</v>
      </c>
      <c r="X475">
        <f ca="1">INDEX(加速!$I$13:$I$21,W475+1)</f>
        <v>0</v>
      </c>
      <c r="Y475">
        <f ca="1" t="shared" si="139"/>
        <v>0.5</v>
      </c>
      <c r="Z475">
        <f ca="1" t="shared" si="135"/>
        <v>0</v>
      </c>
      <c r="AA475">
        <f ca="1">MAX(0,IFERROR(IF(COUNTIF(B475,"*叠*")&gt;0,IF(AC474&lt;3,8-A476+A475,AA474+6.875-A476+A475),AA474-A476+A475),AA474-加速!$L$11))</f>
        <v>0</v>
      </c>
      <c r="AB475" t="e">
        <f ca="1">MAX(0,IF(COUNTIF(IF(AND(配装计算器!$K$30&lt;&gt;"∞",0),INDEX(AU475:CB475,1,$AT$1),INDEX(AU475:CB475,1,$AT$1)),"*叠1*")=1,4*25-加速!$L$11,AB474-A475+A474)-IF(OR(COUNTIF(OFFSET(AT475,0,$AT$1,1,1),"*听雷*")&gt;0,AND(碧归&gt;0,COUNTIF(OFFSET(AT475,0,$AT$1,1,1),"*风来*")&gt;0)),0,1)*1.5)</f>
        <v>#VALUE!</v>
      </c>
      <c r="AC475">
        <f ca="1" t="shared" si="131"/>
        <v>0</v>
      </c>
      <c r="AD475">
        <f ca="1">IF(COUNTIF(IF(AND(配装计算器!$K$30&lt;&gt;"∞",0),INDEX(AU475:CB475,1,$AT$1),INDEX(AU476:CB476,1,$AT$1)),"*叠1*")=1,AB475*0+AE474,0)</f>
        <v>0</v>
      </c>
      <c r="AE475" t="e">
        <f ca="1">IF($AN$11&gt;0,IF(COUNTIF(B476,"*叠1*")&gt;0,50-加速!$L$11,MAX(0,AE474-(A476-A475))),0)</f>
        <v>#VALUE!</v>
      </c>
      <c r="AG475">
        <f ca="1" t="shared" si="132"/>
        <v>13</v>
      </c>
      <c r="AU475" t="str">
        <f>IF($AN$11=1,"云飞玉皇-玉山揽云","夕照雷峰")</f>
        <v>云飞玉皇-玉山揽云</v>
      </c>
      <c r="AV475">
        <v>2</v>
      </c>
      <c r="AW475" t="s">
        <v>2768</v>
      </c>
      <c r="AX475">
        <v>2</v>
      </c>
      <c r="AY475" t="s">
        <v>3013</v>
      </c>
      <c r="AZ475">
        <v>2</v>
      </c>
      <c r="BA475" t="s">
        <v>3022</v>
      </c>
      <c r="BB475">
        <v>2</v>
      </c>
      <c r="BC475" t="s">
        <v>2768</v>
      </c>
      <c r="BD475">
        <v>2</v>
      </c>
      <c r="BE475" t="s">
        <v>2776</v>
      </c>
      <c r="BF475">
        <v>2</v>
      </c>
      <c r="BG475" s="182" t="s">
        <v>3023</v>
      </c>
      <c r="BH475">
        <v>2</v>
      </c>
      <c r="BI475" s="176" t="s">
        <v>2768</v>
      </c>
      <c r="BJ475">
        <v>2</v>
      </c>
      <c r="BK475" t="s">
        <v>2768</v>
      </c>
      <c r="BL475">
        <v>1</v>
      </c>
      <c r="BM475" t="s">
        <v>2776</v>
      </c>
      <c r="BN475">
        <v>2</v>
      </c>
      <c r="BO475" t="s">
        <v>2776</v>
      </c>
      <c r="BP475">
        <v>2</v>
      </c>
      <c r="BQ475" s="176" t="s">
        <v>2850</v>
      </c>
      <c r="BR475">
        <v>2</v>
      </c>
      <c r="BS475" s="176" t="s">
        <v>2768</v>
      </c>
      <c r="BT475">
        <v>2</v>
      </c>
      <c r="BU475" t="s">
        <v>2768</v>
      </c>
      <c r="BV475">
        <v>1</v>
      </c>
      <c r="BW475" s="182" t="s">
        <v>2776</v>
      </c>
      <c r="BX475" s="179">
        <v>2</v>
      </c>
      <c r="BY475" s="176" t="s">
        <v>2794</v>
      </c>
      <c r="BZ475">
        <v>2</v>
      </c>
      <c r="CA475" s="176" t="s">
        <v>2794</v>
      </c>
      <c r="CB475">
        <v>2</v>
      </c>
    </row>
    <row r="476" spans="1:80">
      <c r="A476" s="178" t="str">
        <f ca="1">IFERROR(IF(AG475&lt;5+金蛇*2,IF(COUNTIF(B475,"*轻*")&gt;0,A475+加速!$L$9,A475+加速!$L$11)+V475,""),"")</f>
        <v/>
      </c>
      <c r="B476" s="167" t="str">
        <f ca="1" t="shared" si="127"/>
        <v/>
      </c>
      <c r="C476" t="str">
        <f ca="1" t="shared" si="136"/>
        <v/>
      </c>
      <c r="D476" t="str">
        <f ca="1">IF(B476&lt;&gt;"",IF(C475&lt;=加速!$L$11*(1-E476),0,1),"")</f>
        <v/>
      </c>
      <c r="E476">
        <f ca="1" t="shared" si="133"/>
        <v>1</v>
      </c>
      <c r="G476" t="str">
        <f ca="1" t="shared" si="134"/>
        <v/>
      </c>
      <c r="H476" t="str">
        <f ca="1">IF(B476&lt;&gt;"",IF(AND(COUNTIF(B475,"*轻*莺鸣柳*")&gt;0,COUNTIF(B476,"*轻*")&lt;1),MAX(0,15+I475-(A476-A475)+COUNTIF(B475,"*平湖*")*0),IF(AND(E476=0,MAX(0,H475-(A476-A475))&lt;=加速!$H$11),0,MAX(0,H475-(A476-A475)))),"")</f>
        <v/>
      </c>
      <c r="I476" t="str">
        <f ca="1" t="shared" si="140"/>
        <v/>
      </c>
      <c r="J476" t="str">
        <f ca="1" t="shared" si="141"/>
        <v/>
      </c>
      <c r="K476" t="str">
        <f ca="1" t="shared" si="128"/>
        <v/>
      </c>
      <c r="L476">
        <f ca="1">IFERROR(IF(AND(COUNTIF(B476,"*-峰插*"),技能数据库!$M$72&gt;0),0,IF(COUNTIF(B476,"*鹤归*")&gt;0,16-加速!$L$11,MAX(0,L475-(A476-A475)))),0)</f>
        <v>0</v>
      </c>
      <c r="M476">
        <f ca="1" t="shared" si="129"/>
        <v>0</v>
      </c>
      <c r="N476">
        <f ca="1">IFERROR(IF(AND(COUNTIF(B476,"*-峰插*"),技能数据库!$M$72&gt;0),0,IF(COUNTIF(B476,"*云飞*")&gt;0,4-COUNTIF(B476,"*玉山揽云*")*4--COUNTIF(B476,"*烟流暮景*")*4-COUNTIF(B476,"*云景*")*加速!$L$11-IF(J476&gt;0,2,0),MAX(0,N475-(A476-A475)-IF(J476&gt;0,2,0)))),0)</f>
        <v>0</v>
      </c>
      <c r="O476">
        <f ca="1">IF(AND(COUNTIF(IF(AND(配装计算器!$K$30&lt;&gt;"∞",0),INDEX(AU475:CB475,1,$AT$1),INDEX(AU477:CB477,1,$AT$1)),"*云飞*")=1,COUNTIF(IF(AND(配装计算器!$K$30&lt;&gt;"∞",0),INDEX(AU475:CB475,1,$AT$1),INDEX(AU477:CB477,1,$AT$1)),"*玉山*")=0),N476,0)</f>
        <v>0</v>
      </c>
      <c r="P476">
        <f ca="1">IFERROR(IF(COUNTIF(B476,"*云栖松*")&gt;0,50-加速!$L$11,MAX(0,P475-(A476-A475))),0)</f>
        <v>0</v>
      </c>
      <c r="Q476">
        <f ca="1">IF(COUNTIF(IF(AND(配装计算器!$K$30&lt;&gt;"∞",0),INDEX(AU475:CB475,1,$AT$1),INDEX(AU477:CB477,1,$AT$1)),"*云栖松*")=1,P476,0)</f>
        <v>0</v>
      </c>
      <c r="R476">
        <f ca="1">IFERROR(IF(COUNTIF(B476,"*莺鸣柳*")&gt;0,45-加速!$L$9,MAX(0,R475-(A476-A475))),0)</f>
        <v>0</v>
      </c>
      <c r="S476">
        <f ca="1">IF(COUNTIF(IF(AND(配装计算器!$K$30&lt;&gt;"∞",0),INDEX(AU475:CB475,1,$AT$1),INDEX(AU477:CB477,1,$AT$1)),"*莺鸣柳*")=1,R476,0)</f>
        <v>0</v>
      </c>
      <c r="T476">
        <f ca="1" t="shared" si="137"/>
        <v>0</v>
      </c>
      <c r="U476">
        <f ca="1">IF(金蛇,IF(COUNTIF(B476,"*金环戴*")+COUNTIF(B476,"*吹风醒*")&gt;0,IF(A476&lt;=3,7.125-2.625-A476-加速!$L$11,7.125+加速!$K$9-(A476+加速!$L$11-T476)),0),0)+IF(金蛇,IF(COUNTIF(B476,"*千切子裂光*")&gt;0,2+加速!$K$9-(A476+加速!$L$11-T476),0),0)</f>
        <v>0</v>
      </c>
      <c r="V476">
        <f ca="1" t="shared" si="138"/>
        <v>0</v>
      </c>
      <c r="W476">
        <f ca="1" t="shared" si="130"/>
        <v>0</v>
      </c>
      <c r="X476">
        <f ca="1">INDEX(加速!$I$13:$I$21,W476+1)</f>
        <v>0</v>
      </c>
      <c r="Y476">
        <f ca="1" t="shared" si="139"/>
        <v>0.5</v>
      </c>
      <c r="Z476">
        <f ca="1" t="shared" si="135"/>
        <v>0</v>
      </c>
      <c r="AA476">
        <f ca="1">MAX(0,IFERROR(IF(COUNTIF(B476,"*叠*")&gt;0,IF(AC475&lt;3,8-A477+A476,AA475+6.875-A477+A476),AA475-A477+A476),AA475-加速!$L$11))</f>
        <v>0</v>
      </c>
      <c r="AB476" t="e">
        <f ca="1">MAX(0,IF(COUNTIF(IF(AND(配装计算器!$K$30&lt;&gt;"∞",0),INDEX(AU476:CB476,1,$AT$1),INDEX(AU476:CB476,1,$AT$1)),"*叠1*")=1,4*25-加速!$L$11,AB475-A476+A475)-IF(OR(COUNTIF(OFFSET(AT476,0,$AT$1,1,1),"*听雷*")&gt;0,AND(碧归&gt;0,COUNTIF(OFFSET(AT476,0,$AT$1,1,1),"*风来*")&gt;0)),0,1)*1.5)</f>
        <v>#VALUE!</v>
      </c>
      <c r="AC476">
        <f ca="1" t="shared" si="131"/>
        <v>0</v>
      </c>
      <c r="AD476">
        <f ca="1">IF(COUNTIF(IF(AND(配装计算器!$K$30&lt;&gt;"∞",0),INDEX(AU476:CB476,1,$AT$1),INDEX(AU477:CB477,1,$AT$1)),"*叠1*")=1,AB476*0+AE475,0)</f>
        <v>0</v>
      </c>
      <c r="AE476" t="e">
        <f ca="1">IF($AN$11&gt;0,IF(COUNTIF(B477,"*叠1*")&gt;0,50-加速!$L$11,MAX(0,AE475-(A477-A476))),0)</f>
        <v>#VALUE!</v>
      </c>
      <c r="AG476">
        <f ca="1" t="shared" si="132"/>
        <v>13</v>
      </c>
      <c r="AU476" t="s">
        <v>2776</v>
      </c>
      <c r="AV476">
        <v>2</v>
      </c>
      <c r="AW476" t="s">
        <v>2776</v>
      </c>
      <c r="AX476">
        <v>2</v>
      </c>
      <c r="AY476" t="s">
        <v>3017</v>
      </c>
      <c r="AZ476">
        <v>2</v>
      </c>
      <c r="BA476" t="s">
        <v>2776</v>
      </c>
      <c r="BB476">
        <v>2</v>
      </c>
      <c r="BC476" t="s">
        <v>2768</v>
      </c>
      <c r="BD476">
        <v>2</v>
      </c>
      <c r="BE476" t="s">
        <v>3042</v>
      </c>
      <c r="BF476">
        <v>2</v>
      </c>
      <c r="BG476" s="176" t="s">
        <v>2768</v>
      </c>
      <c r="BH476">
        <v>2</v>
      </c>
      <c r="BI476" s="176" t="s">
        <v>2776</v>
      </c>
      <c r="BJ476">
        <v>2</v>
      </c>
      <c r="BK476" t="s">
        <v>2776</v>
      </c>
      <c r="BL476">
        <v>1</v>
      </c>
      <c r="BM476" t="s">
        <v>2768</v>
      </c>
      <c r="BN476">
        <v>2</v>
      </c>
      <c r="BO476" s="176" t="s">
        <v>2794</v>
      </c>
      <c r="BP476">
        <v>2</v>
      </c>
      <c r="BQ476" s="176" t="str">
        <f>IF(秋,"金环戴","吹风醒")</f>
        <v>吹风醒</v>
      </c>
      <c r="BR476">
        <v>1</v>
      </c>
      <c r="BS476" s="176" t="s">
        <v>2776</v>
      </c>
      <c r="BT476">
        <v>2</v>
      </c>
      <c r="BU476" t="s">
        <v>3011</v>
      </c>
      <c r="BV476">
        <v>2</v>
      </c>
      <c r="BW476" s="182" t="s">
        <v>2768</v>
      </c>
      <c r="BX476" s="179">
        <v>2</v>
      </c>
      <c r="BY476" s="176" t="s">
        <v>2776</v>
      </c>
      <c r="BZ476">
        <v>2</v>
      </c>
      <c r="CA476" s="176" t="s">
        <v>2776</v>
      </c>
      <c r="CB476">
        <v>2</v>
      </c>
    </row>
    <row r="477" spans="1:80">
      <c r="A477" s="178" t="str">
        <f ca="1">IFERROR(IF(AG476&lt;5+金蛇*2,IF(COUNTIF(B476,"*轻*")&gt;0,A476+加速!$L$9,A476+加速!$L$11)+V476,""),"")</f>
        <v/>
      </c>
      <c r="B477" s="167" t="str">
        <f ca="1" t="shared" si="127"/>
        <v/>
      </c>
      <c r="C477" t="str">
        <f ca="1" t="shared" si="136"/>
        <v/>
      </c>
      <c r="D477" t="str">
        <f ca="1">IF(B477&lt;&gt;"",IF(C476&lt;=加速!$L$11*(1-E477),0,1),"")</f>
        <v/>
      </c>
      <c r="E477">
        <f ca="1" t="shared" si="133"/>
        <v>1</v>
      </c>
      <c r="G477" t="str">
        <f ca="1" t="shared" si="134"/>
        <v/>
      </c>
      <c r="H477" t="str">
        <f ca="1">IF(B477&lt;&gt;"",IF(AND(COUNTIF(B476,"*轻*莺鸣柳*")&gt;0,COUNTIF(B477,"*轻*")&lt;1),MAX(0,15+I476-(A477-A476)+COUNTIF(B476,"*平湖*")*0),IF(AND(E477=0,MAX(0,H476-(A477-A476))&lt;=加速!$H$11),0,MAX(0,H476-(A477-A476)))),"")</f>
        <v/>
      </c>
      <c r="I477" t="str">
        <f ca="1" t="shared" si="140"/>
        <v/>
      </c>
      <c r="J477" t="str">
        <f ca="1" t="shared" si="141"/>
        <v/>
      </c>
      <c r="K477" t="str">
        <f ca="1" t="shared" si="128"/>
        <v/>
      </c>
      <c r="L477">
        <f ca="1">IFERROR(IF(AND(COUNTIF(B477,"*-峰插*"),技能数据库!$M$72&gt;0),0,IF(COUNTIF(B477,"*鹤归*")&gt;0,16-加速!$L$11,MAX(0,L476-(A477-A476)))),0)</f>
        <v>0</v>
      </c>
      <c r="M477">
        <f ca="1" t="shared" si="129"/>
        <v>0</v>
      </c>
      <c r="N477">
        <f ca="1">IFERROR(IF(AND(COUNTIF(B477,"*-峰插*"),技能数据库!$M$72&gt;0),0,IF(COUNTIF(B477,"*云飞*")&gt;0,4-COUNTIF(B477,"*玉山揽云*")*4--COUNTIF(B477,"*烟流暮景*")*4-COUNTIF(B477,"*云景*")*加速!$L$11-IF(J477&gt;0,2,0),MAX(0,N476-(A477-A476)-IF(J477&gt;0,2,0)))),0)</f>
        <v>0</v>
      </c>
      <c r="O477">
        <f ca="1">IF(AND(COUNTIF(IF(AND(配装计算器!$K$30&lt;&gt;"∞",0),INDEX(AU476:CB476,1,$AT$1),INDEX(AU478:CB478,1,$AT$1)),"*云飞*")=1,COUNTIF(IF(AND(配装计算器!$K$30&lt;&gt;"∞",0),INDEX(AU476:CB476,1,$AT$1),INDEX(AU478:CB478,1,$AT$1)),"*玉山*")=0),N477,0)</f>
        <v>0</v>
      </c>
      <c r="P477">
        <f ca="1">IFERROR(IF(COUNTIF(B477,"*云栖松*")&gt;0,50-加速!$L$11,MAX(0,P476-(A477-A476))),0)</f>
        <v>0</v>
      </c>
      <c r="Q477">
        <f ca="1">IF(COUNTIF(IF(AND(配装计算器!$K$30&lt;&gt;"∞",0),INDEX(AU476:CB476,1,$AT$1),INDEX(AU478:CB478,1,$AT$1)),"*云栖松*")=1,P477,0)</f>
        <v>0</v>
      </c>
      <c r="R477">
        <f ca="1">IFERROR(IF(COUNTIF(B477,"*莺鸣柳*")&gt;0,45-加速!$L$9,MAX(0,R476-(A477-A476))),0)</f>
        <v>0</v>
      </c>
      <c r="S477">
        <f ca="1">IF(COUNTIF(IF(AND(配装计算器!$K$30&lt;&gt;"∞",0),INDEX(AU476:CB476,1,$AT$1),INDEX(AU478:CB478,1,$AT$1)),"*莺鸣柳*")=1,R477,0)</f>
        <v>0</v>
      </c>
      <c r="T477">
        <f ca="1" t="shared" si="137"/>
        <v>0</v>
      </c>
      <c r="U477">
        <f ca="1">IF(金蛇,IF(COUNTIF(B477,"*金环戴*")+COUNTIF(B477,"*吹风醒*")&gt;0,IF(A477&lt;=3,7.125-2.625-A477-加速!$L$11,7.125+加速!$K$9-(A477+加速!$L$11-T477)),0),0)+IF(金蛇,IF(COUNTIF(B477,"*千切子裂光*")&gt;0,2+加速!$K$9-(A477+加速!$L$11-T477),0),0)</f>
        <v>0</v>
      </c>
      <c r="V477">
        <f ca="1" t="shared" si="138"/>
        <v>0</v>
      </c>
      <c r="W477">
        <f ca="1" t="shared" si="130"/>
        <v>0</v>
      </c>
      <c r="X477">
        <f ca="1">INDEX(加速!$I$13:$I$21,W477+1)</f>
        <v>0</v>
      </c>
      <c r="Y477">
        <f ca="1" t="shared" si="139"/>
        <v>0.5</v>
      </c>
      <c r="Z477">
        <f ca="1" t="shared" si="135"/>
        <v>0</v>
      </c>
      <c r="AA477">
        <f ca="1">MAX(0,IFERROR(IF(COUNTIF(B477,"*叠*")&gt;0,IF(AC476&lt;3,8-A478+A477,AA476+6.875-A478+A477),AA476-A478+A477),AA476-加速!$L$11))</f>
        <v>0</v>
      </c>
      <c r="AB477" t="e">
        <f ca="1">MAX(0,IF(COUNTIF(IF(AND(配装计算器!$K$30&lt;&gt;"∞",0),INDEX(AU477:CB477,1,$AT$1),INDEX(AU477:CB477,1,$AT$1)),"*叠1*")=1,4*25-加速!$L$11,AB476-A477+A476)-IF(OR(COUNTIF(OFFSET(AT477,0,$AT$1,1,1),"*听雷*")&gt;0,AND(碧归&gt;0,COUNTIF(OFFSET(AT477,0,$AT$1,1,1),"*风来*")&gt;0)),0,1)*1.5)</f>
        <v>#VALUE!</v>
      </c>
      <c r="AC477">
        <f ca="1" t="shared" si="131"/>
        <v>0</v>
      </c>
      <c r="AD477">
        <f ca="1">IF(COUNTIF(IF(AND(配装计算器!$K$30&lt;&gt;"∞",0),INDEX(AU477:CB477,1,$AT$1),INDEX(AU478:CB478,1,$AT$1)),"*叠1*")=1,AB477*0+AE476,0)</f>
        <v>0</v>
      </c>
      <c r="AE477" t="e">
        <f ca="1">IF($AN$11&gt;0,IF(COUNTIF(B478,"*叠1*")&gt;0,50-加速!$L$11,MAX(0,AE476-(A478-A477))),0)</f>
        <v>#VALUE!</v>
      </c>
      <c r="AG477">
        <f ca="1" t="shared" si="132"/>
        <v>13</v>
      </c>
      <c r="AU477" s="176" t="s">
        <v>2794</v>
      </c>
      <c r="AV477">
        <v>2</v>
      </c>
      <c r="AW477" t="s">
        <v>2768</v>
      </c>
      <c r="AX477">
        <v>2</v>
      </c>
      <c r="AY477" t="s">
        <v>2808</v>
      </c>
      <c r="AZ477">
        <v>2</v>
      </c>
      <c r="BA477" t="s">
        <v>2768</v>
      </c>
      <c r="BB477">
        <v>2</v>
      </c>
      <c r="BC477" t="s">
        <v>2776</v>
      </c>
      <c r="BD477">
        <v>1</v>
      </c>
      <c r="BE477" t="s">
        <v>2808</v>
      </c>
      <c r="BF477">
        <v>2</v>
      </c>
      <c r="BG477" s="176" t="s">
        <v>2768</v>
      </c>
      <c r="BH477">
        <v>2</v>
      </c>
      <c r="BI477" t="s">
        <v>2768</v>
      </c>
      <c r="BJ477">
        <v>2</v>
      </c>
      <c r="BK477" t="s">
        <v>2768</v>
      </c>
      <c r="BL477">
        <v>0</v>
      </c>
      <c r="BM477" s="180" t="s">
        <v>2789</v>
      </c>
      <c r="BN477">
        <v>2</v>
      </c>
      <c r="BO477" s="176" t="s">
        <v>2768</v>
      </c>
      <c r="BP477">
        <v>2</v>
      </c>
      <c r="BQ477" s="176" t="str">
        <f>IF(秋,"梦泉虎跑-轻","夕照雷峰")</f>
        <v>夕照雷峰</v>
      </c>
      <c r="BR477">
        <v>1</v>
      </c>
      <c r="BS477" s="176" t="s">
        <v>2768</v>
      </c>
      <c r="BT477">
        <v>2</v>
      </c>
      <c r="BU477" t="s">
        <v>2768</v>
      </c>
      <c r="BV477">
        <v>2</v>
      </c>
      <c r="BW477" s="182" t="s">
        <v>2776</v>
      </c>
      <c r="BX477" s="179">
        <v>2</v>
      </c>
      <c r="BY477" s="176" t="s">
        <v>2768</v>
      </c>
      <c r="BZ477">
        <v>2</v>
      </c>
      <c r="CA477" s="176" t="s">
        <v>2768</v>
      </c>
      <c r="CB477">
        <v>2</v>
      </c>
    </row>
    <row r="478" spans="1:80">
      <c r="A478" s="178" t="str">
        <f ca="1">IFERROR(IF(AG477&lt;5+金蛇*2,IF(COUNTIF(B477,"*轻*")&gt;0,A477+加速!$L$9,A477+加速!$L$11)+V477,""),"")</f>
        <v/>
      </c>
      <c r="B478" s="167" t="str">
        <f ca="1" t="shared" si="127"/>
        <v/>
      </c>
      <c r="C478" t="str">
        <f ca="1" t="shared" si="136"/>
        <v/>
      </c>
      <c r="D478" t="str">
        <f ca="1">IF(B478&lt;&gt;"",IF(C477&lt;=加速!$L$11*(1-E478),0,1),"")</f>
        <v/>
      </c>
      <c r="E478">
        <f ca="1" t="shared" si="133"/>
        <v>1</v>
      </c>
      <c r="G478" t="str">
        <f ca="1" t="shared" si="134"/>
        <v/>
      </c>
      <c r="H478" t="str">
        <f ca="1">IF(B478&lt;&gt;"",IF(AND(COUNTIF(B477,"*轻*莺鸣柳*")&gt;0,COUNTIF(B478,"*轻*")&lt;1),MAX(0,15+I477-(A478-A477)+COUNTIF(B477,"*平湖*")*0),IF(AND(E478=0,MAX(0,H477-(A478-A477))&lt;=加速!$H$11),0,MAX(0,H477-(A478-A477)))),"")</f>
        <v/>
      </c>
      <c r="I478" t="str">
        <f ca="1" t="shared" si="140"/>
        <v/>
      </c>
      <c r="J478" t="str">
        <f ca="1" t="shared" si="141"/>
        <v/>
      </c>
      <c r="K478" t="str">
        <f ca="1" t="shared" si="128"/>
        <v/>
      </c>
      <c r="L478">
        <f ca="1">IFERROR(IF(AND(COUNTIF(B478,"*-峰插*"),技能数据库!$M$72&gt;0),0,IF(COUNTIF(B478,"*鹤归*")&gt;0,16-加速!$L$11,MAX(0,L477-(A478-A477)))),0)</f>
        <v>0</v>
      </c>
      <c r="M478">
        <f ca="1" t="shared" si="129"/>
        <v>0</v>
      </c>
      <c r="N478">
        <f ca="1">IFERROR(IF(AND(COUNTIF(B478,"*-峰插*"),技能数据库!$M$72&gt;0),0,IF(COUNTIF(B478,"*云飞*")&gt;0,4-COUNTIF(B478,"*玉山揽云*")*4--COUNTIF(B478,"*烟流暮景*")*4-COUNTIF(B478,"*云景*")*加速!$L$11-IF(J478&gt;0,2,0),MAX(0,N477-(A478-A477)-IF(J478&gt;0,2,0)))),0)</f>
        <v>0</v>
      </c>
      <c r="O478">
        <f ca="1">IF(AND(COUNTIF(IF(AND(配装计算器!$K$30&lt;&gt;"∞",0),INDEX(AU477:CB477,1,$AT$1),INDEX(AU479:CB479,1,$AT$1)),"*云飞*")=1,COUNTIF(IF(AND(配装计算器!$K$30&lt;&gt;"∞",0),INDEX(AU477:CB477,1,$AT$1),INDEX(AU479:CB479,1,$AT$1)),"*玉山*")=0),N478,0)</f>
        <v>0</v>
      </c>
      <c r="P478">
        <f ca="1">IFERROR(IF(COUNTIF(B478,"*云栖松*")&gt;0,50-加速!$L$11,MAX(0,P477-(A478-A477))),0)</f>
        <v>0</v>
      </c>
      <c r="Q478">
        <f ca="1">IF(COUNTIF(IF(AND(配装计算器!$K$30&lt;&gt;"∞",0),INDEX(AU477:CB477,1,$AT$1),INDEX(AU479:CB479,1,$AT$1)),"*云栖松*")=1,P478,0)</f>
        <v>0</v>
      </c>
      <c r="R478">
        <f ca="1">IFERROR(IF(COUNTIF(B478,"*莺鸣柳*")&gt;0,45-加速!$L$9,MAX(0,R477-(A478-A477))),0)</f>
        <v>0</v>
      </c>
      <c r="S478">
        <f ca="1">IF(COUNTIF(IF(AND(配装计算器!$K$30&lt;&gt;"∞",0),INDEX(AU477:CB477,1,$AT$1),INDEX(AU479:CB479,1,$AT$1)),"*莺鸣柳*")=1,R478,0)</f>
        <v>0</v>
      </c>
      <c r="T478">
        <f ca="1" t="shared" si="137"/>
        <v>0</v>
      </c>
      <c r="U478">
        <f ca="1">IF(金蛇,IF(COUNTIF(B478,"*金环戴*")+COUNTIF(B478,"*吹风醒*")&gt;0,IF(A478&lt;=3,7.125-2.625-A478-加速!$L$11,7.125+加速!$K$9-(A478+加速!$L$11-T478)),0),0)+IF(金蛇,IF(COUNTIF(B478,"*千切子裂光*")&gt;0,2+加速!$K$9-(A478+加速!$L$11-T478),0),0)</f>
        <v>0</v>
      </c>
      <c r="V478">
        <f ca="1" t="shared" si="138"/>
        <v>0</v>
      </c>
      <c r="W478">
        <f ca="1" t="shared" si="130"/>
        <v>0</v>
      </c>
      <c r="X478">
        <f ca="1">INDEX(加速!$I$13:$I$21,W478+1)</f>
        <v>0</v>
      </c>
      <c r="Y478">
        <f ca="1" t="shared" si="139"/>
        <v>0.5</v>
      </c>
      <c r="Z478">
        <f ca="1" t="shared" si="135"/>
        <v>0</v>
      </c>
      <c r="AA478">
        <f ca="1">MAX(0,IFERROR(IF(COUNTIF(B478,"*叠*")&gt;0,IF(AC477&lt;3,8-A479+A478,AA477+6.875-A479+A478),AA477-A479+A478),AA477-加速!$L$11))</f>
        <v>0</v>
      </c>
      <c r="AB478" t="e">
        <f ca="1">MAX(0,IF(COUNTIF(IF(AND(配装计算器!$K$30&lt;&gt;"∞",0),INDEX(AU478:CB478,1,$AT$1),INDEX(AU478:CB478,1,$AT$1)),"*叠1*")=1,4*25-加速!$L$11,AB477-A478+A477)-IF(OR(COUNTIF(OFFSET(AT478,0,$AT$1,1,1),"*听雷*")&gt;0,AND(碧归&gt;0,COUNTIF(OFFSET(AT478,0,$AT$1,1,1),"*风来*")&gt;0)),0,1)*1.5)</f>
        <v>#VALUE!</v>
      </c>
      <c r="AC478">
        <f ca="1" t="shared" si="131"/>
        <v>0</v>
      </c>
      <c r="AD478">
        <f ca="1">IF(COUNTIF(IF(AND(配装计算器!$K$30&lt;&gt;"∞",0),INDEX(AU478:CB478,1,$AT$1),INDEX(AU479:CB479,1,$AT$1)),"*叠1*")=1,AB478*0+AE477,0)</f>
        <v>0</v>
      </c>
      <c r="AE478" t="e">
        <f ca="1">IF($AN$11&gt;0,IF(COUNTIF(B479,"*叠1*")&gt;0,50-加速!$L$11,MAX(0,AE477-(A479-A478))),0)</f>
        <v>#VALUE!</v>
      </c>
      <c r="AG478">
        <f ca="1" t="shared" si="132"/>
        <v>13</v>
      </c>
      <c r="AU478" s="176" t="s">
        <v>2768</v>
      </c>
      <c r="AV478">
        <v>2</v>
      </c>
      <c r="AW478" t="s">
        <v>2722</v>
      </c>
      <c r="AX478">
        <v>0</v>
      </c>
      <c r="AY478" t="s">
        <v>3022</v>
      </c>
      <c r="AZ478">
        <v>2</v>
      </c>
      <c r="BA478" t="s">
        <v>2768</v>
      </c>
      <c r="BB478">
        <v>2</v>
      </c>
      <c r="BC478" t="s">
        <v>2768</v>
      </c>
      <c r="BD478">
        <v>1</v>
      </c>
      <c r="BE478" t="s">
        <v>2768</v>
      </c>
      <c r="BF478">
        <v>2</v>
      </c>
      <c r="BG478" s="176" t="s">
        <v>2768</v>
      </c>
      <c r="BH478">
        <v>2</v>
      </c>
      <c r="BI478" s="176" t="s">
        <v>2768</v>
      </c>
      <c r="BJ478">
        <v>1</v>
      </c>
      <c r="BK478" t="s">
        <v>3056</v>
      </c>
      <c r="BL478">
        <v>0</v>
      </c>
      <c r="BM478" s="176" t="s">
        <v>2794</v>
      </c>
      <c r="BN478">
        <v>2</v>
      </c>
      <c r="BO478" s="176" t="s">
        <v>2776</v>
      </c>
      <c r="BP478">
        <v>2</v>
      </c>
      <c r="BQ478" t="s">
        <v>3028</v>
      </c>
      <c r="BR478">
        <v>2</v>
      </c>
      <c r="BS478" s="176" t="s">
        <v>2794</v>
      </c>
      <c r="BT478">
        <v>2</v>
      </c>
      <c r="BU478" t="s">
        <v>3018</v>
      </c>
      <c r="BV478">
        <v>2</v>
      </c>
      <c r="BW478" s="182" t="s">
        <v>2768</v>
      </c>
      <c r="BX478" s="179">
        <v>2</v>
      </c>
      <c r="BY478" s="176" t="s">
        <v>2776</v>
      </c>
      <c r="BZ478">
        <v>2</v>
      </c>
      <c r="CA478" s="176" t="s">
        <v>2776</v>
      </c>
      <c r="CB478">
        <v>2</v>
      </c>
    </row>
    <row r="479" spans="1:80">
      <c r="A479" s="178" t="str">
        <f ca="1">IFERROR(IF(AG478&lt;5+金蛇*2,IF(COUNTIF(B478,"*轻*")&gt;0,A478+加速!$L$9,A478+加速!$L$11)+V478,""),"")</f>
        <v/>
      </c>
      <c r="B479" s="167" t="str">
        <f ca="1" t="shared" si="127"/>
        <v/>
      </c>
      <c r="C479" t="str">
        <f ca="1" t="shared" si="136"/>
        <v/>
      </c>
      <c r="D479" t="str">
        <f ca="1">IF(B479&lt;&gt;"",IF(C478&lt;=加速!$L$11*(1-E479),0,1),"")</f>
        <v/>
      </c>
      <c r="E479">
        <f ca="1" t="shared" si="133"/>
        <v>1</v>
      </c>
      <c r="G479" t="str">
        <f ca="1" t="shared" si="134"/>
        <v/>
      </c>
      <c r="H479" t="str">
        <f ca="1">IF(B479&lt;&gt;"",IF(AND(COUNTIF(B478,"*轻*莺鸣柳*")&gt;0,COUNTIF(B479,"*轻*")&lt;1),MAX(0,15+I478-(A479-A478)+COUNTIF(B478,"*平湖*")*0),IF(AND(E479=0,MAX(0,H478-(A479-A478))&lt;=加速!$H$11),0,MAX(0,H478-(A479-A478)))),"")</f>
        <v/>
      </c>
      <c r="I479" t="str">
        <f ca="1" t="shared" si="140"/>
        <v/>
      </c>
      <c r="J479" t="str">
        <f ca="1" t="shared" si="141"/>
        <v/>
      </c>
      <c r="K479" t="str">
        <f ca="1" t="shared" si="128"/>
        <v/>
      </c>
      <c r="L479">
        <f ca="1">IFERROR(IF(AND(COUNTIF(B479,"*-峰插*"),技能数据库!$M$72&gt;0),0,IF(COUNTIF(B479,"*鹤归*")&gt;0,16-加速!$L$11,MAX(0,L478-(A479-A478)))),0)</f>
        <v>0</v>
      </c>
      <c r="M479">
        <f ca="1" t="shared" si="129"/>
        <v>0</v>
      </c>
      <c r="N479">
        <f ca="1">IFERROR(IF(AND(COUNTIF(B479,"*-峰插*"),技能数据库!$M$72&gt;0),0,IF(COUNTIF(B479,"*云飞*")&gt;0,4-COUNTIF(B479,"*玉山揽云*")*4--COUNTIF(B479,"*烟流暮景*")*4-COUNTIF(B479,"*云景*")*加速!$L$11-IF(J479&gt;0,2,0),MAX(0,N478-(A479-A478)-IF(J479&gt;0,2,0)))),0)</f>
        <v>0</v>
      </c>
      <c r="O479">
        <f ca="1">IF(AND(COUNTIF(IF(AND(配装计算器!$K$30&lt;&gt;"∞",0),INDEX(AU478:CB478,1,$AT$1),INDEX(AU480:CB480,1,$AT$1)),"*云飞*")=1,COUNTIF(IF(AND(配装计算器!$K$30&lt;&gt;"∞",0),INDEX(AU478:CB478,1,$AT$1),INDEX(AU480:CB480,1,$AT$1)),"*玉山*")=0),N479,0)</f>
        <v>0</v>
      </c>
      <c r="P479">
        <f ca="1">IFERROR(IF(COUNTIF(B479,"*云栖松*")&gt;0,50-加速!$L$11,MAX(0,P478-(A479-A478))),0)</f>
        <v>0</v>
      </c>
      <c r="Q479">
        <f ca="1">IF(COUNTIF(IF(AND(配装计算器!$K$30&lt;&gt;"∞",0),INDEX(AU478:CB478,1,$AT$1),INDEX(AU480:CB480,1,$AT$1)),"*云栖松*")=1,P479,0)</f>
        <v>0</v>
      </c>
      <c r="R479">
        <f ca="1">IFERROR(IF(COUNTIF(B479,"*莺鸣柳*")&gt;0,45-加速!$L$9,MAX(0,R478-(A479-A478))),0)</f>
        <v>0</v>
      </c>
      <c r="S479">
        <f ca="1">IF(COUNTIF(IF(AND(配装计算器!$K$30&lt;&gt;"∞",0),INDEX(AU478:CB478,1,$AT$1),INDEX(AU480:CB480,1,$AT$1)),"*莺鸣柳*")=1,R479,0)</f>
        <v>0</v>
      </c>
      <c r="T479">
        <f ca="1" t="shared" si="137"/>
        <v>0</v>
      </c>
      <c r="U479">
        <f ca="1">IF(金蛇,IF(COUNTIF(B479,"*金环戴*")+COUNTIF(B479,"*吹风醒*")&gt;0,IF(A479&lt;=3,7.125-2.625-A479-加速!$L$11,7.125+加速!$K$9-(A479+加速!$L$11-T479)),0),0)+IF(金蛇,IF(COUNTIF(B479,"*千切子裂光*")&gt;0,2+加速!$K$9-(A479+加速!$L$11-T479),0),0)</f>
        <v>0</v>
      </c>
      <c r="V479">
        <f ca="1" t="shared" si="138"/>
        <v>0</v>
      </c>
      <c r="W479">
        <f ca="1" t="shared" si="130"/>
        <v>0</v>
      </c>
      <c r="X479">
        <f ca="1">INDEX(加速!$I$13:$I$21,W479+1)</f>
        <v>0</v>
      </c>
      <c r="Y479">
        <f ca="1" t="shared" si="139"/>
        <v>0.5</v>
      </c>
      <c r="Z479">
        <f ca="1" t="shared" si="135"/>
        <v>0</v>
      </c>
      <c r="AA479">
        <f ca="1">MAX(0,IFERROR(IF(COUNTIF(B479,"*叠*")&gt;0,IF(AC478&lt;3,8-A480+A479,AA478+6.875-A480+A479),AA478-A480+A479),AA478-加速!$L$11))</f>
        <v>0</v>
      </c>
      <c r="AB479" t="e">
        <f ca="1">MAX(0,IF(COUNTIF(IF(AND(配装计算器!$K$30&lt;&gt;"∞",0),INDEX(AU479:CB479,1,$AT$1),INDEX(AU479:CB479,1,$AT$1)),"*叠1*")=1,4*25-加速!$L$11,AB478-A479+A478)-IF(OR(COUNTIF(OFFSET(AT479,0,$AT$1,1,1),"*听雷*")&gt;0,AND(碧归&gt;0,COUNTIF(OFFSET(AT479,0,$AT$1,1,1),"*风来*")&gt;0)),0,1)*1.5)</f>
        <v>#VALUE!</v>
      </c>
      <c r="AC479">
        <f ca="1" t="shared" si="131"/>
        <v>0</v>
      </c>
      <c r="AD479">
        <f ca="1">IF(COUNTIF(IF(AND(配装计算器!$K$30&lt;&gt;"∞",0),INDEX(AU479:CB479,1,$AT$1),INDEX(AU480:CB480,1,$AT$1)),"*叠1*")=1,AB479*0+AE478,0)</f>
        <v>0</v>
      </c>
      <c r="AE479" t="e">
        <f ca="1">IF($AN$11&gt;0,IF(COUNTIF(B480,"*叠1*")&gt;0,50-加速!$L$11,MAX(0,AE478-(A480-A479))),0)</f>
        <v>#VALUE!</v>
      </c>
      <c r="AG479">
        <f ca="1" t="shared" si="132"/>
        <v>13</v>
      </c>
      <c r="AU479" s="176" t="s">
        <v>2776</v>
      </c>
      <c r="AV479">
        <v>2</v>
      </c>
      <c r="AW479" t="s">
        <v>3009</v>
      </c>
      <c r="AX479">
        <v>2</v>
      </c>
      <c r="AY479" t="s">
        <v>2776</v>
      </c>
      <c r="AZ479">
        <v>2</v>
      </c>
      <c r="BA479" t="s">
        <v>2776</v>
      </c>
      <c r="BB479">
        <v>2</v>
      </c>
      <c r="BC479" t="s">
        <v>2794</v>
      </c>
      <c r="BD479">
        <v>2</v>
      </c>
      <c r="BE479" t="s">
        <v>2768</v>
      </c>
      <c r="BF479">
        <v>2</v>
      </c>
      <c r="BG479" s="176" t="s">
        <v>2776</v>
      </c>
      <c r="BH479">
        <v>2</v>
      </c>
      <c r="BI479" s="176" t="s">
        <v>2768</v>
      </c>
      <c r="BJ479">
        <v>1</v>
      </c>
      <c r="BK479" t="s">
        <v>2768</v>
      </c>
      <c r="BL479">
        <v>2</v>
      </c>
      <c r="BM479" s="176" t="s">
        <v>2776</v>
      </c>
      <c r="BN479">
        <v>2</v>
      </c>
      <c r="BO479" s="176" t="s">
        <v>2768</v>
      </c>
      <c r="BP479">
        <v>2</v>
      </c>
      <c r="BQ479" t="s">
        <v>2768</v>
      </c>
      <c r="BR479">
        <v>2</v>
      </c>
      <c r="BS479" t="s">
        <v>2768</v>
      </c>
      <c r="BT479">
        <v>2</v>
      </c>
      <c r="BU479" t="s">
        <v>2768</v>
      </c>
      <c r="BV479">
        <v>2</v>
      </c>
      <c r="BW479" s="182" t="s">
        <v>2808</v>
      </c>
      <c r="BX479" s="179">
        <v>2</v>
      </c>
      <c r="BY479" s="176" t="s">
        <v>2768</v>
      </c>
      <c r="BZ479">
        <v>2</v>
      </c>
      <c r="CA479" s="176" t="s">
        <v>2768</v>
      </c>
      <c r="CB479">
        <v>2</v>
      </c>
    </row>
    <row r="480" spans="1:80">
      <c r="A480" s="178" t="str">
        <f ca="1">IFERROR(IF(AG479&lt;5+金蛇*2,IF(COUNTIF(B479,"*轻*")&gt;0,A479+加速!$L$9,A479+加速!$L$11)+V479,""),"")</f>
        <v/>
      </c>
      <c r="B480" s="167" t="str">
        <f ca="1" t="shared" si="127"/>
        <v/>
      </c>
      <c r="C480" t="str">
        <f ca="1" t="shared" si="136"/>
        <v/>
      </c>
      <c r="D480" t="str">
        <f ca="1">IF(B480&lt;&gt;"",IF(C479&lt;=加速!$L$11*(1-E480),0,1),"")</f>
        <v/>
      </c>
      <c r="E480">
        <f ca="1" t="shared" si="133"/>
        <v>1</v>
      </c>
      <c r="G480" t="str">
        <f ca="1" t="shared" si="134"/>
        <v/>
      </c>
      <c r="H480" t="str">
        <f ca="1">IF(B480&lt;&gt;"",IF(AND(COUNTIF(B479,"*轻*莺鸣柳*")&gt;0,COUNTIF(B480,"*轻*")&lt;1),MAX(0,15+I479-(A480-A479)+COUNTIF(B479,"*平湖*")*0),IF(AND(E480=0,MAX(0,H479-(A480-A479))&lt;=加速!$H$11),0,MAX(0,H479-(A480-A479)))),"")</f>
        <v/>
      </c>
      <c r="I480" t="str">
        <f ca="1" t="shared" si="140"/>
        <v/>
      </c>
      <c r="J480" t="str">
        <f ca="1" t="shared" si="141"/>
        <v/>
      </c>
      <c r="K480" t="str">
        <f ca="1" t="shared" si="128"/>
        <v/>
      </c>
      <c r="L480">
        <f ca="1">IFERROR(IF(AND(COUNTIF(B480,"*-峰插*"),技能数据库!$M$72&gt;0),0,IF(COUNTIF(B480,"*鹤归*")&gt;0,16-加速!$L$11,MAX(0,L479-(A480-A479)))),0)</f>
        <v>0</v>
      </c>
      <c r="M480">
        <f ca="1" t="shared" si="129"/>
        <v>0</v>
      </c>
      <c r="N480">
        <f ca="1">IFERROR(IF(AND(COUNTIF(B480,"*-峰插*"),技能数据库!$M$72&gt;0),0,IF(COUNTIF(B480,"*云飞*")&gt;0,4-COUNTIF(B480,"*玉山揽云*")*4--COUNTIF(B480,"*烟流暮景*")*4-COUNTIF(B480,"*云景*")*加速!$L$11-IF(J480&gt;0,2,0),MAX(0,N479-(A480-A479)-IF(J480&gt;0,2,0)))),0)</f>
        <v>0</v>
      </c>
      <c r="O480">
        <f ca="1">IF(AND(COUNTIF(IF(AND(配装计算器!$K$30&lt;&gt;"∞",0),INDEX(AU479:CB479,1,$AT$1),INDEX(AU481:CB481,1,$AT$1)),"*云飞*")=1,COUNTIF(IF(AND(配装计算器!$K$30&lt;&gt;"∞",0),INDEX(AU479:CB479,1,$AT$1),INDEX(AU481:CB481,1,$AT$1)),"*玉山*")=0),N480,0)</f>
        <v>0</v>
      </c>
      <c r="P480">
        <f ca="1">IFERROR(IF(COUNTIF(B480,"*云栖松*")&gt;0,50-加速!$L$11,MAX(0,P479-(A480-A479))),0)</f>
        <v>0</v>
      </c>
      <c r="Q480">
        <f ca="1">IF(COUNTIF(IF(AND(配装计算器!$K$30&lt;&gt;"∞",0),INDEX(AU479:CB479,1,$AT$1),INDEX(AU481:CB481,1,$AT$1)),"*云栖松*")=1,P480,0)</f>
        <v>0</v>
      </c>
      <c r="R480">
        <f ca="1">IFERROR(IF(COUNTIF(B480,"*莺鸣柳*")&gt;0,45-加速!$L$9,MAX(0,R479-(A480-A479))),0)</f>
        <v>0</v>
      </c>
      <c r="S480">
        <f ca="1">IF(COUNTIF(IF(AND(配装计算器!$K$30&lt;&gt;"∞",0),INDEX(AU479:CB479,1,$AT$1),INDEX(AU481:CB481,1,$AT$1)),"*莺鸣柳*")=1,R480,0)</f>
        <v>0</v>
      </c>
      <c r="T480">
        <f ca="1" t="shared" si="137"/>
        <v>0</v>
      </c>
      <c r="U480">
        <f ca="1">IF(金蛇,IF(COUNTIF(B480,"*金环戴*")+COUNTIF(B480,"*吹风醒*")&gt;0,IF(A480&lt;=3,7.125-2.625-A480-加速!$L$11,7.125+加速!$K$9-(A480+加速!$L$11-T480)),0),0)+IF(金蛇,IF(COUNTIF(B480,"*千切子裂光*")&gt;0,2+加速!$K$9-(A480+加速!$L$11-T480),0),0)</f>
        <v>0</v>
      </c>
      <c r="V480">
        <f ca="1" t="shared" si="138"/>
        <v>0</v>
      </c>
      <c r="W480">
        <f ca="1" t="shared" si="130"/>
        <v>0</v>
      </c>
      <c r="X480">
        <f ca="1">INDEX(加速!$I$13:$I$21,W480+1)</f>
        <v>0</v>
      </c>
      <c r="Y480">
        <f ca="1" t="shared" si="139"/>
        <v>0.5</v>
      </c>
      <c r="Z480">
        <f ca="1" t="shared" si="135"/>
        <v>0</v>
      </c>
      <c r="AA480">
        <f ca="1">MAX(0,IFERROR(IF(COUNTIF(B480,"*叠*")&gt;0,IF(AC479&lt;3,8-A481+A480,AA479+6.875-A481+A480),AA479-A481+A480),AA479-加速!$L$11))</f>
        <v>0</v>
      </c>
      <c r="AB480" t="e">
        <f ca="1">MAX(0,IF(COUNTIF(IF(AND(配装计算器!$K$30&lt;&gt;"∞",0),INDEX(AU480:CB480,1,$AT$1),INDEX(AU480:CB480,1,$AT$1)),"*叠1*")=1,4*25-加速!$L$11,AB479-A480+A479)-IF(OR(COUNTIF(OFFSET(AT480,0,$AT$1,1,1),"*听雷*")&gt;0,AND(碧归&gt;0,COUNTIF(OFFSET(AT480,0,$AT$1,1,1),"*风来*")&gt;0)),0,1)*1.5)</f>
        <v>#VALUE!</v>
      </c>
      <c r="AC480">
        <f ca="1" t="shared" si="131"/>
        <v>0</v>
      </c>
      <c r="AD480">
        <f ca="1">IF(COUNTIF(IF(AND(配装计算器!$K$30&lt;&gt;"∞",0),INDEX(AU480:CB480,1,$AT$1),INDEX(AU481:CB481,1,$AT$1)),"*叠1*")=1,AB480*0+AE479,0)</f>
        <v>0</v>
      </c>
      <c r="AE480" t="e">
        <f ca="1">IF($AN$11&gt;0,IF(COUNTIF(B481,"*叠1*")&gt;0,50-加速!$L$11,MAX(0,AE479-(A481-A480))),0)</f>
        <v>#VALUE!</v>
      </c>
      <c r="AG480">
        <f ca="1" t="shared" si="132"/>
        <v>13</v>
      </c>
      <c r="AU480" s="176" t="s">
        <v>2768</v>
      </c>
      <c r="AV480">
        <v>2</v>
      </c>
      <c r="AW480" t="s">
        <v>2776</v>
      </c>
      <c r="AX480">
        <v>2</v>
      </c>
      <c r="AY480" t="s">
        <v>2768</v>
      </c>
      <c r="AZ480">
        <v>2</v>
      </c>
      <c r="BA480" t="s">
        <v>3035</v>
      </c>
      <c r="BB480">
        <v>2</v>
      </c>
      <c r="BC480" t="s">
        <v>2768</v>
      </c>
      <c r="BD480">
        <v>2</v>
      </c>
      <c r="BE480" t="s">
        <v>2768</v>
      </c>
      <c r="BF480">
        <v>2</v>
      </c>
      <c r="BG480" s="176" t="s">
        <v>3035</v>
      </c>
      <c r="BH480">
        <v>2</v>
      </c>
      <c r="BI480" s="176" t="s">
        <v>2776</v>
      </c>
      <c r="BJ480">
        <v>0</v>
      </c>
      <c r="BK480" t="s">
        <v>2768</v>
      </c>
      <c r="BL480">
        <v>2</v>
      </c>
      <c r="BM480" s="176" t="s">
        <v>2768</v>
      </c>
      <c r="BN480">
        <v>2</v>
      </c>
      <c r="BO480" s="176" t="s">
        <v>2776</v>
      </c>
      <c r="BP480">
        <v>2</v>
      </c>
      <c r="BQ480" t="s">
        <v>2768</v>
      </c>
      <c r="BR480">
        <v>2</v>
      </c>
      <c r="BS480" t="s">
        <v>2776</v>
      </c>
      <c r="BT480">
        <v>2</v>
      </c>
      <c r="BU480" s="182" t="s">
        <v>3023</v>
      </c>
      <c r="BV480">
        <v>2</v>
      </c>
      <c r="BW480" s="179" t="s">
        <v>2768</v>
      </c>
      <c r="BX480" s="179">
        <v>2</v>
      </c>
      <c r="BY480" s="176" t="s">
        <v>2808</v>
      </c>
      <c r="BZ480">
        <v>2</v>
      </c>
      <c r="CA480" s="176" t="s">
        <v>2808</v>
      </c>
      <c r="CB480">
        <v>2</v>
      </c>
    </row>
    <row r="481" spans="1:80">
      <c r="A481" s="178" t="str">
        <f ca="1">IFERROR(IF(AG480&lt;5+金蛇*2,IF(COUNTIF(B480,"*轻*")&gt;0,A480+加速!$L$9,A480+加速!$L$11)+V480,""),"")</f>
        <v/>
      </c>
      <c r="B481" s="167" t="str">
        <f ca="1" t="shared" si="127"/>
        <v/>
      </c>
      <c r="C481" t="str">
        <f ca="1" t="shared" si="136"/>
        <v/>
      </c>
      <c r="D481" t="str">
        <f ca="1">IF(B481&lt;&gt;"",IF(C480&lt;=加速!$L$11*(1-E481),0,1),"")</f>
        <v/>
      </c>
      <c r="E481">
        <f ca="1" t="shared" si="133"/>
        <v>1</v>
      </c>
      <c r="G481" t="str">
        <f ca="1" t="shared" si="134"/>
        <v/>
      </c>
      <c r="H481" t="str">
        <f ca="1">IF(B481&lt;&gt;"",IF(AND(COUNTIF(B480,"*轻*莺鸣柳*")&gt;0,COUNTIF(B481,"*轻*")&lt;1),MAX(0,15+I480-(A481-A480)+COUNTIF(B480,"*平湖*")*0),IF(AND(E481=0,MAX(0,H480-(A481-A480))&lt;=加速!$H$11),0,MAX(0,H480-(A481-A480)))),"")</f>
        <v/>
      </c>
      <c r="I481" t="str">
        <f ca="1" t="shared" si="140"/>
        <v/>
      </c>
      <c r="J481" t="str">
        <f ca="1" t="shared" si="141"/>
        <v/>
      </c>
      <c r="K481" t="str">
        <f ca="1" t="shared" si="128"/>
        <v/>
      </c>
      <c r="L481">
        <f ca="1">IFERROR(IF(AND(COUNTIF(B481,"*-峰插*"),技能数据库!$M$72&gt;0),0,IF(COUNTIF(B481,"*鹤归*")&gt;0,16-加速!$L$11,MAX(0,L480-(A481-A480)))),0)</f>
        <v>0</v>
      </c>
      <c r="M481">
        <f ca="1" t="shared" si="129"/>
        <v>0</v>
      </c>
      <c r="N481">
        <f ca="1">IFERROR(IF(AND(COUNTIF(B481,"*-峰插*"),技能数据库!$M$72&gt;0),0,IF(COUNTIF(B481,"*云飞*")&gt;0,4-COUNTIF(B481,"*玉山揽云*")*4--COUNTIF(B481,"*烟流暮景*")*4-COUNTIF(B481,"*云景*")*加速!$L$11-IF(J481&gt;0,2,0),MAX(0,N480-(A481-A480)-IF(J481&gt;0,2,0)))),0)</f>
        <v>0</v>
      </c>
      <c r="O481">
        <f ca="1">IF(AND(COUNTIF(IF(AND(配装计算器!$K$30&lt;&gt;"∞",0),INDEX(AU480:CB480,1,$AT$1),INDEX(AU482:CB482,1,$AT$1)),"*云飞*")=1,COUNTIF(IF(AND(配装计算器!$K$30&lt;&gt;"∞",0),INDEX(AU480:CB480,1,$AT$1),INDEX(AU482:CB482,1,$AT$1)),"*玉山*")=0),N481,0)</f>
        <v>0</v>
      </c>
      <c r="P481">
        <f ca="1">IFERROR(IF(COUNTIF(B481,"*云栖松*")&gt;0,50-加速!$L$11,MAX(0,P480-(A481-A480))),0)</f>
        <v>0</v>
      </c>
      <c r="Q481">
        <f ca="1">IF(COUNTIF(IF(AND(配装计算器!$K$30&lt;&gt;"∞",0),INDEX(AU480:CB480,1,$AT$1),INDEX(AU482:CB482,1,$AT$1)),"*云栖松*")=1,P481,0)</f>
        <v>0</v>
      </c>
      <c r="R481">
        <f ca="1">IFERROR(IF(COUNTIF(B481,"*莺鸣柳*")&gt;0,45-加速!$L$9,MAX(0,R480-(A481-A480))),0)</f>
        <v>0</v>
      </c>
      <c r="S481">
        <f ca="1">IF(COUNTIF(IF(AND(配装计算器!$K$30&lt;&gt;"∞",0),INDEX(AU480:CB480,1,$AT$1),INDEX(AU482:CB482,1,$AT$1)),"*莺鸣柳*")=1,R481,0)</f>
        <v>0</v>
      </c>
      <c r="T481">
        <f ca="1" t="shared" si="137"/>
        <v>0</v>
      </c>
      <c r="U481">
        <f ca="1">IF(金蛇,IF(COUNTIF(B481,"*金环戴*")+COUNTIF(B481,"*吹风醒*")&gt;0,IF(A481&lt;=3,7.125-2.625-A481-加速!$L$11,7.125+加速!$K$9-(A481+加速!$L$11-T481)),0),0)+IF(金蛇,IF(COUNTIF(B481,"*千切子裂光*")&gt;0,2+加速!$K$9-(A481+加速!$L$11-T481),0),0)</f>
        <v>0</v>
      </c>
      <c r="V481">
        <f ca="1" t="shared" si="138"/>
        <v>0</v>
      </c>
      <c r="W481">
        <f ca="1" t="shared" si="130"/>
        <v>0</v>
      </c>
      <c r="X481">
        <f ca="1">INDEX(加速!$I$13:$I$21,W481+1)</f>
        <v>0</v>
      </c>
      <c r="Y481">
        <f ca="1" t="shared" si="139"/>
        <v>0.5</v>
      </c>
      <c r="Z481">
        <f ca="1" t="shared" si="135"/>
        <v>0</v>
      </c>
      <c r="AA481">
        <f ca="1">MAX(0,IFERROR(IF(COUNTIF(B481,"*叠*")&gt;0,IF(AC480&lt;3,8-A482+A481,AA480+6.875-A482+A481),AA480-A482+A481),AA480-加速!$L$11))</f>
        <v>0</v>
      </c>
      <c r="AB481" t="e">
        <f ca="1">MAX(0,IF(COUNTIF(IF(AND(配装计算器!$K$30&lt;&gt;"∞",0),INDEX(AU481:CB481,1,$AT$1),INDEX(AU481:CB481,1,$AT$1)),"*叠1*")=1,4*25-加速!$L$11,AB480-A481+A480)-IF(OR(COUNTIF(OFFSET(AT481,0,$AT$1,1,1),"*听雷*")&gt;0,AND(碧归&gt;0,COUNTIF(OFFSET(AT481,0,$AT$1,1,1),"*风来*")&gt;0)),0,1)*1.5)</f>
        <v>#VALUE!</v>
      </c>
      <c r="AC481">
        <f ca="1" t="shared" si="131"/>
        <v>0</v>
      </c>
      <c r="AD481">
        <f ca="1">IF(COUNTIF(IF(AND(配装计算器!$K$30&lt;&gt;"∞",0),INDEX(AU481:CB481,1,$AT$1),INDEX(AU482:CB482,1,$AT$1)),"*叠1*")=1,AB481*0+AE480,0)</f>
        <v>0</v>
      </c>
      <c r="AE481" t="e">
        <f ca="1">IF($AN$11&gt;0,IF(COUNTIF(B482,"*叠1*")&gt;0,50-加速!$L$11,MAX(0,AE480-(A482-A481))),0)</f>
        <v>#VALUE!</v>
      </c>
      <c r="AG481">
        <f ca="1" t="shared" si="132"/>
        <v>13</v>
      </c>
      <c r="AU481" s="176" t="s">
        <v>2776</v>
      </c>
      <c r="AV481">
        <v>2</v>
      </c>
      <c r="AW481" t="s">
        <v>2768</v>
      </c>
      <c r="AX481">
        <v>2</v>
      </c>
      <c r="AY481" t="s">
        <v>2768</v>
      </c>
      <c r="AZ481">
        <v>2</v>
      </c>
      <c r="BA481" t="s">
        <v>2768</v>
      </c>
      <c r="BB481">
        <v>2</v>
      </c>
      <c r="BC481" t="s">
        <v>2776</v>
      </c>
      <c r="BD481">
        <v>2</v>
      </c>
      <c r="BE481" t="s">
        <v>2776</v>
      </c>
      <c r="BF481">
        <v>2</v>
      </c>
      <c r="BG481" t="s">
        <v>2768</v>
      </c>
      <c r="BH481">
        <v>2</v>
      </c>
      <c r="BI481" t="s">
        <v>2794</v>
      </c>
      <c r="BJ481">
        <v>0</v>
      </c>
      <c r="BK481" t="s">
        <v>2776</v>
      </c>
      <c r="BL481">
        <v>2</v>
      </c>
      <c r="BM481" s="176" t="s">
        <v>2776</v>
      </c>
      <c r="BN481">
        <v>2</v>
      </c>
      <c r="BO481" s="176" t="s">
        <v>2768</v>
      </c>
      <c r="BP481">
        <v>2</v>
      </c>
      <c r="BQ481" t="s">
        <v>3010</v>
      </c>
      <c r="BR481">
        <v>2</v>
      </c>
      <c r="BS481" t="s">
        <v>2768</v>
      </c>
      <c r="BT481">
        <v>2</v>
      </c>
      <c r="BU481" s="186" t="str">
        <f>IF(秋,"夕照雷峰","千切子寒光")</f>
        <v>千切子寒光</v>
      </c>
      <c r="BV481">
        <v>2</v>
      </c>
      <c r="BW481" s="179" t="s">
        <v>2776</v>
      </c>
      <c r="BX481" s="179">
        <v>2</v>
      </c>
      <c r="BY481" t="s">
        <v>2768</v>
      </c>
      <c r="BZ481">
        <v>2</v>
      </c>
      <c r="CA481" t="str">
        <f>IF(0,"风来吴山","夕照雷峰")</f>
        <v>夕照雷峰</v>
      </c>
      <c r="CB481">
        <v>2</v>
      </c>
    </row>
    <row r="482" spans="1:80">
      <c r="A482" s="178" t="str">
        <f ca="1">IFERROR(IF(AG481&lt;5+金蛇*2,IF(COUNTIF(B481,"*轻*")&gt;0,A481+加速!$L$9,A481+加速!$L$11)+V481,""),"")</f>
        <v/>
      </c>
      <c r="B482" s="167" t="str">
        <f ca="1" t="shared" si="127"/>
        <v/>
      </c>
      <c r="C482" t="str">
        <f ca="1" t="shared" si="136"/>
        <v/>
      </c>
      <c r="D482" t="str">
        <f ca="1">IF(B482&lt;&gt;"",IF(C481&lt;=加速!$L$11*(1-E482),0,1),"")</f>
        <v/>
      </c>
      <c r="E482">
        <f ca="1" t="shared" si="133"/>
        <v>1</v>
      </c>
      <c r="G482" t="str">
        <f ca="1" t="shared" si="134"/>
        <v/>
      </c>
      <c r="H482" t="str">
        <f ca="1">IF(B482&lt;&gt;"",IF(AND(COUNTIF(B481,"*轻*莺鸣柳*")&gt;0,COUNTIF(B482,"*轻*")&lt;1),MAX(0,15+I481-(A482-A481)+COUNTIF(B481,"*平湖*")*0),IF(AND(E482=0,MAX(0,H481-(A482-A481))&lt;=加速!$H$11),0,MAX(0,H481-(A482-A481)))),"")</f>
        <v/>
      </c>
      <c r="I482" t="str">
        <f ca="1" t="shared" si="140"/>
        <v/>
      </c>
      <c r="J482" t="str">
        <f ca="1" t="shared" si="141"/>
        <v/>
      </c>
      <c r="K482" t="str">
        <f ca="1" t="shared" si="128"/>
        <v/>
      </c>
      <c r="L482">
        <f ca="1">IFERROR(IF(AND(COUNTIF(B482,"*-峰插*"),技能数据库!$M$72&gt;0),0,IF(COUNTIF(B482,"*鹤归*")&gt;0,16-加速!$L$11,MAX(0,L481-(A482-A481)))),0)</f>
        <v>0</v>
      </c>
      <c r="M482">
        <f ca="1" t="shared" si="129"/>
        <v>0</v>
      </c>
      <c r="N482">
        <f ca="1">IFERROR(IF(AND(COUNTIF(B482,"*-峰插*"),技能数据库!$M$72&gt;0),0,IF(COUNTIF(B482,"*云飞*")&gt;0,4-COUNTIF(B482,"*玉山揽云*")*4--COUNTIF(B482,"*烟流暮景*")*4-COUNTIF(B482,"*云景*")*加速!$L$11-IF(J482&gt;0,2,0),MAX(0,N481-(A482-A481)-IF(J482&gt;0,2,0)))),0)</f>
        <v>0</v>
      </c>
      <c r="O482">
        <f ca="1">IF(AND(COUNTIF(IF(AND(配装计算器!$K$30&lt;&gt;"∞",0),INDEX(AU481:CB481,1,$AT$1),INDEX(AU483:CB483,1,$AT$1)),"*云飞*")=1,COUNTIF(IF(AND(配装计算器!$K$30&lt;&gt;"∞",0),INDEX(AU481:CB481,1,$AT$1),INDEX(AU483:CB483,1,$AT$1)),"*玉山*")=0),N482,0)</f>
        <v>0</v>
      </c>
      <c r="P482">
        <f ca="1">IFERROR(IF(COUNTIF(B482,"*云栖松*")&gt;0,50-加速!$L$11,MAX(0,P481-(A482-A481))),0)</f>
        <v>0</v>
      </c>
      <c r="Q482">
        <f ca="1">IF(COUNTIF(IF(AND(配装计算器!$K$30&lt;&gt;"∞",0),INDEX(AU481:CB481,1,$AT$1),INDEX(AU483:CB483,1,$AT$1)),"*云栖松*")=1,P482,0)</f>
        <v>0</v>
      </c>
      <c r="R482">
        <f ca="1">IFERROR(IF(COUNTIF(B482,"*莺鸣柳*")&gt;0,45-加速!$L$9,MAX(0,R481-(A482-A481))),0)</f>
        <v>0</v>
      </c>
      <c r="S482">
        <f ca="1">IF(COUNTIF(IF(AND(配装计算器!$K$30&lt;&gt;"∞",0),INDEX(AU481:CB481,1,$AT$1),INDEX(AU483:CB483,1,$AT$1)),"*莺鸣柳*")=1,R482,0)</f>
        <v>0</v>
      </c>
      <c r="T482">
        <f ca="1" t="shared" si="137"/>
        <v>0</v>
      </c>
      <c r="U482">
        <f ca="1">IF(金蛇,IF(COUNTIF(B482,"*金环戴*")+COUNTIF(B482,"*吹风醒*")&gt;0,IF(A482&lt;=3,7.125-2.625-A482-加速!$L$11,7.125+加速!$K$9-(A482+加速!$L$11-T482)),0),0)+IF(金蛇,IF(COUNTIF(B482,"*千切子裂光*")&gt;0,2+加速!$K$9-(A482+加速!$L$11-T482),0),0)</f>
        <v>0</v>
      </c>
      <c r="V482">
        <f ca="1" t="shared" si="138"/>
        <v>0</v>
      </c>
      <c r="W482">
        <f ca="1" t="shared" si="130"/>
        <v>0</v>
      </c>
      <c r="X482">
        <f ca="1">INDEX(加速!$I$13:$I$21,W482+1)</f>
        <v>0</v>
      </c>
      <c r="Y482">
        <f ca="1" t="shared" si="139"/>
        <v>0.5</v>
      </c>
      <c r="Z482">
        <f ca="1" t="shared" si="135"/>
        <v>0</v>
      </c>
      <c r="AA482">
        <f ca="1">MAX(0,IFERROR(IF(COUNTIF(B482,"*叠*")&gt;0,IF(AC481&lt;3,8-A483+A482,AA481+6.875-A483+A482),AA481-A483+A482),AA481-加速!$L$11))</f>
        <v>0</v>
      </c>
      <c r="AB482" t="e">
        <f ca="1">MAX(0,IF(COUNTIF(IF(AND(配装计算器!$K$30&lt;&gt;"∞",0),INDEX(AU482:CB482,1,$AT$1),INDEX(AU482:CB482,1,$AT$1)),"*叠1*")=1,4*25-加速!$L$11,AB481-A482+A481)-IF(OR(COUNTIF(OFFSET(AT482,0,$AT$1,1,1),"*听雷*")&gt;0,AND(碧归&gt;0,COUNTIF(OFFSET(AT482,0,$AT$1,1,1),"*风来*")&gt;0)),0,1)*1.5)</f>
        <v>#VALUE!</v>
      </c>
      <c r="AC482">
        <f ca="1" t="shared" si="131"/>
        <v>0</v>
      </c>
      <c r="AD482">
        <f ca="1">IF(COUNTIF(IF(AND(配装计算器!$K$30&lt;&gt;"∞",0),INDEX(AU482:CB482,1,$AT$1),INDEX(AU483:CB483,1,$AT$1)),"*叠1*")=1,AB482*0+AE481,0)</f>
        <v>0</v>
      </c>
      <c r="AE482" t="e">
        <f ca="1">IF($AN$11&gt;0,IF(COUNTIF(B483,"*叠1*")&gt;0,50-加速!$L$11,MAX(0,AE481-(A483-A482))),0)</f>
        <v>#VALUE!</v>
      </c>
      <c r="AG482">
        <f ca="1" t="shared" si="132"/>
        <v>13</v>
      </c>
      <c r="AU482" s="176" t="s">
        <v>2768</v>
      </c>
      <c r="AV482">
        <v>1</v>
      </c>
      <c r="AW482" s="180" t="s">
        <v>2789</v>
      </c>
      <c r="AX482">
        <v>2</v>
      </c>
      <c r="AY482" t="s">
        <v>2776</v>
      </c>
      <c r="AZ482">
        <v>2</v>
      </c>
      <c r="BA482" t="s">
        <v>2776</v>
      </c>
      <c r="BB482">
        <v>2</v>
      </c>
      <c r="BC482" t="s">
        <v>2768</v>
      </c>
      <c r="BD482">
        <v>2</v>
      </c>
      <c r="BE482" t="s">
        <v>2768</v>
      </c>
      <c r="BF482">
        <v>1</v>
      </c>
      <c r="BG482" t="s">
        <v>2776</v>
      </c>
      <c r="BH482">
        <v>2</v>
      </c>
      <c r="BI482" t="s">
        <v>2768</v>
      </c>
      <c r="BJ482">
        <v>2</v>
      </c>
      <c r="BK482" t="s">
        <v>2768</v>
      </c>
      <c r="BL482">
        <v>1</v>
      </c>
      <c r="BM482" s="176" t="s">
        <v>2768</v>
      </c>
      <c r="BN482">
        <v>2</v>
      </c>
      <c r="BO482" t="s">
        <v>3056</v>
      </c>
      <c r="BP482">
        <v>1</v>
      </c>
      <c r="BQ482" t="s">
        <v>3013</v>
      </c>
      <c r="BR482">
        <v>2</v>
      </c>
      <c r="BS482" t="s">
        <v>2776</v>
      </c>
      <c r="BT482">
        <v>1</v>
      </c>
      <c r="BU482" s="186" t="str">
        <f>IF(秋,"夕照雷峰","千切子裂光")</f>
        <v>千切子裂光</v>
      </c>
      <c r="BV482">
        <v>2</v>
      </c>
      <c r="BW482" s="179" t="s">
        <v>2768</v>
      </c>
      <c r="BX482" s="179">
        <v>2</v>
      </c>
      <c r="BY482" t="s">
        <v>2776</v>
      </c>
      <c r="BZ482">
        <v>2</v>
      </c>
      <c r="CA482" t="str">
        <f>IF(0,"云飞玉皇-玉山揽云","云飞玉皇")</f>
        <v>云飞玉皇</v>
      </c>
      <c r="CB482">
        <v>2</v>
      </c>
    </row>
    <row r="483" spans="1:80">
      <c r="A483" s="178" t="str">
        <f ca="1">IFERROR(IF(AG482&lt;5+金蛇*2,IF(COUNTIF(B482,"*轻*")&gt;0,A482+加速!$L$9,A482+加速!$L$11)+V482,""),"")</f>
        <v/>
      </c>
      <c r="B483" s="167" t="str">
        <f ca="1" t="shared" si="127"/>
        <v/>
      </c>
      <c r="C483" t="str">
        <f ca="1" t="shared" si="136"/>
        <v/>
      </c>
      <c r="D483" t="str">
        <f ca="1">IF(B483&lt;&gt;"",IF(C482&lt;=加速!$L$11*(1-E483),0,1),"")</f>
        <v/>
      </c>
      <c r="E483">
        <f ca="1" t="shared" si="133"/>
        <v>1</v>
      </c>
      <c r="G483" t="str">
        <f ca="1" t="shared" si="134"/>
        <v/>
      </c>
      <c r="H483" t="str">
        <f ca="1">IF(B483&lt;&gt;"",IF(AND(COUNTIF(B482,"*轻*莺鸣柳*")&gt;0,COUNTIF(B483,"*轻*")&lt;1),MAX(0,15+I482-(A483-A482)+COUNTIF(B482,"*平湖*")*0),IF(AND(E483=0,MAX(0,H482-(A483-A482))&lt;=加速!$H$11),0,MAX(0,H482-(A483-A482)))),"")</f>
        <v/>
      </c>
      <c r="I483" t="str">
        <f ca="1" t="shared" si="140"/>
        <v/>
      </c>
      <c r="J483" t="str">
        <f ca="1" t="shared" si="141"/>
        <v/>
      </c>
      <c r="K483" t="str">
        <f ca="1" t="shared" si="128"/>
        <v/>
      </c>
      <c r="L483">
        <f ca="1">IFERROR(IF(AND(COUNTIF(B483,"*-峰插*"),技能数据库!$M$72&gt;0),0,IF(COUNTIF(B483,"*鹤归*")&gt;0,16-加速!$L$11,MAX(0,L482-(A483-A482)))),0)</f>
        <v>0</v>
      </c>
      <c r="M483">
        <f ca="1" t="shared" si="129"/>
        <v>0</v>
      </c>
      <c r="N483">
        <f ca="1">IFERROR(IF(AND(COUNTIF(B483,"*-峰插*"),技能数据库!$M$72&gt;0),0,IF(COUNTIF(B483,"*云飞*")&gt;0,4-COUNTIF(B483,"*玉山揽云*")*4--COUNTIF(B483,"*烟流暮景*")*4-COUNTIF(B483,"*云景*")*加速!$L$11-IF(J483&gt;0,2,0),MAX(0,N482-(A483-A482)-IF(J483&gt;0,2,0)))),0)</f>
        <v>0</v>
      </c>
      <c r="O483">
        <f ca="1">IF(AND(COUNTIF(IF(AND(配装计算器!$K$30&lt;&gt;"∞",0),INDEX(AU482:CB482,1,$AT$1),INDEX(AU484:CB484,1,$AT$1)),"*云飞*")=1,COUNTIF(IF(AND(配装计算器!$K$30&lt;&gt;"∞",0),INDEX(AU482:CB482,1,$AT$1),INDEX(AU484:CB484,1,$AT$1)),"*玉山*")=0),N483,0)</f>
        <v>0</v>
      </c>
      <c r="P483">
        <f ca="1">IFERROR(IF(COUNTIF(B483,"*云栖松*")&gt;0,50-加速!$L$11,MAX(0,P482-(A483-A482))),0)</f>
        <v>0</v>
      </c>
      <c r="Q483">
        <f ca="1">IF(COUNTIF(IF(AND(配装计算器!$K$30&lt;&gt;"∞",0),INDEX(AU482:CB482,1,$AT$1),INDEX(AU484:CB484,1,$AT$1)),"*云栖松*")=1,P483,0)</f>
        <v>0</v>
      </c>
      <c r="R483">
        <f ca="1">IFERROR(IF(COUNTIF(B483,"*莺鸣柳*")&gt;0,45-加速!$L$9,MAX(0,R482-(A483-A482))),0)</f>
        <v>0</v>
      </c>
      <c r="S483">
        <f ca="1">IF(COUNTIF(IF(AND(配装计算器!$K$30&lt;&gt;"∞",0),INDEX(AU482:CB482,1,$AT$1),INDEX(AU484:CB484,1,$AT$1)),"*莺鸣柳*")=1,R483,0)</f>
        <v>0</v>
      </c>
      <c r="T483">
        <f ca="1" t="shared" si="137"/>
        <v>0</v>
      </c>
      <c r="U483">
        <f ca="1">IF(金蛇,IF(COUNTIF(B483,"*金环戴*")+COUNTIF(B483,"*吹风醒*")&gt;0,IF(A483&lt;=3,7.125-2.625-A483-加速!$L$11,7.125+加速!$K$9-(A483+加速!$L$11-T483)),0),0)+IF(金蛇,IF(COUNTIF(B483,"*千切子裂光*")&gt;0,2+加速!$K$9-(A483+加速!$L$11-T483),0),0)</f>
        <v>0</v>
      </c>
      <c r="V483">
        <f ca="1" t="shared" si="138"/>
        <v>0</v>
      </c>
      <c r="W483">
        <f ca="1" t="shared" si="130"/>
        <v>0</v>
      </c>
      <c r="X483">
        <f ca="1">INDEX(加速!$I$13:$I$21,W483+1)</f>
        <v>0</v>
      </c>
      <c r="Y483">
        <f ca="1" t="shared" si="139"/>
        <v>0.5</v>
      </c>
      <c r="Z483">
        <f ca="1" t="shared" si="135"/>
        <v>0</v>
      </c>
      <c r="AA483">
        <f ca="1">MAX(0,IFERROR(IF(COUNTIF(B483,"*叠*")&gt;0,IF(AC482&lt;3,8-A484+A483,AA482+6.875-A484+A483),AA482-A484+A483),AA482-加速!$L$11))</f>
        <v>0</v>
      </c>
      <c r="AB483" t="e">
        <f ca="1">MAX(0,IF(COUNTIF(IF(AND(配装计算器!$K$30&lt;&gt;"∞",0),INDEX(AU483:CB483,1,$AT$1),INDEX(AU483:CB483,1,$AT$1)),"*叠1*")=1,4*25-加速!$L$11,AB482-A483+A482)-IF(OR(COUNTIF(OFFSET(AT483,0,$AT$1,1,1),"*听雷*")&gt;0,AND(碧归&gt;0,COUNTIF(OFFSET(AT483,0,$AT$1,1,1),"*风来*")&gt;0)),0,1)*1.5)</f>
        <v>#VALUE!</v>
      </c>
      <c r="AC483">
        <f ca="1" t="shared" si="131"/>
        <v>0</v>
      </c>
      <c r="AD483">
        <f ca="1">IF(COUNTIF(IF(AND(配装计算器!$K$30&lt;&gt;"∞",0),INDEX(AU483:CB483,1,$AT$1),INDEX(AU484:CB484,1,$AT$1)),"*叠1*")=1,AB483*0+AE482,0)</f>
        <v>0</v>
      </c>
      <c r="AE483" t="e">
        <f ca="1">IF($AN$11&gt;0,IF(COUNTIF(B484,"*叠1*")&gt;0,50-加速!$L$11,MAX(0,AE482-(A484-A483))),0)</f>
        <v>#VALUE!</v>
      </c>
      <c r="AG483">
        <f ca="1" t="shared" si="132"/>
        <v>13</v>
      </c>
      <c r="AU483" t="s">
        <v>2776</v>
      </c>
      <c r="AV483">
        <v>1</v>
      </c>
      <c r="AW483" s="176" t="s">
        <v>2794</v>
      </c>
      <c r="AX483">
        <v>2</v>
      </c>
      <c r="AY483" t="s">
        <v>3035</v>
      </c>
      <c r="AZ483">
        <v>2</v>
      </c>
      <c r="BA483" t="s">
        <v>2768</v>
      </c>
      <c r="BB483">
        <v>2</v>
      </c>
      <c r="BC483" t="s">
        <v>2776</v>
      </c>
      <c r="BD483">
        <v>2</v>
      </c>
      <c r="BE483" t="s">
        <v>2768</v>
      </c>
      <c r="BF483">
        <v>1</v>
      </c>
      <c r="BG483" t="s">
        <v>2768</v>
      </c>
      <c r="BH483">
        <v>2</v>
      </c>
      <c r="BI483" t="s">
        <v>2776</v>
      </c>
      <c r="BJ483">
        <v>2</v>
      </c>
      <c r="BK483" t="s">
        <v>2768</v>
      </c>
      <c r="BL483">
        <v>1</v>
      </c>
      <c r="BM483" s="176" t="s">
        <v>2808</v>
      </c>
      <c r="BN483">
        <v>2</v>
      </c>
      <c r="BO483" t="s">
        <v>2768</v>
      </c>
      <c r="BP483">
        <v>2</v>
      </c>
      <c r="BQ483" t="s">
        <v>3018</v>
      </c>
      <c r="BR483">
        <v>2</v>
      </c>
      <c r="BS483" t="s">
        <v>2768</v>
      </c>
      <c r="BT483">
        <v>1</v>
      </c>
      <c r="BU483" s="176" t="s">
        <v>2768</v>
      </c>
      <c r="BV483">
        <v>2</v>
      </c>
      <c r="BW483" s="179" t="s">
        <v>2768</v>
      </c>
      <c r="BX483" s="179">
        <v>2</v>
      </c>
      <c r="BY483" s="175" t="s">
        <v>2789</v>
      </c>
      <c r="BZ483">
        <v>2</v>
      </c>
      <c r="CA483" s="180" t="str">
        <f>IF(0,"云飞玉皇-玉山揽云","风来吴山")</f>
        <v>风来吴山</v>
      </c>
      <c r="CB483">
        <v>2</v>
      </c>
    </row>
    <row r="484" spans="1:80">
      <c r="A484" s="178" t="str">
        <f ca="1">IFERROR(IF(AG483&lt;5+金蛇*2,IF(COUNTIF(B483,"*轻*")&gt;0,A483+加速!$L$9,A483+加速!$L$11)+V483,""),"")</f>
        <v/>
      </c>
      <c r="B484" s="167" t="str">
        <f ca="1" t="shared" si="127"/>
        <v/>
      </c>
      <c r="C484" t="str">
        <f ca="1" t="shared" si="136"/>
        <v/>
      </c>
      <c r="D484" t="str">
        <f ca="1">IF(B484&lt;&gt;"",IF(C483&lt;=加速!$L$11*(1-E484),0,1),"")</f>
        <v/>
      </c>
      <c r="E484">
        <f ca="1" t="shared" si="133"/>
        <v>1</v>
      </c>
      <c r="G484" t="str">
        <f ca="1" t="shared" si="134"/>
        <v/>
      </c>
      <c r="H484" t="str">
        <f ca="1">IF(B484&lt;&gt;"",IF(AND(COUNTIF(B483,"*轻*莺鸣柳*")&gt;0,COUNTIF(B484,"*轻*")&lt;1),MAX(0,15+I483-(A484-A483)+COUNTIF(B483,"*平湖*")*0),IF(AND(E484=0,MAX(0,H483-(A484-A483))&lt;=加速!$H$11),0,MAX(0,H483-(A484-A483)))),"")</f>
        <v/>
      </c>
      <c r="I484" t="str">
        <f ca="1" t="shared" si="140"/>
        <v/>
      </c>
      <c r="J484" t="str">
        <f ca="1" t="shared" si="141"/>
        <v/>
      </c>
      <c r="K484" t="str">
        <f ca="1" t="shared" si="128"/>
        <v/>
      </c>
      <c r="L484">
        <f ca="1">IFERROR(IF(AND(COUNTIF(B484,"*-峰插*"),技能数据库!$M$72&gt;0),0,IF(COUNTIF(B484,"*鹤归*")&gt;0,16-加速!$L$11,MAX(0,L483-(A484-A483)))),0)</f>
        <v>0</v>
      </c>
      <c r="M484">
        <f ca="1" t="shared" si="129"/>
        <v>0</v>
      </c>
      <c r="N484">
        <f ca="1">IFERROR(IF(AND(COUNTIF(B484,"*-峰插*"),技能数据库!$M$72&gt;0),0,IF(COUNTIF(B484,"*云飞*")&gt;0,4-COUNTIF(B484,"*玉山揽云*")*4--COUNTIF(B484,"*烟流暮景*")*4-COUNTIF(B484,"*云景*")*加速!$L$11-IF(J484&gt;0,2,0),MAX(0,N483-(A484-A483)-IF(J484&gt;0,2,0)))),0)</f>
        <v>0</v>
      </c>
      <c r="O484">
        <f ca="1">IF(AND(COUNTIF(IF(AND(配装计算器!$K$30&lt;&gt;"∞",0),INDEX(AU483:CB483,1,$AT$1),INDEX(AU485:CB485,1,$AT$1)),"*云飞*")=1,COUNTIF(IF(AND(配装计算器!$K$30&lt;&gt;"∞",0),INDEX(AU483:CB483,1,$AT$1),INDEX(AU485:CB485,1,$AT$1)),"*玉山*")=0),N484,0)</f>
        <v>0</v>
      </c>
      <c r="P484">
        <f ca="1">IFERROR(IF(COUNTIF(B484,"*云栖松*")&gt;0,50-加速!$L$11,MAX(0,P483-(A484-A483))),0)</f>
        <v>0</v>
      </c>
      <c r="Q484">
        <f ca="1">IF(COUNTIF(IF(AND(配装计算器!$K$30&lt;&gt;"∞",0),INDEX(AU483:CB483,1,$AT$1),INDEX(AU485:CB485,1,$AT$1)),"*云栖松*")=1,P484,0)</f>
        <v>0</v>
      </c>
      <c r="R484">
        <f ca="1">IFERROR(IF(COUNTIF(B484,"*莺鸣柳*")&gt;0,45-加速!$L$9,MAX(0,R483-(A484-A483))),0)</f>
        <v>0</v>
      </c>
      <c r="S484">
        <f ca="1">IF(COUNTIF(IF(AND(配装计算器!$K$30&lt;&gt;"∞",0),INDEX(AU483:CB483,1,$AT$1),INDEX(AU485:CB485,1,$AT$1)),"*莺鸣柳*")=1,R484,0)</f>
        <v>0</v>
      </c>
      <c r="T484">
        <f ca="1" t="shared" si="137"/>
        <v>0</v>
      </c>
      <c r="U484">
        <f ca="1">IF(金蛇,IF(COUNTIF(B484,"*金环戴*")+COUNTIF(B484,"*吹风醒*")&gt;0,IF(A484&lt;=3,7.125-2.625-A484-加速!$L$11,7.125+加速!$K$9-(A484+加速!$L$11-T484)),0),0)+IF(金蛇,IF(COUNTIF(B484,"*千切子裂光*")&gt;0,2+加速!$K$9-(A484+加速!$L$11-T484),0),0)</f>
        <v>0</v>
      </c>
      <c r="V484">
        <f ca="1" t="shared" si="138"/>
        <v>0</v>
      </c>
      <c r="W484">
        <f ca="1" t="shared" si="130"/>
        <v>0</v>
      </c>
      <c r="X484">
        <f ca="1">INDEX(加速!$I$13:$I$21,W484+1)</f>
        <v>0</v>
      </c>
      <c r="Y484">
        <f ca="1" t="shared" si="139"/>
        <v>0.5</v>
      </c>
      <c r="Z484">
        <f ca="1" t="shared" si="135"/>
        <v>0</v>
      </c>
      <c r="AA484">
        <f ca="1">MAX(0,IFERROR(IF(COUNTIF(B484,"*叠*")&gt;0,IF(AC483&lt;3,8-A485+A484,AA483+6.875-A485+A484),AA483-A485+A484),AA483-加速!$L$11))</f>
        <v>0</v>
      </c>
      <c r="AB484" t="e">
        <f ca="1">MAX(0,IF(COUNTIF(IF(AND(配装计算器!$K$30&lt;&gt;"∞",0),INDEX(AU484:CB484,1,$AT$1),INDEX(AU484:CB484,1,$AT$1)),"*叠1*")=1,4*25-加速!$L$11,AB483-A484+A483)-IF(OR(COUNTIF(OFFSET(AT484,0,$AT$1,1,1),"*听雷*")&gt;0,AND(碧归&gt;0,COUNTIF(OFFSET(AT484,0,$AT$1,1,1),"*风来*")&gt;0)),0,1)*1.5)</f>
        <v>#VALUE!</v>
      </c>
      <c r="AC484">
        <f ca="1" t="shared" si="131"/>
        <v>0</v>
      </c>
      <c r="AD484">
        <f ca="1">IF(COUNTIF(IF(AND(配装计算器!$K$30&lt;&gt;"∞",0),INDEX(AU484:CB484,1,$AT$1),INDEX(AU485:CB485,1,$AT$1)),"*叠1*")=1,AB484*0+AE483,0)</f>
        <v>0</v>
      </c>
      <c r="AE484" t="e">
        <f ca="1">IF($AN$11&gt;0,IF(COUNTIF(B485,"*叠1*")&gt;0,50-加速!$L$11,MAX(0,AE483-(A485-A484))),0)</f>
        <v>#VALUE!</v>
      </c>
      <c r="AG484">
        <f ca="1" t="shared" si="132"/>
        <v>13</v>
      </c>
      <c r="AU484" t="s">
        <v>2768</v>
      </c>
      <c r="AV484">
        <v>1</v>
      </c>
      <c r="AW484" s="176" t="s">
        <v>2776</v>
      </c>
      <c r="AX484">
        <v>2</v>
      </c>
      <c r="AY484" t="s">
        <v>2768</v>
      </c>
      <c r="AZ484">
        <v>2</v>
      </c>
      <c r="BA484" t="s">
        <v>2776</v>
      </c>
      <c r="BB484">
        <v>2</v>
      </c>
      <c r="BC484" t="s">
        <v>2768</v>
      </c>
      <c r="BD484">
        <v>2</v>
      </c>
      <c r="BE484" t="s">
        <v>2794</v>
      </c>
      <c r="BF484">
        <v>1</v>
      </c>
      <c r="BG484" t="s">
        <v>2776</v>
      </c>
      <c r="BH484">
        <v>2</v>
      </c>
      <c r="BI484" t="s">
        <v>2768</v>
      </c>
      <c r="BJ484">
        <v>2</v>
      </c>
      <c r="BK484" t="s">
        <v>2768</v>
      </c>
      <c r="BL484">
        <v>0</v>
      </c>
      <c r="BM484" t="str">
        <f>IF(0,"云飞玉皇-玉山揽云","夕照雷峰")</f>
        <v>夕照雷峰</v>
      </c>
      <c r="BN484">
        <v>2</v>
      </c>
      <c r="BO484" t="s">
        <v>2768</v>
      </c>
      <c r="BP484">
        <v>2</v>
      </c>
      <c r="BQ484" t="s">
        <v>2768</v>
      </c>
      <c r="BR484">
        <v>2</v>
      </c>
      <c r="BS484" t="s">
        <v>3056</v>
      </c>
      <c r="BT484">
        <v>0</v>
      </c>
      <c r="BU484" s="176" t="s">
        <v>2776</v>
      </c>
      <c r="BV484">
        <v>2</v>
      </c>
      <c r="BW484" s="179" t="s">
        <v>2768</v>
      </c>
      <c r="BX484" s="179">
        <v>2</v>
      </c>
      <c r="BY484" t="s">
        <v>2768</v>
      </c>
      <c r="BZ484">
        <v>2</v>
      </c>
      <c r="CA484" t="str">
        <f>IF(0,橙武补雾锁,"夕照雷峰")</f>
        <v>夕照雷峰</v>
      </c>
      <c r="CB484">
        <v>2</v>
      </c>
    </row>
    <row r="485" spans="1:80">
      <c r="A485" s="178" t="str">
        <f ca="1">IFERROR(IF(AG484&lt;5+金蛇*2,IF(COUNTIF(B484,"*轻*")&gt;0,A484+加速!$L$9,A484+加速!$L$11)+V484,""),"")</f>
        <v/>
      </c>
      <c r="B485" s="167" t="str">
        <f ca="1" t="shared" si="127"/>
        <v/>
      </c>
      <c r="C485" t="str">
        <f ca="1" t="shared" si="136"/>
        <v/>
      </c>
      <c r="D485" t="str">
        <f ca="1">IF(B485&lt;&gt;"",IF(C484&lt;=加速!$L$11*(1-E485),0,1),"")</f>
        <v/>
      </c>
      <c r="E485">
        <f ca="1" t="shared" si="133"/>
        <v>1</v>
      </c>
      <c r="G485" t="str">
        <f ca="1" t="shared" si="134"/>
        <v/>
      </c>
      <c r="H485" t="str">
        <f ca="1">IF(B485&lt;&gt;"",IF(AND(COUNTIF(B484,"*轻*莺鸣柳*")&gt;0,COUNTIF(B485,"*轻*")&lt;1),MAX(0,15+I484-(A485-A484)+COUNTIF(B484,"*平湖*")*0),IF(AND(E485=0,MAX(0,H484-(A485-A484))&lt;=加速!$H$11),0,MAX(0,H484-(A485-A484)))),"")</f>
        <v/>
      </c>
      <c r="I485" t="str">
        <f ca="1" t="shared" si="140"/>
        <v/>
      </c>
      <c r="J485" t="str">
        <f ca="1" t="shared" si="141"/>
        <v/>
      </c>
      <c r="K485" t="str">
        <f ca="1" t="shared" si="128"/>
        <v/>
      </c>
      <c r="L485">
        <f ca="1">IFERROR(IF(AND(COUNTIF(B485,"*-峰插*"),技能数据库!$M$72&gt;0),0,IF(COUNTIF(B485,"*鹤归*")&gt;0,16-加速!$L$11,MAX(0,L484-(A485-A484)))),0)</f>
        <v>0</v>
      </c>
      <c r="M485">
        <f ca="1" t="shared" si="129"/>
        <v>0</v>
      </c>
      <c r="N485">
        <f ca="1">IFERROR(IF(AND(COUNTIF(B485,"*-峰插*"),技能数据库!$M$72&gt;0),0,IF(COUNTIF(B485,"*云飞*")&gt;0,4-COUNTIF(B485,"*玉山揽云*")*4--COUNTIF(B485,"*烟流暮景*")*4-COUNTIF(B485,"*云景*")*加速!$L$11-IF(J485&gt;0,2,0),MAX(0,N484-(A485-A484)-IF(J485&gt;0,2,0)))),0)</f>
        <v>0</v>
      </c>
      <c r="O485">
        <f ca="1">IF(AND(COUNTIF(IF(AND(配装计算器!$K$30&lt;&gt;"∞",0),INDEX(AU484:CB484,1,$AT$1),INDEX(AU486:CB486,1,$AT$1)),"*云飞*")=1,COUNTIF(IF(AND(配装计算器!$K$30&lt;&gt;"∞",0),INDEX(AU484:CB484,1,$AT$1),INDEX(AU486:CB486,1,$AT$1)),"*玉山*")=0),N485,0)</f>
        <v>0</v>
      </c>
      <c r="P485">
        <f ca="1">IFERROR(IF(COUNTIF(B485,"*云栖松*")&gt;0,50-加速!$L$11,MAX(0,P484-(A485-A484))),0)</f>
        <v>0</v>
      </c>
      <c r="Q485">
        <f ca="1">IF(COUNTIF(IF(AND(配装计算器!$K$30&lt;&gt;"∞",0),INDEX(AU484:CB484,1,$AT$1),INDEX(AU486:CB486,1,$AT$1)),"*云栖松*")=1,P485,0)</f>
        <v>0</v>
      </c>
      <c r="R485">
        <f ca="1">IFERROR(IF(COUNTIF(B485,"*莺鸣柳*")&gt;0,45-加速!$L$9,MAX(0,R484-(A485-A484))),0)</f>
        <v>0</v>
      </c>
      <c r="S485">
        <f ca="1">IF(COUNTIF(IF(AND(配装计算器!$K$30&lt;&gt;"∞",0),INDEX(AU484:CB484,1,$AT$1),INDEX(AU486:CB486,1,$AT$1)),"*莺鸣柳*")=1,R485,0)</f>
        <v>0</v>
      </c>
      <c r="T485">
        <f ca="1" t="shared" si="137"/>
        <v>0</v>
      </c>
      <c r="U485">
        <f ca="1">IF(金蛇,IF(COUNTIF(B485,"*金环戴*")+COUNTIF(B485,"*吹风醒*")&gt;0,IF(A485&lt;=3,7.125-2.625-A485-加速!$L$11,7.125+加速!$K$9-(A485+加速!$L$11-T485)),0),0)+IF(金蛇,IF(COUNTIF(B485,"*千切子裂光*")&gt;0,2+加速!$K$9-(A485+加速!$L$11-T485),0),0)</f>
        <v>0</v>
      </c>
      <c r="V485">
        <f ca="1" t="shared" si="138"/>
        <v>0</v>
      </c>
      <c r="W485">
        <f ca="1" t="shared" si="130"/>
        <v>0</v>
      </c>
      <c r="X485">
        <f ca="1">INDEX(加速!$I$13:$I$21,W485+1)</f>
        <v>0</v>
      </c>
      <c r="Y485">
        <f ca="1" t="shared" si="139"/>
        <v>0.5</v>
      </c>
      <c r="Z485">
        <f ca="1" t="shared" si="135"/>
        <v>0</v>
      </c>
      <c r="AA485">
        <f ca="1">MAX(0,IFERROR(IF(COUNTIF(B485,"*叠*")&gt;0,IF(AC484&lt;3,8-A486+A485,AA484+6.875-A486+A485),AA484-A486+A485),AA484-加速!$L$11))</f>
        <v>0</v>
      </c>
      <c r="AB485" t="e">
        <f ca="1">MAX(0,IF(COUNTIF(IF(AND(配装计算器!$K$30&lt;&gt;"∞",0),INDEX(AU485:CB485,1,$AT$1),INDEX(AU485:CB485,1,$AT$1)),"*叠1*")=1,4*25-加速!$L$11,AB484-A485+A484)-IF(OR(COUNTIF(OFFSET(AT485,0,$AT$1,1,1),"*听雷*")&gt;0,AND(碧归&gt;0,COUNTIF(OFFSET(AT485,0,$AT$1,1,1),"*风来*")&gt;0)),0,1)*1.5)</f>
        <v>#VALUE!</v>
      </c>
      <c r="AC485">
        <f ca="1" t="shared" si="131"/>
        <v>0</v>
      </c>
      <c r="AD485">
        <f ca="1">IF(COUNTIF(IF(AND(配装计算器!$K$30&lt;&gt;"∞",0),INDEX(AU485:CB485,1,$AT$1),INDEX(AU486:CB486,1,$AT$1)),"*叠1*")=1,AB485*0+AE484,0)</f>
        <v>0</v>
      </c>
      <c r="AE485" t="e">
        <f ca="1">IF($AN$11&gt;0,IF(COUNTIF(B486,"*叠1*")&gt;0,50-加速!$L$11,MAX(0,AE484-(A486-A485))),0)</f>
        <v>#VALUE!</v>
      </c>
      <c r="AG485">
        <f ca="1" t="shared" si="132"/>
        <v>13</v>
      </c>
      <c r="AU485" t="s">
        <v>2768</v>
      </c>
      <c r="AV485">
        <v>1</v>
      </c>
      <c r="AW485" s="176" t="s">
        <v>2768</v>
      </c>
      <c r="AX485">
        <v>2</v>
      </c>
      <c r="AY485" t="s">
        <v>2776</v>
      </c>
      <c r="AZ485">
        <v>2</v>
      </c>
      <c r="BA485" t="s">
        <v>3042</v>
      </c>
      <c r="BB485">
        <v>2</v>
      </c>
      <c r="BC485" t="s">
        <v>2776</v>
      </c>
      <c r="BD485">
        <v>2</v>
      </c>
      <c r="BE485" t="s">
        <v>2776</v>
      </c>
      <c r="BF485">
        <v>2</v>
      </c>
      <c r="BG485" t="s">
        <v>2768</v>
      </c>
      <c r="BH485">
        <v>2</v>
      </c>
      <c r="BI485" t="s">
        <v>2776</v>
      </c>
      <c r="BJ485">
        <v>1</v>
      </c>
      <c r="BK485" t="s">
        <v>2776</v>
      </c>
      <c r="BL485">
        <v>0</v>
      </c>
      <c r="BM485" t="str">
        <f>IF(0,"云飞玉皇-玉山揽云","云飞玉皇")</f>
        <v>云飞玉皇</v>
      </c>
      <c r="BN485">
        <v>2</v>
      </c>
      <c r="BO485" t="s">
        <v>2768</v>
      </c>
      <c r="BP485">
        <v>2</v>
      </c>
      <c r="BQ485" t="s">
        <v>3023</v>
      </c>
      <c r="BR485">
        <v>2</v>
      </c>
      <c r="BS485" t="s">
        <v>2768</v>
      </c>
      <c r="BT485">
        <v>2</v>
      </c>
      <c r="BU485" t="str">
        <f>IF(秋,"鹤归孤山-叠-蛇牙锥心","鹤归孤山-叠")</f>
        <v>鹤归孤山-叠</v>
      </c>
      <c r="BV485">
        <v>2</v>
      </c>
      <c r="BW485" s="179" t="s">
        <v>2776</v>
      </c>
      <c r="BX485" s="179">
        <v>2</v>
      </c>
      <c r="BY485" t="s">
        <v>2768</v>
      </c>
      <c r="BZ485">
        <v>2</v>
      </c>
      <c r="CA485" t="str">
        <f>IF(0,"云飞玉皇-玉山揽云","夕照雷峰")</f>
        <v>夕照雷峰</v>
      </c>
      <c r="CB485">
        <v>2</v>
      </c>
    </row>
    <row r="486" spans="1:80">
      <c r="A486" s="178" t="str">
        <f ca="1">IFERROR(IF(AG485&lt;5+金蛇*2,IF(COUNTIF(B485,"*轻*")&gt;0,A485+加速!$L$9,A485+加速!$L$11)+V485,""),"")</f>
        <v/>
      </c>
      <c r="B486" s="167" t="str">
        <f ca="1" t="shared" si="127"/>
        <v/>
      </c>
      <c r="C486" t="str">
        <f ca="1" t="shared" si="136"/>
        <v/>
      </c>
      <c r="D486" t="str">
        <f ca="1">IF(B486&lt;&gt;"",IF(C485&lt;=加速!$L$11*(1-E486),0,1),"")</f>
        <v/>
      </c>
      <c r="E486">
        <f ca="1" t="shared" si="133"/>
        <v>1</v>
      </c>
      <c r="G486" t="str">
        <f ca="1" t="shared" si="134"/>
        <v/>
      </c>
      <c r="H486" t="str">
        <f ca="1">IF(B486&lt;&gt;"",IF(AND(COUNTIF(B485,"*轻*莺鸣柳*")&gt;0,COUNTIF(B486,"*轻*")&lt;1),MAX(0,15+I485-(A486-A485)+COUNTIF(B485,"*平湖*")*0),IF(AND(E486=0,MAX(0,H485-(A486-A485))&lt;=加速!$H$11),0,MAX(0,H485-(A486-A485)))),"")</f>
        <v/>
      </c>
      <c r="I486" t="str">
        <f ca="1" t="shared" si="140"/>
        <v/>
      </c>
      <c r="J486" t="str">
        <f ca="1" t="shared" si="141"/>
        <v/>
      </c>
      <c r="K486" t="str">
        <f ca="1" t="shared" si="128"/>
        <v/>
      </c>
      <c r="L486">
        <f ca="1">IFERROR(IF(AND(COUNTIF(B486,"*-峰插*"),技能数据库!$M$72&gt;0),0,IF(COUNTIF(B486,"*鹤归*")&gt;0,16-加速!$L$11,MAX(0,L485-(A486-A485)))),0)</f>
        <v>0</v>
      </c>
      <c r="M486">
        <f ca="1" t="shared" si="129"/>
        <v>0</v>
      </c>
      <c r="N486">
        <f ca="1">IFERROR(IF(AND(COUNTIF(B486,"*-峰插*"),技能数据库!$M$72&gt;0),0,IF(COUNTIF(B486,"*云飞*")&gt;0,4-COUNTIF(B486,"*玉山揽云*")*4--COUNTIF(B486,"*烟流暮景*")*4-COUNTIF(B486,"*云景*")*加速!$L$11-IF(J486&gt;0,2,0),MAX(0,N485-(A486-A485)-IF(J486&gt;0,2,0)))),0)</f>
        <v>0</v>
      </c>
      <c r="O486">
        <f ca="1">IF(AND(COUNTIF(IF(AND(配装计算器!$K$30&lt;&gt;"∞",0),INDEX(AU485:CB485,1,$AT$1),INDEX(AU487:CB487,1,$AT$1)),"*云飞*")=1,COUNTIF(IF(AND(配装计算器!$K$30&lt;&gt;"∞",0),INDEX(AU485:CB485,1,$AT$1),INDEX(AU487:CB487,1,$AT$1)),"*玉山*")=0),N486,0)</f>
        <v>0</v>
      </c>
      <c r="P486">
        <f ca="1">IFERROR(IF(COUNTIF(B486,"*云栖松*")&gt;0,50-加速!$L$11,MAX(0,P485-(A486-A485))),0)</f>
        <v>0</v>
      </c>
      <c r="Q486">
        <f ca="1">IF(COUNTIF(IF(AND(配装计算器!$K$30&lt;&gt;"∞",0),INDEX(AU485:CB485,1,$AT$1),INDEX(AU487:CB487,1,$AT$1)),"*云栖松*")=1,P486,0)</f>
        <v>0</v>
      </c>
      <c r="R486">
        <f ca="1">IFERROR(IF(COUNTIF(B486,"*莺鸣柳*")&gt;0,45-加速!$L$9,MAX(0,R485-(A486-A485))),0)</f>
        <v>0</v>
      </c>
      <c r="S486">
        <f ca="1">IF(COUNTIF(IF(AND(配装计算器!$K$30&lt;&gt;"∞",0),INDEX(AU485:CB485,1,$AT$1),INDEX(AU487:CB487,1,$AT$1)),"*莺鸣柳*")=1,R486,0)</f>
        <v>0</v>
      </c>
      <c r="T486">
        <f ca="1" t="shared" si="137"/>
        <v>0</v>
      </c>
      <c r="U486">
        <f ca="1">IF(金蛇,IF(COUNTIF(B486,"*金环戴*")+COUNTIF(B486,"*吹风醒*")&gt;0,IF(A486&lt;=3,7.125-2.625-A486-加速!$L$11,7.125+加速!$K$9-(A486+加速!$L$11-T486)),0),0)+IF(金蛇,IF(COUNTIF(B486,"*千切子裂光*")&gt;0,2+加速!$K$9-(A486+加速!$L$11-T486),0),0)</f>
        <v>0</v>
      </c>
      <c r="V486">
        <f ca="1" t="shared" si="138"/>
        <v>0</v>
      </c>
      <c r="W486">
        <f ca="1" t="shared" si="130"/>
        <v>0</v>
      </c>
      <c r="X486">
        <f ca="1">INDEX(加速!$I$13:$I$21,W486+1)</f>
        <v>0</v>
      </c>
      <c r="Y486">
        <f ca="1" t="shared" si="139"/>
        <v>0.5</v>
      </c>
      <c r="Z486">
        <f ca="1" t="shared" si="135"/>
        <v>0</v>
      </c>
      <c r="AA486">
        <f ca="1">MAX(0,IFERROR(IF(COUNTIF(B486,"*叠*")&gt;0,IF(AC485&lt;3,8-A487+A486,AA485+6.875-A487+A486),AA485-A487+A486),AA485-加速!$L$11))</f>
        <v>0</v>
      </c>
      <c r="AB486" t="e">
        <f ca="1">MAX(0,IF(COUNTIF(IF(AND(配装计算器!$K$30&lt;&gt;"∞",0),INDEX(AU486:CB486,1,$AT$1),INDEX(AU486:CB486,1,$AT$1)),"*叠1*")=1,4*25-加速!$L$11,AB485-A486+A485)-IF(OR(COUNTIF(OFFSET(AT486,0,$AT$1,1,1),"*听雷*")&gt;0,AND(碧归&gt;0,COUNTIF(OFFSET(AT486,0,$AT$1,1,1),"*风来*")&gt;0)),0,1)*1.5)</f>
        <v>#VALUE!</v>
      </c>
      <c r="AC486">
        <f ca="1" t="shared" si="131"/>
        <v>0</v>
      </c>
      <c r="AD486">
        <f ca="1">IF(COUNTIF(IF(AND(配装计算器!$K$30&lt;&gt;"∞",0),INDEX(AU486:CB486,1,$AT$1),INDEX(AU487:CB487,1,$AT$1)),"*叠1*")=1,AB486*0+AE485,0)</f>
        <v>0</v>
      </c>
      <c r="AE486" t="e">
        <f ca="1">IF($AN$11&gt;0,IF(COUNTIF(B487,"*叠1*")&gt;0,50-加速!$L$11,MAX(0,AE485-(A487-A486))),0)</f>
        <v>#VALUE!</v>
      </c>
      <c r="AG486">
        <f ca="1" t="shared" si="132"/>
        <v>13</v>
      </c>
      <c r="AU486" t="s">
        <v>3063</v>
      </c>
      <c r="AV486">
        <v>2</v>
      </c>
      <c r="AW486" s="176" t="s">
        <v>2776</v>
      </c>
      <c r="AX486">
        <v>2</v>
      </c>
      <c r="AY486" t="s">
        <v>2768</v>
      </c>
      <c r="AZ486">
        <v>2</v>
      </c>
      <c r="BA486" t="s">
        <v>2808</v>
      </c>
      <c r="BB486">
        <v>2</v>
      </c>
      <c r="BC486" t="s">
        <v>2768</v>
      </c>
      <c r="BD486">
        <v>1</v>
      </c>
      <c r="BE486" t="s">
        <v>2768</v>
      </c>
      <c r="BF486">
        <v>2</v>
      </c>
      <c r="BG486" t="s">
        <v>2808</v>
      </c>
      <c r="BH486">
        <v>2</v>
      </c>
      <c r="BI486" t="s">
        <v>2768</v>
      </c>
      <c r="BJ486">
        <v>1</v>
      </c>
      <c r="BK486" t="s">
        <v>2768</v>
      </c>
      <c r="BL486">
        <v>0</v>
      </c>
      <c r="BM486" t="str">
        <f>IF(0,"云飞玉皇-玉山揽云","夕照雷峰")</f>
        <v>夕照雷峰</v>
      </c>
      <c r="BN486">
        <v>2</v>
      </c>
      <c r="BO486" t="s">
        <v>2776</v>
      </c>
      <c r="BP486">
        <v>2</v>
      </c>
      <c r="BQ486" t="s">
        <v>2768</v>
      </c>
      <c r="BR486">
        <v>2</v>
      </c>
      <c r="BS486" t="s">
        <v>2768</v>
      </c>
      <c r="BT486">
        <v>2</v>
      </c>
      <c r="BU486" t="s">
        <v>2768</v>
      </c>
      <c r="BV486">
        <v>2</v>
      </c>
      <c r="BW486" s="182" t="s">
        <v>2794</v>
      </c>
      <c r="BX486" s="179">
        <v>2</v>
      </c>
      <c r="BY486" t="s">
        <v>2776</v>
      </c>
      <c r="BZ486">
        <v>2</v>
      </c>
      <c r="CA486" t="str">
        <f>IF(0,"云飞玉皇-玉山揽云","云飞玉皇")</f>
        <v>云飞玉皇</v>
      </c>
      <c r="CB486">
        <v>2</v>
      </c>
    </row>
    <row r="487" spans="1:80">
      <c r="A487" s="178" t="str">
        <f ca="1">IFERROR(IF(AG486&lt;5+金蛇*2,IF(COUNTIF(B486,"*轻*")&gt;0,A486+加速!$L$9,A486+加速!$L$11)+V486,""),"")</f>
        <v/>
      </c>
      <c r="B487" s="167" t="str">
        <f ca="1" t="shared" si="127"/>
        <v/>
      </c>
      <c r="C487" t="str">
        <f ca="1" t="shared" si="136"/>
        <v/>
      </c>
      <c r="D487" t="str">
        <f ca="1">IF(B487&lt;&gt;"",IF(C486&lt;=加速!$L$11*(1-E487),0,1),"")</f>
        <v/>
      </c>
      <c r="E487">
        <f ca="1" t="shared" si="133"/>
        <v>1</v>
      </c>
      <c r="G487" t="str">
        <f ca="1" t="shared" si="134"/>
        <v/>
      </c>
      <c r="H487" t="str">
        <f ca="1">IF(B487&lt;&gt;"",IF(AND(COUNTIF(B486,"*轻*莺鸣柳*")&gt;0,COUNTIF(B487,"*轻*")&lt;1),MAX(0,15+I486-(A487-A486)+COUNTIF(B486,"*平湖*")*0),IF(AND(E487=0,MAX(0,H486-(A487-A486))&lt;=加速!$H$11),0,MAX(0,H486-(A487-A486)))),"")</f>
        <v/>
      </c>
      <c r="I487" t="str">
        <f ca="1" t="shared" si="140"/>
        <v/>
      </c>
      <c r="J487" t="str">
        <f ca="1" t="shared" si="141"/>
        <v/>
      </c>
      <c r="K487" t="str">
        <f ca="1" t="shared" si="128"/>
        <v/>
      </c>
      <c r="L487">
        <f ca="1">IFERROR(IF(AND(COUNTIF(B487,"*-峰插*"),技能数据库!$M$72&gt;0),0,IF(COUNTIF(B487,"*鹤归*")&gt;0,16-加速!$L$11,MAX(0,L486-(A487-A486)))),0)</f>
        <v>0</v>
      </c>
      <c r="M487">
        <f ca="1" t="shared" si="129"/>
        <v>0</v>
      </c>
      <c r="N487">
        <f ca="1">IFERROR(IF(AND(COUNTIF(B487,"*-峰插*"),技能数据库!$M$72&gt;0),0,IF(COUNTIF(B487,"*云飞*")&gt;0,4-COUNTIF(B487,"*玉山揽云*")*4--COUNTIF(B487,"*烟流暮景*")*4-COUNTIF(B487,"*云景*")*加速!$L$11-IF(J487&gt;0,2,0),MAX(0,N486-(A487-A486)-IF(J487&gt;0,2,0)))),0)</f>
        <v>0</v>
      </c>
      <c r="O487">
        <f ca="1">IF(AND(COUNTIF(IF(AND(配装计算器!$K$30&lt;&gt;"∞",0),INDEX(AU486:CB486,1,$AT$1),INDEX(AU488:CB488,1,$AT$1)),"*云飞*")=1,COUNTIF(IF(AND(配装计算器!$K$30&lt;&gt;"∞",0),INDEX(AU486:CB486,1,$AT$1),INDEX(AU488:CB488,1,$AT$1)),"*玉山*")=0),N487,0)</f>
        <v>0</v>
      </c>
      <c r="P487">
        <f ca="1">IFERROR(IF(COUNTIF(B487,"*云栖松*")&gt;0,50-加速!$L$11,MAX(0,P486-(A487-A486))),0)</f>
        <v>0</v>
      </c>
      <c r="Q487">
        <f ca="1">IF(COUNTIF(IF(AND(配装计算器!$K$30&lt;&gt;"∞",0),INDEX(AU486:CB486,1,$AT$1),INDEX(AU488:CB488,1,$AT$1)),"*云栖松*")=1,P487,0)</f>
        <v>0</v>
      </c>
      <c r="R487">
        <f ca="1">IFERROR(IF(COUNTIF(B487,"*莺鸣柳*")&gt;0,45-加速!$L$9,MAX(0,R486-(A487-A486))),0)</f>
        <v>0</v>
      </c>
      <c r="S487">
        <f ca="1">IF(COUNTIF(IF(AND(配装计算器!$K$30&lt;&gt;"∞",0),INDEX(AU486:CB486,1,$AT$1),INDEX(AU488:CB488,1,$AT$1)),"*莺鸣柳*")=1,R487,0)</f>
        <v>0</v>
      </c>
      <c r="T487">
        <f ca="1" t="shared" si="137"/>
        <v>0</v>
      </c>
      <c r="U487">
        <f ca="1">IF(金蛇,IF(COUNTIF(B487,"*金环戴*")+COUNTIF(B487,"*吹风醒*")&gt;0,IF(A487&lt;=3,7.125-2.625-A487-加速!$L$11,7.125+加速!$K$9-(A487+加速!$L$11-T487)),0),0)+IF(金蛇,IF(COUNTIF(B487,"*千切子裂光*")&gt;0,2+加速!$K$9-(A487+加速!$L$11-T487),0),0)</f>
        <v>0</v>
      </c>
      <c r="V487">
        <f ca="1" t="shared" si="138"/>
        <v>0</v>
      </c>
      <c r="W487">
        <f ca="1" t="shared" si="130"/>
        <v>0</v>
      </c>
      <c r="X487">
        <f ca="1">INDEX(加速!$I$13:$I$21,W487+1)</f>
        <v>0</v>
      </c>
      <c r="Y487">
        <f ca="1" t="shared" si="139"/>
        <v>0.5</v>
      </c>
      <c r="Z487">
        <f ca="1" t="shared" si="135"/>
        <v>0</v>
      </c>
      <c r="AA487">
        <f ca="1">MAX(0,IFERROR(IF(COUNTIF(B487,"*叠*")&gt;0,IF(AC486&lt;3,8-A488+A487,AA486+6.875-A488+A487),AA486-A488+A487),AA486-加速!$L$11))</f>
        <v>0</v>
      </c>
      <c r="AB487" t="e">
        <f ca="1">MAX(0,IF(COUNTIF(IF(AND(配装计算器!$K$30&lt;&gt;"∞",0),INDEX(AU487:CB487,1,$AT$1),INDEX(AU487:CB487,1,$AT$1)),"*叠1*")=1,4*25-加速!$L$11,AB486-A487+A486)-IF(OR(COUNTIF(OFFSET(AT487,0,$AT$1,1,1),"*听雷*")&gt;0,AND(碧归&gt;0,COUNTIF(OFFSET(AT487,0,$AT$1,1,1),"*风来*")&gt;0)),0,1)*1.5)</f>
        <v>#VALUE!</v>
      </c>
      <c r="AC487">
        <f ca="1" t="shared" si="131"/>
        <v>0</v>
      </c>
      <c r="AD487">
        <f ca="1">IF(COUNTIF(IF(AND(配装计算器!$K$30&lt;&gt;"∞",0),INDEX(AU487:CB487,1,$AT$1),INDEX(AU488:CB488,1,$AT$1)),"*叠1*")=1,AB487*0+AE486,0)</f>
        <v>0</v>
      </c>
      <c r="AE487" t="e">
        <f ca="1">IF($AN$11&gt;0,IF(COUNTIF(B488,"*叠1*")&gt;0,50-加速!$L$11,MAX(0,AE486-(A488-A487))),0)</f>
        <v>#VALUE!</v>
      </c>
      <c r="AG487">
        <f ca="1" t="shared" si="132"/>
        <v>13</v>
      </c>
      <c r="AU487" t="s">
        <v>2776</v>
      </c>
      <c r="AV487">
        <v>1</v>
      </c>
      <c r="AW487" s="176" t="s">
        <v>2768</v>
      </c>
      <c r="AX487">
        <v>2</v>
      </c>
      <c r="AY487" t="s">
        <v>2776</v>
      </c>
      <c r="AZ487">
        <v>2</v>
      </c>
      <c r="BA487" t="s">
        <v>2768</v>
      </c>
      <c r="BB487">
        <v>2</v>
      </c>
      <c r="BC487" t="s">
        <v>2768</v>
      </c>
      <c r="BD487">
        <v>1</v>
      </c>
      <c r="BE487" t="s">
        <v>2776</v>
      </c>
      <c r="BF487">
        <v>2</v>
      </c>
      <c r="BG487" t="s">
        <v>2768</v>
      </c>
      <c r="BH487">
        <v>2</v>
      </c>
      <c r="BI487" t="s">
        <v>2776</v>
      </c>
      <c r="BJ487">
        <v>0</v>
      </c>
      <c r="BK487" t="s">
        <v>3067</v>
      </c>
      <c r="BL487">
        <v>2</v>
      </c>
      <c r="BM487" t="str">
        <f>IF(0,橙武补雾锁,"夕照雷峰")</f>
        <v>夕照雷峰</v>
      </c>
      <c r="BN487">
        <v>2</v>
      </c>
      <c r="BO487" t="s">
        <v>2768</v>
      </c>
      <c r="BP487">
        <v>2</v>
      </c>
      <c r="BQ487" t="s">
        <v>2776</v>
      </c>
      <c r="BR487">
        <v>2</v>
      </c>
      <c r="BS487" t="s">
        <v>2776</v>
      </c>
      <c r="BT487">
        <v>2</v>
      </c>
      <c r="BU487" t="s">
        <v>2776</v>
      </c>
      <c r="BV487">
        <v>2</v>
      </c>
      <c r="BW487" s="182" t="s">
        <v>2768</v>
      </c>
      <c r="BX487" s="179">
        <v>2</v>
      </c>
      <c r="BY487" s="176" t="s">
        <v>2794</v>
      </c>
      <c r="BZ487">
        <v>2</v>
      </c>
      <c r="CA487" s="176" t="s">
        <v>2794</v>
      </c>
      <c r="CB487">
        <v>2</v>
      </c>
    </row>
    <row r="488" spans="1:80">
      <c r="A488" s="178" t="str">
        <f ca="1">IFERROR(IF(AG487&lt;5+金蛇*2,IF(COUNTIF(B487,"*轻*")&gt;0,A487+加速!$L$9,A487+加速!$L$11)+V487,""),"")</f>
        <v/>
      </c>
      <c r="B488" s="167" t="str">
        <f ca="1" t="shared" si="127"/>
        <v/>
      </c>
      <c r="C488" t="str">
        <f ca="1" t="shared" si="136"/>
        <v/>
      </c>
      <c r="D488" t="str">
        <f ca="1">IF(B488&lt;&gt;"",IF(C487&lt;=加速!$L$11*(1-E488),0,1),"")</f>
        <v/>
      </c>
      <c r="E488">
        <f ca="1" t="shared" si="133"/>
        <v>1</v>
      </c>
      <c r="G488" t="str">
        <f ca="1" t="shared" si="134"/>
        <v/>
      </c>
      <c r="H488" t="str">
        <f ca="1">IF(B488&lt;&gt;"",IF(AND(COUNTIF(B487,"*轻*莺鸣柳*")&gt;0,COUNTIF(B488,"*轻*")&lt;1),MAX(0,15+I487-(A488-A487)+COUNTIF(B487,"*平湖*")*0),IF(AND(E488=0,MAX(0,H487-(A488-A487))&lt;=加速!$H$11),0,MAX(0,H487-(A488-A487)))),"")</f>
        <v/>
      </c>
      <c r="I488" t="str">
        <f ca="1" t="shared" si="140"/>
        <v/>
      </c>
      <c r="J488" t="str">
        <f ca="1" t="shared" si="141"/>
        <v/>
      </c>
      <c r="K488" t="str">
        <f ca="1" t="shared" si="128"/>
        <v/>
      </c>
      <c r="L488">
        <f ca="1">IFERROR(IF(AND(COUNTIF(B488,"*-峰插*"),技能数据库!$M$72&gt;0),0,IF(COUNTIF(B488,"*鹤归*")&gt;0,16-加速!$L$11,MAX(0,L487-(A488-A487)))),0)</f>
        <v>0</v>
      </c>
      <c r="M488">
        <f ca="1" t="shared" si="129"/>
        <v>0</v>
      </c>
      <c r="N488">
        <f ca="1">IFERROR(IF(AND(COUNTIF(B488,"*-峰插*"),技能数据库!$M$72&gt;0),0,IF(COUNTIF(B488,"*云飞*")&gt;0,4-COUNTIF(B488,"*玉山揽云*")*4--COUNTIF(B488,"*烟流暮景*")*4-COUNTIF(B488,"*云景*")*加速!$L$11-IF(J488&gt;0,2,0),MAX(0,N487-(A488-A487)-IF(J488&gt;0,2,0)))),0)</f>
        <v>0</v>
      </c>
      <c r="O488">
        <f ca="1">IF(AND(COUNTIF(IF(AND(配装计算器!$K$30&lt;&gt;"∞",0),INDEX(AU487:CB487,1,$AT$1),INDEX(AU489:CB489,1,$AT$1)),"*云飞*")=1,COUNTIF(IF(AND(配装计算器!$K$30&lt;&gt;"∞",0),INDEX(AU487:CB487,1,$AT$1),INDEX(AU489:CB489,1,$AT$1)),"*玉山*")=0),N488,0)</f>
        <v>0</v>
      </c>
      <c r="P488">
        <f ca="1">IFERROR(IF(COUNTIF(B488,"*云栖松*")&gt;0,50-加速!$L$11,MAX(0,P487-(A488-A487))),0)</f>
        <v>0</v>
      </c>
      <c r="Q488">
        <f ca="1">IF(COUNTIF(IF(AND(配装计算器!$K$30&lt;&gt;"∞",0),INDEX(AU487:CB487,1,$AT$1),INDEX(AU489:CB489,1,$AT$1)),"*云栖松*")=1,P488,0)</f>
        <v>0</v>
      </c>
      <c r="R488">
        <f ca="1">IFERROR(IF(COUNTIF(B488,"*莺鸣柳*")&gt;0,45-加速!$L$9,MAX(0,R487-(A488-A487))),0)</f>
        <v>0</v>
      </c>
      <c r="S488">
        <f ca="1">IF(COUNTIF(IF(AND(配装计算器!$K$30&lt;&gt;"∞",0),INDEX(AU487:CB487,1,$AT$1),INDEX(AU489:CB489,1,$AT$1)),"*莺鸣柳*")=1,R488,0)</f>
        <v>0</v>
      </c>
      <c r="T488">
        <f ca="1" t="shared" si="137"/>
        <v>0</v>
      </c>
      <c r="U488">
        <f ca="1">IF(金蛇,IF(COUNTIF(B488,"*金环戴*")+COUNTIF(B488,"*吹风醒*")&gt;0,IF(A488&lt;=3,7.125-2.625-A488-加速!$L$11,7.125+加速!$K$9-(A488+加速!$L$11-T488)),0),0)+IF(金蛇,IF(COUNTIF(B488,"*千切子裂光*")&gt;0,2+加速!$K$9-(A488+加速!$L$11-T488),0),0)</f>
        <v>0</v>
      </c>
      <c r="V488">
        <f ca="1" t="shared" si="138"/>
        <v>0</v>
      </c>
      <c r="W488">
        <f ca="1" t="shared" si="130"/>
        <v>0</v>
      </c>
      <c r="X488">
        <f ca="1">INDEX(加速!$I$13:$I$21,W488+1)</f>
        <v>0</v>
      </c>
      <c r="Y488">
        <f ca="1" t="shared" si="139"/>
        <v>0.5</v>
      </c>
      <c r="Z488">
        <f ca="1" t="shared" si="135"/>
        <v>0</v>
      </c>
      <c r="AA488">
        <f ca="1">MAX(0,IFERROR(IF(COUNTIF(B488,"*叠*")&gt;0,IF(AC487&lt;3,8-A489+A488,AA487+6.875-A489+A488),AA487-A489+A488),AA487-加速!$L$11))</f>
        <v>0</v>
      </c>
      <c r="AB488" t="e">
        <f ca="1">MAX(0,IF(COUNTIF(IF(AND(配装计算器!$K$30&lt;&gt;"∞",0),INDEX(AU488:CB488,1,$AT$1),INDEX(AU488:CB488,1,$AT$1)),"*叠1*")=1,4*25-加速!$L$11,AB487-A488+A487)-IF(OR(COUNTIF(OFFSET(AT488,0,$AT$1,1,1),"*听雷*")&gt;0,AND(碧归&gt;0,COUNTIF(OFFSET(AT488,0,$AT$1,1,1),"*风来*")&gt;0)),0,1)*1.5)</f>
        <v>#VALUE!</v>
      </c>
      <c r="AC488">
        <f ca="1" t="shared" si="131"/>
        <v>0</v>
      </c>
      <c r="AD488">
        <f ca="1">IF(COUNTIF(IF(AND(配装计算器!$K$30&lt;&gt;"∞",0),INDEX(AU488:CB488,1,$AT$1),INDEX(AU489:CB489,1,$AT$1)),"*叠1*")=1,AB488*0+AE487,0)</f>
        <v>0</v>
      </c>
      <c r="AE488" t="e">
        <f ca="1">IF($AN$11&gt;0,IF(COUNTIF(B489,"*叠1*")&gt;0,50-加速!$L$11,MAX(0,AE487-(A489-A488))),0)</f>
        <v>#VALUE!</v>
      </c>
      <c r="AG488">
        <f ca="1" t="shared" si="132"/>
        <v>13</v>
      </c>
      <c r="AU488" t="s">
        <v>2768</v>
      </c>
      <c r="AV488">
        <v>2</v>
      </c>
      <c r="AW488" s="176" t="s">
        <v>2808</v>
      </c>
      <c r="AX488">
        <v>2</v>
      </c>
      <c r="AY488" t="s">
        <v>3042</v>
      </c>
      <c r="AZ488">
        <v>2</v>
      </c>
      <c r="BA488" t="s">
        <v>2768</v>
      </c>
      <c r="BB488">
        <v>2</v>
      </c>
      <c r="BC488" t="s">
        <v>2813</v>
      </c>
      <c r="BD488">
        <v>0</v>
      </c>
      <c r="BE488" t="s">
        <v>2768</v>
      </c>
      <c r="BF488">
        <v>2</v>
      </c>
      <c r="BG488" s="176" t="s">
        <v>2768</v>
      </c>
      <c r="BH488">
        <v>2</v>
      </c>
      <c r="BI488" t="s">
        <v>2768</v>
      </c>
      <c r="BJ488">
        <v>0</v>
      </c>
      <c r="BK488" s="176" t="s">
        <v>2768</v>
      </c>
      <c r="BL488">
        <v>2</v>
      </c>
      <c r="BM488" t="str">
        <f>IF(0,"云飞玉皇-玉山揽云","夕照雷峰")</f>
        <v>夕照雷峰</v>
      </c>
      <c r="BN488">
        <v>2</v>
      </c>
      <c r="BO488" t="s">
        <v>2768</v>
      </c>
      <c r="BP488">
        <v>2</v>
      </c>
      <c r="BQ488" t="str">
        <f>IF(秋,"夕照雷峰","千切子寒光")</f>
        <v>千切子寒光</v>
      </c>
      <c r="BR488">
        <v>2</v>
      </c>
      <c r="BS488" t="s">
        <v>2768</v>
      </c>
      <c r="BT488">
        <v>1</v>
      </c>
      <c r="BU488" t="s">
        <v>2768</v>
      </c>
      <c r="BV488">
        <v>2</v>
      </c>
      <c r="BW488" s="182" t="s">
        <v>2776</v>
      </c>
      <c r="BX488" s="179">
        <v>2</v>
      </c>
      <c r="BY488" s="176" t="str">
        <f>IF(0,"云飞玉皇-玉山揽云","夕照雷峰")</f>
        <v>夕照雷峰</v>
      </c>
      <c r="BZ488">
        <v>2</v>
      </c>
      <c r="CA488" s="176" t="s">
        <v>2768</v>
      </c>
      <c r="CB488">
        <v>2</v>
      </c>
    </row>
    <row r="489" spans="1:80">
      <c r="A489" s="178" t="str">
        <f ca="1">IFERROR(IF(AG488&lt;5+金蛇*2,IF(COUNTIF(B488,"*轻*")&gt;0,A488+加速!$L$9,A488+加速!$L$11)+V488,""),"")</f>
        <v/>
      </c>
      <c r="B489" s="167" t="str">
        <f ca="1" t="shared" si="127"/>
        <v/>
      </c>
      <c r="C489" t="str">
        <f ca="1" t="shared" si="136"/>
        <v/>
      </c>
      <c r="D489" t="str">
        <f ca="1">IF(B489&lt;&gt;"",IF(C488&lt;=加速!$L$11*(1-E489),0,1),"")</f>
        <v/>
      </c>
      <c r="E489">
        <f ca="1" t="shared" si="133"/>
        <v>1</v>
      </c>
      <c r="G489" t="str">
        <f ca="1" t="shared" si="134"/>
        <v/>
      </c>
      <c r="H489" t="str">
        <f ca="1">IF(B489&lt;&gt;"",IF(AND(COUNTIF(B488,"*轻*莺鸣柳*")&gt;0,COUNTIF(B489,"*轻*")&lt;1),MAX(0,15+I488-(A489-A488)+COUNTIF(B488,"*平湖*")*0),IF(AND(E489=0,MAX(0,H488-(A489-A488))&lt;=加速!$H$11),0,MAX(0,H488-(A489-A488)))),"")</f>
        <v/>
      </c>
      <c r="I489" t="str">
        <f ca="1" t="shared" si="140"/>
        <v/>
      </c>
      <c r="J489" t="str">
        <f ca="1" t="shared" si="141"/>
        <v/>
      </c>
      <c r="K489" t="str">
        <f ca="1" t="shared" si="128"/>
        <v/>
      </c>
      <c r="L489">
        <f ca="1">IFERROR(IF(AND(COUNTIF(B489,"*-峰插*"),技能数据库!$M$72&gt;0),0,IF(COUNTIF(B489,"*鹤归*")&gt;0,16-加速!$L$11,MAX(0,L488-(A489-A488)))),0)</f>
        <v>0</v>
      </c>
      <c r="M489">
        <f ca="1" t="shared" si="129"/>
        <v>0</v>
      </c>
      <c r="N489">
        <f ca="1">IFERROR(IF(AND(COUNTIF(B489,"*-峰插*"),技能数据库!$M$72&gt;0),0,IF(COUNTIF(B489,"*云飞*")&gt;0,4-COUNTIF(B489,"*玉山揽云*")*4--COUNTIF(B489,"*烟流暮景*")*4-COUNTIF(B489,"*云景*")*加速!$L$11-IF(J489&gt;0,2,0),MAX(0,N488-(A489-A488)-IF(J489&gt;0,2,0)))),0)</f>
        <v>0</v>
      </c>
      <c r="O489">
        <f ca="1">IF(AND(COUNTIF(IF(AND(配装计算器!$K$30&lt;&gt;"∞",0),INDEX(AU488:CB488,1,$AT$1),INDEX(AU490:CB490,1,$AT$1)),"*云飞*")=1,COUNTIF(IF(AND(配装计算器!$K$30&lt;&gt;"∞",0),INDEX(AU488:CB488,1,$AT$1),INDEX(AU490:CB490,1,$AT$1)),"*玉山*")=0),N489,0)</f>
        <v>0</v>
      </c>
      <c r="P489">
        <f ca="1">IFERROR(IF(COUNTIF(B489,"*云栖松*")&gt;0,50-加速!$L$11,MAX(0,P488-(A489-A488))),0)</f>
        <v>0</v>
      </c>
      <c r="Q489">
        <f ca="1">IF(COUNTIF(IF(AND(配装计算器!$K$30&lt;&gt;"∞",0),INDEX(AU488:CB488,1,$AT$1),INDEX(AU490:CB490,1,$AT$1)),"*云栖松*")=1,P489,0)</f>
        <v>0</v>
      </c>
      <c r="R489">
        <f ca="1">IFERROR(IF(COUNTIF(B489,"*莺鸣柳*")&gt;0,45-加速!$L$9,MAX(0,R488-(A489-A488))),0)</f>
        <v>0</v>
      </c>
      <c r="S489">
        <f ca="1">IF(COUNTIF(IF(AND(配装计算器!$K$30&lt;&gt;"∞",0),INDEX(AU488:CB488,1,$AT$1),INDEX(AU490:CB490,1,$AT$1)),"*莺鸣柳*")=1,R489,0)</f>
        <v>0</v>
      </c>
      <c r="T489">
        <f ca="1" t="shared" si="137"/>
        <v>0</v>
      </c>
      <c r="U489">
        <f ca="1">IF(金蛇,IF(COUNTIF(B489,"*金环戴*")+COUNTIF(B489,"*吹风醒*")&gt;0,IF(A489&lt;=3,7.125-2.625-A489-加速!$L$11,7.125+加速!$K$9-(A489+加速!$L$11-T489)),0),0)+IF(金蛇,IF(COUNTIF(B489,"*千切子裂光*")&gt;0,2+加速!$K$9-(A489+加速!$L$11-T489),0),0)</f>
        <v>0</v>
      </c>
      <c r="V489">
        <f ca="1" t="shared" si="138"/>
        <v>0</v>
      </c>
      <c r="W489">
        <f ca="1" t="shared" si="130"/>
        <v>0</v>
      </c>
      <c r="X489">
        <f ca="1">INDEX(加速!$I$13:$I$21,W489+1)</f>
        <v>0</v>
      </c>
      <c r="Y489">
        <f ca="1" t="shared" si="139"/>
        <v>0.5</v>
      </c>
      <c r="Z489">
        <f ca="1" t="shared" si="135"/>
        <v>0</v>
      </c>
      <c r="AA489">
        <f ca="1">MAX(0,IFERROR(IF(COUNTIF(B489,"*叠*")&gt;0,IF(AC488&lt;3,8-A490+A489,AA488+6.875-A490+A489),AA488-A490+A489),AA488-加速!$L$11))</f>
        <v>0</v>
      </c>
      <c r="AB489" t="e">
        <f ca="1">MAX(0,IF(COUNTIF(IF(AND(配装计算器!$K$30&lt;&gt;"∞",0),INDEX(AU489:CB489,1,$AT$1),INDEX(AU489:CB489,1,$AT$1)),"*叠1*")=1,4*25-加速!$L$11,AB488-A489+A488)-IF(OR(COUNTIF(OFFSET(AT489,0,$AT$1,1,1),"*听雷*")&gt;0,AND(碧归&gt;0,COUNTIF(OFFSET(AT489,0,$AT$1,1,1),"*风来*")&gt;0)),0,1)*1.5)</f>
        <v>#VALUE!</v>
      </c>
      <c r="AC489">
        <f ca="1" t="shared" si="131"/>
        <v>0</v>
      </c>
      <c r="AD489">
        <f ca="1">IF(COUNTIF(IF(AND(配装计算器!$K$30&lt;&gt;"∞",0),INDEX(AU489:CB489,1,$AT$1),INDEX(AU490:CB490,1,$AT$1)),"*叠1*")=1,AB489*0+AE488,0)</f>
        <v>0</v>
      </c>
      <c r="AE489" t="e">
        <f ca="1">IF($AN$11&gt;0,IF(COUNTIF(B490,"*叠1*")&gt;0,50-加速!$L$11,MAX(0,AE488-(A490-A489))),0)</f>
        <v>#VALUE!</v>
      </c>
      <c r="AG489">
        <f ca="1" t="shared" si="132"/>
        <v>13</v>
      </c>
      <c r="AU489" t="s">
        <v>2768</v>
      </c>
      <c r="AV489">
        <v>2</v>
      </c>
      <c r="AW489" t="s">
        <v>2768</v>
      </c>
      <c r="AX489">
        <v>2</v>
      </c>
      <c r="AY489" t="s">
        <v>2808</v>
      </c>
      <c r="AZ489">
        <v>2</v>
      </c>
      <c r="BA489" t="s">
        <v>2776</v>
      </c>
      <c r="BB489">
        <v>2</v>
      </c>
      <c r="BC489" t="s">
        <v>2776</v>
      </c>
      <c r="BD489">
        <v>2</v>
      </c>
      <c r="BE489" t="s">
        <v>2776</v>
      </c>
      <c r="BF489">
        <v>1</v>
      </c>
      <c r="BG489" s="176" t="s">
        <v>2776</v>
      </c>
      <c r="BH489">
        <v>2</v>
      </c>
      <c r="BI489" t="s">
        <v>2768</v>
      </c>
      <c r="BJ489">
        <v>0</v>
      </c>
      <c r="BK489" s="176" t="s">
        <v>2776</v>
      </c>
      <c r="BL489">
        <v>2</v>
      </c>
      <c r="BM489" t="s">
        <v>2776</v>
      </c>
      <c r="BN489">
        <v>2</v>
      </c>
      <c r="BO489" t="s">
        <v>2768</v>
      </c>
      <c r="BP489">
        <v>2</v>
      </c>
      <c r="BQ489" t="str">
        <f>IF(秋,"夕照雷峰","千切子裂光")</f>
        <v>千切子裂光</v>
      </c>
      <c r="BR489">
        <v>2</v>
      </c>
      <c r="BS489" t="str">
        <f>IF(秋,"云栖松","泉凝月")</f>
        <v>泉凝月</v>
      </c>
      <c r="BT489">
        <v>1</v>
      </c>
      <c r="BU489" t="s">
        <v>2776</v>
      </c>
      <c r="BV489">
        <v>2</v>
      </c>
      <c r="BW489" s="182" t="s">
        <v>2768</v>
      </c>
      <c r="BX489" s="179">
        <v>2</v>
      </c>
      <c r="BY489" s="176" t="str">
        <f>IF(0,"云飞玉皇-玉山揽云","云飞玉皇")</f>
        <v>云飞玉皇</v>
      </c>
      <c r="BZ489">
        <v>2</v>
      </c>
      <c r="CA489" s="176" t="s">
        <v>2776</v>
      </c>
      <c r="CB489">
        <v>2</v>
      </c>
    </row>
    <row r="490" spans="1:80">
      <c r="A490" s="178" t="str">
        <f ca="1">IFERROR(IF(AG489&lt;5+金蛇*2,IF(COUNTIF(B489,"*轻*")&gt;0,A489+加速!$L$9,A489+加速!$L$11)+V489,""),"")</f>
        <v/>
      </c>
      <c r="B490" s="167" t="str">
        <f ca="1" t="shared" si="127"/>
        <v/>
      </c>
      <c r="C490" t="str">
        <f ca="1" t="shared" si="136"/>
        <v/>
      </c>
      <c r="D490" t="str">
        <f ca="1">IF(B490&lt;&gt;"",IF(C489&lt;=加速!$L$11*(1-E490),0,1),"")</f>
        <v/>
      </c>
      <c r="E490">
        <f ca="1" t="shared" si="133"/>
        <v>1</v>
      </c>
      <c r="G490" t="str">
        <f ca="1" t="shared" si="134"/>
        <v/>
      </c>
      <c r="H490" t="str">
        <f ca="1">IF(B490&lt;&gt;"",IF(AND(COUNTIF(B489,"*轻*莺鸣柳*")&gt;0,COUNTIF(B490,"*轻*")&lt;1),MAX(0,15+I489-(A490-A489)+COUNTIF(B489,"*平湖*")*0),IF(AND(E490=0,MAX(0,H489-(A490-A489))&lt;=加速!$H$11),0,MAX(0,H489-(A490-A489)))),"")</f>
        <v/>
      </c>
      <c r="I490" t="str">
        <f ca="1" t="shared" si="140"/>
        <v/>
      </c>
      <c r="J490" t="str">
        <f ca="1" t="shared" si="141"/>
        <v/>
      </c>
      <c r="K490" t="str">
        <f ca="1" t="shared" si="128"/>
        <v/>
      </c>
      <c r="L490">
        <f ca="1">IFERROR(IF(AND(COUNTIF(B490,"*-峰插*"),技能数据库!$M$72&gt;0),0,IF(COUNTIF(B490,"*鹤归*")&gt;0,16-加速!$L$11,MAX(0,L489-(A490-A489)))),0)</f>
        <v>0</v>
      </c>
      <c r="M490">
        <f ca="1" t="shared" si="129"/>
        <v>0</v>
      </c>
      <c r="N490">
        <f ca="1">IFERROR(IF(AND(COUNTIF(B490,"*-峰插*"),技能数据库!$M$72&gt;0),0,IF(COUNTIF(B490,"*云飞*")&gt;0,4-COUNTIF(B490,"*玉山揽云*")*4--COUNTIF(B490,"*烟流暮景*")*4-COUNTIF(B490,"*云景*")*加速!$L$11-IF(J490&gt;0,2,0),MAX(0,N489-(A490-A489)-IF(J490&gt;0,2,0)))),0)</f>
        <v>0</v>
      </c>
      <c r="O490">
        <f ca="1">IF(AND(COUNTIF(IF(AND(配装计算器!$K$30&lt;&gt;"∞",0),INDEX(AU489:CB489,1,$AT$1),INDEX(AU491:CB491,1,$AT$1)),"*云飞*")=1,COUNTIF(IF(AND(配装计算器!$K$30&lt;&gt;"∞",0),INDEX(AU489:CB489,1,$AT$1),INDEX(AU491:CB491,1,$AT$1)),"*玉山*")=0),N490,0)</f>
        <v>0</v>
      </c>
      <c r="P490">
        <f ca="1">IFERROR(IF(COUNTIF(B490,"*云栖松*")&gt;0,50-加速!$L$11,MAX(0,P489-(A490-A489))),0)</f>
        <v>0</v>
      </c>
      <c r="Q490">
        <f ca="1">IF(COUNTIF(IF(AND(配装计算器!$K$30&lt;&gt;"∞",0),INDEX(AU489:CB489,1,$AT$1),INDEX(AU491:CB491,1,$AT$1)),"*云栖松*")=1,P490,0)</f>
        <v>0</v>
      </c>
      <c r="R490">
        <f ca="1">IFERROR(IF(COUNTIF(B490,"*莺鸣柳*")&gt;0,45-加速!$L$9,MAX(0,R489-(A490-A489))),0)</f>
        <v>0</v>
      </c>
      <c r="S490">
        <f ca="1">IF(COUNTIF(IF(AND(配装计算器!$K$30&lt;&gt;"∞",0),INDEX(AU489:CB489,1,$AT$1),INDEX(AU491:CB491,1,$AT$1)),"*莺鸣柳*")=1,R490,0)</f>
        <v>0</v>
      </c>
      <c r="T490">
        <f ca="1" t="shared" si="137"/>
        <v>0</v>
      </c>
      <c r="U490">
        <f ca="1">IF(金蛇,IF(COUNTIF(B490,"*金环戴*")+COUNTIF(B490,"*吹风醒*")&gt;0,IF(A490&lt;=3,7.125-2.625-A490-加速!$L$11,7.125+加速!$K$9-(A490+加速!$L$11-T490)),0),0)+IF(金蛇,IF(COUNTIF(B490,"*千切子裂光*")&gt;0,2+加速!$K$9-(A490+加速!$L$11-T490),0),0)</f>
        <v>0</v>
      </c>
      <c r="V490">
        <f ca="1" t="shared" si="138"/>
        <v>0</v>
      </c>
      <c r="W490">
        <f ca="1" t="shared" si="130"/>
        <v>0</v>
      </c>
      <c r="X490">
        <f ca="1">INDEX(加速!$I$13:$I$21,W490+1)</f>
        <v>0</v>
      </c>
      <c r="Y490">
        <f ca="1" t="shared" si="139"/>
        <v>0.5</v>
      </c>
      <c r="Z490">
        <f ca="1" t="shared" si="135"/>
        <v>0</v>
      </c>
      <c r="AA490">
        <f ca="1">MAX(0,IFERROR(IF(COUNTIF(B490,"*叠*")&gt;0,IF(AC489&lt;3,8-A491+A490,AA489+6.875-A491+A490),AA489-A491+A490),AA489-加速!$L$11))</f>
        <v>0</v>
      </c>
      <c r="AB490" t="e">
        <f ca="1">MAX(0,IF(COUNTIF(IF(AND(配装计算器!$K$30&lt;&gt;"∞",0),INDEX(AU490:CB490,1,$AT$1),INDEX(AU490:CB490,1,$AT$1)),"*叠1*")=1,4*25-加速!$L$11,AB489-A490+A489)-IF(OR(COUNTIF(OFFSET(AT490,0,$AT$1,1,1),"*听雷*")&gt;0,AND(碧归&gt;0,COUNTIF(OFFSET(AT490,0,$AT$1,1,1),"*风来*")&gt;0)),0,1)*1.5)</f>
        <v>#VALUE!</v>
      </c>
      <c r="AC490">
        <f ca="1" t="shared" si="131"/>
        <v>0</v>
      </c>
      <c r="AD490">
        <f ca="1">IF(COUNTIF(IF(AND(配装计算器!$K$30&lt;&gt;"∞",0),INDEX(AU490:CB490,1,$AT$1),INDEX(AU491:CB491,1,$AT$1)),"*叠1*")=1,AB490*0+AE489,0)</f>
        <v>0</v>
      </c>
      <c r="AE490" t="e">
        <f ca="1">IF($AN$11&gt;0,IF(COUNTIF(B491,"*叠1*")&gt;0,50-加速!$L$11,MAX(0,AE489-(A491-A490))),0)</f>
        <v>#VALUE!</v>
      </c>
      <c r="AG490">
        <f ca="1" t="shared" si="132"/>
        <v>13</v>
      </c>
      <c r="AU490" s="176" t="s">
        <v>2794</v>
      </c>
      <c r="AV490">
        <v>2</v>
      </c>
      <c r="AW490" t="s">
        <v>2776</v>
      </c>
      <c r="AX490">
        <v>2</v>
      </c>
      <c r="AY490" t="s">
        <v>2768</v>
      </c>
      <c r="AZ490">
        <v>2</v>
      </c>
      <c r="BA490" t="s">
        <v>2794</v>
      </c>
      <c r="BB490">
        <v>2</v>
      </c>
      <c r="BC490" t="s">
        <v>2768</v>
      </c>
      <c r="BD490">
        <v>2</v>
      </c>
      <c r="BE490" t="s">
        <v>2768</v>
      </c>
      <c r="BF490">
        <v>1</v>
      </c>
      <c r="BG490" t="s">
        <v>2768</v>
      </c>
      <c r="BH490">
        <v>1</v>
      </c>
      <c r="BI490" t="s">
        <v>2722</v>
      </c>
      <c r="BJ490">
        <v>0</v>
      </c>
      <c r="BK490" s="176" t="s">
        <v>2768</v>
      </c>
      <c r="BL490">
        <v>2</v>
      </c>
      <c r="BM490" t="str">
        <f>IF(0,"云飞玉皇-玉山揽云","夕照雷峰")</f>
        <v>夕照雷峰</v>
      </c>
      <c r="BN490">
        <v>2</v>
      </c>
      <c r="BO490" t="s">
        <v>2776</v>
      </c>
      <c r="BP490">
        <v>2</v>
      </c>
      <c r="BQ490" t="str">
        <f>IF(秋,"鹤归孤山-叠-蛇牙锥心","鹤归孤山-叠")</f>
        <v>鹤归孤山-叠</v>
      </c>
      <c r="BR490">
        <v>2</v>
      </c>
      <c r="BS490" t="s">
        <v>2768</v>
      </c>
      <c r="BT490">
        <v>0</v>
      </c>
      <c r="BU490" t="s">
        <v>2768</v>
      </c>
      <c r="BV490">
        <v>2</v>
      </c>
      <c r="BW490" s="182" t="s">
        <v>2776</v>
      </c>
      <c r="BX490" s="179">
        <v>2</v>
      </c>
      <c r="BY490" s="176" t="str">
        <f>IF(0,橙武补雾锁,"夕照雷峰")</f>
        <v>夕照雷峰</v>
      </c>
      <c r="BZ490">
        <v>2</v>
      </c>
      <c r="CA490" s="176" t="s">
        <v>2768</v>
      </c>
      <c r="CB490">
        <v>2</v>
      </c>
    </row>
    <row r="491" spans="1:80">
      <c r="A491" s="178" t="str">
        <f ca="1">IFERROR(IF(AG490&lt;5+金蛇*2,IF(COUNTIF(B490,"*轻*")&gt;0,A490+加速!$L$9,A490+加速!$L$11)+V490,""),"")</f>
        <v/>
      </c>
      <c r="B491" s="167" t="str">
        <f ca="1" t="shared" si="127"/>
        <v/>
      </c>
      <c r="C491" t="str">
        <f ca="1" t="shared" si="136"/>
        <v/>
      </c>
      <c r="D491" t="str">
        <f ca="1">IF(B491&lt;&gt;"",IF(C490&lt;=加速!$L$11*(1-E491),0,1),"")</f>
        <v/>
      </c>
      <c r="E491">
        <f ca="1" t="shared" si="133"/>
        <v>1</v>
      </c>
      <c r="G491" t="str">
        <f ca="1" t="shared" si="134"/>
        <v/>
      </c>
      <c r="H491" t="str">
        <f ca="1">IF(B491&lt;&gt;"",IF(AND(COUNTIF(B490,"*轻*莺鸣柳*")&gt;0,COUNTIF(B491,"*轻*")&lt;1),MAX(0,15+I490-(A491-A490)+COUNTIF(B490,"*平湖*")*0),IF(AND(E491=0,MAX(0,H490-(A491-A490))&lt;=加速!$H$11),0,MAX(0,H490-(A491-A490)))),"")</f>
        <v/>
      </c>
      <c r="I491" t="str">
        <f ca="1" t="shared" si="140"/>
        <v/>
      </c>
      <c r="J491" t="str">
        <f ca="1" t="shared" si="141"/>
        <v/>
      </c>
      <c r="K491" t="str">
        <f ca="1" t="shared" si="128"/>
        <v/>
      </c>
      <c r="L491">
        <f ca="1">IFERROR(IF(AND(COUNTIF(B491,"*-峰插*"),技能数据库!$M$72&gt;0),0,IF(COUNTIF(B491,"*鹤归*")&gt;0,16-加速!$L$11,MAX(0,L490-(A491-A490)))),0)</f>
        <v>0</v>
      </c>
      <c r="M491">
        <f ca="1" t="shared" si="129"/>
        <v>0</v>
      </c>
      <c r="N491">
        <f ca="1">IFERROR(IF(AND(COUNTIF(B491,"*-峰插*"),技能数据库!$M$72&gt;0),0,IF(COUNTIF(B491,"*云飞*")&gt;0,4-COUNTIF(B491,"*玉山揽云*")*4--COUNTIF(B491,"*烟流暮景*")*4-COUNTIF(B491,"*云景*")*加速!$L$11-IF(J491&gt;0,2,0),MAX(0,N490-(A491-A490)-IF(J491&gt;0,2,0)))),0)</f>
        <v>0</v>
      </c>
      <c r="O491">
        <f ca="1">IF(AND(COUNTIF(IF(AND(配装计算器!$K$30&lt;&gt;"∞",0),INDEX(AU490:CB490,1,$AT$1),INDEX(AU492:CB492,1,$AT$1)),"*云飞*")=1,COUNTIF(IF(AND(配装计算器!$K$30&lt;&gt;"∞",0),INDEX(AU490:CB490,1,$AT$1),INDEX(AU492:CB492,1,$AT$1)),"*玉山*")=0),N491,0)</f>
        <v>0</v>
      </c>
      <c r="P491">
        <f ca="1">IFERROR(IF(COUNTIF(B491,"*云栖松*")&gt;0,50-加速!$L$11,MAX(0,P490-(A491-A490))),0)</f>
        <v>0</v>
      </c>
      <c r="Q491">
        <f ca="1">IF(COUNTIF(IF(AND(配装计算器!$K$30&lt;&gt;"∞",0),INDEX(AU490:CB490,1,$AT$1),INDEX(AU492:CB492,1,$AT$1)),"*云栖松*")=1,P491,0)</f>
        <v>0</v>
      </c>
      <c r="R491">
        <f ca="1">IFERROR(IF(COUNTIF(B491,"*莺鸣柳*")&gt;0,45-加速!$L$9,MAX(0,R490-(A491-A490))),0)</f>
        <v>0</v>
      </c>
      <c r="S491">
        <f ca="1">IF(COUNTIF(IF(AND(配装计算器!$K$30&lt;&gt;"∞",0),INDEX(AU490:CB490,1,$AT$1),INDEX(AU492:CB492,1,$AT$1)),"*莺鸣柳*")=1,R491,0)</f>
        <v>0</v>
      </c>
      <c r="T491">
        <f ca="1" t="shared" si="137"/>
        <v>0</v>
      </c>
      <c r="U491">
        <f ca="1">IF(金蛇,IF(COUNTIF(B491,"*金环戴*")+COUNTIF(B491,"*吹风醒*")&gt;0,IF(A491&lt;=3,7.125-2.625-A491-加速!$L$11,7.125+加速!$K$9-(A491+加速!$L$11-T491)),0),0)+IF(金蛇,IF(COUNTIF(B491,"*千切子裂光*")&gt;0,2+加速!$K$9-(A491+加速!$L$11-T491),0),0)</f>
        <v>0</v>
      </c>
      <c r="V491">
        <f ca="1" t="shared" si="138"/>
        <v>0</v>
      </c>
      <c r="W491">
        <f ca="1" t="shared" si="130"/>
        <v>0</v>
      </c>
      <c r="X491">
        <f ca="1">INDEX(加速!$I$13:$I$21,W491+1)</f>
        <v>0</v>
      </c>
      <c r="Y491">
        <f ca="1" t="shared" si="139"/>
        <v>0.5</v>
      </c>
      <c r="Z491">
        <f ca="1" t="shared" si="135"/>
        <v>0</v>
      </c>
      <c r="AA491">
        <f ca="1">MAX(0,IFERROR(IF(COUNTIF(B491,"*叠*")&gt;0,IF(AC490&lt;3,8-A492+A491,AA490+6.875-A492+A491),AA490-A492+A491),AA490-加速!$L$11))</f>
        <v>0</v>
      </c>
      <c r="AB491" t="e">
        <f ca="1">MAX(0,IF(COUNTIF(IF(AND(配装计算器!$K$30&lt;&gt;"∞",0),INDEX(AU491:CB491,1,$AT$1),INDEX(AU491:CB491,1,$AT$1)),"*叠1*")=1,4*25-加速!$L$11,AB490-A491+A490)-IF(OR(COUNTIF(OFFSET(AT491,0,$AT$1,1,1),"*听雷*")&gt;0,AND(碧归&gt;0,COUNTIF(OFFSET(AT491,0,$AT$1,1,1),"*风来*")&gt;0)),0,1)*1.5)</f>
        <v>#VALUE!</v>
      </c>
      <c r="AC491">
        <f ca="1" t="shared" si="131"/>
        <v>0</v>
      </c>
      <c r="AD491">
        <f ca="1">IF(COUNTIF(IF(AND(配装计算器!$K$30&lt;&gt;"∞",0),INDEX(AU491:CB491,1,$AT$1),INDEX(AU492:CB492,1,$AT$1)),"*叠1*")=1,AB491*0+AE490,0)</f>
        <v>0</v>
      </c>
      <c r="AE491" t="e">
        <f ca="1">IF($AN$11&gt;0,IF(COUNTIF(B492,"*叠1*")&gt;0,50-加速!$L$11,MAX(0,AE490-(A492-A491))),0)</f>
        <v>#VALUE!</v>
      </c>
      <c r="AG491">
        <f ca="1" t="shared" si="132"/>
        <v>13</v>
      </c>
      <c r="AU491" s="176" t="s">
        <v>2776</v>
      </c>
      <c r="AV491">
        <v>2</v>
      </c>
      <c r="AW491" t="s">
        <v>2768</v>
      </c>
      <c r="AX491">
        <v>2</v>
      </c>
      <c r="AY491" t="s">
        <v>2768</v>
      </c>
      <c r="AZ491">
        <v>2</v>
      </c>
      <c r="BA491" t="s">
        <v>2768</v>
      </c>
      <c r="BB491">
        <v>2</v>
      </c>
      <c r="BC491" t="s">
        <v>2768</v>
      </c>
      <c r="BD491">
        <v>2</v>
      </c>
      <c r="BE491" t="s">
        <v>2768</v>
      </c>
      <c r="BF491">
        <v>1</v>
      </c>
      <c r="BG491" s="176" t="s">
        <v>2768</v>
      </c>
      <c r="BH491">
        <v>1</v>
      </c>
      <c r="BI491" t="s">
        <v>2776</v>
      </c>
      <c r="BJ491">
        <v>2</v>
      </c>
      <c r="BK491" s="176" t="s">
        <v>2768</v>
      </c>
      <c r="BL491">
        <v>1</v>
      </c>
      <c r="BM491" s="176" t="s">
        <v>2794</v>
      </c>
      <c r="BN491">
        <v>2</v>
      </c>
      <c r="BO491" t="s">
        <v>2768</v>
      </c>
      <c r="BP491">
        <v>1</v>
      </c>
      <c r="BQ491" t="s">
        <v>2776</v>
      </c>
      <c r="BR491">
        <v>2</v>
      </c>
      <c r="BS491" t="s">
        <v>2776</v>
      </c>
      <c r="BT491">
        <v>0</v>
      </c>
      <c r="BU491" t="s">
        <v>2808</v>
      </c>
      <c r="BV491">
        <v>2</v>
      </c>
      <c r="BW491" s="182" t="str">
        <f t="shared" ref="BW491:BW495" si="142">IF($AN$11=1,"云飞玉皇-玉山揽云","夕照雷峰")</f>
        <v>云飞玉皇-玉山揽云</v>
      </c>
      <c r="BX491" s="179">
        <v>2</v>
      </c>
      <c r="BY491" s="176" t="str">
        <f>IF(0,"云飞玉皇-玉山揽云","云景·云飞玉皇")</f>
        <v>云景·云飞玉皇</v>
      </c>
      <c r="BZ491">
        <v>2</v>
      </c>
      <c r="CA491" s="176" t="s">
        <v>2808</v>
      </c>
      <c r="CB491">
        <v>2</v>
      </c>
    </row>
    <row r="492" spans="1:80">
      <c r="A492" s="178" t="str">
        <f ca="1">IFERROR(IF(AG491&lt;5+金蛇*2,IF(COUNTIF(B491,"*轻*")&gt;0,A491+加速!$L$9,A491+加速!$L$11)+V491,""),"")</f>
        <v/>
      </c>
      <c r="B492" s="167" t="str">
        <f ca="1" t="shared" si="127"/>
        <v/>
      </c>
      <c r="C492" t="str">
        <f ca="1" t="shared" si="136"/>
        <v/>
      </c>
      <c r="D492" t="str">
        <f ca="1">IF(B492&lt;&gt;"",IF(C491&lt;=加速!$L$11*(1-E492),0,1),"")</f>
        <v/>
      </c>
      <c r="E492">
        <f ca="1" t="shared" si="133"/>
        <v>1</v>
      </c>
      <c r="G492" t="str">
        <f ca="1" t="shared" si="134"/>
        <v/>
      </c>
      <c r="H492" t="str">
        <f ca="1">IF(B492&lt;&gt;"",IF(AND(COUNTIF(B491,"*轻*莺鸣柳*")&gt;0,COUNTIF(B492,"*轻*")&lt;1),MAX(0,15+I491-(A492-A491)+COUNTIF(B491,"*平湖*")*0),IF(AND(E492=0,MAX(0,H491-(A492-A491))&lt;=加速!$H$11),0,MAX(0,H491-(A492-A491)))),"")</f>
        <v/>
      </c>
      <c r="I492" t="str">
        <f ca="1" t="shared" si="140"/>
        <v/>
      </c>
      <c r="J492" t="str">
        <f ca="1" t="shared" si="141"/>
        <v/>
      </c>
      <c r="K492" t="str">
        <f ca="1" t="shared" si="128"/>
        <v/>
      </c>
      <c r="L492">
        <f ca="1">IFERROR(IF(AND(COUNTIF(B492,"*-峰插*"),技能数据库!$M$72&gt;0),0,IF(COUNTIF(B492,"*鹤归*")&gt;0,16-加速!$L$11,MAX(0,L491-(A492-A491)))),0)</f>
        <v>0</v>
      </c>
      <c r="M492">
        <f ca="1" t="shared" si="129"/>
        <v>0</v>
      </c>
      <c r="N492">
        <f ca="1">IFERROR(IF(AND(COUNTIF(B492,"*-峰插*"),技能数据库!$M$72&gt;0),0,IF(COUNTIF(B492,"*云飞*")&gt;0,4-COUNTIF(B492,"*玉山揽云*")*4--COUNTIF(B492,"*烟流暮景*")*4-COUNTIF(B492,"*云景*")*加速!$L$11-IF(J492&gt;0,2,0),MAX(0,N491-(A492-A491)-IF(J492&gt;0,2,0)))),0)</f>
        <v>0</v>
      </c>
      <c r="O492">
        <f ca="1">IF(AND(COUNTIF(IF(AND(配装计算器!$K$30&lt;&gt;"∞",0),INDEX(AU491:CB491,1,$AT$1),INDEX(AU493:CB493,1,$AT$1)),"*云飞*")=1,COUNTIF(IF(AND(配装计算器!$K$30&lt;&gt;"∞",0),INDEX(AU491:CB491,1,$AT$1),INDEX(AU493:CB493,1,$AT$1)),"*玉山*")=0),N492,0)</f>
        <v>0</v>
      </c>
      <c r="P492">
        <f ca="1">IFERROR(IF(COUNTIF(B492,"*云栖松*")&gt;0,50-加速!$L$11,MAX(0,P491-(A492-A491))),0)</f>
        <v>0</v>
      </c>
      <c r="Q492">
        <f ca="1">IF(COUNTIF(IF(AND(配装计算器!$K$30&lt;&gt;"∞",0),INDEX(AU491:CB491,1,$AT$1),INDEX(AU493:CB493,1,$AT$1)),"*云栖松*")=1,P492,0)</f>
        <v>0</v>
      </c>
      <c r="R492">
        <f ca="1">IFERROR(IF(COUNTIF(B492,"*莺鸣柳*")&gt;0,45-加速!$L$9,MAX(0,R491-(A492-A491))),0)</f>
        <v>0</v>
      </c>
      <c r="S492">
        <f ca="1">IF(COUNTIF(IF(AND(配装计算器!$K$30&lt;&gt;"∞",0),INDEX(AU491:CB491,1,$AT$1),INDEX(AU493:CB493,1,$AT$1)),"*莺鸣柳*")=1,R492,0)</f>
        <v>0</v>
      </c>
      <c r="T492">
        <f ca="1" t="shared" si="137"/>
        <v>0</v>
      </c>
      <c r="U492">
        <f ca="1">IF(金蛇,IF(COUNTIF(B492,"*金环戴*")+COUNTIF(B492,"*吹风醒*")&gt;0,IF(A492&lt;=3,7.125-2.625-A492-加速!$L$11,7.125+加速!$K$9-(A492+加速!$L$11-T492)),0),0)+IF(金蛇,IF(COUNTIF(B492,"*千切子裂光*")&gt;0,2+加速!$K$9-(A492+加速!$L$11-T492),0),0)</f>
        <v>0</v>
      </c>
      <c r="V492">
        <f ca="1" t="shared" si="138"/>
        <v>0</v>
      </c>
      <c r="W492">
        <f ca="1" t="shared" si="130"/>
        <v>0</v>
      </c>
      <c r="X492">
        <f ca="1">INDEX(加速!$I$13:$I$21,W492+1)</f>
        <v>0</v>
      </c>
      <c r="Y492">
        <f ca="1" t="shared" si="139"/>
        <v>0.5</v>
      </c>
      <c r="Z492">
        <f ca="1" t="shared" si="135"/>
        <v>0</v>
      </c>
      <c r="AA492">
        <f ca="1">MAX(0,IFERROR(IF(COUNTIF(B492,"*叠*")&gt;0,IF(AC491&lt;3,8-A493+A492,AA491+6.875-A493+A492),AA491-A493+A492),AA491-加速!$L$11))</f>
        <v>0</v>
      </c>
      <c r="AB492" t="e">
        <f ca="1">MAX(0,IF(COUNTIF(IF(AND(配装计算器!$K$30&lt;&gt;"∞",0),INDEX(AU492:CB492,1,$AT$1),INDEX(AU492:CB492,1,$AT$1)),"*叠1*")=1,4*25-加速!$L$11,AB491-A492+A491)-IF(OR(COUNTIF(OFFSET(AT492,0,$AT$1,1,1),"*听雷*")&gt;0,AND(碧归&gt;0,COUNTIF(OFFSET(AT492,0,$AT$1,1,1),"*风来*")&gt;0)),0,1)*1.5)</f>
        <v>#VALUE!</v>
      </c>
      <c r="AC492">
        <f ca="1" t="shared" si="131"/>
        <v>0</v>
      </c>
      <c r="AD492">
        <f ca="1">IF(COUNTIF(IF(AND(配装计算器!$K$30&lt;&gt;"∞",0),INDEX(AU492:CB492,1,$AT$1),INDEX(AU493:CB493,1,$AT$1)),"*叠1*")=1,AB492*0+AE491,0)</f>
        <v>0</v>
      </c>
      <c r="AE492" t="e">
        <f ca="1">IF($AN$11&gt;0,IF(COUNTIF(B493,"*叠1*")&gt;0,50-加速!$L$11,MAX(0,AE491-(A493-A492))),0)</f>
        <v>#VALUE!</v>
      </c>
      <c r="AG492">
        <f ca="1" t="shared" si="132"/>
        <v>13</v>
      </c>
      <c r="AU492" s="176" t="s">
        <v>2768</v>
      </c>
      <c r="AV492">
        <v>1</v>
      </c>
      <c r="AW492" t="s">
        <v>2768</v>
      </c>
      <c r="AX492">
        <v>2</v>
      </c>
      <c r="AY492" t="s">
        <v>2776</v>
      </c>
      <c r="AZ492">
        <v>2</v>
      </c>
      <c r="BA492" t="s">
        <v>2776</v>
      </c>
      <c r="BB492">
        <v>2</v>
      </c>
      <c r="BC492" t="s">
        <v>2768</v>
      </c>
      <c r="BD492">
        <v>1</v>
      </c>
      <c r="BE492" t="s">
        <v>2776</v>
      </c>
      <c r="BF492">
        <v>0</v>
      </c>
      <c r="BG492" t="s">
        <v>3055</v>
      </c>
      <c r="BH492">
        <v>0</v>
      </c>
      <c r="BI492" t="s">
        <v>2768</v>
      </c>
      <c r="BJ492">
        <v>2</v>
      </c>
      <c r="BK492" s="176" t="s">
        <v>2768</v>
      </c>
      <c r="BL492">
        <v>1</v>
      </c>
      <c r="BM492" s="176" t="s">
        <v>2768</v>
      </c>
      <c r="BN492">
        <v>2</v>
      </c>
      <c r="BO492" t="s">
        <v>2722</v>
      </c>
      <c r="BP492">
        <v>0</v>
      </c>
      <c r="BQ492" t="s">
        <v>2768</v>
      </c>
      <c r="BR492">
        <v>2</v>
      </c>
      <c r="BS492" t="s">
        <v>1886</v>
      </c>
      <c r="BT492">
        <v>0</v>
      </c>
      <c r="BU492" t="s">
        <v>2768</v>
      </c>
      <c r="BV492">
        <v>2</v>
      </c>
      <c r="BW492" s="179" t="str">
        <f>IF($AN$11=1,"云飞玉皇-玉山揽云","云飞玉皇")</f>
        <v>云飞玉皇-玉山揽云</v>
      </c>
      <c r="BX492" s="179">
        <v>2</v>
      </c>
      <c r="BY492" s="176" t="str">
        <f>IF(0,"云飞玉皇-玉山揽云","夕照雷峰")</f>
        <v>夕照雷峰</v>
      </c>
      <c r="BZ492">
        <v>2</v>
      </c>
      <c r="CA492" t="s">
        <v>2768</v>
      </c>
      <c r="CB492">
        <v>2</v>
      </c>
    </row>
    <row r="493" spans="1:80">
      <c r="A493" s="178" t="str">
        <f ca="1">IFERROR(IF(AG492&lt;5+金蛇*2,IF(COUNTIF(B492,"*轻*")&gt;0,A492+加速!$L$9,A492+加速!$L$11)+V492,""),"")</f>
        <v/>
      </c>
      <c r="B493" s="167" t="str">
        <f ca="1" t="shared" si="127"/>
        <v/>
      </c>
      <c r="C493" t="str">
        <f ca="1" t="shared" si="136"/>
        <v/>
      </c>
      <c r="D493" t="str">
        <f ca="1">IF(B493&lt;&gt;"",IF(C492&lt;=加速!$L$11*(1-E493),0,1),"")</f>
        <v/>
      </c>
      <c r="E493">
        <f ca="1" t="shared" si="133"/>
        <v>1</v>
      </c>
      <c r="G493" t="str">
        <f ca="1" t="shared" si="134"/>
        <v/>
      </c>
      <c r="H493" t="str">
        <f ca="1">IF(B493&lt;&gt;"",IF(AND(COUNTIF(B492,"*轻*莺鸣柳*")&gt;0,COUNTIF(B493,"*轻*")&lt;1),MAX(0,15+I492-(A493-A492)+COUNTIF(B492,"*平湖*")*0),IF(AND(E493=0,MAX(0,H492-(A493-A492))&lt;=加速!$H$11),0,MAX(0,H492-(A493-A492)))),"")</f>
        <v/>
      </c>
      <c r="I493" t="str">
        <f ca="1" t="shared" si="140"/>
        <v/>
      </c>
      <c r="J493" t="str">
        <f ca="1" t="shared" si="141"/>
        <v/>
      </c>
      <c r="K493" t="str">
        <f ca="1" t="shared" si="128"/>
        <v/>
      </c>
      <c r="L493">
        <f ca="1">IFERROR(IF(AND(COUNTIF(B493,"*-峰插*"),技能数据库!$M$72&gt;0),0,IF(COUNTIF(B493,"*鹤归*")&gt;0,16-加速!$L$11,MAX(0,L492-(A493-A492)))),0)</f>
        <v>0</v>
      </c>
      <c r="M493">
        <f ca="1" t="shared" si="129"/>
        <v>0</v>
      </c>
      <c r="N493">
        <f ca="1">IFERROR(IF(AND(COUNTIF(B493,"*-峰插*"),技能数据库!$M$72&gt;0),0,IF(COUNTIF(B493,"*云飞*")&gt;0,4-COUNTIF(B493,"*玉山揽云*")*4--COUNTIF(B493,"*烟流暮景*")*4-COUNTIF(B493,"*云景*")*加速!$L$11-IF(J493&gt;0,2,0),MAX(0,N492-(A493-A492)-IF(J493&gt;0,2,0)))),0)</f>
        <v>0</v>
      </c>
      <c r="O493">
        <f ca="1">IF(AND(COUNTIF(IF(AND(配装计算器!$K$30&lt;&gt;"∞",0),INDEX(AU492:CB492,1,$AT$1),INDEX(AU494:CB494,1,$AT$1)),"*云飞*")=1,COUNTIF(IF(AND(配装计算器!$K$30&lt;&gt;"∞",0),INDEX(AU492:CB492,1,$AT$1),INDEX(AU494:CB494,1,$AT$1)),"*玉山*")=0),N493,0)</f>
        <v>0</v>
      </c>
      <c r="P493">
        <f ca="1">IFERROR(IF(COUNTIF(B493,"*云栖松*")&gt;0,50-加速!$L$11,MAX(0,P492-(A493-A492))),0)</f>
        <v>0</v>
      </c>
      <c r="Q493">
        <f ca="1">IF(COUNTIF(IF(AND(配装计算器!$K$30&lt;&gt;"∞",0),INDEX(AU492:CB492,1,$AT$1),INDEX(AU494:CB494,1,$AT$1)),"*云栖松*")=1,P493,0)</f>
        <v>0</v>
      </c>
      <c r="R493">
        <f ca="1">IFERROR(IF(COUNTIF(B493,"*莺鸣柳*")&gt;0,45-加速!$L$9,MAX(0,R492-(A493-A492))),0)</f>
        <v>0</v>
      </c>
      <c r="S493">
        <f ca="1">IF(COUNTIF(IF(AND(配装计算器!$K$30&lt;&gt;"∞",0),INDEX(AU492:CB492,1,$AT$1),INDEX(AU494:CB494,1,$AT$1)),"*莺鸣柳*")=1,R493,0)</f>
        <v>0</v>
      </c>
      <c r="T493">
        <f ca="1" t="shared" si="137"/>
        <v>0</v>
      </c>
      <c r="U493">
        <f ca="1">IF(金蛇,IF(COUNTIF(B493,"*金环戴*")+COUNTIF(B493,"*吹风醒*")&gt;0,IF(A493&lt;=3,7.125-2.625-A493-加速!$L$11,7.125+加速!$K$9-(A493+加速!$L$11-T493)),0),0)+IF(金蛇,IF(COUNTIF(B493,"*千切子裂光*")&gt;0,2+加速!$K$9-(A493+加速!$L$11-T493),0),0)</f>
        <v>0</v>
      </c>
      <c r="V493">
        <f ca="1" t="shared" si="138"/>
        <v>0</v>
      </c>
      <c r="W493">
        <f ca="1" t="shared" si="130"/>
        <v>0</v>
      </c>
      <c r="X493">
        <f ca="1">INDEX(加速!$I$13:$I$21,W493+1)</f>
        <v>0</v>
      </c>
      <c r="Y493">
        <f ca="1" t="shared" si="139"/>
        <v>0.5</v>
      </c>
      <c r="Z493">
        <f ca="1" t="shared" si="135"/>
        <v>0</v>
      </c>
      <c r="AA493">
        <f ca="1">MAX(0,IFERROR(IF(COUNTIF(B493,"*叠*")&gt;0,IF(AC492&lt;3,8-A494+A493,AA492+6.875-A494+A493),AA492-A494+A493),AA492-加速!$L$11))</f>
        <v>0</v>
      </c>
      <c r="AB493" t="e">
        <f ca="1">MAX(0,IF(COUNTIF(IF(AND(配装计算器!$K$30&lt;&gt;"∞",0),INDEX(AU493:CB493,1,$AT$1),INDEX(AU493:CB493,1,$AT$1)),"*叠1*")=1,4*25-加速!$L$11,AB492-A493+A492)-IF(OR(COUNTIF(OFFSET(AT493,0,$AT$1,1,1),"*听雷*")&gt;0,AND(碧归&gt;0,COUNTIF(OFFSET(AT493,0,$AT$1,1,1),"*风来*")&gt;0)),0,1)*1.5)</f>
        <v>#VALUE!</v>
      </c>
      <c r="AC493">
        <f ca="1" t="shared" si="131"/>
        <v>0</v>
      </c>
      <c r="AD493">
        <f ca="1">IF(COUNTIF(IF(AND(配装计算器!$K$30&lt;&gt;"∞",0),INDEX(AU493:CB493,1,$AT$1),INDEX(AU494:CB494,1,$AT$1)),"*叠1*")=1,AB493*0+AE492,0)</f>
        <v>0</v>
      </c>
      <c r="AE493" t="e">
        <f ca="1">IF($AN$11&gt;0,IF(COUNTIF(B494,"*叠1*")&gt;0,50-加速!$L$11,MAX(0,AE492-(A494-A493))),0)</f>
        <v>#VALUE!</v>
      </c>
      <c r="AG493">
        <f ca="1" t="shared" si="132"/>
        <v>13</v>
      </c>
      <c r="AU493" s="176" t="s">
        <v>2776</v>
      </c>
      <c r="AV493">
        <v>2</v>
      </c>
      <c r="AW493" t="s">
        <v>2768</v>
      </c>
      <c r="AX493">
        <v>2</v>
      </c>
      <c r="AY493" t="s">
        <v>2794</v>
      </c>
      <c r="AZ493">
        <v>2</v>
      </c>
      <c r="BA493" t="s">
        <v>2768</v>
      </c>
      <c r="BB493">
        <v>2</v>
      </c>
      <c r="BC493" t="s">
        <v>2776</v>
      </c>
      <c r="BD493">
        <v>1</v>
      </c>
      <c r="BE493" t="s">
        <v>2722</v>
      </c>
      <c r="BF493">
        <v>0</v>
      </c>
      <c r="BG493" t="s">
        <v>2776</v>
      </c>
      <c r="BH493">
        <v>2</v>
      </c>
      <c r="BI493" t="s">
        <v>2768</v>
      </c>
      <c r="BJ493">
        <v>2</v>
      </c>
      <c r="BK493" s="176" t="s">
        <v>2776</v>
      </c>
      <c r="BL493">
        <v>0</v>
      </c>
      <c r="BM493" s="176" t="s">
        <v>2776</v>
      </c>
      <c r="BN493">
        <v>2</v>
      </c>
      <c r="BO493" t="s">
        <v>3009</v>
      </c>
      <c r="BP493">
        <v>2</v>
      </c>
      <c r="BQ493" t="s">
        <v>2776</v>
      </c>
      <c r="BR493">
        <v>2</v>
      </c>
      <c r="BS493" t="s">
        <v>2853</v>
      </c>
      <c r="BT493">
        <v>1</v>
      </c>
      <c r="BU493" s="176" t="s">
        <v>2768</v>
      </c>
      <c r="BV493">
        <v>2</v>
      </c>
      <c r="BW493" s="179" t="str">
        <f>IF($AN$11=1,橙武补雾锁,"听雷-重")</f>
        <v>云飞玉皇-玉山揽云</v>
      </c>
      <c r="BX493" s="179">
        <v>0</v>
      </c>
      <c r="BY493" t="s">
        <v>2776</v>
      </c>
      <c r="BZ493">
        <v>2</v>
      </c>
      <c r="CA493" t="s">
        <v>2776</v>
      </c>
      <c r="CB493">
        <v>2</v>
      </c>
    </row>
    <row r="494" spans="1:80">
      <c r="A494" s="178" t="str">
        <f ca="1">IFERROR(IF(AG493&lt;5+金蛇*2,IF(COUNTIF(B493,"*轻*")&gt;0,A493+加速!$L$9,A493+加速!$L$11)+V493,""),"")</f>
        <v/>
      </c>
      <c r="B494" s="167" t="str">
        <f ca="1" t="shared" si="127"/>
        <v/>
      </c>
      <c r="C494" t="str">
        <f ca="1" t="shared" si="136"/>
        <v/>
      </c>
      <c r="D494" t="str">
        <f ca="1">IF(B494&lt;&gt;"",IF(C493&lt;=加速!$L$11*(1-E494),0,1),"")</f>
        <v/>
      </c>
      <c r="E494">
        <f ca="1" t="shared" si="133"/>
        <v>1</v>
      </c>
      <c r="G494" t="str">
        <f ca="1" t="shared" si="134"/>
        <v/>
      </c>
      <c r="H494" t="str">
        <f ca="1">IF(B494&lt;&gt;"",IF(AND(COUNTIF(B493,"*轻*莺鸣柳*")&gt;0,COUNTIF(B494,"*轻*")&lt;1),MAX(0,15+I493-(A494-A493)+COUNTIF(B493,"*平湖*")*0),IF(AND(E494=0,MAX(0,H493-(A494-A493))&lt;=加速!$H$11),0,MAX(0,H493-(A494-A493)))),"")</f>
        <v/>
      </c>
      <c r="I494" t="str">
        <f ca="1" t="shared" si="140"/>
        <v/>
      </c>
      <c r="J494" t="str">
        <f ca="1" t="shared" si="141"/>
        <v/>
      </c>
      <c r="K494" t="str">
        <f ca="1" t="shared" si="128"/>
        <v/>
      </c>
      <c r="L494">
        <f ca="1">IFERROR(IF(AND(COUNTIF(B494,"*-峰插*"),技能数据库!$M$72&gt;0),0,IF(COUNTIF(B494,"*鹤归*")&gt;0,16-加速!$L$11,MAX(0,L493-(A494-A493)))),0)</f>
        <v>0</v>
      </c>
      <c r="M494">
        <f ca="1" t="shared" si="129"/>
        <v>0</v>
      </c>
      <c r="N494">
        <f ca="1">IFERROR(IF(AND(COUNTIF(B494,"*-峰插*"),技能数据库!$M$72&gt;0),0,IF(COUNTIF(B494,"*云飞*")&gt;0,4-COUNTIF(B494,"*玉山揽云*")*4--COUNTIF(B494,"*烟流暮景*")*4-COUNTIF(B494,"*云景*")*加速!$L$11-IF(J494&gt;0,2,0),MAX(0,N493-(A494-A493)-IF(J494&gt;0,2,0)))),0)</f>
        <v>0</v>
      </c>
      <c r="O494">
        <f ca="1">IF(AND(COUNTIF(IF(AND(配装计算器!$K$30&lt;&gt;"∞",0),INDEX(AU493:CB493,1,$AT$1),INDEX(AU495:CB495,1,$AT$1)),"*云飞*")=1,COUNTIF(IF(AND(配装计算器!$K$30&lt;&gt;"∞",0),INDEX(AU493:CB493,1,$AT$1),INDEX(AU495:CB495,1,$AT$1)),"*玉山*")=0),N494,0)</f>
        <v>0</v>
      </c>
      <c r="P494">
        <f ca="1">IFERROR(IF(COUNTIF(B494,"*云栖松*")&gt;0,50-加速!$L$11,MAX(0,P493-(A494-A493))),0)</f>
        <v>0</v>
      </c>
      <c r="Q494">
        <f ca="1">IF(COUNTIF(IF(AND(配装计算器!$K$30&lt;&gt;"∞",0),INDEX(AU493:CB493,1,$AT$1),INDEX(AU495:CB495,1,$AT$1)),"*云栖松*")=1,P494,0)</f>
        <v>0</v>
      </c>
      <c r="R494">
        <f ca="1">IFERROR(IF(COUNTIF(B494,"*莺鸣柳*")&gt;0,45-加速!$L$9,MAX(0,R493-(A494-A493))),0)</f>
        <v>0</v>
      </c>
      <c r="S494">
        <f ca="1">IF(COUNTIF(IF(AND(配装计算器!$K$30&lt;&gt;"∞",0),INDEX(AU493:CB493,1,$AT$1),INDEX(AU495:CB495,1,$AT$1)),"*莺鸣柳*")=1,R494,0)</f>
        <v>0</v>
      </c>
      <c r="T494">
        <f ca="1" t="shared" si="137"/>
        <v>0</v>
      </c>
      <c r="U494">
        <f ca="1">IF(金蛇,IF(COUNTIF(B494,"*金环戴*")+COUNTIF(B494,"*吹风醒*")&gt;0,IF(A494&lt;=3,7.125-2.625-A494-加速!$L$11,7.125+加速!$K$9-(A494+加速!$L$11-T494)),0),0)+IF(金蛇,IF(COUNTIF(B494,"*千切子裂光*")&gt;0,2+加速!$K$9-(A494+加速!$L$11-T494),0),0)</f>
        <v>0</v>
      </c>
      <c r="V494">
        <f ca="1" t="shared" si="138"/>
        <v>0</v>
      </c>
      <c r="W494">
        <f ca="1" t="shared" si="130"/>
        <v>0</v>
      </c>
      <c r="X494">
        <f ca="1">INDEX(加速!$I$13:$I$21,W494+1)</f>
        <v>0</v>
      </c>
      <c r="Y494">
        <f ca="1" t="shared" si="139"/>
        <v>0.5</v>
      </c>
      <c r="Z494">
        <f ca="1" t="shared" si="135"/>
        <v>0</v>
      </c>
      <c r="AA494">
        <f ca="1">MAX(0,IFERROR(IF(COUNTIF(B494,"*叠*")&gt;0,IF(AC493&lt;3,8-A495+A494,AA493+6.875-A495+A494),AA493-A495+A494),AA493-加速!$L$11))</f>
        <v>0</v>
      </c>
      <c r="AB494" t="e">
        <f ca="1">MAX(0,IF(COUNTIF(IF(AND(配装计算器!$K$30&lt;&gt;"∞",0),INDEX(AU494:CB494,1,$AT$1),INDEX(AU494:CB494,1,$AT$1)),"*叠1*")=1,4*25-加速!$L$11,AB493-A494+A493)-IF(OR(COUNTIF(OFFSET(AT494,0,$AT$1,1,1),"*听雷*")&gt;0,AND(碧归&gt;0,COUNTIF(OFFSET(AT494,0,$AT$1,1,1),"*风来*")&gt;0)),0,1)*1.5)</f>
        <v>#VALUE!</v>
      </c>
      <c r="AC494">
        <f ca="1" t="shared" si="131"/>
        <v>0</v>
      </c>
      <c r="AD494">
        <f ca="1">IF(COUNTIF(IF(AND(配装计算器!$K$30&lt;&gt;"∞",0),INDEX(AU494:CB494,1,$AT$1),INDEX(AU495:CB495,1,$AT$1)),"*叠1*")=1,AB494*0+AE493,0)</f>
        <v>0</v>
      </c>
      <c r="AE494" t="e">
        <f ca="1">IF($AN$11&gt;0,IF(COUNTIF(B495,"*叠1*")&gt;0,50-加速!$L$11,MAX(0,AE493-(A495-A494))),0)</f>
        <v>#VALUE!</v>
      </c>
      <c r="AG494">
        <f ca="1" t="shared" si="132"/>
        <v>13</v>
      </c>
      <c r="AU494" s="176" t="s">
        <v>2768</v>
      </c>
      <c r="AV494">
        <v>1</v>
      </c>
      <c r="AW494" t="s">
        <v>2776</v>
      </c>
      <c r="AX494">
        <v>2</v>
      </c>
      <c r="AY494" t="s">
        <v>2768</v>
      </c>
      <c r="AZ494">
        <v>2</v>
      </c>
      <c r="BA494" t="s">
        <v>2776</v>
      </c>
      <c r="BB494">
        <v>2</v>
      </c>
      <c r="BC494" t="s">
        <v>2768</v>
      </c>
      <c r="BD494">
        <v>1</v>
      </c>
      <c r="BE494" t="s">
        <v>2722</v>
      </c>
      <c r="BF494">
        <v>2</v>
      </c>
      <c r="BG494" t="s">
        <v>2768</v>
      </c>
      <c r="BH494">
        <v>2</v>
      </c>
      <c r="BI494" s="176" t="s">
        <v>2794</v>
      </c>
      <c r="BJ494">
        <v>1</v>
      </c>
      <c r="BK494" t="s">
        <v>2768</v>
      </c>
      <c r="BL494">
        <v>0</v>
      </c>
      <c r="BM494" s="176" t="s">
        <v>2768</v>
      </c>
      <c r="BN494">
        <v>2</v>
      </c>
      <c r="BO494" t="s">
        <v>2776</v>
      </c>
      <c r="BP494">
        <v>2</v>
      </c>
      <c r="BQ494" t="s">
        <v>2768</v>
      </c>
      <c r="BR494">
        <v>2</v>
      </c>
      <c r="BS494" s="176" t="str">
        <f>IF(秋,"金蛇锥-金环戴","金蛇锥-吹风醒")</f>
        <v>金蛇锥-吹风醒</v>
      </c>
      <c r="BT494">
        <v>0</v>
      </c>
      <c r="BU494" s="176" t="s">
        <v>2776</v>
      </c>
      <c r="BV494">
        <v>2</v>
      </c>
      <c r="BW494" s="179" t="str">
        <f t="shared" si="142"/>
        <v>云飞玉皇-玉山揽云</v>
      </c>
      <c r="BX494" s="179">
        <v>2</v>
      </c>
      <c r="BY494" t="s">
        <v>2768</v>
      </c>
      <c r="BZ494">
        <v>2</v>
      </c>
      <c r="CA494" t="s">
        <v>2768</v>
      </c>
      <c r="CB494">
        <v>2</v>
      </c>
    </row>
    <row r="495" spans="1:80">
      <c r="A495" s="178" t="str">
        <f ca="1">IFERROR(IF(AG494&lt;5+金蛇*2,IF(COUNTIF(B494,"*轻*")&gt;0,A494+加速!$L$9,A494+加速!$L$11)+V494,""),"")</f>
        <v/>
      </c>
      <c r="B495" s="167" t="str">
        <f ca="1" t="shared" si="127"/>
        <v/>
      </c>
      <c r="C495" t="str">
        <f ca="1" t="shared" si="136"/>
        <v/>
      </c>
      <c r="D495" t="str">
        <f ca="1">IF(B495&lt;&gt;"",IF(C494&lt;=加速!$L$11*(1-E495),0,1),"")</f>
        <v/>
      </c>
      <c r="E495">
        <f ca="1" t="shared" si="133"/>
        <v>1</v>
      </c>
      <c r="G495" t="str">
        <f ca="1" t="shared" si="134"/>
        <v/>
      </c>
      <c r="H495" t="str">
        <f ca="1">IF(B495&lt;&gt;"",IF(AND(COUNTIF(B494,"*轻*莺鸣柳*")&gt;0,COUNTIF(B495,"*轻*")&lt;1),MAX(0,15+I494-(A495-A494)+COUNTIF(B494,"*平湖*")*0),IF(AND(E495=0,MAX(0,H494-(A495-A494))&lt;=加速!$H$11),0,MAX(0,H494-(A495-A494)))),"")</f>
        <v/>
      </c>
      <c r="I495" t="str">
        <f ca="1" t="shared" si="140"/>
        <v/>
      </c>
      <c r="J495" t="str">
        <f ca="1" t="shared" si="141"/>
        <v/>
      </c>
      <c r="K495" t="str">
        <f ca="1" t="shared" si="128"/>
        <v/>
      </c>
      <c r="L495">
        <f ca="1">IFERROR(IF(AND(COUNTIF(B495,"*-峰插*"),技能数据库!$M$72&gt;0),0,IF(COUNTIF(B495,"*鹤归*")&gt;0,16-加速!$L$11,MAX(0,L494-(A495-A494)))),0)</f>
        <v>0</v>
      </c>
      <c r="M495">
        <f ca="1" t="shared" si="129"/>
        <v>0</v>
      </c>
      <c r="N495">
        <f ca="1">IFERROR(IF(AND(COUNTIF(B495,"*-峰插*"),技能数据库!$M$72&gt;0),0,IF(COUNTIF(B495,"*云飞*")&gt;0,4-COUNTIF(B495,"*玉山揽云*")*4--COUNTIF(B495,"*烟流暮景*")*4-COUNTIF(B495,"*云景*")*加速!$L$11-IF(J495&gt;0,2,0),MAX(0,N494-(A495-A494)-IF(J495&gt;0,2,0)))),0)</f>
        <v>0</v>
      </c>
      <c r="O495">
        <f ca="1">IF(AND(COUNTIF(IF(AND(配装计算器!$K$30&lt;&gt;"∞",0),INDEX(AU494:CB494,1,$AT$1),INDEX(AU496:CB496,1,$AT$1)),"*云飞*")=1,COUNTIF(IF(AND(配装计算器!$K$30&lt;&gt;"∞",0),INDEX(AU494:CB494,1,$AT$1),INDEX(AU496:CB496,1,$AT$1)),"*玉山*")=0),N495,0)</f>
        <v>0</v>
      </c>
      <c r="P495">
        <f ca="1">IFERROR(IF(COUNTIF(B495,"*云栖松*")&gt;0,50-加速!$L$11,MAX(0,P494-(A495-A494))),0)</f>
        <v>0</v>
      </c>
      <c r="Q495">
        <f ca="1">IF(COUNTIF(IF(AND(配装计算器!$K$30&lt;&gt;"∞",0),INDEX(AU494:CB494,1,$AT$1),INDEX(AU496:CB496,1,$AT$1)),"*云栖松*")=1,P495,0)</f>
        <v>0</v>
      </c>
      <c r="R495">
        <f ca="1">IFERROR(IF(COUNTIF(B495,"*莺鸣柳*")&gt;0,45-加速!$L$9,MAX(0,R494-(A495-A494))),0)</f>
        <v>0</v>
      </c>
      <c r="S495">
        <f ca="1">IF(COUNTIF(IF(AND(配装计算器!$K$30&lt;&gt;"∞",0),INDEX(AU494:CB494,1,$AT$1),INDEX(AU496:CB496,1,$AT$1)),"*莺鸣柳*")=1,R495,0)</f>
        <v>0</v>
      </c>
      <c r="T495">
        <f ca="1" t="shared" si="137"/>
        <v>0</v>
      </c>
      <c r="U495">
        <f ca="1">IF(金蛇,IF(COUNTIF(B495,"*金环戴*")+COUNTIF(B495,"*吹风醒*")&gt;0,IF(A495&lt;=3,7.125-2.625-A495-加速!$L$11,7.125+加速!$K$9-(A495+加速!$L$11-T495)),0),0)+IF(金蛇,IF(COUNTIF(B495,"*千切子裂光*")&gt;0,2+加速!$K$9-(A495+加速!$L$11-T495),0),0)</f>
        <v>0</v>
      </c>
      <c r="V495">
        <f ca="1" t="shared" si="138"/>
        <v>0</v>
      </c>
      <c r="W495">
        <f ca="1" t="shared" si="130"/>
        <v>0</v>
      </c>
      <c r="X495">
        <f ca="1">INDEX(加速!$I$13:$I$21,W495+1)</f>
        <v>0</v>
      </c>
      <c r="Y495">
        <f ca="1" t="shared" si="139"/>
        <v>0.5</v>
      </c>
      <c r="Z495">
        <f ca="1" t="shared" si="135"/>
        <v>0</v>
      </c>
      <c r="AA495">
        <f ca="1">MAX(0,IFERROR(IF(COUNTIF(B495,"*叠*")&gt;0,IF(AC494&lt;3,8-A496+A495,AA494+6.875-A496+A495),AA494-A496+A495),AA494-加速!$L$11))</f>
        <v>0</v>
      </c>
      <c r="AB495" t="e">
        <f ca="1">MAX(0,IF(COUNTIF(IF(AND(配装计算器!$K$30&lt;&gt;"∞",0),INDEX(AU495:CB495,1,$AT$1),INDEX(AU495:CB495,1,$AT$1)),"*叠1*")=1,4*25-加速!$L$11,AB494-A495+A494)-IF(OR(COUNTIF(OFFSET(AT495,0,$AT$1,1,1),"*听雷*")&gt;0,AND(碧归&gt;0,COUNTIF(OFFSET(AT495,0,$AT$1,1,1),"*风来*")&gt;0)),0,1)*1.5)</f>
        <v>#VALUE!</v>
      </c>
      <c r="AC495">
        <f ca="1" t="shared" si="131"/>
        <v>0</v>
      </c>
      <c r="AD495">
        <f ca="1">IF(COUNTIF(IF(AND(配装计算器!$K$30&lt;&gt;"∞",0),INDEX(AU495:CB495,1,$AT$1),INDEX(AU496:CB496,1,$AT$1)),"*叠1*")=1,AB495*0+AE494,0)</f>
        <v>0</v>
      </c>
      <c r="AE495" t="e">
        <f ca="1">IF($AN$11&gt;0,IF(COUNTIF(B496,"*叠1*")&gt;0,50-加速!$L$11,MAX(0,AE494-(A496-A495))),0)</f>
        <v>#VALUE!</v>
      </c>
      <c r="AG495">
        <f ca="1" t="shared" si="132"/>
        <v>13</v>
      </c>
      <c r="AU495" s="176" t="s">
        <v>2776</v>
      </c>
      <c r="AV495">
        <v>1</v>
      </c>
      <c r="AW495" t="s">
        <v>2768</v>
      </c>
      <c r="AX495">
        <v>2</v>
      </c>
      <c r="AY495" t="s">
        <v>2776</v>
      </c>
      <c r="AZ495">
        <v>2</v>
      </c>
      <c r="BA495" t="s">
        <v>2768</v>
      </c>
      <c r="BB495">
        <v>2</v>
      </c>
      <c r="BC495" t="s">
        <v>2768</v>
      </c>
      <c r="BD495">
        <v>0</v>
      </c>
      <c r="BE495" t="s">
        <v>2768</v>
      </c>
      <c r="BF495">
        <v>2</v>
      </c>
      <c r="BG495" t="s">
        <v>2776</v>
      </c>
      <c r="BH495">
        <v>2</v>
      </c>
      <c r="BI495" t="s">
        <v>2776</v>
      </c>
      <c r="BJ495">
        <v>1</v>
      </c>
      <c r="BK495" t="s">
        <v>3012</v>
      </c>
      <c r="BL495">
        <v>2</v>
      </c>
      <c r="BM495" s="176" t="s">
        <v>2776</v>
      </c>
      <c r="BN495">
        <v>2</v>
      </c>
      <c r="BO495" t="s">
        <v>2768</v>
      </c>
      <c r="BP495">
        <v>2</v>
      </c>
      <c r="BQ495" t="s">
        <v>3013</v>
      </c>
      <c r="BR495">
        <v>2</v>
      </c>
      <c r="BS495" t="s">
        <v>2773</v>
      </c>
      <c r="BT495">
        <v>2</v>
      </c>
      <c r="BU495" t="s">
        <v>2768</v>
      </c>
      <c r="BV495">
        <v>1</v>
      </c>
      <c r="BW495" s="179" t="str">
        <f t="shared" si="142"/>
        <v>云飞玉皇-玉山揽云</v>
      </c>
      <c r="BX495" s="179">
        <v>2</v>
      </c>
      <c r="BY495" t="s">
        <v>2718</v>
      </c>
      <c r="BZ495">
        <v>0</v>
      </c>
      <c r="CA495" t="s">
        <v>2768</v>
      </c>
      <c r="CB495">
        <v>2</v>
      </c>
    </row>
    <row r="496" spans="1:80">
      <c r="A496" s="178" t="str">
        <f ca="1">IFERROR(IF(AG495&lt;5+金蛇*2,IF(COUNTIF(B495,"*轻*")&gt;0,A495+加速!$L$9,A495+加速!$L$11)+V495,""),"")</f>
        <v/>
      </c>
      <c r="B496" s="167" t="str">
        <f ca="1" t="shared" si="127"/>
        <v/>
      </c>
      <c r="C496" t="str">
        <f ca="1" t="shared" si="136"/>
        <v/>
      </c>
      <c r="D496" t="str">
        <f ca="1">IF(B496&lt;&gt;"",IF(C495&lt;=加速!$L$11*(1-E496),0,1),"")</f>
        <v/>
      </c>
      <c r="E496">
        <f ca="1" t="shared" si="133"/>
        <v>1</v>
      </c>
      <c r="G496" t="str">
        <f ca="1" t="shared" si="134"/>
        <v/>
      </c>
      <c r="H496" t="str">
        <f ca="1">IF(B496&lt;&gt;"",IF(AND(COUNTIF(B495,"*轻*莺鸣柳*")&gt;0,COUNTIF(B496,"*轻*")&lt;1),MAX(0,15+I495-(A496-A495)+COUNTIF(B495,"*平湖*")*0),IF(AND(E496=0,MAX(0,H495-(A496-A495))&lt;=加速!$H$11),0,MAX(0,H495-(A496-A495)))),"")</f>
        <v/>
      </c>
      <c r="I496" t="str">
        <f ca="1" t="shared" si="140"/>
        <v/>
      </c>
      <c r="J496" t="str">
        <f ca="1" t="shared" si="141"/>
        <v/>
      </c>
      <c r="K496" t="str">
        <f ca="1" t="shared" si="128"/>
        <v/>
      </c>
      <c r="L496">
        <f ca="1">IFERROR(IF(AND(COUNTIF(B496,"*-峰插*"),技能数据库!$M$72&gt;0),0,IF(COUNTIF(B496,"*鹤归*")&gt;0,16-加速!$L$11,MAX(0,L495-(A496-A495)))),0)</f>
        <v>0</v>
      </c>
      <c r="M496">
        <f ca="1" t="shared" si="129"/>
        <v>0</v>
      </c>
      <c r="N496">
        <f ca="1">IFERROR(IF(AND(COUNTIF(B496,"*-峰插*"),技能数据库!$M$72&gt;0),0,IF(COUNTIF(B496,"*云飞*")&gt;0,4-COUNTIF(B496,"*玉山揽云*")*4--COUNTIF(B496,"*烟流暮景*")*4-COUNTIF(B496,"*云景*")*加速!$L$11-IF(J496&gt;0,2,0),MAX(0,N495-(A496-A495)-IF(J496&gt;0,2,0)))),0)</f>
        <v>0</v>
      </c>
      <c r="O496">
        <f ca="1">IF(AND(COUNTIF(IF(AND(配装计算器!$K$30&lt;&gt;"∞",0),INDEX(AU495:CB495,1,$AT$1),INDEX(AU497:CB497,1,$AT$1)),"*云飞*")=1,COUNTIF(IF(AND(配装计算器!$K$30&lt;&gt;"∞",0),INDEX(AU495:CB495,1,$AT$1),INDEX(AU497:CB497,1,$AT$1)),"*玉山*")=0),N496,0)</f>
        <v>0</v>
      </c>
      <c r="P496">
        <f ca="1">IFERROR(IF(COUNTIF(B496,"*云栖松*")&gt;0,50-加速!$L$11,MAX(0,P495-(A496-A495))),0)</f>
        <v>0</v>
      </c>
      <c r="Q496">
        <f ca="1">IF(COUNTIF(IF(AND(配装计算器!$K$30&lt;&gt;"∞",0),INDEX(AU495:CB495,1,$AT$1),INDEX(AU497:CB497,1,$AT$1)),"*云栖松*")=1,P496,0)</f>
        <v>0</v>
      </c>
      <c r="R496">
        <f ca="1">IFERROR(IF(COUNTIF(B496,"*莺鸣柳*")&gt;0,45-加速!$L$9,MAX(0,R495-(A496-A495))),0)</f>
        <v>0</v>
      </c>
      <c r="S496">
        <f ca="1">IF(COUNTIF(IF(AND(配装计算器!$K$30&lt;&gt;"∞",0),INDEX(AU495:CB495,1,$AT$1),INDEX(AU497:CB497,1,$AT$1)),"*莺鸣柳*")=1,R496,0)</f>
        <v>0</v>
      </c>
      <c r="T496">
        <f ca="1" t="shared" si="137"/>
        <v>0</v>
      </c>
      <c r="U496">
        <f ca="1">IF(金蛇,IF(COUNTIF(B496,"*金环戴*")+COUNTIF(B496,"*吹风醒*")&gt;0,IF(A496&lt;=3,7.125-2.625-A496-加速!$L$11,7.125+加速!$K$9-(A496+加速!$L$11-T496)),0),0)+IF(金蛇,IF(COUNTIF(B496,"*千切子裂光*")&gt;0,2+加速!$K$9-(A496+加速!$L$11-T496),0),0)</f>
        <v>0</v>
      </c>
      <c r="V496" t="e">
        <f ca="1" t="shared" si="138"/>
        <v>#VALUE!</v>
      </c>
      <c r="W496">
        <f ca="1" t="shared" si="130"/>
        <v>0</v>
      </c>
      <c r="X496">
        <f ca="1">INDEX(加速!$I$13:$I$21,W496+1)</f>
        <v>0</v>
      </c>
      <c r="Y496">
        <f ca="1" t="shared" si="139"/>
        <v>0.5</v>
      </c>
      <c r="Z496">
        <f ca="1" t="shared" si="135"/>
        <v>0</v>
      </c>
      <c r="AA496">
        <f ca="1">MAX(0,IFERROR(IF(COUNTIF(B496,"*叠*")&gt;0,IF(AC495&lt;3,8-A497+A496,AA495+6.875-A497+A496),AA495-A497+A496),AA495-加速!$L$11))</f>
        <v>0</v>
      </c>
      <c r="AB496" t="e">
        <f ca="1">MAX(0,IF(COUNTIF(IF(AND(配装计算器!$K$30&lt;&gt;"∞",0),INDEX(AU496:CB496,1,$AT$1),INDEX(AU496:CB496,1,$AT$1)),"*叠1*")=1,4*25-加速!$L$11,AB495-A496+A495)-IF(OR(COUNTIF(OFFSET(AT496,0,$AT$1,1,1),"*听雷*")&gt;0,AND(碧归&gt;0,COUNTIF(OFFSET(AT496,0,$AT$1,1,1),"*风来*")&gt;0)),0,1)*1.5)</f>
        <v>#VALUE!</v>
      </c>
      <c r="AC496">
        <f ca="1" t="shared" si="131"/>
        <v>0</v>
      </c>
      <c r="AD496" t="e">
        <f ca="1">IF(COUNTIF(IF(AND(配装计算器!$K$30&lt;&gt;"∞",0),INDEX(AU496:CB496,1,$AT$1),INDEX(AU497:CB497,1,$AT$1)),"*叠1*")=1,AB496*0+AE495,0)</f>
        <v>#VALUE!</v>
      </c>
      <c r="AE496" t="e">
        <f ca="1">IF($AN$11&gt;0,IF(COUNTIF(B497,"*叠1*")&gt;0,50-加速!$L$11,MAX(0,AE495-(A497-A496))),0)</f>
        <v>#VALUE!</v>
      </c>
      <c r="AG496">
        <f ca="1" t="shared" si="132"/>
        <v>14</v>
      </c>
      <c r="AU496" t="s">
        <v>2722</v>
      </c>
      <c r="AV496">
        <v>0</v>
      </c>
      <c r="AW496" s="176" t="s">
        <v>2794</v>
      </c>
      <c r="AX496">
        <v>2</v>
      </c>
      <c r="AY496" t="s">
        <v>2768</v>
      </c>
      <c r="AZ496">
        <v>2</v>
      </c>
      <c r="BA496" t="s">
        <v>2776</v>
      </c>
      <c r="BB496">
        <v>1</v>
      </c>
      <c r="BC496" t="s">
        <v>2768</v>
      </c>
      <c r="BD496">
        <v>0</v>
      </c>
      <c r="BE496" t="s">
        <v>2776</v>
      </c>
      <c r="BF496">
        <v>2</v>
      </c>
      <c r="BG496" t="s">
        <v>2768</v>
      </c>
      <c r="BH496">
        <v>1</v>
      </c>
      <c r="BI496" t="s">
        <v>2768</v>
      </c>
      <c r="BJ496">
        <v>0</v>
      </c>
      <c r="BK496" s="176" t="s">
        <v>2794</v>
      </c>
      <c r="BL496">
        <v>2</v>
      </c>
      <c r="BM496" s="176" t="s">
        <v>2768</v>
      </c>
      <c r="BN496">
        <v>2</v>
      </c>
      <c r="BO496" t="str">
        <f>IF(山重水复,"风来吴山","夕照雷峰")</f>
        <v>夕照雷峰</v>
      </c>
      <c r="BP496">
        <v>2</v>
      </c>
      <c r="BQ496" t="s">
        <v>2808</v>
      </c>
      <c r="BR496">
        <v>2</v>
      </c>
      <c r="BS496" t="s">
        <v>2776</v>
      </c>
      <c r="BT496">
        <v>2</v>
      </c>
      <c r="BU496" s="176" t="s">
        <v>2768</v>
      </c>
      <c r="BV496">
        <v>1</v>
      </c>
      <c r="BW496" s="179" t="s">
        <v>2776</v>
      </c>
      <c r="BX496" s="179">
        <v>2</v>
      </c>
      <c r="BY496" t="s">
        <v>2768</v>
      </c>
      <c r="BZ496">
        <v>2</v>
      </c>
      <c r="CA496" t="s">
        <v>2768</v>
      </c>
      <c r="CB496">
        <v>2</v>
      </c>
    </row>
    <row r="497" spans="1:80">
      <c r="A497" s="178" t="str">
        <f ca="1">IFERROR(IF(AG496&lt;5+金蛇*2,IF(COUNTIF(B496,"*轻*")&gt;0,A496+加速!$L$9,A496+加速!$L$11)+V496,""),"")</f>
        <v/>
      </c>
      <c r="B497" s="167" t="str">
        <f ca="1" t="shared" si="127"/>
        <v/>
      </c>
      <c r="C497" t="str">
        <f ca="1" t="shared" si="136"/>
        <v/>
      </c>
      <c r="D497" t="str">
        <f ca="1">IF(B497&lt;&gt;"",IF(C496&lt;=加速!$L$11*(1-E497),0,1),"")</f>
        <v/>
      </c>
      <c r="E497">
        <f ca="1" t="shared" si="133"/>
        <v>1</v>
      </c>
      <c r="G497" t="str">
        <f ca="1" t="shared" si="134"/>
        <v/>
      </c>
      <c r="H497" t="str">
        <f ca="1">IF(B497&lt;&gt;"",IF(AND(COUNTIF(B496,"*轻*莺鸣柳*")&gt;0,COUNTIF(B497,"*轻*")&lt;1),MAX(0,15+I496-(A497-A496)+COUNTIF(B496,"*平湖*")*0),IF(AND(E497=0,MAX(0,H496-(A497-A496))&lt;=加速!$H$11),0,MAX(0,H496-(A497-A496)))),"")</f>
        <v/>
      </c>
      <c r="I497" t="str">
        <f ca="1" t="shared" si="140"/>
        <v/>
      </c>
      <c r="J497" t="str">
        <f ca="1" t="shared" si="141"/>
        <v/>
      </c>
      <c r="K497" t="str">
        <f ca="1" t="shared" si="128"/>
        <v/>
      </c>
      <c r="L497">
        <f ca="1">IFERROR(IF(AND(COUNTIF(B497,"*-峰插*"),技能数据库!$M$72&gt;0),0,IF(COUNTIF(B497,"*鹤归*")&gt;0,16-加速!$L$11,MAX(0,L496-(A497-A496)))),0)</f>
        <v>0</v>
      </c>
      <c r="M497">
        <f ca="1" t="shared" si="129"/>
        <v>0</v>
      </c>
      <c r="N497">
        <f ca="1">IFERROR(IF(AND(COUNTIF(B497,"*-峰插*"),技能数据库!$M$72&gt;0),0,IF(COUNTIF(B497,"*云飞*")&gt;0,4-COUNTIF(B497,"*玉山揽云*")*4--COUNTIF(B497,"*烟流暮景*")*4-COUNTIF(B497,"*云景*")*加速!$L$11-IF(J497&gt;0,2,0),MAX(0,N496-(A497-A496)-IF(J497&gt;0,2,0)))),0)</f>
        <v>0</v>
      </c>
      <c r="O497">
        <f ca="1">IF(AND(COUNTIF(IF(AND(配装计算器!$K$30&lt;&gt;"∞",0),INDEX(AU496:CB496,1,$AT$1),INDEX(AU498:CB498,1,$AT$1)),"*云飞*")=1,COUNTIF(IF(AND(配装计算器!$K$30&lt;&gt;"∞",0),INDEX(AU496:CB496,1,$AT$1),INDEX(AU498:CB498,1,$AT$1)),"*玉山*")=0),N497,0)</f>
        <v>0</v>
      </c>
      <c r="P497">
        <f ca="1">IFERROR(IF(COUNTIF(B497,"*云栖松*")&gt;0,50-加速!$L$11,MAX(0,P496-(A497-A496))),0)</f>
        <v>0</v>
      </c>
      <c r="Q497">
        <f ca="1">IF(COUNTIF(IF(AND(配装计算器!$K$30&lt;&gt;"∞",0),INDEX(AU496:CB496,1,$AT$1),INDEX(AU498:CB498,1,$AT$1)),"*云栖松*")=1,P497,0)</f>
        <v>0</v>
      </c>
      <c r="R497">
        <f ca="1">IFERROR(IF(COUNTIF(B497,"*莺鸣柳*")&gt;0,45-加速!$L$9,MAX(0,R496-(A497-A496))),0)</f>
        <v>0</v>
      </c>
      <c r="S497">
        <f ca="1">IF(COUNTIF(IF(AND(配装计算器!$K$30&lt;&gt;"∞",0),INDEX(AU496:CB496,1,$AT$1),INDEX(AU498:CB498,1,$AT$1)),"*莺鸣柳*")=1,R497,0)</f>
        <v>0</v>
      </c>
      <c r="T497">
        <f ca="1" t="shared" si="137"/>
        <v>0</v>
      </c>
      <c r="U497">
        <f ca="1">IF(金蛇,IF(COUNTIF(B497,"*金环戴*")+COUNTIF(B497,"*吹风醒*")&gt;0,IF(A497&lt;=3,7.125-2.625-A497-加速!$L$11,7.125+加速!$K$9-(A497+加速!$L$11-T497)),0),0)+IF(金蛇,IF(COUNTIF(B497,"*千切子裂光*")&gt;0,2+加速!$K$9-(A497+加速!$L$11-T497),0),0)</f>
        <v>0</v>
      </c>
      <c r="V497">
        <f ca="1" t="shared" si="138"/>
        <v>0</v>
      </c>
      <c r="W497">
        <f ca="1" t="shared" si="130"/>
        <v>0</v>
      </c>
      <c r="X497">
        <f ca="1">INDEX(加速!$I$13:$I$21,W497+1)</f>
        <v>0</v>
      </c>
      <c r="Y497">
        <f ca="1" t="shared" si="139"/>
        <v>0.5</v>
      </c>
      <c r="Z497">
        <f ca="1" t="shared" si="135"/>
        <v>0</v>
      </c>
      <c r="AA497">
        <f ca="1">MAX(0,IFERROR(IF(COUNTIF(B497,"*叠*")&gt;0,IF(AC496&lt;3,8-A498+A497,AA496+6.875-A498+A497),AA496-A498+A497),AA496-加速!$L$11))</f>
        <v>0</v>
      </c>
      <c r="AB497">
        <f ca="1">MAX(0,IF(COUNTIF(IF(AND(配装计算器!$K$30&lt;&gt;"∞",0),INDEX(AU497:CB497,1,$AT$1),INDEX(AU497:CB497,1,$AT$1)),"*叠1*")=1,4*25-加速!$L$11,AB496-A497+A496)-IF(OR(COUNTIF(OFFSET(AT497,0,$AT$1,1,1),"*听雷*")&gt;0,AND(碧归&gt;0,COUNTIF(OFFSET(AT497,0,$AT$1,1,1),"*风来*")&gt;0)),0,1)*1.5)</f>
        <v>97.21</v>
      </c>
      <c r="AC497">
        <f ca="1" t="shared" si="131"/>
        <v>0</v>
      </c>
      <c r="AD497">
        <f ca="1">IF(COUNTIF(IF(AND(配装计算器!$K$30&lt;&gt;"∞",0),INDEX(AU497:CB497,1,$AT$1),INDEX(AU498:CB498,1,$AT$1)),"*叠1*")=1,AB497*0+AE496,0)</f>
        <v>0</v>
      </c>
      <c r="AE497" t="e">
        <f ca="1">IF($AN$11&gt;0,IF(COUNTIF(B498,"*叠1*")&gt;0,50-加速!$L$11,MAX(0,AE496-(A498-A497))),0)</f>
        <v>#VALUE!</v>
      </c>
      <c r="AG497">
        <f ca="1" t="shared" si="132"/>
        <v>14</v>
      </c>
      <c r="AU497" t="s">
        <v>3009</v>
      </c>
      <c r="AV497">
        <v>2</v>
      </c>
      <c r="AW497" s="176" t="s">
        <v>2768</v>
      </c>
      <c r="AX497">
        <v>2</v>
      </c>
      <c r="AY497" t="s">
        <v>2776</v>
      </c>
      <c r="AZ497">
        <v>2</v>
      </c>
      <c r="BA497" t="s">
        <v>2768</v>
      </c>
      <c r="BB497">
        <v>1</v>
      </c>
      <c r="BC497" t="s">
        <v>3010</v>
      </c>
      <c r="BD497">
        <v>2</v>
      </c>
      <c r="BE497" t="s">
        <v>2794</v>
      </c>
      <c r="BF497">
        <v>1</v>
      </c>
      <c r="BG497" t="s">
        <v>2776</v>
      </c>
      <c r="BH497">
        <v>1</v>
      </c>
      <c r="BI497" t="s">
        <v>3011</v>
      </c>
      <c r="BJ497">
        <v>2</v>
      </c>
      <c r="BK497" s="176" t="s">
        <v>3019</v>
      </c>
      <c r="BL497">
        <v>2</v>
      </c>
      <c r="BM497" t="s">
        <v>3056</v>
      </c>
      <c r="BN497">
        <v>1</v>
      </c>
      <c r="BO497" s="176" t="s">
        <v>2794</v>
      </c>
      <c r="BP497">
        <v>2</v>
      </c>
      <c r="BQ497" t="s">
        <v>2768</v>
      </c>
      <c r="BR497">
        <v>2</v>
      </c>
      <c r="BS497" t="s">
        <v>2768</v>
      </c>
      <c r="BT497">
        <v>2</v>
      </c>
      <c r="BU497" t="s">
        <v>3055</v>
      </c>
      <c r="BV497">
        <v>0</v>
      </c>
      <c r="BW497" s="179" t="s">
        <v>2768</v>
      </c>
      <c r="BX497" s="179">
        <v>2</v>
      </c>
      <c r="BY497" t="s">
        <v>2776</v>
      </c>
      <c r="BZ497">
        <v>2</v>
      </c>
      <c r="CA497" t="s">
        <v>2776</v>
      </c>
      <c r="CB497">
        <v>2</v>
      </c>
    </row>
    <row r="498" spans="1:80">
      <c r="A498" s="178" t="str">
        <f ca="1">IFERROR(IF(AG497&lt;5+金蛇*2,IF(COUNTIF(B497,"*轻*")&gt;0,A497+加速!$L$9,A497+加速!$L$11)+V497,""),"")</f>
        <v/>
      </c>
      <c r="B498" s="167" t="str">
        <f ca="1" t="shared" si="127"/>
        <v/>
      </c>
      <c r="C498" t="str">
        <f ca="1" t="shared" si="136"/>
        <v/>
      </c>
      <c r="D498" t="str">
        <f ca="1">IF(B498&lt;&gt;"",IF(C497&lt;=加速!$L$11*(1-E498),0,1),"")</f>
        <v/>
      </c>
      <c r="E498">
        <f ca="1" t="shared" si="133"/>
        <v>1</v>
      </c>
      <c r="G498" t="str">
        <f ca="1" t="shared" si="134"/>
        <v/>
      </c>
      <c r="H498" t="str">
        <f ca="1">IF(B498&lt;&gt;"",IF(AND(COUNTIF(B497,"*轻*莺鸣柳*")&gt;0,COUNTIF(B498,"*轻*")&lt;1),MAX(0,15+I497-(A498-A497)+COUNTIF(B497,"*平湖*")*0),IF(AND(E498=0,MAX(0,H497-(A498-A497))&lt;=加速!$H$11),0,MAX(0,H497-(A498-A497)))),"")</f>
        <v/>
      </c>
      <c r="I498" t="str">
        <f ca="1" t="shared" si="140"/>
        <v/>
      </c>
      <c r="J498" t="str">
        <f ca="1" t="shared" si="141"/>
        <v/>
      </c>
      <c r="K498" t="str">
        <f ca="1" t="shared" si="128"/>
        <v/>
      </c>
      <c r="L498">
        <f ca="1">IFERROR(IF(AND(COUNTIF(B498,"*-峰插*"),技能数据库!$M$72&gt;0),0,IF(COUNTIF(B498,"*鹤归*")&gt;0,16-加速!$L$11,MAX(0,L497-(A498-A497)))),0)</f>
        <v>0</v>
      </c>
      <c r="M498">
        <f ca="1" t="shared" si="129"/>
        <v>0</v>
      </c>
      <c r="N498">
        <f ca="1">IFERROR(IF(AND(COUNTIF(B498,"*-峰插*"),技能数据库!$M$72&gt;0),0,IF(COUNTIF(B498,"*云飞*")&gt;0,4-COUNTIF(B498,"*玉山揽云*")*4--COUNTIF(B498,"*烟流暮景*")*4-COUNTIF(B498,"*云景*")*加速!$L$11-IF(J498&gt;0,2,0),MAX(0,N497-(A498-A497)-IF(J498&gt;0,2,0)))),0)</f>
        <v>0</v>
      </c>
      <c r="O498">
        <f ca="1">IF(AND(COUNTIF(IF(AND(配装计算器!$K$30&lt;&gt;"∞",0),INDEX(AU497:CB497,1,$AT$1),INDEX(AU499:CB499,1,$AT$1)),"*云飞*")=1,COUNTIF(IF(AND(配装计算器!$K$30&lt;&gt;"∞",0),INDEX(AU497:CB497,1,$AT$1),INDEX(AU499:CB499,1,$AT$1)),"*玉山*")=0),N498,0)</f>
        <v>0</v>
      </c>
      <c r="P498">
        <f ca="1">IFERROR(IF(COUNTIF(B498,"*云栖松*")&gt;0,50-加速!$L$11,MAX(0,P497-(A498-A497))),0)</f>
        <v>0</v>
      </c>
      <c r="Q498">
        <f ca="1">IF(COUNTIF(IF(AND(配装计算器!$K$30&lt;&gt;"∞",0),INDEX(AU497:CB497,1,$AT$1),INDEX(AU499:CB499,1,$AT$1)),"*云栖松*")=1,P498,0)</f>
        <v>0</v>
      </c>
      <c r="R498">
        <f ca="1">IFERROR(IF(COUNTIF(B498,"*莺鸣柳*")&gt;0,45-加速!$L$9,MAX(0,R497-(A498-A497))),0)</f>
        <v>0</v>
      </c>
      <c r="S498">
        <f ca="1">IF(COUNTIF(IF(AND(配装计算器!$K$30&lt;&gt;"∞",0),INDEX(AU497:CB497,1,$AT$1),INDEX(AU499:CB499,1,$AT$1)),"*莺鸣柳*")=1,R498,0)</f>
        <v>0</v>
      </c>
      <c r="T498">
        <f ca="1" t="shared" si="137"/>
        <v>0</v>
      </c>
      <c r="U498">
        <f ca="1">IF(金蛇,IF(COUNTIF(B498,"*金环戴*")+COUNTIF(B498,"*吹风醒*")&gt;0,IF(A498&lt;=3,7.125-2.625-A498-加速!$L$11,7.125+加速!$K$9-(A498+加速!$L$11-T498)),0),0)+IF(金蛇,IF(COUNTIF(B498,"*千切子裂光*")&gt;0,2+加速!$K$9-(A498+加速!$L$11-T498),0),0)</f>
        <v>0</v>
      </c>
      <c r="V498">
        <f ca="1" t="shared" si="138"/>
        <v>0</v>
      </c>
      <c r="W498">
        <f ca="1" t="shared" si="130"/>
        <v>0</v>
      </c>
      <c r="X498">
        <f ca="1">INDEX(加速!$I$13:$I$21,W498+1)</f>
        <v>0</v>
      </c>
      <c r="Y498">
        <f ca="1" t="shared" si="139"/>
        <v>0.5</v>
      </c>
      <c r="Z498">
        <f ca="1" t="shared" si="135"/>
        <v>0</v>
      </c>
      <c r="AA498">
        <f ca="1">MAX(0,IFERROR(IF(COUNTIF(B498,"*叠*")&gt;0,IF(AC497&lt;3,8-A499+A498,AA497+6.875-A499+A498),AA497-A499+A498),AA497-加速!$L$11))</f>
        <v>0</v>
      </c>
      <c r="AB498" t="e">
        <f ca="1">MAX(0,IF(COUNTIF(IF(AND(配装计算器!$K$30&lt;&gt;"∞",0),INDEX(AU498:CB498,1,$AT$1),INDEX(AU498:CB498,1,$AT$1)),"*叠1*")=1,4*25-加速!$L$11,AB497-A498+A497)-IF(OR(COUNTIF(OFFSET(AT498,0,$AT$1,1,1),"*听雷*")&gt;0,AND(碧归&gt;0,COUNTIF(OFFSET(AT498,0,$AT$1,1,1),"*风来*")&gt;0)),0,1)*1.5)</f>
        <v>#VALUE!</v>
      </c>
      <c r="AC498">
        <f ca="1" t="shared" si="131"/>
        <v>0</v>
      </c>
      <c r="AD498">
        <f ca="1">IF(COUNTIF(IF(AND(配装计算器!$K$30&lt;&gt;"∞",0),INDEX(AU498:CB498,1,$AT$1),INDEX(AU499:CB499,1,$AT$1)),"*叠1*")=1,AB498*0+AE497,0)</f>
        <v>0</v>
      </c>
      <c r="AE498" t="e">
        <f ca="1">IF($AN$11&gt;0,IF(COUNTIF(B499,"*叠1*")&gt;0,50-加速!$L$11,MAX(0,AE497-(A499-A498))),0)</f>
        <v>#VALUE!</v>
      </c>
      <c r="AG498">
        <f ca="1" t="shared" si="132"/>
        <v>14</v>
      </c>
      <c r="AU498" t="s">
        <v>2768</v>
      </c>
      <c r="AV498">
        <v>2</v>
      </c>
      <c r="AW498" s="176" t="s">
        <v>2776</v>
      </c>
      <c r="AX498">
        <v>2</v>
      </c>
      <c r="AY498" t="s">
        <v>2768</v>
      </c>
      <c r="AZ498">
        <v>2</v>
      </c>
      <c r="BA498" t="s">
        <v>2768</v>
      </c>
      <c r="BB498">
        <v>0</v>
      </c>
      <c r="BC498" t="s">
        <v>3013</v>
      </c>
      <c r="BD498">
        <v>2</v>
      </c>
      <c r="BE498" t="s">
        <v>2768</v>
      </c>
      <c r="BF498">
        <v>1</v>
      </c>
      <c r="BG498" t="s">
        <v>2768</v>
      </c>
      <c r="BH498">
        <v>0</v>
      </c>
      <c r="BI498" t="s">
        <v>2768</v>
      </c>
      <c r="BJ498">
        <v>2</v>
      </c>
      <c r="BK498" s="176" t="s">
        <v>2768</v>
      </c>
      <c r="BL498">
        <v>2</v>
      </c>
      <c r="BM498" t="s">
        <v>2768</v>
      </c>
      <c r="BN498">
        <v>2</v>
      </c>
      <c r="BO498" s="176" t="s">
        <v>2776</v>
      </c>
      <c r="BP498">
        <v>2</v>
      </c>
      <c r="BQ498" t="s">
        <v>2768</v>
      </c>
      <c r="BR498">
        <v>2</v>
      </c>
      <c r="BS498" t="s">
        <v>2768</v>
      </c>
      <c r="BT498">
        <v>2</v>
      </c>
      <c r="BU498" t="s">
        <v>2776</v>
      </c>
      <c r="BV498">
        <v>2</v>
      </c>
      <c r="BW498" s="179" t="s">
        <v>2768</v>
      </c>
      <c r="BX498" s="179">
        <v>1</v>
      </c>
      <c r="BY498" t="s">
        <v>2718</v>
      </c>
      <c r="BZ498">
        <v>0</v>
      </c>
      <c r="CA498" t="s">
        <v>2718</v>
      </c>
      <c r="CB498">
        <v>0</v>
      </c>
    </row>
    <row r="499" spans="1:80">
      <c r="A499" s="178" t="str">
        <f ca="1">IFERROR(IF(AG498&lt;5+金蛇*2,IF(COUNTIF(B498,"*轻*")&gt;0,A498+加速!$L$9,A498+加速!$L$11)+V498,""),"")</f>
        <v/>
      </c>
      <c r="B499" s="167" t="str">
        <f ca="1" t="shared" si="127"/>
        <v/>
      </c>
      <c r="C499" t="str">
        <f ca="1" t="shared" si="136"/>
        <v/>
      </c>
      <c r="D499" t="str">
        <f ca="1">IF(B499&lt;&gt;"",IF(C498&lt;=加速!$L$11*(1-E499),0,1),"")</f>
        <v/>
      </c>
      <c r="E499">
        <f ca="1" t="shared" si="133"/>
        <v>1</v>
      </c>
      <c r="G499" t="str">
        <f ca="1" t="shared" si="134"/>
        <v/>
      </c>
      <c r="H499" t="str">
        <f ca="1">IF(B499&lt;&gt;"",IF(AND(COUNTIF(B498,"*轻*莺鸣柳*")&gt;0,COUNTIF(B499,"*轻*")&lt;1),MAX(0,15+I498-(A499-A498)+COUNTIF(B498,"*平湖*")*0),IF(AND(E499=0,MAX(0,H498-(A499-A498))&lt;=加速!$H$11),0,MAX(0,H498-(A499-A498)))),"")</f>
        <v/>
      </c>
      <c r="I499" t="str">
        <f ca="1" t="shared" si="140"/>
        <v/>
      </c>
      <c r="J499" t="str">
        <f ca="1" t="shared" si="141"/>
        <v/>
      </c>
      <c r="K499" t="str">
        <f ca="1" t="shared" si="128"/>
        <v/>
      </c>
      <c r="L499">
        <f ca="1">IFERROR(IF(AND(COUNTIF(B499,"*-峰插*"),技能数据库!$M$72&gt;0),0,IF(COUNTIF(B499,"*鹤归*")&gt;0,16-加速!$L$11,MAX(0,L498-(A499-A498)))),0)</f>
        <v>0</v>
      </c>
      <c r="M499">
        <f ca="1" t="shared" si="129"/>
        <v>0</v>
      </c>
      <c r="N499">
        <f ca="1">IFERROR(IF(AND(COUNTIF(B499,"*-峰插*"),技能数据库!$M$72&gt;0),0,IF(COUNTIF(B499,"*云飞*")&gt;0,4-COUNTIF(B499,"*玉山揽云*")*4--COUNTIF(B499,"*烟流暮景*")*4-COUNTIF(B499,"*云景*")*加速!$L$11-IF(J499&gt;0,2,0),MAX(0,N498-(A499-A498)-IF(J499&gt;0,2,0)))),0)</f>
        <v>0</v>
      </c>
      <c r="O499">
        <f ca="1">IF(AND(COUNTIF(IF(AND(配装计算器!$K$30&lt;&gt;"∞",0),INDEX(AU498:CB498,1,$AT$1),INDEX(AU500:CB500,1,$AT$1)),"*云飞*")=1,COUNTIF(IF(AND(配装计算器!$K$30&lt;&gt;"∞",0),INDEX(AU498:CB498,1,$AT$1),INDEX(AU500:CB500,1,$AT$1)),"*玉山*")=0),N499,0)</f>
        <v>0</v>
      </c>
      <c r="P499">
        <f ca="1">IFERROR(IF(COUNTIF(B499,"*云栖松*")&gt;0,50-加速!$L$11,MAX(0,P498-(A499-A498))),0)</f>
        <v>0</v>
      </c>
      <c r="Q499">
        <f ca="1">IF(COUNTIF(IF(AND(配装计算器!$K$30&lt;&gt;"∞",0),INDEX(AU498:CB498,1,$AT$1),INDEX(AU500:CB500,1,$AT$1)),"*云栖松*")=1,P499,0)</f>
        <v>0</v>
      </c>
      <c r="R499">
        <f ca="1">IFERROR(IF(COUNTIF(B499,"*莺鸣柳*")&gt;0,45-加速!$L$9,MAX(0,R498-(A499-A498))),0)</f>
        <v>0</v>
      </c>
      <c r="S499">
        <f ca="1">IF(COUNTIF(IF(AND(配装计算器!$K$30&lt;&gt;"∞",0),INDEX(AU498:CB498,1,$AT$1),INDEX(AU500:CB500,1,$AT$1)),"*莺鸣柳*")=1,R499,0)</f>
        <v>0</v>
      </c>
      <c r="T499">
        <f ca="1" t="shared" si="137"/>
        <v>0</v>
      </c>
      <c r="U499">
        <f ca="1">IF(金蛇,IF(COUNTIF(B499,"*金环戴*")+COUNTIF(B499,"*吹风醒*")&gt;0,IF(A499&lt;=3,7.125-2.625-A499-加速!$L$11,7.125+加速!$K$9-(A499+加速!$L$11-T499)),0),0)+IF(金蛇,IF(COUNTIF(B499,"*千切子裂光*")&gt;0,2+加速!$K$9-(A499+加速!$L$11-T499),0),0)</f>
        <v>0</v>
      </c>
      <c r="V499">
        <f ca="1" t="shared" si="138"/>
        <v>0</v>
      </c>
      <c r="W499">
        <f ca="1" t="shared" si="130"/>
        <v>0</v>
      </c>
      <c r="X499">
        <f ca="1">INDEX(加速!$I$13:$I$21,W499+1)</f>
        <v>0</v>
      </c>
      <c r="Y499">
        <f ca="1" t="shared" si="139"/>
        <v>0.5</v>
      </c>
      <c r="Z499">
        <f ca="1" t="shared" si="135"/>
        <v>0</v>
      </c>
      <c r="AA499">
        <f ca="1">MAX(0,IFERROR(IF(COUNTIF(B499,"*叠*")&gt;0,IF(AC498&lt;3,8-A500+A499,AA498+6.875-A500+A499),AA498-A500+A499),AA498-加速!$L$11))</f>
        <v>0</v>
      </c>
      <c r="AB499" t="e">
        <f ca="1">MAX(0,IF(COUNTIF(IF(AND(配装计算器!$K$30&lt;&gt;"∞",0),INDEX(AU499:CB499,1,$AT$1),INDEX(AU499:CB499,1,$AT$1)),"*叠1*")=1,4*25-加速!$L$11,AB498-A499+A498)-IF(OR(COUNTIF(OFFSET(AT499,0,$AT$1,1,1),"*听雷*")&gt;0,AND(碧归&gt;0,COUNTIF(OFFSET(AT499,0,$AT$1,1,1),"*风来*")&gt;0)),0,1)*1.5)</f>
        <v>#VALUE!</v>
      </c>
      <c r="AC499">
        <f ca="1" t="shared" si="131"/>
        <v>0</v>
      </c>
      <c r="AD499">
        <f ca="1">IF(COUNTIF(IF(AND(配装计算器!$K$30&lt;&gt;"∞",0),INDEX(AU499:CB499,1,$AT$1),INDEX(AU500:CB500,1,$AT$1)),"*叠1*")=1,AB499*0+AE498,0)</f>
        <v>0</v>
      </c>
      <c r="AE499" t="e">
        <f ca="1">IF($AN$11&gt;0,IF(COUNTIF(B500,"*叠1*")&gt;0,50-加速!$L$11,MAX(0,AE498-(A500-A499))),0)</f>
        <v>#VALUE!</v>
      </c>
      <c r="AG499">
        <f ca="1" t="shared" si="132"/>
        <v>14</v>
      </c>
      <c r="AU499" t="s">
        <v>2776</v>
      </c>
      <c r="AV499">
        <v>2</v>
      </c>
      <c r="AW499" s="176" t="s">
        <v>2768</v>
      </c>
      <c r="AX499">
        <v>2</v>
      </c>
      <c r="AY499" t="s">
        <v>2776</v>
      </c>
      <c r="AZ499">
        <v>1</v>
      </c>
      <c r="BA499" t="s">
        <v>2722</v>
      </c>
      <c r="BB499">
        <v>0</v>
      </c>
      <c r="BC499" t="s">
        <v>3018</v>
      </c>
      <c r="BD499">
        <v>2</v>
      </c>
      <c r="BE499" t="s">
        <v>2776</v>
      </c>
      <c r="BF499">
        <v>1</v>
      </c>
      <c r="BG499" t="s">
        <v>2768</v>
      </c>
      <c r="BH499">
        <v>0</v>
      </c>
      <c r="BI499" t="s">
        <v>3018</v>
      </c>
      <c r="BJ499">
        <v>2</v>
      </c>
      <c r="BK499" s="176" t="s">
        <v>3023</v>
      </c>
      <c r="BL499">
        <v>2</v>
      </c>
      <c r="BM499" t="s">
        <v>2768</v>
      </c>
      <c r="BN499">
        <v>2</v>
      </c>
      <c r="BO499" s="176" t="s">
        <v>2768</v>
      </c>
      <c r="BP499">
        <v>2</v>
      </c>
      <c r="BQ499" t="s">
        <v>2776</v>
      </c>
      <c r="BR499">
        <v>1</v>
      </c>
      <c r="BS499" t="s">
        <v>2768</v>
      </c>
      <c r="BT499">
        <v>1</v>
      </c>
      <c r="BU499" t="s">
        <v>2768</v>
      </c>
      <c r="BV499">
        <v>2</v>
      </c>
      <c r="BW499" s="179" t="s">
        <v>2768</v>
      </c>
      <c r="BX499" s="179">
        <v>1</v>
      </c>
      <c r="BY499" s="176" t="s">
        <v>2794</v>
      </c>
      <c r="BZ499">
        <v>0</v>
      </c>
      <c r="CA499" t="s">
        <v>2768</v>
      </c>
      <c r="CB499">
        <v>2</v>
      </c>
    </row>
    <row r="500" spans="1:80">
      <c r="A500" s="178" t="str">
        <f ca="1">IFERROR(IF(AG499&lt;5+金蛇*2,IF(COUNTIF(B499,"*轻*")&gt;0,A499+加速!$L$9,A499+加速!$L$11)+V499,""),"")</f>
        <v/>
      </c>
      <c r="B500" s="167" t="str">
        <f ca="1" t="shared" si="127"/>
        <v/>
      </c>
      <c r="C500" t="str">
        <f ca="1" t="shared" si="136"/>
        <v/>
      </c>
      <c r="D500" t="str">
        <f ca="1">IF(B500&lt;&gt;"",IF(C499&lt;=加速!$L$11*(1-E500),0,1),"")</f>
        <v/>
      </c>
      <c r="E500">
        <f ca="1" t="shared" si="133"/>
        <v>1</v>
      </c>
      <c r="G500" t="str">
        <f ca="1" t="shared" si="134"/>
        <v/>
      </c>
      <c r="H500" t="str">
        <f ca="1">IF(B500&lt;&gt;"",IF(AND(COUNTIF(B499,"*轻*莺鸣柳*")&gt;0,COUNTIF(B500,"*轻*")&lt;1),MAX(0,15+I499-(A500-A499)+COUNTIF(B499,"*平湖*")*0),IF(AND(E500=0,MAX(0,H499-(A500-A499))&lt;=加速!$H$11),0,MAX(0,H499-(A500-A499)))),"")</f>
        <v/>
      </c>
      <c r="I500" t="str">
        <f ca="1" t="shared" si="140"/>
        <v/>
      </c>
      <c r="J500" t="str">
        <f ca="1" t="shared" si="141"/>
        <v/>
      </c>
      <c r="K500" t="str">
        <f ca="1" t="shared" si="128"/>
        <v/>
      </c>
      <c r="L500">
        <f ca="1">IFERROR(IF(AND(COUNTIF(B500,"*-峰插*"),技能数据库!$M$72&gt;0),0,IF(COUNTIF(B500,"*鹤归*")&gt;0,16-加速!$L$11,MAX(0,L499-(A500-A499)))),0)</f>
        <v>0</v>
      </c>
      <c r="M500">
        <f ca="1" t="shared" si="129"/>
        <v>0</v>
      </c>
      <c r="N500">
        <f ca="1">IFERROR(IF(AND(COUNTIF(B500,"*-峰插*"),技能数据库!$M$72&gt;0),0,IF(COUNTIF(B500,"*云飞*")&gt;0,4-COUNTIF(B500,"*玉山揽云*")*4--COUNTIF(B500,"*烟流暮景*")*4-COUNTIF(B500,"*云景*")*加速!$L$11-IF(J500&gt;0,2,0),MAX(0,N499-(A500-A499)-IF(J500&gt;0,2,0)))),0)</f>
        <v>0</v>
      </c>
      <c r="O500">
        <f ca="1">IF(AND(COUNTIF(IF(AND(配装计算器!$K$30&lt;&gt;"∞",0),INDEX(AU499:CB499,1,$AT$1),INDEX(AU501:CB501,1,$AT$1)),"*云飞*")=1,COUNTIF(IF(AND(配装计算器!$K$30&lt;&gt;"∞",0),INDEX(AU499:CB499,1,$AT$1),INDEX(AU501:CB501,1,$AT$1)),"*玉山*")=0),N500,0)</f>
        <v>0</v>
      </c>
      <c r="P500">
        <f ca="1">IFERROR(IF(COUNTIF(B500,"*云栖松*")&gt;0,50-加速!$L$11,MAX(0,P499-(A500-A499))),0)</f>
        <v>0</v>
      </c>
      <c r="Q500">
        <f ca="1">IF(COUNTIF(IF(AND(配装计算器!$K$30&lt;&gt;"∞",0),INDEX(AU499:CB499,1,$AT$1),INDEX(AU501:CB501,1,$AT$1)),"*云栖松*")=1,P500,0)</f>
        <v>0</v>
      </c>
      <c r="R500">
        <f ca="1">IFERROR(IF(COUNTIF(B500,"*莺鸣柳*")&gt;0,45-加速!$L$9,MAX(0,R499-(A500-A499))),0)</f>
        <v>0</v>
      </c>
      <c r="S500">
        <f ca="1">IF(COUNTIF(IF(AND(配装计算器!$K$30&lt;&gt;"∞",0),INDEX(AU499:CB499,1,$AT$1),INDEX(AU501:CB501,1,$AT$1)),"*莺鸣柳*")=1,R500,0)</f>
        <v>0</v>
      </c>
      <c r="T500">
        <f ca="1" t="shared" si="137"/>
        <v>0</v>
      </c>
      <c r="U500">
        <f ca="1">IF(金蛇,IF(COUNTIF(B500,"*金环戴*")+COUNTIF(B500,"*吹风醒*")&gt;0,IF(A500&lt;=3,7.125-2.625-A500-加速!$L$11,7.125+加速!$K$9-(A500+加速!$L$11-T500)),0),0)+IF(金蛇,IF(COUNTIF(B500,"*千切子裂光*")&gt;0,2+加速!$K$9-(A500+加速!$L$11-T500),0),0)</f>
        <v>0</v>
      </c>
      <c r="V500">
        <f ca="1" t="shared" si="138"/>
        <v>0</v>
      </c>
      <c r="W500">
        <f ca="1" t="shared" si="130"/>
        <v>0</v>
      </c>
      <c r="X500">
        <f ca="1">INDEX(加速!$I$13:$I$21,W500+1)</f>
        <v>0</v>
      </c>
      <c r="Y500">
        <f ca="1" t="shared" si="139"/>
        <v>0.5</v>
      </c>
      <c r="Z500">
        <f ca="1" t="shared" si="135"/>
        <v>0</v>
      </c>
      <c r="AA500">
        <f ca="1">MAX(0,IFERROR(IF(COUNTIF(B500,"*叠*")&gt;0,IF(AC499&lt;3,8-A501+A500,AA499+6.875-A501+A500),AA499-A501+A500),AA499-加速!$L$11))</f>
        <v>0</v>
      </c>
      <c r="AB500" t="e">
        <f ca="1">MAX(0,IF(COUNTIF(IF(AND(配装计算器!$K$30&lt;&gt;"∞",0),INDEX(AU500:CB500,1,$AT$1),INDEX(AU500:CB500,1,$AT$1)),"*叠1*")=1,4*25-加速!$L$11,AB499-A500+A499)-IF(OR(COUNTIF(OFFSET(AT500,0,$AT$1,1,1),"*听雷*")&gt;0,AND(碧归&gt;0,COUNTIF(OFFSET(AT500,0,$AT$1,1,1),"*风来*")&gt;0)),0,1)*1.5)</f>
        <v>#VALUE!</v>
      </c>
      <c r="AC500">
        <f ca="1" t="shared" si="131"/>
        <v>0</v>
      </c>
      <c r="AD500">
        <f ca="1">IF(COUNTIF(IF(AND(配装计算器!$K$30&lt;&gt;"∞",0),INDEX(AU500:CB500,1,$AT$1),INDEX(AU501:CB501,1,$AT$1)),"*叠1*")=1,AB500*0+AE499,0)</f>
        <v>0</v>
      </c>
      <c r="AE500" t="e">
        <f ca="1">IF($AN$11&gt;0,IF(COUNTIF(B501,"*叠1*")&gt;0,50-加速!$L$11,MAX(0,AE499-(A501-A500))),0)</f>
        <v>#VALUE!</v>
      </c>
      <c r="AG500">
        <f ca="1" t="shared" si="132"/>
        <v>14</v>
      </c>
      <c r="AU500" t="s">
        <v>2768</v>
      </c>
      <c r="AV500">
        <v>2</v>
      </c>
      <c r="AW500" s="176" t="s">
        <v>2776</v>
      </c>
      <c r="AX500">
        <v>2</v>
      </c>
      <c r="AY500" t="s">
        <v>2768</v>
      </c>
      <c r="AZ500">
        <v>1</v>
      </c>
      <c r="BA500" t="s">
        <v>2776</v>
      </c>
      <c r="BB500">
        <v>2</v>
      </c>
      <c r="BC500" t="s">
        <v>2768</v>
      </c>
      <c r="BD500">
        <v>2</v>
      </c>
      <c r="BE500" t="s">
        <v>2768</v>
      </c>
      <c r="BF500">
        <v>0</v>
      </c>
      <c r="BG500" t="s">
        <v>2776</v>
      </c>
      <c r="BH500">
        <v>0</v>
      </c>
      <c r="BI500" t="s">
        <v>2768</v>
      </c>
      <c r="BJ500">
        <v>2</v>
      </c>
      <c r="BK500" s="176" t="s">
        <v>2768</v>
      </c>
      <c r="BL500">
        <v>2</v>
      </c>
      <c r="BM500" t="s">
        <v>2768</v>
      </c>
      <c r="BN500">
        <v>2</v>
      </c>
      <c r="BO500" s="176" t="s">
        <v>2776</v>
      </c>
      <c r="BP500">
        <v>2</v>
      </c>
      <c r="BQ500" t="s">
        <v>3055</v>
      </c>
      <c r="BR500">
        <v>2</v>
      </c>
      <c r="BS500" t="s">
        <v>2776</v>
      </c>
      <c r="BT500">
        <v>1</v>
      </c>
      <c r="BU500" t="s">
        <v>2776</v>
      </c>
      <c r="BV500">
        <v>2</v>
      </c>
      <c r="BW500" s="179" t="s">
        <v>2776</v>
      </c>
      <c r="BX500" s="179">
        <v>1</v>
      </c>
      <c r="BY500" s="176" t="s">
        <v>2768</v>
      </c>
      <c r="BZ500">
        <v>2</v>
      </c>
      <c r="CA500" t="s">
        <v>2768</v>
      </c>
      <c r="CB500">
        <v>2</v>
      </c>
    </row>
    <row r="501" spans="1:80">
      <c r="A501" s="178" t="str">
        <f ca="1">IFERROR(IF(AG500&lt;5+金蛇*2,IF(COUNTIF(B500,"*轻*")&gt;0,A500+加速!$L$9,A500+加速!$L$11)+V500,""),"")</f>
        <v/>
      </c>
      <c r="B501" s="167" t="str">
        <f ca="1" t="shared" si="127"/>
        <v/>
      </c>
      <c r="C501" t="str">
        <f ca="1" t="shared" si="136"/>
        <v/>
      </c>
      <c r="D501" t="str">
        <f ca="1">IF(B501&lt;&gt;"",IF(C500&lt;=加速!$L$11*(1-E501),0,1),"")</f>
        <v/>
      </c>
      <c r="E501">
        <f ca="1" t="shared" si="133"/>
        <v>1</v>
      </c>
      <c r="G501" t="str">
        <f ca="1" t="shared" si="134"/>
        <v/>
      </c>
      <c r="H501" t="str">
        <f ca="1">IF(B501&lt;&gt;"",IF(AND(COUNTIF(B500,"*轻*莺鸣柳*")&gt;0,COUNTIF(B501,"*轻*")&lt;1),MAX(0,15+I500-(A501-A500)+COUNTIF(B500,"*平湖*")*0),IF(AND(E501=0,MAX(0,H500-(A501-A500))&lt;=加速!$H$11),0,MAX(0,H500-(A501-A500)))),"")</f>
        <v/>
      </c>
      <c r="I501" t="str">
        <f ca="1" t="shared" si="140"/>
        <v/>
      </c>
      <c r="J501" t="str">
        <f ca="1" t="shared" si="141"/>
        <v/>
      </c>
      <c r="K501" t="str">
        <f ca="1" t="shared" si="128"/>
        <v/>
      </c>
      <c r="L501">
        <f ca="1">IFERROR(IF(AND(COUNTIF(B501,"*-峰插*"),技能数据库!$M$72&gt;0),0,IF(COUNTIF(B501,"*鹤归*")&gt;0,16-加速!$L$11,MAX(0,L500-(A501-A500)))),0)</f>
        <v>0</v>
      </c>
      <c r="M501">
        <f ca="1" t="shared" si="129"/>
        <v>0</v>
      </c>
      <c r="N501">
        <f ca="1">IFERROR(IF(AND(COUNTIF(B501,"*-峰插*"),技能数据库!$M$72&gt;0),0,IF(COUNTIF(B501,"*云飞*")&gt;0,4-COUNTIF(B501,"*玉山揽云*")*4--COUNTIF(B501,"*烟流暮景*")*4-COUNTIF(B501,"*云景*")*加速!$L$11-IF(J501&gt;0,2,0),MAX(0,N500-(A501-A500)-IF(J501&gt;0,2,0)))),0)</f>
        <v>0</v>
      </c>
      <c r="O501">
        <f ca="1">IF(AND(COUNTIF(IF(AND(配装计算器!$K$30&lt;&gt;"∞",0),INDEX(AU500:CB500,1,$AT$1),INDEX(AU502:CB502,1,$AT$1)),"*云飞*")=1,COUNTIF(IF(AND(配装计算器!$K$30&lt;&gt;"∞",0),INDEX(AU500:CB500,1,$AT$1),INDEX(AU502:CB502,1,$AT$1)),"*玉山*")=0),N501,0)</f>
        <v>0</v>
      </c>
      <c r="P501">
        <f ca="1">IFERROR(IF(COUNTIF(B501,"*云栖松*")&gt;0,50-加速!$L$11,MAX(0,P500-(A501-A500))),0)</f>
        <v>0</v>
      </c>
      <c r="Q501">
        <f ca="1">IF(COUNTIF(IF(AND(配装计算器!$K$30&lt;&gt;"∞",0),INDEX(AU500:CB500,1,$AT$1),INDEX(AU502:CB502,1,$AT$1)),"*云栖松*")=1,P501,0)</f>
        <v>0</v>
      </c>
      <c r="R501">
        <f ca="1">IFERROR(IF(COUNTIF(B501,"*莺鸣柳*")&gt;0,45-加速!$L$9,MAX(0,R500-(A501-A500))),0)</f>
        <v>0</v>
      </c>
      <c r="S501">
        <f ca="1">IF(COUNTIF(IF(AND(配装计算器!$K$30&lt;&gt;"∞",0),INDEX(AU500:CB500,1,$AT$1),INDEX(AU502:CB502,1,$AT$1)),"*莺鸣柳*")=1,R501,0)</f>
        <v>0</v>
      </c>
      <c r="T501">
        <f ca="1" t="shared" si="137"/>
        <v>0</v>
      </c>
      <c r="U501">
        <f ca="1">IF(金蛇,IF(COUNTIF(B501,"*金环戴*")+COUNTIF(B501,"*吹风醒*")&gt;0,IF(A501&lt;=3,7.125-2.625-A501-加速!$L$11,7.125+加速!$K$9-(A501+加速!$L$11-T501)),0),0)+IF(金蛇,IF(COUNTIF(B501,"*千切子裂光*")&gt;0,2+加速!$K$9-(A501+加速!$L$11-T501),0),0)</f>
        <v>0</v>
      </c>
      <c r="V501">
        <f ca="1" t="shared" si="138"/>
        <v>0</v>
      </c>
      <c r="W501">
        <f ca="1" t="shared" si="130"/>
        <v>0</v>
      </c>
      <c r="X501">
        <f ca="1">INDEX(加速!$I$13:$I$21,W501+1)</f>
        <v>0</v>
      </c>
      <c r="Y501">
        <f ca="1" t="shared" si="139"/>
        <v>0.5</v>
      </c>
      <c r="Z501">
        <f ca="1" t="shared" si="135"/>
        <v>0</v>
      </c>
      <c r="AA501">
        <f ca="1">MAX(0,IFERROR(IF(COUNTIF(B501,"*叠*")&gt;0,IF(AC500&lt;3,8-A502+A501,AA500+6.875-A502+A501),AA500-A502+A501),AA500-加速!$L$11))</f>
        <v>0</v>
      </c>
      <c r="AB501" t="e">
        <f ca="1">MAX(0,IF(COUNTIF(IF(AND(配装计算器!$K$30&lt;&gt;"∞",0),INDEX(AU501:CB501,1,$AT$1),INDEX(AU501:CB501,1,$AT$1)),"*叠1*")=1,4*25-加速!$L$11,AB500-A501+A500)-IF(OR(COUNTIF(OFFSET(AT501,0,$AT$1,1,1),"*听雷*")&gt;0,AND(碧归&gt;0,COUNTIF(OFFSET(AT501,0,$AT$1,1,1),"*风来*")&gt;0)),0,1)*1.5)</f>
        <v>#VALUE!</v>
      </c>
      <c r="AC501">
        <f ca="1" t="shared" si="131"/>
        <v>0</v>
      </c>
      <c r="AD501">
        <f ca="1">IF(COUNTIF(IF(AND(配装计算器!$K$30&lt;&gt;"∞",0),INDEX(AU501:CB501,1,$AT$1),INDEX(AU502:CB502,1,$AT$1)),"*叠1*")=1,AB501*0+AE500,0)</f>
        <v>0</v>
      </c>
      <c r="AE501" t="e">
        <f ca="1">IF($AN$11&gt;0,IF(COUNTIF(B502,"*叠1*")&gt;0,50-加速!$L$11,MAX(0,AE500-(A502-A501))),0)</f>
        <v>#VALUE!</v>
      </c>
      <c r="AG501">
        <f ca="1" t="shared" si="132"/>
        <v>14</v>
      </c>
      <c r="AU501" t="s">
        <v>2768</v>
      </c>
      <c r="AV501">
        <v>2</v>
      </c>
      <c r="AW501" s="176" t="str">
        <f t="shared" ref="AW501:AW505" si="143">IF($AR$11=1,"云飞玉皇-玉山揽云","夕照雷峰")</f>
        <v>夕照雷峰</v>
      </c>
      <c r="AX501">
        <v>2</v>
      </c>
      <c r="AY501" t="s">
        <v>2768</v>
      </c>
      <c r="AZ501">
        <v>0</v>
      </c>
      <c r="BA501" t="s">
        <v>2768</v>
      </c>
      <c r="BB501">
        <v>2</v>
      </c>
      <c r="BC501" t="s">
        <v>3023</v>
      </c>
      <c r="BD501">
        <v>2</v>
      </c>
      <c r="BE501" t="s">
        <v>3011</v>
      </c>
      <c r="BF501">
        <v>2</v>
      </c>
      <c r="BG501" t="s">
        <v>3067</v>
      </c>
      <c r="BH501">
        <v>0</v>
      </c>
      <c r="BI501" s="182" t="s">
        <v>3023</v>
      </c>
      <c r="BJ501">
        <v>2</v>
      </c>
      <c r="BK501" s="176" t="s">
        <v>2808</v>
      </c>
      <c r="BL501">
        <v>2</v>
      </c>
      <c r="BM501" t="s">
        <v>2776</v>
      </c>
      <c r="BN501">
        <v>2</v>
      </c>
      <c r="BO501" s="176" t="s">
        <v>2768</v>
      </c>
      <c r="BP501">
        <v>2</v>
      </c>
      <c r="BQ501" t="s">
        <v>2768</v>
      </c>
      <c r="BR501">
        <v>2</v>
      </c>
      <c r="BS501" t="s">
        <v>2768</v>
      </c>
      <c r="BT501">
        <v>0</v>
      </c>
      <c r="BU501" t="s">
        <v>2768</v>
      </c>
      <c r="BV501">
        <v>1</v>
      </c>
      <c r="BW501" s="179" t="s">
        <v>2768</v>
      </c>
      <c r="BX501" s="179">
        <v>1</v>
      </c>
      <c r="BY501" s="176" t="s">
        <v>2776</v>
      </c>
      <c r="BZ501">
        <v>2</v>
      </c>
      <c r="CA501" t="s">
        <v>2776</v>
      </c>
      <c r="CB501">
        <v>2</v>
      </c>
    </row>
    <row r="502" spans="1:80">
      <c r="A502" s="178" t="str">
        <f ca="1">IFERROR(IF(AG501&lt;5+金蛇*2,IF(COUNTIF(B501,"*轻*")&gt;0,A501+加速!$L$9,A501+加速!$L$11)+V501,""),"")</f>
        <v/>
      </c>
      <c r="B502" s="167" t="str">
        <f ca="1" t="shared" si="127"/>
        <v/>
      </c>
      <c r="C502" t="str">
        <f ca="1" t="shared" si="136"/>
        <v/>
      </c>
      <c r="D502" t="str">
        <f ca="1">IF(B502&lt;&gt;"",IF(C501&lt;=加速!$L$11*(1-E502),0,1),"")</f>
        <v/>
      </c>
      <c r="E502">
        <f ca="1" t="shared" si="133"/>
        <v>1</v>
      </c>
      <c r="G502" t="str">
        <f ca="1" t="shared" si="134"/>
        <v/>
      </c>
      <c r="H502" t="str">
        <f ca="1">IF(B502&lt;&gt;"",IF(AND(COUNTIF(B501,"*轻*莺鸣柳*")&gt;0,COUNTIF(B502,"*轻*")&lt;1),MAX(0,15+I501-(A502-A501)+COUNTIF(B501,"*平湖*")*0),IF(AND(E502=0,MAX(0,H501-(A502-A501))&lt;=加速!$H$11),0,MAX(0,H501-(A502-A501)))),"")</f>
        <v/>
      </c>
      <c r="I502" t="str">
        <f ca="1" t="shared" si="140"/>
        <v/>
      </c>
      <c r="J502" t="str">
        <f ca="1" t="shared" si="141"/>
        <v/>
      </c>
      <c r="K502" t="str">
        <f ca="1" t="shared" si="128"/>
        <v/>
      </c>
      <c r="L502">
        <f ca="1">IFERROR(IF(AND(COUNTIF(B502,"*-峰插*"),技能数据库!$M$72&gt;0),0,IF(COUNTIF(B502,"*鹤归*")&gt;0,16-加速!$L$11,MAX(0,L501-(A502-A501)))),0)</f>
        <v>0</v>
      </c>
      <c r="M502">
        <f ca="1" t="shared" si="129"/>
        <v>0</v>
      </c>
      <c r="N502">
        <f ca="1">IFERROR(IF(AND(COUNTIF(B502,"*-峰插*"),技能数据库!$M$72&gt;0),0,IF(COUNTIF(B502,"*云飞*")&gt;0,4-COUNTIF(B502,"*玉山揽云*")*4--COUNTIF(B502,"*烟流暮景*")*4-COUNTIF(B502,"*云景*")*加速!$L$11-IF(J502&gt;0,2,0),MAX(0,N501-(A502-A501)-IF(J502&gt;0,2,0)))),0)</f>
        <v>0</v>
      </c>
      <c r="O502">
        <f ca="1">IF(AND(COUNTIF(IF(AND(配装计算器!$K$30&lt;&gt;"∞",0),INDEX(AU501:CB501,1,$AT$1),INDEX(AU503:CB503,1,$AT$1)),"*云飞*")=1,COUNTIF(IF(AND(配装计算器!$K$30&lt;&gt;"∞",0),INDEX(AU501:CB501,1,$AT$1),INDEX(AU503:CB503,1,$AT$1)),"*玉山*")=0),N502,0)</f>
        <v>0</v>
      </c>
      <c r="P502">
        <f ca="1">IFERROR(IF(COUNTIF(B502,"*云栖松*")&gt;0,50-加速!$L$11,MAX(0,P501-(A502-A501))),0)</f>
        <v>0</v>
      </c>
      <c r="Q502">
        <f ca="1">IF(COUNTIF(IF(AND(配装计算器!$K$30&lt;&gt;"∞",0),INDEX(AU501:CB501,1,$AT$1),INDEX(AU503:CB503,1,$AT$1)),"*云栖松*")=1,P502,0)</f>
        <v>0</v>
      </c>
      <c r="R502">
        <f ca="1">IFERROR(IF(COUNTIF(B502,"*莺鸣柳*")&gt;0,45-加速!$L$9,MAX(0,R501-(A502-A501))),0)</f>
        <v>0</v>
      </c>
      <c r="S502">
        <f ca="1">IF(COUNTIF(IF(AND(配装计算器!$K$30&lt;&gt;"∞",0),INDEX(AU501:CB501,1,$AT$1),INDEX(AU503:CB503,1,$AT$1)),"*莺鸣柳*")=1,R502,0)</f>
        <v>0</v>
      </c>
      <c r="T502">
        <f ca="1" t="shared" si="137"/>
        <v>0</v>
      </c>
      <c r="U502">
        <f ca="1">IF(金蛇,IF(COUNTIF(B502,"*金环戴*")+COUNTIF(B502,"*吹风醒*")&gt;0,IF(A502&lt;=3,7.125-2.625-A502-加速!$L$11,7.125+加速!$K$9-(A502+加速!$L$11-T502)),0),0)+IF(金蛇,IF(COUNTIF(B502,"*千切子裂光*")&gt;0,2+加速!$K$9-(A502+加速!$L$11-T502),0),0)</f>
        <v>0</v>
      </c>
      <c r="V502">
        <f ca="1" t="shared" si="138"/>
        <v>0</v>
      </c>
      <c r="W502">
        <f ca="1" t="shared" si="130"/>
        <v>0</v>
      </c>
      <c r="X502">
        <f ca="1">INDEX(加速!$I$13:$I$21,W502+1)</f>
        <v>0</v>
      </c>
      <c r="Y502">
        <f ca="1" t="shared" si="139"/>
        <v>0.5</v>
      </c>
      <c r="Z502">
        <f ca="1" t="shared" si="135"/>
        <v>0</v>
      </c>
      <c r="AA502">
        <f ca="1">MAX(0,IFERROR(IF(COUNTIF(B502,"*叠*")&gt;0,IF(AC501&lt;3,8-A503+A502,AA501+6.875-A503+A502),AA501-A503+A502),AA501-加速!$L$11))</f>
        <v>0</v>
      </c>
      <c r="AB502" t="e">
        <f ca="1">MAX(0,IF(COUNTIF(IF(AND(配装计算器!$K$30&lt;&gt;"∞",0),INDEX(AU502:CB502,1,$AT$1),INDEX(AU502:CB502,1,$AT$1)),"*叠1*")=1,4*25-加速!$L$11,AB501-A502+A501)-IF(OR(COUNTIF(OFFSET(AT502,0,$AT$1,1,1),"*听雷*")&gt;0,AND(碧归&gt;0,COUNTIF(OFFSET(AT502,0,$AT$1,1,1),"*风来*")&gt;0)),0,1)*1.5)</f>
        <v>#VALUE!</v>
      </c>
      <c r="AC502">
        <f ca="1" t="shared" si="131"/>
        <v>0</v>
      </c>
      <c r="AD502">
        <f ca="1">IF(COUNTIF(IF(AND(配装计算器!$K$30&lt;&gt;"∞",0),INDEX(AU502:CB502,1,$AT$1),INDEX(AU503:CB503,1,$AT$1)),"*叠1*")=1,AB502*0+AE501,0)</f>
        <v>0</v>
      </c>
      <c r="AE502" t="e">
        <f ca="1">IF($AN$11&gt;0,IF(COUNTIF(B503,"*叠1*")&gt;0,50-加速!$L$11,MAX(0,AE501-(A503-A502))),0)</f>
        <v>#VALUE!</v>
      </c>
      <c r="AG502">
        <f ca="1" t="shared" si="132"/>
        <v>14</v>
      </c>
      <c r="AU502" s="176" t="s">
        <v>2794</v>
      </c>
      <c r="AV502">
        <v>2</v>
      </c>
      <c r="AW502" t="str">
        <f>IF($AR$11=1,"云飞玉皇-玉山揽云","云景·云飞玉皇-黄龙吐翠")</f>
        <v>云景·云飞玉皇-黄龙吐翠</v>
      </c>
      <c r="AX502">
        <f>IF($AR$11=1,2,1)</f>
        <v>1</v>
      </c>
      <c r="AY502" t="s">
        <v>2722</v>
      </c>
      <c r="AZ502">
        <v>0</v>
      </c>
      <c r="BA502" t="s">
        <v>2768</v>
      </c>
      <c r="BB502">
        <v>2</v>
      </c>
      <c r="BC502" t="s">
        <v>2768</v>
      </c>
      <c r="BD502">
        <v>2</v>
      </c>
      <c r="BE502" t="s">
        <v>2768</v>
      </c>
      <c r="BF502">
        <v>2</v>
      </c>
      <c r="BG502" t="s">
        <v>2768</v>
      </c>
      <c r="BH502">
        <v>2</v>
      </c>
      <c r="BI502" s="176" t="s">
        <v>3026</v>
      </c>
      <c r="BJ502">
        <v>2</v>
      </c>
      <c r="BK502" t="s">
        <v>2789</v>
      </c>
      <c r="BL502">
        <v>2</v>
      </c>
      <c r="BM502" t="s">
        <v>2768</v>
      </c>
      <c r="BN502">
        <v>2</v>
      </c>
      <c r="BO502" s="176" t="s">
        <v>2808</v>
      </c>
      <c r="BP502">
        <v>2</v>
      </c>
      <c r="BQ502" t="s">
        <v>2776</v>
      </c>
      <c r="BR502">
        <v>2</v>
      </c>
      <c r="BS502" t="s">
        <v>3012</v>
      </c>
      <c r="BT502">
        <v>2</v>
      </c>
      <c r="BU502" t="s">
        <v>2776</v>
      </c>
      <c r="BV502">
        <v>1</v>
      </c>
      <c r="BW502" s="182" t="s">
        <v>2722</v>
      </c>
      <c r="BX502" s="179">
        <v>0</v>
      </c>
      <c r="BY502" s="176" t="s">
        <v>2768</v>
      </c>
      <c r="BZ502">
        <v>1</v>
      </c>
      <c r="CA502" t="s">
        <v>2718</v>
      </c>
      <c r="CB502">
        <v>0</v>
      </c>
    </row>
    <row r="503" spans="1:80">
      <c r="A503" s="178" t="str">
        <f ca="1">IFERROR(IF(AG502&lt;5+金蛇*2,IF(COUNTIF(B502,"*轻*")&gt;0,A502+加速!$L$9,A502+加速!$L$11)+V502,""),"")</f>
        <v/>
      </c>
      <c r="B503" s="167" t="str">
        <f ca="1" t="shared" si="127"/>
        <v/>
      </c>
      <c r="C503" t="str">
        <f ca="1" t="shared" si="136"/>
        <v/>
      </c>
      <c r="D503" t="str">
        <f ca="1">IF(B503&lt;&gt;"",IF(C502&lt;=加速!$L$11*(1-E503),0,1),"")</f>
        <v/>
      </c>
      <c r="E503">
        <f ca="1" t="shared" si="133"/>
        <v>1</v>
      </c>
      <c r="G503" t="str">
        <f ca="1" t="shared" si="134"/>
        <v/>
      </c>
      <c r="H503" t="str">
        <f ca="1">IF(B503&lt;&gt;"",IF(AND(COUNTIF(B502,"*轻*莺鸣柳*")&gt;0,COUNTIF(B503,"*轻*")&lt;1),MAX(0,15+I502-(A503-A502)+COUNTIF(B502,"*平湖*")*0),IF(AND(E503=0,MAX(0,H502-(A503-A502))&lt;=加速!$H$11),0,MAX(0,H502-(A503-A502)))),"")</f>
        <v/>
      </c>
      <c r="I503" t="str">
        <f ca="1" t="shared" si="140"/>
        <v/>
      </c>
      <c r="J503" t="str">
        <f ca="1" t="shared" si="141"/>
        <v/>
      </c>
      <c r="K503" t="str">
        <f ca="1" t="shared" si="128"/>
        <v/>
      </c>
      <c r="L503">
        <f ca="1">IFERROR(IF(AND(COUNTIF(B503,"*-峰插*"),技能数据库!$M$72&gt;0),0,IF(COUNTIF(B503,"*鹤归*")&gt;0,16-加速!$L$11,MAX(0,L502-(A503-A502)))),0)</f>
        <v>0</v>
      </c>
      <c r="M503">
        <f ca="1" t="shared" si="129"/>
        <v>0</v>
      </c>
      <c r="N503">
        <f ca="1">IFERROR(IF(AND(COUNTIF(B503,"*-峰插*"),技能数据库!$M$72&gt;0),0,IF(COUNTIF(B503,"*云飞*")&gt;0,4-COUNTIF(B503,"*玉山揽云*")*4--COUNTIF(B503,"*烟流暮景*")*4-COUNTIF(B503,"*云景*")*加速!$L$11-IF(J503&gt;0,2,0),MAX(0,N502-(A503-A502)-IF(J503&gt;0,2,0)))),0)</f>
        <v>0</v>
      </c>
      <c r="O503">
        <f ca="1">IF(AND(COUNTIF(IF(AND(配装计算器!$K$30&lt;&gt;"∞",0),INDEX(AU502:CB502,1,$AT$1),INDEX(AU504:CB504,1,$AT$1)),"*云飞*")=1,COUNTIF(IF(AND(配装计算器!$K$30&lt;&gt;"∞",0),INDEX(AU502:CB502,1,$AT$1),INDEX(AU504:CB504,1,$AT$1)),"*玉山*")=0),N503,0)</f>
        <v>0</v>
      </c>
      <c r="P503">
        <f ca="1">IFERROR(IF(COUNTIF(B503,"*云栖松*")&gt;0,50-加速!$L$11,MAX(0,P502-(A503-A502))),0)</f>
        <v>0</v>
      </c>
      <c r="Q503">
        <f ca="1">IF(COUNTIF(IF(AND(配装计算器!$K$30&lt;&gt;"∞",0),INDEX(AU502:CB502,1,$AT$1),INDEX(AU504:CB504,1,$AT$1)),"*云栖松*")=1,P503,0)</f>
        <v>0</v>
      </c>
      <c r="R503">
        <f ca="1">IFERROR(IF(COUNTIF(B503,"*莺鸣柳*")&gt;0,45-加速!$L$9,MAX(0,R502-(A503-A502))),0)</f>
        <v>0</v>
      </c>
      <c r="S503">
        <f ca="1">IF(COUNTIF(IF(AND(配装计算器!$K$30&lt;&gt;"∞",0),INDEX(AU502:CB502,1,$AT$1),INDEX(AU504:CB504,1,$AT$1)),"*莺鸣柳*")=1,R503,0)</f>
        <v>0</v>
      </c>
      <c r="T503">
        <f ca="1" t="shared" si="137"/>
        <v>0</v>
      </c>
      <c r="U503">
        <f ca="1">IF(金蛇,IF(COUNTIF(B503,"*金环戴*")+COUNTIF(B503,"*吹风醒*")&gt;0,IF(A503&lt;=3,7.125-2.625-A503-加速!$L$11,7.125+加速!$K$9-(A503+加速!$L$11-T503)),0),0)+IF(金蛇,IF(COUNTIF(B503,"*千切子裂光*")&gt;0,2+加速!$K$9-(A503+加速!$L$11-T503),0),0)</f>
        <v>0</v>
      </c>
      <c r="V503">
        <f ca="1" t="shared" si="138"/>
        <v>0</v>
      </c>
      <c r="W503">
        <f ca="1" t="shared" si="130"/>
        <v>0</v>
      </c>
      <c r="X503">
        <f ca="1">INDEX(加速!$I$13:$I$21,W503+1)</f>
        <v>0</v>
      </c>
      <c r="Y503">
        <f ca="1" t="shared" si="139"/>
        <v>0.5</v>
      </c>
      <c r="Z503">
        <f ca="1" t="shared" si="135"/>
        <v>0</v>
      </c>
      <c r="AA503">
        <f ca="1">MAX(0,IFERROR(IF(COUNTIF(B503,"*叠*")&gt;0,IF(AC502&lt;3,8-A504+A503,AA502+6.875-A504+A503),AA502-A504+A503),AA502-加速!$L$11))</f>
        <v>0</v>
      </c>
      <c r="AB503" t="e">
        <f ca="1">MAX(0,IF(COUNTIF(IF(AND(配装计算器!$K$30&lt;&gt;"∞",0),INDEX(AU503:CB503,1,$AT$1),INDEX(AU503:CB503,1,$AT$1)),"*叠1*")=1,4*25-加速!$L$11,AB502-A503+A502)-IF(OR(COUNTIF(OFFSET(AT503,0,$AT$1,1,1),"*听雷*")&gt;0,AND(碧归&gt;0,COUNTIF(OFFSET(AT503,0,$AT$1,1,1),"*风来*")&gt;0)),0,1)*1.5)</f>
        <v>#VALUE!</v>
      </c>
      <c r="AC503">
        <f ca="1" t="shared" si="131"/>
        <v>0</v>
      </c>
      <c r="AD503">
        <f ca="1">IF(COUNTIF(IF(AND(配装计算器!$K$30&lt;&gt;"∞",0),INDEX(AU503:CB503,1,$AT$1),INDEX(AU504:CB504,1,$AT$1)),"*叠1*")=1,AB503*0+AE502,0)</f>
        <v>0</v>
      </c>
      <c r="AE503" t="e">
        <f ca="1">IF($AN$11&gt;0,IF(COUNTIF(B504,"*叠1*")&gt;0,50-加速!$L$11,MAX(0,AE502-(A504-A503))),0)</f>
        <v>#VALUE!</v>
      </c>
      <c r="AG503">
        <f ca="1" t="shared" si="132"/>
        <v>14</v>
      </c>
      <c r="AU503" s="176" t="s">
        <v>2776</v>
      </c>
      <c r="AV503">
        <v>2</v>
      </c>
      <c r="AW503" t="str">
        <f>IF($AR$11=1,橙武补雾锁,"夕照雷峰")</f>
        <v>夕照雷峰</v>
      </c>
      <c r="AX503">
        <v>2</v>
      </c>
      <c r="AY503" t="s">
        <v>2776</v>
      </c>
      <c r="AZ503">
        <v>2</v>
      </c>
      <c r="BA503" t="s">
        <v>2768</v>
      </c>
      <c r="BB503">
        <v>1</v>
      </c>
      <c r="BC503" t="s">
        <v>2776</v>
      </c>
      <c r="BD503">
        <v>2</v>
      </c>
      <c r="BE503" t="s">
        <v>3019</v>
      </c>
      <c r="BF503">
        <v>2</v>
      </c>
      <c r="BG503" t="s">
        <v>2768</v>
      </c>
      <c r="BH503">
        <v>2</v>
      </c>
      <c r="BI503" s="176" t="s">
        <v>3026</v>
      </c>
      <c r="BJ503">
        <v>2</v>
      </c>
      <c r="BK503" t="s">
        <v>2776</v>
      </c>
      <c r="BL503">
        <v>2</v>
      </c>
      <c r="BM503" t="s">
        <v>2768</v>
      </c>
      <c r="BN503">
        <v>2</v>
      </c>
      <c r="BO503" t="s">
        <v>2768</v>
      </c>
      <c r="BP503">
        <v>2</v>
      </c>
      <c r="BQ503" t="s">
        <v>2768</v>
      </c>
      <c r="BR503">
        <v>2</v>
      </c>
      <c r="BS503" s="179" t="s">
        <v>2794</v>
      </c>
      <c r="BT503">
        <v>2</v>
      </c>
      <c r="BU503" t="s">
        <v>2768</v>
      </c>
      <c r="BV503">
        <v>0</v>
      </c>
      <c r="BW503" s="179" t="s">
        <v>3009</v>
      </c>
      <c r="BX503" s="179">
        <v>2</v>
      </c>
      <c r="BY503" s="176" t="s">
        <v>2776</v>
      </c>
      <c r="BZ503">
        <v>1</v>
      </c>
      <c r="CA503" t="s">
        <v>2768</v>
      </c>
      <c r="CB503">
        <v>2</v>
      </c>
    </row>
    <row r="504" spans="1:80">
      <c r="A504" s="178" t="str">
        <f ca="1">IFERROR(IF(AG503&lt;5+金蛇*2,IF(COUNTIF(B503,"*轻*")&gt;0,A503+加速!$L$9,A503+加速!$L$11)+V503,""),"")</f>
        <v/>
      </c>
      <c r="B504" s="167" t="str">
        <f ca="1" t="shared" si="127"/>
        <v/>
      </c>
      <c r="C504" t="str">
        <f ca="1" t="shared" si="136"/>
        <v/>
      </c>
      <c r="D504" t="str">
        <f ca="1">IF(B504&lt;&gt;"",IF(C503&lt;=加速!$L$11*(1-E504),0,1),"")</f>
        <v/>
      </c>
      <c r="E504">
        <f ca="1" t="shared" si="133"/>
        <v>1</v>
      </c>
      <c r="G504" t="str">
        <f ca="1" t="shared" si="134"/>
        <v/>
      </c>
      <c r="H504" t="str">
        <f ca="1">IF(B504&lt;&gt;"",IF(AND(COUNTIF(B503,"*轻*莺鸣柳*")&gt;0,COUNTIF(B504,"*轻*")&lt;1),MAX(0,15+I503-(A504-A503)+COUNTIF(B503,"*平湖*")*0),IF(AND(E504=0,MAX(0,H503-(A504-A503))&lt;=加速!$H$11),0,MAX(0,H503-(A504-A503)))),"")</f>
        <v/>
      </c>
      <c r="I504" t="str">
        <f ca="1" t="shared" si="140"/>
        <v/>
      </c>
      <c r="J504" t="str">
        <f ca="1" t="shared" si="141"/>
        <v/>
      </c>
      <c r="K504" t="str">
        <f ca="1" t="shared" si="128"/>
        <v/>
      </c>
      <c r="L504">
        <f ca="1">IFERROR(IF(AND(COUNTIF(B504,"*-峰插*"),技能数据库!$M$72&gt;0),0,IF(COUNTIF(B504,"*鹤归*")&gt;0,16-加速!$L$11,MAX(0,L503-(A504-A503)))),0)</f>
        <v>0</v>
      </c>
      <c r="M504">
        <f ca="1" t="shared" si="129"/>
        <v>0</v>
      </c>
      <c r="N504">
        <f ca="1">IFERROR(IF(AND(COUNTIF(B504,"*-峰插*"),技能数据库!$M$72&gt;0),0,IF(COUNTIF(B504,"*云飞*")&gt;0,4-COUNTIF(B504,"*玉山揽云*")*4--COUNTIF(B504,"*烟流暮景*")*4-COUNTIF(B504,"*云景*")*加速!$L$11-IF(J504&gt;0,2,0),MAX(0,N503-(A504-A503)-IF(J504&gt;0,2,0)))),0)</f>
        <v>0</v>
      </c>
      <c r="O504">
        <f ca="1">IF(AND(COUNTIF(IF(AND(配装计算器!$K$30&lt;&gt;"∞",0),INDEX(AU503:CB503,1,$AT$1),INDEX(AU505:CB505,1,$AT$1)),"*云飞*")=1,COUNTIF(IF(AND(配装计算器!$K$30&lt;&gt;"∞",0),INDEX(AU503:CB503,1,$AT$1),INDEX(AU505:CB505,1,$AT$1)),"*玉山*")=0),N504,0)</f>
        <v>0</v>
      </c>
      <c r="P504">
        <f ca="1">IFERROR(IF(COUNTIF(B504,"*云栖松*")&gt;0,50-加速!$L$11,MAX(0,P503-(A504-A503))),0)</f>
        <v>0</v>
      </c>
      <c r="Q504">
        <f ca="1">IF(COUNTIF(IF(AND(配装计算器!$K$30&lt;&gt;"∞",0),INDEX(AU503:CB503,1,$AT$1),INDEX(AU505:CB505,1,$AT$1)),"*云栖松*")=1,P504,0)</f>
        <v>0</v>
      </c>
      <c r="R504">
        <f ca="1">IFERROR(IF(COUNTIF(B504,"*莺鸣柳*")&gt;0,45-加速!$L$9,MAX(0,R503-(A504-A503))),0)</f>
        <v>0</v>
      </c>
      <c r="S504">
        <f ca="1">IF(COUNTIF(IF(AND(配装计算器!$K$30&lt;&gt;"∞",0),INDEX(AU503:CB503,1,$AT$1),INDEX(AU505:CB505,1,$AT$1)),"*莺鸣柳*")=1,R504,0)</f>
        <v>0</v>
      </c>
      <c r="T504">
        <f ca="1" t="shared" si="137"/>
        <v>0</v>
      </c>
      <c r="U504">
        <f ca="1">IF(金蛇,IF(COUNTIF(B504,"*金环戴*")+COUNTIF(B504,"*吹风醒*")&gt;0,IF(A504&lt;=3,7.125-2.625-A504-加速!$L$11,7.125+加速!$K$9-(A504+加速!$L$11-T504)),0),0)+IF(金蛇,IF(COUNTIF(B504,"*千切子裂光*")&gt;0,2+加速!$K$9-(A504+加速!$L$11-T504),0),0)</f>
        <v>0</v>
      </c>
      <c r="V504">
        <f ca="1" t="shared" si="138"/>
        <v>0</v>
      </c>
      <c r="W504">
        <f ca="1" t="shared" si="130"/>
        <v>0</v>
      </c>
      <c r="X504">
        <f ca="1">INDEX(加速!$I$13:$I$21,W504+1)</f>
        <v>0</v>
      </c>
      <c r="Y504">
        <f ca="1" t="shared" si="139"/>
        <v>0.5</v>
      </c>
      <c r="Z504">
        <f ca="1" t="shared" si="135"/>
        <v>0</v>
      </c>
      <c r="AA504">
        <f ca="1">MAX(0,IFERROR(IF(COUNTIF(B504,"*叠*")&gt;0,IF(AC503&lt;3,8-A505+A504,AA503+6.875-A505+A504),AA503-A505+A504),AA503-加速!$L$11))</f>
        <v>0</v>
      </c>
      <c r="AB504" t="e">
        <f ca="1">MAX(0,IF(COUNTIF(IF(AND(配装计算器!$K$30&lt;&gt;"∞",0),INDEX(AU504:CB504,1,$AT$1),INDEX(AU504:CB504,1,$AT$1)),"*叠1*")=1,4*25-加速!$L$11,AB503-A504+A503)-IF(OR(COUNTIF(OFFSET(AT504,0,$AT$1,1,1),"*听雷*")&gt;0,AND(碧归&gt;0,COUNTIF(OFFSET(AT504,0,$AT$1,1,1),"*风来*")&gt;0)),0,1)*1.5)</f>
        <v>#VALUE!</v>
      </c>
      <c r="AC504">
        <f ca="1" t="shared" si="131"/>
        <v>0</v>
      </c>
      <c r="AD504">
        <f ca="1">IF(COUNTIF(IF(AND(配装计算器!$K$30&lt;&gt;"∞",0),INDEX(AU504:CB504,1,$AT$1),INDEX(AU505:CB505,1,$AT$1)),"*叠1*")=1,AB504*0+AE503,0)</f>
        <v>0</v>
      </c>
      <c r="AE504" t="e">
        <f ca="1">IF($AN$11&gt;0,IF(COUNTIF(B505,"*叠1*")&gt;0,50-加速!$L$11,MAX(0,AE503-(A505-A504))),0)</f>
        <v>#VALUE!</v>
      </c>
      <c r="AG504">
        <f ca="1" t="shared" si="132"/>
        <v>14</v>
      </c>
      <c r="AU504" s="176" t="s">
        <v>2768</v>
      </c>
      <c r="AV504">
        <v>2</v>
      </c>
      <c r="AW504" t="str">
        <f t="shared" si="143"/>
        <v>夕照雷峰</v>
      </c>
      <c r="AX504">
        <v>2</v>
      </c>
      <c r="AY504" t="s">
        <v>2768</v>
      </c>
      <c r="AZ504">
        <v>2</v>
      </c>
      <c r="BA504" t="s">
        <v>2776</v>
      </c>
      <c r="BB504">
        <v>1</v>
      </c>
      <c r="BC504" t="s">
        <v>2768</v>
      </c>
      <c r="BD504">
        <v>2</v>
      </c>
      <c r="BE504" t="s">
        <v>2768</v>
      </c>
      <c r="BF504">
        <v>2</v>
      </c>
      <c r="BG504" s="176" t="s">
        <v>2794</v>
      </c>
      <c r="BH504">
        <v>1</v>
      </c>
      <c r="BI504" s="176" t="s">
        <v>3026</v>
      </c>
      <c r="BJ504">
        <v>2</v>
      </c>
      <c r="BK504" s="180" t="s">
        <v>3036</v>
      </c>
      <c r="BL504">
        <v>2</v>
      </c>
      <c r="BM504" t="s">
        <v>2768</v>
      </c>
      <c r="BN504">
        <v>2</v>
      </c>
      <c r="BO504" t="s">
        <v>2776</v>
      </c>
      <c r="BP504">
        <v>2</v>
      </c>
      <c r="BQ504" t="s">
        <v>2776</v>
      </c>
      <c r="BR504">
        <v>1</v>
      </c>
      <c r="BS504" s="179" t="s">
        <v>3030</v>
      </c>
      <c r="BT504">
        <v>2</v>
      </c>
      <c r="BU504" t="s">
        <v>2768</v>
      </c>
      <c r="BV504">
        <v>0</v>
      </c>
      <c r="BW504" s="179" t="s">
        <v>2776</v>
      </c>
      <c r="BX504" s="179">
        <v>2</v>
      </c>
      <c r="BY504" s="176" t="s">
        <v>2768</v>
      </c>
      <c r="BZ504">
        <v>1</v>
      </c>
      <c r="CA504" t="s">
        <v>2768</v>
      </c>
      <c r="CB504">
        <v>1</v>
      </c>
    </row>
    <row r="505" spans="1:80">
      <c r="A505" s="178" t="str">
        <f ca="1">IFERROR(IF(AG504&lt;5+金蛇*2,IF(COUNTIF(B504,"*轻*")&gt;0,A504+加速!$L$9,A504+加速!$L$11)+V504,""),"")</f>
        <v/>
      </c>
      <c r="B505" s="167" t="str">
        <f ca="1" t="shared" si="127"/>
        <v/>
      </c>
      <c r="C505" t="str">
        <f ca="1" t="shared" si="136"/>
        <v/>
      </c>
      <c r="D505" t="str">
        <f ca="1">IF(B505&lt;&gt;"",IF(C504&lt;=加速!$L$11*(1-E505),0,1),"")</f>
        <v/>
      </c>
      <c r="E505">
        <f ca="1" t="shared" si="133"/>
        <v>1</v>
      </c>
      <c r="G505" t="str">
        <f ca="1" t="shared" si="134"/>
        <v/>
      </c>
      <c r="H505" t="str">
        <f ca="1">IF(B505&lt;&gt;"",IF(AND(COUNTIF(B504,"*轻*莺鸣柳*")&gt;0,COUNTIF(B505,"*轻*")&lt;1),MAX(0,15+I504-(A505-A504)+COUNTIF(B504,"*平湖*")*0),IF(AND(E505=0,MAX(0,H504-(A505-A504))&lt;=加速!$H$11),0,MAX(0,H504-(A505-A504)))),"")</f>
        <v/>
      </c>
      <c r="I505" t="str">
        <f ca="1" t="shared" si="140"/>
        <v/>
      </c>
      <c r="J505" t="str">
        <f ca="1" t="shared" si="141"/>
        <v/>
      </c>
      <c r="K505" t="str">
        <f ca="1" t="shared" si="128"/>
        <v/>
      </c>
      <c r="L505">
        <f ca="1">IFERROR(IF(AND(COUNTIF(B505,"*-峰插*"),技能数据库!$M$72&gt;0),0,IF(COUNTIF(B505,"*鹤归*")&gt;0,16-加速!$L$11,MAX(0,L504-(A505-A504)))),0)</f>
        <v>0</v>
      </c>
      <c r="M505">
        <f ca="1" t="shared" si="129"/>
        <v>0</v>
      </c>
      <c r="N505">
        <f ca="1">IFERROR(IF(AND(COUNTIF(B505,"*-峰插*"),技能数据库!$M$72&gt;0),0,IF(COUNTIF(B505,"*云飞*")&gt;0,4-COUNTIF(B505,"*玉山揽云*")*4--COUNTIF(B505,"*烟流暮景*")*4-COUNTIF(B505,"*云景*")*加速!$L$11-IF(J505&gt;0,2,0),MAX(0,N504-(A505-A504)-IF(J505&gt;0,2,0)))),0)</f>
        <v>0</v>
      </c>
      <c r="O505">
        <f ca="1">IF(AND(COUNTIF(IF(AND(配装计算器!$K$30&lt;&gt;"∞",0),INDEX(AU504:CB504,1,$AT$1),INDEX(AU506:CB506,1,$AT$1)),"*云飞*")=1,COUNTIF(IF(AND(配装计算器!$K$30&lt;&gt;"∞",0),INDEX(AU504:CB504,1,$AT$1),INDEX(AU506:CB506,1,$AT$1)),"*玉山*")=0),N505,0)</f>
        <v>0</v>
      </c>
      <c r="P505">
        <f ca="1">IFERROR(IF(COUNTIF(B505,"*云栖松*")&gt;0,50-加速!$L$11,MAX(0,P504-(A505-A504))),0)</f>
        <v>0</v>
      </c>
      <c r="Q505">
        <f ca="1">IF(COUNTIF(IF(AND(配装计算器!$K$30&lt;&gt;"∞",0),INDEX(AU504:CB504,1,$AT$1),INDEX(AU506:CB506,1,$AT$1)),"*云栖松*")=1,P505,0)</f>
        <v>0</v>
      </c>
      <c r="R505">
        <f ca="1">IFERROR(IF(COUNTIF(B505,"*莺鸣柳*")&gt;0,45-加速!$L$9,MAX(0,R504-(A505-A504))),0)</f>
        <v>0</v>
      </c>
      <c r="S505">
        <f ca="1">IF(COUNTIF(IF(AND(配装计算器!$K$30&lt;&gt;"∞",0),INDEX(AU504:CB504,1,$AT$1),INDEX(AU506:CB506,1,$AT$1)),"*莺鸣柳*")=1,R505,0)</f>
        <v>0</v>
      </c>
      <c r="T505">
        <f ca="1" t="shared" si="137"/>
        <v>0</v>
      </c>
      <c r="U505">
        <f ca="1">IF(金蛇,IF(COUNTIF(B505,"*金环戴*")+COUNTIF(B505,"*吹风醒*")&gt;0,IF(A505&lt;=3,7.125-2.625-A505-加速!$L$11,7.125+加速!$K$9-(A505+加速!$L$11-T505)),0),0)+IF(金蛇,IF(COUNTIF(B505,"*千切子裂光*")&gt;0,2+加速!$K$9-(A505+加速!$L$11-T505),0),0)</f>
        <v>0</v>
      </c>
      <c r="V505">
        <f ca="1" t="shared" si="138"/>
        <v>0</v>
      </c>
      <c r="W505">
        <f ca="1" t="shared" si="130"/>
        <v>0</v>
      </c>
      <c r="X505">
        <f ca="1">INDEX(加速!$I$13:$I$21,W505+1)</f>
        <v>0</v>
      </c>
      <c r="Y505">
        <f ca="1" t="shared" si="139"/>
        <v>0.5</v>
      </c>
      <c r="Z505">
        <f ca="1" t="shared" si="135"/>
        <v>0</v>
      </c>
      <c r="AA505">
        <f ca="1">MAX(0,IFERROR(IF(COUNTIF(B505,"*叠*")&gt;0,IF(AC504&lt;3,8-A506+A505,AA504+6.875-A506+A505),AA504-A506+A505),AA504-加速!$L$11))</f>
        <v>0</v>
      </c>
      <c r="AB505" t="e">
        <f ca="1">MAX(0,IF(COUNTIF(IF(AND(配装计算器!$K$30&lt;&gt;"∞",0),INDEX(AU505:CB505,1,$AT$1),INDEX(AU505:CB505,1,$AT$1)),"*叠1*")=1,4*25-加速!$L$11,AB504-A505+A504)-IF(OR(COUNTIF(OFFSET(AT505,0,$AT$1,1,1),"*听雷*")&gt;0,AND(碧归&gt;0,COUNTIF(OFFSET(AT505,0,$AT$1,1,1),"*风来*")&gt;0)),0,1)*1.5)</f>
        <v>#VALUE!</v>
      </c>
      <c r="AC505">
        <f ca="1" t="shared" si="131"/>
        <v>0</v>
      </c>
      <c r="AD505">
        <f ca="1">IF(COUNTIF(IF(AND(配装计算器!$K$30&lt;&gt;"∞",0),INDEX(AU505:CB505,1,$AT$1),INDEX(AU506:CB506,1,$AT$1)),"*叠1*")=1,AB505*0+AE504,0)</f>
        <v>0</v>
      </c>
      <c r="AE505" t="e">
        <f ca="1">IF($AN$11&gt;0,IF(COUNTIF(B506,"*叠1*")&gt;0,50-加速!$L$11,MAX(0,AE504-(A506-A505))),0)</f>
        <v>#VALUE!</v>
      </c>
      <c r="AG505">
        <f ca="1" t="shared" si="132"/>
        <v>14</v>
      </c>
      <c r="AU505" s="176" t="s">
        <v>2776</v>
      </c>
      <c r="AV505">
        <v>2</v>
      </c>
      <c r="AW505" t="str">
        <f t="shared" si="143"/>
        <v>夕照雷峰</v>
      </c>
      <c r="AX505">
        <v>2</v>
      </c>
      <c r="AY505" t="s">
        <v>2768</v>
      </c>
      <c r="AZ505">
        <v>2</v>
      </c>
      <c r="BA505" t="s">
        <v>2768</v>
      </c>
      <c r="BB505">
        <v>1</v>
      </c>
      <c r="BC505" t="s">
        <v>2794</v>
      </c>
      <c r="BD505">
        <v>2</v>
      </c>
      <c r="BE505" t="s">
        <v>2768</v>
      </c>
      <c r="BF505">
        <v>2</v>
      </c>
      <c r="BG505" t="s">
        <v>2776</v>
      </c>
      <c r="BH505">
        <v>1</v>
      </c>
      <c r="BI505" s="176" t="s">
        <v>3026</v>
      </c>
      <c r="BJ505">
        <v>2</v>
      </c>
      <c r="BK505" t="s">
        <v>3026</v>
      </c>
      <c r="BL505">
        <v>2</v>
      </c>
      <c r="BM505" t="s">
        <v>2776</v>
      </c>
      <c r="BN505">
        <v>2</v>
      </c>
      <c r="BO505" t="s">
        <v>2768</v>
      </c>
      <c r="BP505">
        <v>2</v>
      </c>
      <c r="BQ505" t="s">
        <v>2768</v>
      </c>
      <c r="BR505">
        <v>1</v>
      </c>
      <c r="BS505" s="179" t="s">
        <v>2768</v>
      </c>
      <c r="BT505">
        <v>2</v>
      </c>
      <c r="BU505" t="s">
        <v>2776</v>
      </c>
      <c r="BV505">
        <v>0</v>
      </c>
      <c r="BW505" s="179" t="s">
        <v>2768</v>
      </c>
      <c r="BX505" s="179">
        <v>2</v>
      </c>
      <c r="BY505" t="s">
        <v>2776</v>
      </c>
      <c r="BZ505">
        <v>1</v>
      </c>
      <c r="CA505" t="s">
        <v>2776</v>
      </c>
      <c r="CB505">
        <v>1</v>
      </c>
    </row>
    <row r="506" spans="1:80">
      <c r="A506" s="178" t="str">
        <f ca="1">IFERROR(IF(AG505&lt;5+金蛇*2,IF(COUNTIF(B505,"*轻*")&gt;0,A505+加速!$L$9,A505+加速!$L$11)+V505,""),"")</f>
        <v/>
      </c>
      <c r="B506" s="167" t="str">
        <f ca="1" t="shared" si="127"/>
        <v/>
      </c>
      <c r="C506" t="str">
        <f ca="1" t="shared" si="136"/>
        <v/>
      </c>
      <c r="D506" t="str">
        <f ca="1">IF(B506&lt;&gt;"",IF(C505&lt;=加速!$L$11*(1-E506),0,1),"")</f>
        <v/>
      </c>
      <c r="E506">
        <f ca="1" t="shared" si="133"/>
        <v>1</v>
      </c>
      <c r="G506" t="str">
        <f ca="1" t="shared" si="134"/>
        <v/>
      </c>
      <c r="H506" t="str">
        <f ca="1">IF(B506&lt;&gt;"",IF(AND(COUNTIF(B505,"*轻*莺鸣柳*")&gt;0,COUNTIF(B506,"*轻*")&lt;1),MAX(0,15+I505-(A506-A505)+COUNTIF(B505,"*平湖*")*0),IF(AND(E506=0,MAX(0,H505-(A506-A505))&lt;=加速!$H$11),0,MAX(0,H505-(A506-A505)))),"")</f>
        <v/>
      </c>
      <c r="I506" t="str">
        <f ca="1" t="shared" si="140"/>
        <v/>
      </c>
      <c r="J506" t="str">
        <f ca="1" t="shared" si="141"/>
        <v/>
      </c>
      <c r="K506" t="str">
        <f ca="1" t="shared" si="128"/>
        <v/>
      </c>
      <c r="L506">
        <f ca="1">IFERROR(IF(AND(COUNTIF(B506,"*-峰插*"),技能数据库!$M$72&gt;0),0,IF(COUNTIF(B506,"*鹤归*")&gt;0,16-加速!$L$11,MAX(0,L505-(A506-A505)))),0)</f>
        <v>0</v>
      </c>
      <c r="M506">
        <f ca="1" t="shared" si="129"/>
        <v>0</v>
      </c>
      <c r="N506">
        <f ca="1">IFERROR(IF(AND(COUNTIF(B506,"*-峰插*"),技能数据库!$M$72&gt;0),0,IF(COUNTIF(B506,"*云飞*")&gt;0,4-COUNTIF(B506,"*玉山揽云*")*4--COUNTIF(B506,"*烟流暮景*")*4-COUNTIF(B506,"*云景*")*加速!$L$11-IF(J506&gt;0,2,0),MAX(0,N505-(A506-A505)-IF(J506&gt;0,2,0)))),0)</f>
        <v>0</v>
      </c>
      <c r="O506">
        <f ca="1">IF(AND(COUNTIF(IF(AND(配装计算器!$K$30&lt;&gt;"∞",0),INDEX(AU505:CB505,1,$AT$1),INDEX(AU507:CB507,1,$AT$1)),"*云飞*")=1,COUNTIF(IF(AND(配装计算器!$K$30&lt;&gt;"∞",0),INDEX(AU505:CB505,1,$AT$1),INDEX(AU507:CB507,1,$AT$1)),"*玉山*")=0),N506,0)</f>
        <v>0</v>
      </c>
      <c r="P506">
        <f ca="1">IFERROR(IF(COUNTIF(B506,"*云栖松*")&gt;0,50-加速!$L$11,MAX(0,P505-(A506-A505))),0)</f>
        <v>0</v>
      </c>
      <c r="Q506">
        <f ca="1">IF(COUNTIF(IF(AND(配装计算器!$K$30&lt;&gt;"∞",0),INDEX(AU505:CB505,1,$AT$1),INDEX(AU507:CB507,1,$AT$1)),"*云栖松*")=1,P506,0)</f>
        <v>0</v>
      </c>
      <c r="R506">
        <f ca="1">IFERROR(IF(COUNTIF(B506,"*莺鸣柳*")&gt;0,45-加速!$L$9,MAX(0,R505-(A506-A505))),0)</f>
        <v>0</v>
      </c>
      <c r="S506">
        <f ca="1">IF(COUNTIF(IF(AND(配装计算器!$K$30&lt;&gt;"∞",0),INDEX(AU505:CB505,1,$AT$1),INDEX(AU507:CB507,1,$AT$1)),"*莺鸣柳*")=1,R506,0)</f>
        <v>0</v>
      </c>
      <c r="T506">
        <f ca="1" t="shared" si="137"/>
        <v>0</v>
      </c>
      <c r="U506">
        <f ca="1">IF(金蛇,IF(COUNTIF(B506,"*金环戴*")+COUNTIF(B506,"*吹风醒*")&gt;0,IF(A506&lt;=3,7.125-2.625-A506-加速!$L$11,7.125+加速!$K$9-(A506+加速!$L$11-T506)),0),0)+IF(金蛇,IF(COUNTIF(B506,"*千切子裂光*")&gt;0,2+加速!$K$9-(A506+加速!$L$11-T506),0),0)</f>
        <v>0</v>
      </c>
      <c r="V506">
        <f ca="1" t="shared" si="138"/>
        <v>0</v>
      </c>
      <c r="W506">
        <f ca="1" t="shared" si="130"/>
        <v>0</v>
      </c>
      <c r="X506">
        <f ca="1">INDEX(加速!$I$13:$I$21,W506+1)</f>
        <v>0</v>
      </c>
      <c r="Y506">
        <f ca="1" t="shared" si="139"/>
        <v>0.5</v>
      </c>
      <c r="Z506">
        <f ca="1" t="shared" si="135"/>
        <v>0</v>
      </c>
      <c r="AA506">
        <f ca="1">MAX(0,IFERROR(IF(COUNTIF(B506,"*叠*")&gt;0,IF(AC505&lt;3,8-A507+A506,AA505+6.875-A507+A506),AA505-A507+A506),AA505-加速!$L$11))</f>
        <v>0</v>
      </c>
      <c r="AB506" t="e">
        <f ca="1">MAX(0,IF(COUNTIF(IF(AND(配装计算器!$K$30&lt;&gt;"∞",0),INDEX(AU506:CB506,1,$AT$1),INDEX(AU506:CB506,1,$AT$1)),"*叠1*")=1,4*25-加速!$L$11,AB505-A506+A505)-IF(OR(COUNTIF(OFFSET(AT506,0,$AT$1,1,1),"*听雷*")&gt;0,AND(碧归&gt;0,COUNTIF(OFFSET(AT506,0,$AT$1,1,1),"*风来*")&gt;0)),0,1)*1.5)</f>
        <v>#VALUE!</v>
      </c>
      <c r="AC506">
        <f ca="1" t="shared" si="131"/>
        <v>0</v>
      </c>
      <c r="AD506">
        <f ca="1">IF(COUNTIF(IF(AND(配装计算器!$K$30&lt;&gt;"∞",0),INDEX(AU506:CB506,1,$AT$1),INDEX(AU507:CB507,1,$AT$1)),"*叠1*")=1,AB506*0+AE505,0)</f>
        <v>0</v>
      </c>
      <c r="AE506" t="e">
        <f ca="1">IF($AN$11&gt;0,IF(COUNTIF(B507,"*叠1*")&gt;0,50-加速!$L$11,MAX(0,AE505-(A507-A506))),0)</f>
        <v>#VALUE!</v>
      </c>
      <c r="AG506">
        <f ca="1" t="shared" si="132"/>
        <v>14</v>
      </c>
      <c r="AU506" s="176" t="s">
        <v>2768</v>
      </c>
      <c r="AV506">
        <v>2</v>
      </c>
      <c r="AW506" t="s">
        <v>2776</v>
      </c>
      <c r="AX506">
        <v>2</v>
      </c>
      <c r="AY506" t="s">
        <v>2768</v>
      </c>
      <c r="AZ506">
        <v>1</v>
      </c>
      <c r="BA506" t="s">
        <v>2768</v>
      </c>
      <c r="BB506">
        <v>0</v>
      </c>
      <c r="BC506" s="182" t="s">
        <v>3036</v>
      </c>
      <c r="BD506">
        <v>2</v>
      </c>
      <c r="BE506" t="s">
        <v>2768</v>
      </c>
      <c r="BF506">
        <v>2</v>
      </c>
      <c r="BG506" t="s">
        <v>2768</v>
      </c>
      <c r="BH506">
        <v>1</v>
      </c>
      <c r="BI506" s="176" t="s">
        <v>3036</v>
      </c>
      <c r="BJ506">
        <v>2</v>
      </c>
      <c r="BK506" t="s">
        <v>3026</v>
      </c>
      <c r="BL506">
        <v>2</v>
      </c>
      <c r="BM506" t="s">
        <v>2768</v>
      </c>
      <c r="BN506">
        <v>1</v>
      </c>
      <c r="BO506" t="s">
        <v>2768</v>
      </c>
      <c r="BP506">
        <v>2</v>
      </c>
      <c r="BQ506" t="s">
        <v>2776</v>
      </c>
      <c r="BR506">
        <v>1</v>
      </c>
      <c r="BS506" s="182" t="s">
        <v>3023</v>
      </c>
      <c r="BT506">
        <v>2</v>
      </c>
      <c r="BU506" t="s">
        <v>3067</v>
      </c>
      <c r="BV506">
        <v>0</v>
      </c>
      <c r="BW506" s="181" t="s">
        <v>2768</v>
      </c>
      <c r="BX506" s="179">
        <v>2</v>
      </c>
      <c r="BY506" t="s">
        <v>2768</v>
      </c>
      <c r="BZ506">
        <v>1</v>
      </c>
      <c r="CA506" t="s">
        <v>2768</v>
      </c>
      <c r="CB506">
        <v>1</v>
      </c>
    </row>
    <row r="507" spans="1:80">
      <c r="A507" s="178" t="str">
        <f ca="1">IFERROR(IF(AG506&lt;5+金蛇*2,IF(COUNTIF(B506,"*轻*")&gt;0,A506+加速!$L$9,A506+加速!$L$11)+V506,""),"")</f>
        <v/>
      </c>
      <c r="B507" s="167" t="str">
        <f ca="1" t="shared" si="127"/>
        <v/>
      </c>
      <c r="C507" t="str">
        <f ca="1" t="shared" si="136"/>
        <v/>
      </c>
      <c r="D507" t="str">
        <f ca="1">IF(B507&lt;&gt;"",IF(C506&lt;=加速!$L$11*(1-E507),0,1),"")</f>
        <v/>
      </c>
      <c r="E507">
        <f ca="1" t="shared" si="133"/>
        <v>1</v>
      </c>
      <c r="G507" t="str">
        <f ca="1" t="shared" si="134"/>
        <v/>
      </c>
      <c r="H507" t="str">
        <f ca="1">IF(B507&lt;&gt;"",IF(AND(COUNTIF(B506,"*轻*莺鸣柳*")&gt;0,COUNTIF(B507,"*轻*")&lt;1),MAX(0,15+I506-(A507-A506)+COUNTIF(B506,"*平湖*")*0),IF(AND(E507=0,MAX(0,H506-(A507-A506))&lt;=加速!$H$11),0,MAX(0,H506-(A507-A506)))),"")</f>
        <v/>
      </c>
      <c r="I507" t="str">
        <f ca="1" t="shared" si="140"/>
        <v/>
      </c>
      <c r="J507" t="str">
        <f ca="1" t="shared" si="141"/>
        <v/>
      </c>
      <c r="K507" t="str">
        <f ca="1" t="shared" si="128"/>
        <v/>
      </c>
      <c r="L507">
        <f ca="1">IFERROR(IF(AND(COUNTIF(B507,"*-峰插*"),技能数据库!$M$72&gt;0),0,IF(COUNTIF(B507,"*鹤归*")&gt;0,16-加速!$L$11,MAX(0,L506-(A507-A506)))),0)</f>
        <v>0</v>
      </c>
      <c r="M507">
        <f ca="1" t="shared" si="129"/>
        <v>0</v>
      </c>
      <c r="N507">
        <f ca="1">IFERROR(IF(AND(COUNTIF(B507,"*-峰插*"),技能数据库!$M$72&gt;0),0,IF(COUNTIF(B507,"*云飞*")&gt;0,4-COUNTIF(B507,"*玉山揽云*")*4--COUNTIF(B507,"*烟流暮景*")*4-COUNTIF(B507,"*云景*")*加速!$L$11-IF(J507&gt;0,2,0),MAX(0,N506-(A507-A506)-IF(J507&gt;0,2,0)))),0)</f>
        <v>0</v>
      </c>
      <c r="O507">
        <f ca="1">IF(AND(COUNTIF(IF(AND(配装计算器!$K$30&lt;&gt;"∞",0),INDEX(AU506:CB506,1,$AT$1),INDEX(AU508:CB508,1,$AT$1)),"*云飞*")=1,COUNTIF(IF(AND(配装计算器!$K$30&lt;&gt;"∞",0),INDEX(AU506:CB506,1,$AT$1),INDEX(AU508:CB508,1,$AT$1)),"*玉山*")=0),N507,0)</f>
        <v>0</v>
      </c>
      <c r="P507">
        <f ca="1">IFERROR(IF(COUNTIF(B507,"*云栖松*")&gt;0,50-加速!$L$11,MAX(0,P506-(A507-A506))),0)</f>
        <v>0</v>
      </c>
      <c r="Q507">
        <f ca="1">IF(COUNTIF(IF(AND(配装计算器!$K$30&lt;&gt;"∞",0),INDEX(AU506:CB506,1,$AT$1),INDEX(AU508:CB508,1,$AT$1)),"*云栖松*")=1,P507,0)</f>
        <v>0</v>
      </c>
      <c r="R507">
        <f ca="1">IFERROR(IF(COUNTIF(B507,"*莺鸣柳*")&gt;0,45-加速!$L$9,MAX(0,R506-(A507-A506))),0)</f>
        <v>0</v>
      </c>
      <c r="S507">
        <f ca="1">IF(COUNTIF(IF(AND(配装计算器!$K$30&lt;&gt;"∞",0),INDEX(AU506:CB506,1,$AT$1),INDEX(AU508:CB508,1,$AT$1)),"*莺鸣柳*")=1,R507,0)</f>
        <v>0</v>
      </c>
      <c r="T507">
        <f ca="1" t="shared" si="137"/>
        <v>0</v>
      </c>
      <c r="U507">
        <f ca="1">IF(金蛇,IF(COUNTIF(B507,"*金环戴*")+COUNTIF(B507,"*吹风醒*")&gt;0,IF(A507&lt;=3,7.125-2.625-A507-加速!$L$11,7.125+加速!$K$9-(A507+加速!$L$11-T507)),0),0)+IF(金蛇,IF(COUNTIF(B507,"*千切子裂光*")&gt;0,2+加速!$K$9-(A507+加速!$L$11-T507),0),0)</f>
        <v>0</v>
      </c>
      <c r="V507">
        <f ca="1" t="shared" si="138"/>
        <v>0</v>
      </c>
      <c r="W507">
        <f ca="1" t="shared" si="130"/>
        <v>0</v>
      </c>
      <c r="X507">
        <f ca="1">INDEX(加速!$I$13:$I$21,W507+1)</f>
        <v>0</v>
      </c>
      <c r="Y507">
        <f ca="1" t="shared" si="139"/>
        <v>0.5</v>
      </c>
      <c r="Z507">
        <f ca="1" t="shared" si="135"/>
        <v>0</v>
      </c>
      <c r="AA507">
        <f ca="1">MAX(0,IFERROR(IF(COUNTIF(B507,"*叠*")&gt;0,IF(AC506&lt;3,8-A508+A507,AA506+6.875-A508+A507),AA506-A508+A507),AA506-加速!$L$11))</f>
        <v>0</v>
      </c>
      <c r="AB507" t="e">
        <f ca="1">MAX(0,IF(COUNTIF(IF(AND(配装计算器!$K$30&lt;&gt;"∞",0),INDEX(AU507:CB507,1,$AT$1),INDEX(AU507:CB507,1,$AT$1)),"*叠1*")=1,4*25-加速!$L$11,AB506-A507+A506)-IF(OR(COUNTIF(OFFSET(AT507,0,$AT$1,1,1),"*听雷*")&gt;0,AND(碧归&gt;0,COUNTIF(OFFSET(AT507,0,$AT$1,1,1),"*风来*")&gt;0)),0,1)*1.5)</f>
        <v>#VALUE!</v>
      </c>
      <c r="AC507">
        <f ca="1" t="shared" si="131"/>
        <v>0</v>
      </c>
      <c r="AD507">
        <f ca="1">IF(COUNTIF(IF(AND(配装计算器!$K$30&lt;&gt;"∞",0),INDEX(AU507:CB507,1,$AT$1),INDEX(AU508:CB508,1,$AT$1)),"*叠1*")=1,AB507*0+AE506,0)</f>
        <v>0</v>
      </c>
      <c r="AE507" t="e">
        <f ca="1">IF($AN$11&gt;0,IF(COUNTIF(B508,"*叠1*")&gt;0,50-加速!$L$11,MAX(0,AE506-(A508-A507))),0)</f>
        <v>#VALUE!</v>
      </c>
      <c r="AG507">
        <f ca="1" t="shared" si="132"/>
        <v>14</v>
      </c>
      <c r="AU507" s="176" t="s">
        <v>2776</v>
      </c>
      <c r="AV507">
        <v>2</v>
      </c>
      <c r="AW507" t="s">
        <v>2768</v>
      </c>
      <c r="AX507">
        <v>2</v>
      </c>
      <c r="AY507" t="s">
        <v>2776</v>
      </c>
      <c r="AZ507">
        <v>1</v>
      </c>
      <c r="BA507" t="s">
        <v>3010</v>
      </c>
      <c r="BB507">
        <v>2</v>
      </c>
      <c r="BC507" s="176" t="s">
        <v>3026</v>
      </c>
      <c r="BD507">
        <v>2</v>
      </c>
      <c r="BE507" t="s">
        <v>3042</v>
      </c>
      <c r="BF507">
        <v>2</v>
      </c>
      <c r="BG507" t="s">
        <v>3011</v>
      </c>
      <c r="BH507">
        <v>2</v>
      </c>
      <c r="BI507" t="s">
        <v>2794</v>
      </c>
      <c r="BJ507">
        <v>2</v>
      </c>
      <c r="BK507" t="s">
        <v>3026</v>
      </c>
      <c r="BL507">
        <v>2</v>
      </c>
      <c r="BM507" t="s">
        <v>2722</v>
      </c>
      <c r="BN507">
        <v>0</v>
      </c>
      <c r="BO507" t="s">
        <v>2768</v>
      </c>
      <c r="BP507">
        <v>2</v>
      </c>
      <c r="BQ507" t="s">
        <v>2768</v>
      </c>
      <c r="BR507">
        <v>0</v>
      </c>
      <c r="BS507" s="182" t="s">
        <v>2768</v>
      </c>
      <c r="BT507">
        <v>2</v>
      </c>
      <c r="BU507" t="s">
        <v>2768</v>
      </c>
      <c r="BV507">
        <v>2</v>
      </c>
      <c r="BW507" s="182" t="s">
        <v>2794</v>
      </c>
      <c r="BX507" s="179">
        <v>2</v>
      </c>
      <c r="BY507" t="s">
        <v>2722</v>
      </c>
      <c r="BZ507">
        <v>0</v>
      </c>
      <c r="CA507" t="s">
        <v>2722</v>
      </c>
      <c r="CB507">
        <v>0</v>
      </c>
    </row>
    <row r="508" spans="1:80">
      <c r="A508" s="178" t="str">
        <f ca="1">IFERROR(IF(AG507&lt;5+金蛇*2,IF(COUNTIF(B507,"*轻*")&gt;0,A507+加速!$L$9,A507+加速!$L$11)+V507,""),"")</f>
        <v/>
      </c>
      <c r="B508" s="167" t="str">
        <f ca="1" t="shared" si="127"/>
        <v/>
      </c>
      <c r="C508" t="str">
        <f ca="1" t="shared" si="136"/>
        <v/>
      </c>
      <c r="D508" t="str">
        <f ca="1">IF(B508&lt;&gt;"",IF(C507&lt;=加速!$L$11*(1-E508),0,1),"")</f>
        <v/>
      </c>
      <c r="E508">
        <f ca="1" t="shared" si="133"/>
        <v>1</v>
      </c>
      <c r="G508" t="str">
        <f ca="1" t="shared" si="134"/>
        <v/>
      </c>
      <c r="H508" t="str">
        <f ca="1">IF(B508&lt;&gt;"",IF(AND(COUNTIF(B507,"*轻*莺鸣柳*")&gt;0,COUNTIF(B508,"*轻*")&lt;1),MAX(0,15+I507-(A508-A507)+COUNTIF(B507,"*平湖*")*0),IF(AND(E508=0,MAX(0,H507-(A508-A507))&lt;=加速!$H$11),0,MAX(0,H507-(A508-A507)))),"")</f>
        <v/>
      </c>
      <c r="I508" t="str">
        <f ca="1" t="shared" si="140"/>
        <v/>
      </c>
      <c r="J508" t="str">
        <f ca="1" t="shared" si="141"/>
        <v/>
      </c>
      <c r="K508" t="str">
        <f ca="1" t="shared" si="128"/>
        <v/>
      </c>
      <c r="L508">
        <f ca="1">IFERROR(IF(AND(COUNTIF(B508,"*-峰插*"),技能数据库!$M$72&gt;0),0,IF(COUNTIF(B508,"*鹤归*")&gt;0,16-加速!$L$11,MAX(0,L507-(A508-A507)))),0)</f>
        <v>0</v>
      </c>
      <c r="M508">
        <f ca="1" t="shared" si="129"/>
        <v>0</v>
      </c>
      <c r="N508">
        <f ca="1">IFERROR(IF(AND(COUNTIF(B508,"*-峰插*"),技能数据库!$M$72&gt;0),0,IF(COUNTIF(B508,"*云飞*")&gt;0,4-COUNTIF(B508,"*玉山揽云*")*4--COUNTIF(B508,"*烟流暮景*")*4-COUNTIF(B508,"*云景*")*加速!$L$11-IF(J508&gt;0,2,0),MAX(0,N507-(A508-A507)-IF(J508&gt;0,2,0)))),0)</f>
        <v>0</v>
      </c>
      <c r="O508">
        <f ca="1">IF(AND(COUNTIF(IF(AND(配装计算器!$K$30&lt;&gt;"∞",0),INDEX(AU507:CB507,1,$AT$1),INDEX(AU509:CB509,1,$AT$1)),"*云飞*")=1,COUNTIF(IF(AND(配装计算器!$K$30&lt;&gt;"∞",0),INDEX(AU507:CB507,1,$AT$1),INDEX(AU509:CB509,1,$AT$1)),"*玉山*")=0),N508,0)</f>
        <v>0</v>
      </c>
      <c r="P508">
        <f ca="1">IFERROR(IF(COUNTIF(B508,"*云栖松*")&gt;0,50-加速!$L$11,MAX(0,P507-(A508-A507))),0)</f>
        <v>0</v>
      </c>
      <c r="Q508">
        <f ca="1">IF(COUNTIF(IF(AND(配装计算器!$K$30&lt;&gt;"∞",0),INDEX(AU507:CB507,1,$AT$1),INDEX(AU509:CB509,1,$AT$1)),"*云栖松*")=1,P508,0)</f>
        <v>0</v>
      </c>
      <c r="R508">
        <f ca="1">IFERROR(IF(COUNTIF(B508,"*莺鸣柳*")&gt;0,45-加速!$L$9,MAX(0,R507-(A508-A507))),0)</f>
        <v>0</v>
      </c>
      <c r="S508">
        <f ca="1">IF(COUNTIF(IF(AND(配装计算器!$K$30&lt;&gt;"∞",0),INDEX(AU507:CB507,1,$AT$1),INDEX(AU509:CB509,1,$AT$1)),"*莺鸣柳*")=1,R508,0)</f>
        <v>0</v>
      </c>
      <c r="T508">
        <f ca="1" t="shared" si="137"/>
        <v>0</v>
      </c>
      <c r="U508">
        <f ca="1">IF(金蛇,IF(COUNTIF(B508,"*金环戴*")+COUNTIF(B508,"*吹风醒*")&gt;0,IF(A508&lt;=3,7.125-2.625-A508-加速!$L$11,7.125+加速!$K$9-(A508+加速!$L$11-T508)),0),0)+IF(金蛇,IF(COUNTIF(B508,"*千切子裂光*")&gt;0,2+加速!$K$9-(A508+加速!$L$11-T508),0),0)</f>
        <v>0</v>
      </c>
      <c r="V508">
        <f ca="1" t="shared" si="138"/>
        <v>0</v>
      </c>
      <c r="W508">
        <f ca="1" t="shared" si="130"/>
        <v>0</v>
      </c>
      <c r="X508">
        <f ca="1">INDEX(加速!$I$13:$I$21,W508+1)</f>
        <v>0</v>
      </c>
      <c r="Y508">
        <f ca="1" t="shared" si="139"/>
        <v>0.5</v>
      </c>
      <c r="Z508">
        <f ca="1" t="shared" si="135"/>
        <v>0</v>
      </c>
      <c r="AA508">
        <f ca="1">MAX(0,IFERROR(IF(COUNTIF(B508,"*叠*")&gt;0,IF(AC507&lt;3,8-A509+A508,AA507+6.875-A509+A508),AA507-A509+A508),AA507-加速!$L$11))</f>
        <v>0</v>
      </c>
      <c r="AB508" t="e">
        <f ca="1">MAX(0,IF(COUNTIF(IF(AND(配装计算器!$K$30&lt;&gt;"∞",0),INDEX(AU508:CB508,1,$AT$1),INDEX(AU508:CB508,1,$AT$1)),"*叠1*")=1,4*25-加速!$L$11,AB507-A508+A507)-IF(OR(COUNTIF(OFFSET(AT508,0,$AT$1,1,1),"*听雷*")&gt;0,AND(碧归&gt;0,COUNTIF(OFFSET(AT508,0,$AT$1,1,1),"*风来*")&gt;0)),0,1)*1.5)</f>
        <v>#VALUE!</v>
      </c>
      <c r="AC508">
        <f ca="1" t="shared" si="131"/>
        <v>0</v>
      </c>
      <c r="AD508">
        <f ca="1">IF(COUNTIF(IF(AND(配装计算器!$K$30&lt;&gt;"∞",0),INDEX(AU508:CB508,1,$AT$1),INDEX(AU509:CB509,1,$AT$1)),"*叠1*")=1,AB508*0+AE507,0)</f>
        <v>0</v>
      </c>
      <c r="AE508" t="e">
        <f ca="1">IF($AN$11&gt;0,IF(COUNTIF(B509,"*叠1*")&gt;0,50-加速!$L$11,MAX(0,AE507-(A509-A508))),0)</f>
        <v>#VALUE!</v>
      </c>
      <c r="AG508">
        <f ca="1" t="shared" si="132"/>
        <v>14</v>
      </c>
      <c r="AU508" t="s">
        <v>2768</v>
      </c>
      <c r="AV508">
        <v>2</v>
      </c>
      <c r="AW508" t="s">
        <v>2768</v>
      </c>
      <c r="AX508">
        <v>2</v>
      </c>
      <c r="AY508" t="s">
        <v>2768</v>
      </c>
      <c r="AZ508">
        <v>1</v>
      </c>
      <c r="BA508" t="s">
        <v>3013</v>
      </c>
      <c r="BB508">
        <v>2</v>
      </c>
      <c r="BC508" s="176" t="s">
        <v>3026</v>
      </c>
      <c r="BD508">
        <v>2</v>
      </c>
      <c r="BE508" t="s">
        <v>3084</v>
      </c>
      <c r="BF508">
        <v>2</v>
      </c>
      <c r="BG508" t="s">
        <v>2768</v>
      </c>
      <c r="BH508">
        <v>2</v>
      </c>
      <c r="BI508" t="s">
        <v>2776</v>
      </c>
      <c r="BJ508">
        <v>2</v>
      </c>
      <c r="BK508" s="176" t="s">
        <v>3026</v>
      </c>
      <c r="BL508">
        <v>2</v>
      </c>
      <c r="BM508" t="s">
        <v>3009</v>
      </c>
      <c r="BN508">
        <v>2</v>
      </c>
      <c r="BO508" t="s">
        <v>2776</v>
      </c>
      <c r="BP508">
        <v>2</v>
      </c>
      <c r="BQ508" t="s">
        <v>2768</v>
      </c>
      <c r="BR508">
        <v>0</v>
      </c>
      <c r="BS508" s="182" t="s">
        <v>2776</v>
      </c>
      <c r="BT508">
        <v>2</v>
      </c>
      <c r="BU508" t="s">
        <v>2768</v>
      </c>
      <c r="BV508">
        <v>2</v>
      </c>
      <c r="BW508" s="182" t="s">
        <v>2776</v>
      </c>
      <c r="BX508" s="179">
        <v>2</v>
      </c>
      <c r="BY508" t="s">
        <v>3009</v>
      </c>
      <c r="BZ508">
        <v>2</v>
      </c>
      <c r="CA508" t="s">
        <v>3009</v>
      </c>
      <c r="CB508">
        <v>2</v>
      </c>
    </row>
    <row r="509" spans="1:80">
      <c r="A509" s="178" t="str">
        <f ca="1">IFERROR(IF(AG508&lt;5+金蛇*2,IF(COUNTIF(B508,"*轻*")&gt;0,A508+加速!$L$9,A508+加速!$L$11)+V508,""),"")</f>
        <v/>
      </c>
      <c r="B509" s="167" t="str">
        <f ca="1" t="shared" si="127"/>
        <v/>
      </c>
      <c r="C509" t="str">
        <f ca="1" t="shared" si="136"/>
        <v/>
      </c>
      <c r="D509" t="str">
        <f ca="1">IF(B509&lt;&gt;"",IF(C508&lt;=加速!$L$11*(1-E509),0,1),"")</f>
        <v/>
      </c>
      <c r="E509">
        <f ca="1" t="shared" si="133"/>
        <v>1</v>
      </c>
      <c r="G509" t="str">
        <f ca="1" t="shared" si="134"/>
        <v/>
      </c>
      <c r="H509" t="str">
        <f ca="1">IF(B509&lt;&gt;"",IF(AND(COUNTIF(B508,"*轻*莺鸣柳*")&gt;0,COUNTIF(B509,"*轻*")&lt;1),MAX(0,15+I508-(A509-A508)+COUNTIF(B508,"*平湖*")*0),IF(AND(E509=0,MAX(0,H508-(A509-A508))&lt;=加速!$H$11),0,MAX(0,H508-(A509-A508)))),"")</f>
        <v/>
      </c>
      <c r="I509" t="str">
        <f ca="1" t="shared" si="140"/>
        <v/>
      </c>
      <c r="J509" t="str">
        <f ca="1" t="shared" si="141"/>
        <v/>
      </c>
      <c r="K509" t="str">
        <f ca="1" t="shared" si="128"/>
        <v/>
      </c>
      <c r="L509">
        <f ca="1">IFERROR(IF(AND(COUNTIF(B509,"*-峰插*"),技能数据库!$M$72&gt;0),0,IF(COUNTIF(B509,"*鹤归*")&gt;0,16-加速!$L$11,MAX(0,L508-(A509-A508)))),0)</f>
        <v>0</v>
      </c>
      <c r="M509">
        <f ca="1" t="shared" si="129"/>
        <v>0</v>
      </c>
      <c r="N509">
        <f ca="1">IFERROR(IF(AND(COUNTIF(B509,"*-峰插*"),技能数据库!$M$72&gt;0),0,IF(COUNTIF(B509,"*云飞*")&gt;0,4-COUNTIF(B509,"*玉山揽云*")*4--COUNTIF(B509,"*烟流暮景*")*4-COUNTIF(B509,"*云景*")*加速!$L$11-IF(J509&gt;0,2,0),MAX(0,N508-(A509-A508)-IF(J509&gt;0,2,0)))),0)</f>
        <v>0</v>
      </c>
      <c r="O509">
        <f ca="1">IF(AND(COUNTIF(IF(AND(配装计算器!$K$30&lt;&gt;"∞",0),INDEX(AU508:CB508,1,$AT$1),INDEX(AU510:CB510,1,$AT$1)),"*云飞*")=1,COUNTIF(IF(AND(配装计算器!$K$30&lt;&gt;"∞",0),INDEX(AU508:CB508,1,$AT$1),INDEX(AU510:CB510,1,$AT$1)),"*玉山*")=0),N509,0)</f>
        <v>0</v>
      </c>
      <c r="P509">
        <f ca="1">IFERROR(IF(COUNTIF(B509,"*云栖松*")&gt;0,50-加速!$L$11,MAX(0,P508-(A509-A508))),0)</f>
        <v>0</v>
      </c>
      <c r="Q509">
        <f ca="1">IF(COUNTIF(IF(AND(配装计算器!$K$30&lt;&gt;"∞",0),INDEX(AU508:CB508,1,$AT$1),INDEX(AU510:CB510,1,$AT$1)),"*云栖松*")=1,P509,0)</f>
        <v>0</v>
      </c>
      <c r="R509">
        <f ca="1">IFERROR(IF(COUNTIF(B509,"*莺鸣柳*")&gt;0,45-加速!$L$9,MAX(0,R508-(A509-A508))),0)</f>
        <v>0</v>
      </c>
      <c r="S509">
        <f ca="1">IF(COUNTIF(IF(AND(配装计算器!$K$30&lt;&gt;"∞",0),INDEX(AU508:CB508,1,$AT$1),INDEX(AU510:CB510,1,$AT$1)),"*莺鸣柳*")=1,R509,0)</f>
        <v>0</v>
      </c>
      <c r="T509">
        <f ca="1" t="shared" si="137"/>
        <v>0</v>
      </c>
      <c r="U509">
        <f ca="1">IF(金蛇,IF(COUNTIF(B509,"*金环戴*")+COUNTIF(B509,"*吹风醒*")&gt;0,IF(A509&lt;=3,7.125-2.625-A509-加速!$L$11,7.125+加速!$K$9-(A509+加速!$L$11-T509)),0),0)+IF(金蛇,IF(COUNTIF(B509,"*千切子裂光*")&gt;0,2+加速!$K$9-(A509+加速!$L$11-T509),0),0)</f>
        <v>0</v>
      </c>
      <c r="V509">
        <f ca="1" t="shared" si="138"/>
        <v>0</v>
      </c>
      <c r="W509">
        <f ca="1" t="shared" si="130"/>
        <v>0</v>
      </c>
      <c r="X509">
        <f ca="1">INDEX(加速!$I$13:$I$21,W509+1)</f>
        <v>0</v>
      </c>
      <c r="Y509">
        <f ca="1" t="shared" si="139"/>
        <v>0.5</v>
      </c>
      <c r="Z509">
        <f ca="1" t="shared" si="135"/>
        <v>0</v>
      </c>
      <c r="AA509">
        <f ca="1">MAX(0,IFERROR(IF(COUNTIF(B509,"*叠*")&gt;0,IF(AC508&lt;3,8-A510+A509,AA508+6.875-A510+A509),AA508-A510+A509),AA508-加速!$L$11))</f>
        <v>0</v>
      </c>
      <c r="AB509" t="e">
        <f ca="1">MAX(0,IF(COUNTIF(IF(AND(配装计算器!$K$30&lt;&gt;"∞",0),INDEX(AU509:CB509,1,$AT$1),INDEX(AU509:CB509,1,$AT$1)),"*叠1*")=1,4*25-加速!$L$11,AB508-A509+A508)-IF(OR(COUNTIF(OFFSET(AT509,0,$AT$1,1,1),"*听雷*")&gt;0,AND(碧归&gt;0,COUNTIF(OFFSET(AT509,0,$AT$1,1,1),"*风来*")&gt;0)),0,1)*1.5)</f>
        <v>#VALUE!</v>
      </c>
      <c r="AC509">
        <f ca="1" t="shared" si="131"/>
        <v>0</v>
      </c>
      <c r="AD509">
        <f ca="1">IF(COUNTIF(IF(AND(配装计算器!$K$30&lt;&gt;"∞",0),INDEX(AU509:CB509,1,$AT$1),INDEX(AU510:CB510,1,$AT$1)),"*叠1*")=1,AB509*0+AE508,0)</f>
        <v>0</v>
      </c>
      <c r="AE509" t="e">
        <f ca="1">IF($AN$11&gt;0,IF(COUNTIF(B510,"*叠1*")&gt;0,50-加速!$L$11,MAX(0,AE508-(A510-A509))),0)</f>
        <v>#VALUE!</v>
      </c>
      <c r="AG509">
        <f ca="1" t="shared" si="132"/>
        <v>14</v>
      </c>
      <c r="AU509" t="str">
        <f>IF($AN$11=1,"云飞玉皇-玉山揽云","夕照雷峰")</f>
        <v>云飞玉皇-玉山揽云</v>
      </c>
      <c r="AV509">
        <v>2</v>
      </c>
      <c r="AW509" t="s">
        <v>2768</v>
      </c>
      <c r="AX509">
        <v>2</v>
      </c>
      <c r="AY509" t="s">
        <v>2768</v>
      </c>
      <c r="AZ509">
        <v>0</v>
      </c>
      <c r="BA509" t="s">
        <v>3017</v>
      </c>
      <c r="BB509">
        <v>2</v>
      </c>
      <c r="BC509" s="176" t="s">
        <v>3026</v>
      </c>
      <c r="BD509">
        <v>2</v>
      </c>
      <c r="BE509" t="s">
        <v>2768</v>
      </c>
      <c r="BF509">
        <v>2</v>
      </c>
      <c r="BG509" t="s">
        <v>3018</v>
      </c>
      <c r="BH509">
        <v>2</v>
      </c>
      <c r="BI509" t="s">
        <v>2768</v>
      </c>
      <c r="BJ509">
        <v>2</v>
      </c>
      <c r="BK509" s="176" t="s">
        <v>2776</v>
      </c>
      <c r="BL509">
        <v>2</v>
      </c>
      <c r="BM509" t="s">
        <v>2776</v>
      </c>
      <c r="BN509">
        <v>2</v>
      </c>
      <c r="BO509" s="176" t="s">
        <v>2794</v>
      </c>
      <c r="BP509">
        <v>2</v>
      </c>
      <c r="BQ509" t="s">
        <v>3067</v>
      </c>
      <c r="BR509">
        <v>0</v>
      </c>
      <c r="BS509" s="182" t="s">
        <v>2768</v>
      </c>
      <c r="BT509">
        <v>2</v>
      </c>
      <c r="BU509" s="176" t="s">
        <v>2794</v>
      </c>
      <c r="BV509">
        <v>1</v>
      </c>
      <c r="BW509" s="182" t="s">
        <v>2768</v>
      </c>
      <c r="BX509" s="179">
        <v>2</v>
      </c>
      <c r="BY509" t="s">
        <v>2768</v>
      </c>
      <c r="BZ509">
        <v>2</v>
      </c>
      <c r="CA509" s="176" t="s">
        <v>2794</v>
      </c>
      <c r="CB509">
        <v>2</v>
      </c>
    </row>
    <row r="510" spans="1:80">
      <c r="A510" s="178" t="str">
        <f ca="1">IFERROR(IF(AG509&lt;5+金蛇*2,IF(COUNTIF(B509,"*轻*")&gt;0,A509+加速!$L$9,A509+加速!$L$11)+V509,""),"")</f>
        <v/>
      </c>
      <c r="B510" s="167" t="str">
        <f ca="1" t="shared" si="127"/>
        <v/>
      </c>
      <c r="C510" t="str">
        <f ca="1" t="shared" si="136"/>
        <v/>
      </c>
      <c r="D510" t="str">
        <f ca="1">IF(B510&lt;&gt;"",IF(C509&lt;=加速!$L$11*(1-E510),0,1),"")</f>
        <v/>
      </c>
      <c r="E510">
        <f ca="1" t="shared" si="133"/>
        <v>1</v>
      </c>
      <c r="G510" t="str">
        <f ca="1" t="shared" si="134"/>
        <v/>
      </c>
      <c r="H510" t="str">
        <f ca="1">IF(B510&lt;&gt;"",IF(AND(COUNTIF(B509,"*轻*莺鸣柳*")&gt;0,COUNTIF(B510,"*轻*")&lt;1),MAX(0,15+I509-(A510-A509)+COUNTIF(B509,"*平湖*")*0),IF(AND(E510=0,MAX(0,H509-(A510-A509))&lt;=加速!$H$11),0,MAX(0,H509-(A510-A509)))),"")</f>
        <v/>
      </c>
      <c r="I510" t="str">
        <f ca="1" t="shared" si="140"/>
        <v/>
      </c>
      <c r="J510" t="str">
        <f ca="1" t="shared" si="141"/>
        <v/>
      </c>
      <c r="K510" t="str">
        <f ca="1" t="shared" si="128"/>
        <v/>
      </c>
      <c r="L510">
        <f ca="1">IFERROR(IF(AND(COUNTIF(B510,"*-峰插*"),技能数据库!$M$72&gt;0),0,IF(COUNTIF(B510,"*鹤归*")&gt;0,16-加速!$L$11,MAX(0,L509-(A510-A509)))),0)</f>
        <v>0</v>
      </c>
      <c r="M510">
        <f ca="1" t="shared" si="129"/>
        <v>0</v>
      </c>
      <c r="N510">
        <f ca="1">IFERROR(IF(AND(COUNTIF(B510,"*-峰插*"),技能数据库!$M$72&gt;0),0,IF(COUNTIF(B510,"*云飞*")&gt;0,4-COUNTIF(B510,"*玉山揽云*")*4--COUNTIF(B510,"*烟流暮景*")*4-COUNTIF(B510,"*云景*")*加速!$L$11-IF(J510&gt;0,2,0),MAX(0,N509-(A510-A509)-IF(J510&gt;0,2,0)))),0)</f>
        <v>0</v>
      </c>
      <c r="O510">
        <f ca="1">IF(AND(COUNTIF(IF(AND(配装计算器!$K$30&lt;&gt;"∞",0),INDEX(AU509:CB509,1,$AT$1),INDEX(AU511:CB511,1,$AT$1)),"*云飞*")=1,COUNTIF(IF(AND(配装计算器!$K$30&lt;&gt;"∞",0),INDEX(AU509:CB509,1,$AT$1),INDEX(AU511:CB511,1,$AT$1)),"*玉山*")=0),N510,0)</f>
        <v>0</v>
      </c>
      <c r="P510">
        <f ca="1">IFERROR(IF(COUNTIF(B510,"*云栖松*")&gt;0,50-加速!$L$11,MAX(0,P509-(A510-A509))),0)</f>
        <v>0</v>
      </c>
      <c r="Q510">
        <f ca="1">IF(COUNTIF(IF(AND(配装计算器!$K$30&lt;&gt;"∞",0),INDEX(AU509:CB509,1,$AT$1),INDEX(AU511:CB511,1,$AT$1)),"*云栖松*")=1,P510,0)</f>
        <v>0</v>
      </c>
      <c r="R510">
        <f ca="1">IFERROR(IF(COUNTIF(B510,"*莺鸣柳*")&gt;0,45-加速!$L$9,MAX(0,R509-(A510-A509))),0)</f>
        <v>0</v>
      </c>
      <c r="S510">
        <f ca="1">IF(COUNTIF(IF(AND(配装计算器!$K$30&lt;&gt;"∞",0),INDEX(AU509:CB509,1,$AT$1),INDEX(AU511:CB511,1,$AT$1)),"*莺鸣柳*")=1,R510,0)</f>
        <v>0</v>
      </c>
      <c r="T510">
        <f ca="1" t="shared" si="137"/>
        <v>0</v>
      </c>
      <c r="U510">
        <f ca="1">IF(金蛇,IF(COUNTIF(B510,"*金环戴*")+COUNTIF(B510,"*吹风醒*")&gt;0,IF(A510&lt;=3,7.125-2.625-A510-加速!$L$11,7.125+加速!$K$9-(A510+加速!$L$11-T510)),0),0)+IF(金蛇,IF(COUNTIF(B510,"*千切子裂光*")&gt;0,2+加速!$K$9-(A510+加速!$L$11-T510),0),0)</f>
        <v>0</v>
      </c>
      <c r="V510">
        <f ca="1" t="shared" si="138"/>
        <v>0</v>
      </c>
      <c r="W510">
        <f ca="1" t="shared" si="130"/>
        <v>0</v>
      </c>
      <c r="X510">
        <f ca="1">INDEX(加速!$I$13:$I$21,W510+1)</f>
        <v>0</v>
      </c>
      <c r="Y510">
        <f ca="1" t="shared" si="139"/>
        <v>0.5</v>
      </c>
      <c r="Z510">
        <f ca="1" t="shared" si="135"/>
        <v>0</v>
      </c>
      <c r="AA510">
        <f ca="1">MAX(0,IFERROR(IF(COUNTIF(B510,"*叠*")&gt;0,IF(AC509&lt;3,8-A511+A510,AA509+6.875-A511+A510),AA509-A511+A510),AA509-加速!$L$11))</f>
        <v>0</v>
      </c>
      <c r="AB510" t="e">
        <f ca="1">MAX(0,IF(COUNTIF(IF(AND(配装计算器!$K$30&lt;&gt;"∞",0),INDEX(AU510:CB510,1,$AT$1),INDEX(AU510:CB510,1,$AT$1)),"*叠1*")=1,4*25-加速!$L$11,AB509-A510+A509)-IF(OR(COUNTIF(OFFSET(AT510,0,$AT$1,1,1),"*听雷*")&gt;0,AND(碧归&gt;0,COUNTIF(OFFSET(AT510,0,$AT$1,1,1),"*风来*")&gt;0)),0,1)*1.5)</f>
        <v>#VALUE!</v>
      </c>
      <c r="AC510">
        <f ca="1" t="shared" si="131"/>
        <v>0</v>
      </c>
      <c r="AD510">
        <f ca="1">IF(COUNTIF(IF(AND(配装计算器!$K$30&lt;&gt;"∞",0),INDEX(AU510:CB510,1,$AT$1),INDEX(AU511:CB511,1,$AT$1)),"*叠1*")=1,AB510*0+AE509,0)</f>
        <v>0</v>
      </c>
      <c r="AE510" t="e">
        <f ca="1">IF($AN$11&gt;0,IF(COUNTIF(B511,"*叠1*")&gt;0,50-加速!$L$11,MAX(0,AE509-(A511-A510))),0)</f>
        <v>#VALUE!</v>
      </c>
      <c r="AG510">
        <f ca="1" t="shared" si="132"/>
        <v>14</v>
      </c>
      <c r="AU510" t="str">
        <f>IF($AN$11=1,"云飞玉皇-玉山揽云","云飞玉皇")</f>
        <v>云飞玉皇-玉山揽云</v>
      </c>
      <c r="AV510">
        <v>2</v>
      </c>
      <c r="AW510" t="s">
        <v>2776</v>
      </c>
      <c r="AX510">
        <v>2</v>
      </c>
      <c r="AY510" t="s">
        <v>3010</v>
      </c>
      <c r="AZ510">
        <v>2</v>
      </c>
      <c r="BA510" t="s">
        <v>2808</v>
      </c>
      <c r="BB510">
        <v>2</v>
      </c>
      <c r="BC510" s="176" t="s">
        <v>3026</v>
      </c>
      <c r="BD510">
        <v>2</v>
      </c>
      <c r="BE510" t="s">
        <v>2794</v>
      </c>
      <c r="BF510">
        <v>2</v>
      </c>
      <c r="BG510" t="s">
        <v>2768</v>
      </c>
      <c r="BH510">
        <v>2</v>
      </c>
      <c r="BI510" t="s">
        <v>2776</v>
      </c>
      <c r="BJ510">
        <v>2</v>
      </c>
      <c r="BK510" s="176" t="s">
        <v>2794</v>
      </c>
      <c r="BL510">
        <v>2</v>
      </c>
      <c r="BM510" t="s">
        <v>2768</v>
      </c>
      <c r="BN510">
        <v>2</v>
      </c>
      <c r="BO510" s="176" t="s">
        <v>2768</v>
      </c>
      <c r="BP510">
        <v>2</v>
      </c>
      <c r="BQ510" t="s">
        <v>2776</v>
      </c>
      <c r="BR510">
        <v>2</v>
      </c>
      <c r="BS510" s="182" t="s">
        <v>2768</v>
      </c>
      <c r="BT510">
        <v>2</v>
      </c>
      <c r="BU510" t="s">
        <v>2776</v>
      </c>
      <c r="BV510">
        <v>1</v>
      </c>
      <c r="BW510" s="182" t="s">
        <v>2776</v>
      </c>
      <c r="BX510" s="179">
        <v>2</v>
      </c>
      <c r="BY510" t="s">
        <v>2776</v>
      </c>
      <c r="BZ510">
        <v>2</v>
      </c>
      <c r="CA510" s="176" t="s">
        <v>2776</v>
      </c>
      <c r="CB510">
        <v>2</v>
      </c>
    </row>
    <row r="511" spans="1:80">
      <c r="A511" s="178" t="str">
        <f ca="1">IFERROR(IF(AG510&lt;5+金蛇*2,IF(COUNTIF(B510,"*轻*")&gt;0,A510+加速!$L$9,A510+加速!$L$11)+V510,""),"")</f>
        <v/>
      </c>
      <c r="B511" s="167" t="str">
        <f ca="1" t="shared" si="127"/>
        <v/>
      </c>
      <c r="C511" t="str">
        <f ca="1" t="shared" si="136"/>
        <v/>
      </c>
      <c r="D511" t="str">
        <f ca="1">IF(B511&lt;&gt;"",IF(C510&lt;=加速!$L$11*(1-E511),0,1),"")</f>
        <v/>
      </c>
      <c r="E511">
        <f ca="1" t="shared" si="133"/>
        <v>1</v>
      </c>
      <c r="G511" t="str">
        <f ca="1" t="shared" si="134"/>
        <v/>
      </c>
      <c r="H511" t="str">
        <f ca="1">IF(B511&lt;&gt;"",IF(AND(COUNTIF(B510,"*轻*莺鸣柳*")&gt;0,COUNTIF(B511,"*轻*")&lt;1),MAX(0,15+I510-(A511-A510)+COUNTIF(B510,"*平湖*")*0),IF(AND(E511=0,MAX(0,H510-(A511-A510))&lt;=加速!$H$11),0,MAX(0,H510-(A511-A510)))),"")</f>
        <v/>
      </c>
      <c r="I511" t="str">
        <f ca="1" t="shared" si="140"/>
        <v/>
      </c>
      <c r="J511" t="str">
        <f ca="1" t="shared" si="141"/>
        <v/>
      </c>
      <c r="K511" t="str">
        <f ca="1" t="shared" si="128"/>
        <v/>
      </c>
      <c r="L511">
        <f ca="1">IFERROR(IF(AND(COUNTIF(B511,"*-峰插*"),技能数据库!$M$72&gt;0),0,IF(COUNTIF(B511,"*鹤归*")&gt;0,16-加速!$L$11,MAX(0,L510-(A511-A510)))),0)</f>
        <v>0</v>
      </c>
      <c r="M511">
        <f ca="1" t="shared" si="129"/>
        <v>0</v>
      </c>
      <c r="N511">
        <f ca="1">IFERROR(IF(AND(COUNTIF(B511,"*-峰插*"),技能数据库!$M$72&gt;0),0,IF(COUNTIF(B511,"*云飞*")&gt;0,4-COUNTIF(B511,"*玉山揽云*")*4--COUNTIF(B511,"*烟流暮景*")*4-COUNTIF(B511,"*云景*")*加速!$L$11-IF(J511&gt;0,2,0),MAX(0,N510-(A511-A510)-IF(J511&gt;0,2,0)))),0)</f>
        <v>0</v>
      </c>
      <c r="O511">
        <f ca="1">IF(AND(COUNTIF(IF(AND(配装计算器!$K$30&lt;&gt;"∞",0),INDEX(AU510:CB510,1,$AT$1),INDEX(AU512:CB512,1,$AT$1)),"*云飞*")=1,COUNTIF(IF(AND(配装计算器!$K$30&lt;&gt;"∞",0),INDEX(AU510:CB510,1,$AT$1),INDEX(AU512:CB512,1,$AT$1)),"*玉山*")=0),N511,0)</f>
        <v>0</v>
      </c>
      <c r="P511">
        <f ca="1">IFERROR(IF(COUNTIF(B511,"*云栖松*")&gt;0,50-加速!$L$11,MAX(0,P510-(A511-A510))),0)</f>
        <v>0</v>
      </c>
      <c r="Q511">
        <f ca="1">IF(COUNTIF(IF(AND(配装计算器!$K$30&lt;&gt;"∞",0),INDEX(AU510:CB510,1,$AT$1),INDEX(AU512:CB512,1,$AT$1)),"*云栖松*")=1,P511,0)</f>
        <v>0</v>
      </c>
      <c r="R511">
        <f ca="1">IFERROR(IF(COUNTIF(B511,"*莺鸣柳*")&gt;0,45-加速!$L$9,MAX(0,R510-(A511-A510))),0)</f>
        <v>0</v>
      </c>
      <c r="S511">
        <f ca="1">IF(COUNTIF(IF(AND(配装计算器!$K$30&lt;&gt;"∞",0),INDEX(AU510:CB510,1,$AT$1),INDEX(AU512:CB512,1,$AT$1)),"*莺鸣柳*")=1,R511,0)</f>
        <v>0</v>
      </c>
      <c r="T511">
        <f ca="1" t="shared" si="137"/>
        <v>0</v>
      </c>
      <c r="U511">
        <f ca="1">IF(金蛇,IF(COUNTIF(B511,"*金环戴*")+COUNTIF(B511,"*吹风醒*")&gt;0,IF(A511&lt;=3,7.125-2.625-A511-加速!$L$11,7.125+加速!$K$9-(A511+加速!$L$11-T511)),0),0)+IF(金蛇,IF(COUNTIF(B511,"*千切子裂光*")&gt;0,2+加速!$K$9-(A511+加速!$L$11-T511),0),0)</f>
        <v>0</v>
      </c>
      <c r="V511">
        <f ca="1" t="shared" si="138"/>
        <v>0</v>
      </c>
      <c r="W511">
        <f ca="1" t="shared" si="130"/>
        <v>0</v>
      </c>
      <c r="X511">
        <f ca="1">INDEX(加速!$I$13:$I$21,W511+1)</f>
        <v>0</v>
      </c>
      <c r="Y511">
        <f ca="1" t="shared" si="139"/>
        <v>0.5</v>
      </c>
      <c r="Z511">
        <f ca="1" t="shared" si="135"/>
        <v>0</v>
      </c>
      <c r="AA511">
        <f ca="1">MAX(0,IFERROR(IF(COUNTIF(B511,"*叠*")&gt;0,IF(AC510&lt;3,8-A512+A511,AA510+6.875-A512+A511),AA510-A512+A511),AA510-加速!$L$11))</f>
        <v>0</v>
      </c>
      <c r="AB511" t="e">
        <f ca="1">MAX(0,IF(COUNTIF(IF(AND(配装计算器!$K$30&lt;&gt;"∞",0),INDEX(AU511:CB511,1,$AT$1),INDEX(AU511:CB511,1,$AT$1)),"*叠1*")=1,4*25-加速!$L$11,AB510-A511+A510)-IF(OR(COUNTIF(OFFSET(AT511,0,$AT$1,1,1),"*听雷*")&gt;0,AND(碧归&gt;0,COUNTIF(OFFSET(AT511,0,$AT$1,1,1),"*风来*")&gt;0)),0,1)*1.5)</f>
        <v>#VALUE!</v>
      </c>
      <c r="AC511">
        <f ca="1" t="shared" si="131"/>
        <v>0</v>
      </c>
      <c r="AD511">
        <f ca="1">IF(COUNTIF(IF(AND(配装计算器!$K$30&lt;&gt;"∞",0),INDEX(AU511:CB511,1,$AT$1),INDEX(AU512:CB512,1,$AT$1)),"*叠1*")=1,AB511*0+AE510,0)</f>
        <v>0</v>
      </c>
      <c r="AE511" t="e">
        <f ca="1">IF($AN$11&gt;0,IF(COUNTIF(B512,"*叠1*")&gt;0,50-加速!$L$11,MAX(0,AE510-(A512-A511))),0)</f>
        <v>#VALUE!</v>
      </c>
      <c r="AG511">
        <f ca="1" t="shared" si="132"/>
        <v>14</v>
      </c>
      <c r="AU511" t="str">
        <f>IF($AN$11=1,"云飞玉皇-玉山揽云","夕照雷峰")</f>
        <v>云飞玉皇-玉山揽云</v>
      </c>
      <c r="AV511">
        <v>2</v>
      </c>
      <c r="AW511" t="s">
        <v>2768</v>
      </c>
      <c r="AX511">
        <v>2</v>
      </c>
      <c r="AY511" t="s">
        <v>3013</v>
      </c>
      <c r="AZ511">
        <v>2</v>
      </c>
      <c r="BA511" t="s">
        <v>3022</v>
      </c>
      <c r="BB511">
        <v>2</v>
      </c>
      <c r="BC511" t="s">
        <v>3013</v>
      </c>
      <c r="BD511">
        <v>2</v>
      </c>
      <c r="BE511" t="s">
        <v>2768</v>
      </c>
      <c r="BF511">
        <v>2</v>
      </c>
      <c r="BG511" s="182" t="s">
        <v>3023</v>
      </c>
      <c r="BH511">
        <v>2</v>
      </c>
      <c r="BI511" t="s">
        <v>2768</v>
      </c>
      <c r="BJ511">
        <v>2</v>
      </c>
      <c r="BK511" s="176" t="s">
        <v>2768</v>
      </c>
      <c r="BL511">
        <v>2</v>
      </c>
      <c r="BM511" t="str">
        <f>IF(山重水复,"风来吴山","夕照雷峰")</f>
        <v>夕照雷峰</v>
      </c>
      <c r="BN511">
        <v>2</v>
      </c>
      <c r="BO511" s="176" t="s">
        <v>2776</v>
      </c>
      <c r="BP511">
        <v>2</v>
      </c>
      <c r="BQ511" t="s">
        <v>2768</v>
      </c>
      <c r="BR511">
        <v>2</v>
      </c>
      <c r="BS511" s="187" t="str">
        <f>IF(秋,"云景·云飞玉皇-叠-蛇牙锥心","云景·云飞玉皇-叠")</f>
        <v>云景·云飞玉皇-叠</v>
      </c>
      <c r="BT511">
        <v>2</v>
      </c>
      <c r="BU511" t="s">
        <v>2768</v>
      </c>
      <c r="BV511">
        <v>1</v>
      </c>
      <c r="BW511" s="182" t="s">
        <v>2768</v>
      </c>
      <c r="BX511" s="179">
        <v>2</v>
      </c>
      <c r="BY511" t="s">
        <v>2768</v>
      </c>
      <c r="BZ511">
        <v>2</v>
      </c>
      <c r="CA511" s="176" t="s">
        <v>2768</v>
      </c>
      <c r="CB511">
        <v>2</v>
      </c>
    </row>
    <row r="512" spans="1:80">
      <c r="A512" s="178" t="str">
        <f ca="1">IFERROR(IF(AG511&lt;5+金蛇*2,IF(COUNTIF(B511,"*轻*")&gt;0,A511+加速!$L$9,A511+加速!$L$11)+V511,""),"")</f>
        <v/>
      </c>
      <c r="B512" s="167" t="str">
        <f ca="1" t="shared" si="127"/>
        <v/>
      </c>
      <c r="C512" t="str">
        <f ca="1" t="shared" si="136"/>
        <v/>
      </c>
      <c r="D512" t="str">
        <f ca="1">IF(B512&lt;&gt;"",IF(C511&lt;=加速!$L$11*(1-E512),0,1),"")</f>
        <v/>
      </c>
      <c r="E512">
        <f ca="1" t="shared" si="133"/>
        <v>1</v>
      </c>
      <c r="G512" t="str">
        <f ca="1" t="shared" si="134"/>
        <v/>
      </c>
      <c r="H512" t="str">
        <f ca="1">IF(B512&lt;&gt;"",IF(AND(COUNTIF(B511,"*轻*莺鸣柳*")&gt;0,COUNTIF(B512,"*轻*")&lt;1),MAX(0,15+I511-(A512-A511)+COUNTIF(B511,"*平湖*")*0),IF(AND(E512=0,MAX(0,H511-(A512-A511))&lt;=加速!$H$11),0,MAX(0,H511-(A512-A511)))),"")</f>
        <v/>
      </c>
      <c r="I512" t="str">
        <f ca="1" t="shared" si="140"/>
        <v/>
      </c>
      <c r="J512" t="str">
        <f ca="1" t="shared" si="141"/>
        <v/>
      </c>
      <c r="K512" t="str">
        <f ca="1" t="shared" si="128"/>
        <v/>
      </c>
      <c r="L512">
        <f ca="1">IFERROR(IF(AND(COUNTIF(B512,"*-峰插*"),技能数据库!$M$72&gt;0),0,IF(COUNTIF(B512,"*鹤归*")&gt;0,16-加速!$L$11,MAX(0,L511-(A512-A511)))),0)</f>
        <v>0</v>
      </c>
      <c r="M512">
        <f ca="1" t="shared" si="129"/>
        <v>0</v>
      </c>
      <c r="N512">
        <f ca="1">IFERROR(IF(AND(COUNTIF(B512,"*-峰插*"),技能数据库!$M$72&gt;0),0,IF(COUNTIF(B512,"*云飞*")&gt;0,4-COUNTIF(B512,"*玉山揽云*")*4--COUNTIF(B512,"*烟流暮景*")*4-COUNTIF(B512,"*云景*")*加速!$L$11-IF(J512&gt;0,2,0),MAX(0,N511-(A512-A511)-IF(J512&gt;0,2,0)))),0)</f>
        <v>0</v>
      </c>
      <c r="O512">
        <f ca="1">IF(AND(COUNTIF(IF(AND(配装计算器!$K$30&lt;&gt;"∞",0),INDEX(AU511:CB511,1,$AT$1),INDEX(AU513:CB513,1,$AT$1)),"*云飞*")=1,COUNTIF(IF(AND(配装计算器!$K$30&lt;&gt;"∞",0),INDEX(AU511:CB511,1,$AT$1),INDEX(AU513:CB513,1,$AT$1)),"*玉山*")=0),N512,0)</f>
        <v>0</v>
      </c>
      <c r="P512">
        <f ca="1">IFERROR(IF(COUNTIF(B512,"*云栖松*")&gt;0,50-加速!$L$11,MAX(0,P511-(A512-A511))),0)</f>
        <v>0</v>
      </c>
      <c r="Q512">
        <f ca="1">IF(COUNTIF(IF(AND(配装计算器!$K$30&lt;&gt;"∞",0),INDEX(AU511:CB511,1,$AT$1),INDEX(AU513:CB513,1,$AT$1)),"*云栖松*")=1,P512,0)</f>
        <v>0</v>
      </c>
      <c r="R512">
        <f ca="1">IFERROR(IF(COUNTIF(B512,"*莺鸣柳*")&gt;0,45-加速!$L$9,MAX(0,R511-(A512-A511))),0)</f>
        <v>0</v>
      </c>
      <c r="S512">
        <f ca="1">IF(COUNTIF(IF(AND(配装计算器!$K$30&lt;&gt;"∞",0),INDEX(AU511:CB511,1,$AT$1),INDEX(AU513:CB513,1,$AT$1)),"*莺鸣柳*")=1,R512,0)</f>
        <v>0</v>
      </c>
      <c r="T512">
        <f ca="1" t="shared" si="137"/>
        <v>0</v>
      </c>
      <c r="U512">
        <f ca="1">IF(金蛇,IF(COUNTIF(B512,"*金环戴*")+COUNTIF(B512,"*吹风醒*")&gt;0,IF(A512&lt;=3,7.125-2.625-A512-加速!$L$11,7.125+加速!$K$9-(A512+加速!$L$11-T512)),0),0)+IF(金蛇,IF(COUNTIF(B512,"*千切子裂光*")&gt;0,2+加速!$K$9-(A512+加速!$L$11-T512),0),0)</f>
        <v>0</v>
      </c>
      <c r="V512">
        <f ca="1" t="shared" si="138"/>
        <v>0</v>
      </c>
      <c r="W512">
        <f ca="1" t="shared" si="130"/>
        <v>0</v>
      </c>
      <c r="X512">
        <f ca="1">INDEX(加速!$I$13:$I$21,W512+1)</f>
        <v>0</v>
      </c>
      <c r="Y512">
        <f ca="1" t="shared" si="139"/>
        <v>0.5</v>
      </c>
      <c r="Z512">
        <f ca="1" t="shared" si="135"/>
        <v>0</v>
      </c>
      <c r="AA512">
        <f ca="1">MAX(0,IFERROR(IF(COUNTIF(B512,"*叠*")&gt;0,IF(AC511&lt;3,8-A513+A512,AA511+6.875-A513+A512),AA511-A513+A512),AA511-加速!$L$11))</f>
        <v>0</v>
      </c>
      <c r="AB512" t="e">
        <f ca="1">MAX(0,IF(COUNTIF(IF(AND(配装计算器!$K$30&lt;&gt;"∞",0),INDEX(AU512:CB512,1,$AT$1),INDEX(AU512:CB512,1,$AT$1)),"*叠1*")=1,4*25-加速!$L$11,AB511-A512+A511)-IF(OR(COUNTIF(OFFSET(AT512,0,$AT$1,1,1),"*听雷*")&gt;0,AND(碧归&gt;0,COUNTIF(OFFSET(AT512,0,$AT$1,1,1),"*风来*")&gt;0)),0,1)*1.5)</f>
        <v>#VALUE!</v>
      </c>
      <c r="AC512">
        <f ca="1" t="shared" si="131"/>
        <v>0</v>
      </c>
      <c r="AD512">
        <f ca="1">IF(COUNTIF(IF(AND(配装计算器!$K$30&lt;&gt;"∞",0),INDEX(AU512:CB512,1,$AT$1),INDEX(AU513:CB513,1,$AT$1)),"*叠1*")=1,AB512*0+AE511,0)</f>
        <v>0</v>
      </c>
      <c r="AE512" t="e">
        <f ca="1">IF($AN$11&gt;0,IF(COUNTIF(B513,"*叠1*")&gt;0,50-加速!$L$11,MAX(0,AE511-(A513-A512))),0)</f>
        <v>#VALUE!</v>
      </c>
      <c r="AG512">
        <f ca="1" t="shared" si="132"/>
        <v>14</v>
      </c>
      <c r="AU512" t="str">
        <f>IF($AN$11=1,橙武补雾锁,"夕照雷峰")</f>
        <v>云飞玉皇-玉山揽云</v>
      </c>
      <c r="AV512">
        <v>2</v>
      </c>
      <c r="AW512" t="s">
        <v>2722</v>
      </c>
      <c r="AX512">
        <v>0</v>
      </c>
      <c r="AY512" t="s">
        <v>3017</v>
      </c>
      <c r="AZ512">
        <v>2</v>
      </c>
      <c r="BA512" t="s">
        <v>2776</v>
      </c>
      <c r="BB512">
        <v>2</v>
      </c>
      <c r="BC512" t="s">
        <v>2808</v>
      </c>
      <c r="BD512">
        <v>2</v>
      </c>
      <c r="BE512" t="s">
        <v>2776</v>
      </c>
      <c r="BF512">
        <v>2</v>
      </c>
      <c r="BG512" s="176" t="s">
        <v>2768</v>
      </c>
      <c r="BH512">
        <v>2</v>
      </c>
      <c r="BI512" t="s">
        <v>2808</v>
      </c>
      <c r="BJ512">
        <v>2</v>
      </c>
      <c r="BK512" s="176" t="s">
        <v>2776</v>
      </c>
      <c r="BL512">
        <v>2</v>
      </c>
      <c r="BM512" s="176" t="s">
        <v>2794</v>
      </c>
      <c r="BN512">
        <v>2</v>
      </c>
      <c r="BO512" s="176" t="s">
        <v>2768</v>
      </c>
      <c r="BP512">
        <v>2</v>
      </c>
      <c r="BQ512" t="s">
        <v>2768</v>
      </c>
      <c r="BR512">
        <v>2</v>
      </c>
      <c r="BS512" s="186" t="str">
        <f>IF(秋,"夕照雷峰","千切子寒光")</f>
        <v>千切子寒光</v>
      </c>
      <c r="BT512">
        <v>2</v>
      </c>
      <c r="BU512" t="s">
        <v>3011</v>
      </c>
      <c r="BV512">
        <v>2</v>
      </c>
      <c r="BW512" s="182" t="s">
        <v>2808</v>
      </c>
      <c r="BX512" s="179">
        <v>2</v>
      </c>
      <c r="BY512" t="str">
        <f>IF(山重水复,"风来吴山","夕照雷峰")</f>
        <v>夕照雷峰</v>
      </c>
      <c r="BZ512">
        <v>2</v>
      </c>
      <c r="CA512" s="176" t="s">
        <v>2776</v>
      </c>
      <c r="CB512">
        <v>2</v>
      </c>
    </row>
    <row r="513" spans="1:80">
      <c r="A513" s="178" t="str">
        <f ca="1">IFERROR(IF(AG512&lt;5+金蛇*2,IF(COUNTIF(B512,"*轻*")&gt;0,A512+加速!$L$9,A512+加速!$L$11)+V512,""),"")</f>
        <v/>
      </c>
      <c r="B513" s="167" t="str">
        <f ca="1" t="shared" si="127"/>
        <v/>
      </c>
      <c r="C513" t="str">
        <f ca="1" t="shared" si="136"/>
        <v/>
      </c>
      <c r="D513" t="str">
        <f ca="1">IF(B513&lt;&gt;"",IF(C512&lt;=加速!$L$11*(1-E513),0,1),"")</f>
        <v/>
      </c>
      <c r="E513">
        <f ca="1" t="shared" si="133"/>
        <v>1</v>
      </c>
      <c r="G513" t="str">
        <f ca="1" t="shared" si="134"/>
        <v/>
      </c>
      <c r="H513" t="str">
        <f ca="1">IF(B513&lt;&gt;"",IF(AND(COUNTIF(B512,"*轻*莺鸣柳*")&gt;0,COUNTIF(B513,"*轻*")&lt;1),MAX(0,15+I512-(A513-A512)+COUNTIF(B512,"*平湖*")*0),IF(AND(E513=0,MAX(0,H512-(A513-A512))&lt;=加速!$H$11),0,MAX(0,H512-(A513-A512)))),"")</f>
        <v/>
      </c>
      <c r="I513" t="str">
        <f ca="1" t="shared" si="140"/>
        <v/>
      </c>
      <c r="J513" t="str">
        <f ca="1" t="shared" si="141"/>
        <v/>
      </c>
      <c r="K513" t="str">
        <f ca="1" t="shared" si="128"/>
        <v/>
      </c>
      <c r="L513">
        <f ca="1">IFERROR(IF(AND(COUNTIF(B513,"*-峰插*"),技能数据库!$M$72&gt;0),0,IF(COUNTIF(B513,"*鹤归*")&gt;0,16-加速!$L$11,MAX(0,L512-(A513-A512)))),0)</f>
        <v>0</v>
      </c>
      <c r="M513">
        <f ca="1" t="shared" si="129"/>
        <v>0</v>
      </c>
      <c r="N513">
        <f ca="1">IFERROR(IF(AND(COUNTIF(B513,"*-峰插*"),技能数据库!$M$72&gt;0),0,IF(COUNTIF(B513,"*云飞*")&gt;0,4-COUNTIF(B513,"*玉山揽云*")*4--COUNTIF(B513,"*烟流暮景*")*4-COUNTIF(B513,"*云景*")*加速!$L$11-IF(J513&gt;0,2,0),MAX(0,N512-(A513-A512)-IF(J513&gt;0,2,0)))),0)</f>
        <v>0</v>
      </c>
      <c r="O513">
        <f ca="1">IF(AND(COUNTIF(IF(AND(配装计算器!$K$30&lt;&gt;"∞",0),INDEX(AU512:CB512,1,$AT$1),INDEX(AU514:CB514,1,$AT$1)),"*云飞*")=1,COUNTIF(IF(AND(配装计算器!$K$30&lt;&gt;"∞",0),INDEX(AU512:CB512,1,$AT$1),INDEX(AU514:CB514,1,$AT$1)),"*玉山*")=0),N513,0)</f>
        <v>0</v>
      </c>
      <c r="P513">
        <f ca="1">IFERROR(IF(COUNTIF(B513,"*云栖松*")&gt;0,50-加速!$L$11,MAX(0,P512-(A513-A512))),0)</f>
        <v>0</v>
      </c>
      <c r="Q513">
        <f ca="1">IF(COUNTIF(IF(AND(配装计算器!$K$30&lt;&gt;"∞",0),INDEX(AU512:CB512,1,$AT$1),INDEX(AU514:CB514,1,$AT$1)),"*云栖松*")=1,P513,0)</f>
        <v>0</v>
      </c>
      <c r="R513">
        <f ca="1">IFERROR(IF(COUNTIF(B513,"*莺鸣柳*")&gt;0,45-加速!$L$9,MAX(0,R512-(A513-A512))),0)</f>
        <v>0</v>
      </c>
      <c r="S513">
        <f ca="1">IF(COUNTIF(IF(AND(配装计算器!$K$30&lt;&gt;"∞",0),INDEX(AU512:CB512,1,$AT$1),INDEX(AU514:CB514,1,$AT$1)),"*莺鸣柳*")=1,R513,0)</f>
        <v>0</v>
      </c>
      <c r="T513">
        <f ca="1" t="shared" si="137"/>
        <v>0</v>
      </c>
      <c r="U513">
        <f ca="1">IF(金蛇,IF(COUNTIF(B513,"*金环戴*")+COUNTIF(B513,"*吹风醒*")&gt;0,IF(A513&lt;=3,7.125-2.625-A513-加速!$L$11,7.125+加速!$K$9-(A513+加速!$L$11-T513)),0),0)+IF(金蛇,IF(COUNTIF(B513,"*千切子裂光*")&gt;0,2+加速!$K$9-(A513+加速!$L$11-T513),0),0)</f>
        <v>0</v>
      </c>
      <c r="V513">
        <f ca="1" t="shared" si="138"/>
        <v>0</v>
      </c>
      <c r="W513">
        <f ca="1" t="shared" si="130"/>
        <v>0</v>
      </c>
      <c r="X513">
        <f ca="1">INDEX(加速!$I$13:$I$21,W513+1)</f>
        <v>0</v>
      </c>
      <c r="Y513">
        <f ca="1" t="shared" si="139"/>
        <v>0.5</v>
      </c>
      <c r="Z513">
        <f ca="1" t="shared" si="135"/>
        <v>0</v>
      </c>
      <c r="AA513">
        <f ca="1">MAX(0,IFERROR(IF(COUNTIF(B513,"*叠*")&gt;0,IF(AC512&lt;3,8-A514+A513,AA512+6.875-A514+A513),AA512-A514+A513),AA512-加速!$L$11))</f>
        <v>0</v>
      </c>
      <c r="AB513" t="e">
        <f ca="1">MAX(0,IF(COUNTIF(IF(AND(配装计算器!$K$30&lt;&gt;"∞",0),INDEX(AU513:CB513,1,$AT$1),INDEX(AU513:CB513,1,$AT$1)),"*叠1*")=1,4*25-加速!$L$11,AB512-A513+A512)-IF(OR(COUNTIF(OFFSET(AT513,0,$AT$1,1,1),"*听雷*")&gt;0,AND(碧归&gt;0,COUNTIF(OFFSET(AT513,0,$AT$1,1,1),"*风来*")&gt;0)),0,1)*1.5)</f>
        <v>#VALUE!</v>
      </c>
      <c r="AC513">
        <f ca="1" t="shared" si="131"/>
        <v>0</v>
      </c>
      <c r="AD513">
        <f ca="1">IF(COUNTIF(IF(AND(配装计算器!$K$30&lt;&gt;"∞",0),INDEX(AU513:CB513,1,$AT$1),INDEX(AU514:CB514,1,$AT$1)),"*叠1*")=1,AB513*0+AE512,0)</f>
        <v>0</v>
      </c>
      <c r="AE513" t="e">
        <f ca="1">IF($AN$11&gt;0,IF(COUNTIF(B514,"*叠1*")&gt;0,50-加速!$L$11,MAX(0,AE512-(A514-A513))),0)</f>
        <v>#VALUE!</v>
      </c>
      <c r="AG513">
        <f ca="1" t="shared" si="132"/>
        <v>14</v>
      </c>
      <c r="AU513" t="str">
        <f>IF($AN$11=1,"云飞玉皇-玉山揽云","夕照雷峰")</f>
        <v>云飞玉皇-玉山揽云</v>
      </c>
      <c r="AV513">
        <v>2</v>
      </c>
      <c r="AW513" t="s">
        <v>3009</v>
      </c>
      <c r="AX513">
        <v>2</v>
      </c>
      <c r="AY513" t="s">
        <v>2808</v>
      </c>
      <c r="AZ513">
        <v>2</v>
      </c>
      <c r="BA513" t="s">
        <v>2768</v>
      </c>
      <c r="BB513">
        <v>2</v>
      </c>
      <c r="BC513" t="s">
        <v>2768</v>
      </c>
      <c r="BD513">
        <v>2</v>
      </c>
      <c r="BE513" t="s">
        <v>2768</v>
      </c>
      <c r="BF513">
        <v>2</v>
      </c>
      <c r="BG513" s="176" t="s">
        <v>2768</v>
      </c>
      <c r="BH513">
        <v>2</v>
      </c>
      <c r="BI513" t="s">
        <v>2768</v>
      </c>
      <c r="BJ513">
        <v>2</v>
      </c>
      <c r="BK513" t="s">
        <v>2768</v>
      </c>
      <c r="BL513">
        <v>1</v>
      </c>
      <c r="BM513" s="176" t="s">
        <v>2776</v>
      </c>
      <c r="BN513">
        <v>2</v>
      </c>
      <c r="BO513" s="176" t="s">
        <v>2776</v>
      </c>
      <c r="BP513">
        <v>2</v>
      </c>
      <c r="BQ513" t="s">
        <v>2768</v>
      </c>
      <c r="BR513">
        <v>1</v>
      </c>
      <c r="BS513" s="186" t="str">
        <f>IF(秋,"夕照雷峰","千切子裂光")</f>
        <v>千切子裂光</v>
      </c>
      <c r="BT513">
        <v>2</v>
      </c>
      <c r="BU513" t="s">
        <v>2768</v>
      </c>
      <c r="BV513">
        <v>2</v>
      </c>
      <c r="BW513" s="179" t="s">
        <v>2768</v>
      </c>
      <c r="BX513" s="179">
        <v>2</v>
      </c>
      <c r="BY513" s="176" t="s">
        <v>2794</v>
      </c>
      <c r="BZ513">
        <v>2</v>
      </c>
      <c r="CA513" s="176" t="s">
        <v>2768</v>
      </c>
      <c r="CB513">
        <v>2</v>
      </c>
    </row>
    <row r="514" spans="1:80">
      <c r="A514" s="178" t="str">
        <f ca="1">IFERROR(IF(AG513&lt;5+金蛇*2,IF(COUNTIF(B513,"*轻*")&gt;0,A513+加速!$L$9,A513+加速!$L$11)+V513,""),"")</f>
        <v/>
      </c>
      <c r="B514" s="167" t="str">
        <f ca="1" t="shared" ref="B514:B515" si="144">IF(A514&lt;&gt;"",INDEX(AU514:CB514,1,$AT$1),"")</f>
        <v/>
      </c>
      <c r="C514" t="str">
        <f ca="1" t="shared" si="136"/>
        <v/>
      </c>
      <c r="D514" t="str">
        <f ca="1">IF(B514&lt;&gt;"",IF(C513&lt;=加速!$L$11*(1-E514),0,1),"")</f>
        <v/>
      </c>
      <c r="E514">
        <f ca="1" t="shared" si="133"/>
        <v>1</v>
      </c>
      <c r="G514" t="str">
        <f ca="1" t="shared" si="134"/>
        <v/>
      </c>
      <c r="H514" t="str">
        <f ca="1">IF(B514&lt;&gt;"",IF(AND(COUNTIF(B513,"*轻*莺鸣柳*")&gt;0,COUNTIF(B514,"*轻*")&lt;1),MAX(0,15+I513-(A514-A513)+COUNTIF(B513,"*平湖*")*0),IF(AND(E514=0,MAX(0,H513-(A514-A513))&lt;=加速!$H$11),0,MAX(0,H513-(A514-A513)))),"")</f>
        <v/>
      </c>
      <c r="I514" t="str">
        <f ca="1" t="shared" si="140"/>
        <v/>
      </c>
      <c r="J514" t="str">
        <f ca="1" t="shared" si="141"/>
        <v/>
      </c>
      <c r="K514" t="str">
        <f ca="1" t="shared" si="128"/>
        <v/>
      </c>
      <c r="L514">
        <f ca="1">IFERROR(IF(AND(COUNTIF(B514,"*-峰插*"),技能数据库!$M$72&gt;0),0,IF(COUNTIF(B514,"*鹤归*")&gt;0,16-加速!$L$11,MAX(0,L513-(A514-A513)))),0)</f>
        <v>0</v>
      </c>
      <c r="M514">
        <f ca="1" t="shared" si="129"/>
        <v>0</v>
      </c>
      <c r="N514">
        <f ca="1">IFERROR(IF(AND(COUNTIF(B514,"*-峰插*"),技能数据库!$M$72&gt;0),0,IF(COUNTIF(B514,"*云飞*")&gt;0,4-COUNTIF(B514,"*玉山揽云*")*4--COUNTIF(B514,"*烟流暮景*")*4-COUNTIF(B514,"*云景*")*加速!$L$11-IF(J514&gt;0,2,0),MAX(0,N513-(A514-A513)-IF(J514&gt;0,2,0)))),0)</f>
        <v>0</v>
      </c>
      <c r="O514">
        <f ca="1">IF(AND(COUNTIF(IF(AND(配装计算器!$K$30&lt;&gt;"∞",0),INDEX(AU513:CB513,1,$AT$1),INDEX(AU515:CB515,1,$AT$1)),"*云飞*")=1,COUNTIF(IF(AND(配装计算器!$K$30&lt;&gt;"∞",0),INDEX(AU513:CB513,1,$AT$1),INDEX(AU515:CB515,1,$AT$1)),"*玉山*")=0),N514,0)</f>
        <v>0</v>
      </c>
      <c r="P514">
        <f ca="1">IFERROR(IF(COUNTIF(B514,"*云栖松*")&gt;0,50-加速!$L$11,MAX(0,P513-(A514-A513))),0)</f>
        <v>0</v>
      </c>
      <c r="Q514">
        <f ca="1">IF(COUNTIF(IF(AND(配装计算器!$K$30&lt;&gt;"∞",0),INDEX(AU513:CB513,1,$AT$1),INDEX(AU515:CB515,1,$AT$1)),"*云栖松*")=1,P514,0)</f>
        <v>0</v>
      </c>
      <c r="R514">
        <f ca="1">IFERROR(IF(COUNTIF(B514,"*莺鸣柳*")&gt;0,45-加速!$L$9,MAX(0,R513-(A514-A513))),0)</f>
        <v>0</v>
      </c>
      <c r="S514">
        <f ca="1">IF(COUNTIF(IF(AND(配装计算器!$K$30&lt;&gt;"∞",0),INDEX(AU513:CB513,1,$AT$1),INDEX(AU515:CB515,1,$AT$1)),"*莺鸣柳*")=1,R514,0)</f>
        <v>0</v>
      </c>
      <c r="T514">
        <f ca="1" t="shared" si="137"/>
        <v>0</v>
      </c>
      <c r="U514">
        <f ca="1">IF(金蛇,IF(COUNTIF(B514,"*金环戴*")+COUNTIF(B514,"*吹风醒*")&gt;0,IF(A514&lt;=3,7.125-2.625-A514-加速!$L$11,7.125+加速!$K$9-(A514+加速!$L$11-T514)),0),0)+IF(金蛇,IF(COUNTIF(B514,"*千切子裂光*")&gt;0,2+加速!$K$9-(A514+加速!$L$11-T514),0),0)</f>
        <v>0</v>
      </c>
      <c r="V514">
        <f ca="1" t="shared" si="138"/>
        <v>0</v>
      </c>
      <c r="W514">
        <f ca="1" t="shared" si="130"/>
        <v>0</v>
      </c>
      <c r="X514">
        <f ca="1">INDEX(加速!$I$13:$I$21,W514+1)</f>
        <v>0</v>
      </c>
      <c r="Y514">
        <f ca="1" t="shared" si="139"/>
        <v>0.5</v>
      </c>
      <c r="Z514">
        <f ca="1" t="shared" si="135"/>
        <v>0</v>
      </c>
      <c r="AA514">
        <f ca="1">MAX(0,IFERROR(IF(COUNTIF(B514,"*叠*")&gt;0,IF(AC513&lt;3,8-A515+A514,AA513+6.875-A515+A514),AA513-A515+A514),AA513-加速!$L$11))</f>
        <v>0</v>
      </c>
      <c r="AB514" t="e">
        <f ca="1">MAX(0,IF(COUNTIF(IF(AND(配装计算器!$K$30&lt;&gt;"∞",0),INDEX(AU514:CB514,1,$AT$1),INDEX(AU514:CB514,1,$AT$1)),"*叠1*")=1,4*25-加速!$L$11,AB513-A514+A513)-IF(OR(COUNTIF(OFFSET(AT514,0,$AT$1,1,1),"*听雷*")&gt;0,AND(碧归&gt;0,COUNTIF(OFFSET(AT514,0,$AT$1,1,1),"*风来*")&gt;0)),0,1)*1.5)</f>
        <v>#VALUE!</v>
      </c>
      <c r="AC514">
        <f ca="1" t="shared" si="131"/>
        <v>0</v>
      </c>
      <c r="AD514">
        <f ca="1">IF(COUNTIF(IF(AND(配装计算器!$K$30&lt;&gt;"∞",0),INDEX(AU514:CB514,1,$AT$1),INDEX(AU515:CB515,1,$AT$1)),"*叠1*")=1,AB514*0+AE513,0)</f>
        <v>0</v>
      </c>
      <c r="AE514" t="e">
        <f ca="1">IF($AN$11&gt;0,IF(COUNTIF(B515,"*叠1*")&gt;0,50-加速!$L$11,MAX(0,AE513-(A515-A514))),0)</f>
        <v>#VALUE!</v>
      </c>
      <c r="AG514">
        <f ca="1" t="shared" si="132"/>
        <v>14</v>
      </c>
      <c r="AU514" t="s">
        <v>2776</v>
      </c>
      <c r="AV514">
        <v>2</v>
      </c>
      <c r="AW514" t="s">
        <v>2776</v>
      </c>
      <c r="AX514">
        <v>2</v>
      </c>
      <c r="AY514" t="s">
        <v>3022</v>
      </c>
      <c r="AZ514">
        <v>2</v>
      </c>
      <c r="BA514" t="s">
        <v>2789</v>
      </c>
      <c r="BB514">
        <v>2</v>
      </c>
      <c r="BC514" t="s">
        <v>2768</v>
      </c>
      <c r="BD514">
        <v>2</v>
      </c>
      <c r="BE514" t="s">
        <v>2776</v>
      </c>
      <c r="BF514">
        <v>2</v>
      </c>
      <c r="BG514" s="176" t="s">
        <v>2789</v>
      </c>
      <c r="BH514">
        <v>2</v>
      </c>
      <c r="BI514" s="176" t="s">
        <v>2776</v>
      </c>
      <c r="BJ514">
        <v>2</v>
      </c>
      <c r="BK514" t="s">
        <v>2776</v>
      </c>
      <c r="BL514">
        <v>1</v>
      </c>
      <c r="BM514" s="176" t="s">
        <v>2768</v>
      </c>
      <c r="BN514">
        <v>2</v>
      </c>
      <c r="BO514" s="176" t="str">
        <f>IF(0,"云飞玉皇-玉山揽云","夕照雷峰")</f>
        <v>夕照雷峰</v>
      </c>
      <c r="BP514">
        <v>2</v>
      </c>
      <c r="BQ514" t="s">
        <v>2776</v>
      </c>
      <c r="BR514">
        <v>1</v>
      </c>
      <c r="BS514" s="176" t="s">
        <v>2768</v>
      </c>
      <c r="BT514">
        <v>2</v>
      </c>
      <c r="BU514" t="s">
        <v>3018</v>
      </c>
      <c r="BV514">
        <v>2</v>
      </c>
      <c r="BW514" s="179" t="s">
        <v>2776</v>
      </c>
      <c r="BX514" s="179">
        <v>2</v>
      </c>
      <c r="BY514" s="176" t="s">
        <v>2776</v>
      </c>
      <c r="BZ514">
        <v>2</v>
      </c>
      <c r="CA514" s="176" t="s">
        <v>2808</v>
      </c>
      <c r="CB514">
        <v>2</v>
      </c>
    </row>
    <row r="515" spans="1:80">
      <c r="A515" s="178" t="str">
        <f ca="1">IFERROR(IF(AG514&lt;5+金蛇*2,IF(COUNTIF(B514,"*轻*")&gt;0,A514+加速!$L$9,A514+加速!$L$11)+V514,""),"")</f>
        <v/>
      </c>
      <c r="B515" s="167" t="str">
        <f ca="1" t="shared" si="144"/>
        <v/>
      </c>
      <c r="C515" t="str">
        <f ca="1" t="shared" si="136"/>
        <v/>
      </c>
      <c r="D515" t="str">
        <f ca="1">IF(B515&lt;&gt;"",IF(C514&lt;=加速!$L$11*(1-E515),0,1),"")</f>
        <v/>
      </c>
      <c r="E515">
        <f ca="1" t="shared" si="133"/>
        <v>1</v>
      </c>
      <c r="G515" t="str">
        <f ca="1" t="shared" si="134"/>
        <v/>
      </c>
      <c r="H515" t="str">
        <f ca="1">IF(B515&lt;&gt;"",IF(AND(COUNTIF(B514,"*轻*莺鸣柳*")&gt;0,COUNTIF(B515,"*轻*")&lt;1),MAX(0,15+I514-(A515-A514)+COUNTIF(B514,"*平湖*")*0),IF(AND(E515=0,MAX(0,H514-(A515-A514))&lt;=加速!$H$11),0,MAX(0,H514-(A515-A514)))),"")</f>
        <v/>
      </c>
      <c r="I515" t="str">
        <f ca="1" t="shared" si="140"/>
        <v/>
      </c>
      <c r="J515" t="str">
        <f ca="1" t="shared" si="141"/>
        <v/>
      </c>
      <c r="K515" t="str">
        <f ca="1" t="shared" si="128"/>
        <v/>
      </c>
      <c r="L515">
        <f ca="1">IFERROR(IF(AND(COUNTIF(B515,"*-峰插*"),技能数据库!$M$72&gt;0),0,IF(COUNTIF(B515,"*鹤归*")&gt;0,16-加速!$L$11,MAX(0,L514-(A515-A514)))),0)</f>
        <v>0</v>
      </c>
      <c r="M515">
        <f ca="1" t="shared" ref="M515" si="145">IF(COUNTIF(INDEX(AU516:CB516,1,$AT$1),"*鹤归*")=1,L515,0)</f>
        <v>0</v>
      </c>
      <c r="N515">
        <f ca="1">IFERROR(IF(AND(COUNTIF(B515,"*-峰插*"),技能数据库!$M$72&gt;0),0,IF(COUNTIF(B515,"*云飞*")&gt;0,4-COUNTIF(B515,"*玉山揽云*")*4--COUNTIF(B515,"*烟流暮景*")*4-COUNTIF(B515,"*云景*")*加速!$L$11-IF(J515&gt;0,2,0),MAX(0,N514-(A515-A514)-IF(J515&gt;0,2,0)))),0)</f>
        <v>0</v>
      </c>
      <c r="O515">
        <f ca="1">IF(AND(COUNTIF(IF(AND(配装计算器!$K$30&lt;&gt;"∞",0),INDEX(AU514:CB514,1,$AT$1),INDEX(AU516:CB516,1,$AT$1)),"*云飞*")=1,COUNTIF(IF(AND(配装计算器!$K$30&lt;&gt;"∞",0),INDEX(AU514:CB514,1,$AT$1),INDEX(AU516:CB516,1,$AT$1)),"*玉山*")=0),N515,0)</f>
        <v>0</v>
      </c>
      <c r="P515">
        <f ca="1">IFERROR(IF(COUNTIF(B515,"*云栖松*")&gt;0,50-加速!$L$11,MAX(0,P514-(A515-A514))),0)</f>
        <v>0</v>
      </c>
      <c r="Q515">
        <f ca="1">IF(COUNTIF(IF(AND(配装计算器!$K$30&lt;&gt;"∞",0),INDEX(AU514:CB514,1,$AT$1),INDEX(AU516:CB516,1,$AT$1)),"*云栖松*")=1,P515,0)</f>
        <v>0</v>
      </c>
      <c r="R515">
        <f ca="1">IFERROR(IF(COUNTIF(B515,"*莺鸣柳*")&gt;0,45-加速!$L$9,MAX(0,R514-(A515-A514))),0)</f>
        <v>0</v>
      </c>
      <c r="S515">
        <f ca="1">IF(COUNTIF(IF(AND(配装计算器!$K$30&lt;&gt;"∞",0),INDEX(AU514:CB514,1,$AT$1),INDEX(AU516:CB516,1,$AT$1)),"*莺鸣柳*")=1,R515,0)</f>
        <v>0</v>
      </c>
      <c r="T515">
        <f ca="1" t="shared" si="137"/>
        <v>0</v>
      </c>
      <c r="U515">
        <f ca="1">IF(金蛇,IF(COUNTIF(B515,"*金环戴*")+COUNTIF(B515,"*吹风醒*")&gt;0,IF(A515&lt;=3,7.125-2.625-A515-加速!$L$11,7.125+加速!$K$9-(A515+加速!$L$11-T515)),0),0)+IF(金蛇,IF(COUNTIF(B515,"*千切子裂光*")&gt;0,2+加速!$K$9-(A515+加速!$L$11-T515),0),0)</f>
        <v>0</v>
      </c>
      <c r="V515">
        <f ca="1" t="shared" si="138"/>
        <v>0</v>
      </c>
      <c r="W515">
        <f ca="1" t="shared" ref="W515" si="146">IF(COUNTIF(B515,"*风来吴山*")&gt;0,1,IF(W514+1&gt;风车GCD,0,IF(W514&gt;0,W514+1,0)))</f>
        <v>0</v>
      </c>
      <c r="X515">
        <f ca="1">INDEX(加速!$I$13:$I$21,W515+1)</f>
        <v>0</v>
      </c>
      <c r="Y515">
        <f ca="1" t="shared" si="139"/>
        <v>0.5</v>
      </c>
      <c r="Z515">
        <f ca="1" t="shared" si="135"/>
        <v>0</v>
      </c>
      <c r="AA515">
        <f ca="1">MAX(0,IFERROR(IF(COUNTIF(B515,"*叠*")&gt;0,IF(AC514&lt;3,8-A516+A515,AA514+6.875-A516+A515),AA514-A516+A515),AA514-加速!$L$11))</f>
        <v>0</v>
      </c>
      <c r="AB515" t="e">
        <f ca="1">MAX(0,IF(COUNTIF(IF(AND(配装计算器!$K$30&lt;&gt;"∞",0),INDEX(AU515:CB515,1,$AT$1),INDEX(AU515:CB515,1,$AT$1)),"*叠1*")=1,4*25-加速!$L$11,AB514-A515+A514)-IF(OR(COUNTIF(OFFSET(AT515,0,$AT$1,1,1),"*听雷*")&gt;0,AND(碧归&gt;0,COUNTIF(OFFSET(AT515,0,$AT$1,1,1),"*风来*")&gt;0)),0,1)*1.5)</f>
        <v>#VALUE!</v>
      </c>
      <c r="AC515">
        <f ca="1" t="shared" ref="AC515" si="147">IF(AND(AA515=0,E515=0),0,IF(AND(COUNTIF(B515,"*叠*")&gt;0,OR(AA514=0,AA514&gt;=5)),AC514+1,AC514))</f>
        <v>0</v>
      </c>
      <c r="AD515">
        <f ca="1">IF(COUNTIF(IF(AND(配装计算器!$K$30&lt;&gt;"∞",0),INDEX(AU515:CB515,1,$AT$1),INDEX(AU516:CB516,1,$AT$1)),"*叠1*")=1,AB515*0+AE514,0)</f>
        <v>0</v>
      </c>
      <c r="AE515" t="e">
        <f ca="1">IF($AN$11&gt;0,IF(COUNTIF(B516,"*叠1*")&gt;0,50-加速!$L$11,MAX(0,AE514-(A516-A515))),0)</f>
        <v>#VALUE!</v>
      </c>
      <c r="AG515">
        <f ca="1" t="shared" si="132"/>
        <v>14</v>
      </c>
      <c r="AU515" s="176" t="s">
        <v>2794</v>
      </c>
      <c r="AV515">
        <v>2</v>
      </c>
      <c r="AW515" t="s">
        <v>2768</v>
      </c>
      <c r="AX515">
        <v>2</v>
      </c>
      <c r="AY515" t="s">
        <v>2776</v>
      </c>
      <c r="AZ515">
        <v>2</v>
      </c>
      <c r="BA515" t="s">
        <v>2776</v>
      </c>
      <c r="BB515">
        <v>2</v>
      </c>
      <c r="BC515" t="s">
        <v>2776</v>
      </c>
      <c r="BD515">
        <v>1</v>
      </c>
      <c r="BE515" t="s">
        <v>2768</v>
      </c>
      <c r="BF515">
        <v>2</v>
      </c>
      <c r="BG515" s="176" t="s">
        <v>2776</v>
      </c>
      <c r="BH515">
        <v>2</v>
      </c>
      <c r="BI515" t="s">
        <v>2768</v>
      </c>
      <c r="BJ515">
        <v>2</v>
      </c>
      <c r="BK515" t="s">
        <v>2768</v>
      </c>
      <c r="BL515">
        <v>0</v>
      </c>
      <c r="BM515" s="176" t="s">
        <v>2776</v>
      </c>
      <c r="BN515">
        <v>2</v>
      </c>
      <c r="BO515" t="str">
        <f>IF(0,"云飞玉皇-玉山揽云","云飞玉皇")</f>
        <v>云飞玉皇</v>
      </c>
      <c r="BP515">
        <v>2</v>
      </c>
      <c r="BQ515" t="s">
        <v>2768</v>
      </c>
      <c r="BR515">
        <v>1</v>
      </c>
      <c r="BS515" s="176" t="s">
        <v>2776</v>
      </c>
      <c r="BT515">
        <v>2</v>
      </c>
      <c r="BU515" t="s">
        <v>2768</v>
      </c>
      <c r="BV515">
        <v>2</v>
      </c>
      <c r="BW515" s="179" t="s">
        <v>2768</v>
      </c>
      <c r="BX515" s="179">
        <v>2</v>
      </c>
      <c r="BY515" s="176" t="s">
        <v>2768</v>
      </c>
      <c r="BZ515">
        <v>2</v>
      </c>
      <c r="CA515" t="s">
        <v>2768</v>
      </c>
      <c r="CB515">
        <v>2</v>
      </c>
    </row>
    <row r="516" spans="1:80">
      <c r="AU516" s="176" t="s">
        <v>2768</v>
      </c>
      <c r="AV516">
        <v>2</v>
      </c>
      <c r="AW516" t="str">
        <f>IF(山重水复,"风来吴山","夕照雷峰")</f>
        <v>夕照雷峰</v>
      </c>
      <c r="AX516">
        <v>2</v>
      </c>
      <c r="AY516" t="s">
        <v>2768</v>
      </c>
      <c r="AZ516">
        <v>2</v>
      </c>
      <c r="BA516" t="s">
        <v>3035</v>
      </c>
      <c r="BB516">
        <v>2</v>
      </c>
      <c r="BC516" t="s">
        <v>2768</v>
      </c>
      <c r="BD516">
        <v>1</v>
      </c>
      <c r="BE516" t="s">
        <v>2776</v>
      </c>
      <c r="BF516">
        <v>2</v>
      </c>
      <c r="BG516" s="176" t="s">
        <v>3035</v>
      </c>
      <c r="BH516">
        <v>2</v>
      </c>
      <c r="BI516" t="s">
        <v>2768</v>
      </c>
      <c r="BJ516">
        <v>1</v>
      </c>
      <c r="BK516" t="s">
        <v>3056</v>
      </c>
      <c r="BL516">
        <v>0</v>
      </c>
      <c r="BM516" s="176" t="s">
        <v>2768</v>
      </c>
      <c r="BN516">
        <v>2</v>
      </c>
      <c r="BO516" t="str">
        <f>IF(秋,"云栖松","泉凝月")</f>
        <v>泉凝月</v>
      </c>
      <c r="BP516">
        <v>2</v>
      </c>
      <c r="BQ516" t="s">
        <v>2768</v>
      </c>
      <c r="BR516">
        <v>0</v>
      </c>
      <c r="BS516" s="176" t="s">
        <v>2768</v>
      </c>
      <c r="BT516">
        <v>2</v>
      </c>
      <c r="BU516" s="182" t="s">
        <v>3023</v>
      </c>
      <c r="BV516">
        <v>2</v>
      </c>
      <c r="BW516" s="179" t="s">
        <v>2768</v>
      </c>
      <c r="BX516" s="179">
        <v>2</v>
      </c>
      <c r="BY516" s="176" t="s">
        <v>2776</v>
      </c>
      <c r="BZ516">
        <v>2</v>
      </c>
      <c r="CA516" t="s">
        <v>2776</v>
      </c>
      <c r="CB516">
        <v>2</v>
      </c>
    </row>
    <row r="517" spans="1:80">
      <c r="AU517" s="176" t="s">
        <v>2776</v>
      </c>
      <c r="AV517">
        <v>2</v>
      </c>
      <c r="AW517" s="176" t="s">
        <v>2794</v>
      </c>
      <c r="AX517">
        <v>2</v>
      </c>
      <c r="AY517" t="s">
        <v>2789</v>
      </c>
      <c r="AZ517">
        <v>2</v>
      </c>
      <c r="BA517" t="s">
        <v>2768</v>
      </c>
      <c r="BB517">
        <v>2</v>
      </c>
      <c r="BC517" t="s">
        <v>2794</v>
      </c>
      <c r="BD517">
        <v>2</v>
      </c>
      <c r="BE517" t="s">
        <v>2768</v>
      </c>
      <c r="BF517">
        <v>1</v>
      </c>
      <c r="BG517" t="s">
        <v>2768</v>
      </c>
      <c r="BH517">
        <v>2</v>
      </c>
      <c r="BI517" s="176" t="s">
        <v>2768</v>
      </c>
      <c r="BJ517">
        <v>1</v>
      </c>
      <c r="BK517" t="s">
        <v>2768</v>
      </c>
      <c r="BL517">
        <v>2</v>
      </c>
      <c r="BM517" s="176" t="s">
        <v>2808</v>
      </c>
      <c r="BN517">
        <v>2</v>
      </c>
      <c r="BO517" t="s">
        <v>2768</v>
      </c>
      <c r="BP517">
        <v>2</v>
      </c>
      <c r="BQ517" t="s">
        <v>3010</v>
      </c>
      <c r="BR517">
        <v>2</v>
      </c>
      <c r="BS517" s="176" t="s">
        <v>2794</v>
      </c>
      <c r="BT517">
        <v>2</v>
      </c>
      <c r="BU517" s="176" t="s">
        <v>2768</v>
      </c>
      <c r="BV517">
        <v>2</v>
      </c>
      <c r="BW517" s="179" t="s">
        <v>2768</v>
      </c>
      <c r="BX517" s="179">
        <v>2</v>
      </c>
      <c r="BY517" s="176" t="s">
        <v>2768</v>
      </c>
      <c r="BZ517">
        <v>2</v>
      </c>
      <c r="CA517" t="str">
        <f>IF(山重水复,"风来吴山","夕照雷峰")</f>
        <v>夕照雷峰</v>
      </c>
      <c r="CB517">
        <v>2</v>
      </c>
    </row>
    <row r="518" spans="1:80">
      <c r="AU518" s="176" t="s">
        <v>2768</v>
      </c>
      <c r="AV518">
        <v>2</v>
      </c>
      <c r="AW518" s="176" t="s">
        <v>2776</v>
      </c>
      <c r="AX518">
        <v>2</v>
      </c>
      <c r="AY518" t="s">
        <v>2776</v>
      </c>
      <c r="AZ518">
        <v>2</v>
      </c>
      <c r="BA518" t="s">
        <v>2776</v>
      </c>
      <c r="BB518">
        <v>2</v>
      </c>
      <c r="BC518" t="s">
        <v>2768</v>
      </c>
      <c r="BD518">
        <v>2</v>
      </c>
      <c r="BE518" t="s">
        <v>2768</v>
      </c>
      <c r="BF518">
        <v>1</v>
      </c>
      <c r="BG518" t="s">
        <v>2776</v>
      </c>
      <c r="BH518">
        <v>2</v>
      </c>
      <c r="BI518" s="176" t="s">
        <v>2776</v>
      </c>
      <c r="BJ518">
        <v>0</v>
      </c>
      <c r="BK518" t="s">
        <v>2768</v>
      </c>
      <c r="BL518">
        <v>2</v>
      </c>
      <c r="BM518" t="s">
        <v>2768</v>
      </c>
      <c r="BN518">
        <v>2</v>
      </c>
      <c r="BO518" t="s">
        <v>1886</v>
      </c>
      <c r="BP518">
        <v>2</v>
      </c>
      <c r="BQ518" t="s">
        <v>3013</v>
      </c>
      <c r="BR518">
        <v>2</v>
      </c>
      <c r="BS518" t="s">
        <v>2768</v>
      </c>
      <c r="BT518">
        <v>2</v>
      </c>
      <c r="BU518" s="176" t="s">
        <v>2768</v>
      </c>
      <c r="BV518">
        <v>2</v>
      </c>
      <c r="BW518" s="179" t="s">
        <v>2776</v>
      </c>
      <c r="BX518" s="179">
        <v>2</v>
      </c>
      <c r="BY518" s="176" t="s">
        <v>2808</v>
      </c>
      <c r="BZ518">
        <v>2</v>
      </c>
      <c r="CA518" t="s">
        <v>2768</v>
      </c>
      <c r="CB518">
        <v>2</v>
      </c>
    </row>
    <row r="519" spans="1:80">
      <c r="AU519" s="176" t="s">
        <v>2776</v>
      </c>
      <c r="AV519">
        <v>2</v>
      </c>
      <c r="AW519" s="176" t="s">
        <v>2768</v>
      </c>
      <c r="AX519">
        <v>2</v>
      </c>
      <c r="AY519" t="s">
        <v>3035</v>
      </c>
      <c r="AZ519">
        <v>2</v>
      </c>
      <c r="BA519" t="s">
        <v>2768</v>
      </c>
      <c r="BB519">
        <v>2</v>
      </c>
      <c r="BC519" t="s">
        <v>2776</v>
      </c>
      <c r="BD519">
        <v>2</v>
      </c>
      <c r="BE519" t="s">
        <v>3042</v>
      </c>
      <c r="BF519">
        <v>0</v>
      </c>
      <c r="BG519" t="s">
        <v>2768</v>
      </c>
      <c r="BH519">
        <v>2</v>
      </c>
      <c r="BI519" t="s">
        <v>2794</v>
      </c>
      <c r="BJ519">
        <v>0</v>
      </c>
      <c r="BK519" t="s">
        <v>2776</v>
      </c>
      <c r="BL519">
        <v>2</v>
      </c>
      <c r="BM519" t="s">
        <v>2776</v>
      </c>
      <c r="BN519">
        <v>2</v>
      </c>
      <c r="BO519" t="s">
        <v>2853</v>
      </c>
      <c r="BP519">
        <v>2</v>
      </c>
      <c r="BQ519" t="s">
        <v>3018</v>
      </c>
      <c r="BR519">
        <v>2</v>
      </c>
      <c r="BS519" t="s">
        <v>2776</v>
      </c>
      <c r="BT519">
        <v>2</v>
      </c>
      <c r="BU519" s="176" t="s">
        <v>2789</v>
      </c>
      <c r="BV519">
        <v>2</v>
      </c>
      <c r="BW519" s="182" t="s">
        <v>2794</v>
      </c>
      <c r="BX519" s="179">
        <v>2</v>
      </c>
      <c r="BY519" t="s">
        <v>2768</v>
      </c>
      <c r="BZ519">
        <v>2</v>
      </c>
      <c r="CA519" t="s">
        <v>2768</v>
      </c>
      <c r="CB519">
        <v>2</v>
      </c>
    </row>
    <row r="520" spans="1:80">
      <c r="AU520" s="176" t="s">
        <v>2768</v>
      </c>
      <c r="AV520">
        <v>1</v>
      </c>
      <c r="AW520" s="176" t="s">
        <v>2776</v>
      </c>
      <c r="AX520">
        <v>2</v>
      </c>
      <c r="AY520" t="s">
        <v>2768</v>
      </c>
      <c r="AZ520">
        <v>2</v>
      </c>
      <c r="BA520" t="s">
        <v>2776</v>
      </c>
      <c r="BB520">
        <v>2</v>
      </c>
      <c r="BC520" t="s">
        <v>2768</v>
      </c>
      <c r="BD520">
        <v>2</v>
      </c>
      <c r="BE520" t="s">
        <v>2776</v>
      </c>
      <c r="BF520">
        <v>0</v>
      </c>
      <c r="BG520" t="s">
        <v>2776</v>
      </c>
      <c r="BH520">
        <v>2</v>
      </c>
      <c r="BI520" t="s">
        <v>2768</v>
      </c>
      <c r="BJ520">
        <v>2</v>
      </c>
      <c r="BK520" t="s">
        <v>2768</v>
      </c>
      <c r="BL520">
        <v>1</v>
      </c>
      <c r="BM520" t="s">
        <v>2768</v>
      </c>
      <c r="BN520">
        <v>2</v>
      </c>
      <c r="BO520" s="176" t="s">
        <v>2850</v>
      </c>
      <c r="BP520">
        <f>IF(0,2,0)</f>
        <v>0</v>
      </c>
      <c r="BQ520" t="s">
        <v>2768</v>
      </c>
      <c r="BR520">
        <v>2</v>
      </c>
      <c r="BS520" t="s">
        <v>2768</v>
      </c>
      <c r="BT520">
        <v>2</v>
      </c>
      <c r="BU520" s="176" t="s">
        <v>2776</v>
      </c>
      <c r="BV520">
        <v>2</v>
      </c>
      <c r="BW520" s="182" t="s">
        <v>2768</v>
      </c>
      <c r="BX520" s="179">
        <v>2</v>
      </c>
      <c r="BY520" t="s">
        <v>2776</v>
      </c>
      <c r="BZ520">
        <v>2</v>
      </c>
      <c r="CA520" t="s">
        <v>2776</v>
      </c>
      <c r="CB520">
        <v>2</v>
      </c>
    </row>
    <row r="521" spans="1:80">
      <c r="AU521" t="s">
        <v>2776</v>
      </c>
      <c r="AV521">
        <v>1</v>
      </c>
      <c r="AW521" s="176" t="s">
        <v>2768</v>
      </c>
      <c r="AX521">
        <v>2</v>
      </c>
      <c r="AY521" t="s">
        <v>2776</v>
      </c>
      <c r="AZ521">
        <v>2</v>
      </c>
      <c r="BA521" t="s">
        <v>3042</v>
      </c>
      <c r="BB521">
        <v>2</v>
      </c>
      <c r="BC521" t="s">
        <v>2776</v>
      </c>
      <c r="BD521">
        <v>2</v>
      </c>
      <c r="BE521" t="s">
        <v>2768</v>
      </c>
      <c r="BF521">
        <v>1</v>
      </c>
      <c r="BG521" t="s">
        <v>2768</v>
      </c>
      <c r="BH521">
        <v>2</v>
      </c>
      <c r="BI521" t="s">
        <v>2776</v>
      </c>
      <c r="BJ521">
        <v>2</v>
      </c>
      <c r="BK521" t="s">
        <v>2768</v>
      </c>
      <c r="BL521">
        <v>1</v>
      </c>
      <c r="BM521" t="s">
        <v>2768</v>
      </c>
      <c r="BN521">
        <v>2</v>
      </c>
      <c r="BO521" s="176" t="str">
        <f>IF(秋,"金环戴","吹风醒")</f>
        <v>吹风醒</v>
      </c>
      <c r="BP521">
        <v>2</v>
      </c>
      <c r="BQ521" t="s">
        <v>3023</v>
      </c>
      <c r="BR521">
        <v>2</v>
      </c>
      <c r="BS521" t="s">
        <v>2776</v>
      </c>
      <c r="BT521">
        <v>1</v>
      </c>
      <c r="BU521" s="176" t="s">
        <v>3035</v>
      </c>
      <c r="BV521">
        <v>2</v>
      </c>
      <c r="BW521" s="182" t="s">
        <v>2776</v>
      </c>
      <c r="BX521" s="179">
        <v>2</v>
      </c>
      <c r="BY521" t="s">
        <v>2768</v>
      </c>
      <c r="BZ521">
        <v>2</v>
      </c>
      <c r="CA521" s="176" t="s">
        <v>2794</v>
      </c>
      <c r="CB521">
        <v>2</v>
      </c>
    </row>
    <row r="522" spans="1:80">
      <c r="AU522" t="s">
        <v>2768</v>
      </c>
      <c r="AV522">
        <v>1</v>
      </c>
      <c r="AW522" s="176" t="s">
        <v>2808</v>
      </c>
      <c r="AX522">
        <v>2</v>
      </c>
      <c r="AY522" t="s">
        <v>2768</v>
      </c>
      <c r="AZ522">
        <v>2</v>
      </c>
      <c r="BA522" t="s">
        <v>2808</v>
      </c>
      <c r="BB522">
        <v>2</v>
      </c>
      <c r="BC522" t="s">
        <v>2768</v>
      </c>
      <c r="BD522">
        <v>2</v>
      </c>
      <c r="BE522" t="s">
        <v>2768</v>
      </c>
      <c r="BF522">
        <v>1</v>
      </c>
      <c r="BG522" t="s">
        <v>2808</v>
      </c>
      <c r="BH522">
        <v>2</v>
      </c>
      <c r="BI522" t="s">
        <v>2768</v>
      </c>
      <c r="BJ522">
        <v>2</v>
      </c>
      <c r="BK522" t="s">
        <v>2794</v>
      </c>
      <c r="BL522">
        <v>0</v>
      </c>
      <c r="BM522" t="s">
        <v>2768</v>
      </c>
      <c r="BN522">
        <v>2</v>
      </c>
      <c r="BO522" t="str">
        <f>IF(秋,"夕照雷峰","云飞玉皇")</f>
        <v>云飞玉皇</v>
      </c>
      <c r="BP522">
        <v>2</v>
      </c>
      <c r="BQ522" t="s">
        <v>2768</v>
      </c>
      <c r="BR522">
        <v>2</v>
      </c>
      <c r="BS522" t="s">
        <v>2768</v>
      </c>
      <c r="BT522">
        <v>1</v>
      </c>
      <c r="BU522" t="s">
        <v>2768</v>
      </c>
      <c r="BV522">
        <v>2</v>
      </c>
      <c r="BW522" s="182" t="s">
        <v>2768</v>
      </c>
      <c r="BX522" s="179">
        <v>2</v>
      </c>
      <c r="BY522" t="s">
        <v>2768</v>
      </c>
      <c r="BZ522">
        <v>2</v>
      </c>
      <c r="CA522" t="str">
        <f>IF(0,"云飞玉皇-玉山揽云","夕照雷峰")</f>
        <v>夕照雷峰</v>
      </c>
      <c r="CB522">
        <v>2</v>
      </c>
    </row>
    <row r="523" spans="1:80">
      <c r="AU523" t="s">
        <v>2768</v>
      </c>
      <c r="AV523">
        <v>1</v>
      </c>
      <c r="AW523" t="s">
        <v>2768</v>
      </c>
      <c r="AX523">
        <v>2</v>
      </c>
      <c r="AY523" t="s">
        <v>2776</v>
      </c>
      <c r="AZ523">
        <v>2</v>
      </c>
      <c r="BA523" t="s">
        <v>2768</v>
      </c>
      <c r="BB523">
        <v>2</v>
      </c>
      <c r="BC523" t="s">
        <v>2776</v>
      </c>
      <c r="BD523">
        <v>2</v>
      </c>
      <c r="BE523" t="s">
        <v>2768</v>
      </c>
      <c r="BF523">
        <v>1</v>
      </c>
      <c r="BG523" t="s">
        <v>2768</v>
      </c>
      <c r="BH523">
        <v>2</v>
      </c>
      <c r="BI523" t="s">
        <v>2776</v>
      </c>
      <c r="BJ523">
        <v>1</v>
      </c>
      <c r="BK523" t="s">
        <v>2776</v>
      </c>
      <c r="BL523">
        <v>0</v>
      </c>
      <c r="BM523" t="s">
        <v>2776</v>
      </c>
      <c r="BN523">
        <v>2</v>
      </c>
      <c r="BO523" s="176" t="str">
        <f>IF(秋,"梦泉虎跑-轻","夕照雷峰")</f>
        <v>夕照雷峰</v>
      </c>
      <c r="BP523">
        <v>2</v>
      </c>
      <c r="BQ523" t="s">
        <v>2776</v>
      </c>
      <c r="BR523">
        <v>2</v>
      </c>
      <c r="BS523" t="s">
        <v>3056</v>
      </c>
      <c r="BT523">
        <v>0</v>
      </c>
      <c r="BU523" t="s">
        <v>2776</v>
      </c>
      <c r="BV523">
        <v>2</v>
      </c>
      <c r="BW523" s="182" t="s">
        <v>2776</v>
      </c>
      <c r="BX523" s="179">
        <v>2</v>
      </c>
      <c r="BY523" t="s">
        <v>2768</v>
      </c>
      <c r="BZ523">
        <v>2</v>
      </c>
      <c r="CA523" t="str">
        <f>IF(0,"云飞玉皇-玉山揽云","云飞玉皇")</f>
        <v>云飞玉皇</v>
      </c>
      <c r="CB523">
        <v>2</v>
      </c>
    </row>
    <row r="524" spans="1:80">
      <c r="AU524" t="s">
        <v>3063</v>
      </c>
      <c r="AV524">
        <v>2</v>
      </c>
      <c r="AW524" t="s">
        <v>2776</v>
      </c>
      <c r="AX524">
        <v>2</v>
      </c>
      <c r="AY524" t="s">
        <v>3042</v>
      </c>
      <c r="AZ524">
        <v>2</v>
      </c>
      <c r="BA524" t="s">
        <v>2768</v>
      </c>
      <c r="BB524">
        <v>2</v>
      </c>
      <c r="BC524" t="s">
        <v>2768</v>
      </c>
      <c r="BD524">
        <v>1</v>
      </c>
      <c r="BE524" t="s">
        <v>2768</v>
      </c>
      <c r="BF524">
        <v>0</v>
      </c>
      <c r="BG524" s="176" t="s">
        <v>2768</v>
      </c>
      <c r="BH524">
        <v>2</v>
      </c>
      <c r="BI524" t="s">
        <v>2768</v>
      </c>
      <c r="BJ524">
        <v>1</v>
      </c>
      <c r="BK524" t="s">
        <v>2768</v>
      </c>
      <c r="BL524">
        <v>0</v>
      </c>
      <c r="BM524" t="s">
        <v>2768</v>
      </c>
      <c r="BN524">
        <v>2</v>
      </c>
      <c r="BO524" s="176" t="str">
        <f>IF(秋,"九溪弥烟-轻-血毒金蛇锥","梦泉虎跑-轻")</f>
        <v>梦泉虎跑-轻</v>
      </c>
      <c r="BP524">
        <v>0</v>
      </c>
      <c r="BQ524" t="s">
        <v>2789</v>
      </c>
      <c r="BR524">
        <v>2</v>
      </c>
      <c r="BS524" t="s">
        <v>2768</v>
      </c>
      <c r="BT524">
        <v>2</v>
      </c>
      <c r="BU524" t="s">
        <v>2768</v>
      </c>
      <c r="BV524">
        <v>2</v>
      </c>
      <c r="BW524" s="182" t="str">
        <f t="shared" ref="BW524" si="148">IF($AN$11=1,"云飞玉皇-玉山揽云","夕照雷峰")</f>
        <v>云飞玉皇-玉山揽云</v>
      </c>
      <c r="BX524" s="179">
        <v>2</v>
      </c>
      <c r="BY524" t="s">
        <v>2776</v>
      </c>
      <c r="BZ524">
        <v>2</v>
      </c>
      <c r="CA524" t="str">
        <f>IF(0,橙武补雾锁,"夕照雷峰")</f>
        <v>夕照雷峰</v>
      </c>
      <c r="CB524">
        <v>2</v>
      </c>
    </row>
    <row r="525" spans="1:80">
      <c r="AU525" t="s">
        <v>2776</v>
      </c>
      <c r="AV525">
        <v>1</v>
      </c>
      <c r="AW525" t="s">
        <v>2768</v>
      </c>
      <c r="AX525">
        <v>2</v>
      </c>
      <c r="AY525" t="s">
        <v>2808</v>
      </c>
      <c r="AZ525">
        <v>2</v>
      </c>
      <c r="BA525" t="s">
        <v>2776</v>
      </c>
      <c r="BB525">
        <v>2</v>
      </c>
      <c r="BC525" t="s">
        <v>2768</v>
      </c>
      <c r="BD525">
        <v>1</v>
      </c>
      <c r="BE525" t="s">
        <v>2776</v>
      </c>
      <c r="BF525">
        <v>0</v>
      </c>
      <c r="BG525" s="176" t="s">
        <v>2776</v>
      </c>
      <c r="BH525">
        <v>2</v>
      </c>
      <c r="BI525" t="s">
        <v>2776</v>
      </c>
      <c r="BJ525">
        <v>0</v>
      </c>
      <c r="BK525" t="s">
        <v>3068</v>
      </c>
      <c r="BL525">
        <v>2</v>
      </c>
      <c r="BM525" s="176" t="s">
        <v>2794</v>
      </c>
      <c r="BN525">
        <v>2</v>
      </c>
      <c r="BO525" t="s">
        <v>3009</v>
      </c>
      <c r="BP525">
        <v>2</v>
      </c>
      <c r="BQ525" t="s">
        <v>2768</v>
      </c>
      <c r="BR525">
        <v>2</v>
      </c>
      <c r="BS525" t="s">
        <v>2768</v>
      </c>
      <c r="BT525">
        <v>2</v>
      </c>
      <c r="BU525" t="s">
        <v>2776</v>
      </c>
      <c r="BV525">
        <v>2</v>
      </c>
      <c r="BW525" s="179" t="str">
        <f>IF($AN$11=1,"云飞玉皇-玉山揽云","云飞玉皇")</f>
        <v>云飞玉皇-玉山揽云</v>
      </c>
      <c r="BX525" s="179">
        <v>2</v>
      </c>
      <c r="BY525" s="176" t="s">
        <v>2794</v>
      </c>
      <c r="BZ525">
        <v>2</v>
      </c>
      <c r="CA525" t="str">
        <f>IF(0,"云飞玉皇-玉山揽云","云景·云飞玉皇")</f>
        <v>云景·云飞玉皇</v>
      </c>
      <c r="CB525">
        <v>2</v>
      </c>
    </row>
    <row r="526" spans="1:80">
      <c r="AU526" t="s">
        <v>2768</v>
      </c>
      <c r="AV526">
        <v>2</v>
      </c>
      <c r="AW526" t="s">
        <v>2768</v>
      </c>
      <c r="AX526">
        <v>2</v>
      </c>
      <c r="AY526" t="s">
        <v>2768</v>
      </c>
      <c r="AZ526">
        <v>2</v>
      </c>
      <c r="BA526" t="s">
        <v>2794</v>
      </c>
      <c r="BB526">
        <v>2</v>
      </c>
      <c r="BC526" t="s">
        <v>2813</v>
      </c>
      <c r="BD526">
        <v>0</v>
      </c>
      <c r="BE526" t="s">
        <v>2768</v>
      </c>
      <c r="BF526">
        <v>0</v>
      </c>
      <c r="BG526" t="s">
        <v>2768</v>
      </c>
      <c r="BH526">
        <v>1</v>
      </c>
      <c r="BI526" t="s">
        <v>2768</v>
      </c>
      <c r="BJ526">
        <v>0</v>
      </c>
      <c r="BK526" t="s">
        <v>2768</v>
      </c>
      <c r="BL526">
        <v>2</v>
      </c>
      <c r="BM526" s="176" t="s">
        <v>2768</v>
      </c>
      <c r="BN526">
        <v>2</v>
      </c>
      <c r="BO526" s="176" t="str">
        <f>IF(秋,"云飞玉皇-蛇牙锥心","云飞玉皇-血毒金蛇锥")</f>
        <v>云飞玉皇-血毒金蛇锥</v>
      </c>
      <c r="BP526">
        <v>2</v>
      </c>
      <c r="BQ526" t="s">
        <v>3035</v>
      </c>
      <c r="BR526">
        <v>2</v>
      </c>
      <c r="BS526" t="s">
        <v>2776</v>
      </c>
      <c r="BT526">
        <v>2</v>
      </c>
      <c r="BU526" t="s">
        <v>2768</v>
      </c>
      <c r="BV526">
        <v>2</v>
      </c>
      <c r="BW526" s="182" t="s">
        <v>3063</v>
      </c>
      <c r="BX526" s="179">
        <v>0</v>
      </c>
      <c r="BY526" s="176" t="s">
        <v>2768</v>
      </c>
      <c r="BZ526">
        <v>2</v>
      </c>
      <c r="CA526" t="str">
        <f>IF(0,"云飞玉皇-玉山揽云","夕照雷峰")</f>
        <v>夕照雷峰</v>
      </c>
      <c r="CB526">
        <v>2</v>
      </c>
    </row>
    <row r="527" spans="1:80">
      <c r="AU527" t="s">
        <v>2768</v>
      </c>
      <c r="AV527">
        <v>2</v>
      </c>
      <c r="AW527" t="s">
        <v>2768</v>
      </c>
      <c r="AX527">
        <v>2</v>
      </c>
      <c r="AY527" t="s">
        <v>2768</v>
      </c>
      <c r="AZ527">
        <v>2</v>
      </c>
      <c r="BA527" t="s">
        <v>2768</v>
      </c>
      <c r="BB527">
        <v>2</v>
      </c>
      <c r="BC527" t="s">
        <v>2776</v>
      </c>
      <c r="BD527">
        <v>2</v>
      </c>
      <c r="BE527" t="s">
        <v>3067</v>
      </c>
      <c r="BF527">
        <v>2</v>
      </c>
      <c r="BG527" s="176" t="s">
        <v>2768</v>
      </c>
      <c r="BH527">
        <v>1</v>
      </c>
      <c r="BI527" t="s">
        <v>2768</v>
      </c>
      <c r="BJ527">
        <v>0</v>
      </c>
      <c r="BK527" t="s">
        <v>2776</v>
      </c>
      <c r="BL527">
        <v>2</v>
      </c>
      <c r="BM527" s="176" t="s">
        <v>2776</v>
      </c>
      <c r="BN527">
        <v>2</v>
      </c>
      <c r="BO527" t="s">
        <v>2768</v>
      </c>
      <c r="BP527">
        <v>2</v>
      </c>
      <c r="BQ527" t="s">
        <v>2776</v>
      </c>
      <c r="BR527">
        <v>2</v>
      </c>
      <c r="BS527" t="s">
        <v>2768</v>
      </c>
      <c r="BT527">
        <v>1</v>
      </c>
      <c r="BU527" t="s">
        <v>2808</v>
      </c>
      <c r="BV527">
        <v>2</v>
      </c>
      <c r="BW527" s="179" t="s">
        <v>2768</v>
      </c>
      <c r="BX527" s="179">
        <v>2</v>
      </c>
      <c r="BY527" s="176" t="s">
        <v>2776</v>
      </c>
      <c r="BZ527">
        <v>2</v>
      </c>
      <c r="CA527" t="s">
        <v>2776</v>
      </c>
      <c r="CB527">
        <v>2</v>
      </c>
    </row>
    <row r="528" spans="1:80">
      <c r="AU528" s="176" t="s">
        <v>2794</v>
      </c>
      <c r="AV528">
        <v>2</v>
      </c>
      <c r="AW528" t="s">
        <v>2776</v>
      </c>
      <c r="AX528">
        <v>2</v>
      </c>
      <c r="AY528" t="s">
        <v>2776</v>
      </c>
      <c r="AZ528">
        <v>2</v>
      </c>
      <c r="BA528" t="s">
        <v>2776</v>
      </c>
      <c r="BB528">
        <v>2</v>
      </c>
      <c r="BC528" t="s">
        <v>2768</v>
      </c>
      <c r="BD528">
        <v>2</v>
      </c>
      <c r="BE528" t="s">
        <v>2768</v>
      </c>
      <c r="BF528">
        <v>2</v>
      </c>
      <c r="BG528" t="s">
        <v>3055</v>
      </c>
      <c r="BH528">
        <v>0</v>
      </c>
      <c r="BI528" t="s">
        <v>2722</v>
      </c>
      <c r="BJ528">
        <v>0</v>
      </c>
      <c r="BK528" t="s">
        <v>2768</v>
      </c>
      <c r="BL528">
        <v>2</v>
      </c>
      <c r="BM528" s="176" t="s">
        <v>2768</v>
      </c>
      <c r="BN528">
        <v>2</v>
      </c>
      <c r="BO528" s="180" t="s">
        <v>2789</v>
      </c>
      <c r="BP528">
        <v>2</v>
      </c>
      <c r="BQ528" t="s">
        <v>2768</v>
      </c>
      <c r="BR528">
        <v>2</v>
      </c>
      <c r="BS528" t="s">
        <v>2768</v>
      </c>
      <c r="BT528">
        <v>1</v>
      </c>
      <c r="BU528" t="s">
        <v>2768</v>
      </c>
      <c r="BV528">
        <v>2</v>
      </c>
      <c r="BW528" s="179" t="s">
        <v>1886</v>
      </c>
      <c r="BX528" s="179">
        <v>2</v>
      </c>
      <c r="BY528" s="176" t="s">
        <v>2768</v>
      </c>
      <c r="BZ528">
        <v>2</v>
      </c>
      <c r="CA528" t="str">
        <f>IF(秋,"云栖松","泉凝月")</f>
        <v>泉凝月</v>
      </c>
      <c r="CB528">
        <v>2</v>
      </c>
    </row>
    <row r="529" spans="47:80">
      <c r="AU529" s="176" t="s">
        <v>2776</v>
      </c>
      <c r="AV529">
        <v>2</v>
      </c>
      <c r="AW529" t="s">
        <v>2768</v>
      </c>
      <c r="AX529">
        <v>2</v>
      </c>
      <c r="AY529" t="s">
        <v>2794</v>
      </c>
      <c r="AZ529">
        <v>2</v>
      </c>
      <c r="BA529" t="s">
        <v>2768</v>
      </c>
      <c r="BB529">
        <v>2</v>
      </c>
      <c r="BC529" t="s">
        <v>2768</v>
      </c>
      <c r="BD529">
        <v>2</v>
      </c>
      <c r="BE529" t="s">
        <v>2776</v>
      </c>
      <c r="BF529">
        <v>2</v>
      </c>
      <c r="BG529" t="s">
        <v>2776</v>
      </c>
      <c r="BH529">
        <v>2</v>
      </c>
      <c r="BI529" t="s">
        <v>2776</v>
      </c>
      <c r="BJ529">
        <v>2</v>
      </c>
      <c r="BK529" t="s">
        <v>2768</v>
      </c>
      <c r="BL529">
        <v>2</v>
      </c>
      <c r="BM529" s="176" t="s">
        <v>2776</v>
      </c>
      <c r="BN529">
        <v>2</v>
      </c>
      <c r="BO529" s="176" t="s">
        <v>2794</v>
      </c>
      <c r="BP529">
        <v>2</v>
      </c>
      <c r="BQ529" t="s">
        <v>2776</v>
      </c>
      <c r="BR529">
        <v>2</v>
      </c>
      <c r="BS529" t="s">
        <v>2768</v>
      </c>
      <c r="BT529">
        <v>0</v>
      </c>
      <c r="BU529" s="176" t="s">
        <v>2768</v>
      </c>
      <c r="BV529">
        <v>2</v>
      </c>
      <c r="BW529" s="179" t="s">
        <v>2853</v>
      </c>
      <c r="BX529" s="179">
        <v>2</v>
      </c>
      <c r="BY529" s="176" t="s">
        <v>2776</v>
      </c>
      <c r="BZ529">
        <v>2</v>
      </c>
      <c r="CA529" t="s">
        <v>2768</v>
      </c>
      <c r="CB529">
        <v>2</v>
      </c>
    </row>
    <row r="530" spans="47:80">
      <c r="AU530" s="176" t="s">
        <v>2768</v>
      </c>
      <c r="AV530">
        <v>1</v>
      </c>
      <c r="AW530" s="176" t="s">
        <v>2794</v>
      </c>
      <c r="AX530">
        <v>2</v>
      </c>
      <c r="AY530" t="s">
        <v>2768</v>
      </c>
      <c r="AZ530">
        <v>2</v>
      </c>
      <c r="BA530" t="s">
        <v>2776</v>
      </c>
      <c r="BB530">
        <v>2</v>
      </c>
      <c r="BC530" t="s">
        <v>2768</v>
      </c>
      <c r="BD530">
        <v>1</v>
      </c>
      <c r="BE530" t="s">
        <v>2768</v>
      </c>
      <c r="BF530">
        <v>2</v>
      </c>
      <c r="BG530" t="s">
        <v>2768</v>
      </c>
      <c r="BH530">
        <v>2</v>
      </c>
      <c r="BI530" t="s">
        <v>2768</v>
      </c>
      <c r="BJ530">
        <v>2</v>
      </c>
      <c r="BK530" s="176" t="s">
        <v>3056</v>
      </c>
      <c r="BL530">
        <v>2</v>
      </c>
      <c r="BM530" s="176" t="str">
        <f>IF(0,"云飞玉皇-玉山揽云","夕照雷峰")</f>
        <v>夕照雷峰</v>
      </c>
      <c r="BN530">
        <v>2</v>
      </c>
      <c r="BO530" s="176" t="s">
        <v>2776</v>
      </c>
      <c r="BP530">
        <v>2</v>
      </c>
      <c r="BQ530" t="s">
        <v>2768</v>
      </c>
      <c r="BR530">
        <v>2</v>
      </c>
      <c r="BS530" t="s">
        <v>2776</v>
      </c>
      <c r="BT530">
        <v>0</v>
      </c>
      <c r="BU530" s="176" t="s">
        <v>2776</v>
      </c>
      <c r="BV530">
        <v>2</v>
      </c>
      <c r="BW530" s="182" t="s">
        <v>2850</v>
      </c>
      <c r="BX530" s="179">
        <v>2</v>
      </c>
      <c r="BY530" s="176" t="str">
        <f>IF(0,"云飞玉皇-玉山揽云","夕照雷峰")</f>
        <v>夕照雷峰</v>
      </c>
      <c r="BZ530">
        <v>2</v>
      </c>
      <c r="CA530" t="s">
        <v>1886</v>
      </c>
      <c r="CB530">
        <v>2</v>
      </c>
    </row>
    <row r="531" spans="47:80">
      <c r="AU531" s="176" t="s">
        <v>2776</v>
      </c>
      <c r="AV531">
        <v>2</v>
      </c>
      <c r="AW531" s="176" t="s">
        <v>2768</v>
      </c>
      <c r="AX531">
        <v>2</v>
      </c>
      <c r="AY531" t="s">
        <v>2776</v>
      </c>
      <c r="AZ531">
        <v>2</v>
      </c>
      <c r="BA531" t="s">
        <v>2768</v>
      </c>
      <c r="BB531">
        <v>2</v>
      </c>
      <c r="BC531" t="s">
        <v>2776</v>
      </c>
      <c r="BD531">
        <v>1</v>
      </c>
      <c r="BE531" t="s">
        <v>2768</v>
      </c>
      <c r="BF531">
        <v>1</v>
      </c>
      <c r="BG531" t="s">
        <v>2776</v>
      </c>
      <c r="BH531">
        <v>2</v>
      </c>
      <c r="BI531" t="s">
        <v>2768</v>
      </c>
      <c r="BJ531">
        <v>2</v>
      </c>
      <c r="BK531" s="176" t="s">
        <v>2768</v>
      </c>
      <c r="BL531">
        <v>2</v>
      </c>
      <c r="BM531" t="str">
        <f>IF(0,"云飞玉皇-玉山揽云","云飞玉皇")</f>
        <v>云飞玉皇</v>
      </c>
      <c r="BN531">
        <v>2</v>
      </c>
      <c r="BO531" s="176" t="s">
        <v>2768</v>
      </c>
      <c r="BP531">
        <v>2</v>
      </c>
      <c r="BQ531" t="s">
        <v>3013</v>
      </c>
      <c r="BR531">
        <v>2</v>
      </c>
      <c r="BS531" t="s">
        <v>2768</v>
      </c>
      <c r="BT531">
        <v>0</v>
      </c>
      <c r="BU531" t="s">
        <v>2768</v>
      </c>
      <c r="BV531">
        <v>1</v>
      </c>
      <c r="BW531" s="182" t="str">
        <f>IF(秋,"金环戴","吹风醒")</f>
        <v>吹风醒</v>
      </c>
      <c r="BX531" s="179">
        <v>2</v>
      </c>
      <c r="BY531" t="str">
        <f>IF(0,"云飞玉皇-玉山揽云","云飞玉皇")</f>
        <v>云飞玉皇</v>
      </c>
      <c r="BZ531">
        <v>2</v>
      </c>
      <c r="CA531" t="s">
        <v>2853</v>
      </c>
      <c r="CB531">
        <v>2</v>
      </c>
    </row>
    <row r="532" spans="47:80">
      <c r="AU532" s="176" t="s">
        <v>2768</v>
      </c>
      <c r="AV532">
        <v>1</v>
      </c>
      <c r="AW532" s="176" t="s">
        <v>2776</v>
      </c>
      <c r="AX532">
        <v>2</v>
      </c>
      <c r="AY532" t="s">
        <v>2768</v>
      </c>
      <c r="AZ532">
        <v>2</v>
      </c>
      <c r="BA532" t="s">
        <v>2776</v>
      </c>
      <c r="BB532">
        <v>1</v>
      </c>
      <c r="BC532" t="s">
        <v>2768</v>
      </c>
      <c r="BD532">
        <v>1</v>
      </c>
      <c r="BE532" t="s">
        <v>2768</v>
      </c>
      <c r="BF532">
        <v>1</v>
      </c>
      <c r="BG532" t="s">
        <v>2768</v>
      </c>
      <c r="BH532">
        <v>1</v>
      </c>
      <c r="BI532" s="176" t="s">
        <v>2794</v>
      </c>
      <c r="BJ532">
        <v>1</v>
      </c>
      <c r="BK532" s="176" t="s">
        <v>2768</v>
      </c>
      <c r="BL532">
        <v>2</v>
      </c>
      <c r="BM532" t="str">
        <f>IF(秋,"云栖松","泉凝月")</f>
        <v>泉凝月</v>
      </c>
      <c r="BN532">
        <v>2</v>
      </c>
      <c r="BO532" s="176" t="s">
        <v>2776</v>
      </c>
      <c r="BP532">
        <v>2</v>
      </c>
      <c r="BQ532" t="s">
        <v>2808</v>
      </c>
      <c r="BR532">
        <v>2</v>
      </c>
      <c r="BS532" t="s">
        <v>3074</v>
      </c>
      <c r="BT532">
        <v>2</v>
      </c>
      <c r="BU532" s="176" t="s">
        <v>2768</v>
      </c>
      <c r="BV532">
        <v>1</v>
      </c>
      <c r="BW532" s="182" t="s">
        <v>2768</v>
      </c>
      <c r="BX532" s="179">
        <v>2</v>
      </c>
      <c r="BY532" t="str">
        <f>IF(秋,"云栖松","泉凝月")</f>
        <v>泉凝月</v>
      </c>
      <c r="BZ532">
        <v>2</v>
      </c>
      <c r="CA532" s="176" t="s">
        <v>2850</v>
      </c>
      <c r="CB532">
        <f>IF(0,2,0)</f>
        <v>0</v>
      </c>
    </row>
    <row r="533" spans="47:80">
      <c r="AU533" s="176" t="s">
        <v>2776</v>
      </c>
      <c r="AV533">
        <v>1</v>
      </c>
      <c r="AW533" s="176" t="s">
        <v>2768</v>
      </c>
      <c r="AX533">
        <v>2</v>
      </c>
      <c r="AY533" t="s">
        <v>2776</v>
      </c>
      <c r="AZ533">
        <v>2</v>
      </c>
      <c r="BA533" t="s">
        <v>2768</v>
      </c>
      <c r="BB533">
        <v>1</v>
      </c>
      <c r="BC533" t="s">
        <v>2768</v>
      </c>
      <c r="BD533">
        <v>0</v>
      </c>
      <c r="BE533" t="s">
        <v>2776</v>
      </c>
      <c r="BF533">
        <v>0</v>
      </c>
      <c r="BG533" t="s">
        <v>2776</v>
      </c>
      <c r="BH533">
        <v>1</v>
      </c>
      <c r="BI533" t="s">
        <v>2776</v>
      </c>
      <c r="BJ533">
        <v>1</v>
      </c>
      <c r="BK533" s="176" t="s">
        <v>2776</v>
      </c>
      <c r="BL533">
        <v>2</v>
      </c>
      <c r="BM533" t="s">
        <v>2768</v>
      </c>
      <c r="BN533">
        <v>2</v>
      </c>
      <c r="BO533" s="176" t="s">
        <v>2768</v>
      </c>
      <c r="BP533">
        <v>2</v>
      </c>
      <c r="BQ533" t="s">
        <v>2768</v>
      </c>
      <c r="BR533">
        <v>2</v>
      </c>
      <c r="BS533" t="s">
        <v>2768</v>
      </c>
      <c r="BT533">
        <v>2</v>
      </c>
      <c r="BU533" t="s">
        <v>3055</v>
      </c>
      <c r="BV533">
        <v>0</v>
      </c>
      <c r="BW533" s="182" t="str">
        <f>IF(秋,"云飞玉皇","云飞玉皇·云景")</f>
        <v>云飞玉皇·云景</v>
      </c>
      <c r="BX533" s="179">
        <v>2</v>
      </c>
      <c r="BY533" t="s">
        <v>2768</v>
      </c>
      <c r="BZ533">
        <v>2</v>
      </c>
      <c r="CA533" s="176" t="str">
        <f>IF(秋,"金环戴","吹风醒")</f>
        <v>吹风醒</v>
      </c>
      <c r="CB533">
        <v>2</v>
      </c>
    </row>
    <row r="534" spans="47:80">
      <c r="AU534" t="s">
        <v>2722</v>
      </c>
      <c r="AV534">
        <v>0</v>
      </c>
      <c r="AW534" s="176" t="s">
        <v>2776</v>
      </c>
      <c r="AX534">
        <v>2</v>
      </c>
      <c r="AY534" t="s">
        <v>2768</v>
      </c>
      <c r="AZ534">
        <v>2</v>
      </c>
      <c r="BA534" t="s">
        <v>2768</v>
      </c>
      <c r="BB534">
        <v>0</v>
      </c>
      <c r="BC534" t="s">
        <v>2768</v>
      </c>
      <c r="BD534">
        <v>0</v>
      </c>
      <c r="BE534" t="s">
        <v>2768</v>
      </c>
      <c r="BF534">
        <v>0</v>
      </c>
      <c r="BG534" t="s">
        <v>2768</v>
      </c>
      <c r="BH534">
        <v>0</v>
      </c>
      <c r="BI534" t="s">
        <v>2768</v>
      </c>
      <c r="BJ534">
        <v>0</v>
      </c>
      <c r="BK534" t="s">
        <v>2768</v>
      </c>
      <c r="BL534">
        <v>1</v>
      </c>
      <c r="BM534" t="s">
        <v>1886</v>
      </c>
      <c r="BN534">
        <v>2</v>
      </c>
      <c r="BO534" s="176" t="s">
        <v>2808</v>
      </c>
      <c r="BP534">
        <v>2</v>
      </c>
      <c r="BQ534" t="s">
        <v>2768</v>
      </c>
      <c r="BR534">
        <v>2</v>
      </c>
      <c r="BS534" t="s">
        <v>2776</v>
      </c>
      <c r="BT534">
        <v>2</v>
      </c>
      <c r="BU534" t="s">
        <v>2776</v>
      </c>
      <c r="BV534">
        <v>2</v>
      </c>
      <c r="BW534" s="179" t="s">
        <v>2722</v>
      </c>
      <c r="BX534" s="179">
        <v>2</v>
      </c>
      <c r="BY534" t="s">
        <v>1886</v>
      </c>
      <c r="BZ534">
        <v>2</v>
      </c>
      <c r="CA534" s="176" t="s">
        <v>2768</v>
      </c>
      <c r="CB534">
        <v>2</v>
      </c>
    </row>
    <row r="535" spans="47:80">
      <c r="AW535" s="176" t="s">
        <v>2768</v>
      </c>
      <c r="AX535">
        <v>2</v>
      </c>
      <c r="AY535" t="s">
        <v>2776</v>
      </c>
      <c r="AZ535">
        <v>1</v>
      </c>
      <c r="BA535" t="s">
        <v>2722</v>
      </c>
      <c r="BB535">
        <v>0</v>
      </c>
      <c r="BC535" t="s">
        <v>3010</v>
      </c>
      <c r="BD535">
        <v>2</v>
      </c>
      <c r="BG535" t="s">
        <v>2768</v>
      </c>
      <c r="BH535">
        <v>0</v>
      </c>
      <c r="BI535" t="s">
        <v>3011</v>
      </c>
      <c r="BJ535">
        <v>2</v>
      </c>
      <c r="BK535" s="176" t="s">
        <v>2768</v>
      </c>
      <c r="BL535">
        <v>1</v>
      </c>
      <c r="BM535" t="s">
        <v>2853</v>
      </c>
      <c r="BN535">
        <v>2</v>
      </c>
      <c r="BO535" t="str">
        <f>IF(0,"云飞玉皇-玉山揽云","夕照雷峰")</f>
        <v>夕照雷峰</v>
      </c>
      <c r="BP535">
        <v>2</v>
      </c>
      <c r="BQ535" t="s">
        <v>2776</v>
      </c>
      <c r="BR535">
        <v>1</v>
      </c>
      <c r="BS535" t="s">
        <v>2768</v>
      </c>
      <c r="BT535">
        <v>2</v>
      </c>
      <c r="BU535" t="s">
        <v>2768</v>
      </c>
      <c r="BV535">
        <v>2</v>
      </c>
      <c r="BW535" s="179" t="s">
        <v>3009</v>
      </c>
      <c r="BX535" s="179">
        <v>2</v>
      </c>
      <c r="BY535" t="s">
        <v>2853</v>
      </c>
      <c r="BZ535">
        <v>2</v>
      </c>
      <c r="CA535" s="176" t="str">
        <f>IF(秋,"云飞玉皇","云飞玉皇·云景")</f>
        <v>云飞玉皇·云景</v>
      </c>
      <c r="CB535">
        <v>2</v>
      </c>
    </row>
    <row r="536" spans="47:80">
      <c r="AW536" t="s">
        <v>3056</v>
      </c>
      <c r="AX536">
        <v>1</v>
      </c>
      <c r="AY536" t="s">
        <v>2768</v>
      </c>
      <c r="AZ536">
        <v>1</v>
      </c>
      <c r="BA536" t="s">
        <v>2776</v>
      </c>
      <c r="BB536">
        <v>2</v>
      </c>
      <c r="BC536" t="s">
        <v>3013</v>
      </c>
      <c r="BD536">
        <v>2</v>
      </c>
      <c r="BG536" t="s">
        <v>2776</v>
      </c>
      <c r="BH536">
        <v>0</v>
      </c>
      <c r="BI536" t="s">
        <v>2768</v>
      </c>
      <c r="BJ536">
        <v>2</v>
      </c>
      <c r="BK536" s="176" t="s">
        <v>2768</v>
      </c>
      <c r="BL536">
        <v>0</v>
      </c>
      <c r="BM536" s="176" t="s">
        <v>2850</v>
      </c>
      <c r="BN536">
        <f>IF(0,2,0)</f>
        <v>0</v>
      </c>
      <c r="BO536" t="str">
        <f>IF(0,"云飞玉皇-玉山揽云","云飞玉皇")</f>
        <v>云飞玉皇</v>
      </c>
      <c r="BP536">
        <v>2</v>
      </c>
      <c r="BQ536" t="s">
        <v>3055</v>
      </c>
      <c r="BR536">
        <v>2</v>
      </c>
      <c r="BS536" t="s">
        <v>2768</v>
      </c>
      <c r="BT536">
        <v>1</v>
      </c>
      <c r="BU536" t="s">
        <v>2776</v>
      </c>
      <c r="BV536">
        <v>2</v>
      </c>
      <c r="BW536" s="179" t="s">
        <v>2768</v>
      </c>
      <c r="BX536" s="179">
        <v>2</v>
      </c>
      <c r="BY536" s="176" t="s">
        <v>2850</v>
      </c>
      <c r="BZ536">
        <f>IF(0,2,0)</f>
        <v>0</v>
      </c>
      <c r="CA536" t="str">
        <f>IF(0,"云飞玉皇","夕照雷峰")</f>
        <v>夕照雷峰</v>
      </c>
      <c r="CB536">
        <f>IF(0,2,2)</f>
        <v>2</v>
      </c>
    </row>
    <row r="537" spans="47:80">
      <c r="AW537" t="s">
        <v>2768</v>
      </c>
      <c r="AX537">
        <v>2</v>
      </c>
      <c r="AY537" t="s">
        <v>2768</v>
      </c>
      <c r="AZ537">
        <v>0</v>
      </c>
      <c r="BA537" t="s">
        <v>2768</v>
      </c>
      <c r="BB537">
        <v>2</v>
      </c>
      <c r="BC537" t="s">
        <v>3018</v>
      </c>
      <c r="BD537">
        <v>2</v>
      </c>
      <c r="BG537" t="s">
        <v>3067</v>
      </c>
      <c r="BH537">
        <v>0</v>
      </c>
      <c r="BI537" t="s">
        <v>3018</v>
      </c>
      <c r="BJ537">
        <v>2</v>
      </c>
      <c r="BK537" s="176" t="s">
        <v>2776</v>
      </c>
      <c r="BL537">
        <v>0</v>
      </c>
      <c r="BM537" s="176" t="str">
        <f>IF(秋,"金环戴","吹风醒")</f>
        <v>吹风醒</v>
      </c>
      <c r="BN537">
        <v>2</v>
      </c>
      <c r="BO537" s="176" t="str">
        <f>IF(秋,"夕照雷峰","千切子寒光-千切子裂光")</f>
        <v>千切子寒光-千切子裂光</v>
      </c>
      <c r="BP537">
        <v>2</v>
      </c>
      <c r="BQ537" t="s">
        <v>2768</v>
      </c>
      <c r="BR537">
        <v>2</v>
      </c>
      <c r="BS537" t="s">
        <v>2768</v>
      </c>
      <c r="BT537">
        <v>1</v>
      </c>
      <c r="BU537" t="s">
        <v>2768</v>
      </c>
      <c r="BV537">
        <v>1</v>
      </c>
      <c r="BW537" s="179" t="s">
        <v>2776</v>
      </c>
      <c r="BX537" s="179">
        <v>2</v>
      </c>
      <c r="BY537" s="176" t="str">
        <f>IF(秋,"金环戴","吹风醒")</f>
        <v>吹风醒</v>
      </c>
      <c r="BZ537">
        <v>2</v>
      </c>
      <c r="CA537" t="str">
        <f>IF(0,"云飞玉皇","夕照雷峰")</f>
        <v>夕照雷峰</v>
      </c>
      <c r="CB537">
        <v>2</v>
      </c>
    </row>
    <row r="538" spans="47:80">
      <c r="AW538" t="s">
        <v>2768</v>
      </c>
      <c r="AX538">
        <v>2</v>
      </c>
      <c r="AY538" t="s">
        <v>2722</v>
      </c>
      <c r="AZ538">
        <v>0</v>
      </c>
      <c r="BA538" t="s">
        <v>2768</v>
      </c>
      <c r="BB538">
        <v>2</v>
      </c>
      <c r="BC538" t="s">
        <v>2768</v>
      </c>
      <c r="BD538">
        <v>2</v>
      </c>
      <c r="BG538" t="s">
        <v>2768</v>
      </c>
      <c r="BH538">
        <v>2</v>
      </c>
      <c r="BI538" t="s">
        <v>2789</v>
      </c>
      <c r="BJ538">
        <v>2</v>
      </c>
      <c r="BK538" s="176" t="s">
        <v>2768</v>
      </c>
      <c r="BL538">
        <v>0</v>
      </c>
      <c r="BM538" t="str">
        <f>IF(秋,"夕照雷峰","云飞玉皇")</f>
        <v>云飞玉皇</v>
      </c>
      <c r="BN538">
        <v>2</v>
      </c>
      <c r="BO538" s="176" t="str">
        <f>IF(秋,"夕照雷峰","夕照雷峰")</f>
        <v>夕照雷峰</v>
      </c>
      <c r="BP538">
        <v>2</v>
      </c>
      <c r="BQ538" t="s">
        <v>2776</v>
      </c>
      <c r="BR538">
        <v>2</v>
      </c>
      <c r="BS538" t="s">
        <v>2776</v>
      </c>
      <c r="BT538">
        <v>0</v>
      </c>
      <c r="BU538" t="s">
        <v>2776</v>
      </c>
      <c r="BV538">
        <v>1</v>
      </c>
      <c r="BW538" s="179" t="s">
        <v>2768</v>
      </c>
      <c r="BX538" s="179">
        <v>2</v>
      </c>
      <c r="BY538" t="str">
        <f>IF(秋,"夕照雷峰","云飞玉皇")</f>
        <v>云飞玉皇</v>
      </c>
      <c r="BZ538">
        <v>2</v>
      </c>
      <c r="CA538" s="176" t="str">
        <f>IF(秋,"夕照雷峰","云飞玉皇")</f>
        <v>云飞玉皇</v>
      </c>
      <c r="CB538">
        <v>2</v>
      </c>
    </row>
    <row r="539" spans="47:80">
      <c r="AW539" t="s">
        <v>2768</v>
      </c>
      <c r="AX539">
        <v>2</v>
      </c>
      <c r="AY539" t="s">
        <v>2776</v>
      </c>
      <c r="AZ539">
        <v>2</v>
      </c>
      <c r="BA539" t="s">
        <v>2768</v>
      </c>
      <c r="BB539">
        <v>1</v>
      </c>
      <c r="BC539" t="s">
        <v>3023</v>
      </c>
      <c r="BD539">
        <v>2</v>
      </c>
      <c r="BG539" t="s">
        <v>2768</v>
      </c>
      <c r="BH539">
        <v>2</v>
      </c>
      <c r="BI539" s="182" t="s">
        <v>3023</v>
      </c>
      <c r="BJ539">
        <v>2</v>
      </c>
      <c r="BK539" s="176" t="s">
        <v>3012</v>
      </c>
      <c r="BL539">
        <v>2</v>
      </c>
      <c r="BM539" s="176" t="str">
        <f>IF(秋,"梦泉虎跑-轻","夕照雷峰")</f>
        <v>夕照雷峰</v>
      </c>
      <c r="BN539">
        <v>2</v>
      </c>
      <c r="BO539" t="str">
        <f>IF(0,"云飞玉皇-玉山揽云","夕照雷峰")</f>
        <v>夕照雷峰</v>
      </c>
      <c r="BP539">
        <v>2</v>
      </c>
      <c r="BQ539" t="s">
        <v>2768</v>
      </c>
      <c r="BR539">
        <v>2</v>
      </c>
      <c r="BS539" t="s">
        <v>2768</v>
      </c>
      <c r="BT539">
        <v>0</v>
      </c>
      <c r="BU539" t="s">
        <v>2768</v>
      </c>
      <c r="BV539">
        <v>0</v>
      </c>
      <c r="BW539" s="179" t="s">
        <v>2789</v>
      </c>
      <c r="BX539" s="179">
        <v>2</v>
      </c>
      <c r="BY539" s="176" t="str">
        <f>IF(秋,"梦泉虎跑-轻","夕照雷峰")</f>
        <v>夕照雷峰</v>
      </c>
      <c r="BZ539">
        <v>2</v>
      </c>
      <c r="CA539" s="176" t="str">
        <f>IF(秋,"梦泉虎跑-轻","夕照雷峰")</f>
        <v>夕照雷峰</v>
      </c>
      <c r="CB539">
        <v>1</v>
      </c>
    </row>
    <row r="540" spans="47:80">
      <c r="AW540" t="s">
        <v>2776</v>
      </c>
      <c r="AX540">
        <v>2</v>
      </c>
      <c r="AY540" t="s">
        <v>2768</v>
      </c>
      <c r="AZ540">
        <v>2</v>
      </c>
      <c r="BA540" t="s">
        <v>2776</v>
      </c>
      <c r="BB540">
        <v>1</v>
      </c>
      <c r="BC540" t="s">
        <v>2768</v>
      </c>
      <c r="BD540">
        <v>2</v>
      </c>
      <c r="BG540" s="176" t="s">
        <v>2794</v>
      </c>
      <c r="BH540">
        <v>1</v>
      </c>
      <c r="BI540" s="176" t="s">
        <v>3026</v>
      </c>
      <c r="BJ540">
        <v>2</v>
      </c>
      <c r="BK540" s="176" t="s">
        <v>2794</v>
      </c>
      <c r="BL540">
        <v>2</v>
      </c>
      <c r="BM540" s="176" t="str">
        <f>IF(秋,"九溪弥烟-轻-血毒金蛇锥","梦泉虎跑-轻")</f>
        <v>梦泉虎跑-轻</v>
      </c>
      <c r="BN540">
        <v>0</v>
      </c>
      <c r="BO540" t="s">
        <v>2776</v>
      </c>
      <c r="BP540">
        <v>2</v>
      </c>
      <c r="BQ540" t="s">
        <v>2776</v>
      </c>
      <c r="BR540">
        <v>1</v>
      </c>
      <c r="BS540" t="s">
        <v>3024</v>
      </c>
      <c r="BT540">
        <v>2</v>
      </c>
      <c r="BU540" t="s">
        <v>2768</v>
      </c>
      <c r="BV540">
        <v>0</v>
      </c>
      <c r="BW540" s="182" t="s">
        <v>2794</v>
      </c>
      <c r="BX540" s="179">
        <v>2</v>
      </c>
      <c r="BY540" s="176" t="str">
        <f>IF(秋,"九溪弥烟-轻-血毒金蛇锥","梦泉虎跑-轻")</f>
        <v>梦泉虎跑-轻</v>
      </c>
      <c r="BZ540">
        <v>0</v>
      </c>
      <c r="CA540" s="176" t="str">
        <f>IF(秋,"九溪弥烟-轻-血毒金蛇锥","梦泉虎跑-轻")</f>
        <v>梦泉虎跑-轻</v>
      </c>
      <c r="CB540">
        <v>0</v>
      </c>
    </row>
    <row r="541" spans="47:80">
      <c r="AW541" t="s">
        <v>2768</v>
      </c>
      <c r="AX541">
        <v>2</v>
      </c>
      <c r="AY541" t="s">
        <v>2768</v>
      </c>
      <c r="AZ541">
        <v>2</v>
      </c>
      <c r="BA541" t="s">
        <v>2768</v>
      </c>
      <c r="BB541">
        <v>1</v>
      </c>
      <c r="BC541" t="s">
        <v>2776</v>
      </c>
      <c r="BD541">
        <v>2</v>
      </c>
      <c r="BG541" t="s">
        <v>2776</v>
      </c>
      <c r="BH541">
        <v>1</v>
      </c>
      <c r="BI541" s="176" t="s">
        <v>3026</v>
      </c>
      <c r="BJ541">
        <v>2</v>
      </c>
      <c r="BK541" s="176" t="s">
        <v>3019</v>
      </c>
      <c r="BL541">
        <v>2</v>
      </c>
      <c r="BM541" t="s">
        <v>3009</v>
      </c>
      <c r="BN541">
        <v>2</v>
      </c>
      <c r="BO541" s="176" t="s">
        <v>2794</v>
      </c>
      <c r="BP541">
        <v>2</v>
      </c>
      <c r="BQ541" t="s">
        <v>2768</v>
      </c>
      <c r="BR541">
        <v>1</v>
      </c>
      <c r="BS541" s="179" t="s">
        <v>2794</v>
      </c>
      <c r="BT541">
        <v>2</v>
      </c>
      <c r="BU541" t="s">
        <v>2776</v>
      </c>
      <c r="BV541">
        <v>0</v>
      </c>
      <c r="BW541" s="182" t="s">
        <v>2776</v>
      </c>
      <c r="BX541" s="179">
        <v>2</v>
      </c>
      <c r="BY541" t="s">
        <v>3009</v>
      </c>
      <c r="BZ541">
        <v>2</v>
      </c>
      <c r="CA541" t="s">
        <v>3009</v>
      </c>
      <c r="CB541">
        <v>2</v>
      </c>
    </row>
    <row r="542" spans="47:80">
      <c r="AW542" t="s">
        <v>2768</v>
      </c>
      <c r="AX542">
        <v>2</v>
      </c>
      <c r="AY542" t="s">
        <v>2768</v>
      </c>
      <c r="AZ542">
        <v>1</v>
      </c>
      <c r="BA542" t="s">
        <v>2768</v>
      </c>
      <c r="BB542">
        <v>0</v>
      </c>
      <c r="BC542" t="s">
        <v>2789</v>
      </c>
      <c r="BD542">
        <v>2</v>
      </c>
      <c r="BG542" t="s">
        <v>2768</v>
      </c>
      <c r="BH542">
        <v>1</v>
      </c>
      <c r="BI542" s="176" t="s">
        <v>3026</v>
      </c>
      <c r="BJ542">
        <v>2</v>
      </c>
      <c r="BK542" t="s">
        <v>2768</v>
      </c>
      <c r="BL542">
        <v>2</v>
      </c>
      <c r="BM542" s="176" t="str">
        <f>IF(秋,"云飞玉皇-蛇牙锥心","云飞玉皇-血毒金蛇锥")</f>
        <v>云飞玉皇-血毒金蛇锥</v>
      </c>
      <c r="BN542">
        <v>2</v>
      </c>
      <c r="BO542" s="176" t="s">
        <v>2768</v>
      </c>
      <c r="BP542">
        <v>2</v>
      </c>
      <c r="BQ542" t="s">
        <v>2776</v>
      </c>
      <c r="BR542">
        <v>1</v>
      </c>
      <c r="BS542" s="179" t="s">
        <v>3019</v>
      </c>
      <c r="BT542">
        <v>2</v>
      </c>
      <c r="BU542" t="s">
        <v>3067</v>
      </c>
      <c r="BV542">
        <v>0</v>
      </c>
      <c r="BW542" s="182" t="s">
        <v>2768</v>
      </c>
      <c r="BX542" s="179">
        <v>2</v>
      </c>
      <c r="BY542" s="176" t="s">
        <v>2776</v>
      </c>
      <c r="BZ542">
        <v>1</v>
      </c>
      <c r="CA542" s="176" t="str">
        <f>IF(秋,"鹤归孤山-蛇牙锥心","鹤归孤山")</f>
        <v>鹤归孤山</v>
      </c>
      <c r="CB542">
        <v>2</v>
      </c>
    </row>
    <row r="543" spans="47:80">
      <c r="AW543" t="s">
        <v>2768</v>
      </c>
      <c r="AX543">
        <v>2</v>
      </c>
      <c r="AY543" t="s">
        <v>2776</v>
      </c>
      <c r="AZ543">
        <v>1</v>
      </c>
      <c r="BA543" t="s">
        <v>3010</v>
      </c>
      <c r="BB543">
        <v>2</v>
      </c>
      <c r="BC543" t="s">
        <v>2794</v>
      </c>
      <c r="BD543">
        <v>2</v>
      </c>
      <c r="BG543" t="s">
        <v>3011</v>
      </c>
      <c r="BH543">
        <v>2</v>
      </c>
      <c r="BI543" s="176" t="s">
        <v>3026</v>
      </c>
      <c r="BJ543">
        <v>2</v>
      </c>
      <c r="BK543" t="s">
        <v>3023</v>
      </c>
      <c r="BL543">
        <v>2</v>
      </c>
      <c r="BM543" t="s">
        <v>2768</v>
      </c>
      <c r="BN543">
        <v>2</v>
      </c>
      <c r="BO543" s="176" t="s">
        <v>2776</v>
      </c>
      <c r="BP543">
        <v>2</v>
      </c>
      <c r="BQ543" t="s">
        <v>2768</v>
      </c>
      <c r="BR543">
        <v>0</v>
      </c>
      <c r="BS543" s="179" t="s">
        <v>2768</v>
      </c>
      <c r="BT543">
        <v>2</v>
      </c>
      <c r="BU543" t="s">
        <v>2768</v>
      </c>
      <c r="BV543">
        <v>2</v>
      </c>
      <c r="BW543" s="182" t="s">
        <v>2776</v>
      </c>
      <c r="BX543" s="179">
        <v>2</v>
      </c>
      <c r="BY543" s="176" t="s">
        <v>2768</v>
      </c>
      <c r="BZ543">
        <v>1</v>
      </c>
      <c r="CA543" s="176" t="str">
        <f>IF(秋,"云飞玉皇","云飞玉皇-血毒金蛇锥")</f>
        <v>云飞玉皇-血毒金蛇锥</v>
      </c>
      <c r="CB543">
        <v>2</v>
      </c>
    </row>
    <row r="544" spans="47:80">
      <c r="AW544" t="s">
        <v>2776</v>
      </c>
      <c r="AX544">
        <v>2</v>
      </c>
      <c r="AY544" t="s">
        <v>2768</v>
      </c>
      <c r="AZ544">
        <v>1</v>
      </c>
      <c r="BA544" t="s">
        <v>3013</v>
      </c>
      <c r="BB544">
        <v>2</v>
      </c>
      <c r="BC544" s="182" t="s">
        <v>3036</v>
      </c>
      <c r="BD544">
        <v>2</v>
      </c>
      <c r="BG544" t="s">
        <v>2768</v>
      </c>
      <c r="BH544">
        <v>2</v>
      </c>
      <c r="BI544" s="176" t="s">
        <v>3036</v>
      </c>
      <c r="BJ544">
        <v>2</v>
      </c>
      <c r="BK544" t="s">
        <v>2768</v>
      </c>
      <c r="BL544">
        <v>2</v>
      </c>
      <c r="BM544" s="180" t="s">
        <v>2789</v>
      </c>
      <c r="BN544">
        <v>2</v>
      </c>
      <c r="BO544" s="176" t="s">
        <v>2768</v>
      </c>
      <c r="BP544">
        <v>2</v>
      </c>
      <c r="BQ544" t="s">
        <v>2768</v>
      </c>
      <c r="BR544">
        <v>0</v>
      </c>
      <c r="BS544" s="182" t="s">
        <v>3023</v>
      </c>
      <c r="BT544">
        <v>2</v>
      </c>
      <c r="BU544" t="s">
        <v>2768</v>
      </c>
      <c r="BV544">
        <v>2</v>
      </c>
      <c r="BW544" s="182" t="s">
        <v>2768</v>
      </c>
      <c r="BX544" s="179">
        <v>2</v>
      </c>
      <c r="BY544" t="s">
        <v>2776</v>
      </c>
      <c r="BZ544">
        <v>1</v>
      </c>
      <c r="CA544" s="176" t="s">
        <v>2768</v>
      </c>
      <c r="CB544">
        <v>2</v>
      </c>
    </row>
    <row r="545" spans="49:80">
      <c r="AW545" t="s">
        <v>2768</v>
      </c>
      <c r="AX545">
        <v>2</v>
      </c>
      <c r="AY545" t="s">
        <v>2768</v>
      </c>
      <c r="AZ545">
        <v>0</v>
      </c>
      <c r="BA545" t="s">
        <v>3017</v>
      </c>
      <c r="BB545">
        <v>2</v>
      </c>
      <c r="BC545" s="176" t="s">
        <v>3026</v>
      </c>
      <c r="BD545">
        <v>2</v>
      </c>
      <c r="BG545" t="s">
        <v>3018</v>
      </c>
      <c r="BH545">
        <v>2</v>
      </c>
      <c r="BI545" t="s">
        <v>2794</v>
      </c>
      <c r="BJ545">
        <v>2</v>
      </c>
      <c r="BK545" t="s">
        <v>2808</v>
      </c>
      <c r="BL545">
        <v>2</v>
      </c>
      <c r="BM545" s="176" t="s">
        <v>2794</v>
      </c>
      <c r="BN545">
        <v>2</v>
      </c>
      <c r="BO545" s="176" t="s">
        <v>2776</v>
      </c>
      <c r="BP545">
        <v>2</v>
      </c>
      <c r="BQ545" t="s">
        <v>3067</v>
      </c>
      <c r="BR545">
        <v>0</v>
      </c>
      <c r="BS545" s="182" t="s">
        <v>2768</v>
      </c>
      <c r="BT545">
        <v>2</v>
      </c>
      <c r="BU545" s="176" t="s">
        <v>2794</v>
      </c>
      <c r="BV545">
        <v>1</v>
      </c>
      <c r="BW545" s="182" t="s">
        <v>2808</v>
      </c>
      <c r="BX545" s="179">
        <v>2</v>
      </c>
      <c r="BY545" t="s">
        <v>2768</v>
      </c>
      <c r="BZ545">
        <v>1</v>
      </c>
      <c r="CA545" s="176" t="s">
        <v>2776</v>
      </c>
      <c r="CB545">
        <v>2</v>
      </c>
    </row>
    <row r="546" spans="49:80">
      <c r="AW546" t="s">
        <v>2722</v>
      </c>
      <c r="AX546">
        <v>0</v>
      </c>
      <c r="AY546" t="s">
        <v>3010</v>
      </c>
      <c r="AZ546">
        <v>2</v>
      </c>
      <c r="BA546" t="s">
        <v>2808</v>
      </c>
      <c r="BB546">
        <v>2</v>
      </c>
      <c r="BC546" s="176" t="s">
        <v>3026</v>
      </c>
      <c r="BD546">
        <v>2</v>
      </c>
      <c r="BG546" t="s">
        <v>2768</v>
      </c>
      <c r="BH546">
        <v>2</v>
      </c>
      <c r="BI546" t="s">
        <v>2776</v>
      </c>
      <c r="BJ546">
        <v>2</v>
      </c>
      <c r="BK546" t="s">
        <v>2768</v>
      </c>
      <c r="BL546">
        <v>2</v>
      </c>
      <c r="BM546" s="176" t="s">
        <v>2776</v>
      </c>
      <c r="BN546">
        <v>2</v>
      </c>
      <c r="BO546" s="176" t="s">
        <v>2768</v>
      </c>
      <c r="BP546">
        <v>2</v>
      </c>
      <c r="BQ546" t="s">
        <v>2776</v>
      </c>
      <c r="BR546">
        <v>2</v>
      </c>
      <c r="BS546" s="182" t="s">
        <v>2776</v>
      </c>
      <c r="BT546">
        <v>2</v>
      </c>
      <c r="BU546" t="s">
        <v>2776</v>
      </c>
      <c r="BV546">
        <v>1</v>
      </c>
      <c r="BW546" s="179" t="s">
        <v>2768</v>
      </c>
      <c r="BX546" s="179">
        <v>2</v>
      </c>
      <c r="BY546" t="s">
        <v>2722</v>
      </c>
      <c r="BZ546">
        <v>0</v>
      </c>
      <c r="CA546" s="176" t="s">
        <v>2768</v>
      </c>
      <c r="CB546">
        <v>2</v>
      </c>
    </row>
    <row r="547" spans="49:80">
      <c r="AY547" t="s">
        <v>3013</v>
      </c>
      <c r="AZ547">
        <v>2</v>
      </c>
      <c r="BA547" t="s">
        <v>3022</v>
      </c>
      <c r="BB547">
        <v>2</v>
      </c>
      <c r="BC547" s="176" t="s">
        <v>3026</v>
      </c>
      <c r="BD547">
        <v>2</v>
      </c>
      <c r="BG547" s="182" t="s">
        <v>3023</v>
      </c>
      <c r="BH547">
        <v>2</v>
      </c>
      <c r="BI547" t="s">
        <v>2768</v>
      </c>
      <c r="BJ547">
        <v>2</v>
      </c>
      <c r="BK547" t="s">
        <v>2776</v>
      </c>
      <c r="BL547">
        <v>2</v>
      </c>
      <c r="BM547" s="176" t="s">
        <v>2768</v>
      </c>
      <c r="BN547">
        <v>2</v>
      </c>
      <c r="BO547" t="s">
        <v>3056</v>
      </c>
      <c r="BP547">
        <v>1</v>
      </c>
      <c r="BQ547" t="s">
        <v>2768</v>
      </c>
      <c r="BR547">
        <v>2</v>
      </c>
      <c r="BS547" s="182" t="s">
        <v>2768</v>
      </c>
      <c r="BT547">
        <v>2</v>
      </c>
      <c r="BU547" t="s">
        <v>2768</v>
      </c>
      <c r="BV547">
        <v>1</v>
      </c>
      <c r="BW547" s="179" t="s">
        <v>2776</v>
      </c>
      <c r="BX547" s="179">
        <v>2</v>
      </c>
      <c r="CA547" s="176" t="s">
        <v>2808</v>
      </c>
      <c r="CB547">
        <v>2</v>
      </c>
    </row>
    <row r="548" spans="49:80">
      <c r="AY548" t="s">
        <v>3017</v>
      </c>
      <c r="AZ548">
        <v>2</v>
      </c>
      <c r="BA548" t="s">
        <v>2776</v>
      </c>
      <c r="BB548">
        <v>2</v>
      </c>
      <c r="BC548" s="176" t="s">
        <v>3026</v>
      </c>
      <c r="BD548">
        <v>2</v>
      </c>
      <c r="BG548" s="176" t="s">
        <v>2768</v>
      </c>
      <c r="BH548">
        <v>2</v>
      </c>
      <c r="BI548" t="s">
        <v>2776</v>
      </c>
      <c r="BJ548">
        <v>2</v>
      </c>
      <c r="BK548" t="s">
        <v>3036</v>
      </c>
      <c r="BL548">
        <v>2</v>
      </c>
      <c r="BM548" s="176" t="s">
        <v>2776</v>
      </c>
      <c r="BN548">
        <v>2</v>
      </c>
      <c r="BO548" t="s">
        <v>2768</v>
      </c>
      <c r="BP548">
        <v>2</v>
      </c>
      <c r="BQ548" t="s">
        <v>2768</v>
      </c>
      <c r="BR548">
        <v>2</v>
      </c>
      <c r="BS548" s="182" t="s">
        <v>3085</v>
      </c>
      <c r="BT548">
        <v>2</v>
      </c>
      <c r="BU548" t="s">
        <v>3011</v>
      </c>
      <c r="BV548">
        <v>2</v>
      </c>
      <c r="BW548" s="179" t="s">
        <v>2768</v>
      </c>
      <c r="BX548" s="179">
        <v>2</v>
      </c>
      <c r="CA548" t="str">
        <f>IF(0,"风来吴山","风来吴山")</f>
        <v>风来吴山</v>
      </c>
      <c r="CB548">
        <v>2</v>
      </c>
    </row>
    <row r="549" spans="49:80">
      <c r="AY549" t="s">
        <v>2808</v>
      </c>
      <c r="AZ549">
        <v>2</v>
      </c>
      <c r="BA549" t="s">
        <v>2768</v>
      </c>
      <c r="BB549">
        <v>2</v>
      </c>
      <c r="BC549" t="s">
        <v>3013</v>
      </c>
      <c r="BD549">
        <v>2</v>
      </c>
      <c r="BG549" s="176" t="s">
        <v>2768</v>
      </c>
      <c r="BH549">
        <v>2</v>
      </c>
      <c r="BI549" t="s">
        <v>2768</v>
      </c>
      <c r="BJ549">
        <v>2</v>
      </c>
      <c r="BK549" t="s">
        <v>3026</v>
      </c>
      <c r="BL549">
        <v>2</v>
      </c>
      <c r="BM549" s="176" t="s">
        <v>2768</v>
      </c>
      <c r="BN549">
        <v>2</v>
      </c>
      <c r="BO549" t="s">
        <v>2768</v>
      </c>
      <c r="BP549">
        <v>2</v>
      </c>
      <c r="BQ549" t="s">
        <v>2768</v>
      </c>
      <c r="BR549">
        <v>1</v>
      </c>
      <c r="BS549" s="182" t="s">
        <v>3084</v>
      </c>
      <c r="BT549">
        <v>2</v>
      </c>
      <c r="BU549" t="s">
        <v>2768</v>
      </c>
      <c r="BV549">
        <v>2</v>
      </c>
      <c r="BW549" s="179" t="s">
        <v>2768</v>
      </c>
      <c r="BX549" s="179">
        <v>2</v>
      </c>
      <c r="CA549" t="str">
        <f>IF(0,"云飞玉皇-玉山揽云","云飞玉皇")</f>
        <v>云飞玉皇</v>
      </c>
      <c r="CB549">
        <v>2</v>
      </c>
    </row>
    <row r="550" spans="49:80">
      <c r="AY550" t="s">
        <v>3022</v>
      </c>
      <c r="AZ550">
        <v>2</v>
      </c>
      <c r="BA550" t="s">
        <v>2768</v>
      </c>
      <c r="BB550">
        <v>2</v>
      </c>
      <c r="BC550" t="s">
        <v>2808</v>
      </c>
      <c r="BD550">
        <v>2</v>
      </c>
      <c r="BG550" s="176" t="s">
        <v>2768</v>
      </c>
      <c r="BH550">
        <v>2</v>
      </c>
      <c r="BI550" t="s">
        <v>2808</v>
      </c>
      <c r="BJ550">
        <v>2</v>
      </c>
      <c r="BK550" t="s">
        <v>3026</v>
      </c>
      <c r="BL550">
        <v>2</v>
      </c>
      <c r="BM550" s="176" t="s">
        <v>2808</v>
      </c>
      <c r="BN550">
        <v>2</v>
      </c>
      <c r="BO550" t="s">
        <v>2768</v>
      </c>
      <c r="BP550">
        <v>2</v>
      </c>
      <c r="BQ550" t="s">
        <v>2776</v>
      </c>
      <c r="BR550">
        <v>1</v>
      </c>
      <c r="BS550" s="176" t="s">
        <v>2768</v>
      </c>
      <c r="BT550">
        <v>2</v>
      </c>
      <c r="BU550" t="s">
        <v>3018</v>
      </c>
      <c r="BV550">
        <v>2</v>
      </c>
      <c r="BW550" s="179" t="s">
        <v>3021</v>
      </c>
      <c r="BX550" s="179">
        <v>2</v>
      </c>
      <c r="CA550" s="180" t="str">
        <f>IF(0,"云飞玉皇-玉山揽云","夕照雷峰")</f>
        <v>夕照雷峰</v>
      </c>
      <c r="CB550">
        <v>2</v>
      </c>
    </row>
    <row r="551" spans="49:80">
      <c r="AY551" t="s">
        <v>2776</v>
      </c>
      <c r="AZ551">
        <v>2</v>
      </c>
      <c r="BA551" t="s">
        <v>2776</v>
      </c>
      <c r="BB551">
        <v>2</v>
      </c>
      <c r="BC551" t="s">
        <v>2768</v>
      </c>
      <c r="BD551">
        <v>2</v>
      </c>
      <c r="BG551" s="176" t="s">
        <v>2776</v>
      </c>
      <c r="BH551">
        <v>2</v>
      </c>
      <c r="BI551" s="176" t="s">
        <v>2768</v>
      </c>
      <c r="BJ551">
        <v>2</v>
      </c>
      <c r="BK551" t="s">
        <v>3026</v>
      </c>
      <c r="BL551">
        <v>2</v>
      </c>
      <c r="BM551" t="str">
        <f>IF(0,"云飞玉皇-玉山揽云","夕照雷峰")</f>
        <v>夕照雷峰</v>
      </c>
      <c r="BN551">
        <v>2</v>
      </c>
      <c r="BO551" t="s">
        <v>2776</v>
      </c>
      <c r="BP551">
        <v>2</v>
      </c>
      <c r="BQ551" t="s">
        <v>2768</v>
      </c>
      <c r="BR551">
        <v>1</v>
      </c>
      <c r="BS551" s="176" t="s">
        <v>2768</v>
      </c>
      <c r="BT551">
        <v>2</v>
      </c>
      <c r="BU551" t="s">
        <v>2768</v>
      </c>
      <c r="BV551">
        <v>2</v>
      </c>
      <c r="BW551" s="179" t="s">
        <v>2722</v>
      </c>
      <c r="BX551" s="179">
        <v>2</v>
      </c>
      <c r="BY551" s="180"/>
      <c r="CA551" s="176" t="str">
        <f>IF(秋,"夕照雷峰","千切子寒光")</f>
        <v>千切子寒光</v>
      </c>
      <c r="CB551">
        <v>2</v>
      </c>
    </row>
    <row r="552" spans="49:80">
      <c r="AY552" t="s">
        <v>2768</v>
      </c>
      <c r="AZ552">
        <v>2</v>
      </c>
      <c r="BA552" t="s">
        <v>3035</v>
      </c>
      <c r="BB552">
        <v>2</v>
      </c>
      <c r="BC552" t="s">
        <v>2768</v>
      </c>
      <c r="BD552">
        <v>2</v>
      </c>
      <c r="BG552" s="176" t="s">
        <v>3035</v>
      </c>
      <c r="BH552">
        <v>2</v>
      </c>
      <c r="BI552" s="176" t="s">
        <v>2776</v>
      </c>
      <c r="BJ552">
        <v>2</v>
      </c>
      <c r="BK552" t="s">
        <v>3026</v>
      </c>
      <c r="BL552">
        <v>2</v>
      </c>
      <c r="BM552" t="str">
        <f>IF(0,"云飞玉皇-玉山揽云","云飞玉皇")</f>
        <v>云飞玉皇</v>
      </c>
      <c r="BN552">
        <v>2</v>
      </c>
      <c r="BO552" t="s">
        <v>2768</v>
      </c>
      <c r="BP552">
        <v>2</v>
      </c>
      <c r="BQ552" t="s">
        <v>2768</v>
      </c>
      <c r="BR552">
        <v>0</v>
      </c>
      <c r="BS552" s="176" t="s">
        <v>2768</v>
      </c>
      <c r="BT552">
        <v>2</v>
      </c>
      <c r="BU552" s="182" t="s">
        <v>3023</v>
      </c>
      <c r="BV552">
        <v>2</v>
      </c>
      <c r="BW552" s="179" t="s">
        <v>3028</v>
      </c>
      <c r="BX552" s="179">
        <v>2</v>
      </c>
      <c r="CA552" s="176" t="str">
        <f>IF(秋,"夕照雷峰","千切子裂光")</f>
        <v>千切子裂光</v>
      </c>
      <c r="CB552">
        <v>2</v>
      </c>
    </row>
    <row r="553" spans="49:80">
      <c r="AY553" t="s">
        <v>2768</v>
      </c>
      <c r="AZ553">
        <v>2</v>
      </c>
      <c r="BA553" t="s">
        <v>2768</v>
      </c>
      <c r="BB553">
        <v>2</v>
      </c>
      <c r="BC553" t="s">
        <v>2776</v>
      </c>
      <c r="BD553">
        <v>1</v>
      </c>
      <c r="BG553" t="s">
        <v>2768</v>
      </c>
      <c r="BH553">
        <v>2</v>
      </c>
      <c r="BI553" t="s">
        <v>2768</v>
      </c>
      <c r="BJ553">
        <v>2</v>
      </c>
      <c r="BK553" t="s">
        <v>2776</v>
      </c>
      <c r="BL553">
        <v>2</v>
      </c>
      <c r="BM553" s="176" t="str">
        <f>IF(秋,"夕照雷峰","千切子寒光")</f>
        <v>千切子寒光</v>
      </c>
      <c r="BN553">
        <v>2</v>
      </c>
      <c r="BO553" t="s">
        <v>2768</v>
      </c>
      <c r="BP553">
        <v>2</v>
      </c>
      <c r="BQ553" t="s">
        <v>3010</v>
      </c>
      <c r="BR553">
        <v>2</v>
      </c>
      <c r="BS553" s="176" t="s">
        <v>2776</v>
      </c>
      <c r="BT553">
        <v>2</v>
      </c>
      <c r="BU553" s="176" t="s">
        <v>2768</v>
      </c>
      <c r="BV553">
        <v>2</v>
      </c>
      <c r="BW553" s="179" t="s">
        <v>2768</v>
      </c>
      <c r="BX553" s="179">
        <v>2</v>
      </c>
      <c r="BY553" s="176"/>
      <c r="CA553" t="str">
        <f>IF(0,"云飞玉皇-玉山揽云","云飞玉皇")</f>
        <v>云飞玉皇</v>
      </c>
      <c r="CB553">
        <v>2</v>
      </c>
    </row>
    <row r="554" spans="49:80">
      <c r="AW554" s="176"/>
      <c r="AY554" t="s">
        <v>2776</v>
      </c>
      <c r="AZ554">
        <v>2</v>
      </c>
      <c r="BA554" t="s">
        <v>2776</v>
      </c>
      <c r="BB554">
        <v>2</v>
      </c>
      <c r="BC554" t="s">
        <v>2768</v>
      </c>
      <c r="BD554">
        <v>1</v>
      </c>
      <c r="BG554" t="s">
        <v>2776</v>
      </c>
      <c r="BH554">
        <v>2</v>
      </c>
      <c r="BI554" s="176" t="s">
        <v>2768</v>
      </c>
      <c r="BJ554">
        <v>1</v>
      </c>
      <c r="BK554" t="s">
        <v>2794</v>
      </c>
      <c r="BL554">
        <v>2</v>
      </c>
      <c r="BM554" s="176" t="str">
        <f>IF(秋,"夕照雷峰","千切子裂光")</f>
        <v>千切子裂光</v>
      </c>
      <c r="BN554">
        <v>2</v>
      </c>
      <c r="BO554" t="s">
        <v>2768</v>
      </c>
      <c r="BP554">
        <v>2</v>
      </c>
      <c r="BQ554" t="s">
        <v>3013</v>
      </c>
      <c r="BR554">
        <v>2</v>
      </c>
      <c r="BS554" s="176" t="s">
        <v>2768</v>
      </c>
      <c r="BT554">
        <v>2</v>
      </c>
      <c r="BU554" s="176" t="s">
        <v>2768</v>
      </c>
      <c r="BV554">
        <v>2</v>
      </c>
      <c r="BW554" s="179" t="str">
        <f>IF(山重水复,"风来吴山","夕照雷峰")</f>
        <v>夕照雷峰</v>
      </c>
      <c r="BX554" s="179">
        <v>2</v>
      </c>
      <c r="BY554" s="176"/>
      <c r="CA554" s="176" t="s">
        <v>2794</v>
      </c>
      <c r="CB554">
        <v>2</v>
      </c>
    </row>
    <row r="555" spans="49:80">
      <c r="AW555" s="176"/>
      <c r="AY555" t="s">
        <v>3035</v>
      </c>
      <c r="AZ555">
        <v>2</v>
      </c>
      <c r="BA555" t="s">
        <v>2768</v>
      </c>
      <c r="BB555">
        <v>2</v>
      </c>
      <c r="BC555" t="s">
        <v>2794</v>
      </c>
      <c r="BD555">
        <v>2</v>
      </c>
      <c r="BG555" t="s">
        <v>2768</v>
      </c>
      <c r="BH555">
        <v>2</v>
      </c>
      <c r="BI555" s="176" t="s">
        <v>2768</v>
      </c>
      <c r="BJ555">
        <v>1</v>
      </c>
      <c r="BK555" t="s">
        <v>2768</v>
      </c>
      <c r="BL555">
        <v>2</v>
      </c>
      <c r="BM555" t="str">
        <f>IF(0,"云飞玉皇-玉山揽云","夕照雷峰")</f>
        <v>夕照雷峰</v>
      </c>
      <c r="BN555">
        <v>2</v>
      </c>
      <c r="BO555" t="s">
        <v>2776</v>
      </c>
      <c r="BP555">
        <v>2</v>
      </c>
      <c r="BQ555" t="s">
        <v>3018</v>
      </c>
      <c r="BR555">
        <v>2</v>
      </c>
      <c r="BS555" s="176" t="s">
        <v>2794</v>
      </c>
      <c r="BT555">
        <v>2</v>
      </c>
      <c r="BU555" s="176" t="s">
        <v>2768</v>
      </c>
      <c r="BV555">
        <v>2</v>
      </c>
      <c r="BW555" s="182" t="s">
        <v>2794</v>
      </c>
      <c r="BX555" s="179">
        <v>2</v>
      </c>
      <c r="BY555" s="176"/>
      <c r="CA555" s="176" t="s">
        <v>2768</v>
      </c>
      <c r="CB555">
        <v>2</v>
      </c>
    </row>
    <row r="556" spans="49:80">
      <c r="AW556" s="176"/>
      <c r="AY556" t="s">
        <v>2768</v>
      </c>
      <c r="AZ556">
        <v>2</v>
      </c>
      <c r="BA556" t="s">
        <v>2776</v>
      </c>
      <c r="BB556">
        <v>2</v>
      </c>
      <c r="BC556" t="s">
        <v>2768</v>
      </c>
      <c r="BD556">
        <v>2</v>
      </c>
      <c r="BG556" t="s">
        <v>2776</v>
      </c>
      <c r="BH556">
        <v>2</v>
      </c>
      <c r="BI556" s="176" t="s">
        <v>2776</v>
      </c>
      <c r="BJ556">
        <v>0</v>
      </c>
      <c r="BK556" t="s">
        <v>2776</v>
      </c>
      <c r="BL556">
        <v>2</v>
      </c>
      <c r="BM556" s="176" t="str">
        <f>IF(秋,"云飞玉皇","夕照雷峰")</f>
        <v>夕照雷峰</v>
      </c>
      <c r="BN556">
        <v>2</v>
      </c>
      <c r="BO556" t="s">
        <v>2768</v>
      </c>
      <c r="BP556">
        <v>1</v>
      </c>
      <c r="BQ556" t="s">
        <v>2768</v>
      </c>
      <c r="BR556">
        <v>2</v>
      </c>
      <c r="BS556" t="s">
        <v>2768</v>
      </c>
      <c r="BT556">
        <v>2</v>
      </c>
      <c r="BU556" s="176" t="s">
        <v>2776</v>
      </c>
      <c r="BV556">
        <v>2</v>
      </c>
      <c r="BW556" s="182" t="s">
        <v>2776</v>
      </c>
      <c r="BX556" s="179">
        <v>2</v>
      </c>
      <c r="BY556" s="176"/>
      <c r="CA556" s="176" t="s">
        <v>2776</v>
      </c>
      <c r="CB556">
        <v>2</v>
      </c>
    </row>
    <row r="557" spans="49:80">
      <c r="AW557" s="176"/>
      <c r="AY557" t="s">
        <v>2776</v>
      </c>
      <c r="AZ557">
        <v>2</v>
      </c>
      <c r="BA557" t="s">
        <v>3042</v>
      </c>
      <c r="BB557">
        <v>2</v>
      </c>
      <c r="BC557" t="s">
        <v>2776</v>
      </c>
      <c r="BD557">
        <v>2</v>
      </c>
      <c r="BG557" t="s">
        <v>2768</v>
      </c>
      <c r="BH557">
        <v>2</v>
      </c>
      <c r="BI557" t="s">
        <v>2794</v>
      </c>
      <c r="BJ557">
        <v>0</v>
      </c>
      <c r="BK557" t="s">
        <v>2768</v>
      </c>
      <c r="BL557">
        <v>1</v>
      </c>
      <c r="BM557" s="176" t="str">
        <f>IF(秋,"夕照雷峰","云飞玉皇")</f>
        <v>云飞玉皇</v>
      </c>
      <c r="BN557">
        <v>2</v>
      </c>
      <c r="BO557" t="s">
        <v>2722</v>
      </c>
      <c r="BP557">
        <v>0</v>
      </c>
      <c r="BQ557" t="s">
        <v>3023</v>
      </c>
      <c r="BR557">
        <v>2</v>
      </c>
      <c r="BS557" t="s">
        <v>2776</v>
      </c>
      <c r="BT557">
        <v>2</v>
      </c>
      <c r="BU557" s="176" t="s">
        <v>3035</v>
      </c>
      <c r="BV557">
        <v>2</v>
      </c>
      <c r="BW557" s="182" t="s">
        <v>2768</v>
      </c>
      <c r="BX557" s="179">
        <v>1</v>
      </c>
      <c r="BY557" s="176"/>
      <c r="CA557" s="176" t="s">
        <v>2768</v>
      </c>
      <c r="CB557">
        <v>2</v>
      </c>
    </row>
    <row r="558" spans="49:80">
      <c r="AW558" s="176"/>
      <c r="AY558" t="s">
        <v>2768</v>
      </c>
      <c r="AZ558">
        <v>2</v>
      </c>
      <c r="BA558" t="s">
        <v>2808</v>
      </c>
      <c r="BB558">
        <v>2</v>
      </c>
      <c r="BC558" t="s">
        <v>2768</v>
      </c>
      <c r="BD558">
        <v>2</v>
      </c>
      <c r="BG558" t="s">
        <v>2808</v>
      </c>
      <c r="BH558">
        <v>2</v>
      </c>
      <c r="BI558" t="s">
        <v>2768</v>
      </c>
      <c r="BJ558">
        <v>2</v>
      </c>
      <c r="BK558" t="s">
        <v>2776</v>
      </c>
      <c r="BL558">
        <v>1</v>
      </c>
      <c r="BM558" s="176" t="s">
        <v>2794</v>
      </c>
      <c r="BN558">
        <v>2</v>
      </c>
      <c r="BO558" t="s">
        <v>3009</v>
      </c>
      <c r="BP558">
        <v>2</v>
      </c>
      <c r="BQ558" t="s">
        <v>2768</v>
      </c>
      <c r="BR558">
        <v>2</v>
      </c>
      <c r="BS558" t="s">
        <v>2768</v>
      </c>
      <c r="BT558">
        <v>2</v>
      </c>
      <c r="BU558" t="s">
        <v>2768</v>
      </c>
      <c r="BV558">
        <v>2</v>
      </c>
      <c r="BW558" s="182" t="s">
        <v>2776</v>
      </c>
      <c r="BX558" s="179">
        <v>1</v>
      </c>
      <c r="BY558" s="176"/>
      <c r="CA558" s="176" t="s">
        <v>2808</v>
      </c>
      <c r="CB558">
        <v>2</v>
      </c>
    </row>
    <row r="559" spans="49:80">
      <c r="AW559" s="176"/>
      <c r="AY559" t="s">
        <v>2776</v>
      </c>
      <c r="AZ559">
        <v>2</v>
      </c>
      <c r="BA559" t="s">
        <v>2768</v>
      </c>
      <c r="BB559">
        <v>2</v>
      </c>
      <c r="BC559" t="s">
        <v>2776</v>
      </c>
      <c r="BD559">
        <v>2</v>
      </c>
      <c r="BG559" t="s">
        <v>2768</v>
      </c>
      <c r="BH559">
        <v>2</v>
      </c>
      <c r="BI559" t="s">
        <v>2776</v>
      </c>
      <c r="BJ559">
        <v>2</v>
      </c>
      <c r="BK559" t="s">
        <v>2768</v>
      </c>
      <c r="BL559">
        <v>0</v>
      </c>
      <c r="BM559" s="176" t="s">
        <v>2768</v>
      </c>
      <c r="BN559">
        <v>2</v>
      </c>
      <c r="BO559" t="s">
        <v>2776</v>
      </c>
      <c r="BP559">
        <v>2</v>
      </c>
      <c r="BQ559" t="s">
        <v>2776</v>
      </c>
      <c r="BR559">
        <v>2</v>
      </c>
      <c r="BS559" t="s">
        <v>2776</v>
      </c>
      <c r="BT559">
        <v>1</v>
      </c>
      <c r="BU559" t="s">
        <v>2776</v>
      </c>
      <c r="BV559">
        <v>2</v>
      </c>
      <c r="BW559" s="182" t="s">
        <v>2768</v>
      </c>
      <c r="BX559" s="179">
        <v>1</v>
      </c>
      <c r="CA559" t="s">
        <v>2768</v>
      </c>
      <c r="CB559">
        <v>2</v>
      </c>
    </row>
    <row r="560" spans="49:80">
      <c r="AY560" t="s">
        <v>3042</v>
      </c>
      <c r="AZ560">
        <v>2</v>
      </c>
      <c r="BA560" t="s">
        <v>2768</v>
      </c>
      <c r="BB560">
        <v>2</v>
      </c>
      <c r="BC560" t="s">
        <v>2768</v>
      </c>
      <c r="BD560">
        <v>2</v>
      </c>
      <c r="BG560" s="176" t="s">
        <v>2768</v>
      </c>
      <c r="BH560">
        <v>2</v>
      </c>
      <c r="BI560" t="s">
        <v>2768</v>
      </c>
      <c r="BJ560">
        <v>2</v>
      </c>
      <c r="BK560" t="s">
        <v>3056</v>
      </c>
      <c r="BL560">
        <v>0</v>
      </c>
      <c r="BM560" s="176" t="s">
        <v>2776</v>
      </c>
      <c r="BN560">
        <v>2</v>
      </c>
      <c r="BO560" t="s">
        <v>2768</v>
      </c>
      <c r="BP560">
        <v>2</v>
      </c>
      <c r="BQ560" t="s">
        <v>2768</v>
      </c>
      <c r="BR560">
        <v>2</v>
      </c>
      <c r="BS560" t="s">
        <v>2768</v>
      </c>
      <c r="BT560">
        <v>1</v>
      </c>
      <c r="BU560" t="s">
        <v>2768</v>
      </c>
      <c r="BV560">
        <v>2</v>
      </c>
      <c r="BW560" s="182" t="s">
        <v>2776</v>
      </c>
      <c r="BX560" s="179">
        <v>1</v>
      </c>
      <c r="CA560" t="s">
        <v>2776</v>
      </c>
      <c r="CB560">
        <v>2</v>
      </c>
    </row>
    <row r="561" spans="49:80">
      <c r="AY561" t="s">
        <v>2808</v>
      </c>
      <c r="AZ561">
        <v>2</v>
      </c>
      <c r="BA561" t="s">
        <v>2776</v>
      </c>
      <c r="BB561">
        <v>2</v>
      </c>
      <c r="BC561" t="s">
        <v>2776</v>
      </c>
      <c r="BD561">
        <v>2</v>
      </c>
      <c r="BG561" s="176" t="s">
        <v>2776</v>
      </c>
      <c r="BH561">
        <v>2</v>
      </c>
      <c r="BI561" t="s">
        <v>2776</v>
      </c>
      <c r="BJ561">
        <v>1</v>
      </c>
      <c r="BK561" t="s">
        <v>2768</v>
      </c>
      <c r="BL561">
        <v>2</v>
      </c>
      <c r="BM561" s="176" t="s">
        <v>2768</v>
      </c>
      <c r="BN561">
        <v>2</v>
      </c>
      <c r="BO561" t="str">
        <f>IF(山重水复,"风来吴山","夕照雷峰")</f>
        <v>夕照雷峰</v>
      </c>
      <c r="BP561">
        <v>2</v>
      </c>
      <c r="BQ561" t="s">
        <v>2768</v>
      </c>
      <c r="BR561">
        <v>2</v>
      </c>
      <c r="BS561" t="s">
        <v>3056</v>
      </c>
      <c r="BT561">
        <v>0</v>
      </c>
      <c r="BU561" t="s">
        <v>2776</v>
      </c>
      <c r="BV561">
        <v>2</v>
      </c>
      <c r="BW561" s="179" t="s">
        <v>2718</v>
      </c>
      <c r="BX561" s="179">
        <v>1</v>
      </c>
      <c r="CA561" t="s">
        <v>2768</v>
      </c>
      <c r="CB561">
        <v>2</v>
      </c>
    </row>
    <row r="562" spans="49:80">
      <c r="AY562" t="s">
        <v>2768</v>
      </c>
      <c r="AZ562">
        <v>2</v>
      </c>
      <c r="BA562" t="s">
        <v>2794</v>
      </c>
      <c r="BB562">
        <v>2</v>
      </c>
      <c r="BC562" t="s">
        <v>2768</v>
      </c>
      <c r="BD562">
        <v>1</v>
      </c>
      <c r="BG562" t="s">
        <v>2768</v>
      </c>
      <c r="BH562">
        <v>1</v>
      </c>
      <c r="BI562" t="s">
        <v>2768</v>
      </c>
      <c r="BJ562">
        <v>1</v>
      </c>
      <c r="BK562" t="s">
        <v>2768</v>
      </c>
      <c r="BL562">
        <v>2</v>
      </c>
      <c r="BM562" s="176" t="s">
        <v>2776</v>
      </c>
      <c r="BN562">
        <v>2</v>
      </c>
      <c r="BO562" s="176" t="s">
        <v>2794</v>
      </c>
      <c r="BP562">
        <v>2</v>
      </c>
      <c r="BQ562" t="s">
        <v>3035</v>
      </c>
      <c r="BR562">
        <v>2</v>
      </c>
      <c r="BS562" t="s">
        <v>2768</v>
      </c>
      <c r="BT562">
        <v>2</v>
      </c>
      <c r="BU562" t="s">
        <v>2768</v>
      </c>
      <c r="BV562">
        <v>2</v>
      </c>
      <c r="BW562" s="179" t="s">
        <v>2718</v>
      </c>
      <c r="BX562" s="179">
        <v>1</v>
      </c>
      <c r="CA562" t="s">
        <v>2768</v>
      </c>
      <c r="CB562">
        <v>2</v>
      </c>
    </row>
    <row r="563" spans="49:80">
      <c r="AW563" s="176"/>
      <c r="AY563" t="s">
        <v>2768</v>
      </c>
      <c r="AZ563">
        <v>2</v>
      </c>
      <c r="BA563" t="s">
        <v>2768</v>
      </c>
      <c r="BB563">
        <v>2</v>
      </c>
      <c r="BC563" t="s">
        <v>2768</v>
      </c>
      <c r="BD563">
        <v>1</v>
      </c>
      <c r="BG563" s="176" t="s">
        <v>2768</v>
      </c>
      <c r="BH563">
        <v>1</v>
      </c>
      <c r="BI563" t="s">
        <v>2776</v>
      </c>
      <c r="BJ563">
        <v>0</v>
      </c>
      <c r="BK563" t="s">
        <v>2776</v>
      </c>
      <c r="BL563">
        <v>2</v>
      </c>
      <c r="BM563" s="176" t="s">
        <v>2768</v>
      </c>
      <c r="BN563">
        <v>2</v>
      </c>
      <c r="BO563" s="176" t="s">
        <v>2776</v>
      </c>
      <c r="BP563">
        <v>2</v>
      </c>
      <c r="BQ563" t="s">
        <v>2776</v>
      </c>
      <c r="BR563">
        <v>2</v>
      </c>
      <c r="BS563" t="s">
        <v>2768</v>
      </c>
      <c r="BT563">
        <v>2</v>
      </c>
      <c r="BU563" t="s">
        <v>2808</v>
      </c>
      <c r="BV563">
        <v>2</v>
      </c>
      <c r="BW563" s="179" t="s">
        <v>2776</v>
      </c>
      <c r="BX563" s="179">
        <v>2</v>
      </c>
      <c r="CA563" t="s">
        <v>2768</v>
      </c>
      <c r="CB563">
        <v>2</v>
      </c>
    </row>
    <row r="564" spans="49:80">
      <c r="AW564" s="176"/>
      <c r="AY564" t="s">
        <v>2776</v>
      </c>
      <c r="AZ564">
        <v>2</v>
      </c>
      <c r="BA564" t="s">
        <v>2776</v>
      </c>
      <c r="BB564">
        <v>2</v>
      </c>
      <c r="BC564" t="s">
        <v>2813</v>
      </c>
      <c r="BD564">
        <v>0</v>
      </c>
      <c r="BG564" t="s">
        <v>3055</v>
      </c>
      <c r="BH564">
        <v>0</v>
      </c>
      <c r="BI564" t="s">
        <v>2768</v>
      </c>
      <c r="BJ564">
        <v>0</v>
      </c>
      <c r="BK564" t="s">
        <v>2768</v>
      </c>
      <c r="BL564">
        <v>1</v>
      </c>
      <c r="BM564" t="s">
        <v>3056</v>
      </c>
      <c r="BN564">
        <v>1</v>
      </c>
      <c r="BO564" s="176" t="s">
        <v>2768</v>
      </c>
      <c r="BP564">
        <v>2</v>
      </c>
      <c r="BQ564" t="s">
        <v>2768</v>
      </c>
      <c r="BR564">
        <v>2</v>
      </c>
      <c r="BS564" t="s">
        <v>2776</v>
      </c>
      <c r="BT564">
        <v>2</v>
      </c>
      <c r="BU564" t="s">
        <v>2768</v>
      </c>
      <c r="BV564">
        <v>2</v>
      </c>
      <c r="BW564" s="179" t="s">
        <v>2768</v>
      </c>
      <c r="BX564" s="179">
        <v>2</v>
      </c>
      <c r="CA564" t="s">
        <v>2776</v>
      </c>
      <c r="CB564">
        <v>2</v>
      </c>
    </row>
    <row r="565" spans="49:80">
      <c r="AW565" s="176"/>
      <c r="AY565" t="s">
        <v>2768</v>
      </c>
      <c r="AZ565">
        <v>2</v>
      </c>
      <c r="BA565" t="s">
        <v>2768</v>
      </c>
      <c r="BB565">
        <v>2</v>
      </c>
      <c r="BC565" t="s">
        <v>2776</v>
      </c>
      <c r="BD565">
        <v>2</v>
      </c>
      <c r="BG565" t="s">
        <v>2776</v>
      </c>
      <c r="BH565">
        <v>2</v>
      </c>
      <c r="BI565" t="s">
        <v>2768</v>
      </c>
      <c r="BJ565">
        <v>0</v>
      </c>
      <c r="BK565" t="s">
        <v>2768</v>
      </c>
      <c r="BL565">
        <v>1</v>
      </c>
      <c r="BM565" t="s">
        <v>2768</v>
      </c>
      <c r="BN565">
        <v>2</v>
      </c>
      <c r="BO565" s="176" t="s">
        <v>2776</v>
      </c>
      <c r="BP565">
        <v>2</v>
      </c>
      <c r="BQ565" t="s">
        <v>2776</v>
      </c>
      <c r="BR565">
        <v>2</v>
      </c>
      <c r="BS565" t="s">
        <v>2768</v>
      </c>
      <c r="BT565">
        <v>1</v>
      </c>
      <c r="BU565" s="176" t="s">
        <v>2768</v>
      </c>
      <c r="BV565">
        <v>2</v>
      </c>
      <c r="BW565" s="179" t="s">
        <v>2768</v>
      </c>
      <c r="BX565" s="179">
        <v>1</v>
      </c>
      <c r="BY565" s="176"/>
      <c r="CA565" t="s">
        <v>2718</v>
      </c>
      <c r="CB565">
        <v>0</v>
      </c>
    </row>
    <row r="566" spans="49:80">
      <c r="AY566" t="s">
        <v>2794</v>
      </c>
      <c r="AZ566">
        <v>2</v>
      </c>
      <c r="BA566" t="s">
        <v>2776</v>
      </c>
      <c r="BB566">
        <v>2</v>
      </c>
      <c r="BC566" t="s">
        <v>2768</v>
      </c>
      <c r="BD566">
        <v>2</v>
      </c>
      <c r="BG566" t="s">
        <v>2768</v>
      </c>
      <c r="BH566">
        <v>2</v>
      </c>
      <c r="BI566" t="s">
        <v>2722</v>
      </c>
      <c r="BJ566">
        <v>0</v>
      </c>
      <c r="BK566" t="s">
        <v>2768</v>
      </c>
      <c r="BL566">
        <v>0</v>
      </c>
      <c r="BM566" t="s">
        <v>2768</v>
      </c>
      <c r="BN566">
        <v>2</v>
      </c>
      <c r="BO566" s="176" t="s">
        <v>2768</v>
      </c>
      <c r="BP566">
        <v>2</v>
      </c>
      <c r="BQ566" t="s">
        <v>2768</v>
      </c>
      <c r="BR566">
        <v>2</v>
      </c>
      <c r="BS566" t="s">
        <v>2768</v>
      </c>
      <c r="BT566">
        <v>1</v>
      </c>
      <c r="BU566" s="176" t="s">
        <v>2776</v>
      </c>
      <c r="BV566">
        <v>2</v>
      </c>
      <c r="BW566" s="179" t="s">
        <v>2768</v>
      </c>
      <c r="BX566" s="179">
        <v>1</v>
      </c>
      <c r="BY566" s="176"/>
      <c r="CA566" t="s">
        <v>2768</v>
      </c>
      <c r="CB566">
        <v>2</v>
      </c>
    </row>
    <row r="567" spans="49:80">
      <c r="AY567" t="s">
        <v>2768</v>
      </c>
      <c r="AZ567">
        <v>2</v>
      </c>
      <c r="BA567" t="s">
        <v>2768</v>
      </c>
      <c r="BB567">
        <v>2</v>
      </c>
      <c r="BC567" t="s">
        <v>2768</v>
      </c>
      <c r="BD567">
        <v>2</v>
      </c>
      <c r="BG567" t="s">
        <v>2776</v>
      </c>
      <c r="BH567">
        <v>2</v>
      </c>
      <c r="BI567" t="s">
        <v>2776</v>
      </c>
      <c r="BJ567">
        <v>2</v>
      </c>
      <c r="BK567" t="s">
        <v>2776</v>
      </c>
      <c r="BL567">
        <v>0</v>
      </c>
      <c r="BM567" t="s">
        <v>2768</v>
      </c>
      <c r="BN567">
        <v>2</v>
      </c>
      <c r="BO567" s="176" t="s">
        <v>2808</v>
      </c>
      <c r="BP567">
        <v>2</v>
      </c>
      <c r="BQ567" t="s">
        <v>3013</v>
      </c>
      <c r="BR567">
        <v>2</v>
      </c>
      <c r="BS567" t="s">
        <v>2768</v>
      </c>
      <c r="BT567">
        <v>0</v>
      </c>
      <c r="BU567" t="s">
        <v>2768</v>
      </c>
      <c r="BV567">
        <v>1</v>
      </c>
      <c r="BW567" s="179" t="s">
        <v>2776</v>
      </c>
      <c r="BX567" s="179">
        <v>1</v>
      </c>
      <c r="BY567" s="176"/>
      <c r="CA567" t="s">
        <v>2768</v>
      </c>
      <c r="CB567">
        <v>2</v>
      </c>
    </row>
    <row r="568" spans="49:80">
      <c r="AY568" t="s">
        <v>2776</v>
      </c>
      <c r="AZ568">
        <v>2</v>
      </c>
      <c r="BA568" t="s">
        <v>2776</v>
      </c>
      <c r="BB568">
        <v>1</v>
      </c>
      <c r="BC568" t="s">
        <v>2768</v>
      </c>
      <c r="BD568">
        <v>1</v>
      </c>
      <c r="BG568" t="s">
        <v>2768</v>
      </c>
      <c r="BH568">
        <v>1</v>
      </c>
      <c r="BI568" t="s">
        <v>2768</v>
      </c>
      <c r="BJ568">
        <v>2</v>
      </c>
      <c r="BK568" t="s">
        <v>2768</v>
      </c>
      <c r="BL568">
        <v>0</v>
      </c>
      <c r="BM568" t="s">
        <v>2776</v>
      </c>
      <c r="BN568">
        <v>2</v>
      </c>
      <c r="BO568" t="s">
        <v>2768</v>
      </c>
      <c r="BP568">
        <v>2</v>
      </c>
      <c r="BQ568" t="s">
        <v>2808</v>
      </c>
      <c r="BR568">
        <v>2</v>
      </c>
      <c r="BS568" t="s">
        <v>2776</v>
      </c>
      <c r="BT568">
        <v>0</v>
      </c>
      <c r="BU568" s="176" t="s">
        <v>2768</v>
      </c>
      <c r="BV568">
        <v>1</v>
      </c>
      <c r="BW568" s="179" t="s">
        <v>2768</v>
      </c>
      <c r="BX568" s="179">
        <v>1</v>
      </c>
      <c r="BY568" s="176"/>
      <c r="CA568" t="s">
        <v>2776</v>
      </c>
      <c r="CB568">
        <v>2</v>
      </c>
    </row>
    <row r="569" spans="49:80">
      <c r="AY569" t="s">
        <v>2768</v>
      </c>
      <c r="AZ569">
        <v>2</v>
      </c>
      <c r="BA569" t="s">
        <v>2768</v>
      </c>
      <c r="BB569">
        <v>1</v>
      </c>
      <c r="BC569" t="s">
        <v>2776</v>
      </c>
      <c r="BD569">
        <v>1</v>
      </c>
      <c r="BG569" t="s">
        <v>2776</v>
      </c>
      <c r="BH569">
        <v>1</v>
      </c>
      <c r="BI569" t="s">
        <v>2768</v>
      </c>
      <c r="BJ569">
        <v>2</v>
      </c>
      <c r="BK569" t="s">
        <v>3067</v>
      </c>
      <c r="BL569">
        <v>2</v>
      </c>
      <c r="BM569" t="s">
        <v>2768</v>
      </c>
      <c r="BN569">
        <v>2</v>
      </c>
      <c r="BO569" t="s">
        <v>2776</v>
      </c>
      <c r="BP569">
        <v>2</v>
      </c>
      <c r="BQ569" t="s">
        <v>2768</v>
      </c>
      <c r="BR569">
        <v>2</v>
      </c>
      <c r="BS569" t="s">
        <v>2768</v>
      </c>
      <c r="BT569">
        <v>0</v>
      </c>
      <c r="BU569" t="s">
        <v>3055</v>
      </c>
      <c r="BV569">
        <v>0</v>
      </c>
      <c r="BW569" s="179" t="s">
        <v>2722</v>
      </c>
      <c r="BX569" s="179">
        <v>2</v>
      </c>
      <c r="BY569" s="176"/>
      <c r="CA569" t="s">
        <v>2718</v>
      </c>
      <c r="CB569">
        <v>0</v>
      </c>
    </row>
    <row r="570" spans="49:80">
      <c r="AY570" t="s">
        <v>2776</v>
      </c>
      <c r="AZ570">
        <v>2</v>
      </c>
      <c r="BA570" t="s">
        <v>2768</v>
      </c>
      <c r="BB570">
        <v>0</v>
      </c>
      <c r="BC570" t="s">
        <v>2768</v>
      </c>
      <c r="BD570">
        <v>1</v>
      </c>
      <c r="BG570" t="s">
        <v>2768</v>
      </c>
      <c r="BH570">
        <v>0</v>
      </c>
      <c r="BI570" s="176" t="s">
        <v>2794</v>
      </c>
      <c r="BJ570">
        <v>1</v>
      </c>
      <c r="BK570" s="176" t="s">
        <v>2768</v>
      </c>
      <c r="BL570">
        <v>2</v>
      </c>
      <c r="BM570" t="s">
        <v>2768</v>
      </c>
      <c r="BN570">
        <v>2</v>
      </c>
      <c r="BO570" t="s">
        <v>2768</v>
      </c>
      <c r="BP570">
        <v>2</v>
      </c>
      <c r="BQ570" t="s">
        <v>2768</v>
      </c>
      <c r="BR570">
        <v>2</v>
      </c>
      <c r="BS570" t="s">
        <v>3074</v>
      </c>
      <c r="BT570">
        <v>2</v>
      </c>
      <c r="BU570" t="s">
        <v>2776</v>
      </c>
      <c r="BV570">
        <v>2</v>
      </c>
      <c r="BW570" s="179" t="s">
        <v>3009</v>
      </c>
      <c r="BX570" s="179">
        <v>2</v>
      </c>
      <c r="CA570" t="s">
        <v>2768</v>
      </c>
      <c r="CB570">
        <v>2</v>
      </c>
    </row>
    <row r="571" spans="49:80">
      <c r="AY571" t="s">
        <v>2768</v>
      </c>
      <c r="AZ571">
        <v>2</v>
      </c>
      <c r="BA571" t="s">
        <v>2722</v>
      </c>
      <c r="BB571">
        <v>0</v>
      </c>
      <c r="BC571" t="s">
        <v>2768</v>
      </c>
      <c r="BD571">
        <v>0</v>
      </c>
      <c r="BG571" t="s">
        <v>2768</v>
      </c>
      <c r="BH571">
        <v>0</v>
      </c>
      <c r="BI571" t="s">
        <v>2776</v>
      </c>
      <c r="BJ571">
        <v>1</v>
      </c>
      <c r="BK571" s="176" t="s">
        <v>2776</v>
      </c>
      <c r="BL571">
        <v>2</v>
      </c>
      <c r="BM571" t="s">
        <v>2768</v>
      </c>
      <c r="BN571">
        <v>2</v>
      </c>
      <c r="BO571" t="str">
        <f>IF(0,"云飞玉皇-玉山揽云","夕照雷峰")</f>
        <v>夕照雷峰</v>
      </c>
      <c r="BP571">
        <v>2</v>
      </c>
      <c r="BQ571" t="s">
        <v>2776</v>
      </c>
      <c r="BR571">
        <v>1</v>
      </c>
      <c r="BS571" t="s">
        <v>2768</v>
      </c>
      <c r="BT571">
        <v>2</v>
      </c>
      <c r="BU571" t="s">
        <v>2768</v>
      </c>
      <c r="BV571">
        <v>2</v>
      </c>
      <c r="BW571" s="179" t="s">
        <v>3078</v>
      </c>
      <c r="BX571" s="179">
        <v>2</v>
      </c>
      <c r="CA571" t="s">
        <v>2768</v>
      </c>
      <c r="CB571">
        <v>1</v>
      </c>
    </row>
    <row r="572" spans="49:80">
      <c r="AY572" t="s">
        <v>2776</v>
      </c>
      <c r="AZ572">
        <v>1</v>
      </c>
      <c r="BA572" t="s">
        <v>2776</v>
      </c>
      <c r="BB572">
        <v>2</v>
      </c>
      <c r="BC572" t="s">
        <v>2768</v>
      </c>
      <c r="BD572">
        <v>0</v>
      </c>
      <c r="BG572" t="s">
        <v>2776</v>
      </c>
      <c r="BH572">
        <v>0</v>
      </c>
      <c r="BI572" t="s">
        <v>2768</v>
      </c>
      <c r="BJ572">
        <v>0</v>
      </c>
      <c r="BK572" s="176" t="s">
        <v>2768</v>
      </c>
      <c r="BL572">
        <v>2</v>
      </c>
      <c r="BM572" t="s">
        <v>2776</v>
      </c>
      <c r="BN572">
        <v>2</v>
      </c>
      <c r="BO572" t="str">
        <f>IF(0,"云飞玉皇-玉山揽云","夕照雷峰")</f>
        <v>夕照雷峰</v>
      </c>
      <c r="BP572">
        <v>2</v>
      </c>
      <c r="BQ572" t="s">
        <v>3055</v>
      </c>
      <c r="BR572">
        <v>2</v>
      </c>
      <c r="BS572" t="s">
        <v>2776</v>
      </c>
      <c r="BT572">
        <v>2</v>
      </c>
      <c r="BU572" t="s">
        <v>2776</v>
      </c>
      <c r="BV572">
        <v>2</v>
      </c>
      <c r="BW572" s="179" t="s">
        <v>2768</v>
      </c>
      <c r="BX572" s="179">
        <v>2</v>
      </c>
      <c r="CA572" t="s">
        <v>2776</v>
      </c>
      <c r="CB572">
        <v>1</v>
      </c>
    </row>
    <row r="573" spans="49:80">
      <c r="AW573" s="176"/>
      <c r="AY573" t="s">
        <v>2768</v>
      </c>
      <c r="AZ573">
        <v>1</v>
      </c>
      <c r="BA573" t="s">
        <v>2768</v>
      </c>
      <c r="BB573">
        <v>2</v>
      </c>
      <c r="BC573" t="s">
        <v>3010</v>
      </c>
      <c r="BD573">
        <v>2</v>
      </c>
      <c r="BG573" t="s">
        <v>3067</v>
      </c>
      <c r="BH573">
        <v>0</v>
      </c>
      <c r="BI573" t="s">
        <v>3011</v>
      </c>
      <c r="BJ573">
        <v>2</v>
      </c>
      <c r="BK573" s="176" t="s">
        <v>2768</v>
      </c>
      <c r="BL573">
        <v>1</v>
      </c>
      <c r="BM573" t="s">
        <v>2768</v>
      </c>
      <c r="BN573">
        <v>1</v>
      </c>
      <c r="BO573" t="str">
        <f>IF(0,"云飞玉皇-玉山揽云","云飞玉皇")</f>
        <v>云飞玉皇</v>
      </c>
      <c r="BP573">
        <v>2</v>
      </c>
      <c r="BQ573" t="s">
        <v>2768</v>
      </c>
      <c r="BR573">
        <v>2</v>
      </c>
      <c r="BS573" t="s">
        <v>2768</v>
      </c>
      <c r="BT573">
        <v>2</v>
      </c>
      <c r="BU573" t="s">
        <v>2768</v>
      </c>
      <c r="BV573">
        <v>1</v>
      </c>
      <c r="BW573" s="188" t="s">
        <v>2768</v>
      </c>
      <c r="BX573" s="179">
        <v>2</v>
      </c>
      <c r="CA573" t="s">
        <v>2768</v>
      </c>
      <c r="CB573">
        <v>1</v>
      </c>
    </row>
    <row r="574" spans="49:80">
      <c r="AW574" s="176"/>
      <c r="AY574" t="s">
        <v>2768</v>
      </c>
      <c r="AZ574">
        <v>0</v>
      </c>
      <c r="BA574" t="s">
        <v>2768</v>
      </c>
      <c r="BB574">
        <v>2</v>
      </c>
      <c r="BC574" t="s">
        <v>3013</v>
      </c>
      <c r="BD574">
        <v>2</v>
      </c>
      <c r="BG574" t="s">
        <v>2768</v>
      </c>
      <c r="BH574">
        <v>2</v>
      </c>
      <c r="BI574" t="s">
        <v>2768</v>
      </c>
      <c r="BJ574">
        <v>2</v>
      </c>
      <c r="BK574" s="176" t="s">
        <v>2768</v>
      </c>
      <c r="BL574">
        <v>1</v>
      </c>
      <c r="BM574" t="s">
        <v>2722</v>
      </c>
      <c r="BN574">
        <v>0</v>
      </c>
      <c r="BO574" s="176" t="s">
        <v>2794</v>
      </c>
      <c r="BP574">
        <v>2</v>
      </c>
      <c r="BQ574" t="s">
        <v>2776</v>
      </c>
      <c r="BR574">
        <v>2</v>
      </c>
      <c r="BS574" t="s">
        <v>2768</v>
      </c>
      <c r="BT574">
        <v>1</v>
      </c>
      <c r="BU574" t="s">
        <v>2776</v>
      </c>
      <c r="BV574">
        <v>1</v>
      </c>
      <c r="BW574" s="182" t="s">
        <v>2794</v>
      </c>
      <c r="BX574" s="179">
        <v>2</v>
      </c>
      <c r="CA574" t="s">
        <v>2722</v>
      </c>
      <c r="CB574">
        <v>0</v>
      </c>
    </row>
    <row r="575" spans="49:80">
      <c r="AW575" s="176"/>
      <c r="AY575" t="s">
        <v>2722</v>
      </c>
      <c r="AZ575">
        <v>0</v>
      </c>
      <c r="BA575" t="s">
        <v>2768</v>
      </c>
      <c r="BB575">
        <v>1</v>
      </c>
      <c r="BC575" t="s">
        <v>3018</v>
      </c>
      <c r="BD575">
        <v>2</v>
      </c>
      <c r="BG575" t="s">
        <v>2768</v>
      </c>
      <c r="BH575">
        <v>2</v>
      </c>
      <c r="BI575" t="s">
        <v>3018</v>
      </c>
      <c r="BJ575">
        <v>2</v>
      </c>
      <c r="BK575" s="176" t="s">
        <v>2776</v>
      </c>
      <c r="BL575">
        <v>0</v>
      </c>
      <c r="BM575" t="s">
        <v>3009</v>
      </c>
      <c r="BN575">
        <v>2</v>
      </c>
      <c r="BO575" s="176" t="str">
        <f>IF(0,橙武补雾锁,"夕照雷峰")</f>
        <v>夕照雷峰</v>
      </c>
      <c r="BP575">
        <v>2</v>
      </c>
      <c r="BQ575" t="s">
        <v>2768</v>
      </c>
      <c r="BR575">
        <v>2</v>
      </c>
      <c r="BS575" t="s">
        <v>2768</v>
      </c>
      <c r="BT575">
        <v>1</v>
      </c>
      <c r="BU575" t="str">
        <f>IF(秋,"云栖松","泉凝月")</f>
        <v>泉凝月</v>
      </c>
      <c r="BV575">
        <v>0</v>
      </c>
      <c r="BW575" s="182" t="s">
        <v>2776</v>
      </c>
      <c r="BX575" s="179">
        <v>2</v>
      </c>
      <c r="CA575" t="s">
        <v>3009</v>
      </c>
      <c r="CB575">
        <v>2</v>
      </c>
    </row>
    <row r="576" spans="49:80">
      <c r="AW576" s="176"/>
      <c r="AY576" t="s">
        <v>2776</v>
      </c>
      <c r="AZ576">
        <v>2</v>
      </c>
      <c r="BA576" t="s">
        <v>2776</v>
      </c>
      <c r="BB576">
        <v>1</v>
      </c>
      <c r="BC576" t="s">
        <v>2768</v>
      </c>
      <c r="BD576">
        <v>2</v>
      </c>
      <c r="BG576" s="176" t="s">
        <v>2794</v>
      </c>
      <c r="BH576">
        <v>1</v>
      </c>
      <c r="BI576" t="s">
        <v>2768</v>
      </c>
      <c r="BJ576">
        <v>2</v>
      </c>
      <c r="BK576" t="s">
        <v>2768</v>
      </c>
      <c r="BL576">
        <v>0</v>
      </c>
      <c r="BM576" t="s">
        <v>2776</v>
      </c>
      <c r="BN576">
        <v>2</v>
      </c>
      <c r="BO576" s="176" t="s">
        <v>2776</v>
      </c>
      <c r="BP576">
        <v>2</v>
      </c>
      <c r="BQ576" t="s">
        <v>2776</v>
      </c>
      <c r="BR576">
        <v>1</v>
      </c>
      <c r="BS576" t="s">
        <v>2776</v>
      </c>
      <c r="BT576">
        <v>0</v>
      </c>
      <c r="BU576" t="s">
        <v>2768</v>
      </c>
      <c r="BV576">
        <v>0</v>
      </c>
      <c r="BW576" s="182" t="s">
        <v>2768</v>
      </c>
      <c r="BX576" s="179">
        <v>2</v>
      </c>
      <c r="CA576" s="176" t="s">
        <v>2794</v>
      </c>
      <c r="CB576">
        <v>2</v>
      </c>
    </row>
    <row r="577" spans="49:80">
      <c r="AW577" s="176"/>
      <c r="AY577" t="s">
        <v>2768</v>
      </c>
      <c r="AZ577">
        <v>2</v>
      </c>
      <c r="BA577" t="s">
        <v>2768</v>
      </c>
      <c r="BB577">
        <v>1</v>
      </c>
      <c r="BC577" t="s">
        <v>3023</v>
      </c>
      <c r="BD577">
        <v>2</v>
      </c>
      <c r="BG577" t="s">
        <v>2776</v>
      </c>
      <c r="BH577">
        <v>1</v>
      </c>
      <c r="BI577" s="182" t="s">
        <v>3023</v>
      </c>
      <c r="BJ577">
        <v>2</v>
      </c>
      <c r="BM577" t="s">
        <v>2768</v>
      </c>
      <c r="BN577">
        <v>2</v>
      </c>
      <c r="BO577" s="176" t="s">
        <v>2768</v>
      </c>
      <c r="BP577">
        <v>2</v>
      </c>
      <c r="BQ577" t="s">
        <v>2768</v>
      </c>
      <c r="BR577">
        <v>1</v>
      </c>
      <c r="BS577" t="s">
        <v>2768</v>
      </c>
      <c r="BT577">
        <v>0</v>
      </c>
      <c r="BU577" t="s">
        <v>2776</v>
      </c>
      <c r="BV577">
        <v>0</v>
      </c>
      <c r="BW577" s="182" t="s">
        <v>2776</v>
      </c>
      <c r="BX577" s="179">
        <v>2</v>
      </c>
      <c r="CA577" s="176" t="s">
        <v>2776</v>
      </c>
      <c r="CB577">
        <v>2</v>
      </c>
    </row>
    <row r="578" spans="49:80">
      <c r="AW578" s="176"/>
      <c r="AY578" t="s">
        <v>2768</v>
      </c>
      <c r="AZ578">
        <v>2</v>
      </c>
      <c r="BA578" t="s">
        <v>2768</v>
      </c>
      <c r="BB578">
        <v>0</v>
      </c>
      <c r="BC578" t="s">
        <v>2768</v>
      </c>
      <c r="BD578">
        <v>2</v>
      </c>
      <c r="BG578" t="s">
        <v>2768</v>
      </c>
      <c r="BH578">
        <v>1</v>
      </c>
      <c r="BI578" s="176" t="s">
        <v>3026</v>
      </c>
      <c r="BJ578">
        <v>2</v>
      </c>
      <c r="BK578" s="176"/>
      <c r="BM578" t="str">
        <f>IF(山重水复,"风来吴山","夕照雷峰")</f>
        <v>夕照雷峰</v>
      </c>
      <c r="BN578">
        <v>2</v>
      </c>
      <c r="BO578" s="176" t="s">
        <v>2776</v>
      </c>
      <c r="BP578">
        <v>2</v>
      </c>
      <c r="BQ578" t="s">
        <v>2776</v>
      </c>
      <c r="BR578">
        <v>1</v>
      </c>
      <c r="BS578" t="s">
        <v>3012</v>
      </c>
      <c r="BT578">
        <v>2</v>
      </c>
      <c r="BU578" t="s">
        <v>1886</v>
      </c>
      <c r="BV578">
        <v>0</v>
      </c>
      <c r="BW578" s="182" t="s">
        <v>2768</v>
      </c>
      <c r="BX578" s="179">
        <v>2</v>
      </c>
      <c r="BY578" s="176"/>
      <c r="CA578" s="176" t="s">
        <v>2768</v>
      </c>
      <c r="CB578">
        <v>2</v>
      </c>
    </row>
    <row r="579" spans="49:80">
      <c r="AW579" s="176"/>
      <c r="AY579" t="s">
        <v>2768</v>
      </c>
      <c r="AZ579">
        <v>1</v>
      </c>
      <c r="BC579" t="s">
        <v>2776</v>
      </c>
      <c r="BD579">
        <v>2</v>
      </c>
      <c r="BI579" s="176" t="s">
        <v>3026</v>
      </c>
      <c r="BJ579">
        <v>2</v>
      </c>
      <c r="BK579" s="176"/>
      <c r="BM579" s="176" t="s">
        <v>2794</v>
      </c>
      <c r="BN579">
        <v>2</v>
      </c>
      <c r="BO579" s="176" t="s">
        <v>2768</v>
      </c>
      <c r="BP579">
        <v>2</v>
      </c>
      <c r="BQ579" t="s">
        <v>2768</v>
      </c>
      <c r="BR579">
        <v>0</v>
      </c>
      <c r="BS579" s="179" t="s">
        <v>2794</v>
      </c>
      <c r="BT579">
        <v>2</v>
      </c>
      <c r="BU579" t="s">
        <v>2853</v>
      </c>
      <c r="BV579">
        <v>2</v>
      </c>
      <c r="BW579" s="182" t="s">
        <v>2808</v>
      </c>
      <c r="BX579" s="179">
        <v>2</v>
      </c>
      <c r="BY579" s="176"/>
      <c r="CA579" s="176" t="s">
        <v>2776</v>
      </c>
      <c r="CB579">
        <v>2</v>
      </c>
    </row>
    <row r="580" spans="49:80">
      <c r="AY580" t="s">
        <v>2776</v>
      </c>
      <c r="AZ580">
        <v>1</v>
      </c>
      <c r="BC580" t="s">
        <v>2768</v>
      </c>
      <c r="BD580">
        <v>2</v>
      </c>
      <c r="BI580" s="176" t="s">
        <v>3026</v>
      </c>
      <c r="BJ580">
        <v>2</v>
      </c>
      <c r="BK580" s="176"/>
      <c r="BM580" s="176" t="s">
        <v>2776</v>
      </c>
      <c r="BN580">
        <v>2</v>
      </c>
      <c r="BO580" t="s">
        <v>3056</v>
      </c>
      <c r="BP580">
        <v>1</v>
      </c>
      <c r="BQ580" t="str">
        <f>IF(秋,"云栖松","泉凝月")</f>
        <v>泉凝月</v>
      </c>
      <c r="BR580">
        <v>0</v>
      </c>
      <c r="BS580" s="179" t="s">
        <v>3019</v>
      </c>
      <c r="BT580">
        <v>2</v>
      </c>
      <c r="BU580" s="176" t="str">
        <f>IF(秋,"金蛇锥-金环戴","金蛇锥-吹风醒")</f>
        <v>金蛇锥-吹风醒</v>
      </c>
      <c r="BV580">
        <v>2</v>
      </c>
      <c r="BW580" s="179" t="s">
        <v>2768</v>
      </c>
      <c r="BX580" s="179">
        <v>2</v>
      </c>
      <c r="BY580" s="176"/>
      <c r="CA580" s="176" t="s">
        <v>2768</v>
      </c>
      <c r="CB580">
        <v>2</v>
      </c>
    </row>
    <row r="581" spans="49:80">
      <c r="AY581" t="s">
        <v>2768</v>
      </c>
      <c r="AZ581">
        <v>1</v>
      </c>
      <c r="BC581" t="s">
        <v>2794</v>
      </c>
      <c r="BD581">
        <v>2</v>
      </c>
      <c r="BI581" s="176" t="s">
        <v>3026</v>
      </c>
      <c r="BJ581">
        <v>2</v>
      </c>
      <c r="BK581" s="176"/>
      <c r="BM581" s="176" t="s">
        <v>2768</v>
      </c>
      <c r="BN581">
        <v>2</v>
      </c>
      <c r="BO581" t="s">
        <v>2768</v>
      </c>
      <c r="BP581">
        <v>2</v>
      </c>
      <c r="BQ581" t="s">
        <v>2768</v>
      </c>
      <c r="BR581">
        <v>0</v>
      </c>
      <c r="BS581" s="179" t="s">
        <v>2768</v>
      </c>
      <c r="BT581">
        <v>2</v>
      </c>
      <c r="BU581" t="s">
        <v>2773</v>
      </c>
      <c r="BV581">
        <v>2</v>
      </c>
      <c r="BW581" s="179" t="s">
        <v>2776</v>
      </c>
      <c r="BX581" s="179">
        <v>2</v>
      </c>
      <c r="BY581" s="176"/>
      <c r="CA581" s="176" t="s">
        <v>2808</v>
      </c>
      <c r="CB581">
        <v>2</v>
      </c>
    </row>
    <row r="582" spans="49:80">
      <c r="AY582" t="s">
        <v>2768</v>
      </c>
      <c r="AZ582">
        <v>0</v>
      </c>
      <c r="BC582" s="182" t="s">
        <v>3036</v>
      </c>
      <c r="BD582">
        <v>2</v>
      </c>
      <c r="BI582" s="176" t="s">
        <v>3036</v>
      </c>
      <c r="BJ582">
        <v>2</v>
      </c>
      <c r="BK582" s="176"/>
      <c r="BM582" s="176" t="s">
        <v>2776</v>
      </c>
      <c r="BN582">
        <v>2</v>
      </c>
      <c r="BO582" t="s">
        <v>2768</v>
      </c>
      <c r="BP582">
        <v>2</v>
      </c>
      <c r="BQ582" t="s">
        <v>2776</v>
      </c>
      <c r="BR582">
        <v>0</v>
      </c>
      <c r="BS582" s="182" t="s">
        <v>3023</v>
      </c>
      <c r="BT582">
        <v>2</v>
      </c>
      <c r="BW582" s="179" t="s">
        <v>2768</v>
      </c>
      <c r="BX582" s="179">
        <v>2</v>
      </c>
      <c r="BY582" s="176"/>
      <c r="CA582" t="s">
        <v>2768</v>
      </c>
      <c r="CB582">
        <v>2</v>
      </c>
    </row>
    <row r="583" spans="49:80">
      <c r="BC583" s="176" t="s">
        <v>3026</v>
      </c>
      <c r="BD583">
        <v>2</v>
      </c>
      <c r="BI583" t="s">
        <v>2794</v>
      </c>
      <c r="BJ583">
        <v>2</v>
      </c>
      <c r="BK583" s="176"/>
      <c r="BM583" s="176" t="s">
        <v>2768</v>
      </c>
      <c r="BN583">
        <v>2</v>
      </c>
      <c r="BO583" t="s">
        <v>2768</v>
      </c>
      <c r="BP583">
        <v>2</v>
      </c>
      <c r="BQ583" t="s">
        <v>1886</v>
      </c>
      <c r="BR583">
        <v>2</v>
      </c>
      <c r="BS583" s="182" t="s">
        <v>2768</v>
      </c>
      <c r="BT583">
        <v>2</v>
      </c>
      <c r="BW583" s="179" t="s">
        <v>2768</v>
      </c>
      <c r="BX583" s="179">
        <v>2</v>
      </c>
      <c r="BY583" s="176"/>
      <c r="CA583" t="s">
        <v>2776</v>
      </c>
      <c r="CB583">
        <v>2</v>
      </c>
    </row>
    <row r="584" spans="49:80">
      <c r="BC584" s="176" t="s">
        <v>3026</v>
      </c>
      <c r="BD584">
        <v>2</v>
      </c>
      <c r="BI584" t="s">
        <v>2776</v>
      </c>
      <c r="BJ584">
        <v>2</v>
      </c>
      <c r="BM584" s="176" t="s">
        <v>2808</v>
      </c>
      <c r="BN584">
        <v>2</v>
      </c>
      <c r="BO584" t="s">
        <v>2776</v>
      </c>
      <c r="BP584">
        <v>2</v>
      </c>
      <c r="BQ584" t="s">
        <v>2853</v>
      </c>
      <c r="BR584">
        <v>2</v>
      </c>
      <c r="BS584" s="182" t="s">
        <v>2776</v>
      </c>
      <c r="BT584">
        <v>2</v>
      </c>
      <c r="BW584" s="179" t="s">
        <v>2768</v>
      </c>
      <c r="BX584" s="179">
        <v>2</v>
      </c>
      <c r="CA584" t="str">
        <f>IF(山重水复,"风来吴山","夕照雷峰")</f>
        <v>夕照雷峰</v>
      </c>
      <c r="CB584">
        <v>2</v>
      </c>
    </row>
    <row r="585" spans="49:80">
      <c r="BC585" s="176" t="s">
        <v>3026</v>
      </c>
      <c r="BD585">
        <v>2</v>
      </c>
      <c r="BI585" t="s">
        <v>2768</v>
      </c>
      <c r="BJ585">
        <v>2</v>
      </c>
      <c r="BM585" t="s">
        <v>2768</v>
      </c>
      <c r="BN585">
        <v>2</v>
      </c>
      <c r="BO585" t="s">
        <v>2768</v>
      </c>
      <c r="BP585">
        <v>2</v>
      </c>
      <c r="BQ585" s="176" t="s">
        <v>2850</v>
      </c>
      <c r="BR585">
        <f>IF(0,2,0)</f>
        <v>0</v>
      </c>
      <c r="BS585" s="182" t="s">
        <v>2768</v>
      </c>
      <c r="BT585">
        <v>2</v>
      </c>
      <c r="BW585" s="179" t="s">
        <v>2776</v>
      </c>
      <c r="BX585" s="179">
        <v>2</v>
      </c>
      <c r="CA585" t="s">
        <v>2768</v>
      </c>
      <c r="CB585">
        <v>2</v>
      </c>
    </row>
    <row r="586" spans="49:80">
      <c r="BC586" s="176" t="s">
        <v>3026</v>
      </c>
      <c r="BD586">
        <v>2</v>
      </c>
      <c r="BI586" t="s">
        <v>2776</v>
      </c>
      <c r="BJ586">
        <v>2</v>
      </c>
      <c r="BM586" t="s">
        <v>2776</v>
      </c>
      <c r="BN586">
        <v>2</v>
      </c>
      <c r="BO586" t="s">
        <v>2768</v>
      </c>
      <c r="BP586">
        <v>2</v>
      </c>
      <c r="BQ586" s="176" t="str">
        <f>IF(秋,"金环戴","吹风醒")</f>
        <v>吹风醒</v>
      </c>
      <c r="BR586">
        <v>2</v>
      </c>
      <c r="BS586" s="182" t="s">
        <v>3085</v>
      </c>
      <c r="BT586">
        <v>2</v>
      </c>
      <c r="BW586" s="182" t="s">
        <v>2794</v>
      </c>
      <c r="BX586" s="179">
        <v>2</v>
      </c>
      <c r="CA586" t="s">
        <v>2768</v>
      </c>
      <c r="CB586">
        <v>2</v>
      </c>
    </row>
    <row r="587" spans="49:80">
      <c r="AW587" s="176"/>
      <c r="BC587" t="s">
        <v>3013</v>
      </c>
      <c r="BD587">
        <v>2</v>
      </c>
      <c r="BI587" t="s">
        <v>2768</v>
      </c>
      <c r="BJ587">
        <v>2</v>
      </c>
      <c r="BM587" t="s">
        <v>2768</v>
      </c>
      <c r="BN587">
        <v>2</v>
      </c>
      <c r="BO587" t="s">
        <v>2768</v>
      </c>
      <c r="BP587">
        <v>2</v>
      </c>
      <c r="BQ587" s="176" t="str">
        <f>IF(秋,"梦泉虎跑-轻","夕照雷峰")</f>
        <v>夕照雷峰</v>
      </c>
      <c r="BR587">
        <v>1</v>
      </c>
      <c r="BS587" s="182" t="s">
        <v>3084</v>
      </c>
      <c r="BT587">
        <v>2</v>
      </c>
      <c r="BW587" s="182" t="s">
        <v>2768</v>
      </c>
      <c r="BX587" s="179">
        <v>2</v>
      </c>
      <c r="CA587" t="s">
        <v>2776</v>
      </c>
      <c r="CB587">
        <v>2</v>
      </c>
    </row>
    <row r="588" spans="49:80">
      <c r="AW588" s="176"/>
      <c r="BC588" t="s">
        <v>2808</v>
      </c>
      <c r="BD588">
        <v>2</v>
      </c>
      <c r="BI588" t="s">
        <v>2808</v>
      </c>
      <c r="BJ588">
        <v>2</v>
      </c>
      <c r="BM588" t="str">
        <f>IF(0,"云飞玉皇-玉山揽云","夕照雷峰")</f>
        <v>夕照雷峰</v>
      </c>
      <c r="BN588">
        <v>2</v>
      </c>
      <c r="BO588" t="s">
        <v>2776</v>
      </c>
      <c r="BP588">
        <v>2</v>
      </c>
      <c r="BQ588" t="s">
        <v>3028</v>
      </c>
      <c r="BR588">
        <v>2</v>
      </c>
      <c r="BS588" s="176" t="s">
        <v>2768</v>
      </c>
      <c r="BT588">
        <v>2</v>
      </c>
      <c r="BU588" s="176"/>
      <c r="BW588" s="182" t="s">
        <v>2776</v>
      </c>
      <c r="BX588" s="179">
        <v>2</v>
      </c>
      <c r="CA588" s="176" t="s">
        <v>2794</v>
      </c>
      <c r="CB588">
        <v>2</v>
      </c>
    </row>
    <row r="589" spans="49:80">
      <c r="AW589" s="176"/>
      <c r="BC589" t="s">
        <v>2768</v>
      </c>
      <c r="BD589">
        <v>2</v>
      </c>
      <c r="BI589" t="s">
        <v>2768</v>
      </c>
      <c r="BJ589">
        <v>2</v>
      </c>
      <c r="BM589" t="str">
        <f>IF(0,"云飞玉皇-玉山揽云","夕照雷峰")</f>
        <v>夕照雷峰</v>
      </c>
      <c r="BN589">
        <v>2</v>
      </c>
      <c r="BO589" t="s">
        <v>2768</v>
      </c>
      <c r="BP589">
        <v>1</v>
      </c>
      <c r="BQ589" t="s">
        <v>2768</v>
      </c>
      <c r="BR589">
        <v>2</v>
      </c>
      <c r="BS589" s="176" t="s">
        <v>2768</v>
      </c>
      <c r="BT589">
        <v>2</v>
      </c>
      <c r="BW589" s="182" t="s">
        <v>2768</v>
      </c>
      <c r="BX589" s="179">
        <v>2</v>
      </c>
      <c r="CA589" t="str">
        <f>IF(0,"云飞玉皇-玉山揽云","夕照雷峰")</f>
        <v>夕照雷峰</v>
      </c>
      <c r="CB589">
        <v>2</v>
      </c>
    </row>
    <row r="590" spans="49:80">
      <c r="AW590" s="176"/>
      <c r="BC590" t="s">
        <v>2768</v>
      </c>
      <c r="BD590">
        <v>2</v>
      </c>
      <c r="BI590" s="176" t="s">
        <v>2776</v>
      </c>
      <c r="BJ590">
        <v>2</v>
      </c>
      <c r="BM590" t="str">
        <f>IF(0,"云飞玉皇-玉山揽云","云飞玉皇")</f>
        <v>云飞玉皇</v>
      </c>
      <c r="BN590">
        <v>2</v>
      </c>
      <c r="BO590" t="s">
        <v>2722</v>
      </c>
      <c r="BP590">
        <v>0</v>
      </c>
      <c r="BQ590" t="s">
        <v>2768</v>
      </c>
      <c r="BR590">
        <v>2</v>
      </c>
      <c r="BS590" s="176" t="s">
        <v>2768</v>
      </c>
      <c r="BT590">
        <v>2</v>
      </c>
      <c r="BW590" s="182" t="s">
        <v>2776</v>
      </c>
      <c r="BX590" s="179">
        <v>2</v>
      </c>
      <c r="CA590" t="str">
        <f>IF(0,"云飞玉皇-玉山揽云","云飞玉皇")</f>
        <v>云飞玉皇</v>
      </c>
      <c r="CB590">
        <v>2</v>
      </c>
    </row>
    <row r="591" spans="49:80">
      <c r="AW591" s="176"/>
      <c r="BC591" t="s">
        <v>2776</v>
      </c>
      <c r="BD591">
        <v>1</v>
      </c>
      <c r="BI591" t="s">
        <v>2768</v>
      </c>
      <c r="BJ591">
        <v>2</v>
      </c>
      <c r="BM591" t="str">
        <f>IF(0,"云飞玉皇-玉山揽云","夕照雷峰")</f>
        <v>夕照雷峰</v>
      </c>
      <c r="BN591">
        <v>2</v>
      </c>
      <c r="BS591" s="176" t="s">
        <v>2776</v>
      </c>
      <c r="BT591">
        <v>2</v>
      </c>
      <c r="BW591" s="182" t="str">
        <f t="shared" ref="BW591:BW595" si="149">IF($AN$11=1,"云飞玉皇-玉山揽云","夕照雷峰")</f>
        <v>云飞玉皇-玉山揽云</v>
      </c>
      <c r="BX591" s="179">
        <v>2</v>
      </c>
      <c r="CA591" t="str">
        <f>IF(0,橙武补雾锁,"夕照雷峰")</f>
        <v>夕照雷峰</v>
      </c>
      <c r="CB591">
        <v>2</v>
      </c>
    </row>
    <row r="592" spans="49:80">
      <c r="AW592" s="176"/>
      <c r="BC592" t="s">
        <v>2768</v>
      </c>
      <c r="BD592">
        <v>1</v>
      </c>
      <c r="BI592" t="s">
        <v>2768</v>
      </c>
      <c r="BJ592">
        <v>1</v>
      </c>
      <c r="BK592" s="176"/>
      <c r="BM592" s="176" t="s">
        <v>2794</v>
      </c>
      <c r="BN592">
        <v>2</v>
      </c>
      <c r="BS592" s="176" t="s">
        <v>2768</v>
      </c>
      <c r="BT592">
        <v>2</v>
      </c>
      <c r="BW592" s="179" t="str">
        <f>IF($AN$11=1,"云飞玉皇-玉山揽云","云飞玉皇")</f>
        <v>云飞玉皇-玉山揽云</v>
      </c>
      <c r="BX592" s="179">
        <v>2</v>
      </c>
      <c r="BY592" s="176"/>
      <c r="CA592" t="str">
        <f>IF(0,"云飞玉皇-玉山揽云","云景·云飞玉皇")</f>
        <v>云景·云飞玉皇</v>
      </c>
      <c r="CB592">
        <v>2</v>
      </c>
    </row>
    <row r="593" spans="49:80">
      <c r="AW593" s="176"/>
      <c r="BC593" t="s">
        <v>2794</v>
      </c>
      <c r="BD593">
        <v>2</v>
      </c>
      <c r="BI593" s="176" t="s">
        <v>2768</v>
      </c>
      <c r="BJ593">
        <v>1</v>
      </c>
      <c r="BK593" s="176"/>
      <c r="BM593" s="176" t="str">
        <f>IF(0,橙武补雾锁,"夕照雷峰")</f>
        <v>夕照雷峰</v>
      </c>
      <c r="BN593">
        <v>2</v>
      </c>
      <c r="BS593" s="176" t="s">
        <v>2794</v>
      </c>
      <c r="BT593">
        <v>2</v>
      </c>
      <c r="BW593" s="179" t="str">
        <f>IF($AN$11=1,橙武补雾锁,"听雷-重")</f>
        <v>云飞玉皇-玉山揽云</v>
      </c>
      <c r="BX593" s="179">
        <v>0</v>
      </c>
      <c r="BY593" s="176"/>
      <c r="CA593" t="str">
        <f>IF(0,"云飞玉皇-玉山揽云","夕照雷峰")</f>
        <v>夕照雷峰</v>
      </c>
      <c r="CB593">
        <v>2</v>
      </c>
    </row>
    <row r="594" spans="49:80">
      <c r="BC594" t="s">
        <v>2768</v>
      </c>
      <c r="BD594">
        <v>2</v>
      </c>
      <c r="BI594" s="176" t="s">
        <v>2776</v>
      </c>
      <c r="BJ594">
        <v>0</v>
      </c>
      <c r="BK594" s="176"/>
      <c r="BM594" s="176" t="s">
        <v>2776</v>
      </c>
      <c r="BN594">
        <v>2</v>
      </c>
      <c r="BS594" t="s">
        <v>2768</v>
      </c>
      <c r="BT594">
        <v>2</v>
      </c>
      <c r="BW594" s="179" t="str">
        <f t="shared" si="149"/>
        <v>云飞玉皇-玉山揽云</v>
      </c>
      <c r="BX594" s="179">
        <v>2</v>
      </c>
      <c r="BY594" s="176"/>
      <c r="CA594" t="s">
        <v>2776</v>
      </c>
      <c r="CB594">
        <v>2</v>
      </c>
    </row>
    <row r="595" spans="49:80">
      <c r="BC595" t="s">
        <v>2776</v>
      </c>
      <c r="BD595">
        <v>2</v>
      </c>
      <c r="BI595" t="s">
        <v>2794</v>
      </c>
      <c r="BJ595">
        <v>0</v>
      </c>
      <c r="BK595" s="176"/>
      <c r="BM595" s="176" t="s">
        <v>2768</v>
      </c>
      <c r="BN595">
        <v>2</v>
      </c>
      <c r="BS595" t="s">
        <v>2776</v>
      </c>
      <c r="BT595">
        <v>2</v>
      </c>
      <c r="BU595" s="182"/>
      <c r="BW595" s="179" t="str">
        <f t="shared" si="149"/>
        <v>云飞玉皇-玉山揽云</v>
      </c>
      <c r="BX595" s="179">
        <v>2</v>
      </c>
      <c r="BY595" s="176"/>
      <c r="CA595" t="s">
        <v>2768</v>
      </c>
      <c r="CB595">
        <v>2</v>
      </c>
    </row>
    <row r="596" spans="49:80">
      <c r="BC596" t="s">
        <v>2768</v>
      </c>
      <c r="BD596">
        <v>2</v>
      </c>
      <c r="BI596" t="s">
        <v>2768</v>
      </c>
      <c r="BJ596">
        <v>2</v>
      </c>
      <c r="BK596" s="176"/>
      <c r="BM596" s="176" t="s">
        <v>2776</v>
      </c>
      <c r="BN596">
        <v>2</v>
      </c>
      <c r="BS596" t="s">
        <v>2768</v>
      </c>
      <c r="BT596">
        <v>2</v>
      </c>
      <c r="BU596" s="176"/>
      <c r="BW596" s="179" t="s">
        <v>2776</v>
      </c>
      <c r="BX596" s="179">
        <v>2</v>
      </c>
      <c r="BY596" s="176"/>
      <c r="CA596" t="s">
        <v>2768</v>
      </c>
      <c r="CB596">
        <v>2</v>
      </c>
    </row>
    <row r="597" spans="49:80">
      <c r="BC597" t="s">
        <v>2776</v>
      </c>
      <c r="BD597">
        <v>2</v>
      </c>
      <c r="BI597" t="s">
        <v>2776</v>
      </c>
      <c r="BJ597">
        <v>2</v>
      </c>
      <c r="BK597" s="176"/>
      <c r="BM597" s="176" t="s">
        <v>2768</v>
      </c>
      <c r="BN597">
        <v>2</v>
      </c>
      <c r="BS597" t="s">
        <v>2776</v>
      </c>
      <c r="BT597">
        <v>1</v>
      </c>
      <c r="BU597" s="176"/>
      <c r="BW597" s="179" t="s">
        <v>2768</v>
      </c>
      <c r="BX597" s="179">
        <v>2</v>
      </c>
      <c r="BY597" s="176"/>
      <c r="CA597" t="s">
        <v>2768</v>
      </c>
      <c r="CB597">
        <v>2</v>
      </c>
    </row>
    <row r="598" spans="49:80">
      <c r="BC598" t="s">
        <v>2768</v>
      </c>
      <c r="BD598">
        <v>2</v>
      </c>
      <c r="BI598" t="s">
        <v>2768</v>
      </c>
      <c r="BJ598">
        <v>2</v>
      </c>
      <c r="BM598" t="s">
        <v>3056</v>
      </c>
      <c r="BN598">
        <v>1</v>
      </c>
      <c r="BS598" t="s">
        <v>2768</v>
      </c>
      <c r="BT598">
        <v>1</v>
      </c>
      <c r="BU598" s="176"/>
      <c r="BW598" s="179" t="s">
        <v>2768</v>
      </c>
      <c r="BX598" s="179">
        <v>1</v>
      </c>
      <c r="CA598" t="s">
        <v>2776</v>
      </c>
      <c r="CB598">
        <v>2</v>
      </c>
    </row>
    <row r="599" spans="49:80">
      <c r="BC599" t="s">
        <v>2776</v>
      </c>
      <c r="BD599">
        <v>2</v>
      </c>
      <c r="BI599" t="s">
        <v>2776</v>
      </c>
      <c r="BJ599">
        <v>1</v>
      </c>
      <c r="BM599" t="s">
        <v>2768</v>
      </c>
      <c r="BN599">
        <v>2</v>
      </c>
      <c r="BS599" t="s">
        <v>3056</v>
      </c>
      <c r="BT599">
        <v>0</v>
      </c>
      <c r="BU599" s="176"/>
      <c r="BW599" s="179" t="s">
        <v>2768</v>
      </c>
      <c r="BX599" s="179">
        <v>1</v>
      </c>
      <c r="CA599" t="s">
        <v>2718</v>
      </c>
      <c r="CB599">
        <v>0</v>
      </c>
    </row>
    <row r="600" spans="49:80">
      <c r="BC600" t="s">
        <v>2768</v>
      </c>
      <c r="BD600">
        <v>1</v>
      </c>
      <c r="BI600" t="s">
        <v>2768</v>
      </c>
      <c r="BJ600">
        <v>1</v>
      </c>
      <c r="BM600" t="s">
        <v>2768</v>
      </c>
      <c r="BN600">
        <v>2</v>
      </c>
      <c r="BS600" t="s">
        <v>2768</v>
      </c>
      <c r="BT600">
        <v>2</v>
      </c>
      <c r="BU600" s="176"/>
      <c r="BW600" s="179" t="s">
        <v>2776</v>
      </c>
      <c r="BX600" s="179">
        <v>1</v>
      </c>
      <c r="CA600" t="s">
        <v>2768</v>
      </c>
      <c r="CB600">
        <v>2</v>
      </c>
    </row>
    <row r="601" spans="49:80">
      <c r="BC601" t="s">
        <v>2768</v>
      </c>
      <c r="BD601">
        <v>1</v>
      </c>
      <c r="BI601" t="s">
        <v>2776</v>
      </c>
      <c r="BJ601">
        <v>0</v>
      </c>
      <c r="BM601" t="s">
        <v>2768</v>
      </c>
      <c r="BN601">
        <v>2</v>
      </c>
      <c r="BS601" t="s">
        <v>2768</v>
      </c>
      <c r="BT601">
        <v>2</v>
      </c>
      <c r="BW601" s="179" t="s">
        <v>2768</v>
      </c>
      <c r="BX601" s="179">
        <v>1</v>
      </c>
      <c r="CA601" t="s">
        <v>2768</v>
      </c>
      <c r="CB601">
        <v>2</v>
      </c>
    </row>
    <row r="602" spans="49:80">
      <c r="BC602" t="s">
        <v>2813</v>
      </c>
      <c r="BD602">
        <v>0</v>
      </c>
      <c r="BI602" t="s">
        <v>2768</v>
      </c>
      <c r="BJ602">
        <v>0</v>
      </c>
      <c r="BM602" t="s">
        <v>2776</v>
      </c>
      <c r="BN602">
        <v>2</v>
      </c>
      <c r="BS602" t="s">
        <v>2776</v>
      </c>
      <c r="BT602">
        <v>2</v>
      </c>
      <c r="BW602" s="182" t="s">
        <v>2722</v>
      </c>
      <c r="BX602" s="179">
        <v>0</v>
      </c>
      <c r="CA602" t="s">
        <v>2776</v>
      </c>
      <c r="CB602">
        <v>2</v>
      </c>
    </row>
    <row r="603" spans="49:80">
      <c r="BC603" t="s">
        <v>2776</v>
      </c>
      <c r="BD603">
        <v>2</v>
      </c>
      <c r="BI603" t="s">
        <v>2768</v>
      </c>
      <c r="BJ603">
        <v>0</v>
      </c>
      <c r="BM603" t="s">
        <v>2768</v>
      </c>
      <c r="BN603">
        <v>2</v>
      </c>
      <c r="BS603" t="s">
        <v>2768</v>
      </c>
      <c r="BT603">
        <v>1</v>
      </c>
      <c r="BW603" t="s">
        <v>2776</v>
      </c>
      <c r="BX603">
        <v>2</v>
      </c>
      <c r="CA603" t="s">
        <v>2718</v>
      </c>
      <c r="CB603">
        <v>0</v>
      </c>
    </row>
    <row r="604" spans="49:80">
      <c r="BC604" t="s">
        <v>2768</v>
      </c>
      <c r="BD604">
        <v>2</v>
      </c>
      <c r="BI604" t="s">
        <v>2722</v>
      </c>
      <c r="BJ604">
        <v>0</v>
      </c>
      <c r="BK604" s="176"/>
      <c r="BM604" t="s">
        <v>2768</v>
      </c>
      <c r="BN604">
        <v>2</v>
      </c>
      <c r="BS604" t="str">
        <f>IF(秋,"云栖松","泉凝月")</f>
        <v>泉凝月</v>
      </c>
      <c r="BT604">
        <v>1</v>
      </c>
      <c r="BW604" t="s">
        <v>2768</v>
      </c>
      <c r="BX604">
        <v>2</v>
      </c>
      <c r="BY604" s="176"/>
      <c r="CA604" t="s">
        <v>2768</v>
      </c>
      <c r="CB604">
        <v>2</v>
      </c>
    </row>
    <row r="605" spans="49:80">
      <c r="BC605" t="s">
        <v>2768</v>
      </c>
      <c r="BD605">
        <v>2</v>
      </c>
      <c r="BI605" t="s">
        <v>2776</v>
      </c>
      <c r="BJ605">
        <v>2</v>
      </c>
      <c r="BK605" s="176"/>
      <c r="BM605" t="s">
        <v>2768</v>
      </c>
      <c r="BN605">
        <v>2</v>
      </c>
      <c r="BS605" t="s">
        <v>2768</v>
      </c>
      <c r="BT605">
        <v>0</v>
      </c>
      <c r="BW605" t="s">
        <v>2776</v>
      </c>
      <c r="BX605">
        <v>2</v>
      </c>
      <c r="BY605" s="176"/>
      <c r="CA605" t="s">
        <v>2768</v>
      </c>
      <c r="CB605">
        <v>1</v>
      </c>
    </row>
    <row r="606" spans="49:80">
      <c r="BC606" t="s">
        <v>2768</v>
      </c>
      <c r="BD606">
        <v>1</v>
      </c>
      <c r="BI606" t="s">
        <v>2768</v>
      </c>
      <c r="BJ606">
        <v>2</v>
      </c>
      <c r="BK606" s="176"/>
      <c r="BM606" t="s">
        <v>2776</v>
      </c>
      <c r="BN606">
        <v>2</v>
      </c>
      <c r="BS606" t="s">
        <v>2776</v>
      </c>
      <c r="BT606">
        <v>0</v>
      </c>
      <c r="BW606" t="s">
        <v>2768</v>
      </c>
      <c r="BX606">
        <v>2</v>
      </c>
      <c r="BY606" s="176"/>
      <c r="CA606" t="s">
        <v>2776</v>
      </c>
      <c r="CB606">
        <v>1</v>
      </c>
    </row>
    <row r="607" spans="49:80">
      <c r="BC607" t="s">
        <v>2776</v>
      </c>
      <c r="BD607">
        <v>1</v>
      </c>
      <c r="BI607" t="s">
        <v>2768</v>
      </c>
      <c r="BJ607">
        <v>2</v>
      </c>
      <c r="BK607" s="176"/>
      <c r="BM607" t="s">
        <v>2768</v>
      </c>
      <c r="BN607">
        <v>1</v>
      </c>
      <c r="BS607" t="s">
        <v>1886</v>
      </c>
      <c r="BT607">
        <v>0</v>
      </c>
      <c r="BW607" t="s">
        <v>2768</v>
      </c>
      <c r="BX607">
        <v>2</v>
      </c>
      <c r="BY607" s="176"/>
      <c r="CA607" t="s">
        <v>2768</v>
      </c>
      <c r="CB607">
        <v>1</v>
      </c>
    </row>
    <row r="608" spans="49:80">
      <c r="BC608" t="s">
        <v>2768</v>
      </c>
      <c r="BD608">
        <v>1</v>
      </c>
      <c r="BI608" s="176" t="s">
        <v>2794</v>
      </c>
      <c r="BJ608">
        <v>1</v>
      </c>
      <c r="BK608" s="176"/>
      <c r="BM608" t="s">
        <v>2722</v>
      </c>
      <c r="BN608">
        <v>0</v>
      </c>
      <c r="BS608" t="s">
        <v>2853</v>
      </c>
      <c r="BT608">
        <v>1</v>
      </c>
      <c r="BU608" s="176"/>
      <c r="BW608" t="s">
        <v>3063</v>
      </c>
      <c r="BX608">
        <v>1</v>
      </c>
      <c r="BY608" s="176"/>
      <c r="CA608" t="s">
        <v>2722</v>
      </c>
      <c r="CB608">
        <v>0</v>
      </c>
    </row>
    <row r="609" spans="55:79">
      <c r="BC609" t="s">
        <v>2768</v>
      </c>
      <c r="BD609">
        <v>0</v>
      </c>
      <c r="BI609" t="s">
        <v>2776</v>
      </c>
      <c r="BJ609">
        <v>1</v>
      </c>
      <c r="BS609" s="176" t="str">
        <f>IF(秋,"金蛇锥-金环戴","金蛇锥-吹风醒")</f>
        <v>金蛇锥-吹风醒</v>
      </c>
      <c r="BT609">
        <v>0</v>
      </c>
      <c r="BU609" s="176"/>
      <c r="BW609" t="s">
        <v>2776</v>
      </c>
      <c r="BX609">
        <v>1</v>
      </c>
    </row>
    <row r="610" spans="55:79">
      <c r="BC610" t="s">
        <v>2768</v>
      </c>
      <c r="BD610">
        <v>0</v>
      </c>
      <c r="BI610" t="s">
        <v>2768</v>
      </c>
      <c r="BJ610">
        <v>0</v>
      </c>
      <c r="BS610" t="s">
        <v>2773</v>
      </c>
      <c r="BT610">
        <v>2</v>
      </c>
      <c r="BW610" t="s">
        <v>2768</v>
      </c>
      <c r="BX610">
        <v>2</v>
      </c>
    </row>
    <row r="611" spans="55:79">
      <c r="BI611" t="s">
        <v>3011</v>
      </c>
      <c r="BJ611">
        <v>2</v>
      </c>
      <c r="BS611" t="s">
        <v>2776</v>
      </c>
      <c r="BT611">
        <v>2</v>
      </c>
      <c r="BU611" s="176"/>
      <c r="BW611" t="s">
        <v>2768</v>
      </c>
      <c r="BX611">
        <v>2</v>
      </c>
    </row>
    <row r="612" spans="55:79">
      <c r="BI612" t="s">
        <v>2768</v>
      </c>
      <c r="BJ612">
        <v>2</v>
      </c>
      <c r="BS612" t="s">
        <v>2768</v>
      </c>
      <c r="BT612">
        <v>2</v>
      </c>
      <c r="BW612" t="s">
        <v>2794</v>
      </c>
      <c r="BX612">
        <v>2</v>
      </c>
    </row>
    <row r="613" spans="55:79">
      <c r="BI613" t="s">
        <v>3018</v>
      </c>
      <c r="BJ613">
        <v>2</v>
      </c>
      <c r="BS613" t="s">
        <v>2768</v>
      </c>
      <c r="BT613">
        <v>2</v>
      </c>
      <c r="BW613" t="s">
        <v>2776</v>
      </c>
      <c r="BX613">
        <v>2</v>
      </c>
    </row>
    <row r="614" spans="55:79">
      <c r="BI614" t="s">
        <v>2789</v>
      </c>
      <c r="BJ614">
        <v>2</v>
      </c>
      <c r="BS614" t="s">
        <v>2768</v>
      </c>
      <c r="BT614">
        <v>1</v>
      </c>
      <c r="BW614" t="s">
        <v>2768</v>
      </c>
      <c r="BX614">
        <v>2</v>
      </c>
    </row>
    <row r="615" spans="55:79">
      <c r="BS615" t="s">
        <v>2776</v>
      </c>
      <c r="BT615">
        <v>1</v>
      </c>
      <c r="BW615" t="s">
        <v>2776</v>
      </c>
      <c r="BX615">
        <v>1</v>
      </c>
    </row>
    <row r="616" spans="55:79">
      <c r="BS616" t="s">
        <v>2768</v>
      </c>
      <c r="BT616">
        <v>0</v>
      </c>
      <c r="BW616" t="s">
        <v>2768</v>
      </c>
      <c r="BX616">
        <v>1</v>
      </c>
    </row>
    <row r="617" spans="55:79">
      <c r="BK617" s="176"/>
      <c r="BW617" t="s">
        <v>2776</v>
      </c>
      <c r="BX617">
        <v>1</v>
      </c>
      <c r="BY617" s="176"/>
      <c r="CA617" s="176"/>
    </row>
    <row r="618" spans="55:79">
      <c r="BK618" s="176"/>
      <c r="BW618" t="s">
        <v>2768</v>
      </c>
      <c r="BX618">
        <v>1</v>
      </c>
      <c r="BY618" s="176"/>
      <c r="CA618" s="176"/>
    </row>
    <row r="619" spans="55:79">
      <c r="BK619" s="176"/>
      <c r="BW619" t="s">
        <v>2722</v>
      </c>
      <c r="BX619">
        <v>0</v>
      </c>
      <c r="BY619" s="176"/>
      <c r="CA619" s="176"/>
    </row>
    <row r="620" spans="55:79">
      <c r="BK620" s="176"/>
      <c r="BW620" t="s">
        <v>3009</v>
      </c>
      <c r="BX620">
        <v>2</v>
      </c>
      <c r="BY620" s="176"/>
      <c r="CA620" s="176"/>
    </row>
    <row r="621" spans="55:79">
      <c r="BK621" s="176"/>
      <c r="BS621" s="179"/>
      <c r="BW621" t="s">
        <v>2768</v>
      </c>
      <c r="BX621">
        <v>2</v>
      </c>
      <c r="BY621" s="176"/>
      <c r="CA621" s="176"/>
    </row>
    <row r="622" spans="55:79">
      <c r="BK622" s="176"/>
      <c r="BS622" s="179"/>
      <c r="BW622" t="s">
        <v>2776</v>
      </c>
      <c r="BX622">
        <v>2</v>
      </c>
      <c r="BY622" s="176"/>
      <c r="CA622" s="176"/>
    </row>
    <row r="623" spans="55:79">
      <c r="BS623" s="179"/>
      <c r="BW623" t="s">
        <v>2768</v>
      </c>
      <c r="BX623">
        <v>2</v>
      </c>
    </row>
    <row r="624" spans="55:79">
      <c r="BS624" s="182"/>
      <c r="BU624" s="176"/>
      <c r="BW624" t="str">
        <f>IF(山重水复,"风来吴山","夕照雷峰")</f>
        <v>夕照雷峰</v>
      </c>
      <c r="BX624">
        <v>2</v>
      </c>
    </row>
    <row r="625" spans="71:76">
      <c r="BS625" s="182"/>
      <c r="BW625" t="s">
        <v>2794</v>
      </c>
      <c r="BX625">
        <v>2</v>
      </c>
    </row>
    <row r="626" spans="71:76">
      <c r="BS626" s="182"/>
      <c r="BW626" t="s">
        <v>2776</v>
      </c>
      <c r="BX626">
        <v>2</v>
      </c>
    </row>
    <row r="627" spans="71:76">
      <c r="BS627" s="182"/>
      <c r="BW627" t="s">
        <v>2768</v>
      </c>
      <c r="BX627">
        <v>2</v>
      </c>
    </row>
    <row r="628" spans="71:76">
      <c r="BS628" s="182"/>
      <c r="BW628" t="s">
        <v>2776</v>
      </c>
      <c r="BX628">
        <v>2</v>
      </c>
    </row>
    <row r="629" spans="71:76">
      <c r="BS629" s="182"/>
      <c r="BW629" t="s">
        <v>2768</v>
      </c>
      <c r="BX629">
        <v>2</v>
      </c>
    </row>
    <row r="630" spans="71:76">
      <c r="BS630" s="176"/>
      <c r="BW630" t="s">
        <v>2808</v>
      </c>
      <c r="BX630">
        <v>2</v>
      </c>
    </row>
    <row r="631" spans="71:76">
      <c r="BS631" s="176"/>
      <c r="BU631" s="182"/>
      <c r="BW631" t="str">
        <f>IF(0,"云飞玉皇-玉山揽云","夕照雷峰")</f>
        <v>夕照雷峰</v>
      </c>
      <c r="BX631">
        <v>2</v>
      </c>
    </row>
    <row r="632" spans="71:76">
      <c r="BS632" s="176"/>
      <c r="BU632" s="176"/>
      <c r="BW632" t="str">
        <f>IF(0,"云飞玉皇-玉山揽云","云飞玉皇")</f>
        <v>云飞玉皇</v>
      </c>
      <c r="BX632">
        <v>2</v>
      </c>
    </row>
    <row r="633" spans="71:76">
      <c r="BS633" s="176"/>
      <c r="BU633" s="176"/>
      <c r="BW633" t="str">
        <f>IF(0,"云飞玉皇-玉山揽云","夕照雷峰")</f>
        <v>夕照雷峰</v>
      </c>
      <c r="BX633">
        <v>2</v>
      </c>
    </row>
    <row r="634" spans="71:76">
      <c r="BS634" s="176"/>
      <c r="BU634" s="176"/>
      <c r="BW634" t="str">
        <f>IF(0,橙武补雾锁,"夕照雷峰")</f>
        <v>夕照雷峰</v>
      </c>
      <c r="BX634">
        <v>2</v>
      </c>
    </row>
    <row r="635" spans="71:76">
      <c r="BS635" s="176"/>
      <c r="BU635" s="176"/>
      <c r="BW635" t="str">
        <f>IF(0,"云飞玉皇-玉山揽云","夕照雷峰")</f>
        <v>夕照雷峰</v>
      </c>
      <c r="BX635">
        <v>2</v>
      </c>
    </row>
    <row r="636" spans="71:76">
      <c r="BU636" s="176"/>
      <c r="BW636" t="s">
        <v>2776</v>
      </c>
      <c r="BX636">
        <v>2</v>
      </c>
    </row>
    <row r="637" spans="71:76">
      <c r="BW637" t="s">
        <v>2794</v>
      </c>
      <c r="BX637">
        <v>2</v>
      </c>
    </row>
    <row r="638" spans="71:76">
      <c r="BW638" t="s">
        <v>2768</v>
      </c>
      <c r="BX638">
        <v>2</v>
      </c>
    </row>
    <row r="639" spans="71:76">
      <c r="BW639" t="s">
        <v>2776</v>
      </c>
      <c r="BX639">
        <v>2</v>
      </c>
    </row>
    <row r="640" spans="71:76">
      <c r="BW640" t="s">
        <v>2768</v>
      </c>
      <c r="BX640">
        <v>2</v>
      </c>
    </row>
    <row r="641" spans="73:76">
      <c r="BW641" t="s">
        <v>2808</v>
      </c>
      <c r="BX641">
        <v>2</v>
      </c>
    </row>
    <row r="642" spans="73:76">
      <c r="BW642" t="s">
        <v>2768</v>
      </c>
      <c r="BX642">
        <v>1</v>
      </c>
    </row>
    <row r="643" spans="73:76">
      <c r="BW643" t="s">
        <v>2776</v>
      </c>
      <c r="BX643">
        <v>1</v>
      </c>
    </row>
    <row r="644" spans="73:76">
      <c r="BU644" s="176"/>
      <c r="BW644" t="s">
        <v>2768</v>
      </c>
      <c r="BX644">
        <v>2</v>
      </c>
    </row>
    <row r="645" spans="73:76">
      <c r="BU645" s="176"/>
      <c r="BW645" t="s">
        <v>3063</v>
      </c>
      <c r="BX645">
        <v>2</v>
      </c>
    </row>
    <row r="646" spans="73:76">
      <c r="BW646" t="s">
        <v>2768</v>
      </c>
      <c r="BX646">
        <v>2</v>
      </c>
    </row>
    <row r="647" spans="73:76">
      <c r="BU647" s="176"/>
      <c r="BW647" t="s">
        <v>2776</v>
      </c>
      <c r="BX647">
        <v>2</v>
      </c>
    </row>
    <row r="648" spans="73:76">
      <c r="BW648" t="s">
        <v>2768</v>
      </c>
      <c r="BX648">
        <v>2</v>
      </c>
    </row>
    <row r="649" spans="73:76">
      <c r="BW649" t="s">
        <v>2768</v>
      </c>
      <c r="BX649">
        <v>1</v>
      </c>
    </row>
    <row r="650" spans="73:76">
      <c r="BW650" t="s">
        <v>2794</v>
      </c>
      <c r="BX650">
        <v>1</v>
      </c>
    </row>
    <row r="651" spans="73:76">
      <c r="BW651" t="s">
        <v>2776</v>
      </c>
      <c r="BX651">
        <v>1</v>
      </c>
    </row>
    <row r="652" spans="73:76">
      <c r="BW652" t="s">
        <v>2768</v>
      </c>
      <c r="BX652">
        <v>1</v>
      </c>
    </row>
    <row r="653" spans="73:76">
      <c r="BW653" t="s">
        <v>2776</v>
      </c>
      <c r="BX653">
        <v>0</v>
      </c>
    </row>
    <row r="654" spans="73:76">
      <c r="BW654" t="s">
        <v>2768</v>
      </c>
      <c r="BX654">
        <v>2</v>
      </c>
    </row>
    <row r="655" spans="73:76">
      <c r="BW655" t="s">
        <v>2808</v>
      </c>
      <c r="BX655">
        <v>2</v>
      </c>
    </row>
    <row r="656" spans="73:76">
      <c r="BW656" t="s">
        <v>2722</v>
      </c>
      <c r="BX656">
        <v>2</v>
      </c>
    </row>
    <row r="659" spans="69:74">
      <c r="BS659" s="179"/>
      <c r="BU659" s="176"/>
    </row>
    <row r="660" spans="69:74">
      <c r="BS660" s="179"/>
    </row>
    <row r="661" spans="69:74">
      <c r="BQ661" s="176"/>
      <c r="BS661" s="179"/>
    </row>
    <row r="662" spans="69:74">
      <c r="BQ662" s="176"/>
      <c r="BS662" s="182"/>
    </row>
    <row r="663" spans="69:74">
      <c r="BQ663" s="176"/>
      <c r="BS663" s="182"/>
      <c r="BU663" s="176"/>
    </row>
    <row r="664" spans="69:74">
      <c r="BS664" s="182"/>
      <c r="BU664" s="176"/>
    </row>
    <row r="665" spans="69:74">
      <c r="BS665" s="182"/>
    </row>
    <row r="666" spans="69:74">
      <c r="BS666" s="182"/>
    </row>
    <row r="667" spans="69:74">
      <c r="BS667" s="182"/>
      <c r="BU667" s="176"/>
    </row>
    <row r="668" spans="69:74">
      <c r="BS668" s="176"/>
    </row>
    <row r="669" spans="69:74">
      <c r="BS669" s="176"/>
      <c r="BU669" s="175"/>
      <c r="BV669" s="175"/>
    </row>
    <row r="670" spans="69:74">
      <c r="BS670" s="176"/>
      <c r="BU670" s="176"/>
    </row>
    <row r="671" spans="69:74">
      <c r="BS671" s="176"/>
      <c r="BU671" s="176"/>
    </row>
    <row r="672" spans="69:74">
      <c r="BS672" s="176"/>
      <c r="BU672" s="176"/>
    </row>
    <row r="673" spans="71:73">
      <c r="BS673" s="176"/>
      <c r="BU673" s="176"/>
    </row>
    <row r="674" spans="71:73">
      <c r="BU674" s="176"/>
    </row>
    <row r="675" spans="71:73">
      <c r="BU675" s="176"/>
    </row>
    <row r="678" spans="71:73">
      <c r="BU678" s="176"/>
    </row>
    <row r="679" spans="71:73">
      <c r="BU679" s="176"/>
    </row>
    <row r="682" spans="71:73">
      <c r="BU682" s="176"/>
    </row>
    <row r="683" spans="71:73">
      <c r="BU683" s="176"/>
    </row>
    <row r="684" spans="71:73">
      <c r="BU684" s="176"/>
    </row>
    <row r="685" spans="71:73">
      <c r="BU685" s="176"/>
    </row>
    <row r="686" spans="71:73">
      <c r="BU686" s="176"/>
    </row>
    <row r="689" spans="71:73">
      <c r="BS689" s="176"/>
    </row>
    <row r="695" spans="71:73">
      <c r="BU695" s="176"/>
    </row>
    <row r="696" spans="71:73">
      <c r="BU696" s="176"/>
    </row>
    <row r="697" spans="71:73">
      <c r="BU697" s="176"/>
    </row>
    <row r="698" spans="71:73">
      <c r="BU698" s="176"/>
    </row>
    <row r="699" spans="71:73">
      <c r="BU699" s="176"/>
    </row>
    <row r="700" spans="71:73">
      <c r="BU700" s="176"/>
    </row>
    <row r="703" spans="71:73">
      <c r="BS703" s="176"/>
    </row>
    <row r="704" spans="71:73">
      <c r="BS704" s="176"/>
    </row>
    <row r="705" spans="71:74">
      <c r="BS705" s="176"/>
    </row>
    <row r="706" spans="71:74">
      <c r="BS706" s="176"/>
      <c r="BU706" s="175"/>
      <c r="BV706" s="175"/>
    </row>
    <row r="707" spans="71:74">
      <c r="BS707" s="176"/>
      <c r="BU707" s="176"/>
    </row>
    <row r="708" spans="71:74">
      <c r="BS708" s="176"/>
      <c r="BU708" s="176"/>
    </row>
    <row r="709" spans="71:74">
      <c r="BU709" s="176"/>
    </row>
    <row r="710" spans="71:74">
      <c r="BU710" s="176"/>
    </row>
    <row r="711" spans="71:74">
      <c r="BU711" s="176"/>
    </row>
    <row r="712" spans="71:74">
      <c r="BU712" s="176"/>
    </row>
    <row r="715" spans="71:74">
      <c r="BS715" s="176"/>
    </row>
    <row r="716" spans="71:74">
      <c r="BS716" s="176"/>
    </row>
    <row r="717" spans="71:74">
      <c r="BS717" s="176"/>
    </row>
    <row r="718" spans="71:74">
      <c r="BS718" s="176"/>
    </row>
    <row r="719" spans="71:74">
      <c r="BS719" s="176"/>
      <c r="BU719" s="176"/>
    </row>
    <row r="720" spans="71:74">
      <c r="BU720" s="176"/>
    </row>
    <row r="721" spans="71:73">
      <c r="BU721" s="176"/>
    </row>
    <row r="722" spans="71:73">
      <c r="BU722" s="176"/>
    </row>
    <row r="723" spans="71:73">
      <c r="BU723" s="176"/>
    </row>
    <row r="728" spans="71:73">
      <c r="BS728" s="176"/>
    </row>
    <row r="729" spans="71:73">
      <c r="BS729" s="176"/>
    </row>
    <row r="730" spans="71:73">
      <c r="BS730" s="176"/>
    </row>
    <row r="731" spans="71:73">
      <c r="BS731" s="176"/>
    </row>
    <row r="732" spans="71:73">
      <c r="BS732" s="176"/>
      <c r="BU732" s="176"/>
    </row>
    <row r="733" spans="71:73">
      <c r="BS733" s="176"/>
      <c r="BU733" s="176"/>
    </row>
    <row r="734" spans="71:73">
      <c r="BU734" s="176"/>
    </row>
    <row r="735" spans="71:73">
      <c r="BU735" s="176"/>
    </row>
    <row r="736" spans="71:73">
      <c r="BU736" s="176"/>
    </row>
    <row r="737" spans="73:73">
      <c r="BU737" s="176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K219"/>
  <sheetViews>
    <sheetView topLeftCell="D1" workbookViewId="0">
      <pane xSplit="4" ySplit="9" topLeftCell="AW10" activePane="bottomRight" state="frozen"/>
      <selection/>
      <selection pane="topRight"/>
      <selection pane="bottomLeft"/>
      <selection pane="bottomRight" activeCell="BA40" sqref="BA40"/>
    </sheetView>
  </sheetViews>
  <sheetFormatPr defaultColWidth="9" defaultRowHeight="16.8"/>
  <cols>
    <col min="1" max="1" width="9.25" customWidth="1"/>
    <col min="2" max="2" width="15.375" customWidth="1"/>
    <col min="3" max="4" width="5.25" customWidth="1"/>
    <col min="5" max="5" width="13.5" customWidth="1"/>
    <col min="6" max="6" width="11" customWidth="1"/>
    <col min="7" max="7" width="16.25" customWidth="1"/>
    <col min="8" max="8" width="17.25" customWidth="1"/>
    <col min="9" max="9" width="15.125" customWidth="1"/>
    <col min="10" max="10" width="11" customWidth="1"/>
    <col min="11" max="11" width="17.25" customWidth="1"/>
    <col min="12" max="12" width="11" customWidth="1"/>
    <col min="13" max="13" width="9" customWidth="1"/>
    <col min="14" max="14" width="11" customWidth="1"/>
    <col min="15" max="16" width="9" customWidth="1"/>
    <col min="17" max="17" width="13" customWidth="1"/>
    <col min="18" max="18" width="9" customWidth="1"/>
    <col min="19" max="20" width="15.125" customWidth="1"/>
    <col min="21" max="22" width="13" customWidth="1"/>
    <col min="23" max="23" width="7.125" customWidth="1"/>
    <col min="24" max="25" width="9" customWidth="1"/>
    <col min="26" max="26" width="12.75" customWidth="1"/>
    <col min="27" max="28" width="9" customWidth="1"/>
    <col min="29" max="29" width="8.875" customWidth="1"/>
    <col min="30" max="30" width="12.125" customWidth="1"/>
    <col min="31" max="31" width="13" customWidth="1"/>
    <col min="32" max="33" width="9" customWidth="1"/>
    <col min="34" max="36" width="15.125" customWidth="1"/>
    <col min="37" max="37" width="11" customWidth="1"/>
    <col min="38" max="38" width="13" customWidth="1"/>
    <col min="39" max="40" width="11" customWidth="1"/>
    <col min="41" max="42" width="9" customWidth="1"/>
    <col min="43" max="43" width="13" customWidth="1"/>
    <col min="44" max="45" width="11" customWidth="1"/>
    <col min="46" max="46" width="9" customWidth="1"/>
    <col min="47" max="48" width="11" customWidth="1"/>
    <col min="49" max="51" width="15.125" customWidth="1"/>
    <col min="52" max="52" width="18.875" customWidth="1"/>
    <col min="53" max="53" width="14.25" customWidth="1"/>
    <col min="54" max="54" width="13" customWidth="1"/>
    <col min="55" max="55" width="9" customWidth="1"/>
    <col min="56" max="56" width="15.125" customWidth="1"/>
    <col min="57" max="58" width="11" customWidth="1"/>
    <col min="59" max="59" width="9" customWidth="1"/>
    <col min="60" max="60" width="7.125" customWidth="1"/>
  </cols>
  <sheetData>
    <row r="1" s="160" customFormat="1" spans="2:63">
      <c r="B1" s="160" t="s">
        <v>1988</v>
      </c>
      <c r="C1" s="160" t="s">
        <v>1989</v>
      </c>
      <c r="D1" s="160" t="s">
        <v>1990</v>
      </c>
      <c r="E1" s="160" t="s">
        <v>1991</v>
      </c>
      <c r="F1" s="160" t="s">
        <v>1992</v>
      </c>
      <c r="G1" s="160" t="s">
        <v>1993</v>
      </c>
      <c r="H1" s="160" t="s">
        <v>1994</v>
      </c>
      <c r="I1" s="160" t="s">
        <v>1995</v>
      </c>
      <c r="J1" s="160" t="s">
        <v>1996</v>
      </c>
      <c r="K1" s="160" t="s">
        <v>1997</v>
      </c>
      <c r="L1" s="160" t="s">
        <v>229</v>
      </c>
      <c r="M1" s="160" t="s">
        <v>1998</v>
      </c>
      <c r="N1" s="160" t="s">
        <v>1999</v>
      </c>
      <c r="O1" s="160" t="s">
        <v>2000</v>
      </c>
      <c r="P1" s="160" t="s">
        <v>2001</v>
      </c>
      <c r="Q1" s="160" t="s">
        <v>2002</v>
      </c>
      <c r="R1" s="160" t="s">
        <v>2003</v>
      </c>
      <c r="S1" s="160" t="s">
        <v>2004</v>
      </c>
      <c r="T1" s="160" t="s">
        <v>2005</v>
      </c>
      <c r="U1" s="160" t="s">
        <v>2006</v>
      </c>
      <c r="V1" s="160" t="s">
        <v>2007</v>
      </c>
      <c r="W1" s="160" t="s">
        <v>2008</v>
      </c>
      <c r="X1" s="160" t="s">
        <v>2009</v>
      </c>
      <c r="Y1" s="160" t="s">
        <v>2010</v>
      </c>
      <c r="Z1" s="160" t="s">
        <v>2011</v>
      </c>
      <c r="AA1" s="160" t="s">
        <v>2012</v>
      </c>
      <c r="AB1" s="160" t="s">
        <v>2013</v>
      </c>
      <c r="AC1" s="160" t="s">
        <v>2014</v>
      </c>
      <c r="AD1" s="160" t="s">
        <v>2015</v>
      </c>
      <c r="AE1" s="160" t="s">
        <v>2016</v>
      </c>
      <c r="AF1" s="160" t="s">
        <v>2017</v>
      </c>
      <c r="AG1" s="160" t="s">
        <v>2018</v>
      </c>
      <c r="AH1" s="160" t="s">
        <v>2019</v>
      </c>
      <c r="AI1" s="160" t="s">
        <v>2020</v>
      </c>
      <c r="AJ1" s="160" t="s">
        <v>2021</v>
      </c>
      <c r="AK1" s="160" t="s">
        <v>2022</v>
      </c>
      <c r="AL1" s="160" t="s">
        <v>2023</v>
      </c>
      <c r="AM1" s="160" t="s">
        <v>2024</v>
      </c>
      <c r="AN1" s="160" t="s">
        <v>2025</v>
      </c>
      <c r="AO1" s="160" t="s">
        <v>2026</v>
      </c>
      <c r="AP1" s="160" t="s">
        <v>2027</v>
      </c>
      <c r="AQ1" s="160" t="s">
        <v>2028</v>
      </c>
      <c r="AR1" s="160" t="s">
        <v>2029</v>
      </c>
      <c r="AS1" s="160" t="s">
        <v>2030</v>
      </c>
      <c r="AT1" s="160" t="s">
        <v>2031</v>
      </c>
      <c r="AU1" s="160" t="s">
        <v>2032</v>
      </c>
      <c r="AV1" s="160" t="s">
        <v>2033</v>
      </c>
      <c r="AW1" s="160" t="s">
        <v>2034</v>
      </c>
      <c r="AX1" s="160" t="s">
        <v>2035</v>
      </c>
      <c r="AY1" s="160" t="s">
        <v>2036</v>
      </c>
      <c r="AZ1" s="160" t="s">
        <v>2037</v>
      </c>
      <c r="BA1" s="160" t="s">
        <v>2038</v>
      </c>
      <c r="BB1" s="160" t="s">
        <v>2039</v>
      </c>
      <c r="BC1" s="160" t="s">
        <v>2040</v>
      </c>
      <c r="BD1" s="160" t="s">
        <v>2041</v>
      </c>
      <c r="BE1" s="160" t="s">
        <v>2042</v>
      </c>
      <c r="BF1" s="160" t="s">
        <v>2043</v>
      </c>
      <c r="BG1" s="160" t="s">
        <v>2044</v>
      </c>
      <c r="BH1" s="160" t="s">
        <v>2045</v>
      </c>
    </row>
    <row r="2" s="161" customFormat="1" spans="2:63">
      <c r="B2" s="159" t="s">
        <v>2508</v>
      </c>
      <c r="C2" s="161">
        <f>额外属性!C7</f>
        <v>0</v>
      </c>
      <c r="D2" s="161">
        <f>额外属性!D7</f>
        <v>0</v>
      </c>
      <c r="E2" s="161">
        <f ca="1">额外属性!E7</f>
        <v>218067</v>
      </c>
      <c r="F2" s="161">
        <f ca="1">额外属性!F7</f>
        <v>0</v>
      </c>
      <c r="G2" s="161">
        <f ca="1">额外属性!G7</f>
        <v>112978</v>
      </c>
      <c r="H2" s="161">
        <f ca="1">额外属性!H7</f>
        <v>358</v>
      </c>
      <c r="I2" s="161">
        <f ca="1">额外属性!I7</f>
        <v>2293648</v>
      </c>
      <c r="J2" s="161">
        <f ca="1">额外属性!J7</f>
        <v>0</v>
      </c>
      <c r="K2" s="161">
        <f ca="1">额外属性!K7</f>
        <v>0</v>
      </c>
      <c r="L2" s="161">
        <f ca="1">额外属性!L7</f>
        <v>3095528</v>
      </c>
      <c r="M2" s="161">
        <f ca="1">额外属性!M7</f>
        <v>10684</v>
      </c>
      <c r="N2" s="161">
        <f ca="1">额外属性!N7</f>
        <v>0</v>
      </c>
      <c r="O2" s="161">
        <f ca="1">额外属性!O7</f>
        <v>10684</v>
      </c>
      <c r="P2" s="161">
        <f ca="1">额外属性!P7</f>
        <v>361</v>
      </c>
      <c r="Q2" s="161">
        <f ca="1">额外属性!Q7</f>
        <v>0</v>
      </c>
      <c r="R2" s="161">
        <f ca="1">额外属性!R7</f>
        <v>361</v>
      </c>
      <c r="S2" s="161">
        <f ca="1">额外属性!S7</f>
        <v>69237</v>
      </c>
      <c r="T2" s="161">
        <f ca="1">额外属性!T7</f>
        <v>51</v>
      </c>
      <c r="U2" s="161">
        <f ca="1">额外属性!U7</f>
        <v>69295</v>
      </c>
      <c r="V2" s="161">
        <f ca="1">额外属性!V7</f>
        <v>91975</v>
      </c>
      <c r="W2" s="161">
        <f ca="1">额外属性!W7</f>
        <v>129620</v>
      </c>
      <c r="X2" s="161">
        <f ca="1">额外属性!X7</f>
        <v>0.03</v>
      </c>
      <c r="Y2" s="161">
        <f ca="1">额外属性!Y7</f>
        <v>0.7343</v>
      </c>
      <c r="Z2" s="161">
        <f ca="1">额外属性!Z7</f>
        <v>13632</v>
      </c>
      <c r="AA2" s="161">
        <f ca="1">额外属性!AA7-额外属性!AA9*额外属性!BH9+额外属性!AA9*3</f>
        <v>393.84</v>
      </c>
      <c r="AB2" s="163">
        <f ca="1">ROUND(1.75+Z2/会效系数+AA2/1024,10)</f>
        <v>2.3217485021</v>
      </c>
      <c r="AC2" s="161">
        <f ca="1">额外属性!AC7</f>
        <v>98191.2857142857</v>
      </c>
      <c r="AD2" s="161">
        <f ca="1">额外属性!AD7</f>
        <v>0</v>
      </c>
      <c r="AE2" s="161">
        <f ca="1">额外属性!AE7</f>
        <v>98299.2857142857</v>
      </c>
      <c r="AF2" s="161">
        <f ca="1">额外属性!AF7</f>
        <v>101293.285714286</v>
      </c>
      <c r="AG2" s="161">
        <f ca="1">额外属性!AG7</f>
        <v>0</v>
      </c>
      <c r="AH2" s="161">
        <f ca="1">额外属性!AH7</f>
        <v>92028</v>
      </c>
      <c r="AI2" s="161">
        <f ca="1">额外属性!AI7</f>
        <v>0</v>
      </c>
      <c r="AJ2" s="161">
        <f ca="1">额外属性!AJ7</f>
        <v>92028</v>
      </c>
      <c r="AK2" s="161">
        <f ca="1">额外属性!AK7</f>
        <v>231568.824643414</v>
      </c>
      <c r="AL2" s="161">
        <f ca="1">额外属性!AL7</f>
        <v>25.5</v>
      </c>
      <c r="AM2" s="161">
        <f ca="1">额外属性!AM7</f>
        <v>237334.824643414</v>
      </c>
      <c r="AN2" s="161">
        <f ca="1">额外属性!AN7</f>
        <v>20</v>
      </c>
      <c r="AO2" s="161">
        <f ca="1">额外属性!AO7</f>
        <v>1.7995442148</v>
      </c>
      <c r="AP2" s="161">
        <f ca="1">额外属性!AP7</f>
        <v>14505</v>
      </c>
      <c r="AQ2" s="161">
        <f ca="1">额外属性!AQ7</f>
        <v>0</v>
      </c>
      <c r="AR2" s="161">
        <f ca="1">额外属性!AR7</f>
        <v>14505</v>
      </c>
      <c r="AS2" s="161">
        <f ca="1">额外属性!AS7</f>
        <v>82</v>
      </c>
      <c r="AT2" s="161">
        <f ca="1">额外属性!AT7</f>
        <v>0.1491</v>
      </c>
      <c r="AU2" s="161">
        <f ca="1">额外属性!AU7</f>
        <v>9521</v>
      </c>
      <c r="AV2" s="161">
        <f ca="1">额外属性!AV7</f>
        <v>15868</v>
      </c>
      <c r="AW2" s="161">
        <f ca="1">额外属性!AW7</f>
        <v>0</v>
      </c>
      <c r="AX2" s="161">
        <f ca="1">额外属性!AX7</f>
        <v>9521</v>
      </c>
      <c r="AY2" s="161">
        <f ca="1">额外属性!AY7</f>
        <v>15868</v>
      </c>
      <c r="AZ2" s="161">
        <f ca="1">ROUND(额外属性!AZ7,10)</f>
        <v>79.1129824561</v>
      </c>
      <c r="BA2" s="161">
        <f ca="1">额外属性!BA7</f>
        <v>21</v>
      </c>
      <c r="BB2" s="161">
        <f ca="1">额外属性!BB7</f>
        <v>4655</v>
      </c>
      <c r="BC2" s="161">
        <f ca="1">额外属性!BC7</f>
        <v>0</v>
      </c>
      <c r="BD2" s="161">
        <f ca="1">额外属性!BD7</f>
        <v>34</v>
      </c>
      <c r="BE2" s="161">
        <f>额外属性!BE7</f>
        <v>0</v>
      </c>
    </row>
    <row r="3" s="161" customFormat="1" spans="2:63">
      <c r="B3" s="159" t="s">
        <v>2509</v>
      </c>
      <c r="C3" s="161">
        <f>额外属性!C8</f>
        <v>0</v>
      </c>
      <c r="D3" s="161">
        <f>额外属性!D8</f>
        <v>0</v>
      </c>
      <c r="E3" s="161">
        <f ca="1">额外属性!E8</f>
        <v>218067</v>
      </c>
      <c r="F3" s="161">
        <f ca="1">额外属性!F8</f>
        <v>0</v>
      </c>
      <c r="G3" s="161">
        <f ca="1">额外属性!G8</f>
        <v>112978</v>
      </c>
      <c r="H3" s="161">
        <f ca="1">额外属性!H8</f>
        <v>358</v>
      </c>
      <c r="I3" s="161">
        <f ca="1">额外属性!I8</f>
        <v>2293648</v>
      </c>
      <c r="J3" s="161">
        <f ca="1">额外属性!J8</f>
        <v>0</v>
      </c>
      <c r="K3" s="161">
        <f ca="1">额外属性!K8</f>
        <v>0</v>
      </c>
      <c r="L3" s="161">
        <f ca="1">额外属性!L8</f>
        <v>3095528</v>
      </c>
      <c r="M3" s="161">
        <f ca="1">额外属性!M8</f>
        <v>10684</v>
      </c>
      <c r="N3" s="161">
        <f ca="1">额外属性!N8</f>
        <v>0</v>
      </c>
      <c r="O3" s="161">
        <f ca="1">额外属性!O8</f>
        <v>10684</v>
      </c>
      <c r="P3" s="161">
        <f ca="1">额外属性!P8</f>
        <v>361</v>
      </c>
      <c r="Q3" s="161">
        <f ca="1">额外属性!Q8</f>
        <v>0</v>
      </c>
      <c r="R3" s="161">
        <f ca="1">额外属性!R8</f>
        <v>361</v>
      </c>
      <c r="S3" s="161">
        <f ca="1">额外属性!S8</f>
        <v>69237</v>
      </c>
      <c r="T3" s="161">
        <f ca="1">额外属性!T8</f>
        <v>51</v>
      </c>
      <c r="U3" s="161">
        <f ca="1">额外属性!U8</f>
        <v>69295</v>
      </c>
      <c r="V3" s="161">
        <f ca="1">额外属性!V8</f>
        <v>91975</v>
      </c>
      <c r="W3" s="161">
        <f ca="1">额外属性!W8</f>
        <v>129620</v>
      </c>
      <c r="X3" s="161">
        <f ca="1">额外属性!X8</f>
        <v>0.03</v>
      </c>
      <c r="Y3" s="161">
        <f ca="1">额外属性!Y8</f>
        <v>0.7343</v>
      </c>
      <c r="Z3" s="161">
        <f ca="1">额外属性!Z8</f>
        <v>13632</v>
      </c>
      <c r="AA3" s="161">
        <f ca="1">额外属性!AA8-额外属性!AA9*额外属性!BH9+额外属性!AA9*3</f>
        <v>393.84</v>
      </c>
      <c r="AB3" s="163">
        <f ca="1">ROUND(1.75+Z3/会效系数+AA3/1024,10)</f>
        <v>2.3217485021</v>
      </c>
      <c r="AC3" s="161">
        <f ca="1">额外属性!AC8</f>
        <v>98191.2857142857</v>
      </c>
      <c r="AD3" s="161">
        <f ca="1">额外属性!AD8</f>
        <v>0</v>
      </c>
      <c r="AE3" s="161">
        <f ca="1">额外属性!AE8</f>
        <v>98299.2857142857</v>
      </c>
      <c r="AF3" s="161">
        <f ca="1">额外属性!AF8</f>
        <v>101293.285714286</v>
      </c>
      <c r="AG3" s="161">
        <f ca="1">额外属性!AG8</f>
        <v>0</v>
      </c>
      <c r="AH3" s="161">
        <f ca="1">额外属性!AH8</f>
        <v>92028</v>
      </c>
      <c r="AI3" s="161">
        <f ca="1">额外属性!AI8</f>
        <v>0</v>
      </c>
      <c r="AJ3" s="161">
        <f ca="1">额外属性!AJ8</f>
        <v>92028</v>
      </c>
      <c r="AK3" s="161">
        <f ca="1">额外属性!AK8</f>
        <v>231568.824643414</v>
      </c>
      <c r="AL3" s="161">
        <f ca="1">额外属性!AL8</f>
        <v>25.5</v>
      </c>
      <c r="AM3" s="161">
        <f ca="1">额外属性!AM8</f>
        <v>237334.824643414</v>
      </c>
      <c r="AN3" s="161">
        <f ca="1">额外属性!AN8</f>
        <v>20</v>
      </c>
      <c r="AO3" s="161">
        <f ca="1">额外属性!AO8</f>
        <v>1.7995442148</v>
      </c>
      <c r="AP3" s="161">
        <f ca="1">额外属性!AP8</f>
        <v>14505</v>
      </c>
      <c r="AQ3" s="161">
        <f ca="1">额外属性!AQ8</f>
        <v>0</v>
      </c>
      <c r="AR3" s="161">
        <f ca="1">额外属性!AR8</f>
        <v>14505</v>
      </c>
      <c r="AS3" s="161">
        <f ca="1">额外属性!AS8</f>
        <v>82</v>
      </c>
      <c r="AT3" s="161">
        <f ca="1">额外属性!AT8</f>
        <v>0.1491</v>
      </c>
      <c r="AU3" s="161">
        <f ca="1">额外属性!AU8</f>
        <v>14648</v>
      </c>
      <c r="AV3" s="161">
        <f ca="1">额外属性!AV8</f>
        <v>24413</v>
      </c>
      <c r="AW3" s="161">
        <f ca="1">额外属性!AW8</f>
        <v>0</v>
      </c>
      <c r="AX3" s="161">
        <f ca="1">额外属性!AX8</f>
        <v>14648</v>
      </c>
      <c r="AY3" s="161">
        <f ca="1">额外属性!AY8</f>
        <v>24413</v>
      </c>
      <c r="AZ3" s="161">
        <f ca="1">ROUND(额外属性!AZ8,10)</f>
        <v>181.1129824561</v>
      </c>
      <c r="BA3" s="161">
        <f ca="1">额外属性!BA8</f>
        <v>21</v>
      </c>
      <c r="BB3" s="161">
        <f ca="1">额外属性!BB8</f>
        <v>4655</v>
      </c>
      <c r="BC3" s="161">
        <f ca="1">额外属性!BC8</f>
        <v>0</v>
      </c>
      <c r="BD3" s="161">
        <f ca="1">额外属性!BD8</f>
        <v>34</v>
      </c>
      <c r="BE3" s="161">
        <f>额外属性!BE8</f>
        <v>0</v>
      </c>
    </row>
    <row r="4" spans="2:63">
      <c r="E4" t="s">
        <v>3235</v>
      </c>
    </row>
    <row r="5" spans="2:63">
      <c r="E5" t="s">
        <v>3118</v>
      </c>
      <c r="F5">
        <f>INDEX(技能数据库!$Z$16:$AB$23,MATCH(配装计算器!$K$31,技能数据库!$Z$16:$Z$23,0),2)</f>
        <v>83679</v>
      </c>
      <c r="AG5">
        <f ca="1">AB11+AB13+Y2*AB76+(Y2+0.2)*AB71</f>
        <v>12143520.468781</v>
      </c>
    </row>
    <row r="6" spans="2:63">
      <c r="E6" t="s">
        <v>3119</v>
      </c>
      <c r="F6">
        <f>INDEX(技能数据库!$Z$16:$AB$23,MATCH(配装计算器!$K$31,技能数据库!$Z$16:$Z$23,0),3)</f>
        <v>134</v>
      </c>
      <c r="AG6">
        <f ca="1">AB19+AB31+AB37+(Y3+0.2)*AB55</f>
        <v>13378512.2321626</v>
      </c>
    </row>
    <row r="7" spans="2:63">
      <c r="E7" t="s">
        <v>3120</v>
      </c>
      <c r="F7">
        <f>外防全局系数*(1155*F6-130350)</f>
        <v>155408.88</v>
      </c>
      <c r="AC7" t="s">
        <v>3121</v>
      </c>
      <c r="AD7">
        <f ca="1">SUMPRODUCT(AB10:AB1048576,AC10:AC1048576)</f>
        <v>2851082470.17457</v>
      </c>
    </row>
    <row r="8" spans="2:63">
      <c r="AC8" t="s">
        <v>3122</v>
      </c>
      <c r="AD8">
        <f ca="1">AD7/MAX(无穷最小总时间,无穷技能数计算!$AS$1)</f>
        <v>14269682.0329058</v>
      </c>
      <c r="AE8">
        <f ca="1">SUMPRODUCT($AD$10:$AD$1048576,$AE$10:$AE$1048576,$AR$10:$AR$1048576)</f>
        <v>0.00306684295910961</v>
      </c>
      <c r="AF8">
        <f ca="1">SUMPRODUCT($AD$10:$AD$1048576,AF10:AF1048576,$AR$10:$AR$1048576)</f>
        <v>0.00187413837762524</v>
      </c>
      <c r="AG8">
        <f ca="1">SUMPRODUCT($AD$10:$AD$1048576,AG10:AG1048576,$AR$10:$AR$1048576)</f>
        <v>0.002511508629971</v>
      </c>
      <c r="AL8">
        <f ca="1">SUMPRODUCT($AD$10:$AD$1048576,AL10:AL1048576,$AR$10:$AR$1048576)</f>
        <v>0.00226909788076572</v>
      </c>
      <c r="AN8">
        <f ca="1">SUMPRODUCT($AD$10:$AD$1048576,AN10:AN1048576,$AR$10:$AR$1048576)</f>
        <v>0.00674771108984145</v>
      </c>
      <c r="AO8">
        <f ca="1">SUMPRODUCT($AD$10:$AD$1048576,AO10:AO1048576,$AR$10:$AR$1048576)</f>
        <v>0.00434331715568266</v>
      </c>
      <c r="AP8">
        <f ca="1">SUMPRODUCT($AD$10:$AD$1048576,AP10:AP1048576,$AR$10:$AR$1048576)</f>
        <v>0.00406328466758741</v>
      </c>
      <c r="AQ8">
        <f ca="1">SUMPRODUCT($AD$10:$AD$1048576,AQ10:AQ1048576,$AR$10:$AR$1048576)</f>
        <v>0.00390152188608233</v>
      </c>
      <c r="AR8" t="str">
        <f>配装计算器!M2</f>
        <v>综合属性收益</v>
      </c>
    </row>
    <row r="9" spans="2:63">
      <c r="D9" t="s">
        <v>2135</v>
      </c>
      <c r="E9" t="s">
        <v>2969</v>
      </c>
      <c r="F9" t="s">
        <v>1990</v>
      </c>
      <c r="G9" t="s">
        <v>2971</v>
      </c>
      <c r="H9" t="s">
        <v>2705</v>
      </c>
      <c r="I9" t="s">
        <v>2709</v>
      </c>
      <c r="J9" t="s">
        <v>2710</v>
      </c>
      <c r="K9" t="s">
        <v>2711</v>
      </c>
      <c r="L9" t="s">
        <v>66</v>
      </c>
      <c r="M9" t="s">
        <v>69</v>
      </c>
      <c r="N9" t="s">
        <v>34</v>
      </c>
      <c r="O9" t="s">
        <v>3123</v>
      </c>
      <c r="P9" t="s">
        <v>3124</v>
      </c>
      <c r="Q9" t="s">
        <v>28</v>
      </c>
      <c r="R9" t="s">
        <v>3125</v>
      </c>
      <c r="S9" t="s">
        <v>3126</v>
      </c>
      <c r="T9" t="s">
        <v>3127</v>
      </c>
      <c r="U9" t="s">
        <v>21</v>
      </c>
      <c r="V9" t="s">
        <v>3128</v>
      </c>
      <c r="W9" t="s">
        <v>7</v>
      </c>
      <c r="X9" t="s">
        <v>9</v>
      </c>
      <c r="Y9" t="s">
        <v>3129</v>
      </c>
      <c r="Z9" t="s">
        <v>3130</v>
      </c>
      <c r="AA9" t="s">
        <v>2038</v>
      </c>
      <c r="AB9" t="s">
        <v>3131</v>
      </c>
      <c r="AC9" t="s">
        <v>3034</v>
      </c>
      <c r="AD9" t="s">
        <v>3132</v>
      </c>
      <c r="AE9" t="s">
        <v>3133</v>
      </c>
      <c r="AF9" t="s">
        <v>3134</v>
      </c>
      <c r="AG9" t="s">
        <v>3135</v>
      </c>
      <c r="AH9" t="s">
        <v>3136</v>
      </c>
      <c r="AI9" t="s">
        <v>3137</v>
      </c>
      <c r="AJ9" t="s">
        <v>3138</v>
      </c>
      <c r="AK9" t="s">
        <v>3139</v>
      </c>
      <c r="AL9" t="s">
        <v>3140</v>
      </c>
      <c r="AM9" t="s">
        <v>3141</v>
      </c>
      <c r="AN9" t="s">
        <v>3142</v>
      </c>
      <c r="AO9" t="s">
        <v>3143</v>
      </c>
      <c r="AP9" t="s">
        <v>3144</v>
      </c>
      <c r="AQ9" t="s">
        <v>3145</v>
      </c>
      <c r="AR9" t="s">
        <v>3146</v>
      </c>
      <c r="AX9" s="167" t="s">
        <v>3132</v>
      </c>
      <c r="AY9" s="167" t="s">
        <v>3147</v>
      </c>
      <c r="AZ9" t="s">
        <v>3148</v>
      </c>
      <c r="BB9" t="s">
        <v>3149</v>
      </c>
      <c r="BC9" t="s">
        <v>3148</v>
      </c>
      <c r="BD9" t="s">
        <v>3150</v>
      </c>
      <c r="BE9" t="s">
        <v>2970</v>
      </c>
      <c r="BF9" t="s">
        <v>3151</v>
      </c>
      <c r="BH9" t="s">
        <v>2407</v>
      </c>
      <c r="BI9" t="s">
        <v>3152</v>
      </c>
      <c r="BJ9">
        <v>0</v>
      </c>
    </row>
    <row r="10" spans="2:63">
      <c r="D10" t="s">
        <v>1028</v>
      </c>
      <c r="E10" t="s">
        <v>2722</v>
      </c>
      <c r="H10">
        <f ca="1">INDEX(技能数据库!$B$2:$I$100,MATCH(无穷伤害与收益计算!$E10,技能数据库!$B$2:$B$100,0),MATCH(H$9,技能数据库!$B$2:$I$2,0))</f>
        <v>145.5</v>
      </c>
      <c r="I10">
        <f ca="1">INDEX(技能数据库!$B$2:$I$100,MATCH(无穷伤害与收益计算!$E10,技能数据库!$B$2:$B$100,0),MATCH(I$9,技能数据库!$B$2:$I$2,0))</f>
        <v>5.1625</v>
      </c>
      <c r="J10">
        <f ca="1">INDEX(技能数据库!$B$2:$I$100,MATCH(无穷伤害与收益计算!$E10,技能数据库!$B$2:$B$100,0),MATCH(J$9,技能数据库!$B$2:$I$2,0))</f>
        <v>1</v>
      </c>
      <c r="K10">
        <f ca="1">INDEX(技能数据库!$B$2:$I$100,MATCH(无穷伤害与收益计算!$E10,技能数据库!$B$2:$B$100,0),MATCH(K$9,技能数据库!$B$2:$I$2,0))</f>
        <v>0</v>
      </c>
      <c r="L10">
        <f ca="1" t="shared" ref="L10:L73" si="0">IF(D10="轻剑",$V$2,$V$3)+INT(残雪*(COUNTIF(G10,"*莺鸣*")+COUNTIF(G10,"*叠1*")+COUNTIF(G10,"*叠2*")*2+COUNTIF(G10,"*叠3*")*3)*IF(D10="轻剑",$U$2,$U$3)*154/1024+COUNTIF(G10,"*雾锁*")*205/1024*IF(D10="轻剑",$U$2,$U$3))</f>
        <v>91975</v>
      </c>
      <c r="M10">
        <f ca="1">IF(D10="轻剑",$AU$2+$AV$2,$AU$3+$AV$3)/2</f>
        <v>12694.5</v>
      </c>
      <c r="N10">
        <f ca="1">IF(D10="轻剑",$AJ$2,$AJ$3)</f>
        <v>92028</v>
      </c>
      <c r="O10">
        <f ca="1" t="shared" ref="O10:O73" si="1">H10+I10*L10+J10*M10+IF(K10&gt;0,MAX(1,K10*N10*破招全局系数),0)</f>
        <v>487660.9375</v>
      </c>
      <c r="P10">
        <f ca="1">IF(G10="恒定伤害",0,(IF(D10="轻剑",$AZ$2,$AZ$3)+IFERROR(INDEX(技能数据库!$T$2:$W$27,MATCH(E10,技能数据库!$T$2:$T$27,0),4),0)+COUNTIF(G10,"*造化2*")*154+COUNTIF(G10,"*造化1*")*102+COUNTIF(G10,"*碧归*")*307)/1024)</f>
        <v>0.247180646929785</v>
      </c>
      <c r="Q10">
        <f ca="1" t="shared" ref="Q10:Q41" si="2">IF(G10="恒定伤害",0,(IF(COUNTIF(F10,"*内破*")&gt;0,内破,IF(D10="轻剑",$AF$2,$AF$3)/破防系数))+IF((IF(D10="轻剑",$AO$2,$AO$3)+INT(COUNTIF(G10,"*大莺鸣*")*IF(D10="轻剑",$AM$2,$AM$3)*听晓无双率)/无双系数)&gt;0.9,(特效裤子破防+特效裤子破防*IF(D10="轻剑",$AD$2,$AD$3)/1024)/破防系数,0))</f>
        <v>0.448284482196154</v>
      </c>
      <c r="R10">
        <f ca="1" t="shared" ref="R10:R73" si="3">IF(G10="恒定伤害",0,(($F$5-IF(D10="轻剑",$BB$2,$BB$3))*(1024-IF(D10="轻剑",$BD$2,$BD$3))/1024*(1024-IF(D10="轻剑",$BC$2,$BC$3)-COUNTIF(G10,"*雾锁*")*461*雾锁)/1024/(($F$5-IF(D10="轻剑",$BB$2,$BB$3))*(1024-IF(D10="轻剑",$BD$2,$BD$3))/1024*(1024-IF(D10="轻剑",$BC$2,$BC$3)-COUNTIF(G10,"*雾锁*")*461*雾锁)/1024+$F$7)))</f>
        <v>0.32958230397716</v>
      </c>
      <c r="S10">
        <f ca="1">O10*(1+P10)*(1+Q10)*(1-R10)</f>
        <v>590536.409153493</v>
      </c>
      <c r="T10">
        <f>1-($F$6-130)*0.05</f>
        <v>0.8</v>
      </c>
      <c r="U10">
        <f ca="1" t="shared" ref="U10:U41" si="4">IF(G10="恒定伤害",0,(IF(D10="轻剑",$AO$2,$AO$3)+INT(COUNTIF(G10,"*大莺鸣*")*IF(D10="轻剑",$AM$2,$AM$3)*听晓无双率)/无双系数)+IF((IF(D10="轻剑",$AO$2,$AO$3)+INT(COUNTIF(G10,"*大莺鸣*")*IF(D10="轻剑",$AM$2,$AM$3)*听晓无双率)/无双系数)&lt;=0.9,特效裤子无双,0))</f>
        <v>1.7995442148</v>
      </c>
      <c r="V10">
        <f ca="1">S10*T10*(1+U10)</f>
        <v>1322586.23029954</v>
      </c>
      <c r="W10">
        <f ca="1">IF(G10="恒定伤害",0,MIN(1,IF(COUNTIF(F10,"*内会*")&gt;0,内会,IF(D10="轻剑",$Y$2,$Y$3)+COUNTIF(G10,"*莺鸣*")*0.2+COUNTIF(G10,"*叠1*")*0.1+COUNTIF(G10,"*叠2*")*0.2+COUNTIF(G10,"*叠3*")*0.3)+IFERROR(INDEX(技能数据库!$T$2:$W$27,MATCH(E10,技能数据库!$T$2:$T$27,0),2),0)+IF((IF(D10="轻剑",$AO$2,$AO$3)+INT(COUNTIF(G10,"*大莺鸣*")*IF(D10="轻剑",$AM$2,$AM$3)*听晓无双率)/无双系数)&gt;0.9,特效裤子会心/会心系数,0)))</f>
        <v>0.7343</v>
      </c>
      <c r="X10">
        <f ca="1">IF(G10="恒定伤害",0,IF(COUNTIF(F10,"*内会*")&gt;0,内会效,IF(D10="轻剑",$AB$2,$AB$3))+IFERROR(INDEX(技能数据库!$T$2:$W$27,MATCH(E10,技能数据库!$T$2:$T$27,0),3)/1024,0))+COUNTIF(G10,"*叠1*")*0.25+COUNTIF(G10,"*叠2*")*0.5+COUNTIF(G10,"*叠3*")*0.75</f>
        <v>2.3217485021</v>
      </c>
      <c r="Y10">
        <f ca="1">1+W10*(X10-1)</f>
        <v>1.97055992509203</v>
      </c>
      <c r="Z10">
        <f t="shared" ref="Z10:Z73" si="5">IF(G10="恒定伤害",0,非侠士伤害/1024)</f>
        <v>0.150390625</v>
      </c>
      <c r="AA10">
        <f ca="1">IF(D10="轻剑",$BA$2,$BA$3)/1024</f>
        <v>0.0205078125</v>
      </c>
      <c r="AB10">
        <f ca="1">V10*Y10*(1+Z10)*(1+AA10)</f>
        <v>3059675.09074451</v>
      </c>
      <c r="AC10">
        <f ca="1">无穷技能数计算!AJ2</f>
        <v>0</v>
      </c>
      <c r="AD10" s="164">
        <f ca="1">IFERROR(AB10*AC10/$AD$7,0)</f>
        <v>0</v>
      </c>
      <c r="AE10" s="168">
        <f ca="1" t="shared" ref="AE10:AE73" si="6">IFERROR((delta攻击+INT((IF(D10="轻剑",$T$2,$T$3)+残雪*(COUNTIF(G10,"*莺鸣*")+COUNTIF(G10,"*叠1*")+COUNTIF(G10,"*叠2*")*2+COUNTIF(G10,"*叠3*")*3)*153+COUNTIF(G10,"*雾锁*")*205)/1024*delta攻击))*I10/O10,0)</f>
        <v>0.00440387948850219</v>
      </c>
      <c r="AF10" s="168">
        <f ca="1" t="shared" ref="AF10:AF73" si="7">IFERROR((delta武伤+INT((IF(D10="轻剑",$AW$2,$AW$3))/1024*delta武伤))*J10/O10,0)</f>
        <v>0.00122267328414017</v>
      </c>
      <c r="AG10">
        <f ca="1" t="shared" ref="AG10:AG73" si="8">IF(G10="恒定伤害",0,MAX(0,AH10*AI10*IF(AJ10=0,1,AJ10)-1))</f>
        <v>0.00374358688043253</v>
      </c>
      <c r="AH10">
        <f ca="1" t="shared" ref="AH10:AH73" si="9">IFERROR((delta身法+INT((IF(D10="轻剑",$N$2,$N$3))/1024*delta身法))*身法转额外攻击*I10/O10+1,0)</f>
        <v>1.00358199787009</v>
      </c>
      <c r="AI10">
        <f ca="1" t="shared" ref="AI10:AI73" si="10">IFERROR(((delta身法+INT((IF(D10="轻剑",$N$2,$N$3))/1024*delta身法))*身法转额外破防/破防系数+Q10+1)/(1+Q10),0)</f>
        <v>1.00016101226475</v>
      </c>
      <c r="AJ10">
        <f ca="1" t="shared" ref="AJ10:AJ73" si="11">IFERROR(((1+MIN(1,((delta身法+INT((IF(D10="轻剑",$N$2,$N$3))/1024*delta身法))*身法转基础会心/会心系数)+W10)*(X10-1))*AK10)/(Y10*AC10),0)</f>
        <v>0</v>
      </c>
      <c r="AK10">
        <f ca="1">AC10</f>
        <v>0</v>
      </c>
      <c r="AL10">
        <f ca="1" t="shared" ref="AL10:AL73" si="12">IF(G10="恒定伤害",0,IFERROR(((1+MIN(1,W10+delta会心/会心系数)*(X10-1))*AM10)/(Y10*AC10)-1,0))</f>
        <v>0</v>
      </c>
      <c r="AM10">
        <f ca="1">AC10</f>
        <v>0</v>
      </c>
      <c r="AN10" s="168">
        <f ca="1" t="shared" ref="AN10:AN73" si="13">IF(OR(COUNTIF(F10,"*内会*")&gt;0,G10="恒定伤害"),0,(1+W10*(MIN(3+COUNTIF(G10,"*叠*")*0.75,X10+delta会效/会效系数)-1))/Y10-1)</f>
        <v>0.00748399053993198</v>
      </c>
      <c r="AO10" s="168">
        <f ca="1" t="shared" ref="AO10:AO41" si="14">IF(OR(COUNTIF(F10,"*内破*")&gt;0,G10="恒定伤害"),0,IFERROR(((delta破防+INT((IF(D10="轻剑",$AD$2,$AD$3))/1024*delta破防))/破防系数+Q10+1)/(Q10+1)-1,0))</f>
        <v>0.00447057613551372</v>
      </c>
      <c r="AP10" s="172">
        <f ca="1" t="shared" ref="AP10:AP73" si="15">IFERROR((delta破招+INT((IF(D10="轻剑",$AI$2,$AI$3))/1024*delta破招))*K10*破招全局系数/MAX(1,O10),0)</f>
        <v>0</v>
      </c>
      <c r="AQ10" s="168">
        <f ca="1" t="shared" ref="AQ10:AQ73" si="16">IF(G10="恒定伤害",0,IFERROR(((delta无双+INT((IF(D10="轻剑",$AL$2,$AL$3)+COUNTIF(G10,"*大莺鸣*")*307)/1024*delta无双))/无双系数+U10+1)/(U10+1)-1,0))</f>
        <v>0.00401583628616287</v>
      </c>
      <c r="AR10">
        <f>IF($AR$8="综合属性收益",1,COUNTIF(D10,LEFT($AR$8,2)))</f>
        <v>1</v>
      </c>
      <c r="AX10" s="167" t="s">
        <v>2722</v>
      </c>
      <c r="AY10" s="167" t="s">
        <v>2813</v>
      </c>
      <c r="AZ10" s="164">
        <f ca="1">SUMIF($E$10:$E$1048576,AX10,$AD$10:$AD$1048576)</f>
        <v>0.00578076590294656</v>
      </c>
      <c r="BA10" s="173">
        <f ca="1">SUMIF($E$10:$E$1048576,AX10,$AC$10:$AC$1048576)</f>
        <v>4</v>
      </c>
      <c r="BB10" s="167" t="s">
        <v>2813</v>
      </c>
      <c r="BC10" s="164">
        <f ca="1">SUMIF($AY$10:$AY$100,BB10,$AZ$10:$AZ$100)</f>
        <v>0.00578076590294656</v>
      </c>
      <c r="BD10">
        <f ca="1">RANK(BC10,$BC$10:$BC$100)</f>
        <v>14</v>
      </c>
      <c r="BE10">
        <f ca="1">SUMIF($AY$10:$AY$100,BB10,$BA$10:$BA$100)</f>
        <v>4</v>
      </c>
      <c r="BF10">
        <f ca="1">COUNTIF(无穷技能数计算!$B$3:$B$515,"*听雷*")*无穷技能数计算!长时间循环比+无穷技能数计算!AN54</f>
        <v>4</v>
      </c>
      <c r="BH10">
        <v>1</v>
      </c>
      <c r="BI10" t="str">
        <f ca="1">INDEX($BB$10:$BC$100,MATCH(BH10,$BD$10:$BD$100,0),1)</f>
        <v>云飞玉皇</v>
      </c>
      <c r="BJ10" t="str">
        <f ca="1">CHOOSE($BJ$9+1,TEXT(ROUND(INDEX($BB$10:$BE$100,MATCH(BH10,$BD$10:$BD$100,0),2)*100,2),"0.00")&amp;"%",ROUND(INDEX($BB$10:$BE$100,MATCH(BH10,$BD$10:$BD$100,0),4),2)&amp;"")</f>
        <v>29.36%</v>
      </c>
      <c r="BK10">
        <f ca="1">CHOOSE($BJ$9+1,(ROUND(INDEX($BB$10:$BE$100,MATCH(BH10,$BD$10:$BD$100,0),4),2)),ROUND(INDEX($BB$10:$BE$100,MATCH(BH10,$BD$10:$BD$100,0),4),2)&amp;"")</f>
        <v>142</v>
      </c>
    </row>
    <row r="11" spans="2:63">
      <c r="D11" t="s">
        <v>1028</v>
      </c>
      <c r="E11" t="s">
        <v>2722</v>
      </c>
      <c r="G11" t="s">
        <v>2750</v>
      </c>
      <c r="H11">
        <f ca="1">INDEX(技能数据库!$B$2:$I$100,MATCH(无穷伤害与收益计算!$E11,技能数据库!$B$2:$B$100,0),MATCH(H$9,技能数据库!$B$2:$I$2,0))</f>
        <v>145.5</v>
      </c>
      <c r="I11">
        <f ca="1">INDEX(技能数据库!$B$2:$I$100,MATCH(无穷伤害与收益计算!$E11,技能数据库!$B$2:$B$100,0),MATCH(I$9,技能数据库!$B$2:$I$2,0))</f>
        <v>5.1625</v>
      </c>
      <c r="J11">
        <f ca="1">INDEX(技能数据库!$B$2:$I$100,MATCH(无穷伤害与收益计算!$E11,技能数据库!$B$2:$B$100,0),MATCH(J$9,技能数据库!$B$2:$I$2,0))</f>
        <v>1</v>
      </c>
      <c r="K11">
        <f ca="1">INDEX(技能数据库!$B$2:$I$100,MATCH(无穷伤害与收益计算!$E11,技能数据库!$B$2:$B$100,0),MATCH(K$9,技能数据库!$B$2:$I$2,0))</f>
        <v>0</v>
      </c>
      <c r="L11">
        <f ca="1" t="shared" si="0"/>
        <v>105847</v>
      </c>
      <c r="M11">
        <f ca="1">IF(D11="轻剑",$AU$2+$AV$2,$AU$3+$AV$3)/2</f>
        <v>12694.5</v>
      </c>
      <c r="N11">
        <f ca="1">IF(D11="轻剑",$AJ$2,$AJ$3)</f>
        <v>92028</v>
      </c>
      <c r="O11">
        <f ca="1" t="shared" si="1"/>
        <v>559275.1375</v>
      </c>
      <c r="P11">
        <f ca="1">IF(G11="恒定伤害",0,(IF(D11="轻剑",$AZ$2,$AZ$3)+IFERROR(INDEX(技能数据库!$T$2:$W$27,MATCH(E11,技能数据库!$T$2:$T$27,0),4),0)+COUNTIF(G11,"*造化2*")*154+COUNTIF(G11,"*造化1*")*102+COUNTIF(G11,"*碧归*")*307)/1024)</f>
        <v>0.247180646929785</v>
      </c>
      <c r="Q11">
        <f ca="1" t="shared" si="2"/>
        <v>0.448284482196154</v>
      </c>
      <c r="R11">
        <f ca="1" t="shared" si="3"/>
        <v>0.21277697966198</v>
      </c>
      <c r="S11">
        <f ca="1">O11*(1+P11)*(1+Q11)*(1-R11)</f>
        <v>795255.239652834</v>
      </c>
      <c r="T11">
        <f>1-($F$6-130)*0.05</f>
        <v>0.8</v>
      </c>
      <c r="U11">
        <f ca="1" t="shared" si="4"/>
        <v>1.7995442148</v>
      </c>
      <c r="V11">
        <f ca="1">S11*T11*(1+U11)</f>
        <v>1781081.76436758</v>
      </c>
      <c r="W11">
        <f ca="1">IF(G11="恒定伤害",0,MIN(1,IF(COUNTIF(F11,"*内会*")&gt;0,内会,IF(D11="轻剑",$Y$2,$Y$3)+COUNTIF(G11,"*莺鸣*")*0.2+COUNTIF(G11,"*叠1*")*0.1+COUNTIF(G11,"*叠2*")*0.2+COUNTIF(G11,"*叠3*")*0.3)+IFERROR(INDEX(技能数据库!$T$2:$W$27,MATCH(E11,技能数据库!$T$2:$T$27,0),2),0)+IF((IF(D11="轻剑",$AO$2,$AO$3)+INT(COUNTIF(G11,"*大莺鸣*")*IF(D11="轻剑",$AM$2,$AM$3)*听晓无双率)/无双系数)&gt;0.9,特效裤子会心/会心系数,0)))</f>
        <v>0.7343</v>
      </c>
      <c r="X11">
        <f ca="1">IF(G11="恒定伤害",0,IF(COUNTIF(F11,"*内会*")&gt;0,内会效,IF(D11="轻剑",$AB$2,$AB$3))+IFERROR(INDEX(技能数据库!$T$2:$W$27,MATCH(E11,技能数据库!$T$2:$T$27,0),3)/1024,0))+COUNTIF(G11,"*叠1*")*0.25+COUNTIF(G11,"*叠2*")*0.5+COUNTIF(G11,"*叠3*")*0.75</f>
        <v>2.3217485021</v>
      </c>
      <c r="Y11">
        <f ca="1">1+W11*(X11-1)</f>
        <v>1.97055992509203</v>
      </c>
      <c r="Z11">
        <f t="shared" si="5"/>
        <v>0.150390625</v>
      </c>
      <c r="AA11">
        <f ca="1">IF(D11="轻剑",$BA$2,$BA$3)/1024</f>
        <v>0.0205078125</v>
      </c>
      <c r="AB11">
        <f ca="1">V11*Y11*(1+Z11)*(1+AA11)</f>
        <v>4120360.08251845</v>
      </c>
      <c r="AC11">
        <f ca="1">无穷技能数计算!AJ3</f>
        <v>4</v>
      </c>
      <c r="AD11" s="164">
        <f ca="1">IFERROR(AB11*AC11/$AD$7,0)</f>
        <v>0.00578076590294656</v>
      </c>
      <c r="AE11" s="168">
        <f ca="1" t="shared" si="6"/>
        <v>0.00457842630274263</v>
      </c>
      <c r="AF11" s="168">
        <f ca="1" t="shared" si="7"/>
        <v>0.00106611211552382</v>
      </c>
      <c r="AG11">
        <f ca="1" t="shared" si="8"/>
        <v>0.00386077558827358</v>
      </c>
      <c r="AH11">
        <f ca="1" t="shared" si="9"/>
        <v>1.00312332932814</v>
      </c>
      <c r="AI11">
        <f ca="1" t="shared" si="10"/>
        <v>1.00016101226475</v>
      </c>
      <c r="AJ11">
        <f ca="1" t="shared" si="11"/>
        <v>1.00057404545102</v>
      </c>
      <c r="AK11">
        <f ca="1" t="shared" ref="AK11:AK74" si="17">AC11</f>
        <v>4</v>
      </c>
      <c r="AL11">
        <f ca="1" t="shared" si="12"/>
        <v>0.00496352538323674</v>
      </c>
      <c r="AM11">
        <f ca="1" t="shared" ref="AM11:AM74" si="18">AC11</f>
        <v>4</v>
      </c>
      <c r="AN11" s="168">
        <f ca="1" t="shared" si="13"/>
        <v>0.00748399053993198</v>
      </c>
      <c r="AO11" s="168">
        <f ca="1" t="shared" si="14"/>
        <v>0.00447057613551372</v>
      </c>
      <c r="AP11" s="172">
        <f ca="1" t="shared" si="15"/>
        <v>0</v>
      </c>
      <c r="AQ11" s="168">
        <f ca="1" t="shared" si="16"/>
        <v>0.00401583628616287</v>
      </c>
      <c r="AR11">
        <f t="shared" ref="AR11:AR74" si="19">IF($AR$8="综合属性收益",1,COUNTIF(D11,LEFT($AR$8,2)))</f>
        <v>1</v>
      </c>
      <c r="AX11" s="167" t="s">
        <v>2726</v>
      </c>
      <c r="AY11" s="167" t="s">
        <v>2726</v>
      </c>
      <c r="AZ11" s="164">
        <f ca="1" t="shared" ref="AZ11:AZ26" si="20">SUMIF($E$10:$E$1048576,AX11,$AD$10:$AD$1048576)</f>
        <v>0</v>
      </c>
      <c r="BA11">
        <f ca="1" t="shared" ref="BA11:BA37" si="21">SUMIF($E$10:$E$1048576,AX11,$AC$10:$AC$1048576)</f>
        <v>0</v>
      </c>
      <c r="BB11" s="167" t="s">
        <v>2726</v>
      </c>
      <c r="BC11" s="164">
        <f ca="1" t="shared" ref="BC11:BC23" si="22">SUMIF($AY$10:$AY$100,BB11,$AZ$10:$AZ$100)</f>
        <v>0</v>
      </c>
      <c r="BD11">
        <f ca="1" t="shared" ref="BD11:BD23" si="23">RANK(BC11,$BC$10:$BC$100)</f>
        <v>19</v>
      </c>
      <c r="BE11">
        <f ca="1" t="shared" ref="BE11:BE32" si="24">SUMIF($AY$10:$AY$100,BB11,$BA$10:$BA$100)</f>
        <v>0</v>
      </c>
      <c r="BF11">
        <f ca="1">COUNTIF(无穷技能数计算!$B$3:$B$515,"*黄龙*")*无穷技能数计算!长时间循环比+COUNTIF(无穷技能数计算!$B$3:$B$515,"*莺鸣*")*无穷技能数计算!长时间循环比</f>
        <v>0</v>
      </c>
      <c r="BH11">
        <v>2</v>
      </c>
      <c r="BI11" t="str">
        <f ca="1" t="shared" ref="BI11:BI16" si="25">INDEX($BB$10:$BC$100,MATCH(BH11,$BD$10:$BD$100,0),1)</f>
        <v>破</v>
      </c>
      <c r="BJ11" t="str">
        <f ca="1" t="shared" ref="BJ11:BJ16" si="26">CHOOSE($BJ$9+1,TEXT(ROUND(INDEX($BB$10:$BE$100,MATCH(BH11,$BD$10:$BD$100,0),2)*100,2),"0.00")&amp;"%",ROUND(INDEX($BB$10:$BE$100,MATCH(BH11,$BD$10:$BD$100,0),4),2)&amp;"")</f>
        <v>25.56%</v>
      </c>
      <c r="BK11">
        <f ca="1" t="shared" ref="BK11:BK16" si="27">CHOOSE($BJ$9+1,(ROUND(INDEX($BB$10:$BE$100,MATCH(BH11,$BD$10:$BD$100,0),4),2)),ROUND(INDEX($BB$10:$BE$100,MATCH(BH11,$BD$10:$BD$100,0),4),2)&amp;"")</f>
        <v>134</v>
      </c>
    </row>
    <row r="12" spans="2:63">
      <c r="D12" t="s">
        <v>1028</v>
      </c>
      <c r="E12" t="s">
        <v>2722</v>
      </c>
      <c r="G12" t="s">
        <v>2949</v>
      </c>
      <c r="H12">
        <f ca="1">INDEX(技能数据库!$B$2:$I$100,MATCH(无穷伤害与收益计算!$E12,技能数据库!$B$2:$B$100,0),MATCH(H$9,技能数据库!$B$2:$I$2,0))</f>
        <v>145.5</v>
      </c>
      <c r="I12">
        <f ca="1">INDEX(技能数据库!$B$2:$I$100,MATCH(无穷伤害与收益计算!$E12,技能数据库!$B$2:$B$100,0),MATCH(I$9,技能数据库!$B$2:$I$2,0))</f>
        <v>5.1625</v>
      </c>
      <c r="J12">
        <f ca="1">INDEX(技能数据库!$B$2:$I$100,MATCH(无穷伤害与收益计算!$E12,技能数据库!$B$2:$B$100,0),MATCH(J$9,技能数据库!$B$2:$I$2,0))</f>
        <v>1</v>
      </c>
      <c r="K12">
        <f ca="1">INDEX(技能数据库!$B$2:$I$100,MATCH(无穷伤害与收益计算!$E12,技能数据库!$B$2:$B$100,0),MATCH(K$9,技能数据库!$B$2:$I$2,0))</f>
        <v>0</v>
      </c>
      <c r="L12">
        <f ca="1" t="shared" si="0"/>
        <v>91975</v>
      </c>
      <c r="M12">
        <f ca="1" t="shared" ref="M12:M69" si="28">IF(D12="轻剑",$AU$2+$AV$2,$AU$3+$AV$3)/2</f>
        <v>12694.5</v>
      </c>
      <c r="N12">
        <f ca="1" t="shared" ref="N12:N69" si="29">IF(D12="轻剑",$AJ$2,$AJ$3)</f>
        <v>92028</v>
      </c>
      <c r="O12">
        <f ca="1" t="shared" si="1"/>
        <v>487660.9375</v>
      </c>
      <c r="P12">
        <f ca="1">IF(G12="恒定伤害",0,(IF(D12="轻剑",$AZ$2,$AZ$3)+IFERROR(INDEX(技能数据库!$T$2:$W$27,MATCH(E12,技能数据库!$T$2:$T$27,0),4),0)+COUNTIF(G12,"*造化2*")*154+COUNTIF(G12,"*造化1*")*102+COUNTIF(G12,"*碧归*")*307)/1024)</f>
        <v>0.247180646929785</v>
      </c>
      <c r="Q12">
        <f ca="1" t="shared" si="2"/>
        <v>0.448284482196154</v>
      </c>
      <c r="R12">
        <f ca="1" t="shared" si="3"/>
        <v>0.32958230397716</v>
      </c>
      <c r="S12">
        <f ca="1" t="shared" ref="S12:S69" si="30">O12*(1+P12)*(1+Q12)*(1-R12)</f>
        <v>590536.409153493</v>
      </c>
      <c r="T12">
        <f t="shared" ref="T12:T79" si="31">1-($F$6-130)*0.05</f>
        <v>0.8</v>
      </c>
      <c r="U12">
        <f ca="1" t="shared" si="4"/>
        <v>1.7995442148</v>
      </c>
      <c r="V12">
        <f ca="1" t="shared" ref="V12:V69" si="32">S12*T12*(1+U12)</f>
        <v>1322586.23029954</v>
      </c>
      <c r="W12">
        <f ca="1">IF(G12="恒定伤害",0,MIN(1,IF(COUNTIF(F12,"*内会*")&gt;0,内会,IF(D12="轻剑",$Y$2,$Y$3)+COUNTIF(G12,"*莺鸣*")*0.2+COUNTIF(G12,"*叠1*")*0.1+COUNTIF(G12,"*叠2*")*0.2+COUNTIF(G12,"*叠3*")*0.3)+IFERROR(INDEX(技能数据库!$T$2:$W$27,MATCH(E12,技能数据库!$T$2:$T$27,0),2),0)+IF((IF(D12="轻剑",$AO$2,$AO$3)+INT(COUNTIF(G12,"*大莺鸣*")*IF(D12="轻剑",$AM$2,$AM$3)*听晓无双率)/无双系数)&gt;0.9,特效裤子会心/会心系数,0)))</f>
        <v>0.9343</v>
      </c>
      <c r="X12">
        <f ca="1">IF(G12="恒定伤害",0,IF(COUNTIF(F12,"*内会*")&gt;0,内会效,IF(D12="轻剑",$AB$2,$AB$3))+IFERROR(INDEX(技能数据库!$T$2:$W$27,MATCH(E12,技能数据库!$T$2:$T$27,0),3)/1024,0))+COUNTIF(G12,"*叠1*")*0.25+COUNTIF(G12,"*叠2*")*0.5+COUNTIF(G12,"*叠3*")*0.75</f>
        <v>2.3217485021</v>
      </c>
      <c r="Y12">
        <f ca="1" t="shared" ref="Y12:Y69" si="33">1+W12*(X12-1)</f>
        <v>2.23490962551203</v>
      </c>
      <c r="Z12">
        <f t="shared" si="5"/>
        <v>0.150390625</v>
      </c>
      <c r="AA12">
        <f ca="1" t="shared" ref="AA12:AA69" si="34">IF(D12="轻剑",$BA$2,$BA$3)/1024</f>
        <v>0.0205078125</v>
      </c>
      <c r="AB12">
        <f ca="1" t="shared" ref="AB12:AB69" si="35">V12*Y12*(1+Z12)*(1+AA12)</f>
        <v>3470129.08573433</v>
      </c>
      <c r="AC12">
        <f ca="1">无穷技能数计算!AJ4</f>
        <v>0</v>
      </c>
      <c r="AD12" s="164">
        <f ca="1" t="shared" ref="AD12:AD75" si="36">IFERROR(AB12*AC12/$AD$7,0)</f>
        <v>0</v>
      </c>
      <c r="AE12" s="168">
        <f ca="1" t="shared" si="6"/>
        <v>0.00440387948850219</v>
      </c>
      <c r="AF12" s="168">
        <f ca="1" t="shared" si="7"/>
        <v>0.00122267328414017</v>
      </c>
      <c r="AG12">
        <f ca="1" t="shared" si="8"/>
        <v>0.00374358688043253</v>
      </c>
      <c r="AH12">
        <f ca="1" t="shared" si="9"/>
        <v>1.00358199787009</v>
      </c>
      <c r="AI12">
        <f ca="1" t="shared" si="10"/>
        <v>1.00016101226475</v>
      </c>
      <c r="AJ12">
        <f ca="1" t="shared" si="11"/>
        <v>0</v>
      </c>
      <c r="AK12">
        <f ca="1" t="shared" si="17"/>
        <v>0</v>
      </c>
      <c r="AL12">
        <f ca="1" t="shared" si="12"/>
        <v>0</v>
      </c>
      <c r="AM12">
        <f ca="1" t="shared" si="18"/>
        <v>0</v>
      </c>
      <c r="AN12" s="168">
        <f ca="1" t="shared" si="13"/>
        <v>0.00839606381672686</v>
      </c>
      <c r="AO12" s="168">
        <f ca="1" t="shared" si="14"/>
        <v>0.00447057613551372</v>
      </c>
      <c r="AP12" s="172">
        <f ca="1" t="shared" si="15"/>
        <v>0</v>
      </c>
      <c r="AQ12" s="168">
        <f ca="1" t="shared" si="16"/>
        <v>0.00401583628616287</v>
      </c>
      <c r="AR12">
        <f t="shared" si="19"/>
        <v>1</v>
      </c>
      <c r="AX12" s="167" t="s">
        <v>2741</v>
      </c>
      <c r="AY12" s="167" t="s">
        <v>2741</v>
      </c>
      <c r="AZ12" s="164">
        <f ca="1" t="shared" si="20"/>
        <v>0</v>
      </c>
      <c r="BA12">
        <f ca="1" t="shared" si="21"/>
        <v>0</v>
      </c>
      <c r="BB12" s="167" t="s">
        <v>2741</v>
      </c>
      <c r="BC12" s="164">
        <f ca="1" t="shared" si="22"/>
        <v>0</v>
      </c>
      <c r="BD12">
        <f ca="1" t="shared" si="23"/>
        <v>19</v>
      </c>
      <c r="BE12">
        <f ca="1" t="shared" si="24"/>
        <v>0</v>
      </c>
      <c r="BF12">
        <f ca="1">COUNTIF(无穷技能数计算!$B$3:$B$515,"*平湖*")*无穷技能数计算!长时间循环比</f>
        <v>0</v>
      </c>
      <c r="BH12">
        <v>3</v>
      </c>
      <c r="BI12" t="str">
        <f ca="1" t="shared" si="25"/>
        <v>夕照雷峰</v>
      </c>
      <c r="BJ12" t="str">
        <f ca="1" t="shared" si="26"/>
        <v>13.22%</v>
      </c>
      <c r="BK12">
        <f ca="1" t="shared" si="27"/>
        <v>63</v>
      </c>
    </row>
    <row r="13" spans="2:63">
      <c r="D13" t="s">
        <v>1028</v>
      </c>
      <c r="E13" t="s">
        <v>2722</v>
      </c>
      <c r="G13" t="s">
        <v>3014</v>
      </c>
      <c r="H13">
        <f ca="1">INDEX(技能数据库!$B$2:$I$100,MATCH(无穷伤害与收益计算!$E13,技能数据库!$B$2:$B$100,0),MATCH(H$9,技能数据库!$B$2:$I$2,0))</f>
        <v>145.5</v>
      </c>
      <c r="I13">
        <f ca="1">INDEX(技能数据库!$B$2:$I$100,MATCH(无穷伤害与收益计算!$E13,技能数据库!$B$2:$B$100,0),MATCH(I$9,技能数据库!$B$2:$I$2,0))</f>
        <v>5.1625</v>
      </c>
      <c r="J13">
        <f ca="1">INDEX(技能数据库!$B$2:$I$100,MATCH(无穷伤害与收益计算!$E13,技能数据库!$B$2:$B$100,0),MATCH(J$9,技能数据库!$B$2:$I$2,0))</f>
        <v>1</v>
      </c>
      <c r="K13">
        <f ca="1">INDEX(技能数据库!$B$2:$I$100,MATCH(无穷伤害与收益计算!$E13,技能数据库!$B$2:$B$100,0),MATCH(K$9,技能数据库!$B$2:$I$2,0))</f>
        <v>0</v>
      </c>
      <c r="L13">
        <f ca="1" t="shared" si="0"/>
        <v>105847</v>
      </c>
      <c r="M13">
        <f ca="1" t="shared" si="28"/>
        <v>12694.5</v>
      </c>
      <c r="N13">
        <f ca="1" t="shared" si="29"/>
        <v>92028</v>
      </c>
      <c r="O13">
        <f ca="1" t="shared" si="1"/>
        <v>559275.1375</v>
      </c>
      <c r="P13">
        <f ca="1">IF(G13="恒定伤害",0,(IF(D13="轻剑",$AZ$2,$AZ$3)+IFERROR(INDEX(技能数据库!$T$2:$W$27,MATCH(E13,技能数据库!$T$2:$T$27,0),4),0)+COUNTIF(G13,"*造化2*")*154+COUNTIF(G13,"*造化1*")*102+COUNTIF(G13,"*碧归*")*307)/1024)</f>
        <v>0.247180646929785</v>
      </c>
      <c r="Q13">
        <f ca="1" t="shared" si="2"/>
        <v>0.448284482196154</v>
      </c>
      <c r="R13">
        <f ca="1" t="shared" si="3"/>
        <v>0.21277697966198</v>
      </c>
      <c r="S13">
        <f ca="1" t="shared" si="30"/>
        <v>795255.239652834</v>
      </c>
      <c r="T13">
        <f t="shared" si="31"/>
        <v>0.8</v>
      </c>
      <c r="U13">
        <f ca="1" t="shared" si="4"/>
        <v>1.7995442148</v>
      </c>
      <c r="V13">
        <f ca="1" t="shared" si="32"/>
        <v>1781081.76436758</v>
      </c>
      <c r="W13">
        <f ca="1">IF(G13="恒定伤害",0,MIN(1,IF(COUNTIF(F13,"*内会*")&gt;0,内会,IF(D13="轻剑",$Y$2,$Y$3)+COUNTIF(G13,"*莺鸣*")*0.2+COUNTIF(G13,"*叠1*")*0.1+COUNTIF(G13,"*叠2*")*0.2+COUNTIF(G13,"*叠3*")*0.3)+IFERROR(INDEX(技能数据库!$T$2:$W$27,MATCH(E13,技能数据库!$T$2:$T$27,0),2),0)+IF((IF(D13="轻剑",$AO$2,$AO$3)+INT(COUNTIF(G13,"*大莺鸣*")*IF(D13="轻剑",$AM$2,$AM$3)*听晓无双率)/无双系数)&gt;0.9,特效裤子会心/会心系数,0)))</f>
        <v>0.9343</v>
      </c>
      <c r="X13">
        <f ca="1">IF(G13="恒定伤害",0,IF(COUNTIF(F13,"*内会*")&gt;0,内会效,IF(D13="轻剑",$AB$2,$AB$3))+IFERROR(INDEX(技能数据库!$T$2:$W$27,MATCH(E13,技能数据库!$T$2:$T$27,0),3)/1024,0))+COUNTIF(G13,"*叠1*")*0.25+COUNTIF(G13,"*叠2*")*0.5+COUNTIF(G13,"*叠3*")*0.75</f>
        <v>2.3217485021</v>
      </c>
      <c r="Y13">
        <f ca="1" t="shared" si="33"/>
        <v>2.23490962551203</v>
      </c>
      <c r="Z13">
        <f t="shared" si="5"/>
        <v>0.150390625</v>
      </c>
      <c r="AA13">
        <f ca="1" t="shared" si="34"/>
        <v>0.0205078125</v>
      </c>
      <c r="AB13">
        <f ca="1" t="shared" si="35"/>
        <v>4673104.4774322</v>
      </c>
      <c r="AC13">
        <f ca="1">无穷技能数计算!AJ5</f>
        <v>0</v>
      </c>
      <c r="AD13" s="164">
        <f ca="1" t="shared" si="36"/>
        <v>0</v>
      </c>
      <c r="AE13" s="168">
        <f ca="1" t="shared" si="6"/>
        <v>0.00457842630274263</v>
      </c>
      <c r="AF13" s="168">
        <f ca="1" t="shared" si="7"/>
        <v>0.00106611211552382</v>
      </c>
      <c r="AG13">
        <f ca="1" t="shared" si="8"/>
        <v>0.00328484448721733</v>
      </c>
      <c r="AH13">
        <f ca="1" t="shared" si="9"/>
        <v>1.00312332932814</v>
      </c>
      <c r="AI13">
        <f ca="1" t="shared" si="10"/>
        <v>1.00016101226475</v>
      </c>
      <c r="AJ13">
        <f ca="1" t="shared" si="11"/>
        <v>0</v>
      </c>
      <c r="AK13">
        <f ca="1" t="shared" si="17"/>
        <v>0</v>
      </c>
      <c r="AL13">
        <f ca="1" t="shared" si="12"/>
        <v>0</v>
      </c>
      <c r="AM13">
        <f ca="1" t="shared" si="18"/>
        <v>0</v>
      </c>
      <c r="AN13" s="168">
        <f ca="1" t="shared" si="13"/>
        <v>0.00839606381672686</v>
      </c>
      <c r="AO13" s="168">
        <f ca="1" t="shared" si="14"/>
        <v>0.00447057613551372</v>
      </c>
      <c r="AP13" s="172">
        <f ca="1" t="shared" si="15"/>
        <v>0</v>
      </c>
      <c r="AQ13" s="168">
        <f ca="1" t="shared" si="16"/>
        <v>0.00401583628616287</v>
      </c>
      <c r="AR13">
        <f t="shared" si="19"/>
        <v>1</v>
      </c>
      <c r="AX13" s="167" t="s">
        <v>2754</v>
      </c>
      <c r="AY13" s="167" t="s">
        <v>2754</v>
      </c>
      <c r="AZ13" s="164">
        <f ca="1" t="shared" si="20"/>
        <v>0.000506537160655518</v>
      </c>
      <c r="BA13">
        <f ca="1" t="shared" si="21"/>
        <v>8</v>
      </c>
      <c r="BB13" s="167" t="s">
        <v>2754</v>
      </c>
      <c r="BC13" s="164">
        <f ca="1" t="shared" si="22"/>
        <v>0.000506537160655518</v>
      </c>
      <c r="BD13">
        <f ca="1" t="shared" si="23"/>
        <v>17</v>
      </c>
      <c r="BE13">
        <f ca="1" t="shared" si="24"/>
        <v>8</v>
      </c>
      <c r="BF13">
        <f ca="1">(COUNTIFS(无穷技能数计算!$B$3:$B$515,"*听雷-轻*",无穷技能数计算!$I$3:$I$515,"=0")*2+COUNTIFS(无穷技能数计算!$B$3:$B$515,"*听雷-轻*",无穷技能数计算!$I$3:$I$515,"&gt;0")*1+BF12*2)*无穷技能数计算!长时间循环比</f>
        <v>8</v>
      </c>
      <c r="BH13">
        <v>4</v>
      </c>
      <c r="BI13" t="str">
        <f ca="1" t="shared" si="25"/>
        <v>断潮</v>
      </c>
      <c r="BJ13" t="str">
        <f ca="1" t="shared" si="26"/>
        <v>12.41%</v>
      </c>
      <c r="BK13">
        <f ca="1" t="shared" si="27"/>
        <v>138</v>
      </c>
    </row>
    <row r="14" spans="2:63">
      <c r="D14" t="s">
        <v>1028</v>
      </c>
      <c r="E14" t="s">
        <v>2726</v>
      </c>
      <c r="G14" t="s">
        <v>2750</v>
      </c>
      <c r="H14">
        <f ca="1">INDEX(技能数据库!$B$2:$I$100,MATCH(无穷伤害与收益计算!$E14,技能数据库!$B$2:$B$100,0),MATCH(H$9,技能数据库!$B$2:$I$2,0))</f>
        <v>122</v>
      </c>
      <c r="I14">
        <f ca="1">INDEX(技能数据库!$B$2:$I$100,MATCH(无穷伤害与收益计算!$E14,技能数据库!$B$2:$B$100,0),MATCH(I$9,技能数据库!$B$2:$I$2,0))</f>
        <v>0.7</v>
      </c>
      <c r="J14">
        <f ca="1">INDEX(技能数据库!$B$2:$I$100,MATCH(无穷伤害与收益计算!$E14,技能数据库!$B$2:$B$100,0),MATCH(J$9,技能数据库!$B$2:$I$2,0))</f>
        <v>1</v>
      </c>
      <c r="K14">
        <f ca="1">INDEX(技能数据库!$B$2:$I$100,MATCH(无穷伤害与收益计算!$E14,技能数据库!$B$2:$B$100,0),MATCH(K$9,技能数据库!$B$2:$I$2,0))</f>
        <v>0</v>
      </c>
      <c r="L14">
        <f ca="1" t="shared" si="0"/>
        <v>105847</v>
      </c>
      <c r="M14">
        <f ca="1" t="shared" si="28"/>
        <v>12694.5</v>
      </c>
      <c r="N14">
        <f ca="1" t="shared" si="29"/>
        <v>92028</v>
      </c>
      <c r="O14">
        <f ca="1" t="shared" si="1"/>
        <v>86909.4</v>
      </c>
      <c r="P14">
        <f ca="1">IF(G14="恒定伤害",0,(IF(D14="轻剑",$AZ$2,$AZ$3)+IFERROR(INDEX(技能数据库!$T$2:$W$27,MATCH(E14,技能数据库!$T$2:$T$27,0),4),0)+COUNTIF(G14,"*造化2*")*154+COUNTIF(G14,"*造化1*")*102+COUNTIF(G14,"*碧归*")*307)/1024)</f>
        <v>0.197375959429785</v>
      </c>
      <c r="Q14">
        <f ca="1" t="shared" si="2"/>
        <v>0.448284482196154</v>
      </c>
      <c r="R14">
        <f ca="1" t="shared" si="3"/>
        <v>0.21277697966198</v>
      </c>
      <c r="S14">
        <f ca="1" t="shared" si="30"/>
        <v>118644.865623013</v>
      </c>
      <c r="T14">
        <f t="shared" si="31"/>
        <v>0.8</v>
      </c>
      <c r="U14">
        <f ca="1" t="shared" si="4"/>
        <v>1.7995442148</v>
      </c>
      <c r="V14">
        <f ca="1" t="shared" si="32"/>
        <v>265721.237736503</v>
      </c>
      <c r="W14">
        <f ca="1">IF(G14="恒定伤害",0,MIN(1,IF(COUNTIF(F14,"*内会*")&gt;0,内会,IF(D14="轻剑",$Y$2,$Y$3)+COUNTIF(G14,"*莺鸣*")*0.2+COUNTIF(G14,"*叠1*")*0.1+COUNTIF(G14,"*叠2*")*0.2+COUNTIF(G14,"*叠3*")*0.3)+IFERROR(INDEX(技能数据库!$T$2:$W$27,MATCH(E14,技能数据库!$T$2:$T$27,0),2),0)+IF((IF(D14="轻剑",$AO$2,$AO$3)+INT(COUNTIF(G14,"*大莺鸣*")*IF(D14="轻剑",$AM$2,$AM$3)*听晓无双率)/无双系数)&gt;0.9,特效裤子会心/会心系数,0)))</f>
        <v>0.7743</v>
      </c>
      <c r="X14">
        <f ca="1">IF(G14="恒定伤害",0,IF(COUNTIF(F14,"*内会*")&gt;0,内会效,IF(D14="轻剑",$AB$2,$AB$3))+IFERROR(INDEX(技能数据库!$T$2:$W$27,MATCH(E14,技能数据库!$T$2:$T$27,0),3)/1024,0))+COUNTIF(G14,"*叠1*")*0.25+COUNTIF(G14,"*叠2*")*0.5+COUNTIF(G14,"*叠3*")*0.75</f>
        <v>2.3217485021</v>
      </c>
      <c r="Y14">
        <f ca="1" t="shared" si="33"/>
        <v>2.02342986517603</v>
      </c>
      <c r="Z14">
        <f t="shared" si="5"/>
        <v>0.150390625</v>
      </c>
      <c r="AA14">
        <f ca="1" t="shared" si="34"/>
        <v>0.0205078125</v>
      </c>
      <c r="AB14">
        <f ca="1" t="shared" si="35"/>
        <v>631213.22585645</v>
      </c>
      <c r="AC14">
        <f ca="1">无穷技能数计算!AJ6</f>
        <v>0</v>
      </c>
      <c r="AD14" s="164">
        <f ca="1" t="shared" si="36"/>
        <v>0</v>
      </c>
      <c r="AE14" s="168">
        <f ca="1" t="shared" si="6"/>
        <v>0.00399496487146385</v>
      </c>
      <c r="AF14" s="168">
        <f ca="1" t="shared" si="7"/>
        <v>0.00686059275521405</v>
      </c>
      <c r="AG14">
        <f ca="1" t="shared" si="8"/>
        <v>0.00288675232648883</v>
      </c>
      <c r="AH14">
        <f ca="1" t="shared" si="9"/>
        <v>1.00272530125481</v>
      </c>
      <c r="AI14">
        <f ca="1" t="shared" si="10"/>
        <v>1.00016101226475</v>
      </c>
      <c r="AJ14">
        <f ca="1" t="shared" si="11"/>
        <v>0</v>
      </c>
      <c r="AK14">
        <f ca="1" t="shared" si="17"/>
        <v>0</v>
      </c>
      <c r="AL14">
        <f ca="1" t="shared" si="12"/>
        <v>0</v>
      </c>
      <c r="AM14">
        <f ca="1" t="shared" si="18"/>
        <v>0</v>
      </c>
      <c r="AN14" s="168">
        <f ca="1" t="shared" si="13"/>
        <v>0.00768547035206302</v>
      </c>
      <c r="AO14" s="168">
        <f ca="1" t="shared" si="14"/>
        <v>0.00447057613551372</v>
      </c>
      <c r="AP14" s="172">
        <f ca="1" t="shared" si="15"/>
        <v>0</v>
      </c>
      <c r="AQ14" s="168">
        <f ca="1" t="shared" si="16"/>
        <v>0.00401583628616287</v>
      </c>
      <c r="AR14">
        <f t="shared" si="19"/>
        <v>1</v>
      </c>
      <c r="AX14" s="167" t="s">
        <v>2768</v>
      </c>
      <c r="AY14" s="167" t="s">
        <v>2768</v>
      </c>
      <c r="AZ14" s="164">
        <f ca="1" t="shared" si="20"/>
        <v>0.13216139225676</v>
      </c>
      <c r="BA14">
        <f ca="1" t="shared" si="21"/>
        <v>63</v>
      </c>
      <c r="BB14" s="167" t="s">
        <v>2768</v>
      </c>
      <c r="BC14" s="164">
        <f ca="1" t="shared" si="22"/>
        <v>0.13216139225676</v>
      </c>
      <c r="BD14">
        <f ca="1" t="shared" si="23"/>
        <v>3</v>
      </c>
      <c r="BE14" s="174">
        <f ca="1" t="shared" si="24"/>
        <v>63</v>
      </c>
      <c r="BF14" s="174">
        <f ca="1">COUNTIF(无穷技能数计算!$B$3:$B$515,"*夕照*")*无穷技能数计算!长时间循环比+无穷技能数计算!AN28</f>
        <v>63</v>
      </c>
      <c r="BH14">
        <v>5</v>
      </c>
      <c r="BI14" t="str">
        <f ca="1" t="shared" si="25"/>
        <v>风来吴山</v>
      </c>
      <c r="BJ14" t="str">
        <f ca="1" t="shared" si="26"/>
        <v>6.23%</v>
      </c>
      <c r="BK14">
        <f ca="1" t="shared" si="27"/>
        <v>32</v>
      </c>
    </row>
    <row r="15" spans="2:63">
      <c r="D15" t="s">
        <v>1028</v>
      </c>
      <c r="E15" t="s">
        <v>2726</v>
      </c>
      <c r="G15" t="s">
        <v>2949</v>
      </c>
      <c r="H15">
        <f ca="1">INDEX(技能数据库!$B$2:$I$100,MATCH(无穷伤害与收益计算!$E15,技能数据库!$B$2:$B$100,0),MATCH(H$9,技能数据库!$B$2:$I$2,0))</f>
        <v>122</v>
      </c>
      <c r="I15">
        <f ca="1">INDEX(技能数据库!$B$2:$I$100,MATCH(无穷伤害与收益计算!$E15,技能数据库!$B$2:$B$100,0),MATCH(I$9,技能数据库!$B$2:$I$2,0))</f>
        <v>0.7</v>
      </c>
      <c r="J15">
        <f ca="1">INDEX(技能数据库!$B$2:$I$100,MATCH(无穷伤害与收益计算!$E15,技能数据库!$B$2:$B$100,0),MATCH(J$9,技能数据库!$B$2:$I$2,0))</f>
        <v>1</v>
      </c>
      <c r="K15">
        <f ca="1">INDEX(技能数据库!$B$2:$I$100,MATCH(无穷伤害与收益计算!$E15,技能数据库!$B$2:$B$100,0),MATCH(K$9,技能数据库!$B$2:$I$2,0))</f>
        <v>0</v>
      </c>
      <c r="L15">
        <f ca="1" t="shared" si="0"/>
        <v>91975</v>
      </c>
      <c r="M15">
        <f ca="1" t="shared" si="28"/>
        <v>12694.5</v>
      </c>
      <c r="N15">
        <f ca="1" t="shared" si="29"/>
        <v>92028</v>
      </c>
      <c r="O15">
        <f ca="1" t="shared" si="1"/>
        <v>77199</v>
      </c>
      <c r="P15">
        <f ca="1">IF(G15="恒定伤害",0,(IF(D15="轻剑",$AZ$2,$AZ$3)+IFERROR(INDEX(技能数据库!$T$2:$W$27,MATCH(E15,技能数据库!$T$2:$T$27,0),4),0)+COUNTIF(G15,"*造化2*")*154+COUNTIF(G15,"*造化1*")*102+COUNTIF(G15,"*碧归*")*307)/1024)</f>
        <v>0.197375959429785</v>
      </c>
      <c r="Q15">
        <f ca="1" t="shared" si="2"/>
        <v>0.448284482196154</v>
      </c>
      <c r="R15">
        <f ca="1" t="shared" si="3"/>
        <v>0.32958230397716</v>
      </c>
      <c r="S15">
        <f ca="1" t="shared" si="30"/>
        <v>89751.4669338576</v>
      </c>
      <c r="T15">
        <f t="shared" si="31"/>
        <v>0.8</v>
      </c>
      <c r="U15">
        <f ca="1" t="shared" si="4"/>
        <v>1.7995442148</v>
      </c>
      <c r="V15">
        <f ca="1" t="shared" si="32"/>
        <v>201010.560019596</v>
      </c>
      <c r="W15">
        <f ca="1">IF(G15="恒定伤害",0,MIN(1,IF(COUNTIF(F15,"*内会*")&gt;0,内会,IF(D15="轻剑",$Y$2,$Y$3)+COUNTIF(G15,"*莺鸣*")*0.2+COUNTIF(G15,"*叠1*")*0.1+COUNTIF(G15,"*叠2*")*0.2+COUNTIF(G15,"*叠3*")*0.3)+IFERROR(INDEX(技能数据库!$T$2:$W$27,MATCH(E15,技能数据库!$T$2:$T$27,0),2),0)+IF((IF(D15="轻剑",$AO$2,$AO$3)+INT(COUNTIF(G15,"*大莺鸣*")*IF(D15="轻剑",$AM$2,$AM$3)*听晓无双率)/无双系数)&gt;0.9,特效裤子会心/会心系数,0)))</f>
        <v>0.9743</v>
      </c>
      <c r="X15">
        <f ca="1">IF(G15="恒定伤害",0,IF(COUNTIF(F15,"*内会*")&gt;0,内会效,IF(D15="轻剑",$AB$2,$AB$3))+IFERROR(INDEX(技能数据库!$T$2:$W$27,MATCH(E15,技能数据库!$T$2:$T$27,0),3)/1024,0))+COUNTIF(G15,"*叠1*")*0.25+COUNTIF(G15,"*叠2*")*0.5+COUNTIF(G15,"*叠3*")*0.75</f>
        <v>2.3217485021</v>
      </c>
      <c r="Y15">
        <f ca="1" t="shared" si="33"/>
        <v>2.28777956559603</v>
      </c>
      <c r="Z15">
        <f t="shared" si="5"/>
        <v>0.150390625</v>
      </c>
      <c r="AA15">
        <f ca="1" t="shared" si="34"/>
        <v>0.0205078125</v>
      </c>
      <c r="AB15">
        <f ca="1" t="shared" si="35"/>
        <v>539876.865481251</v>
      </c>
      <c r="AC15">
        <f ca="1">无穷技能数计算!AJ7</f>
        <v>0</v>
      </c>
      <c r="AD15" s="164">
        <f ca="1" t="shared" si="36"/>
        <v>0</v>
      </c>
      <c r="AE15" s="168">
        <f ca="1" t="shared" si="6"/>
        <v>0.00377206958639361</v>
      </c>
      <c r="AF15" s="168">
        <f ca="1" t="shared" si="7"/>
        <v>0.00772354564178292</v>
      </c>
      <c r="AG15">
        <f ca="1" t="shared" si="8"/>
        <v>0.00322960684915752</v>
      </c>
      <c r="AH15">
        <f ca="1" t="shared" si="9"/>
        <v>1.00306810058259</v>
      </c>
      <c r="AI15">
        <f ca="1" t="shared" si="10"/>
        <v>1.00016101226475</v>
      </c>
      <c r="AJ15">
        <f ca="1" t="shared" si="11"/>
        <v>0</v>
      </c>
      <c r="AK15">
        <f ca="1" t="shared" si="17"/>
        <v>0</v>
      </c>
      <c r="AL15">
        <f ca="1" t="shared" si="12"/>
        <v>0</v>
      </c>
      <c r="AM15">
        <f ca="1" t="shared" si="18"/>
        <v>0</v>
      </c>
      <c r="AN15" s="168">
        <f ca="1" t="shared" si="13"/>
        <v>0.00855318516486925</v>
      </c>
      <c r="AO15" s="168">
        <f ca="1" t="shared" si="14"/>
        <v>0.00447057613551372</v>
      </c>
      <c r="AP15" s="172">
        <f ca="1" t="shared" si="15"/>
        <v>0</v>
      </c>
      <c r="AQ15" s="168">
        <f ca="1" t="shared" si="16"/>
        <v>0.00401583628616287</v>
      </c>
      <c r="AR15">
        <f t="shared" si="19"/>
        <v>1</v>
      </c>
      <c r="AX15" s="167" t="s">
        <v>2772</v>
      </c>
      <c r="AY15" s="167" t="s">
        <v>2247</v>
      </c>
      <c r="AZ15" s="164">
        <f ca="1" t="shared" si="20"/>
        <v>0.0275940059243954</v>
      </c>
      <c r="BA15">
        <f ca="1" t="shared" si="21"/>
        <v>63</v>
      </c>
      <c r="BB15" s="167" t="s">
        <v>2247</v>
      </c>
      <c r="BC15" s="164">
        <f ca="1" t="shared" si="22"/>
        <v>0.255595325624562</v>
      </c>
      <c r="BD15">
        <f ca="1" t="shared" si="23"/>
        <v>2</v>
      </c>
      <c r="BE15">
        <f ca="1" t="shared" si="24"/>
        <v>134</v>
      </c>
      <c r="BF15">
        <f ca="1">BF17+BF14</f>
        <v>134</v>
      </c>
      <c r="BH15">
        <v>6</v>
      </c>
      <c r="BI15" t="str">
        <f ca="1" t="shared" si="25"/>
        <v>九皋鹤野·落剑</v>
      </c>
      <c r="BJ15" t="str">
        <f ca="1" t="shared" si="26"/>
        <v>4.10%</v>
      </c>
      <c r="BK15">
        <f ca="1" t="shared" si="27"/>
        <v>57</v>
      </c>
    </row>
    <row r="16" spans="2:63">
      <c r="D16" t="s">
        <v>1028</v>
      </c>
      <c r="E16" t="s">
        <v>2726</v>
      </c>
      <c r="G16" t="s">
        <v>3014</v>
      </c>
      <c r="H16">
        <f ca="1">INDEX(技能数据库!$B$2:$I$100,MATCH(无穷伤害与收益计算!$E16,技能数据库!$B$2:$B$100,0),MATCH(H$9,技能数据库!$B$2:$I$2,0))</f>
        <v>122</v>
      </c>
      <c r="I16">
        <f ca="1">INDEX(技能数据库!$B$2:$I$100,MATCH(无穷伤害与收益计算!$E16,技能数据库!$B$2:$B$100,0),MATCH(I$9,技能数据库!$B$2:$I$2,0))</f>
        <v>0.7</v>
      </c>
      <c r="J16">
        <f ca="1">INDEX(技能数据库!$B$2:$I$100,MATCH(无穷伤害与收益计算!$E16,技能数据库!$B$2:$B$100,0),MATCH(J$9,技能数据库!$B$2:$I$2,0))</f>
        <v>1</v>
      </c>
      <c r="K16">
        <f ca="1">INDEX(技能数据库!$B$2:$I$100,MATCH(无穷伤害与收益计算!$E16,技能数据库!$B$2:$B$100,0),MATCH(K$9,技能数据库!$B$2:$I$2,0))</f>
        <v>0</v>
      </c>
      <c r="L16">
        <f ca="1" t="shared" si="0"/>
        <v>105847</v>
      </c>
      <c r="M16">
        <f ca="1" t="shared" si="28"/>
        <v>12694.5</v>
      </c>
      <c r="N16">
        <f ca="1" t="shared" si="29"/>
        <v>92028</v>
      </c>
      <c r="O16">
        <f ca="1" t="shared" si="1"/>
        <v>86909.4</v>
      </c>
      <c r="P16">
        <f ca="1">IF(G16="恒定伤害",0,(IF(D16="轻剑",$AZ$2,$AZ$3)+IFERROR(INDEX(技能数据库!$T$2:$W$27,MATCH(E16,技能数据库!$T$2:$T$27,0),4),0)+COUNTIF(G16,"*造化2*")*154+COUNTIF(G16,"*造化1*")*102+COUNTIF(G16,"*碧归*")*307)/1024)</f>
        <v>0.197375959429785</v>
      </c>
      <c r="Q16">
        <f ca="1" t="shared" si="2"/>
        <v>0.448284482196154</v>
      </c>
      <c r="R16">
        <f ca="1" t="shared" si="3"/>
        <v>0.21277697966198</v>
      </c>
      <c r="S16">
        <f ca="1" t="shared" si="30"/>
        <v>118644.865623013</v>
      </c>
      <c r="T16">
        <f t="shared" si="31"/>
        <v>0.8</v>
      </c>
      <c r="U16">
        <f ca="1" t="shared" si="4"/>
        <v>1.7995442148</v>
      </c>
      <c r="V16">
        <f ca="1" t="shared" si="32"/>
        <v>265721.237736503</v>
      </c>
      <c r="W16">
        <f ca="1">IF(G16="恒定伤害",0,MIN(1,IF(COUNTIF(F16,"*内会*")&gt;0,内会,IF(D16="轻剑",$Y$2,$Y$3)+COUNTIF(G16,"*莺鸣*")*0.2+COUNTIF(G16,"*叠1*")*0.1+COUNTIF(G16,"*叠2*")*0.2+COUNTIF(G16,"*叠3*")*0.3)+IFERROR(INDEX(技能数据库!$T$2:$W$27,MATCH(E16,技能数据库!$T$2:$T$27,0),2),0)+IF((IF(D16="轻剑",$AO$2,$AO$3)+INT(COUNTIF(G16,"*大莺鸣*")*IF(D16="轻剑",$AM$2,$AM$3)*听晓无双率)/无双系数)&gt;0.9,特效裤子会心/会心系数,0)))</f>
        <v>0.9743</v>
      </c>
      <c r="X16">
        <f ca="1">IF(G16="恒定伤害",0,IF(COUNTIF(F16,"*内会*")&gt;0,内会效,IF(D16="轻剑",$AB$2,$AB$3))+IFERROR(INDEX(技能数据库!$T$2:$W$27,MATCH(E16,技能数据库!$T$2:$T$27,0),3)/1024,0))+COUNTIF(G16,"*叠1*")*0.25+COUNTIF(G16,"*叠2*")*0.5+COUNTIF(G16,"*叠3*")*0.75</f>
        <v>2.3217485021</v>
      </c>
      <c r="Y16">
        <f ca="1" t="shared" si="33"/>
        <v>2.28777956559603</v>
      </c>
      <c r="Z16">
        <f t="shared" si="5"/>
        <v>0.150390625</v>
      </c>
      <c r="AA16">
        <f ca="1" t="shared" si="34"/>
        <v>0.0205078125</v>
      </c>
      <c r="AB16">
        <f ca="1" t="shared" si="35"/>
        <v>713677.673983877</v>
      </c>
      <c r="AC16">
        <f ca="1">无穷技能数计算!AJ8</f>
        <v>0</v>
      </c>
      <c r="AD16" s="164">
        <f ca="1" t="shared" si="36"/>
        <v>0</v>
      </c>
      <c r="AE16" s="168">
        <f ca="1" t="shared" si="6"/>
        <v>0.00399496487146385</v>
      </c>
      <c r="AF16" s="168">
        <f ca="1" t="shared" si="7"/>
        <v>0.00686059275521405</v>
      </c>
      <c r="AG16">
        <f ca="1" t="shared" si="8"/>
        <v>0.00288675232648883</v>
      </c>
      <c r="AH16">
        <f ca="1" t="shared" si="9"/>
        <v>1.00272530125481</v>
      </c>
      <c r="AI16">
        <f ca="1" t="shared" si="10"/>
        <v>1.00016101226475</v>
      </c>
      <c r="AJ16">
        <f ca="1" t="shared" si="11"/>
        <v>0</v>
      </c>
      <c r="AK16">
        <f ca="1" t="shared" si="17"/>
        <v>0</v>
      </c>
      <c r="AL16">
        <f ca="1" t="shared" si="12"/>
        <v>0</v>
      </c>
      <c r="AM16">
        <f ca="1" t="shared" si="18"/>
        <v>0</v>
      </c>
      <c r="AN16" s="168">
        <f ca="1" t="shared" si="13"/>
        <v>0.00855318516486925</v>
      </c>
      <c r="AO16" s="168">
        <f ca="1" t="shared" si="14"/>
        <v>0.00447057613551372</v>
      </c>
      <c r="AP16" s="172">
        <f ca="1" t="shared" si="15"/>
        <v>0</v>
      </c>
      <c r="AQ16" s="168">
        <f ca="1" t="shared" si="16"/>
        <v>0.00401583628616287</v>
      </c>
      <c r="AR16">
        <f t="shared" si="19"/>
        <v>1</v>
      </c>
      <c r="AX16" s="167" t="s">
        <v>2776</v>
      </c>
      <c r="AY16" s="167" t="s">
        <v>2776</v>
      </c>
      <c r="AZ16" s="164">
        <f ca="1" t="shared" si="20"/>
        <v>0.196356219175916</v>
      </c>
      <c r="BA16">
        <f ca="1" t="shared" si="21"/>
        <v>64</v>
      </c>
      <c r="BB16" s="167" t="s">
        <v>2776</v>
      </c>
      <c r="BC16" s="164">
        <f ca="1" t="shared" si="22"/>
        <v>0.293579150206085</v>
      </c>
      <c r="BD16">
        <f ca="1" t="shared" si="23"/>
        <v>1</v>
      </c>
      <c r="BE16">
        <f ca="1" t="shared" si="24"/>
        <v>142</v>
      </c>
      <c r="BF16">
        <f ca="1">COUNTIF(无穷技能数计算!$B$3:$B$515,"*云飞*")*2*无穷技能数计算!长时间循环比+无穷技能数计算!AN27*2</f>
        <v>142</v>
      </c>
      <c r="BH16">
        <v>7</v>
      </c>
      <c r="BI16" t="str">
        <f ca="1" t="shared" si="25"/>
        <v>玉山揽云</v>
      </c>
      <c r="BJ16" t="str">
        <f ca="1" t="shared" si="26"/>
        <v>1.96%</v>
      </c>
      <c r="BK16">
        <f ca="1" t="shared" si="27"/>
        <v>20</v>
      </c>
    </row>
    <row r="17" spans="4:58">
      <c r="D17" t="s">
        <v>1028</v>
      </c>
      <c r="E17" t="s">
        <v>2741</v>
      </c>
      <c r="H17">
        <f ca="1">INDEX(技能数据库!$B$2:$I$100,MATCH(无穷伤害与收益计算!$E17,技能数据库!$B$2:$B$100,0),MATCH(H$9,技能数据库!$B$2:$I$2,0))</f>
        <v>68.5</v>
      </c>
      <c r="I17">
        <f ca="1">INDEX(技能数据库!$B$2:$I$100,MATCH(无穷伤害与收益计算!$E17,技能数据库!$B$2:$B$100,0),MATCH(I$9,技能数据库!$B$2:$I$2,0))</f>
        <v>0.325</v>
      </c>
      <c r="J17">
        <f ca="1">INDEX(技能数据库!$B$2:$I$100,MATCH(无穷伤害与收益计算!$E17,技能数据库!$B$2:$B$100,0),MATCH(J$9,技能数据库!$B$2:$I$2,0))</f>
        <v>1</v>
      </c>
      <c r="K17">
        <f ca="1">INDEX(技能数据库!$B$2:$I$100,MATCH(无穷伤害与收益计算!$E17,技能数据库!$B$2:$B$100,0),MATCH(K$9,技能数据库!$B$2:$I$2,0))</f>
        <v>0</v>
      </c>
      <c r="L17">
        <f ca="1" t="shared" si="0"/>
        <v>91975</v>
      </c>
      <c r="M17">
        <f ca="1" t="shared" si="28"/>
        <v>12694.5</v>
      </c>
      <c r="N17">
        <f ca="1" t="shared" si="29"/>
        <v>92028</v>
      </c>
      <c r="O17">
        <f ca="1" t="shared" si="1"/>
        <v>42654.875</v>
      </c>
      <c r="P17">
        <f ca="1">IF(G17="恒定伤害",0,(IF(D17="轻剑",$AZ$2,$AZ$3)+IFERROR(INDEX(技能数据库!$T$2:$W$27,MATCH(E17,技能数据库!$T$2:$T$27,0),4),0)+COUNTIF(G17,"*造化2*")*154+COUNTIF(G17,"*造化1*")*102+COUNTIF(G17,"*碧归*")*307)/1024)</f>
        <v>0.167102521929785</v>
      </c>
      <c r="Q17">
        <f ca="1" t="shared" si="2"/>
        <v>0.448284482196154</v>
      </c>
      <c r="R17">
        <f ca="1" t="shared" si="3"/>
        <v>0.32958230397716</v>
      </c>
      <c r="S17">
        <f ca="1" t="shared" si="30"/>
        <v>48336.7033825253</v>
      </c>
      <c r="T17">
        <f t="shared" si="31"/>
        <v>0.8</v>
      </c>
      <c r="U17">
        <f ca="1" t="shared" si="4"/>
        <v>1.7995442148</v>
      </c>
      <c r="V17">
        <f ca="1" t="shared" si="32"/>
        <v>108256.590653642</v>
      </c>
      <c r="W17">
        <f ca="1">IF(G17="恒定伤害",0,MIN(1,IF(COUNTIF(F17,"*内会*")&gt;0,内会,IF(D17="轻剑",$Y$2,$Y$3)+COUNTIF(G17,"*莺鸣*")*0.2+COUNTIF(G17,"*叠1*")*0.1+COUNTIF(G17,"*叠2*")*0.2+COUNTIF(G17,"*叠3*")*0.3)+IFERROR(INDEX(技能数据库!$T$2:$W$27,MATCH(E17,技能数据库!$T$2:$T$27,0),2),0)+IF((IF(D17="轻剑",$AO$2,$AO$3)+INT(COUNTIF(G17,"*大莺鸣*")*IF(D17="轻剑",$AM$2,$AM$3)*听晓无双率)/无双系数)&gt;0.9,特效裤子会心/会心系数,0)))</f>
        <v>0.7343</v>
      </c>
      <c r="X17">
        <f ca="1">IF(G17="恒定伤害",0,IF(COUNTIF(F17,"*内会*")&gt;0,内会效,IF(D17="轻剑",$AB$2,$AB$3))+IFERROR(INDEX(技能数据库!$T$2:$W$27,MATCH(E17,技能数据库!$T$2:$T$27,0),3)/1024,0))+COUNTIF(G17,"*叠1*")*0.25+COUNTIF(G17,"*叠2*")*0.5+COUNTIF(G17,"*叠3*")*0.75</f>
        <v>2.3217485021</v>
      </c>
      <c r="Y17">
        <f ca="1" t="shared" si="33"/>
        <v>1.97055992509203</v>
      </c>
      <c r="Z17">
        <f t="shared" si="5"/>
        <v>0.150390625</v>
      </c>
      <c r="AA17">
        <f ca="1" t="shared" si="34"/>
        <v>0.0205078125</v>
      </c>
      <c r="AB17">
        <f ca="1" t="shared" si="35"/>
        <v>250441.132868029</v>
      </c>
      <c r="AC17">
        <f ca="1">无穷技能数计算!AJ9</f>
        <v>0</v>
      </c>
      <c r="AD17" s="164">
        <f ca="1" t="shared" si="36"/>
        <v>0</v>
      </c>
      <c r="AE17" s="168">
        <f ca="1" t="shared" si="6"/>
        <v>0.00316962598061769</v>
      </c>
      <c r="AF17" s="168">
        <f ca="1" t="shared" si="7"/>
        <v>0.0139784725661487</v>
      </c>
      <c r="AG17">
        <f ca="1" t="shared" si="8"/>
        <v>0.00273951642432468</v>
      </c>
      <c r="AH17">
        <f ca="1" t="shared" si="9"/>
        <v>1.00257808905562</v>
      </c>
      <c r="AI17">
        <f ca="1" t="shared" si="10"/>
        <v>1.00016101226475</v>
      </c>
      <c r="AJ17">
        <f ca="1" t="shared" si="11"/>
        <v>0</v>
      </c>
      <c r="AK17">
        <f ca="1" t="shared" si="17"/>
        <v>0</v>
      </c>
      <c r="AL17">
        <f ca="1" t="shared" si="12"/>
        <v>0</v>
      </c>
      <c r="AM17">
        <f ca="1" t="shared" si="18"/>
        <v>0</v>
      </c>
      <c r="AN17" s="168">
        <f ca="1" t="shared" si="13"/>
        <v>0.00748399053993198</v>
      </c>
      <c r="AO17" s="168">
        <f ca="1" t="shared" si="14"/>
        <v>0.00447057613551372</v>
      </c>
      <c r="AP17" s="172">
        <f ca="1" t="shared" si="15"/>
        <v>0</v>
      </c>
      <c r="AQ17" s="168">
        <f ca="1" t="shared" si="16"/>
        <v>0.00401583628616287</v>
      </c>
      <c r="AR17">
        <f t="shared" si="19"/>
        <v>1</v>
      </c>
      <c r="AX17" s="167" t="s">
        <v>2780</v>
      </c>
      <c r="AY17" s="167" t="s">
        <v>2776</v>
      </c>
      <c r="AZ17" s="164">
        <f ca="1" t="shared" si="20"/>
        <v>0.0736150665692295</v>
      </c>
      <c r="BA17">
        <f ca="1" t="shared" si="21"/>
        <v>71</v>
      </c>
      <c r="BB17" s="167" t="s">
        <v>2786</v>
      </c>
      <c r="BC17" s="164">
        <f ca="1" t="shared" si="22"/>
        <v>0</v>
      </c>
      <c r="BD17">
        <f ca="1" t="shared" si="23"/>
        <v>19</v>
      </c>
      <c r="BE17">
        <f ca="1" t="shared" si="24"/>
        <v>71</v>
      </c>
      <c r="BF17">
        <f ca="1">COUNTIF(无穷技能数计算!$B$3:$B$515,"*云飞*")*无穷技能数计算!长时间循环比+无穷技能数计算!AN27</f>
        <v>71</v>
      </c>
    </row>
    <row r="18" spans="4:58">
      <c r="D18" t="s">
        <v>1028</v>
      </c>
      <c r="E18" t="s">
        <v>2741</v>
      </c>
      <c r="G18" t="s">
        <v>2949</v>
      </c>
      <c r="H18">
        <f ca="1">INDEX(技能数据库!$B$2:$I$100,MATCH(无穷伤害与收益计算!$E18,技能数据库!$B$2:$B$100,0),MATCH(H$9,技能数据库!$B$2:$I$2,0))</f>
        <v>68.5</v>
      </c>
      <c r="I18">
        <f ca="1">INDEX(技能数据库!$B$2:$I$100,MATCH(无穷伤害与收益计算!$E18,技能数据库!$B$2:$B$100,0),MATCH(I$9,技能数据库!$B$2:$I$2,0))</f>
        <v>0.325</v>
      </c>
      <c r="J18">
        <f ca="1">INDEX(技能数据库!$B$2:$I$100,MATCH(无穷伤害与收益计算!$E18,技能数据库!$B$2:$B$100,0),MATCH(J$9,技能数据库!$B$2:$I$2,0))</f>
        <v>1</v>
      </c>
      <c r="K18">
        <f ca="1">INDEX(技能数据库!$B$2:$I$100,MATCH(无穷伤害与收益计算!$E18,技能数据库!$B$2:$B$100,0),MATCH(K$9,技能数据库!$B$2:$I$2,0))</f>
        <v>0</v>
      </c>
      <c r="L18">
        <f ca="1" t="shared" si="0"/>
        <v>91975</v>
      </c>
      <c r="M18">
        <f ca="1" t="shared" si="28"/>
        <v>12694.5</v>
      </c>
      <c r="N18">
        <f ca="1" t="shared" si="29"/>
        <v>92028</v>
      </c>
      <c r="O18">
        <f ca="1" t="shared" si="1"/>
        <v>42654.875</v>
      </c>
      <c r="P18">
        <f ca="1">IF(G18="恒定伤害",0,(IF(D18="轻剑",$AZ$2,$AZ$3)+IFERROR(INDEX(技能数据库!$T$2:$W$27,MATCH(E18,技能数据库!$T$2:$T$27,0),4),0)+COUNTIF(G18,"*造化2*")*154+COUNTIF(G18,"*造化1*")*102+COUNTIF(G18,"*碧归*")*307)/1024)</f>
        <v>0.167102521929785</v>
      </c>
      <c r="Q18">
        <f ca="1" t="shared" si="2"/>
        <v>0.448284482196154</v>
      </c>
      <c r="R18">
        <f ca="1" t="shared" si="3"/>
        <v>0.32958230397716</v>
      </c>
      <c r="S18">
        <f ca="1" t="shared" si="30"/>
        <v>48336.7033825253</v>
      </c>
      <c r="T18">
        <f t="shared" si="31"/>
        <v>0.8</v>
      </c>
      <c r="U18">
        <f ca="1" t="shared" si="4"/>
        <v>1.7995442148</v>
      </c>
      <c r="V18">
        <f ca="1" t="shared" si="32"/>
        <v>108256.590653642</v>
      </c>
      <c r="W18">
        <f ca="1">IF(G18="恒定伤害",0,MIN(1,IF(COUNTIF(F18,"*内会*")&gt;0,内会,IF(D18="轻剑",$Y$2,$Y$3)+COUNTIF(G18,"*莺鸣*")*0.2+COUNTIF(G18,"*叠1*")*0.1+COUNTIF(G18,"*叠2*")*0.2+COUNTIF(G18,"*叠3*")*0.3)+IFERROR(INDEX(技能数据库!$T$2:$W$27,MATCH(E18,技能数据库!$T$2:$T$27,0),2),0)+IF((IF(D18="轻剑",$AO$2,$AO$3)+INT(COUNTIF(G18,"*大莺鸣*")*IF(D18="轻剑",$AM$2,$AM$3)*听晓无双率)/无双系数)&gt;0.9,特效裤子会心/会心系数,0)))</f>
        <v>0.9343</v>
      </c>
      <c r="X18">
        <f ca="1">IF(G18="恒定伤害",0,IF(COUNTIF(F18,"*内会*")&gt;0,内会效,IF(D18="轻剑",$AB$2,$AB$3))+IFERROR(INDEX(技能数据库!$T$2:$W$27,MATCH(E18,技能数据库!$T$2:$T$27,0),3)/1024,0))+COUNTIF(G18,"*叠1*")*0.25+COUNTIF(G18,"*叠2*")*0.5+COUNTIF(G18,"*叠3*")*0.75</f>
        <v>2.3217485021</v>
      </c>
      <c r="Y18">
        <f ca="1" t="shared" si="33"/>
        <v>2.23490962551203</v>
      </c>
      <c r="Z18">
        <f t="shared" si="5"/>
        <v>0.150390625</v>
      </c>
      <c r="AA18">
        <f ca="1" t="shared" si="34"/>
        <v>0.0205078125</v>
      </c>
      <c r="AB18">
        <f ca="1" t="shared" si="35"/>
        <v>284037.694740369</v>
      </c>
      <c r="AC18">
        <f ca="1">无穷技能数计算!AJ10</f>
        <v>0</v>
      </c>
      <c r="AD18" s="164">
        <f ca="1" t="shared" si="36"/>
        <v>0</v>
      </c>
      <c r="AE18" s="168">
        <f ca="1" t="shared" si="6"/>
        <v>0.00316962598061769</v>
      </c>
      <c r="AF18" s="168">
        <f ca="1" t="shared" si="7"/>
        <v>0.0139784725661487</v>
      </c>
      <c r="AG18">
        <f ca="1" t="shared" si="8"/>
        <v>0.00273951642432468</v>
      </c>
      <c r="AH18">
        <f ca="1" t="shared" si="9"/>
        <v>1.00257808905562</v>
      </c>
      <c r="AI18">
        <f ca="1" t="shared" si="10"/>
        <v>1.00016101226475</v>
      </c>
      <c r="AJ18">
        <f ca="1" t="shared" si="11"/>
        <v>0</v>
      </c>
      <c r="AK18">
        <f ca="1" t="shared" si="17"/>
        <v>0</v>
      </c>
      <c r="AL18">
        <f ca="1" t="shared" si="12"/>
        <v>0</v>
      </c>
      <c r="AM18">
        <f ca="1" t="shared" si="18"/>
        <v>0</v>
      </c>
      <c r="AN18" s="168">
        <f ca="1" t="shared" si="13"/>
        <v>0.00839606381672686</v>
      </c>
      <c r="AO18" s="168">
        <f ca="1" t="shared" si="14"/>
        <v>0.00447057613551372</v>
      </c>
      <c r="AP18" s="172">
        <f ca="1" t="shared" si="15"/>
        <v>0</v>
      </c>
      <c r="AQ18" s="168">
        <f ca="1" t="shared" si="16"/>
        <v>0.00401583628616287</v>
      </c>
      <c r="AR18">
        <f t="shared" si="19"/>
        <v>1</v>
      </c>
      <c r="AX18" s="167" t="s">
        <v>2783</v>
      </c>
      <c r="AY18" s="167" t="s">
        <v>2247</v>
      </c>
      <c r="AZ18" s="164">
        <f ca="1" t="shared" si="20"/>
        <v>0.228001319700166</v>
      </c>
      <c r="BA18">
        <f ca="1" t="shared" si="21"/>
        <v>71</v>
      </c>
      <c r="BB18" s="167" t="s">
        <v>2723</v>
      </c>
      <c r="BC18" s="164">
        <f ca="1" t="shared" si="22"/>
        <v>0.124089372828329</v>
      </c>
      <c r="BD18">
        <f ca="1" t="shared" si="23"/>
        <v>4</v>
      </c>
      <c r="BE18">
        <f ca="1" t="shared" si="24"/>
        <v>138</v>
      </c>
      <c r="BF18">
        <f ca="1">(COUNTIFS(无穷技能数计算!$B$3:$B$515,"*听雷*",无穷技能数计算!$I$3:$I$515,"=0")*MIN(1,Y2+0.3)+COUNTIFS(无穷技能数计算!$B$3:$B$515,"*听雷*",无穷技能数计算!$I$3:$I$515,"&gt;0")*MIN(1,Y2+0.5)+COUNTIFS(无穷技能数计算!$B$3:$B$515,"*云飞*",无穷技能数计算!$H$3:$H$515,"=0")*MIN(1,Y3+0.3)+COUNTIFS(无穷技能数计算!$B$3:$B$515,"*云飞*",无穷技能数计算!$H$3:$H$515,"&gt;0")*MIN(1,Y3+0.5)+COUNTIFS(无穷技能数计算!$B$3:$B$515,"*夕照*",无穷技能数计算!$H$3:$H$515,"=0")*MIN(1,Y3+0.3)+COUNTIFS(无穷技能数计算!$B$3:$B$515,"*夕照*",无穷技能数计算!$H$3:$H$515,"&gt;0")*MIN(1,Y3+0.5))*无穷技能数计算!长时间循环比+(无穷技能数计算!AN35+无穷技能数计算!AN36+无穷技能数计算!AN38+无穷技能数计算!AN39)*MIN(1,Y3+0.5)+(无穷技能数计算!AN37+无穷技能数计算!AN40)*MIN(1,Y3+0.3)</f>
        <v>138</v>
      </c>
    </row>
    <row r="19" spans="4:58">
      <c r="D19" t="s">
        <v>1028</v>
      </c>
      <c r="E19" t="s">
        <v>2741</v>
      </c>
      <c r="G19" t="s">
        <v>3014</v>
      </c>
      <c r="H19">
        <f ca="1">INDEX(技能数据库!$B$2:$I$100,MATCH(无穷伤害与收益计算!$E19,技能数据库!$B$2:$B$100,0),MATCH(H$9,技能数据库!$B$2:$I$2,0))</f>
        <v>68.5</v>
      </c>
      <c r="I19">
        <f ca="1">INDEX(技能数据库!$B$2:$I$100,MATCH(无穷伤害与收益计算!$E19,技能数据库!$B$2:$B$100,0),MATCH(I$9,技能数据库!$B$2:$I$2,0))</f>
        <v>0.325</v>
      </c>
      <c r="J19">
        <f ca="1">INDEX(技能数据库!$B$2:$I$100,MATCH(无穷伤害与收益计算!$E19,技能数据库!$B$2:$B$100,0),MATCH(J$9,技能数据库!$B$2:$I$2,0))</f>
        <v>1</v>
      </c>
      <c r="K19">
        <f ca="1">INDEX(技能数据库!$B$2:$I$100,MATCH(无穷伤害与收益计算!$E19,技能数据库!$B$2:$B$100,0),MATCH(K$9,技能数据库!$B$2:$I$2,0))</f>
        <v>0</v>
      </c>
      <c r="L19">
        <f ca="1" t="shared" si="0"/>
        <v>105847</v>
      </c>
      <c r="M19">
        <f ca="1" t="shared" si="28"/>
        <v>12694.5</v>
      </c>
      <c r="N19">
        <f ca="1" t="shared" si="29"/>
        <v>92028</v>
      </c>
      <c r="O19">
        <f ca="1" t="shared" si="1"/>
        <v>47163.275</v>
      </c>
      <c r="P19">
        <f ca="1">IF(G19="恒定伤害",0,(IF(D19="轻剑",$AZ$2,$AZ$3)+IFERROR(INDEX(技能数据库!$T$2:$W$27,MATCH(E19,技能数据库!$T$2:$T$27,0),4),0)+COUNTIF(G19,"*造化2*")*154+COUNTIF(G19,"*造化1*")*102+COUNTIF(G19,"*碧归*")*307)/1024)</f>
        <v>0.167102521929785</v>
      </c>
      <c r="Q19">
        <f ca="1" t="shared" si="2"/>
        <v>0.448284482196154</v>
      </c>
      <c r="R19">
        <f ca="1" t="shared" si="3"/>
        <v>0.21277697966198</v>
      </c>
      <c r="S19">
        <f ca="1" t="shared" si="30"/>
        <v>62757.3540966005</v>
      </c>
      <c r="T19">
        <f t="shared" si="31"/>
        <v>0.8</v>
      </c>
      <c r="U19">
        <f ca="1" t="shared" si="4"/>
        <v>1.7995442148</v>
      </c>
      <c r="V19">
        <f ca="1" t="shared" si="32"/>
        <v>140553.590077834</v>
      </c>
      <c r="W19">
        <f ca="1">IF(G19="恒定伤害",0,MIN(1,IF(COUNTIF(F19,"*内会*")&gt;0,内会,IF(D19="轻剑",$Y$2,$Y$3)+COUNTIF(G19,"*莺鸣*")*0.2+COUNTIF(G19,"*叠1*")*0.1+COUNTIF(G19,"*叠2*")*0.2+COUNTIF(G19,"*叠3*")*0.3)+IFERROR(INDEX(技能数据库!$T$2:$W$27,MATCH(E19,技能数据库!$T$2:$T$27,0),2),0)+IF((IF(D19="轻剑",$AO$2,$AO$3)+INT(COUNTIF(G19,"*大莺鸣*")*IF(D19="轻剑",$AM$2,$AM$3)*听晓无双率)/无双系数)&gt;0.9,特效裤子会心/会心系数,0)))</f>
        <v>0.9343</v>
      </c>
      <c r="X19">
        <f ca="1">IF(G19="恒定伤害",0,IF(COUNTIF(F19,"*内会*")&gt;0,内会效,IF(D19="轻剑",$AB$2,$AB$3))+IFERROR(INDEX(技能数据库!$T$2:$W$27,MATCH(E19,技能数据库!$T$2:$T$27,0),3)/1024,0))+COUNTIF(G19,"*叠1*")*0.25+COUNTIF(G19,"*叠2*")*0.5+COUNTIF(G19,"*叠3*")*0.75</f>
        <v>2.3217485021</v>
      </c>
      <c r="Y19">
        <f ca="1" t="shared" si="33"/>
        <v>2.23490962551203</v>
      </c>
      <c r="Z19">
        <f t="shared" si="5"/>
        <v>0.150390625</v>
      </c>
      <c r="AA19">
        <f ca="1" t="shared" si="34"/>
        <v>0.0205078125</v>
      </c>
      <c r="AB19">
        <f ca="1" t="shared" si="35"/>
        <v>368776.78737288</v>
      </c>
      <c r="AC19">
        <f ca="1">无穷技能数计算!AJ11</f>
        <v>0</v>
      </c>
      <c r="AD19" s="164">
        <f ca="1" t="shared" si="36"/>
        <v>0</v>
      </c>
      <c r="AE19" s="168">
        <f ca="1" t="shared" si="6"/>
        <v>0.00341791362029036</v>
      </c>
      <c r="AF19" s="168">
        <f ca="1" t="shared" si="7"/>
        <v>0.012642251836837</v>
      </c>
      <c r="AG19">
        <f ca="1" t="shared" si="8"/>
        <v>0.00249303379238186</v>
      </c>
      <c r="AH19">
        <f ca="1" t="shared" si="9"/>
        <v>1.00233164610401</v>
      </c>
      <c r="AI19">
        <f ca="1" t="shared" si="10"/>
        <v>1.00016101226475</v>
      </c>
      <c r="AJ19">
        <f ca="1" t="shared" si="11"/>
        <v>0</v>
      </c>
      <c r="AK19">
        <f ca="1" t="shared" si="17"/>
        <v>0</v>
      </c>
      <c r="AL19">
        <f ca="1" t="shared" si="12"/>
        <v>0</v>
      </c>
      <c r="AM19">
        <f ca="1" t="shared" si="18"/>
        <v>0</v>
      </c>
      <c r="AN19" s="168">
        <f ca="1" t="shared" si="13"/>
        <v>0.00839606381672686</v>
      </c>
      <c r="AO19" s="168">
        <f ca="1" t="shared" si="14"/>
        <v>0.00447057613551372</v>
      </c>
      <c r="AP19" s="172">
        <f ca="1" t="shared" si="15"/>
        <v>0</v>
      </c>
      <c r="AQ19" s="168">
        <f ca="1" t="shared" si="16"/>
        <v>0.00401583628616287</v>
      </c>
      <c r="AR19">
        <f t="shared" si="19"/>
        <v>1</v>
      </c>
      <c r="AX19" s="167" t="s">
        <v>2786</v>
      </c>
      <c r="AY19" s="167" t="s">
        <v>2786</v>
      </c>
      <c r="AZ19" s="164">
        <f ca="1" t="shared" si="20"/>
        <v>0</v>
      </c>
      <c r="BA19">
        <f ca="1" t="shared" si="21"/>
        <v>71</v>
      </c>
      <c r="BB19" s="167" t="s">
        <v>2789</v>
      </c>
      <c r="BC19" s="164">
        <f ca="1" t="shared" si="22"/>
        <v>0.0623002762249044</v>
      </c>
      <c r="BD19">
        <f ca="1" t="shared" si="23"/>
        <v>5</v>
      </c>
      <c r="BE19">
        <f ca="1" t="shared" si="24"/>
        <v>32</v>
      </c>
      <c r="BF19">
        <f ca="1">COUNTIF(无穷技能数计算!$B$3:$B$515,"*风来*")*16</f>
        <v>32</v>
      </c>
    </row>
    <row r="20" spans="4:58">
      <c r="D20" t="s">
        <v>1028</v>
      </c>
      <c r="E20" t="s">
        <v>2754</v>
      </c>
      <c r="H20">
        <f ca="1">INDEX(技能数据库!$B$2:$I$100,MATCH(无穷伤害与收益计算!$E20,技能数据库!$B$2:$B$100,0),MATCH(H$9,技能数据库!$B$2:$I$2,0))</f>
        <v>0</v>
      </c>
      <c r="I20">
        <f ca="1">INDEX(技能数据库!$B$2:$I$100,MATCH(无穷伤害与收益计算!$E20,技能数据库!$B$2:$B$100,0),MATCH(I$9,技能数据库!$B$2:$I$2,0))</f>
        <v>0.10625</v>
      </c>
      <c r="J20">
        <f ca="1">INDEX(技能数据库!$B$2:$I$100,MATCH(无穷伤害与收益计算!$E20,技能数据库!$B$2:$B$100,0),MATCH(J$9,技能数据库!$B$2:$I$2,0))</f>
        <v>1</v>
      </c>
      <c r="K20">
        <f ca="1">INDEX(技能数据库!$B$2:$I$100,MATCH(无穷伤害与收益计算!$E20,技能数据库!$B$2:$B$100,0),MATCH(K$9,技能数据库!$B$2:$I$2,0))</f>
        <v>0</v>
      </c>
      <c r="L20">
        <f ca="1" t="shared" si="0"/>
        <v>91975</v>
      </c>
      <c r="M20">
        <f ca="1" t="shared" si="28"/>
        <v>12694.5</v>
      </c>
      <c r="N20">
        <f ca="1" t="shared" si="29"/>
        <v>92028</v>
      </c>
      <c r="O20">
        <f ca="1" t="shared" si="1"/>
        <v>22466.84375</v>
      </c>
      <c r="P20">
        <f ca="1">IF(G20="恒定伤害",0,(IF(D20="轻剑",$AZ$2,$AZ$3)+IFERROR(INDEX(技能数据库!$T$2:$W$27,MATCH(E20,技能数据库!$T$2:$T$27,0),4),0)+COUNTIF(G20,"*造化2*")*154+COUNTIF(G20,"*造化1*")*102+COUNTIF(G20,"*碧归*")*307)/1024)</f>
        <v>0.276477521929785</v>
      </c>
      <c r="Q20">
        <f ca="1" t="shared" si="2"/>
        <v>0.448284482196154</v>
      </c>
      <c r="R20">
        <f ca="1" t="shared" si="3"/>
        <v>0.32958230397716</v>
      </c>
      <c r="S20">
        <f ca="1" t="shared" si="30"/>
        <v>27845.4719475545</v>
      </c>
      <c r="T20">
        <f t="shared" si="31"/>
        <v>0.8</v>
      </c>
      <c r="U20">
        <f ca="1" t="shared" si="4"/>
        <v>1.7995442148</v>
      </c>
      <c r="V20">
        <f ca="1" t="shared" si="32"/>
        <v>62363.7039193216</v>
      </c>
      <c r="W20">
        <f ca="1">IF(G20="恒定伤害",0,MIN(1,IF(COUNTIF(F20,"*内会*")&gt;0,内会,IF(D20="轻剑",$Y$2,$Y$3)+COUNTIF(G20,"*莺鸣*")*0.2+COUNTIF(G20,"*叠1*")*0.1+COUNTIF(G20,"*叠2*")*0.2+COUNTIF(G20,"*叠3*")*0.3)+IFERROR(INDEX(技能数据库!$T$2:$W$27,MATCH(E20,技能数据库!$T$2:$T$27,0),2),0)+IF((IF(D20="轻剑",$AO$2,$AO$3)+INT(COUNTIF(G20,"*大莺鸣*")*IF(D20="轻剑",$AM$2,$AM$3)*听晓无双率)/无双系数)&gt;0.9,特效裤子会心/会心系数,0)))</f>
        <v>0.7343</v>
      </c>
      <c r="X20">
        <f ca="1">IF(G20="恒定伤害",0,IF(COUNTIF(F20,"*内会*")&gt;0,内会效,IF(D20="轻剑",$AB$2,$AB$3))+IFERROR(INDEX(技能数据库!$T$2:$W$27,MATCH(E20,技能数据库!$T$2:$T$27,0),3)/1024,0))+COUNTIF(G20,"*叠1*")*0.25+COUNTIF(G20,"*叠2*")*0.5+COUNTIF(G20,"*叠3*")*0.75</f>
        <v>2.3217485021</v>
      </c>
      <c r="Y20">
        <f ca="1" t="shared" si="33"/>
        <v>1.97055992509203</v>
      </c>
      <c r="Z20">
        <f t="shared" si="5"/>
        <v>0.150390625</v>
      </c>
      <c r="AA20">
        <f ca="1" t="shared" si="34"/>
        <v>0.0205078125</v>
      </c>
      <c r="AB20">
        <f ca="1" t="shared" si="35"/>
        <v>144272.386236245</v>
      </c>
      <c r="AC20">
        <f ca="1">无穷技能数计算!AJ12</f>
        <v>0</v>
      </c>
      <c r="AD20" s="164">
        <f ca="1" t="shared" si="36"/>
        <v>0</v>
      </c>
      <c r="AE20" s="168">
        <f ca="1" t="shared" si="6"/>
        <v>0.00196734354374989</v>
      </c>
      <c r="AF20" s="168">
        <f ca="1" t="shared" si="7"/>
        <v>0.0265391083249066</v>
      </c>
      <c r="AG20">
        <f ca="1" t="shared" si="8"/>
        <v>0.00176145456989585</v>
      </c>
      <c r="AH20">
        <f ca="1" t="shared" si="9"/>
        <v>1.00160018465579</v>
      </c>
      <c r="AI20">
        <f ca="1" t="shared" si="10"/>
        <v>1.00016101226475</v>
      </c>
      <c r="AJ20">
        <f ca="1" t="shared" si="11"/>
        <v>0</v>
      </c>
      <c r="AK20">
        <f ca="1" t="shared" si="17"/>
        <v>0</v>
      </c>
      <c r="AL20">
        <f ca="1" t="shared" si="12"/>
        <v>0</v>
      </c>
      <c r="AM20">
        <f ca="1" t="shared" si="18"/>
        <v>0</v>
      </c>
      <c r="AN20" s="168">
        <f ca="1" t="shared" si="13"/>
        <v>0.00748399053993198</v>
      </c>
      <c r="AO20" s="168">
        <f ca="1" t="shared" si="14"/>
        <v>0.00447057613551372</v>
      </c>
      <c r="AP20" s="172">
        <f ca="1" t="shared" si="15"/>
        <v>0</v>
      </c>
      <c r="AQ20" s="168">
        <f ca="1" t="shared" si="16"/>
        <v>0.00401583628616287</v>
      </c>
      <c r="AR20">
        <f t="shared" si="19"/>
        <v>1</v>
      </c>
      <c r="AX20" s="167" t="s">
        <v>2723</v>
      </c>
      <c r="AY20" s="167" t="s">
        <v>2723</v>
      </c>
      <c r="AZ20" s="164">
        <f ca="1" t="shared" si="20"/>
        <v>0.124089372828329</v>
      </c>
      <c r="BA20">
        <f ca="1" t="shared" si="21"/>
        <v>138</v>
      </c>
      <c r="BB20" s="167" t="s">
        <v>2794</v>
      </c>
      <c r="BC20" s="164">
        <f ca="1" t="shared" si="22"/>
        <v>0.0131447413622583</v>
      </c>
      <c r="BD20">
        <f ca="1" t="shared" si="23"/>
        <v>8</v>
      </c>
      <c r="BE20">
        <f ca="1" t="shared" si="24"/>
        <v>12</v>
      </c>
      <c r="BF20">
        <f ca="1">COUNTIF(无穷技能数计算!$B$3:$B$515,"*鹤归*")*无穷技能数计算!长时间循环比</f>
        <v>12</v>
      </c>
    </row>
    <row r="21" spans="4:58">
      <c r="D21" t="s">
        <v>1028</v>
      </c>
      <c r="E21" t="s">
        <v>2754</v>
      </c>
      <c r="G21" t="s">
        <v>2750</v>
      </c>
      <c r="H21">
        <f ca="1">INDEX(技能数据库!$B$2:$I$100,MATCH(无穷伤害与收益计算!$E21,技能数据库!$B$2:$B$100,0),MATCH(H$9,技能数据库!$B$2:$I$2,0))</f>
        <v>0</v>
      </c>
      <c r="I21">
        <f ca="1">INDEX(技能数据库!$B$2:$I$100,MATCH(无穷伤害与收益计算!$E21,技能数据库!$B$2:$B$100,0),MATCH(I$9,技能数据库!$B$2:$I$2,0))</f>
        <v>0.10625</v>
      </c>
      <c r="J21">
        <f ca="1">INDEX(技能数据库!$B$2:$I$100,MATCH(无穷伤害与收益计算!$E21,技能数据库!$B$2:$B$100,0),MATCH(J$9,技能数据库!$B$2:$I$2,0))</f>
        <v>1</v>
      </c>
      <c r="K21">
        <f ca="1">INDEX(技能数据库!$B$2:$I$100,MATCH(无穷伤害与收益计算!$E21,技能数据库!$B$2:$B$100,0),MATCH(K$9,技能数据库!$B$2:$I$2,0))</f>
        <v>0</v>
      </c>
      <c r="L21">
        <f ca="1" t="shared" si="0"/>
        <v>105847</v>
      </c>
      <c r="M21">
        <f ca="1" t="shared" si="28"/>
        <v>12694.5</v>
      </c>
      <c r="N21">
        <f ca="1" t="shared" si="29"/>
        <v>92028</v>
      </c>
      <c r="O21">
        <f ca="1" t="shared" si="1"/>
        <v>23940.74375</v>
      </c>
      <c r="P21">
        <f ca="1">IF(G21="恒定伤害",0,(IF(D21="轻剑",$AZ$2,$AZ$3)+IFERROR(INDEX(技能数据库!$T$2:$W$27,MATCH(E21,技能数据库!$T$2:$T$27,0),4),0)+COUNTIF(G21,"*造化2*")*154+COUNTIF(G21,"*造化1*")*102+COUNTIF(G21,"*碧归*")*307)/1024)</f>
        <v>0.276477521929785</v>
      </c>
      <c r="Q21">
        <f ca="1" t="shared" si="2"/>
        <v>0.448284482196154</v>
      </c>
      <c r="R21">
        <f ca="1" t="shared" si="3"/>
        <v>0.21277697966198</v>
      </c>
      <c r="S21">
        <f ca="1" t="shared" si="30"/>
        <v>34841.9515556617</v>
      </c>
      <c r="T21">
        <f t="shared" si="31"/>
        <v>0.8</v>
      </c>
      <c r="U21">
        <f ca="1" t="shared" si="4"/>
        <v>1.7995442148</v>
      </c>
      <c r="V21">
        <f ca="1" t="shared" si="32"/>
        <v>78033.2671279956</v>
      </c>
      <c r="W21">
        <f ca="1">IF(G21="恒定伤害",0,MIN(1,IF(COUNTIF(F21,"*内会*")&gt;0,内会,IF(D21="轻剑",$Y$2,$Y$3)+COUNTIF(G21,"*莺鸣*")*0.2+COUNTIF(G21,"*叠1*")*0.1+COUNTIF(G21,"*叠2*")*0.2+COUNTIF(G21,"*叠3*")*0.3)+IFERROR(INDEX(技能数据库!$T$2:$W$27,MATCH(E21,技能数据库!$T$2:$T$27,0),2),0)+IF((IF(D21="轻剑",$AO$2,$AO$3)+INT(COUNTIF(G21,"*大莺鸣*")*IF(D21="轻剑",$AM$2,$AM$3)*听晓无双率)/无双系数)&gt;0.9,特效裤子会心/会心系数,0)))</f>
        <v>0.7343</v>
      </c>
      <c r="X21">
        <f ca="1">IF(G21="恒定伤害",0,IF(COUNTIF(F21,"*内会*")&gt;0,内会效,IF(D21="轻剑",$AB$2,$AB$3))+IFERROR(INDEX(技能数据库!$T$2:$W$27,MATCH(E21,技能数据库!$T$2:$T$27,0),3)/1024,0))+COUNTIF(G21,"*叠1*")*0.25+COUNTIF(G21,"*叠2*")*0.5+COUNTIF(G21,"*叠3*")*0.75</f>
        <v>2.3217485021</v>
      </c>
      <c r="Y21">
        <f ca="1" t="shared" si="33"/>
        <v>1.97055992509203</v>
      </c>
      <c r="Z21">
        <f t="shared" si="5"/>
        <v>0.150390625</v>
      </c>
      <c r="AA21">
        <f ca="1" t="shared" si="34"/>
        <v>0.0205078125</v>
      </c>
      <c r="AB21">
        <f ca="1" t="shared" si="35"/>
        <v>180522.402404618</v>
      </c>
      <c r="AC21">
        <f ca="1">无穷技能数计算!AJ13</f>
        <v>8</v>
      </c>
      <c r="AD21" s="164">
        <f ca="1" t="shared" si="36"/>
        <v>0.000506537160655518</v>
      </c>
      <c r="AE21" s="168">
        <f ca="1" t="shared" si="6"/>
        <v>0.00220126828766546</v>
      </c>
      <c r="AF21" s="168">
        <f ca="1" t="shared" si="7"/>
        <v>0.0249052413001998</v>
      </c>
      <c r="AG21">
        <f ca="1" t="shared" si="8"/>
        <v>0.00223792417921453</v>
      </c>
      <c r="AH21">
        <f ca="1" t="shared" si="9"/>
        <v>1.00150167008211</v>
      </c>
      <c r="AI21">
        <f ca="1" t="shared" si="10"/>
        <v>1.00016101226475</v>
      </c>
      <c r="AJ21">
        <f ca="1" t="shared" si="11"/>
        <v>1.00057404545102</v>
      </c>
      <c r="AK21">
        <f ca="1" t="shared" si="17"/>
        <v>8</v>
      </c>
      <c r="AL21">
        <f ca="1" t="shared" si="12"/>
        <v>0.00496352538323674</v>
      </c>
      <c r="AM21">
        <f ca="1" t="shared" si="18"/>
        <v>8</v>
      </c>
      <c r="AN21" s="168">
        <f ca="1" t="shared" si="13"/>
        <v>0.00748399053993198</v>
      </c>
      <c r="AO21" s="168">
        <f ca="1" t="shared" si="14"/>
        <v>0.00447057613551372</v>
      </c>
      <c r="AP21" s="172">
        <f ca="1" t="shared" si="15"/>
        <v>0</v>
      </c>
      <c r="AQ21" s="168">
        <f ca="1" t="shared" si="16"/>
        <v>0.00401583628616287</v>
      </c>
      <c r="AR21">
        <f t="shared" si="19"/>
        <v>1</v>
      </c>
      <c r="AX21" s="167" t="s">
        <v>2789</v>
      </c>
      <c r="AY21" s="167" t="s">
        <v>2789</v>
      </c>
      <c r="AZ21" s="164">
        <f ca="1" t="shared" si="20"/>
        <v>0.0623002762249044</v>
      </c>
      <c r="BA21">
        <f ca="1" t="shared" si="21"/>
        <v>32</v>
      </c>
      <c r="BB21" s="167" t="s">
        <v>2798</v>
      </c>
      <c r="BC21" s="164">
        <f ca="1" t="shared" si="22"/>
        <v>0.0111345660292188</v>
      </c>
      <c r="BD21">
        <f ca="1" t="shared" si="23"/>
        <v>9</v>
      </c>
      <c r="BE21">
        <f ca="1" t="shared" si="24"/>
        <v>12</v>
      </c>
      <c r="BF21">
        <f ca="1">COUNTIF(无穷技能数计算!$B$3:$B$515,"*鹤归*")*无穷技能数计算!长时间循环比</f>
        <v>12</v>
      </c>
    </row>
    <row r="22" spans="4:58">
      <c r="D22" t="s">
        <v>1028</v>
      </c>
      <c r="E22" t="s">
        <v>2754</v>
      </c>
      <c r="G22" t="s">
        <v>2949</v>
      </c>
      <c r="H22">
        <f ca="1">INDEX(技能数据库!$B$2:$I$100,MATCH(无穷伤害与收益计算!$E22,技能数据库!$B$2:$B$100,0),MATCH(H$9,技能数据库!$B$2:$I$2,0))</f>
        <v>0</v>
      </c>
      <c r="I22">
        <f ca="1">INDEX(技能数据库!$B$2:$I$100,MATCH(无穷伤害与收益计算!$E22,技能数据库!$B$2:$B$100,0),MATCH(I$9,技能数据库!$B$2:$I$2,0))</f>
        <v>0.10625</v>
      </c>
      <c r="J22">
        <f ca="1">INDEX(技能数据库!$B$2:$I$100,MATCH(无穷伤害与收益计算!$E22,技能数据库!$B$2:$B$100,0),MATCH(J$9,技能数据库!$B$2:$I$2,0))</f>
        <v>1</v>
      </c>
      <c r="K22">
        <f ca="1">INDEX(技能数据库!$B$2:$I$100,MATCH(无穷伤害与收益计算!$E22,技能数据库!$B$2:$B$100,0),MATCH(K$9,技能数据库!$B$2:$I$2,0))</f>
        <v>0</v>
      </c>
      <c r="L22">
        <f ca="1" t="shared" si="0"/>
        <v>91975</v>
      </c>
      <c r="M22">
        <f ca="1" t="shared" si="28"/>
        <v>12694.5</v>
      </c>
      <c r="N22">
        <f ca="1" t="shared" si="29"/>
        <v>92028</v>
      </c>
      <c r="O22">
        <f ca="1" t="shared" si="1"/>
        <v>22466.84375</v>
      </c>
      <c r="P22">
        <f ca="1">IF(G22="恒定伤害",0,(IF(D22="轻剑",$AZ$2,$AZ$3)+IFERROR(INDEX(技能数据库!$T$2:$W$27,MATCH(E22,技能数据库!$T$2:$T$27,0),4),0)+COUNTIF(G22,"*造化2*")*154+COUNTIF(G22,"*造化1*")*102+COUNTIF(G22,"*碧归*")*307)/1024)</f>
        <v>0.276477521929785</v>
      </c>
      <c r="Q22">
        <f ca="1" t="shared" si="2"/>
        <v>0.448284482196154</v>
      </c>
      <c r="R22">
        <f ca="1" t="shared" si="3"/>
        <v>0.32958230397716</v>
      </c>
      <c r="S22">
        <f ca="1" t="shared" si="30"/>
        <v>27845.4719475545</v>
      </c>
      <c r="T22">
        <f t="shared" si="31"/>
        <v>0.8</v>
      </c>
      <c r="U22">
        <f ca="1" t="shared" si="4"/>
        <v>1.7995442148</v>
      </c>
      <c r="V22">
        <f ca="1" t="shared" si="32"/>
        <v>62363.7039193216</v>
      </c>
      <c r="W22">
        <f ca="1">IF(G22="恒定伤害",0,MIN(1,IF(COUNTIF(F22,"*内会*")&gt;0,内会,IF(D22="轻剑",$Y$2,$Y$3)+COUNTIF(G22,"*莺鸣*")*0.2+COUNTIF(G22,"*叠1*")*0.1+COUNTIF(G22,"*叠2*")*0.2+COUNTIF(G22,"*叠3*")*0.3)+IFERROR(INDEX(技能数据库!$T$2:$W$27,MATCH(E22,技能数据库!$T$2:$T$27,0),2),0)+IF((IF(D22="轻剑",$AO$2,$AO$3)+INT(COUNTIF(G22,"*大莺鸣*")*IF(D22="轻剑",$AM$2,$AM$3)*听晓无双率)/无双系数)&gt;0.9,特效裤子会心/会心系数,0)))</f>
        <v>0.9343</v>
      </c>
      <c r="X22">
        <f ca="1">IF(G22="恒定伤害",0,IF(COUNTIF(F22,"*内会*")&gt;0,内会效,IF(D22="轻剑",$AB$2,$AB$3))+IFERROR(INDEX(技能数据库!$T$2:$W$27,MATCH(E22,技能数据库!$T$2:$T$27,0),3)/1024,0))+COUNTIF(G22,"*叠1*")*0.25+COUNTIF(G22,"*叠2*")*0.5+COUNTIF(G22,"*叠3*")*0.75</f>
        <v>2.3217485021</v>
      </c>
      <c r="Y22">
        <f ca="1" t="shared" si="33"/>
        <v>2.23490962551203</v>
      </c>
      <c r="Z22">
        <f t="shared" si="5"/>
        <v>0.150390625</v>
      </c>
      <c r="AA22">
        <f ca="1" t="shared" si="34"/>
        <v>0.0205078125</v>
      </c>
      <c r="AB22">
        <f ca="1" t="shared" si="35"/>
        <v>163626.459966658</v>
      </c>
      <c r="AC22">
        <f ca="1">无穷技能数计算!AJ14</f>
        <v>0</v>
      </c>
      <c r="AD22" s="164">
        <f ca="1" t="shared" si="36"/>
        <v>0</v>
      </c>
      <c r="AE22" s="168">
        <f ca="1" t="shared" si="6"/>
        <v>0.00196734354374989</v>
      </c>
      <c r="AF22" s="168">
        <f ca="1" t="shared" si="7"/>
        <v>0.0265391083249066</v>
      </c>
      <c r="AG22">
        <f ca="1" t="shared" si="8"/>
        <v>0.00176145456989585</v>
      </c>
      <c r="AH22">
        <f ca="1" t="shared" si="9"/>
        <v>1.00160018465579</v>
      </c>
      <c r="AI22">
        <f ca="1" t="shared" si="10"/>
        <v>1.00016101226475</v>
      </c>
      <c r="AJ22">
        <f ca="1" t="shared" si="11"/>
        <v>0</v>
      </c>
      <c r="AK22">
        <f ca="1" t="shared" si="17"/>
        <v>0</v>
      </c>
      <c r="AL22">
        <f ca="1" t="shared" si="12"/>
        <v>0</v>
      </c>
      <c r="AM22">
        <f ca="1" t="shared" si="18"/>
        <v>0</v>
      </c>
      <c r="AN22" s="168">
        <f ca="1" t="shared" si="13"/>
        <v>0.00839606381672686</v>
      </c>
      <c r="AO22" s="168">
        <f ca="1" t="shared" si="14"/>
        <v>0.00447057613551372</v>
      </c>
      <c r="AP22" s="172">
        <f ca="1" t="shared" si="15"/>
        <v>0</v>
      </c>
      <c r="AQ22" s="168">
        <f ca="1" t="shared" si="16"/>
        <v>0.00401583628616287</v>
      </c>
      <c r="AR22">
        <f t="shared" si="19"/>
        <v>1</v>
      </c>
      <c r="AX22" s="167" t="s">
        <v>2794</v>
      </c>
      <c r="AY22" s="167" t="s">
        <v>2794</v>
      </c>
      <c r="AZ22" s="164">
        <f ca="1" t="shared" si="20"/>
        <v>0.0131447413622583</v>
      </c>
      <c r="BA22">
        <f ca="1" t="shared" si="21"/>
        <v>12</v>
      </c>
      <c r="BB22" s="167" t="s">
        <v>2801</v>
      </c>
      <c r="BC22" s="164">
        <f ca="1" t="shared" si="22"/>
        <v>0.0410084067169045</v>
      </c>
      <c r="BD22">
        <f ca="1" t="shared" si="23"/>
        <v>6</v>
      </c>
      <c r="BE22">
        <f ca="1" t="shared" si="24"/>
        <v>57</v>
      </c>
      <c r="BF22">
        <f ca="1">COUNTIF(无穷技能数计算!$J$3:$J$515,"&gt;0")*无穷技能数计算!长时间循环比</f>
        <v>57</v>
      </c>
    </row>
    <row r="23" spans="4:58">
      <c r="D23" t="s">
        <v>1028</v>
      </c>
      <c r="E23" t="s">
        <v>2754</v>
      </c>
      <c r="G23" t="s">
        <v>3014</v>
      </c>
      <c r="H23">
        <f ca="1">INDEX(技能数据库!$B$2:$I$100,MATCH(无穷伤害与收益计算!$E23,技能数据库!$B$2:$B$100,0),MATCH(H$9,技能数据库!$B$2:$I$2,0))</f>
        <v>0</v>
      </c>
      <c r="I23">
        <f ca="1">INDEX(技能数据库!$B$2:$I$100,MATCH(无穷伤害与收益计算!$E23,技能数据库!$B$2:$B$100,0),MATCH(I$9,技能数据库!$B$2:$I$2,0))</f>
        <v>0.10625</v>
      </c>
      <c r="J23">
        <f ca="1">INDEX(技能数据库!$B$2:$I$100,MATCH(无穷伤害与收益计算!$E23,技能数据库!$B$2:$B$100,0),MATCH(J$9,技能数据库!$B$2:$I$2,0))</f>
        <v>1</v>
      </c>
      <c r="K23">
        <f ca="1">INDEX(技能数据库!$B$2:$I$100,MATCH(无穷伤害与收益计算!$E23,技能数据库!$B$2:$B$100,0),MATCH(K$9,技能数据库!$B$2:$I$2,0))</f>
        <v>0</v>
      </c>
      <c r="L23">
        <f ca="1" t="shared" si="0"/>
        <v>105847</v>
      </c>
      <c r="M23">
        <f ca="1" t="shared" si="28"/>
        <v>12694.5</v>
      </c>
      <c r="N23">
        <f ca="1" t="shared" si="29"/>
        <v>92028</v>
      </c>
      <c r="O23">
        <f ca="1" t="shared" si="1"/>
        <v>23940.74375</v>
      </c>
      <c r="P23">
        <f ca="1">IF(G23="恒定伤害",0,(IF(D23="轻剑",$AZ$2,$AZ$3)+IFERROR(INDEX(技能数据库!$T$2:$W$27,MATCH(E23,技能数据库!$T$2:$T$27,0),4),0)+COUNTIF(G23,"*造化2*")*154+COUNTIF(G23,"*造化1*")*102+COUNTIF(G23,"*碧归*")*307)/1024)</f>
        <v>0.276477521929785</v>
      </c>
      <c r="Q23">
        <f ca="1" t="shared" si="2"/>
        <v>0.448284482196154</v>
      </c>
      <c r="R23">
        <f ca="1" t="shared" si="3"/>
        <v>0.21277697966198</v>
      </c>
      <c r="S23">
        <f ca="1" t="shared" si="30"/>
        <v>34841.9515556617</v>
      </c>
      <c r="T23">
        <f t="shared" si="31"/>
        <v>0.8</v>
      </c>
      <c r="U23">
        <f ca="1" t="shared" si="4"/>
        <v>1.7995442148</v>
      </c>
      <c r="V23">
        <f ca="1" t="shared" si="32"/>
        <v>78033.2671279956</v>
      </c>
      <c r="W23">
        <f ca="1">IF(G23="恒定伤害",0,MIN(1,IF(COUNTIF(F23,"*内会*")&gt;0,内会,IF(D23="轻剑",$Y$2,$Y$3)+COUNTIF(G23,"*莺鸣*")*0.2+COUNTIF(G23,"*叠1*")*0.1+COUNTIF(G23,"*叠2*")*0.2+COUNTIF(G23,"*叠3*")*0.3)+IFERROR(INDEX(技能数据库!$T$2:$W$27,MATCH(E23,技能数据库!$T$2:$T$27,0),2),0)+IF((IF(D23="轻剑",$AO$2,$AO$3)+INT(COUNTIF(G23,"*大莺鸣*")*IF(D23="轻剑",$AM$2,$AM$3)*听晓无双率)/无双系数)&gt;0.9,特效裤子会心/会心系数,0)))</f>
        <v>0.9343</v>
      </c>
      <c r="X23">
        <f ca="1">IF(G23="恒定伤害",0,IF(COUNTIF(F23,"*内会*")&gt;0,内会效,IF(D23="轻剑",$AB$2,$AB$3))+IFERROR(INDEX(技能数据库!$T$2:$W$27,MATCH(E23,技能数据库!$T$2:$T$27,0),3)/1024,0))+COUNTIF(G23,"*叠1*")*0.25+COUNTIF(G23,"*叠2*")*0.5+COUNTIF(G23,"*叠3*")*0.75</f>
        <v>2.3217485021</v>
      </c>
      <c r="Y23">
        <f ca="1" t="shared" si="33"/>
        <v>2.23490962551203</v>
      </c>
      <c r="Z23">
        <f t="shared" si="5"/>
        <v>0.150390625</v>
      </c>
      <c r="AA23">
        <f ca="1" t="shared" si="34"/>
        <v>0.0205078125</v>
      </c>
      <c r="AB23">
        <f ca="1" t="shared" si="35"/>
        <v>204739.398998889</v>
      </c>
      <c r="AC23">
        <f ca="1">无穷技能数计算!AJ15</f>
        <v>0</v>
      </c>
      <c r="AD23" s="164">
        <f ca="1" t="shared" si="36"/>
        <v>0</v>
      </c>
      <c r="AE23" s="168">
        <f ca="1" t="shared" si="6"/>
        <v>0.00220126828766546</v>
      </c>
      <c r="AF23" s="168">
        <f ca="1" t="shared" si="7"/>
        <v>0.0249052413001998</v>
      </c>
      <c r="AG23">
        <f ca="1" t="shared" si="8"/>
        <v>0.00166292413415881</v>
      </c>
      <c r="AH23">
        <f ca="1" t="shared" si="9"/>
        <v>1.00150167008211</v>
      </c>
      <c r="AI23">
        <f ca="1" t="shared" si="10"/>
        <v>1.00016101226475</v>
      </c>
      <c r="AJ23">
        <f ca="1" t="shared" si="11"/>
        <v>0</v>
      </c>
      <c r="AK23">
        <f ca="1" t="shared" si="17"/>
        <v>0</v>
      </c>
      <c r="AL23">
        <f ca="1" t="shared" si="12"/>
        <v>0</v>
      </c>
      <c r="AM23">
        <f ca="1" t="shared" si="18"/>
        <v>0</v>
      </c>
      <c r="AN23" s="168">
        <f ca="1" t="shared" si="13"/>
        <v>0.00839606381672686</v>
      </c>
      <c r="AO23" s="168">
        <f ca="1" t="shared" si="14"/>
        <v>0.00447057613551372</v>
      </c>
      <c r="AP23" s="172">
        <f ca="1" t="shared" si="15"/>
        <v>0</v>
      </c>
      <c r="AQ23" s="168">
        <f ca="1" t="shared" si="16"/>
        <v>0.00401583628616287</v>
      </c>
      <c r="AR23">
        <f t="shared" si="19"/>
        <v>1</v>
      </c>
      <c r="AX23" s="167" t="s">
        <v>2798</v>
      </c>
      <c r="AY23" s="167" t="s">
        <v>2798</v>
      </c>
      <c r="AZ23" s="164">
        <f ca="1" t="shared" si="20"/>
        <v>0.0111345660292188</v>
      </c>
      <c r="BA23">
        <f ca="1" t="shared" si="21"/>
        <v>12</v>
      </c>
      <c r="BB23" s="167" t="s">
        <v>2792</v>
      </c>
      <c r="BC23" s="164">
        <f ca="1" t="shared" si="22"/>
        <v>0.0105009265983036</v>
      </c>
      <c r="BD23">
        <f ca="1" t="shared" si="23"/>
        <v>10</v>
      </c>
      <c r="BE23">
        <f ca="1" t="shared" si="24"/>
        <v>81</v>
      </c>
      <c r="BF23">
        <f ca="1">无穷技能数计算!长时间循环比/2+(BF14-无穷技能数计算!长时间循环比+BF17)/2+BF20+BF19/16</f>
        <v>81</v>
      </c>
    </row>
    <row r="24" spans="4:58">
      <c r="D24" t="s">
        <v>1825</v>
      </c>
      <c r="E24" t="s">
        <v>2768</v>
      </c>
      <c r="H24">
        <f ca="1">INDEX(技能数据库!$B$2:$I$100,MATCH(无穷伤害与收益计算!$E24,技能数据库!$B$2:$B$100,0),MATCH(H$9,技能数据库!$B$2:$I$2,0))</f>
        <v>210</v>
      </c>
      <c r="I24">
        <f ca="1">INDEX(技能数据库!$B$2:$I$100,MATCH(无穷伤害与收益计算!$E24,技能数据库!$B$2:$B$100,0),MATCH(I$9,技能数据库!$B$2:$I$2,0))</f>
        <v>5.7875</v>
      </c>
      <c r="J24">
        <f ca="1">INDEX(技能数据库!$B$2:$I$100,MATCH(无穷伤害与收益计算!$E24,技能数据库!$B$2:$B$100,0),MATCH(J$9,技能数据库!$B$2:$I$2,0))</f>
        <v>2</v>
      </c>
      <c r="K24">
        <f ca="1">INDEX(技能数据库!$B$2:$I$100,MATCH(无穷伤害与收益计算!$E24,技能数据库!$B$2:$B$100,0),MATCH(K$9,技能数据库!$B$2:$I$2,0))</f>
        <v>0</v>
      </c>
      <c r="L24">
        <f ca="1" t="shared" si="0"/>
        <v>91975</v>
      </c>
      <c r="M24">
        <f ca="1" t="shared" si="28"/>
        <v>19530.5</v>
      </c>
      <c r="N24">
        <f ca="1" t="shared" si="29"/>
        <v>92028</v>
      </c>
      <c r="O24">
        <f ca="1" t="shared" si="1"/>
        <v>571576.3125</v>
      </c>
      <c r="P24">
        <f ca="1">IF(G24="恒定伤害",0,(IF(D24="轻剑",$AZ$2,$AZ$3)+IFERROR(INDEX(技能数据库!$T$2:$W$27,MATCH(E24,技能数据库!$T$2:$T$27,0),4),0)+COUNTIF(G24,"*造化2*")*154+COUNTIF(G24,"*造化1*")*102+COUNTIF(G24,"*碧归*")*307)/1024)</f>
        <v>0.296985334429785</v>
      </c>
      <c r="Q24">
        <f ca="1" t="shared" si="2"/>
        <v>0.448284482196154</v>
      </c>
      <c r="R24">
        <f ca="1" t="shared" si="3"/>
        <v>0.32958230397716</v>
      </c>
      <c r="S24">
        <f ca="1" t="shared" si="30"/>
        <v>719794.6829669</v>
      </c>
      <c r="T24">
        <f t="shared" si="31"/>
        <v>0.8</v>
      </c>
      <c r="U24">
        <f ca="1" t="shared" si="4"/>
        <v>1.7995442148</v>
      </c>
      <c r="V24">
        <f ca="1" t="shared" si="32"/>
        <v>1612077.63243503</v>
      </c>
      <c r="W24">
        <f ca="1">IF(G24="恒定伤害",0,MIN(1,IF(COUNTIF(F24,"*内会*")&gt;0,内会,IF(D24="轻剑",$Y$2,$Y$3)+COUNTIF(G24,"*莺鸣*")*0.2+COUNTIF(G24,"*叠1*")*0.1+COUNTIF(G24,"*叠2*")*0.2+COUNTIF(G24,"*叠3*")*0.3)+IFERROR(INDEX(技能数据库!$T$2:$W$27,MATCH(E24,技能数据库!$T$2:$T$27,0),2),0)+IF((IF(D24="轻剑",$AO$2,$AO$3)+INT(COUNTIF(G24,"*大莺鸣*")*IF(D24="轻剑",$AM$2,$AM$3)*听晓无双率)/无双系数)&gt;0.9,特效裤子会心/会心系数,0)))</f>
        <v>0.7343</v>
      </c>
      <c r="X24">
        <f ca="1">IF(G24="恒定伤害",0,IF(COUNTIF(F24,"*内会*")&gt;0,内会效,IF(D24="轻剑",$AB$2,$AB$3))+IFERROR(INDEX(技能数据库!$T$2:$W$27,MATCH(E24,技能数据库!$T$2:$T$27,0),3)/1024,0))+COUNTIF(G24,"*叠1*")*0.25+COUNTIF(G24,"*叠2*")*0.5+COUNTIF(G24,"*叠3*")*0.75</f>
        <v>2.3217485021</v>
      </c>
      <c r="Y24">
        <f ca="1" t="shared" si="33"/>
        <v>1.97055992509203</v>
      </c>
      <c r="Z24">
        <f t="shared" si="5"/>
        <v>0.150390625</v>
      </c>
      <c r="AA24">
        <f ca="1" t="shared" si="34"/>
        <v>0.0205078125</v>
      </c>
      <c r="AB24">
        <f ca="1" t="shared" si="35"/>
        <v>3729385.39908338</v>
      </c>
      <c r="AC24">
        <f ca="1">无穷技能数计算!AJ16</f>
        <v>0</v>
      </c>
      <c r="AD24" s="164">
        <f ca="1" t="shared" si="36"/>
        <v>0</v>
      </c>
      <c r="AE24" s="168">
        <f ca="1" t="shared" si="6"/>
        <v>0.00421221094602306</v>
      </c>
      <c r="AF24" s="168">
        <f ca="1" t="shared" si="7"/>
        <v>0.00208633558445444</v>
      </c>
      <c r="AG24">
        <f ca="1" t="shared" si="8"/>
        <v>0.0035876637093506</v>
      </c>
      <c r="AH24">
        <f ca="1" t="shared" si="9"/>
        <v>1.00342609980051</v>
      </c>
      <c r="AI24">
        <f ca="1" t="shared" si="10"/>
        <v>1.00016101226475</v>
      </c>
      <c r="AJ24">
        <f ca="1" t="shared" si="11"/>
        <v>0</v>
      </c>
      <c r="AK24">
        <f ca="1" t="shared" si="17"/>
        <v>0</v>
      </c>
      <c r="AL24">
        <f ca="1" t="shared" si="12"/>
        <v>0</v>
      </c>
      <c r="AM24">
        <f ca="1" t="shared" si="18"/>
        <v>0</v>
      </c>
      <c r="AN24" s="168">
        <f ca="1" t="shared" si="13"/>
        <v>0.00748399053993198</v>
      </c>
      <c r="AO24" s="168">
        <f ca="1" t="shared" si="14"/>
        <v>0.00447057613551372</v>
      </c>
      <c r="AP24" s="172">
        <f ca="1" t="shared" si="15"/>
        <v>0</v>
      </c>
      <c r="AQ24" s="168">
        <f ca="1" t="shared" si="16"/>
        <v>0.00401583628616287</v>
      </c>
      <c r="AR24">
        <f t="shared" si="19"/>
        <v>1</v>
      </c>
      <c r="AX24" s="167" t="s">
        <v>2801</v>
      </c>
      <c r="AY24" s="167" t="s">
        <v>2801</v>
      </c>
      <c r="AZ24" s="164">
        <f ca="1" t="shared" si="20"/>
        <v>0.0410084067169045</v>
      </c>
      <c r="BA24">
        <f ca="1" t="shared" si="21"/>
        <v>57</v>
      </c>
      <c r="BB24" s="167" t="s">
        <v>2810</v>
      </c>
      <c r="BC24" s="164">
        <f ca="1" t="shared" ref="BC24:BC32" si="37">SUMIF($AY$10:$AY$100,BB24,$AZ$10:$AZ$100)</f>
        <v>0.00869159113873543</v>
      </c>
      <c r="BD24">
        <f ca="1" t="shared" ref="BD24:BD32" si="38">RANK(BC24,$BC$10:$BC$100)</f>
        <v>11</v>
      </c>
      <c r="BE24">
        <f ca="1" t="shared" si="24"/>
        <v>12.5685625965997</v>
      </c>
      <c r="BF24">
        <f ca="1">无穷技能数计算!AJ72</f>
        <v>12.5685625965997</v>
      </c>
    </row>
    <row r="25" spans="4:58">
      <c r="D25" t="s">
        <v>1825</v>
      </c>
      <c r="E25" t="s">
        <v>2768</v>
      </c>
      <c r="G25" t="s">
        <v>2750</v>
      </c>
      <c r="H25">
        <f ca="1">INDEX(技能数据库!$B$2:$I$100,MATCH(无穷伤害与收益计算!$E25,技能数据库!$B$2:$B$100,0),MATCH(H$9,技能数据库!$B$2:$I$2,0))</f>
        <v>210</v>
      </c>
      <c r="I25">
        <f ca="1">INDEX(技能数据库!$B$2:$I$100,MATCH(无穷伤害与收益计算!$E25,技能数据库!$B$2:$B$100,0),MATCH(I$9,技能数据库!$B$2:$I$2,0))</f>
        <v>5.7875</v>
      </c>
      <c r="J25">
        <f ca="1">INDEX(技能数据库!$B$2:$I$100,MATCH(无穷伤害与收益计算!$E25,技能数据库!$B$2:$B$100,0),MATCH(J$9,技能数据库!$B$2:$I$2,0))</f>
        <v>2</v>
      </c>
      <c r="K25">
        <f ca="1">INDEX(技能数据库!$B$2:$I$100,MATCH(无穷伤害与收益计算!$E25,技能数据库!$B$2:$B$100,0),MATCH(K$9,技能数据库!$B$2:$I$2,0))</f>
        <v>0</v>
      </c>
      <c r="L25">
        <f ca="1" t="shared" si="0"/>
        <v>105847</v>
      </c>
      <c r="M25">
        <f ca="1" t="shared" si="28"/>
        <v>19530.5</v>
      </c>
      <c r="N25">
        <f ca="1" t="shared" si="29"/>
        <v>92028</v>
      </c>
      <c r="O25">
        <f ca="1" t="shared" si="1"/>
        <v>651860.5125</v>
      </c>
      <c r="P25">
        <f ca="1">IF(G25="恒定伤害",0,(IF(D25="轻剑",$AZ$2,$AZ$3)+IFERROR(INDEX(技能数据库!$T$2:$W$27,MATCH(E25,技能数据库!$T$2:$T$27,0),4),0)+COUNTIF(G25,"*造化2*")*154+COUNTIF(G25,"*造化1*")*102+COUNTIF(G25,"*碧归*")*307)/1024)</f>
        <v>0.296985334429785</v>
      </c>
      <c r="Q25">
        <f ca="1" t="shared" si="2"/>
        <v>0.448284482196154</v>
      </c>
      <c r="R25">
        <f ca="1" t="shared" si="3"/>
        <v>0.21277697966198</v>
      </c>
      <c r="S25">
        <f ca="1" t="shared" si="30"/>
        <v>963920.911314148</v>
      </c>
      <c r="T25">
        <f t="shared" si="31"/>
        <v>0.8</v>
      </c>
      <c r="U25">
        <f ca="1" t="shared" si="4"/>
        <v>1.7995442148</v>
      </c>
      <c r="V25">
        <f ca="1" t="shared" si="32"/>
        <v>2158831.36863541</v>
      </c>
      <c r="W25">
        <f ca="1">IF(G25="恒定伤害",0,MIN(1,IF(COUNTIF(F25,"*内会*")&gt;0,内会,IF(D25="轻剑",$Y$2,$Y$3)+COUNTIF(G25,"*莺鸣*")*0.2+COUNTIF(G25,"*叠1*")*0.1+COUNTIF(G25,"*叠2*")*0.2+COUNTIF(G25,"*叠3*")*0.3)+IFERROR(INDEX(技能数据库!$T$2:$W$27,MATCH(E25,技能数据库!$T$2:$T$27,0),2),0)+IF((IF(D25="轻剑",$AO$2,$AO$3)+INT(COUNTIF(G25,"*大莺鸣*")*IF(D25="轻剑",$AM$2,$AM$3)*听晓无双率)/无双系数)&gt;0.9,特效裤子会心/会心系数,0)))</f>
        <v>0.7343</v>
      </c>
      <c r="X25">
        <f ca="1">IF(G25="恒定伤害",0,IF(COUNTIF(F25,"*内会*")&gt;0,内会效,IF(D25="轻剑",$AB$2,$AB$3))+IFERROR(INDEX(技能数据库!$T$2:$W$27,MATCH(E25,技能数据库!$T$2:$T$27,0),3)/1024,0))+COUNTIF(G25,"*叠1*")*0.25+COUNTIF(G25,"*叠2*")*0.5+COUNTIF(G25,"*叠3*")*0.75</f>
        <v>2.3217485021</v>
      </c>
      <c r="Y25">
        <f ca="1" t="shared" si="33"/>
        <v>1.97055992509203</v>
      </c>
      <c r="Z25">
        <f t="shared" si="5"/>
        <v>0.150390625</v>
      </c>
      <c r="AA25">
        <f ca="1" t="shared" si="34"/>
        <v>0.0205078125</v>
      </c>
      <c r="AB25">
        <f ca="1" t="shared" si="35"/>
        <v>4994247.18964122</v>
      </c>
      <c r="AC25">
        <f ca="1">无穷技能数计算!AJ17</f>
        <v>12</v>
      </c>
      <c r="AD25" s="164">
        <f ca="1" t="shared" si="36"/>
        <v>0.021020425365677</v>
      </c>
      <c r="AE25" s="168">
        <f ca="1" t="shared" si="6"/>
        <v>0.00440370285506441</v>
      </c>
      <c r="AF25" s="168">
        <f ca="1" t="shared" si="7"/>
        <v>0.00182937910355477</v>
      </c>
      <c r="AG25">
        <f ca="1" t="shared" si="8"/>
        <v>0.00374149441661342</v>
      </c>
      <c r="AH25">
        <f ca="1" t="shared" si="9"/>
        <v>1.00300413578163</v>
      </c>
      <c r="AI25">
        <f ca="1" t="shared" si="10"/>
        <v>1.00016101226475</v>
      </c>
      <c r="AJ25">
        <f ca="1" t="shared" si="11"/>
        <v>1.00057404545102</v>
      </c>
      <c r="AK25">
        <f ca="1" t="shared" si="17"/>
        <v>12</v>
      </c>
      <c r="AL25">
        <f ca="1" t="shared" si="12"/>
        <v>0.00496352538323697</v>
      </c>
      <c r="AM25">
        <f ca="1" t="shared" si="18"/>
        <v>12</v>
      </c>
      <c r="AN25" s="168">
        <f ca="1" t="shared" si="13"/>
        <v>0.00748399053993198</v>
      </c>
      <c r="AO25" s="168">
        <f ca="1" t="shared" si="14"/>
        <v>0.00447057613551372</v>
      </c>
      <c r="AP25" s="172">
        <f ca="1" t="shared" si="15"/>
        <v>0</v>
      </c>
      <c r="AQ25" s="168">
        <f ca="1" t="shared" si="16"/>
        <v>0.00401583628616287</v>
      </c>
      <c r="AR25">
        <f t="shared" si="19"/>
        <v>1</v>
      </c>
      <c r="AX25" s="167" t="s">
        <v>2792</v>
      </c>
      <c r="AY25" s="167" t="s">
        <v>2792</v>
      </c>
      <c r="AZ25" s="164">
        <f ca="1" t="shared" si="20"/>
        <v>0.0105009265983036</v>
      </c>
      <c r="BA25">
        <f ca="1" t="shared" si="21"/>
        <v>81</v>
      </c>
      <c r="BB25" s="167" t="s">
        <v>2815</v>
      </c>
      <c r="BC25" s="164">
        <f ca="1" t="shared" si="37"/>
        <v>0.00867528325979983</v>
      </c>
      <c r="BD25">
        <f ca="1" t="shared" si="38"/>
        <v>12</v>
      </c>
      <c r="BE25">
        <f ca="1" t="shared" si="24"/>
        <v>18.8174706368939</v>
      </c>
      <c r="BF25">
        <f ca="1">无穷技能数计算!AJ73</f>
        <v>18.8174706368939</v>
      </c>
    </row>
    <row r="26" spans="4:58">
      <c r="D26" t="s">
        <v>1825</v>
      </c>
      <c r="E26" t="s">
        <v>2768</v>
      </c>
      <c r="G26" t="s">
        <v>2948</v>
      </c>
      <c r="H26">
        <f ca="1">INDEX(技能数据库!$B$2:$I$100,MATCH(无穷伤害与收益计算!$E26,技能数据库!$B$2:$B$100,0),MATCH(H$9,技能数据库!$B$2:$I$2,0))</f>
        <v>210</v>
      </c>
      <c r="I26">
        <f ca="1">INDEX(技能数据库!$B$2:$I$100,MATCH(无穷伤害与收益计算!$E26,技能数据库!$B$2:$B$100,0),MATCH(I$9,技能数据库!$B$2:$I$2,0))</f>
        <v>5.7875</v>
      </c>
      <c r="J26">
        <f ca="1">INDEX(技能数据库!$B$2:$I$100,MATCH(无穷伤害与收益计算!$E26,技能数据库!$B$2:$B$100,0),MATCH(J$9,技能数据库!$B$2:$I$2,0))</f>
        <v>2</v>
      </c>
      <c r="K26">
        <f ca="1">INDEX(技能数据库!$B$2:$I$100,MATCH(无穷伤害与收益计算!$E26,技能数据库!$B$2:$B$100,0),MATCH(K$9,技能数据库!$B$2:$I$2,0))</f>
        <v>0</v>
      </c>
      <c r="L26">
        <f ca="1" t="shared" si="0"/>
        <v>91975</v>
      </c>
      <c r="M26">
        <f ca="1" t="shared" si="28"/>
        <v>19530.5</v>
      </c>
      <c r="N26">
        <f ca="1" t="shared" si="29"/>
        <v>92028</v>
      </c>
      <c r="O26">
        <f ca="1" t="shared" si="1"/>
        <v>571576.3125</v>
      </c>
      <c r="P26">
        <f ca="1">IF(G26="恒定伤害",0,(IF(D26="轻剑",$AZ$2,$AZ$3)+IFERROR(INDEX(技能数据库!$T$2:$W$27,MATCH(E26,技能数据库!$T$2:$T$27,0),4),0)+COUNTIF(G26,"*造化2*")*154+COUNTIF(G26,"*造化1*")*102+COUNTIF(G26,"*碧归*")*307)/1024)</f>
        <v>0.296985334429785</v>
      </c>
      <c r="Q26">
        <f ca="1" t="shared" si="2"/>
        <v>0.448284482196154</v>
      </c>
      <c r="R26">
        <f ca="1" t="shared" si="3"/>
        <v>0.32958230397716</v>
      </c>
      <c r="S26">
        <f ca="1" t="shared" si="30"/>
        <v>719794.6829669</v>
      </c>
      <c r="T26">
        <f t="shared" si="31"/>
        <v>0.8</v>
      </c>
      <c r="U26">
        <f ca="1" t="shared" si="4"/>
        <v>2.68954760480339</v>
      </c>
      <c r="V26">
        <f ca="1" t="shared" si="32"/>
        <v>2124573.39879259</v>
      </c>
      <c r="W26">
        <f ca="1">IF(G26="恒定伤害",0,MIN(1,IF(COUNTIF(F26,"*内会*")&gt;0,内会,IF(D26="轻剑",$Y$2,$Y$3)+COUNTIF(G26,"*莺鸣*")*0.2+COUNTIF(G26,"*叠1*")*0.1+COUNTIF(G26,"*叠2*")*0.2+COUNTIF(G26,"*叠3*")*0.3)+IFERROR(INDEX(技能数据库!$T$2:$W$27,MATCH(E26,技能数据库!$T$2:$T$27,0),2),0)+IF((IF(D26="轻剑",$AO$2,$AO$3)+INT(COUNTIF(G26,"*大莺鸣*")*IF(D26="轻剑",$AM$2,$AM$3)*听晓无双率)/无双系数)&gt;0.9,特效裤子会心/会心系数,0)))</f>
        <v>0.9343</v>
      </c>
      <c r="X26">
        <f ca="1">IF(G26="恒定伤害",0,IF(COUNTIF(F26,"*内会*")&gt;0,内会效,IF(D26="轻剑",$AB$2,$AB$3))+IFERROR(INDEX(技能数据库!$T$2:$W$27,MATCH(E26,技能数据库!$T$2:$T$27,0),3)/1024,0))+COUNTIF(G26,"*叠1*")*0.25+COUNTIF(G26,"*叠2*")*0.5+COUNTIF(G26,"*叠3*")*0.75</f>
        <v>2.3217485021</v>
      </c>
      <c r="Y26">
        <f ca="1" t="shared" si="33"/>
        <v>2.23490962551203</v>
      </c>
      <c r="Z26">
        <f t="shared" si="5"/>
        <v>0.150390625</v>
      </c>
      <c r="AA26">
        <f ca="1" t="shared" si="34"/>
        <v>0.0205078125</v>
      </c>
      <c r="AB26">
        <f ca="1" t="shared" si="35"/>
        <v>5574338.95577293</v>
      </c>
      <c r="AC26">
        <f ca="1">无穷技能数计算!AJ18</f>
        <v>0</v>
      </c>
      <c r="AD26" s="164">
        <f ca="1" t="shared" si="36"/>
        <v>0</v>
      </c>
      <c r="AE26" s="168">
        <f ca="1" t="shared" si="6"/>
        <v>0.00421221094602306</v>
      </c>
      <c r="AF26" s="168">
        <f ca="1" t="shared" si="7"/>
        <v>0.00208633558445444</v>
      </c>
      <c r="AG26">
        <f ca="1" t="shared" si="8"/>
        <v>0.0035876637093506</v>
      </c>
      <c r="AH26">
        <f ca="1" t="shared" si="9"/>
        <v>1.00342609980051</v>
      </c>
      <c r="AI26">
        <f ca="1" t="shared" si="10"/>
        <v>1.00016101226475</v>
      </c>
      <c r="AJ26">
        <f ca="1" t="shared" si="11"/>
        <v>0</v>
      </c>
      <c r="AK26">
        <f ca="1" t="shared" si="17"/>
        <v>0</v>
      </c>
      <c r="AL26">
        <f ca="1" t="shared" si="12"/>
        <v>0</v>
      </c>
      <c r="AM26">
        <f ca="1" t="shared" si="18"/>
        <v>0</v>
      </c>
      <c r="AN26" s="168">
        <f ca="1" t="shared" si="13"/>
        <v>0.00839606381672686</v>
      </c>
      <c r="AO26" s="168">
        <f ca="1" t="shared" si="14"/>
        <v>0.00447057613551372</v>
      </c>
      <c r="AP26" s="172">
        <f ca="1" t="shared" si="15"/>
        <v>0</v>
      </c>
      <c r="AQ26" s="168">
        <f ca="1" t="shared" si="16"/>
        <v>0.00393951131463699</v>
      </c>
      <c r="AR26">
        <f t="shared" si="19"/>
        <v>1</v>
      </c>
      <c r="AX26" s="167" t="s">
        <v>2808</v>
      </c>
      <c r="AY26" s="167" t="s">
        <v>2776</v>
      </c>
      <c r="AZ26" s="164">
        <f ca="1" t="shared" si="20"/>
        <v>0.023607864460939</v>
      </c>
      <c r="BA26">
        <f ca="1" t="shared" si="21"/>
        <v>7</v>
      </c>
      <c r="BB26" s="167" t="s">
        <v>2832</v>
      </c>
      <c r="BC26" s="164">
        <f ca="1" t="shared" si="37"/>
        <v>0.00624556282671946</v>
      </c>
      <c r="BD26">
        <f ca="1" t="shared" si="38"/>
        <v>13</v>
      </c>
      <c r="BE26">
        <f ca="1" t="shared" si="24"/>
        <v>46.5553398058252</v>
      </c>
      <c r="BF26">
        <f ca="1">无穷技能数计算!AJ74</f>
        <v>46.5553398058252</v>
      </c>
    </row>
    <row r="27" spans="4:58">
      <c r="D27" t="s">
        <v>1825</v>
      </c>
      <c r="E27" t="s">
        <v>2768</v>
      </c>
      <c r="G27" t="s">
        <v>3044</v>
      </c>
      <c r="H27">
        <f ca="1">INDEX(技能数据库!$B$2:$I$100,MATCH(无穷伤害与收益计算!$E27,技能数据库!$B$2:$B$100,0),MATCH(H$9,技能数据库!$B$2:$I$2,0))</f>
        <v>210</v>
      </c>
      <c r="I27">
        <f ca="1">INDEX(技能数据库!$B$2:$I$100,MATCH(无穷伤害与收益计算!$E27,技能数据库!$B$2:$B$100,0),MATCH(I$9,技能数据库!$B$2:$I$2,0))</f>
        <v>5.7875</v>
      </c>
      <c r="J27">
        <f ca="1">INDEX(技能数据库!$B$2:$I$100,MATCH(无穷伤害与收益计算!$E27,技能数据库!$B$2:$B$100,0),MATCH(J$9,技能数据库!$B$2:$I$2,0))</f>
        <v>2</v>
      </c>
      <c r="K27">
        <f ca="1">INDEX(技能数据库!$B$2:$I$100,MATCH(无穷伤害与收益计算!$E27,技能数据库!$B$2:$B$100,0),MATCH(K$9,技能数据库!$B$2:$I$2,0))</f>
        <v>0</v>
      </c>
      <c r="L27">
        <f ca="1" t="shared" si="0"/>
        <v>105847</v>
      </c>
      <c r="M27">
        <f ca="1" t="shared" si="28"/>
        <v>19530.5</v>
      </c>
      <c r="N27">
        <f ca="1" t="shared" si="29"/>
        <v>92028</v>
      </c>
      <c r="O27">
        <f ca="1" t="shared" si="1"/>
        <v>651860.5125</v>
      </c>
      <c r="P27">
        <f ca="1">IF(G27="恒定伤害",0,(IF(D27="轻剑",$AZ$2,$AZ$3)+IFERROR(INDEX(技能数据库!$T$2:$W$27,MATCH(E27,技能数据库!$T$2:$T$27,0),4),0)+COUNTIF(G27,"*造化2*")*154+COUNTIF(G27,"*造化1*")*102+COUNTIF(G27,"*碧归*")*307)/1024)</f>
        <v>0.296985334429785</v>
      </c>
      <c r="Q27">
        <f ca="1" t="shared" si="2"/>
        <v>0.448284482196154</v>
      </c>
      <c r="R27">
        <f ca="1" t="shared" si="3"/>
        <v>0.21277697966198</v>
      </c>
      <c r="S27">
        <f ca="1" t="shared" si="30"/>
        <v>963920.911314148</v>
      </c>
      <c r="T27">
        <f t="shared" si="31"/>
        <v>0.8</v>
      </c>
      <c r="U27">
        <f ca="1" t="shared" si="4"/>
        <v>2.68954760480339</v>
      </c>
      <c r="V27">
        <f ca="1" t="shared" si="32"/>
        <v>2845145.67164721</v>
      </c>
      <c r="W27">
        <f ca="1">IF(G27="恒定伤害",0,MIN(1,IF(COUNTIF(F27,"*内会*")&gt;0,内会,IF(D27="轻剑",$Y$2,$Y$3)+COUNTIF(G27,"*莺鸣*")*0.2+COUNTIF(G27,"*叠1*")*0.1+COUNTIF(G27,"*叠2*")*0.2+COUNTIF(G27,"*叠3*")*0.3)+IFERROR(INDEX(技能数据库!$T$2:$W$27,MATCH(E27,技能数据库!$T$2:$T$27,0),2),0)+IF((IF(D27="轻剑",$AO$2,$AO$3)+INT(COUNTIF(G27,"*大莺鸣*")*IF(D27="轻剑",$AM$2,$AM$3)*听晓无双率)/无双系数)&gt;0.9,特效裤子会心/会心系数,0)))</f>
        <v>0.9343</v>
      </c>
      <c r="X27">
        <f ca="1">IF(G27="恒定伤害",0,IF(COUNTIF(F27,"*内会*")&gt;0,内会效,IF(D27="轻剑",$AB$2,$AB$3))+IFERROR(INDEX(技能数据库!$T$2:$W$27,MATCH(E27,技能数据库!$T$2:$T$27,0),3)/1024,0))+COUNTIF(G27,"*叠1*")*0.25+COUNTIF(G27,"*叠2*")*0.5+COUNTIF(G27,"*叠3*")*0.75</f>
        <v>2.3217485021</v>
      </c>
      <c r="Y27">
        <f ca="1" t="shared" si="33"/>
        <v>2.23490962551203</v>
      </c>
      <c r="Z27">
        <f t="shared" si="5"/>
        <v>0.150390625</v>
      </c>
      <c r="AA27">
        <f ca="1" t="shared" si="34"/>
        <v>0.0205078125</v>
      </c>
      <c r="AB27">
        <f ca="1" t="shared" si="35"/>
        <v>7464936.89571987</v>
      </c>
      <c r="AC27">
        <f ca="1">无穷技能数计算!AJ19</f>
        <v>0</v>
      </c>
      <c r="AD27" s="164">
        <f ca="1" t="shared" si="36"/>
        <v>0</v>
      </c>
      <c r="AE27" s="168">
        <f ca="1" t="shared" si="6"/>
        <v>0.00440370285506441</v>
      </c>
      <c r="AF27" s="168">
        <f ca="1" t="shared" si="7"/>
        <v>0.00182937910355477</v>
      </c>
      <c r="AG27">
        <f ca="1" t="shared" si="8"/>
        <v>0.00316563174908713</v>
      </c>
      <c r="AH27">
        <f ca="1" t="shared" si="9"/>
        <v>1.00300413578163</v>
      </c>
      <c r="AI27">
        <f ca="1" t="shared" si="10"/>
        <v>1.00016101226475</v>
      </c>
      <c r="AJ27">
        <f ca="1" t="shared" si="11"/>
        <v>0</v>
      </c>
      <c r="AK27">
        <f ca="1" t="shared" si="17"/>
        <v>0</v>
      </c>
      <c r="AL27">
        <f ca="1" t="shared" si="12"/>
        <v>0</v>
      </c>
      <c r="AM27">
        <f ca="1" t="shared" si="18"/>
        <v>0</v>
      </c>
      <c r="AN27" s="168">
        <f ca="1" t="shared" si="13"/>
        <v>0.00839606381672686</v>
      </c>
      <c r="AO27" s="168">
        <f ca="1" t="shared" si="14"/>
        <v>0.00447057613551372</v>
      </c>
      <c r="AP27" s="172">
        <f ca="1" t="shared" si="15"/>
        <v>0</v>
      </c>
      <c r="AQ27" s="168">
        <f ca="1" t="shared" si="16"/>
        <v>0.00393951131463699</v>
      </c>
      <c r="AR27">
        <f t="shared" si="19"/>
        <v>1</v>
      </c>
      <c r="AX27" s="167" t="s">
        <v>2810</v>
      </c>
      <c r="AY27" s="167" t="s">
        <v>2810</v>
      </c>
      <c r="AZ27" s="164">
        <f ca="1" t="shared" ref="AZ27:AZ38" si="39">SUMIF($E$10:$E$1048576,AX27,$AD$10:$AD$1048576)</f>
        <v>0.00869159113873543</v>
      </c>
      <c r="BA27">
        <f ca="1" t="shared" si="21"/>
        <v>12.5685625965997</v>
      </c>
      <c r="BB27" s="167" t="s">
        <v>2902</v>
      </c>
      <c r="BC27" s="164">
        <f ca="1" t="shared" si="37"/>
        <v>0.0196132853177649</v>
      </c>
      <c r="BD27">
        <f ca="1" t="shared" si="38"/>
        <v>7</v>
      </c>
      <c r="BE27">
        <f ca="1" t="shared" si="24"/>
        <v>20</v>
      </c>
      <c r="BF27">
        <f ca="1">无穷技能数计算!AJ76+无穷技能数计算!AJ75+无穷技能数计算!AJ105</f>
        <v>0</v>
      </c>
    </row>
    <row r="28" spans="4:58">
      <c r="D28" t="s">
        <v>1825</v>
      </c>
      <c r="E28" t="s">
        <v>2768</v>
      </c>
      <c r="G28" t="s">
        <v>3046</v>
      </c>
      <c r="H28">
        <f ca="1">INDEX(技能数据库!$B$2:$I$100,MATCH(无穷伤害与收益计算!$E28,技能数据库!$B$2:$B$100,0),MATCH(H$9,技能数据库!$B$2:$I$2,0))</f>
        <v>210</v>
      </c>
      <c r="I28">
        <f ca="1">INDEX(技能数据库!$B$2:$I$100,MATCH(无穷伤害与收益计算!$E28,技能数据库!$B$2:$B$100,0),MATCH(I$9,技能数据库!$B$2:$I$2,0))</f>
        <v>5.7875</v>
      </c>
      <c r="J28">
        <f ca="1">INDEX(技能数据库!$B$2:$I$100,MATCH(无穷伤害与收益计算!$E28,技能数据库!$B$2:$B$100,0),MATCH(J$9,技能数据库!$B$2:$I$2,0))</f>
        <v>2</v>
      </c>
      <c r="K28">
        <f ca="1">INDEX(技能数据库!$B$2:$I$100,MATCH(无穷伤害与收益计算!$E28,技能数据库!$B$2:$B$100,0),MATCH(K$9,技能数据库!$B$2:$I$2,0))</f>
        <v>0</v>
      </c>
      <c r="L28">
        <f ca="1" t="shared" si="0"/>
        <v>91975</v>
      </c>
      <c r="M28">
        <f ca="1" t="shared" si="28"/>
        <v>19530.5</v>
      </c>
      <c r="N28">
        <f ca="1" t="shared" si="29"/>
        <v>92028</v>
      </c>
      <c r="O28">
        <f ca="1" t="shared" si="1"/>
        <v>571576.3125</v>
      </c>
      <c r="P28">
        <f ca="1">IF(G28="恒定伤害",0,(IF(D28="轻剑",$AZ$2,$AZ$3)+IFERROR(INDEX(技能数据库!$T$2:$W$27,MATCH(E28,技能数据库!$T$2:$T$27,0),4),0)+COUNTIF(G28,"*造化2*")*154+COUNTIF(G28,"*造化1*")*102+COUNTIF(G28,"*碧归*")*307)/1024)</f>
        <v>0.447375959429785</v>
      </c>
      <c r="Q28">
        <f ca="1" t="shared" si="2"/>
        <v>0.448284482196154</v>
      </c>
      <c r="R28">
        <f ca="1" t="shared" si="3"/>
        <v>0.32958230397716</v>
      </c>
      <c r="S28">
        <f ca="1" t="shared" si="30"/>
        <v>803257.748715952</v>
      </c>
      <c r="T28">
        <f t="shared" si="31"/>
        <v>0.8</v>
      </c>
      <c r="U28">
        <f ca="1" t="shared" si="4"/>
        <v>1.7995442148</v>
      </c>
      <c r="V28">
        <f ca="1" t="shared" si="32"/>
        <v>1799004.46672881</v>
      </c>
      <c r="W28">
        <f ca="1">IF(G28="恒定伤害",0,MIN(1,IF(COUNTIF(F28,"*内会*")&gt;0,内会,IF(D28="轻剑",$Y$2,$Y$3)+COUNTIF(G28,"*莺鸣*")*0.2+COUNTIF(G28,"*叠1*")*0.1+COUNTIF(G28,"*叠2*")*0.2+COUNTIF(G28,"*叠3*")*0.3)+IFERROR(INDEX(技能数据库!$T$2:$W$27,MATCH(E28,技能数据库!$T$2:$T$27,0),2),0)+IF((IF(D28="轻剑",$AO$2,$AO$3)+INT(COUNTIF(G28,"*大莺鸣*")*IF(D28="轻剑",$AM$2,$AM$3)*听晓无双率)/无双系数)&gt;0.9,特效裤子会心/会心系数,0)))</f>
        <v>0.7343</v>
      </c>
      <c r="X28">
        <f ca="1">IF(G28="恒定伤害",0,IF(COUNTIF(F28,"*内会*")&gt;0,内会效,IF(D28="轻剑",$AB$2,$AB$3))+IFERROR(INDEX(技能数据库!$T$2:$W$27,MATCH(E28,技能数据库!$T$2:$T$27,0),3)/1024,0))+COUNTIF(G28,"*叠1*")*0.25+COUNTIF(G28,"*叠2*")*0.5+COUNTIF(G28,"*叠3*")*0.75</f>
        <v>2.3217485021</v>
      </c>
      <c r="Y28">
        <f ca="1" t="shared" si="33"/>
        <v>1.97055992509203</v>
      </c>
      <c r="Z28">
        <f t="shared" si="5"/>
        <v>0.150390625</v>
      </c>
      <c r="AA28">
        <f ca="1" t="shared" si="34"/>
        <v>0.0205078125</v>
      </c>
      <c r="AB28">
        <f ca="1" t="shared" si="35"/>
        <v>4161822.51779653</v>
      </c>
      <c r="AC28">
        <f ca="1">无穷技能数计算!AJ20</f>
        <v>0</v>
      </c>
      <c r="AD28" s="164">
        <f ca="1" t="shared" si="36"/>
        <v>0</v>
      </c>
      <c r="AE28" s="168">
        <f ca="1" t="shared" si="6"/>
        <v>0.00421221094602306</v>
      </c>
      <c r="AF28" s="168">
        <f ca="1" t="shared" si="7"/>
        <v>0.00208633558445444</v>
      </c>
      <c r="AG28">
        <f ca="1" t="shared" si="8"/>
        <v>0.0035876637093506</v>
      </c>
      <c r="AH28">
        <f ca="1" t="shared" si="9"/>
        <v>1.00342609980051</v>
      </c>
      <c r="AI28">
        <f ca="1" t="shared" si="10"/>
        <v>1.00016101226475</v>
      </c>
      <c r="AJ28">
        <f ca="1" t="shared" si="11"/>
        <v>0</v>
      </c>
      <c r="AK28">
        <f ca="1" t="shared" si="17"/>
        <v>0</v>
      </c>
      <c r="AL28">
        <f ca="1" t="shared" si="12"/>
        <v>0</v>
      </c>
      <c r="AM28">
        <f ca="1" t="shared" si="18"/>
        <v>0</v>
      </c>
      <c r="AN28" s="168">
        <f ca="1" t="shared" si="13"/>
        <v>0.00748399053993198</v>
      </c>
      <c r="AO28" s="168">
        <f ca="1" t="shared" si="14"/>
        <v>0.00447057613551372</v>
      </c>
      <c r="AP28" s="172">
        <f ca="1" t="shared" si="15"/>
        <v>0</v>
      </c>
      <c r="AQ28" s="168">
        <f ca="1" t="shared" si="16"/>
        <v>0.00401583628616287</v>
      </c>
      <c r="AR28">
        <f t="shared" si="19"/>
        <v>1</v>
      </c>
      <c r="AX28" s="167" t="s">
        <v>2815</v>
      </c>
      <c r="AY28" s="167" t="s">
        <v>2815</v>
      </c>
      <c r="AZ28" s="164">
        <f ca="1" t="shared" si="39"/>
        <v>0.00867528325979983</v>
      </c>
      <c r="BA28">
        <f ca="1" t="shared" si="21"/>
        <v>18.8174706368939</v>
      </c>
      <c r="BB28" s="167" t="s">
        <v>2906</v>
      </c>
      <c r="BC28" s="164">
        <f ca="1" t="shared" si="37"/>
        <v>0</v>
      </c>
      <c r="BD28">
        <f ca="1" t="shared" si="38"/>
        <v>19</v>
      </c>
      <c r="BE28">
        <f ca="1" t="shared" si="24"/>
        <v>0</v>
      </c>
      <c r="BF28">
        <f ca="1">无穷技能数计算!AJ77+无穷技能数计算!AJ78</f>
        <v>0</v>
      </c>
    </row>
    <row r="29" spans="4:58">
      <c r="D29" t="s">
        <v>1825</v>
      </c>
      <c r="E29" t="s">
        <v>2768</v>
      </c>
      <c r="G29" t="s">
        <v>3048</v>
      </c>
      <c r="H29">
        <f ca="1">INDEX(技能数据库!$B$2:$I$100,MATCH(无穷伤害与收益计算!$E29,技能数据库!$B$2:$B$100,0),MATCH(H$9,技能数据库!$B$2:$I$2,0))</f>
        <v>210</v>
      </c>
      <c r="I29">
        <f ca="1">INDEX(技能数据库!$B$2:$I$100,MATCH(无穷伤害与收益计算!$E29,技能数据库!$B$2:$B$100,0),MATCH(I$9,技能数据库!$B$2:$I$2,0))</f>
        <v>5.7875</v>
      </c>
      <c r="J29">
        <f ca="1">INDEX(技能数据库!$B$2:$I$100,MATCH(无穷伤害与收益计算!$E29,技能数据库!$B$2:$B$100,0),MATCH(J$9,技能数据库!$B$2:$I$2,0))</f>
        <v>2</v>
      </c>
      <c r="K29">
        <f ca="1">INDEX(技能数据库!$B$2:$I$100,MATCH(无穷伤害与收益计算!$E29,技能数据库!$B$2:$B$100,0),MATCH(K$9,技能数据库!$B$2:$I$2,0))</f>
        <v>0</v>
      </c>
      <c r="L29">
        <f ca="1" t="shared" si="0"/>
        <v>105847</v>
      </c>
      <c r="M29">
        <f ca="1" t="shared" si="28"/>
        <v>19530.5</v>
      </c>
      <c r="N29">
        <f ca="1" t="shared" si="29"/>
        <v>92028</v>
      </c>
      <c r="O29">
        <f ca="1" t="shared" si="1"/>
        <v>651860.5125</v>
      </c>
      <c r="P29">
        <f ca="1">IF(G29="恒定伤害",0,(IF(D29="轻剑",$AZ$2,$AZ$3)+IFERROR(INDEX(技能数据库!$T$2:$W$27,MATCH(E29,技能数据库!$T$2:$T$27,0),4),0)+COUNTIF(G29,"*造化2*")*154+COUNTIF(G29,"*造化1*")*102+COUNTIF(G29,"*碧归*")*307)/1024)</f>
        <v>0.447375959429785</v>
      </c>
      <c r="Q29">
        <f ca="1" t="shared" si="2"/>
        <v>0.448284482196154</v>
      </c>
      <c r="R29">
        <f ca="1" t="shared" si="3"/>
        <v>0.21277697966198</v>
      </c>
      <c r="S29">
        <f ca="1" t="shared" si="30"/>
        <v>1075691.38739809</v>
      </c>
      <c r="T29">
        <f t="shared" si="31"/>
        <v>0.8</v>
      </c>
      <c r="U29">
        <f ca="1" t="shared" si="4"/>
        <v>1.7995442148</v>
      </c>
      <c r="V29">
        <f ca="1" t="shared" si="32"/>
        <v>2409156.4804004</v>
      </c>
      <c r="W29">
        <f ca="1">IF(G29="恒定伤害",0,MIN(1,IF(COUNTIF(F29,"*内会*")&gt;0,内会,IF(D29="轻剑",$Y$2,$Y$3)+COUNTIF(G29,"*莺鸣*")*0.2+COUNTIF(G29,"*叠1*")*0.1+COUNTIF(G29,"*叠2*")*0.2+COUNTIF(G29,"*叠3*")*0.3)+IFERROR(INDEX(技能数据库!$T$2:$W$27,MATCH(E29,技能数据库!$T$2:$T$27,0),2),0)+IF((IF(D29="轻剑",$AO$2,$AO$3)+INT(COUNTIF(G29,"*大莺鸣*")*IF(D29="轻剑",$AM$2,$AM$3)*听晓无双率)/无双系数)&gt;0.9,特效裤子会心/会心系数,0)))</f>
        <v>0.7343</v>
      </c>
      <c r="X29">
        <f ca="1">IF(G29="恒定伤害",0,IF(COUNTIF(F29,"*内会*")&gt;0,内会效,IF(D29="轻剑",$AB$2,$AB$3))+IFERROR(INDEX(技能数据库!$T$2:$W$27,MATCH(E29,技能数据库!$T$2:$T$27,0),3)/1024,0))+COUNTIF(G29,"*叠1*")*0.25+COUNTIF(G29,"*叠2*")*0.5+COUNTIF(G29,"*叠3*")*0.75</f>
        <v>2.3217485021</v>
      </c>
      <c r="Y29">
        <f ca="1" t="shared" si="33"/>
        <v>1.97055992509203</v>
      </c>
      <c r="Z29">
        <f t="shared" si="5"/>
        <v>0.150390625</v>
      </c>
      <c r="AA29">
        <f ca="1" t="shared" si="34"/>
        <v>0.0205078125</v>
      </c>
      <c r="AB29">
        <f ca="1" t="shared" si="35"/>
        <v>5573350.08025705</v>
      </c>
      <c r="AC29">
        <f ca="1">无穷技能数计算!AJ21</f>
        <v>24</v>
      </c>
      <c r="AD29" s="164">
        <f ca="1" t="shared" si="36"/>
        <v>0.0469156551329009</v>
      </c>
      <c r="AE29" s="168">
        <f ca="1" t="shared" si="6"/>
        <v>0.00440370285506441</v>
      </c>
      <c r="AF29" s="168">
        <f ca="1" t="shared" si="7"/>
        <v>0.00182937910355477</v>
      </c>
      <c r="AG29">
        <f ca="1" t="shared" si="8"/>
        <v>0.00374149441661342</v>
      </c>
      <c r="AH29">
        <f ca="1" t="shared" si="9"/>
        <v>1.00300413578163</v>
      </c>
      <c r="AI29">
        <f ca="1" t="shared" si="10"/>
        <v>1.00016101226475</v>
      </c>
      <c r="AJ29">
        <f ca="1" t="shared" si="11"/>
        <v>1.00057404545102</v>
      </c>
      <c r="AK29">
        <f ca="1" t="shared" si="17"/>
        <v>24</v>
      </c>
      <c r="AL29">
        <f ca="1" t="shared" si="12"/>
        <v>0.00496352538323697</v>
      </c>
      <c r="AM29">
        <f ca="1" t="shared" si="18"/>
        <v>24</v>
      </c>
      <c r="AN29" s="168">
        <f ca="1" t="shared" si="13"/>
        <v>0.00748399053993198</v>
      </c>
      <c r="AO29" s="168">
        <f ca="1" t="shared" si="14"/>
        <v>0.00447057613551372</v>
      </c>
      <c r="AP29" s="172">
        <f ca="1" t="shared" si="15"/>
        <v>0</v>
      </c>
      <c r="AQ29" s="168">
        <f ca="1" t="shared" si="16"/>
        <v>0.00401583628616287</v>
      </c>
      <c r="AR29">
        <f t="shared" si="19"/>
        <v>1</v>
      </c>
      <c r="AX29" s="167" t="s">
        <v>2832</v>
      </c>
      <c r="AY29" s="167" t="s">
        <v>2832</v>
      </c>
      <c r="AZ29" s="164">
        <f ca="1" t="shared" si="39"/>
        <v>0.00624556282671946</v>
      </c>
      <c r="BA29">
        <f ca="1" t="shared" si="21"/>
        <v>46.5553398058252</v>
      </c>
      <c r="BB29" s="167" t="s">
        <v>2827</v>
      </c>
      <c r="BC29" s="164">
        <f ca="1" t="shared" si="37"/>
        <v>0.00206023069491698</v>
      </c>
      <c r="BD29">
        <f ca="1" t="shared" si="38"/>
        <v>16</v>
      </c>
      <c r="BE29">
        <f ca="1" t="shared" si="24"/>
        <v>21.2861328125</v>
      </c>
      <c r="BF29">
        <f ca="1">无穷技能数计算!AN45+无穷技能数计算!AN46</f>
        <v>21.2861328125</v>
      </c>
    </row>
    <row r="30" spans="4:58">
      <c r="D30" t="s">
        <v>1825</v>
      </c>
      <c r="E30" t="s">
        <v>2768</v>
      </c>
      <c r="G30" t="s">
        <v>3050</v>
      </c>
      <c r="H30">
        <f ca="1">INDEX(技能数据库!$B$2:$I$100,MATCH(无穷伤害与收益计算!$E30,技能数据库!$B$2:$B$100,0),MATCH(H$9,技能数据库!$B$2:$I$2,0))</f>
        <v>210</v>
      </c>
      <c r="I30">
        <f ca="1">INDEX(技能数据库!$B$2:$I$100,MATCH(无穷伤害与收益计算!$E30,技能数据库!$B$2:$B$100,0),MATCH(I$9,技能数据库!$B$2:$I$2,0))</f>
        <v>5.7875</v>
      </c>
      <c r="J30">
        <f ca="1">INDEX(技能数据库!$B$2:$I$100,MATCH(无穷伤害与收益计算!$E30,技能数据库!$B$2:$B$100,0),MATCH(J$9,技能数据库!$B$2:$I$2,0))</f>
        <v>2</v>
      </c>
      <c r="K30">
        <f ca="1">INDEX(技能数据库!$B$2:$I$100,MATCH(无穷伤害与收益计算!$E30,技能数据库!$B$2:$B$100,0),MATCH(K$9,技能数据库!$B$2:$I$2,0))</f>
        <v>0</v>
      </c>
      <c r="L30">
        <f ca="1" t="shared" si="0"/>
        <v>91975</v>
      </c>
      <c r="M30">
        <f ca="1" t="shared" si="28"/>
        <v>19530.5</v>
      </c>
      <c r="N30">
        <f ca="1" t="shared" si="29"/>
        <v>92028</v>
      </c>
      <c r="O30">
        <f ca="1" t="shared" si="1"/>
        <v>571576.3125</v>
      </c>
      <c r="P30">
        <f ca="1">IF(G30="恒定伤害",0,(IF(D30="轻剑",$AZ$2,$AZ$3)+IFERROR(INDEX(技能数据库!$T$2:$W$27,MATCH(E30,技能数据库!$T$2:$T$27,0),4),0)+COUNTIF(G30,"*造化2*")*154+COUNTIF(G30,"*造化1*")*102+COUNTIF(G30,"*碧归*")*307)/1024)</f>
        <v>0.447375959429785</v>
      </c>
      <c r="Q30">
        <f ca="1" t="shared" si="2"/>
        <v>0.448284482196154</v>
      </c>
      <c r="R30">
        <f ca="1" t="shared" si="3"/>
        <v>0.32958230397716</v>
      </c>
      <c r="S30">
        <f ca="1" t="shared" si="30"/>
        <v>803257.748715952</v>
      </c>
      <c r="T30">
        <f t="shared" si="31"/>
        <v>0.8</v>
      </c>
      <c r="U30">
        <f ca="1" t="shared" si="4"/>
        <v>2.68954760480339</v>
      </c>
      <c r="V30">
        <f ca="1" t="shared" si="32"/>
        <v>2370926.16225176</v>
      </c>
      <c r="W30">
        <f ca="1">IF(G30="恒定伤害",0,MIN(1,IF(COUNTIF(F30,"*内会*")&gt;0,内会,IF(D30="轻剑",$Y$2,$Y$3)+COUNTIF(G30,"*莺鸣*")*0.2+COUNTIF(G30,"*叠1*")*0.1+COUNTIF(G30,"*叠2*")*0.2+COUNTIF(G30,"*叠3*")*0.3)+IFERROR(INDEX(技能数据库!$T$2:$W$27,MATCH(E30,技能数据库!$T$2:$T$27,0),2),0)+IF((IF(D30="轻剑",$AO$2,$AO$3)+INT(COUNTIF(G30,"*大莺鸣*")*IF(D30="轻剑",$AM$2,$AM$3)*听晓无双率)/无双系数)&gt;0.9,特效裤子会心/会心系数,0)))</f>
        <v>0.9343</v>
      </c>
      <c r="X30">
        <f ca="1">IF(G30="恒定伤害",0,IF(COUNTIF(F30,"*内会*")&gt;0,内会效,IF(D30="轻剑",$AB$2,$AB$3))+IFERROR(INDEX(技能数据库!$T$2:$W$27,MATCH(E30,技能数据库!$T$2:$T$27,0),3)/1024,0))+COUNTIF(G30,"*叠1*")*0.25+COUNTIF(G30,"*叠2*")*0.5+COUNTIF(G30,"*叠3*")*0.75</f>
        <v>2.3217485021</v>
      </c>
      <c r="Y30">
        <f ca="1" t="shared" si="33"/>
        <v>2.23490962551203</v>
      </c>
      <c r="Z30">
        <f t="shared" si="5"/>
        <v>0.150390625</v>
      </c>
      <c r="AA30">
        <f ca="1" t="shared" si="34"/>
        <v>0.0205078125</v>
      </c>
      <c r="AB30">
        <f ca="1" t="shared" si="35"/>
        <v>6220705.80146214</v>
      </c>
      <c r="AC30">
        <f ca="1">无穷技能数计算!AJ22</f>
        <v>0</v>
      </c>
      <c r="AD30" s="164">
        <f ca="1" t="shared" si="36"/>
        <v>0</v>
      </c>
      <c r="AE30" s="168">
        <f ca="1" t="shared" si="6"/>
        <v>0.00421221094602306</v>
      </c>
      <c r="AF30" s="168">
        <f ca="1" t="shared" si="7"/>
        <v>0.00208633558445444</v>
      </c>
      <c r="AG30">
        <f ca="1" t="shared" si="8"/>
        <v>0.0035876637093506</v>
      </c>
      <c r="AH30">
        <f ca="1" t="shared" si="9"/>
        <v>1.00342609980051</v>
      </c>
      <c r="AI30">
        <f ca="1" t="shared" si="10"/>
        <v>1.00016101226475</v>
      </c>
      <c r="AJ30">
        <f ca="1" t="shared" si="11"/>
        <v>0</v>
      </c>
      <c r="AK30">
        <f ca="1" t="shared" si="17"/>
        <v>0</v>
      </c>
      <c r="AL30">
        <f ca="1" t="shared" si="12"/>
        <v>0</v>
      </c>
      <c r="AM30">
        <f ca="1" t="shared" si="18"/>
        <v>0</v>
      </c>
      <c r="AN30" s="168">
        <f ca="1" t="shared" si="13"/>
        <v>0.00839606381672686</v>
      </c>
      <c r="AO30" s="168">
        <f ca="1" t="shared" si="14"/>
        <v>0.00447057613551372</v>
      </c>
      <c r="AP30" s="172">
        <f ca="1" t="shared" si="15"/>
        <v>0</v>
      </c>
      <c r="AQ30" s="168">
        <f ca="1" t="shared" si="16"/>
        <v>0.00393951131463699</v>
      </c>
      <c r="AR30">
        <f t="shared" si="19"/>
        <v>1</v>
      </c>
      <c r="AX30" s="167" t="s">
        <v>2902</v>
      </c>
      <c r="AY30" s="167" t="s">
        <v>2902</v>
      </c>
      <c r="AZ30" s="164">
        <f ca="1" t="shared" si="39"/>
        <v>0.0196132853177649</v>
      </c>
      <c r="BA30">
        <f ca="1" t="shared" si="21"/>
        <v>20</v>
      </c>
      <c r="BB30" s="167" t="s">
        <v>2917</v>
      </c>
      <c r="BC30" s="164">
        <f ca="1" t="shared" si="37"/>
        <v>0.00485346425445056</v>
      </c>
      <c r="BD30">
        <f ca="1" t="shared" si="38"/>
        <v>15</v>
      </c>
      <c r="BE30">
        <f ca="1" t="shared" si="24"/>
        <v>18.8674245939675</v>
      </c>
      <c r="BF30">
        <f ca="1">无穷技能数计算!AJ82</f>
        <v>18.8674245939675</v>
      </c>
    </row>
    <row r="31" spans="4:58">
      <c r="D31" t="s">
        <v>1825</v>
      </c>
      <c r="E31" t="s">
        <v>2768</v>
      </c>
      <c r="G31" t="s">
        <v>3052</v>
      </c>
      <c r="H31">
        <f ca="1">INDEX(技能数据库!$B$2:$I$100,MATCH(无穷伤害与收益计算!$E31,技能数据库!$B$2:$B$100,0),MATCH(H$9,技能数据库!$B$2:$I$2,0))</f>
        <v>210</v>
      </c>
      <c r="I31">
        <f ca="1">INDEX(技能数据库!$B$2:$I$100,MATCH(无穷伤害与收益计算!$E31,技能数据库!$B$2:$B$100,0),MATCH(I$9,技能数据库!$B$2:$I$2,0))</f>
        <v>5.7875</v>
      </c>
      <c r="J31">
        <f ca="1">INDEX(技能数据库!$B$2:$I$100,MATCH(无穷伤害与收益计算!$E31,技能数据库!$B$2:$B$100,0),MATCH(J$9,技能数据库!$B$2:$I$2,0))</f>
        <v>2</v>
      </c>
      <c r="K31">
        <f ca="1">INDEX(技能数据库!$B$2:$I$100,MATCH(无穷伤害与收益计算!$E31,技能数据库!$B$2:$B$100,0),MATCH(K$9,技能数据库!$B$2:$I$2,0))</f>
        <v>0</v>
      </c>
      <c r="L31">
        <f ca="1" t="shared" si="0"/>
        <v>105847</v>
      </c>
      <c r="M31">
        <f ca="1" t="shared" si="28"/>
        <v>19530.5</v>
      </c>
      <c r="N31">
        <f ca="1" t="shared" si="29"/>
        <v>92028</v>
      </c>
      <c r="O31">
        <f ca="1" t="shared" si="1"/>
        <v>651860.5125</v>
      </c>
      <c r="P31">
        <f ca="1">IF(G31="恒定伤害",0,(IF(D31="轻剑",$AZ$2,$AZ$3)+IFERROR(INDEX(技能数据库!$T$2:$W$27,MATCH(E31,技能数据库!$T$2:$T$27,0),4),0)+COUNTIF(G31,"*造化2*")*154+COUNTIF(G31,"*造化1*")*102+COUNTIF(G31,"*碧归*")*307)/1024)</f>
        <v>0.447375959429785</v>
      </c>
      <c r="Q31">
        <f ca="1" t="shared" si="2"/>
        <v>0.448284482196154</v>
      </c>
      <c r="R31">
        <f ca="1" t="shared" si="3"/>
        <v>0.21277697966198</v>
      </c>
      <c r="S31">
        <f ca="1" t="shared" si="30"/>
        <v>1075691.38739809</v>
      </c>
      <c r="T31">
        <f t="shared" si="31"/>
        <v>0.8</v>
      </c>
      <c r="U31">
        <f ca="1" t="shared" si="4"/>
        <v>2.68954760480339</v>
      </c>
      <c r="V31">
        <f ca="1" t="shared" si="32"/>
        <v>3175051.6655058</v>
      </c>
      <c r="W31">
        <f ca="1">IF(G31="恒定伤害",0,MIN(1,IF(COUNTIF(F31,"*内会*")&gt;0,内会,IF(D31="轻剑",$Y$2,$Y$3)+COUNTIF(G31,"*莺鸣*")*0.2+COUNTIF(G31,"*叠1*")*0.1+COUNTIF(G31,"*叠2*")*0.2+COUNTIF(G31,"*叠3*")*0.3)+IFERROR(INDEX(技能数据库!$T$2:$W$27,MATCH(E31,技能数据库!$T$2:$T$27,0),2),0)+IF((IF(D31="轻剑",$AO$2,$AO$3)+INT(COUNTIF(G31,"*大莺鸣*")*IF(D31="轻剑",$AM$2,$AM$3)*听晓无双率)/无双系数)&gt;0.9,特效裤子会心/会心系数,0)))</f>
        <v>0.9343</v>
      </c>
      <c r="X31">
        <f ca="1">IF(G31="恒定伤害",0,IF(COUNTIF(F31,"*内会*")&gt;0,内会效,IF(D31="轻剑",$AB$2,$AB$3))+IFERROR(INDEX(技能数据库!$T$2:$W$27,MATCH(E31,技能数据库!$T$2:$T$27,0),3)/1024,0))+COUNTIF(G31,"*叠1*")*0.25+COUNTIF(G31,"*叠2*")*0.5+COUNTIF(G31,"*叠3*")*0.75</f>
        <v>2.3217485021</v>
      </c>
      <c r="Y31">
        <f ca="1" t="shared" si="33"/>
        <v>2.23490962551203</v>
      </c>
      <c r="Z31">
        <f t="shared" si="5"/>
        <v>0.150390625</v>
      </c>
      <c r="AA31">
        <f ca="1" t="shared" si="34"/>
        <v>0.0205078125</v>
      </c>
      <c r="AB31">
        <f ca="1" t="shared" si="35"/>
        <v>8330526.11676256</v>
      </c>
      <c r="AC31">
        <f ca="1">无穷技能数计算!AJ23</f>
        <v>0</v>
      </c>
      <c r="AD31" s="164">
        <f ca="1" t="shared" si="36"/>
        <v>0</v>
      </c>
      <c r="AE31" s="168">
        <f ca="1" t="shared" si="6"/>
        <v>0.00440370285506441</v>
      </c>
      <c r="AF31" s="168">
        <f ca="1" t="shared" si="7"/>
        <v>0.00182937910355477</v>
      </c>
      <c r="AG31">
        <f ca="1" t="shared" si="8"/>
        <v>0.00316563174908713</v>
      </c>
      <c r="AH31">
        <f ca="1" t="shared" si="9"/>
        <v>1.00300413578163</v>
      </c>
      <c r="AI31">
        <f ca="1" t="shared" si="10"/>
        <v>1.00016101226475</v>
      </c>
      <c r="AJ31">
        <f ca="1" t="shared" si="11"/>
        <v>0</v>
      </c>
      <c r="AK31">
        <f ca="1" t="shared" si="17"/>
        <v>0</v>
      </c>
      <c r="AL31">
        <f ca="1" t="shared" si="12"/>
        <v>0</v>
      </c>
      <c r="AM31">
        <f ca="1" t="shared" si="18"/>
        <v>0</v>
      </c>
      <c r="AN31" s="168">
        <f ca="1" t="shared" si="13"/>
        <v>0.00839606381672686</v>
      </c>
      <c r="AO31" s="168">
        <f ca="1" t="shared" si="14"/>
        <v>0.00447057613551372</v>
      </c>
      <c r="AP31" s="172">
        <f ca="1" t="shared" si="15"/>
        <v>0</v>
      </c>
      <c r="AQ31" s="168">
        <f ca="1" t="shared" si="16"/>
        <v>0.00393951131463699</v>
      </c>
      <c r="AR31">
        <f t="shared" si="19"/>
        <v>1</v>
      </c>
      <c r="AX31" s="167" t="s">
        <v>2906</v>
      </c>
      <c r="AY31" s="167" t="s">
        <v>2906</v>
      </c>
      <c r="AZ31" s="164">
        <f ca="1" t="shared" si="39"/>
        <v>0</v>
      </c>
      <c r="BA31">
        <f ca="1" t="shared" si="21"/>
        <v>0</v>
      </c>
      <c r="BB31" s="167" t="s">
        <v>2773</v>
      </c>
      <c r="BC31" s="164">
        <f ca="1" t="shared" si="37"/>
        <v>0</v>
      </c>
      <c r="BD31">
        <f ca="1" t="shared" si="38"/>
        <v>19</v>
      </c>
      <c r="BE31">
        <f ca="1" t="shared" si="24"/>
        <v>0</v>
      </c>
      <c r="BF31">
        <f ca="1">(COUNTIF(无穷技能数计算!$B$3:$B$515,"*虎跑*")*5+COUNTIF(无穷技能数计算!$B$3:$B$515,"*虎跑*")*1*COUNTIF(配装计算器!N24,"*双听*"))*无穷技能数计算!长时间循环比</f>
        <v>0</v>
      </c>
    </row>
    <row r="32" spans="4:58">
      <c r="D32" t="s">
        <v>1825</v>
      </c>
      <c r="E32" t="s">
        <v>2768</v>
      </c>
      <c r="G32" t="s">
        <v>3053</v>
      </c>
      <c r="H32">
        <f ca="1">INDEX(技能数据库!$B$2:$I$100,MATCH(无穷伤害与收益计算!$E32,技能数据库!$B$2:$B$100,0),MATCH(H$9,技能数据库!$B$2:$I$2,0))</f>
        <v>210</v>
      </c>
      <c r="I32">
        <f ca="1">INDEX(技能数据库!$B$2:$I$100,MATCH(无穷伤害与收益计算!$E32,技能数据库!$B$2:$B$100,0),MATCH(I$9,技能数据库!$B$2:$I$2,0))</f>
        <v>5.7875</v>
      </c>
      <c r="J32">
        <f ca="1">INDEX(技能数据库!$B$2:$I$100,MATCH(无穷伤害与收益计算!$E32,技能数据库!$B$2:$B$100,0),MATCH(J$9,技能数据库!$B$2:$I$2,0))</f>
        <v>2</v>
      </c>
      <c r="K32">
        <f ca="1">INDEX(技能数据库!$B$2:$I$100,MATCH(无穷伤害与收益计算!$E32,技能数据库!$B$2:$B$100,0),MATCH(K$9,技能数据库!$B$2:$I$2,0))</f>
        <v>0</v>
      </c>
      <c r="L32">
        <f ca="1" t="shared" si="0"/>
        <v>91975</v>
      </c>
      <c r="M32">
        <f ca="1" t="shared" si="28"/>
        <v>19530.5</v>
      </c>
      <c r="N32">
        <f ca="1" t="shared" si="29"/>
        <v>92028</v>
      </c>
      <c r="O32">
        <f ca="1" t="shared" si="1"/>
        <v>571576.3125</v>
      </c>
      <c r="P32">
        <f ca="1">IF(G32="恒定伤害",0,(IF(D32="轻剑",$AZ$2,$AZ$3)+IFERROR(INDEX(技能数据库!$T$2:$W$27,MATCH(E32,技能数据库!$T$2:$T$27,0),4),0)+COUNTIF(G32,"*造化2*")*154+COUNTIF(G32,"*造化1*")*102+COUNTIF(G32,"*碧归*")*307)/1024)</f>
        <v>0.396594709429785</v>
      </c>
      <c r="Q32">
        <f ca="1" t="shared" si="2"/>
        <v>0.448284482196154</v>
      </c>
      <c r="R32">
        <f ca="1" t="shared" si="3"/>
        <v>0.32958230397716</v>
      </c>
      <c r="S32">
        <f ca="1" t="shared" si="30"/>
        <v>775075.414826661</v>
      </c>
      <c r="T32">
        <f t="shared" si="31"/>
        <v>0.8</v>
      </c>
      <c r="U32">
        <f ca="1" t="shared" si="4"/>
        <v>1.7995442148</v>
      </c>
      <c r="V32">
        <f ca="1" t="shared" si="32"/>
        <v>1735886.31488935</v>
      </c>
      <c r="W32">
        <f ca="1">IF(G32="恒定伤害",0,MIN(1,IF(COUNTIF(F32,"*内会*")&gt;0,内会,IF(D32="轻剑",$Y$2,$Y$3)+COUNTIF(G32,"*莺鸣*")*0.2+COUNTIF(G32,"*叠1*")*0.1+COUNTIF(G32,"*叠2*")*0.2+COUNTIF(G32,"*叠3*")*0.3)+IFERROR(INDEX(技能数据库!$T$2:$W$27,MATCH(E32,技能数据库!$T$2:$T$27,0),2),0)+IF((IF(D32="轻剑",$AO$2,$AO$3)+INT(COUNTIF(G32,"*大莺鸣*")*IF(D32="轻剑",$AM$2,$AM$3)*听晓无双率)/无双系数)&gt;0.9,特效裤子会心/会心系数,0)))</f>
        <v>0.7343</v>
      </c>
      <c r="X32">
        <f ca="1">IF(G32="恒定伤害",0,IF(COUNTIF(F32,"*内会*")&gt;0,内会效,IF(D32="轻剑",$AB$2,$AB$3))+IFERROR(INDEX(技能数据库!$T$2:$W$27,MATCH(E32,技能数据库!$T$2:$T$27,0),3)/1024,0))+COUNTIF(G32,"*叠1*")*0.25+COUNTIF(G32,"*叠2*")*0.5+COUNTIF(G32,"*叠3*")*0.75</f>
        <v>2.3217485021</v>
      </c>
      <c r="Y32">
        <f ca="1" t="shared" si="33"/>
        <v>1.97055992509203</v>
      </c>
      <c r="Z32">
        <f t="shared" si="5"/>
        <v>0.150390625</v>
      </c>
      <c r="AA32">
        <f ca="1" t="shared" si="34"/>
        <v>0.0205078125</v>
      </c>
      <c r="AB32">
        <f ca="1" t="shared" si="35"/>
        <v>4015804.78939988</v>
      </c>
      <c r="AC32">
        <f ca="1">无穷技能数计算!AJ24</f>
        <v>0</v>
      </c>
      <c r="AD32" s="164">
        <f ca="1" t="shared" si="36"/>
        <v>0</v>
      </c>
      <c r="AE32" s="168">
        <f ca="1" t="shared" si="6"/>
        <v>0.00421221094602306</v>
      </c>
      <c r="AF32" s="168">
        <f ca="1" t="shared" si="7"/>
        <v>0.00208633558445444</v>
      </c>
      <c r="AG32">
        <f ca="1" t="shared" si="8"/>
        <v>0.0035876637093506</v>
      </c>
      <c r="AH32">
        <f ca="1" t="shared" si="9"/>
        <v>1.00342609980051</v>
      </c>
      <c r="AI32">
        <f ca="1" t="shared" si="10"/>
        <v>1.00016101226475</v>
      </c>
      <c r="AJ32">
        <f ca="1" t="shared" si="11"/>
        <v>0</v>
      </c>
      <c r="AK32">
        <f ca="1" t="shared" si="17"/>
        <v>0</v>
      </c>
      <c r="AL32">
        <f ca="1" t="shared" si="12"/>
        <v>0</v>
      </c>
      <c r="AM32">
        <f ca="1" t="shared" si="18"/>
        <v>0</v>
      </c>
      <c r="AN32" s="168">
        <f ca="1" t="shared" si="13"/>
        <v>0.00748399053993198</v>
      </c>
      <c r="AO32" s="168">
        <f ca="1" t="shared" si="14"/>
        <v>0.00447057613551372</v>
      </c>
      <c r="AP32" s="172">
        <f ca="1" t="shared" si="15"/>
        <v>0</v>
      </c>
      <c r="AQ32" s="168">
        <f ca="1" t="shared" si="16"/>
        <v>0.00401583628616287</v>
      </c>
      <c r="AR32">
        <f t="shared" si="19"/>
        <v>1</v>
      </c>
      <c r="AX32" s="167" t="s">
        <v>2827</v>
      </c>
      <c r="AY32" s="167" t="s">
        <v>2827</v>
      </c>
      <c r="AZ32" s="164">
        <f ca="1" t="shared" si="39"/>
        <v>0.00206023069491698</v>
      </c>
      <c r="BA32">
        <f ca="1" t="shared" si="21"/>
        <v>21.2861328125</v>
      </c>
      <c r="BB32" s="167" t="s">
        <v>2920</v>
      </c>
      <c r="BC32" s="164">
        <f ca="1" t="shared" si="37"/>
        <v>5.91215966860802e-5</v>
      </c>
      <c r="BD32">
        <f ca="1" t="shared" si="38"/>
        <v>18</v>
      </c>
      <c r="BE32">
        <f ca="1" t="shared" si="24"/>
        <v>0.80078125</v>
      </c>
      <c r="BF32">
        <f ca="1">无穷技能数计算!AN56</f>
        <v>0.80078125</v>
      </c>
    </row>
    <row r="33" spans="4:57">
      <c r="D33" t="s">
        <v>1825</v>
      </c>
      <c r="E33" t="s">
        <v>2768</v>
      </c>
      <c r="G33" t="s">
        <v>3057</v>
      </c>
      <c r="H33">
        <f ca="1">INDEX(技能数据库!$B$2:$I$100,MATCH(无穷伤害与收益计算!$E33,技能数据库!$B$2:$B$100,0),MATCH(H$9,技能数据库!$B$2:$I$2,0))</f>
        <v>210</v>
      </c>
      <c r="I33">
        <f ca="1">INDEX(技能数据库!$B$2:$I$100,MATCH(无穷伤害与收益计算!$E33,技能数据库!$B$2:$B$100,0),MATCH(I$9,技能数据库!$B$2:$I$2,0))</f>
        <v>5.7875</v>
      </c>
      <c r="J33">
        <f ca="1">INDEX(技能数据库!$B$2:$I$100,MATCH(无穷伤害与收益计算!$E33,技能数据库!$B$2:$B$100,0),MATCH(J$9,技能数据库!$B$2:$I$2,0))</f>
        <v>2</v>
      </c>
      <c r="K33">
        <f ca="1">INDEX(技能数据库!$B$2:$I$100,MATCH(无穷伤害与收益计算!$E33,技能数据库!$B$2:$B$100,0),MATCH(K$9,技能数据库!$B$2:$I$2,0))</f>
        <v>0</v>
      </c>
      <c r="L33">
        <f ca="1" t="shared" si="0"/>
        <v>105847</v>
      </c>
      <c r="M33">
        <f ca="1" t="shared" si="28"/>
        <v>19530.5</v>
      </c>
      <c r="N33">
        <f ca="1" t="shared" si="29"/>
        <v>92028</v>
      </c>
      <c r="O33">
        <f ca="1" t="shared" si="1"/>
        <v>651860.5125</v>
      </c>
      <c r="P33">
        <f ca="1">IF(G33="恒定伤害",0,(IF(D33="轻剑",$AZ$2,$AZ$3)+IFERROR(INDEX(技能数据库!$T$2:$W$27,MATCH(E33,技能数据库!$T$2:$T$27,0),4),0)+COUNTIF(G33,"*造化2*")*154+COUNTIF(G33,"*造化1*")*102+COUNTIF(G33,"*碧归*")*307)/1024)</f>
        <v>0.396594709429785</v>
      </c>
      <c r="Q33">
        <f ca="1" t="shared" si="2"/>
        <v>0.448284482196154</v>
      </c>
      <c r="R33">
        <f ca="1" t="shared" si="3"/>
        <v>0.21277697966198</v>
      </c>
      <c r="S33">
        <f ca="1" t="shared" si="30"/>
        <v>1037950.70716195</v>
      </c>
      <c r="T33">
        <f t="shared" si="31"/>
        <v>0.8</v>
      </c>
      <c r="U33">
        <f ca="1" t="shared" si="4"/>
        <v>1.7995442148</v>
      </c>
      <c r="V33">
        <f ca="1" t="shared" si="32"/>
        <v>2324631.11798625</v>
      </c>
      <c r="W33">
        <f ca="1">IF(G33="恒定伤害",0,MIN(1,IF(COUNTIF(F33,"*内会*")&gt;0,内会,IF(D33="轻剑",$Y$2,$Y$3)+COUNTIF(G33,"*莺鸣*")*0.2+COUNTIF(G33,"*叠1*")*0.1+COUNTIF(G33,"*叠2*")*0.2+COUNTIF(G33,"*叠3*")*0.3)+IFERROR(INDEX(技能数据库!$T$2:$W$27,MATCH(E33,技能数据库!$T$2:$T$27,0),2),0)+IF((IF(D33="轻剑",$AO$2,$AO$3)+INT(COUNTIF(G33,"*大莺鸣*")*IF(D33="轻剑",$AM$2,$AM$3)*听晓无双率)/无双系数)&gt;0.9,特效裤子会心/会心系数,0)))</f>
        <v>0.7343</v>
      </c>
      <c r="X33">
        <f ca="1">IF(G33="恒定伤害",0,IF(COUNTIF(F33,"*内会*")&gt;0,内会效,IF(D33="轻剑",$AB$2,$AB$3))+IFERROR(INDEX(技能数据库!$T$2:$W$27,MATCH(E33,技能数据库!$T$2:$T$27,0),3)/1024,0))+COUNTIF(G33,"*叠1*")*0.25+COUNTIF(G33,"*叠2*")*0.5+COUNTIF(G33,"*叠3*")*0.75</f>
        <v>2.3217485021</v>
      </c>
      <c r="Y33">
        <f ca="1" t="shared" si="33"/>
        <v>1.97055992509203</v>
      </c>
      <c r="Z33">
        <f t="shared" si="5"/>
        <v>0.150390625</v>
      </c>
      <c r="AA33">
        <f ca="1" t="shared" si="34"/>
        <v>0.0205078125</v>
      </c>
      <c r="AB33">
        <f ca="1" t="shared" si="35"/>
        <v>5377808.84446469</v>
      </c>
      <c r="AC33">
        <f ca="1">无穷技能数计算!AJ25</f>
        <v>12</v>
      </c>
      <c r="AD33" s="164">
        <f ca="1" t="shared" si="36"/>
        <v>0.022634808641514</v>
      </c>
      <c r="AE33" s="168">
        <f ca="1" t="shared" si="6"/>
        <v>0.00440370285506441</v>
      </c>
      <c r="AF33" s="168">
        <f ca="1" t="shared" si="7"/>
        <v>0.00182937910355477</v>
      </c>
      <c r="AG33">
        <f ca="1" t="shared" si="8"/>
        <v>0.00374149441661342</v>
      </c>
      <c r="AH33">
        <f ca="1" t="shared" si="9"/>
        <v>1.00300413578163</v>
      </c>
      <c r="AI33">
        <f ca="1" t="shared" si="10"/>
        <v>1.00016101226475</v>
      </c>
      <c r="AJ33">
        <f ca="1" t="shared" si="11"/>
        <v>1.00057404545102</v>
      </c>
      <c r="AK33">
        <f ca="1" t="shared" si="17"/>
        <v>12</v>
      </c>
      <c r="AL33">
        <f ca="1" t="shared" si="12"/>
        <v>0.00496352538323697</v>
      </c>
      <c r="AM33">
        <f ca="1" t="shared" si="18"/>
        <v>12</v>
      </c>
      <c r="AN33" s="168">
        <f ca="1" t="shared" si="13"/>
        <v>0.00748399053993198</v>
      </c>
      <c r="AO33" s="168">
        <f ca="1" t="shared" si="14"/>
        <v>0.00447057613551372</v>
      </c>
      <c r="AP33" s="172">
        <f ca="1" t="shared" si="15"/>
        <v>0</v>
      </c>
      <c r="AQ33" s="168">
        <f ca="1" t="shared" si="16"/>
        <v>0.00401583628616287</v>
      </c>
      <c r="AR33">
        <f t="shared" si="19"/>
        <v>1</v>
      </c>
      <c r="AX33" s="167" t="s">
        <v>2915</v>
      </c>
      <c r="AY33" s="167" t="s">
        <v>2813</v>
      </c>
      <c r="AZ33" s="164">
        <f ca="1" t="shared" si="39"/>
        <v>0</v>
      </c>
      <c r="BA33">
        <f ca="1" t="shared" si="21"/>
        <v>0</v>
      </c>
      <c r="BB33" s="167" t="s">
        <v>3154</v>
      </c>
      <c r="BC33" s="164">
        <f ca="1" t="shared" ref="BC33:BC44" si="40">SUMIF($AY$10:$AY$100,BB33,$AZ$10:$AZ$100)</f>
        <v>0</v>
      </c>
      <c r="BD33">
        <f ca="1" t="shared" ref="BD33:BD44" si="41">RANK(BC33,$BC$10:$BC$100)</f>
        <v>19</v>
      </c>
      <c r="BE33">
        <f ca="1" t="shared" ref="BE33:BE44" si="42">SUMIF($AY$10:$AY$100,BB33,$BA$10:$BA$100)</f>
        <v>0</v>
      </c>
    </row>
    <row r="34" spans="4:57">
      <c r="D34" t="s">
        <v>1825</v>
      </c>
      <c r="E34" s="161" t="s">
        <v>2772</v>
      </c>
      <c r="H34">
        <f ca="1">INDEX(技能数据库!$B$2:$I$100,MATCH(无穷伤害与收益计算!$E34,技能数据库!$B$2:$B$100,0),MATCH(H$9,技能数据库!$B$2:$I$2,0))</f>
        <v>0</v>
      </c>
      <c r="I34">
        <f ca="1">INDEX(技能数据库!$B$2:$I$100,MATCH(无穷伤害与收益计算!$E34,技能数据库!$B$2:$B$100,0),MATCH(I$9,技能数据库!$B$2:$I$2,0))</f>
        <v>0</v>
      </c>
      <c r="J34">
        <f ca="1">INDEX(技能数据库!$B$2:$I$100,MATCH(无穷伤害与收益计算!$E34,技能数据库!$B$2:$B$100,0),MATCH(J$9,技能数据库!$B$2:$I$2,0))</f>
        <v>0</v>
      </c>
      <c r="K34">
        <f ca="1">INDEX(技能数据库!$B$2:$I$100,MATCH(无穷伤害与收益计算!$E34,技能数据库!$B$2:$B$100,0),MATCH(K$9,技能数据库!$B$2:$I$2,0))</f>
        <v>0.207999229431152</v>
      </c>
      <c r="L34">
        <f ca="1" t="shared" si="0"/>
        <v>91975</v>
      </c>
      <c r="M34">
        <f ca="1" t="shared" si="28"/>
        <v>19530.5</v>
      </c>
      <c r="N34">
        <f ca="1" t="shared" si="29"/>
        <v>92028</v>
      </c>
      <c r="O34">
        <f ca="1" t="shared" si="1"/>
        <v>163355.720836693</v>
      </c>
      <c r="P34">
        <f ca="1">IF(G34="恒定伤害",0,(IF(D34="轻剑",$AZ$2,$AZ$3)+IFERROR(INDEX(技能数据库!$T$2:$W$27,MATCH(E34,技能数据库!$T$2:$T$27,0),4),0)+COUNTIF(G34,"*造化2*")*154+COUNTIF(G34,"*造化1*")*102+COUNTIF(G34,"*碧归*")*307)/1024)</f>
        <v>0.176868146929785</v>
      </c>
      <c r="Q34">
        <f ca="1" t="shared" si="2"/>
        <v>0.448284482196154</v>
      </c>
      <c r="R34">
        <f ca="1" t="shared" si="3"/>
        <v>0.32958230397716</v>
      </c>
      <c r="S34">
        <f ca="1" t="shared" si="30"/>
        <v>186664.402032706</v>
      </c>
      <c r="T34">
        <f t="shared" si="31"/>
        <v>0.8</v>
      </c>
      <c r="U34">
        <f ca="1" t="shared" si="4"/>
        <v>1.7995442148</v>
      </c>
      <c r="V34">
        <f ca="1" t="shared" si="32"/>
        <v>418060.19745581</v>
      </c>
      <c r="W34">
        <f ca="1">IF(G34="恒定伤害",0,MIN(1,IF(COUNTIF(F34,"*内会*")&gt;0,内会,IF(D34="轻剑",$Y$2,$Y$3)+COUNTIF(G34,"*莺鸣*")*0.2+COUNTIF(G34,"*叠1*")*0.1+COUNTIF(G34,"*叠2*")*0.2+COUNTIF(G34,"*叠3*")*0.3)+IFERROR(INDEX(技能数据库!$T$2:$W$27,MATCH(E34,技能数据库!$T$2:$T$27,0),2),0)+IF((IF(D34="轻剑",$AO$2,$AO$3)+INT(COUNTIF(G34,"*大莺鸣*")*IF(D34="轻剑",$AM$2,$AM$3)*听晓无双率)/无双系数)&gt;0.9,特效裤子会心/会心系数,0)))</f>
        <v>0.7343</v>
      </c>
      <c r="X34">
        <f ca="1">IF(G34="恒定伤害",0,IF(COUNTIF(F34,"*内会*")&gt;0,内会效,IF(D34="轻剑",$AB$2,$AB$3))+IFERROR(INDEX(技能数据库!$T$2:$W$27,MATCH(E34,技能数据库!$T$2:$T$27,0),3)/1024,0))+COUNTIF(G34,"*叠1*")*0.25+COUNTIF(G34,"*叠2*")*0.5+COUNTIF(G34,"*叠3*")*0.75</f>
        <v>2.3217485021</v>
      </c>
      <c r="Y34">
        <f ca="1" t="shared" si="33"/>
        <v>1.97055992509203</v>
      </c>
      <c r="Z34">
        <f t="shared" si="5"/>
        <v>0.150390625</v>
      </c>
      <c r="AA34">
        <f ca="1" t="shared" si="34"/>
        <v>0.0205078125</v>
      </c>
      <c r="AB34">
        <f ca="1" t="shared" si="35"/>
        <v>967141.758535907</v>
      </c>
      <c r="AC34">
        <f ca="1">无穷技能数计算!AJ26</f>
        <v>0</v>
      </c>
      <c r="AD34" s="164">
        <f ca="1" t="shared" si="36"/>
        <v>0</v>
      </c>
      <c r="AE34" s="168">
        <f ca="1" t="shared" si="6"/>
        <v>0</v>
      </c>
      <c r="AF34" s="168">
        <f ca="1" t="shared" si="7"/>
        <v>0</v>
      </c>
      <c r="AG34">
        <f ca="1" t="shared" si="8"/>
        <v>0.000161012264749072</v>
      </c>
      <c r="AH34">
        <f ca="1" t="shared" si="9"/>
        <v>1</v>
      </c>
      <c r="AI34">
        <f ca="1" t="shared" si="10"/>
        <v>1.00016101226475</v>
      </c>
      <c r="AJ34">
        <f ca="1" t="shared" si="11"/>
        <v>0</v>
      </c>
      <c r="AK34">
        <f ca="1" t="shared" si="17"/>
        <v>0</v>
      </c>
      <c r="AL34">
        <f ca="1" t="shared" si="12"/>
        <v>0</v>
      </c>
      <c r="AM34">
        <f ca="1" t="shared" si="18"/>
        <v>0</v>
      </c>
      <c r="AN34" s="168">
        <f ca="1" t="shared" si="13"/>
        <v>0.00748399053993198</v>
      </c>
      <c r="AO34" s="168">
        <f ca="1" t="shared" si="14"/>
        <v>0.00447057613551372</v>
      </c>
      <c r="AP34" s="172">
        <f ca="1" t="shared" si="15"/>
        <v>0.015897335593515</v>
      </c>
      <c r="AQ34" s="168">
        <f ca="1" t="shared" si="16"/>
        <v>0.00401583628616287</v>
      </c>
      <c r="AR34">
        <f t="shared" si="19"/>
        <v>1</v>
      </c>
      <c r="AX34" s="167" t="s">
        <v>2917</v>
      </c>
      <c r="AY34" s="167" t="s">
        <v>2917</v>
      </c>
      <c r="AZ34" s="164">
        <f ca="1" t="shared" si="39"/>
        <v>0.00485346425445056</v>
      </c>
      <c r="BA34">
        <f ca="1" t="shared" si="21"/>
        <v>18.8674245939675</v>
      </c>
      <c r="BB34" s="167" t="s">
        <v>3155</v>
      </c>
      <c r="BC34" s="164">
        <f ca="1" t="shared" si="40"/>
        <v>0</v>
      </c>
      <c r="BD34">
        <f ca="1" t="shared" si="41"/>
        <v>19</v>
      </c>
      <c r="BE34">
        <f ca="1" t="shared" si="42"/>
        <v>0</v>
      </c>
    </row>
    <row r="35" spans="4:57">
      <c r="D35" t="s">
        <v>1825</v>
      </c>
      <c r="E35" s="161" t="s">
        <v>2772</v>
      </c>
      <c r="G35" t="s">
        <v>2750</v>
      </c>
      <c r="H35">
        <f ca="1">INDEX(技能数据库!$B$2:$I$100,MATCH(无穷伤害与收益计算!$E35,技能数据库!$B$2:$B$100,0),MATCH(H$9,技能数据库!$B$2:$I$2,0))</f>
        <v>0</v>
      </c>
      <c r="I35">
        <f ca="1">INDEX(技能数据库!$B$2:$I$100,MATCH(无穷伤害与收益计算!$E35,技能数据库!$B$2:$B$100,0),MATCH(I$9,技能数据库!$B$2:$I$2,0))</f>
        <v>0</v>
      </c>
      <c r="J35">
        <f ca="1">INDEX(技能数据库!$B$2:$I$100,MATCH(无穷伤害与收益计算!$E35,技能数据库!$B$2:$B$100,0),MATCH(J$9,技能数据库!$B$2:$I$2,0))</f>
        <v>0</v>
      </c>
      <c r="K35">
        <f ca="1">INDEX(技能数据库!$B$2:$I$100,MATCH(无穷伤害与收益计算!$E35,技能数据库!$B$2:$B$100,0),MATCH(K$9,技能数据库!$B$2:$I$2,0))</f>
        <v>0.207999229431152</v>
      </c>
      <c r="L35">
        <f ca="1" t="shared" si="0"/>
        <v>105847</v>
      </c>
      <c r="M35">
        <f ca="1" t="shared" si="28"/>
        <v>19530.5</v>
      </c>
      <c r="N35">
        <f ca="1" t="shared" si="29"/>
        <v>92028</v>
      </c>
      <c r="O35">
        <f ca="1" t="shared" si="1"/>
        <v>163355.720836693</v>
      </c>
      <c r="P35">
        <f ca="1">IF(G35="恒定伤害",0,(IF(D35="轻剑",$AZ$2,$AZ$3)+IFERROR(INDEX(技能数据库!$T$2:$W$27,MATCH(E35,技能数据库!$T$2:$T$27,0),4),0)+COUNTIF(G35,"*造化2*")*154+COUNTIF(G35,"*造化1*")*102+COUNTIF(G35,"*碧归*")*307)/1024)</f>
        <v>0.176868146929785</v>
      </c>
      <c r="Q35">
        <f ca="1" t="shared" si="2"/>
        <v>0.448284482196154</v>
      </c>
      <c r="R35">
        <f ca="1" t="shared" si="3"/>
        <v>0.21277697966198</v>
      </c>
      <c r="S35">
        <f ca="1" t="shared" si="30"/>
        <v>219186.508992105</v>
      </c>
      <c r="T35">
        <f t="shared" si="31"/>
        <v>0.8</v>
      </c>
      <c r="U35">
        <f ca="1" t="shared" si="4"/>
        <v>1.7995442148</v>
      </c>
      <c r="V35">
        <f ca="1" t="shared" si="32"/>
        <v>490897.858568846</v>
      </c>
      <c r="W35">
        <f ca="1">IF(G35="恒定伤害",0,MIN(1,IF(COUNTIF(F35,"*内会*")&gt;0,内会,IF(D35="轻剑",$Y$2,$Y$3)+COUNTIF(G35,"*莺鸣*")*0.2+COUNTIF(G35,"*叠1*")*0.1+COUNTIF(G35,"*叠2*")*0.2+COUNTIF(G35,"*叠3*")*0.3)+IFERROR(INDEX(技能数据库!$T$2:$W$27,MATCH(E35,技能数据库!$T$2:$T$27,0),2),0)+IF((IF(D35="轻剑",$AO$2,$AO$3)+INT(COUNTIF(G35,"*大莺鸣*")*IF(D35="轻剑",$AM$2,$AM$3)*听晓无双率)/无双系数)&gt;0.9,特效裤子会心/会心系数,0)))</f>
        <v>0.7343</v>
      </c>
      <c r="X35">
        <f ca="1">IF(G35="恒定伤害",0,IF(COUNTIF(F35,"*内会*")&gt;0,内会效,IF(D35="轻剑",$AB$2,$AB$3))+IFERROR(INDEX(技能数据库!$T$2:$W$27,MATCH(E35,技能数据库!$T$2:$T$27,0),3)/1024,0))+COUNTIF(G35,"*叠1*")*0.25+COUNTIF(G35,"*叠2*")*0.5+COUNTIF(G35,"*叠3*")*0.75</f>
        <v>2.3217485021</v>
      </c>
      <c r="Y35">
        <f ca="1" t="shared" si="33"/>
        <v>1.97055992509203</v>
      </c>
      <c r="Z35">
        <f t="shared" si="5"/>
        <v>0.150390625</v>
      </c>
      <c r="AA35">
        <f ca="1" t="shared" si="34"/>
        <v>0.0205078125</v>
      </c>
      <c r="AB35">
        <f ca="1" t="shared" si="35"/>
        <v>1135644.62985733</v>
      </c>
      <c r="AC35">
        <f ca="1">无穷技能数计算!AJ27</f>
        <v>48</v>
      </c>
      <c r="AD35" s="164">
        <f ca="1" t="shared" si="36"/>
        <v>0.0191193845858181</v>
      </c>
      <c r="AE35" s="168">
        <f ca="1" t="shared" si="6"/>
        <v>0</v>
      </c>
      <c r="AF35" s="168">
        <f ca="1" t="shared" si="7"/>
        <v>0</v>
      </c>
      <c r="AG35">
        <f ca="1" t="shared" si="8"/>
        <v>0.000735150144128172</v>
      </c>
      <c r="AH35">
        <f ca="1" t="shared" si="9"/>
        <v>1</v>
      </c>
      <c r="AI35">
        <f ca="1" t="shared" si="10"/>
        <v>1.00016101226475</v>
      </c>
      <c r="AJ35">
        <f ca="1" t="shared" si="11"/>
        <v>1.00057404545102</v>
      </c>
      <c r="AK35">
        <f ca="1" t="shared" si="17"/>
        <v>48</v>
      </c>
      <c r="AL35">
        <f ca="1" t="shared" si="12"/>
        <v>0.00496352538323697</v>
      </c>
      <c r="AM35">
        <f ca="1" t="shared" si="18"/>
        <v>48</v>
      </c>
      <c r="AN35" s="168">
        <f ca="1" t="shared" si="13"/>
        <v>0.00748399053993198</v>
      </c>
      <c r="AO35" s="168">
        <f ca="1" t="shared" si="14"/>
        <v>0.00447057613551372</v>
      </c>
      <c r="AP35" s="172">
        <f ca="1" t="shared" si="15"/>
        <v>0.015897335593515</v>
      </c>
      <c r="AQ35" s="168">
        <f ca="1" t="shared" si="16"/>
        <v>0.00401583628616287</v>
      </c>
      <c r="AR35">
        <f t="shared" si="19"/>
        <v>1</v>
      </c>
      <c r="AX35" s="167" t="s">
        <v>2773</v>
      </c>
      <c r="AY35" s="167" t="s">
        <v>2773</v>
      </c>
      <c r="AZ35" s="164">
        <f ca="1" t="shared" si="39"/>
        <v>0</v>
      </c>
      <c r="BA35">
        <f ca="1" t="shared" si="21"/>
        <v>0</v>
      </c>
      <c r="BB35" s="161" t="s">
        <v>2850</v>
      </c>
      <c r="BC35" s="164">
        <f ca="1" t="shared" si="40"/>
        <v>0</v>
      </c>
      <c r="BD35">
        <f ca="1" t="shared" si="41"/>
        <v>19</v>
      </c>
      <c r="BE35">
        <f ca="1" t="shared" si="42"/>
        <v>0</v>
      </c>
    </row>
    <row r="36" spans="4:57">
      <c r="D36" t="s">
        <v>1825</v>
      </c>
      <c r="E36" s="161" t="s">
        <v>2772</v>
      </c>
      <c r="G36" t="s">
        <v>2948</v>
      </c>
      <c r="H36">
        <f ca="1">INDEX(技能数据库!$B$2:$I$100,MATCH(无穷伤害与收益计算!$E36,技能数据库!$B$2:$B$100,0),MATCH(H$9,技能数据库!$B$2:$I$2,0))</f>
        <v>0</v>
      </c>
      <c r="I36">
        <f ca="1">INDEX(技能数据库!$B$2:$I$100,MATCH(无穷伤害与收益计算!$E36,技能数据库!$B$2:$B$100,0),MATCH(I$9,技能数据库!$B$2:$I$2,0))</f>
        <v>0</v>
      </c>
      <c r="J36">
        <f ca="1">INDEX(技能数据库!$B$2:$I$100,MATCH(无穷伤害与收益计算!$E36,技能数据库!$B$2:$B$100,0),MATCH(J$9,技能数据库!$B$2:$I$2,0))</f>
        <v>0</v>
      </c>
      <c r="K36">
        <f ca="1">INDEX(技能数据库!$B$2:$I$100,MATCH(无穷伤害与收益计算!$E36,技能数据库!$B$2:$B$100,0),MATCH(K$9,技能数据库!$B$2:$I$2,0))</f>
        <v>0.207999229431152</v>
      </c>
      <c r="L36">
        <f ca="1" t="shared" si="0"/>
        <v>91975</v>
      </c>
      <c r="M36">
        <f ca="1" t="shared" si="28"/>
        <v>19530.5</v>
      </c>
      <c r="N36">
        <f ca="1" t="shared" si="29"/>
        <v>92028</v>
      </c>
      <c r="O36">
        <f ca="1" t="shared" si="1"/>
        <v>163355.720836693</v>
      </c>
      <c r="P36">
        <f ca="1">IF(G36="恒定伤害",0,(IF(D36="轻剑",$AZ$2,$AZ$3)+IFERROR(INDEX(技能数据库!$T$2:$W$27,MATCH(E36,技能数据库!$T$2:$T$27,0),4),0)+COUNTIF(G36,"*造化2*")*154+COUNTIF(G36,"*造化1*")*102+COUNTIF(G36,"*碧归*")*307)/1024)</f>
        <v>0.176868146929785</v>
      </c>
      <c r="Q36">
        <f ca="1" t="shared" si="2"/>
        <v>0.448284482196154</v>
      </c>
      <c r="R36">
        <f ca="1" t="shared" si="3"/>
        <v>0.32958230397716</v>
      </c>
      <c r="S36">
        <f ca="1" t="shared" si="30"/>
        <v>186664.402032706</v>
      </c>
      <c r="T36">
        <f t="shared" si="31"/>
        <v>0.8</v>
      </c>
      <c r="U36">
        <f ca="1" t="shared" si="4"/>
        <v>2.68954760480339</v>
      </c>
      <c r="V36">
        <f ca="1" t="shared" si="32"/>
        <v>550965.757937461</v>
      </c>
      <c r="W36">
        <f ca="1">IF(G36="恒定伤害",0,MIN(1,IF(COUNTIF(F36,"*内会*")&gt;0,内会,IF(D36="轻剑",$Y$2,$Y$3)+COUNTIF(G36,"*莺鸣*")*0.2+COUNTIF(G36,"*叠1*")*0.1+COUNTIF(G36,"*叠2*")*0.2+COUNTIF(G36,"*叠3*")*0.3)+IFERROR(INDEX(技能数据库!$T$2:$W$27,MATCH(E36,技能数据库!$T$2:$T$27,0),2),0)+IF((IF(D36="轻剑",$AO$2,$AO$3)+INT(COUNTIF(G36,"*大莺鸣*")*IF(D36="轻剑",$AM$2,$AM$3)*听晓无双率)/无双系数)&gt;0.9,特效裤子会心/会心系数,0)))</f>
        <v>0.9343</v>
      </c>
      <c r="X36">
        <f ca="1">IF(G36="恒定伤害",0,IF(COUNTIF(F36,"*内会*")&gt;0,内会效,IF(D36="轻剑",$AB$2,$AB$3))+IFERROR(INDEX(技能数据库!$T$2:$W$27,MATCH(E36,技能数据库!$T$2:$T$27,0),3)/1024,0))+COUNTIF(G36,"*叠1*")*0.25+COUNTIF(G36,"*叠2*")*0.5+COUNTIF(G36,"*叠3*")*0.75</f>
        <v>2.3217485021</v>
      </c>
      <c r="Y36">
        <f ca="1" t="shared" si="33"/>
        <v>2.23490962551203</v>
      </c>
      <c r="Z36">
        <f t="shared" si="5"/>
        <v>0.150390625</v>
      </c>
      <c r="AA36">
        <f ca="1" t="shared" si="34"/>
        <v>0.0205078125</v>
      </c>
      <c r="AB36">
        <f ca="1" t="shared" si="35"/>
        <v>1445593.68460189</v>
      </c>
      <c r="AC36">
        <f ca="1">无穷技能数计算!AJ28</f>
        <v>0</v>
      </c>
      <c r="AD36" s="164">
        <f ca="1" t="shared" si="36"/>
        <v>0</v>
      </c>
      <c r="AE36" s="168">
        <f ca="1" t="shared" si="6"/>
        <v>0</v>
      </c>
      <c r="AF36" s="168">
        <f ca="1" t="shared" si="7"/>
        <v>0</v>
      </c>
      <c r="AG36">
        <f ca="1" t="shared" si="8"/>
        <v>0.000161012264749072</v>
      </c>
      <c r="AH36">
        <f ca="1" t="shared" si="9"/>
        <v>1</v>
      </c>
      <c r="AI36">
        <f ca="1" t="shared" si="10"/>
        <v>1.00016101226475</v>
      </c>
      <c r="AJ36">
        <f ca="1" t="shared" si="11"/>
        <v>0</v>
      </c>
      <c r="AK36">
        <f ca="1" t="shared" si="17"/>
        <v>0</v>
      </c>
      <c r="AL36">
        <f ca="1" t="shared" si="12"/>
        <v>0</v>
      </c>
      <c r="AM36">
        <f ca="1" t="shared" si="18"/>
        <v>0</v>
      </c>
      <c r="AN36" s="168">
        <f ca="1" t="shared" si="13"/>
        <v>0.00839606381672686</v>
      </c>
      <c r="AO36" s="168">
        <f ca="1" t="shared" si="14"/>
        <v>0.00447057613551372</v>
      </c>
      <c r="AP36" s="172">
        <f ca="1" t="shared" si="15"/>
        <v>0.015897335593515</v>
      </c>
      <c r="AQ36" s="168">
        <f ca="1" t="shared" si="16"/>
        <v>0.00393951131463699</v>
      </c>
      <c r="AR36">
        <f t="shared" si="19"/>
        <v>1</v>
      </c>
      <c r="AX36" s="167" t="s">
        <v>2920</v>
      </c>
      <c r="AY36" s="167" t="s">
        <v>2920</v>
      </c>
      <c r="AZ36" s="164">
        <f ca="1" t="shared" si="39"/>
        <v>5.91215966860802e-5</v>
      </c>
      <c r="BA36">
        <f ca="1" t="shared" si="21"/>
        <v>0.80078125</v>
      </c>
      <c r="BB36" s="161" t="s">
        <v>2853</v>
      </c>
      <c r="BC36" s="164">
        <f ca="1" t="shared" si="40"/>
        <v>0</v>
      </c>
      <c r="BD36">
        <f ca="1" t="shared" si="41"/>
        <v>19</v>
      </c>
      <c r="BE36">
        <f ca="1" t="shared" si="42"/>
        <v>0</v>
      </c>
    </row>
    <row r="37" spans="4:57">
      <c r="D37" t="s">
        <v>1825</v>
      </c>
      <c r="E37" s="161" t="s">
        <v>2772</v>
      </c>
      <c r="G37" t="s">
        <v>3044</v>
      </c>
      <c r="H37">
        <f ca="1">INDEX(技能数据库!$B$2:$I$100,MATCH(无穷伤害与收益计算!$E37,技能数据库!$B$2:$B$100,0),MATCH(H$9,技能数据库!$B$2:$I$2,0))</f>
        <v>0</v>
      </c>
      <c r="I37">
        <f ca="1">INDEX(技能数据库!$B$2:$I$100,MATCH(无穷伤害与收益计算!$E37,技能数据库!$B$2:$B$100,0),MATCH(I$9,技能数据库!$B$2:$I$2,0))</f>
        <v>0</v>
      </c>
      <c r="J37">
        <f ca="1">INDEX(技能数据库!$B$2:$I$100,MATCH(无穷伤害与收益计算!$E37,技能数据库!$B$2:$B$100,0),MATCH(J$9,技能数据库!$B$2:$I$2,0))</f>
        <v>0</v>
      </c>
      <c r="K37">
        <f ca="1">INDEX(技能数据库!$B$2:$I$100,MATCH(无穷伤害与收益计算!$E37,技能数据库!$B$2:$B$100,0),MATCH(K$9,技能数据库!$B$2:$I$2,0))</f>
        <v>0.207999229431152</v>
      </c>
      <c r="L37">
        <f ca="1" t="shared" si="0"/>
        <v>105847</v>
      </c>
      <c r="M37">
        <f ca="1" t="shared" si="28"/>
        <v>19530.5</v>
      </c>
      <c r="N37">
        <f ca="1" t="shared" si="29"/>
        <v>92028</v>
      </c>
      <c r="O37">
        <f ca="1" t="shared" si="1"/>
        <v>163355.720836693</v>
      </c>
      <c r="P37">
        <f ca="1">IF(G37="恒定伤害",0,(IF(D37="轻剑",$AZ$2,$AZ$3)+IFERROR(INDEX(技能数据库!$T$2:$W$27,MATCH(E37,技能数据库!$T$2:$T$27,0),4),0)+COUNTIF(G37,"*造化2*")*154+COUNTIF(G37,"*造化1*")*102+COUNTIF(G37,"*碧归*")*307)/1024)</f>
        <v>0.176868146929785</v>
      </c>
      <c r="Q37">
        <f ca="1" t="shared" si="2"/>
        <v>0.448284482196154</v>
      </c>
      <c r="R37">
        <f ca="1" t="shared" si="3"/>
        <v>0.21277697966198</v>
      </c>
      <c r="S37">
        <f ca="1" t="shared" si="30"/>
        <v>219186.508992105</v>
      </c>
      <c r="T37">
        <f t="shared" si="31"/>
        <v>0.8</v>
      </c>
      <c r="U37">
        <f ca="1" t="shared" si="4"/>
        <v>2.68954760480339</v>
      </c>
      <c r="V37">
        <f ca="1" t="shared" si="32"/>
        <v>646959.247405632</v>
      </c>
      <c r="W37">
        <f ca="1">IF(G37="恒定伤害",0,MIN(1,IF(COUNTIF(F37,"*内会*")&gt;0,内会,IF(D37="轻剑",$Y$2,$Y$3)+COUNTIF(G37,"*莺鸣*")*0.2+COUNTIF(G37,"*叠1*")*0.1+COUNTIF(G37,"*叠2*")*0.2+COUNTIF(G37,"*叠3*")*0.3)+IFERROR(INDEX(技能数据库!$T$2:$W$27,MATCH(E37,技能数据库!$T$2:$T$27,0),2),0)+IF((IF(D37="轻剑",$AO$2,$AO$3)+INT(COUNTIF(G37,"*大莺鸣*")*IF(D37="轻剑",$AM$2,$AM$3)*听晓无双率)/无双系数)&gt;0.9,特效裤子会心/会心系数,0)))</f>
        <v>0.9343</v>
      </c>
      <c r="X37">
        <f ca="1">IF(G37="恒定伤害",0,IF(COUNTIF(F37,"*内会*")&gt;0,内会效,IF(D37="轻剑",$AB$2,$AB$3))+IFERROR(INDEX(技能数据库!$T$2:$W$27,MATCH(E37,技能数据库!$T$2:$T$27,0),3)/1024,0))+COUNTIF(G37,"*叠1*")*0.25+COUNTIF(G37,"*叠2*")*0.5+COUNTIF(G37,"*叠3*")*0.75</f>
        <v>2.3217485021</v>
      </c>
      <c r="Y37">
        <f ca="1" t="shared" si="33"/>
        <v>2.23490962551203</v>
      </c>
      <c r="Z37">
        <f t="shared" si="5"/>
        <v>0.150390625</v>
      </c>
      <c r="AA37">
        <f ca="1" t="shared" si="34"/>
        <v>0.0205078125</v>
      </c>
      <c r="AB37">
        <f ca="1" t="shared" si="35"/>
        <v>1697456.12820921</v>
      </c>
      <c r="AC37">
        <f ca="1">无穷技能数计算!AJ29</f>
        <v>0</v>
      </c>
      <c r="AD37" s="164">
        <f ca="1" t="shared" si="36"/>
        <v>0</v>
      </c>
      <c r="AE37" s="168">
        <f ca="1" t="shared" si="6"/>
        <v>0</v>
      </c>
      <c r="AF37" s="168">
        <f ca="1" t="shared" si="7"/>
        <v>0</v>
      </c>
      <c r="AG37">
        <f ca="1" t="shared" si="8"/>
        <v>0.000161012264749072</v>
      </c>
      <c r="AH37">
        <f ca="1" t="shared" si="9"/>
        <v>1</v>
      </c>
      <c r="AI37">
        <f ca="1" t="shared" si="10"/>
        <v>1.00016101226475</v>
      </c>
      <c r="AJ37">
        <f ca="1" t="shared" si="11"/>
        <v>0</v>
      </c>
      <c r="AK37">
        <f ca="1" t="shared" si="17"/>
        <v>0</v>
      </c>
      <c r="AL37">
        <f ca="1" t="shared" si="12"/>
        <v>0</v>
      </c>
      <c r="AM37">
        <f ca="1" t="shared" si="18"/>
        <v>0</v>
      </c>
      <c r="AN37" s="168">
        <f ca="1" t="shared" si="13"/>
        <v>0.00839606381672686</v>
      </c>
      <c r="AO37" s="168">
        <f ca="1" t="shared" si="14"/>
        <v>0.00447057613551372</v>
      </c>
      <c r="AP37" s="172">
        <f ca="1" t="shared" si="15"/>
        <v>0.015897335593515</v>
      </c>
      <c r="AQ37" s="168">
        <f ca="1" t="shared" si="16"/>
        <v>0.00393951131463699</v>
      </c>
      <c r="AR37">
        <f t="shared" si="19"/>
        <v>1</v>
      </c>
      <c r="AX37" s="167" t="s">
        <v>2718</v>
      </c>
      <c r="AY37" s="167" t="s">
        <v>2813</v>
      </c>
      <c r="AZ37" s="164">
        <f ca="1" t="shared" si="39"/>
        <v>0</v>
      </c>
      <c r="BA37" s="173">
        <f ca="1" t="shared" si="21"/>
        <v>0</v>
      </c>
      <c r="BB37" s="161" t="s">
        <v>2855</v>
      </c>
      <c r="BC37" s="164">
        <f ca="1" t="shared" si="40"/>
        <v>0</v>
      </c>
      <c r="BD37">
        <f ca="1" t="shared" si="41"/>
        <v>19</v>
      </c>
      <c r="BE37">
        <f ca="1" t="shared" si="42"/>
        <v>0</v>
      </c>
    </row>
    <row r="38" spans="4:57">
      <c r="D38" t="s">
        <v>1825</v>
      </c>
      <c r="E38" t="s">
        <v>2776</v>
      </c>
      <c r="G38" t="s">
        <v>2750</v>
      </c>
      <c r="H38">
        <f ca="1">INDEX(技能数据库!$B$2:$I$100,MATCH(无穷伤害与收益计算!$E38,技能数据库!$B$2:$B$100,0),MATCH(H$9,技能数据库!$B$2:$I$2,0))</f>
        <v>281.5</v>
      </c>
      <c r="I38">
        <f ca="1">INDEX(技能数据库!$B$2:$I$100,MATCH(无穷伤害与收益计算!$E38,技能数据库!$B$2:$B$100,0),MATCH(I$9,技能数据库!$B$2:$I$2,0))</f>
        <v>7.06875</v>
      </c>
      <c r="J38">
        <f ca="1">INDEX(技能数据库!$B$2:$I$100,MATCH(无穷伤害与收益计算!$E38,技能数据库!$B$2:$B$100,0),MATCH(J$9,技能数据库!$B$2:$I$2,0))</f>
        <v>2</v>
      </c>
      <c r="K38">
        <f ca="1">INDEX(技能数据库!$B$2:$I$100,MATCH(无穷伤害与收益计算!$E38,技能数据库!$B$2:$B$100,0),MATCH(K$9,技能数据库!$B$2:$I$2,0))</f>
        <v>0</v>
      </c>
      <c r="L38">
        <f ca="1" t="shared" si="0"/>
        <v>105847</v>
      </c>
      <c r="M38">
        <f ca="1" t="shared" si="28"/>
        <v>19530.5</v>
      </c>
      <c r="N38">
        <f ca="1" t="shared" si="29"/>
        <v>92028</v>
      </c>
      <c r="O38">
        <f ca="1" t="shared" si="1"/>
        <v>787548.48125</v>
      </c>
      <c r="P38">
        <f ca="1">IF(G38="恒定伤害",0,(IF(D38="轻剑",$AZ$2,$AZ$3)+IFERROR(INDEX(技能数据库!$T$2:$W$27,MATCH(E38,技能数据库!$T$2:$T$27,0),4),0)+COUNTIF(G38,"*造化2*")*154+COUNTIF(G38,"*造化1*")*102+COUNTIF(G38,"*碧归*")*307)/1024)</f>
        <v>0.247180646929785</v>
      </c>
      <c r="Q38">
        <f ca="1" t="shared" si="2"/>
        <v>0.448284482196154</v>
      </c>
      <c r="R38">
        <f ca="1" t="shared" si="3"/>
        <v>0.21277697966198</v>
      </c>
      <c r="S38">
        <f ca="1" t="shared" si="30"/>
        <v>1119846.05465265</v>
      </c>
      <c r="T38">
        <f t="shared" si="31"/>
        <v>0.8</v>
      </c>
      <c r="U38">
        <f ca="1" t="shared" si="4"/>
        <v>1.7995442148</v>
      </c>
      <c r="V38">
        <f ca="1" t="shared" si="32"/>
        <v>2508046.83501555</v>
      </c>
      <c r="W38">
        <f ca="1">IF(G38="恒定伤害",0,MIN(1,IF(COUNTIF(F38,"*内会*")&gt;0,内会,IF(D38="轻剑",$Y$2,$Y$3)+COUNTIF(G38,"*莺鸣*")*0.2+COUNTIF(G38,"*叠1*")*0.1+COUNTIF(G38,"*叠2*")*0.2+COUNTIF(G38,"*叠3*")*0.3)+IFERROR(INDEX(技能数据库!$T$2:$W$27,MATCH(E38,技能数据库!$T$2:$T$27,0),2),0)+IF((IF(D38="轻剑",$AO$2,$AO$3)+INT(COUNTIF(G38,"*大莺鸣*")*IF(D38="轻剑",$AM$2,$AM$3)*听晓无双率)/无双系数)&gt;0.9,特效裤子会心/会心系数,0)))</f>
        <v>0.7343</v>
      </c>
      <c r="X38">
        <f ca="1">IF(G38="恒定伤害",0,IF(COUNTIF(F38,"*内会*")&gt;0,内会效,IF(D38="轻剑",$AB$2,$AB$3))+IFERROR(INDEX(技能数据库!$T$2:$W$27,MATCH(E38,技能数据库!$T$2:$T$27,0),3)/1024,0))+COUNTIF(G38,"*叠1*")*0.25+COUNTIF(G38,"*叠2*")*0.5+COUNTIF(G38,"*叠3*")*0.75</f>
        <v>2.3217485021</v>
      </c>
      <c r="Y38">
        <f ca="1" t="shared" si="33"/>
        <v>1.97055992509203</v>
      </c>
      <c r="Z38">
        <f t="shared" si="5"/>
        <v>0.150390625</v>
      </c>
      <c r="AA38">
        <f ca="1" t="shared" si="34"/>
        <v>0.0205078125</v>
      </c>
      <c r="AB38">
        <f ca="1" t="shared" si="35"/>
        <v>5802123.33359898</v>
      </c>
      <c r="AC38">
        <f ca="1">无穷技能数计算!AJ30</f>
        <v>8</v>
      </c>
      <c r="AD38" s="164">
        <f ca="1" t="shared" si="36"/>
        <v>0.0162804784338454</v>
      </c>
      <c r="AE38" s="168">
        <f ca="1" t="shared" si="6"/>
        <v>0.00445191640067048</v>
      </c>
      <c r="AF38" s="168">
        <f ca="1" t="shared" si="7"/>
        <v>0.00151419249530805</v>
      </c>
      <c r="AG38">
        <f ca="1" t="shared" si="8"/>
        <v>0.00377440910714966</v>
      </c>
      <c r="AH38">
        <f ca="1" t="shared" si="9"/>
        <v>1.0030370262927</v>
      </c>
      <c r="AI38">
        <f ca="1" t="shared" si="10"/>
        <v>1.00016101226475</v>
      </c>
      <c r="AJ38">
        <f ca="1" t="shared" si="11"/>
        <v>1.00057404545102</v>
      </c>
      <c r="AK38">
        <f ca="1" t="shared" si="17"/>
        <v>8</v>
      </c>
      <c r="AL38">
        <f ca="1" t="shared" si="12"/>
        <v>0.00496352538323674</v>
      </c>
      <c r="AM38">
        <f ca="1" t="shared" si="18"/>
        <v>8</v>
      </c>
      <c r="AN38" s="168">
        <f ca="1" t="shared" si="13"/>
        <v>0.00748399053993198</v>
      </c>
      <c r="AO38" s="168">
        <f ca="1" t="shared" si="14"/>
        <v>0.00447057613551372</v>
      </c>
      <c r="AP38" s="172">
        <f ca="1" t="shared" si="15"/>
        <v>0</v>
      </c>
      <c r="AQ38" s="168">
        <f ca="1" t="shared" si="16"/>
        <v>0.00401583628616287</v>
      </c>
      <c r="AR38">
        <f t="shared" si="19"/>
        <v>1</v>
      </c>
      <c r="AX38" s="167" t="s">
        <v>2922</v>
      </c>
      <c r="AY38" s="167" t="s">
        <v>3153</v>
      </c>
      <c r="AZ38" s="164">
        <f ca="1" t="shared" si="39"/>
        <v>0</v>
      </c>
      <c r="BA38" s="173">
        <f ca="1" t="shared" ref="BA38:BA50" si="43">SUMIF($E$10:$E$1048576,AX38,$AC$10:$AC$1048576)</f>
        <v>18.8674245939675</v>
      </c>
      <c r="BB38" s="161" t="s">
        <v>2857</v>
      </c>
      <c r="BC38" s="164">
        <f ca="1" t="shared" si="40"/>
        <v>0</v>
      </c>
      <c r="BD38">
        <f ca="1" t="shared" si="41"/>
        <v>19</v>
      </c>
      <c r="BE38">
        <f ca="1" t="shared" si="42"/>
        <v>0</v>
      </c>
    </row>
    <row r="39" spans="4:57">
      <c r="D39" t="s">
        <v>1825</v>
      </c>
      <c r="E39" t="s">
        <v>2776</v>
      </c>
      <c r="G39" t="s">
        <v>3044</v>
      </c>
      <c r="H39">
        <f ca="1">INDEX(技能数据库!$B$2:$I$100,MATCH(无穷伤害与收益计算!$E39,技能数据库!$B$2:$B$100,0),MATCH(H$9,技能数据库!$B$2:$I$2,0))</f>
        <v>281.5</v>
      </c>
      <c r="I39">
        <f ca="1">INDEX(技能数据库!$B$2:$I$100,MATCH(无穷伤害与收益计算!$E39,技能数据库!$B$2:$B$100,0),MATCH(I$9,技能数据库!$B$2:$I$2,0))</f>
        <v>7.06875</v>
      </c>
      <c r="J39">
        <f ca="1">INDEX(技能数据库!$B$2:$I$100,MATCH(无穷伤害与收益计算!$E39,技能数据库!$B$2:$B$100,0),MATCH(J$9,技能数据库!$B$2:$I$2,0))</f>
        <v>2</v>
      </c>
      <c r="K39">
        <f ca="1">INDEX(技能数据库!$B$2:$I$100,MATCH(无穷伤害与收益计算!$E39,技能数据库!$B$2:$B$100,0),MATCH(K$9,技能数据库!$B$2:$I$2,0))</f>
        <v>0</v>
      </c>
      <c r="L39">
        <f ca="1" t="shared" si="0"/>
        <v>105847</v>
      </c>
      <c r="M39">
        <f ca="1" t="shared" si="28"/>
        <v>19530.5</v>
      </c>
      <c r="N39">
        <f ca="1" t="shared" si="29"/>
        <v>92028</v>
      </c>
      <c r="O39">
        <f ca="1" t="shared" si="1"/>
        <v>787548.48125</v>
      </c>
      <c r="P39">
        <f ca="1">IF(G39="恒定伤害",0,(IF(D39="轻剑",$AZ$2,$AZ$3)+IFERROR(INDEX(技能数据库!$T$2:$W$27,MATCH(E39,技能数据库!$T$2:$T$27,0),4),0)+COUNTIF(G39,"*造化2*")*154+COUNTIF(G39,"*造化1*")*102+COUNTIF(G39,"*碧归*")*307)/1024)</f>
        <v>0.247180646929785</v>
      </c>
      <c r="Q39">
        <f ca="1" t="shared" si="2"/>
        <v>0.448284482196154</v>
      </c>
      <c r="R39">
        <f ca="1" t="shared" si="3"/>
        <v>0.21277697966198</v>
      </c>
      <c r="S39">
        <f ca="1" t="shared" si="30"/>
        <v>1119846.05465265</v>
      </c>
      <c r="T39">
        <f t="shared" si="31"/>
        <v>0.8</v>
      </c>
      <c r="U39">
        <f ca="1" t="shared" si="4"/>
        <v>2.68954760480339</v>
      </c>
      <c r="V39">
        <f ca="1" t="shared" si="32"/>
        <v>3305380.26295377</v>
      </c>
      <c r="W39">
        <f ca="1">IF(G39="恒定伤害",0,MIN(1,IF(COUNTIF(F39,"*内会*")&gt;0,内会,IF(D39="轻剑",$Y$2,$Y$3)+COUNTIF(G39,"*莺鸣*")*0.2+COUNTIF(G39,"*叠1*")*0.1+COUNTIF(G39,"*叠2*")*0.2+COUNTIF(G39,"*叠3*")*0.3)+IFERROR(INDEX(技能数据库!$T$2:$W$27,MATCH(E39,技能数据库!$T$2:$T$27,0),2),0)+IF((IF(D39="轻剑",$AO$2,$AO$3)+INT(COUNTIF(G39,"*大莺鸣*")*IF(D39="轻剑",$AM$2,$AM$3)*听晓无双率)/无双系数)&gt;0.9,特效裤子会心/会心系数,0)))</f>
        <v>0.9343</v>
      </c>
      <c r="X39">
        <f ca="1">IF(G39="恒定伤害",0,IF(COUNTIF(F39,"*内会*")&gt;0,内会效,IF(D39="轻剑",$AB$2,$AB$3))+IFERROR(INDEX(技能数据库!$T$2:$W$27,MATCH(E39,技能数据库!$T$2:$T$27,0),3)/1024,0))+COUNTIF(G39,"*叠1*")*0.25+COUNTIF(G39,"*叠2*")*0.5+COUNTIF(G39,"*叠3*")*0.75</f>
        <v>2.3217485021</v>
      </c>
      <c r="Y39">
        <f ca="1" t="shared" si="33"/>
        <v>2.23490962551203</v>
      </c>
      <c r="Z39">
        <f t="shared" si="5"/>
        <v>0.150390625</v>
      </c>
      <c r="AA39">
        <f ca="1" t="shared" si="34"/>
        <v>0.0205078125</v>
      </c>
      <c r="AB39">
        <f ca="1" t="shared" si="35"/>
        <v>8672475.13025316</v>
      </c>
      <c r="AC39">
        <f ca="1">无穷技能数计算!AJ31</f>
        <v>0</v>
      </c>
      <c r="AD39" s="164">
        <f ca="1" t="shared" si="36"/>
        <v>0</v>
      </c>
      <c r="AE39" s="168">
        <f ca="1" t="shared" si="6"/>
        <v>0.00445191640067048</v>
      </c>
      <c r="AF39" s="168">
        <f ca="1" t="shared" si="7"/>
        <v>0.00151419249530805</v>
      </c>
      <c r="AG39">
        <f ca="1" t="shared" si="8"/>
        <v>0.00319852755593519</v>
      </c>
      <c r="AH39">
        <f ca="1" t="shared" si="9"/>
        <v>1.0030370262927</v>
      </c>
      <c r="AI39">
        <f ca="1" t="shared" si="10"/>
        <v>1.00016101226475</v>
      </c>
      <c r="AJ39">
        <f ca="1" t="shared" si="11"/>
        <v>0</v>
      </c>
      <c r="AK39">
        <f ca="1" t="shared" si="17"/>
        <v>0</v>
      </c>
      <c r="AL39">
        <f ca="1" t="shared" si="12"/>
        <v>0</v>
      </c>
      <c r="AM39">
        <f ca="1" t="shared" si="18"/>
        <v>0</v>
      </c>
      <c r="AN39" s="168">
        <f ca="1" t="shared" si="13"/>
        <v>0.00839606381672686</v>
      </c>
      <c r="AO39" s="168">
        <f ca="1" t="shared" si="14"/>
        <v>0.00447057613551372</v>
      </c>
      <c r="AP39" s="172">
        <f ca="1" t="shared" si="15"/>
        <v>0</v>
      </c>
      <c r="AQ39" s="168">
        <f ca="1" t="shared" si="16"/>
        <v>0.00393951131463699</v>
      </c>
      <c r="AR39">
        <f t="shared" si="19"/>
        <v>1</v>
      </c>
      <c r="AX39" s="161" t="s">
        <v>2844</v>
      </c>
      <c r="AY39" s="167" t="s">
        <v>3154</v>
      </c>
      <c r="AZ39" s="164">
        <f ca="1" t="shared" ref="AZ39:AZ50" si="44">SUMIF($E$10:$E$1048576,AX39,$AD$10:$AD$1048576)</f>
        <v>0</v>
      </c>
      <c r="BA39" s="173">
        <f ca="1" t="shared" si="43"/>
        <v>0</v>
      </c>
      <c r="BB39" s="161" t="s">
        <v>2859</v>
      </c>
      <c r="BC39" s="164">
        <f ca="1" t="shared" si="40"/>
        <v>0</v>
      </c>
      <c r="BD39">
        <f ca="1" t="shared" si="41"/>
        <v>19</v>
      </c>
      <c r="BE39">
        <f ca="1" t="shared" si="42"/>
        <v>0</v>
      </c>
    </row>
    <row r="40" spans="4:57">
      <c r="D40" t="s">
        <v>1825</v>
      </c>
      <c r="E40" t="s">
        <v>2780</v>
      </c>
      <c r="G40" t="s">
        <v>2750</v>
      </c>
      <c r="H40">
        <f ca="1">INDEX(技能数据库!$B$2:$I$100,MATCH(无穷伤害与收益计算!$E40,技能数据库!$B$2:$B$100,0),MATCH(H$9,技能数据库!$B$2:$I$2,0))</f>
        <v>252.5</v>
      </c>
      <c r="I40">
        <f ca="1">INDEX(技能数据库!$B$2:$I$100,MATCH(无穷伤害与收益计算!$E40,技能数据库!$B$2:$B$100,0),MATCH(I$9,技能数据库!$B$2:$I$2,0))</f>
        <v>2.11875</v>
      </c>
      <c r="J40">
        <f ca="1">INDEX(技能数据库!$B$2:$I$100,MATCH(无穷伤害与收益计算!$E40,技能数据库!$B$2:$B$100,0),MATCH(J$9,技能数据库!$B$2:$I$2,0))</f>
        <v>2</v>
      </c>
      <c r="K40">
        <f ca="1">INDEX(技能数据库!$B$2:$I$100,MATCH(无穷伤害与收益计算!$E40,技能数据库!$B$2:$B$100,0),MATCH(K$9,技能数据库!$B$2:$I$2,0))</f>
        <v>0</v>
      </c>
      <c r="L40">
        <f ca="1" t="shared" si="0"/>
        <v>105847</v>
      </c>
      <c r="M40">
        <f ca="1" t="shared" si="28"/>
        <v>19530.5</v>
      </c>
      <c r="N40">
        <f ca="1" t="shared" si="29"/>
        <v>92028</v>
      </c>
      <c r="O40">
        <f ca="1" t="shared" si="1"/>
        <v>263576.83125</v>
      </c>
      <c r="P40">
        <f ca="1">IF(G40="恒定伤害",0,(IF(D40="轻剑",$AZ$2,$AZ$3)+IFERROR(INDEX(技能数据库!$T$2:$W$27,MATCH(E40,技能数据库!$T$2:$T$27,0),4),0)+COUNTIF(G40,"*造化2*")*154+COUNTIF(G40,"*造化1*")*102+COUNTIF(G40,"*碧归*")*307)/1024)</f>
        <v>0.247180646929785</v>
      </c>
      <c r="Q40">
        <f ca="1" t="shared" si="2"/>
        <v>0.448284482196154</v>
      </c>
      <c r="R40">
        <f ca="1" t="shared" si="3"/>
        <v>0.21277697966198</v>
      </c>
      <c r="S40">
        <f ca="1" t="shared" si="30"/>
        <v>374790.227650077</v>
      </c>
      <c r="T40">
        <f t="shared" si="31"/>
        <v>0.8</v>
      </c>
      <c r="U40">
        <f ca="1" t="shared" si="4"/>
        <v>1.7995442148</v>
      </c>
      <c r="V40">
        <f ca="1" t="shared" si="32"/>
        <v>839393.450865079</v>
      </c>
      <c r="W40">
        <f ca="1">IF(G40="恒定伤害",0,MIN(1,IF(COUNTIF(F40,"*内会*")&gt;0,内会,IF(D40="轻剑",$Y$2,$Y$3)+COUNTIF(G40,"*莺鸣*")*0.2+COUNTIF(G40,"*叠1*")*0.1+COUNTIF(G40,"*叠2*")*0.2+COUNTIF(G40,"*叠3*")*0.3)+IFERROR(INDEX(技能数据库!$T$2:$W$27,MATCH(E40,技能数据库!$T$2:$T$27,0),2),0)+IF((IF(D40="轻剑",$AO$2,$AO$3)+INT(COUNTIF(G40,"*大莺鸣*")*IF(D40="轻剑",$AM$2,$AM$3)*听晓无双率)/无双系数)&gt;0.9,特效裤子会心/会心系数,0)))</f>
        <v>0.7343</v>
      </c>
      <c r="X40">
        <f ca="1">IF(G40="恒定伤害",0,IF(COUNTIF(F40,"*内会*")&gt;0,内会效,IF(D40="轻剑",$AB$2,$AB$3))+IFERROR(INDEX(技能数据库!$T$2:$W$27,MATCH(E40,技能数据库!$T$2:$T$27,0),3)/1024,0))+COUNTIF(G40,"*叠1*")*0.25+COUNTIF(G40,"*叠2*")*0.5+COUNTIF(G40,"*叠3*")*0.75</f>
        <v>2.3217485021</v>
      </c>
      <c r="Y40">
        <f ca="1" t="shared" si="33"/>
        <v>1.97055992509203</v>
      </c>
      <c r="Z40">
        <f t="shared" si="5"/>
        <v>0.150390625</v>
      </c>
      <c r="AA40">
        <f ca="1" t="shared" si="34"/>
        <v>0.0205078125</v>
      </c>
      <c r="AB40">
        <f ca="1" t="shared" si="35"/>
        <v>1941855.41487476</v>
      </c>
      <c r="AC40">
        <f ca="1">无穷技能数计算!AJ32</f>
        <v>8</v>
      </c>
      <c r="AD40" s="164">
        <f ca="1" t="shared" si="36"/>
        <v>0.00544875270410782</v>
      </c>
      <c r="AE40" s="168">
        <f ca="1" t="shared" si="6"/>
        <v>0.00398707274465726</v>
      </c>
      <c r="AF40" s="168">
        <f ca="1" t="shared" si="7"/>
        <v>0.00452429750499931</v>
      </c>
      <c r="AG40">
        <f ca="1" t="shared" si="8"/>
        <v>0.00345706706368087</v>
      </c>
      <c r="AH40">
        <f ca="1" t="shared" si="9"/>
        <v>1.0027199173719</v>
      </c>
      <c r="AI40">
        <f ca="1" t="shared" si="10"/>
        <v>1.00016101226475</v>
      </c>
      <c r="AJ40">
        <f ca="1" t="shared" si="11"/>
        <v>1.00057404545102</v>
      </c>
      <c r="AK40">
        <f ca="1" t="shared" si="17"/>
        <v>8</v>
      </c>
      <c r="AL40">
        <f ca="1" t="shared" si="12"/>
        <v>0.00496352538323674</v>
      </c>
      <c r="AM40">
        <f ca="1" t="shared" si="18"/>
        <v>8</v>
      </c>
      <c r="AN40" s="168">
        <f ca="1" t="shared" si="13"/>
        <v>0.00748399053993198</v>
      </c>
      <c r="AO40" s="168">
        <f ca="1" t="shared" si="14"/>
        <v>0.00447057613551372</v>
      </c>
      <c r="AP40" s="172">
        <f ca="1" t="shared" si="15"/>
        <v>0</v>
      </c>
      <c r="AQ40" s="168">
        <f ca="1" t="shared" si="16"/>
        <v>0.00401583628616287</v>
      </c>
      <c r="AR40">
        <f t="shared" si="19"/>
        <v>1</v>
      </c>
      <c r="AX40" s="161" t="s">
        <v>2847</v>
      </c>
      <c r="AY40" s="167" t="s">
        <v>3155</v>
      </c>
      <c r="AZ40" s="164">
        <f ca="1" t="shared" si="44"/>
        <v>0</v>
      </c>
      <c r="BA40" s="173">
        <f ca="1" t="shared" si="43"/>
        <v>0</v>
      </c>
      <c r="BB40" s="161" t="s">
        <v>2861</v>
      </c>
      <c r="BC40" s="164">
        <f ca="1" t="shared" si="40"/>
        <v>0</v>
      </c>
      <c r="BD40">
        <f ca="1" t="shared" si="41"/>
        <v>19</v>
      </c>
      <c r="BE40">
        <f ca="1" t="shared" si="42"/>
        <v>0</v>
      </c>
    </row>
    <row r="41" spans="4:57">
      <c r="D41" t="s">
        <v>1825</v>
      </c>
      <c r="E41" t="s">
        <v>2780</v>
      </c>
      <c r="G41" t="s">
        <v>3044</v>
      </c>
      <c r="H41">
        <f ca="1">INDEX(技能数据库!$B$2:$I$100,MATCH(无穷伤害与收益计算!$E41,技能数据库!$B$2:$B$100,0),MATCH(H$9,技能数据库!$B$2:$I$2,0))</f>
        <v>252.5</v>
      </c>
      <c r="I41">
        <f ca="1">INDEX(技能数据库!$B$2:$I$100,MATCH(无穷伤害与收益计算!$E41,技能数据库!$B$2:$B$100,0),MATCH(I$9,技能数据库!$B$2:$I$2,0))</f>
        <v>2.11875</v>
      </c>
      <c r="J41">
        <f ca="1">INDEX(技能数据库!$B$2:$I$100,MATCH(无穷伤害与收益计算!$E41,技能数据库!$B$2:$B$100,0),MATCH(J$9,技能数据库!$B$2:$I$2,0))</f>
        <v>2</v>
      </c>
      <c r="K41">
        <f ca="1">INDEX(技能数据库!$B$2:$I$100,MATCH(无穷伤害与收益计算!$E41,技能数据库!$B$2:$B$100,0),MATCH(K$9,技能数据库!$B$2:$I$2,0))</f>
        <v>0</v>
      </c>
      <c r="L41">
        <f ca="1" t="shared" si="0"/>
        <v>105847</v>
      </c>
      <c r="M41">
        <f ca="1" t="shared" si="28"/>
        <v>19530.5</v>
      </c>
      <c r="N41">
        <f ca="1" t="shared" si="29"/>
        <v>92028</v>
      </c>
      <c r="O41">
        <f ca="1" t="shared" si="1"/>
        <v>263576.83125</v>
      </c>
      <c r="P41">
        <f ca="1">IF(G41="恒定伤害",0,(IF(D41="轻剑",$AZ$2,$AZ$3)+IFERROR(INDEX(技能数据库!$T$2:$W$27,MATCH(E41,技能数据库!$T$2:$T$27,0),4),0)+COUNTIF(G41,"*造化2*")*154+COUNTIF(G41,"*造化1*")*102+COUNTIF(G41,"*碧归*")*307)/1024)</f>
        <v>0.247180646929785</v>
      </c>
      <c r="Q41">
        <f ca="1" t="shared" si="2"/>
        <v>0.448284482196154</v>
      </c>
      <c r="R41">
        <f ca="1" t="shared" si="3"/>
        <v>0.21277697966198</v>
      </c>
      <c r="S41">
        <f ca="1" t="shared" si="30"/>
        <v>374790.227650077</v>
      </c>
      <c r="T41">
        <f t="shared" si="31"/>
        <v>0.8</v>
      </c>
      <c r="U41">
        <f ca="1" t="shared" si="4"/>
        <v>2.68954760480339</v>
      </c>
      <c r="V41">
        <f ca="1" t="shared" si="32"/>
        <v>1106245.10938405</v>
      </c>
      <c r="W41">
        <f ca="1">IF(G41="恒定伤害",0,MIN(1,IF(COUNTIF(F41,"*内会*")&gt;0,内会,IF(D41="轻剑",$Y$2,$Y$3)+COUNTIF(G41,"*莺鸣*")*0.2+COUNTIF(G41,"*叠1*")*0.1+COUNTIF(G41,"*叠2*")*0.2+COUNTIF(G41,"*叠3*")*0.3)+IFERROR(INDEX(技能数据库!$T$2:$W$27,MATCH(E41,技能数据库!$T$2:$T$27,0),2),0)+IF((IF(D41="轻剑",$AO$2,$AO$3)+INT(COUNTIF(G41,"*大莺鸣*")*IF(D41="轻剑",$AM$2,$AM$3)*听晓无双率)/无双系数)&gt;0.9,特效裤子会心/会心系数,0)))</f>
        <v>0.9343</v>
      </c>
      <c r="X41">
        <f ca="1">IF(G41="恒定伤害",0,IF(COUNTIF(F41,"*内会*")&gt;0,内会效,IF(D41="轻剑",$AB$2,$AB$3))+IFERROR(INDEX(技能数据库!$T$2:$W$27,MATCH(E41,技能数据库!$T$2:$T$27,0),3)/1024,0))+COUNTIF(G41,"*叠1*")*0.25+COUNTIF(G41,"*叠2*")*0.5+COUNTIF(G41,"*叠3*")*0.75</f>
        <v>2.3217485021</v>
      </c>
      <c r="Y41">
        <f ca="1" t="shared" si="33"/>
        <v>2.23490962551203</v>
      </c>
      <c r="Z41">
        <f t="shared" si="5"/>
        <v>0.150390625</v>
      </c>
      <c r="AA41">
        <f ca="1" t="shared" si="34"/>
        <v>0.0205078125</v>
      </c>
      <c r="AB41">
        <f ca="1" t="shared" si="35"/>
        <v>2902505.13885625</v>
      </c>
      <c r="AC41">
        <f ca="1">无穷技能数计算!AJ33</f>
        <v>0</v>
      </c>
      <c r="AD41" s="164">
        <f ca="1" t="shared" si="36"/>
        <v>0</v>
      </c>
      <c r="AE41" s="168">
        <f ca="1" t="shared" si="6"/>
        <v>0.00398707274465726</v>
      </c>
      <c r="AF41" s="168">
        <f ca="1" t="shared" si="7"/>
        <v>0.00452429750499931</v>
      </c>
      <c r="AG41">
        <f ca="1" t="shared" si="8"/>
        <v>0.00288136757670965</v>
      </c>
      <c r="AH41">
        <f ca="1" t="shared" si="9"/>
        <v>1.0027199173719</v>
      </c>
      <c r="AI41">
        <f ca="1" t="shared" si="10"/>
        <v>1.00016101226475</v>
      </c>
      <c r="AJ41">
        <f ca="1" t="shared" si="11"/>
        <v>0</v>
      </c>
      <c r="AK41">
        <f ca="1" t="shared" si="17"/>
        <v>0</v>
      </c>
      <c r="AL41">
        <f ca="1" t="shared" si="12"/>
        <v>0</v>
      </c>
      <c r="AM41">
        <f ca="1" t="shared" si="18"/>
        <v>0</v>
      </c>
      <c r="AN41" s="168">
        <f ca="1" t="shared" si="13"/>
        <v>0.00839606381672686</v>
      </c>
      <c r="AO41" s="168">
        <f ca="1" t="shared" si="14"/>
        <v>0.00447057613551372</v>
      </c>
      <c r="AP41" s="172">
        <f ca="1" t="shared" si="15"/>
        <v>0</v>
      </c>
      <c r="AQ41" s="168">
        <f ca="1" t="shared" si="16"/>
        <v>0.00393951131463699</v>
      </c>
      <c r="AR41">
        <f t="shared" si="19"/>
        <v>1</v>
      </c>
      <c r="AX41" s="161" t="s">
        <v>2850</v>
      </c>
      <c r="AY41" s="161" t="s">
        <v>2850</v>
      </c>
      <c r="AZ41" s="164">
        <f ca="1" t="shared" si="44"/>
        <v>0</v>
      </c>
      <c r="BA41" s="173">
        <f ca="1" t="shared" si="43"/>
        <v>0</v>
      </c>
      <c r="BB41" s="161" t="s">
        <v>3156</v>
      </c>
      <c r="BC41" s="164">
        <f ca="1" t="shared" si="40"/>
        <v>0</v>
      </c>
      <c r="BD41">
        <f ca="1" t="shared" si="41"/>
        <v>19</v>
      </c>
      <c r="BE41">
        <f ca="1" t="shared" si="42"/>
        <v>0</v>
      </c>
    </row>
    <row r="42" spans="4:57">
      <c r="D42" t="s">
        <v>1825</v>
      </c>
      <c r="E42" t="s">
        <v>2776</v>
      </c>
      <c r="G42" t="s">
        <v>3069</v>
      </c>
      <c r="H42">
        <f ca="1">INDEX(技能数据库!$B$2:$I$100,MATCH(无穷伤害与收益计算!$E42,技能数据库!$B$2:$B$100,0),MATCH(H$9,技能数据库!$B$2:$I$2,0))</f>
        <v>281.5</v>
      </c>
      <c r="I42">
        <f ca="1">INDEX(技能数据库!$B$2:$I$100,MATCH(无穷伤害与收益计算!$E42,技能数据库!$B$2:$B$100,0),MATCH(I$9,技能数据库!$B$2:$I$2,0))</f>
        <v>7.06875</v>
      </c>
      <c r="J42">
        <f ca="1">INDEX(技能数据库!$B$2:$I$100,MATCH(无穷伤害与收益计算!$E42,技能数据库!$B$2:$B$100,0),MATCH(J$9,技能数据库!$B$2:$I$2,0))</f>
        <v>2</v>
      </c>
      <c r="K42">
        <f ca="1">INDEX(技能数据库!$B$2:$I$100,MATCH(无穷伤害与收益计算!$E42,技能数据库!$B$2:$B$100,0),MATCH(K$9,技能数据库!$B$2:$I$2,0))</f>
        <v>0</v>
      </c>
      <c r="L42">
        <f ca="1" t="shared" si="0"/>
        <v>105847</v>
      </c>
      <c r="M42">
        <f ca="1" t="shared" si="28"/>
        <v>19530.5</v>
      </c>
      <c r="N42">
        <f ca="1" t="shared" si="29"/>
        <v>92028</v>
      </c>
      <c r="O42">
        <f ca="1" t="shared" si="1"/>
        <v>787548.48125</v>
      </c>
      <c r="P42">
        <f ca="1">IF(G42="恒定伤害",0,(IF(D42="轻剑",$AZ$2,$AZ$3)+IFERROR(INDEX(技能数据库!$T$2:$W$27,MATCH(E42,技能数据库!$T$2:$T$27,0),4),0)+COUNTIF(G42,"*造化2*")*154+COUNTIF(G42,"*造化1*")*102+COUNTIF(G42,"*碧归*")*307)/1024)</f>
        <v>0.397571271929785</v>
      </c>
      <c r="Q42">
        <f ca="1" t="shared" ref="Q42:Q73" si="45">IF(G42="恒定伤害",0,(IF(COUNTIF(F42,"*内破*")&gt;0,内破,IF(D42="轻剑",$AF$2,$AF$3)/破防系数))+IF((IF(D42="轻剑",$AO$2,$AO$3)+INT(COUNTIF(G42,"*大莺鸣*")*IF(D42="轻剑",$AM$2,$AM$3)*听晓无双率)/无双系数)&gt;0.9,(特效裤子破防+特效裤子破防*IF(D42="轻剑",$AD$2,$AD$3)/1024)/破防系数,0))</f>
        <v>0.448284482196154</v>
      </c>
      <c r="R42">
        <f ca="1" t="shared" si="3"/>
        <v>0.21277697966198</v>
      </c>
      <c r="S42">
        <f ca="1" t="shared" si="30"/>
        <v>1254882.10454453</v>
      </c>
      <c r="T42">
        <f t="shared" si="31"/>
        <v>0.8</v>
      </c>
      <c r="U42">
        <f ca="1" t="shared" ref="U42:U73" si="46">IF(G42="恒定伤害",0,(IF(D42="轻剑",$AO$2,$AO$3)+INT(COUNTIF(G42,"*大莺鸣*")*IF(D42="轻剑",$AM$2,$AM$3)*听晓无双率)/无双系数)+IF((IF(D42="轻剑",$AO$2,$AO$3)+INT(COUNTIF(G42,"*大莺鸣*")*IF(D42="轻剑",$AM$2,$AM$3)*听晓无双率)/无双系数)&lt;=0.9,特效裤子无双,0))</f>
        <v>1.7995442148</v>
      </c>
      <c r="V42">
        <f ca="1" t="shared" si="32"/>
        <v>2810478.34882695</v>
      </c>
      <c r="W42">
        <f ca="1">IF(G42="恒定伤害",0,MIN(1,IF(COUNTIF(F42,"*内会*")&gt;0,内会,IF(D42="轻剑",$Y$2,$Y$3)+COUNTIF(G42,"*莺鸣*")*0.2+COUNTIF(G42,"*叠1*")*0.1+COUNTIF(G42,"*叠2*")*0.2+COUNTIF(G42,"*叠3*")*0.3)+IFERROR(INDEX(技能数据库!$T$2:$W$27,MATCH(E42,技能数据库!$T$2:$T$27,0),2),0)+IF((IF(D42="轻剑",$AO$2,$AO$3)+INT(COUNTIF(G42,"*大莺鸣*")*IF(D42="轻剑",$AM$2,$AM$3)*听晓无双率)/无双系数)&gt;0.9,特效裤子会心/会心系数,0)))</f>
        <v>0.7343</v>
      </c>
      <c r="X42">
        <f ca="1">IF(G42="恒定伤害",0,IF(COUNTIF(F42,"*内会*")&gt;0,内会效,IF(D42="轻剑",$AB$2,$AB$3))+IFERROR(INDEX(技能数据库!$T$2:$W$27,MATCH(E42,技能数据库!$T$2:$T$27,0),3)/1024,0))+COUNTIF(G42,"*叠1*")*0.25+COUNTIF(G42,"*叠2*")*0.5+COUNTIF(G42,"*叠3*")*0.75</f>
        <v>2.3217485021</v>
      </c>
      <c r="Y42">
        <f ca="1" t="shared" si="33"/>
        <v>1.97055992509203</v>
      </c>
      <c r="Z42">
        <f t="shared" si="5"/>
        <v>0.150390625</v>
      </c>
      <c r="AA42">
        <f ca="1" t="shared" si="34"/>
        <v>0.0205078125</v>
      </c>
      <c r="AB42">
        <f ca="1" t="shared" si="35"/>
        <v>6501769.33645758</v>
      </c>
      <c r="AC42">
        <f ca="1">无穷技能数计算!AJ34</f>
        <v>12</v>
      </c>
      <c r="AD42" s="164">
        <f ca="1" t="shared" si="36"/>
        <v>0.0273654770963935</v>
      </c>
      <c r="AE42" s="168">
        <f ca="1" t="shared" si="6"/>
        <v>0.00445191640067048</v>
      </c>
      <c r="AF42" s="168">
        <f ca="1" t="shared" si="7"/>
        <v>0.00151419249530805</v>
      </c>
      <c r="AG42">
        <f ca="1" t="shared" si="8"/>
        <v>0.00377440910714966</v>
      </c>
      <c r="AH42">
        <f ca="1" t="shared" si="9"/>
        <v>1.0030370262927</v>
      </c>
      <c r="AI42">
        <f ca="1" t="shared" si="10"/>
        <v>1.00016101226475</v>
      </c>
      <c r="AJ42">
        <f ca="1" t="shared" si="11"/>
        <v>1.00057404545102</v>
      </c>
      <c r="AK42">
        <f ca="1" t="shared" si="17"/>
        <v>12</v>
      </c>
      <c r="AL42">
        <f ca="1" t="shared" si="12"/>
        <v>0.00496352538323697</v>
      </c>
      <c r="AM42">
        <f ca="1" t="shared" si="18"/>
        <v>12</v>
      </c>
      <c r="AN42" s="168">
        <f ca="1" t="shared" si="13"/>
        <v>0.00748399053993198</v>
      </c>
      <c r="AO42" s="168">
        <f ca="1" t="shared" ref="AO42:AO73" si="47">IF(OR(COUNTIF(F42,"*内破*")&gt;0,G42="恒定伤害"),0,IFERROR(((delta破防+INT((IF(D42="轻剑",$AD$2,$AD$3))/1024*delta破防))/破防系数+Q42+1)/(Q42+1)-1,0))</f>
        <v>0.00447057613551372</v>
      </c>
      <c r="AP42" s="172">
        <f ca="1" t="shared" si="15"/>
        <v>0</v>
      </c>
      <c r="AQ42" s="168">
        <f ca="1" t="shared" si="16"/>
        <v>0.00401583628616287</v>
      </c>
      <c r="AR42">
        <f t="shared" si="19"/>
        <v>1</v>
      </c>
      <c r="AX42" s="161" t="s">
        <v>2853</v>
      </c>
      <c r="AY42" s="161" t="s">
        <v>2853</v>
      </c>
      <c r="AZ42" s="164">
        <f ca="1" t="shared" si="44"/>
        <v>0</v>
      </c>
      <c r="BA42" s="173">
        <f ca="1" t="shared" si="43"/>
        <v>0</v>
      </c>
      <c r="BB42" s="161" t="s">
        <v>2870</v>
      </c>
      <c r="BC42" s="164">
        <f ca="1" t="shared" si="40"/>
        <v>0</v>
      </c>
      <c r="BD42">
        <f ca="1" t="shared" si="41"/>
        <v>19</v>
      </c>
      <c r="BE42">
        <f ca="1" t="shared" si="42"/>
        <v>0</v>
      </c>
    </row>
    <row r="43" spans="4:57">
      <c r="D43" t="s">
        <v>1825</v>
      </c>
      <c r="E43" t="s">
        <v>2776</v>
      </c>
      <c r="G43" t="s">
        <v>3070</v>
      </c>
      <c r="H43">
        <f ca="1">INDEX(技能数据库!$B$2:$I$100,MATCH(无穷伤害与收益计算!$E43,技能数据库!$B$2:$B$100,0),MATCH(H$9,技能数据库!$B$2:$I$2,0))</f>
        <v>281.5</v>
      </c>
      <c r="I43">
        <f ca="1">INDEX(技能数据库!$B$2:$I$100,MATCH(无穷伤害与收益计算!$E43,技能数据库!$B$2:$B$100,0),MATCH(I$9,技能数据库!$B$2:$I$2,0))</f>
        <v>7.06875</v>
      </c>
      <c r="J43">
        <f ca="1">INDEX(技能数据库!$B$2:$I$100,MATCH(无穷伤害与收益计算!$E43,技能数据库!$B$2:$B$100,0),MATCH(J$9,技能数据库!$B$2:$I$2,0))</f>
        <v>2</v>
      </c>
      <c r="K43">
        <f ca="1">INDEX(技能数据库!$B$2:$I$100,MATCH(无穷伤害与收益计算!$E43,技能数据库!$B$2:$B$100,0),MATCH(K$9,技能数据库!$B$2:$I$2,0))</f>
        <v>0</v>
      </c>
      <c r="L43">
        <f ca="1" t="shared" si="0"/>
        <v>105847</v>
      </c>
      <c r="M43">
        <f ca="1" t="shared" si="28"/>
        <v>19530.5</v>
      </c>
      <c r="N43">
        <f ca="1" t="shared" si="29"/>
        <v>92028</v>
      </c>
      <c r="O43">
        <f ca="1" t="shared" si="1"/>
        <v>787548.48125</v>
      </c>
      <c r="P43">
        <f ca="1">IF(G43="恒定伤害",0,(IF(D43="轻剑",$AZ$2,$AZ$3)+IFERROR(INDEX(技能数据库!$T$2:$W$27,MATCH(E43,技能数据库!$T$2:$T$27,0),4),0)+COUNTIF(G43,"*造化2*")*154+COUNTIF(G43,"*造化1*")*102+COUNTIF(G43,"*碧归*")*307)/1024)</f>
        <v>0.397571271929785</v>
      </c>
      <c r="Q43">
        <f ca="1" t="shared" si="45"/>
        <v>0.448284482196154</v>
      </c>
      <c r="R43">
        <f ca="1" t="shared" si="3"/>
        <v>0.21277697966198</v>
      </c>
      <c r="S43">
        <f ca="1" t="shared" si="30"/>
        <v>1254882.10454453</v>
      </c>
      <c r="T43">
        <f t="shared" si="31"/>
        <v>0.8</v>
      </c>
      <c r="U43">
        <f ca="1" t="shared" si="46"/>
        <v>2.68954760480339</v>
      </c>
      <c r="V43">
        <f ca="1" t="shared" si="32"/>
        <v>3703957.81050633</v>
      </c>
      <c r="W43">
        <f ca="1">IF(G43="恒定伤害",0,MIN(1,IF(COUNTIF(F43,"*内会*")&gt;0,内会,IF(D43="轻剑",$Y$2,$Y$3)+COUNTIF(G43,"*莺鸣*")*0.2+COUNTIF(G43,"*叠1*")*0.1+COUNTIF(G43,"*叠2*")*0.2+COUNTIF(G43,"*叠3*")*0.3)+IFERROR(INDEX(技能数据库!$T$2:$W$27,MATCH(E43,技能数据库!$T$2:$T$27,0),2),0)+IF((IF(D43="轻剑",$AO$2,$AO$3)+INT(COUNTIF(G43,"*大莺鸣*")*IF(D43="轻剑",$AM$2,$AM$3)*听晓无双率)/无双系数)&gt;0.9,特效裤子会心/会心系数,0)))</f>
        <v>0.9343</v>
      </c>
      <c r="X43">
        <f ca="1">IF(G43="恒定伤害",0,IF(COUNTIF(F43,"*内会*")&gt;0,内会效,IF(D43="轻剑",$AB$2,$AB$3))+IFERROR(INDEX(技能数据库!$T$2:$W$27,MATCH(E43,技能数据库!$T$2:$T$27,0),3)/1024,0))+COUNTIF(G43,"*叠1*")*0.25+COUNTIF(G43,"*叠2*")*0.5+COUNTIF(G43,"*叠3*")*0.75</f>
        <v>2.3217485021</v>
      </c>
      <c r="Y43">
        <f ca="1" t="shared" si="33"/>
        <v>2.23490962551203</v>
      </c>
      <c r="Z43">
        <f t="shared" si="5"/>
        <v>0.150390625</v>
      </c>
      <c r="AA43">
        <f ca="1" t="shared" si="34"/>
        <v>0.0205078125</v>
      </c>
      <c r="AB43">
        <f ca="1" t="shared" si="35"/>
        <v>9718241.00093633</v>
      </c>
      <c r="AC43">
        <f ca="1">无穷技能数计算!AJ35</f>
        <v>0</v>
      </c>
      <c r="AD43" s="164">
        <f ca="1" t="shared" si="36"/>
        <v>0</v>
      </c>
      <c r="AE43" s="168">
        <f ca="1" t="shared" si="6"/>
        <v>0.00445191640067048</v>
      </c>
      <c r="AF43" s="168">
        <f ca="1" t="shared" si="7"/>
        <v>0.00151419249530805</v>
      </c>
      <c r="AG43">
        <f ca="1" t="shared" si="8"/>
        <v>0.00319852755593519</v>
      </c>
      <c r="AH43">
        <f ca="1" t="shared" si="9"/>
        <v>1.0030370262927</v>
      </c>
      <c r="AI43">
        <f ca="1" t="shared" si="10"/>
        <v>1.00016101226475</v>
      </c>
      <c r="AJ43">
        <f ca="1" t="shared" si="11"/>
        <v>0</v>
      </c>
      <c r="AK43">
        <f ca="1" t="shared" si="17"/>
        <v>0</v>
      </c>
      <c r="AL43">
        <f ca="1" t="shared" si="12"/>
        <v>0</v>
      </c>
      <c r="AM43">
        <f ca="1" t="shared" si="18"/>
        <v>0</v>
      </c>
      <c r="AN43" s="168">
        <f ca="1" t="shared" si="13"/>
        <v>0.00839606381672686</v>
      </c>
      <c r="AO43" s="168">
        <f ca="1" t="shared" si="47"/>
        <v>0.00447057613551372</v>
      </c>
      <c r="AP43" s="172">
        <f ca="1" t="shared" si="15"/>
        <v>0</v>
      </c>
      <c r="AQ43" s="168">
        <f ca="1" t="shared" si="16"/>
        <v>0.00393951131463699</v>
      </c>
      <c r="AR43">
        <f t="shared" si="19"/>
        <v>1</v>
      </c>
      <c r="AX43" s="161" t="s">
        <v>2855</v>
      </c>
      <c r="AY43" s="161" t="s">
        <v>2855</v>
      </c>
      <c r="AZ43" s="164">
        <f ca="1" t="shared" si="44"/>
        <v>0</v>
      </c>
      <c r="BA43" s="173">
        <f ca="1" t="shared" si="43"/>
        <v>0</v>
      </c>
      <c r="BB43" s="161" t="s">
        <v>3158</v>
      </c>
      <c r="BC43" s="164">
        <f ca="1" t="shared" si="40"/>
        <v>0</v>
      </c>
      <c r="BD43">
        <f ca="1" t="shared" si="41"/>
        <v>19</v>
      </c>
      <c r="BE43">
        <f ca="1" t="shared" si="42"/>
        <v>0</v>
      </c>
    </row>
    <row r="44" spans="4:57">
      <c r="D44" t="s">
        <v>1825</v>
      </c>
      <c r="E44" t="s">
        <v>2780</v>
      </c>
      <c r="G44" t="s">
        <v>3157</v>
      </c>
      <c r="H44">
        <f ca="1">INDEX(技能数据库!$B$2:$I$100,MATCH(无穷伤害与收益计算!$E44,技能数据库!$B$2:$B$100,0),MATCH(H$9,技能数据库!$B$2:$I$2,0))</f>
        <v>252.5</v>
      </c>
      <c r="I44">
        <f ca="1">INDEX(技能数据库!$B$2:$I$100,MATCH(无穷伤害与收益计算!$E44,技能数据库!$B$2:$B$100,0),MATCH(I$9,技能数据库!$B$2:$I$2,0))</f>
        <v>2.11875</v>
      </c>
      <c r="J44">
        <f ca="1">INDEX(技能数据库!$B$2:$I$100,MATCH(无穷伤害与收益计算!$E44,技能数据库!$B$2:$B$100,0),MATCH(J$9,技能数据库!$B$2:$I$2,0))</f>
        <v>2</v>
      </c>
      <c r="K44">
        <f ca="1">INDEX(技能数据库!$B$2:$I$100,MATCH(无穷伤害与收益计算!$E44,技能数据库!$B$2:$B$100,0),MATCH(K$9,技能数据库!$B$2:$I$2,0))</f>
        <v>0</v>
      </c>
      <c r="L44">
        <f ca="1" t="shared" si="0"/>
        <v>105847</v>
      </c>
      <c r="M44">
        <f ca="1" t="shared" si="28"/>
        <v>19530.5</v>
      </c>
      <c r="N44">
        <f ca="1" t="shared" si="29"/>
        <v>92028</v>
      </c>
      <c r="O44">
        <f ca="1" t="shared" si="1"/>
        <v>263576.83125</v>
      </c>
      <c r="P44">
        <f ca="1">IF(G44="恒定伤害",0,(IF(D44="轻剑",$AZ$2,$AZ$3)+IFERROR(INDEX(技能数据库!$T$2:$W$27,MATCH(E44,技能数据库!$T$2:$T$27,0),4),0)+COUNTIF(G44,"*造化2*")*154+COUNTIF(G44,"*造化1*")*102+COUNTIF(G44,"*碧归*")*307)/1024)</f>
        <v>0.397571271929785</v>
      </c>
      <c r="Q44">
        <f ca="1" t="shared" si="45"/>
        <v>0.448284482196154</v>
      </c>
      <c r="R44">
        <f ca="1" t="shared" si="3"/>
        <v>0.21277697966198</v>
      </c>
      <c r="S44">
        <f ca="1" t="shared" si="30"/>
        <v>419984.11092508</v>
      </c>
      <c r="T44">
        <f t="shared" si="31"/>
        <v>0.8</v>
      </c>
      <c r="U44">
        <f ca="1" t="shared" si="46"/>
        <v>1.7995442148</v>
      </c>
      <c r="V44">
        <f ca="1" t="shared" si="32"/>
        <v>940611.270438584</v>
      </c>
      <c r="W44">
        <f ca="1">IF(G44="恒定伤害",0,MIN(1,IF(COUNTIF(F44,"*内会*")&gt;0,内会,IF(D44="轻剑",$Y$2,$Y$3)+COUNTIF(G44,"*莺鸣*")*0.2+COUNTIF(G44,"*叠1*")*0.1+COUNTIF(G44,"*叠2*")*0.2+COUNTIF(G44,"*叠3*")*0.3)+IFERROR(INDEX(技能数据库!$T$2:$W$27,MATCH(E44,技能数据库!$T$2:$T$27,0),2),0)+IF((IF(D44="轻剑",$AO$2,$AO$3)+INT(COUNTIF(G44,"*大莺鸣*")*IF(D44="轻剑",$AM$2,$AM$3)*听晓无双率)/无双系数)&gt;0.9,特效裤子会心/会心系数,0)))</f>
        <v>0.7343</v>
      </c>
      <c r="X44">
        <f ca="1">IF(G44="恒定伤害",0,IF(COUNTIF(F44,"*内会*")&gt;0,内会效,IF(D44="轻剑",$AB$2,$AB$3))+IFERROR(INDEX(技能数据库!$T$2:$W$27,MATCH(E44,技能数据库!$T$2:$T$27,0),3)/1024,0))+COUNTIF(G44,"*叠1*")*0.25+COUNTIF(G44,"*叠2*")*0.5+COUNTIF(G44,"*叠3*")*0.75</f>
        <v>2.3217485021</v>
      </c>
      <c r="Y44">
        <f ca="1" t="shared" si="33"/>
        <v>1.97055992509203</v>
      </c>
      <c r="Z44">
        <f t="shared" si="5"/>
        <v>0.150390625</v>
      </c>
      <c r="AA44">
        <f ca="1" t="shared" si="34"/>
        <v>0.0205078125</v>
      </c>
      <c r="AB44">
        <f ca="1" t="shared" si="35"/>
        <v>2176013.03287626</v>
      </c>
      <c r="AC44">
        <f ca="1">无穷技能数计算!AJ36</f>
        <v>12</v>
      </c>
      <c r="AD44" s="164">
        <f ca="1" t="shared" si="36"/>
        <v>0.00915868154207279</v>
      </c>
      <c r="AE44" s="168">
        <f ca="1" t="shared" si="6"/>
        <v>0.00398707274465726</v>
      </c>
      <c r="AF44" s="168">
        <f ca="1" t="shared" si="7"/>
        <v>0.00452429750499931</v>
      </c>
      <c r="AG44">
        <f ca="1" t="shared" si="8"/>
        <v>0.00345706706368087</v>
      </c>
      <c r="AH44">
        <f ca="1" t="shared" si="9"/>
        <v>1.0027199173719</v>
      </c>
      <c r="AI44">
        <f ca="1" t="shared" si="10"/>
        <v>1.00016101226475</v>
      </c>
      <c r="AJ44">
        <f ca="1" t="shared" si="11"/>
        <v>1.00057404545102</v>
      </c>
      <c r="AK44">
        <f ca="1" t="shared" si="17"/>
        <v>12</v>
      </c>
      <c r="AL44">
        <f ca="1" t="shared" si="12"/>
        <v>0.00496352538323697</v>
      </c>
      <c r="AM44">
        <f ca="1" t="shared" si="18"/>
        <v>12</v>
      </c>
      <c r="AN44" s="168">
        <f ca="1" t="shared" si="13"/>
        <v>0.00748399053993198</v>
      </c>
      <c r="AO44" s="168">
        <f ca="1" t="shared" si="47"/>
        <v>0.00447057613551372</v>
      </c>
      <c r="AP44" s="172">
        <f ca="1" t="shared" si="15"/>
        <v>0</v>
      </c>
      <c r="AQ44" s="168">
        <f ca="1" t="shared" si="16"/>
        <v>0.00401583628616287</v>
      </c>
      <c r="AR44">
        <f t="shared" si="19"/>
        <v>1</v>
      </c>
      <c r="AX44" s="161" t="s">
        <v>2857</v>
      </c>
      <c r="AY44" s="161" t="s">
        <v>2857</v>
      </c>
      <c r="AZ44" s="164">
        <f ca="1" t="shared" si="44"/>
        <v>0</v>
      </c>
      <c r="BA44" s="173">
        <f ca="1" t="shared" si="43"/>
        <v>0</v>
      </c>
      <c r="BB44" s="161" t="s">
        <v>3159</v>
      </c>
      <c r="BC44" s="164">
        <f ca="1" t="shared" si="40"/>
        <v>0</v>
      </c>
      <c r="BD44">
        <f ca="1" t="shared" si="41"/>
        <v>19</v>
      </c>
      <c r="BE44">
        <f ca="1" t="shared" si="42"/>
        <v>0</v>
      </c>
    </row>
    <row r="45" spans="4:57">
      <c r="D45" t="s">
        <v>1825</v>
      </c>
      <c r="E45" t="s">
        <v>2780</v>
      </c>
      <c r="G45" t="s">
        <v>3070</v>
      </c>
      <c r="H45">
        <f ca="1">INDEX(技能数据库!$B$2:$I$100,MATCH(无穷伤害与收益计算!$E45,技能数据库!$B$2:$B$100,0),MATCH(H$9,技能数据库!$B$2:$I$2,0))</f>
        <v>252.5</v>
      </c>
      <c r="I45">
        <f ca="1">INDEX(技能数据库!$B$2:$I$100,MATCH(无穷伤害与收益计算!$E45,技能数据库!$B$2:$B$100,0),MATCH(I$9,技能数据库!$B$2:$I$2,0))</f>
        <v>2.11875</v>
      </c>
      <c r="J45">
        <f ca="1">INDEX(技能数据库!$B$2:$I$100,MATCH(无穷伤害与收益计算!$E45,技能数据库!$B$2:$B$100,0),MATCH(J$9,技能数据库!$B$2:$I$2,0))</f>
        <v>2</v>
      </c>
      <c r="K45">
        <f ca="1">INDEX(技能数据库!$B$2:$I$100,MATCH(无穷伤害与收益计算!$E45,技能数据库!$B$2:$B$100,0),MATCH(K$9,技能数据库!$B$2:$I$2,0))</f>
        <v>0</v>
      </c>
      <c r="L45">
        <f ca="1" t="shared" si="0"/>
        <v>105847</v>
      </c>
      <c r="M45">
        <f ca="1" t="shared" si="28"/>
        <v>19530.5</v>
      </c>
      <c r="N45">
        <f ca="1" t="shared" si="29"/>
        <v>92028</v>
      </c>
      <c r="O45">
        <f ca="1" t="shared" si="1"/>
        <v>263576.83125</v>
      </c>
      <c r="P45">
        <f ca="1">IF(G45="恒定伤害",0,(IF(D45="轻剑",$AZ$2,$AZ$3)+IFERROR(INDEX(技能数据库!$T$2:$W$27,MATCH(E45,技能数据库!$T$2:$T$27,0),4),0)+COUNTIF(G45,"*造化2*")*154+COUNTIF(G45,"*造化1*")*102+COUNTIF(G45,"*碧归*")*307)/1024)</f>
        <v>0.397571271929785</v>
      </c>
      <c r="Q45">
        <f ca="1" t="shared" si="45"/>
        <v>0.448284482196154</v>
      </c>
      <c r="R45">
        <f ca="1" t="shared" si="3"/>
        <v>0.21277697966198</v>
      </c>
      <c r="S45">
        <f ca="1" t="shared" si="30"/>
        <v>419984.11092508</v>
      </c>
      <c r="T45">
        <f t="shared" si="31"/>
        <v>0.8</v>
      </c>
      <c r="U45">
        <f ca="1" t="shared" si="46"/>
        <v>2.68954760480339</v>
      </c>
      <c r="V45">
        <f ca="1" t="shared" si="32"/>
        <v>1239641.09641529</v>
      </c>
      <c r="W45">
        <f ca="1">IF(G45="恒定伤害",0,MIN(1,IF(COUNTIF(F45,"*内会*")&gt;0,内会,IF(D45="轻剑",$Y$2,$Y$3)+COUNTIF(G45,"*莺鸣*")*0.2+COUNTIF(G45,"*叠1*")*0.1+COUNTIF(G45,"*叠2*")*0.2+COUNTIF(G45,"*叠3*")*0.3)+IFERROR(INDEX(技能数据库!$T$2:$W$27,MATCH(E45,技能数据库!$T$2:$T$27,0),2),0)+IF((IF(D45="轻剑",$AO$2,$AO$3)+INT(COUNTIF(G45,"*大莺鸣*")*IF(D45="轻剑",$AM$2,$AM$3)*听晓无双率)/无双系数)&gt;0.9,特效裤子会心/会心系数,0)))</f>
        <v>0.9343</v>
      </c>
      <c r="X45">
        <f ca="1">IF(G45="恒定伤害",0,IF(COUNTIF(F45,"*内会*")&gt;0,内会效,IF(D45="轻剑",$AB$2,$AB$3))+IFERROR(INDEX(技能数据库!$T$2:$W$27,MATCH(E45,技能数据库!$T$2:$T$27,0),3)/1024,0))+COUNTIF(G45,"*叠1*")*0.25+COUNTIF(G45,"*叠2*")*0.5+COUNTIF(G45,"*叠3*")*0.75</f>
        <v>2.3217485021</v>
      </c>
      <c r="Y45">
        <f ca="1" t="shared" si="33"/>
        <v>2.23490962551203</v>
      </c>
      <c r="Z45">
        <f t="shared" si="5"/>
        <v>0.150390625</v>
      </c>
      <c r="AA45">
        <f ca="1" t="shared" si="34"/>
        <v>0.0205078125</v>
      </c>
      <c r="AB45">
        <f ca="1" t="shared" si="35"/>
        <v>3252502.20060738</v>
      </c>
      <c r="AC45">
        <f ca="1">无穷技能数计算!AJ37</f>
        <v>0</v>
      </c>
      <c r="AD45" s="164">
        <f ca="1" t="shared" si="36"/>
        <v>0</v>
      </c>
      <c r="AE45" s="168">
        <f ca="1" t="shared" si="6"/>
        <v>0.00398707274465726</v>
      </c>
      <c r="AF45" s="168">
        <f ca="1" t="shared" si="7"/>
        <v>0.00452429750499931</v>
      </c>
      <c r="AG45">
        <f ca="1" t="shared" si="8"/>
        <v>0.00288136757670965</v>
      </c>
      <c r="AH45">
        <f ca="1" t="shared" si="9"/>
        <v>1.0027199173719</v>
      </c>
      <c r="AI45">
        <f ca="1" t="shared" si="10"/>
        <v>1.00016101226475</v>
      </c>
      <c r="AJ45">
        <f ca="1" t="shared" si="11"/>
        <v>0</v>
      </c>
      <c r="AK45">
        <f ca="1" t="shared" si="17"/>
        <v>0</v>
      </c>
      <c r="AL45">
        <f ca="1" t="shared" si="12"/>
        <v>0</v>
      </c>
      <c r="AM45">
        <f ca="1" t="shared" si="18"/>
        <v>0</v>
      </c>
      <c r="AN45" s="168">
        <f ca="1" t="shared" si="13"/>
        <v>0.00839606381672686</v>
      </c>
      <c r="AO45" s="168">
        <f ca="1" t="shared" si="47"/>
        <v>0.00447057613551372</v>
      </c>
      <c r="AP45" s="172">
        <f ca="1" t="shared" si="15"/>
        <v>0</v>
      </c>
      <c r="AQ45" s="168">
        <f ca="1" t="shared" si="16"/>
        <v>0.00393951131463699</v>
      </c>
      <c r="AR45">
        <f t="shared" si="19"/>
        <v>1</v>
      </c>
      <c r="AX45" s="161" t="s">
        <v>2859</v>
      </c>
      <c r="AY45" s="161" t="s">
        <v>2859</v>
      </c>
      <c r="AZ45" s="164">
        <f ca="1" t="shared" si="44"/>
        <v>0</v>
      </c>
      <c r="BA45" s="173">
        <f ca="1" t="shared" si="43"/>
        <v>0</v>
      </c>
      <c r="BB45" s="167" t="s">
        <v>3153</v>
      </c>
      <c r="BC45" s="164">
        <f ca="1" t="shared" ref="BC45" si="48">SUMIF($AY$10:$AY$100,BB45,$AZ$10:$AZ$100)</f>
        <v>0</v>
      </c>
      <c r="BD45">
        <f ca="1" t="shared" ref="BD45" si="49">RANK(BC45,$BC$10:$BC$100)</f>
        <v>19</v>
      </c>
      <c r="BE45">
        <f ca="1" t="shared" ref="BE45" si="50">SUMIF($AY$10:$AY$100,BB45,$BA$10:$BA$100)</f>
        <v>18.8674245939675</v>
      </c>
    </row>
    <row r="46" spans="4:57">
      <c r="D46" t="s">
        <v>1825</v>
      </c>
      <c r="E46" t="s">
        <v>2776</v>
      </c>
      <c r="G46" t="s">
        <v>3057</v>
      </c>
      <c r="H46">
        <f ca="1">INDEX(技能数据库!$B$2:$I$100,MATCH(无穷伤害与收益计算!$E46,技能数据库!$B$2:$B$100,0),MATCH(H$9,技能数据库!$B$2:$I$2,0))</f>
        <v>281.5</v>
      </c>
      <c r="I46">
        <f ca="1">INDEX(技能数据库!$B$2:$I$100,MATCH(无穷伤害与收益计算!$E46,技能数据库!$B$2:$B$100,0),MATCH(I$9,技能数据库!$B$2:$I$2,0))</f>
        <v>7.06875</v>
      </c>
      <c r="J46">
        <f ca="1">INDEX(技能数据库!$B$2:$I$100,MATCH(无穷伤害与收益计算!$E46,技能数据库!$B$2:$B$100,0),MATCH(J$9,技能数据库!$B$2:$I$2,0))</f>
        <v>2</v>
      </c>
      <c r="K46">
        <f ca="1">INDEX(技能数据库!$B$2:$I$100,MATCH(无穷伤害与收益计算!$E46,技能数据库!$B$2:$B$100,0),MATCH(K$9,技能数据库!$B$2:$I$2,0))</f>
        <v>0</v>
      </c>
      <c r="L46">
        <f ca="1" t="shared" si="0"/>
        <v>105847</v>
      </c>
      <c r="M46">
        <f ca="1" t="shared" si="28"/>
        <v>19530.5</v>
      </c>
      <c r="N46">
        <f ca="1" t="shared" si="29"/>
        <v>92028</v>
      </c>
      <c r="O46">
        <f ca="1" t="shared" si="1"/>
        <v>787548.48125</v>
      </c>
      <c r="P46">
        <f ca="1">IF(G46="恒定伤害",0,(IF(D46="轻剑",$AZ$2,$AZ$3)+IFERROR(INDEX(技能数据库!$T$2:$W$27,MATCH(E46,技能数据库!$T$2:$T$27,0),4),0)+COUNTIF(G46,"*造化2*")*154+COUNTIF(G46,"*造化1*")*102+COUNTIF(G46,"*碧归*")*307)/1024)</f>
        <v>0.346790021929785</v>
      </c>
      <c r="Q46">
        <f ca="1" t="shared" si="45"/>
        <v>0.448284482196154</v>
      </c>
      <c r="R46">
        <f ca="1" t="shared" si="3"/>
        <v>0.21277697966198</v>
      </c>
      <c r="S46">
        <f ca="1" t="shared" si="30"/>
        <v>1209285.51626935</v>
      </c>
      <c r="T46">
        <f t="shared" si="31"/>
        <v>0.8</v>
      </c>
      <c r="U46">
        <f ca="1" t="shared" si="46"/>
        <v>1.7995442148</v>
      </c>
      <c r="V46">
        <f ca="1" t="shared" si="32"/>
        <v>2708358.61689063</v>
      </c>
      <c r="W46">
        <f ca="1">IF(G46="恒定伤害",0,MIN(1,IF(COUNTIF(F46,"*内会*")&gt;0,内会,IF(D46="轻剑",$Y$2,$Y$3)+COUNTIF(G46,"*莺鸣*")*0.2+COUNTIF(G46,"*叠1*")*0.1+COUNTIF(G46,"*叠2*")*0.2+COUNTIF(G46,"*叠3*")*0.3)+IFERROR(INDEX(技能数据库!$T$2:$W$27,MATCH(E46,技能数据库!$T$2:$T$27,0),2),0)+IF((IF(D46="轻剑",$AO$2,$AO$3)+INT(COUNTIF(G46,"*大莺鸣*")*IF(D46="轻剑",$AM$2,$AM$3)*听晓无双率)/无双系数)&gt;0.9,特效裤子会心/会心系数,0)))</f>
        <v>0.7343</v>
      </c>
      <c r="X46">
        <f ca="1">IF(G46="恒定伤害",0,IF(COUNTIF(F46,"*内会*")&gt;0,内会效,IF(D46="轻剑",$AB$2,$AB$3))+IFERROR(INDEX(技能数据库!$T$2:$W$27,MATCH(E46,技能数据库!$T$2:$T$27,0),3)/1024,0))+COUNTIF(G46,"*叠1*")*0.25+COUNTIF(G46,"*叠2*")*0.5+COUNTIF(G46,"*叠3*")*0.75</f>
        <v>2.3217485021</v>
      </c>
      <c r="Y46">
        <f ca="1" t="shared" si="33"/>
        <v>1.97055992509203</v>
      </c>
      <c r="Z46">
        <f t="shared" si="5"/>
        <v>0.150390625</v>
      </c>
      <c r="AA46">
        <f ca="1" t="shared" si="34"/>
        <v>0.0205078125</v>
      </c>
      <c r="AB46">
        <f ca="1" t="shared" si="35"/>
        <v>6265525.23159624</v>
      </c>
      <c r="AC46">
        <f ca="1">无穷技能数计算!AJ38</f>
        <v>8</v>
      </c>
      <c r="AD46" s="164">
        <f ca="1" t="shared" si="36"/>
        <v>0.0175807618254202</v>
      </c>
      <c r="AE46" s="168">
        <f ca="1" t="shared" si="6"/>
        <v>0.00445191640067048</v>
      </c>
      <c r="AF46" s="168">
        <f ca="1" t="shared" si="7"/>
        <v>0.00151419249530805</v>
      </c>
      <c r="AG46">
        <f ca="1" t="shared" si="8"/>
        <v>0.00377440910714966</v>
      </c>
      <c r="AH46">
        <f ca="1" t="shared" si="9"/>
        <v>1.0030370262927</v>
      </c>
      <c r="AI46">
        <f ca="1" t="shared" si="10"/>
        <v>1.00016101226475</v>
      </c>
      <c r="AJ46">
        <f ca="1" t="shared" si="11"/>
        <v>1.00057404545102</v>
      </c>
      <c r="AK46">
        <f ca="1" t="shared" si="17"/>
        <v>8</v>
      </c>
      <c r="AL46">
        <f ca="1" t="shared" si="12"/>
        <v>0.00496352538323674</v>
      </c>
      <c r="AM46">
        <f ca="1" t="shared" si="18"/>
        <v>8</v>
      </c>
      <c r="AN46" s="168">
        <f ca="1" t="shared" si="13"/>
        <v>0.00748399053993198</v>
      </c>
      <c r="AO46" s="168">
        <f ca="1" t="shared" si="47"/>
        <v>0.00447057613551372</v>
      </c>
      <c r="AP46" s="172">
        <f ca="1" t="shared" si="15"/>
        <v>0</v>
      </c>
      <c r="AQ46" s="168">
        <f ca="1" t="shared" si="16"/>
        <v>0.00401583628616287</v>
      </c>
      <c r="AR46">
        <f t="shared" si="19"/>
        <v>1</v>
      </c>
      <c r="AX46" s="161" t="s">
        <v>2861</v>
      </c>
      <c r="AY46" s="161" t="s">
        <v>2861</v>
      </c>
      <c r="AZ46" s="164">
        <f ca="1" t="shared" si="44"/>
        <v>0</v>
      </c>
      <c r="BA46" s="173">
        <f ca="1" t="shared" si="43"/>
        <v>0</v>
      </c>
    </row>
    <row r="47" spans="4:57">
      <c r="D47" t="s">
        <v>1825</v>
      </c>
      <c r="E47" t="s">
        <v>2780</v>
      </c>
      <c r="G47" t="s">
        <v>3057</v>
      </c>
      <c r="H47">
        <f ca="1">INDEX(技能数据库!$B$2:$I$100,MATCH(无穷伤害与收益计算!$E47,技能数据库!$B$2:$B$100,0),MATCH(H$9,技能数据库!$B$2:$I$2,0))</f>
        <v>252.5</v>
      </c>
      <c r="I47">
        <f ca="1">INDEX(技能数据库!$B$2:$I$100,MATCH(无穷伤害与收益计算!$E47,技能数据库!$B$2:$B$100,0),MATCH(I$9,技能数据库!$B$2:$I$2,0))</f>
        <v>2.11875</v>
      </c>
      <c r="J47">
        <f ca="1">INDEX(技能数据库!$B$2:$I$100,MATCH(无穷伤害与收益计算!$E47,技能数据库!$B$2:$B$100,0),MATCH(J$9,技能数据库!$B$2:$I$2,0))</f>
        <v>2</v>
      </c>
      <c r="K47">
        <f ca="1">INDEX(技能数据库!$B$2:$I$100,MATCH(无穷伤害与收益计算!$E47,技能数据库!$B$2:$B$100,0),MATCH(K$9,技能数据库!$B$2:$I$2,0))</f>
        <v>0</v>
      </c>
      <c r="L47">
        <f ca="1" t="shared" si="0"/>
        <v>105847</v>
      </c>
      <c r="M47">
        <f ca="1" t="shared" si="28"/>
        <v>19530.5</v>
      </c>
      <c r="N47">
        <f ca="1" t="shared" si="29"/>
        <v>92028</v>
      </c>
      <c r="O47">
        <f ca="1" t="shared" si="1"/>
        <v>263576.83125</v>
      </c>
      <c r="P47">
        <f ca="1">IF(G47="恒定伤害",0,(IF(D47="轻剑",$AZ$2,$AZ$3)+IFERROR(INDEX(技能数据库!$T$2:$W$27,MATCH(E47,技能数据库!$T$2:$T$27,0),4),0)+COUNTIF(G47,"*造化2*")*154+COUNTIF(G47,"*造化1*")*102+COUNTIF(G47,"*碧归*")*307)/1024)</f>
        <v>0.346790021929785</v>
      </c>
      <c r="Q47">
        <f ca="1" t="shared" si="45"/>
        <v>0.448284482196154</v>
      </c>
      <c r="R47">
        <f ca="1" t="shared" si="3"/>
        <v>0.21277697966198</v>
      </c>
      <c r="S47">
        <f ca="1" t="shared" si="30"/>
        <v>404723.838650404</v>
      </c>
      <c r="T47">
        <f t="shared" si="31"/>
        <v>0.8</v>
      </c>
      <c r="U47">
        <f ca="1" t="shared" si="46"/>
        <v>1.7995442148</v>
      </c>
      <c r="V47">
        <f ca="1" t="shared" si="32"/>
        <v>906433.82486831</v>
      </c>
      <c r="W47">
        <f ca="1">IF(G47="恒定伤害",0,MIN(1,IF(COUNTIF(F47,"*内会*")&gt;0,内会,IF(D47="轻剑",$Y$2,$Y$3)+COUNTIF(G47,"*莺鸣*")*0.2+COUNTIF(G47,"*叠1*")*0.1+COUNTIF(G47,"*叠2*")*0.2+COUNTIF(G47,"*叠3*")*0.3)+IFERROR(INDEX(技能数据库!$T$2:$W$27,MATCH(E47,技能数据库!$T$2:$T$27,0),2),0)+IF((IF(D47="轻剑",$AO$2,$AO$3)+INT(COUNTIF(G47,"*大莺鸣*")*IF(D47="轻剑",$AM$2,$AM$3)*听晓无双率)/无双系数)&gt;0.9,特效裤子会心/会心系数,0)))</f>
        <v>0.7343</v>
      </c>
      <c r="X47">
        <f ca="1">IF(G47="恒定伤害",0,IF(COUNTIF(F47,"*内会*")&gt;0,内会效,IF(D47="轻剑",$AB$2,$AB$3))+IFERROR(INDEX(技能数据库!$T$2:$W$27,MATCH(E47,技能数据库!$T$2:$T$27,0),3)/1024,0))+COUNTIF(G47,"*叠1*")*0.25+COUNTIF(G47,"*叠2*")*0.5+COUNTIF(G47,"*叠3*")*0.75</f>
        <v>2.3217485021</v>
      </c>
      <c r="Y47">
        <f ca="1" t="shared" si="33"/>
        <v>1.97055992509203</v>
      </c>
      <c r="Z47">
        <f t="shared" si="5"/>
        <v>0.150390625</v>
      </c>
      <c r="AA47">
        <f ca="1" t="shared" si="34"/>
        <v>0.0205078125</v>
      </c>
      <c r="AB47">
        <f ca="1" t="shared" si="35"/>
        <v>2096946.82420043</v>
      </c>
      <c r="AC47">
        <f ca="1">无穷技能数计算!AJ39</f>
        <v>8</v>
      </c>
      <c r="AD47" s="164">
        <f ca="1" t="shared" si="36"/>
        <v>0.00588393172386076</v>
      </c>
      <c r="AE47" s="168">
        <f ca="1" t="shared" si="6"/>
        <v>0.00398707274465726</v>
      </c>
      <c r="AF47" s="168">
        <f ca="1" t="shared" si="7"/>
        <v>0.00452429750499931</v>
      </c>
      <c r="AG47">
        <f ca="1" t="shared" si="8"/>
        <v>0.00345706706368087</v>
      </c>
      <c r="AH47">
        <f ca="1" t="shared" si="9"/>
        <v>1.0027199173719</v>
      </c>
      <c r="AI47">
        <f ca="1" t="shared" si="10"/>
        <v>1.00016101226475</v>
      </c>
      <c r="AJ47">
        <f ca="1" t="shared" si="11"/>
        <v>1.00057404545102</v>
      </c>
      <c r="AK47">
        <f ca="1" t="shared" si="17"/>
        <v>8</v>
      </c>
      <c r="AL47">
        <f ca="1" t="shared" si="12"/>
        <v>0.00496352538323674</v>
      </c>
      <c r="AM47">
        <f ca="1" t="shared" si="18"/>
        <v>8</v>
      </c>
      <c r="AN47" s="168">
        <f ca="1" t="shared" si="13"/>
        <v>0.00748399053993198</v>
      </c>
      <c r="AO47" s="168">
        <f ca="1" t="shared" si="47"/>
        <v>0.00447057613551372</v>
      </c>
      <c r="AP47" s="172">
        <f ca="1" t="shared" si="15"/>
        <v>0</v>
      </c>
      <c r="AQ47" s="168">
        <f ca="1" t="shared" si="16"/>
        <v>0.00401583628616287</v>
      </c>
      <c r="AR47">
        <f t="shared" si="19"/>
        <v>1</v>
      </c>
      <c r="AX47" s="161" t="s">
        <v>2869</v>
      </c>
      <c r="AY47" s="161" t="s">
        <v>3156</v>
      </c>
      <c r="AZ47" s="164">
        <f ca="1" t="shared" si="44"/>
        <v>0</v>
      </c>
      <c r="BA47" s="173">
        <f ca="1" t="shared" si="43"/>
        <v>0</v>
      </c>
    </row>
    <row r="48" spans="4:57">
      <c r="D48" t="s">
        <v>1825</v>
      </c>
      <c r="E48" s="161" t="s">
        <v>2783</v>
      </c>
      <c r="G48" t="s">
        <v>2750</v>
      </c>
      <c r="H48">
        <f ca="1">INDEX(技能数据库!$B$2:$I$100,MATCH(无穷伤害与收益计算!$E48,技能数据库!$B$2:$B$100,0),MATCH(H$9,技能数据库!$B$2:$I$2,0))</f>
        <v>0</v>
      </c>
      <c r="I48">
        <f ca="1">INDEX(技能数据库!$B$2:$I$100,MATCH(无穷伤害与收益计算!$E48,技能数据库!$B$2:$B$100,0),MATCH(I$9,技能数据库!$B$2:$I$2,0))</f>
        <v>0</v>
      </c>
      <c r="J48">
        <f ca="1">INDEX(技能数据库!$B$2:$I$100,MATCH(无穷伤害与收益计算!$E48,技能数据库!$B$2:$B$100,0),MATCH(J$9,技能数据库!$B$2:$I$2,0))</f>
        <v>0</v>
      </c>
      <c r="K48">
        <f ca="1">INDEX(技能数据库!$B$2:$I$100,MATCH(无穷伤害与收益计算!$E48,技能数据库!$B$2:$B$100,0),MATCH(K$9,技能数据库!$B$2:$I$2,0))</f>
        <v>1.28127956390381</v>
      </c>
      <c r="L48">
        <f ca="1" t="shared" si="0"/>
        <v>105847</v>
      </c>
      <c r="M48">
        <f ca="1" t="shared" si="28"/>
        <v>19530.5</v>
      </c>
      <c r="N48">
        <f ca="1" t="shared" si="29"/>
        <v>92028</v>
      </c>
      <c r="O48">
        <f ca="1" t="shared" si="1"/>
        <v>1006274.62576302</v>
      </c>
      <c r="P48">
        <f ca="1">IF(G48="恒定伤害",0,(IF(D48="轻剑",$AZ$2,$AZ$3)+IFERROR(INDEX(技能数据库!$T$2:$W$27,MATCH(E48,技能数据库!$T$2:$T$27,0),4),0)+COUNTIF(G48,"*造化2*")*154+COUNTIF(G48,"*造化1*")*102+COUNTIF(G48,"*碧归*")*307)/1024)</f>
        <v>0.176868146929785</v>
      </c>
      <c r="Q48">
        <f ca="1" t="shared" si="45"/>
        <v>0.448284482196154</v>
      </c>
      <c r="R48">
        <f ca="1" t="shared" si="3"/>
        <v>0.21277697966198</v>
      </c>
      <c r="S48">
        <f ca="1" t="shared" si="30"/>
        <v>1350193.43784618</v>
      </c>
      <c r="T48">
        <f t="shared" si="31"/>
        <v>0.8</v>
      </c>
      <c r="U48">
        <f ca="1" t="shared" si="46"/>
        <v>1.7995442148</v>
      </c>
      <c r="V48">
        <f ca="1" t="shared" si="32"/>
        <v>3023940.98222655</v>
      </c>
      <c r="W48">
        <f ca="1">IF(G48="恒定伤害",0,MIN(1,IF(COUNTIF(F48,"*内会*")&gt;0,内会,IF(D48="轻剑",$Y$2,$Y$3)+COUNTIF(G48,"*莺鸣*")*0.2+COUNTIF(G48,"*叠1*")*0.1+COUNTIF(G48,"*叠2*")*0.2+COUNTIF(G48,"*叠3*")*0.3)+IFERROR(INDEX(技能数据库!$T$2:$W$27,MATCH(E48,技能数据库!$T$2:$T$27,0),2),0)+IF((IF(D48="轻剑",$AO$2,$AO$3)+INT(COUNTIF(G48,"*大莺鸣*")*IF(D48="轻剑",$AM$2,$AM$3)*听晓无双率)/无双系数)&gt;0.9,特效裤子会心/会心系数,0)))</f>
        <v>0.7343</v>
      </c>
      <c r="X48">
        <f ca="1">IF(G48="恒定伤害",0,IF(COUNTIF(F48,"*内会*")&gt;0,内会效,IF(D48="轻剑",$AB$2,$AB$3))+IFERROR(INDEX(技能数据库!$T$2:$W$27,MATCH(E48,技能数据库!$T$2:$T$27,0),3)/1024,0))+COUNTIF(G48,"*叠1*")*0.25+COUNTIF(G48,"*叠2*")*0.5+COUNTIF(G48,"*叠3*")*0.75</f>
        <v>2.3217485021</v>
      </c>
      <c r="Y48">
        <f ca="1" t="shared" si="33"/>
        <v>1.97055992509203</v>
      </c>
      <c r="Z48">
        <f t="shared" si="5"/>
        <v>0.150390625</v>
      </c>
      <c r="AA48">
        <f ca="1" t="shared" si="34"/>
        <v>0.0205078125</v>
      </c>
      <c r="AB48">
        <f ca="1" t="shared" si="35"/>
        <v>6995594.4551945</v>
      </c>
      <c r="AC48">
        <f ca="1">无穷技能数计算!AJ40</f>
        <v>28</v>
      </c>
      <c r="AD48" s="164">
        <f ca="1" t="shared" si="36"/>
        <v>0.0687025530809892</v>
      </c>
      <c r="AE48" s="168">
        <f ca="1" t="shared" si="6"/>
        <v>0</v>
      </c>
      <c r="AF48" s="168">
        <f ca="1" t="shared" si="7"/>
        <v>0</v>
      </c>
      <c r="AG48">
        <f ca="1" t="shared" si="8"/>
        <v>0.000735150144128172</v>
      </c>
      <c r="AH48">
        <f ca="1" t="shared" si="9"/>
        <v>1</v>
      </c>
      <c r="AI48">
        <f ca="1" t="shared" si="10"/>
        <v>1.00016101226475</v>
      </c>
      <c r="AJ48">
        <f ca="1" t="shared" si="11"/>
        <v>1.00057404545102</v>
      </c>
      <c r="AK48">
        <f ca="1" t="shared" si="17"/>
        <v>28</v>
      </c>
      <c r="AL48">
        <f ca="1" t="shared" si="12"/>
        <v>0.00496352538323674</v>
      </c>
      <c r="AM48">
        <f ca="1" t="shared" si="18"/>
        <v>28</v>
      </c>
      <c r="AN48" s="168">
        <f ca="1" t="shared" si="13"/>
        <v>0.00748399053993198</v>
      </c>
      <c r="AO48" s="168">
        <f ca="1" t="shared" si="47"/>
        <v>0.00447057613551372</v>
      </c>
      <c r="AP48" s="172">
        <f ca="1" t="shared" si="15"/>
        <v>0.015897335593515</v>
      </c>
      <c r="AQ48" s="168">
        <f ca="1" t="shared" si="16"/>
        <v>0.00401583628616287</v>
      </c>
      <c r="AR48">
        <f t="shared" si="19"/>
        <v>1</v>
      </c>
      <c r="AX48" s="161" t="s">
        <v>2871</v>
      </c>
      <c r="AY48" s="161" t="s">
        <v>2870</v>
      </c>
      <c r="AZ48" s="164">
        <f ca="1" t="shared" si="44"/>
        <v>0</v>
      </c>
      <c r="BA48" s="173">
        <f ca="1" t="shared" si="43"/>
        <v>0</v>
      </c>
    </row>
    <row r="49" spans="4:53">
      <c r="D49" t="s">
        <v>1825</v>
      </c>
      <c r="E49" s="161" t="s">
        <v>2783</v>
      </c>
      <c r="G49" t="s">
        <v>3044</v>
      </c>
      <c r="H49">
        <f ca="1">INDEX(技能数据库!$B$2:$I$100,MATCH(无穷伤害与收益计算!$E49,技能数据库!$B$2:$B$100,0),MATCH(H$9,技能数据库!$B$2:$I$2,0))</f>
        <v>0</v>
      </c>
      <c r="I49">
        <f ca="1">INDEX(技能数据库!$B$2:$I$100,MATCH(无穷伤害与收益计算!$E49,技能数据库!$B$2:$B$100,0),MATCH(I$9,技能数据库!$B$2:$I$2,0))</f>
        <v>0</v>
      </c>
      <c r="J49">
        <f ca="1">INDEX(技能数据库!$B$2:$I$100,MATCH(无穷伤害与收益计算!$E49,技能数据库!$B$2:$B$100,0),MATCH(J$9,技能数据库!$B$2:$I$2,0))</f>
        <v>0</v>
      </c>
      <c r="K49">
        <f ca="1">INDEX(技能数据库!$B$2:$I$100,MATCH(无穷伤害与收益计算!$E49,技能数据库!$B$2:$B$100,0),MATCH(K$9,技能数据库!$B$2:$I$2,0))</f>
        <v>1.28127956390381</v>
      </c>
      <c r="L49">
        <f ca="1" t="shared" si="0"/>
        <v>105847</v>
      </c>
      <c r="M49">
        <f ca="1" t="shared" si="28"/>
        <v>19530.5</v>
      </c>
      <c r="N49">
        <f ca="1" t="shared" si="29"/>
        <v>92028</v>
      </c>
      <c r="O49">
        <f ca="1" t="shared" si="1"/>
        <v>1006274.62576302</v>
      </c>
      <c r="P49">
        <f ca="1">IF(G49="恒定伤害",0,(IF(D49="轻剑",$AZ$2,$AZ$3)+IFERROR(INDEX(技能数据库!$T$2:$W$27,MATCH(E49,技能数据库!$T$2:$T$27,0),4),0)+COUNTIF(G49,"*造化2*")*154+COUNTIF(G49,"*造化1*")*102+COUNTIF(G49,"*碧归*")*307)/1024)</f>
        <v>0.176868146929785</v>
      </c>
      <c r="Q49">
        <f ca="1" t="shared" si="45"/>
        <v>0.448284482196154</v>
      </c>
      <c r="R49">
        <f ca="1" t="shared" si="3"/>
        <v>0.21277697966198</v>
      </c>
      <c r="S49">
        <f ca="1" t="shared" si="30"/>
        <v>1350193.43784618</v>
      </c>
      <c r="T49">
        <f t="shared" si="31"/>
        <v>0.8</v>
      </c>
      <c r="U49">
        <f ca="1" t="shared" si="46"/>
        <v>2.68954760480339</v>
      </c>
      <c r="V49">
        <f ca="1" t="shared" si="32"/>
        <v>3985282.37170129</v>
      </c>
      <c r="W49">
        <f ca="1">IF(G49="恒定伤害",0,MIN(1,IF(COUNTIF(F49,"*内会*")&gt;0,内会,IF(D49="轻剑",$Y$2,$Y$3)+COUNTIF(G49,"*莺鸣*")*0.2+COUNTIF(G49,"*叠1*")*0.1+COUNTIF(G49,"*叠2*")*0.2+COUNTIF(G49,"*叠3*")*0.3)+IFERROR(INDEX(技能数据库!$T$2:$W$27,MATCH(E49,技能数据库!$T$2:$T$27,0),2),0)+IF((IF(D49="轻剑",$AO$2,$AO$3)+INT(COUNTIF(G49,"*大莺鸣*")*IF(D49="轻剑",$AM$2,$AM$3)*听晓无双率)/无双系数)&gt;0.9,特效裤子会心/会心系数,0)))</f>
        <v>0.9343</v>
      </c>
      <c r="X49">
        <f ca="1">IF(G49="恒定伤害",0,IF(COUNTIF(F49,"*内会*")&gt;0,内会效,IF(D49="轻剑",$AB$2,$AB$3))+IFERROR(INDEX(技能数据库!$T$2:$W$27,MATCH(E49,技能数据库!$T$2:$T$27,0),3)/1024,0))+COUNTIF(G49,"*叠1*")*0.25+COUNTIF(G49,"*叠2*")*0.5+COUNTIF(G49,"*叠3*")*0.75</f>
        <v>2.3217485021</v>
      </c>
      <c r="Y49">
        <f ca="1" t="shared" si="33"/>
        <v>2.23490962551203</v>
      </c>
      <c r="Z49">
        <f t="shared" si="5"/>
        <v>0.150390625</v>
      </c>
      <c r="AA49">
        <f ca="1" t="shared" si="34"/>
        <v>0.0205078125</v>
      </c>
      <c r="AB49">
        <f ca="1" t="shared" si="35"/>
        <v>10456364.9281097</v>
      </c>
      <c r="AC49">
        <f ca="1">无穷技能数计算!AJ41</f>
        <v>0</v>
      </c>
      <c r="AD49" s="164">
        <f ca="1" t="shared" si="36"/>
        <v>0</v>
      </c>
      <c r="AE49" s="168">
        <f ca="1" t="shared" si="6"/>
        <v>0</v>
      </c>
      <c r="AF49" s="168">
        <f ca="1" t="shared" si="7"/>
        <v>0</v>
      </c>
      <c r="AG49">
        <f ca="1" t="shared" si="8"/>
        <v>0.000161012264749072</v>
      </c>
      <c r="AH49">
        <f ca="1" t="shared" si="9"/>
        <v>1</v>
      </c>
      <c r="AI49">
        <f ca="1" t="shared" si="10"/>
        <v>1.00016101226475</v>
      </c>
      <c r="AJ49">
        <f ca="1" t="shared" si="11"/>
        <v>0</v>
      </c>
      <c r="AK49">
        <f ca="1" t="shared" si="17"/>
        <v>0</v>
      </c>
      <c r="AL49">
        <f ca="1" t="shared" si="12"/>
        <v>0</v>
      </c>
      <c r="AM49">
        <f ca="1" t="shared" si="18"/>
        <v>0</v>
      </c>
      <c r="AN49" s="168">
        <f ca="1" t="shared" si="13"/>
        <v>0.00839606381672686</v>
      </c>
      <c r="AO49" s="168">
        <f ca="1" t="shared" si="47"/>
        <v>0.00447057613551372</v>
      </c>
      <c r="AP49" s="172">
        <f ca="1" t="shared" si="15"/>
        <v>0.015897335593515</v>
      </c>
      <c r="AQ49" s="168">
        <f ca="1" t="shared" si="16"/>
        <v>0.00393951131463699</v>
      </c>
      <c r="AR49">
        <f t="shared" si="19"/>
        <v>1</v>
      </c>
      <c r="AX49" s="161" t="s">
        <v>2885</v>
      </c>
      <c r="AY49" s="161" t="s">
        <v>3158</v>
      </c>
      <c r="AZ49" s="164">
        <f ca="1" t="shared" si="44"/>
        <v>0</v>
      </c>
      <c r="BA49" s="173">
        <f ca="1" t="shared" si="43"/>
        <v>0</v>
      </c>
    </row>
    <row r="50" spans="4:53">
      <c r="D50" t="s">
        <v>1825</v>
      </c>
      <c r="E50" t="s">
        <v>2786</v>
      </c>
      <c r="G50" t="s">
        <v>2750</v>
      </c>
      <c r="H50">
        <f ca="1">INDEX(技能数据库!$B$2:$I$100,MATCH(无穷伤害与收益计算!$E50,技能数据库!$B$2:$B$100,0),MATCH(H$9,技能数据库!$B$2:$I$2,0))</f>
        <v>0</v>
      </c>
      <c r="I50">
        <f ca="1">INDEX(技能数据库!$B$2:$I$100,MATCH(无穷伤害与收益计算!$E50,技能数据库!$B$2:$B$100,0),MATCH(I$9,技能数据库!$B$2:$I$2,0))</f>
        <v>0</v>
      </c>
      <c r="J50">
        <f ca="1">INDEX(技能数据库!$B$2:$I$100,MATCH(无穷伤害与收益计算!$E50,技能数据库!$B$2:$B$100,0),MATCH(J$9,技能数据库!$B$2:$I$2,0))</f>
        <v>0</v>
      </c>
      <c r="K50">
        <f ca="1">INDEX(技能数据库!$B$2:$I$100,MATCH(无穷伤害与收益计算!$E50,技能数据库!$B$2:$B$100,0),MATCH(K$9,技能数据库!$B$2:$I$2,0))</f>
        <v>0</v>
      </c>
      <c r="L50">
        <f ca="1" t="shared" si="0"/>
        <v>105847</v>
      </c>
      <c r="M50">
        <f ca="1" t="shared" si="28"/>
        <v>19530.5</v>
      </c>
      <c r="N50">
        <f ca="1" t="shared" si="29"/>
        <v>92028</v>
      </c>
      <c r="O50">
        <f ca="1" t="shared" si="1"/>
        <v>0</v>
      </c>
      <c r="P50">
        <f ca="1">IF(G50="恒定伤害",0,(IF(D50="轻剑",$AZ$2,$AZ$3)+IFERROR(INDEX(技能数据库!$T$2:$W$27,MATCH(E50,技能数据库!$T$2:$T$27,0),4),0)+COUNTIF(G50,"*造化2*")*154+COUNTIF(G50,"*造化1*")*102+COUNTIF(G50,"*碧归*")*307)/1024)</f>
        <v>0.176868146929785</v>
      </c>
      <c r="Q50">
        <f ca="1" t="shared" si="45"/>
        <v>0.448284482196154</v>
      </c>
      <c r="R50">
        <f ca="1" t="shared" si="3"/>
        <v>0.21277697966198</v>
      </c>
      <c r="S50">
        <f ca="1" t="shared" si="30"/>
        <v>0</v>
      </c>
      <c r="T50">
        <f t="shared" si="31"/>
        <v>0.8</v>
      </c>
      <c r="U50">
        <f ca="1" t="shared" si="46"/>
        <v>1.7995442148</v>
      </c>
      <c r="V50">
        <f ca="1" t="shared" si="32"/>
        <v>0</v>
      </c>
      <c r="W50">
        <f ca="1">IF(G50="恒定伤害",0,MIN(1,IF(COUNTIF(F50,"*内会*")&gt;0,内会,IF(D50="轻剑",$Y$2,$Y$3)+COUNTIF(G50,"*莺鸣*")*0.2+COUNTIF(G50,"*叠1*")*0.1+COUNTIF(G50,"*叠2*")*0.2+COUNTIF(G50,"*叠3*")*0.3)+IFERROR(INDEX(技能数据库!$T$2:$W$27,MATCH(E50,技能数据库!$T$2:$T$27,0),2),0)+IF((IF(D50="轻剑",$AO$2,$AO$3)+INT(COUNTIF(G50,"*大莺鸣*")*IF(D50="轻剑",$AM$2,$AM$3)*听晓无双率)/无双系数)&gt;0.9,特效裤子会心/会心系数,0)))</f>
        <v>0.7343</v>
      </c>
      <c r="X50">
        <f ca="1">IF(G50="恒定伤害",0,IF(COUNTIF(F50,"*内会*")&gt;0,内会效,IF(D50="轻剑",$AB$2,$AB$3))+IFERROR(INDEX(技能数据库!$T$2:$W$27,MATCH(E50,技能数据库!$T$2:$T$27,0),3)/1024,0))+COUNTIF(G50,"*叠1*")*0.25+COUNTIF(G50,"*叠2*")*0.5+COUNTIF(G50,"*叠3*")*0.75</f>
        <v>2.3217485021</v>
      </c>
      <c r="Y50">
        <f ca="1" t="shared" si="33"/>
        <v>1.97055992509203</v>
      </c>
      <c r="Z50">
        <f t="shared" si="5"/>
        <v>0.150390625</v>
      </c>
      <c r="AA50">
        <f ca="1" t="shared" si="34"/>
        <v>0.0205078125</v>
      </c>
      <c r="AB50">
        <f ca="1" t="shared" si="35"/>
        <v>0</v>
      </c>
      <c r="AC50">
        <f ca="1">无穷技能数计算!AJ42</f>
        <v>28</v>
      </c>
      <c r="AD50" s="164">
        <f ca="1" t="shared" si="36"/>
        <v>0</v>
      </c>
      <c r="AE50" s="168">
        <f ca="1" t="shared" si="6"/>
        <v>0</v>
      </c>
      <c r="AF50" s="168">
        <f ca="1" t="shared" si="7"/>
        <v>0</v>
      </c>
      <c r="AG50">
        <f ca="1" t="shared" si="8"/>
        <v>0</v>
      </c>
      <c r="AH50">
        <f ca="1" t="shared" si="9"/>
        <v>0</v>
      </c>
      <c r="AI50">
        <f ca="1" t="shared" si="10"/>
        <v>1.00016101226475</v>
      </c>
      <c r="AJ50">
        <f ca="1" t="shared" si="11"/>
        <v>1.00057404545102</v>
      </c>
      <c r="AK50">
        <f ca="1" t="shared" si="17"/>
        <v>28</v>
      </c>
      <c r="AL50">
        <f ca="1" t="shared" si="12"/>
        <v>0.00496352538323674</v>
      </c>
      <c r="AM50">
        <f ca="1" t="shared" si="18"/>
        <v>28</v>
      </c>
      <c r="AN50" s="168">
        <f ca="1" t="shared" si="13"/>
        <v>0.00748399053993198</v>
      </c>
      <c r="AO50" s="168">
        <f ca="1" t="shared" si="47"/>
        <v>0.00447057613551372</v>
      </c>
      <c r="AP50" s="172">
        <f ca="1" t="shared" si="15"/>
        <v>0</v>
      </c>
      <c r="AQ50" s="168">
        <f ca="1" t="shared" si="16"/>
        <v>0.00401583628616287</v>
      </c>
      <c r="AR50">
        <f t="shared" si="19"/>
        <v>1</v>
      </c>
      <c r="AX50" s="161" t="s">
        <v>2897</v>
      </c>
      <c r="AY50" s="161" t="s">
        <v>3159</v>
      </c>
      <c r="AZ50" s="164">
        <f ca="1" t="shared" si="44"/>
        <v>0</v>
      </c>
      <c r="BA50" s="173">
        <f ca="1" t="shared" si="43"/>
        <v>0</v>
      </c>
    </row>
    <row r="51" spans="4:53">
      <c r="D51" t="s">
        <v>1825</v>
      </c>
      <c r="E51" t="s">
        <v>2786</v>
      </c>
      <c r="G51" t="s">
        <v>3044</v>
      </c>
      <c r="H51">
        <f ca="1">INDEX(技能数据库!$B$2:$I$100,MATCH(无穷伤害与收益计算!$E51,技能数据库!$B$2:$B$100,0),MATCH(H$9,技能数据库!$B$2:$I$2,0))</f>
        <v>0</v>
      </c>
      <c r="I51">
        <f ca="1">INDEX(技能数据库!$B$2:$I$100,MATCH(无穷伤害与收益计算!$E51,技能数据库!$B$2:$B$100,0),MATCH(I$9,技能数据库!$B$2:$I$2,0))</f>
        <v>0</v>
      </c>
      <c r="J51">
        <f ca="1">INDEX(技能数据库!$B$2:$I$100,MATCH(无穷伤害与收益计算!$E51,技能数据库!$B$2:$B$100,0),MATCH(J$9,技能数据库!$B$2:$I$2,0))</f>
        <v>0</v>
      </c>
      <c r="K51">
        <f ca="1">INDEX(技能数据库!$B$2:$I$100,MATCH(无穷伤害与收益计算!$E51,技能数据库!$B$2:$B$100,0),MATCH(K$9,技能数据库!$B$2:$I$2,0))</f>
        <v>0</v>
      </c>
      <c r="L51">
        <f ca="1" t="shared" si="0"/>
        <v>105847</v>
      </c>
      <c r="M51">
        <f ca="1" t="shared" si="28"/>
        <v>19530.5</v>
      </c>
      <c r="N51">
        <f ca="1" t="shared" si="29"/>
        <v>92028</v>
      </c>
      <c r="O51">
        <f ca="1" t="shared" si="1"/>
        <v>0</v>
      </c>
      <c r="P51">
        <f ca="1">IF(G51="恒定伤害",0,(IF(D51="轻剑",$AZ$2,$AZ$3)+IFERROR(INDEX(技能数据库!$T$2:$W$27,MATCH(E51,技能数据库!$T$2:$T$27,0),4),0)+COUNTIF(G51,"*造化2*")*154+COUNTIF(G51,"*造化1*")*102+COUNTIF(G51,"*碧归*")*307)/1024)</f>
        <v>0.176868146929785</v>
      </c>
      <c r="Q51">
        <f ca="1" t="shared" si="45"/>
        <v>0.448284482196154</v>
      </c>
      <c r="R51">
        <f ca="1" t="shared" si="3"/>
        <v>0.21277697966198</v>
      </c>
      <c r="S51">
        <f ca="1" t="shared" si="30"/>
        <v>0</v>
      </c>
      <c r="T51">
        <f t="shared" si="31"/>
        <v>0.8</v>
      </c>
      <c r="U51">
        <f ca="1" t="shared" si="46"/>
        <v>2.68954760480339</v>
      </c>
      <c r="V51">
        <f ca="1" t="shared" si="32"/>
        <v>0</v>
      </c>
      <c r="W51">
        <f ca="1">IF(G51="恒定伤害",0,MIN(1,IF(COUNTIF(F51,"*内会*")&gt;0,内会,IF(D51="轻剑",$Y$2,$Y$3)+COUNTIF(G51,"*莺鸣*")*0.2+COUNTIF(G51,"*叠1*")*0.1+COUNTIF(G51,"*叠2*")*0.2+COUNTIF(G51,"*叠3*")*0.3)+IFERROR(INDEX(技能数据库!$T$2:$W$27,MATCH(E51,技能数据库!$T$2:$T$27,0),2),0)+IF((IF(D51="轻剑",$AO$2,$AO$3)+INT(COUNTIF(G51,"*大莺鸣*")*IF(D51="轻剑",$AM$2,$AM$3)*听晓无双率)/无双系数)&gt;0.9,特效裤子会心/会心系数,0)))</f>
        <v>0.9343</v>
      </c>
      <c r="X51">
        <f ca="1">IF(G51="恒定伤害",0,IF(COUNTIF(F51,"*内会*")&gt;0,内会效,IF(D51="轻剑",$AB$2,$AB$3))+IFERROR(INDEX(技能数据库!$T$2:$W$27,MATCH(E51,技能数据库!$T$2:$T$27,0),3)/1024,0))+COUNTIF(G51,"*叠1*")*0.25+COUNTIF(G51,"*叠2*")*0.5+COUNTIF(G51,"*叠3*")*0.75</f>
        <v>2.3217485021</v>
      </c>
      <c r="Y51">
        <f ca="1" t="shared" si="33"/>
        <v>2.23490962551203</v>
      </c>
      <c r="Z51">
        <f t="shared" si="5"/>
        <v>0.150390625</v>
      </c>
      <c r="AA51">
        <f ca="1" t="shared" si="34"/>
        <v>0.0205078125</v>
      </c>
      <c r="AB51">
        <f ca="1" t="shared" si="35"/>
        <v>0</v>
      </c>
      <c r="AC51">
        <f ca="1">无穷技能数计算!AJ43</f>
        <v>0</v>
      </c>
      <c r="AD51" s="164">
        <f ca="1" t="shared" si="36"/>
        <v>0</v>
      </c>
      <c r="AE51" s="168">
        <f ca="1" t="shared" si="6"/>
        <v>0</v>
      </c>
      <c r="AF51" s="168">
        <f ca="1" t="shared" si="7"/>
        <v>0</v>
      </c>
      <c r="AG51">
        <f ca="1" t="shared" si="8"/>
        <v>0</v>
      </c>
      <c r="AH51">
        <f ca="1" t="shared" si="9"/>
        <v>0</v>
      </c>
      <c r="AI51">
        <f ca="1" t="shared" si="10"/>
        <v>1.00016101226475</v>
      </c>
      <c r="AJ51">
        <f ca="1" t="shared" si="11"/>
        <v>0</v>
      </c>
      <c r="AK51">
        <f ca="1" t="shared" si="17"/>
        <v>0</v>
      </c>
      <c r="AL51">
        <f ca="1" t="shared" si="12"/>
        <v>0</v>
      </c>
      <c r="AM51">
        <f ca="1" t="shared" si="18"/>
        <v>0</v>
      </c>
      <c r="AN51" s="168">
        <f ca="1" t="shared" si="13"/>
        <v>0.00839606381672686</v>
      </c>
      <c r="AO51" s="168">
        <f ca="1" t="shared" si="47"/>
        <v>0.00447057613551372</v>
      </c>
      <c r="AP51" s="172">
        <f ca="1" t="shared" si="15"/>
        <v>0</v>
      </c>
      <c r="AQ51" s="168">
        <f ca="1" t="shared" si="16"/>
        <v>0.00393951131463699</v>
      </c>
      <c r="AR51">
        <f t="shared" si="19"/>
        <v>1</v>
      </c>
    </row>
    <row r="52" spans="4:53">
      <c r="D52" t="s">
        <v>1825</v>
      </c>
      <c r="E52" t="s">
        <v>2723</v>
      </c>
      <c r="H52">
        <f ca="1">INDEX(技能数据库!$B$2:$I$100,MATCH(无穷伤害与收益计算!$E52,技能数据库!$B$2:$B$100,0),MATCH(H$9,技能数据库!$B$2:$I$2,0))</f>
        <v>143</v>
      </c>
      <c r="I52">
        <f ca="1">INDEX(技能数据库!$B$2:$I$100,MATCH(无穷伤害与收益计算!$E52,技能数据库!$B$2:$B$100,0),MATCH(I$9,技能数据库!$B$2:$I$2,0))</f>
        <v>2.53125</v>
      </c>
      <c r="J52">
        <f ca="1">INDEX(技能数据库!$B$2:$I$100,MATCH(无穷伤害与收益计算!$E52,技能数据库!$B$2:$B$100,0),MATCH(J$9,技能数据库!$B$2:$I$2,0))</f>
        <v>2</v>
      </c>
      <c r="K52">
        <f ca="1">INDEX(技能数据库!$B$2:$I$100,MATCH(无穷伤害与收益计算!$E52,技能数据库!$B$2:$B$100,0),MATCH(K$9,技能数据库!$B$2:$I$2,0))</f>
        <v>0</v>
      </c>
      <c r="L52">
        <f ca="1" t="shared" si="0"/>
        <v>91975</v>
      </c>
      <c r="M52">
        <f ca="1" t="shared" si="28"/>
        <v>19530.5</v>
      </c>
      <c r="N52">
        <f ca="1" t="shared" si="29"/>
        <v>92028</v>
      </c>
      <c r="O52">
        <f ca="1" t="shared" si="1"/>
        <v>272015.71875</v>
      </c>
      <c r="P52">
        <f ca="1">IF(G52="恒定伤害",0,(IF(D52="轻剑",$AZ$2,$AZ$3)+IFERROR(INDEX(技能数据库!$T$2:$W$27,MATCH(E52,技能数据库!$T$2:$T$27,0),4),0)+COUNTIF(G52,"*造化2*")*154+COUNTIF(G52,"*造化1*")*102+COUNTIF(G52,"*碧归*")*307)/1024)</f>
        <v>0.176868146929785</v>
      </c>
      <c r="Q52">
        <f ca="1" t="shared" si="45"/>
        <v>0.448284482196154</v>
      </c>
      <c r="R52">
        <f ca="1" t="shared" si="3"/>
        <v>0.32958230397716</v>
      </c>
      <c r="S52">
        <f ca="1" t="shared" si="30"/>
        <v>310828.73145732</v>
      </c>
      <c r="T52">
        <f t="shared" si="31"/>
        <v>0.8</v>
      </c>
      <c r="U52">
        <f ca="1" t="shared" si="46"/>
        <v>1.7995442148</v>
      </c>
      <c r="V52">
        <f ca="1" t="shared" si="32"/>
        <v>696143.021555971</v>
      </c>
      <c r="W52">
        <f ca="1">IF(G52="恒定伤害",0,MIN(1,IF(COUNTIF(F52,"*内会*")&gt;0,内会,IF(D52="轻剑",$Y$2,$Y$3)+COUNTIF(G52,"*莺鸣*")*0.2+COUNTIF(G52,"*叠1*")*0.1+COUNTIF(G52,"*叠2*")*0.2+COUNTIF(G52,"*叠3*")*0.3)+IFERROR(INDEX(技能数据库!$T$2:$W$27,MATCH(E52,技能数据库!$T$2:$T$27,0),2),0)+IF((IF(D52="轻剑",$AO$2,$AO$3)+INT(COUNTIF(G52,"*大莺鸣*")*IF(D52="轻剑",$AM$2,$AM$3)*听晓无双率)/无双系数)&gt;0.9,特效裤子会心/会心系数,0)))</f>
        <v>0.7343</v>
      </c>
      <c r="X52">
        <f ca="1">IF(G52="恒定伤害",0,IF(COUNTIF(F52,"*内会*")&gt;0,内会效,IF(D52="轻剑",$AB$2,$AB$3))+IFERROR(INDEX(技能数据库!$T$2:$W$27,MATCH(E52,技能数据库!$T$2:$T$27,0),3)/1024,0))+COUNTIF(G52,"*叠1*")*0.25+COUNTIF(G52,"*叠2*")*0.5+COUNTIF(G52,"*叠3*")*0.75</f>
        <v>2.3217485021</v>
      </c>
      <c r="Y52">
        <f ca="1" t="shared" si="33"/>
        <v>1.97055992509203</v>
      </c>
      <c r="Z52">
        <f t="shared" si="5"/>
        <v>0.150390625</v>
      </c>
      <c r="AA52">
        <f ca="1" t="shared" si="34"/>
        <v>0.0205078125</v>
      </c>
      <c r="AB52">
        <f ca="1" t="shared" si="35"/>
        <v>1610459.42703337</v>
      </c>
      <c r="AC52">
        <f ca="1">($AC$24+$AC$28+$AC$32+$AC$137)*MIN(1,0.3+$Y$3)</f>
        <v>0</v>
      </c>
      <c r="AD52" s="164">
        <f ca="1" t="shared" si="36"/>
        <v>0</v>
      </c>
      <c r="AE52" s="168">
        <f ca="1" t="shared" si="6"/>
        <v>0.0038710998204033</v>
      </c>
      <c r="AF52" s="168">
        <f ca="1" t="shared" si="7"/>
        <v>0.00438393783079861</v>
      </c>
      <c r="AG52">
        <f ca="1" t="shared" si="8"/>
        <v>0.00331016836394804</v>
      </c>
      <c r="AH52">
        <f ca="1" t="shared" si="9"/>
        <v>1.00314864912807</v>
      </c>
      <c r="AI52">
        <f ca="1" t="shared" si="10"/>
        <v>1.00016101226475</v>
      </c>
      <c r="AJ52">
        <f ca="1" t="shared" si="11"/>
        <v>0</v>
      </c>
      <c r="AK52">
        <f ca="1">($AC$24+$AC$28+$AC$32+$AC$137)*MIN(1,0.3+$Y$3+((delta身法+INT((IF(D52="轻剑",$N$2,$N$3))/1024*delta身法))*身法转基础会心/会心系数))</f>
        <v>0</v>
      </c>
      <c r="AL52">
        <f ca="1" t="shared" si="12"/>
        <v>0</v>
      </c>
      <c r="AM52">
        <f ca="1">($AC$24+$AC$28+$AC$32+$AC$137)*MIN(1,0.3+$Y$3+delta会心/会心系数)</f>
        <v>0</v>
      </c>
      <c r="AN52" s="168">
        <f ca="1" t="shared" si="13"/>
        <v>0.00748399053993198</v>
      </c>
      <c r="AO52" s="168">
        <f ca="1" t="shared" si="47"/>
        <v>0.00447057613551372</v>
      </c>
      <c r="AP52" s="172">
        <f ca="1" t="shared" si="15"/>
        <v>0</v>
      </c>
      <c r="AQ52" s="168">
        <f ca="1" t="shared" si="16"/>
        <v>0.00401583628616287</v>
      </c>
      <c r="AR52">
        <f t="shared" si="19"/>
        <v>1</v>
      </c>
    </row>
    <row r="53" spans="4:53">
      <c r="D53" t="s">
        <v>1825</v>
      </c>
      <c r="E53" t="s">
        <v>2723</v>
      </c>
      <c r="G53" t="s">
        <v>2750</v>
      </c>
      <c r="H53">
        <f ca="1">INDEX(技能数据库!$B$2:$I$100,MATCH(无穷伤害与收益计算!$E53,技能数据库!$B$2:$B$100,0),MATCH(H$9,技能数据库!$B$2:$I$2,0))</f>
        <v>143</v>
      </c>
      <c r="I53">
        <f ca="1">INDEX(技能数据库!$B$2:$I$100,MATCH(无穷伤害与收益计算!$E53,技能数据库!$B$2:$B$100,0),MATCH(I$9,技能数据库!$B$2:$I$2,0))</f>
        <v>2.53125</v>
      </c>
      <c r="J53">
        <f ca="1">INDEX(技能数据库!$B$2:$I$100,MATCH(无穷伤害与收益计算!$E53,技能数据库!$B$2:$B$100,0),MATCH(J$9,技能数据库!$B$2:$I$2,0))</f>
        <v>2</v>
      </c>
      <c r="K53">
        <f ca="1">INDEX(技能数据库!$B$2:$I$100,MATCH(无穷伤害与收益计算!$E53,技能数据库!$B$2:$B$100,0),MATCH(K$9,技能数据库!$B$2:$I$2,0))</f>
        <v>0</v>
      </c>
      <c r="L53">
        <f ca="1" t="shared" si="0"/>
        <v>105847</v>
      </c>
      <c r="M53">
        <f ca="1" t="shared" si="28"/>
        <v>19530.5</v>
      </c>
      <c r="N53">
        <f ca="1" t="shared" si="29"/>
        <v>92028</v>
      </c>
      <c r="O53">
        <f ca="1" t="shared" si="1"/>
        <v>307129.21875</v>
      </c>
      <c r="P53">
        <f ca="1">IF(G53="恒定伤害",0,(IF(D53="轻剑",$AZ$2,$AZ$3)+IFERROR(INDEX(技能数据库!$T$2:$W$27,MATCH(E53,技能数据库!$T$2:$T$27,0),4),0)+COUNTIF(G53,"*造化2*")*154+COUNTIF(G53,"*造化1*")*102+COUNTIF(G53,"*碧归*")*307)/1024)</f>
        <v>0.176868146929785</v>
      </c>
      <c r="Q53">
        <f ca="1" t="shared" si="45"/>
        <v>0.448284482196154</v>
      </c>
      <c r="R53">
        <f ca="1" t="shared" si="3"/>
        <v>0.21277697966198</v>
      </c>
      <c r="S53">
        <f ca="1" t="shared" si="30"/>
        <v>412098.094407014</v>
      </c>
      <c r="T53">
        <f t="shared" si="31"/>
        <v>0.8</v>
      </c>
      <c r="U53">
        <f ca="1" t="shared" si="46"/>
        <v>1.7995442148</v>
      </c>
      <c r="V53">
        <f ca="1" t="shared" si="32"/>
        <v>922949.468901808</v>
      </c>
      <c r="W53">
        <f ca="1">IF(G53="恒定伤害",0,MIN(1,IF(COUNTIF(F53,"*内会*")&gt;0,内会,IF(D53="轻剑",$Y$2,$Y$3)+COUNTIF(G53,"*莺鸣*")*0.2+COUNTIF(G53,"*叠1*")*0.1+COUNTIF(G53,"*叠2*")*0.2+COUNTIF(G53,"*叠3*")*0.3)+IFERROR(INDEX(技能数据库!$T$2:$W$27,MATCH(E53,技能数据库!$T$2:$T$27,0),2),0)+IF((IF(D53="轻剑",$AO$2,$AO$3)+INT(COUNTIF(G53,"*大莺鸣*")*IF(D53="轻剑",$AM$2,$AM$3)*听晓无双率)/无双系数)&gt;0.9,特效裤子会心/会心系数,0)))</f>
        <v>0.7343</v>
      </c>
      <c r="X53">
        <f ca="1">IF(G53="恒定伤害",0,IF(COUNTIF(F53,"*内会*")&gt;0,内会效,IF(D53="轻剑",$AB$2,$AB$3))+IFERROR(INDEX(技能数据库!$T$2:$W$27,MATCH(E53,技能数据库!$T$2:$T$27,0),3)/1024,0))+COUNTIF(G53,"*叠1*")*0.25+COUNTIF(G53,"*叠2*")*0.5+COUNTIF(G53,"*叠3*")*0.75</f>
        <v>2.3217485021</v>
      </c>
      <c r="Y53">
        <f ca="1" t="shared" si="33"/>
        <v>1.97055992509203</v>
      </c>
      <c r="Z53">
        <f t="shared" si="5"/>
        <v>0.150390625</v>
      </c>
      <c r="AA53">
        <f ca="1" t="shared" si="34"/>
        <v>0.0205078125</v>
      </c>
      <c r="AB53">
        <f ca="1" t="shared" si="35"/>
        <v>2135154.16637535</v>
      </c>
      <c r="AC53">
        <f ca="1">($AC$25+$AC$29+$AC$33+$AC$38+$AC$42+$AC$46+$AC$78+$AC$92+$AC$95+$AC$98+$AC$99+$AC$107)*MIN(1,0.3+$Y$3)</f>
        <v>76</v>
      </c>
      <c r="AD53" s="164">
        <f ca="1" t="shared" si="36"/>
        <v>0.0569158270032754</v>
      </c>
      <c r="AE53" s="168">
        <f ca="1" t="shared" si="6"/>
        <v>0.00408785593604483</v>
      </c>
      <c r="AF53" s="168">
        <f ca="1" t="shared" si="7"/>
        <v>0.00388273054857305</v>
      </c>
      <c r="AG53">
        <f ca="1" t="shared" si="8"/>
        <v>0.00352587029136497</v>
      </c>
      <c r="AH53">
        <f ca="1" t="shared" si="9"/>
        <v>1.00278867005604</v>
      </c>
      <c r="AI53">
        <f ca="1" t="shared" si="10"/>
        <v>1.00016101226475</v>
      </c>
      <c r="AJ53">
        <f ca="1" t="shared" si="11"/>
        <v>1.00057404545102</v>
      </c>
      <c r="AK53">
        <f ca="1">($AC$25+$AC$29+$AC$33+$AC$38+$AC$42+$AC$46+$AC$78+$AC$92+$AC$95+$AC$98+$AC$99+$AC$107)*MIN(1,0.3+$Y$3+((delta身法+INT((IF(D52="轻剑",$N$2,$N$3))/1024*delta身法))*身法转基础会心/会心系数))</f>
        <v>76</v>
      </c>
      <c r="AL53">
        <f ca="1">IF(G53="恒定伤害",0,IFERROR(((1+MIN(1,W53+delta会心/会心系数)*(X53-1))*AM53)/(Y53*AC53)-1,0))</f>
        <v>0.00496352538323697</v>
      </c>
      <c r="AM53">
        <f ca="1">($AC$25+$AC$29+$AC$33+$AC$38+$AC$42+$AC$46+$AC$78+$AC$92+$AC$95+$AC$98+$AC$99+$AC$107)*MIN(1,0.3+$Y$3+delta会心/会心系数)</f>
        <v>76</v>
      </c>
      <c r="AN53" s="168">
        <f ca="1" t="shared" si="13"/>
        <v>0.00748399053993198</v>
      </c>
      <c r="AO53" s="168">
        <f ca="1" t="shared" si="47"/>
        <v>0.00447057613551372</v>
      </c>
      <c r="AP53" s="172">
        <f ca="1" t="shared" si="15"/>
        <v>0</v>
      </c>
      <c r="AQ53" s="168">
        <f ca="1" t="shared" si="16"/>
        <v>0.00401583628616287</v>
      </c>
      <c r="AR53">
        <f t="shared" si="19"/>
        <v>1</v>
      </c>
    </row>
    <row r="54" spans="4:53">
      <c r="D54" t="s">
        <v>1825</v>
      </c>
      <c r="E54" t="s">
        <v>2723</v>
      </c>
      <c r="G54" t="s">
        <v>2948</v>
      </c>
      <c r="H54">
        <f ca="1">INDEX(技能数据库!$B$2:$I$100,MATCH(无穷伤害与收益计算!$E54,技能数据库!$B$2:$B$100,0),MATCH(H$9,技能数据库!$B$2:$I$2,0))</f>
        <v>143</v>
      </c>
      <c r="I54">
        <f ca="1">INDEX(技能数据库!$B$2:$I$100,MATCH(无穷伤害与收益计算!$E54,技能数据库!$B$2:$B$100,0),MATCH(I$9,技能数据库!$B$2:$I$2,0))</f>
        <v>2.53125</v>
      </c>
      <c r="J54">
        <f ca="1">INDEX(技能数据库!$B$2:$I$100,MATCH(无穷伤害与收益计算!$E54,技能数据库!$B$2:$B$100,0),MATCH(J$9,技能数据库!$B$2:$I$2,0))</f>
        <v>2</v>
      </c>
      <c r="K54">
        <f ca="1">INDEX(技能数据库!$B$2:$I$100,MATCH(无穷伤害与收益计算!$E54,技能数据库!$B$2:$B$100,0),MATCH(K$9,技能数据库!$B$2:$I$2,0))</f>
        <v>0</v>
      </c>
      <c r="L54">
        <f ca="1" t="shared" si="0"/>
        <v>91975</v>
      </c>
      <c r="M54">
        <f ca="1" t="shared" si="28"/>
        <v>19530.5</v>
      </c>
      <c r="N54">
        <f ca="1" t="shared" si="29"/>
        <v>92028</v>
      </c>
      <c r="O54">
        <f ca="1" t="shared" si="1"/>
        <v>272015.71875</v>
      </c>
      <c r="P54">
        <f ca="1">IF(G54="恒定伤害",0,(IF(D54="轻剑",$AZ$2,$AZ$3)+IFERROR(INDEX(技能数据库!$T$2:$W$27,MATCH(E54,技能数据库!$T$2:$T$27,0),4),0)+COUNTIF(G54,"*造化2*")*154+COUNTIF(G54,"*造化1*")*102+COUNTIF(G54,"*碧归*")*307)/1024)</f>
        <v>0.176868146929785</v>
      </c>
      <c r="Q54">
        <f ca="1" t="shared" si="45"/>
        <v>0.448284482196154</v>
      </c>
      <c r="R54">
        <f ca="1" t="shared" si="3"/>
        <v>0.32958230397716</v>
      </c>
      <c r="S54">
        <f ca="1" t="shared" si="30"/>
        <v>310828.73145732</v>
      </c>
      <c r="T54">
        <f t="shared" si="31"/>
        <v>0.8</v>
      </c>
      <c r="U54">
        <f ca="1" t="shared" si="46"/>
        <v>2.68954760480339</v>
      </c>
      <c r="V54">
        <f ca="1" t="shared" si="32"/>
        <v>917453.921321946</v>
      </c>
      <c r="W54">
        <f ca="1">IF(G54="恒定伤害",0,MIN(1,IF(COUNTIF(F54,"*内会*")&gt;0,内会,IF(D54="轻剑",$Y$2,$Y$3)+COUNTIF(G54,"*莺鸣*")*0.2+COUNTIF(G54,"*叠1*")*0.1+COUNTIF(G54,"*叠2*")*0.2+COUNTIF(G54,"*叠3*")*0.3)+IFERROR(INDEX(技能数据库!$T$2:$W$27,MATCH(E54,技能数据库!$T$2:$T$27,0),2),0)+IF((IF(D54="轻剑",$AO$2,$AO$3)+INT(COUNTIF(G54,"*大莺鸣*")*IF(D54="轻剑",$AM$2,$AM$3)*听晓无双率)/无双系数)&gt;0.9,特效裤子会心/会心系数,0)))</f>
        <v>0.9343</v>
      </c>
      <c r="X54">
        <f ca="1">IF(G54="恒定伤害",0,IF(COUNTIF(F54,"*内会*")&gt;0,内会效,IF(D54="轻剑",$AB$2,$AB$3))+IFERROR(INDEX(技能数据库!$T$2:$W$27,MATCH(E54,技能数据库!$T$2:$T$27,0),3)/1024,0))+COUNTIF(G54,"*叠1*")*0.25+COUNTIF(G54,"*叠2*")*0.5+COUNTIF(G54,"*叠3*")*0.75</f>
        <v>2.3217485021</v>
      </c>
      <c r="Y54">
        <f ca="1" t="shared" si="33"/>
        <v>2.23490962551203</v>
      </c>
      <c r="Z54">
        <f t="shared" si="5"/>
        <v>0.150390625</v>
      </c>
      <c r="AA54">
        <f ca="1" t="shared" si="34"/>
        <v>0.0205078125</v>
      </c>
      <c r="AB54">
        <f ca="1" t="shared" si="35"/>
        <v>2407165.1921548</v>
      </c>
      <c r="AC54">
        <f ca="1">($AC$26+$AC$30+$AC$103+$AC$108+$AC$112)*MIN(1,0.3+$Y$3+0.2)</f>
        <v>0</v>
      </c>
      <c r="AD54" s="164">
        <f ca="1" t="shared" si="36"/>
        <v>0</v>
      </c>
      <c r="AE54" s="168">
        <f ca="1" t="shared" si="6"/>
        <v>0.0038710998204033</v>
      </c>
      <c r="AF54" s="168">
        <f ca="1" t="shared" si="7"/>
        <v>0.00438393783079861</v>
      </c>
      <c r="AG54">
        <f ca="1" t="shared" si="8"/>
        <v>0.00331016836394804</v>
      </c>
      <c r="AH54">
        <f ca="1" t="shared" si="9"/>
        <v>1.00314864912807</v>
      </c>
      <c r="AI54">
        <f ca="1" t="shared" si="10"/>
        <v>1.00016101226475</v>
      </c>
      <c r="AJ54">
        <f ca="1" t="shared" si="11"/>
        <v>0</v>
      </c>
      <c r="AK54">
        <f ca="1">($AC$26+$AC$30+$AC$103+$AC$108+$AC$112)*MIN(1,0.3+$Y$3+0.2+((delta身法+INT((IF(D52="轻剑",$N$2,$N$3))/1024*delta身法))*身法转基础会心/会心系数))</f>
        <v>0</v>
      </c>
      <c r="AL54">
        <f ca="1" t="shared" si="12"/>
        <v>0</v>
      </c>
      <c r="AM54">
        <f ca="1">($AC$26+$AC$30+$AC$103+$AC$108+$AC$112)*MIN(1,0.3+$Y$3+0.2+delta会心/会心系数)</f>
        <v>0</v>
      </c>
      <c r="AN54" s="168">
        <f ca="1" t="shared" si="13"/>
        <v>0.00839606381672686</v>
      </c>
      <c r="AO54" s="168">
        <f ca="1" t="shared" si="47"/>
        <v>0.00447057613551372</v>
      </c>
      <c r="AP54" s="172">
        <f ca="1" t="shared" si="15"/>
        <v>0</v>
      </c>
      <c r="AQ54" s="168">
        <f ca="1" t="shared" si="16"/>
        <v>0.00393951131463699</v>
      </c>
      <c r="AR54">
        <f t="shared" si="19"/>
        <v>1</v>
      </c>
    </row>
    <row r="55" spans="4:53">
      <c r="D55" t="s">
        <v>1825</v>
      </c>
      <c r="E55" t="s">
        <v>2723</v>
      </c>
      <c r="G55" t="s">
        <v>3044</v>
      </c>
      <c r="H55">
        <f ca="1">INDEX(技能数据库!$B$2:$I$100,MATCH(无穷伤害与收益计算!$E55,技能数据库!$B$2:$B$100,0),MATCH(H$9,技能数据库!$B$2:$I$2,0))</f>
        <v>143</v>
      </c>
      <c r="I55">
        <f ca="1">INDEX(技能数据库!$B$2:$I$100,MATCH(无穷伤害与收益计算!$E55,技能数据库!$B$2:$B$100,0),MATCH(I$9,技能数据库!$B$2:$I$2,0))</f>
        <v>2.53125</v>
      </c>
      <c r="J55">
        <f ca="1">INDEX(技能数据库!$B$2:$I$100,MATCH(无穷伤害与收益计算!$E55,技能数据库!$B$2:$B$100,0),MATCH(J$9,技能数据库!$B$2:$I$2,0))</f>
        <v>2</v>
      </c>
      <c r="K55">
        <f ca="1">INDEX(技能数据库!$B$2:$I$100,MATCH(无穷伤害与收益计算!$E55,技能数据库!$B$2:$B$100,0),MATCH(K$9,技能数据库!$B$2:$I$2,0))</f>
        <v>0</v>
      </c>
      <c r="L55">
        <f ca="1" t="shared" si="0"/>
        <v>105847</v>
      </c>
      <c r="M55">
        <f ca="1" t="shared" si="28"/>
        <v>19530.5</v>
      </c>
      <c r="N55">
        <f ca="1" t="shared" si="29"/>
        <v>92028</v>
      </c>
      <c r="O55">
        <f ca="1" t="shared" si="1"/>
        <v>307129.21875</v>
      </c>
      <c r="P55">
        <f ca="1">IF(G55="恒定伤害",0,(IF(D55="轻剑",$AZ$2,$AZ$3)+IFERROR(INDEX(技能数据库!$T$2:$W$27,MATCH(E55,技能数据库!$T$2:$T$27,0),4),0)+COUNTIF(G55,"*造化2*")*154+COUNTIF(G55,"*造化1*")*102+COUNTIF(G55,"*碧归*")*307)/1024)</f>
        <v>0.176868146929785</v>
      </c>
      <c r="Q55">
        <f ca="1" t="shared" si="45"/>
        <v>0.448284482196154</v>
      </c>
      <c r="R55">
        <f ca="1" t="shared" si="3"/>
        <v>0.21277697966198</v>
      </c>
      <c r="S55">
        <f ca="1" t="shared" si="30"/>
        <v>412098.094407014</v>
      </c>
      <c r="T55">
        <f t="shared" si="31"/>
        <v>0.8</v>
      </c>
      <c r="U55">
        <f ca="1" t="shared" si="46"/>
        <v>2.68954760480339</v>
      </c>
      <c r="V55">
        <f ca="1" t="shared" si="32"/>
        <v>1216364.42973075</v>
      </c>
      <c r="W55">
        <f ca="1">IF(G55="恒定伤害",0,MIN(1,IF(COUNTIF(F55,"*内会*")&gt;0,内会,IF(D55="轻剑",$Y$2,$Y$3)+COUNTIF(G55,"*莺鸣*")*0.2+COUNTIF(G55,"*叠1*")*0.1+COUNTIF(G55,"*叠2*")*0.2+COUNTIF(G55,"*叠3*")*0.3)+IFERROR(INDEX(技能数据库!$T$2:$W$27,MATCH(E55,技能数据库!$T$2:$T$27,0),2),0)+IF((IF(D55="轻剑",$AO$2,$AO$3)+INT(COUNTIF(G55,"*大莺鸣*")*IF(D55="轻剑",$AM$2,$AM$3)*听晓无双率)/无双系数)&gt;0.9,特效裤子会心/会心系数,0)))</f>
        <v>0.9343</v>
      </c>
      <c r="X55">
        <f ca="1">IF(G55="恒定伤害",0,IF(COUNTIF(F55,"*内会*")&gt;0,内会效,IF(D55="轻剑",$AB$2,$AB$3))+IFERROR(INDEX(技能数据库!$T$2:$W$27,MATCH(E55,技能数据库!$T$2:$T$27,0),3)/1024,0))+COUNTIF(G55,"*叠1*")*0.25+COUNTIF(G55,"*叠2*")*0.5+COUNTIF(G55,"*叠3*")*0.75</f>
        <v>2.3217485021</v>
      </c>
      <c r="Y55">
        <f ca="1" t="shared" si="33"/>
        <v>2.23490962551203</v>
      </c>
      <c r="Z55">
        <f t="shared" si="5"/>
        <v>0.150390625</v>
      </c>
      <c r="AA55">
        <f ca="1" t="shared" si="34"/>
        <v>0.0205078125</v>
      </c>
      <c r="AB55">
        <f ca="1" t="shared" si="35"/>
        <v>3191430.16142347</v>
      </c>
      <c r="AC55">
        <f ca="1">($AC$27+$AC$31+$AC$72+AC74+$AC$77+$AC$79+$AC$39+$AC$43)*MIN(1,0.3+$Y$3+0.2)</f>
        <v>0</v>
      </c>
      <c r="AD55" s="164">
        <f ca="1" t="shared" si="36"/>
        <v>0</v>
      </c>
      <c r="AE55" s="168">
        <f ca="1" t="shared" si="6"/>
        <v>0.00408785593604483</v>
      </c>
      <c r="AF55" s="168">
        <f ca="1" t="shared" si="7"/>
        <v>0.00388273054857305</v>
      </c>
      <c r="AG55">
        <f ca="1" t="shared" si="8"/>
        <v>0.00295013133087352</v>
      </c>
      <c r="AH55">
        <f ca="1" t="shared" si="9"/>
        <v>1.00278867005604</v>
      </c>
      <c r="AI55">
        <f ca="1" t="shared" si="10"/>
        <v>1.00016101226475</v>
      </c>
      <c r="AJ55">
        <f ca="1" t="shared" si="11"/>
        <v>0</v>
      </c>
      <c r="AK55">
        <f ca="1">($AC$27+$AC$31+$AC$72+AK74+$AC$77+$AC$79+$AC$39+$AC$43)*MIN(1,0.3+$Y$3+0.2+((delta身法+INT((IF(D52="轻剑",$N$2,$N$3))/1024*delta身法))*身法转基础会心/会心系数))</f>
        <v>0</v>
      </c>
      <c r="AL55">
        <f ca="1" t="shared" si="12"/>
        <v>0</v>
      </c>
      <c r="AM55">
        <f ca="1">($AC$27+$AC$31+$AC$72+AM74+$AC$77+$AC$79+$AC$39+$AC$43)*MIN(1,0.3+$Y$3+0.2+delta会心/会心系数)</f>
        <v>0</v>
      </c>
      <c r="AN55" s="168">
        <f ca="1" t="shared" si="13"/>
        <v>0.00839606381672686</v>
      </c>
      <c r="AO55" s="168">
        <f ca="1" t="shared" si="47"/>
        <v>0.00447057613551372</v>
      </c>
      <c r="AP55" s="172">
        <f ca="1" t="shared" si="15"/>
        <v>0</v>
      </c>
      <c r="AQ55" s="168">
        <f ca="1" t="shared" si="16"/>
        <v>0.00393951131463699</v>
      </c>
      <c r="AR55">
        <f t="shared" si="19"/>
        <v>1</v>
      </c>
    </row>
    <row r="56" spans="4:53">
      <c r="D56" t="s">
        <v>1825</v>
      </c>
      <c r="E56" t="s">
        <v>2789</v>
      </c>
      <c r="G56" t="s">
        <v>3044</v>
      </c>
      <c r="H56">
        <f ca="1">INDEX(技能数据库!$B$2:$I$100,MATCH(无穷伤害与收益计算!$E56,技能数据库!$B$2:$B$100,0),MATCH(H$9,技能数据库!$B$2:$I$2,0))</f>
        <v>131</v>
      </c>
      <c r="I56">
        <f ca="1">INDEX(技能数据库!$B$2:$I$100,MATCH(无穷伤害与收益计算!$E56,技能数据库!$B$2:$B$100,0),MATCH(I$9,技能数据库!$B$2:$I$2,0))</f>
        <v>3.425</v>
      </c>
      <c r="J56">
        <f ca="1">INDEX(技能数据库!$B$2:$I$100,MATCH(无穷伤害与收益计算!$E56,技能数据库!$B$2:$B$100,0),MATCH(J$9,技能数据库!$B$2:$I$2,0))</f>
        <v>0</v>
      </c>
      <c r="K56">
        <f ca="1">INDEX(技能数据库!$B$2:$I$100,MATCH(无穷伤害与收益计算!$E56,技能数据库!$B$2:$B$100,0),MATCH(K$9,技能数据库!$B$2:$I$2,0))</f>
        <v>0</v>
      </c>
      <c r="L56">
        <f ca="1" t="shared" si="0"/>
        <v>105847</v>
      </c>
      <c r="M56">
        <f ca="1" t="shared" si="28"/>
        <v>19530.5</v>
      </c>
      <c r="N56">
        <f ca="1" t="shared" si="29"/>
        <v>92028</v>
      </c>
      <c r="O56">
        <f ca="1" t="shared" si="1"/>
        <v>362656.975</v>
      </c>
      <c r="P56">
        <f ca="1">IF(G56="恒定伤害",0,(IF(D56="轻剑",$AZ$2,$AZ$3)+IFERROR(INDEX(技能数据库!$T$2:$W$27,MATCH(E56,技能数据库!$T$2:$T$27,0),4),0)+COUNTIF(G56,"*造化2*")*154+COUNTIF(G56,"*造化1*")*102+COUNTIF(G56,"*碧归*")*307)/1024)</f>
        <v>0.672900861773535</v>
      </c>
      <c r="Q56">
        <f ca="1" t="shared" si="45"/>
        <v>0.448284482196154</v>
      </c>
      <c r="R56">
        <f ca="1" t="shared" si="3"/>
        <v>0.21277697966198</v>
      </c>
      <c r="S56">
        <f ca="1" t="shared" si="30"/>
        <v>691700.201870402</v>
      </c>
      <c r="T56">
        <f t="shared" si="31"/>
        <v>0.8</v>
      </c>
      <c r="U56">
        <f ca="1" t="shared" si="46"/>
        <v>2.68954760480339</v>
      </c>
      <c r="V56">
        <f ca="1" t="shared" si="32"/>
        <v>2041648.65844237</v>
      </c>
      <c r="W56">
        <f ca="1">IF(G56="恒定伤害",0,MIN(1,IF(COUNTIF(F56,"*内会*")&gt;0,内会,IF(D56="轻剑",$Y$2,$Y$3)+COUNTIF(G56,"*莺鸣*")*0.2+COUNTIF(G56,"*叠1*")*0.1+COUNTIF(G56,"*叠2*")*0.2+COUNTIF(G56,"*叠3*")*0.3)+IFERROR(INDEX(技能数据库!$T$2:$W$27,MATCH(E56,技能数据库!$T$2:$T$27,0),2),0)+IF((IF(D56="轻剑",$AO$2,$AO$3)+INT(COUNTIF(G56,"*大莺鸣*")*IF(D56="轻剑",$AM$2,$AM$3)*听晓无双率)/无双系数)&gt;0.9,特效裤子会心/会心系数,0)))</f>
        <v>0.9643</v>
      </c>
      <c r="X56">
        <f ca="1">IF(G56="恒定伤害",0,IF(COUNTIF(F56,"*内会*")&gt;0,内会效,IF(D56="轻剑",$AB$2,$AB$3))+IFERROR(INDEX(技能数据库!$T$2:$W$27,MATCH(E56,技能数据库!$T$2:$T$27,0),3)/1024,0))+COUNTIF(G56,"*叠1*")*0.25+COUNTIF(G56,"*叠2*")*0.5+COUNTIF(G56,"*叠3*")*0.75</f>
        <v>2.3217485021</v>
      </c>
      <c r="Y56">
        <f ca="1" t="shared" si="33"/>
        <v>2.27456208057503</v>
      </c>
      <c r="Z56">
        <f t="shared" si="5"/>
        <v>0.150390625</v>
      </c>
      <c r="AA56">
        <f ca="1" t="shared" si="34"/>
        <v>0.0205078125</v>
      </c>
      <c r="AB56">
        <f ca="1" t="shared" si="35"/>
        <v>5451806.9631738</v>
      </c>
      <c r="AC56">
        <f ca="1">无穷技能数计算!AJ48</f>
        <v>0</v>
      </c>
      <c r="AD56" s="164">
        <f ca="1" t="shared" si="36"/>
        <v>0</v>
      </c>
      <c r="AE56" s="168">
        <f ca="1" t="shared" si="6"/>
        <v>0.00468431635707544</v>
      </c>
      <c r="AF56" s="168">
        <f ca="1" t="shared" si="7"/>
        <v>0</v>
      </c>
      <c r="AG56">
        <f ca="1" t="shared" si="8"/>
        <v>0.00335709262268846</v>
      </c>
      <c r="AH56">
        <f ca="1" t="shared" si="9"/>
        <v>1.00319556583265</v>
      </c>
      <c r="AI56">
        <f ca="1" t="shared" si="10"/>
        <v>1.00016101226475</v>
      </c>
      <c r="AJ56">
        <f ca="1" t="shared" si="11"/>
        <v>0</v>
      </c>
      <c r="AK56">
        <f ca="1" t="shared" si="17"/>
        <v>0</v>
      </c>
      <c r="AL56">
        <f ca="1" t="shared" si="12"/>
        <v>0</v>
      </c>
      <c r="AM56">
        <f ca="1" t="shared" si="18"/>
        <v>0</v>
      </c>
      <c r="AN56" s="168">
        <f ca="1" t="shared" si="13"/>
        <v>0.00851458960219631</v>
      </c>
      <c r="AO56" s="168">
        <f ca="1" t="shared" si="47"/>
        <v>0.00447057613551372</v>
      </c>
      <c r="AP56" s="172">
        <f ca="1" t="shared" si="15"/>
        <v>0</v>
      </c>
      <c r="AQ56" s="168">
        <f ca="1" t="shared" si="16"/>
        <v>0.00393951131463699</v>
      </c>
      <c r="AR56">
        <f t="shared" si="19"/>
        <v>1</v>
      </c>
    </row>
    <row r="57" spans="4:53">
      <c r="D57" t="s">
        <v>1825</v>
      </c>
      <c r="E57" t="s">
        <v>2794</v>
      </c>
      <c r="G57" t="s">
        <v>2750</v>
      </c>
      <c r="H57">
        <f ca="1">INDEX(技能数据库!$B$2:$I$100,MATCH(无穷伤害与收益计算!$E57,技能数据库!$B$2:$B$100,0),MATCH(H$9,技能数据库!$B$2:$I$2,0))</f>
        <v>231.5</v>
      </c>
      <c r="I57">
        <f ca="1">INDEX(技能数据库!$B$2:$I$100,MATCH(无穷伤害与收益计算!$E57,技能数据库!$B$2:$B$100,0),MATCH(I$9,技能数据库!$B$2:$I$2,0))</f>
        <v>2.71875</v>
      </c>
      <c r="J57">
        <f ca="1">INDEX(技能数据库!$B$2:$I$100,MATCH(无穷伤害与收益计算!$E57,技能数据库!$B$2:$B$100,0),MATCH(J$9,技能数据库!$B$2:$I$2,0))</f>
        <v>2</v>
      </c>
      <c r="K57">
        <f ca="1">INDEX(技能数据库!$B$2:$I$100,MATCH(无穷伤害与收益计算!$E57,技能数据库!$B$2:$B$100,0),MATCH(K$9,技能数据库!$B$2:$I$2,0))</f>
        <v>0</v>
      </c>
      <c r="L57">
        <f ca="1" t="shared" si="0"/>
        <v>105847</v>
      </c>
      <c r="M57">
        <f ca="1" t="shared" si="28"/>
        <v>19530.5</v>
      </c>
      <c r="N57">
        <f ca="1" t="shared" si="29"/>
        <v>92028</v>
      </c>
      <c r="O57">
        <f ca="1" t="shared" si="1"/>
        <v>327064.03125</v>
      </c>
      <c r="P57">
        <f ca="1">IF(G57="恒定伤害",0,(IF(D57="轻剑",$AZ$2,$AZ$3)+IFERROR(INDEX(技能数据库!$T$2:$W$27,MATCH(E57,技能数据库!$T$2:$T$27,0),4),0)+COUNTIF(G57,"*造化2*")*154+COUNTIF(G57,"*造化1*")*102+COUNTIF(G57,"*碧归*")*307)/1024)</f>
        <v>0.296985334429785</v>
      </c>
      <c r="Q57">
        <f ca="1" t="shared" si="45"/>
        <v>0.448284482196154</v>
      </c>
      <c r="R57">
        <f ca="1" t="shared" si="3"/>
        <v>0.21277697966198</v>
      </c>
      <c r="S57">
        <f ca="1" t="shared" si="30"/>
        <v>483636.994441474</v>
      </c>
      <c r="T57">
        <f t="shared" si="31"/>
        <v>0.8</v>
      </c>
      <c r="U57">
        <f ca="1" t="shared" si="46"/>
        <v>1.7995442148</v>
      </c>
      <c r="V57">
        <f ca="1" t="shared" si="32"/>
        <v>1083170.51988151</v>
      </c>
      <c r="W57">
        <f ca="1">IF(G57="恒定伤害",0,MIN(1,IF(COUNTIF(F57,"*内会*")&gt;0,内会,IF(D57="轻剑",$Y$2,$Y$3)+COUNTIF(G57,"*莺鸣*")*0.2+COUNTIF(G57,"*叠1*")*0.1+COUNTIF(G57,"*叠2*")*0.2+COUNTIF(G57,"*叠3*")*0.3)+IFERROR(INDEX(技能数据库!$T$2:$W$27,MATCH(E57,技能数据库!$T$2:$T$27,0),2),0)+IF((IF(D57="轻剑",$AO$2,$AO$3)+INT(COUNTIF(G57,"*大莺鸣*")*IF(D57="轻剑",$AM$2,$AM$3)*听晓无双率)/无双系数)&gt;0.9,特效裤子会心/会心系数,0)))</f>
        <v>0.7343</v>
      </c>
      <c r="X57">
        <f ca="1">IF(G57="恒定伤害",0,IF(COUNTIF(F57,"*内会*")&gt;0,内会效,IF(D57="轻剑",$AB$2,$AB$3))+IFERROR(INDEX(技能数据库!$T$2:$W$27,MATCH(E57,技能数据库!$T$2:$T$27,0),3)/1024,0))+COUNTIF(G57,"*叠1*")*0.25+COUNTIF(G57,"*叠2*")*0.5+COUNTIF(G57,"*叠3*")*0.75</f>
        <v>2.3217485021</v>
      </c>
      <c r="Y57">
        <f ca="1" t="shared" si="33"/>
        <v>1.97055992509203</v>
      </c>
      <c r="Z57">
        <f t="shared" si="5"/>
        <v>0.150390625</v>
      </c>
      <c r="AA57">
        <f ca="1" t="shared" si="34"/>
        <v>0.0205078125</v>
      </c>
      <c r="AB57">
        <f ca="1" t="shared" si="35"/>
        <v>2505810.04306967</v>
      </c>
      <c r="AC57">
        <f ca="1">无穷技能数计算!AJ49</f>
        <v>8</v>
      </c>
      <c r="AD57" s="164">
        <f ca="1" t="shared" si="36"/>
        <v>0.00703118221035883</v>
      </c>
      <c r="AE57" s="168">
        <f ca="1" t="shared" si="6"/>
        <v>0.00412304585999932</v>
      </c>
      <c r="AF57" s="168">
        <f ca="1" t="shared" si="7"/>
        <v>0.00364607503748549</v>
      </c>
      <c r="AG57">
        <f ca="1" t="shared" si="8"/>
        <v>0.00354989394368932</v>
      </c>
      <c r="AH57">
        <f ca="1" t="shared" si="9"/>
        <v>1.00281267606035</v>
      </c>
      <c r="AI57">
        <f ca="1" t="shared" si="10"/>
        <v>1.00016101226475</v>
      </c>
      <c r="AJ57">
        <f ca="1" t="shared" si="11"/>
        <v>1.00057404545102</v>
      </c>
      <c r="AK57">
        <f ca="1" t="shared" si="17"/>
        <v>8</v>
      </c>
      <c r="AL57">
        <f ca="1" t="shared" si="12"/>
        <v>0.00496352538323674</v>
      </c>
      <c r="AM57">
        <f ca="1" t="shared" si="18"/>
        <v>8</v>
      </c>
      <c r="AN57" s="168">
        <f ca="1" t="shared" si="13"/>
        <v>0.00748399053993198</v>
      </c>
      <c r="AO57" s="168">
        <f ca="1" t="shared" si="47"/>
        <v>0.00447057613551372</v>
      </c>
      <c r="AP57" s="172">
        <f ca="1" t="shared" si="15"/>
        <v>0</v>
      </c>
      <c r="AQ57" s="168">
        <f ca="1" t="shared" si="16"/>
        <v>0.00401583628616287</v>
      </c>
      <c r="AR57">
        <f t="shared" si="19"/>
        <v>1</v>
      </c>
    </row>
    <row r="58" spans="4:53">
      <c r="D58" t="s">
        <v>1825</v>
      </c>
      <c r="E58" t="s">
        <v>2794</v>
      </c>
      <c r="G58" t="s">
        <v>3044</v>
      </c>
      <c r="H58">
        <f ca="1">INDEX(技能数据库!$B$2:$I$100,MATCH(无穷伤害与收益计算!$E58,技能数据库!$B$2:$B$100,0),MATCH(H$9,技能数据库!$B$2:$I$2,0))</f>
        <v>231.5</v>
      </c>
      <c r="I58">
        <f ca="1">INDEX(技能数据库!$B$2:$I$100,MATCH(无穷伤害与收益计算!$E58,技能数据库!$B$2:$B$100,0),MATCH(I$9,技能数据库!$B$2:$I$2,0))</f>
        <v>2.71875</v>
      </c>
      <c r="J58">
        <f ca="1">INDEX(技能数据库!$B$2:$I$100,MATCH(无穷伤害与收益计算!$E58,技能数据库!$B$2:$B$100,0),MATCH(J$9,技能数据库!$B$2:$I$2,0))</f>
        <v>2</v>
      </c>
      <c r="K58">
        <f ca="1">INDEX(技能数据库!$B$2:$I$100,MATCH(无穷伤害与收益计算!$E58,技能数据库!$B$2:$B$100,0),MATCH(K$9,技能数据库!$B$2:$I$2,0))</f>
        <v>0</v>
      </c>
      <c r="L58">
        <f ca="1" t="shared" si="0"/>
        <v>105847</v>
      </c>
      <c r="M58">
        <f ca="1" t="shared" si="28"/>
        <v>19530.5</v>
      </c>
      <c r="N58">
        <f ca="1" t="shared" si="29"/>
        <v>92028</v>
      </c>
      <c r="O58">
        <f ca="1" t="shared" si="1"/>
        <v>327064.03125</v>
      </c>
      <c r="P58">
        <f ca="1">IF(G58="恒定伤害",0,(IF(D58="轻剑",$AZ$2,$AZ$3)+IFERROR(INDEX(技能数据库!$T$2:$W$27,MATCH(E58,技能数据库!$T$2:$T$27,0),4),0)+COUNTIF(G58,"*造化2*")*154+COUNTIF(G58,"*造化1*")*102+COUNTIF(G58,"*碧归*")*307)/1024)</f>
        <v>0.296985334429785</v>
      </c>
      <c r="Q58">
        <f ca="1" t="shared" si="45"/>
        <v>0.448284482196154</v>
      </c>
      <c r="R58">
        <f ca="1" t="shared" si="3"/>
        <v>0.21277697966198</v>
      </c>
      <c r="S58">
        <f ca="1" t="shared" si="30"/>
        <v>483636.994441474</v>
      </c>
      <c r="T58">
        <f t="shared" si="31"/>
        <v>0.8</v>
      </c>
      <c r="U58">
        <f ca="1" t="shared" si="46"/>
        <v>2.68954760480339</v>
      </c>
      <c r="V58">
        <f ca="1" t="shared" si="32"/>
        <v>1427521.37154868</v>
      </c>
      <c r="W58">
        <f ca="1">IF(G58="恒定伤害",0,MIN(1,IF(COUNTIF(F58,"*内会*")&gt;0,内会,IF(D58="轻剑",$Y$2,$Y$3)+COUNTIF(G58,"*莺鸣*")*0.2+COUNTIF(G58,"*叠1*")*0.1+COUNTIF(G58,"*叠2*")*0.2+COUNTIF(G58,"*叠3*")*0.3)+IFERROR(INDEX(技能数据库!$T$2:$W$27,MATCH(E58,技能数据库!$T$2:$T$27,0),2),0)+IF((IF(D58="轻剑",$AO$2,$AO$3)+INT(COUNTIF(G58,"*大莺鸣*")*IF(D58="轻剑",$AM$2,$AM$3)*听晓无双率)/无双系数)&gt;0.9,特效裤子会心/会心系数,0)))</f>
        <v>0.9343</v>
      </c>
      <c r="X58">
        <f ca="1">IF(G58="恒定伤害",0,IF(COUNTIF(F58,"*内会*")&gt;0,内会效,IF(D58="轻剑",$AB$2,$AB$3))+IFERROR(INDEX(技能数据库!$T$2:$W$27,MATCH(E58,技能数据库!$T$2:$T$27,0),3)/1024,0))+COUNTIF(G58,"*叠1*")*0.25+COUNTIF(G58,"*叠2*")*0.5+COUNTIF(G58,"*叠3*")*0.75</f>
        <v>2.3217485021</v>
      </c>
      <c r="Y58">
        <f ca="1" t="shared" si="33"/>
        <v>2.23490962551203</v>
      </c>
      <c r="Z58">
        <f t="shared" si="5"/>
        <v>0.150390625</v>
      </c>
      <c r="AA58">
        <f ca="1" t="shared" si="34"/>
        <v>0.0205078125</v>
      </c>
      <c r="AB58">
        <f ca="1" t="shared" si="35"/>
        <v>3745452.14401371</v>
      </c>
      <c r="AC58">
        <f ca="1">无穷技能数计算!AJ50</f>
        <v>0</v>
      </c>
      <c r="AD58" s="164">
        <f ca="1" t="shared" si="36"/>
        <v>0</v>
      </c>
      <c r="AE58" s="168">
        <f ca="1" t="shared" si="6"/>
        <v>0.00412304585999932</v>
      </c>
      <c r="AF58" s="168">
        <f ca="1" t="shared" si="7"/>
        <v>0.00364607503748549</v>
      </c>
      <c r="AG58">
        <f ca="1" t="shared" si="8"/>
        <v>0.00297414120044159</v>
      </c>
      <c r="AH58">
        <f ca="1" t="shared" si="9"/>
        <v>1.00281267606035</v>
      </c>
      <c r="AI58">
        <f ca="1" t="shared" si="10"/>
        <v>1.00016101226475</v>
      </c>
      <c r="AJ58">
        <f ca="1" t="shared" si="11"/>
        <v>0</v>
      </c>
      <c r="AK58">
        <f ca="1" t="shared" si="17"/>
        <v>0</v>
      </c>
      <c r="AL58">
        <f ca="1" t="shared" si="12"/>
        <v>0</v>
      </c>
      <c r="AM58">
        <f ca="1" t="shared" si="18"/>
        <v>0</v>
      </c>
      <c r="AN58" s="168">
        <f ca="1" t="shared" si="13"/>
        <v>0.00839606381672686</v>
      </c>
      <c r="AO58" s="168">
        <f ca="1" t="shared" si="47"/>
        <v>0.00447057613551372</v>
      </c>
      <c r="AP58" s="172">
        <f ca="1" t="shared" si="15"/>
        <v>0</v>
      </c>
      <c r="AQ58" s="168">
        <f ca="1" t="shared" si="16"/>
        <v>0.00393951131463699</v>
      </c>
      <c r="AR58">
        <f t="shared" si="19"/>
        <v>1</v>
      </c>
    </row>
    <row r="59" spans="4:53">
      <c r="D59" t="s">
        <v>1825</v>
      </c>
      <c r="E59" t="s">
        <v>2798</v>
      </c>
      <c r="G59" t="s">
        <v>2750</v>
      </c>
      <c r="H59">
        <f ca="1">INDEX(技能数据库!$B$2:$I$100,MATCH(无穷伤害与收益计算!$E59,技能数据库!$B$2:$B$100,0),MATCH(H$9,技能数据库!$B$2:$I$2,0))</f>
        <v>1504.5</v>
      </c>
      <c r="I59">
        <f ca="1">INDEX(技能数据库!$B$2:$I$100,MATCH(无穷伤害与收益计算!$E59,技能数据库!$B$2:$B$100,0),MATCH(I$9,技能数据库!$B$2:$I$2,0))</f>
        <v>2.85625</v>
      </c>
      <c r="J59">
        <f ca="1">INDEX(技能数据库!$B$2:$I$100,MATCH(无穷伤害与收益计算!$E59,技能数据库!$B$2:$B$100,0),MATCH(J$9,技能数据库!$B$2:$I$2,0))</f>
        <v>0</v>
      </c>
      <c r="K59">
        <f ca="1">INDEX(技能数据库!$B$2:$I$100,MATCH(无穷伤害与收益计算!$E59,技能数据库!$B$2:$B$100,0),MATCH(K$9,技能数据库!$B$2:$I$2,0))</f>
        <v>0</v>
      </c>
      <c r="L59">
        <f ca="1" t="shared" si="0"/>
        <v>105847</v>
      </c>
      <c r="M59">
        <f ca="1" t="shared" si="28"/>
        <v>19530.5</v>
      </c>
      <c r="N59">
        <f ca="1" t="shared" si="29"/>
        <v>92028</v>
      </c>
      <c r="O59">
        <f ca="1" t="shared" si="1"/>
        <v>303829.99375</v>
      </c>
      <c r="P59">
        <f ca="1">IF(G59="恒定伤害",0,(IF(D59="轻剑",$AZ$2,$AZ$3)+IFERROR(INDEX(技能数据库!$T$2:$W$27,MATCH(E59,技能数据库!$T$2:$T$27,0),4),0)+COUNTIF(G59,"*造化2*")*154+COUNTIF(G59,"*造化1*")*102+COUNTIF(G59,"*碧归*")*307)/1024)</f>
        <v>0.176868146929785</v>
      </c>
      <c r="Q59">
        <f ca="1" t="shared" si="45"/>
        <v>0.448284482196154</v>
      </c>
      <c r="R59">
        <f ca="1" t="shared" si="3"/>
        <v>0.21277697966198</v>
      </c>
      <c r="S59">
        <f ca="1" t="shared" si="30"/>
        <v>407671.279071588</v>
      </c>
      <c r="T59">
        <f t="shared" si="31"/>
        <v>0.8</v>
      </c>
      <c r="U59">
        <f ca="1" t="shared" si="46"/>
        <v>1.7995442148</v>
      </c>
      <c r="V59">
        <f ca="1" t="shared" si="32"/>
        <v>913035.016691983</v>
      </c>
      <c r="W59">
        <f ca="1">IF(G59="恒定伤害",0,MIN(1,IF(COUNTIF(F59,"*内会*")&gt;0,内会,IF(D59="轻剑",$Y$2,$Y$3)+COUNTIF(G59,"*莺鸣*")*0.2+COUNTIF(G59,"*叠1*")*0.1+COUNTIF(G59,"*叠2*")*0.2+COUNTIF(G59,"*叠3*")*0.3)+IFERROR(INDEX(技能数据库!$T$2:$W$27,MATCH(E59,技能数据库!$T$2:$T$27,0),2),0)+IF((IF(D59="轻剑",$AO$2,$AO$3)+INT(COUNTIF(G59,"*大莺鸣*")*IF(D59="轻剑",$AM$2,$AM$3)*听晓无双率)/无双系数)&gt;0.9,特效裤子会心/会心系数,0)))</f>
        <v>0.7343</v>
      </c>
      <c r="X59">
        <f ca="1">IF(G59="恒定伤害",0,IF(COUNTIF(F59,"*内会*")&gt;0,内会效,IF(D59="轻剑",$AB$2,$AB$3))+IFERROR(INDEX(技能数据库!$T$2:$W$27,MATCH(E59,技能数据库!$T$2:$T$27,0),3)/1024,0))+COUNTIF(G59,"*叠1*")*0.25+COUNTIF(G59,"*叠2*")*0.5+COUNTIF(G59,"*叠3*")*0.75</f>
        <v>2.3217485021</v>
      </c>
      <c r="Y59">
        <f ca="1" t="shared" si="33"/>
        <v>1.97055992509203</v>
      </c>
      <c r="Z59">
        <f t="shared" si="5"/>
        <v>0.150390625</v>
      </c>
      <c r="AA59">
        <f ca="1" t="shared" si="34"/>
        <v>0.0205078125</v>
      </c>
      <c r="AB59">
        <f ca="1" t="shared" si="35"/>
        <v>2112218.04185672</v>
      </c>
      <c r="AC59">
        <f ca="1">无穷技能数计算!AJ51</f>
        <v>8</v>
      </c>
      <c r="AD59" s="164">
        <f ca="1" t="shared" si="36"/>
        <v>0.00592678202458983</v>
      </c>
      <c r="AE59" s="168">
        <f ca="1" t="shared" si="6"/>
        <v>0.00466280495389702</v>
      </c>
      <c r="AF59" s="168">
        <f ca="1" t="shared" si="7"/>
        <v>0</v>
      </c>
      <c r="AG59">
        <f ca="1" t="shared" si="8"/>
        <v>0.00391837967350983</v>
      </c>
      <c r="AH59">
        <f ca="1" t="shared" si="9"/>
        <v>1.00318089109683</v>
      </c>
      <c r="AI59">
        <f ca="1" t="shared" si="10"/>
        <v>1.00016101226475</v>
      </c>
      <c r="AJ59">
        <f ca="1" t="shared" si="11"/>
        <v>1.00057404545102</v>
      </c>
      <c r="AK59">
        <f ca="1" t="shared" si="17"/>
        <v>8</v>
      </c>
      <c r="AL59">
        <f ca="1" t="shared" si="12"/>
        <v>0.00496352538323674</v>
      </c>
      <c r="AM59">
        <f ca="1" t="shared" si="18"/>
        <v>8</v>
      </c>
      <c r="AN59" s="168">
        <f ca="1" t="shared" si="13"/>
        <v>0.00748399053993198</v>
      </c>
      <c r="AO59" s="168">
        <f ca="1" t="shared" si="47"/>
        <v>0.00447057613551372</v>
      </c>
      <c r="AP59" s="172">
        <f ca="1" t="shared" si="15"/>
        <v>0</v>
      </c>
      <c r="AQ59" s="168">
        <f ca="1" t="shared" si="16"/>
        <v>0.00401583628616287</v>
      </c>
      <c r="AR59">
        <f t="shared" si="19"/>
        <v>1</v>
      </c>
    </row>
    <row r="60" spans="4:53">
      <c r="D60" t="s">
        <v>1825</v>
      </c>
      <c r="E60" t="s">
        <v>2798</v>
      </c>
      <c r="G60" t="s">
        <v>3044</v>
      </c>
      <c r="H60">
        <f ca="1">INDEX(技能数据库!$B$2:$I$100,MATCH(无穷伤害与收益计算!$E60,技能数据库!$B$2:$B$100,0),MATCH(H$9,技能数据库!$B$2:$I$2,0))</f>
        <v>1504.5</v>
      </c>
      <c r="I60">
        <f ca="1">INDEX(技能数据库!$B$2:$I$100,MATCH(无穷伤害与收益计算!$E60,技能数据库!$B$2:$B$100,0),MATCH(I$9,技能数据库!$B$2:$I$2,0))</f>
        <v>2.85625</v>
      </c>
      <c r="J60">
        <f ca="1">INDEX(技能数据库!$B$2:$I$100,MATCH(无穷伤害与收益计算!$E60,技能数据库!$B$2:$B$100,0),MATCH(J$9,技能数据库!$B$2:$I$2,0))</f>
        <v>0</v>
      </c>
      <c r="K60">
        <f ca="1">INDEX(技能数据库!$B$2:$I$100,MATCH(无穷伤害与收益计算!$E60,技能数据库!$B$2:$B$100,0),MATCH(K$9,技能数据库!$B$2:$I$2,0))</f>
        <v>0</v>
      </c>
      <c r="L60">
        <f ca="1" t="shared" si="0"/>
        <v>105847</v>
      </c>
      <c r="M60">
        <f ca="1" t="shared" si="28"/>
        <v>19530.5</v>
      </c>
      <c r="N60">
        <f ca="1" t="shared" si="29"/>
        <v>92028</v>
      </c>
      <c r="O60">
        <f ca="1" t="shared" si="1"/>
        <v>303829.99375</v>
      </c>
      <c r="P60">
        <f ca="1">IF(G60="恒定伤害",0,(IF(D60="轻剑",$AZ$2,$AZ$3)+IFERROR(INDEX(技能数据库!$T$2:$W$27,MATCH(E60,技能数据库!$T$2:$T$27,0),4),0)+COUNTIF(G60,"*造化2*")*154+COUNTIF(G60,"*造化1*")*102+COUNTIF(G60,"*碧归*")*307)/1024)</f>
        <v>0.176868146929785</v>
      </c>
      <c r="Q60">
        <f ca="1" t="shared" si="45"/>
        <v>0.448284482196154</v>
      </c>
      <c r="R60">
        <f ca="1" t="shared" si="3"/>
        <v>0.21277697966198</v>
      </c>
      <c r="S60">
        <f ca="1" t="shared" si="30"/>
        <v>407671.279071588</v>
      </c>
      <c r="T60">
        <f t="shared" si="31"/>
        <v>0.8</v>
      </c>
      <c r="U60">
        <f ca="1" t="shared" si="46"/>
        <v>2.68954760480339</v>
      </c>
      <c r="V60">
        <f ca="1" t="shared" si="32"/>
        <v>1203298.07299657</v>
      </c>
      <c r="W60">
        <f ca="1">IF(G60="恒定伤害",0,MIN(1,IF(COUNTIF(F60,"*内会*")&gt;0,内会,IF(D60="轻剑",$Y$2,$Y$3)+COUNTIF(G60,"*莺鸣*")*0.2+COUNTIF(G60,"*叠1*")*0.1+COUNTIF(G60,"*叠2*")*0.2+COUNTIF(G60,"*叠3*")*0.3)+IFERROR(INDEX(技能数据库!$T$2:$W$27,MATCH(E60,技能数据库!$T$2:$T$27,0),2),0)+IF((IF(D60="轻剑",$AO$2,$AO$3)+INT(COUNTIF(G60,"*大莺鸣*")*IF(D60="轻剑",$AM$2,$AM$3)*听晓无双率)/无双系数)&gt;0.9,特效裤子会心/会心系数,0)))</f>
        <v>0.9343</v>
      </c>
      <c r="X60">
        <f ca="1">IF(G60="恒定伤害",0,IF(COUNTIF(F60,"*内会*")&gt;0,内会效,IF(D60="轻剑",$AB$2,$AB$3))+IFERROR(INDEX(技能数据库!$T$2:$W$27,MATCH(E60,技能数据库!$T$2:$T$27,0),3)/1024,0))+COUNTIF(G60,"*叠1*")*0.25+COUNTIF(G60,"*叠2*")*0.5+COUNTIF(G60,"*叠3*")*0.75</f>
        <v>2.3217485021</v>
      </c>
      <c r="Y60">
        <f ca="1" t="shared" si="33"/>
        <v>2.23490962551203</v>
      </c>
      <c r="Z60">
        <f t="shared" si="5"/>
        <v>0.150390625</v>
      </c>
      <c r="AA60">
        <f ca="1" t="shared" si="34"/>
        <v>0.0205078125</v>
      </c>
      <c r="AB60">
        <f ca="1" t="shared" si="35"/>
        <v>3157147.37251405</v>
      </c>
      <c r="AC60">
        <f ca="1">无穷技能数计算!AJ52</f>
        <v>0</v>
      </c>
      <c r="AD60" s="164">
        <f ca="1" t="shared" si="36"/>
        <v>0</v>
      </c>
      <c r="AE60" s="168">
        <f ca="1" t="shared" si="6"/>
        <v>0.00466280495389702</v>
      </c>
      <c r="AF60" s="168">
        <f ca="1" t="shared" si="7"/>
        <v>0</v>
      </c>
      <c r="AG60">
        <f ca="1" t="shared" si="8"/>
        <v>0.00334241552406178</v>
      </c>
      <c r="AH60">
        <f ca="1" t="shared" si="9"/>
        <v>1.00318089109683</v>
      </c>
      <c r="AI60">
        <f ca="1" t="shared" si="10"/>
        <v>1.00016101226475</v>
      </c>
      <c r="AJ60">
        <f ca="1" t="shared" si="11"/>
        <v>0</v>
      </c>
      <c r="AK60">
        <f ca="1" t="shared" si="17"/>
        <v>0</v>
      </c>
      <c r="AL60">
        <f ca="1" t="shared" si="12"/>
        <v>0</v>
      </c>
      <c r="AM60">
        <f ca="1" t="shared" si="18"/>
        <v>0</v>
      </c>
      <c r="AN60" s="168">
        <f ca="1" t="shared" si="13"/>
        <v>0.00839606381672686</v>
      </c>
      <c r="AO60" s="168">
        <f ca="1" t="shared" si="47"/>
        <v>0.00447057613551372</v>
      </c>
      <c r="AP60" s="172">
        <f ca="1" t="shared" si="15"/>
        <v>0</v>
      </c>
      <c r="AQ60" s="168">
        <f ca="1" t="shared" si="16"/>
        <v>0.00393951131463699</v>
      </c>
      <c r="AR60">
        <f t="shared" si="19"/>
        <v>1</v>
      </c>
    </row>
    <row r="61" spans="4:53">
      <c r="D61" t="s">
        <v>1825</v>
      </c>
      <c r="E61" t="s">
        <v>2801</v>
      </c>
      <c r="H61">
        <f ca="1">INDEX(技能数据库!$B$2:$I$100,MATCH(无穷伤害与收益计算!$E61,技能数据库!$B$2:$B$100,0),MATCH(H$9,技能数据库!$B$2:$I$2,0))</f>
        <v>291</v>
      </c>
      <c r="I61">
        <f ca="1">INDEX(技能数据库!$B$2:$I$100,MATCH(无穷伤害与收益计算!$E61,技能数据库!$B$2:$B$100,0),MATCH(I$9,技能数据库!$B$2:$I$2,0))</f>
        <v>1.8875</v>
      </c>
      <c r="J61">
        <f ca="1">INDEX(技能数据库!$B$2:$I$100,MATCH(无穷伤害与收益计算!$E61,技能数据库!$B$2:$B$100,0),MATCH(J$9,技能数据库!$B$2:$I$2,0))</f>
        <v>2</v>
      </c>
      <c r="K61">
        <f ca="1">INDEX(技能数据库!$B$2:$I$100,MATCH(无穷伤害与收益计算!$E61,技能数据库!$B$2:$B$100,0),MATCH(K$9,技能数据库!$B$2:$I$2,0))</f>
        <v>0</v>
      </c>
      <c r="L61">
        <f ca="1" t="shared" si="0"/>
        <v>91975</v>
      </c>
      <c r="M61">
        <f ca="1" t="shared" si="28"/>
        <v>19530.5</v>
      </c>
      <c r="N61">
        <f ca="1" t="shared" si="29"/>
        <v>92028</v>
      </c>
      <c r="O61">
        <f ca="1" t="shared" si="1"/>
        <v>212954.8125</v>
      </c>
      <c r="P61">
        <f ca="1">IF(G61="恒定伤害",0,(IF(D61="轻剑",$AZ$2,$AZ$3)+IFERROR(INDEX(技能数据库!$T$2:$W$27,MATCH(E61,技能数据库!$T$2:$T$27,0),4),0)+COUNTIF(G61,"*造化2*")*154+COUNTIF(G61,"*造化1*")*102+COUNTIF(G61,"*碧归*")*307)/1024)</f>
        <v>0.176868146929785</v>
      </c>
      <c r="Q61">
        <f ca="1" t="shared" si="45"/>
        <v>0.448284482196154</v>
      </c>
      <c r="R61">
        <f ca="1" t="shared" si="3"/>
        <v>0.32958230397716</v>
      </c>
      <c r="S61">
        <f ca="1" t="shared" si="30"/>
        <v>243340.62212023</v>
      </c>
      <c r="T61">
        <f t="shared" si="31"/>
        <v>0.8</v>
      </c>
      <c r="U61">
        <f ca="1" t="shared" si="46"/>
        <v>1.7995442148</v>
      </c>
      <c r="V61">
        <f ca="1" t="shared" si="32"/>
        <v>544994.264706018</v>
      </c>
      <c r="W61">
        <f ca="1">IF(G61="恒定伤害",0,MIN(1,IF(COUNTIF(F61,"*内会*")&gt;0,内会,IF(D61="轻剑",$Y$2,$Y$3)+COUNTIF(G61,"*莺鸣*")*0.2+COUNTIF(G61,"*叠1*")*0.1+COUNTIF(G61,"*叠2*")*0.2+COUNTIF(G61,"*叠3*")*0.3)+IFERROR(INDEX(技能数据库!$T$2:$W$27,MATCH(E61,技能数据库!$T$2:$T$27,0),2),0)+IF((IF(D61="轻剑",$AO$2,$AO$3)+INT(COUNTIF(G61,"*大莺鸣*")*IF(D61="轻剑",$AM$2,$AM$3)*听晓无双率)/无双系数)&gt;0.9,特效裤子会心/会心系数,0)))</f>
        <v>0.7343</v>
      </c>
      <c r="X61">
        <f ca="1">IF(G61="恒定伤害",0,IF(COUNTIF(F61,"*内会*")&gt;0,内会效,IF(D61="轻剑",$AB$2,$AB$3))+IFERROR(INDEX(技能数据库!$T$2:$W$27,MATCH(E61,技能数据库!$T$2:$T$27,0),3)/1024,0))+COUNTIF(G61,"*叠1*")*0.25+COUNTIF(G61,"*叠2*")*0.5+COUNTIF(G61,"*叠3*")*0.75</f>
        <v>2.3217485021</v>
      </c>
      <c r="Y61">
        <f ca="1" t="shared" si="33"/>
        <v>1.97055992509203</v>
      </c>
      <c r="Z61">
        <f t="shared" si="5"/>
        <v>0.150390625</v>
      </c>
      <c r="AA61">
        <f ca="1" t="shared" si="34"/>
        <v>0.0205078125</v>
      </c>
      <c r="AB61">
        <f ca="1" t="shared" si="35"/>
        <v>1260791.42374102</v>
      </c>
      <c r="AC61">
        <f ca="1">无穷技能数计算!AJ53</f>
        <v>0</v>
      </c>
      <c r="AD61" s="164">
        <f ca="1" t="shared" si="36"/>
        <v>0</v>
      </c>
      <c r="AE61" s="168">
        <f ca="1" t="shared" si="6"/>
        <v>0.00368716720125778</v>
      </c>
      <c r="AF61" s="168">
        <f ca="1" t="shared" si="7"/>
        <v>0.00559977953069269</v>
      </c>
      <c r="AG61">
        <f ca="1" t="shared" si="8"/>
        <v>0.00316053839926189</v>
      </c>
      <c r="AH61">
        <f ca="1" t="shared" si="9"/>
        <v>1.00299904325177</v>
      </c>
      <c r="AI61">
        <f ca="1" t="shared" si="10"/>
        <v>1.00016101226475</v>
      </c>
      <c r="AJ61">
        <f ca="1" t="shared" si="11"/>
        <v>0</v>
      </c>
      <c r="AK61">
        <f ca="1" t="shared" si="17"/>
        <v>0</v>
      </c>
      <c r="AL61">
        <f ca="1" t="shared" si="12"/>
        <v>0</v>
      </c>
      <c r="AM61">
        <f ca="1" t="shared" si="18"/>
        <v>0</v>
      </c>
      <c r="AN61" s="168">
        <f ca="1" t="shared" si="13"/>
        <v>0.00748399053993198</v>
      </c>
      <c r="AO61" s="168">
        <f ca="1" t="shared" si="47"/>
        <v>0.00447057613551372</v>
      </c>
      <c r="AP61" s="172">
        <f ca="1" t="shared" si="15"/>
        <v>0</v>
      </c>
      <c r="AQ61" s="168">
        <f ca="1" t="shared" si="16"/>
        <v>0.00401583628616287</v>
      </c>
      <c r="AR61">
        <f t="shared" si="19"/>
        <v>1</v>
      </c>
    </row>
    <row r="62" spans="4:53">
      <c r="D62" t="s">
        <v>1825</v>
      </c>
      <c r="E62" t="s">
        <v>2801</v>
      </c>
      <c r="G62" t="s">
        <v>2750</v>
      </c>
      <c r="H62">
        <f ca="1">INDEX(技能数据库!$B$2:$I$100,MATCH(无穷伤害与收益计算!$E62,技能数据库!$B$2:$B$100,0),MATCH(H$9,技能数据库!$B$2:$I$2,0))</f>
        <v>291</v>
      </c>
      <c r="I62">
        <f ca="1">INDEX(技能数据库!$B$2:$I$100,MATCH(无穷伤害与收益计算!$E62,技能数据库!$B$2:$B$100,0),MATCH(I$9,技能数据库!$B$2:$I$2,0))</f>
        <v>1.8875</v>
      </c>
      <c r="J62">
        <f ca="1">INDEX(技能数据库!$B$2:$I$100,MATCH(无穷伤害与收益计算!$E62,技能数据库!$B$2:$B$100,0),MATCH(J$9,技能数据库!$B$2:$I$2,0))</f>
        <v>2</v>
      </c>
      <c r="K62">
        <f ca="1">INDEX(技能数据库!$B$2:$I$100,MATCH(无穷伤害与收益计算!$E62,技能数据库!$B$2:$B$100,0),MATCH(K$9,技能数据库!$B$2:$I$2,0))</f>
        <v>0</v>
      </c>
      <c r="L62">
        <f ca="1" t="shared" si="0"/>
        <v>105847</v>
      </c>
      <c r="M62">
        <f ca="1" t="shared" si="28"/>
        <v>19530.5</v>
      </c>
      <c r="N62">
        <f ca="1" t="shared" si="29"/>
        <v>92028</v>
      </c>
      <c r="O62">
        <f ca="1" t="shared" si="1"/>
        <v>239138.2125</v>
      </c>
      <c r="P62">
        <f ca="1">IF(G62="恒定伤害",0,(IF(D62="轻剑",$AZ$2,$AZ$3)+IFERROR(INDEX(技能数据库!$T$2:$W$27,MATCH(E62,技能数据库!$T$2:$T$27,0),4),0)+COUNTIF(G62,"*造化2*")*154+COUNTIF(G62,"*造化1*")*102+COUNTIF(G62,"*碧归*")*307)/1024)</f>
        <v>0.176868146929785</v>
      </c>
      <c r="Q62">
        <f ca="1" t="shared" si="45"/>
        <v>0.448284482196154</v>
      </c>
      <c r="R62">
        <f ca="1" t="shared" si="3"/>
        <v>0.21277697966198</v>
      </c>
      <c r="S62">
        <f ca="1" t="shared" si="30"/>
        <v>320869.509166977</v>
      </c>
      <c r="T62">
        <f t="shared" si="31"/>
        <v>0.8</v>
      </c>
      <c r="U62">
        <f ca="1" t="shared" si="46"/>
        <v>1.7995442148</v>
      </c>
      <c r="V62">
        <f ca="1" t="shared" si="32"/>
        <v>718630.7024753</v>
      </c>
      <c r="W62">
        <f ca="1">IF(G62="恒定伤害",0,MIN(1,IF(COUNTIF(F62,"*内会*")&gt;0,内会,IF(D62="轻剑",$Y$2,$Y$3)+COUNTIF(G62,"*莺鸣*")*0.2+COUNTIF(G62,"*叠1*")*0.1+COUNTIF(G62,"*叠2*")*0.2+COUNTIF(G62,"*叠3*")*0.3)+IFERROR(INDEX(技能数据库!$T$2:$W$27,MATCH(E62,技能数据库!$T$2:$T$27,0),2),0)+IF((IF(D62="轻剑",$AO$2,$AO$3)+INT(COUNTIF(G62,"*大莺鸣*")*IF(D62="轻剑",$AM$2,$AM$3)*听晓无双率)/无双系数)&gt;0.9,特效裤子会心/会心系数,0)))</f>
        <v>0.7343</v>
      </c>
      <c r="X62">
        <f ca="1">IF(G62="恒定伤害",0,IF(COUNTIF(F62,"*内会*")&gt;0,内会效,IF(D62="轻剑",$AB$2,$AB$3))+IFERROR(INDEX(技能数据库!$T$2:$W$27,MATCH(E62,技能数据库!$T$2:$T$27,0),3)/1024,0))+COUNTIF(G62,"*叠1*")*0.25+COUNTIF(G62,"*叠2*")*0.5+COUNTIF(G62,"*叠3*")*0.75</f>
        <v>2.3217485021</v>
      </c>
      <c r="Y62">
        <f ca="1" t="shared" si="33"/>
        <v>1.97055992509203</v>
      </c>
      <c r="Z62">
        <f t="shared" si="5"/>
        <v>0.150390625</v>
      </c>
      <c r="AA62">
        <f ca="1" t="shared" si="34"/>
        <v>0.0205078125</v>
      </c>
      <c r="AB62">
        <f ca="1" t="shared" si="35"/>
        <v>1662482.49787836</v>
      </c>
      <c r="AC62">
        <f ca="1">无穷技能数计算!AJ54</f>
        <v>28</v>
      </c>
      <c r="AD62" s="164">
        <f ca="1" t="shared" si="36"/>
        <v>0.0163269601730405</v>
      </c>
      <c r="AE62" s="168">
        <f ca="1" t="shared" si="6"/>
        <v>0.00391489084999329</v>
      </c>
      <c r="AF62" s="168">
        <f ca="1" t="shared" si="7"/>
        <v>0.00498665599083208</v>
      </c>
      <c r="AG62">
        <f ca="1" t="shared" si="8"/>
        <v>0.00340778952776577</v>
      </c>
      <c r="AH62">
        <f ca="1" t="shared" si="9"/>
        <v>1.00267067603576</v>
      </c>
      <c r="AI62">
        <f ca="1" t="shared" si="10"/>
        <v>1.00016101226475</v>
      </c>
      <c r="AJ62">
        <f ca="1" t="shared" si="11"/>
        <v>1.00057404545102</v>
      </c>
      <c r="AK62">
        <f ca="1" t="shared" si="17"/>
        <v>28</v>
      </c>
      <c r="AL62">
        <f ca="1" t="shared" si="12"/>
        <v>0.00496352538323674</v>
      </c>
      <c r="AM62">
        <f ca="1" t="shared" si="18"/>
        <v>28</v>
      </c>
      <c r="AN62" s="168">
        <f ca="1" t="shared" si="13"/>
        <v>0.00748399053993198</v>
      </c>
      <c r="AO62" s="168">
        <f ca="1" t="shared" si="47"/>
        <v>0.00447057613551372</v>
      </c>
      <c r="AP62" s="172">
        <f ca="1" t="shared" si="15"/>
        <v>0</v>
      </c>
      <c r="AQ62" s="168">
        <f ca="1" t="shared" si="16"/>
        <v>0.00401583628616287</v>
      </c>
      <c r="AR62">
        <f t="shared" si="19"/>
        <v>1</v>
      </c>
    </row>
    <row r="63" spans="4:53">
      <c r="D63" t="s">
        <v>1825</v>
      </c>
      <c r="E63" t="s">
        <v>2801</v>
      </c>
      <c r="G63" t="s">
        <v>2948</v>
      </c>
      <c r="H63">
        <f ca="1">INDEX(技能数据库!$B$2:$I$100,MATCH(无穷伤害与收益计算!$E63,技能数据库!$B$2:$B$100,0),MATCH(H$9,技能数据库!$B$2:$I$2,0))</f>
        <v>291</v>
      </c>
      <c r="I63">
        <f ca="1">INDEX(技能数据库!$B$2:$I$100,MATCH(无穷伤害与收益计算!$E63,技能数据库!$B$2:$B$100,0),MATCH(I$9,技能数据库!$B$2:$I$2,0))</f>
        <v>1.8875</v>
      </c>
      <c r="J63">
        <f ca="1">INDEX(技能数据库!$B$2:$I$100,MATCH(无穷伤害与收益计算!$E63,技能数据库!$B$2:$B$100,0),MATCH(J$9,技能数据库!$B$2:$I$2,0))</f>
        <v>2</v>
      </c>
      <c r="K63">
        <f ca="1">INDEX(技能数据库!$B$2:$I$100,MATCH(无穷伤害与收益计算!$E63,技能数据库!$B$2:$B$100,0),MATCH(K$9,技能数据库!$B$2:$I$2,0))</f>
        <v>0</v>
      </c>
      <c r="L63">
        <f ca="1" t="shared" si="0"/>
        <v>91975</v>
      </c>
      <c r="M63">
        <f ca="1" t="shared" si="28"/>
        <v>19530.5</v>
      </c>
      <c r="N63">
        <f ca="1" t="shared" si="29"/>
        <v>92028</v>
      </c>
      <c r="O63">
        <f ca="1" t="shared" si="1"/>
        <v>212954.8125</v>
      </c>
      <c r="P63">
        <f ca="1">IF(G63="恒定伤害",0,(IF(D63="轻剑",$AZ$2,$AZ$3)+IFERROR(INDEX(技能数据库!$T$2:$W$27,MATCH(E63,技能数据库!$T$2:$T$27,0),4),0)+COUNTIF(G63,"*造化2*")*154+COUNTIF(G63,"*造化1*")*102+COUNTIF(G63,"*碧归*")*307)/1024)</f>
        <v>0.176868146929785</v>
      </c>
      <c r="Q63">
        <f ca="1" t="shared" si="45"/>
        <v>0.448284482196154</v>
      </c>
      <c r="R63">
        <f ca="1" t="shared" si="3"/>
        <v>0.32958230397716</v>
      </c>
      <c r="S63">
        <f ca="1" t="shared" si="30"/>
        <v>243340.62212023</v>
      </c>
      <c r="T63">
        <f t="shared" si="31"/>
        <v>0.8</v>
      </c>
      <c r="U63">
        <f ca="1" t="shared" si="46"/>
        <v>2.68954760480339</v>
      </c>
      <c r="V63">
        <f ca="1" t="shared" si="32"/>
        <v>718253.447596049</v>
      </c>
      <c r="W63">
        <f ca="1">IF(G63="恒定伤害",0,MIN(1,IF(COUNTIF(F63,"*内会*")&gt;0,内会,IF(D63="轻剑",$Y$2,$Y$3)+COUNTIF(G63,"*莺鸣*")*0.2+COUNTIF(G63,"*叠1*")*0.1+COUNTIF(G63,"*叠2*")*0.2+COUNTIF(G63,"*叠3*")*0.3)+IFERROR(INDEX(技能数据库!$T$2:$W$27,MATCH(E63,技能数据库!$T$2:$T$27,0),2),0)+IF((IF(D63="轻剑",$AO$2,$AO$3)+INT(COUNTIF(G63,"*大莺鸣*")*IF(D63="轻剑",$AM$2,$AM$3)*听晓无双率)/无双系数)&gt;0.9,特效裤子会心/会心系数,0)))</f>
        <v>0.9343</v>
      </c>
      <c r="X63">
        <f ca="1">IF(G63="恒定伤害",0,IF(COUNTIF(F63,"*内会*")&gt;0,内会效,IF(D63="轻剑",$AB$2,$AB$3))+IFERROR(INDEX(技能数据库!$T$2:$W$27,MATCH(E63,技能数据库!$T$2:$T$27,0),3)/1024,0))+COUNTIF(G63,"*叠1*")*0.25+COUNTIF(G63,"*叠2*")*0.5+COUNTIF(G63,"*叠3*")*0.75</f>
        <v>2.3217485021</v>
      </c>
      <c r="Y63">
        <f ca="1" t="shared" si="33"/>
        <v>2.23490962551203</v>
      </c>
      <c r="Z63">
        <f t="shared" si="5"/>
        <v>0.150390625</v>
      </c>
      <c r="AA63">
        <f ca="1" t="shared" si="34"/>
        <v>0.0205078125</v>
      </c>
      <c r="AB63">
        <f ca="1" t="shared" si="35"/>
        <v>1884513.93363404</v>
      </c>
      <c r="AC63">
        <f ca="1">无穷技能数计算!AJ55</f>
        <v>0</v>
      </c>
      <c r="AD63" s="164">
        <f ca="1" t="shared" si="36"/>
        <v>0</v>
      </c>
      <c r="AE63" s="168">
        <f ca="1" t="shared" si="6"/>
        <v>0.00368716720125778</v>
      </c>
      <c r="AF63" s="168">
        <f ca="1" t="shared" si="7"/>
        <v>0.00559977953069269</v>
      </c>
      <c r="AG63">
        <f ca="1" t="shared" si="8"/>
        <v>0.00316053839926189</v>
      </c>
      <c r="AH63">
        <f ca="1" t="shared" si="9"/>
        <v>1.00299904325177</v>
      </c>
      <c r="AI63">
        <f ca="1" t="shared" si="10"/>
        <v>1.00016101226475</v>
      </c>
      <c r="AJ63">
        <f ca="1" t="shared" si="11"/>
        <v>0</v>
      </c>
      <c r="AK63">
        <f ca="1" t="shared" si="17"/>
        <v>0</v>
      </c>
      <c r="AL63">
        <f ca="1" t="shared" si="12"/>
        <v>0</v>
      </c>
      <c r="AM63">
        <f ca="1" t="shared" si="18"/>
        <v>0</v>
      </c>
      <c r="AN63" s="168">
        <f ca="1" t="shared" si="13"/>
        <v>0.00839606381672686</v>
      </c>
      <c r="AO63" s="168">
        <f ca="1" t="shared" si="47"/>
        <v>0.00447057613551372</v>
      </c>
      <c r="AP63" s="172">
        <f ca="1" t="shared" si="15"/>
        <v>0</v>
      </c>
      <c r="AQ63" s="168">
        <f ca="1" t="shared" si="16"/>
        <v>0.00393951131463699</v>
      </c>
      <c r="AR63">
        <f t="shared" si="19"/>
        <v>1</v>
      </c>
    </row>
    <row r="64" spans="4:53">
      <c r="D64" t="s">
        <v>1825</v>
      </c>
      <c r="E64" t="s">
        <v>2801</v>
      </c>
      <c r="G64" t="s">
        <v>3044</v>
      </c>
      <c r="H64">
        <f ca="1">INDEX(技能数据库!$B$2:$I$100,MATCH(无穷伤害与收益计算!$E64,技能数据库!$B$2:$B$100,0),MATCH(H$9,技能数据库!$B$2:$I$2,0))</f>
        <v>291</v>
      </c>
      <c r="I64">
        <f ca="1">INDEX(技能数据库!$B$2:$I$100,MATCH(无穷伤害与收益计算!$E64,技能数据库!$B$2:$B$100,0),MATCH(I$9,技能数据库!$B$2:$I$2,0))</f>
        <v>1.8875</v>
      </c>
      <c r="J64">
        <f ca="1">INDEX(技能数据库!$B$2:$I$100,MATCH(无穷伤害与收益计算!$E64,技能数据库!$B$2:$B$100,0),MATCH(J$9,技能数据库!$B$2:$I$2,0))</f>
        <v>2</v>
      </c>
      <c r="K64">
        <f ca="1">INDEX(技能数据库!$B$2:$I$100,MATCH(无穷伤害与收益计算!$E64,技能数据库!$B$2:$B$100,0),MATCH(K$9,技能数据库!$B$2:$I$2,0))</f>
        <v>0</v>
      </c>
      <c r="L64">
        <f ca="1" t="shared" si="0"/>
        <v>105847</v>
      </c>
      <c r="M64">
        <f ca="1" t="shared" si="28"/>
        <v>19530.5</v>
      </c>
      <c r="N64">
        <f ca="1" t="shared" si="29"/>
        <v>92028</v>
      </c>
      <c r="O64">
        <f ca="1" t="shared" si="1"/>
        <v>239138.2125</v>
      </c>
      <c r="P64">
        <f ca="1">IF(G64="恒定伤害",0,(IF(D64="轻剑",$AZ$2,$AZ$3)+IFERROR(INDEX(技能数据库!$T$2:$W$27,MATCH(E64,技能数据库!$T$2:$T$27,0),4),0)+COUNTIF(G64,"*造化2*")*154+COUNTIF(G64,"*造化1*")*102+COUNTIF(G64,"*碧归*")*307)/1024)</f>
        <v>0.176868146929785</v>
      </c>
      <c r="Q64">
        <f ca="1" t="shared" si="45"/>
        <v>0.448284482196154</v>
      </c>
      <c r="R64">
        <f ca="1" t="shared" si="3"/>
        <v>0.21277697966198</v>
      </c>
      <c r="S64">
        <f ca="1" t="shared" si="30"/>
        <v>320869.509166977</v>
      </c>
      <c r="T64">
        <f t="shared" si="31"/>
        <v>0.8</v>
      </c>
      <c r="U64">
        <f ca="1" t="shared" si="46"/>
        <v>2.68954760480339</v>
      </c>
      <c r="V64">
        <f ca="1" t="shared" si="32"/>
        <v>947090.663201166</v>
      </c>
      <c r="W64">
        <f ca="1">IF(G64="恒定伤害",0,MIN(1,IF(COUNTIF(F64,"*内会*")&gt;0,内会,IF(D64="轻剑",$Y$2,$Y$3)+COUNTIF(G64,"*莺鸣*")*0.2+COUNTIF(G64,"*叠1*")*0.1+COUNTIF(G64,"*叠2*")*0.2+COUNTIF(G64,"*叠3*")*0.3)+IFERROR(INDEX(技能数据库!$T$2:$W$27,MATCH(E64,技能数据库!$T$2:$T$27,0),2),0)+IF((IF(D64="轻剑",$AO$2,$AO$3)+INT(COUNTIF(G64,"*大莺鸣*")*IF(D64="轻剑",$AM$2,$AM$3)*听晓无双率)/无双系数)&gt;0.9,特效裤子会心/会心系数,0)))</f>
        <v>0.9343</v>
      </c>
      <c r="X64">
        <f ca="1">IF(G64="恒定伤害",0,IF(COUNTIF(F64,"*内会*")&gt;0,内会效,IF(D64="轻剑",$AB$2,$AB$3))+IFERROR(INDEX(技能数据库!$T$2:$W$27,MATCH(E64,技能数据库!$T$2:$T$27,0),3)/1024,0))+COUNTIF(G64,"*叠1*")*0.25+COUNTIF(G64,"*叠2*")*0.5+COUNTIF(G64,"*叠3*")*0.75</f>
        <v>2.3217485021</v>
      </c>
      <c r="Y64">
        <f ca="1" t="shared" si="33"/>
        <v>2.23490962551203</v>
      </c>
      <c r="Z64">
        <f t="shared" si="5"/>
        <v>0.150390625</v>
      </c>
      <c r="AA64">
        <f ca="1" t="shared" si="34"/>
        <v>0.0205078125</v>
      </c>
      <c r="AB64">
        <f ca="1" t="shared" si="35"/>
        <v>2484924.44720027</v>
      </c>
      <c r="AC64">
        <f ca="1">无穷技能数计算!AJ56</f>
        <v>0</v>
      </c>
      <c r="AD64" s="164">
        <f ca="1" t="shared" si="36"/>
        <v>0</v>
      </c>
      <c r="AE64" s="168">
        <f ca="1" t="shared" si="6"/>
        <v>0.00391489084999329</v>
      </c>
      <c r="AF64" s="168">
        <f ca="1" t="shared" si="7"/>
        <v>0.00498665599083208</v>
      </c>
      <c r="AG64">
        <f ca="1" t="shared" si="8"/>
        <v>0.00283211831211094</v>
      </c>
      <c r="AH64">
        <f ca="1" t="shared" si="9"/>
        <v>1.00267067603576</v>
      </c>
      <c r="AI64">
        <f ca="1" t="shared" si="10"/>
        <v>1.00016101226475</v>
      </c>
      <c r="AJ64">
        <f ca="1" t="shared" si="11"/>
        <v>0</v>
      </c>
      <c r="AK64">
        <f ca="1" t="shared" si="17"/>
        <v>0</v>
      </c>
      <c r="AL64">
        <f ca="1" t="shared" si="12"/>
        <v>0</v>
      </c>
      <c r="AM64">
        <f ca="1" t="shared" si="18"/>
        <v>0</v>
      </c>
      <c r="AN64" s="168">
        <f ca="1" t="shared" si="13"/>
        <v>0.00839606381672686</v>
      </c>
      <c r="AO64" s="168">
        <f ca="1" t="shared" si="47"/>
        <v>0.00447057613551372</v>
      </c>
      <c r="AP64" s="172">
        <f ca="1" t="shared" si="15"/>
        <v>0</v>
      </c>
      <c r="AQ64" s="168">
        <f ca="1" t="shared" si="16"/>
        <v>0.00393951131463699</v>
      </c>
      <c r="AR64">
        <f t="shared" si="19"/>
        <v>1</v>
      </c>
    </row>
    <row r="65" spans="4:44">
      <c r="D65" t="s">
        <v>1825</v>
      </c>
      <c r="E65" t="s">
        <v>2792</v>
      </c>
      <c r="H65">
        <f ca="1">INDEX(技能数据库!$B$2:$I$100,MATCH(无穷伤害与收益计算!$E65,技能数据库!$B$2:$B$100,0),MATCH(H$9,技能数据库!$B$2:$I$2,0))</f>
        <v>0</v>
      </c>
      <c r="I65">
        <f ca="1">INDEX(技能数据库!$B$2:$I$100,MATCH(无穷伤害与收益计算!$E65,技能数据库!$B$2:$B$100,0),MATCH(I$9,技能数据库!$B$2:$I$2,0))</f>
        <v>0.16875</v>
      </c>
      <c r="J65">
        <f ca="1">INDEX(技能数据库!$B$2:$I$100,MATCH(无穷伤害与收益计算!$E65,技能数据库!$B$2:$B$100,0),MATCH(J$9,技能数据库!$B$2:$I$2,0))</f>
        <v>1</v>
      </c>
      <c r="K65">
        <f ca="1">INDEX(技能数据库!$B$2:$I$100,MATCH(无穷伤害与收益计算!$E65,技能数据库!$B$2:$B$100,0),MATCH(K$9,技能数据库!$B$2:$I$2,0))</f>
        <v>0</v>
      </c>
      <c r="L65">
        <f ca="1" t="shared" si="0"/>
        <v>91975</v>
      </c>
      <c r="M65">
        <f ca="1" t="shared" si="28"/>
        <v>19530.5</v>
      </c>
      <c r="N65">
        <f ca="1" t="shared" si="29"/>
        <v>92028</v>
      </c>
      <c r="O65">
        <f ca="1" t="shared" si="1"/>
        <v>35051.28125</v>
      </c>
      <c r="P65">
        <f ca="1">IF(G65="恒定伤害",0,(IF(D65="轻剑",$AZ$2,$AZ$3)+IFERROR(INDEX(技能数据库!$T$2:$W$27,MATCH(E65,技能数据库!$T$2:$T$27,0),4),0)+COUNTIF(G65,"*造化2*")*154+COUNTIF(G65,"*造化1*")*102+COUNTIF(G65,"*碧归*")*307)/1024)</f>
        <v>0.377063459429785</v>
      </c>
      <c r="Q65">
        <f ca="1" t="shared" si="45"/>
        <v>0.448284482196154</v>
      </c>
      <c r="R65">
        <f ca="1" t="shared" si="3"/>
        <v>0.32958230397716</v>
      </c>
      <c r="S65">
        <f ca="1" t="shared" si="30"/>
        <v>46865.9255846519</v>
      </c>
      <c r="T65">
        <f t="shared" si="31"/>
        <v>0.8</v>
      </c>
      <c r="U65">
        <f ca="1" t="shared" si="46"/>
        <v>1.7995442148</v>
      </c>
      <c r="V65">
        <f ca="1" t="shared" si="32"/>
        <v>104962.584673408</v>
      </c>
      <c r="W65">
        <f ca="1">IF(G65="恒定伤害",0,MIN(1,IF(COUNTIF(F65,"*内会*")&gt;0,内会,IF(D65="轻剑",$Y$2,$Y$3)+COUNTIF(G65,"*莺鸣*")*0.2+COUNTIF(G65,"*叠1*")*0.1+COUNTIF(G65,"*叠2*")*0.2+COUNTIF(G65,"*叠3*")*0.3)+IFERROR(INDEX(技能数据库!$T$2:$W$27,MATCH(E65,技能数据库!$T$2:$T$27,0),2),0)+IF((IF(D65="轻剑",$AO$2,$AO$3)+INT(COUNTIF(G65,"*大莺鸣*")*IF(D65="轻剑",$AM$2,$AM$3)*听晓无双率)/无双系数)&gt;0.9,特效裤子会心/会心系数,0)))</f>
        <v>0.7343</v>
      </c>
      <c r="X65">
        <f ca="1">IF(G65="恒定伤害",0,IF(COUNTIF(F65,"*内会*")&gt;0,内会效,IF(D65="轻剑",$AB$2,$AB$3))+IFERROR(INDEX(技能数据库!$T$2:$W$27,MATCH(E65,技能数据库!$T$2:$T$27,0),3)/1024,0))+COUNTIF(G65,"*叠1*")*0.25+COUNTIF(G65,"*叠2*")*0.5+COUNTIF(G65,"*叠3*")*0.75</f>
        <v>2.3217485021</v>
      </c>
      <c r="Y65">
        <f ca="1" t="shared" si="33"/>
        <v>1.97055992509203</v>
      </c>
      <c r="Z65">
        <f t="shared" si="5"/>
        <v>0.150390625</v>
      </c>
      <c r="AA65">
        <f ca="1" t="shared" si="34"/>
        <v>0.0205078125</v>
      </c>
      <c r="AB65">
        <f ca="1" t="shared" si="35"/>
        <v>242820.769208109</v>
      </c>
      <c r="AC65">
        <f ca="1">无穷技能数计算!AJ57</f>
        <v>0</v>
      </c>
      <c r="AD65" s="164">
        <f ca="1" t="shared" si="36"/>
        <v>0</v>
      </c>
      <c r="AE65" s="168">
        <f ca="1" t="shared" si="6"/>
        <v>0.00200277985558659</v>
      </c>
      <c r="AF65" s="168">
        <f ca="1" t="shared" si="7"/>
        <v>0.0170107904400784</v>
      </c>
      <c r="AG65">
        <f ca="1" t="shared" si="8"/>
        <v>0.00179028215965871</v>
      </c>
      <c r="AH65">
        <f ca="1" t="shared" si="9"/>
        <v>1.00162900760471</v>
      </c>
      <c r="AI65">
        <f ca="1" t="shared" si="10"/>
        <v>1.00016101226475</v>
      </c>
      <c r="AJ65">
        <f ca="1" t="shared" si="11"/>
        <v>0</v>
      </c>
      <c r="AK65">
        <f ca="1" t="shared" si="17"/>
        <v>0</v>
      </c>
      <c r="AL65">
        <f ca="1" t="shared" si="12"/>
        <v>0</v>
      </c>
      <c r="AM65">
        <f ca="1" t="shared" si="18"/>
        <v>0</v>
      </c>
      <c r="AN65" s="168">
        <f ca="1" t="shared" si="13"/>
        <v>0.00748399053993198</v>
      </c>
      <c r="AO65" s="168">
        <f ca="1" t="shared" si="47"/>
        <v>0.00447057613551372</v>
      </c>
      <c r="AP65" s="172">
        <f ca="1" t="shared" si="15"/>
        <v>0</v>
      </c>
      <c r="AQ65" s="168">
        <f ca="1" t="shared" si="16"/>
        <v>0.00401583628616287</v>
      </c>
      <c r="AR65">
        <f t="shared" si="19"/>
        <v>1</v>
      </c>
    </row>
    <row r="66" spans="4:44">
      <c r="D66" t="s">
        <v>1825</v>
      </c>
      <c r="E66" t="s">
        <v>2792</v>
      </c>
      <c r="G66" t="s">
        <v>2750</v>
      </c>
      <c r="H66">
        <f ca="1">INDEX(技能数据库!$B$2:$I$100,MATCH(无穷伤害与收益计算!$E66,技能数据库!$B$2:$B$100,0),MATCH(H$9,技能数据库!$B$2:$I$2,0))</f>
        <v>0</v>
      </c>
      <c r="I66">
        <f ca="1">INDEX(技能数据库!$B$2:$I$100,MATCH(无穷伤害与收益计算!$E66,技能数据库!$B$2:$B$100,0),MATCH(I$9,技能数据库!$B$2:$I$2,0))</f>
        <v>0.16875</v>
      </c>
      <c r="J66">
        <f ca="1">INDEX(技能数据库!$B$2:$I$100,MATCH(无穷伤害与收益计算!$E66,技能数据库!$B$2:$B$100,0),MATCH(J$9,技能数据库!$B$2:$I$2,0))</f>
        <v>1</v>
      </c>
      <c r="K66">
        <f ca="1">INDEX(技能数据库!$B$2:$I$100,MATCH(无穷伤害与收益计算!$E66,技能数据库!$B$2:$B$100,0),MATCH(K$9,技能数据库!$B$2:$I$2,0))</f>
        <v>0</v>
      </c>
      <c r="L66">
        <f ca="1" t="shared" si="0"/>
        <v>105847</v>
      </c>
      <c r="M66">
        <f ca="1" t="shared" si="28"/>
        <v>19530.5</v>
      </c>
      <c r="N66">
        <f ca="1" t="shared" si="29"/>
        <v>92028</v>
      </c>
      <c r="O66">
        <f ca="1" t="shared" si="1"/>
        <v>37392.18125</v>
      </c>
      <c r="P66">
        <f ca="1">IF(G66="恒定伤害",0,(IF(D66="轻剑",$AZ$2,$AZ$3)+IFERROR(INDEX(技能数据库!$T$2:$W$27,MATCH(E66,技能数据库!$T$2:$T$27,0),4),0)+COUNTIF(G66,"*造化2*")*154+COUNTIF(G66,"*造化1*")*102+COUNTIF(G66,"*碧归*")*307)/1024)</f>
        <v>0.377063459429785</v>
      </c>
      <c r="Q66">
        <f ca="1" t="shared" si="45"/>
        <v>0.448284482196154</v>
      </c>
      <c r="R66">
        <f ca="1" t="shared" si="3"/>
        <v>0.21277697966198</v>
      </c>
      <c r="S66">
        <f ca="1" t="shared" si="30"/>
        <v>58706.5308629565</v>
      </c>
      <c r="T66">
        <f t="shared" si="31"/>
        <v>0.8</v>
      </c>
      <c r="U66">
        <f ca="1" t="shared" si="46"/>
        <v>1.7995442148</v>
      </c>
      <c r="V66">
        <f ca="1" t="shared" si="32"/>
        <v>131481.223078694</v>
      </c>
      <c r="W66">
        <f ca="1">IF(G66="恒定伤害",0,MIN(1,IF(COUNTIF(F66,"*内会*")&gt;0,内会,IF(D66="轻剑",$Y$2,$Y$3)+COUNTIF(G66,"*莺鸣*")*0.2+COUNTIF(G66,"*叠1*")*0.1+COUNTIF(G66,"*叠2*")*0.2+COUNTIF(G66,"*叠3*")*0.3)+IFERROR(INDEX(技能数据库!$T$2:$W$27,MATCH(E66,技能数据库!$T$2:$T$27,0),2),0)+IF((IF(D66="轻剑",$AO$2,$AO$3)+INT(COUNTIF(G66,"*大莺鸣*")*IF(D66="轻剑",$AM$2,$AM$3)*听晓无双率)/无双系数)&gt;0.9,特效裤子会心/会心系数,0)))</f>
        <v>0.7343</v>
      </c>
      <c r="X66">
        <f ca="1">IF(G66="恒定伤害",0,IF(COUNTIF(F66,"*内会*")&gt;0,内会效,IF(D66="轻剑",$AB$2,$AB$3))+IFERROR(INDEX(技能数据库!$T$2:$W$27,MATCH(E66,技能数据库!$T$2:$T$27,0),3)/1024,0))+COUNTIF(G66,"*叠1*")*0.25+COUNTIF(G66,"*叠2*")*0.5+COUNTIF(G66,"*叠3*")*0.75</f>
        <v>2.3217485021</v>
      </c>
      <c r="Y66">
        <f ca="1" t="shared" si="33"/>
        <v>1.97055992509203</v>
      </c>
      <c r="Z66">
        <f t="shared" si="5"/>
        <v>0.150390625</v>
      </c>
      <c r="AA66">
        <f ca="1" t="shared" si="34"/>
        <v>0.0205078125</v>
      </c>
      <c r="AB66">
        <f ca="1" t="shared" si="35"/>
        <v>304169.069614003</v>
      </c>
      <c r="AC66">
        <f ca="1">无穷技能数计算!AJ58</f>
        <v>46</v>
      </c>
      <c r="AD66" s="164">
        <f ca="1" t="shared" si="36"/>
        <v>0.00490753155989466</v>
      </c>
      <c r="AE66" s="168">
        <f ca="1" t="shared" si="6"/>
        <v>0.00223843587621677</v>
      </c>
      <c r="AF66" s="168">
        <f ca="1" t="shared" si="7"/>
        <v>0.0159458469676732</v>
      </c>
      <c r="AG66">
        <f ca="1" t="shared" si="8"/>
        <v>0.0022632979545667</v>
      </c>
      <c r="AH66">
        <f ca="1" t="shared" si="9"/>
        <v>1.00152702521763</v>
      </c>
      <c r="AI66">
        <f ca="1" t="shared" si="10"/>
        <v>1.00016101226475</v>
      </c>
      <c r="AJ66">
        <f ca="1" t="shared" si="11"/>
        <v>1.00057404545102</v>
      </c>
      <c r="AK66">
        <f ca="1" t="shared" si="17"/>
        <v>46</v>
      </c>
      <c r="AL66">
        <f ca="1" t="shared" si="12"/>
        <v>0.00496352538323674</v>
      </c>
      <c r="AM66">
        <f ca="1" t="shared" si="18"/>
        <v>46</v>
      </c>
      <c r="AN66" s="168">
        <f ca="1" t="shared" si="13"/>
        <v>0.00748399053993198</v>
      </c>
      <c r="AO66" s="168">
        <f ca="1" t="shared" si="47"/>
        <v>0.00447057613551372</v>
      </c>
      <c r="AP66" s="172">
        <f ca="1" t="shared" si="15"/>
        <v>0</v>
      </c>
      <c r="AQ66" s="168">
        <f ca="1" t="shared" si="16"/>
        <v>0.00401583628616287</v>
      </c>
      <c r="AR66">
        <f t="shared" si="19"/>
        <v>1</v>
      </c>
    </row>
    <row r="67" spans="4:44">
      <c r="D67" t="s">
        <v>1825</v>
      </c>
      <c r="E67" t="s">
        <v>2792</v>
      </c>
      <c r="G67" t="s">
        <v>2948</v>
      </c>
      <c r="H67">
        <f ca="1">INDEX(技能数据库!$B$2:$I$100,MATCH(无穷伤害与收益计算!$E67,技能数据库!$B$2:$B$100,0),MATCH(H$9,技能数据库!$B$2:$I$2,0))</f>
        <v>0</v>
      </c>
      <c r="I67">
        <f ca="1">INDEX(技能数据库!$B$2:$I$100,MATCH(无穷伤害与收益计算!$E67,技能数据库!$B$2:$B$100,0),MATCH(I$9,技能数据库!$B$2:$I$2,0))</f>
        <v>0.16875</v>
      </c>
      <c r="J67">
        <f ca="1">INDEX(技能数据库!$B$2:$I$100,MATCH(无穷伤害与收益计算!$E67,技能数据库!$B$2:$B$100,0),MATCH(J$9,技能数据库!$B$2:$I$2,0))</f>
        <v>1</v>
      </c>
      <c r="K67">
        <f ca="1">INDEX(技能数据库!$B$2:$I$100,MATCH(无穷伤害与收益计算!$E67,技能数据库!$B$2:$B$100,0),MATCH(K$9,技能数据库!$B$2:$I$2,0))</f>
        <v>0</v>
      </c>
      <c r="L67">
        <f ca="1" t="shared" si="0"/>
        <v>91975</v>
      </c>
      <c r="M67">
        <f ca="1" t="shared" si="28"/>
        <v>19530.5</v>
      </c>
      <c r="N67">
        <f ca="1" t="shared" si="29"/>
        <v>92028</v>
      </c>
      <c r="O67">
        <f ca="1" t="shared" si="1"/>
        <v>35051.28125</v>
      </c>
      <c r="P67">
        <f ca="1">IF(G67="恒定伤害",0,(IF(D67="轻剑",$AZ$2,$AZ$3)+IFERROR(INDEX(技能数据库!$T$2:$W$27,MATCH(E67,技能数据库!$T$2:$T$27,0),4),0)+COUNTIF(G67,"*造化2*")*154+COUNTIF(G67,"*造化1*")*102+COUNTIF(G67,"*碧归*")*307)/1024)</f>
        <v>0.377063459429785</v>
      </c>
      <c r="Q67">
        <f ca="1" t="shared" si="45"/>
        <v>0.448284482196154</v>
      </c>
      <c r="R67">
        <f ca="1" t="shared" si="3"/>
        <v>0.32958230397716</v>
      </c>
      <c r="S67">
        <f ca="1" t="shared" si="30"/>
        <v>46865.9255846519</v>
      </c>
      <c r="T67">
        <f t="shared" si="31"/>
        <v>0.8</v>
      </c>
      <c r="U67">
        <f ca="1" t="shared" si="46"/>
        <v>2.68954760480339</v>
      </c>
      <c r="V67">
        <f ca="1" t="shared" si="32"/>
        <v>138331.250790197</v>
      </c>
      <c r="W67">
        <f ca="1">IF(G67="恒定伤害",0,MIN(1,IF(COUNTIF(F67,"*内会*")&gt;0,内会,IF(D67="轻剑",$Y$2,$Y$3)+COUNTIF(G67,"*莺鸣*")*0.2+COUNTIF(G67,"*叠1*")*0.1+COUNTIF(G67,"*叠2*")*0.2+COUNTIF(G67,"*叠3*")*0.3)+IFERROR(INDEX(技能数据库!$T$2:$W$27,MATCH(E67,技能数据库!$T$2:$T$27,0),2),0)+IF((IF(D67="轻剑",$AO$2,$AO$3)+INT(COUNTIF(G67,"*大莺鸣*")*IF(D67="轻剑",$AM$2,$AM$3)*听晓无双率)/无双系数)&gt;0.9,特效裤子会心/会心系数,0)))</f>
        <v>0.9343</v>
      </c>
      <c r="X67">
        <f ca="1">IF(G67="恒定伤害",0,IF(COUNTIF(F67,"*内会*")&gt;0,内会效,IF(D67="轻剑",$AB$2,$AB$3))+IFERROR(INDEX(技能数据库!$T$2:$W$27,MATCH(E67,技能数据库!$T$2:$T$27,0),3)/1024,0))+COUNTIF(G67,"*叠1*")*0.25+COUNTIF(G67,"*叠2*")*0.5+COUNTIF(G67,"*叠3*")*0.75</f>
        <v>2.3217485021</v>
      </c>
      <c r="Y67">
        <f ca="1" t="shared" si="33"/>
        <v>2.23490962551203</v>
      </c>
      <c r="Z67">
        <f t="shared" si="5"/>
        <v>0.150390625</v>
      </c>
      <c r="AA67">
        <f ca="1" t="shared" si="34"/>
        <v>0.0205078125</v>
      </c>
      <c r="AB67">
        <f ca="1" t="shared" si="35"/>
        <v>362945.935649394</v>
      </c>
      <c r="AC67">
        <f ca="1">无穷技能数计算!AJ59</f>
        <v>0</v>
      </c>
      <c r="AD67" s="164">
        <f ca="1" t="shared" si="36"/>
        <v>0</v>
      </c>
      <c r="AE67" s="168">
        <f ca="1" t="shared" si="6"/>
        <v>0.00200277985558659</v>
      </c>
      <c r="AF67" s="168">
        <f ca="1" t="shared" si="7"/>
        <v>0.0170107904400784</v>
      </c>
      <c r="AG67">
        <f ca="1" t="shared" si="8"/>
        <v>0.00179028215965871</v>
      </c>
      <c r="AH67">
        <f ca="1" t="shared" si="9"/>
        <v>1.00162900760471</v>
      </c>
      <c r="AI67">
        <f ca="1" t="shared" si="10"/>
        <v>1.00016101226475</v>
      </c>
      <c r="AJ67">
        <f ca="1" t="shared" si="11"/>
        <v>0</v>
      </c>
      <c r="AK67">
        <f ca="1" t="shared" si="17"/>
        <v>0</v>
      </c>
      <c r="AL67">
        <f ca="1" t="shared" si="12"/>
        <v>0</v>
      </c>
      <c r="AM67">
        <f ca="1" t="shared" si="18"/>
        <v>0</v>
      </c>
      <c r="AN67" s="168">
        <f ca="1" t="shared" si="13"/>
        <v>0.00839606381672686</v>
      </c>
      <c r="AO67" s="168">
        <f ca="1" t="shared" si="47"/>
        <v>0.00447057613551372</v>
      </c>
      <c r="AP67" s="172">
        <f ca="1" t="shared" si="15"/>
        <v>0</v>
      </c>
      <c r="AQ67" s="168">
        <f ca="1" t="shared" si="16"/>
        <v>0.00393951131463699</v>
      </c>
      <c r="AR67">
        <f t="shared" si="19"/>
        <v>1</v>
      </c>
    </row>
    <row r="68" spans="4:44">
      <c r="D68" t="s">
        <v>1825</v>
      </c>
      <c r="E68" t="s">
        <v>2792</v>
      </c>
      <c r="G68" t="s">
        <v>3044</v>
      </c>
      <c r="H68">
        <f ca="1">INDEX(技能数据库!$B$2:$I$100,MATCH(无穷伤害与收益计算!$E68,技能数据库!$B$2:$B$100,0),MATCH(H$9,技能数据库!$B$2:$I$2,0))</f>
        <v>0</v>
      </c>
      <c r="I68">
        <f ca="1">INDEX(技能数据库!$B$2:$I$100,MATCH(无穷伤害与收益计算!$E68,技能数据库!$B$2:$B$100,0),MATCH(I$9,技能数据库!$B$2:$I$2,0))</f>
        <v>0.16875</v>
      </c>
      <c r="J68">
        <f ca="1">INDEX(技能数据库!$B$2:$I$100,MATCH(无穷伤害与收益计算!$E68,技能数据库!$B$2:$B$100,0),MATCH(J$9,技能数据库!$B$2:$I$2,0))</f>
        <v>1</v>
      </c>
      <c r="K68">
        <f ca="1">INDEX(技能数据库!$B$2:$I$100,MATCH(无穷伤害与收益计算!$E68,技能数据库!$B$2:$B$100,0),MATCH(K$9,技能数据库!$B$2:$I$2,0))</f>
        <v>0</v>
      </c>
      <c r="L68">
        <f ca="1" t="shared" si="0"/>
        <v>105847</v>
      </c>
      <c r="M68">
        <f ca="1" t="shared" si="28"/>
        <v>19530.5</v>
      </c>
      <c r="N68">
        <f ca="1" t="shared" si="29"/>
        <v>92028</v>
      </c>
      <c r="O68">
        <f ca="1" t="shared" si="1"/>
        <v>37392.18125</v>
      </c>
      <c r="P68">
        <f ca="1">IF(G68="恒定伤害",0,(IF(D68="轻剑",$AZ$2,$AZ$3)+IFERROR(INDEX(技能数据库!$T$2:$W$27,MATCH(E68,技能数据库!$T$2:$T$27,0),4),0)+COUNTIF(G68,"*造化2*")*154+COUNTIF(G68,"*造化1*")*102+COUNTIF(G68,"*碧归*")*307)/1024)</f>
        <v>0.377063459429785</v>
      </c>
      <c r="Q68">
        <f ca="1" t="shared" si="45"/>
        <v>0.448284482196154</v>
      </c>
      <c r="R68">
        <f ca="1" t="shared" si="3"/>
        <v>0.21277697966198</v>
      </c>
      <c r="S68">
        <f ca="1" t="shared" si="30"/>
        <v>58706.5308629565</v>
      </c>
      <c r="T68">
        <f t="shared" si="31"/>
        <v>0.8</v>
      </c>
      <c r="U68">
        <f ca="1" t="shared" si="46"/>
        <v>2.68954760480339</v>
      </c>
      <c r="V68">
        <f ca="1" t="shared" si="32"/>
        <v>173280.43226539</v>
      </c>
      <c r="W68">
        <f ca="1">IF(G68="恒定伤害",0,MIN(1,IF(COUNTIF(F68,"*内会*")&gt;0,内会,IF(D68="轻剑",$Y$2,$Y$3)+COUNTIF(G68,"*莺鸣*")*0.2+COUNTIF(G68,"*叠1*")*0.1+COUNTIF(G68,"*叠2*")*0.2+COUNTIF(G68,"*叠3*")*0.3)+IFERROR(INDEX(技能数据库!$T$2:$W$27,MATCH(E68,技能数据库!$T$2:$T$27,0),2),0)+IF((IF(D68="轻剑",$AO$2,$AO$3)+INT(COUNTIF(G68,"*大莺鸣*")*IF(D68="轻剑",$AM$2,$AM$3)*听晓无双率)/无双系数)&gt;0.9,特效裤子会心/会心系数,0)))</f>
        <v>0.9343</v>
      </c>
      <c r="X68">
        <f ca="1">IF(G68="恒定伤害",0,IF(COUNTIF(F68,"*内会*")&gt;0,内会效,IF(D68="轻剑",$AB$2,$AB$3))+IFERROR(INDEX(技能数据库!$T$2:$W$27,MATCH(E68,技能数据库!$T$2:$T$27,0),3)/1024,0))+COUNTIF(G68,"*叠1*")*0.25+COUNTIF(G68,"*叠2*")*0.5+COUNTIF(G68,"*叠3*")*0.75</f>
        <v>2.3217485021</v>
      </c>
      <c r="Y68">
        <f ca="1" t="shared" si="33"/>
        <v>2.23490962551203</v>
      </c>
      <c r="Z68">
        <f t="shared" si="5"/>
        <v>0.150390625</v>
      </c>
      <c r="AA68">
        <f ca="1" t="shared" si="34"/>
        <v>0.0205078125</v>
      </c>
      <c r="AB68">
        <f ca="1" t="shared" si="35"/>
        <v>454643.677831548</v>
      </c>
      <c r="AC68">
        <f ca="1">无穷技能数计算!AJ60</f>
        <v>0</v>
      </c>
      <c r="AD68" s="164">
        <f ca="1" t="shared" si="36"/>
        <v>0</v>
      </c>
      <c r="AE68" s="168">
        <f ca="1" t="shared" si="6"/>
        <v>0.00223843587621677</v>
      </c>
      <c r="AF68" s="168">
        <f ca="1" t="shared" si="7"/>
        <v>0.0159458469676732</v>
      </c>
      <c r="AG68">
        <f ca="1" t="shared" si="8"/>
        <v>0.00168828335216742</v>
      </c>
      <c r="AH68">
        <f ca="1" t="shared" si="9"/>
        <v>1.00152702521763</v>
      </c>
      <c r="AI68">
        <f ca="1" t="shared" si="10"/>
        <v>1.00016101226475</v>
      </c>
      <c r="AJ68">
        <f ca="1" t="shared" si="11"/>
        <v>0</v>
      </c>
      <c r="AK68">
        <f ca="1" t="shared" si="17"/>
        <v>0</v>
      </c>
      <c r="AL68">
        <f ca="1" t="shared" si="12"/>
        <v>0</v>
      </c>
      <c r="AM68">
        <f ca="1" t="shared" si="18"/>
        <v>0</v>
      </c>
      <c r="AN68" s="168">
        <f ca="1" t="shared" si="13"/>
        <v>0.00839606381672686</v>
      </c>
      <c r="AO68" s="168">
        <f ca="1" t="shared" si="47"/>
        <v>0.00447057613551372</v>
      </c>
      <c r="AP68" s="172">
        <f ca="1" t="shared" si="15"/>
        <v>0</v>
      </c>
      <c r="AQ68" s="168">
        <f ca="1" t="shared" si="16"/>
        <v>0.00393951131463699</v>
      </c>
      <c r="AR68">
        <f t="shared" si="19"/>
        <v>1</v>
      </c>
    </row>
    <row r="69" spans="4:44">
      <c r="D69" t="s">
        <v>1028</v>
      </c>
      <c r="E69" t="s">
        <v>2723</v>
      </c>
      <c r="H69">
        <f ca="1">INDEX(技能数据库!$B$2:$I$100,MATCH(无穷伤害与收益计算!$E69,技能数据库!$B$2:$B$100,0),MATCH(H$9,技能数据库!$B$2:$I$2,0))</f>
        <v>143</v>
      </c>
      <c r="I69">
        <f ca="1">INDEX(技能数据库!$B$2:$I$100,MATCH(无穷伤害与收益计算!$E69,技能数据库!$B$2:$B$100,0),MATCH(I$9,技能数据库!$B$2:$I$2,0))</f>
        <v>2.53125</v>
      </c>
      <c r="J69">
        <f ca="1">INDEX(技能数据库!$B$2:$I$100,MATCH(无穷伤害与收益计算!$E69,技能数据库!$B$2:$B$100,0),MATCH(J$9,技能数据库!$B$2:$I$2,0))</f>
        <v>2</v>
      </c>
      <c r="K69">
        <f ca="1">INDEX(技能数据库!$B$2:$I$100,MATCH(无穷伤害与收益计算!$E69,技能数据库!$B$2:$B$100,0),MATCH(K$9,技能数据库!$B$2:$I$2,0))</f>
        <v>0</v>
      </c>
      <c r="L69">
        <f ca="1" t="shared" si="0"/>
        <v>91975</v>
      </c>
      <c r="M69">
        <f ca="1" t="shared" si="28"/>
        <v>12694.5</v>
      </c>
      <c r="N69">
        <f ca="1" t="shared" si="29"/>
        <v>92028</v>
      </c>
      <c r="O69">
        <f ca="1" t="shared" si="1"/>
        <v>258343.71875</v>
      </c>
      <c r="P69">
        <f ca="1">IF(G69="恒定伤害",0,(IF(D69="轻剑",$AZ$2,$AZ$3)+IFERROR(INDEX(技能数据库!$T$2:$W$27,MATCH(E69,技能数据库!$T$2:$T$27,0),4),0)+COUNTIF(G69,"*造化2*")*154+COUNTIF(G69,"*造化1*")*102+COUNTIF(G69,"*碧归*")*307)/1024)</f>
        <v>0.0772587719297852</v>
      </c>
      <c r="Q69">
        <f ca="1" t="shared" si="45"/>
        <v>0.448284482196154</v>
      </c>
      <c r="R69">
        <f ca="1" t="shared" si="3"/>
        <v>0.32958230397716</v>
      </c>
      <c r="S69">
        <f ca="1" t="shared" si="30"/>
        <v>270219.877362011</v>
      </c>
      <c r="T69">
        <f t="shared" si="31"/>
        <v>0.8</v>
      </c>
      <c r="U69">
        <f ca="1" t="shared" si="46"/>
        <v>1.7995442148</v>
      </c>
      <c r="V69">
        <f ca="1" t="shared" si="32"/>
        <v>605193.995514228</v>
      </c>
      <c r="W69">
        <f ca="1">IF(G69="恒定伤害",0,MIN(1,IF(COUNTIF(F69,"*内会*")&gt;0,内会,IF(D69="轻剑",$Y$2,$Y$3)+COUNTIF(G69,"*莺鸣*")*0.2+COUNTIF(G69,"*叠1*")*0.1+COUNTIF(G69,"*叠2*")*0.2+COUNTIF(G69,"*叠3*")*0.3)+IFERROR(INDEX(技能数据库!$T$2:$W$27,MATCH(E69,技能数据库!$T$2:$T$27,0),2),0)+IF((IF(D69="轻剑",$AO$2,$AO$3)+INT(COUNTIF(G69,"*大莺鸣*")*IF(D69="轻剑",$AM$2,$AM$3)*听晓无双率)/无双系数)&gt;0.9,特效裤子会心/会心系数,0)))</f>
        <v>0.7343</v>
      </c>
      <c r="X69">
        <f ca="1">IF(G69="恒定伤害",0,IF(COUNTIF(F69,"*内会*")&gt;0,内会效,IF(D69="轻剑",$AB$2,$AB$3))+IFERROR(INDEX(技能数据库!$T$2:$W$27,MATCH(E69,技能数据库!$T$2:$T$27,0),3)/1024,0))+COUNTIF(G69,"*叠1*")*0.25+COUNTIF(G69,"*叠2*")*0.5+COUNTIF(G69,"*叠3*")*0.75</f>
        <v>2.3217485021</v>
      </c>
      <c r="Y69">
        <f ca="1" t="shared" si="33"/>
        <v>1.97055992509203</v>
      </c>
      <c r="Z69">
        <f t="shared" si="5"/>
        <v>0.150390625</v>
      </c>
      <c r="AA69">
        <f ca="1" t="shared" si="34"/>
        <v>0.0205078125</v>
      </c>
      <c r="AB69">
        <f ca="1" t="shared" si="35"/>
        <v>1400057.66786461</v>
      </c>
      <c r="AC69" s="171">
        <f ca="1">$AC$10*MIN(1,0.3+$Y$2)</f>
        <v>0</v>
      </c>
      <c r="AD69" s="164">
        <f ca="1" t="shared" si="36"/>
        <v>0</v>
      </c>
      <c r="AE69" s="168">
        <f ca="1" t="shared" si="6"/>
        <v>0.00407596517188402</v>
      </c>
      <c r="AF69" s="168">
        <f ca="1" t="shared" si="7"/>
        <v>0.00461594346388575</v>
      </c>
      <c r="AG69">
        <f ca="1" t="shared" si="8"/>
        <v>0.00347682719504561</v>
      </c>
      <c r="AH69">
        <f ca="1" t="shared" si="9"/>
        <v>1.00331528112937</v>
      </c>
      <c r="AI69">
        <f ca="1" t="shared" si="10"/>
        <v>1.00016101226475</v>
      </c>
      <c r="AJ69">
        <f ca="1" t="shared" si="11"/>
        <v>0</v>
      </c>
      <c r="AK69" s="171">
        <f ca="1">$AC$10*MIN(1,0.3+$Y$2+((delta身法+INT((IF(D52="轻剑",$N$2,$N$3))/1024*delta身法))*身法转基础会心/会心系数))</f>
        <v>0</v>
      </c>
      <c r="AL69">
        <f ca="1" t="shared" si="12"/>
        <v>0</v>
      </c>
      <c r="AM69" s="171">
        <f ca="1">$AC$10*MIN(1,0.3+$Y$2+delta会心/会心系数)</f>
        <v>0</v>
      </c>
      <c r="AN69" s="168">
        <f ca="1" t="shared" si="13"/>
        <v>0.00748399053993198</v>
      </c>
      <c r="AO69" s="168">
        <f ca="1" t="shared" si="47"/>
        <v>0.00447057613551372</v>
      </c>
      <c r="AP69" s="172">
        <f ca="1" t="shared" si="15"/>
        <v>0</v>
      </c>
      <c r="AQ69" s="168">
        <f ca="1" t="shared" si="16"/>
        <v>0.00401583628616287</v>
      </c>
      <c r="AR69">
        <f t="shared" si="19"/>
        <v>1</v>
      </c>
    </row>
    <row r="70" spans="4:44">
      <c r="D70" t="s">
        <v>1028</v>
      </c>
      <c r="E70" t="s">
        <v>2723</v>
      </c>
      <c r="G70" t="s">
        <v>2949</v>
      </c>
      <c r="H70">
        <f ca="1">INDEX(技能数据库!$B$2:$I$100,MATCH(无穷伤害与收益计算!$E70,技能数据库!$B$2:$B$100,0),MATCH(H$9,技能数据库!$B$2:$I$2,0))</f>
        <v>143</v>
      </c>
      <c r="I70">
        <f ca="1">INDEX(技能数据库!$B$2:$I$100,MATCH(无穷伤害与收益计算!$E70,技能数据库!$B$2:$B$100,0),MATCH(I$9,技能数据库!$B$2:$I$2,0))</f>
        <v>2.53125</v>
      </c>
      <c r="J70">
        <f ca="1">INDEX(技能数据库!$B$2:$I$100,MATCH(无穷伤害与收益计算!$E70,技能数据库!$B$2:$B$100,0),MATCH(J$9,技能数据库!$B$2:$I$2,0))</f>
        <v>2</v>
      </c>
      <c r="K70">
        <f ca="1">INDEX(技能数据库!$B$2:$I$100,MATCH(无穷伤害与收益计算!$E70,技能数据库!$B$2:$B$100,0),MATCH(K$9,技能数据库!$B$2:$I$2,0))</f>
        <v>0</v>
      </c>
      <c r="L70">
        <f ca="1" t="shared" si="0"/>
        <v>91975</v>
      </c>
      <c r="M70">
        <f ca="1" t="shared" ref="M70:M82" si="51">IF(D70="轻剑",$AU$2+$AV$2,$AU$3+$AV$3)/2</f>
        <v>12694.5</v>
      </c>
      <c r="N70">
        <f ca="1" t="shared" ref="N70:N82" si="52">IF(D70="轻剑",$AJ$2,$AJ$3)</f>
        <v>92028</v>
      </c>
      <c r="O70">
        <f ca="1" t="shared" si="1"/>
        <v>258343.71875</v>
      </c>
      <c r="P70">
        <f ca="1">IF(G70="恒定伤害",0,(IF(D70="轻剑",$AZ$2,$AZ$3)+IFERROR(INDEX(技能数据库!$T$2:$W$27,MATCH(E70,技能数据库!$T$2:$T$27,0),4),0)+COUNTIF(G70,"*造化2*")*154+COUNTIF(G70,"*造化1*")*102+COUNTIF(G70,"*碧归*")*307)/1024)</f>
        <v>0.0772587719297852</v>
      </c>
      <c r="Q70">
        <f ca="1" t="shared" si="45"/>
        <v>0.448284482196154</v>
      </c>
      <c r="R70">
        <f ca="1" t="shared" si="3"/>
        <v>0.32958230397716</v>
      </c>
      <c r="S70">
        <f ca="1" t="shared" ref="S70:S82" si="53">O70*(1+P70)*(1+Q70)*(1-R70)</f>
        <v>270219.877362011</v>
      </c>
      <c r="T70">
        <f t="shared" si="31"/>
        <v>0.8</v>
      </c>
      <c r="U70">
        <f ca="1" t="shared" si="46"/>
        <v>1.7995442148</v>
      </c>
      <c r="V70">
        <f ca="1" t="shared" ref="V70:V82" si="54">S70*T70*(1+U70)</f>
        <v>605193.995514228</v>
      </c>
      <c r="W70">
        <f ca="1">IF(G70="恒定伤害",0,MIN(1,IF(COUNTIF(F70,"*内会*")&gt;0,内会,IF(D70="轻剑",$Y$2,$Y$3)+COUNTIF(G70,"*莺鸣*")*0.2+COUNTIF(G70,"*叠1*")*0.1+COUNTIF(G70,"*叠2*")*0.2+COUNTIF(G70,"*叠3*")*0.3)+IFERROR(INDEX(技能数据库!$T$2:$W$27,MATCH(E70,技能数据库!$T$2:$T$27,0),2),0)+IF((IF(D70="轻剑",$AO$2,$AO$3)+INT(COUNTIF(G70,"*大莺鸣*")*IF(D70="轻剑",$AM$2,$AM$3)*听晓无双率)/无双系数)&gt;0.9,特效裤子会心/会心系数,0)))</f>
        <v>0.9343</v>
      </c>
      <c r="X70">
        <f ca="1">IF(G70="恒定伤害",0,IF(COUNTIF(F70,"*内会*")&gt;0,内会效,IF(D70="轻剑",$AB$2,$AB$3))+IFERROR(INDEX(技能数据库!$T$2:$W$27,MATCH(E70,技能数据库!$T$2:$T$27,0),3)/1024,0))+COUNTIF(G70,"*叠1*")*0.25+COUNTIF(G70,"*叠2*")*0.5+COUNTIF(G70,"*叠3*")*0.75</f>
        <v>2.3217485021</v>
      </c>
      <c r="Y70">
        <f ca="1" t="shared" ref="Y70:Y82" si="55">1+W70*(X70-1)</f>
        <v>2.23490962551203</v>
      </c>
      <c r="Z70">
        <f t="shared" si="5"/>
        <v>0.150390625</v>
      </c>
      <c r="AA70">
        <f ca="1" t="shared" ref="AA70:AA82" si="56">IF(D70="轻剑",$BA$2,$BA$3)/1024</f>
        <v>0.0205078125</v>
      </c>
      <c r="AB70">
        <f ca="1" t="shared" ref="AB70:AB82" si="57">V70*Y70*(1+Z70)*(1+AA70)</f>
        <v>1587874.75495647</v>
      </c>
      <c r="AC70" s="171">
        <f ca="1">$AC$12*MIN(1,0.3+$Y$2+0.2)</f>
        <v>0</v>
      </c>
      <c r="AD70" s="164">
        <f ca="1" t="shared" si="36"/>
        <v>0</v>
      </c>
      <c r="AE70" s="168">
        <f ca="1" t="shared" si="6"/>
        <v>0.00407596517188402</v>
      </c>
      <c r="AF70" s="168">
        <f ca="1" t="shared" si="7"/>
        <v>0.00461594346388575</v>
      </c>
      <c r="AG70">
        <f ca="1" t="shared" si="8"/>
        <v>0.00347682719504561</v>
      </c>
      <c r="AH70">
        <f ca="1" t="shared" si="9"/>
        <v>1.00331528112937</v>
      </c>
      <c r="AI70">
        <f ca="1" t="shared" si="10"/>
        <v>1.00016101226475</v>
      </c>
      <c r="AJ70">
        <f ca="1" t="shared" si="11"/>
        <v>0</v>
      </c>
      <c r="AK70" s="171">
        <f ca="1">$AC$12*MIN(1,0.3+$Y$2+0.2+((delta身法+INT((IF(D52="轻剑",$N$2,$N$3))/1024*delta身法))*身法转基础会心/会心系数))</f>
        <v>0</v>
      </c>
      <c r="AL70">
        <f ca="1" t="shared" si="12"/>
        <v>0</v>
      </c>
      <c r="AM70" s="171">
        <f ca="1">$AC$12*MIN(1,0.3+$Y$2+0.2+delta会心/会心系数)</f>
        <v>0</v>
      </c>
      <c r="AN70" s="168">
        <f ca="1" t="shared" si="13"/>
        <v>0.00839606381672686</v>
      </c>
      <c r="AO70" s="168">
        <f ca="1" t="shared" si="47"/>
        <v>0.00447057613551372</v>
      </c>
      <c r="AP70" s="172">
        <f ca="1" t="shared" si="15"/>
        <v>0</v>
      </c>
      <c r="AQ70" s="168">
        <f ca="1" t="shared" si="16"/>
        <v>0.00401583628616287</v>
      </c>
      <c r="AR70">
        <f t="shared" si="19"/>
        <v>1</v>
      </c>
    </row>
    <row r="71" spans="4:44">
      <c r="D71" t="s">
        <v>1028</v>
      </c>
      <c r="E71" t="s">
        <v>2723</v>
      </c>
      <c r="G71" t="s">
        <v>3014</v>
      </c>
      <c r="H71">
        <f ca="1">INDEX(技能数据库!$B$2:$I$100,MATCH(无穷伤害与收益计算!$E71,技能数据库!$B$2:$B$100,0),MATCH(H$9,技能数据库!$B$2:$I$2,0))</f>
        <v>143</v>
      </c>
      <c r="I71">
        <f ca="1">INDEX(技能数据库!$B$2:$I$100,MATCH(无穷伤害与收益计算!$E71,技能数据库!$B$2:$B$100,0),MATCH(I$9,技能数据库!$B$2:$I$2,0))</f>
        <v>2.53125</v>
      </c>
      <c r="J71">
        <f ca="1">INDEX(技能数据库!$B$2:$I$100,MATCH(无穷伤害与收益计算!$E71,技能数据库!$B$2:$B$100,0),MATCH(J$9,技能数据库!$B$2:$I$2,0))</f>
        <v>2</v>
      </c>
      <c r="K71">
        <f ca="1">INDEX(技能数据库!$B$2:$I$100,MATCH(无穷伤害与收益计算!$E71,技能数据库!$B$2:$B$100,0),MATCH(K$9,技能数据库!$B$2:$I$2,0))</f>
        <v>0</v>
      </c>
      <c r="L71">
        <f ca="1" t="shared" si="0"/>
        <v>105847</v>
      </c>
      <c r="M71">
        <f ca="1" t="shared" si="51"/>
        <v>12694.5</v>
      </c>
      <c r="N71">
        <f ca="1" t="shared" si="52"/>
        <v>92028</v>
      </c>
      <c r="O71">
        <f ca="1" t="shared" si="1"/>
        <v>293457.21875</v>
      </c>
      <c r="P71">
        <f ca="1">IF(G71="恒定伤害",0,(IF(D71="轻剑",$AZ$2,$AZ$3)+IFERROR(INDEX(技能数据库!$T$2:$W$27,MATCH(E71,技能数据库!$T$2:$T$27,0),4),0)+COUNTIF(G71,"*造化2*")*154+COUNTIF(G71,"*造化1*")*102+COUNTIF(G71,"*碧归*")*307)/1024)</f>
        <v>0.0772587719297852</v>
      </c>
      <c r="Q71">
        <f ca="1" t="shared" si="45"/>
        <v>0.448284482196154</v>
      </c>
      <c r="R71">
        <f ca="1" t="shared" si="3"/>
        <v>0.21277697966198</v>
      </c>
      <c r="S71">
        <f ca="1" t="shared" si="53"/>
        <v>360426.321278169</v>
      </c>
      <c r="T71">
        <f t="shared" si="31"/>
        <v>0.8</v>
      </c>
      <c r="U71">
        <f ca="1" t="shared" si="46"/>
        <v>1.7995442148</v>
      </c>
      <c r="V71">
        <f ca="1" t="shared" si="54"/>
        <v>807223.538076754</v>
      </c>
      <c r="W71">
        <f ca="1">IF(G71="恒定伤害",0,MIN(1,IF(COUNTIF(F71,"*内会*")&gt;0,内会,IF(D71="轻剑",$Y$2,$Y$3)+COUNTIF(G71,"*莺鸣*")*0.2+COUNTIF(G71,"*叠1*")*0.1+COUNTIF(G71,"*叠2*")*0.2+COUNTIF(G71,"*叠3*")*0.3)+IFERROR(INDEX(技能数据库!$T$2:$W$27,MATCH(E71,技能数据库!$T$2:$T$27,0),2),0)+IF((IF(D71="轻剑",$AO$2,$AO$3)+INT(COUNTIF(G71,"*大莺鸣*")*IF(D71="轻剑",$AM$2,$AM$3)*听晓无双率)/无双系数)&gt;0.9,特效裤子会心/会心系数,0)))</f>
        <v>0.9343</v>
      </c>
      <c r="X71">
        <f ca="1">IF(G71="恒定伤害",0,IF(COUNTIF(F71,"*内会*")&gt;0,内会效,IF(D71="轻剑",$AB$2,$AB$3))+IFERROR(INDEX(技能数据库!$T$2:$W$27,MATCH(E71,技能数据库!$T$2:$T$27,0),3)/1024,0))+COUNTIF(G71,"*叠1*")*0.25+COUNTIF(G71,"*叠2*")*0.5+COUNTIF(G71,"*叠3*")*0.75</f>
        <v>2.3217485021</v>
      </c>
      <c r="Y71">
        <f ca="1" t="shared" si="55"/>
        <v>2.23490962551203</v>
      </c>
      <c r="Z71">
        <f t="shared" si="5"/>
        <v>0.150390625</v>
      </c>
      <c r="AA71">
        <f ca="1" t="shared" si="56"/>
        <v>0.0205078125</v>
      </c>
      <c r="AB71">
        <f ca="1" t="shared" si="57"/>
        <v>2117948.76885653</v>
      </c>
      <c r="AC71" s="171">
        <f ca="1">$AC$13*MIN(1,0.3+$Y$2+0.2)</f>
        <v>0</v>
      </c>
      <c r="AD71" s="164">
        <f ca="1" t="shared" si="36"/>
        <v>0</v>
      </c>
      <c r="AE71" s="168">
        <f ca="1" t="shared" si="6"/>
        <v>0.00427830675063263</v>
      </c>
      <c r="AF71" s="168">
        <f ca="1" t="shared" si="7"/>
        <v>0.0040636246914611</v>
      </c>
      <c r="AG71">
        <f ca="1" t="shared" si="8"/>
        <v>0.00308007475511274</v>
      </c>
      <c r="AH71">
        <f ca="1" t="shared" si="9"/>
        <v>1.00291859256117</v>
      </c>
      <c r="AI71">
        <f ca="1" t="shared" si="10"/>
        <v>1.00016101226475</v>
      </c>
      <c r="AJ71">
        <f ca="1" t="shared" si="11"/>
        <v>0</v>
      </c>
      <c r="AK71" s="171">
        <f ca="1">$AC$13*MIN(1,0.3+$Y$2+0.2+((delta身法+INT((IF(D52="轻剑",$N$2,$N$3))/1024*delta身法))*身法转基础会心/会心系数))</f>
        <v>0</v>
      </c>
      <c r="AL71">
        <f ca="1" t="shared" si="12"/>
        <v>0</v>
      </c>
      <c r="AM71" s="171">
        <f ca="1">$AC$13*MIN(1,0.3+$Y$2+0.2+delta会心/会心系数)</f>
        <v>0</v>
      </c>
      <c r="AN71" s="168">
        <f ca="1" t="shared" si="13"/>
        <v>0.00839606381672686</v>
      </c>
      <c r="AO71" s="168">
        <f ca="1" t="shared" si="47"/>
        <v>0.00447057613551372</v>
      </c>
      <c r="AP71" s="172">
        <f ca="1" t="shared" si="15"/>
        <v>0</v>
      </c>
      <c r="AQ71" s="168">
        <f ca="1" t="shared" si="16"/>
        <v>0.00401583628616287</v>
      </c>
      <c r="AR71">
        <f t="shared" si="19"/>
        <v>1</v>
      </c>
    </row>
    <row r="72" spans="4:44">
      <c r="D72" t="s">
        <v>1825</v>
      </c>
      <c r="E72" t="s">
        <v>2768</v>
      </c>
      <c r="G72" t="s">
        <v>3090</v>
      </c>
      <c r="H72">
        <f ca="1">INDEX(技能数据库!$B$2:$I$100,MATCH(无穷伤害与收益计算!$E72,技能数据库!$B$2:$B$100,0),MATCH(H$9,技能数据库!$B$2:$I$2,0))</f>
        <v>210</v>
      </c>
      <c r="I72">
        <f ca="1">INDEX(技能数据库!$B$2:$I$100,MATCH(无穷伤害与收益计算!$E72,技能数据库!$B$2:$B$100,0),MATCH(I$9,技能数据库!$B$2:$I$2,0))</f>
        <v>5.7875</v>
      </c>
      <c r="J72">
        <f ca="1">INDEX(技能数据库!$B$2:$I$100,MATCH(无穷伤害与收益计算!$E72,技能数据库!$B$2:$B$100,0),MATCH(J$9,技能数据库!$B$2:$I$2,0))</f>
        <v>2</v>
      </c>
      <c r="K72">
        <f ca="1">INDEX(技能数据库!$B$2:$I$100,MATCH(无穷伤害与收益计算!$E72,技能数据库!$B$2:$B$100,0),MATCH(K$9,技能数据库!$B$2:$I$2,0))</f>
        <v>0</v>
      </c>
      <c r="L72">
        <f ca="1" t="shared" si="0"/>
        <v>105847</v>
      </c>
      <c r="M72">
        <f ca="1" t="shared" si="51"/>
        <v>19530.5</v>
      </c>
      <c r="N72">
        <f ca="1" t="shared" si="52"/>
        <v>92028</v>
      </c>
      <c r="O72">
        <f ca="1" t="shared" si="1"/>
        <v>651860.5125</v>
      </c>
      <c r="P72">
        <f ca="1">IF(G72="恒定伤害",0,(IF(D72="轻剑",$AZ$2,$AZ$3)+IFERROR(INDEX(技能数据库!$T$2:$W$27,MATCH(E72,技能数据库!$T$2:$T$27,0),4),0)+COUNTIF(G72,"*造化2*")*154+COUNTIF(G72,"*造化1*")*102+COUNTIF(G72,"*碧归*")*307)/1024)</f>
        <v>0.747180646929785</v>
      </c>
      <c r="Q72">
        <f ca="1" t="shared" si="45"/>
        <v>0.448284482196154</v>
      </c>
      <c r="R72">
        <f ca="1" t="shared" si="3"/>
        <v>0.21277697966198</v>
      </c>
      <c r="S72">
        <f ca="1" t="shared" si="53"/>
        <v>1298506.55725373</v>
      </c>
      <c r="T72">
        <f t="shared" si="31"/>
        <v>0.8</v>
      </c>
      <c r="U72">
        <f ca="1" t="shared" si="46"/>
        <v>2.68954760480339</v>
      </c>
      <c r="V72">
        <f ca="1" t="shared" si="54"/>
        <v>3832721.4065096</v>
      </c>
      <c r="W72">
        <f ca="1">IF(G72="恒定伤害",0,MIN(1,IF(COUNTIF(F72,"*内会*")&gt;0,内会,IF(D72="轻剑",$Y$2,$Y$3)+COUNTIF(G72,"*莺鸣*")*0.2+COUNTIF(G72,"*叠1*")*0.1+COUNTIF(G72,"*叠2*")*0.2+COUNTIF(G72,"*叠3*")*0.3)+IFERROR(INDEX(技能数据库!$T$2:$W$27,MATCH(E72,技能数据库!$T$2:$T$27,0),2),0)+IF((IF(D72="轻剑",$AO$2,$AO$3)+INT(COUNTIF(G72,"*大莺鸣*")*IF(D72="轻剑",$AM$2,$AM$3)*听晓无双率)/无双系数)&gt;0.9,特效裤子会心/会心系数,0)))</f>
        <v>0.9343</v>
      </c>
      <c r="X72">
        <f ca="1">IF(G72="恒定伤害",0,IF(COUNTIF(F72,"*内会*")&gt;0,内会效,IF(D72="轻剑",$AB$2,$AB$3))+IFERROR(INDEX(技能数据库!$T$2:$W$27,MATCH(E72,技能数据库!$T$2:$T$27,0),3)/1024,0))+COUNTIF(G72,"*叠1*")*0.25+COUNTIF(G72,"*叠2*")*0.5+COUNTIF(G72,"*叠3*")*0.75</f>
        <v>2.3217485021</v>
      </c>
      <c r="Y72">
        <f ca="1" t="shared" si="55"/>
        <v>2.23490962551203</v>
      </c>
      <c r="Z72">
        <f t="shared" si="5"/>
        <v>0.150390625</v>
      </c>
      <c r="AA72">
        <f ca="1" t="shared" si="56"/>
        <v>0.0205078125</v>
      </c>
      <c r="AB72">
        <f ca="1" t="shared" si="57"/>
        <v>10056083.8496204</v>
      </c>
      <c r="AC72">
        <f ca="1">无穷技能数计算!AJ64</f>
        <v>0</v>
      </c>
      <c r="AD72" s="164">
        <f ca="1" t="shared" si="36"/>
        <v>0</v>
      </c>
      <c r="AE72" s="168">
        <f ca="1" t="shared" si="6"/>
        <v>0.00440370285506441</v>
      </c>
      <c r="AF72" s="168">
        <f ca="1" t="shared" si="7"/>
        <v>0.00182937910355477</v>
      </c>
      <c r="AG72">
        <f ca="1" t="shared" si="8"/>
        <v>0.00316563174908713</v>
      </c>
      <c r="AH72">
        <f ca="1" t="shared" si="9"/>
        <v>1.00300413578163</v>
      </c>
      <c r="AI72">
        <f ca="1" t="shared" si="10"/>
        <v>1.00016101226475</v>
      </c>
      <c r="AJ72">
        <f ca="1" t="shared" si="11"/>
        <v>0</v>
      </c>
      <c r="AK72">
        <f ca="1" t="shared" si="17"/>
        <v>0</v>
      </c>
      <c r="AL72">
        <f ca="1" t="shared" si="12"/>
        <v>0</v>
      </c>
      <c r="AM72">
        <f ca="1" t="shared" si="18"/>
        <v>0</v>
      </c>
      <c r="AN72" s="168">
        <f ca="1" t="shared" si="13"/>
        <v>0.00839606381672686</v>
      </c>
      <c r="AO72" s="168">
        <f ca="1" t="shared" si="47"/>
        <v>0.00447057613551372</v>
      </c>
      <c r="AP72" s="172">
        <f ca="1" t="shared" si="15"/>
        <v>0</v>
      </c>
      <c r="AQ72" s="168">
        <f ca="1" t="shared" si="16"/>
        <v>0.00393951131463699</v>
      </c>
      <c r="AR72">
        <f t="shared" si="19"/>
        <v>1</v>
      </c>
    </row>
    <row r="73" spans="4:44">
      <c r="D73" t="s">
        <v>1825</v>
      </c>
      <c r="E73" t="s">
        <v>2794</v>
      </c>
      <c r="G73" t="s">
        <v>3092</v>
      </c>
      <c r="H73">
        <f ca="1">INDEX(技能数据库!$B$2:$I$100,MATCH(无穷伤害与收益计算!$E73,技能数据库!$B$2:$B$100,0),MATCH(H$9,技能数据库!$B$2:$I$2,0))</f>
        <v>231.5</v>
      </c>
      <c r="I73">
        <f ca="1">INDEX(技能数据库!$B$2:$I$100,MATCH(无穷伤害与收益计算!$E73,技能数据库!$B$2:$B$100,0),MATCH(I$9,技能数据库!$B$2:$I$2,0))</f>
        <v>2.71875</v>
      </c>
      <c r="J73">
        <f ca="1">INDEX(技能数据库!$B$2:$I$100,MATCH(无穷伤害与收益计算!$E73,技能数据库!$B$2:$B$100,0),MATCH(J$9,技能数据库!$B$2:$I$2,0))</f>
        <v>2</v>
      </c>
      <c r="K73">
        <f ca="1">INDEX(技能数据库!$B$2:$I$100,MATCH(无穷伤害与收益计算!$E73,技能数据库!$B$2:$B$100,0),MATCH(K$9,技能数据库!$B$2:$I$2,0))</f>
        <v>0</v>
      </c>
      <c r="L73">
        <f ca="1" t="shared" si="0"/>
        <v>105847</v>
      </c>
      <c r="M73">
        <f ca="1" t="shared" si="51"/>
        <v>19530.5</v>
      </c>
      <c r="N73">
        <f ca="1" t="shared" si="52"/>
        <v>92028</v>
      </c>
      <c r="O73">
        <f ca="1" t="shared" si="1"/>
        <v>327064.03125</v>
      </c>
      <c r="P73">
        <f ca="1">IF(G73="恒定伤害",0,(IF(D73="轻剑",$AZ$2,$AZ$3)+IFERROR(INDEX(技能数据库!$T$2:$W$27,MATCH(E73,技能数据库!$T$2:$T$27,0),4),0)+COUNTIF(G73,"*造化2*")*154+COUNTIF(G73,"*造化1*")*102+COUNTIF(G73,"*碧归*")*307)/1024)</f>
        <v>0.596790021929785</v>
      </c>
      <c r="Q73">
        <f ca="1" t="shared" si="45"/>
        <v>0.448284482196154</v>
      </c>
      <c r="R73">
        <f ca="1" t="shared" si="3"/>
        <v>0.21277697966198</v>
      </c>
      <c r="S73">
        <f ca="1" t="shared" si="53"/>
        <v>595432.119746968</v>
      </c>
      <c r="T73">
        <f t="shared" si="31"/>
        <v>0.8</v>
      </c>
      <c r="U73">
        <f ca="1" t="shared" si="46"/>
        <v>2.68954760480339</v>
      </c>
      <c r="V73">
        <f ca="1" t="shared" si="54"/>
        <v>1757500.12098834</v>
      </c>
      <c r="W73">
        <f ca="1">IF(G73="恒定伤害",0,MIN(1,IF(COUNTIF(F73,"*内会*")&gt;0,内会,IF(D73="轻剑",$Y$2,$Y$3)+COUNTIF(G73,"*莺鸣*")*0.2+COUNTIF(G73,"*叠1*")*0.1+COUNTIF(G73,"*叠2*")*0.2+COUNTIF(G73,"*叠3*")*0.3)+IFERROR(INDEX(技能数据库!$T$2:$W$27,MATCH(E73,技能数据库!$T$2:$T$27,0),2),0)+IF((IF(D73="轻剑",$AO$2,$AO$3)+INT(COUNTIF(G73,"*大莺鸣*")*IF(D73="轻剑",$AM$2,$AM$3)*听晓无双率)/无双系数)&gt;0.9,特效裤子会心/会心系数,0)))</f>
        <v>0.9343</v>
      </c>
      <c r="X73">
        <f ca="1">IF(G73="恒定伤害",0,IF(COUNTIF(F73,"*内会*")&gt;0,内会效,IF(D73="轻剑",$AB$2,$AB$3))+IFERROR(INDEX(技能数据库!$T$2:$W$27,MATCH(E73,技能数据库!$T$2:$T$27,0),3)/1024,0))+COUNTIF(G73,"*叠1*")*0.25+COUNTIF(G73,"*叠2*")*0.5+COUNTIF(G73,"*叠3*")*0.75</f>
        <v>2.3217485021</v>
      </c>
      <c r="Y73">
        <f ca="1" t="shared" si="55"/>
        <v>2.23490962551203</v>
      </c>
      <c r="Z73">
        <f t="shared" si="5"/>
        <v>0.150390625</v>
      </c>
      <c r="AA73">
        <f ca="1" t="shared" si="56"/>
        <v>0.0205078125</v>
      </c>
      <c r="AB73">
        <f ca="1" t="shared" si="57"/>
        <v>4611232.25715271</v>
      </c>
      <c r="AC73">
        <f ca="1">无穷技能数计算!AJ65</f>
        <v>0</v>
      </c>
      <c r="AD73" s="164">
        <f ca="1" t="shared" si="36"/>
        <v>0</v>
      </c>
      <c r="AE73" s="168">
        <f ca="1" t="shared" si="6"/>
        <v>0.00412304585999932</v>
      </c>
      <c r="AF73" s="168">
        <f ca="1" t="shared" si="7"/>
        <v>0.00364607503748549</v>
      </c>
      <c r="AG73">
        <f ca="1" t="shared" si="8"/>
        <v>0.00297414120044159</v>
      </c>
      <c r="AH73">
        <f ca="1" t="shared" si="9"/>
        <v>1.00281267606035</v>
      </c>
      <c r="AI73">
        <f ca="1" t="shared" si="10"/>
        <v>1.00016101226475</v>
      </c>
      <c r="AJ73">
        <f ca="1" t="shared" si="11"/>
        <v>0</v>
      </c>
      <c r="AK73">
        <f ca="1" t="shared" si="17"/>
        <v>0</v>
      </c>
      <c r="AL73">
        <f ca="1" t="shared" si="12"/>
        <v>0</v>
      </c>
      <c r="AM73">
        <f ca="1" t="shared" si="18"/>
        <v>0</v>
      </c>
      <c r="AN73" s="168">
        <f ca="1" t="shared" si="13"/>
        <v>0.00839606381672686</v>
      </c>
      <c r="AO73" s="168">
        <f ca="1" t="shared" si="47"/>
        <v>0.00447057613551372</v>
      </c>
      <c r="AP73" s="172">
        <f ca="1" t="shared" si="15"/>
        <v>0</v>
      </c>
      <c r="AQ73" s="168">
        <f ca="1" t="shared" si="16"/>
        <v>0.00393951131463699</v>
      </c>
      <c r="AR73">
        <f t="shared" si="19"/>
        <v>1</v>
      </c>
    </row>
    <row r="74" spans="4:44">
      <c r="D74" t="s">
        <v>1825</v>
      </c>
      <c r="E74" t="s">
        <v>2776</v>
      </c>
      <c r="G74" t="s">
        <v>3093</v>
      </c>
      <c r="H74">
        <f ca="1">INDEX(技能数据库!$B$2:$I$100,MATCH(无穷伤害与收益计算!$E74,技能数据库!$B$2:$B$100,0),MATCH(H$9,技能数据库!$B$2:$I$2,0))</f>
        <v>281.5</v>
      </c>
      <c r="I74">
        <f ca="1">INDEX(技能数据库!$B$2:$I$100,MATCH(无穷伤害与收益计算!$E74,技能数据库!$B$2:$B$100,0),MATCH(I$9,技能数据库!$B$2:$I$2,0))</f>
        <v>7.06875</v>
      </c>
      <c r="J74">
        <f ca="1">INDEX(技能数据库!$B$2:$I$100,MATCH(无穷伤害与收益计算!$E74,技能数据库!$B$2:$B$100,0),MATCH(J$9,技能数据库!$B$2:$I$2,0))</f>
        <v>2</v>
      </c>
      <c r="K74">
        <f ca="1">INDEX(技能数据库!$B$2:$I$100,MATCH(无穷伤害与收益计算!$E74,技能数据库!$B$2:$B$100,0),MATCH(K$9,技能数据库!$B$2:$I$2,0))</f>
        <v>0</v>
      </c>
      <c r="L74">
        <f ca="1" t="shared" ref="L74:L137" si="58">IF(D74="轻剑",$V$2,$V$3)+INT(残雪*(COUNTIF(G74,"*莺鸣*")+COUNTIF(G74,"*叠1*")+COUNTIF(G74,"*叠2*")*2+COUNTIF(G74,"*叠3*")*3)*IF(D74="轻剑",$U$2,$U$3)*154/1024+COUNTIF(G74,"*雾锁*")*205/1024*IF(D74="轻剑",$U$2,$U$3))</f>
        <v>105847</v>
      </c>
      <c r="M74">
        <f ca="1" t="shared" si="51"/>
        <v>19530.5</v>
      </c>
      <c r="N74">
        <f ca="1" t="shared" si="52"/>
        <v>92028</v>
      </c>
      <c r="O74">
        <f ca="1" t="shared" ref="O74:O94" si="59">H74+I74*L74+J74*M74+IF(K74&gt;0,MAX(1,K74*N74*破招全局系数),0)</f>
        <v>787548.48125</v>
      </c>
      <c r="P74">
        <f ca="1">IF(G74="恒定伤害",0,(IF(D74="轻剑",$AZ$2,$AZ$3)+IFERROR(INDEX(技能数据库!$T$2:$W$27,MATCH(E74,技能数据库!$T$2:$T$27,0),4),0)+COUNTIF(G74,"*造化2*")*154+COUNTIF(G74,"*造化1*")*102+COUNTIF(G74,"*碧归*")*307)/1024)</f>
        <v>0.697375959429785</v>
      </c>
      <c r="Q74">
        <f ca="1" t="shared" ref="Q74:Q105" si="60">IF(G74="恒定伤害",0,(IF(COUNTIF(F74,"*内破*")&gt;0,内破,IF(D74="轻剑",$AF$2,$AF$3)/破防系数))+IF((IF(D74="轻剑",$AO$2,$AO$3)+INT(COUNTIF(G74,"*大莺鸣*")*IF(D74="轻剑",$AM$2,$AM$3)*听晓无双率)/无双系数)&gt;0.9,(特效裤子破防+特效裤子破防*IF(D74="轻剑",$AD$2,$AD$3)/1024)/破防系数,0))</f>
        <v>0.448284482196154</v>
      </c>
      <c r="R74">
        <f ca="1" t="shared" ref="R74:R94" si="61">IF(G74="恒定伤害",0,(($F$5-IF(D74="轻剑",$BB$2,$BB$3))*(1024-IF(D74="轻剑",$BD$2,$BD$3))/1024*(1024-IF(D74="轻剑",$BC$2,$BC$3)-COUNTIF(G74,"*雾锁*")*461*雾锁)/1024/(($F$5-IF(D74="轻剑",$BB$2,$BB$3))*(1024-IF(D74="轻剑",$BD$2,$BD$3))/1024*(1024-IF(D74="轻剑",$BC$2,$BC$3)-COUNTIF(G74,"*雾锁*")*461*雾锁)/1024+$F$7)))</f>
        <v>0.21277697966198</v>
      </c>
      <c r="S74">
        <f ca="1" t="shared" si="53"/>
        <v>1524077.34686146</v>
      </c>
      <c r="T74">
        <f t="shared" si="31"/>
        <v>0.8</v>
      </c>
      <c r="U74">
        <f ca="1" t="shared" ref="U74:U105" si="62">IF(G74="恒定伤害",0,(IF(D74="轻剑",$AO$2,$AO$3)+INT(COUNTIF(G74,"*大莺鸣*")*IF(D74="轻剑",$AM$2,$AM$3)*听晓无双率)/无双系数)+IF((IF(D74="轻剑",$AO$2,$AO$3)+INT(COUNTIF(G74,"*大莺鸣*")*IF(D74="轻剑",$AM$2,$AM$3)*听晓无双率)/无双系数)&lt;=0.9,特效裤子无双,0))</f>
        <v>2.68954760480339</v>
      </c>
      <c r="V74">
        <f ca="1" t="shared" si="54"/>
        <v>4498524.73971824</v>
      </c>
      <c r="W74">
        <f ca="1">IF(G74="恒定伤害",0,MIN(1,IF(COUNTIF(F74,"*内会*")&gt;0,内会,IF(D74="轻剑",$Y$2,$Y$3)+COUNTIF(G74,"*莺鸣*")*0.2+COUNTIF(G74,"*叠1*")*0.1+COUNTIF(G74,"*叠2*")*0.2+COUNTIF(G74,"*叠3*")*0.3)+IFERROR(INDEX(技能数据库!$T$2:$W$27,MATCH(E74,技能数据库!$T$2:$T$27,0),2),0)+IF((IF(D74="轻剑",$AO$2,$AO$3)+INT(COUNTIF(G74,"*大莺鸣*")*IF(D74="轻剑",$AM$2,$AM$3)*听晓无双率)/无双系数)&gt;0.9,特效裤子会心/会心系数,0)))</f>
        <v>0.9343</v>
      </c>
      <c r="X74">
        <f ca="1">IF(G74="恒定伤害",0,IF(COUNTIF(F74,"*内会*")&gt;0,内会效,IF(D74="轻剑",$AB$2,$AB$3))+IFERROR(INDEX(技能数据库!$T$2:$W$27,MATCH(E74,技能数据库!$T$2:$T$27,0),3)/1024,0))+COUNTIF(G74,"*叠1*")*0.25+COUNTIF(G74,"*叠2*")*0.5+COUNTIF(G74,"*叠3*")*0.75</f>
        <v>2.3217485021</v>
      </c>
      <c r="Y74">
        <f ca="1" t="shared" si="55"/>
        <v>2.23490962551203</v>
      </c>
      <c r="Z74">
        <f t="shared" ref="Z74:Z94" si="63">IF(G74="恒定伤害",0,非侠士伤害/1024)</f>
        <v>0.150390625</v>
      </c>
      <c r="AA74">
        <f ca="1" t="shared" si="56"/>
        <v>0.0205078125</v>
      </c>
      <c r="AB74">
        <f ca="1" t="shared" si="57"/>
        <v>11802982.0548307</v>
      </c>
      <c r="AC74">
        <f ca="1">无穷技能数计算!AJ66</f>
        <v>0</v>
      </c>
      <c r="AD74" s="164">
        <f ca="1" t="shared" si="36"/>
        <v>0</v>
      </c>
      <c r="AE74" s="168">
        <f ca="1" t="shared" ref="AE74:AE137" si="64">IFERROR((delta攻击+INT((IF(D74="轻剑",$T$2,$T$3)+残雪*(COUNTIF(G74,"*莺鸣*")+COUNTIF(G74,"*叠1*")+COUNTIF(G74,"*叠2*")*2+COUNTIF(G74,"*叠3*")*3)*153+COUNTIF(G74,"*雾锁*")*205)/1024*delta攻击))*I74/O74,0)</f>
        <v>0.00445191640067048</v>
      </c>
      <c r="AF74" s="168">
        <f ca="1" t="shared" ref="AF74:AF94" si="65">IFERROR((delta武伤+INT((IF(D74="轻剑",$AW$2,$AW$3))/1024*delta武伤))*J74/O74,0)</f>
        <v>0.00151419249530805</v>
      </c>
      <c r="AG74">
        <f ca="1" t="shared" ref="AG74:AG82" si="66">IF(G74="恒定伤害",0,MAX(0,AH74*AI74*IF(AJ74=0,1,AJ74)-1))</f>
        <v>0.00319852755593519</v>
      </c>
      <c r="AH74">
        <f ca="1" t="shared" ref="AH74:AH94" si="67">IFERROR((delta身法+INT((IF(D74="轻剑",$N$2,$N$3))/1024*delta身法))*身法转额外攻击*I74/O74+1,0)</f>
        <v>1.0030370262927</v>
      </c>
      <c r="AI74">
        <f ca="1" t="shared" ref="AI74:AI94" si="68">IFERROR(((delta身法+INT((IF(D74="轻剑",$N$2,$N$3))/1024*delta身法))*身法转额外破防/破防系数+Q74+1)/(1+Q74),0)</f>
        <v>1.00016101226475</v>
      </c>
      <c r="AJ74">
        <f ca="1" t="shared" ref="AJ74:AJ80" si="69">IFERROR(((1+MIN(1,((delta身法+INT((IF(D74="轻剑",$N$2,$N$3))/1024*delta身法))*身法转基础会心/会心系数)+W74)*(X74-1))*AK74)/(Y74*AC74),0)</f>
        <v>0</v>
      </c>
      <c r="AK74">
        <f ca="1" t="shared" si="17"/>
        <v>0</v>
      </c>
      <c r="AL74">
        <f ca="1" t="shared" ref="AL74:AL80" si="70">IF(G74="恒定伤害",0,IFERROR(((1+MIN(1,W74+delta会心/会心系数)*(X74-1))*AM74)/(Y74*AC74)-1,0))</f>
        <v>0</v>
      </c>
      <c r="AM74">
        <f ca="1" t="shared" si="18"/>
        <v>0</v>
      </c>
      <c r="AN74" s="168">
        <f ca="1" t="shared" ref="AN74:AN137" si="71">IF(OR(COUNTIF(F74,"*内会*")&gt;0,G74="恒定伤害"),0,(1+W74*(MIN(3+COUNTIF(G74,"*叠*")*0.75,X74+delta会效/会效系数)-1))/Y74-1)</f>
        <v>0.00839606381672686</v>
      </c>
      <c r="AO74" s="168">
        <f ca="1" t="shared" ref="AO74:AO105" si="72">IF(OR(COUNTIF(F74,"*内破*")&gt;0,G74="恒定伤害"),0,IFERROR(((delta破防+INT((IF(D74="轻剑",$AD$2,$AD$3))/1024*delta破防))/破防系数+Q74+1)/(Q74+1)-1,0))</f>
        <v>0.00447057613551372</v>
      </c>
      <c r="AP74" s="172">
        <f ca="1" t="shared" ref="AP74:AP94" si="73">IFERROR((delta破招+INT((IF(D74="轻剑",$AI$2,$AI$3))/1024*delta破招))*K74*破招全局系数/MAX(1,O74),0)</f>
        <v>0</v>
      </c>
      <c r="AQ74" s="168">
        <f ca="1" t="shared" ref="AQ74:AQ94" si="74">IF(G74="恒定伤害",0,IFERROR(((delta无双+INT((IF(D74="轻剑",$AL$2,$AL$3)+COUNTIF(G74,"*大莺鸣*")*307)/1024*delta无双))/无双系数+U74+1)/(U74+1)-1,0))</f>
        <v>0.00393951131463699</v>
      </c>
      <c r="AR74">
        <f t="shared" si="19"/>
        <v>1</v>
      </c>
    </row>
    <row r="75" spans="4:44">
      <c r="D75" t="s">
        <v>1825</v>
      </c>
      <c r="E75" t="s">
        <v>2780</v>
      </c>
      <c r="G75" t="s">
        <v>3093</v>
      </c>
      <c r="H75">
        <f ca="1">INDEX(技能数据库!$B$2:$I$100,MATCH(无穷伤害与收益计算!$E75,技能数据库!$B$2:$B$100,0),MATCH(H$9,技能数据库!$B$2:$I$2,0))</f>
        <v>252.5</v>
      </c>
      <c r="I75">
        <f ca="1">INDEX(技能数据库!$B$2:$I$100,MATCH(无穷伤害与收益计算!$E75,技能数据库!$B$2:$B$100,0),MATCH(I$9,技能数据库!$B$2:$I$2,0))</f>
        <v>2.11875</v>
      </c>
      <c r="J75">
        <f ca="1">INDEX(技能数据库!$B$2:$I$100,MATCH(无穷伤害与收益计算!$E75,技能数据库!$B$2:$B$100,0),MATCH(J$9,技能数据库!$B$2:$I$2,0))</f>
        <v>2</v>
      </c>
      <c r="K75">
        <f ca="1">INDEX(技能数据库!$B$2:$I$100,MATCH(无穷伤害与收益计算!$E75,技能数据库!$B$2:$B$100,0),MATCH(K$9,技能数据库!$B$2:$I$2,0))</f>
        <v>0</v>
      </c>
      <c r="L75">
        <f ca="1" t="shared" si="58"/>
        <v>105847</v>
      </c>
      <c r="M75">
        <f ca="1" t="shared" si="51"/>
        <v>19530.5</v>
      </c>
      <c r="N75">
        <f ca="1" t="shared" si="52"/>
        <v>92028</v>
      </c>
      <c r="O75">
        <f ca="1" t="shared" si="59"/>
        <v>263576.83125</v>
      </c>
      <c r="P75">
        <f ca="1">IF(G75="恒定伤害",0,(IF(D75="轻剑",$AZ$2,$AZ$3)+IFERROR(INDEX(技能数据库!$T$2:$W$27,MATCH(E75,技能数据库!$T$2:$T$27,0),4),0)+COUNTIF(G75,"*造化2*")*154+COUNTIF(G75,"*造化1*")*102+COUNTIF(G75,"*碧归*")*307)/1024)</f>
        <v>0.697375959429785</v>
      </c>
      <c r="Q75">
        <f ca="1" t="shared" si="60"/>
        <v>0.448284482196154</v>
      </c>
      <c r="R75">
        <f ca="1" t="shared" si="61"/>
        <v>0.21277697966198</v>
      </c>
      <c r="S75">
        <f ca="1" t="shared" si="53"/>
        <v>510078.410700573</v>
      </c>
      <c r="T75">
        <f t="shared" si="31"/>
        <v>0.8</v>
      </c>
      <c r="U75">
        <f ca="1" t="shared" si="62"/>
        <v>2.68954760480339</v>
      </c>
      <c r="V75">
        <f ca="1" t="shared" si="54"/>
        <v>1505566.86276978</v>
      </c>
      <c r="W75">
        <f ca="1">IF(G75="恒定伤害",0,MIN(1,IF(COUNTIF(F75,"*内会*")&gt;0,内会,IF(D75="轻剑",$Y$2,$Y$3)+COUNTIF(G75,"*莺鸣*")*0.2+COUNTIF(G75,"*叠1*")*0.1+COUNTIF(G75,"*叠2*")*0.2+COUNTIF(G75,"*叠3*")*0.3)+IFERROR(INDEX(技能数据库!$T$2:$W$27,MATCH(E75,技能数据库!$T$2:$T$27,0),2),0)+IF((IF(D75="轻剑",$AO$2,$AO$3)+INT(COUNTIF(G75,"*大莺鸣*")*IF(D75="轻剑",$AM$2,$AM$3)*听晓无双率)/无双系数)&gt;0.9,特效裤子会心/会心系数,0)))</f>
        <v>0.9343</v>
      </c>
      <c r="X75">
        <f ca="1">IF(G75="恒定伤害",0,IF(COUNTIF(F75,"*内会*")&gt;0,内会效,IF(D75="轻剑",$AB$2,$AB$3))+IFERROR(INDEX(技能数据库!$T$2:$W$27,MATCH(E75,技能数据库!$T$2:$T$27,0),3)/1024,0))+COUNTIF(G75,"*叠1*")*0.25+COUNTIF(G75,"*叠2*")*0.5+COUNTIF(G75,"*叠3*")*0.75</f>
        <v>2.3217485021</v>
      </c>
      <c r="Y75">
        <f ca="1" t="shared" si="55"/>
        <v>2.23490962551203</v>
      </c>
      <c r="Z75">
        <f t="shared" si="63"/>
        <v>0.150390625</v>
      </c>
      <c r="AA75">
        <f ca="1" t="shared" si="56"/>
        <v>0.0205078125</v>
      </c>
      <c r="AB75">
        <f ca="1" t="shared" si="57"/>
        <v>3950223.61591646</v>
      </c>
      <c r="AC75">
        <f ca="1">无穷技能数计算!AJ67</f>
        <v>0</v>
      </c>
      <c r="AD75" s="164">
        <f ca="1" t="shared" si="36"/>
        <v>0</v>
      </c>
      <c r="AE75" s="168">
        <f ca="1" t="shared" si="64"/>
        <v>0.00398707274465726</v>
      </c>
      <c r="AF75" s="168">
        <f ca="1" t="shared" si="65"/>
        <v>0.00452429750499931</v>
      </c>
      <c r="AG75">
        <f ca="1" t="shared" si="66"/>
        <v>0.00288136757670965</v>
      </c>
      <c r="AH75">
        <f ca="1" t="shared" si="67"/>
        <v>1.0027199173719</v>
      </c>
      <c r="AI75">
        <f ca="1" t="shared" si="68"/>
        <v>1.00016101226475</v>
      </c>
      <c r="AJ75">
        <f ca="1" t="shared" si="69"/>
        <v>0</v>
      </c>
      <c r="AK75">
        <f ca="1" t="shared" ref="AK75:AK79" si="75">AC75</f>
        <v>0</v>
      </c>
      <c r="AL75">
        <f ca="1" t="shared" si="70"/>
        <v>0</v>
      </c>
      <c r="AM75">
        <f ca="1" t="shared" ref="AM75" si="76">AC75</f>
        <v>0</v>
      </c>
      <c r="AN75" s="168">
        <f ca="1" t="shared" si="71"/>
        <v>0.00839606381672686</v>
      </c>
      <c r="AO75" s="168">
        <f ca="1" t="shared" si="72"/>
        <v>0.00447057613551372</v>
      </c>
      <c r="AP75" s="172">
        <f ca="1" t="shared" si="73"/>
        <v>0</v>
      </c>
      <c r="AQ75" s="168">
        <f ca="1" t="shared" si="74"/>
        <v>0.00393951131463699</v>
      </c>
      <c r="AR75">
        <f t="shared" ref="AR75:AR94" si="77">IF($AR$8="综合属性收益",1,COUNTIF(D75,LEFT($AR$8,2)))</f>
        <v>1</v>
      </c>
    </row>
    <row r="76" spans="4:44">
      <c r="D76" t="s">
        <v>1028</v>
      </c>
      <c r="E76" t="s">
        <v>2723</v>
      </c>
      <c r="G76" t="s">
        <v>2750</v>
      </c>
      <c r="H76">
        <f ca="1">INDEX(技能数据库!$B$2:$I$100,MATCH(无穷伤害与收益计算!$E76,技能数据库!$B$2:$B$100,0),MATCH(H$9,技能数据库!$B$2:$I$2,0))</f>
        <v>143</v>
      </c>
      <c r="I76">
        <f ca="1">INDEX(技能数据库!$B$2:$I$100,MATCH(无穷伤害与收益计算!$E76,技能数据库!$B$2:$B$100,0),MATCH(I$9,技能数据库!$B$2:$I$2,0))</f>
        <v>2.53125</v>
      </c>
      <c r="J76">
        <f ca="1">INDEX(技能数据库!$B$2:$I$100,MATCH(无穷伤害与收益计算!$E76,技能数据库!$B$2:$B$100,0),MATCH(J$9,技能数据库!$B$2:$I$2,0))</f>
        <v>2</v>
      </c>
      <c r="K76">
        <f ca="1">INDEX(技能数据库!$B$2:$I$100,MATCH(无穷伤害与收益计算!$E76,技能数据库!$B$2:$B$100,0),MATCH(K$9,技能数据库!$B$2:$I$2,0))</f>
        <v>0</v>
      </c>
      <c r="L76">
        <f ca="1" t="shared" si="58"/>
        <v>105847</v>
      </c>
      <c r="M76">
        <f ca="1" t="shared" si="51"/>
        <v>12694.5</v>
      </c>
      <c r="N76">
        <f ca="1" t="shared" si="52"/>
        <v>92028</v>
      </c>
      <c r="O76">
        <f ca="1" t="shared" si="59"/>
        <v>293457.21875</v>
      </c>
      <c r="P76">
        <f ca="1">IF(G76="恒定伤害",0,(IF(D76="轻剑",$AZ$2,$AZ$3)+IFERROR(INDEX(技能数据库!$T$2:$W$27,MATCH(E76,技能数据库!$T$2:$T$27,0),4),0)+COUNTIF(G76,"*造化2*")*154+COUNTIF(G76,"*造化1*")*102+COUNTIF(G76,"*碧归*")*307)/1024)</f>
        <v>0.0772587719297852</v>
      </c>
      <c r="Q76">
        <f ca="1" t="shared" si="60"/>
        <v>0.448284482196154</v>
      </c>
      <c r="R76">
        <f ca="1" t="shared" si="61"/>
        <v>0.21277697966198</v>
      </c>
      <c r="S76">
        <f ca="1" t="shared" si="53"/>
        <v>360426.321278169</v>
      </c>
      <c r="T76">
        <f t="shared" si="31"/>
        <v>0.8</v>
      </c>
      <c r="U76">
        <f ca="1" t="shared" si="62"/>
        <v>1.7995442148</v>
      </c>
      <c r="V76">
        <f ca="1" t="shared" si="54"/>
        <v>807223.538076754</v>
      </c>
      <c r="W76">
        <f ca="1">IF(G76="恒定伤害",0,MIN(1,IF(COUNTIF(F76,"*内会*")&gt;0,内会,IF(D76="轻剑",$Y$2,$Y$3)+COUNTIF(G76,"*莺鸣*")*0.2+COUNTIF(G76,"*叠1*")*0.1+COUNTIF(G76,"*叠2*")*0.2+COUNTIF(G76,"*叠3*")*0.3)+IFERROR(INDEX(技能数据库!$T$2:$W$27,MATCH(E76,技能数据库!$T$2:$T$27,0),2),0)+IF((IF(D76="轻剑",$AO$2,$AO$3)+INT(COUNTIF(G76,"*大莺鸣*")*IF(D76="轻剑",$AM$2,$AM$3)*听晓无双率)/无双系数)&gt;0.9,特效裤子会心/会心系数,0)))</f>
        <v>0.7343</v>
      </c>
      <c r="X76">
        <f ca="1">IF(G76="恒定伤害",0,IF(COUNTIF(F76,"*内会*")&gt;0,内会效,IF(D76="轻剑",$AB$2,$AB$3))+IFERROR(INDEX(技能数据库!$T$2:$W$27,MATCH(E76,技能数据库!$T$2:$T$27,0),3)/1024,0))+COUNTIF(G76,"*叠1*")*0.25+COUNTIF(G76,"*叠2*")*0.5+COUNTIF(G76,"*叠3*")*0.75</f>
        <v>2.3217485021</v>
      </c>
      <c r="Y76">
        <f ca="1" t="shared" si="55"/>
        <v>1.97055992509203</v>
      </c>
      <c r="Z76">
        <f t="shared" si="63"/>
        <v>0.150390625</v>
      </c>
      <c r="AA76">
        <f ca="1" t="shared" si="56"/>
        <v>0.0205078125</v>
      </c>
      <c r="AB76">
        <f ca="1" t="shared" si="57"/>
        <v>1867433.43876847</v>
      </c>
      <c r="AC76">
        <f ca="1">$AC$11*MIN(1,0.3+$Y$2)</f>
        <v>4</v>
      </c>
      <c r="AD76" s="164">
        <f ca="1" t="shared" ref="AD76:AD91" si="78">IFERROR(AB76*AC76/$AD$7,0)</f>
        <v>0.0026199641130046</v>
      </c>
      <c r="AE76" s="168">
        <f ca="1" t="shared" si="64"/>
        <v>0.00427830675063263</v>
      </c>
      <c r="AF76" s="168">
        <f ca="1" t="shared" si="65"/>
        <v>0.0040636246914611</v>
      </c>
      <c r="AG76">
        <f ca="1" t="shared" si="66"/>
        <v>0.00365588830903563</v>
      </c>
      <c r="AH76">
        <f ca="1" t="shared" si="67"/>
        <v>1.00291859256117</v>
      </c>
      <c r="AI76">
        <f ca="1" t="shared" si="68"/>
        <v>1.00016101226475</v>
      </c>
      <c r="AJ76">
        <f ca="1" t="shared" si="69"/>
        <v>1.00057404545102</v>
      </c>
      <c r="AK76">
        <f ca="1">$AC$11*MIN(1,0.3+$Y$2+((delta身法+INT((IF(D52="轻剑",$N$2,$N$3))/1024*delta身法))*身法转基础会心/会心系数))</f>
        <v>4</v>
      </c>
      <c r="AL76">
        <f ca="1" t="shared" si="70"/>
        <v>0.00496352538323674</v>
      </c>
      <c r="AM76">
        <f ca="1">$AC$11*MIN(1,0.3+$Y$2+delta会心/会心系数)</f>
        <v>4</v>
      </c>
      <c r="AN76" s="168">
        <f ca="1" t="shared" si="71"/>
        <v>0.00748399053993198</v>
      </c>
      <c r="AO76" s="168">
        <f ca="1" t="shared" si="72"/>
        <v>0.00447057613551372</v>
      </c>
      <c r="AP76" s="172">
        <f ca="1" t="shared" si="73"/>
        <v>0</v>
      </c>
      <c r="AQ76" s="168">
        <f ca="1" t="shared" si="74"/>
        <v>0.00401583628616287</v>
      </c>
      <c r="AR76">
        <f t="shared" si="77"/>
        <v>1</v>
      </c>
    </row>
    <row r="77" spans="4:44">
      <c r="D77" t="s">
        <v>1825</v>
      </c>
      <c r="E77" t="s">
        <v>2808</v>
      </c>
      <c r="G77" t="s">
        <v>3093</v>
      </c>
      <c r="H77">
        <f ca="1">INDEX(技能数据库!$B$2:$I$100,MATCH(无穷伤害与收益计算!$E77,技能数据库!$B$2:$B$100,0),MATCH(H$9,技能数据库!$B$2:$I$2,0))</f>
        <v>535</v>
      </c>
      <c r="I77">
        <f ca="1">INDEX(技能数据库!$B$2:$I$100,MATCH(无穷伤害与收益计算!$E77,技能数据库!$B$2:$B$100,0),MATCH(I$9,技能数据库!$B$2:$I$2,0))</f>
        <v>7.06875</v>
      </c>
      <c r="J77">
        <f ca="1">INDEX(技能数据库!$B$2:$I$100,MATCH(无穷伤害与收益计算!$E77,技能数据库!$B$2:$B$100,0),MATCH(J$9,技能数据库!$B$2:$I$2,0))</f>
        <v>2</v>
      </c>
      <c r="K77">
        <f ca="1">INDEX(技能数据库!$B$2:$I$100,MATCH(无穷伤害与收益计算!$E77,技能数据库!$B$2:$B$100,0),MATCH(K$9,技能数据库!$B$2:$I$2,0))</f>
        <v>0</v>
      </c>
      <c r="L77">
        <f ca="1" t="shared" si="58"/>
        <v>105847</v>
      </c>
      <c r="M77">
        <f ca="1" t="shared" si="51"/>
        <v>19530.5</v>
      </c>
      <c r="N77">
        <f ca="1" t="shared" si="52"/>
        <v>92028</v>
      </c>
      <c r="O77">
        <f ca="1" t="shared" si="59"/>
        <v>787801.98125</v>
      </c>
      <c r="P77">
        <f ca="1">IF(G77="恒定伤害",0,(IF(D77="轻剑",$AZ$2,$AZ$3)+IFERROR(INDEX(技能数据库!$T$2:$W$27,MATCH(E77,技能数据库!$T$2:$T$27,0),4),0)+COUNTIF(G77,"*造化2*")*154+COUNTIF(G77,"*造化1*")*102+COUNTIF(G77,"*碧归*")*307)/1024)</f>
        <v>0.697375959429785</v>
      </c>
      <c r="Q77">
        <f ca="1" t="shared" si="60"/>
        <v>0.448284482196154</v>
      </c>
      <c r="R77">
        <f ca="1" t="shared" si="61"/>
        <v>0.21277697966198</v>
      </c>
      <c r="S77">
        <f ca="1" t="shared" si="53"/>
        <v>1524567.92441526</v>
      </c>
      <c r="T77">
        <f t="shared" si="31"/>
        <v>0.8</v>
      </c>
      <c r="U77">
        <f ca="1" t="shared" si="62"/>
        <v>2.68954760480339</v>
      </c>
      <c r="V77">
        <f ca="1" t="shared" si="54"/>
        <v>4499972.74710911</v>
      </c>
      <c r="W77">
        <f ca="1">IF(G77="恒定伤害",0,MIN(1,IF(COUNTIF(F77,"*内会*")&gt;0,内会,IF(D77="轻剑",$Y$2,$Y$3)+COUNTIF(G77,"*莺鸣*")*0.2+COUNTIF(G77,"*叠1*")*0.1+COUNTIF(G77,"*叠2*")*0.2+COUNTIF(G77,"*叠3*")*0.3)+IFERROR(INDEX(技能数据库!$T$2:$W$27,MATCH(E77,技能数据库!$T$2:$T$27,0),2),0)+IF((IF(D77="轻剑",$AO$2,$AO$3)+INT(COUNTIF(G77,"*大莺鸣*")*IF(D77="轻剑",$AM$2,$AM$3)*听晓无双率)/无双系数)&gt;0.9,特效裤子会心/会心系数,0)))</f>
        <v>0.9343</v>
      </c>
      <c r="X77">
        <f ca="1">IF(G77="恒定伤害",0,IF(COUNTIF(F77,"*内会*")&gt;0,内会效,IF(D77="轻剑",$AB$2,$AB$3))+IFERROR(INDEX(技能数据库!$T$2:$W$27,MATCH(E77,技能数据库!$T$2:$T$27,0),3)/1024,0))+COUNTIF(G77,"*叠1*")*0.25+COUNTIF(G77,"*叠2*")*0.5+COUNTIF(G77,"*叠3*")*0.75</f>
        <v>2.3217485021</v>
      </c>
      <c r="Y77">
        <f ca="1" t="shared" si="55"/>
        <v>2.23490962551203</v>
      </c>
      <c r="Z77">
        <f t="shared" si="63"/>
        <v>0.150390625</v>
      </c>
      <c r="AA77">
        <f ca="1" t="shared" si="56"/>
        <v>0.0205078125</v>
      </c>
      <c r="AB77">
        <f ca="1" t="shared" si="57"/>
        <v>11806781.2570667</v>
      </c>
      <c r="AC77">
        <f ca="1">无穷技能数计算!AJ69</f>
        <v>0</v>
      </c>
      <c r="AD77" s="164">
        <f ca="1" t="shared" si="78"/>
        <v>0</v>
      </c>
      <c r="AE77" s="168">
        <f ca="1" t="shared" si="64"/>
        <v>0.00445048385691655</v>
      </c>
      <c r="AF77" s="168">
        <f ca="1" t="shared" si="65"/>
        <v>0.00151370525637403</v>
      </c>
      <c r="AG77">
        <f ca="1" t="shared" si="66"/>
        <v>0.0031975501401067</v>
      </c>
      <c r="AH77">
        <f ca="1" t="shared" si="67"/>
        <v>1.00303604903423</v>
      </c>
      <c r="AI77">
        <f ca="1" t="shared" si="68"/>
        <v>1.00016101226475</v>
      </c>
      <c r="AJ77">
        <f ca="1" t="shared" si="69"/>
        <v>0</v>
      </c>
      <c r="AK77">
        <f ca="1" t="shared" si="75"/>
        <v>0</v>
      </c>
      <c r="AL77">
        <f ca="1" t="shared" si="70"/>
        <v>0</v>
      </c>
      <c r="AM77">
        <f ca="1" t="shared" ref="AM77:AM79" si="79">AC77</f>
        <v>0</v>
      </c>
      <c r="AN77" s="168">
        <f ca="1" t="shared" si="71"/>
        <v>0.00839606381672686</v>
      </c>
      <c r="AO77" s="168">
        <f ca="1" t="shared" si="72"/>
        <v>0.00447057613551372</v>
      </c>
      <c r="AP77" s="172">
        <f ca="1" t="shared" si="73"/>
        <v>0</v>
      </c>
      <c r="AQ77" s="168">
        <f ca="1" t="shared" si="74"/>
        <v>0.00393951131463699</v>
      </c>
      <c r="AR77">
        <f t="shared" si="77"/>
        <v>1</v>
      </c>
    </row>
    <row r="78" spans="4:44">
      <c r="D78" t="s">
        <v>1825</v>
      </c>
      <c r="E78" t="s">
        <v>2808</v>
      </c>
      <c r="G78" t="s">
        <v>3057</v>
      </c>
      <c r="H78">
        <f ca="1">INDEX(技能数据库!$B$2:$I$100,MATCH(无穷伤害与收益计算!$E78,技能数据库!$B$2:$B$100,0),MATCH(H$9,技能数据库!$B$2:$I$2,0))</f>
        <v>535</v>
      </c>
      <c r="I78">
        <f ca="1">INDEX(技能数据库!$B$2:$I$100,MATCH(无穷伤害与收益计算!$E78,技能数据库!$B$2:$B$100,0),MATCH(I$9,技能数据库!$B$2:$I$2,0))</f>
        <v>7.06875</v>
      </c>
      <c r="J78">
        <f ca="1">INDEX(技能数据库!$B$2:$I$100,MATCH(无穷伤害与收益计算!$E78,技能数据库!$B$2:$B$100,0),MATCH(J$9,技能数据库!$B$2:$I$2,0))</f>
        <v>2</v>
      </c>
      <c r="K78">
        <f ca="1">INDEX(技能数据库!$B$2:$I$100,MATCH(无穷伤害与收益计算!$E78,技能数据库!$B$2:$B$100,0),MATCH(K$9,技能数据库!$B$2:$I$2,0))</f>
        <v>0</v>
      </c>
      <c r="L78">
        <f ca="1" t="shared" si="58"/>
        <v>105847</v>
      </c>
      <c r="M78">
        <f ca="1" t="shared" si="51"/>
        <v>19530.5</v>
      </c>
      <c r="N78">
        <f ca="1" t="shared" si="52"/>
        <v>92028</v>
      </c>
      <c r="O78">
        <f ca="1" t="shared" si="59"/>
        <v>787801.98125</v>
      </c>
      <c r="P78">
        <f ca="1">IF(G78="恒定伤害",0,(IF(D78="轻剑",$AZ$2,$AZ$3)+IFERROR(INDEX(技能数据库!$T$2:$W$27,MATCH(E78,技能数据库!$T$2:$T$27,0),4),0)+COUNTIF(G78,"*造化2*")*154+COUNTIF(G78,"*造化1*")*102+COUNTIF(G78,"*碧归*")*307)/1024)</f>
        <v>0.346790021929785</v>
      </c>
      <c r="Q78">
        <f ca="1" t="shared" si="60"/>
        <v>0.448284482196154</v>
      </c>
      <c r="R78">
        <f ca="1" t="shared" si="61"/>
        <v>0.21277697966198</v>
      </c>
      <c r="S78">
        <f ca="1" t="shared" si="53"/>
        <v>1209674.7670719</v>
      </c>
      <c r="T78">
        <f t="shared" si="31"/>
        <v>0.8</v>
      </c>
      <c r="U78">
        <f ca="1" t="shared" si="62"/>
        <v>1.7995442148</v>
      </c>
      <c r="V78">
        <f ca="1" t="shared" si="54"/>
        <v>2709230.39675654</v>
      </c>
      <c r="W78">
        <f ca="1">IF(G78="恒定伤害",0,MIN(1,IF(COUNTIF(F78,"*内会*")&gt;0,内会,IF(D78="轻剑",$Y$2,$Y$3)+COUNTIF(G78,"*莺鸣*")*0.2+COUNTIF(G78,"*叠1*")*0.1+COUNTIF(G78,"*叠2*")*0.2+COUNTIF(G78,"*叠3*")*0.3)+IFERROR(INDEX(技能数据库!$T$2:$W$27,MATCH(E78,技能数据库!$T$2:$T$27,0),2),0)+IF((IF(D78="轻剑",$AO$2,$AO$3)+INT(COUNTIF(G78,"*大莺鸣*")*IF(D78="轻剑",$AM$2,$AM$3)*听晓无双率)/无双系数)&gt;0.9,特效裤子会心/会心系数,0)))</f>
        <v>0.7343</v>
      </c>
      <c r="X78">
        <f ca="1">IF(G78="恒定伤害",0,IF(COUNTIF(F78,"*内会*")&gt;0,内会效,IF(D78="轻剑",$AB$2,$AB$3))+IFERROR(INDEX(技能数据库!$T$2:$W$27,MATCH(E78,技能数据库!$T$2:$T$27,0),3)/1024,0))+COUNTIF(G78,"*叠1*")*0.25+COUNTIF(G78,"*叠2*")*0.5+COUNTIF(G78,"*叠3*")*0.75</f>
        <v>2.3217485021</v>
      </c>
      <c r="Y78">
        <f ca="1" t="shared" si="55"/>
        <v>1.97055992509203</v>
      </c>
      <c r="Z78">
        <f t="shared" si="63"/>
        <v>0.150390625</v>
      </c>
      <c r="AA78">
        <f ca="1" t="shared" si="56"/>
        <v>0.0205078125</v>
      </c>
      <c r="AB78">
        <f ca="1" t="shared" si="57"/>
        <v>6267542.00984421</v>
      </c>
      <c r="AC78">
        <f ca="1">无穷技能数计算!AJ70</f>
        <v>0</v>
      </c>
      <c r="AD78" s="164">
        <f ca="1" t="shared" si="78"/>
        <v>0</v>
      </c>
      <c r="AE78" s="168">
        <f ca="1" t="shared" si="64"/>
        <v>0.00445048385691655</v>
      </c>
      <c r="AF78" s="168">
        <f ca="1" t="shared" si="65"/>
        <v>0.00151370525637403</v>
      </c>
      <c r="AG78">
        <f ca="1" t="shared" si="66"/>
        <v>0.0031975501401067</v>
      </c>
      <c r="AH78">
        <f ca="1" t="shared" si="67"/>
        <v>1.00303604903423</v>
      </c>
      <c r="AI78">
        <f ca="1" t="shared" si="68"/>
        <v>1.00016101226475</v>
      </c>
      <c r="AJ78">
        <f ca="1" t="shared" si="69"/>
        <v>0</v>
      </c>
      <c r="AK78">
        <f ca="1" t="shared" si="75"/>
        <v>0</v>
      </c>
      <c r="AL78">
        <f ca="1" t="shared" si="70"/>
        <v>0</v>
      </c>
      <c r="AM78">
        <f ca="1" t="shared" si="79"/>
        <v>0</v>
      </c>
      <c r="AN78" s="168">
        <f ca="1" t="shared" si="71"/>
        <v>0.00748399053993198</v>
      </c>
      <c r="AO78" s="168">
        <f ca="1" t="shared" si="72"/>
        <v>0.00447057613551372</v>
      </c>
      <c r="AP78" s="172">
        <f ca="1" t="shared" si="73"/>
        <v>0</v>
      </c>
      <c r="AQ78" s="168">
        <f ca="1" t="shared" si="74"/>
        <v>0.00401583628616287</v>
      </c>
      <c r="AR78">
        <f t="shared" si="77"/>
        <v>1</v>
      </c>
    </row>
    <row r="79" spans="4:44">
      <c r="D79" t="s">
        <v>1825</v>
      </c>
      <c r="E79" t="s">
        <v>2808</v>
      </c>
      <c r="G79" t="s">
        <v>3070</v>
      </c>
      <c r="H79">
        <f ca="1">INDEX(技能数据库!$B$2:$I$100,MATCH(无穷伤害与收益计算!$E79,技能数据库!$B$2:$B$100,0),MATCH(H$9,技能数据库!$B$2:$I$2,0))</f>
        <v>535</v>
      </c>
      <c r="I79">
        <f ca="1">INDEX(技能数据库!$B$2:$I$100,MATCH(无穷伤害与收益计算!$E79,技能数据库!$B$2:$B$100,0),MATCH(I$9,技能数据库!$B$2:$I$2,0))</f>
        <v>7.06875</v>
      </c>
      <c r="J79">
        <f ca="1">INDEX(技能数据库!$B$2:$I$100,MATCH(无穷伤害与收益计算!$E79,技能数据库!$B$2:$B$100,0),MATCH(J$9,技能数据库!$B$2:$I$2,0))</f>
        <v>2</v>
      </c>
      <c r="K79">
        <f ca="1">INDEX(技能数据库!$B$2:$I$100,MATCH(无穷伤害与收益计算!$E79,技能数据库!$B$2:$B$100,0),MATCH(K$9,技能数据库!$B$2:$I$2,0))</f>
        <v>0</v>
      </c>
      <c r="L79">
        <f ca="1" t="shared" si="58"/>
        <v>105847</v>
      </c>
      <c r="M79">
        <f ca="1" t="shared" si="51"/>
        <v>19530.5</v>
      </c>
      <c r="N79">
        <f ca="1" t="shared" si="52"/>
        <v>92028</v>
      </c>
      <c r="O79">
        <f ca="1" t="shared" si="59"/>
        <v>787801.98125</v>
      </c>
      <c r="P79">
        <f ca="1">IF(G79="恒定伤害",0,(IF(D79="轻剑",$AZ$2,$AZ$3)+IFERROR(INDEX(技能数据库!$T$2:$W$27,MATCH(E79,技能数据库!$T$2:$T$27,0),4),0)+COUNTIF(G79,"*造化2*")*154+COUNTIF(G79,"*造化1*")*102+COUNTIF(G79,"*碧归*")*307)/1024)</f>
        <v>0.397571271929785</v>
      </c>
      <c r="Q79">
        <f ca="1" t="shared" si="60"/>
        <v>0.448284482196154</v>
      </c>
      <c r="R79">
        <f ca="1" t="shared" si="61"/>
        <v>0.21277697966198</v>
      </c>
      <c r="S79">
        <f ca="1" t="shared" si="53"/>
        <v>1255286.03220241</v>
      </c>
      <c r="T79">
        <f t="shared" si="31"/>
        <v>0.8</v>
      </c>
      <c r="U79">
        <f ca="1" t="shared" si="62"/>
        <v>2.68954760480339</v>
      </c>
      <c r="V79">
        <f ca="1" t="shared" si="54"/>
        <v>3705150.05876446</v>
      </c>
      <c r="W79">
        <f ca="1">IF(G79="恒定伤害",0,MIN(1,IF(COUNTIF(F79,"*内会*")&gt;0,内会,IF(D79="轻剑",$Y$2,$Y$3)+COUNTIF(G79,"*莺鸣*")*0.2+COUNTIF(G79,"*叠1*")*0.1+COUNTIF(G79,"*叠2*")*0.2+COUNTIF(G79,"*叠3*")*0.3)+IFERROR(INDEX(技能数据库!$T$2:$W$27,MATCH(E79,技能数据库!$T$2:$T$27,0),2),0)+IF((IF(D79="轻剑",$AO$2,$AO$3)+INT(COUNTIF(G79,"*大莺鸣*")*IF(D79="轻剑",$AM$2,$AM$3)*听晓无双率)/无双系数)&gt;0.9,特效裤子会心/会心系数,0)))</f>
        <v>0.9343</v>
      </c>
      <c r="X79">
        <f ca="1">IF(G79="恒定伤害",0,IF(COUNTIF(F79,"*内会*")&gt;0,内会效,IF(D79="轻剑",$AB$2,$AB$3))+IFERROR(INDEX(技能数据库!$T$2:$W$27,MATCH(E79,技能数据库!$T$2:$T$27,0),3)/1024,0))+COUNTIF(G79,"*叠1*")*0.25+COUNTIF(G79,"*叠2*")*0.5+COUNTIF(G79,"*叠3*")*0.75</f>
        <v>2.3217485021</v>
      </c>
      <c r="Y79">
        <f ca="1" t="shared" si="55"/>
        <v>2.23490962551203</v>
      </c>
      <c r="Z79">
        <f t="shared" si="63"/>
        <v>0.150390625</v>
      </c>
      <c r="AA79">
        <f ca="1" t="shared" si="56"/>
        <v>0.0205078125</v>
      </c>
      <c r="AB79">
        <f ca="1" t="shared" si="57"/>
        <v>9721369.1564117</v>
      </c>
      <c r="AC79">
        <f ca="1">无穷技能数计算!AJ71</f>
        <v>0</v>
      </c>
      <c r="AD79" s="164">
        <f ca="1" t="shared" si="78"/>
        <v>0</v>
      </c>
      <c r="AE79" s="168">
        <f ca="1" t="shared" si="64"/>
        <v>0.00445048385691655</v>
      </c>
      <c r="AF79" s="168">
        <f ca="1" t="shared" si="65"/>
        <v>0.00151370525637403</v>
      </c>
      <c r="AG79">
        <f ca="1" t="shared" si="66"/>
        <v>0.0031975501401067</v>
      </c>
      <c r="AH79">
        <f ca="1" t="shared" si="67"/>
        <v>1.00303604903423</v>
      </c>
      <c r="AI79">
        <f ca="1" t="shared" si="68"/>
        <v>1.00016101226475</v>
      </c>
      <c r="AJ79">
        <f ca="1" t="shared" si="69"/>
        <v>0</v>
      </c>
      <c r="AK79">
        <f ca="1" t="shared" si="75"/>
        <v>0</v>
      </c>
      <c r="AL79">
        <f ca="1" t="shared" si="70"/>
        <v>0</v>
      </c>
      <c r="AM79">
        <f ca="1" t="shared" si="79"/>
        <v>0</v>
      </c>
      <c r="AN79" s="168">
        <f ca="1" t="shared" si="71"/>
        <v>0.00839606381672686</v>
      </c>
      <c r="AO79" s="168">
        <f ca="1" t="shared" si="72"/>
        <v>0.00447057613551372</v>
      </c>
      <c r="AP79" s="172">
        <f ca="1" t="shared" si="73"/>
        <v>0</v>
      </c>
      <c r="AQ79" s="168">
        <f ca="1" t="shared" si="74"/>
        <v>0.00393951131463699</v>
      </c>
      <c r="AR79">
        <f t="shared" si="77"/>
        <v>1</v>
      </c>
    </row>
    <row r="80" spans="4:44">
      <c r="D80" t="s">
        <v>1825</v>
      </c>
      <c r="E80" t="s">
        <v>2810</v>
      </c>
      <c r="G80" t="s">
        <v>3098</v>
      </c>
      <c r="H80">
        <f ca="1">INDEX(技能数据库!$B$2:$I$100,MATCH(无穷伤害与收益计算!$E80,技能数据库!$B$2:$B$100,0),MATCH(H$9,技能数据库!$B$2:$I$2,0))</f>
        <v>2415000</v>
      </c>
      <c r="I80">
        <f ca="1">INDEX(技能数据库!$B$2:$I$100,MATCH(无穷伤害与收益计算!$E80,技能数据库!$B$2:$B$100,0),MATCH(I$9,技能数据库!$B$2:$I$2,0))</f>
        <v>0</v>
      </c>
      <c r="J80">
        <f ca="1">INDEX(技能数据库!$B$2:$I$100,MATCH(无穷伤害与收益计算!$E80,技能数据库!$B$2:$B$100,0),MATCH(J$9,技能数据库!$B$2:$I$2,0))</f>
        <v>0</v>
      </c>
      <c r="K80">
        <f ca="1">INDEX(技能数据库!$B$2:$I$100,MATCH(无穷伤害与收益计算!$E80,技能数据库!$B$2:$B$100,0),MATCH(K$9,技能数据库!$B$2:$I$2,0))</f>
        <v>0</v>
      </c>
      <c r="L80">
        <f ca="1" t="shared" si="58"/>
        <v>91975</v>
      </c>
      <c r="M80">
        <f ca="1" t="shared" si="51"/>
        <v>19530.5</v>
      </c>
      <c r="N80">
        <f ca="1" t="shared" si="52"/>
        <v>92028</v>
      </c>
      <c r="O80">
        <f ca="1" t="shared" si="59"/>
        <v>2415000</v>
      </c>
      <c r="P80">
        <f ca="1">IF(G80="恒定伤害",0,(IF(D80="轻剑",$AZ$2,$AZ$3)+IFERROR(INDEX(技能数据库!$T$2:$W$27,MATCH(E80,技能数据库!$T$2:$T$27,0),4),0)+COUNTIF(G80,"*造化2*")*154+COUNTIF(G80,"*造化1*")*102+COUNTIF(G80,"*碧归*")*307)/1024)</f>
        <v>0</v>
      </c>
      <c r="Q80">
        <f ca="1" t="shared" si="60"/>
        <v>0</v>
      </c>
      <c r="R80">
        <f ca="1" t="shared" si="61"/>
        <v>0</v>
      </c>
      <c r="S80">
        <f ca="1" t="shared" si="53"/>
        <v>2415000</v>
      </c>
      <c r="T80">
        <f>1-($F$6-130)*0.05</f>
        <v>0.8</v>
      </c>
      <c r="U80">
        <f ca="1" t="shared" si="62"/>
        <v>0</v>
      </c>
      <c r="V80">
        <f ca="1" t="shared" si="54"/>
        <v>1932000</v>
      </c>
      <c r="W80">
        <f ca="1">IF(G80="恒定伤害",0,MIN(1,IF(COUNTIF(F80,"*内会*")&gt;0,内会,IF(D80="轻剑",$Y$2,$Y$3)+COUNTIF(G80,"*莺鸣*")*0.2+COUNTIF(G80,"*叠1*")*0.1+COUNTIF(G80,"*叠2*")*0.2+COUNTIF(G80,"*叠3*")*0.3)+IFERROR(INDEX(技能数据库!$T$2:$W$27,MATCH(E80,技能数据库!$T$2:$T$27,0),2),0)+IF((IF(D80="轻剑",$AO$2,$AO$3)+INT(COUNTIF(G80,"*大莺鸣*")*IF(D80="轻剑",$AM$2,$AM$3)*听晓无双率)/无双系数)&gt;0.9,特效裤子会心/会心系数,0)))</f>
        <v>0</v>
      </c>
      <c r="X80">
        <f ca="1">IF(G80="恒定伤害",0,IF(COUNTIF(F80,"*内会*")&gt;0,内会效,IF(D80="轻剑",$AB$2,$AB$3))+IFERROR(INDEX(技能数据库!$T$2:$W$27,MATCH(E80,技能数据库!$T$2:$T$27,0),3)/1024,0))+COUNTIF(G80,"*叠1*")*0.25+COUNTIF(G80,"*叠2*")*0.5+COUNTIF(G80,"*叠3*")*0.75</f>
        <v>0</v>
      </c>
      <c r="Y80">
        <f ca="1" t="shared" si="55"/>
        <v>1</v>
      </c>
      <c r="Z80">
        <f t="shared" si="63"/>
        <v>0</v>
      </c>
      <c r="AA80">
        <f ca="1" t="shared" si="56"/>
        <v>0.0205078125</v>
      </c>
      <c r="AB80">
        <f ca="1" t="shared" si="57"/>
        <v>1971621.09375</v>
      </c>
      <c r="AC80" s="171">
        <f ca="1">无穷技能数计算!AJ72</f>
        <v>12.5685625965997</v>
      </c>
      <c r="AD80" s="164">
        <f ca="1" t="shared" si="78"/>
        <v>0.00869159113873543</v>
      </c>
      <c r="AE80" s="168">
        <f ca="1" t="shared" si="64"/>
        <v>0</v>
      </c>
      <c r="AF80" s="168">
        <f ca="1" t="shared" si="65"/>
        <v>0</v>
      </c>
      <c r="AG80">
        <f ca="1" t="shared" si="66"/>
        <v>0</v>
      </c>
      <c r="AH80">
        <f ca="1" t="shared" si="67"/>
        <v>1</v>
      </c>
      <c r="AI80">
        <f ca="1" t="shared" si="68"/>
        <v>1.00023319156448</v>
      </c>
      <c r="AJ80">
        <f ca="1" t="shared" si="69"/>
        <v>0</v>
      </c>
      <c r="AK80" s="171">
        <f ca="1">$AC$10*MIN($W$10+((delta身法+INT((IF(D63="轻剑",$N$2,$N$3))/1024*delta身法))*身法转基础会心/会心系数),1)</f>
        <v>0</v>
      </c>
      <c r="AL80">
        <f ca="1" t="shared" si="70"/>
        <v>0</v>
      </c>
      <c r="AM80" s="171">
        <f ca="1">$AC$10*MIN($W$10+delta会心/会心系数,1)</f>
        <v>0</v>
      </c>
      <c r="AN80" s="168">
        <f ca="1" t="shared" si="71"/>
        <v>0</v>
      </c>
      <c r="AO80" s="168">
        <f ca="1" t="shared" si="72"/>
        <v>0</v>
      </c>
      <c r="AP80" s="172">
        <f ca="1" t="shared" si="73"/>
        <v>0</v>
      </c>
      <c r="AQ80" s="168">
        <f ca="1" t="shared" si="74"/>
        <v>0</v>
      </c>
      <c r="AR80">
        <f t="shared" si="77"/>
        <v>1</v>
      </c>
    </row>
    <row r="81" spans="4:55">
      <c r="D81" t="s">
        <v>1825</v>
      </c>
      <c r="E81" t="s">
        <v>2815</v>
      </c>
      <c r="G81" t="s">
        <v>3098</v>
      </c>
      <c r="H81">
        <f ca="1">INDEX(技能数据库!$B$2:$I$100,MATCH(无穷伤害与收益计算!$E81,技能数据库!$B$2:$B$100,0),MATCH(H$9,技能数据库!$B$2:$I$2,0))</f>
        <v>1610000</v>
      </c>
      <c r="I81">
        <f ca="1">INDEX(技能数据库!$B$2:$I$100,MATCH(无穷伤害与收益计算!$E81,技能数据库!$B$2:$B$100,0),MATCH(I$9,技能数据库!$B$2:$I$2,0))</f>
        <v>0</v>
      </c>
      <c r="J81">
        <f ca="1">INDEX(技能数据库!$B$2:$I$100,MATCH(无穷伤害与收益计算!$E81,技能数据库!$B$2:$B$100,0),MATCH(J$9,技能数据库!$B$2:$I$2,0))</f>
        <v>0</v>
      </c>
      <c r="K81">
        <f ca="1">INDEX(技能数据库!$B$2:$I$100,MATCH(无穷伤害与收益计算!$E81,技能数据库!$B$2:$B$100,0),MATCH(K$9,技能数据库!$B$2:$I$2,0))</f>
        <v>0</v>
      </c>
      <c r="L81">
        <f ca="1" t="shared" si="58"/>
        <v>91975</v>
      </c>
      <c r="M81">
        <f ca="1" t="shared" si="51"/>
        <v>19530.5</v>
      </c>
      <c r="N81">
        <f ca="1" t="shared" si="52"/>
        <v>92028</v>
      </c>
      <c r="O81">
        <f ca="1" t="shared" si="59"/>
        <v>1610000</v>
      </c>
      <c r="P81">
        <f ca="1">IF(G81="恒定伤害",0,(IF(D81="轻剑",$AZ$2,$AZ$3)+IFERROR(INDEX(技能数据库!$T$2:$W$27,MATCH(E81,技能数据库!$T$2:$T$27,0),4),0)+COUNTIF(G81,"*造化2*")*154+COUNTIF(G81,"*造化1*")*102+COUNTIF(G81,"*碧归*")*307)/1024)</f>
        <v>0</v>
      </c>
      <c r="Q81">
        <f ca="1" t="shared" si="60"/>
        <v>0</v>
      </c>
      <c r="R81">
        <f ca="1" t="shared" si="61"/>
        <v>0</v>
      </c>
      <c r="S81">
        <f ca="1" t="shared" si="53"/>
        <v>1610000</v>
      </c>
      <c r="T81">
        <f>1-($F$6-130)*0.05</f>
        <v>0.8</v>
      </c>
      <c r="U81">
        <f ca="1" t="shared" si="62"/>
        <v>0</v>
      </c>
      <c r="V81">
        <f ca="1" t="shared" si="54"/>
        <v>1288000</v>
      </c>
      <c r="W81">
        <f ca="1">IF(G81="恒定伤害",0,MIN(1,IF(COUNTIF(F81,"*内会*")&gt;0,内会,IF(D81="轻剑",$Y$2,$Y$3)+COUNTIF(G81,"*莺鸣*")*0.2+COUNTIF(G81,"*叠1*")*0.1+COUNTIF(G81,"*叠2*")*0.2+COUNTIF(G81,"*叠3*")*0.3)+IFERROR(INDEX(技能数据库!$T$2:$W$27,MATCH(E81,技能数据库!$T$2:$T$27,0),2),0)+IF((IF(D81="轻剑",$AO$2,$AO$3)+INT(COUNTIF(G81,"*大莺鸣*")*IF(D81="轻剑",$AM$2,$AM$3)*听晓无双率)/无双系数)&gt;0.9,特效裤子会心/会心系数,0)))</f>
        <v>0</v>
      </c>
      <c r="X81">
        <f ca="1">IF(G81="恒定伤害",0,IF(COUNTIF(F81,"*内会*")&gt;0,内会效,IF(D81="轻剑",$AB$2,$AB$3))+IFERROR(INDEX(技能数据库!$T$2:$W$27,MATCH(E81,技能数据库!$T$2:$T$27,0),3)/1024,0))+COUNTIF(G81,"*叠1*")*0.25+COUNTIF(G81,"*叠2*")*0.5+COUNTIF(G81,"*叠3*")*0.75</f>
        <v>0</v>
      </c>
      <c r="Y81">
        <f ca="1" t="shared" si="55"/>
        <v>1</v>
      </c>
      <c r="Z81">
        <f t="shared" si="63"/>
        <v>0</v>
      </c>
      <c r="AA81">
        <f ca="1" t="shared" si="56"/>
        <v>0.0205078125</v>
      </c>
      <c r="AB81">
        <f ca="1" t="shared" si="57"/>
        <v>1314414.0625</v>
      </c>
      <c r="AC81" s="171">
        <f ca="1">无穷技能数计算!AS1/(1/(407/240*(Y3+0.13+0.2*23/51))+10)</f>
        <v>18.8174706368939</v>
      </c>
      <c r="AD81" s="164">
        <f ca="1" t="shared" si="78"/>
        <v>0.00867528325979983</v>
      </c>
      <c r="AE81" s="168">
        <f ca="1" t="shared" si="64"/>
        <v>0</v>
      </c>
      <c r="AF81" s="168">
        <f ca="1" t="shared" si="65"/>
        <v>0</v>
      </c>
      <c r="AG81">
        <f ca="1" t="shared" si="66"/>
        <v>0</v>
      </c>
      <c r="AH81">
        <f ca="1" t="shared" si="67"/>
        <v>1</v>
      </c>
      <c r="AI81">
        <f ca="1" t="shared" si="68"/>
        <v>1.00023319156448</v>
      </c>
      <c r="AJ81">
        <f ca="1">IFERROR((AK81)/(AC81)-1,0)</f>
        <v>5.21260490988773e-5</v>
      </c>
      <c r="AK81" s="171">
        <f ca="1">无穷技能数计算!AS1/(1/(407/240*(Y3+((delta身法+INT((IF(D64="轻剑",$N$2,$N$3))/1024*delta身法))*身法转基础会心/会心系数)+0.13+0.2*23/51))+10)</f>
        <v>18.8184515172922</v>
      </c>
      <c r="AL81">
        <f ca="1">IFERROR((AM81)/(AC81)-1,0)</f>
        <v>0.000447822394700426</v>
      </c>
      <c r="AM81" s="171">
        <f ca="1">无穷技能数计算!AS1/(1/(407/240*(Y3+delta会心/会心系数+0.13+0.2*23/51))+10)</f>
        <v>18.8258975216567</v>
      </c>
      <c r="AN81" s="168">
        <f ca="1" t="shared" si="71"/>
        <v>0</v>
      </c>
      <c r="AO81" s="168">
        <f ca="1" t="shared" si="72"/>
        <v>0</v>
      </c>
      <c r="AP81" s="172">
        <f ca="1" t="shared" si="73"/>
        <v>0</v>
      </c>
      <c r="AQ81" s="168">
        <f ca="1" t="shared" si="74"/>
        <v>0</v>
      </c>
      <c r="AR81">
        <f t="shared" si="77"/>
        <v>1</v>
      </c>
    </row>
    <row r="82" spans="4:55">
      <c r="D82" t="s">
        <v>1825</v>
      </c>
      <c r="E82" t="s">
        <v>2832</v>
      </c>
      <c r="G82" t="s">
        <v>3098</v>
      </c>
      <c r="H82">
        <f ca="1">INDEX(技能数据库!$B$2:$I$100,MATCH(无穷伤害与收益计算!$E82,技能数据库!$B$2:$B$100,0),MATCH(H$9,技能数据库!$B$2:$I$2,0))</f>
        <v>468495.625</v>
      </c>
      <c r="I82">
        <f ca="1">INDEX(技能数据库!$B$2:$I$100,MATCH(无穷伤害与收益计算!$E82,技能数据库!$B$2:$B$100,0),MATCH(I$9,技能数据库!$B$2:$I$2,0))</f>
        <v>0</v>
      </c>
      <c r="J82">
        <f ca="1">INDEX(技能数据库!$B$2:$I$100,MATCH(无穷伤害与收益计算!$E82,技能数据库!$B$2:$B$100,0),MATCH(J$9,技能数据库!$B$2:$I$2,0))</f>
        <v>0</v>
      </c>
      <c r="K82">
        <f ca="1">INDEX(技能数据库!$B$2:$I$100,MATCH(无穷伤害与收益计算!$E82,技能数据库!$B$2:$B$100,0),MATCH(K$9,技能数据库!$B$2:$I$2,0))</f>
        <v>0</v>
      </c>
      <c r="L82">
        <f ca="1" t="shared" si="58"/>
        <v>91975</v>
      </c>
      <c r="M82">
        <f ca="1" t="shared" si="51"/>
        <v>19530.5</v>
      </c>
      <c r="N82">
        <f ca="1" t="shared" si="52"/>
        <v>92028</v>
      </c>
      <c r="O82">
        <f ca="1" t="shared" si="59"/>
        <v>468495.625</v>
      </c>
      <c r="P82">
        <f ca="1">IF(G82="恒定伤害",0,(IF(D82="轻剑",$AZ$2,$AZ$3)+IFERROR(INDEX(技能数据库!$T$2:$W$27,MATCH(E82,技能数据库!$T$2:$T$27,0),4),0)+COUNTIF(G82,"*造化2*")*154+COUNTIF(G82,"*造化1*")*102+COUNTIF(G82,"*碧归*")*307)/1024)</f>
        <v>0</v>
      </c>
      <c r="Q82">
        <f ca="1" t="shared" si="60"/>
        <v>0</v>
      </c>
      <c r="R82">
        <f ca="1" t="shared" si="61"/>
        <v>0</v>
      </c>
      <c r="S82">
        <f ca="1" t="shared" si="53"/>
        <v>468495.625</v>
      </c>
      <c r="T82">
        <f>1-($F$6-130)*0.05</f>
        <v>0.8</v>
      </c>
      <c r="U82">
        <f ca="1" t="shared" si="62"/>
        <v>0</v>
      </c>
      <c r="V82">
        <f ca="1" t="shared" si="54"/>
        <v>374796.5</v>
      </c>
      <c r="W82">
        <f ca="1">IF(G82="恒定伤害",0,MIN(1,IF(COUNTIF(F82,"*内会*")&gt;0,内会,IF(D82="轻剑",$Y$2,$Y$3)+COUNTIF(G82,"*莺鸣*")*0.2+COUNTIF(G82,"*叠1*")*0.1+COUNTIF(G82,"*叠2*")*0.2+COUNTIF(G82,"*叠3*")*0.3)+IFERROR(INDEX(技能数据库!$T$2:$W$27,MATCH(E82,技能数据库!$T$2:$T$27,0),2),0)+IF((IF(D82="轻剑",$AO$2,$AO$3)+INT(COUNTIF(G82,"*大莺鸣*")*IF(D82="轻剑",$AM$2,$AM$3)*听晓无双率)/无双系数)&gt;0.9,特效裤子会心/会心系数,0)))</f>
        <v>0</v>
      </c>
      <c r="X82">
        <f ca="1">IF(G82="恒定伤害",0,IF(COUNTIF(F82,"*内会*")&gt;0,内会效,IF(D82="轻剑",$AB$2,$AB$3))+IFERROR(INDEX(技能数据库!$T$2:$W$27,MATCH(E82,技能数据库!$T$2:$T$27,0),3)/1024,0))+COUNTIF(G82,"*叠1*")*0.25+COUNTIF(G82,"*叠2*")*0.5+COUNTIF(G82,"*叠3*")*0.75</f>
        <v>0</v>
      </c>
      <c r="Y82">
        <f ca="1" t="shared" si="55"/>
        <v>1</v>
      </c>
      <c r="Z82">
        <f t="shared" si="63"/>
        <v>0</v>
      </c>
      <c r="AA82">
        <f ca="1" t="shared" si="56"/>
        <v>0.0205078125</v>
      </c>
      <c r="AB82">
        <f ca="1" t="shared" si="57"/>
        <v>382482.756347656</v>
      </c>
      <c r="AC82" s="171">
        <f ca="1">无穷技能数计算!AJ74</f>
        <v>46.5553398058252</v>
      </c>
      <c r="AD82" s="164">
        <f ca="1" t="shared" si="78"/>
        <v>0.00624556282671946</v>
      </c>
      <c r="AE82" s="168">
        <f ca="1" t="shared" si="64"/>
        <v>0</v>
      </c>
      <c r="AF82" s="168">
        <f ca="1" t="shared" si="65"/>
        <v>0</v>
      </c>
      <c r="AG82">
        <f ca="1" t="shared" si="66"/>
        <v>0</v>
      </c>
      <c r="AH82">
        <f ca="1" t="shared" si="67"/>
        <v>1</v>
      </c>
      <c r="AI82">
        <f ca="1" t="shared" si="68"/>
        <v>1.00023319156448</v>
      </c>
      <c r="AJ82">
        <f ca="1" t="shared" ref="AJ82:AJ94" si="80">IFERROR(((1+MIN(1,((delta身法+INT((IF(D82="轻剑",$N$2,$N$3))/1024*delta身法))*身法转基础会心/会心系数)+W82)*(X82-1))*AK82)/(Y82*AC82),0)</f>
        <v>0</v>
      </c>
      <c r="AK82" s="171">
        <f ca="1">$AC$10*MIN($W$10+((delta身法+INT((IF(D65="轻剑",$N$2,$N$3))/1024*delta身法))*身法转基础会心/会心系数),1)</f>
        <v>0</v>
      </c>
      <c r="AL82">
        <f ca="1" t="shared" ref="AL82:AL94" si="81">IF(G82="恒定伤害",0,IFERROR(((1+MIN(1,W82+delta会心/会心系数)*(X82-1))*AM82)/(Y82*AC82)-1,0))</f>
        <v>0</v>
      </c>
      <c r="AM82" s="171">
        <f ca="1">$AC$10*MIN($W$10+delta会心/会心系数,1)</f>
        <v>0</v>
      </c>
      <c r="AN82" s="168">
        <f ca="1" t="shared" si="71"/>
        <v>0</v>
      </c>
      <c r="AO82" s="168">
        <f ca="1" t="shared" si="72"/>
        <v>0</v>
      </c>
      <c r="AP82" s="172">
        <f ca="1" t="shared" si="73"/>
        <v>0</v>
      </c>
      <c r="AQ82" s="168">
        <f ca="1" t="shared" si="74"/>
        <v>0</v>
      </c>
      <c r="AR82">
        <f t="shared" si="77"/>
        <v>1</v>
      </c>
    </row>
    <row r="83" spans="4:55">
      <c r="D83" t="s">
        <v>1825</v>
      </c>
      <c r="E83" t="s">
        <v>2902</v>
      </c>
      <c r="G83" t="s">
        <v>2750</v>
      </c>
      <c r="H83">
        <f ca="1">INDEX(技能数据库!$B$2:$I$100,MATCH(无穷伤害与收益计算!$E83,技能数据库!$B$2:$B$100,0),MATCH(H$9,技能数据库!$B$2:$I$2,0))</f>
        <v>317.5</v>
      </c>
      <c r="I83">
        <f ca="1">INDEX(技能数据库!$B$2:$I$100,MATCH(无穷伤害与收益计算!$E83,技能数据库!$B$2:$B$100,0),MATCH(I$9,技能数据库!$B$2:$I$2,0))</f>
        <v>2.25</v>
      </c>
      <c r="J83">
        <f ca="1">INDEX(技能数据库!$B$2:$I$100,MATCH(无穷伤害与收益计算!$E83,技能数据库!$B$2:$B$100,0),MATCH(J$9,技能数据库!$B$2:$I$2,0))</f>
        <v>1</v>
      </c>
      <c r="K83">
        <f ca="1">INDEX(技能数据库!$B$2:$I$100,MATCH(无穷伤害与收益计算!$E83,技能数据库!$B$2:$B$100,0),MATCH(K$9,技能数据库!$B$2:$I$2,0))</f>
        <v>0</v>
      </c>
      <c r="L83">
        <f ca="1" t="shared" si="58"/>
        <v>105847</v>
      </c>
      <c r="M83">
        <f ca="1" t="shared" ref="M83:M91" si="82">IF(D83="轻剑",$AU$2+$AV$2,$AU$3+$AV$3)/2</f>
        <v>19530.5</v>
      </c>
      <c r="N83">
        <f ca="1" t="shared" ref="N83:N91" si="83">IF(D83="轻剑",$AJ$2,$AJ$3)</f>
        <v>92028</v>
      </c>
      <c r="O83">
        <f ca="1" t="shared" si="59"/>
        <v>258003.75</v>
      </c>
      <c r="P83">
        <f ca="1">IF(G83="恒定伤害",0,(IF(D83="轻剑",$AZ$2,$AZ$3)+IFERROR(INDEX(技能数据库!$T$2:$W$27,MATCH(E83,技能数据库!$T$2:$T$27,0),4),0)+COUNTIF(G83,"*造化2*")*154+COUNTIF(G83,"*造化1*")*102+COUNTIF(G83,"*碧归*")*307)/1024)</f>
        <v>0.176868146929785</v>
      </c>
      <c r="Q83">
        <f ca="1" t="shared" si="60"/>
        <v>0.448284482196154</v>
      </c>
      <c r="R83">
        <f ca="1" t="shared" si="61"/>
        <v>0.21277697966198</v>
      </c>
      <c r="S83">
        <f ca="1" t="shared" ref="S83:S91" si="84">O83*(1+P83)*(1+Q83)*(1-R83)</f>
        <v>346182.802657435</v>
      </c>
      <c r="T83">
        <f t="shared" ref="T83:T91" si="85">1-($F$6-130)*0.05</f>
        <v>0.8</v>
      </c>
      <c r="U83">
        <f ca="1" t="shared" si="62"/>
        <v>1.7995442148</v>
      </c>
      <c r="V83">
        <f ca="1" t="shared" ref="V83:V91" si="86">S83*T83*(1+U83)</f>
        <v>775323.249954299</v>
      </c>
      <c r="W83">
        <f ca="1">IF(G83="恒定伤害",0,MIN(1,IF(COUNTIF(F83,"*内会*")&gt;0,内会,IF(D83="轻剑",$Y$2,$Y$3)+COUNTIF(G83,"*莺鸣*")*0.2+COUNTIF(G83,"*叠1*")*0.1+COUNTIF(G83,"*叠2*")*0.2+COUNTIF(G83,"*叠3*")*0.3)+IFERROR(INDEX(技能数据库!$T$2:$W$27,MATCH(E83,技能数据库!$T$2:$T$27,0),2),0)+IF((IF(D83="轻剑",$AO$2,$AO$3)+INT(COUNTIF(G83,"*大莺鸣*")*IF(D83="轻剑",$AM$2,$AM$3)*听晓无双率)/无双系数)&gt;0.9,特效裤子会心/会心系数,0)))</f>
        <v>0.7343</v>
      </c>
      <c r="X83">
        <f ca="1">IF(G83="恒定伤害",0,IF(COUNTIF(F83,"*内会*")&gt;0,内会效,IF(D83="轻剑",$AB$2,$AB$3))+IFERROR(INDEX(技能数据库!$T$2:$W$27,MATCH(E83,技能数据库!$T$2:$T$27,0),3)/1024,0))+COUNTIF(G83,"*叠1*")*0.25+COUNTIF(G83,"*叠2*")*0.5+COUNTIF(G83,"*叠3*")*0.75</f>
        <v>2.3217485021</v>
      </c>
      <c r="Y83">
        <f ca="1" t="shared" ref="Y83:Y91" si="87">1+W83*(X83-1)</f>
        <v>1.97055992509203</v>
      </c>
      <c r="Z83">
        <f t="shared" si="63"/>
        <v>0.150390625</v>
      </c>
      <c r="AA83">
        <f ca="1" t="shared" ref="AA83:AA91" si="88">IF(D83="轻剑",$BA$2,$BA$3)/1024</f>
        <v>0.0205078125</v>
      </c>
      <c r="AB83">
        <f ca="1" t="shared" ref="AB83:AB91" si="89">V83*Y83*(1+Z83)*(1+AA83)</f>
        <v>1793635.21320117</v>
      </c>
      <c r="AC83">
        <f ca="1">无穷技能数计算!AJ75</f>
        <v>0</v>
      </c>
      <c r="AD83" s="164">
        <f ca="1" t="shared" si="78"/>
        <v>0</v>
      </c>
      <c r="AE83" s="168">
        <f ca="1" t="shared" si="64"/>
        <v>0.00432551852444005</v>
      </c>
      <c r="AF83" s="168">
        <f ca="1" t="shared" si="65"/>
        <v>0.00231101292132382</v>
      </c>
      <c r="AG83">
        <f ca="1" t="shared" ref="AG83:AG90" si="90">IF(G83="恒定伤害",0,MAX(0,AH83*AI83*IF(AJ83=0,1,AJ83)-1))</f>
        <v>0.00311228705919864</v>
      </c>
      <c r="AH83">
        <f ca="1" t="shared" si="67"/>
        <v>1.00295079967951</v>
      </c>
      <c r="AI83">
        <f ca="1" t="shared" si="68"/>
        <v>1.00016101226475</v>
      </c>
      <c r="AJ83">
        <f ca="1" t="shared" si="80"/>
        <v>0</v>
      </c>
      <c r="AK83">
        <f ca="1" t="shared" ref="AK83:AK89" si="91">AC83</f>
        <v>0</v>
      </c>
      <c r="AL83">
        <f ca="1" t="shared" si="81"/>
        <v>0</v>
      </c>
      <c r="AM83">
        <f ca="1" t="shared" ref="AM83:AM89" si="92">AC83</f>
        <v>0</v>
      </c>
      <c r="AN83" s="168">
        <f ca="1" t="shared" si="71"/>
        <v>0.00748399053993198</v>
      </c>
      <c r="AO83" s="168">
        <f ca="1" t="shared" si="72"/>
        <v>0.00447057613551372</v>
      </c>
      <c r="AP83" s="172">
        <f ca="1" t="shared" si="73"/>
        <v>0</v>
      </c>
      <c r="AQ83" s="168">
        <f ca="1" t="shared" si="74"/>
        <v>0.00401583628616287</v>
      </c>
      <c r="AR83">
        <f t="shared" si="77"/>
        <v>1</v>
      </c>
    </row>
    <row r="84" spans="4:55">
      <c r="D84" t="s">
        <v>1825</v>
      </c>
      <c r="E84" t="s">
        <v>2902</v>
      </c>
      <c r="G84" t="s">
        <v>3044</v>
      </c>
      <c r="H84">
        <f ca="1">INDEX(技能数据库!$B$2:$I$100,MATCH(无穷伤害与收益计算!$E84,技能数据库!$B$2:$B$100,0),MATCH(H$9,技能数据库!$B$2:$I$2,0))</f>
        <v>317.5</v>
      </c>
      <c r="I84">
        <f ca="1">INDEX(技能数据库!$B$2:$I$100,MATCH(无穷伤害与收益计算!$E84,技能数据库!$B$2:$B$100,0),MATCH(I$9,技能数据库!$B$2:$I$2,0))</f>
        <v>2.25</v>
      </c>
      <c r="J84">
        <f ca="1">INDEX(技能数据库!$B$2:$I$100,MATCH(无穷伤害与收益计算!$E84,技能数据库!$B$2:$B$100,0),MATCH(J$9,技能数据库!$B$2:$I$2,0))</f>
        <v>1</v>
      </c>
      <c r="K84">
        <f ca="1">INDEX(技能数据库!$B$2:$I$100,MATCH(无穷伤害与收益计算!$E84,技能数据库!$B$2:$B$100,0),MATCH(K$9,技能数据库!$B$2:$I$2,0))</f>
        <v>0</v>
      </c>
      <c r="L84">
        <f ca="1" t="shared" si="58"/>
        <v>105847</v>
      </c>
      <c r="M84">
        <f ca="1" t="shared" si="82"/>
        <v>19530.5</v>
      </c>
      <c r="N84">
        <f ca="1" t="shared" si="83"/>
        <v>92028</v>
      </c>
      <c r="O84">
        <f ca="1" t="shared" si="59"/>
        <v>258003.75</v>
      </c>
      <c r="P84">
        <f ca="1">IF(G84="恒定伤害",0,(IF(D84="轻剑",$AZ$2,$AZ$3)+IFERROR(INDEX(技能数据库!$T$2:$W$27,MATCH(E84,技能数据库!$T$2:$T$27,0),4),0)+COUNTIF(G84,"*造化2*")*154+COUNTIF(G84,"*造化1*")*102+COUNTIF(G84,"*碧归*")*307)/1024)</f>
        <v>0.176868146929785</v>
      </c>
      <c r="Q84">
        <f ca="1" t="shared" si="60"/>
        <v>0.448284482196154</v>
      </c>
      <c r="R84">
        <f ca="1" t="shared" si="61"/>
        <v>0.21277697966198</v>
      </c>
      <c r="S84">
        <f ca="1" t="shared" si="84"/>
        <v>346182.802657435</v>
      </c>
      <c r="T84">
        <f t="shared" si="85"/>
        <v>0.8</v>
      </c>
      <c r="U84">
        <f ca="1" t="shared" si="62"/>
        <v>2.68954760480339</v>
      </c>
      <c r="V84">
        <f ca="1" t="shared" si="86"/>
        <v>1021806.34429509</v>
      </c>
      <c r="W84">
        <f ca="1">IF(G84="恒定伤害",0,MIN(1,IF(COUNTIF(F84,"*内会*")&gt;0,内会,IF(D84="轻剑",$Y$2,$Y$3)+COUNTIF(G84,"*莺鸣*")*0.2+COUNTIF(G84,"*叠1*")*0.1+COUNTIF(G84,"*叠2*")*0.2+COUNTIF(G84,"*叠3*")*0.3)+IFERROR(INDEX(技能数据库!$T$2:$W$27,MATCH(E84,技能数据库!$T$2:$T$27,0),2),0)+IF((IF(D84="轻剑",$AO$2,$AO$3)+INT(COUNTIF(G84,"*大莺鸣*")*IF(D84="轻剑",$AM$2,$AM$3)*听晓无双率)/无双系数)&gt;0.9,特效裤子会心/会心系数,0)))</f>
        <v>0.9343</v>
      </c>
      <c r="X84">
        <f ca="1">IF(G84="恒定伤害",0,IF(COUNTIF(F84,"*内会*")&gt;0,内会效,IF(D84="轻剑",$AB$2,$AB$3))+IFERROR(INDEX(技能数据库!$T$2:$W$27,MATCH(E84,技能数据库!$T$2:$T$27,0),3)/1024,0))+COUNTIF(G84,"*叠1*")*0.25+COUNTIF(G84,"*叠2*")*0.5+COUNTIF(G84,"*叠3*")*0.75</f>
        <v>2.3217485021</v>
      </c>
      <c r="Y84">
        <f ca="1" t="shared" si="87"/>
        <v>2.23490962551203</v>
      </c>
      <c r="Z84">
        <f t="shared" si="63"/>
        <v>0.150390625</v>
      </c>
      <c r="AA84">
        <f ca="1" t="shared" si="88"/>
        <v>0.0205078125</v>
      </c>
      <c r="AB84">
        <f ca="1" t="shared" si="89"/>
        <v>2680959.34623726</v>
      </c>
      <c r="AC84">
        <f ca="1">无穷技能数计算!AJ76</f>
        <v>0</v>
      </c>
      <c r="AD84" s="164">
        <f ca="1" t="shared" si="78"/>
        <v>0</v>
      </c>
      <c r="AE84" s="168">
        <f ca="1" t="shared" si="64"/>
        <v>0.00432551852444005</v>
      </c>
      <c r="AF84" s="168">
        <f ca="1" t="shared" si="65"/>
        <v>0.00231101292132382</v>
      </c>
      <c r="AG84">
        <f ca="1" t="shared" si="90"/>
        <v>0.00311228705919864</v>
      </c>
      <c r="AH84">
        <f ca="1" t="shared" si="67"/>
        <v>1.00295079967951</v>
      </c>
      <c r="AI84">
        <f ca="1" t="shared" si="68"/>
        <v>1.00016101226475</v>
      </c>
      <c r="AJ84">
        <f ca="1" t="shared" si="80"/>
        <v>0</v>
      </c>
      <c r="AK84">
        <f ca="1" t="shared" si="91"/>
        <v>0</v>
      </c>
      <c r="AL84">
        <f ca="1" t="shared" si="81"/>
        <v>0</v>
      </c>
      <c r="AM84">
        <f ca="1" t="shared" si="92"/>
        <v>0</v>
      </c>
      <c r="AN84" s="168">
        <f ca="1" t="shared" si="71"/>
        <v>0.00839606381672686</v>
      </c>
      <c r="AO84" s="168">
        <f ca="1" t="shared" si="72"/>
        <v>0.00447057613551372</v>
      </c>
      <c r="AP84" s="172">
        <f ca="1" t="shared" si="73"/>
        <v>0</v>
      </c>
      <c r="AQ84" s="168">
        <f ca="1" t="shared" si="74"/>
        <v>0.00393951131463699</v>
      </c>
      <c r="AR84">
        <f t="shared" si="77"/>
        <v>1</v>
      </c>
    </row>
    <row r="85" spans="4:55">
      <c r="D85" t="s">
        <v>1825</v>
      </c>
      <c r="E85" t="s">
        <v>2906</v>
      </c>
      <c r="G85" t="s">
        <v>2750</v>
      </c>
      <c r="H85">
        <f ca="1">INDEX(技能数据库!$B$2:$I$100,MATCH(无穷伤害与收益计算!$E85,技能数据库!$B$2:$B$100,0),MATCH(H$9,技能数据库!$B$2:$I$2,0))</f>
        <v>317.5</v>
      </c>
      <c r="I85">
        <f ca="1">INDEX(技能数据库!$B$2:$I$100,MATCH(无穷伤害与收益计算!$E85,技能数据库!$B$2:$B$100,0),MATCH(I$9,技能数据库!$B$2:$I$2,0))</f>
        <v>1.6875</v>
      </c>
      <c r="J85">
        <f ca="1">INDEX(技能数据库!$B$2:$I$100,MATCH(无穷伤害与收益计算!$E85,技能数据库!$B$2:$B$100,0),MATCH(J$9,技能数据库!$B$2:$I$2,0))</f>
        <v>1</v>
      </c>
      <c r="K85">
        <f ca="1">INDEX(技能数据库!$B$2:$I$100,MATCH(无穷伤害与收益计算!$E85,技能数据库!$B$2:$B$100,0),MATCH(K$9,技能数据库!$B$2:$I$2,0))</f>
        <v>0</v>
      </c>
      <c r="L85">
        <f ca="1" t="shared" si="58"/>
        <v>105847</v>
      </c>
      <c r="M85">
        <f ca="1" t="shared" si="82"/>
        <v>19530.5</v>
      </c>
      <c r="N85">
        <f ca="1" t="shared" si="83"/>
        <v>92028</v>
      </c>
      <c r="O85">
        <f ca="1" t="shared" si="59"/>
        <v>198464.8125</v>
      </c>
      <c r="P85">
        <f ca="1">IF(G85="恒定伤害",0,(IF(D85="轻剑",$AZ$2,$AZ$3)+IFERROR(INDEX(技能数据库!$T$2:$W$27,MATCH(E85,技能数据库!$T$2:$T$27,0),4),0)+COUNTIF(G85,"*造化2*")*154+COUNTIF(G85,"*造化1*")*102+COUNTIF(G85,"*碧归*")*307)/1024)</f>
        <v>0.176868146929785</v>
      </c>
      <c r="Q85">
        <f ca="1" t="shared" si="60"/>
        <v>0.448284482196154</v>
      </c>
      <c r="R85">
        <f ca="1" t="shared" si="61"/>
        <v>0.21277697966198</v>
      </c>
      <c r="S85">
        <f ca="1" t="shared" si="84"/>
        <v>266294.986100522</v>
      </c>
      <c r="T85">
        <f t="shared" si="85"/>
        <v>0.8</v>
      </c>
      <c r="U85">
        <f ca="1" t="shared" si="62"/>
        <v>1.7995442148</v>
      </c>
      <c r="V85">
        <f ca="1" t="shared" si="86"/>
        <v>596403.670214369</v>
      </c>
      <c r="W85">
        <f ca="1">IF(G85="恒定伤害",0,MIN(1,IF(COUNTIF(F85,"*内会*")&gt;0,内会,IF(D85="轻剑",$Y$2,$Y$3)+COUNTIF(G85,"*莺鸣*")*0.2+COUNTIF(G85,"*叠1*")*0.1+COUNTIF(G85,"*叠2*")*0.2+COUNTIF(G85,"*叠3*")*0.3)+IFERROR(INDEX(技能数据库!$T$2:$W$27,MATCH(E85,技能数据库!$T$2:$T$27,0),2),0)+IF((IF(D85="轻剑",$AO$2,$AO$3)+INT(COUNTIF(G85,"*大莺鸣*")*IF(D85="轻剑",$AM$2,$AM$3)*听晓无双率)/无双系数)&gt;0.9,特效裤子会心/会心系数,0)))</f>
        <v>0.7343</v>
      </c>
      <c r="X85">
        <f ca="1">IF(G85="恒定伤害",0,IF(COUNTIF(F85,"*内会*")&gt;0,内会效,IF(D85="轻剑",$AB$2,$AB$3))+IFERROR(INDEX(技能数据库!$T$2:$W$27,MATCH(E85,技能数据库!$T$2:$T$27,0),3)/1024,0))+COUNTIF(G85,"*叠1*")*0.25+COUNTIF(G85,"*叠2*")*0.5+COUNTIF(G85,"*叠3*")*0.75</f>
        <v>2.3217485021</v>
      </c>
      <c r="Y85">
        <f ca="1" t="shared" si="87"/>
        <v>1.97055992509203</v>
      </c>
      <c r="Z85">
        <f t="shared" si="63"/>
        <v>0.150390625</v>
      </c>
      <c r="AA85">
        <f ca="1" t="shared" si="88"/>
        <v>0.0205078125</v>
      </c>
      <c r="AB85">
        <f ca="1" t="shared" si="89"/>
        <v>1379722.10202901</v>
      </c>
      <c r="AC85">
        <f ca="1">无穷技能数计算!AJ77</f>
        <v>0</v>
      </c>
      <c r="AD85" s="164">
        <f ca="1" t="shared" si="78"/>
        <v>0</v>
      </c>
      <c r="AE85" s="168">
        <f ca="1" t="shared" si="64"/>
        <v>0.0042173722860822</v>
      </c>
      <c r="AF85" s="168">
        <f ca="1" t="shared" si="65"/>
        <v>0.00300431090271985</v>
      </c>
      <c r="AG85">
        <f ca="1" t="shared" si="90"/>
        <v>0.00303849954318736</v>
      </c>
      <c r="AH85">
        <f ca="1" t="shared" si="67"/>
        <v>1.00287702404228</v>
      </c>
      <c r="AI85">
        <f ca="1" t="shared" si="68"/>
        <v>1.00016101226475</v>
      </c>
      <c r="AJ85">
        <f ca="1" t="shared" si="80"/>
        <v>0</v>
      </c>
      <c r="AK85">
        <f ca="1" t="shared" si="91"/>
        <v>0</v>
      </c>
      <c r="AL85">
        <f ca="1" t="shared" si="81"/>
        <v>0</v>
      </c>
      <c r="AM85">
        <f ca="1" t="shared" si="92"/>
        <v>0</v>
      </c>
      <c r="AN85" s="168">
        <f ca="1" t="shared" si="71"/>
        <v>0.00748399053993198</v>
      </c>
      <c r="AO85" s="168">
        <f ca="1" t="shared" si="72"/>
        <v>0.00447057613551372</v>
      </c>
      <c r="AP85" s="172">
        <f ca="1" t="shared" si="73"/>
        <v>0</v>
      </c>
      <c r="AQ85" s="168">
        <f ca="1" t="shared" si="74"/>
        <v>0.00401583628616287</v>
      </c>
      <c r="AR85">
        <f t="shared" si="77"/>
        <v>1</v>
      </c>
    </row>
    <row r="86" spans="4:55">
      <c r="D86" t="s">
        <v>1825</v>
      </c>
      <c r="E86" t="s">
        <v>2906</v>
      </c>
      <c r="G86" t="s">
        <v>3044</v>
      </c>
      <c r="H86">
        <f ca="1">INDEX(技能数据库!$B$2:$I$100,MATCH(无穷伤害与收益计算!$E86,技能数据库!$B$2:$B$100,0),MATCH(H$9,技能数据库!$B$2:$I$2,0))</f>
        <v>317.5</v>
      </c>
      <c r="I86">
        <f ca="1">INDEX(技能数据库!$B$2:$I$100,MATCH(无穷伤害与收益计算!$E86,技能数据库!$B$2:$B$100,0),MATCH(I$9,技能数据库!$B$2:$I$2,0))</f>
        <v>1.6875</v>
      </c>
      <c r="J86">
        <f ca="1">INDEX(技能数据库!$B$2:$I$100,MATCH(无穷伤害与收益计算!$E86,技能数据库!$B$2:$B$100,0),MATCH(J$9,技能数据库!$B$2:$I$2,0))</f>
        <v>1</v>
      </c>
      <c r="K86">
        <f ca="1">INDEX(技能数据库!$B$2:$I$100,MATCH(无穷伤害与收益计算!$E86,技能数据库!$B$2:$B$100,0),MATCH(K$9,技能数据库!$B$2:$I$2,0))</f>
        <v>0</v>
      </c>
      <c r="L86">
        <f ca="1" t="shared" si="58"/>
        <v>105847</v>
      </c>
      <c r="M86">
        <f ca="1" t="shared" si="82"/>
        <v>19530.5</v>
      </c>
      <c r="N86">
        <f ca="1" t="shared" si="83"/>
        <v>92028</v>
      </c>
      <c r="O86">
        <f ca="1" t="shared" si="59"/>
        <v>198464.8125</v>
      </c>
      <c r="P86">
        <f ca="1">IF(G86="恒定伤害",0,(IF(D86="轻剑",$AZ$2,$AZ$3)+IFERROR(INDEX(技能数据库!$T$2:$W$27,MATCH(E86,技能数据库!$T$2:$T$27,0),4),0)+COUNTIF(G86,"*造化2*")*154+COUNTIF(G86,"*造化1*")*102+COUNTIF(G86,"*碧归*")*307)/1024)</f>
        <v>0.176868146929785</v>
      </c>
      <c r="Q86">
        <f ca="1" t="shared" si="60"/>
        <v>0.448284482196154</v>
      </c>
      <c r="R86">
        <f ca="1" t="shared" si="61"/>
        <v>0.21277697966198</v>
      </c>
      <c r="S86">
        <f ca="1" t="shared" si="84"/>
        <v>266294.986100522</v>
      </c>
      <c r="T86">
        <f t="shared" si="85"/>
        <v>0.8</v>
      </c>
      <c r="U86">
        <f ca="1" t="shared" si="62"/>
        <v>2.68954760480339</v>
      </c>
      <c r="V86">
        <f ca="1" t="shared" si="86"/>
        <v>786006.422510665</v>
      </c>
      <c r="W86">
        <f ca="1">IF(G86="恒定伤害",0,MIN(1,IF(COUNTIF(F86,"*内会*")&gt;0,内会,IF(D86="轻剑",$Y$2,$Y$3)+COUNTIF(G86,"*莺鸣*")*0.2+COUNTIF(G86,"*叠1*")*0.1+COUNTIF(G86,"*叠2*")*0.2+COUNTIF(G86,"*叠3*")*0.3)+IFERROR(INDEX(技能数据库!$T$2:$W$27,MATCH(E86,技能数据库!$T$2:$T$27,0),2),0)+IF((IF(D86="轻剑",$AO$2,$AO$3)+INT(COUNTIF(G86,"*大莺鸣*")*IF(D86="轻剑",$AM$2,$AM$3)*听晓无双率)/无双系数)&gt;0.9,特效裤子会心/会心系数,0)))</f>
        <v>0.9343</v>
      </c>
      <c r="X86">
        <f ca="1">IF(G86="恒定伤害",0,IF(COUNTIF(F86,"*内会*")&gt;0,内会效,IF(D86="轻剑",$AB$2,$AB$3))+IFERROR(INDEX(技能数据库!$T$2:$W$27,MATCH(E86,技能数据库!$T$2:$T$27,0),3)/1024,0))+COUNTIF(G86,"*叠1*")*0.25+COUNTIF(G86,"*叠2*")*0.5+COUNTIF(G86,"*叠3*")*0.75</f>
        <v>2.3217485021</v>
      </c>
      <c r="Y86">
        <f ca="1" t="shared" si="87"/>
        <v>2.23490962551203</v>
      </c>
      <c r="Z86">
        <f t="shared" si="63"/>
        <v>0.150390625</v>
      </c>
      <c r="AA86">
        <f ca="1" t="shared" si="88"/>
        <v>0.0205078125</v>
      </c>
      <c r="AB86">
        <f ca="1" t="shared" si="89"/>
        <v>2062280.46674167</v>
      </c>
      <c r="AC86">
        <f ca="1">无穷技能数计算!AJ78</f>
        <v>0</v>
      </c>
      <c r="AD86" s="164">
        <f ca="1" t="shared" si="78"/>
        <v>0</v>
      </c>
      <c r="AE86" s="168">
        <f ca="1" t="shared" si="64"/>
        <v>0.0042173722860822</v>
      </c>
      <c r="AF86" s="168">
        <f ca="1" t="shared" si="65"/>
        <v>0.00300431090271985</v>
      </c>
      <c r="AG86">
        <f ca="1" t="shared" si="90"/>
        <v>0.00303849954318736</v>
      </c>
      <c r="AH86">
        <f ca="1" t="shared" si="67"/>
        <v>1.00287702404228</v>
      </c>
      <c r="AI86">
        <f ca="1" t="shared" si="68"/>
        <v>1.00016101226475</v>
      </c>
      <c r="AJ86">
        <f ca="1" t="shared" si="80"/>
        <v>0</v>
      </c>
      <c r="AK86">
        <f ca="1" t="shared" si="91"/>
        <v>0</v>
      </c>
      <c r="AL86">
        <f ca="1" t="shared" si="81"/>
        <v>0</v>
      </c>
      <c r="AM86">
        <f ca="1" t="shared" si="92"/>
        <v>0</v>
      </c>
      <c r="AN86" s="168">
        <f ca="1" t="shared" si="71"/>
        <v>0.00839606381672686</v>
      </c>
      <c r="AO86" s="168">
        <f ca="1" t="shared" si="72"/>
        <v>0.00447057613551372</v>
      </c>
      <c r="AP86" s="172">
        <f ca="1" t="shared" si="73"/>
        <v>0</v>
      </c>
      <c r="AQ86" s="168">
        <f ca="1" t="shared" si="74"/>
        <v>0.00393951131463699</v>
      </c>
      <c r="AR86">
        <f t="shared" si="77"/>
        <v>1</v>
      </c>
    </row>
    <row r="87" spans="4:55">
      <c r="D87" t="s">
        <v>1825</v>
      </c>
      <c r="E87" t="s">
        <v>2827</v>
      </c>
      <c r="G87" t="s">
        <v>2750</v>
      </c>
      <c r="H87">
        <f ca="1">INDEX(技能数据库!$B$2:$I$100,MATCH(无穷伤害与收益计算!$E87,技能数据库!$B$2:$B$100,0),MATCH(H$9,技能数据库!$B$2:$I$2,0))</f>
        <v>1</v>
      </c>
      <c r="I87">
        <f ca="1">INDEX(技能数据库!$B$2:$I$100,MATCH(无穷伤害与收益计算!$E87,技能数据库!$B$2:$B$100,0),MATCH(I$9,技能数据库!$B$2:$I$2,0))</f>
        <v>0.375</v>
      </c>
      <c r="J87">
        <f ca="1">INDEX(技能数据库!$B$2:$I$100,MATCH(无穷伤害与收益计算!$E87,技能数据库!$B$2:$B$100,0),MATCH(J$9,技能数据库!$B$2:$I$2,0))</f>
        <v>0</v>
      </c>
      <c r="K87">
        <f ca="1">INDEX(技能数据库!$B$2:$I$100,MATCH(无穷伤害与收益计算!$E87,技能数据库!$B$2:$B$100,0),MATCH(K$9,技能数据库!$B$2:$I$2,0))</f>
        <v>0</v>
      </c>
      <c r="L87">
        <f ca="1" t="shared" si="58"/>
        <v>105847</v>
      </c>
      <c r="M87">
        <f ca="1" t="shared" si="82"/>
        <v>19530.5</v>
      </c>
      <c r="N87">
        <f ca="1" t="shared" si="83"/>
        <v>92028</v>
      </c>
      <c r="O87">
        <f ca="1" t="shared" si="59"/>
        <v>39693.625</v>
      </c>
      <c r="P87">
        <f ca="1">IF(G87="恒定伤害",0,(IF(D87="轻剑",$AZ$2,$AZ$3)+IFERROR(INDEX(技能数据库!$T$2:$W$27,MATCH(E87,技能数据库!$T$2:$T$27,0),4),0)+COUNTIF(G87,"*造化2*")*154+COUNTIF(G87,"*造化1*")*102+COUNTIF(G87,"*碧归*")*307)/1024)</f>
        <v>0.176868146929785</v>
      </c>
      <c r="Q87">
        <f ca="1" t="shared" si="60"/>
        <v>0.448284482196154</v>
      </c>
      <c r="R87">
        <f ca="1" t="shared" si="61"/>
        <v>0.21277697966198</v>
      </c>
      <c r="S87">
        <f ca="1" t="shared" si="84"/>
        <v>53259.8861455822</v>
      </c>
      <c r="T87">
        <f t="shared" si="85"/>
        <v>0.8</v>
      </c>
      <c r="U87">
        <f ca="1" t="shared" si="62"/>
        <v>1.7995442148</v>
      </c>
      <c r="V87">
        <f ca="1" t="shared" si="86"/>
        <v>119282.724911817</v>
      </c>
      <c r="W87">
        <f ca="1">IF(G87="恒定伤害",0,MIN(1,IF(COUNTIF(F87,"*内会*")&gt;0,内会,IF(D87="轻剑",$Y$2,$Y$3)+COUNTIF(G87,"*莺鸣*")*0.2+COUNTIF(G87,"*叠1*")*0.1+COUNTIF(G87,"*叠2*")*0.2+COUNTIF(G87,"*叠3*")*0.3)+IFERROR(INDEX(技能数据库!$T$2:$W$27,MATCH(E87,技能数据库!$T$2:$T$27,0),2),0)+IF((IF(D87="轻剑",$AO$2,$AO$3)+INT(COUNTIF(G87,"*大莺鸣*")*IF(D87="轻剑",$AM$2,$AM$3)*听晓无双率)/无双系数)&gt;0.9,特效裤子会心/会心系数,0)))</f>
        <v>0.7343</v>
      </c>
      <c r="X87">
        <f ca="1">IF(G87="恒定伤害",0,IF(COUNTIF(F87,"*内会*")&gt;0,内会效,IF(D87="轻剑",$AB$2,$AB$3))+IFERROR(INDEX(技能数据库!$T$2:$W$27,MATCH(E87,技能数据库!$T$2:$T$27,0),3)/1024,0))+COUNTIF(G87,"*叠1*")*0.25+COUNTIF(G87,"*叠2*")*0.5+COUNTIF(G87,"*叠3*")*0.75</f>
        <v>2.3217485021</v>
      </c>
      <c r="Y87">
        <f ca="1" t="shared" si="87"/>
        <v>1.97055992509203</v>
      </c>
      <c r="Z87">
        <f t="shared" si="63"/>
        <v>0.150390625</v>
      </c>
      <c r="AA87">
        <f ca="1" t="shared" si="88"/>
        <v>0.0205078125</v>
      </c>
      <c r="AB87">
        <f ca="1" t="shared" si="89"/>
        <v>275949.026088196</v>
      </c>
      <c r="AC87">
        <f ca="1">无穷技能数计算!AJ79</f>
        <v>21.2861328125</v>
      </c>
      <c r="AD87" s="164">
        <f ca="1" t="shared" si="78"/>
        <v>0.00206023069491698</v>
      </c>
      <c r="AE87" s="168">
        <f ca="1" t="shared" si="64"/>
        <v>0.00468589099635017</v>
      </c>
      <c r="AF87" s="168">
        <f ca="1" t="shared" si="65"/>
        <v>0</v>
      </c>
      <c r="AG87">
        <f ca="1" t="shared" si="90"/>
        <v>0.00393414018092564</v>
      </c>
      <c r="AH87">
        <f ca="1" t="shared" si="67"/>
        <v>1.00319664002642</v>
      </c>
      <c r="AI87">
        <f ca="1" t="shared" si="68"/>
        <v>1.00016101226475</v>
      </c>
      <c r="AJ87">
        <f ca="1" t="shared" si="80"/>
        <v>1.00057404545102</v>
      </c>
      <c r="AK87">
        <f ca="1" t="shared" si="91"/>
        <v>21.2861328125</v>
      </c>
      <c r="AL87">
        <f ca="1" t="shared" si="81"/>
        <v>0.00496352538323674</v>
      </c>
      <c r="AM87">
        <f ca="1" t="shared" si="92"/>
        <v>21.2861328125</v>
      </c>
      <c r="AN87" s="168">
        <f ca="1" t="shared" si="71"/>
        <v>0.00748399053993198</v>
      </c>
      <c r="AO87" s="168">
        <f ca="1" t="shared" si="72"/>
        <v>0.00447057613551372</v>
      </c>
      <c r="AP87" s="172">
        <f ca="1" t="shared" si="73"/>
        <v>0</v>
      </c>
      <c r="AQ87" s="168">
        <f ca="1" t="shared" si="74"/>
        <v>0.00401583628616287</v>
      </c>
      <c r="AR87">
        <f t="shared" si="77"/>
        <v>1</v>
      </c>
    </row>
    <row r="88" spans="4:55">
      <c r="D88" t="s">
        <v>1825</v>
      </c>
      <c r="E88" t="s">
        <v>2827</v>
      </c>
      <c r="G88" t="s">
        <v>3044</v>
      </c>
      <c r="H88">
        <f ca="1">INDEX(技能数据库!$B$2:$I$100,MATCH(无穷伤害与收益计算!$E88,技能数据库!$B$2:$B$100,0),MATCH(H$9,技能数据库!$B$2:$I$2,0))</f>
        <v>1</v>
      </c>
      <c r="I88">
        <f ca="1">INDEX(技能数据库!$B$2:$I$100,MATCH(无穷伤害与收益计算!$E88,技能数据库!$B$2:$B$100,0),MATCH(I$9,技能数据库!$B$2:$I$2,0))</f>
        <v>0.375</v>
      </c>
      <c r="J88">
        <f ca="1">INDEX(技能数据库!$B$2:$I$100,MATCH(无穷伤害与收益计算!$E88,技能数据库!$B$2:$B$100,0),MATCH(J$9,技能数据库!$B$2:$I$2,0))</f>
        <v>0</v>
      </c>
      <c r="K88">
        <f ca="1">INDEX(技能数据库!$B$2:$I$100,MATCH(无穷伤害与收益计算!$E88,技能数据库!$B$2:$B$100,0),MATCH(K$9,技能数据库!$B$2:$I$2,0))</f>
        <v>0</v>
      </c>
      <c r="L88">
        <f ca="1" t="shared" si="58"/>
        <v>105847</v>
      </c>
      <c r="M88">
        <f ca="1" t="shared" si="82"/>
        <v>19530.5</v>
      </c>
      <c r="N88">
        <f ca="1" t="shared" si="83"/>
        <v>92028</v>
      </c>
      <c r="O88">
        <f ca="1" t="shared" si="59"/>
        <v>39693.625</v>
      </c>
      <c r="P88">
        <f ca="1">IF(G88="恒定伤害",0,(IF(D88="轻剑",$AZ$2,$AZ$3)+IFERROR(INDEX(技能数据库!$T$2:$W$27,MATCH(E88,技能数据库!$T$2:$T$27,0),4),0)+COUNTIF(G88,"*造化2*")*154+COUNTIF(G88,"*造化1*")*102+COUNTIF(G88,"*碧归*")*307)/1024)</f>
        <v>0.176868146929785</v>
      </c>
      <c r="Q88">
        <f ca="1" t="shared" si="60"/>
        <v>0.448284482196154</v>
      </c>
      <c r="R88">
        <f ca="1" t="shared" si="61"/>
        <v>0.21277697966198</v>
      </c>
      <c r="S88">
        <f ca="1" t="shared" si="84"/>
        <v>53259.8861455822</v>
      </c>
      <c r="T88">
        <f t="shared" si="85"/>
        <v>0.8</v>
      </c>
      <c r="U88">
        <f ca="1" t="shared" si="62"/>
        <v>2.68954760480339</v>
      </c>
      <c r="V88">
        <f ca="1" t="shared" si="86"/>
        <v>157203.908288427</v>
      </c>
      <c r="W88">
        <f ca="1">IF(G88="恒定伤害",0,MIN(1,IF(COUNTIF(F88,"*内会*")&gt;0,内会,IF(D88="轻剑",$Y$2,$Y$3)+COUNTIF(G88,"*莺鸣*")*0.2+COUNTIF(G88,"*叠1*")*0.1+COUNTIF(G88,"*叠2*")*0.2+COUNTIF(G88,"*叠3*")*0.3)+IFERROR(INDEX(技能数据库!$T$2:$W$27,MATCH(E88,技能数据库!$T$2:$T$27,0),2),0)+IF((IF(D88="轻剑",$AO$2,$AO$3)+INT(COUNTIF(G88,"*大莺鸣*")*IF(D88="轻剑",$AM$2,$AM$3)*听晓无双率)/无双系数)&gt;0.9,特效裤子会心/会心系数,0)))</f>
        <v>0.9343</v>
      </c>
      <c r="X88">
        <f ca="1">IF(G88="恒定伤害",0,IF(COUNTIF(F88,"*内会*")&gt;0,内会效,IF(D88="轻剑",$AB$2,$AB$3))+IFERROR(INDEX(技能数据库!$T$2:$W$27,MATCH(E88,技能数据库!$T$2:$T$27,0),3)/1024,0))+COUNTIF(G88,"*叠1*")*0.25+COUNTIF(G88,"*叠2*")*0.5+COUNTIF(G88,"*叠3*")*0.75</f>
        <v>2.3217485021</v>
      </c>
      <c r="Y88">
        <f ca="1" t="shared" si="87"/>
        <v>2.23490962551203</v>
      </c>
      <c r="Z88">
        <f t="shared" si="63"/>
        <v>0.150390625</v>
      </c>
      <c r="AA88">
        <f ca="1" t="shared" si="88"/>
        <v>0.0205078125</v>
      </c>
      <c r="AB88">
        <f ca="1" t="shared" si="89"/>
        <v>412462.977494656</v>
      </c>
      <c r="AC88">
        <f ca="1">无穷技能数计算!AJ80</f>
        <v>0</v>
      </c>
      <c r="AD88" s="164">
        <f ca="1" t="shared" si="78"/>
        <v>0</v>
      </c>
      <c r="AE88" s="168">
        <f ca="1" t="shared" si="64"/>
        <v>0.00468589099635017</v>
      </c>
      <c r="AF88" s="168">
        <f ca="1" t="shared" si="65"/>
        <v>0</v>
      </c>
      <c r="AG88">
        <f ca="1" t="shared" si="90"/>
        <v>0.00335816698942049</v>
      </c>
      <c r="AH88">
        <f ca="1" t="shared" si="67"/>
        <v>1.00319664002642</v>
      </c>
      <c r="AI88">
        <f ca="1" t="shared" si="68"/>
        <v>1.00016101226475</v>
      </c>
      <c r="AJ88">
        <f ca="1" t="shared" si="80"/>
        <v>0</v>
      </c>
      <c r="AK88">
        <f ca="1" t="shared" si="91"/>
        <v>0</v>
      </c>
      <c r="AL88">
        <f ca="1" t="shared" si="81"/>
        <v>0</v>
      </c>
      <c r="AM88">
        <f ca="1" t="shared" si="92"/>
        <v>0</v>
      </c>
      <c r="AN88" s="168">
        <f ca="1" t="shared" si="71"/>
        <v>0.00839606381672686</v>
      </c>
      <c r="AO88" s="168">
        <f ca="1" t="shared" si="72"/>
        <v>0.00447057613551372</v>
      </c>
      <c r="AP88" s="172">
        <f ca="1" t="shared" si="73"/>
        <v>0</v>
      </c>
      <c r="AQ88" s="168">
        <f ca="1" t="shared" si="74"/>
        <v>0.00393951131463699</v>
      </c>
      <c r="AR88">
        <f t="shared" si="77"/>
        <v>1</v>
      </c>
    </row>
    <row r="89" spans="4:55">
      <c r="D89" t="s">
        <v>1028</v>
      </c>
      <c r="E89" t="s">
        <v>2915</v>
      </c>
      <c r="G89" t="s">
        <v>3014</v>
      </c>
      <c r="H89">
        <f ca="1">INDEX(技能数据库!$B$2:$I$100,MATCH(无穷伤害与收益计算!$E89,技能数据库!$B$2:$B$100,0),MATCH(H$9,技能数据库!$B$2:$I$2,0))</f>
        <v>115.5</v>
      </c>
      <c r="I89">
        <f ca="1">INDEX(技能数据库!$B$2:$I$100,MATCH(无穷伤害与收益计算!$E89,技能数据库!$B$2:$B$100,0),MATCH(I$9,技能数据库!$B$2:$I$2,0))</f>
        <v>0.49375</v>
      </c>
      <c r="J89">
        <f ca="1">INDEX(技能数据库!$B$2:$I$100,MATCH(无穷伤害与收益计算!$E89,技能数据库!$B$2:$B$100,0),MATCH(J$9,技能数据库!$B$2:$I$2,0))</f>
        <v>1</v>
      </c>
      <c r="K89">
        <f ca="1">INDEX(技能数据库!$B$2:$I$100,MATCH(无穷伤害与收益计算!$E89,技能数据库!$B$2:$B$100,0),MATCH(K$9,技能数据库!$B$2:$I$2,0))</f>
        <v>0</v>
      </c>
      <c r="L89">
        <f ca="1" t="shared" si="58"/>
        <v>105847</v>
      </c>
      <c r="M89">
        <f ca="1" t="shared" si="82"/>
        <v>12694.5</v>
      </c>
      <c r="N89">
        <f ca="1" t="shared" si="83"/>
        <v>92028</v>
      </c>
      <c r="O89">
        <f ca="1" t="shared" si="59"/>
        <v>65071.95625</v>
      </c>
      <c r="P89">
        <f ca="1">IF(G89="恒定伤害",0,(IF(D89="轻剑",$AZ$2,$AZ$3)+IFERROR(INDEX(技能数据库!$T$2:$W$27,MATCH(E89,技能数据库!$T$2:$T$27,0),4),0)+COUNTIF(G89,"*造化2*")*154+COUNTIF(G89,"*造化1*")*102+COUNTIF(G89,"*碧归*")*307)/1024)</f>
        <v>0.0772587719297852</v>
      </c>
      <c r="Q89">
        <f ca="1" t="shared" si="60"/>
        <v>0.448284482196154</v>
      </c>
      <c r="R89">
        <f ca="1" t="shared" si="61"/>
        <v>0.21277697966198</v>
      </c>
      <c r="S89">
        <f ca="1" t="shared" si="84"/>
        <v>79921.8567853391</v>
      </c>
      <c r="T89">
        <f t="shared" si="85"/>
        <v>0.8</v>
      </c>
      <c r="U89">
        <f ca="1" t="shared" si="62"/>
        <v>1.7995442148</v>
      </c>
      <c r="V89">
        <f ca="1" t="shared" si="86"/>
        <v>178995.817439576</v>
      </c>
      <c r="W89">
        <f ca="1">IF(G89="恒定伤害",0,MIN(1,IF(COUNTIF(F89,"*内会*")&gt;0,内会,IF(D89="轻剑",$Y$2,$Y$3)+COUNTIF(G89,"*莺鸣*")*0.2+COUNTIF(G89,"*叠1*")*0.1+COUNTIF(G89,"*叠2*")*0.2+COUNTIF(G89,"*叠3*")*0.3)+IFERROR(INDEX(技能数据库!$T$2:$W$27,MATCH(E89,技能数据库!$T$2:$T$27,0),2),0)+IF((IF(D89="轻剑",$AO$2,$AO$3)+INT(COUNTIF(G89,"*大莺鸣*")*IF(D89="轻剑",$AM$2,$AM$3)*听晓无双率)/无双系数)&gt;0.9,特效裤子会心/会心系数,0)))</f>
        <v>0.9343</v>
      </c>
      <c r="X89">
        <f ca="1">IF(G89="恒定伤害",0,IF(COUNTIF(F89,"*内会*")&gt;0,内会效,IF(D89="轻剑",$AB$2,$AB$3))+IFERROR(INDEX(技能数据库!$T$2:$W$27,MATCH(E89,技能数据库!$T$2:$T$27,0),3)/1024,0))+COUNTIF(G89,"*叠1*")*0.25+COUNTIF(G89,"*叠2*")*0.5+COUNTIF(G89,"*叠3*")*0.75</f>
        <v>2.3217485021</v>
      </c>
      <c r="Y89">
        <f ca="1" t="shared" si="87"/>
        <v>2.23490962551203</v>
      </c>
      <c r="Z89">
        <f t="shared" si="63"/>
        <v>0.150390625</v>
      </c>
      <c r="AA89">
        <f ca="1" t="shared" si="88"/>
        <v>0.0205078125</v>
      </c>
      <c r="AB89">
        <f ca="1" t="shared" si="89"/>
        <v>469639.39143778</v>
      </c>
      <c r="AC89">
        <f ca="1">无穷技能数计算!AJ81</f>
        <v>0</v>
      </c>
      <c r="AD89" s="164">
        <f ca="1" t="shared" si="78"/>
        <v>0</v>
      </c>
      <c r="AE89" s="168">
        <f ca="1" t="shared" si="64"/>
        <v>0.0037635260120215</v>
      </c>
      <c r="AF89" s="168">
        <f ca="1" t="shared" si="65"/>
        <v>0.00916293337961543</v>
      </c>
      <c r="AG89">
        <f ca="1" t="shared" si="90"/>
        <v>0.00272884301030629</v>
      </c>
      <c r="AH89">
        <f ca="1" t="shared" si="67"/>
        <v>1.00256741735987</v>
      </c>
      <c r="AI89">
        <f ca="1" t="shared" si="68"/>
        <v>1.00016101226475</v>
      </c>
      <c r="AJ89">
        <f ca="1" t="shared" si="80"/>
        <v>0</v>
      </c>
      <c r="AK89">
        <f ca="1" t="shared" si="91"/>
        <v>0</v>
      </c>
      <c r="AL89">
        <f ca="1" t="shared" si="81"/>
        <v>0</v>
      </c>
      <c r="AM89">
        <f ca="1" t="shared" si="92"/>
        <v>0</v>
      </c>
      <c r="AN89" s="168">
        <f ca="1" t="shared" si="71"/>
        <v>0.00839606381672686</v>
      </c>
      <c r="AO89" s="168">
        <f ca="1" t="shared" si="72"/>
        <v>0.00447057613551372</v>
      </c>
      <c r="AP89" s="172">
        <f ca="1" t="shared" si="73"/>
        <v>0</v>
      </c>
      <c r="AQ89" s="168">
        <f ca="1" t="shared" si="74"/>
        <v>0.00401583628616287</v>
      </c>
      <c r="AR89">
        <f t="shared" si="77"/>
        <v>1</v>
      </c>
    </row>
    <row r="90" spans="4:55">
      <c r="D90" t="s">
        <v>1825</v>
      </c>
      <c r="E90" t="s">
        <v>2917</v>
      </c>
      <c r="G90" t="s">
        <v>3098</v>
      </c>
      <c r="H90">
        <f ca="1">INDEX(技能数据库!$B$2:$I$100,MATCH(无穷伤害与收益计算!$E90,技能数据库!$B$2:$B$100,0),MATCH(H$9,技能数据库!$B$2:$I$2,0))</f>
        <v>898344</v>
      </c>
      <c r="I90">
        <f ca="1">INDEX(技能数据库!$B$2:$I$100,MATCH(无穷伤害与收益计算!$E90,技能数据库!$B$2:$B$100,0),MATCH(I$9,技能数据库!$B$2:$I$2,0))</f>
        <v>0</v>
      </c>
      <c r="J90">
        <f ca="1">INDEX(技能数据库!$B$2:$I$100,MATCH(无穷伤害与收益计算!$E90,技能数据库!$B$2:$B$100,0),MATCH(J$9,技能数据库!$B$2:$I$2,0))</f>
        <v>0</v>
      </c>
      <c r="K90">
        <f ca="1">INDEX(技能数据库!$B$2:$I$100,MATCH(无穷伤害与收益计算!$E90,技能数据库!$B$2:$B$100,0),MATCH(K$9,技能数据库!$B$2:$I$2,0))</f>
        <v>0</v>
      </c>
      <c r="L90">
        <f ca="1" t="shared" si="58"/>
        <v>91975</v>
      </c>
      <c r="M90">
        <f ca="1" t="shared" si="82"/>
        <v>19530.5</v>
      </c>
      <c r="N90">
        <f ca="1" t="shared" si="83"/>
        <v>92028</v>
      </c>
      <c r="O90">
        <f ca="1" t="shared" si="59"/>
        <v>898344</v>
      </c>
      <c r="P90">
        <f ca="1">IF(G90="恒定伤害",0,(IF(D90="轻剑",$AZ$2,$AZ$3)+IFERROR(INDEX(技能数据库!$T$2:$W$27,MATCH(E90,技能数据库!$T$2:$T$27,0),4),0)+COUNTIF(G90,"*造化2*")*154+COUNTIF(G90,"*造化1*")*102+COUNTIF(G90,"*碧归*")*307)/1024)</f>
        <v>0</v>
      </c>
      <c r="Q90">
        <f ca="1" t="shared" si="60"/>
        <v>0</v>
      </c>
      <c r="R90">
        <f ca="1" t="shared" si="61"/>
        <v>0</v>
      </c>
      <c r="S90">
        <f ca="1" t="shared" si="84"/>
        <v>898344</v>
      </c>
      <c r="T90">
        <f t="shared" si="85"/>
        <v>0.8</v>
      </c>
      <c r="U90">
        <f ca="1" t="shared" si="62"/>
        <v>0</v>
      </c>
      <c r="V90">
        <f ca="1" t="shared" si="86"/>
        <v>718675.2</v>
      </c>
      <c r="W90">
        <f ca="1">IF(G90="恒定伤害",0,MIN(1,IF(COUNTIF(F90,"*内会*")&gt;0,内会,IF(D90="轻剑",$Y$2,$Y$3)+COUNTIF(G90,"*莺鸣*")*0.2+COUNTIF(G90,"*叠1*")*0.1+COUNTIF(G90,"*叠2*")*0.2+COUNTIF(G90,"*叠3*")*0.3)+IFERROR(INDEX(技能数据库!$T$2:$W$27,MATCH(E90,技能数据库!$T$2:$T$27,0),2),0)+IF((IF(D90="轻剑",$AO$2,$AO$3)+INT(COUNTIF(G90,"*大莺鸣*")*IF(D90="轻剑",$AM$2,$AM$3)*听晓无双率)/无双系数)&gt;0.9,特效裤子会心/会心系数,0)))</f>
        <v>0</v>
      </c>
      <c r="X90">
        <f ca="1">IF(G90="恒定伤害",0,IF(COUNTIF(F90,"*内会*")&gt;0,内会效,IF(D90="轻剑",$AB$2,$AB$3))+IFERROR(INDEX(技能数据库!$T$2:$W$27,MATCH(E90,技能数据库!$T$2:$T$27,0),3)/1024,0))+COUNTIF(G90,"*叠1*")*0.25+COUNTIF(G90,"*叠2*")*0.5+COUNTIF(G90,"*叠3*")*0.75</f>
        <v>0</v>
      </c>
      <c r="Y90">
        <f ca="1" t="shared" si="87"/>
        <v>1</v>
      </c>
      <c r="Z90">
        <f t="shared" si="63"/>
        <v>0</v>
      </c>
      <c r="AA90">
        <f ca="1" t="shared" si="88"/>
        <v>0.0205078125</v>
      </c>
      <c r="AB90">
        <f ca="1" t="shared" si="89"/>
        <v>733413.65625</v>
      </c>
      <c r="AC90" s="171">
        <f ca="1">无穷技能数计算!AJ82</f>
        <v>18.8674245939675</v>
      </c>
      <c r="AD90" s="164">
        <f ca="1" t="shared" si="78"/>
        <v>0.00485346425445056</v>
      </c>
      <c r="AE90" s="168">
        <f ca="1" t="shared" si="64"/>
        <v>0</v>
      </c>
      <c r="AF90" s="168">
        <f ca="1" t="shared" si="65"/>
        <v>0</v>
      </c>
      <c r="AG90">
        <f ca="1" t="shared" si="90"/>
        <v>0</v>
      </c>
      <c r="AH90">
        <f ca="1" t="shared" si="67"/>
        <v>1</v>
      </c>
      <c r="AI90">
        <f ca="1" t="shared" si="68"/>
        <v>1.00023319156448</v>
      </c>
      <c r="AJ90">
        <f ca="1" t="shared" si="80"/>
        <v>0</v>
      </c>
      <c r="AK90" s="171">
        <f ca="1">$AC$10*MIN($W$10+((delta身法+INT((IF(D73="轻剑",$N$2,$N$3))/1024*delta身法))*身法转基础会心/会心系数),1)</f>
        <v>0</v>
      </c>
      <c r="AL90">
        <f ca="1" t="shared" si="81"/>
        <v>0</v>
      </c>
      <c r="AM90" s="171">
        <f ca="1">$AC$10*MIN($W$10+delta会心/会心系数,1)</f>
        <v>0</v>
      </c>
      <c r="AN90" s="168">
        <f ca="1" t="shared" si="71"/>
        <v>0</v>
      </c>
      <c r="AO90" s="168">
        <f ca="1" t="shared" si="72"/>
        <v>0</v>
      </c>
      <c r="AP90" s="172">
        <f ca="1" t="shared" si="73"/>
        <v>0</v>
      </c>
      <c r="AQ90" s="168">
        <f ca="1" t="shared" si="74"/>
        <v>0</v>
      </c>
      <c r="AR90">
        <f t="shared" si="77"/>
        <v>1</v>
      </c>
    </row>
    <row r="91" spans="4:55">
      <c r="D91" t="s">
        <v>1028</v>
      </c>
      <c r="E91" t="s">
        <v>2773</v>
      </c>
      <c r="H91">
        <f ca="1">INDEX(技能数据库!$B$2:$I$100,MATCH(无穷伤害与收益计算!$E91,技能数据库!$B$2:$B$100,0),MATCH(H$9,技能数据库!$B$2:$I$2,0))</f>
        <v>138.5</v>
      </c>
      <c r="I91">
        <f ca="1">INDEX(技能数据库!$B$2:$I$100,MATCH(无穷伤害与收益计算!$E91,技能数据库!$B$2:$B$100,0),MATCH(I$9,技能数据库!$B$2:$I$2,0))</f>
        <v>2.01875</v>
      </c>
      <c r="J91">
        <f ca="1">INDEX(技能数据库!$B$2:$I$100,MATCH(无穷伤害与收益计算!$E91,技能数据库!$B$2:$B$100,0),MATCH(J$9,技能数据库!$B$2:$I$2,0))</f>
        <v>0</v>
      </c>
      <c r="K91">
        <f ca="1">INDEX(技能数据库!$B$2:$I$100,MATCH(无穷伤害与收益计算!$E91,技能数据库!$B$2:$B$100,0),MATCH(K$9,技能数据库!$B$2:$I$2,0))</f>
        <v>0</v>
      </c>
      <c r="L91">
        <f ca="1" t="shared" si="58"/>
        <v>91975</v>
      </c>
      <c r="M91">
        <f ca="1" t="shared" si="82"/>
        <v>12694.5</v>
      </c>
      <c r="N91">
        <f ca="1" t="shared" si="83"/>
        <v>92028</v>
      </c>
      <c r="O91">
        <f ca="1" t="shared" si="59"/>
        <v>185813.03125</v>
      </c>
      <c r="P91">
        <f ca="1">IF(G91="恒定伤害",0,(IF(D91="轻剑",$AZ$2,$AZ$3)+IFERROR(INDEX(技能数据库!$T$2:$W$27,MATCH(E91,技能数据库!$T$2:$T$27,0),4),0)+COUNTIF(G91,"*造化2*")*154+COUNTIF(G91,"*造化1*")*102+COUNTIF(G91,"*碧归*")*307)/1024)</f>
        <v>0.247180646929785</v>
      </c>
      <c r="Q91">
        <f ca="1" t="shared" si="60"/>
        <v>0.448284482196154</v>
      </c>
      <c r="R91">
        <f ca="1" t="shared" si="61"/>
        <v>0.32958230397716</v>
      </c>
      <c r="S91">
        <f ca="1" t="shared" si="84"/>
        <v>225011.584505476</v>
      </c>
      <c r="T91">
        <f t="shared" si="85"/>
        <v>0.8</v>
      </c>
      <c r="U91">
        <f ca="1" t="shared" si="62"/>
        <v>1.7995442148</v>
      </c>
      <c r="V91">
        <f ca="1" t="shared" si="86"/>
        <v>503943.903732229</v>
      </c>
      <c r="W91">
        <f ca="1">IF(G91="恒定伤害",0,MIN(1,IF(COUNTIF(F91,"*内会*")&gt;0,内会,IF(D91="轻剑",$Y$2,$Y$3)+COUNTIF(G91,"*莺鸣*")*0.2+COUNTIF(G91,"*叠1*")*0.1+COUNTIF(G91,"*叠2*")*0.2+COUNTIF(G91,"*叠3*")*0.3)+IFERROR(INDEX(技能数据库!$T$2:$W$27,MATCH(E91,技能数据库!$T$2:$T$27,0),2),0)+IF((IF(D91="轻剑",$AO$2,$AO$3)+INT(COUNTIF(G91,"*大莺鸣*")*IF(D91="轻剑",$AM$2,$AM$3)*听晓无双率)/无双系数)&gt;0.9,特效裤子会心/会心系数,0)))</f>
        <v>0.7343</v>
      </c>
      <c r="X91">
        <f ca="1">IF(G91="恒定伤害",0,IF(COUNTIF(F91,"*内会*")&gt;0,内会效,IF(D91="轻剑",$AB$2,$AB$3))+IFERROR(INDEX(技能数据库!$T$2:$W$27,MATCH(E91,技能数据库!$T$2:$T$27,0),3)/1024,0))+COUNTIF(G91,"*叠1*")*0.25+COUNTIF(G91,"*叠2*")*0.5+COUNTIF(G91,"*叠3*")*0.75</f>
        <v>2.3217485021</v>
      </c>
      <c r="Y91">
        <f ca="1" t="shared" si="87"/>
        <v>1.97055992509203</v>
      </c>
      <c r="Z91">
        <f t="shared" si="63"/>
        <v>0.150390625</v>
      </c>
      <c r="AA91">
        <f ca="1" t="shared" si="88"/>
        <v>0.0205078125</v>
      </c>
      <c r="AB91">
        <f ca="1" t="shared" si="89"/>
        <v>1165825.39123581</v>
      </c>
      <c r="AC91">
        <f ca="1">无穷技能数计算!AJ83</f>
        <v>0</v>
      </c>
      <c r="AD91" s="164">
        <f ca="1" t="shared" si="78"/>
        <v>0</v>
      </c>
      <c r="AE91" s="168">
        <f ca="1" t="shared" si="64"/>
        <v>0.00451959689990796</v>
      </c>
      <c r="AF91" s="168">
        <f ca="1" t="shared" si="65"/>
        <v>0</v>
      </c>
      <c r="AG91">
        <f ca="1" t="shared" ref="AG91:AG94" si="93">IF(G91="恒定伤害",0,MAX(0,AH91*AI91*IF(AJ91=0,1,AJ91)-1))</f>
        <v>0.00383772348471023</v>
      </c>
      <c r="AH91">
        <f ca="1" t="shared" si="67"/>
        <v>1.00367611931966</v>
      </c>
      <c r="AI91">
        <f ca="1" t="shared" si="68"/>
        <v>1.00016101226475</v>
      </c>
      <c r="AJ91">
        <f ca="1" t="shared" si="80"/>
        <v>0</v>
      </c>
      <c r="AK91">
        <f ca="1">AC91</f>
        <v>0</v>
      </c>
      <c r="AL91">
        <f ca="1" t="shared" si="81"/>
        <v>0</v>
      </c>
      <c r="AM91">
        <f ca="1">AC91</f>
        <v>0</v>
      </c>
      <c r="AN91" s="168">
        <f ca="1" t="shared" si="71"/>
        <v>0.00748399053993198</v>
      </c>
      <c r="AO91" s="168">
        <f ca="1" t="shared" si="72"/>
        <v>0.00447057613551372</v>
      </c>
      <c r="AP91" s="172">
        <f ca="1" t="shared" si="73"/>
        <v>0</v>
      </c>
      <c r="AQ91" s="168">
        <f ca="1" t="shared" si="74"/>
        <v>0.00401583628616287</v>
      </c>
      <c r="AR91">
        <f t="shared" si="77"/>
        <v>1</v>
      </c>
      <c r="AX91" s="167"/>
      <c r="AY91" s="167"/>
      <c r="AZ91" s="164"/>
      <c r="BB91" s="167"/>
      <c r="BC91" s="164"/>
    </row>
    <row r="92" spans="4:55">
      <c r="D92" t="s">
        <v>1825</v>
      </c>
      <c r="E92" t="s">
        <v>2808</v>
      </c>
      <c r="G92" t="s">
        <v>2750</v>
      </c>
      <c r="H92">
        <f ca="1">INDEX(技能数据库!$B$2:$I$100,MATCH(无穷伤害与收益计算!$E92,技能数据库!$B$2:$B$100,0),MATCH(H$9,技能数据库!$B$2:$I$2,0))</f>
        <v>535</v>
      </c>
      <c r="I92">
        <f ca="1">INDEX(技能数据库!$B$2:$I$100,MATCH(无穷伤害与收益计算!$E92,技能数据库!$B$2:$B$100,0),MATCH(I$9,技能数据库!$B$2:$I$2,0))</f>
        <v>7.06875</v>
      </c>
      <c r="J92">
        <f ca="1">INDEX(技能数据库!$B$2:$I$100,MATCH(无穷伤害与收益计算!$E92,技能数据库!$B$2:$B$100,0),MATCH(J$9,技能数据库!$B$2:$I$2,0))</f>
        <v>2</v>
      </c>
      <c r="K92">
        <f ca="1">INDEX(技能数据库!$B$2:$I$100,MATCH(无穷伤害与收益计算!$E92,技能数据库!$B$2:$B$100,0),MATCH(K$9,技能数据库!$B$2:$I$2,0))</f>
        <v>0</v>
      </c>
      <c r="L92">
        <f ca="1" t="shared" si="58"/>
        <v>105847</v>
      </c>
      <c r="M92">
        <f ca="1" t="shared" ref="M92:M94" si="94">IF(D92="轻剑",$AU$2+$AV$2,$AU$3+$AV$3)/2</f>
        <v>19530.5</v>
      </c>
      <c r="N92">
        <f ca="1" t="shared" ref="N92:N94" si="95">IF(D92="轻剑",$AJ$2,$AJ$3)</f>
        <v>92028</v>
      </c>
      <c r="O92">
        <f ca="1" t="shared" si="59"/>
        <v>787801.98125</v>
      </c>
      <c r="P92">
        <f ca="1">IF(G92="恒定伤害",0,(IF(D92="轻剑",$AZ$2,$AZ$3)+IFERROR(INDEX(技能数据库!$T$2:$W$27,MATCH(E92,技能数据库!$T$2:$T$27,0),4),0)+COUNTIF(G92,"*造化2*")*154+COUNTIF(G92,"*造化1*")*102+COUNTIF(G92,"*碧归*")*307)/1024)</f>
        <v>0.247180646929785</v>
      </c>
      <c r="Q92">
        <f ca="1" t="shared" si="60"/>
        <v>0.448284482196154</v>
      </c>
      <c r="R92">
        <f ca="1" t="shared" si="61"/>
        <v>0.21277697966198</v>
      </c>
      <c r="S92">
        <f ca="1" t="shared" ref="S92:S94" si="96">O92*(1+P92)*(1+Q92)*(1-R92)</f>
        <v>1120206.51623897</v>
      </c>
      <c r="T92">
        <f t="shared" ref="T92:T155" si="97">1-($F$6-130)*0.05</f>
        <v>0.8</v>
      </c>
      <c r="U92">
        <f ca="1" t="shared" si="62"/>
        <v>1.7995442148</v>
      </c>
      <c r="V92">
        <f ca="1" t="shared" ref="V92:V94" si="98">S92*T92*(1+U92)</f>
        <v>2508854.13753446</v>
      </c>
      <c r="W92">
        <f ca="1">IF(G92="恒定伤害",0,MIN(1,IF(COUNTIF(F92,"*内会*")&gt;0,内会,IF(D92="轻剑",$Y$2,$Y$3)+COUNTIF(G92,"*莺鸣*")*0.2+COUNTIF(G92,"*叠1*")*0.1+COUNTIF(G92,"*叠2*")*0.2+COUNTIF(G92,"*叠3*")*0.3)+IFERROR(INDEX(技能数据库!$T$2:$W$27,MATCH(E92,技能数据库!$T$2:$T$27,0),2),0)+IF((IF(D92="轻剑",$AO$2,$AO$3)+INT(COUNTIF(G92,"*大莺鸣*")*IF(D92="轻剑",$AM$2,$AM$3)*听晓无双率)/无双系数)&gt;0.9,特效裤子会心/会心系数,0)))</f>
        <v>0.7343</v>
      </c>
      <c r="X92">
        <f ca="1">IF(G92="恒定伤害",0,IF(COUNTIF(F92,"*内会*")&gt;0,内会效,IF(D92="轻剑",$AB$2,$AB$3))+IFERROR(INDEX(技能数据库!$T$2:$W$27,MATCH(E92,技能数据库!$T$2:$T$27,0),3)/1024,0))+COUNTIF(G92,"*叠1*")*0.25+COUNTIF(G92,"*叠2*")*0.5+COUNTIF(G92,"*叠3*")*0.75</f>
        <v>2.3217485021</v>
      </c>
      <c r="Y92">
        <f ca="1" t="shared" ref="Y92:Y94" si="99">1+W92*(X92-1)</f>
        <v>1.97055992509203</v>
      </c>
      <c r="Z92">
        <f t="shared" si="63"/>
        <v>0.150390625</v>
      </c>
      <c r="AA92">
        <f ca="1" t="shared" ref="AA92:AA94" si="100">IF(D92="轻剑",$BA$2,$BA$3)/1024</f>
        <v>0.0205078125</v>
      </c>
      <c r="AB92">
        <f ca="1" t="shared" ref="AB92:AB94" si="101">V92*Y92*(1+Z92)*(1+AA92)</f>
        <v>5803990.94975225</v>
      </c>
      <c r="AC92">
        <f ca="1">无穷技能数计算!AJ84</f>
        <v>0</v>
      </c>
      <c r="AD92" s="164">
        <f ca="1" t="shared" ref="AD92:AD94" si="102">IFERROR(AB92*AC92/$AD$7,0)</f>
        <v>0</v>
      </c>
      <c r="AE92" s="168">
        <f ca="1" t="shared" si="64"/>
        <v>0.00445048385691655</v>
      </c>
      <c r="AF92" s="168">
        <f ca="1" t="shared" si="65"/>
        <v>0.00151370525637403</v>
      </c>
      <c r="AG92">
        <f ca="1" t="shared" si="93"/>
        <v>0.0031975501401067</v>
      </c>
      <c r="AH92">
        <f ca="1" t="shared" si="67"/>
        <v>1.00303604903423</v>
      </c>
      <c r="AI92">
        <f ca="1" t="shared" si="68"/>
        <v>1.00016101226475</v>
      </c>
      <c r="AJ92">
        <f ca="1" t="shared" si="80"/>
        <v>0</v>
      </c>
      <c r="AK92">
        <f ca="1" t="shared" ref="AK92:AK94" si="103">AC92</f>
        <v>0</v>
      </c>
      <c r="AL92">
        <f ca="1" t="shared" si="81"/>
        <v>0</v>
      </c>
      <c r="AM92">
        <f ca="1" t="shared" ref="AM92:AM94" si="104">AC92</f>
        <v>0</v>
      </c>
      <c r="AN92" s="168">
        <f ca="1" t="shared" si="71"/>
        <v>0.00748399053993198</v>
      </c>
      <c r="AO92" s="168">
        <f ca="1" t="shared" si="72"/>
        <v>0.00447057613551372</v>
      </c>
      <c r="AP92" s="172">
        <f ca="1" t="shared" si="73"/>
        <v>0</v>
      </c>
      <c r="AQ92" s="168">
        <f ca="1" t="shared" si="74"/>
        <v>0.00401583628616287</v>
      </c>
      <c r="AR92">
        <f t="shared" si="77"/>
        <v>1</v>
      </c>
    </row>
    <row r="93" spans="4:55">
      <c r="D93" t="s">
        <v>1028</v>
      </c>
      <c r="E93" t="s">
        <v>2920</v>
      </c>
      <c r="G93" t="s">
        <v>2750</v>
      </c>
      <c r="H93">
        <f ca="1">INDEX(技能数据库!$B$2:$I$100,MATCH(无穷伤害与收益计算!$E93,技能数据库!$B$2:$B$100,0),MATCH(H$9,技能数据库!$B$2:$I$2,0))</f>
        <v>1</v>
      </c>
      <c r="I93">
        <f ca="1">INDEX(技能数据库!$B$2:$I$100,MATCH(无穷伤害与收益计算!$E93,技能数据库!$B$2:$B$100,0),MATCH(I$9,技能数据库!$B$2:$I$2,0))</f>
        <v>0.3125</v>
      </c>
      <c r="J93">
        <f ca="1">INDEX(技能数据库!$B$2:$I$100,MATCH(无穷伤害与收益计算!$E93,技能数据库!$B$2:$B$100,0),MATCH(J$9,技能数据库!$B$2:$I$2,0))</f>
        <v>0</v>
      </c>
      <c r="K93">
        <f ca="1">INDEX(技能数据库!$B$2:$I$100,MATCH(无穷伤害与收益计算!$E93,技能数据库!$B$2:$B$100,0),MATCH(K$9,技能数据库!$B$2:$I$2,0))</f>
        <v>0</v>
      </c>
      <c r="L93">
        <f ca="1" t="shared" si="58"/>
        <v>105847</v>
      </c>
      <c r="M93">
        <f ca="1" t="shared" si="94"/>
        <v>12694.5</v>
      </c>
      <c r="N93">
        <f ca="1" t="shared" si="95"/>
        <v>92028</v>
      </c>
      <c r="O93">
        <f ca="1" t="shared" si="59"/>
        <v>33078.1875</v>
      </c>
      <c r="P93">
        <f ca="1">IF(G93="恒定伤害",0,(IF(D93="轻剑",$AZ$2,$AZ$3)+IFERROR(INDEX(技能数据库!$T$2:$W$27,MATCH(E93,技能数据库!$T$2:$T$27,0),4),0)+COUNTIF(G93,"*造化2*")*154+COUNTIF(G93,"*造化1*")*102+COUNTIF(G93,"*碧归*")*307)/1024)</f>
        <v>0.0772587719297852</v>
      </c>
      <c r="Q93">
        <f ca="1" t="shared" si="60"/>
        <v>0.448284482196154</v>
      </c>
      <c r="R93">
        <f ca="1" t="shared" si="61"/>
        <v>0.21277697966198</v>
      </c>
      <c r="S93">
        <f ca="1" t="shared" si="96"/>
        <v>40626.8739476169</v>
      </c>
      <c r="T93">
        <f t="shared" si="97"/>
        <v>0.8</v>
      </c>
      <c r="U93">
        <f ca="1" t="shared" si="62"/>
        <v>1.7995442148</v>
      </c>
      <c r="V93">
        <f ca="1" t="shared" si="98"/>
        <v>90989.3839403679</v>
      </c>
      <c r="W93">
        <f ca="1">IF(G93="恒定伤害",0,MIN(1,IF(COUNTIF(F93,"*内会*")&gt;0,内会,IF(D93="轻剑",$Y$2,$Y$3)+COUNTIF(G93,"*莺鸣*")*0.2+COUNTIF(G93,"*叠1*")*0.1+COUNTIF(G93,"*叠2*")*0.2+COUNTIF(G93,"*叠3*")*0.3)+IFERROR(INDEX(技能数据库!$T$2:$W$27,MATCH(E93,技能数据库!$T$2:$T$27,0),2),0)+IF((IF(D93="轻剑",$AO$2,$AO$3)+INT(COUNTIF(G93,"*大莺鸣*")*IF(D93="轻剑",$AM$2,$AM$3)*听晓无双率)/无双系数)&gt;0.9,特效裤子会心/会心系数,0)))</f>
        <v>0.7343</v>
      </c>
      <c r="X93">
        <f ca="1">IF(G93="恒定伤害",0,IF(COUNTIF(F93,"*内会*")&gt;0,内会效,IF(D93="轻剑",$AB$2,$AB$3))+IFERROR(INDEX(技能数据库!$T$2:$W$27,MATCH(E93,技能数据库!$T$2:$T$27,0),3)/1024,0))+COUNTIF(G93,"*叠1*")*0.25+COUNTIF(G93,"*叠2*")*0.5+COUNTIF(G93,"*叠3*")*0.75</f>
        <v>2.3217485021</v>
      </c>
      <c r="Y93">
        <f ca="1" t="shared" si="99"/>
        <v>1.97055992509203</v>
      </c>
      <c r="Z93">
        <f t="shared" si="63"/>
        <v>0.150390625</v>
      </c>
      <c r="AA93">
        <f ca="1" t="shared" si="100"/>
        <v>0.0205078125</v>
      </c>
      <c r="AB93">
        <f ca="1" t="shared" si="101"/>
        <v>210495.123256712</v>
      </c>
      <c r="AC93">
        <f ca="1">无穷技能数计算!AJ85</f>
        <v>0.80078125</v>
      </c>
      <c r="AD93" s="164">
        <f ca="1" t="shared" si="102"/>
        <v>5.91215966860802e-5</v>
      </c>
      <c r="AE93" s="168">
        <f ca="1" t="shared" si="64"/>
        <v>0.00468586738617405</v>
      </c>
      <c r="AF93" s="168">
        <f ca="1" t="shared" si="65"/>
        <v>0</v>
      </c>
      <c r="AG93">
        <f ca="1" t="shared" si="93"/>
        <v>0.00393412406259963</v>
      </c>
      <c r="AH93">
        <f ca="1" t="shared" si="67"/>
        <v>1.00319662391994</v>
      </c>
      <c r="AI93">
        <f ca="1" t="shared" si="68"/>
        <v>1.00016101226475</v>
      </c>
      <c r="AJ93">
        <f ca="1" t="shared" si="80"/>
        <v>1.00057404545102</v>
      </c>
      <c r="AK93">
        <f ca="1" t="shared" si="103"/>
        <v>0.80078125</v>
      </c>
      <c r="AL93">
        <f ca="1" t="shared" si="81"/>
        <v>0.00496352538323674</v>
      </c>
      <c r="AM93">
        <f ca="1" t="shared" si="104"/>
        <v>0.80078125</v>
      </c>
      <c r="AN93" s="168">
        <f ca="1" t="shared" si="71"/>
        <v>0.00748399053993198</v>
      </c>
      <c r="AO93" s="168">
        <f ca="1" t="shared" si="72"/>
        <v>0.00447057613551372</v>
      </c>
      <c r="AP93" s="172">
        <f ca="1" t="shared" si="73"/>
        <v>0</v>
      </c>
      <c r="AQ93" s="168">
        <f ca="1" t="shared" si="74"/>
        <v>0.00401583628616287</v>
      </c>
      <c r="AR93">
        <f t="shared" si="77"/>
        <v>1</v>
      </c>
    </row>
    <row r="94" spans="4:55">
      <c r="D94" t="s">
        <v>1028</v>
      </c>
      <c r="E94" t="s">
        <v>2920</v>
      </c>
      <c r="G94" t="s">
        <v>3014</v>
      </c>
      <c r="H94">
        <f ca="1">INDEX(技能数据库!$B$2:$I$100,MATCH(无穷伤害与收益计算!$E94,技能数据库!$B$2:$B$100,0),MATCH(H$9,技能数据库!$B$2:$I$2,0))</f>
        <v>1</v>
      </c>
      <c r="I94">
        <f ca="1">INDEX(技能数据库!$B$2:$I$100,MATCH(无穷伤害与收益计算!$E94,技能数据库!$B$2:$B$100,0),MATCH(I$9,技能数据库!$B$2:$I$2,0))</f>
        <v>0.3125</v>
      </c>
      <c r="J94">
        <f ca="1">INDEX(技能数据库!$B$2:$I$100,MATCH(无穷伤害与收益计算!$E94,技能数据库!$B$2:$B$100,0),MATCH(J$9,技能数据库!$B$2:$I$2,0))</f>
        <v>0</v>
      </c>
      <c r="K94">
        <f ca="1">INDEX(技能数据库!$B$2:$I$100,MATCH(无穷伤害与收益计算!$E94,技能数据库!$B$2:$B$100,0),MATCH(K$9,技能数据库!$B$2:$I$2,0))</f>
        <v>0</v>
      </c>
      <c r="L94">
        <f ca="1" t="shared" si="58"/>
        <v>105847</v>
      </c>
      <c r="M94">
        <f ca="1" t="shared" si="94"/>
        <v>12694.5</v>
      </c>
      <c r="N94">
        <f ca="1" t="shared" si="95"/>
        <v>92028</v>
      </c>
      <c r="O94">
        <f ca="1" t="shared" si="59"/>
        <v>33078.1875</v>
      </c>
      <c r="P94">
        <f ca="1">IF(G94="恒定伤害",0,(IF(D94="轻剑",$AZ$2,$AZ$3)+IFERROR(INDEX(技能数据库!$T$2:$W$27,MATCH(E94,技能数据库!$T$2:$T$27,0),4),0)+COUNTIF(G94,"*造化2*")*154+COUNTIF(G94,"*造化1*")*102+COUNTIF(G94,"*碧归*")*307)/1024)</f>
        <v>0.0772587719297852</v>
      </c>
      <c r="Q94">
        <f ca="1" t="shared" si="60"/>
        <v>0.448284482196154</v>
      </c>
      <c r="R94">
        <f ca="1" t="shared" si="61"/>
        <v>0.21277697966198</v>
      </c>
      <c r="S94">
        <f ca="1" t="shared" si="96"/>
        <v>40626.8739476169</v>
      </c>
      <c r="T94">
        <f t="shared" si="97"/>
        <v>0.8</v>
      </c>
      <c r="U94">
        <f ca="1" t="shared" si="62"/>
        <v>1.7995442148</v>
      </c>
      <c r="V94">
        <f ca="1" t="shared" si="98"/>
        <v>90989.3839403679</v>
      </c>
      <c r="W94">
        <f ca="1">IF(G94="恒定伤害",0,MIN(1,IF(COUNTIF(F94,"*内会*")&gt;0,内会,IF(D94="轻剑",$Y$2,$Y$3)+COUNTIF(G94,"*莺鸣*")*0.2+COUNTIF(G94,"*叠1*")*0.1+COUNTIF(G94,"*叠2*")*0.2+COUNTIF(G94,"*叠3*")*0.3)+IFERROR(INDEX(技能数据库!$T$2:$W$27,MATCH(E94,技能数据库!$T$2:$T$27,0),2),0)+IF((IF(D94="轻剑",$AO$2,$AO$3)+INT(COUNTIF(G94,"*大莺鸣*")*IF(D94="轻剑",$AM$2,$AM$3)*听晓无双率)/无双系数)&gt;0.9,特效裤子会心/会心系数,0)))</f>
        <v>0.9343</v>
      </c>
      <c r="X94">
        <f ca="1">IF(G94="恒定伤害",0,IF(COUNTIF(F94,"*内会*")&gt;0,内会效,IF(D94="轻剑",$AB$2,$AB$3))+IFERROR(INDEX(技能数据库!$T$2:$W$27,MATCH(E94,技能数据库!$T$2:$T$27,0),3)/1024,0))+COUNTIF(G94,"*叠1*")*0.25+COUNTIF(G94,"*叠2*")*0.5+COUNTIF(G94,"*叠3*")*0.75</f>
        <v>2.3217485021</v>
      </c>
      <c r="Y94">
        <f ca="1" t="shared" si="99"/>
        <v>2.23490962551203</v>
      </c>
      <c r="Z94">
        <f t="shared" si="63"/>
        <v>0.150390625</v>
      </c>
      <c r="AA94">
        <f ca="1" t="shared" si="100"/>
        <v>0.0205078125</v>
      </c>
      <c r="AB94">
        <f ca="1" t="shared" si="101"/>
        <v>238732.946458249</v>
      </c>
      <c r="AC94">
        <f ca="1">无穷技能数计算!AJ86</f>
        <v>0</v>
      </c>
      <c r="AD94" s="164">
        <f ca="1" t="shared" si="102"/>
        <v>0</v>
      </c>
      <c r="AE94" s="168">
        <f ca="1" t="shared" si="64"/>
        <v>0.00468586738617405</v>
      </c>
      <c r="AF94" s="168">
        <f ca="1" t="shared" si="65"/>
        <v>0</v>
      </c>
      <c r="AG94">
        <f ca="1" t="shared" si="93"/>
        <v>0.00335815088034197</v>
      </c>
      <c r="AH94">
        <f ca="1" t="shared" si="67"/>
        <v>1.00319662391994</v>
      </c>
      <c r="AI94">
        <f ca="1" t="shared" si="68"/>
        <v>1.00016101226475</v>
      </c>
      <c r="AJ94">
        <f ca="1" t="shared" si="80"/>
        <v>0</v>
      </c>
      <c r="AK94">
        <f ca="1" t="shared" si="103"/>
        <v>0</v>
      </c>
      <c r="AL94">
        <f ca="1" t="shared" si="81"/>
        <v>0</v>
      </c>
      <c r="AM94">
        <f ca="1" t="shared" si="104"/>
        <v>0</v>
      </c>
      <c r="AN94" s="168">
        <f ca="1" t="shared" si="71"/>
        <v>0.00839606381672686</v>
      </c>
      <c r="AO94" s="168">
        <f ca="1" t="shared" si="72"/>
        <v>0.00447057613551372</v>
      </c>
      <c r="AP94" s="172">
        <f ca="1" t="shared" si="73"/>
        <v>0</v>
      </c>
      <c r="AQ94" s="168">
        <f ca="1" t="shared" si="74"/>
        <v>0.00401583628616287</v>
      </c>
      <c r="AR94">
        <f t="shared" si="77"/>
        <v>1</v>
      </c>
    </row>
    <row r="95" spans="4:55">
      <c r="D95" t="s">
        <v>1825</v>
      </c>
      <c r="E95" t="s">
        <v>2808</v>
      </c>
      <c r="G95" t="s">
        <v>3069</v>
      </c>
      <c r="H95">
        <f ca="1">INDEX(技能数据库!$B$2:$I$100,MATCH(无穷伤害与收益计算!$E95,技能数据库!$B$2:$B$100,0),MATCH(H$9,技能数据库!$B$2:$I$2,0))</f>
        <v>535</v>
      </c>
      <c r="I95">
        <f ca="1">INDEX(技能数据库!$B$2:$I$100,MATCH(无穷伤害与收益计算!$E95,技能数据库!$B$2:$B$100,0),MATCH(I$9,技能数据库!$B$2:$I$2,0))</f>
        <v>7.06875</v>
      </c>
      <c r="J95">
        <f ca="1">INDEX(技能数据库!$B$2:$I$100,MATCH(无穷伤害与收益计算!$E95,技能数据库!$B$2:$B$100,0),MATCH(J$9,技能数据库!$B$2:$I$2,0))</f>
        <v>2</v>
      </c>
      <c r="K95">
        <f ca="1">INDEX(技能数据库!$B$2:$I$100,MATCH(无穷伤害与收益计算!$E95,技能数据库!$B$2:$B$100,0),MATCH(K$9,技能数据库!$B$2:$I$2,0))</f>
        <v>0</v>
      </c>
      <c r="L95">
        <f ca="1" t="shared" si="58"/>
        <v>105847</v>
      </c>
      <c r="M95">
        <f ca="1" t="shared" ref="M95" si="105">IF(D95="轻剑",$AU$2+$AV$2,$AU$3+$AV$3)/2</f>
        <v>19530.5</v>
      </c>
      <c r="N95">
        <f ca="1" t="shared" ref="N95" si="106">IF(D95="轻剑",$AJ$2,$AJ$3)</f>
        <v>92028</v>
      </c>
      <c r="O95">
        <f ca="1" t="shared" ref="O95" si="107">H95+I95*L95+J95*M95+IF(K95&gt;0,MAX(1,K95*N95*破招全局系数),0)</f>
        <v>787801.98125</v>
      </c>
      <c r="P95">
        <f ca="1">IF(G95="恒定伤害",0,(IF(D95="轻剑",$AZ$2,$AZ$3)+IFERROR(INDEX(技能数据库!$T$2:$W$27,MATCH(E95,技能数据库!$T$2:$T$27,0),4),0)+COUNTIF(G95,"*造化2*")*154+COUNTIF(G95,"*造化1*")*102+COUNTIF(G95,"*碧归*")*307)/1024)</f>
        <v>0.397571271929785</v>
      </c>
      <c r="Q95">
        <f ca="1" t="shared" si="60"/>
        <v>0.448284482196154</v>
      </c>
      <c r="R95">
        <f ca="1" t="shared" ref="R95" si="108">IF(G95="恒定伤害",0,(($F$5-IF(D95="轻剑",$BB$2,$BB$3))*(1024-IF(D95="轻剑",$BD$2,$BD$3))/1024*(1024-IF(D95="轻剑",$BC$2,$BC$3)-COUNTIF(G95,"*雾锁*")*461*雾锁)/1024/(($F$5-IF(D95="轻剑",$BB$2,$BB$3))*(1024-IF(D95="轻剑",$BD$2,$BD$3))/1024*(1024-IF(D95="轻剑",$BC$2,$BC$3)-COUNTIF(G95,"*雾锁*")*461*雾锁)/1024+$F$7)))</f>
        <v>0.21277697966198</v>
      </c>
      <c r="S95">
        <f ca="1" t="shared" ref="S95" si="109">O95*(1+P95)*(1+Q95)*(1-R95)</f>
        <v>1255286.03220241</v>
      </c>
      <c r="T95">
        <f t="shared" si="97"/>
        <v>0.8</v>
      </c>
      <c r="U95">
        <f ca="1" t="shared" si="62"/>
        <v>1.7995442148</v>
      </c>
      <c r="V95">
        <f ca="1" t="shared" ref="V95" si="110">S95*T95*(1+U95)</f>
        <v>2811382.99949721</v>
      </c>
      <c r="W95">
        <f ca="1">IF(G95="恒定伤害",0,MIN(1,IF(COUNTIF(F95,"*内会*")&gt;0,内会,IF(D95="轻剑",$Y$2,$Y$3)+COUNTIF(G95,"*莺鸣*")*0.2+COUNTIF(G95,"*叠1*")*0.1+COUNTIF(G95,"*叠2*")*0.2+COUNTIF(G95,"*叠3*")*0.3)+IFERROR(INDEX(技能数据库!$T$2:$W$27,MATCH(E95,技能数据库!$T$2:$T$27,0),2),0)+IF((IF(D95="轻剑",$AO$2,$AO$3)+INT(COUNTIF(G95,"*大莺鸣*")*IF(D95="轻剑",$AM$2,$AM$3)*听晓无双率)/无双系数)&gt;0.9,特效裤子会心/会心系数,0)))</f>
        <v>0.7343</v>
      </c>
      <c r="X95">
        <f ca="1">IF(G95="恒定伤害",0,IF(COUNTIF(F95,"*内会*")&gt;0,内会效,IF(D95="轻剑",$AB$2,$AB$3))+IFERROR(INDEX(技能数据库!$T$2:$W$27,MATCH(E95,技能数据库!$T$2:$T$27,0),3)/1024,0))+COUNTIF(G95,"*叠1*")*0.25+COUNTIF(G95,"*叠2*")*0.5+COUNTIF(G95,"*叠3*")*0.75</f>
        <v>2.3217485021</v>
      </c>
      <c r="Y95">
        <f ca="1" t="shared" ref="Y95" si="111">1+W95*(X95-1)</f>
        <v>1.97055992509203</v>
      </c>
      <c r="Z95">
        <f t="shared" ref="Z95" si="112">IF(G95="恒定伤害",0,非侠士伤害/1024)</f>
        <v>0.150390625</v>
      </c>
      <c r="AA95">
        <f ca="1" t="shared" ref="AA95" si="113">IF(D95="轻剑",$BA$2,$BA$3)/1024</f>
        <v>0.0205078125</v>
      </c>
      <c r="AB95">
        <f ca="1" t="shared" ref="AB95" si="114">V95*Y95*(1+Z95)*(1+AA95)</f>
        <v>6503862.15812639</v>
      </c>
      <c r="AC95">
        <f ca="1">无穷技能数计算!AJ87</f>
        <v>0</v>
      </c>
      <c r="AD95" s="164">
        <f ca="1" t="shared" ref="AD95" si="115">IFERROR(AB95*AC95/$AD$7,0)</f>
        <v>0</v>
      </c>
      <c r="AE95" s="168">
        <f ca="1" t="shared" si="64"/>
        <v>0.00445048385691655</v>
      </c>
      <c r="AF95" s="168">
        <f ca="1" t="shared" ref="AF95" si="116">IFERROR((delta武伤+INT((IF(D95="轻剑",$AW$2,$AW$3))/1024*delta武伤))*J95/O95,0)</f>
        <v>0.00151370525637403</v>
      </c>
      <c r="AG95">
        <f ca="1" t="shared" ref="AG95" si="117">IF(G95="恒定伤害",0,MAX(0,AH95*AI95*IF(AJ95=0,1,AJ95)-1))</f>
        <v>0.0031975501401067</v>
      </c>
      <c r="AH95">
        <f ca="1" t="shared" ref="AH95" si="118">IFERROR((delta身法+INT((IF(D95="轻剑",$N$2,$N$3))/1024*delta身法))*身法转额外攻击*I95/O95+1,0)</f>
        <v>1.00303604903423</v>
      </c>
      <c r="AI95">
        <f ca="1" t="shared" ref="AI95" si="119">IFERROR(((delta身法+INT((IF(D95="轻剑",$N$2,$N$3))/1024*delta身法))*身法转额外破防/破防系数+Q95+1)/(1+Q95),0)</f>
        <v>1.00016101226475</v>
      </c>
      <c r="AJ95">
        <f ca="1" t="shared" ref="AJ95" si="120">IFERROR(((1+MIN(1,((delta身法+INT((IF(D95="轻剑",$N$2,$N$3))/1024*delta身法))*身法转基础会心/会心系数)+W95)*(X95-1))*AK95)/(Y95*AC95),0)</f>
        <v>0</v>
      </c>
      <c r="AK95">
        <f ca="1" t="shared" ref="AK95" si="121">AC95</f>
        <v>0</v>
      </c>
      <c r="AL95">
        <f ca="1" t="shared" ref="AL95" si="122">IF(G95="恒定伤害",0,IFERROR(((1+MIN(1,W95+delta会心/会心系数)*(X95-1))*AM95)/(Y95*AC95)-1,0))</f>
        <v>0</v>
      </c>
      <c r="AM95">
        <f ca="1" t="shared" ref="AM95" si="123">AC95</f>
        <v>0</v>
      </c>
      <c r="AN95" s="168">
        <f ca="1" t="shared" si="71"/>
        <v>0.00748399053993198</v>
      </c>
      <c r="AO95" s="168">
        <f ca="1" t="shared" si="72"/>
        <v>0.00447057613551372</v>
      </c>
      <c r="AP95" s="172">
        <f ca="1" t="shared" ref="AP95" si="124">IFERROR((delta破招+INT((IF(D95="轻剑",$AI$2,$AI$3))/1024*delta破招))*K95*破招全局系数/MAX(1,O95),0)</f>
        <v>0</v>
      </c>
      <c r="AQ95" s="168">
        <f ca="1" t="shared" ref="AQ95" si="125">IF(G95="恒定伤害",0,IFERROR(((delta无双+INT((IF(D95="轻剑",$AL$2,$AL$3)+COUNTIF(G95,"*大莺鸣*")*307)/1024*delta无双))/无双系数+U95+1)/(U95+1)-1,0))</f>
        <v>0.00401583628616287</v>
      </c>
      <c r="AR95">
        <f t="shared" ref="AR95" si="126">IF($AR$8="综合属性收益",1,COUNTIF(D95,LEFT($AR$8,2)))</f>
        <v>1</v>
      </c>
    </row>
    <row r="96" spans="4:55">
      <c r="D96" t="s">
        <v>1825</v>
      </c>
      <c r="E96" t="s">
        <v>2820</v>
      </c>
      <c r="G96" t="s">
        <v>2750</v>
      </c>
      <c r="H96">
        <f ca="1">INDEX(技能数据库!$B$2:$I$100,MATCH(无穷伤害与收益计算!$E96,技能数据库!$B$2:$B$100,0),MATCH(H$9,技能数据库!$B$2:$I$2,0))</f>
        <v>31590</v>
      </c>
      <c r="I96">
        <f ca="1">INDEX(技能数据库!$B$2:$I$100,MATCH(无穷伤害与收益计算!$E96,技能数据库!$B$2:$B$100,0),MATCH(I$9,技能数据库!$B$2:$I$2,0))</f>
        <v>0</v>
      </c>
      <c r="J96">
        <f ca="1">INDEX(技能数据库!$B$2:$I$100,MATCH(无穷伤害与收益计算!$E96,技能数据库!$B$2:$B$100,0),MATCH(J$9,技能数据库!$B$2:$I$2,0))</f>
        <v>0</v>
      </c>
      <c r="K96">
        <f ca="1">INDEX(技能数据库!$B$2:$I$100,MATCH(无穷伤害与收益计算!$E96,技能数据库!$B$2:$B$100,0),MATCH(K$9,技能数据库!$B$2:$I$2,0))</f>
        <v>0</v>
      </c>
      <c r="L96">
        <f ca="1" t="shared" si="58"/>
        <v>105847</v>
      </c>
      <c r="M96">
        <f ca="1" t="shared" ref="M96" si="127">IF(D96="轻剑",$AU$2+$AV$2,$AU$3+$AV$3)/2</f>
        <v>19530.5</v>
      </c>
      <c r="N96">
        <f ca="1" t="shared" ref="N96" si="128">IF(D96="轻剑",$AJ$2,$AJ$3)</f>
        <v>92028</v>
      </c>
      <c r="O96">
        <f ca="1" t="shared" ref="O96" si="129">H96+I96*L96+J96*M96+IF(K96&gt;0,MAX(1,K96*N96*破招全局系数),0)</f>
        <v>31590</v>
      </c>
      <c r="P96">
        <f ca="1">IF(G96="恒定伤害",0,(IF(D96="轻剑",$AZ$2,$AZ$3)+IFERROR(INDEX(技能数据库!$T$2:$W$27,MATCH(E96,技能数据库!$T$2:$T$27,0),4),0)+COUNTIF(G96,"*造化2*")*154+COUNTIF(G96,"*造化1*")*102+COUNTIF(G96,"*碧归*")*307)/1024)</f>
        <v>0.176868146929785</v>
      </c>
      <c r="Q96">
        <f ca="1" t="shared" si="60"/>
        <v>0.448284482196154</v>
      </c>
      <c r="R96">
        <f ca="1" t="shared" ref="R96" si="130">IF(G96="恒定伤害",0,(($F$5-IF(D96="轻剑",$BB$2,$BB$3))*(1024-IF(D96="轻剑",$BD$2,$BD$3))/1024*(1024-IF(D96="轻剑",$BC$2,$BC$3)-COUNTIF(G96,"*雾锁*")*461*雾锁)/1024/(($F$5-IF(D96="轻剑",$BB$2,$BB$3))*(1024-IF(D96="轻剑",$BD$2,$BD$3))/1024*(1024-IF(D96="轻剑",$BC$2,$BC$3)-COUNTIF(G96,"*雾锁*")*461*雾锁)/1024+$F$7)))</f>
        <v>0.21277697966198</v>
      </c>
      <c r="S96">
        <f ca="1" t="shared" ref="S96" si="131">O96*(1+P96)*(1+Q96)*(1-R96)</f>
        <v>42386.6503333707</v>
      </c>
      <c r="T96">
        <f t="shared" si="97"/>
        <v>0.8</v>
      </c>
      <c r="U96">
        <f ca="1" t="shared" si="62"/>
        <v>1.7995442148</v>
      </c>
      <c r="V96">
        <f ca="1" t="shared" ref="V96" si="132">S96*T96*(1+U96)</f>
        <v>94930.6413804307</v>
      </c>
      <c r="W96">
        <f ca="1">IF(G96="恒定伤害",0,MIN(1,IF(COUNTIF(F96,"*内会*")&gt;0,内会,IF(D96="轻剑",$Y$2,$Y$3)+COUNTIF(G96,"*莺鸣*")*0.2+COUNTIF(G96,"*叠1*")*0.1+COUNTIF(G96,"*叠2*")*0.2+COUNTIF(G96,"*叠3*")*0.3)+IFERROR(INDEX(技能数据库!$T$2:$W$27,MATCH(E96,技能数据库!$T$2:$T$27,0),2),0)+IF((IF(D96="轻剑",$AO$2,$AO$3)+INT(COUNTIF(G96,"*大莺鸣*")*IF(D96="轻剑",$AM$2,$AM$3)*听晓无双率)/无双系数)&gt;0.9,特效裤子会心/会心系数,0)))</f>
        <v>0.7343</v>
      </c>
      <c r="X96">
        <f ca="1">IF(G96="恒定伤害",0,IF(COUNTIF(F96,"*内会*")&gt;0,内会效,IF(D96="轻剑",$AB$2,$AB$3))+IFERROR(INDEX(技能数据库!$T$2:$W$27,MATCH(E96,技能数据库!$T$2:$T$27,0),3)/1024,0))+COUNTIF(G96,"*叠1*")*0.25+COUNTIF(G96,"*叠2*")*0.5+COUNTIF(G96,"*叠3*")*0.75</f>
        <v>2.3217485021</v>
      </c>
      <c r="Y96">
        <f ca="1" t="shared" ref="Y96" si="133">1+W96*(X96-1)</f>
        <v>1.97055992509203</v>
      </c>
      <c r="Z96">
        <f t="shared" ref="Z96" si="134">IF(G96="恒定伤害",0,非侠士伤害/1024)</f>
        <v>0.150390625</v>
      </c>
      <c r="AA96">
        <f ca="1" t="shared" ref="AA96" si="135">IF(D96="轻剑",$BA$2,$BA$3)/1024</f>
        <v>0.0205078125</v>
      </c>
      <c r="AB96">
        <f ca="1" t="shared" ref="AB96" si="136">V96*Y96*(1+Z96)*(1+AA96)</f>
        <v>219612.840452997</v>
      </c>
      <c r="AC96">
        <f ca="1">无穷技能数计算!AJ88</f>
        <v>0</v>
      </c>
      <c r="AD96" s="164">
        <f ca="1" t="shared" ref="AD96" si="137">IFERROR(AB96*AC96/$AD$7,0)</f>
        <v>0</v>
      </c>
      <c r="AE96" s="168">
        <f ca="1" t="shared" si="64"/>
        <v>0</v>
      </c>
      <c r="AF96" s="168">
        <f ca="1" t="shared" ref="AF96" si="138">IFERROR((delta武伤+INT((IF(D96="轻剑",$AW$2,$AW$3))/1024*delta武伤))*J96/O96,0)</f>
        <v>0</v>
      </c>
      <c r="AG96">
        <f ca="1" t="shared" ref="AG96" si="139">IF(G96="恒定伤害",0,MAX(0,AH96*AI96*IF(AJ96=0,1,AJ96)-1))</f>
        <v>0.000161012264749072</v>
      </c>
      <c r="AH96">
        <f ca="1" t="shared" ref="AH96" si="140">IFERROR((delta身法+INT((IF(D96="轻剑",$N$2,$N$3))/1024*delta身法))*身法转额外攻击*I96/O96+1,0)</f>
        <v>1</v>
      </c>
      <c r="AI96">
        <f ca="1" t="shared" ref="AI96" si="141">IFERROR(((delta身法+INT((IF(D96="轻剑",$N$2,$N$3))/1024*delta身法))*身法转额外破防/破防系数+Q96+1)/(1+Q96),0)</f>
        <v>1.00016101226475</v>
      </c>
      <c r="AJ96">
        <f ca="1" t="shared" ref="AJ96" si="142">IFERROR(((1+MIN(1,((delta身法+INT((IF(D96="轻剑",$N$2,$N$3))/1024*delta身法))*身法转基础会心/会心系数)+W96)*(X96-1))*AK96)/(Y96*AC96),0)</f>
        <v>0</v>
      </c>
      <c r="AK96">
        <f ca="1" t="shared" ref="AK96" si="143">AC96</f>
        <v>0</v>
      </c>
      <c r="AL96">
        <f ca="1" t="shared" ref="AL96" si="144">IF(G96="恒定伤害",0,IFERROR(((1+MIN(1,W96+delta会心/会心系数)*(X96-1))*AM96)/(Y96*AC96)-1,0))</f>
        <v>0</v>
      </c>
      <c r="AM96">
        <f ca="1" t="shared" ref="AM96" si="145">AC96</f>
        <v>0</v>
      </c>
      <c r="AN96" s="168">
        <f ca="1" t="shared" si="71"/>
        <v>0.00748399053993198</v>
      </c>
      <c r="AO96" s="168">
        <f ca="1" t="shared" si="72"/>
        <v>0.00447057613551372</v>
      </c>
      <c r="AP96" s="172">
        <f ca="1" t="shared" ref="AP96" si="146">IFERROR((delta破招+INT((IF(D96="轻剑",$AI$2,$AI$3))/1024*delta破招))*K96*破招全局系数/MAX(1,O96),0)</f>
        <v>0</v>
      </c>
      <c r="AQ96" s="168">
        <f ca="1" t="shared" ref="AQ96" si="147">IF(G96="恒定伤害",0,IFERROR(((delta无双+INT((IF(D96="轻剑",$AL$2,$AL$3)+COUNTIF(G96,"*大莺鸣*")*307)/1024*delta无双))/无双系数+U96+1)/(U96+1)-1,0))</f>
        <v>0.00401583628616287</v>
      </c>
      <c r="AR96">
        <f t="shared" ref="AR96" si="148">IF($AR$8="综合属性收益",1,COUNTIF(D96,LEFT($AR$8,2)))</f>
        <v>1</v>
      </c>
    </row>
    <row r="97" spans="4:55">
      <c r="D97" t="s">
        <v>1825</v>
      </c>
      <c r="E97" t="s">
        <v>2820</v>
      </c>
      <c r="G97" t="s">
        <v>3044</v>
      </c>
      <c r="H97">
        <f ca="1">INDEX(技能数据库!$B$2:$I$100,MATCH(无穷伤害与收益计算!$E97,技能数据库!$B$2:$B$100,0),MATCH(H$9,技能数据库!$B$2:$I$2,0))</f>
        <v>31590</v>
      </c>
      <c r="I97">
        <f ca="1">INDEX(技能数据库!$B$2:$I$100,MATCH(无穷伤害与收益计算!$E97,技能数据库!$B$2:$B$100,0),MATCH(I$9,技能数据库!$B$2:$I$2,0))</f>
        <v>0</v>
      </c>
      <c r="J97">
        <f ca="1">INDEX(技能数据库!$B$2:$I$100,MATCH(无穷伤害与收益计算!$E97,技能数据库!$B$2:$B$100,0),MATCH(J$9,技能数据库!$B$2:$I$2,0))</f>
        <v>0</v>
      </c>
      <c r="K97">
        <f ca="1">INDEX(技能数据库!$B$2:$I$100,MATCH(无穷伤害与收益计算!$E97,技能数据库!$B$2:$B$100,0),MATCH(K$9,技能数据库!$B$2:$I$2,0))</f>
        <v>0</v>
      </c>
      <c r="L97">
        <f ca="1" t="shared" si="58"/>
        <v>105847</v>
      </c>
      <c r="M97">
        <f ca="1" t="shared" ref="M97:M102" si="149">IF(D97="轻剑",$AU$2+$AV$2,$AU$3+$AV$3)/2</f>
        <v>19530.5</v>
      </c>
      <c r="N97">
        <f ca="1" t="shared" ref="N97:N102" si="150">IF(D97="轻剑",$AJ$2,$AJ$3)</f>
        <v>92028</v>
      </c>
      <c r="O97">
        <f ca="1" t="shared" ref="O97:O102" si="151">H97+I97*L97+J97*M97+IF(K97&gt;0,MAX(1,K97*N97*破招全局系数),0)</f>
        <v>31590</v>
      </c>
      <c r="P97">
        <f ca="1">IF(G97="恒定伤害",0,(IF(D97="轻剑",$AZ$2,$AZ$3)+IFERROR(INDEX(技能数据库!$T$2:$W$27,MATCH(E97,技能数据库!$T$2:$T$27,0),4),0)+COUNTIF(G97,"*造化2*")*154+COUNTIF(G97,"*造化1*")*102+COUNTIF(G97,"*碧归*")*307)/1024)</f>
        <v>0.176868146929785</v>
      </c>
      <c r="Q97">
        <f ca="1" t="shared" si="60"/>
        <v>0.448284482196154</v>
      </c>
      <c r="R97">
        <f ca="1" t="shared" ref="R97:R102" si="152">IF(G97="恒定伤害",0,(($F$5-IF(D97="轻剑",$BB$2,$BB$3))*(1024-IF(D97="轻剑",$BD$2,$BD$3))/1024*(1024-IF(D97="轻剑",$BC$2,$BC$3)-COUNTIF(G97,"*雾锁*")*461*雾锁)/1024/(($F$5-IF(D97="轻剑",$BB$2,$BB$3))*(1024-IF(D97="轻剑",$BD$2,$BD$3))/1024*(1024-IF(D97="轻剑",$BC$2,$BC$3)-COUNTIF(G97,"*雾锁*")*461*雾锁)/1024+$F$7)))</f>
        <v>0.21277697966198</v>
      </c>
      <c r="S97">
        <f ca="1" t="shared" ref="S97:S102" si="153">O97*(1+P97)*(1+Q97)*(1-R97)</f>
        <v>42386.6503333707</v>
      </c>
      <c r="T97">
        <f t="shared" si="97"/>
        <v>0.8</v>
      </c>
      <c r="U97">
        <f ca="1" t="shared" si="62"/>
        <v>2.68954760480339</v>
      </c>
      <c r="V97">
        <f ca="1" t="shared" ref="V97:V102" si="154">S97*T97*(1+U97)</f>
        <v>125110.051370501</v>
      </c>
      <c r="W97">
        <f ca="1">IF(G97="恒定伤害",0,MIN(1,IF(COUNTIF(F97,"*内会*")&gt;0,内会,IF(D97="轻剑",$Y$2,$Y$3)+COUNTIF(G97,"*莺鸣*")*0.2+COUNTIF(G97,"*叠1*")*0.1+COUNTIF(G97,"*叠2*")*0.2+COUNTIF(G97,"*叠3*")*0.3)+IFERROR(INDEX(技能数据库!$T$2:$W$27,MATCH(E97,技能数据库!$T$2:$T$27,0),2),0)+IF((IF(D97="轻剑",$AO$2,$AO$3)+INT(COUNTIF(G97,"*大莺鸣*")*IF(D97="轻剑",$AM$2,$AM$3)*听晓无双率)/无双系数)&gt;0.9,特效裤子会心/会心系数,0)))</f>
        <v>0.9343</v>
      </c>
      <c r="X97">
        <f ca="1">IF(G97="恒定伤害",0,IF(COUNTIF(F97,"*内会*")&gt;0,内会效,IF(D97="轻剑",$AB$2,$AB$3))+IFERROR(INDEX(技能数据库!$T$2:$W$27,MATCH(E97,技能数据库!$T$2:$T$27,0),3)/1024,0))+COUNTIF(G97,"*叠1*")*0.25+COUNTIF(G97,"*叠2*")*0.5+COUNTIF(G97,"*叠3*")*0.75</f>
        <v>2.3217485021</v>
      </c>
      <c r="Y97">
        <f ca="1" t="shared" ref="Y97:Y102" si="155">1+W97*(X97-1)</f>
        <v>2.23490962551203</v>
      </c>
      <c r="Z97">
        <f t="shared" ref="Z97:Z102" si="156">IF(G97="恒定伤害",0,非侠士伤害/1024)</f>
        <v>0.150390625</v>
      </c>
      <c r="AA97">
        <f ca="1" t="shared" ref="AA97:AA102" si="157">IF(D97="轻剑",$BA$2,$BA$3)/1024</f>
        <v>0.0205078125</v>
      </c>
      <c r="AB97">
        <f ca="1" t="shared" ref="AB97:AB102" si="158">V97*Y97*(1+Z97)*(1+AA97)</f>
        <v>328256.879009065</v>
      </c>
      <c r="AC97">
        <f ca="1">无穷技能数计算!AJ89</f>
        <v>0</v>
      </c>
      <c r="AD97" s="164">
        <f ca="1" t="shared" ref="AD97:AD102" si="159">IFERROR(AB97*AC97/$AD$7,0)</f>
        <v>0</v>
      </c>
      <c r="AE97" s="168">
        <f ca="1" t="shared" si="64"/>
        <v>0</v>
      </c>
      <c r="AF97" s="168">
        <f ca="1" t="shared" ref="AF97:AF102" si="160">IFERROR((delta武伤+INT((IF(D97="轻剑",$AW$2,$AW$3))/1024*delta武伤))*J97/O97,0)</f>
        <v>0</v>
      </c>
      <c r="AG97">
        <f ca="1" t="shared" ref="AG97:AG102" si="161">IF(G97="恒定伤害",0,MAX(0,AH97*AI97*IF(AJ97=0,1,AJ97)-1))</f>
        <v>0.000161012264749072</v>
      </c>
      <c r="AH97">
        <f ca="1" t="shared" ref="AH97:AH102" si="162">IFERROR((delta身法+INT((IF(D97="轻剑",$N$2,$N$3))/1024*delta身法))*身法转额外攻击*I97/O97+1,0)</f>
        <v>1</v>
      </c>
      <c r="AI97">
        <f ca="1" t="shared" ref="AI97:AI102" si="163">IFERROR(((delta身法+INT((IF(D97="轻剑",$N$2,$N$3))/1024*delta身法))*身法转额外破防/破防系数+Q97+1)/(1+Q97),0)</f>
        <v>1.00016101226475</v>
      </c>
      <c r="AJ97">
        <f ca="1" t="shared" ref="AJ97:AJ102" si="164">IFERROR(((1+MIN(1,((delta身法+INT((IF(D97="轻剑",$N$2,$N$3))/1024*delta身法))*身法转基础会心/会心系数)+W97)*(X97-1))*AK97)/(Y97*AC97),0)</f>
        <v>0</v>
      </c>
      <c r="AK97">
        <f ca="1" t="shared" ref="AK97:AK102" si="165">AC97</f>
        <v>0</v>
      </c>
      <c r="AL97">
        <f ca="1" t="shared" ref="AL97:AL102" si="166">IF(G97="恒定伤害",0,IFERROR(((1+MIN(1,W97+delta会心/会心系数)*(X97-1))*AM97)/(Y97*AC97)-1,0))</f>
        <v>0</v>
      </c>
      <c r="AM97">
        <f ca="1" t="shared" ref="AM97:AM102" si="167">AC97</f>
        <v>0</v>
      </c>
      <c r="AN97" s="168">
        <f ca="1" t="shared" si="71"/>
        <v>0.00839606381672686</v>
      </c>
      <c r="AO97" s="168">
        <f ca="1" t="shared" si="72"/>
        <v>0.00447057613551372</v>
      </c>
      <c r="AP97" s="172">
        <f ca="1" t="shared" ref="AP97:AP102" si="168">IFERROR((delta破招+INT((IF(D97="轻剑",$AI$2,$AI$3))/1024*delta破招))*K97*破招全局系数/MAX(1,O97),0)</f>
        <v>0</v>
      </c>
      <c r="AQ97" s="168">
        <f ca="1" t="shared" ref="AQ97:AQ102" si="169">IF(G97="恒定伤害",0,IFERROR(((delta无双+INT((IF(D97="轻剑",$AL$2,$AL$3)+COUNTIF(G97,"*大莺鸣*")*307)/1024*delta无双))/无双系数+U97+1)/(U97+1)-1,0))</f>
        <v>0.00393951131463699</v>
      </c>
      <c r="AR97">
        <f t="shared" ref="AR97:AR102" si="170">IF($AR$8="综合属性收益",1,COUNTIF(D97,LEFT($AR$8,2)))</f>
        <v>1</v>
      </c>
    </row>
    <row r="98" spans="4:55">
      <c r="D98" t="s">
        <v>1825</v>
      </c>
      <c r="E98" t="s">
        <v>2768</v>
      </c>
      <c r="G98" t="s">
        <v>3234</v>
      </c>
      <c r="H98">
        <f ca="1">INDEX(技能数据库!$B$2:$I$100,MATCH(无穷伤害与收益计算!$E98,技能数据库!$B$2:$B$100,0),MATCH(H$9,技能数据库!$B$2:$I$2,0))</f>
        <v>210</v>
      </c>
      <c r="I98">
        <f ca="1">INDEX(技能数据库!$B$2:$I$100,MATCH(无穷伤害与收益计算!$E98,技能数据库!$B$2:$B$100,0),MATCH(I$9,技能数据库!$B$2:$I$2,0))</f>
        <v>5.7875</v>
      </c>
      <c r="J98">
        <f ca="1">INDEX(技能数据库!$B$2:$I$100,MATCH(无穷伤害与收益计算!$E98,技能数据库!$B$2:$B$100,0),MATCH(J$9,技能数据库!$B$2:$I$2,0))</f>
        <v>2</v>
      </c>
      <c r="K98">
        <f ca="1">INDEX(技能数据库!$B$2:$I$100,MATCH(无穷伤害与收益计算!$E98,技能数据库!$B$2:$B$100,0),MATCH(K$9,技能数据库!$B$2:$I$2,0))</f>
        <v>0</v>
      </c>
      <c r="L98">
        <f ca="1" t="shared" si="58"/>
        <v>105847</v>
      </c>
      <c r="M98">
        <f ca="1" t="shared" si="149"/>
        <v>19530.5</v>
      </c>
      <c r="N98">
        <f ca="1" t="shared" si="150"/>
        <v>92028</v>
      </c>
      <c r="O98">
        <f ca="1" t="shared" si="151"/>
        <v>651860.5125</v>
      </c>
      <c r="P98">
        <f ca="1">IF(G98="恒定伤害",0,(IF(D98="轻剑",$AZ$2,$AZ$3)+IFERROR(INDEX(技能数据库!$T$2:$W$27,MATCH(E98,技能数据库!$T$2:$T$27,0),4),0)+COUNTIF(G98,"*造化2*")*154+COUNTIF(G98,"*造化1*")*102+COUNTIF(G98,"*碧归*")*307)/1024)</f>
        <v>0.747180646929785</v>
      </c>
      <c r="Q98">
        <f ca="1" t="shared" si="60"/>
        <v>0.448284482196154</v>
      </c>
      <c r="R98">
        <f ca="1" t="shared" si="152"/>
        <v>0.21277697966198</v>
      </c>
      <c r="S98">
        <f ca="1" t="shared" si="153"/>
        <v>1298506.55725373</v>
      </c>
      <c r="T98">
        <f t="shared" si="97"/>
        <v>0.8</v>
      </c>
      <c r="U98">
        <f ca="1" t="shared" si="62"/>
        <v>1.7995442148</v>
      </c>
      <c r="V98">
        <f ca="1" t="shared" si="154"/>
        <v>2908181.21619164</v>
      </c>
      <c r="W98">
        <f ca="1">IF(G98="恒定伤害",0,MIN(1,IF(COUNTIF(F98,"*内会*")&gt;0,内会,IF(D98="轻剑",$Y$2,$Y$3)+COUNTIF(G98,"*莺鸣*")*0.2+COUNTIF(G98,"*叠1*")*0.1+COUNTIF(G98,"*叠2*")*0.2+COUNTIF(G98,"*叠3*")*0.3)+IFERROR(INDEX(技能数据库!$T$2:$W$27,MATCH(E98,技能数据库!$T$2:$T$27,0),2),0)+IF((IF(D98="轻剑",$AO$2,$AO$3)+INT(COUNTIF(G98,"*大莺鸣*")*IF(D98="轻剑",$AM$2,$AM$3)*听晓无双率)/无双系数)&gt;0.9,特效裤子会心/会心系数,0)))</f>
        <v>0.7343</v>
      </c>
      <c r="X98">
        <f ca="1">IF(G98="恒定伤害",0,IF(COUNTIF(F98,"*内会*")&gt;0,内会效,IF(D98="轻剑",$AB$2,$AB$3))+IFERROR(INDEX(技能数据库!$T$2:$W$27,MATCH(E98,技能数据库!$T$2:$T$27,0),3)/1024,0))+COUNTIF(G98,"*叠1*")*0.25+COUNTIF(G98,"*叠2*")*0.5+COUNTIF(G98,"*叠3*")*0.75</f>
        <v>2.3217485021</v>
      </c>
      <c r="Y98">
        <f ca="1" t="shared" si="155"/>
        <v>1.97055992509203</v>
      </c>
      <c r="Z98">
        <f t="shared" si="156"/>
        <v>0.150390625</v>
      </c>
      <c r="AA98">
        <f ca="1" t="shared" si="157"/>
        <v>0.0205078125</v>
      </c>
      <c r="AB98">
        <f ca="1" t="shared" si="158"/>
        <v>6727795.4531081</v>
      </c>
      <c r="AC98">
        <f ca="1">无穷技能数计算!AJ90</f>
        <v>0</v>
      </c>
      <c r="AD98" s="164">
        <f ca="1" t="shared" si="159"/>
        <v>0</v>
      </c>
      <c r="AE98" s="168">
        <f ca="1" t="shared" si="64"/>
        <v>0.00440370285506441</v>
      </c>
      <c r="AF98" s="168">
        <f ca="1" t="shared" si="160"/>
        <v>0.00182937910355477</v>
      </c>
      <c r="AG98">
        <f ca="1" t="shared" si="161"/>
        <v>0.00316563174908713</v>
      </c>
      <c r="AH98">
        <f ca="1" t="shared" si="162"/>
        <v>1.00300413578163</v>
      </c>
      <c r="AI98">
        <f ca="1" t="shared" si="163"/>
        <v>1.00016101226475</v>
      </c>
      <c r="AJ98">
        <f ca="1" t="shared" si="164"/>
        <v>0</v>
      </c>
      <c r="AK98">
        <f ca="1" t="shared" si="165"/>
        <v>0</v>
      </c>
      <c r="AL98">
        <f ca="1" t="shared" si="166"/>
        <v>0</v>
      </c>
      <c r="AM98">
        <f ca="1" t="shared" si="167"/>
        <v>0</v>
      </c>
      <c r="AN98" s="168">
        <f ca="1" t="shared" si="71"/>
        <v>0.00748399053993198</v>
      </c>
      <c r="AO98" s="168">
        <f ca="1" t="shared" si="72"/>
        <v>0.00447057613551372</v>
      </c>
      <c r="AP98" s="172">
        <f ca="1" t="shared" si="168"/>
        <v>0</v>
      </c>
      <c r="AQ98" s="168">
        <f ca="1" t="shared" si="169"/>
        <v>0.00401583628616287</v>
      </c>
      <c r="AR98">
        <f t="shared" si="170"/>
        <v>1</v>
      </c>
      <c r="AX98" s="167"/>
      <c r="AY98" s="167"/>
      <c r="AZ98" s="164"/>
      <c r="BB98" s="167"/>
      <c r="BC98" s="164"/>
    </row>
    <row r="99" spans="4:55">
      <c r="D99" t="s">
        <v>1825</v>
      </c>
      <c r="E99" t="s">
        <v>2776</v>
      </c>
      <c r="G99" t="s">
        <v>3234</v>
      </c>
      <c r="H99">
        <f ca="1">INDEX(技能数据库!$B$2:$I$100,MATCH(无穷伤害与收益计算!$E99,技能数据库!$B$2:$B$100,0),MATCH(H$9,技能数据库!$B$2:$I$2,0))</f>
        <v>281.5</v>
      </c>
      <c r="I99">
        <f ca="1">INDEX(技能数据库!$B$2:$I$100,MATCH(无穷伤害与收益计算!$E99,技能数据库!$B$2:$B$100,0),MATCH(I$9,技能数据库!$B$2:$I$2,0))</f>
        <v>7.06875</v>
      </c>
      <c r="J99">
        <f ca="1">INDEX(技能数据库!$B$2:$I$100,MATCH(无穷伤害与收益计算!$E99,技能数据库!$B$2:$B$100,0),MATCH(J$9,技能数据库!$B$2:$I$2,0))</f>
        <v>2</v>
      </c>
      <c r="K99">
        <f ca="1">INDEX(技能数据库!$B$2:$I$100,MATCH(无穷伤害与收益计算!$E99,技能数据库!$B$2:$B$100,0),MATCH(K$9,技能数据库!$B$2:$I$2,0))</f>
        <v>0</v>
      </c>
      <c r="L99">
        <f ca="1" t="shared" si="58"/>
        <v>105847</v>
      </c>
      <c r="M99">
        <f ca="1" t="shared" si="149"/>
        <v>19530.5</v>
      </c>
      <c r="N99">
        <f ca="1" t="shared" si="150"/>
        <v>92028</v>
      </c>
      <c r="O99">
        <f ca="1" t="shared" si="151"/>
        <v>787548.48125</v>
      </c>
      <c r="P99">
        <f ca="1">IF(G99="恒定伤害",0,(IF(D99="轻剑",$AZ$2,$AZ$3)+IFERROR(INDEX(技能数据库!$T$2:$W$27,MATCH(E99,技能数据库!$T$2:$T$27,0),4),0)+COUNTIF(G99,"*造化2*")*154+COUNTIF(G99,"*造化1*")*102+COUNTIF(G99,"*碧归*")*307)/1024)</f>
        <v>0.697375959429785</v>
      </c>
      <c r="Q99">
        <f ca="1" t="shared" si="60"/>
        <v>0.448284482196154</v>
      </c>
      <c r="R99">
        <f ca="1" t="shared" si="152"/>
        <v>0.21277697966198</v>
      </c>
      <c r="S99">
        <f ca="1" t="shared" si="153"/>
        <v>1524077.34686146</v>
      </c>
      <c r="T99">
        <f t="shared" si="97"/>
        <v>0.8</v>
      </c>
      <c r="U99">
        <f ca="1" t="shared" si="62"/>
        <v>1.7995442148</v>
      </c>
      <c r="V99">
        <f ca="1" t="shared" si="154"/>
        <v>3413377.53545098</v>
      </c>
      <c r="W99">
        <f ca="1">IF(G99="恒定伤害",0,MIN(1,IF(COUNTIF(F99,"*内会*")&gt;0,内会,IF(D99="轻剑",$Y$2,$Y$3)+COUNTIF(G99,"*莺鸣*")*0.2+COUNTIF(G99,"*叠1*")*0.1+COUNTIF(G99,"*叠2*")*0.2+COUNTIF(G99,"*叠3*")*0.3)+IFERROR(INDEX(技能数据库!$T$2:$W$27,MATCH(E99,技能数据库!$T$2:$T$27,0),2),0)+IF((IF(D99="轻剑",$AO$2,$AO$3)+INT(COUNTIF(G99,"*大莺鸣*")*IF(D99="轻剑",$AM$2,$AM$3)*听晓无双率)/无双系数)&gt;0.9,特效裤子会心/会心系数,0)))</f>
        <v>0.7343</v>
      </c>
      <c r="X99">
        <f ca="1">IF(G99="恒定伤害",0,IF(COUNTIF(F99,"*内会*")&gt;0,内会效,IF(D99="轻剑",$AB$2,$AB$3))+IFERROR(INDEX(技能数据库!$T$2:$W$27,MATCH(E99,技能数据库!$T$2:$T$27,0),3)/1024,0))+COUNTIF(G99,"*叠1*")*0.25+COUNTIF(G99,"*叠2*")*0.5+COUNTIF(G99,"*叠3*")*0.75</f>
        <v>2.3217485021</v>
      </c>
      <c r="Y99">
        <f ca="1" t="shared" si="155"/>
        <v>1.97055992509203</v>
      </c>
      <c r="Z99">
        <f t="shared" si="156"/>
        <v>0.150390625</v>
      </c>
      <c r="AA99">
        <f ca="1" t="shared" si="157"/>
        <v>0.0205078125</v>
      </c>
      <c r="AB99">
        <f ca="1" t="shared" si="158"/>
        <v>7896518.18631208</v>
      </c>
      <c r="AC99">
        <f ca="1">无穷技能数计算!AJ91</f>
        <v>0</v>
      </c>
      <c r="AD99" s="164">
        <f ca="1" t="shared" si="159"/>
        <v>0</v>
      </c>
      <c r="AE99" s="168">
        <f ca="1" t="shared" si="64"/>
        <v>0.00445191640067048</v>
      </c>
      <c r="AF99" s="168">
        <f ca="1" t="shared" si="160"/>
        <v>0.00151419249530805</v>
      </c>
      <c r="AG99">
        <f ca="1" t="shared" si="161"/>
        <v>0.00319852755593519</v>
      </c>
      <c r="AH99">
        <f ca="1" t="shared" si="162"/>
        <v>1.0030370262927</v>
      </c>
      <c r="AI99">
        <f ca="1" t="shared" si="163"/>
        <v>1.00016101226475</v>
      </c>
      <c r="AJ99">
        <f ca="1" t="shared" si="164"/>
        <v>0</v>
      </c>
      <c r="AK99">
        <f ca="1" t="shared" si="165"/>
        <v>0</v>
      </c>
      <c r="AL99">
        <f ca="1" t="shared" si="166"/>
        <v>0</v>
      </c>
      <c r="AM99">
        <f ca="1" t="shared" si="167"/>
        <v>0</v>
      </c>
      <c r="AN99" s="168">
        <f ca="1" t="shared" si="71"/>
        <v>0.00748399053993198</v>
      </c>
      <c r="AO99" s="168">
        <f ca="1" t="shared" si="72"/>
        <v>0.00447057613551372</v>
      </c>
      <c r="AP99" s="172">
        <f ca="1" t="shared" si="168"/>
        <v>0</v>
      </c>
      <c r="AQ99" s="168">
        <f ca="1" t="shared" si="169"/>
        <v>0.00401583628616287</v>
      </c>
      <c r="AR99">
        <f t="shared" si="170"/>
        <v>1</v>
      </c>
    </row>
    <row r="100" spans="4:55">
      <c r="D100" t="s">
        <v>1825</v>
      </c>
      <c r="E100" t="s">
        <v>2780</v>
      </c>
      <c r="G100" t="s">
        <v>3234</v>
      </c>
      <c r="H100">
        <f ca="1">INDEX(技能数据库!$B$2:$I$100,MATCH(无穷伤害与收益计算!$E100,技能数据库!$B$2:$B$100,0),MATCH(H$9,技能数据库!$B$2:$I$2,0))</f>
        <v>252.5</v>
      </c>
      <c r="I100">
        <f ca="1">INDEX(技能数据库!$B$2:$I$100,MATCH(无穷伤害与收益计算!$E100,技能数据库!$B$2:$B$100,0),MATCH(I$9,技能数据库!$B$2:$I$2,0))</f>
        <v>2.11875</v>
      </c>
      <c r="J100">
        <f ca="1">INDEX(技能数据库!$B$2:$I$100,MATCH(无穷伤害与收益计算!$E100,技能数据库!$B$2:$B$100,0),MATCH(J$9,技能数据库!$B$2:$I$2,0))</f>
        <v>2</v>
      </c>
      <c r="K100">
        <f ca="1">INDEX(技能数据库!$B$2:$I$100,MATCH(无穷伤害与收益计算!$E100,技能数据库!$B$2:$B$100,0),MATCH(K$9,技能数据库!$B$2:$I$2,0))</f>
        <v>0</v>
      </c>
      <c r="L100">
        <f ca="1" t="shared" si="58"/>
        <v>105847</v>
      </c>
      <c r="M100">
        <f ca="1" t="shared" si="149"/>
        <v>19530.5</v>
      </c>
      <c r="N100">
        <f ca="1" t="shared" si="150"/>
        <v>92028</v>
      </c>
      <c r="O100">
        <f ca="1" t="shared" si="151"/>
        <v>263576.83125</v>
      </c>
      <c r="P100">
        <f ca="1">IF(G100="恒定伤害",0,(IF(D100="轻剑",$AZ$2,$AZ$3)+IFERROR(INDEX(技能数据库!$T$2:$W$27,MATCH(E100,技能数据库!$T$2:$T$27,0),4),0)+COUNTIF(G100,"*造化2*")*154+COUNTIF(G100,"*造化1*")*102+COUNTIF(G100,"*碧归*")*307)/1024)</f>
        <v>0.697375959429785</v>
      </c>
      <c r="Q100">
        <f ca="1" t="shared" si="60"/>
        <v>0.448284482196154</v>
      </c>
      <c r="R100">
        <f ca="1" t="shared" si="152"/>
        <v>0.21277697966198</v>
      </c>
      <c r="S100">
        <f ca="1" t="shared" si="153"/>
        <v>510078.410700573</v>
      </c>
      <c r="T100">
        <f t="shared" si="97"/>
        <v>0.8</v>
      </c>
      <c r="U100">
        <f ca="1" t="shared" si="62"/>
        <v>1.7995442148</v>
      </c>
      <c r="V100">
        <f ca="1" t="shared" si="154"/>
        <v>1142389.65101693</v>
      </c>
      <c r="W100">
        <f ca="1">IF(G100="恒定伤害",0,MIN(1,IF(COUNTIF(F100,"*内会*")&gt;0,内会,IF(D100="轻剑",$Y$2,$Y$3)+COUNTIF(G100,"*莺鸣*")*0.2+COUNTIF(G100,"*叠1*")*0.1+COUNTIF(G100,"*叠2*")*0.2+COUNTIF(G100,"*叠3*")*0.3)+IFERROR(INDEX(技能数据库!$T$2:$W$27,MATCH(E100,技能数据库!$T$2:$T$27,0),2),0)+IF((IF(D100="轻剑",$AO$2,$AO$3)+INT(COUNTIF(G100,"*大莺鸣*")*IF(D100="轻剑",$AM$2,$AM$3)*听晓无双率)/无双系数)&gt;0.9,特效裤子会心/会心系数,0)))</f>
        <v>0.7343</v>
      </c>
      <c r="X100">
        <f ca="1">IF(G100="恒定伤害",0,IF(COUNTIF(F100,"*内会*")&gt;0,内会效,IF(D100="轻剑",$AB$2,$AB$3))+IFERROR(INDEX(技能数据库!$T$2:$W$27,MATCH(E100,技能数据库!$T$2:$T$27,0),3)/1024,0))+COUNTIF(G100,"*叠1*")*0.25+COUNTIF(G100,"*叠2*")*0.5+COUNTIF(G100,"*叠3*")*0.75</f>
        <v>2.3217485021</v>
      </c>
      <c r="Y100">
        <f ca="1" t="shared" si="155"/>
        <v>1.97055992509203</v>
      </c>
      <c r="Z100">
        <f t="shared" si="156"/>
        <v>0.150390625</v>
      </c>
      <c r="AA100">
        <f ca="1" t="shared" si="157"/>
        <v>0.0205078125</v>
      </c>
      <c r="AB100">
        <f ca="1" t="shared" si="158"/>
        <v>2642807.76486627</v>
      </c>
      <c r="AC100">
        <f ca="1">无穷技能数计算!AJ92</f>
        <v>0</v>
      </c>
      <c r="AD100" s="164">
        <f ca="1" t="shared" si="159"/>
        <v>0</v>
      </c>
      <c r="AE100" s="168">
        <f ca="1" t="shared" si="64"/>
        <v>0.00398707274465726</v>
      </c>
      <c r="AF100" s="168">
        <f ca="1" t="shared" si="160"/>
        <v>0.00452429750499931</v>
      </c>
      <c r="AG100">
        <f ca="1" t="shared" si="161"/>
        <v>0.00288136757670965</v>
      </c>
      <c r="AH100">
        <f ca="1" t="shared" si="162"/>
        <v>1.0027199173719</v>
      </c>
      <c r="AI100">
        <f ca="1" t="shared" si="163"/>
        <v>1.00016101226475</v>
      </c>
      <c r="AJ100">
        <f ca="1" t="shared" si="164"/>
        <v>0</v>
      </c>
      <c r="AK100">
        <f ca="1" t="shared" si="165"/>
        <v>0</v>
      </c>
      <c r="AL100">
        <f ca="1" t="shared" si="166"/>
        <v>0</v>
      </c>
      <c r="AM100">
        <f ca="1" t="shared" si="167"/>
        <v>0</v>
      </c>
      <c r="AN100" s="168">
        <f ca="1" t="shared" si="71"/>
        <v>0.00748399053993198</v>
      </c>
      <c r="AO100" s="168">
        <f ca="1" t="shared" si="72"/>
        <v>0.00447057613551372</v>
      </c>
      <c r="AP100" s="172">
        <f ca="1" t="shared" si="168"/>
        <v>0</v>
      </c>
      <c r="AQ100" s="168">
        <f ca="1" t="shared" si="169"/>
        <v>0.00401583628616287</v>
      </c>
      <c r="AR100">
        <f t="shared" si="170"/>
        <v>1</v>
      </c>
    </row>
    <row r="101" spans="4:55">
      <c r="D101" t="s">
        <v>1825</v>
      </c>
      <c r="E101" t="s">
        <v>2794</v>
      </c>
      <c r="G101" t="s">
        <v>2948</v>
      </c>
      <c r="H101">
        <f ca="1">INDEX(技能数据库!$B$2:$I$100,MATCH(无穷伤害与收益计算!$E101,技能数据库!$B$2:$B$100,0),MATCH(H$9,技能数据库!$B$2:$I$2,0))</f>
        <v>231.5</v>
      </c>
      <c r="I101">
        <f ca="1">INDEX(技能数据库!$B$2:$I$100,MATCH(无穷伤害与收益计算!$E101,技能数据库!$B$2:$B$100,0),MATCH(I$9,技能数据库!$B$2:$I$2,0))</f>
        <v>2.71875</v>
      </c>
      <c r="J101">
        <f ca="1">INDEX(技能数据库!$B$2:$I$100,MATCH(无穷伤害与收益计算!$E101,技能数据库!$B$2:$B$100,0),MATCH(J$9,技能数据库!$B$2:$I$2,0))</f>
        <v>2</v>
      </c>
      <c r="K101">
        <f ca="1">INDEX(技能数据库!$B$2:$I$100,MATCH(无穷伤害与收益计算!$E101,技能数据库!$B$2:$B$100,0),MATCH(K$9,技能数据库!$B$2:$I$2,0))</f>
        <v>0</v>
      </c>
      <c r="L101">
        <f ca="1" t="shared" si="58"/>
        <v>91975</v>
      </c>
      <c r="M101">
        <f ca="1" t="shared" si="149"/>
        <v>19530.5</v>
      </c>
      <c r="N101">
        <f ca="1" t="shared" si="150"/>
        <v>92028</v>
      </c>
      <c r="O101">
        <f ca="1" t="shared" si="151"/>
        <v>289349.53125</v>
      </c>
      <c r="P101">
        <f ca="1">IF(G101="恒定伤害",0,(IF(D101="轻剑",$AZ$2,$AZ$3)+IFERROR(INDEX(技能数据库!$T$2:$W$27,MATCH(E101,技能数据库!$T$2:$T$27,0),4),0)+COUNTIF(G101,"*造化2*")*154+COUNTIF(G101,"*造化1*")*102+COUNTIF(G101,"*碧归*")*307)/1024)</f>
        <v>0.296985334429785</v>
      </c>
      <c r="Q101">
        <f ca="1" t="shared" si="60"/>
        <v>0.448284482196154</v>
      </c>
      <c r="R101">
        <f ca="1" t="shared" si="152"/>
        <v>0.32958230397716</v>
      </c>
      <c r="S101">
        <f ca="1" t="shared" si="153"/>
        <v>364382.234809136</v>
      </c>
      <c r="T101">
        <f t="shared" si="97"/>
        <v>0.8</v>
      </c>
      <c r="U101">
        <f ca="1" t="shared" si="62"/>
        <v>2.68954760480339</v>
      </c>
      <c r="V101">
        <f ca="1" t="shared" si="154"/>
        <v>1075524.48133836</v>
      </c>
      <c r="W101">
        <f ca="1">IF(G101="恒定伤害",0,MIN(1,IF(COUNTIF(F101,"*内会*")&gt;0,内会,IF(D101="轻剑",$Y$2,$Y$3)+COUNTIF(G101,"*莺鸣*")*0.2+COUNTIF(G101,"*叠1*")*0.1+COUNTIF(G101,"*叠2*")*0.2+COUNTIF(G101,"*叠3*")*0.3)+IFERROR(INDEX(技能数据库!$T$2:$W$27,MATCH(E101,技能数据库!$T$2:$T$27,0),2),0)+IF((IF(D101="轻剑",$AO$2,$AO$3)+INT(COUNTIF(G101,"*大莺鸣*")*IF(D101="轻剑",$AM$2,$AM$3)*听晓无双率)/无双系数)&gt;0.9,特效裤子会心/会心系数,0)))</f>
        <v>0.9343</v>
      </c>
      <c r="X101">
        <f ca="1">IF(G101="恒定伤害",0,IF(COUNTIF(F101,"*内会*")&gt;0,内会效,IF(D101="轻剑",$AB$2,$AB$3))+IFERROR(INDEX(技能数据库!$T$2:$W$27,MATCH(E101,技能数据库!$T$2:$T$27,0),3)/1024,0))+COUNTIF(G101,"*叠1*")*0.25+COUNTIF(G101,"*叠2*")*0.5+COUNTIF(G101,"*叠3*")*0.75</f>
        <v>2.3217485021</v>
      </c>
      <c r="Y101">
        <f ca="1" t="shared" si="155"/>
        <v>2.23490962551203</v>
      </c>
      <c r="Z101">
        <f t="shared" si="156"/>
        <v>0.150390625</v>
      </c>
      <c r="AA101">
        <f ca="1" t="shared" si="157"/>
        <v>0.0205078125</v>
      </c>
      <c r="AB101">
        <f ca="1" t="shared" si="158"/>
        <v>2821902.04283792</v>
      </c>
      <c r="AC101">
        <f ca="1">无穷技能数计算!AJ93</f>
        <v>0</v>
      </c>
      <c r="AD101" s="164">
        <f ca="1" t="shared" si="159"/>
        <v>0</v>
      </c>
      <c r="AE101" s="168">
        <f ca="1" t="shared" si="64"/>
        <v>0.00390876734831413</v>
      </c>
      <c r="AF101" s="168">
        <f ca="1" t="shared" si="160"/>
        <v>0.00412131305293068</v>
      </c>
      <c r="AG101">
        <f ca="1" t="shared" si="161"/>
        <v>0.00334081105743711</v>
      </c>
      <c r="AH101">
        <f ca="1" t="shared" si="162"/>
        <v>1.00317928688851</v>
      </c>
      <c r="AI101">
        <f ca="1" t="shared" si="163"/>
        <v>1.00016101226475</v>
      </c>
      <c r="AJ101">
        <f ca="1" t="shared" si="164"/>
        <v>0</v>
      </c>
      <c r="AK101">
        <f ca="1" t="shared" si="165"/>
        <v>0</v>
      </c>
      <c r="AL101">
        <f ca="1" t="shared" si="166"/>
        <v>0</v>
      </c>
      <c r="AM101">
        <f ca="1" t="shared" si="167"/>
        <v>0</v>
      </c>
      <c r="AN101" s="168">
        <f ca="1" t="shared" si="71"/>
        <v>0.00839606381672686</v>
      </c>
      <c r="AO101" s="168">
        <f ca="1" t="shared" si="72"/>
        <v>0.00447057613551372</v>
      </c>
      <c r="AP101" s="172">
        <f ca="1" t="shared" si="168"/>
        <v>0</v>
      </c>
      <c r="AQ101" s="168">
        <f ca="1" t="shared" si="169"/>
        <v>0.00393951131463699</v>
      </c>
      <c r="AR101">
        <f t="shared" si="170"/>
        <v>1</v>
      </c>
    </row>
    <row r="102" spans="4:55">
      <c r="D102" t="s">
        <v>1825</v>
      </c>
      <c r="E102" t="s">
        <v>2798</v>
      </c>
      <c r="G102" t="s">
        <v>2948</v>
      </c>
      <c r="H102">
        <f ca="1">INDEX(技能数据库!$B$2:$I$100,MATCH(无穷伤害与收益计算!$E102,技能数据库!$B$2:$B$100,0),MATCH(H$9,技能数据库!$B$2:$I$2,0))</f>
        <v>1504.5</v>
      </c>
      <c r="I102">
        <f ca="1">INDEX(技能数据库!$B$2:$I$100,MATCH(无穷伤害与收益计算!$E102,技能数据库!$B$2:$B$100,0),MATCH(I$9,技能数据库!$B$2:$I$2,0))</f>
        <v>2.85625</v>
      </c>
      <c r="J102">
        <f ca="1">INDEX(技能数据库!$B$2:$I$100,MATCH(无穷伤害与收益计算!$E102,技能数据库!$B$2:$B$100,0),MATCH(J$9,技能数据库!$B$2:$I$2,0))</f>
        <v>0</v>
      </c>
      <c r="K102">
        <f ca="1">INDEX(技能数据库!$B$2:$I$100,MATCH(无穷伤害与收益计算!$E102,技能数据库!$B$2:$B$100,0),MATCH(K$9,技能数据库!$B$2:$I$2,0))</f>
        <v>0</v>
      </c>
      <c r="L102">
        <f ca="1" t="shared" si="58"/>
        <v>91975</v>
      </c>
      <c r="M102">
        <f ca="1" t="shared" si="149"/>
        <v>19530.5</v>
      </c>
      <c r="N102">
        <f ca="1" t="shared" si="150"/>
        <v>92028</v>
      </c>
      <c r="O102">
        <f ca="1" t="shared" si="151"/>
        <v>264208.09375</v>
      </c>
      <c r="P102">
        <f ca="1">IF(G102="恒定伤害",0,(IF(D102="轻剑",$AZ$2,$AZ$3)+IFERROR(INDEX(技能数据库!$T$2:$W$27,MATCH(E102,技能数据库!$T$2:$T$27,0),4),0)+COUNTIF(G102,"*造化2*")*154+COUNTIF(G102,"*造化1*")*102+COUNTIF(G102,"*碧归*")*307)/1024)</f>
        <v>0.176868146929785</v>
      </c>
      <c r="Q102">
        <f ca="1" t="shared" si="60"/>
        <v>0.448284482196154</v>
      </c>
      <c r="R102">
        <f ca="1" t="shared" si="152"/>
        <v>0.32958230397716</v>
      </c>
      <c r="S102">
        <f ca="1" t="shared" si="153"/>
        <v>301907.062571432</v>
      </c>
      <c r="T102">
        <f t="shared" si="97"/>
        <v>0.8</v>
      </c>
      <c r="U102">
        <f ca="1" t="shared" si="62"/>
        <v>2.68954760480339</v>
      </c>
      <c r="V102">
        <f ca="1" t="shared" si="154"/>
        <v>891120.383666923</v>
      </c>
      <c r="W102">
        <f ca="1">IF(G102="恒定伤害",0,MIN(1,IF(COUNTIF(F102,"*内会*")&gt;0,内会,IF(D102="轻剑",$Y$2,$Y$3)+COUNTIF(G102,"*莺鸣*")*0.2+COUNTIF(G102,"*叠1*")*0.1+COUNTIF(G102,"*叠2*")*0.2+COUNTIF(G102,"*叠3*")*0.3)+IFERROR(INDEX(技能数据库!$T$2:$W$27,MATCH(E102,技能数据库!$T$2:$T$27,0),2),0)+IF((IF(D102="轻剑",$AO$2,$AO$3)+INT(COUNTIF(G102,"*大莺鸣*")*IF(D102="轻剑",$AM$2,$AM$3)*听晓无双率)/无双系数)&gt;0.9,特效裤子会心/会心系数,0)))</f>
        <v>0.9343</v>
      </c>
      <c r="X102">
        <f ca="1">IF(G102="恒定伤害",0,IF(COUNTIF(F102,"*内会*")&gt;0,内会效,IF(D102="轻剑",$AB$2,$AB$3))+IFERROR(INDEX(技能数据库!$T$2:$W$27,MATCH(E102,技能数据库!$T$2:$T$27,0),3)/1024,0))+COUNTIF(G102,"*叠1*")*0.25+COUNTIF(G102,"*叠2*")*0.5+COUNTIF(G102,"*叠3*")*0.75</f>
        <v>2.3217485021</v>
      </c>
      <c r="Y102">
        <f ca="1" t="shared" si="155"/>
        <v>2.23490962551203</v>
      </c>
      <c r="Z102">
        <f t="shared" si="156"/>
        <v>0.150390625</v>
      </c>
      <c r="AA102">
        <f ca="1" t="shared" si="157"/>
        <v>0.0205078125</v>
      </c>
      <c r="AB102">
        <f ca="1" t="shared" si="158"/>
        <v>2338072.70286866</v>
      </c>
      <c r="AC102">
        <f ca="1">无穷技能数计算!AJ94</f>
        <v>0</v>
      </c>
      <c r="AD102" s="164">
        <f ca="1" t="shared" si="159"/>
        <v>0</v>
      </c>
      <c r="AE102" s="168">
        <f ca="1" t="shared" si="64"/>
        <v>0.00449721272022917</v>
      </c>
      <c r="AF102" s="168">
        <f ca="1" t="shared" si="160"/>
        <v>0</v>
      </c>
      <c r="AG102">
        <f ca="1" t="shared" si="161"/>
        <v>0.00381951385973744</v>
      </c>
      <c r="AH102">
        <f ca="1" t="shared" si="162"/>
        <v>1.00365791262619</v>
      </c>
      <c r="AI102">
        <f ca="1" t="shared" si="163"/>
        <v>1.00016101226475</v>
      </c>
      <c r="AJ102">
        <f ca="1" t="shared" si="164"/>
        <v>0</v>
      </c>
      <c r="AK102">
        <f ca="1" t="shared" si="165"/>
        <v>0</v>
      </c>
      <c r="AL102">
        <f ca="1" t="shared" si="166"/>
        <v>0</v>
      </c>
      <c r="AM102">
        <f ca="1" t="shared" si="167"/>
        <v>0</v>
      </c>
      <c r="AN102" s="168">
        <f ca="1" t="shared" si="71"/>
        <v>0.00839606381672686</v>
      </c>
      <c r="AO102" s="168">
        <f ca="1" t="shared" si="72"/>
        <v>0.00447057613551372</v>
      </c>
      <c r="AP102" s="172">
        <f ca="1" t="shared" si="168"/>
        <v>0</v>
      </c>
      <c r="AQ102" s="168">
        <f ca="1" t="shared" si="169"/>
        <v>0.00393951131463699</v>
      </c>
      <c r="AR102">
        <f t="shared" si="170"/>
        <v>1</v>
      </c>
    </row>
    <row r="103" spans="4:55">
      <c r="D103" t="s">
        <v>1825</v>
      </c>
      <c r="E103" t="s">
        <v>2776</v>
      </c>
      <c r="G103" t="s">
        <v>3101</v>
      </c>
      <c r="H103">
        <f ca="1">INDEX(技能数据库!$B$2:$I$100,MATCH(无穷伤害与收益计算!$E103,技能数据库!$B$2:$B$100,0),MATCH(H$9,技能数据库!$B$2:$I$2,0))</f>
        <v>281.5</v>
      </c>
      <c r="I103">
        <f ca="1">INDEX(技能数据库!$B$2:$I$100,MATCH(无穷伤害与收益计算!$E103,技能数据库!$B$2:$B$100,0),MATCH(I$9,技能数据库!$B$2:$I$2,0))</f>
        <v>7.06875</v>
      </c>
      <c r="J103">
        <f ca="1">INDEX(技能数据库!$B$2:$I$100,MATCH(无穷伤害与收益计算!$E103,技能数据库!$B$2:$B$100,0),MATCH(J$9,技能数据库!$B$2:$I$2,0))</f>
        <v>2</v>
      </c>
      <c r="K103">
        <f ca="1">INDEX(技能数据库!$B$2:$I$100,MATCH(无穷伤害与收益计算!$E103,技能数据库!$B$2:$B$100,0),MATCH(K$9,技能数据库!$B$2:$I$2,0))</f>
        <v>0</v>
      </c>
      <c r="L103">
        <f ca="1" t="shared" si="58"/>
        <v>91975</v>
      </c>
      <c r="M103">
        <f ca="1" t="shared" ref="M103:M106" si="171">IF(D103="轻剑",$AU$2+$AV$2,$AU$3+$AV$3)/2</f>
        <v>19530.5</v>
      </c>
      <c r="N103">
        <f ca="1" t="shared" ref="N103:N106" si="172">IF(D103="轻剑",$AJ$2,$AJ$3)</f>
        <v>92028</v>
      </c>
      <c r="O103">
        <f ca="1" t="shared" ref="O103:O106" si="173">H103+I103*L103+J103*M103+IF(K103&gt;0,MAX(1,K103*N103*破招全局系数),0)</f>
        <v>689490.78125</v>
      </c>
      <c r="P103">
        <f ca="1">IF(G103="恒定伤害",0,(IF(D103="轻剑",$AZ$2,$AZ$3)+IFERROR(INDEX(技能数据库!$T$2:$W$27,MATCH(E103,技能数据库!$T$2:$T$27,0),4),0)+COUNTIF(G103,"*造化2*")*154+COUNTIF(G103,"*造化1*")*102+COUNTIF(G103,"*碧归*")*307)/1024)</f>
        <v>0.397571271929785</v>
      </c>
      <c r="Q103">
        <f ca="1" t="shared" si="60"/>
        <v>0.448284482196154</v>
      </c>
      <c r="R103">
        <f ca="1" t="shared" ref="R103:R106" si="174">IF(G103="恒定伤害",0,(($F$5-IF(D103="轻剑",$BB$2,$BB$3))*(1024-IF(D103="轻剑",$BD$2,$BD$3))/1024*(1024-IF(D103="轻剑",$BC$2,$BC$3)-COUNTIF(G103,"*雾锁*")*461*雾锁)/1024/(($F$5-IF(D103="轻剑",$BB$2,$BB$3))*(1024-IF(D103="轻剑",$BD$2,$BD$3))/1024*(1024-IF(D103="轻剑",$BC$2,$BC$3)-COUNTIF(G103,"*雾锁*")*461*雾锁)/1024+$F$7)))</f>
        <v>0.32958230397716</v>
      </c>
      <c r="S103">
        <f ca="1" t="shared" ref="S103:S106" si="175">O103*(1+P103)*(1+Q103)*(1-R103)</f>
        <v>935624.908718113</v>
      </c>
      <c r="T103">
        <f t="shared" si="97"/>
        <v>0.8</v>
      </c>
      <c r="U103">
        <f ca="1" t="shared" si="62"/>
        <v>2.68954760480339</v>
      </c>
      <c r="V103">
        <f ca="1" t="shared" ref="V103:V106" si="176">S103*T103*(1+U103)</f>
        <v>2761626.11276424</v>
      </c>
      <c r="W103">
        <f ca="1">IF(G103="恒定伤害",0,MIN(1,IF(COUNTIF(F103,"*内会*")&gt;0,内会,IF(D103="轻剑",$Y$2,$Y$3)+COUNTIF(G103,"*莺鸣*")*0.2+COUNTIF(G103,"*叠1*")*0.1+COUNTIF(G103,"*叠2*")*0.2+COUNTIF(G103,"*叠3*")*0.3)+IFERROR(INDEX(技能数据库!$T$2:$W$27,MATCH(E103,技能数据库!$T$2:$T$27,0),2),0)+IF((IF(D103="轻剑",$AO$2,$AO$3)+INT(COUNTIF(G103,"*大莺鸣*")*IF(D103="轻剑",$AM$2,$AM$3)*听晓无双率)/无双系数)&gt;0.9,特效裤子会心/会心系数,0)))</f>
        <v>0.9343</v>
      </c>
      <c r="X103">
        <f ca="1">IF(G103="恒定伤害",0,IF(COUNTIF(F103,"*内会*")&gt;0,内会效,IF(D103="轻剑",$AB$2,$AB$3))+IFERROR(INDEX(技能数据库!$T$2:$W$27,MATCH(E103,技能数据库!$T$2:$T$27,0),3)/1024,0))+COUNTIF(G103,"*叠1*")*0.25+COUNTIF(G103,"*叠2*")*0.5+COUNTIF(G103,"*叠3*")*0.75</f>
        <v>2.3217485021</v>
      </c>
      <c r="Y103">
        <f ca="1" t="shared" ref="Y103:Y106" si="177">1+W103*(X103-1)</f>
        <v>2.23490962551203</v>
      </c>
      <c r="Z103">
        <f t="shared" ref="Z103:Z106" si="178">IF(G103="恒定伤害",0,非侠士伤害/1024)</f>
        <v>0.150390625</v>
      </c>
      <c r="AA103">
        <f ca="1" t="shared" ref="AA103:AA106" si="179">IF(D103="轻剑",$BA$2,$BA$3)/1024</f>
        <v>0.0205078125</v>
      </c>
      <c r="AB103">
        <f ca="1" t="shared" ref="AB103:AB106" si="180">V103*Y103*(1+Z103)*(1+AA103)</f>
        <v>7245802.86584127</v>
      </c>
      <c r="AC103">
        <f ca="1">无穷技能数计算!AJ95</f>
        <v>0</v>
      </c>
      <c r="AD103" s="164">
        <f ca="1" t="shared" ref="AD103:AD106" si="181">IFERROR(AB103*AC103/$AD$7,0)</f>
        <v>0</v>
      </c>
      <c r="AE103" s="168">
        <f ca="1" t="shared" si="64"/>
        <v>0.004264886609026</v>
      </c>
      <c r="AF103" s="168">
        <f ca="1" t="shared" ref="AF103:AF106" si="182">IFERROR((delta武伤+INT((IF(D103="轻剑",$AW$2,$AW$3))/1024*delta武伤))*J103/O103,0)</f>
        <v>0.00172953726493352</v>
      </c>
      <c r="AG103">
        <f ca="1" t="shared" ref="AG103:AG106" si="183">IF(G103="恒定伤害",0,MAX(0,AH103*AI103*IF(AJ103=0,1,AJ103)-1))</f>
        <v>0.00363051558430105</v>
      </c>
      <c r="AH103">
        <f ca="1" t="shared" ref="AH103:AH106" si="184">IFERROR((delta身法+INT((IF(D103="轻剑",$N$2,$N$3))/1024*delta身法))*身法转额外攻击*I103/O103+1,0)</f>
        <v>1.0034689447769</v>
      </c>
      <c r="AI103">
        <f ca="1" t="shared" ref="AI103:AI106" si="185">IFERROR(((delta身法+INT((IF(D103="轻剑",$N$2,$N$3))/1024*delta身法))*身法转额外破防/破防系数+Q103+1)/(1+Q103),0)</f>
        <v>1.00016101226475</v>
      </c>
      <c r="AJ103">
        <f ca="1" t="shared" ref="AJ103:AJ106" si="186">IFERROR(((1+MIN(1,((delta身法+INT((IF(D103="轻剑",$N$2,$N$3))/1024*delta身法))*身法转基础会心/会心系数)+W103)*(X103-1))*AK103)/(Y103*AC103),0)</f>
        <v>0</v>
      </c>
      <c r="AK103">
        <f ca="1" t="shared" ref="AK103:AK106" si="187">AC103</f>
        <v>0</v>
      </c>
      <c r="AL103">
        <f ca="1" t="shared" ref="AL103:AL106" si="188">IF(G103="恒定伤害",0,IFERROR(((1+MIN(1,W103+delta会心/会心系数)*(X103-1))*AM103)/(Y103*AC103)-1,0))</f>
        <v>0</v>
      </c>
      <c r="AM103">
        <f ca="1" t="shared" ref="AM103:AM106" si="189">AC103</f>
        <v>0</v>
      </c>
      <c r="AN103" s="168">
        <f ca="1" t="shared" si="71"/>
        <v>0.00839606381672686</v>
      </c>
      <c r="AO103" s="168">
        <f ca="1" t="shared" si="72"/>
        <v>0.00447057613551372</v>
      </c>
      <c r="AP103" s="172">
        <f ca="1" t="shared" ref="AP103:AP106" si="190">IFERROR((delta破招+INT((IF(D103="轻剑",$AI$2,$AI$3))/1024*delta破招))*K103*破招全局系数/MAX(1,O103),0)</f>
        <v>0</v>
      </c>
      <c r="AQ103" s="168">
        <f ca="1" t="shared" ref="AQ103:AQ106" si="191">IF(G103="恒定伤害",0,IFERROR(((delta无双+INT((IF(D103="轻剑",$AL$2,$AL$3)+COUNTIF(G103,"*大莺鸣*")*307)/1024*delta无双))/无双系数+U103+1)/(U103+1)-1,0))</f>
        <v>0.00393951131463699</v>
      </c>
      <c r="AR103">
        <f t="shared" ref="AR103:AR106" si="192">IF($AR$8="综合属性收益",1,COUNTIF(D103,LEFT($AR$8,2)))</f>
        <v>1</v>
      </c>
    </row>
    <row r="104" spans="4:55">
      <c r="D104" t="s">
        <v>1825</v>
      </c>
      <c r="E104" t="s">
        <v>2780</v>
      </c>
      <c r="G104" t="s">
        <v>3101</v>
      </c>
      <c r="H104">
        <f ca="1">INDEX(技能数据库!$B$2:$I$100,MATCH(无穷伤害与收益计算!$E104,技能数据库!$B$2:$B$100,0),MATCH(H$9,技能数据库!$B$2:$I$2,0))</f>
        <v>252.5</v>
      </c>
      <c r="I104">
        <f ca="1">INDEX(技能数据库!$B$2:$I$100,MATCH(无穷伤害与收益计算!$E104,技能数据库!$B$2:$B$100,0),MATCH(I$9,技能数据库!$B$2:$I$2,0))</f>
        <v>2.11875</v>
      </c>
      <c r="J104">
        <f ca="1">INDEX(技能数据库!$B$2:$I$100,MATCH(无穷伤害与收益计算!$E104,技能数据库!$B$2:$B$100,0),MATCH(J$9,技能数据库!$B$2:$I$2,0))</f>
        <v>2</v>
      </c>
      <c r="K104">
        <f ca="1">INDEX(技能数据库!$B$2:$I$100,MATCH(无穷伤害与收益计算!$E104,技能数据库!$B$2:$B$100,0),MATCH(K$9,技能数据库!$B$2:$I$2,0))</f>
        <v>0</v>
      </c>
      <c r="L104">
        <f ca="1" t="shared" si="58"/>
        <v>91975</v>
      </c>
      <c r="M104">
        <f ca="1" t="shared" si="171"/>
        <v>19530.5</v>
      </c>
      <c r="N104">
        <f ca="1" t="shared" si="172"/>
        <v>92028</v>
      </c>
      <c r="O104">
        <f ca="1" t="shared" si="173"/>
        <v>234185.53125</v>
      </c>
      <c r="P104">
        <f ca="1">IF(G104="恒定伤害",0,(IF(D104="轻剑",$AZ$2,$AZ$3)+IFERROR(INDEX(技能数据库!$T$2:$W$27,MATCH(E104,技能数据库!$T$2:$T$27,0),4),0)+COUNTIF(G104,"*造化2*")*154+COUNTIF(G104,"*造化1*")*102+COUNTIF(G104,"*碧归*")*307)/1024)</f>
        <v>0.397571271929785</v>
      </c>
      <c r="Q104">
        <f ca="1" t="shared" si="60"/>
        <v>0.448284482196154</v>
      </c>
      <c r="R104">
        <f ca="1" t="shared" si="174"/>
        <v>0.32958230397716</v>
      </c>
      <c r="S104">
        <f ca="1" t="shared" si="175"/>
        <v>317784.983146044</v>
      </c>
      <c r="T104">
        <f t="shared" si="97"/>
        <v>0.8</v>
      </c>
      <c r="U104">
        <f ca="1" t="shared" si="62"/>
        <v>2.68954760480339</v>
      </c>
      <c r="V104">
        <f ca="1" t="shared" si="176"/>
        <v>937986.258727179</v>
      </c>
      <c r="W104">
        <f ca="1">IF(G104="恒定伤害",0,MIN(1,IF(COUNTIF(F104,"*内会*")&gt;0,内会,IF(D104="轻剑",$Y$2,$Y$3)+COUNTIF(G104,"*莺鸣*")*0.2+COUNTIF(G104,"*叠1*")*0.1+COUNTIF(G104,"*叠2*")*0.2+COUNTIF(G104,"*叠3*")*0.3)+IFERROR(INDEX(技能数据库!$T$2:$W$27,MATCH(E104,技能数据库!$T$2:$T$27,0),2),0)+IF((IF(D104="轻剑",$AO$2,$AO$3)+INT(COUNTIF(G104,"*大莺鸣*")*IF(D104="轻剑",$AM$2,$AM$3)*听晓无双率)/无双系数)&gt;0.9,特效裤子会心/会心系数,0)))</f>
        <v>0.9343</v>
      </c>
      <c r="X104">
        <f ca="1">IF(G104="恒定伤害",0,IF(COUNTIF(F104,"*内会*")&gt;0,内会效,IF(D104="轻剑",$AB$2,$AB$3))+IFERROR(INDEX(技能数据库!$T$2:$W$27,MATCH(E104,技能数据库!$T$2:$T$27,0),3)/1024,0))+COUNTIF(G104,"*叠1*")*0.25+COUNTIF(G104,"*叠2*")*0.5+COUNTIF(G104,"*叠3*")*0.75</f>
        <v>2.3217485021</v>
      </c>
      <c r="Y104">
        <f ca="1" t="shared" si="177"/>
        <v>2.23490962551203</v>
      </c>
      <c r="Z104">
        <f t="shared" si="178"/>
        <v>0.150390625</v>
      </c>
      <c r="AA104">
        <f ca="1" t="shared" si="179"/>
        <v>0.0205078125</v>
      </c>
      <c r="AB104">
        <f ca="1" t="shared" si="180"/>
        <v>2461036.81095419</v>
      </c>
      <c r="AC104">
        <f ca="1">无穷技能数计算!AJ96</f>
        <v>0</v>
      </c>
      <c r="AD104" s="164">
        <f ca="1" t="shared" si="181"/>
        <v>0</v>
      </c>
      <c r="AE104" s="168">
        <f ca="1" t="shared" si="64"/>
        <v>0.0037636825609823</v>
      </c>
      <c r="AF104" s="168">
        <f ca="1" t="shared" si="182"/>
        <v>0.00509211646695188</v>
      </c>
      <c r="AG104">
        <f ca="1" t="shared" si="183"/>
        <v>0.00322278396846398</v>
      </c>
      <c r="AH104">
        <f ca="1" t="shared" si="184"/>
        <v>1.00306127880028</v>
      </c>
      <c r="AI104">
        <f ca="1" t="shared" si="185"/>
        <v>1.00016101226475</v>
      </c>
      <c r="AJ104">
        <f ca="1" t="shared" si="186"/>
        <v>0</v>
      </c>
      <c r="AK104">
        <f ca="1" t="shared" si="187"/>
        <v>0</v>
      </c>
      <c r="AL104">
        <f ca="1" t="shared" si="188"/>
        <v>0</v>
      </c>
      <c r="AM104">
        <f ca="1" t="shared" si="189"/>
        <v>0</v>
      </c>
      <c r="AN104" s="168">
        <f ca="1" t="shared" si="71"/>
        <v>0.00839606381672686</v>
      </c>
      <c r="AO104" s="168">
        <f ca="1" t="shared" si="72"/>
        <v>0.00447057613551372</v>
      </c>
      <c r="AP104" s="172">
        <f ca="1" t="shared" si="190"/>
        <v>0</v>
      </c>
      <c r="AQ104" s="168">
        <f ca="1" t="shared" si="191"/>
        <v>0.00393951131463699</v>
      </c>
      <c r="AR104">
        <f t="shared" si="192"/>
        <v>1</v>
      </c>
      <c r="AX104" s="167"/>
      <c r="AY104" s="167"/>
      <c r="AZ104" s="164"/>
      <c r="BB104" s="167"/>
      <c r="BC104" s="164"/>
    </row>
    <row r="105" spans="4:55">
      <c r="D105" t="s">
        <v>1825</v>
      </c>
      <c r="E105" s="161" t="s">
        <v>2783</v>
      </c>
      <c r="G105" t="s">
        <v>2948</v>
      </c>
      <c r="H105">
        <f ca="1">INDEX(技能数据库!$B$2:$I$100,MATCH(无穷伤害与收益计算!$E105,技能数据库!$B$2:$B$100,0),MATCH(H$9,技能数据库!$B$2:$I$2,0))</f>
        <v>0</v>
      </c>
      <c r="I105">
        <f ca="1">INDEX(技能数据库!$B$2:$I$100,MATCH(无穷伤害与收益计算!$E105,技能数据库!$B$2:$B$100,0),MATCH(I$9,技能数据库!$B$2:$I$2,0))</f>
        <v>0</v>
      </c>
      <c r="J105">
        <f ca="1">INDEX(技能数据库!$B$2:$I$100,MATCH(无穷伤害与收益计算!$E105,技能数据库!$B$2:$B$100,0),MATCH(J$9,技能数据库!$B$2:$I$2,0))</f>
        <v>0</v>
      </c>
      <c r="K105">
        <f ca="1">INDEX(技能数据库!$B$2:$I$100,MATCH(无穷伤害与收益计算!$E105,技能数据库!$B$2:$B$100,0),MATCH(K$9,技能数据库!$B$2:$I$2,0))</f>
        <v>1.28127956390381</v>
      </c>
      <c r="L105">
        <f ca="1" t="shared" si="58"/>
        <v>91975</v>
      </c>
      <c r="M105">
        <f ca="1" t="shared" si="171"/>
        <v>19530.5</v>
      </c>
      <c r="N105">
        <f ca="1" t="shared" si="172"/>
        <v>92028</v>
      </c>
      <c r="O105">
        <f ca="1" t="shared" si="173"/>
        <v>1006274.62576302</v>
      </c>
      <c r="P105">
        <f ca="1">IF(G105="恒定伤害",0,(IF(D105="轻剑",$AZ$2,$AZ$3)+IFERROR(INDEX(技能数据库!$T$2:$W$27,MATCH(E105,技能数据库!$T$2:$T$27,0),4),0)+COUNTIF(G105,"*造化2*")*154+COUNTIF(G105,"*造化1*")*102+COUNTIF(G105,"*碧归*")*307)/1024)</f>
        <v>0.176868146929785</v>
      </c>
      <c r="Q105">
        <f ca="1" t="shared" si="60"/>
        <v>0.448284482196154</v>
      </c>
      <c r="R105">
        <f ca="1" t="shared" si="174"/>
        <v>0.32958230397716</v>
      </c>
      <c r="S105">
        <f ca="1" t="shared" si="175"/>
        <v>1149856.58498314</v>
      </c>
      <c r="T105">
        <f t="shared" si="97"/>
        <v>0.8</v>
      </c>
      <c r="U105">
        <f ca="1" t="shared" si="62"/>
        <v>2.68954760480339</v>
      </c>
      <c r="V105">
        <f ca="1" t="shared" si="176"/>
        <v>3393960.48719357</v>
      </c>
      <c r="W105">
        <f ca="1">IF(G105="恒定伤害",0,MIN(1,IF(COUNTIF(F105,"*内会*")&gt;0,内会,IF(D105="轻剑",$Y$2,$Y$3)+COUNTIF(G105,"*莺鸣*")*0.2+COUNTIF(G105,"*叠1*")*0.1+COUNTIF(G105,"*叠2*")*0.2+COUNTIF(G105,"*叠3*")*0.3)+IFERROR(INDEX(技能数据库!$T$2:$W$27,MATCH(E105,技能数据库!$T$2:$T$27,0),2),0)+IF((IF(D105="轻剑",$AO$2,$AO$3)+INT(COUNTIF(G105,"*大莺鸣*")*IF(D105="轻剑",$AM$2,$AM$3)*听晓无双率)/无双系数)&gt;0.9,特效裤子会心/会心系数,0)))</f>
        <v>0.9343</v>
      </c>
      <c r="X105">
        <f ca="1">IF(G105="恒定伤害",0,IF(COUNTIF(F105,"*内会*")&gt;0,内会效,IF(D105="轻剑",$AB$2,$AB$3))+IFERROR(INDEX(技能数据库!$T$2:$W$27,MATCH(E105,技能数据库!$T$2:$T$27,0),3)/1024,0))+COUNTIF(G105,"*叠1*")*0.25+COUNTIF(G105,"*叠2*")*0.5+COUNTIF(G105,"*叠3*")*0.75</f>
        <v>2.3217485021</v>
      </c>
      <c r="Y105">
        <f ca="1" t="shared" si="177"/>
        <v>2.23490962551203</v>
      </c>
      <c r="Z105">
        <f t="shared" si="178"/>
        <v>0.150390625</v>
      </c>
      <c r="AA105">
        <f ca="1" t="shared" si="179"/>
        <v>0.0205078125</v>
      </c>
      <c r="AB105">
        <f ca="1" t="shared" si="180"/>
        <v>8904887.05585273</v>
      </c>
      <c r="AC105">
        <f ca="1">无穷技能数计算!AJ97</f>
        <v>0</v>
      </c>
      <c r="AD105" s="164">
        <f ca="1" t="shared" si="181"/>
        <v>0</v>
      </c>
      <c r="AE105" s="168">
        <f ca="1" t="shared" si="64"/>
        <v>0</v>
      </c>
      <c r="AF105" s="168">
        <f ca="1" t="shared" si="182"/>
        <v>0</v>
      </c>
      <c r="AG105">
        <f ca="1" t="shared" si="183"/>
        <v>0.000161012264749072</v>
      </c>
      <c r="AH105">
        <f ca="1" t="shared" si="184"/>
        <v>1</v>
      </c>
      <c r="AI105">
        <f ca="1" t="shared" si="185"/>
        <v>1.00016101226475</v>
      </c>
      <c r="AJ105">
        <f ca="1" t="shared" si="186"/>
        <v>0</v>
      </c>
      <c r="AK105">
        <f ca="1" t="shared" si="187"/>
        <v>0</v>
      </c>
      <c r="AL105">
        <f ca="1" t="shared" si="188"/>
        <v>0</v>
      </c>
      <c r="AM105">
        <f ca="1" t="shared" si="189"/>
        <v>0</v>
      </c>
      <c r="AN105" s="168">
        <f ca="1" t="shared" si="71"/>
        <v>0.00839606381672686</v>
      </c>
      <c r="AO105" s="168">
        <f ca="1" t="shared" si="72"/>
        <v>0.00447057613551372</v>
      </c>
      <c r="AP105" s="172">
        <f ca="1" t="shared" si="190"/>
        <v>0.015897335593515</v>
      </c>
      <c r="AQ105" s="168">
        <f ca="1" t="shared" si="191"/>
        <v>0.00393951131463699</v>
      </c>
      <c r="AR105">
        <f t="shared" si="192"/>
        <v>1</v>
      </c>
    </row>
    <row r="106" spans="4:55">
      <c r="D106" t="s">
        <v>1825</v>
      </c>
      <c r="E106" t="s">
        <v>2786</v>
      </c>
      <c r="G106" t="s">
        <v>2948</v>
      </c>
      <c r="H106">
        <f ca="1">INDEX(技能数据库!$B$2:$I$100,MATCH(无穷伤害与收益计算!$E106,技能数据库!$B$2:$B$100,0),MATCH(H$9,技能数据库!$B$2:$I$2,0))</f>
        <v>0</v>
      </c>
      <c r="I106">
        <f ca="1">INDEX(技能数据库!$B$2:$I$100,MATCH(无穷伤害与收益计算!$E106,技能数据库!$B$2:$B$100,0),MATCH(I$9,技能数据库!$B$2:$I$2,0))</f>
        <v>0</v>
      </c>
      <c r="J106">
        <f ca="1">INDEX(技能数据库!$B$2:$I$100,MATCH(无穷伤害与收益计算!$E106,技能数据库!$B$2:$B$100,0),MATCH(J$9,技能数据库!$B$2:$I$2,0))</f>
        <v>0</v>
      </c>
      <c r="K106">
        <f ca="1">INDEX(技能数据库!$B$2:$I$100,MATCH(无穷伤害与收益计算!$E106,技能数据库!$B$2:$B$100,0),MATCH(K$9,技能数据库!$B$2:$I$2,0))</f>
        <v>0</v>
      </c>
      <c r="L106">
        <f ca="1" t="shared" si="58"/>
        <v>91975</v>
      </c>
      <c r="M106">
        <f ca="1" t="shared" si="171"/>
        <v>19530.5</v>
      </c>
      <c r="N106">
        <f ca="1" t="shared" si="172"/>
        <v>92028</v>
      </c>
      <c r="O106">
        <f ca="1" t="shared" si="173"/>
        <v>0</v>
      </c>
      <c r="P106">
        <f ca="1">IF(G106="恒定伤害",0,(IF(D106="轻剑",$AZ$2,$AZ$3)+IFERROR(INDEX(技能数据库!$T$2:$W$27,MATCH(E106,技能数据库!$T$2:$T$27,0),4),0)+COUNTIF(G106,"*造化2*")*154+COUNTIF(G106,"*造化1*")*102+COUNTIF(G106,"*碧归*")*307)/1024)</f>
        <v>0.176868146929785</v>
      </c>
      <c r="Q106">
        <f ca="1" t="shared" ref="Q106:Q140" si="193">IF(G106="恒定伤害",0,(IF(COUNTIF(F106,"*内破*")&gt;0,内破,IF(D106="轻剑",$AF$2,$AF$3)/破防系数))+IF((IF(D106="轻剑",$AO$2,$AO$3)+INT(COUNTIF(G106,"*大莺鸣*")*IF(D106="轻剑",$AM$2,$AM$3)*听晓无双率)/无双系数)&gt;0.9,(特效裤子破防+特效裤子破防*IF(D106="轻剑",$AD$2,$AD$3)/1024)/破防系数,0))</f>
        <v>0.448284482196154</v>
      </c>
      <c r="R106">
        <f ca="1" t="shared" si="174"/>
        <v>0.32958230397716</v>
      </c>
      <c r="S106">
        <f ca="1" t="shared" si="175"/>
        <v>0</v>
      </c>
      <c r="T106">
        <f t="shared" si="97"/>
        <v>0.8</v>
      </c>
      <c r="U106">
        <f ca="1" t="shared" ref="U106:U140" si="194">IF(G106="恒定伤害",0,(IF(D106="轻剑",$AO$2,$AO$3)+INT(COUNTIF(G106,"*大莺鸣*")*IF(D106="轻剑",$AM$2,$AM$3)*听晓无双率)/无双系数)+IF((IF(D106="轻剑",$AO$2,$AO$3)+INT(COUNTIF(G106,"*大莺鸣*")*IF(D106="轻剑",$AM$2,$AM$3)*听晓无双率)/无双系数)&lt;=0.9,特效裤子无双,0))</f>
        <v>2.68954760480339</v>
      </c>
      <c r="V106">
        <f ca="1" t="shared" si="176"/>
        <v>0</v>
      </c>
      <c r="W106">
        <f ca="1">IF(G106="恒定伤害",0,MIN(1,IF(COUNTIF(F106,"*内会*")&gt;0,内会,IF(D106="轻剑",$Y$2,$Y$3)+COUNTIF(G106,"*莺鸣*")*0.2+COUNTIF(G106,"*叠1*")*0.1+COUNTIF(G106,"*叠2*")*0.2+COUNTIF(G106,"*叠3*")*0.3)+IFERROR(INDEX(技能数据库!$T$2:$W$27,MATCH(E106,技能数据库!$T$2:$T$27,0),2),0)+IF((IF(D106="轻剑",$AO$2,$AO$3)+INT(COUNTIF(G106,"*大莺鸣*")*IF(D106="轻剑",$AM$2,$AM$3)*听晓无双率)/无双系数)&gt;0.9,特效裤子会心/会心系数,0)))</f>
        <v>0.9343</v>
      </c>
      <c r="X106">
        <f ca="1">IF(G106="恒定伤害",0,IF(COUNTIF(F106,"*内会*")&gt;0,内会效,IF(D106="轻剑",$AB$2,$AB$3))+IFERROR(INDEX(技能数据库!$T$2:$W$27,MATCH(E106,技能数据库!$T$2:$T$27,0),3)/1024,0))+COUNTIF(G106,"*叠1*")*0.25+COUNTIF(G106,"*叠2*")*0.5+COUNTIF(G106,"*叠3*")*0.75</f>
        <v>2.3217485021</v>
      </c>
      <c r="Y106">
        <f ca="1" t="shared" si="177"/>
        <v>2.23490962551203</v>
      </c>
      <c r="Z106">
        <f t="shared" si="178"/>
        <v>0.150390625</v>
      </c>
      <c r="AA106">
        <f ca="1" t="shared" si="179"/>
        <v>0.0205078125</v>
      </c>
      <c r="AB106">
        <f ca="1" t="shared" si="180"/>
        <v>0</v>
      </c>
      <c r="AC106">
        <f ca="1">无穷技能数计算!AJ98</f>
        <v>0</v>
      </c>
      <c r="AD106" s="164">
        <f ca="1" t="shared" si="181"/>
        <v>0</v>
      </c>
      <c r="AE106" s="168">
        <f ca="1" t="shared" si="64"/>
        <v>0</v>
      </c>
      <c r="AF106" s="168">
        <f ca="1" t="shared" si="182"/>
        <v>0</v>
      </c>
      <c r="AG106">
        <f ca="1" t="shared" si="183"/>
        <v>0</v>
      </c>
      <c r="AH106">
        <f ca="1" t="shared" si="184"/>
        <v>0</v>
      </c>
      <c r="AI106">
        <f ca="1" t="shared" si="185"/>
        <v>1.00016101226475</v>
      </c>
      <c r="AJ106">
        <f ca="1" t="shared" si="186"/>
        <v>0</v>
      </c>
      <c r="AK106">
        <f ca="1" t="shared" si="187"/>
        <v>0</v>
      </c>
      <c r="AL106">
        <f ca="1" t="shared" si="188"/>
        <v>0</v>
      </c>
      <c r="AM106">
        <f ca="1" t="shared" si="189"/>
        <v>0</v>
      </c>
      <c r="AN106" s="168">
        <f ca="1" t="shared" si="71"/>
        <v>0.00839606381672686</v>
      </c>
      <c r="AO106" s="168">
        <f ca="1" t="shared" ref="AO106:AO140" si="195">IF(OR(COUNTIF(F106,"*内破*")&gt;0,G106="恒定伤害"),0,IFERROR(((delta破防+INT((IF(D106="轻剑",$AD$2,$AD$3))/1024*delta破防))/破防系数+Q106+1)/(Q106+1)-1,0))</f>
        <v>0.00447057613551372</v>
      </c>
      <c r="AP106" s="172">
        <f ca="1" t="shared" si="190"/>
        <v>0</v>
      </c>
      <c r="AQ106" s="168">
        <f ca="1" t="shared" si="191"/>
        <v>0.00393951131463699</v>
      </c>
      <c r="AR106">
        <f t="shared" si="192"/>
        <v>1</v>
      </c>
    </row>
    <row r="107" spans="4:55">
      <c r="D107" t="s">
        <v>1825</v>
      </c>
      <c r="E107" t="s">
        <v>2718</v>
      </c>
      <c r="G107" t="s">
        <v>2750</v>
      </c>
      <c r="H107">
        <f ca="1">INDEX(技能数据库!$B$2:$I$100,MATCH(无穷伤害与收益计算!$E107,技能数据库!$B$2:$B$100,0),MATCH(H$9,技能数据库!$B$2:$I$2,0))</f>
        <v>145.5</v>
      </c>
      <c r="I107">
        <f ca="1">INDEX(技能数据库!$B$2:$I$100,MATCH(无穷伤害与收益计算!$E107,技能数据库!$B$2:$B$100,0),MATCH(I$9,技能数据库!$B$2:$I$2,0))</f>
        <v>5.1625</v>
      </c>
      <c r="J107">
        <f ca="1">INDEX(技能数据库!$B$2:$I$100,MATCH(无穷伤害与收益计算!$E107,技能数据库!$B$2:$B$100,0),MATCH(J$9,技能数据库!$B$2:$I$2,0))</f>
        <v>1</v>
      </c>
      <c r="K107">
        <f ca="1">INDEX(技能数据库!$B$2:$I$100,MATCH(无穷伤害与收益计算!$E107,技能数据库!$B$2:$B$100,0),MATCH(K$9,技能数据库!$B$2:$I$2,0))</f>
        <v>0</v>
      </c>
      <c r="L107">
        <f ca="1" t="shared" si="58"/>
        <v>105847</v>
      </c>
      <c r="M107">
        <f ca="1" t="shared" ref="M107" si="196">IF(D107="轻剑",$AU$2+$AV$2,$AU$3+$AV$3)/2</f>
        <v>19530.5</v>
      </c>
      <c r="N107">
        <f ca="1" t="shared" ref="N107" si="197">IF(D107="轻剑",$AJ$2,$AJ$3)</f>
        <v>92028</v>
      </c>
      <c r="O107">
        <f ca="1" t="shared" ref="O107" si="198">H107+I107*L107+J107*M107+IF(K107&gt;0,MAX(1,K107*N107*破招全局系数),0)</f>
        <v>566111.1375</v>
      </c>
      <c r="P107">
        <f ca="1">IF(G107="恒定伤害",0,(IF(D107="轻剑",$AZ$2,$AZ$3)+IFERROR(INDEX(技能数据库!$T$2:$W$27,MATCH(E107,技能数据库!$T$2:$T$27,0),4),0)+COUNTIF(G107,"*造化2*")*154+COUNTIF(G107,"*造化1*")*102+COUNTIF(G107,"*碧归*")*307)/1024)</f>
        <v>0.176868146929785</v>
      </c>
      <c r="Q107">
        <f ca="1" t="shared" si="193"/>
        <v>0.448284482196154</v>
      </c>
      <c r="R107">
        <f ca="1" t="shared" ref="R107" si="199">IF(G107="恒定伤害",0,(($F$5-IF(D107="轻剑",$BB$2,$BB$3))*(1024-IF(D107="轻剑",$BD$2,$BD$3))/1024*(1024-IF(D107="轻剑",$BC$2,$BC$3)-COUNTIF(G107,"*雾锁*")*461*雾锁)/1024/(($F$5-IF(D107="轻剑",$BB$2,$BB$3))*(1024-IF(D107="轻剑",$BD$2,$BD$3))/1024*(1024-IF(D107="轻剑",$BC$2,$BC$3)-COUNTIF(G107,"*雾锁*")*461*雾锁)/1024+$F$7)))</f>
        <v>0.21277697966198</v>
      </c>
      <c r="S107">
        <f ca="1" t="shared" ref="S107" si="200">O107*(1+P107)*(1+Q107)*(1-R107)</f>
        <v>759593.378760343</v>
      </c>
      <c r="T107">
        <f t="shared" si="97"/>
        <v>0.8</v>
      </c>
      <c r="U107">
        <f ca="1" t="shared" si="194"/>
        <v>1.7995442148</v>
      </c>
      <c r="V107">
        <f ca="1" t="shared" ref="V107" si="201">S107*T107*(1+U107)</f>
        <v>1701212.19928712</v>
      </c>
      <c r="W107">
        <f ca="1">IF(G107="恒定伤害",0,MIN(1,IF(COUNTIF(F107,"*内会*")&gt;0,内会,IF(D107="轻剑",$Y$2,$Y$3)+COUNTIF(G107,"*莺鸣*")*0.2+COUNTIF(G107,"*叠1*")*0.1+COUNTIF(G107,"*叠2*")*0.2+COUNTIF(G107,"*叠3*")*0.3)+IFERROR(INDEX(技能数据库!$T$2:$W$27,MATCH(E107,技能数据库!$T$2:$T$27,0),2),0)+IF((IF(D107="轻剑",$AO$2,$AO$3)+INT(COUNTIF(G107,"*大莺鸣*")*IF(D107="轻剑",$AM$2,$AM$3)*听晓无双率)/无双系数)&gt;0.9,特效裤子会心/会心系数,0)))</f>
        <v>0.7343</v>
      </c>
      <c r="X107">
        <f ca="1">IF(G107="恒定伤害",0,IF(COUNTIF(F107,"*内会*")&gt;0,内会效,IF(D107="轻剑",$AB$2,$AB$3))+IFERROR(INDEX(技能数据库!$T$2:$W$27,MATCH(E107,技能数据库!$T$2:$T$27,0),3)/1024,0))+COUNTIF(G107,"*叠1*")*0.25+COUNTIF(G107,"*叠2*")*0.5+COUNTIF(G107,"*叠3*")*0.75</f>
        <v>2.3217485021</v>
      </c>
      <c r="Y107">
        <f ca="1" t="shared" ref="Y107" si="202">1+W107*(X107-1)</f>
        <v>1.97055992509203</v>
      </c>
      <c r="Z107">
        <f t="shared" ref="Z107" si="203">IF(G107="恒定伤害",0,非侠士伤害/1024)</f>
        <v>0.150390625</v>
      </c>
      <c r="AA107">
        <f ca="1" t="shared" ref="AA107" si="204">IF(D107="轻剑",$BA$2,$BA$3)/1024</f>
        <v>0.0205078125</v>
      </c>
      <c r="AB107">
        <f ca="1" t="shared" ref="AB107" si="205">V107*Y107*(1+Z107)*(1+AA107)</f>
        <v>3935589.58273036</v>
      </c>
      <c r="AC107">
        <f ca="1">无穷技能数计算!AJ99</f>
        <v>0</v>
      </c>
      <c r="AD107" s="164">
        <f ca="1" t="shared" ref="AD107" si="206">IFERROR(AB107*AC107/$AD$7,0)</f>
        <v>0</v>
      </c>
      <c r="AE107" s="168">
        <f ca="1" t="shared" si="64"/>
        <v>0.00452314012281732</v>
      </c>
      <c r="AF107" s="168">
        <f ca="1" t="shared" ref="AF107" si="207">IFERROR((delta武伤+INT((IF(D107="轻剑",$AW$2,$AW$3))/1024*delta武伤))*J107/O107,0)</f>
        <v>0.00105323841999134</v>
      </c>
      <c r="AG107">
        <f ca="1" t="shared" ref="AG107" si="208">IF(G107="恒定伤害",0,MAX(0,AH107*AI107*IF(AJ107=0,1,AJ107)-1))</f>
        <v>0.00324712306529484</v>
      </c>
      <c r="AH107">
        <f ca="1" t="shared" ref="AH107" si="209">IFERROR((delta身法+INT((IF(D107="轻剑",$N$2,$N$3))/1024*delta身法))*身法转额外攻击*I107/O107+1,0)</f>
        <v>1.00308561397885</v>
      </c>
      <c r="AI107">
        <f ca="1" t="shared" ref="AI107" si="210">IFERROR(((delta身法+INT((IF(D107="轻剑",$N$2,$N$3))/1024*delta身法))*身法转额外破防/破防系数+Q107+1)/(1+Q107),0)</f>
        <v>1.00016101226475</v>
      </c>
      <c r="AJ107">
        <f ca="1" t="shared" ref="AJ107" si="211">IFERROR(((1+MIN(1,((delta身法+INT((IF(D107="轻剑",$N$2,$N$3))/1024*delta身法))*身法转基础会心/会心系数)+W107)*(X107-1))*AK107)/(Y107*AC107),0)</f>
        <v>0</v>
      </c>
      <c r="AK107">
        <f ca="1" t="shared" ref="AK107" si="212">AC107</f>
        <v>0</v>
      </c>
      <c r="AL107">
        <f ca="1" t="shared" ref="AL107" si="213">IF(G107="恒定伤害",0,IFERROR(((1+MIN(1,W107+delta会心/会心系数)*(X107-1))*AM107)/(Y107*AC107)-1,0))</f>
        <v>0</v>
      </c>
      <c r="AM107">
        <f ca="1" t="shared" ref="AM107" si="214">AC107</f>
        <v>0</v>
      </c>
      <c r="AN107" s="168">
        <f ca="1" t="shared" si="71"/>
        <v>0.00748399053993198</v>
      </c>
      <c r="AO107" s="168">
        <f ca="1" t="shared" si="195"/>
        <v>0.00447057613551372</v>
      </c>
      <c r="AP107" s="172">
        <f ca="1" t="shared" ref="AP107" si="215">IFERROR((delta破招+INT((IF(D107="轻剑",$AI$2,$AI$3))/1024*delta破招))*K107*破招全局系数/MAX(1,O107),0)</f>
        <v>0</v>
      </c>
      <c r="AQ107" s="168">
        <f ca="1" t="shared" ref="AQ107" si="216">IF(G107="恒定伤害",0,IFERROR(((delta无双+INT((IF(D107="轻剑",$AL$2,$AL$3)+COUNTIF(G107,"*大莺鸣*")*307)/1024*delta无双))/无双系数+U107+1)/(U107+1)-1,0))</f>
        <v>0.00401583628616287</v>
      </c>
      <c r="AR107">
        <f t="shared" ref="AR107" si="217">IF($AR$8="综合属性收益",1,COUNTIF(D107,LEFT($AR$8,2)))</f>
        <v>1</v>
      </c>
    </row>
    <row r="108" spans="4:55">
      <c r="D108" t="s">
        <v>1825</v>
      </c>
      <c r="E108" t="s">
        <v>2776</v>
      </c>
      <c r="G108" t="s">
        <v>3102</v>
      </c>
      <c r="H108">
        <f ca="1">INDEX(技能数据库!$B$2:$I$100,MATCH(无穷伤害与收益计算!$E108,技能数据库!$B$2:$B$100,0),MATCH(H$9,技能数据库!$B$2:$I$2,0))</f>
        <v>281.5</v>
      </c>
      <c r="I108">
        <f ca="1">INDEX(技能数据库!$B$2:$I$100,MATCH(无穷伤害与收益计算!$E108,技能数据库!$B$2:$B$100,0),MATCH(I$9,技能数据库!$B$2:$I$2,0))</f>
        <v>7.06875</v>
      </c>
      <c r="J108">
        <f ca="1">INDEX(技能数据库!$B$2:$I$100,MATCH(无穷伤害与收益计算!$E108,技能数据库!$B$2:$B$100,0),MATCH(J$9,技能数据库!$B$2:$I$2,0))</f>
        <v>2</v>
      </c>
      <c r="K108">
        <f ca="1">INDEX(技能数据库!$B$2:$I$100,MATCH(无穷伤害与收益计算!$E108,技能数据库!$B$2:$B$100,0),MATCH(K$9,技能数据库!$B$2:$I$2,0))</f>
        <v>0</v>
      </c>
      <c r="L108">
        <f ca="1" t="shared" si="58"/>
        <v>91975</v>
      </c>
      <c r="M108">
        <f ca="1" t="shared" ref="M108" si="218">IF(D108="轻剑",$AU$2+$AV$2,$AU$3+$AV$3)/2</f>
        <v>19530.5</v>
      </c>
      <c r="N108">
        <f ca="1" t="shared" ref="N108" si="219">IF(D108="轻剑",$AJ$2,$AJ$3)</f>
        <v>92028</v>
      </c>
      <c r="O108">
        <f ca="1" t="shared" ref="O108" si="220">H108+I108*L108+J108*M108+IF(K108&gt;0,MAX(1,K108*N108*破招全局系数),0)</f>
        <v>689490.78125</v>
      </c>
      <c r="P108">
        <f ca="1">IF(G108="恒定伤害",0,(IF(D108="轻剑",$AZ$2,$AZ$3)+IFERROR(INDEX(技能数据库!$T$2:$W$27,MATCH(E108,技能数据库!$T$2:$T$27,0),4),0)+COUNTIF(G108,"*造化2*")*154+COUNTIF(G108,"*造化1*")*102+COUNTIF(G108,"*碧归*")*307)/1024)</f>
        <v>0.697375959429785</v>
      </c>
      <c r="Q108">
        <f ca="1" t="shared" si="193"/>
        <v>0.448284482196154</v>
      </c>
      <c r="R108">
        <f ca="1" t="shared" ref="R108" si="221">IF(G108="恒定伤害",0,(($F$5-IF(D108="轻剑",$BB$2,$BB$3))*(1024-IF(D108="轻剑",$BD$2,$BD$3))/1024*(1024-IF(D108="轻剑",$BC$2,$BC$3)-COUNTIF(G108,"*雾锁*")*461*雾锁)/1024/(($F$5-IF(D108="轻剑",$BB$2,$BB$3))*(1024-IF(D108="轻剑",$BD$2,$BD$3))/1024*(1024-IF(D108="轻剑",$BC$2,$BC$3)-COUNTIF(G108,"*雾锁*")*461*雾锁)/1024+$F$7)))</f>
        <v>0.32958230397716</v>
      </c>
      <c r="S108">
        <f ca="1" t="shared" ref="S108" si="222">O108*(1+P108)*(1+Q108)*(1-R108)</f>
        <v>1136333.62319256</v>
      </c>
      <c r="T108">
        <f t="shared" si="97"/>
        <v>0.8</v>
      </c>
      <c r="U108">
        <f ca="1" t="shared" si="194"/>
        <v>2.68954760480339</v>
      </c>
      <c r="V108">
        <f ca="1" t="shared" ref="V108" si="223">S108*T108*(1+U108)</f>
        <v>3354045.59816615</v>
      </c>
      <c r="W108">
        <f ca="1">IF(G108="恒定伤害",0,MIN(1,IF(COUNTIF(F108,"*内会*")&gt;0,内会,IF(D108="轻剑",$Y$2,$Y$3)+COUNTIF(G108,"*莺鸣*")*0.2+COUNTIF(G108,"*叠1*")*0.1+COUNTIF(G108,"*叠2*")*0.2+COUNTIF(G108,"*叠3*")*0.3)+IFERROR(INDEX(技能数据库!$T$2:$W$27,MATCH(E108,技能数据库!$T$2:$T$27,0),2),0)+IF((IF(D108="轻剑",$AO$2,$AO$3)+INT(COUNTIF(G108,"*大莺鸣*")*IF(D108="轻剑",$AM$2,$AM$3)*听晓无双率)/无双系数)&gt;0.9,特效裤子会心/会心系数,0)))</f>
        <v>0.9343</v>
      </c>
      <c r="X108">
        <f ca="1">IF(G108="恒定伤害",0,IF(COUNTIF(F108,"*内会*")&gt;0,内会效,IF(D108="轻剑",$AB$2,$AB$3))+IFERROR(INDEX(技能数据库!$T$2:$W$27,MATCH(E108,技能数据库!$T$2:$T$27,0),3)/1024,0))+COUNTIF(G108,"*叠1*")*0.25+COUNTIF(G108,"*叠2*")*0.5+COUNTIF(G108,"*叠3*")*0.75</f>
        <v>2.3217485021</v>
      </c>
      <c r="Y108">
        <f ca="1" t="shared" ref="Y108" si="224">1+W108*(X108-1)</f>
        <v>2.23490962551203</v>
      </c>
      <c r="Z108">
        <f t="shared" ref="Z108" si="225">IF(G108="恒定伤害",0,非侠士伤害/1024)</f>
        <v>0.150390625</v>
      </c>
      <c r="AA108">
        <f ca="1" t="shared" ref="AA108" si="226">IF(D108="轻剑",$BA$2,$BA$3)/1024</f>
        <v>0.0205078125</v>
      </c>
      <c r="AB108">
        <f ca="1" t="shared" ref="AB108" si="227">V108*Y108*(1+Z108)*(1+AA108)</f>
        <v>8800160.56302016</v>
      </c>
      <c r="AC108">
        <f ca="1">无穷技能数计算!AJ100</f>
        <v>0</v>
      </c>
      <c r="AD108" s="164">
        <f ca="1" t="shared" ref="AD108" si="228">IFERROR(AB108*AC108/$AD$7,0)</f>
        <v>0</v>
      </c>
      <c r="AE108" s="168">
        <f ca="1" t="shared" si="64"/>
        <v>0.004264886609026</v>
      </c>
      <c r="AF108" s="168">
        <f ca="1" t="shared" ref="AF108" si="229">IFERROR((delta武伤+INT((IF(D108="轻剑",$AW$2,$AW$3))/1024*delta武伤))*J108/O108,0)</f>
        <v>0.00172953726493352</v>
      </c>
      <c r="AG108">
        <f ca="1" t="shared" ref="AG108" si="230">IF(G108="恒定伤害",0,MAX(0,AH108*AI108*IF(AJ108=0,1,AJ108)-1))</f>
        <v>0.00363051558430105</v>
      </c>
      <c r="AH108">
        <f ca="1" t="shared" ref="AH108" si="231">IFERROR((delta身法+INT((IF(D108="轻剑",$N$2,$N$3))/1024*delta身法))*身法转额外攻击*I108/O108+1,0)</f>
        <v>1.0034689447769</v>
      </c>
      <c r="AI108">
        <f ca="1" t="shared" ref="AI108" si="232">IFERROR(((delta身法+INT((IF(D108="轻剑",$N$2,$N$3))/1024*delta身法))*身法转额外破防/破防系数+Q108+1)/(1+Q108),0)</f>
        <v>1.00016101226475</v>
      </c>
      <c r="AJ108">
        <f ca="1" t="shared" ref="AJ108" si="233">IFERROR(((1+MIN(1,((delta身法+INT((IF(D108="轻剑",$N$2,$N$3))/1024*delta身法))*身法转基础会心/会心系数)+W108)*(X108-1))*AK108)/(Y108*AC108),0)</f>
        <v>0</v>
      </c>
      <c r="AK108">
        <f ca="1" t="shared" ref="AK108" si="234">AC108</f>
        <v>0</v>
      </c>
      <c r="AL108">
        <f ca="1" t="shared" ref="AL108" si="235">IF(G108="恒定伤害",0,IFERROR(((1+MIN(1,W108+delta会心/会心系数)*(X108-1))*AM108)/(Y108*AC108)-1,0))</f>
        <v>0</v>
      </c>
      <c r="AM108">
        <f ca="1" t="shared" ref="AM108" si="236">AC108</f>
        <v>0</v>
      </c>
      <c r="AN108" s="168">
        <f ca="1" t="shared" si="71"/>
        <v>0.00839606381672686</v>
      </c>
      <c r="AO108" s="168">
        <f ca="1" t="shared" si="195"/>
        <v>0.00447057613551372</v>
      </c>
      <c r="AP108" s="172">
        <f ca="1" t="shared" ref="AP108" si="237">IFERROR((delta破招+INT((IF(D108="轻剑",$AI$2,$AI$3))/1024*delta破招))*K108*破招全局系数/MAX(1,O108),0)</f>
        <v>0</v>
      </c>
      <c r="AQ108" s="168">
        <f ca="1" t="shared" ref="AQ108" si="238">IF(G108="恒定伤害",0,IFERROR(((delta无双+INT((IF(D108="轻剑",$AL$2,$AL$3)+COUNTIF(G108,"*大莺鸣*")*307)/1024*delta无双))/无双系数+U108+1)/(U108+1)-1,0))</f>
        <v>0.00393951131463699</v>
      </c>
      <c r="AR108">
        <f t="shared" ref="AR108" si="239">IF($AR$8="综合属性收益",1,COUNTIF(D108,LEFT($AR$8,2)))</f>
        <v>1</v>
      </c>
    </row>
    <row r="109" spans="4:55">
      <c r="D109" t="s">
        <v>1825</v>
      </c>
      <c r="E109" t="s">
        <v>2780</v>
      </c>
      <c r="G109" t="s">
        <v>3102</v>
      </c>
      <c r="H109">
        <f ca="1">INDEX(技能数据库!$B$2:$I$100,MATCH(无穷伤害与收益计算!$E109,技能数据库!$B$2:$B$100,0),MATCH(H$9,技能数据库!$B$2:$I$2,0))</f>
        <v>252.5</v>
      </c>
      <c r="I109">
        <f ca="1">INDEX(技能数据库!$B$2:$I$100,MATCH(无穷伤害与收益计算!$E109,技能数据库!$B$2:$B$100,0),MATCH(I$9,技能数据库!$B$2:$I$2,0))</f>
        <v>2.11875</v>
      </c>
      <c r="J109">
        <f ca="1">INDEX(技能数据库!$B$2:$I$100,MATCH(无穷伤害与收益计算!$E109,技能数据库!$B$2:$B$100,0),MATCH(J$9,技能数据库!$B$2:$I$2,0))</f>
        <v>2</v>
      </c>
      <c r="K109">
        <f ca="1">INDEX(技能数据库!$B$2:$I$100,MATCH(无穷伤害与收益计算!$E109,技能数据库!$B$2:$B$100,0),MATCH(K$9,技能数据库!$B$2:$I$2,0))</f>
        <v>0</v>
      </c>
      <c r="L109">
        <f ca="1" t="shared" si="58"/>
        <v>91975</v>
      </c>
      <c r="M109">
        <f ca="1" t="shared" ref="M109:M114" si="240">IF(D109="轻剑",$AU$2+$AV$2,$AU$3+$AV$3)/2</f>
        <v>19530.5</v>
      </c>
      <c r="N109">
        <f ca="1" t="shared" ref="N109:N114" si="241">IF(D109="轻剑",$AJ$2,$AJ$3)</f>
        <v>92028</v>
      </c>
      <c r="O109">
        <f ca="1" t="shared" ref="O109:O131" si="242">H109+I109*L109+J109*M109+IF(K109&gt;0,MAX(1,K109*N109*破招全局系数),0)</f>
        <v>234185.53125</v>
      </c>
      <c r="P109">
        <f ca="1">IF(G109="恒定伤害",0,(IF(D109="轻剑",$AZ$2,$AZ$3)+IFERROR(INDEX(技能数据库!$T$2:$W$27,MATCH(E109,技能数据库!$T$2:$T$27,0),4),0)+COUNTIF(G109,"*造化2*")*154+COUNTIF(G109,"*造化1*")*102+COUNTIF(G109,"*碧归*")*307)/1024)</f>
        <v>0.697375959429785</v>
      </c>
      <c r="Q109">
        <f ca="1" t="shared" si="193"/>
        <v>0.448284482196154</v>
      </c>
      <c r="R109">
        <f ca="1" t="shared" ref="R109:R131" si="243">IF(G109="恒定伤害",0,(($F$5-IF(D109="轻剑",$BB$2,$BB$3))*(1024-IF(D109="轻剑",$BD$2,$BD$3))/1024*(1024-IF(D109="轻剑",$BC$2,$BC$3)-COUNTIF(G109,"*雾锁*")*461*雾锁)/1024/(($F$5-IF(D109="轻剑",$BB$2,$BB$3))*(1024-IF(D109="轻剑",$BD$2,$BD$3))/1024*(1024-IF(D109="轻剑",$BC$2,$BC$3)-COUNTIF(G109,"*雾锁*")*461*雾锁)/1024+$F$7)))</f>
        <v>0.32958230397716</v>
      </c>
      <c r="S109">
        <f ca="1" t="shared" ref="S109:S114" si="244">O109*(1+P109)*(1+Q109)*(1-R109)</f>
        <v>385955.694349014</v>
      </c>
      <c r="T109">
        <f t="shared" si="97"/>
        <v>0.8</v>
      </c>
      <c r="U109">
        <f ca="1" t="shared" si="194"/>
        <v>2.68954760480339</v>
      </c>
      <c r="V109">
        <f ca="1" t="shared" ref="V109:V114" si="245">S109*T109*(1+U109)</f>
        <v>1139201.52611651</v>
      </c>
      <c r="W109">
        <f ca="1">IF(G109="恒定伤害",0,MIN(1,IF(COUNTIF(F109,"*内会*")&gt;0,内会,IF(D109="轻剑",$Y$2,$Y$3)+COUNTIF(G109,"*莺鸣*")*0.2+COUNTIF(G109,"*叠1*")*0.1+COUNTIF(G109,"*叠2*")*0.2+COUNTIF(G109,"*叠3*")*0.3)+IFERROR(INDEX(技能数据库!$T$2:$W$27,MATCH(E109,技能数据库!$T$2:$T$27,0),2),0)+IF((IF(D109="轻剑",$AO$2,$AO$3)+INT(COUNTIF(G109,"*大莺鸣*")*IF(D109="轻剑",$AM$2,$AM$3)*听晓无双率)/无双系数)&gt;0.9,特效裤子会心/会心系数,0)))</f>
        <v>0.9343</v>
      </c>
      <c r="X109">
        <f ca="1">IF(G109="恒定伤害",0,IF(COUNTIF(F109,"*内会*")&gt;0,内会效,IF(D109="轻剑",$AB$2,$AB$3))+IFERROR(INDEX(技能数据库!$T$2:$W$27,MATCH(E109,技能数据库!$T$2:$T$27,0),3)/1024,0))+COUNTIF(G109,"*叠1*")*0.25+COUNTIF(G109,"*叠2*")*0.5+COUNTIF(G109,"*叠3*")*0.75</f>
        <v>2.3217485021</v>
      </c>
      <c r="Y109">
        <f ca="1" t="shared" ref="Y109:Y114" si="246">1+W109*(X109-1)</f>
        <v>2.23490962551203</v>
      </c>
      <c r="Z109">
        <f t="shared" ref="Z109:Z131" si="247">IF(G109="恒定伤害",0,非侠士伤害/1024)</f>
        <v>0.150390625</v>
      </c>
      <c r="AA109">
        <f ca="1" t="shared" ref="AA109:AA114" si="248">IF(D109="轻剑",$BA$2,$BA$3)/1024</f>
        <v>0.0205078125</v>
      </c>
      <c r="AB109">
        <f ca="1" t="shared" ref="AB109:AB114" si="249">V109*Y109*(1+Z109)*(1+AA109)</f>
        <v>2988974.37439259</v>
      </c>
      <c r="AC109">
        <f ca="1">无穷技能数计算!AJ101</f>
        <v>0</v>
      </c>
      <c r="AD109" s="164">
        <f ca="1" t="shared" ref="AD109:AD131" si="250">IFERROR(AB109*AC109/$AD$7,0)</f>
        <v>0</v>
      </c>
      <c r="AE109" s="168">
        <f ca="1" t="shared" si="64"/>
        <v>0.0037636825609823</v>
      </c>
      <c r="AF109" s="168">
        <f ca="1" t="shared" ref="AF109:AF131" si="251">IFERROR((delta武伤+INT((IF(D109="轻剑",$AW$2,$AW$3))/1024*delta武伤))*J109/O109,0)</f>
        <v>0.00509211646695188</v>
      </c>
      <c r="AG109">
        <f ca="1" t="shared" ref="AG109:AG114" si="252">IF(G109="恒定伤害",0,MAX(0,AH109*AI109*IF(AJ109=0,1,AJ109)-1))</f>
        <v>0.00322278396846398</v>
      </c>
      <c r="AH109">
        <f ca="1" t="shared" ref="AH109:AH131" si="253">IFERROR((delta身法+INT((IF(D109="轻剑",$N$2,$N$3))/1024*delta身法))*身法转额外攻击*I109/O109+1,0)</f>
        <v>1.00306127880028</v>
      </c>
      <c r="AI109">
        <f ca="1" t="shared" ref="AI109:AI131" si="254">IFERROR(((delta身法+INT((IF(D109="轻剑",$N$2,$N$3))/1024*delta身法))*身法转额外破防/破防系数+Q109+1)/(1+Q109),0)</f>
        <v>1.00016101226475</v>
      </c>
      <c r="AJ109">
        <f ca="1" t="shared" ref="AJ109:AJ131" si="255">IFERROR(((1+MIN(1,((delta身法+INT((IF(D109="轻剑",$N$2,$N$3))/1024*delta身法))*身法转基础会心/会心系数)+W109)*(X109-1))*AK109)/(Y109*AC109),0)</f>
        <v>0</v>
      </c>
      <c r="AK109">
        <f ca="1" t="shared" ref="AK109:AK113" si="256">AC109</f>
        <v>0</v>
      </c>
      <c r="AL109">
        <f ca="1" t="shared" ref="AL109:AL131" si="257">IF(G109="恒定伤害",0,IFERROR(((1+MIN(1,W109+delta会心/会心系数)*(X109-1))*AM109)/(Y109*AC109)-1,0))</f>
        <v>0</v>
      </c>
      <c r="AM109">
        <f ca="1" t="shared" ref="AM109:AM113" si="258">AC109</f>
        <v>0</v>
      </c>
      <c r="AN109" s="168">
        <f ca="1" t="shared" si="71"/>
        <v>0.00839606381672686</v>
      </c>
      <c r="AO109" s="168">
        <f ca="1" t="shared" si="195"/>
        <v>0.00447057613551372</v>
      </c>
      <c r="AP109" s="172">
        <f ca="1" t="shared" ref="AP109:AP131" si="259">IFERROR((delta破招+INT((IF(D109="轻剑",$AI$2,$AI$3))/1024*delta破招))*K109*破招全局系数/MAX(1,O109),0)</f>
        <v>0</v>
      </c>
      <c r="AQ109" s="168">
        <f ca="1" t="shared" ref="AQ109:AQ131" si="260">IF(G109="恒定伤害",0,IFERROR(((delta无双+INT((IF(D109="轻剑",$AL$2,$AL$3)+COUNTIF(G109,"*大莺鸣*")*307)/1024*delta无双))/无双系数+U109+1)/(U109+1)-1,0))</f>
        <v>0.00393951131463699</v>
      </c>
      <c r="AR109">
        <f t="shared" ref="AR109:AR131" si="261">IF($AR$8="综合属性收益",1,COUNTIF(D109,LEFT($AR$8,2)))</f>
        <v>1</v>
      </c>
    </row>
    <row r="110" spans="4:55">
      <c r="D110" t="s">
        <v>1825</v>
      </c>
      <c r="E110" t="s">
        <v>2794</v>
      </c>
      <c r="G110" t="s">
        <v>3103</v>
      </c>
      <c r="H110">
        <f ca="1">INDEX(技能数据库!$B$2:$I$100,MATCH(无穷伤害与收益计算!$E110,技能数据库!$B$2:$B$100,0),MATCH(H$9,技能数据库!$B$2:$I$2,0))</f>
        <v>231.5</v>
      </c>
      <c r="I110">
        <f ca="1">INDEX(技能数据库!$B$2:$I$100,MATCH(无穷伤害与收益计算!$E110,技能数据库!$B$2:$B$100,0),MATCH(I$9,技能数据库!$B$2:$I$2,0))</f>
        <v>2.71875</v>
      </c>
      <c r="J110">
        <f ca="1">INDEX(技能数据库!$B$2:$I$100,MATCH(无穷伤害与收益计算!$E110,技能数据库!$B$2:$B$100,0),MATCH(J$9,技能数据库!$B$2:$I$2,0))</f>
        <v>2</v>
      </c>
      <c r="K110">
        <f ca="1">INDEX(技能数据库!$B$2:$I$100,MATCH(无穷伤害与收益计算!$E110,技能数据库!$B$2:$B$100,0),MATCH(K$9,技能数据库!$B$2:$I$2,0))</f>
        <v>0</v>
      </c>
      <c r="L110">
        <f ca="1" t="shared" si="58"/>
        <v>91975</v>
      </c>
      <c r="M110">
        <f ca="1" t="shared" si="240"/>
        <v>19530.5</v>
      </c>
      <c r="N110">
        <f ca="1" t="shared" si="241"/>
        <v>92028</v>
      </c>
      <c r="O110">
        <f ca="1" t="shared" si="242"/>
        <v>289349.53125</v>
      </c>
      <c r="P110">
        <f ca="1">IF(G110="恒定伤害",0,(IF(D110="轻剑",$AZ$2,$AZ$3)+IFERROR(INDEX(技能数据库!$T$2:$W$27,MATCH(E110,技能数据库!$T$2:$T$27,0),4),0)+COUNTIF(G110,"*造化2*")*154+COUNTIF(G110,"*造化1*")*102+COUNTIF(G110,"*碧归*")*307)/1024)</f>
        <v>0.596790021929785</v>
      </c>
      <c r="Q110">
        <f ca="1" t="shared" si="193"/>
        <v>0.448284482196154</v>
      </c>
      <c r="R110">
        <f ca="1" t="shared" si="243"/>
        <v>0.32958230397716</v>
      </c>
      <c r="S110">
        <f ca="1" t="shared" si="244"/>
        <v>448611.022242212</v>
      </c>
      <c r="T110">
        <f t="shared" si="97"/>
        <v>0.8</v>
      </c>
      <c r="U110">
        <f ca="1" t="shared" si="194"/>
        <v>2.68954760480339</v>
      </c>
      <c r="V110">
        <f ca="1" t="shared" si="245"/>
        <v>1324137.37808172</v>
      </c>
      <c r="W110">
        <f ca="1">IF(G110="恒定伤害",0,MIN(1,IF(COUNTIF(F110,"*内会*")&gt;0,内会,IF(D110="轻剑",$Y$2,$Y$3)+COUNTIF(G110,"*莺鸣*")*0.2+COUNTIF(G110,"*叠1*")*0.1+COUNTIF(G110,"*叠2*")*0.2+COUNTIF(G110,"*叠3*")*0.3)+IFERROR(INDEX(技能数据库!$T$2:$W$27,MATCH(E110,技能数据库!$T$2:$T$27,0),2),0)+IF((IF(D110="轻剑",$AO$2,$AO$3)+INT(COUNTIF(G110,"*大莺鸣*")*IF(D110="轻剑",$AM$2,$AM$3)*听晓无双率)/无双系数)&gt;0.9,特效裤子会心/会心系数,0)))</f>
        <v>0.9343</v>
      </c>
      <c r="X110">
        <f ca="1">IF(G110="恒定伤害",0,IF(COUNTIF(F110,"*内会*")&gt;0,内会效,IF(D110="轻剑",$AB$2,$AB$3))+IFERROR(INDEX(技能数据库!$T$2:$W$27,MATCH(E110,技能数据库!$T$2:$T$27,0),3)/1024,0))+COUNTIF(G110,"*叠1*")*0.25+COUNTIF(G110,"*叠2*")*0.5+COUNTIF(G110,"*叠3*")*0.75</f>
        <v>2.3217485021</v>
      </c>
      <c r="Y110">
        <f ca="1" t="shared" si="246"/>
        <v>2.23490962551203</v>
      </c>
      <c r="Z110">
        <f t="shared" si="247"/>
        <v>0.150390625</v>
      </c>
      <c r="AA110">
        <f ca="1" t="shared" si="248"/>
        <v>0.0205078125</v>
      </c>
      <c r="AB110">
        <f ca="1" t="shared" si="249"/>
        <v>3474198.9020623</v>
      </c>
      <c r="AC110">
        <f ca="1">无穷技能数计算!AJ102</f>
        <v>0</v>
      </c>
      <c r="AD110" s="164">
        <f ca="1" t="shared" si="250"/>
        <v>0</v>
      </c>
      <c r="AE110" s="168">
        <f ca="1" t="shared" si="64"/>
        <v>0.00390876734831413</v>
      </c>
      <c r="AF110" s="168">
        <f ca="1" t="shared" si="251"/>
        <v>0.00412131305293068</v>
      </c>
      <c r="AG110">
        <f ca="1" t="shared" si="252"/>
        <v>0.00334081105743711</v>
      </c>
      <c r="AH110">
        <f ca="1" t="shared" si="253"/>
        <v>1.00317928688851</v>
      </c>
      <c r="AI110">
        <f ca="1" t="shared" si="254"/>
        <v>1.00016101226475</v>
      </c>
      <c r="AJ110">
        <f ca="1" t="shared" si="255"/>
        <v>0</v>
      </c>
      <c r="AK110">
        <f ca="1" t="shared" si="256"/>
        <v>0</v>
      </c>
      <c r="AL110">
        <f ca="1" t="shared" si="257"/>
        <v>0</v>
      </c>
      <c r="AM110">
        <f ca="1" t="shared" si="258"/>
        <v>0</v>
      </c>
      <c r="AN110" s="168">
        <f ca="1" t="shared" si="71"/>
        <v>0.00839606381672686</v>
      </c>
      <c r="AO110" s="168">
        <f ca="1" t="shared" si="195"/>
        <v>0.00447057613551372</v>
      </c>
      <c r="AP110" s="172">
        <f ca="1" t="shared" si="259"/>
        <v>0</v>
      </c>
      <c r="AQ110" s="168">
        <f ca="1" t="shared" si="260"/>
        <v>0.00393951131463699</v>
      </c>
      <c r="AR110">
        <f t="shared" si="261"/>
        <v>1</v>
      </c>
    </row>
    <row r="111" spans="4:55">
      <c r="D111" t="s">
        <v>1825</v>
      </c>
      <c r="E111" t="s">
        <v>2798</v>
      </c>
      <c r="G111" t="s">
        <v>3103</v>
      </c>
      <c r="H111">
        <f ca="1">INDEX(技能数据库!$B$2:$I$100,MATCH(无穷伤害与收益计算!$E111,技能数据库!$B$2:$B$100,0),MATCH(H$9,技能数据库!$B$2:$I$2,0))</f>
        <v>1504.5</v>
      </c>
      <c r="I111">
        <f ca="1">INDEX(技能数据库!$B$2:$I$100,MATCH(无穷伤害与收益计算!$E111,技能数据库!$B$2:$B$100,0),MATCH(I$9,技能数据库!$B$2:$I$2,0))</f>
        <v>2.85625</v>
      </c>
      <c r="J111">
        <f ca="1">INDEX(技能数据库!$B$2:$I$100,MATCH(无穷伤害与收益计算!$E111,技能数据库!$B$2:$B$100,0),MATCH(J$9,技能数据库!$B$2:$I$2,0))</f>
        <v>0</v>
      </c>
      <c r="K111">
        <f ca="1">INDEX(技能数据库!$B$2:$I$100,MATCH(无穷伤害与收益计算!$E111,技能数据库!$B$2:$B$100,0),MATCH(K$9,技能数据库!$B$2:$I$2,0))</f>
        <v>0</v>
      </c>
      <c r="L111">
        <f ca="1" t="shared" si="58"/>
        <v>91975</v>
      </c>
      <c r="M111">
        <f ca="1" t="shared" si="240"/>
        <v>19530.5</v>
      </c>
      <c r="N111">
        <f ca="1" t="shared" si="241"/>
        <v>92028</v>
      </c>
      <c r="O111">
        <f ca="1" t="shared" si="242"/>
        <v>264208.09375</v>
      </c>
      <c r="P111">
        <f ca="1">IF(G111="恒定伤害",0,(IF(D111="轻剑",$AZ$2,$AZ$3)+IFERROR(INDEX(技能数据库!$T$2:$W$27,MATCH(E111,技能数据库!$T$2:$T$27,0),4),0)+COUNTIF(G111,"*造化2*")*154+COUNTIF(G111,"*造化1*")*102+COUNTIF(G111,"*碧归*")*307)/1024)</f>
        <v>0.476672834429785</v>
      </c>
      <c r="Q111">
        <f ca="1" t="shared" si="193"/>
        <v>0.448284482196154</v>
      </c>
      <c r="R111">
        <f ca="1" t="shared" si="243"/>
        <v>0.32958230397716</v>
      </c>
      <c r="S111">
        <f ca="1" t="shared" si="244"/>
        <v>378817.25237001</v>
      </c>
      <c r="T111">
        <f t="shared" si="97"/>
        <v>0.8</v>
      </c>
      <c r="U111">
        <f ca="1" t="shared" si="194"/>
        <v>2.68954760480339</v>
      </c>
      <c r="V111">
        <f ca="1" t="shared" si="245"/>
        <v>1118131.42891198</v>
      </c>
      <c r="W111">
        <f ca="1">IF(G111="恒定伤害",0,MIN(1,IF(COUNTIF(F111,"*内会*")&gt;0,内会,IF(D111="轻剑",$Y$2,$Y$3)+COUNTIF(G111,"*莺鸣*")*0.2+COUNTIF(G111,"*叠1*")*0.1+COUNTIF(G111,"*叠2*")*0.2+COUNTIF(G111,"*叠3*")*0.3)+IFERROR(INDEX(技能数据库!$T$2:$W$27,MATCH(E111,技能数据库!$T$2:$T$27,0),2),0)+IF((IF(D111="轻剑",$AO$2,$AO$3)+INT(COUNTIF(G111,"*大莺鸣*")*IF(D111="轻剑",$AM$2,$AM$3)*听晓无双率)/无双系数)&gt;0.9,特效裤子会心/会心系数,0)))</f>
        <v>0.9343</v>
      </c>
      <c r="X111">
        <f ca="1">IF(G111="恒定伤害",0,IF(COUNTIF(F111,"*内会*")&gt;0,内会效,IF(D111="轻剑",$AB$2,$AB$3))+IFERROR(INDEX(技能数据库!$T$2:$W$27,MATCH(E111,技能数据库!$T$2:$T$27,0),3)/1024,0))+COUNTIF(G111,"*叠1*")*0.25+COUNTIF(G111,"*叠2*")*0.5+COUNTIF(G111,"*叠3*")*0.75</f>
        <v>2.3217485021</v>
      </c>
      <c r="Y111">
        <f ca="1" t="shared" si="246"/>
        <v>2.23490962551203</v>
      </c>
      <c r="Z111">
        <f t="shared" si="247"/>
        <v>0.150390625</v>
      </c>
      <c r="AA111">
        <f ca="1" t="shared" si="248"/>
        <v>0.0205078125</v>
      </c>
      <c r="AB111">
        <f ca="1" t="shared" si="249"/>
        <v>2933691.81097733</v>
      </c>
      <c r="AC111">
        <f ca="1">无穷技能数计算!AJ103</f>
        <v>0</v>
      </c>
      <c r="AD111" s="164">
        <f ca="1" t="shared" si="250"/>
        <v>0</v>
      </c>
      <c r="AE111" s="168">
        <f ca="1" t="shared" si="64"/>
        <v>0.00449721272022917</v>
      </c>
      <c r="AF111" s="168">
        <f ca="1" t="shared" si="251"/>
        <v>0</v>
      </c>
      <c r="AG111">
        <f ca="1" t="shared" si="252"/>
        <v>0.00381951385973744</v>
      </c>
      <c r="AH111">
        <f ca="1" t="shared" si="253"/>
        <v>1.00365791262619</v>
      </c>
      <c r="AI111">
        <f ca="1" t="shared" si="254"/>
        <v>1.00016101226475</v>
      </c>
      <c r="AJ111">
        <f ca="1" t="shared" si="255"/>
        <v>0</v>
      </c>
      <c r="AK111">
        <f ca="1" t="shared" si="256"/>
        <v>0</v>
      </c>
      <c r="AL111">
        <f ca="1" t="shared" si="257"/>
        <v>0</v>
      </c>
      <c r="AM111">
        <f ca="1" t="shared" si="258"/>
        <v>0</v>
      </c>
      <c r="AN111" s="168">
        <f ca="1" t="shared" si="71"/>
        <v>0.00839606381672686</v>
      </c>
      <c r="AO111" s="168">
        <f ca="1" t="shared" si="195"/>
        <v>0.00447057613551372</v>
      </c>
      <c r="AP111" s="172">
        <f ca="1" t="shared" si="259"/>
        <v>0</v>
      </c>
      <c r="AQ111" s="168">
        <f ca="1" t="shared" si="260"/>
        <v>0.00393951131463699</v>
      </c>
      <c r="AR111">
        <f t="shared" si="261"/>
        <v>1</v>
      </c>
    </row>
    <row r="112" spans="4:55">
      <c r="D112" t="s">
        <v>1825</v>
      </c>
      <c r="E112" t="s">
        <v>2768</v>
      </c>
      <c r="G112" t="s">
        <v>3102</v>
      </c>
      <c r="H112">
        <f ca="1">INDEX(技能数据库!$B$2:$I$100,MATCH(无穷伤害与收益计算!$E112,技能数据库!$B$2:$B$100,0),MATCH(H$9,技能数据库!$B$2:$I$2,0))</f>
        <v>210</v>
      </c>
      <c r="I112">
        <f ca="1">INDEX(技能数据库!$B$2:$I$100,MATCH(无穷伤害与收益计算!$E112,技能数据库!$B$2:$B$100,0),MATCH(I$9,技能数据库!$B$2:$I$2,0))</f>
        <v>5.7875</v>
      </c>
      <c r="J112">
        <f ca="1">INDEX(技能数据库!$B$2:$I$100,MATCH(无穷伤害与收益计算!$E112,技能数据库!$B$2:$B$100,0),MATCH(J$9,技能数据库!$B$2:$I$2,0))</f>
        <v>2</v>
      </c>
      <c r="K112">
        <f ca="1">INDEX(技能数据库!$B$2:$I$100,MATCH(无穷伤害与收益计算!$E112,技能数据库!$B$2:$B$100,0),MATCH(K$9,技能数据库!$B$2:$I$2,0))</f>
        <v>0</v>
      </c>
      <c r="L112">
        <f ca="1" t="shared" si="58"/>
        <v>91975</v>
      </c>
      <c r="M112">
        <f ca="1" t="shared" si="240"/>
        <v>19530.5</v>
      </c>
      <c r="N112">
        <f ca="1" t="shared" si="241"/>
        <v>92028</v>
      </c>
      <c r="O112">
        <f ca="1" t="shared" si="242"/>
        <v>571576.3125</v>
      </c>
      <c r="P112">
        <f ca="1">IF(G112="恒定伤害",0,(IF(D112="轻剑",$AZ$2,$AZ$3)+IFERROR(INDEX(技能数据库!$T$2:$W$27,MATCH(E112,技能数据库!$T$2:$T$27,0),4),0)+COUNTIF(G112,"*造化2*")*154+COUNTIF(G112,"*造化1*")*102+COUNTIF(G112,"*碧归*")*307)/1024)</f>
        <v>0.747180646929785</v>
      </c>
      <c r="Q112">
        <f ca="1" t="shared" si="193"/>
        <v>0.448284482196154</v>
      </c>
      <c r="R112">
        <f ca="1" t="shared" si="243"/>
        <v>0.32958230397716</v>
      </c>
      <c r="S112">
        <f ca="1" t="shared" si="244"/>
        <v>969641.912254645</v>
      </c>
      <c r="T112">
        <f t="shared" si="97"/>
        <v>0.8</v>
      </c>
      <c r="U112">
        <f ca="1" t="shared" si="194"/>
        <v>2.68954760480339</v>
      </c>
      <c r="V112">
        <f ca="1" t="shared" si="245"/>
        <v>2862031.99590088</v>
      </c>
      <c r="W112">
        <f ca="1">IF(G112="恒定伤害",0,MIN(1,IF(COUNTIF(F112,"*内会*")&gt;0,内会,IF(D112="轻剑",$Y$2,$Y$3)+COUNTIF(G112,"*莺鸣*")*0.2+COUNTIF(G112,"*叠1*")*0.1+COUNTIF(G112,"*叠2*")*0.2+COUNTIF(G112,"*叠3*")*0.3)+IFERROR(INDEX(技能数据库!$T$2:$W$27,MATCH(E112,技能数据库!$T$2:$T$27,0),2),0)+IF((IF(D112="轻剑",$AO$2,$AO$3)+INT(COUNTIF(G112,"*大莺鸣*")*IF(D112="轻剑",$AM$2,$AM$3)*听晓无双率)/无双系数)&gt;0.9,特效裤子会心/会心系数,0)))</f>
        <v>0.9343</v>
      </c>
      <c r="X112">
        <f ca="1">IF(G112="恒定伤害",0,IF(COUNTIF(F112,"*内会*")&gt;0,内会效,IF(D112="轻剑",$AB$2,$AB$3))+IFERROR(INDEX(技能数据库!$T$2:$W$27,MATCH(E112,技能数据库!$T$2:$T$27,0),3)/1024,0))+COUNTIF(G112,"*叠1*")*0.25+COUNTIF(G112,"*叠2*")*0.5+COUNTIF(G112,"*叠3*")*0.75</f>
        <v>2.3217485021</v>
      </c>
      <c r="Y112">
        <f ca="1" t="shared" si="246"/>
        <v>2.23490962551203</v>
      </c>
      <c r="Z112">
        <f t="shared" si="247"/>
        <v>0.150390625</v>
      </c>
      <c r="AA112">
        <f ca="1" t="shared" si="248"/>
        <v>0.0205078125</v>
      </c>
      <c r="AB112">
        <f ca="1" t="shared" si="249"/>
        <v>7509242.30553088</v>
      </c>
      <c r="AC112">
        <f ca="1">无穷技能数计算!AJ104</f>
        <v>0</v>
      </c>
      <c r="AD112" s="164">
        <f ca="1" t="shared" si="250"/>
        <v>0</v>
      </c>
      <c r="AE112" s="168">
        <f ca="1" t="shared" si="64"/>
        <v>0.00421221094602306</v>
      </c>
      <c r="AF112" s="168">
        <f ca="1" t="shared" si="251"/>
        <v>0.00208633558445444</v>
      </c>
      <c r="AG112">
        <f ca="1" t="shared" si="252"/>
        <v>0.0035876637093506</v>
      </c>
      <c r="AH112">
        <f ca="1" t="shared" si="253"/>
        <v>1.00342609980051</v>
      </c>
      <c r="AI112">
        <f ca="1" t="shared" si="254"/>
        <v>1.00016101226475</v>
      </c>
      <c r="AJ112">
        <f ca="1" t="shared" si="255"/>
        <v>0</v>
      </c>
      <c r="AK112">
        <f ca="1" t="shared" si="256"/>
        <v>0</v>
      </c>
      <c r="AL112">
        <f ca="1" t="shared" si="257"/>
        <v>0</v>
      </c>
      <c r="AM112">
        <f ca="1" t="shared" si="258"/>
        <v>0</v>
      </c>
      <c r="AN112" s="168">
        <f ca="1" t="shared" si="71"/>
        <v>0.00839606381672686</v>
      </c>
      <c r="AO112" s="168">
        <f ca="1" t="shared" si="195"/>
        <v>0.00447057613551372</v>
      </c>
      <c r="AP112" s="172">
        <f ca="1" t="shared" si="259"/>
        <v>0</v>
      </c>
      <c r="AQ112" s="168">
        <f ca="1" t="shared" si="260"/>
        <v>0.00393951131463699</v>
      </c>
      <c r="AR112">
        <f t="shared" si="261"/>
        <v>1</v>
      </c>
    </row>
    <row r="113" spans="4:55">
      <c r="D113" t="s">
        <v>1825</v>
      </c>
      <c r="E113" t="s">
        <v>2902</v>
      </c>
      <c r="G113" t="s">
        <v>2948</v>
      </c>
      <c r="H113">
        <f ca="1">INDEX(技能数据库!$B$2:$I$100,MATCH(无穷伤害与收益计算!$E113,技能数据库!$B$2:$B$100,0),MATCH(H$9,技能数据库!$B$2:$I$2,0))</f>
        <v>317.5</v>
      </c>
      <c r="I113">
        <f ca="1">INDEX(技能数据库!$B$2:$I$100,MATCH(无穷伤害与收益计算!$E113,技能数据库!$B$2:$B$100,0),MATCH(I$9,技能数据库!$B$2:$I$2,0))</f>
        <v>2.25</v>
      </c>
      <c r="J113">
        <f ca="1">INDEX(技能数据库!$B$2:$I$100,MATCH(无穷伤害与收益计算!$E113,技能数据库!$B$2:$B$100,0),MATCH(J$9,技能数据库!$B$2:$I$2,0))</f>
        <v>1</v>
      </c>
      <c r="K113">
        <f ca="1">INDEX(技能数据库!$B$2:$I$100,MATCH(无穷伤害与收益计算!$E113,技能数据库!$B$2:$B$100,0),MATCH(K$9,技能数据库!$B$2:$I$2,0))</f>
        <v>0</v>
      </c>
      <c r="L113">
        <f ca="1" t="shared" si="58"/>
        <v>91975</v>
      </c>
      <c r="M113">
        <f ca="1" t="shared" si="240"/>
        <v>19530.5</v>
      </c>
      <c r="N113">
        <f ca="1" t="shared" si="241"/>
        <v>92028</v>
      </c>
      <c r="O113">
        <f ca="1" t="shared" si="242"/>
        <v>226791.75</v>
      </c>
      <c r="P113">
        <f ca="1">IF(G113="恒定伤害",0,(IF(D113="轻剑",$AZ$2,$AZ$3)+IFERROR(INDEX(技能数据库!$T$2:$W$27,MATCH(E113,技能数据库!$T$2:$T$27,0),4),0)+COUNTIF(G113,"*造化2*")*154+COUNTIF(G113,"*造化1*")*102+COUNTIF(G113,"*碧归*")*307)/1024)</f>
        <v>0.176868146929785</v>
      </c>
      <c r="Q113">
        <f ca="1" t="shared" si="193"/>
        <v>0.448284482196154</v>
      </c>
      <c r="R113">
        <f ca="1" t="shared" si="243"/>
        <v>0.32958230397716</v>
      </c>
      <c r="S113">
        <f ca="1" t="shared" si="244"/>
        <v>259151.905931854</v>
      </c>
      <c r="T113">
        <f t="shared" si="97"/>
        <v>0.8</v>
      </c>
      <c r="U113">
        <f ca="1" t="shared" si="194"/>
        <v>2.68954760480339</v>
      </c>
      <c r="V113">
        <f ca="1" t="shared" si="245"/>
        <v>764922.635048885</v>
      </c>
      <c r="W113">
        <f ca="1">IF(G113="恒定伤害",0,MIN(1,IF(COUNTIF(F113,"*内会*")&gt;0,内会,IF(D113="轻剑",$Y$2,$Y$3)+COUNTIF(G113,"*莺鸣*")*0.2+COUNTIF(G113,"*叠1*")*0.1+COUNTIF(G113,"*叠2*")*0.2+COUNTIF(G113,"*叠3*")*0.3)+IFERROR(INDEX(技能数据库!$T$2:$W$27,MATCH(E113,技能数据库!$T$2:$T$27,0),2),0)+IF((IF(D113="轻剑",$AO$2,$AO$3)+INT(COUNTIF(G113,"*大莺鸣*")*IF(D113="轻剑",$AM$2,$AM$3)*听晓无双率)/无双系数)&gt;0.9,特效裤子会心/会心系数,0)))</f>
        <v>0.9343</v>
      </c>
      <c r="X113">
        <f ca="1">IF(G113="恒定伤害",0,IF(COUNTIF(F113,"*内会*")&gt;0,内会效,IF(D113="轻剑",$AB$2,$AB$3))+IFERROR(INDEX(技能数据库!$T$2:$W$27,MATCH(E113,技能数据库!$T$2:$T$27,0),3)/1024,0))+COUNTIF(G113,"*叠1*")*0.25+COUNTIF(G113,"*叠2*")*0.5+COUNTIF(G113,"*叠3*")*0.75</f>
        <v>2.3217485021</v>
      </c>
      <c r="Y113">
        <f ca="1" t="shared" si="246"/>
        <v>2.23490962551203</v>
      </c>
      <c r="Z113">
        <f t="shared" si="247"/>
        <v>0.150390625</v>
      </c>
      <c r="AA113">
        <f ca="1" t="shared" si="248"/>
        <v>0.0205078125</v>
      </c>
      <c r="AB113">
        <f ca="1" t="shared" si="249"/>
        <v>2006961.9835816</v>
      </c>
      <c r="AC113">
        <f ca="1">无穷技能数计算!AJ105</f>
        <v>0</v>
      </c>
      <c r="AD113" s="164">
        <f ca="1" t="shared" si="250"/>
        <v>0</v>
      </c>
      <c r="AE113" s="168">
        <f ca="1" t="shared" si="64"/>
        <v>0.00412713425422221</v>
      </c>
      <c r="AF113" s="168">
        <f ca="1" t="shared" si="251"/>
        <v>0.00262906388790598</v>
      </c>
      <c r="AG113">
        <f ca="1" t="shared" si="252"/>
        <v>0.0035184534602446</v>
      </c>
      <c r="AH113">
        <f ca="1" t="shared" si="253"/>
        <v>1.00335690069331</v>
      </c>
      <c r="AI113">
        <f ca="1" t="shared" si="254"/>
        <v>1.00016101226475</v>
      </c>
      <c r="AJ113">
        <f ca="1" t="shared" si="255"/>
        <v>0</v>
      </c>
      <c r="AK113">
        <f ca="1" t="shared" si="256"/>
        <v>0</v>
      </c>
      <c r="AL113">
        <f ca="1" t="shared" si="257"/>
        <v>0</v>
      </c>
      <c r="AM113">
        <f ca="1" t="shared" si="258"/>
        <v>0</v>
      </c>
      <c r="AN113" s="168">
        <f ca="1" t="shared" si="71"/>
        <v>0.00839606381672686</v>
      </c>
      <c r="AO113" s="168">
        <f ca="1" t="shared" si="195"/>
        <v>0.00447057613551372</v>
      </c>
      <c r="AP113" s="172">
        <f ca="1" t="shared" si="259"/>
        <v>0</v>
      </c>
      <c r="AQ113" s="168">
        <f ca="1" t="shared" si="260"/>
        <v>0.00393951131463699</v>
      </c>
      <c r="AR113">
        <f t="shared" si="261"/>
        <v>1</v>
      </c>
    </row>
    <row r="114" spans="4:55">
      <c r="D114" t="s">
        <v>1825</v>
      </c>
      <c r="E114" t="s">
        <v>2922</v>
      </c>
      <c r="G114" t="s">
        <v>3098</v>
      </c>
      <c r="H114">
        <f ca="1">INDEX(技能数据库!$B$2:$I$100,MATCH(无穷伤害与收益计算!$E114,技能数据库!$B$2:$B$100,0),MATCH(H$9,技能数据库!$B$2:$I$2,0))</f>
        <v>0</v>
      </c>
      <c r="I114">
        <f ca="1">INDEX(技能数据库!$B$2:$I$100,MATCH(无穷伤害与收益计算!$E114,技能数据库!$B$2:$B$100,0),MATCH(I$9,技能数据库!$B$2:$I$2,0))</f>
        <v>0</v>
      </c>
      <c r="J114">
        <f ca="1">INDEX(技能数据库!$B$2:$I$100,MATCH(无穷伤害与收益计算!$E114,技能数据库!$B$2:$B$100,0),MATCH(J$9,技能数据库!$B$2:$I$2,0))</f>
        <v>0</v>
      </c>
      <c r="K114">
        <f ca="1">INDEX(技能数据库!$B$2:$I$100,MATCH(无穷伤害与收益计算!$E114,技能数据库!$B$2:$B$100,0),MATCH(K$9,技能数据库!$B$2:$I$2,0))</f>
        <v>0</v>
      </c>
      <c r="L114">
        <f ca="1" t="shared" si="58"/>
        <v>91975</v>
      </c>
      <c r="M114">
        <f ca="1" t="shared" si="240"/>
        <v>19530.5</v>
      </c>
      <c r="N114">
        <f ca="1" t="shared" si="241"/>
        <v>92028</v>
      </c>
      <c r="O114">
        <f ca="1" t="shared" si="242"/>
        <v>0</v>
      </c>
      <c r="P114">
        <f ca="1">IF(G114="恒定伤害",0,(IF(D114="轻剑",$AZ$2,$AZ$3)+IFERROR(INDEX(技能数据库!$T$2:$W$27,MATCH(E114,技能数据库!$T$2:$T$27,0),4),0)+COUNTIF(G114,"*造化2*")*154+COUNTIF(G114,"*造化1*")*102+COUNTIF(G114,"*碧归*")*307)/1024)</f>
        <v>0</v>
      </c>
      <c r="Q114">
        <f ca="1" t="shared" si="193"/>
        <v>0</v>
      </c>
      <c r="R114">
        <f ca="1" t="shared" si="243"/>
        <v>0</v>
      </c>
      <c r="S114">
        <f ca="1" t="shared" si="244"/>
        <v>0</v>
      </c>
      <c r="T114">
        <f t="shared" si="97"/>
        <v>0.8</v>
      </c>
      <c r="U114">
        <f ca="1" t="shared" si="194"/>
        <v>0</v>
      </c>
      <c r="V114">
        <f ca="1" t="shared" si="245"/>
        <v>0</v>
      </c>
      <c r="W114">
        <f ca="1">IF(G114="恒定伤害",0,MIN(1,IF(COUNTIF(F114,"*内会*")&gt;0,内会,IF(D114="轻剑",$Y$2,$Y$3)+COUNTIF(G114,"*莺鸣*")*0.2+COUNTIF(G114,"*叠1*")*0.1+COUNTIF(G114,"*叠2*")*0.2+COUNTIF(G114,"*叠3*")*0.3)+IFERROR(INDEX(技能数据库!$T$2:$W$27,MATCH(E114,技能数据库!$T$2:$T$27,0),2),0)+IF((IF(D114="轻剑",$AO$2,$AO$3)+INT(COUNTIF(G114,"*大莺鸣*")*IF(D114="轻剑",$AM$2,$AM$3)*听晓无双率)/无双系数)&gt;0.9,特效裤子会心/会心系数,0)))</f>
        <v>0</v>
      </c>
      <c r="X114">
        <f ca="1">IF(G114="恒定伤害",0,IF(COUNTIF(F114,"*内会*")&gt;0,内会效,IF(D114="轻剑",$AB$2,$AB$3))+IFERROR(INDEX(技能数据库!$T$2:$W$27,MATCH(E114,技能数据库!$T$2:$T$27,0),3)/1024,0))+COUNTIF(G114,"*叠1*")*0.25+COUNTIF(G114,"*叠2*")*0.5+COUNTIF(G114,"*叠3*")*0.75</f>
        <v>0</v>
      </c>
      <c r="Y114">
        <f ca="1" t="shared" si="246"/>
        <v>1</v>
      </c>
      <c r="Z114">
        <f t="shared" si="247"/>
        <v>0</v>
      </c>
      <c r="AA114">
        <f ca="1" t="shared" si="248"/>
        <v>0.0205078125</v>
      </c>
      <c r="AB114">
        <f ca="1" t="shared" si="249"/>
        <v>0</v>
      </c>
      <c r="AC114" s="171">
        <f ca="1">无穷技能数计算!AJ106</f>
        <v>18.8674245939675</v>
      </c>
      <c r="AD114" s="164">
        <f ca="1" t="shared" si="250"/>
        <v>0</v>
      </c>
      <c r="AE114" s="168">
        <f ca="1" t="shared" si="64"/>
        <v>0</v>
      </c>
      <c r="AF114" s="168">
        <f ca="1" t="shared" si="251"/>
        <v>0</v>
      </c>
      <c r="AG114">
        <f ca="1" t="shared" si="252"/>
        <v>0</v>
      </c>
      <c r="AH114">
        <f ca="1" t="shared" si="253"/>
        <v>0</v>
      </c>
      <c r="AI114">
        <f ca="1" t="shared" si="254"/>
        <v>1.00023319156448</v>
      </c>
      <c r="AJ114">
        <f ca="1" t="shared" si="255"/>
        <v>0</v>
      </c>
      <c r="AK114" s="171">
        <f ca="1">$AC$10*MIN($W$10+((delta身法+INT((IF(D97="轻剑",$N$2,$N$3))/1024*delta身法))*身法转基础会心/会心系数),1)</f>
        <v>0</v>
      </c>
      <c r="AL114">
        <f ca="1" t="shared" si="257"/>
        <v>0</v>
      </c>
      <c r="AM114" s="171">
        <f ca="1">$AC$10*MIN($W$10+delta会心/会心系数,1)</f>
        <v>0</v>
      </c>
      <c r="AN114" s="168">
        <f ca="1" t="shared" si="71"/>
        <v>0</v>
      </c>
      <c r="AO114" s="168">
        <f ca="1" t="shared" si="195"/>
        <v>0</v>
      </c>
      <c r="AP114" s="172">
        <f ca="1" t="shared" si="259"/>
        <v>0</v>
      </c>
      <c r="AQ114" s="168">
        <f ca="1" t="shared" si="260"/>
        <v>0</v>
      </c>
      <c r="AR114">
        <f t="shared" si="261"/>
        <v>1</v>
      </c>
    </row>
    <row r="115" spans="4:55">
      <c r="D115" t="s">
        <v>1825</v>
      </c>
      <c r="E115" s="161" t="s">
        <v>2844</v>
      </c>
      <c r="H115">
        <f ca="1">INDEX(技能数据库!$B$2:$I$100,MATCH(无穷伤害与收益计算!$E115,技能数据库!$B$2:$B$100,0),MATCH(H$9,技能数据库!$B$2:$I$2,0))</f>
        <v>5241589</v>
      </c>
      <c r="I115">
        <f ca="1">INDEX(技能数据库!$B$2:$I$100,MATCH(无穷伤害与收益计算!$E115,技能数据库!$B$2:$B$100,0),MATCH(I$9,技能数据库!$B$2:$I$2,0))</f>
        <v>0</v>
      </c>
      <c r="J115">
        <f ca="1">INDEX(技能数据库!$B$2:$I$100,MATCH(无穷伤害与收益计算!$E115,技能数据库!$B$2:$B$100,0),MATCH(J$9,技能数据库!$B$2:$I$2,0))</f>
        <v>0</v>
      </c>
      <c r="K115">
        <f ca="1">INDEX(技能数据库!$B$2:$I$100,MATCH(无穷伤害与收益计算!$E115,技能数据库!$B$2:$B$100,0),MATCH(K$9,技能数据库!$B$2:$I$2,0))</f>
        <v>0</v>
      </c>
      <c r="L115">
        <f ca="1" t="shared" si="58"/>
        <v>91975</v>
      </c>
      <c r="M115">
        <f ca="1" t="shared" ref="M115:M143" si="262">IF(D115="轻剑",$AU$2+$AV$2,$AU$3+$AV$3)/2</f>
        <v>19530.5</v>
      </c>
      <c r="N115">
        <f ca="1" t="shared" ref="N115:N143" si="263">IF(D115="轻剑",$AJ$2,$AJ$3)</f>
        <v>92028</v>
      </c>
      <c r="O115">
        <f ca="1" t="shared" si="242"/>
        <v>5241589</v>
      </c>
      <c r="P115">
        <f ca="1">IF(G115="恒定伤害",0,(IF(D115="轻剑",$AZ$2,$AZ$3)+IFERROR(INDEX(技能数据库!$T$2:$W$27,MATCH(E115,技能数据库!$T$2:$T$27,0),4),0)+COUNTIF(G115,"*造化2*")*154+COUNTIF(G115,"*造化1*")*102+COUNTIF(G115,"*碧归*")*307)/1024)</f>
        <v>0.176868146929785</v>
      </c>
      <c r="Q115">
        <f ca="1" t="shared" si="193"/>
        <v>0.448284482196154</v>
      </c>
      <c r="R115">
        <f ca="1" t="shared" si="243"/>
        <v>0.32958230397716</v>
      </c>
      <c r="S115">
        <f ca="1" t="shared" ref="S115:S143" si="264">O115*(1+P115)*(1+Q115)*(1-R115)</f>
        <v>5989493.79534944</v>
      </c>
      <c r="T115">
        <f t="shared" si="97"/>
        <v>0.8</v>
      </c>
      <c r="U115">
        <f ca="1" t="shared" si="194"/>
        <v>1.7995442148</v>
      </c>
      <c r="V115">
        <f ca="1" t="shared" ref="V115:V143" si="265">S115*T115*(1+U115)</f>
        <v>13414282.1634808</v>
      </c>
      <c r="W115">
        <f ca="1">IF(G115="恒定伤害",0,MIN(1,IF(COUNTIF(F115,"*内会*")&gt;0,内会,IF(D115="轻剑",$Y$2,$Y$3)+COUNTIF(G115,"*莺鸣*")*0.2+COUNTIF(G115,"*叠1*")*0.1+COUNTIF(G115,"*叠2*")*0.2+COUNTIF(G115,"*叠3*")*0.3)+IFERROR(INDEX(技能数据库!$T$2:$W$27,MATCH(E115,技能数据库!$T$2:$T$27,0),2),0)+IF((IF(D115="轻剑",$AO$2,$AO$3)+INT(COUNTIF(G115,"*大莺鸣*")*IF(D115="轻剑",$AM$2,$AM$3)*听晓无双率)/无双系数)&gt;0.9,特效裤子会心/会心系数,0)))</f>
        <v>0.7343</v>
      </c>
      <c r="X115">
        <f ca="1">IF(G115="恒定伤害",0,IF(COUNTIF(F115,"*内会*")&gt;0,内会效,IF(D115="轻剑",$AB$2,$AB$3))+IFERROR(INDEX(技能数据库!$T$2:$W$27,MATCH(E115,技能数据库!$T$2:$T$27,0),3)/1024,0))+COUNTIF(G115,"*叠1*")*0.25+COUNTIF(G115,"*叠2*")*0.5+COUNTIF(G115,"*叠3*")*0.75</f>
        <v>2.3217485021</v>
      </c>
      <c r="Y115">
        <f ca="1" t="shared" ref="Y115:Y143" si="266">1+W115*(X115-1)</f>
        <v>1.97055992509203</v>
      </c>
      <c r="Z115">
        <f t="shared" si="247"/>
        <v>0.150390625</v>
      </c>
      <c r="AA115">
        <f ca="1" t="shared" ref="AA115:AA143" si="267">IF(D115="轻剑",$BA$2,$BA$3)/1024</f>
        <v>0.0205078125</v>
      </c>
      <c r="AB115">
        <f ca="1" t="shared" ref="AB115:AB143" si="268">V115*Y115*(1+Z115)*(1+AA115)</f>
        <v>31032641.9975846</v>
      </c>
      <c r="AC115">
        <f ca="1">无穷技能数计算!AJ107</f>
        <v>0</v>
      </c>
      <c r="AD115" s="164">
        <f ca="1" t="shared" si="250"/>
        <v>0</v>
      </c>
      <c r="AE115" s="168">
        <f ca="1" t="shared" si="64"/>
        <v>0</v>
      </c>
      <c r="AF115" s="168">
        <f ca="1" t="shared" si="251"/>
        <v>0</v>
      </c>
      <c r="AG115">
        <f ca="1" t="shared" ref="AG115:AG143" si="269">IF(G115="恒定伤害",0,MAX(0,AH115*AI115*IF(AJ115=0,1,AJ115)-1))</f>
        <v>0.000161012264749072</v>
      </c>
      <c r="AH115">
        <f ca="1" t="shared" si="253"/>
        <v>1</v>
      </c>
      <c r="AI115">
        <f ca="1" t="shared" si="254"/>
        <v>1.00016101226475</v>
      </c>
      <c r="AJ115">
        <f ca="1" t="shared" si="255"/>
        <v>0</v>
      </c>
      <c r="AK115">
        <f ca="1" t="shared" ref="AK115:AK155" si="270">AC115</f>
        <v>0</v>
      </c>
      <c r="AL115">
        <f ca="1" t="shared" si="257"/>
        <v>0</v>
      </c>
      <c r="AM115">
        <f ca="1" t="shared" ref="AM115:AM155" si="271">AC115</f>
        <v>0</v>
      </c>
      <c r="AN115" s="168">
        <f ca="1" t="shared" si="71"/>
        <v>0.00748399053993198</v>
      </c>
      <c r="AO115" s="168">
        <f ca="1" t="shared" si="195"/>
        <v>0.00447057613551372</v>
      </c>
      <c r="AP115" s="172">
        <f ca="1" t="shared" si="259"/>
        <v>0</v>
      </c>
      <c r="AQ115" s="168">
        <f ca="1" t="shared" si="260"/>
        <v>0.00401583628616287</v>
      </c>
      <c r="AR115">
        <f t="shared" si="261"/>
        <v>1</v>
      </c>
    </row>
    <row r="116" spans="4:55">
      <c r="D116" t="s">
        <v>1825</v>
      </c>
      <c r="E116" s="161" t="s">
        <v>2847</v>
      </c>
      <c r="H116">
        <f ca="1">INDEX(技能数据库!$B$2:$I$100,MATCH(无穷伤害与收益计算!$E116,技能数据库!$B$2:$B$100,0),MATCH(H$9,技能数据库!$B$2:$I$2,0))</f>
        <v>4717430</v>
      </c>
      <c r="I116">
        <f ca="1">INDEX(技能数据库!$B$2:$I$100,MATCH(无穷伤害与收益计算!$E116,技能数据库!$B$2:$B$100,0),MATCH(I$9,技能数据库!$B$2:$I$2,0))</f>
        <v>0</v>
      </c>
      <c r="J116">
        <f ca="1">INDEX(技能数据库!$B$2:$I$100,MATCH(无穷伤害与收益计算!$E116,技能数据库!$B$2:$B$100,0),MATCH(J$9,技能数据库!$B$2:$I$2,0))</f>
        <v>0</v>
      </c>
      <c r="K116">
        <f ca="1">INDEX(技能数据库!$B$2:$I$100,MATCH(无穷伤害与收益计算!$E116,技能数据库!$B$2:$B$100,0),MATCH(K$9,技能数据库!$B$2:$I$2,0))</f>
        <v>0</v>
      </c>
      <c r="L116">
        <f ca="1" t="shared" si="58"/>
        <v>91975</v>
      </c>
      <c r="M116">
        <f ca="1" t="shared" si="262"/>
        <v>19530.5</v>
      </c>
      <c r="N116">
        <f ca="1" t="shared" si="263"/>
        <v>92028</v>
      </c>
      <c r="O116">
        <f ca="1" t="shared" si="242"/>
        <v>4717430</v>
      </c>
      <c r="P116">
        <f ca="1">IF(G116="恒定伤害",0,(IF(D116="轻剑",$AZ$2,$AZ$3)+IFERROR(INDEX(技能数据库!$T$2:$W$27,MATCH(E116,技能数据库!$T$2:$T$27,0),4),0)+COUNTIF(G116,"*造化2*")*154+COUNTIF(G116,"*造化1*")*102+COUNTIF(G116,"*碧归*")*307)/1024)</f>
        <v>0.176868146929785</v>
      </c>
      <c r="Q116">
        <f ca="1" t="shared" si="193"/>
        <v>0.448284482196154</v>
      </c>
      <c r="R116">
        <f ca="1" t="shared" si="243"/>
        <v>0.32958230397716</v>
      </c>
      <c r="S116">
        <f ca="1" t="shared" si="264"/>
        <v>5390544.30154583</v>
      </c>
      <c r="T116">
        <f t="shared" si="97"/>
        <v>0.8</v>
      </c>
      <c r="U116">
        <f ca="1" t="shared" si="194"/>
        <v>1.7995442148</v>
      </c>
      <c r="V116">
        <f ca="1" t="shared" si="265"/>
        <v>12072853.6912126</v>
      </c>
      <c r="W116">
        <f ca="1">IF(G116="恒定伤害",0,MIN(1,IF(COUNTIF(F116,"*内会*")&gt;0,内会,IF(D116="轻剑",$Y$2,$Y$3)+COUNTIF(G116,"*莺鸣*")*0.2+COUNTIF(G116,"*叠1*")*0.1+COUNTIF(G116,"*叠2*")*0.2+COUNTIF(G116,"*叠3*")*0.3)+IFERROR(INDEX(技能数据库!$T$2:$W$27,MATCH(E116,技能数据库!$T$2:$T$27,0),2),0)+IF((IF(D116="轻剑",$AO$2,$AO$3)+INT(COUNTIF(G116,"*大莺鸣*")*IF(D116="轻剑",$AM$2,$AM$3)*听晓无双率)/无双系数)&gt;0.9,特效裤子会心/会心系数,0)))</f>
        <v>0.7343</v>
      </c>
      <c r="X116">
        <f ca="1">IF(G116="恒定伤害",0,IF(COUNTIF(F116,"*内会*")&gt;0,内会效,IF(D116="轻剑",$AB$2,$AB$3))+IFERROR(INDEX(技能数据库!$T$2:$W$27,MATCH(E116,技能数据库!$T$2:$T$27,0),3)/1024,0))+COUNTIF(G116,"*叠1*")*0.25+COUNTIF(G116,"*叠2*")*0.5+COUNTIF(G116,"*叠3*")*0.75</f>
        <v>2.3217485021</v>
      </c>
      <c r="Y116">
        <f ca="1" t="shared" si="266"/>
        <v>1.97055992509203</v>
      </c>
      <c r="Z116">
        <f t="shared" si="247"/>
        <v>0.150390625</v>
      </c>
      <c r="AA116">
        <f ca="1" t="shared" si="267"/>
        <v>0.0205078125</v>
      </c>
      <c r="AB116">
        <f ca="1" t="shared" si="268"/>
        <v>27929377.2057797</v>
      </c>
      <c r="AC116">
        <f ca="1">无穷技能数计算!AJ108</f>
        <v>0</v>
      </c>
      <c r="AD116" s="164">
        <f ca="1" t="shared" si="250"/>
        <v>0</v>
      </c>
      <c r="AE116" s="168">
        <f ca="1" t="shared" si="64"/>
        <v>0</v>
      </c>
      <c r="AF116" s="168">
        <f ca="1" t="shared" si="251"/>
        <v>0</v>
      </c>
      <c r="AG116">
        <f ca="1" t="shared" si="269"/>
        <v>0.000161012264749072</v>
      </c>
      <c r="AH116">
        <f ca="1" t="shared" si="253"/>
        <v>1</v>
      </c>
      <c r="AI116">
        <f ca="1" t="shared" si="254"/>
        <v>1.00016101226475</v>
      </c>
      <c r="AJ116">
        <f ca="1" t="shared" si="255"/>
        <v>0</v>
      </c>
      <c r="AK116">
        <f ca="1" t="shared" si="270"/>
        <v>0</v>
      </c>
      <c r="AL116">
        <f ca="1" t="shared" si="257"/>
        <v>0</v>
      </c>
      <c r="AM116">
        <f ca="1" t="shared" si="271"/>
        <v>0</v>
      </c>
      <c r="AN116" s="168">
        <f ca="1" t="shared" si="71"/>
        <v>0.00748399053993198</v>
      </c>
      <c r="AO116" s="168">
        <f ca="1" t="shared" si="195"/>
        <v>0.00447057613551372</v>
      </c>
      <c r="AP116" s="172">
        <f ca="1" t="shared" si="259"/>
        <v>0</v>
      </c>
      <c r="AQ116" s="168">
        <f ca="1" t="shared" si="260"/>
        <v>0.00401583628616287</v>
      </c>
      <c r="AR116">
        <f t="shared" si="261"/>
        <v>1</v>
      </c>
    </row>
    <row r="117" spans="4:55">
      <c r="D117" t="s">
        <v>1825</v>
      </c>
      <c r="E117" s="161" t="s">
        <v>2850</v>
      </c>
      <c r="F117" t="s">
        <v>3160</v>
      </c>
      <c r="H117">
        <f ca="1">INDEX(技能数据库!$B$2:$I$100,MATCH(无穷伤害与收益计算!$E117,技能数据库!$B$2:$B$100,0),MATCH(H$9,技能数据库!$B$2:$I$2,0))</f>
        <v>3667380</v>
      </c>
      <c r="I117">
        <f ca="1">INDEX(技能数据库!$B$2:$I$100,MATCH(无穷伤害与收益计算!$E117,技能数据库!$B$2:$B$100,0),MATCH(I$9,技能数据库!$B$2:$I$2,0))</f>
        <v>0</v>
      </c>
      <c r="J117">
        <f ca="1">INDEX(技能数据库!$B$2:$I$100,MATCH(无穷伤害与收益计算!$E117,技能数据库!$B$2:$B$100,0),MATCH(J$9,技能数据库!$B$2:$I$2,0))</f>
        <v>0</v>
      </c>
      <c r="K117">
        <f ca="1">INDEX(技能数据库!$B$2:$I$100,MATCH(无穷伤害与收益计算!$E117,技能数据库!$B$2:$B$100,0),MATCH(K$9,技能数据库!$B$2:$I$2,0))</f>
        <v>0</v>
      </c>
      <c r="L117">
        <f ca="1" t="shared" si="58"/>
        <v>91975</v>
      </c>
      <c r="M117">
        <f ca="1" t="shared" si="262"/>
        <v>19530.5</v>
      </c>
      <c r="N117">
        <f ca="1" t="shared" si="263"/>
        <v>92028</v>
      </c>
      <c r="O117">
        <f ca="1" t="shared" si="242"/>
        <v>3667380</v>
      </c>
      <c r="P117">
        <f ca="1">IF(G117="恒定伤害",0,(IF(D117="轻剑",$AZ$2,$AZ$3)+IFERROR(INDEX(技能数据库!$T$2:$W$27,MATCH(E117,技能数据库!$T$2:$T$27,0),4),0)+COUNTIF(G117,"*造化2*")*154+COUNTIF(G117,"*造化1*")*102+COUNTIF(G117,"*碧归*")*307)/1024)</f>
        <v>0.176868146929785</v>
      </c>
      <c r="Q117">
        <f ca="1" t="shared" si="193"/>
        <v>0.0415122129107408</v>
      </c>
      <c r="R117">
        <f ca="1" t="shared" si="243"/>
        <v>0.32958230397716</v>
      </c>
      <c r="S117">
        <f ca="1" t="shared" si="264"/>
        <v>3013655.16308289</v>
      </c>
      <c r="T117">
        <f t="shared" si="97"/>
        <v>0.8</v>
      </c>
      <c r="U117">
        <f ca="1" t="shared" si="194"/>
        <v>1.7995442148</v>
      </c>
      <c r="V117">
        <f ca="1" t="shared" si="265"/>
        <v>6749488.70176869</v>
      </c>
      <c r="W117">
        <f ca="1">IF(G117="恒定伤害",0,MIN(1,IF(COUNTIF(F117,"*内会*")&gt;0,内会,IF(D117="轻剑",$Y$2,$Y$3)+COUNTIF(G117,"*莺鸣*")*0.2+COUNTIF(G117,"*叠1*")*0.1+COUNTIF(G117,"*叠2*")*0.2+COUNTIF(G117,"*叠3*")*0.3)+IFERROR(INDEX(技能数据库!$T$2:$W$27,MATCH(E117,技能数据库!$T$2:$T$27,0),2),0)+IF((IF(D117="轻剑",$AO$2,$AO$3)+INT(COUNTIF(G117,"*大莺鸣*")*IF(D117="轻剑",$AM$2,$AM$3)*听晓无双率)/无双系数)&gt;0.9,特效裤子会心/会心系数,0)))</f>
        <v>0.112613819719478</v>
      </c>
      <c r="X117">
        <f ca="1">IF(G117="恒定伤害",0,IF(COUNTIF(F117,"*内会*")&gt;0,内会效,IF(D117="轻剑",$AB$2,$AB$3))+IFERROR(INDEX(技能数据库!$T$2:$W$27,MATCH(E117,技能数据库!$T$2:$T$27,0),3)/1024,0))+COUNTIF(G117,"*叠1*")*0.25+COUNTIF(G117,"*叠2*")*0.5+COUNTIF(G117,"*叠3*")*0.75</f>
        <v>1.93437818487951</v>
      </c>
      <c r="Y117">
        <f ca="1" t="shared" si="266"/>
        <v>1.10522389646183</v>
      </c>
      <c r="Z117">
        <f t="shared" si="247"/>
        <v>0.150390625</v>
      </c>
      <c r="AA117">
        <f ca="1" t="shared" si="267"/>
        <v>0.0205078125</v>
      </c>
      <c r="AB117">
        <f ca="1" t="shared" si="268"/>
        <v>8757553.69352306</v>
      </c>
      <c r="AC117">
        <f ca="1">无穷技能数计算!AJ109</f>
        <v>0</v>
      </c>
      <c r="AD117" s="164">
        <f ca="1" t="shared" si="250"/>
        <v>0</v>
      </c>
      <c r="AE117" s="168">
        <f ca="1" t="shared" si="64"/>
        <v>0</v>
      </c>
      <c r="AF117" s="168">
        <f ca="1" t="shared" si="251"/>
        <v>0</v>
      </c>
      <c r="AG117">
        <f ca="1" t="shared" si="269"/>
        <v>0.00022389710037829</v>
      </c>
      <c r="AH117">
        <f ca="1" t="shared" si="253"/>
        <v>1</v>
      </c>
      <c r="AI117">
        <f ca="1" t="shared" si="254"/>
        <v>1.00022389710038</v>
      </c>
      <c r="AJ117">
        <f ca="1" t="shared" si="255"/>
        <v>0</v>
      </c>
      <c r="AK117">
        <f ca="1" t="shared" si="270"/>
        <v>0</v>
      </c>
      <c r="AL117">
        <f ca="1" t="shared" si="257"/>
        <v>0</v>
      </c>
      <c r="AM117">
        <f ca="1" t="shared" si="271"/>
        <v>0</v>
      </c>
      <c r="AN117" s="168">
        <f ca="1" t="shared" si="71"/>
        <v>0</v>
      </c>
      <c r="AO117" s="168">
        <f ca="1" t="shared" si="195"/>
        <v>0</v>
      </c>
      <c r="AP117" s="172">
        <f ca="1" t="shared" si="259"/>
        <v>0</v>
      </c>
      <c r="AQ117" s="168">
        <f ca="1" t="shared" si="260"/>
        <v>0.00401583628616287</v>
      </c>
      <c r="AR117">
        <f t="shared" si="261"/>
        <v>1</v>
      </c>
    </row>
    <row r="118" spans="4:55">
      <c r="D118" t="s">
        <v>1825</v>
      </c>
      <c r="E118" s="161" t="s">
        <v>2853</v>
      </c>
      <c r="F118" t="s">
        <v>3160</v>
      </c>
      <c r="H118">
        <f ca="1">INDEX(技能数据库!$B$2:$I$100,MATCH(无穷伤害与收益计算!$E118,技能数据库!$B$2:$B$100,0),MATCH(H$9,技能数据库!$B$2:$I$2,0))</f>
        <v>2444920</v>
      </c>
      <c r="I118">
        <f ca="1">INDEX(技能数据库!$B$2:$I$100,MATCH(无穷伤害与收益计算!$E118,技能数据库!$B$2:$B$100,0),MATCH(I$9,技能数据库!$B$2:$I$2,0))</f>
        <v>0</v>
      </c>
      <c r="J118">
        <f ca="1">INDEX(技能数据库!$B$2:$I$100,MATCH(无穷伤害与收益计算!$E118,技能数据库!$B$2:$B$100,0),MATCH(J$9,技能数据库!$B$2:$I$2,0))</f>
        <v>0</v>
      </c>
      <c r="K118">
        <f ca="1">INDEX(技能数据库!$B$2:$I$100,MATCH(无穷伤害与收益计算!$E118,技能数据库!$B$2:$B$100,0),MATCH(K$9,技能数据库!$B$2:$I$2,0))</f>
        <v>0</v>
      </c>
      <c r="L118">
        <f ca="1" t="shared" si="58"/>
        <v>91975</v>
      </c>
      <c r="M118">
        <f ca="1" t="shared" si="262"/>
        <v>19530.5</v>
      </c>
      <c r="N118">
        <f ca="1" t="shared" si="263"/>
        <v>92028</v>
      </c>
      <c r="O118">
        <f ca="1" t="shared" si="242"/>
        <v>2444920</v>
      </c>
      <c r="P118">
        <f ca="1">IF(G118="恒定伤害",0,(IF(D118="轻剑",$AZ$2,$AZ$3)+IFERROR(INDEX(技能数据库!$T$2:$W$27,MATCH(E118,技能数据库!$T$2:$T$27,0),4),0)+COUNTIF(G118,"*造化2*")*154+COUNTIF(G118,"*造化1*")*102+COUNTIF(G118,"*碧归*")*307)/1024)</f>
        <v>0.176868146929785</v>
      </c>
      <c r="Q118">
        <f ca="1" t="shared" si="193"/>
        <v>0.0415122129107408</v>
      </c>
      <c r="R118">
        <f ca="1" t="shared" si="243"/>
        <v>0.32958230397716</v>
      </c>
      <c r="S118">
        <f ca="1" t="shared" si="264"/>
        <v>2009103.44205526</v>
      </c>
      <c r="T118">
        <f t="shared" si="97"/>
        <v>0.8</v>
      </c>
      <c r="U118">
        <f ca="1" t="shared" si="194"/>
        <v>1.7995442148</v>
      </c>
      <c r="V118">
        <f ca="1" t="shared" si="265"/>
        <v>4499659.13451246</v>
      </c>
      <c r="W118">
        <f ca="1">IF(G118="恒定伤害",0,MIN(1,IF(COUNTIF(F118,"*内会*")&gt;0,内会,IF(D118="轻剑",$Y$2,$Y$3)+COUNTIF(G118,"*莺鸣*")*0.2+COUNTIF(G118,"*叠1*")*0.1+COUNTIF(G118,"*叠2*")*0.2+COUNTIF(G118,"*叠3*")*0.3)+IFERROR(INDEX(技能数据库!$T$2:$W$27,MATCH(E118,技能数据库!$T$2:$T$27,0),2),0)+IF((IF(D118="轻剑",$AO$2,$AO$3)+INT(COUNTIF(G118,"*大莺鸣*")*IF(D118="轻剑",$AM$2,$AM$3)*听晓无双率)/无双系数)&gt;0.9,特效裤子会心/会心系数,0)))</f>
        <v>0.112613819719478</v>
      </c>
      <c r="X118">
        <f ca="1">IF(G118="恒定伤害",0,IF(COUNTIF(F118,"*内会*")&gt;0,内会效,IF(D118="轻剑",$AB$2,$AB$3))+IFERROR(INDEX(技能数据库!$T$2:$W$27,MATCH(E118,技能数据库!$T$2:$T$27,0),3)/1024,0))+COUNTIF(G118,"*叠1*")*0.25+COUNTIF(G118,"*叠2*")*0.5+COUNTIF(G118,"*叠3*")*0.75</f>
        <v>1.93437818487951</v>
      </c>
      <c r="Y118">
        <f ca="1" t="shared" si="266"/>
        <v>1.10522389646183</v>
      </c>
      <c r="Z118">
        <f t="shared" si="247"/>
        <v>0.150390625</v>
      </c>
      <c r="AA118">
        <f ca="1" t="shared" si="267"/>
        <v>0.0205078125</v>
      </c>
      <c r="AB118">
        <f ca="1" t="shared" si="268"/>
        <v>5838369.12901537</v>
      </c>
      <c r="AC118">
        <f ca="1">无穷技能数计算!AJ110</f>
        <v>0</v>
      </c>
      <c r="AD118" s="164">
        <f ca="1" t="shared" si="250"/>
        <v>0</v>
      </c>
      <c r="AE118" s="168">
        <f ca="1" t="shared" si="64"/>
        <v>0</v>
      </c>
      <c r="AF118" s="168">
        <f ca="1" t="shared" si="251"/>
        <v>0</v>
      </c>
      <c r="AG118">
        <f ca="1" t="shared" si="269"/>
        <v>0.00022389710037829</v>
      </c>
      <c r="AH118">
        <f ca="1" t="shared" si="253"/>
        <v>1</v>
      </c>
      <c r="AI118">
        <f ca="1" t="shared" si="254"/>
        <v>1.00022389710038</v>
      </c>
      <c r="AJ118">
        <f ca="1" t="shared" si="255"/>
        <v>0</v>
      </c>
      <c r="AK118">
        <f ca="1" t="shared" si="270"/>
        <v>0</v>
      </c>
      <c r="AL118">
        <f ca="1" t="shared" si="257"/>
        <v>0</v>
      </c>
      <c r="AM118">
        <f ca="1" t="shared" si="271"/>
        <v>0</v>
      </c>
      <c r="AN118" s="168">
        <f ca="1" t="shared" si="71"/>
        <v>0</v>
      </c>
      <c r="AO118" s="168">
        <f ca="1" t="shared" si="195"/>
        <v>0</v>
      </c>
      <c r="AP118" s="172">
        <f ca="1" t="shared" si="259"/>
        <v>0</v>
      </c>
      <c r="AQ118" s="168">
        <f ca="1" t="shared" si="260"/>
        <v>0.00401583628616287</v>
      </c>
      <c r="AR118">
        <f t="shared" si="261"/>
        <v>1</v>
      </c>
    </row>
    <row r="119" spans="4:55">
      <c r="D119" t="s">
        <v>1825</v>
      </c>
      <c r="E119" s="161" t="s">
        <v>2855</v>
      </c>
      <c r="F119" t="s">
        <v>3160</v>
      </c>
      <c r="H119">
        <f ca="1">INDEX(技能数据库!$B$2:$I$100,MATCH(无穷伤害与收益计算!$E119,技能数据库!$B$2:$B$100,0),MATCH(H$9,技能数据库!$B$2:$I$2,0))</f>
        <v>815</v>
      </c>
      <c r="I119">
        <f ca="1">INDEX(技能数据库!$B$2:$I$100,MATCH(无穷伤害与收益计算!$E119,技能数据库!$B$2:$B$100,0),MATCH(I$9,技能数据库!$B$2:$I$2,0))</f>
        <v>0</v>
      </c>
      <c r="J119">
        <f ca="1">INDEX(技能数据库!$B$2:$I$100,MATCH(无穷伤害与收益计算!$E119,技能数据库!$B$2:$B$100,0),MATCH(J$9,技能数据库!$B$2:$I$2,0))</f>
        <v>0</v>
      </c>
      <c r="K119">
        <f ca="1">INDEX(技能数据库!$B$2:$I$100,MATCH(无穷伤害与收益计算!$E119,技能数据库!$B$2:$B$100,0),MATCH(K$9,技能数据库!$B$2:$I$2,0))</f>
        <v>0</v>
      </c>
      <c r="L119">
        <f ca="1" t="shared" si="58"/>
        <v>91975</v>
      </c>
      <c r="M119">
        <f ca="1" t="shared" si="262"/>
        <v>19530.5</v>
      </c>
      <c r="N119">
        <f ca="1" t="shared" si="263"/>
        <v>92028</v>
      </c>
      <c r="O119">
        <f ca="1" t="shared" si="242"/>
        <v>815</v>
      </c>
      <c r="P119">
        <f ca="1">IF(G119="恒定伤害",0,(IF(D119="轻剑",$AZ$2,$AZ$3)+IFERROR(INDEX(技能数据库!$T$2:$W$27,MATCH(E119,技能数据库!$T$2:$T$27,0),4),0)+COUNTIF(G119,"*造化2*")*154+COUNTIF(G119,"*造化1*")*102+COUNTIF(G119,"*碧归*")*307)/1024)</f>
        <v>0.176868146929785</v>
      </c>
      <c r="Q119">
        <f ca="1" t="shared" si="193"/>
        <v>0.0415122129107408</v>
      </c>
      <c r="R119">
        <f ca="1" t="shared" si="243"/>
        <v>0.32958230397716</v>
      </c>
      <c r="S119">
        <f ca="1" t="shared" si="264"/>
        <v>669.72306058073</v>
      </c>
      <c r="T119">
        <f t="shared" si="97"/>
        <v>0.8</v>
      </c>
      <c r="U119">
        <f ca="1" t="shared" si="194"/>
        <v>1.7995442148</v>
      </c>
      <c r="V119">
        <f ca="1" t="shared" si="265"/>
        <v>1499.93545581355</v>
      </c>
      <c r="W119">
        <f ca="1">IF(G119="恒定伤害",0,MIN(1,IF(COUNTIF(F119,"*内会*")&gt;0,内会,IF(D119="轻剑",$Y$2,$Y$3)+COUNTIF(G119,"*莺鸣*")*0.2+COUNTIF(G119,"*叠1*")*0.1+COUNTIF(G119,"*叠2*")*0.2+COUNTIF(G119,"*叠3*")*0.3)+IFERROR(INDEX(技能数据库!$T$2:$W$27,MATCH(E119,技能数据库!$T$2:$T$27,0),2),0)+IF((IF(D119="轻剑",$AO$2,$AO$3)+INT(COUNTIF(G119,"*大莺鸣*")*IF(D119="轻剑",$AM$2,$AM$3)*听晓无双率)/无双系数)&gt;0.9,特效裤子会心/会心系数,0)))</f>
        <v>0.112613819719478</v>
      </c>
      <c r="X119">
        <f ca="1">IF(G119="恒定伤害",0,IF(COUNTIF(F119,"*内会*")&gt;0,内会效,IF(D119="轻剑",$AB$2,$AB$3))+IFERROR(INDEX(技能数据库!$T$2:$W$27,MATCH(E119,技能数据库!$T$2:$T$27,0),3)/1024,0))+COUNTIF(G119,"*叠1*")*0.25+COUNTIF(G119,"*叠2*")*0.5+COUNTIF(G119,"*叠3*")*0.75</f>
        <v>1.93437818487951</v>
      </c>
      <c r="Y119">
        <f ca="1" t="shared" si="266"/>
        <v>1.10522389646183</v>
      </c>
      <c r="Z119">
        <f t="shared" si="247"/>
        <v>0.150390625</v>
      </c>
      <c r="AA119">
        <f ca="1" t="shared" si="267"/>
        <v>0.0205078125</v>
      </c>
      <c r="AB119">
        <f ca="1" t="shared" si="268"/>
        <v>1946.18672191627</v>
      </c>
      <c r="AC119">
        <f ca="1">无穷技能数计算!AJ111</f>
        <v>0</v>
      </c>
      <c r="AD119" s="164">
        <f ca="1" t="shared" si="250"/>
        <v>0</v>
      </c>
      <c r="AE119" s="168">
        <f ca="1" t="shared" si="64"/>
        <v>0</v>
      </c>
      <c r="AF119" s="168">
        <f ca="1" t="shared" si="251"/>
        <v>0</v>
      </c>
      <c r="AG119">
        <f ca="1" t="shared" si="269"/>
        <v>0.00022389710037829</v>
      </c>
      <c r="AH119">
        <f ca="1" t="shared" si="253"/>
        <v>1</v>
      </c>
      <c r="AI119">
        <f ca="1" t="shared" si="254"/>
        <v>1.00022389710038</v>
      </c>
      <c r="AJ119">
        <f ca="1" t="shared" si="255"/>
        <v>0</v>
      </c>
      <c r="AK119">
        <f ca="1" t="shared" si="270"/>
        <v>0</v>
      </c>
      <c r="AL119">
        <f ca="1" t="shared" si="257"/>
        <v>0</v>
      </c>
      <c r="AM119">
        <f ca="1" t="shared" si="271"/>
        <v>0</v>
      </c>
      <c r="AN119" s="168">
        <f ca="1" t="shared" si="71"/>
        <v>0</v>
      </c>
      <c r="AO119" s="168">
        <f ca="1" t="shared" si="195"/>
        <v>0</v>
      </c>
      <c r="AP119" s="172">
        <f ca="1" t="shared" si="259"/>
        <v>0</v>
      </c>
      <c r="AQ119" s="168">
        <f ca="1" t="shared" si="260"/>
        <v>0.00401583628616287</v>
      </c>
      <c r="AR119">
        <f t="shared" si="261"/>
        <v>1</v>
      </c>
    </row>
    <row r="120" spans="4:55">
      <c r="D120" t="s">
        <v>1825</v>
      </c>
      <c r="E120" s="161" t="s">
        <v>2857</v>
      </c>
      <c r="F120" t="s">
        <v>3160</v>
      </c>
      <c r="H120">
        <f ca="1">INDEX(技能数据库!$B$2:$I$100,MATCH(无穷伤害与收益计算!$E120,技能数据库!$B$2:$B$100,0),MATCH(H$9,技能数据库!$B$2:$I$2,0))</f>
        <v>469999</v>
      </c>
      <c r="I120">
        <f ca="1">INDEX(技能数据库!$B$2:$I$100,MATCH(无穷伤害与收益计算!$E120,技能数据库!$B$2:$B$100,0),MATCH(I$9,技能数据库!$B$2:$I$2,0))</f>
        <v>0</v>
      </c>
      <c r="J120">
        <f ca="1">INDEX(技能数据库!$B$2:$I$100,MATCH(无穷伤害与收益计算!$E120,技能数据库!$B$2:$B$100,0),MATCH(J$9,技能数据库!$B$2:$I$2,0))</f>
        <v>0</v>
      </c>
      <c r="K120">
        <f ca="1">INDEX(技能数据库!$B$2:$I$100,MATCH(无穷伤害与收益计算!$E120,技能数据库!$B$2:$B$100,0),MATCH(K$9,技能数据库!$B$2:$I$2,0))</f>
        <v>0</v>
      </c>
      <c r="L120">
        <f ca="1" t="shared" si="58"/>
        <v>91975</v>
      </c>
      <c r="M120">
        <f ca="1" t="shared" si="262"/>
        <v>19530.5</v>
      </c>
      <c r="N120">
        <f ca="1" t="shared" si="263"/>
        <v>92028</v>
      </c>
      <c r="O120">
        <f ca="1" t="shared" si="242"/>
        <v>469999</v>
      </c>
      <c r="P120">
        <f ca="1">IF(G120="恒定伤害",0,(IF(D120="轻剑",$AZ$2,$AZ$3)+IFERROR(INDEX(技能数据库!$T$2:$W$27,MATCH(E120,技能数据库!$T$2:$T$27,0),4),0)+COUNTIF(G120,"*造化2*")*154+COUNTIF(G120,"*造化1*")*102+COUNTIF(G120,"*碧归*")*307)/1024)</f>
        <v>0.176868146929785</v>
      </c>
      <c r="Q120">
        <f ca="1" t="shared" si="193"/>
        <v>0.0415122129107408</v>
      </c>
      <c r="R120">
        <f ca="1" t="shared" si="243"/>
        <v>0.32958230397716</v>
      </c>
      <c r="S120">
        <f ca="1" t="shared" si="264"/>
        <v>386219.838956911</v>
      </c>
      <c r="T120">
        <f t="shared" si="97"/>
        <v>0.8</v>
      </c>
      <c r="U120">
        <f ca="1" t="shared" si="194"/>
        <v>1.7995442148</v>
      </c>
      <c r="V120">
        <f ca="1" t="shared" si="265"/>
        <v>864991.612634247</v>
      </c>
      <c r="W120">
        <f ca="1">IF(G120="恒定伤害",0,MIN(1,IF(COUNTIF(F120,"*内会*")&gt;0,内会,IF(D120="轻剑",$Y$2,$Y$3)+COUNTIF(G120,"*莺鸣*")*0.2+COUNTIF(G120,"*叠1*")*0.1+COUNTIF(G120,"*叠2*")*0.2+COUNTIF(G120,"*叠3*")*0.3)+IFERROR(INDEX(技能数据库!$T$2:$W$27,MATCH(E120,技能数据库!$T$2:$T$27,0),2),0)+IF((IF(D120="轻剑",$AO$2,$AO$3)+INT(COUNTIF(G120,"*大莺鸣*")*IF(D120="轻剑",$AM$2,$AM$3)*听晓无双率)/无双系数)&gt;0.9,特效裤子会心/会心系数,0)))</f>
        <v>0.112613819719478</v>
      </c>
      <c r="X120">
        <f ca="1">IF(G120="恒定伤害",0,IF(COUNTIF(F120,"*内会*")&gt;0,内会效,IF(D120="轻剑",$AB$2,$AB$3))+IFERROR(INDEX(技能数据库!$T$2:$W$27,MATCH(E120,技能数据库!$T$2:$T$27,0),3)/1024,0))+COUNTIF(G120,"*叠1*")*0.25+COUNTIF(G120,"*叠2*")*0.5+COUNTIF(G120,"*叠3*")*0.75</f>
        <v>1.93437818487951</v>
      </c>
      <c r="Y120">
        <f ca="1" t="shared" si="266"/>
        <v>1.10522389646183</v>
      </c>
      <c r="Z120">
        <f t="shared" si="247"/>
        <v>0.150390625</v>
      </c>
      <c r="AA120">
        <f ca="1" t="shared" si="267"/>
        <v>0.0205078125</v>
      </c>
      <c r="AB120">
        <f ca="1" t="shared" si="268"/>
        <v>1122338.42099868</v>
      </c>
      <c r="AC120">
        <f>无穷技能数计算!AJ112</f>
        <v>0</v>
      </c>
      <c r="AD120" s="164">
        <f ca="1" t="shared" si="250"/>
        <v>0</v>
      </c>
      <c r="AE120" s="168">
        <f ca="1" t="shared" si="64"/>
        <v>0</v>
      </c>
      <c r="AF120" s="168">
        <f ca="1" t="shared" si="251"/>
        <v>0</v>
      </c>
      <c r="AG120">
        <f ca="1" t="shared" si="269"/>
        <v>0.00022389710037829</v>
      </c>
      <c r="AH120">
        <f ca="1" t="shared" si="253"/>
        <v>1</v>
      </c>
      <c r="AI120">
        <f ca="1" t="shared" si="254"/>
        <v>1.00022389710038</v>
      </c>
      <c r="AJ120">
        <f ca="1" t="shared" si="255"/>
        <v>0</v>
      </c>
      <c r="AK120">
        <f t="shared" si="270"/>
        <v>0</v>
      </c>
      <c r="AL120">
        <f ca="1" t="shared" si="257"/>
        <v>0</v>
      </c>
      <c r="AM120">
        <f t="shared" si="271"/>
        <v>0</v>
      </c>
      <c r="AN120" s="168">
        <f ca="1" t="shared" si="71"/>
        <v>0</v>
      </c>
      <c r="AO120" s="168">
        <f ca="1" t="shared" si="195"/>
        <v>0</v>
      </c>
      <c r="AP120" s="172">
        <f ca="1" t="shared" si="259"/>
        <v>0</v>
      </c>
      <c r="AQ120" s="168">
        <f ca="1" t="shared" si="260"/>
        <v>0.00401583628616287</v>
      </c>
      <c r="AR120">
        <f t="shared" si="261"/>
        <v>1</v>
      </c>
    </row>
    <row r="121" spans="4:55">
      <c r="D121" t="s">
        <v>1825</v>
      </c>
      <c r="E121" s="161" t="s">
        <v>2844</v>
      </c>
      <c r="G121" t="s">
        <v>2750</v>
      </c>
      <c r="H121">
        <f ca="1">INDEX(技能数据库!$B$2:$I$100,MATCH(无穷伤害与收益计算!$E121,技能数据库!$B$2:$B$100,0),MATCH(H$9,技能数据库!$B$2:$I$2,0))</f>
        <v>5241589</v>
      </c>
      <c r="I121">
        <f ca="1">INDEX(技能数据库!$B$2:$I$100,MATCH(无穷伤害与收益计算!$E121,技能数据库!$B$2:$B$100,0),MATCH(I$9,技能数据库!$B$2:$I$2,0))</f>
        <v>0</v>
      </c>
      <c r="J121">
        <f ca="1">INDEX(技能数据库!$B$2:$I$100,MATCH(无穷伤害与收益计算!$E121,技能数据库!$B$2:$B$100,0),MATCH(J$9,技能数据库!$B$2:$I$2,0))</f>
        <v>0</v>
      </c>
      <c r="K121">
        <f ca="1">INDEX(技能数据库!$B$2:$I$100,MATCH(无穷伤害与收益计算!$E121,技能数据库!$B$2:$B$100,0),MATCH(K$9,技能数据库!$B$2:$I$2,0))</f>
        <v>0</v>
      </c>
      <c r="L121">
        <f ca="1" t="shared" si="58"/>
        <v>105847</v>
      </c>
      <c r="M121">
        <f ca="1" t="shared" si="262"/>
        <v>19530.5</v>
      </c>
      <c r="N121">
        <f ca="1" t="shared" si="263"/>
        <v>92028</v>
      </c>
      <c r="O121">
        <f ca="1" t="shared" si="242"/>
        <v>5241589</v>
      </c>
      <c r="P121">
        <f ca="1">IF(G121="恒定伤害",0,(IF(D121="轻剑",$AZ$2,$AZ$3)+IFERROR(INDEX(技能数据库!$T$2:$W$27,MATCH(E121,技能数据库!$T$2:$T$27,0),4),0)+COUNTIF(G121,"*造化2*")*154+COUNTIF(G121,"*造化1*")*102+COUNTIF(G121,"*碧归*")*307)/1024)</f>
        <v>0.176868146929785</v>
      </c>
      <c r="Q121">
        <f ca="1" t="shared" si="193"/>
        <v>0.448284482196154</v>
      </c>
      <c r="R121">
        <f ca="1" t="shared" si="243"/>
        <v>0.21277697966198</v>
      </c>
      <c r="S121">
        <f ca="1" t="shared" si="264"/>
        <v>7033029.44394562</v>
      </c>
      <c r="T121">
        <f t="shared" si="97"/>
        <v>0.8</v>
      </c>
      <c r="U121">
        <f ca="1" t="shared" si="194"/>
        <v>1.7995442148</v>
      </c>
      <c r="V121">
        <f ca="1" t="shared" si="265"/>
        <v>15751421.5138528</v>
      </c>
      <c r="W121">
        <f ca="1">IF(G121="恒定伤害",0,MIN(1,IF(COUNTIF(F121,"*内会*")&gt;0,内会,IF(D121="轻剑",$Y$2,$Y$3)+COUNTIF(G121,"*莺鸣*")*0.2+COUNTIF(G121,"*叠1*")*0.1+COUNTIF(G121,"*叠2*")*0.2+COUNTIF(G121,"*叠3*")*0.3)+IFERROR(INDEX(技能数据库!$T$2:$W$27,MATCH(E121,技能数据库!$T$2:$T$27,0),2),0)+IF((IF(D121="轻剑",$AO$2,$AO$3)+INT(COUNTIF(G121,"*大莺鸣*")*IF(D121="轻剑",$AM$2,$AM$3)*听晓无双率)/无双系数)&gt;0.9,特效裤子会心/会心系数,0)))</f>
        <v>0.7343</v>
      </c>
      <c r="X121">
        <f ca="1">IF(G121="恒定伤害",0,IF(COUNTIF(F121,"*内会*")&gt;0,内会效,IF(D121="轻剑",$AB$2,$AB$3))+IFERROR(INDEX(技能数据库!$T$2:$W$27,MATCH(E121,技能数据库!$T$2:$T$27,0),3)/1024,0))+COUNTIF(G121,"*叠1*")*0.25+COUNTIF(G121,"*叠2*")*0.5+COUNTIF(G121,"*叠3*")*0.75</f>
        <v>2.3217485021</v>
      </c>
      <c r="Y121">
        <f ca="1" t="shared" si="266"/>
        <v>1.97055992509203</v>
      </c>
      <c r="Z121">
        <f t="shared" si="247"/>
        <v>0.150390625</v>
      </c>
      <c r="AA121">
        <f ca="1" t="shared" si="267"/>
        <v>0.0205078125</v>
      </c>
      <c r="AB121">
        <f ca="1" t="shared" si="268"/>
        <v>36439387.4256785</v>
      </c>
      <c r="AC121">
        <f ca="1">无穷技能数计算!AJ113</f>
        <v>0</v>
      </c>
      <c r="AD121" s="164">
        <f ca="1" t="shared" si="250"/>
        <v>0</v>
      </c>
      <c r="AE121" s="168">
        <f ca="1" t="shared" si="64"/>
        <v>0</v>
      </c>
      <c r="AF121" s="168">
        <f ca="1" t="shared" si="251"/>
        <v>0</v>
      </c>
      <c r="AG121">
        <f ca="1" t="shared" si="269"/>
        <v>0.000161012264749072</v>
      </c>
      <c r="AH121">
        <f ca="1" t="shared" si="253"/>
        <v>1</v>
      </c>
      <c r="AI121">
        <f ca="1" t="shared" si="254"/>
        <v>1.00016101226475</v>
      </c>
      <c r="AJ121">
        <f ca="1" t="shared" si="255"/>
        <v>0</v>
      </c>
      <c r="AK121">
        <f ca="1" t="shared" si="270"/>
        <v>0</v>
      </c>
      <c r="AL121">
        <f ca="1" t="shared" si="257"/>
        <v>0</v>
      </c>
      <c r="AM121">
        <f ca="1" t="shared" si="271"/>
        <v>0</v>
      </c>
      <c r="AN121" s="168">
        <f ca="1" t="shared" si="71"/>
        <v>0.00748399053993198</v>
      </c>
      <c r="AO121" s="168">
        <f ca="1" t="shared" si="195"/>
        <v>0.00447057613551372</v>
      </c>
      <c r="AP121" s="172">
        <f ca="1" t="shared" si="259"/>
        <v>0</v>
      </c>
      <c r="AQ121" s="168">
        <f ca="1" t="shared" si="260"/>
        <v>0.00401583628616287</v>
      </c>
      <c r="AR121">
        <f t="shared" si="261"/>
        <v>1</v>
      </c>
      <c r="AX121" s="167"/>
      <c r="AY121" s="167"/>
      <c r="AZ121" s="164"/>
      <c r="BB121" s="167"/>
      <c r="BC121" s="164"/>
    </row>
    <row r="122" spans="4:55">
      <c r="D122" t="s">
        <v>1825</v>
      </c>
      <c r="E122" s="161" t="s">
        <v>2847</v>
      </c>
      <c r="G122" t="s">
        <v>2750</v>
      </c>
      <c r="H122">
        <f ca="1">INDEX(技能数据库!$B$2:$I$100,MATCH(无穷伤害与收益计算!$E122,技能数据库!$B$2:$B$100,0),MATCH(H$9,技能数据库!$B$2:$I$2,0))</f>
        <v>4717430</v>
      </c>
      <c r="I122">
        <f ca="1">INDEX(技能数据库!$B$2:$I$100,MATCH(无穷伤害与收益计算!$E122,技能数据库!$B$2:$B$100,0),MATCH(I$9,技能数据库!$B$2:$I$2,0))</f>
        <v>0</v>
      </c>
      <c r="J122">
        <f ca="1">INDEX(技能数据库!$B$2:$I$100,MATCH(无穷伤害与收益计算!$E122,技能数据库!$B$2:$B$100,0),MATCH(J$9,技能数据库!$B$2:$I$2,0))</f>
        <v>0</v>
      </c>
      <c r="K122">
        <f ca="1">INDEX(技能数据库!$B$2:$I$100,MATCH(无穷伤害与收益计算!$E122,技能数据库!$B$2:$B$100,0),MATCH(K$9,技能数据库!$B$2:$I$2,0))</f>
        <v>0</v>
      </c>
      <c r="L122">
        <f ca="1" t="shared" si="58"/>
        <v>105847</v>
      </c>
      <c r="M122">
        <f ca="1" t="shared" si="262"/>
        <v>19530.5</v>
      </c>
      <c r="N122">
        <f ca="1" t="shared" si="263"/>
        <v>92028</v>
      </c>
      <c r="O122">
        <f ca="1" t="shared" si="242"/>
        <v>4717430</v>
      </c>
      <c r="P122">
        <f ca="1">IF(G122="恒定伤害",0,(IF(D122="轻剑",$AZ$2,$AZ$3)+IFERROR(INDEX(技能数据库!$T$2:$W$27,MATCH(E122,技能数据库!$T$2:$T$27,0),4),0)+COUNTIF(G122,"*造化2*")*154+COUNTIF(G122,"*造化1*")*102+COUNTIF(G122,"*碧归*")*307)/1024)</f>
        <v>0.176868146929785</v>
      </c>
      <c r="Q122">
        <f ca="1" t="shared" si="193"/>
        <v>0.448284482196154</v>
      </c>
      <c r="R122">
        <f ca="1" t="shared" si="243"/>
        <v>0.21277697966198</v>
      </c>
      <c r="S122">
        <f ca="1" t="shared" si="264"/>
        <v>6329726.36537363</v>
      </c>
      <c r="T122">
        <f t="shared" si="97"/>
        <v>0.8</v>
      </c>
      <c r="U122">
        <f ca="1" t="shared" si="194"/>
        <v>1.7995442148</v>
      </c>
      <c r="V122">
        <f ca="1" t="shared" si="265"/>
        <v>14176279.061959</v>
      </c>
      <c r="W122">
        <f ca="1">IF(G122="恒定伤害",0,MIN(1,IF(COUNTIF(F122,"*内会*")&gt;0,内会,IF(D122="轻剑",$Y$2,$Y$3)+COUNTIF(G122,"*莺鸣*")*0.2+COUNTIF(G122,"*叠1*")*0.1+COUNTIF(G122,"*叠2*")*0.2+COUNTIF(G122,"*叠3*")*0.3)+IFERROR(INDEX(技能数据库!$T$2:$W$27,MATCH(E122,技能数据库!$T$2:$T$27,0),2),0)+IF((IF(D122="轻剑",$AO$2,$AO$3)+INT(COUNTIF(G122,"*大莺鸣*")*IF(D122="轻剑",$AM$2,$AM$3)*听晓无双率)/无双系数)&gt;0.9,特效裤子会心/会心系数,0)))</f>
        <v>0.7343</v>
      </c>
      <c r="X122">
        <f ca="1">IF(G122="恒定伤害",0,IF(COUNTIF(F122,"*内会*")&gt;0,内会效,IF(D122="轻剑",$AB$2,$AB$3))+IFERROR(INDEX(技能数据库!$T$2:$W$27,MATCH(E122,技能数据库!$T$2:$T$27,0),3)/1024,0))+COUNTIF(G122,"*叠1*")*0.25+COUNTIF(G122,"*叠2*")*0.5+COUNTIF(G122,"*叠3*")*0.75</f>
        <v>2.3217485021</v>
      </c>
      <c r="Y122">
        <f ca="1" t="shared" si="266"/>
        <v>1.97055992509203</v>
      </c>
      <c r="Z122">
        <f t="shared" si="247"/>
        <v>0.150390625</v>
      </c>
      <c r="AA122">
        <f ca="1" t="shared" si="267"/>
        <v>0.0205078125</v>
      </c>
      <c r="AB122">
        <f ca="1" t="shared" si="268"/>
        <v>32795447.9879133</v>
      </c>
      <c r="AC122">
        <f ca="1">无穷技能数计算!AJ114</f>
        <v>0</v>
      </c>
      <c r="AD122" s="164">
        <f ca="1" t="shared" si="250"/>
        <v>0</v>
      </c>
      <c r="AE122" s="168">
        <f ca="1" t="shared" si="64"/>
        <v>0</v>
      </c>
      <c r="AF122" s="168">
        <f ca="1" t="shared" si="251"/>
        <v>0</v>
      </c>
      <c r="AG122">
        <f ca="1" t="shared" si="269"/>
        <v>0.000161012264749072</v>
      </c>
      <c r="AH122">
        <f ca="1" t="shared" si="253"/>
        <v>1</v>
      </c>
      <c r="AI122">
        <f ca="1" t="shared" si="254"/>
        <v>1.00016101226475</v>
      </c>
      <c r="AJ122">
        <f ca="1" t="shared" si="255"/>
        <v>0</v>
      </c>
      <c r="AK122">
        <f ca="1" t="shared" si="270"/>
        <v>0</v>
      </c>
      <c r="AL122">
        <f ca="1" t="shared" si="257"/>
        <v>0</v>
      </c>
      <c r="AM122">
        <f ca="1" t="shared" si="271"/>
        <v>0</v>
      </c>
      <c r="AN122" s="168">
        <f ca="1" t="shared" si="71"/>
        <v>0.00748399053993198</v>
      </c>
      <c r="AO122" s="168">
        <f ca="1" t="shared" si="195"/>
        <v>0.00447057613551372</v>
      </c>
      <c r="AP122" s="172">
        <f ca="1" t="shared" si="259"/>
        <v>0</v>
      </c>
      <c r="AQ122" s="168">
        <f ca="1" t="shared" si="260"/>
        <v>0.00401583628616287</v>
      </c>
      <c r="AR122">
        <f t="shared" si="261"/>
        <v>1</v>
      </c>
    </row>
    <row r="123" spans="4:55">
      <c r="D123" t="s">
        <v>1825</v>
      </c>
      <c r="E123" s="161" t="s">
        <v>2850</v>
      </c>
      <c r="F123" t="s">
        <v>3160</v>
      </c>
      <c r="G123" t="s">
        <v>2750</v>
      </c>
      <c r="H123">
        <f ca="1">INDEX(技能数据库!$B$2:$I$100,MATCH(无穷伤害与收益计算!$E123,技能数据库!$B$2:$B$100,0),MATCH(H$9,技能数据库!$B$2:$I$2,0))</f>
        <v>3667380</v>
      </c>
      <c r="I123">
        <f ca="1">INDEX(技能数据库!$B$2:$I$100,MATCH(无穷伤害与收益计算!$E123,技能数据库!$B$2:$B$100,0),MATCH(I$9,技能数据库!$B$2:$I$2,0))</f>
        <v>0</v>
      </c>
      <c r="J123">
        <f ca="1">INDEX(技能数据库!$B$2:$I$100,MATCH(无穷伤害与收益计算!$E123,技能数据库!$B$2:$B$100,0),MATCH(J$9,技能数据库!$B$2:$I$2,0))</f>
        <v>0</v>
      </c>
      <c r="K123">
        <f ca="1">INDEX(技能数据库!$B$2:$I$100,MATCH(无穷伤害与收益计算!$E123,技能数据库!$B$2:$B$100,0),MATCH(K$9,技能数据库!$B$2:$I$2,0))</f>
        <v>0</v>
      </c>
      <c r="L123">
        <f ca="1" t="shared" si="58"/>
        <v>105847</v>
      </c>
      <c r="M123">
        <f ca="1" t="shared" si="262"/>
        <v>19530.5</v>
      </c>
      <c r="N123">
        <f ca="1" t="shared" si="263"/>
        <v>92028</v>
      </c>
      <c r="O123">
        <f ca="1" t="shared" si="242"/>
        <v>3667380</v>
      </c>
      <c r="P123">
        <f ca="1">IF(G123="恒定伤害",0,(IF(D123="轻剑",$AZ$2,$AZ$3)+IFERROR(INDEX(技能数据库!$T$2:$W$27,MATCH(E123,技能数据库!$T$2:$T$27,0),4),0)+COUNTIF(G123,"*造化2*")*154+COUNTIF(G123,"*造化1*")*102+COUNTIF(G123,"*碧归*")*307)/1024)</f>
        <v>0.176868146929785</v>
      </c>
      <c r="Q123">
        <f ca="1" t="shared" si="193"/>
        <v>0.0415122129107408</v>
      </c>
      <c r="R123">
        <f ca="1" t="shared" si="243"/>
        <v>0.21277697966198</v>
      </c>
      <c r="S123">
        <f ca="1" t="shared" si="264"/>
        <v>3538717.33072296</v>
      </c>
      <c r="T123">
        <f t="shared" si="97"/>
        <v>0.8</v>
      </c>
      <c r="U123">
        <f ca="1" t="shared" si="194"/>
        <v>1.7995442148</v>
      </c>
      <c r="V123">
        <f ca="1" t="shared" si="265"/>
        <v>7925436.50483037</v>
      </c>
      <c r="W123">
        <f ca="1">IF(G123="恒定伤害",0,MIN(1,IF(COUNTIF(F123,"*内会*")&gt;0,内会,IF(D123="轻剑",$Y$2,$Y$3)+COUNTIF(G123,"*莺鸣*")*0.2+COUNTIF(G123,"*叠1*")*0.1+COUNTIF(G123,"*叠2*")*0.2+COUNTIF(G123,"*叠3*")*0.3)+IFERROR(INDEX(技能数据库!$T$2:$W$27,MATCH(E123,技能数据库!$T$2:$T$27,0),2),0)+IF((IF(D123="轻剑",$AO$2,$AO$3)+INT(COUNTIF(G123,"*大莺鸣*")*IF(D123="轻剑",$AM$2,$AM$3)*听晓无双率)/无双系数)&gt;0.9,特效裤子会心/会心系数,0)))</f>
        <v>0.112613819719478</v>
      </c>
      <c r="X123">
        <f ca="1">IF(G123="恒定伤害",0,IF(COUNTIF(F123,"*内会*")&gt;0,内会效,IF(D123="轻剑",$AB$2,$AB$3))+IFERROR(INDEX(技能数据库!$T$2:$W$27,MATCH(E123,技能数据库!$T$2:$T$27,0),3)/1024,0))+COUNTIF(G123,"*叠1*")*0.25+COUNTIF(G123,"*叠2*")*0.5+COUNTIF(G123,"*叠3*")*0.75</f>
        <v>1.93437818487951</v>
      </c>
      <c r="Y123">
        <f ca="1" t="shared" si="266"/>
        <v>1.10522389646183</v>
      </c>
      <c r="Z123">
        <f t="shared" si="247"/>
        <v>0.150390625</v>
      </c>
      <c r="AA123">
        <f ca="1" t="shared" si="267"/>
        <v>0.0205078125</v>
      </c>
      <c r="AB123">
        <f ca="1" t="shared" si="268"/>
        <v>10283362.0148844</v>
      </c>
      <c r="AC123">
        <f ca="1">无穷技能数计算!AJ115</f>
        <v>0</v>
      </c>
      <c r="AD123" s="164">
        <f ca="1" t="shared" si="250"/>
        <v>0</v>
      </c>
      <c r="AE123" s="168">
        <f ca="1" t="shared" si="64"/>
        <v>0</v>
      </c>
      <c r="AF123" s="168">
        <f ca="1" t="shared" si="251"/>
        <v>0</v>
      </c>
      <c r="AG123">
        <f ca="1" t="shared" si="269"/>
        <v>0.00022389710037829</v>
      </c>
      <c r="AH123">
        <f ca="1" t="shared" si="253"/>
        <v>1</v>
      </c>
      <c r="AI123">
        <f ca="1" t="shared" si="254"/>
        <v>1.00022389710038</v>
      </c>
      <c r="AJ123">
        <f ca="1" t="shared" si="255"/>
        <v>0</v>
      </c>
      <c r="AK123">
        <f ca="1" t="shared" si="270"/>
        <v>0</v>
      </c>
      <c r="AL123">
        <f ca="1" t="shared" si="257"/>
        <v>0</v>
      </c>
      <c r="AM123">
        <f ca="1" t="shared" si="271"/>
        <v>0</v>
      </c>
      <c r="AN123" s="168">
        <f ca="1" t="shared" si="71"/>
        <v>0</v>
      </c>
      <c r="AO123" s="168">
        <f ca="1" t="shared" si="195"/>
        <v>0</v>
      </c>
      <c r="AP123" s="172">
        <f ca="1" t="shared" si="259"/>
        <v>0</v>
      </c>
      <c r="AQ123" s="168">
        <f ca="1" t="shared" si="260"/>
        <v>0.00401583628616287</v>
      </c>
      <c r="AR123">
        <f t="shared" si="261"/>
        <v>1</v>
      </c>
    </row>
    <row r="124" spans="4:55">
      <c r="D124" t="s">
        <v>1825</v>
      </c>
      <c r="E124" s="161" t="s">
        <v>2853</v>
      </c>
      <c r="F124" t="s">
        <v>3160</v>
      </c>
      <c r="G124" t="s">
        <v>2750</v>
      </c>
      <c r="H124">
        <f ca="1">INDEX(技能数据库!$B$2:$I$100,MATCH(无穷伤害与收益计算!$E124,技能数据库!$B$2:$B$100,0),MATCH(H$9,技能数据库!$B$2:$I$2,0))</f>
        <v>2444920</v>
      </c>
      <c r="I124">
        <f ca="1">INDEX(技能数据库!$B$2:$I$100,MATCH(无穷伤害与收益计算!$E124,技能数据库!$B$2:$B$100,0),MATCH(I$9,技能数据库!$B$2:$I$2,0))</f>
        <v>0</v>
      </c>
      <c r="J124">
        <f ca="1">INDEX(技能数据库!$B$2:$I$100,MATCH(无穷伤害与收益计算!$E124,技能数据库!$B$2:$B$100,0),MATCH(J$9,技能数据库!$B$2:$I$2,0))</f>
        <v>0</v>
      </c>
      <c r="K124">
        <f ca="1">INDEX(技能数据库!$B$2:$I$100,MATCH(无穷伤害与收益计算!$E124,技能数据库!$B$2:$B$100,0),MATCH(K$9,技能数据库!$B$2:$I$2,0))</f>
        <v>0</v>
      </c>
      <c r="L124">
        <f ca="1" t="shared" si="58"/>
        <v>105847</v>
      </c>
      <c r="M124">
        <f ca="1" t="shared" si="262"/>
        <v>19530.5</v>
      </c>
      <c r="N124">
        <f ca="1" t="shared" si="263"/>
        <v>92028</v>
      </c>
      <c r="O124">
        <f ca="1" t="shared" si="242"/>
        <v>2444920</v>
      </c>
      <c r="P124">
        <f ca="1">IF(G124="恒定伤害",0,(IF(D124="轻剑",$AZ$2,$AZ$3)+IFERROR(INDEX(技能数据库!$T$2:$W$27,MATCH(E124,技能数据库!$T$2:$T$27,0),4),0)+COUNTIF(G124,"*造化2*")*154+COUNTIF(G124,"*造化1*")*102+COUNTIF(G124,"*碧归*")*307)/1024)</f>
        <v>0.176868146929785</v>
      </c>
      <c r="Q124">
        <f ca="1" t="shared" si="193"/>
        <v>0.0415122129107408</v>
      </c>
      <c r="R124">
        <f ca="1" t="shared" si="243"/>
        <v>0.21277697966198</v>
      </c>
      <c r="S124">
        <f ca="1" t="shared" si="264"/>
        <v>2359144.88714864</v>
      </c>
      <c r="T124">
        <f t="shared" si="97"/>
        <v>0.8</v>
      </c>
      <c r="U124">
        <f ca="1" t="shared" si="194"/>
        <v>1.7995442148</v>
      </c>
      <c r="V124">
        <f ca="1" t="shared" si="265"/>
        <v>5283624.33655358</v>
      </c>
      <c r="W124">
        <f ca="1">IF(G124="恒定伤害",0,MIN(1,IF(COUNTIF(F124,"*内会*")&gt;0,内会,IF(D124="轻剑",$Y$2,$Y$3)+COUNTIF(G124,"*莺鸣*")*0.2+COUNTIF(G124,"*叠1*")*0.1+COUNTIF(G124,"*叠2*")*0.2+COUNTIF(G124,"*叠3*")*0.3)+IFERROR(INDEX(技能数据库!$T$2:$W$27,MATCH(E124,技能数据库!$T$2:$T$27,0),2),0)+IF((IF(D124="轻剑",$AO$2,$AO$3)+INT(COUNTIF(G124,"*大莺鸣*")*IF(D124="轻剑",$AM$2,$AM$3)*听晓无双率)/无双系数)&gt;0.9,特效裤子会心/会心系数,0)))</f>
        <v>0.112613819719478</v>
      </c>
      <c r="X124">
        <f ca="1">IF(G124="恒定伤害",0,IF(COUNTIF(F124,"*内会*")&gt;0,内会效,IF(D124="轻剑",$AB$2,$AB$3))+IFERROR(INDEX(技能数据库!$T$2:$W$27,MATCH(E124,技能数据库!$T$2:$T$27,0),3)/1024,0))+COUNTIF(G124,"*叠1*")*0.25+COUNTIF(G124,"*叠2*")*0.5+COUNTIF(G124,"*叠3*")*0.75</f>
        <v>1.93437818487951</v>
      </c>
      <c r="Y124">
        <f ca="1" t="shared" si="266"/>
        <v>1.10522389646183</v>
      </c>
      <c r="Z124">
        <f t="shared" si="247"/>
        <v>0.150390625</v>
      </c>
      <c r="AA124">
        <f ca="1" t="shared" si="267"/>
        <v>0.0205078125</v>
      </c>
      <c r="AB124">
        <f ca="1" t="shared" si="268"/>
        <v>6855574.67658961</v>
      </c>
      <c r="AC124">
        <f ca="1">无穷技能数计算!AJ116</f>
        <v>0</v>
      </c>
      <c r="AD124" s="164">
        <f ca="1" t="shared" si="250"/>
        <v>0</v>
      </c>
      <c r="AE124" s="168">
        <f ca="1" t="shared" si="64"/>
        <v>0</v>
      </c>
      <c r="AF124" s="168">
        <f ca="1" t="shared" si="251"/>
        <v>0</v>
      </c>
      <c r="AG124">
        <f ca="1" t="shared" si="269"/>
        <v>0.00022389710037829</v>
      </c>
      <c r="AH124">
        <f ca="1" t="shared" si="253"/>
        <v>1</v>
      </c>
      <c r="AI124">
        <f ca="1" t="shared" si="254"/>
        <v>1.00022389710038</v>
      </c>
      <c r="AJ124">
        <f ca="1" t="shared" si="255"/>
        <v>0</v>
      </c>
      <c r="AK124">
        <f ca="1" t="shared" si="270"/>
        <v>0</v>
      </c>
      <c r="AL124">
        <f ca="1" t="shared" si="257"/>
        <v>0</v>
      </c>
      <c r="AM124">
        <f ca="1" t="shared" si="271"/>
        <v>0</v>
      </c>
      <c r="AN124" s="168">
        <f ca="1" t="shared" si="71"/>
        <v>0</v>
      </c>
      <c r="AO124" s="168">
        <f ca="1" t="shared" si="195"/>
        <v>0</v>
      </c>
      <c r="AP124" s="172">
        <f ca="1" t="shared" si="259"/>
        <v>0</v>
      </c>
      <c r="AQ124" s="168">
        <f ca="1" t="shared" si="260"/>
        <v>0.00401583628616287</v>
      </c>
      <c r="AR124">
        <f t="shared" si="261"/>
        <v>1</v>
      </c>
    </row>
    <row r="125" spans="4:55">
      <c r="D125" t="s">
        <v>1825</v>
      </c>
      <c r="E125" s="161" t="s">
        <v>2855</v>
      </c>
      <c r="F125" t="s">
        <v>3160</v>
      </c>
      <c r="G125" t="s">
        <v>2750</v>
      </c>
      <c r="H125">
        <f ca="1">INDEX(技能数据库!$B$2:$I$100,MATCH(无穷伤害与收益计算!$E125,技能数据库!$B$2:$B$100,0),MATCH(H$9,技能数据库!$B$2:$I$2,0))</f>
        <v>815</v>
      </c>
      <c r="I125">
        <f ca="1">INDEX(技能数据库!$B$2:$I$100,MATCH(无穷伤害与收益计算!$E125,技能数据库!$B$2:$B$100,0),MATCH(I$9,技能数据库!$B$2:$I$2,0))</f>
        <v>0</v>
      </c>
      <c r="J125">
        <f ca="1">INDEX(技能数据库!$B$2:$I$100,MATCH(无穷伤害与收益计算!$E125,技能数据库!$B$2:$B$100,0),MATCH(J$9,技能数据库!$B$2:$I$2,0))</f>
        <v>0</v>
      </c>
      <c r="K125">
        <f ca="1">INDEX(技能数据库!$B$2:$I$100,MATCH(无穷伤害与收益计算!$E125,技能数据库!$B$2:$B$100,0),MATCH(K$9,技能数据库!$B$2:$I$2,0))</f>
        <v>0</v>
      </c>
      <c r="L125">
        <f ca="1" t="shared" si="58"/>
        <v>105847</v>
      </c>
      <c r="M125">
        <f ca="1" t="shared" si="262"/>
        <v>19530.5</v>
      </c>
      <c r="N125">
        <f ca="1" t="shared" si="263"/>
        <v>92028</v>
      </c>
      <c r="O125">
        <f ca="1" t="shared" si="242"/>
        <v>815</v>
      </c>
      <c r="P125">
        <f ca="1">IF(G125="恒定伤害",0,(IF(D125="轻剑",$AZ$2,$AZ$3)+IFERROR(INDEX(技能数据库!$T$2:$W$27,MATCH(E125,技能数据库!$T$2:$T$27,0),4),0)+COUNTIF(G125,"*造化2*")*154+COUNTIF(G125,"*造化1*")*102+COUNTIF(G125,"*碧归*")*307)/1024)</f>
        <v>0.176868146929785</v>
      </c>
      <c r="Q125">
        <f ca="1" t="shared" si="193"/>
        <v>0.0415122129107408</v>
      </c>
      <c r="R125">
        <f ca="1" t="shared" si="243"/>
        <v>0.21277697966198</v>
      </c>
      <c r="S125">
        <f ca="1" t="shared" si="264"/>
        <v>786.407360169716</v>
      </c>
      <c r="T125">
        <f t="shared" si="97"/>
        <v>0.8</v>
      </c>
      <c r="U125">
        <f ca="1" t="shared" si="194"/>
        <v>1.7995442148</v>
      </c>
      <c r="V125">
        <f ca="1" t="shared" si="265"/>
        <v>1761.26574051142</v>
      </c>
      <c r="W125">
        <f ca="1">IF(G125="恒定伤害",0,MIN(1,IF(COUNTIF(F125,"*内会*")&gt;0,内会,IF(D125="轻剑",$Y$2,$Y$3)+COUNTIF(G125,"*莺鸣*")*0.2+COUNTIF(G125,"*叠1*")*0.1+COUNTIF(G125,"*叠2*")*0.2+COUNTIF(G125,"*叠3*")*0.3)+IFERROR(INDEX(技能数据库!$T$2:$W$27,MATCH(E125,技能数据库!$T$2:$T$27,0),2),0)+IF((IF(D125="轻剑",$AO$2,$AO$3)+INT(COUNTIF(G125,"*大莺鸣*")*IF(D125="轻剑",$AM$2,$AM$3)*听晓无双率)/无双系数)&gt;0.9,特效裤子会心/会心系数,0)))</f>
        <v>0.112613819719478</v>
      </c>
      <c r="X125">
        <f ca="1">IF(G125="恒定伤害",0,IF(COUNTIF(F125,"*内会*")&gt;0,内会效,IF(D125="轻剑",$AB$2,$AB$3))+IFERROR(INDEX(技能数据库!$T$2:$W$27,MATCH(E125,技能数据库!$T$2:$T$27,0),3)/1024,0))+COUNTIF(G125,"*叠1*")*0.25+COUNTIF(G125,"*叠2*")*0.5+COUNTIF(G125,"*叠3*")*0.75</f>
        <v>1.93437818487951</v>
      </c>
      <c r="Y125">
        <f ca="1" t="shared" si="266"/>
        <v>1.10522389646183</v>
      </c>
      <c r="Z125">
        <f t="shared" si="247"/>
        <v>0.150390625</v>
      </c>
      <c r="AA125">
        <f ca="1" t="shared" si="267"/>
        <v>0.0205078125</v>
      </c>
      <c r="AB125">
        <f ca="1" t="shared" si="268"/>
        <v>2285.26633240373</v>
      </c>
      <c r="AC125">
        <f ca="1">无穷技能数计算!AJ117</f>
        <v>0</v>
      </c>
      <c r="AD125" s="164">
        <f ca="1" t="shared" si="250"/>
        <v>0</v>
      </c>
      <c r="AE125" s="168">
        <f ca="1" t="shared" si="64"/>
        <v>0</v>
      </c>
      <c r="AF125" s="168">
        <f ca="1" t="shared" si="251"/>
        <v>0</v>
      </c>
      <c r="AG125">
        <f ca="1" t="shared" si="269"/>
        <v>0.00022389710037829</v>
      </c>
      <c r="AH125">
        <f ca="1" t="shared" si="253"/>
        <v>1</v>
      </c>
      <c r="AI125">
        <f ca="1" t="shared" si="254"/>
        <v>1.00022389710038</v>
      </c>
      <c r="AJ125">
        <f ca="1" t="shared" si="255"/>
        <v>0</v>
      </c>
      <c r="AK125">
        <f ca="1" t="shared" si="270"/>
        <v>0</v>
      </c>
      <c r="AL125">
        <f ca="1" t="shared" si="257"/>
        <v>0</v>
      </c>
      <c r="AM125">
        <f ca="1" t="shared" si="271"/>
        <v>0</v>
      </c>
      <c r="AN125" s="168">
        <f ca="1" t="shared" si="71"/>
        <v>0</v>
      </c>
      <c r="AO125" s="168">
        <f ca="1" t="shared" si="195"/>
        <v>0</v>
      </c>
      <c r="AP125" s="172">
        <f ca="1" t="shared" si="259"/>
        <v>0</v>
      </c>
      <c r="AQ125" s="168">
        <f ca="1" t="shared" si="260"/>
        <v>0.00401583628616287</v>
      </c>
      <c r="AR125">
        <f t="shared" si="261"/>
        <v>1</v>
      </c>
    </row>
    <row r="126" spans="4:55">
      <c r="D126" t="s">
        <v>1825</v>
      </c>
      <c r="E126" s="161" t="s">
        <v>2857</v>
      </c>
      <c r="F126" t="s">
        <v>3160</v>
      </c>
      <c r="G126" t="s">
        <v>2750</v>
      </c>
      <c r="H126">
        <f ca="1">INDEX(技能数据库!$B$2:$I$100,MATCH(无穷伤害与收益计算!$E126,技能数据库!$B$2:$B$100,0),MATCH(H$9,技能数据库!$B$2:$I$2,0))</f>
        <v>469999</v>
      </c>
      <c r="I126">
        <f ca="1">INDEX(技能数据库!$B$2:$I$100,MATCH(无穷伤害与收益计算!$E126,技能数据库!$B$2:$B$100,0),MATCH(I$9,技能数据库!$B$2:$I$2,0))</f>
        <v>0</v>
      </c>
      <c r="J126">
        <f ca="1">INDEX(技能数据库!$B$2:$I$100,MATCH(无穷伤害与收益计算!$E126,技能数据库!$B$2:$B$100,0),MATCH(J$9,技能数据库!$B$2:$I$2,0))</f>
        <v>0</v>
      </c>
      <c r="K126">
        <f ca="1">INDEX(技能数据库!$B$2:$I$100,MATCH(无穷伤害与收益计算!$E126,技能数据库!$B$2:$B$100,0),MATCH(K$9,技能数据库!$B$2:$I$2,0))</f>
        <v>0</v>
      </c>
      <c r="L126">
        <f ca="1" t="shared" si="58"/>
        <v>105847</v>
      </c>
      <c r="M126">
        <f ca="1" t="shared" si="262"/>
        <v>19530.5</v>
      </c>
      <c r="N126">
        <f ca="1" t="shared" si="263"/>
        <v>92028</v>
      </c>
      <c r="O126">
        <f ca="1" t="shared" si="242"/>
        <v>469999</v>
      </c>
      <c r="P126">
        <f ca="1">IF(G126="恒定伤害",0,(IF(D126="轻剑",$AZ$2,$AZ$3)+IFERROR(INDEX(技能数据库!$T$2:$W$27,MATCH(E126,技能数据库!$T$2:$T$27,0),4),0)+COUNTIF(G126,"*造化2*")*154+COUNTIF(G126,"*造化1*")*102+COUNTIF(G126,"*碧归*")*307)/1024)</f>
        <v>0.176868146929785</v>
      </c>
      <c r="Q126">
        <f ca="1" t="shared" si="193"/>
        <v>0.0415122129107408</v>
      </c>
      <c r="R126">
        <f ca="1" t="shared" si="243"/>
        <v>0.21277697966198</v>
      </c>
      <c r="S126">
        <f ca="1" t="shared" si="264"/>
        <v>453510.028064302</v>
      </c>
      <c r="T126">
        <f t="shared" si="97"/>
        <v>0.8</v>
      </c>
      <c r="U126">
        <f ca="1" t="shared" si="194"/>
        <v>1.7995442148</v>
      </c>
      <c r="V126">
        <f ca="1" t="shared" si="265"/>
        <v>1015697.10033696</v>
      </c>
      <c r="W126">
        <f ca="1">IF(G126="恒定伤害",0,MIN(1,IF(COUNTIF(F126,"*内会*")&gt;0,内会,IF(D126="轻剑",$Y$2,$Y$3)+COUNTIF(G126,"*莺鸣*")*0.2+COUNTIF(G126,"*叠1*")*0.1+COUNTIF(G126,"*叠2*")*0.2+COUNTIF(G126,"*叠3*")*0.3)+IFERROR(INDEX(技能数据库!$T$2:$W$27,MATCH(E126,技能数据库!$T$2:$T$27,0),2),0)+IF((IF(D126="轻剑",$AO$2,$AO$3)+INT(COUNTIF(G126,"*大莺鸣*")*IF(D126="轻剑",$AM$2,$AM$3)*听晓无双率)/无双系数)&gt;0.9,特效裤子会心/会心系数,0)))</f>
        <v>0.112613819719478</v>
      </c>
      <c r="X126">
        <f ca="1">IF(G126="恒定伤害",0,IF(COUNTIF(F126,"*内会*")&gt;0,内会效,IF(D126="轻剑",$AB$2,$AB$3))+IFERROR(INDEX(技能数据库!$T$2:$W$27,MATCH(E126,技能数据库!$T$2:$T$27,0),3)/1024,0))+COUNTIF(G126,"*叠1*")*0.25+COUNTIF(G126,"*叠2*")*0.5+COUNTIF(G126,"*叠3*")*0.75</f>
        <v>1.93437818487951</v>
      </c>
      <c r="Y126">
        <f ca="1" t="shared" si="266"/>
        <v>1.10522389646183</v>
      </c>
      <c r="Z126">
        <f t="shared" si="247"/>
        <v>0.150390625</v>
      </c>
      <c r="AA126">
        <f ca="1" t="shared" si="267"/>
        <v>0.0205078125</v>
      </c>
      <c r="AB126">
        <f ca="1" t="shared" si="268"/>
        <v>1317880.84780788</v>
      </c>
      <c r="AC126">
        <f ca="1">无穷技能数计算!AJ118</f>
        <v>0</v>
      </c>
      <c r="AD126" s="164">
        <f ca="1" t="shared" si="250"/>
        <v>0</v>
      </c>
      <c r="AE126" s="168">
        <f ca="1" t="shared" si="64"/>
        <v>0</v>
      </c>
      <c r="AF126" s="168">
        <f ca="1" t="shared" si="251"/>
        <v>0</v>
      </c>
      <c r="AG126">
        <f ca="1" t="shared" si="269"/>
        <v>0.00022389710037829</v>
      </c>
      <c r="AH126">
        <f ca="1" t="shared" si="253"/>
        <v>1</v>
      </c>
      <c r="AI126">
        <f ca="1" t="shared" si="254"/>
        <v>1.00022389710038</v>
      </c>
      <c r="AJ126">
        <f ca="1" t="shared" si="255"/>
        <v>0</v>
      </c>
      <c r="AK126">
        <f ca="1" t="shared" si="270"/>
        <v>0</v>
      </c>
      <c r="AL126">
        <f ca="1" t="shared" si="257"/>
        <v>0</v>
      </c>
      <c r="AM126">
        <f ca="1" t="shared" si="271"/>
        <v>0</v>
      </c>
      <c r="AN126" s="168">
        <f ca="1" t="shared" si="71"/>
        <v>0</v>
      </c>
      <c r="AO126" s="168">
        <f ca="1" t="shared" si="195"/>
        <v>0</v>
      </c>
      <c r="AP126" s="172">
        <f ca="1" t="shared" si="259"/>
        <v>0</v>
      </c>
      <c r="AQ126" s="168">
        <f ca="1" t="shared" si="260"/>
        <v>0.00401583628616287</v>
      </c>
      <c r="AR126">
        <f t="shared" si="261"/>
        <v>1</v>
      </c>
    </row>
    <row r="127" spans="4:55">
      <c r="D127" t="s">
        <v>1028</v>
      </c>
      <c r="E127" s="161" t="s">
        <v>2859</v>
      </c>
      <c r="F127" t="s">
        <v>3160</v>
      </c>
      <c r="G127" t="s">
        <v>2750</v>
      </c>
      <c r="H127">
        <f ca="1">INDEX(技能数据库!$B$2:$I$100,MATCH(无穷伤害与收益计算!$E127,技能数据库!$B$2:$B$100,0),MATCH(H$9,技能数据库!$B$2:$I$2,0))</f>
        <v>1955936</v>
      </c>
      <c r="I127">
        <f ca="1">INDEX(技能数据库!$B$2:$I$100,MATCH(无穷伤害与收益计算!$E127,技能数据库!$B$2:$B$100,0),MATCH(I$9,技能数据库!$B$2:$I$2,0))</f>
        <v>0</v>
      </c>
      <c r="J127">
        <f ca="1">INDEX(技能数据库!$B$2:$I$100,MATCH(无穷伤害与收益计算!$E127,技能数据库!$B$2:$B$100,0),MATCH(J$9,技能数据库!$B$2:$I$2,0))</f>
        <v>0</v>
      </c>
      <c r="K127">
        <f ca="1">INDEX(技能数据库!$B$2:$I$100,MATCH(无穷伤害与收益计算!$E127,技能数据库!$B$2:$B$100,0),MATCH(K$9,技能数据库!$B$2:$I$2,0))</f>
        <v>0</v>
      </c>
      <c r="L127">
        <f ca="1" t="shared" si="58"/>
        <v>105847</v>
      </c>
      <c r="M127">
        <f ca="1" t="shared" si="262"/>
        <v>12694.5</v>
      </c>
      <c r="N127">
        <f ca="1" t="shared" si="263"/>
        <v>92028</v>
      </c>
      <c r="O127">
        <f ca="1" t="shared" si="242"/>
        <v>1955936</v>
      </c>
      <c r="P127">
        <f ca="1">IF(G127="恒定伤害",0,(IF(D127="轻剑",$AZ$2,$AZ$3)+IFERROR(INDEX(技能数据库!$T$2:$W$27,MATCH(E127,技能数据库!$T$2:$T$27,0),4),0)+COUNTIF(G127,"*造化2*")*154+COUNTIF(G127,"*造化1*")*102+COUNTIF(G127,"*碧归*")*307)/1024)</f>
        <v>0.0772587719297852</v>
      </c>
      <c r="Q127">
        <f ca="1" t="shared" si="193"/>
        <v>0.0415122129107408</v>
      </c>
      <c r="R127">
        <f ca="1" t="shared" si="243"/>
        <v>0.21277697966198</v>
      </c>
      <c r="S127">
        <f ca="1" t="shared" si="264"/>
        <v>1727574.68578903</v>
      </c>
      <c r="T127">
        <f t="shared" si="97"/>
        <v>0.8</v>
      </c>
      <c r="U127">
        <f ca="1" t="shared" si="194"/>
        <v>1.7995442148</v>
      </c>
      <c r="V127">
        <f ca="1" t="shared" si="265"/>
        <v>3869137.37378848</v>
      </c>
      <c r="W127">
        <f ca="1">IF(G127="恒定伤害",0,MIN(1,IF(COUNTIF(F127,"*内会*")&gt;0,内会,IF(D127="轻剑",$Y$2,$Y$3)+COUNTIF(G127,"*莺鸣*")*0.2+COUNTIF(G127,"*叠1*")*0.1+COUNTIF(G127,"*叠2*")*0.2+COUNTIF(G127,"*叠3*")*0.3)+IFERROR(INDEX(技能数据库!$T$2:$W$27,MATCH(E127,技能数据库!$T$2:$T$27,0),2),0)+IF((IF(D127="轻剑",$AO$2,$AO$3)+INT(COUNTIF(G127,"*大莺鸣*")*IF(D127="轻剑",$AM$2,$AM$3)*听晓无双率)/无双系数)&gt;0.9,特效裤子会心/会心系数,0)))</f>
        <v>0.112613819719478</v>
      </c>
      <c r="X127">
        <f ca="1">IF(G127="恒定伤害",0,IF(COUNTIF(F127,"*内会*")&gt;0,内会效,IF(D127="轻剑",$AB$2,$AB$3))+IFERROR(INDEX(技能数据库!$T$2:$W$27,MATCH(E127,技能数据库!$T$2:$T$27,0),3)/1024,0))+COUNTIF(G127,"*叠1*")*0.25+COUNTIF(G127,"*叠2*")*0.5+COUNTIF(G127,"*叠3*")*0.75</f>
        <v>1.93437818487951</v>
      </c>
      <c r="Y127">
        <f ca="1" t="shared" si="266"/>
        <v>1.10522389646183</v>
      </c>
      <c r="Z127">
        <f t="shared" si="247"/>
        <v>0.150390625</v>
      </c>
      <c r="AA127">
        <f ca="1" t="shared" si="267"/>
        <v>0.0205078125</v>
      </c>
      <c r="AB127">
        <f ca="1" t="shared" si="268"/>
        <v>5020258.54042695</v>
      </c>
      <c r="AC127">
        <f ca="1">无穷技能数计算!AJ119</f>
        <v>0</v>
      </c>
      <c r="AD127" s="164">
        <f ca="1" t="shared" si="250"/>
        <v>0</v>
      </c>
      <c r="AE127" s="168">
        <f ca="1" t="shared" si="64"/>
        <v>0</v>
      </c>
      <c r="AF127" s="168">
        <f ca="1" t="shared" si="251"/>
        <v>0</v>
      </c>
      <c r="AG127">
        <f ca="1" t="shared" si="269"/>
        <v>0.00022389710037829</v>
      </c>
      <c r="AH127">
        <f ca="1" t="shared" si="253"/>
        <v>1</v>
      </c>
      <c r="AI127">
        <f ca="1" t="shared" si="254"/>
        <v>1.00022389710038</v>
      </c>
      <c r="AJ127">
        <f ca="1" t="shared" si="255"/>
        <v>0</v>
      </c>
      <c r="AK127">
        <f ca="1" t="shared" si="270"/>
        <v>0</v>
      </c>
      <c r="AL127">
        <f ca="1" t="shared" si="257"/>
        <v>0</v>
      </c>
      <c r="AM127">
        <f ca="1" t="shared" si="271"/>
        <v>0</v>
      </c>
      <c r="AN127" s="168">
        <f ca="1" t="shared" si="71"/>
        <v>0</v>
      </c>
      <c r="AO127" s="168">
        <f ca="1" t="shared" si="195"/>
        <v>0</v>
      </c>
      <c r="AP127" s="172">
        <f ca="1" t="shared" si="259"/>
        <v>0</v>
      </c>
      <c r="AQ127" s="168">
        <f ca="1" t="shared" si="260"/>
        <v>0.00401583628616287</v>
      </c>
      <c r="AR127">
        <f t="shared" si="261"/>
        <v>1</v>
      </c>
      <c r="AX127" s="167"/>
      <c r="AY127" s="167"/>
      <c r="AZ127" s="164"/>
      <c r="BB127" s="167"/>
      <c r="BC127" s="164"/>
    </row>
    <row r="128" spans="4:55">
      <c r="D128" t="s">
        <v>1028</v>
      </c>
      <c r="E128" s="161" t="s">
        <v>2859</v>
      </c>
      <c r="F128" t="s">
        <v>2503</v>
      </c>
      <c r="G128" t="s">
        <v>2750</v>
      </c>
      <c r="H128">
        <f ca="1">INDEX(技能数据库!$B$2:$I$100,MATCH(无穷伤害与收益计算!$E128,技能数据库!$B$2:$B$100,0),MATCH(H$9,技能数据库!$B$2:$I$2,0))</f>
        <v>1955936</v>
      </c>
      <c r="I128">
        <f ca="1">INDEX(技能数据库!$B$2:$I$100,MATCH(无穷伤害与收益计算!$E128,技能数据库!$B$2:$B$100,0),MATCH(I$9,技能数据库!$B$2:$I$2,0))</f>
        <v>0</v>
      </c>
      <c r="J128">
        <f ca="1">INDEX(技能数据库!$B$2:$I$100,MATCH(无穷伤害与收益计算!$E128,技能数据库!$B$2:$B$100,0),MATCH(J$9,技能数据库!$B$2:$I$2,0))</f>
        <v>0</v>
      </c>
      <c r="K128">
        <f ca="1">INDEX(技能数据库!$B$2:$I$100,MATCH(无穷伤害与收益计算!$E128,技能数据库!$B$2:$B$100,0),MATCH(K$9,技能数据库!$B$2:$I$2,0))</f>
        <v>0</v>
      </c>
      <c r="L128">
        <f ca="1" t="shared" si="58"/>
        <v>105847</v>
      </c>
      <c r="M128">
        <f ca="1" t="shared" si="262"/>
        <v>12694.5</v>
      </c>
      <c r="N128">
        <f ca="1" t="shared" si="263"/>
        <v>92028</v>
      </c>
      <c r="O128">
        <f ca="1" t="shared" si="242"/>
        <v>1955936</v>
      </c>
      <c r="P128">
        <f ca="1">IF(G128="恒定伤害",0,(IF(D128="轻剑",$AZ$2,$AZ$3)+IFERROR(INDEX(技能数据库!$T$2:$W$27,MATCH(E128,技能数据库!$T$2:$T$27,0),4),0)+COUNTIF(G128,"*造化2*")*154+COUNTIF(G128,"*造化1*")*102+COUNTIF(G128,"*碧归*")*307)/1024)</f>
        <v>0.0772587719297852</v>
      </c>
      <c r="Q128">
        <f ca="1" t="shared" si="193"/>
        <v>0.0415122129107408</v>
      </c>
      <c r="R128">
        <f ca="1" t="shared" si="243"/>
        <v>0.21277697966198</v>
      </c>
      <c r="S128">
        <f ca="1" t="shared" si="264"/>
        <v>1727574.68578903</v>
      </c>
      <c r="T128">
        <f t="shared" si="97"/>
        <v>0.8</v>
      </c>
      <c r="U128">
        <f ca="1" t="shared" si="194"/>
        <v>1.7995442148</v>
      </c>
      <c r="V128">
        <f ca="1" t="shared" si="265"/>
        <v>3869137.37378848</v>
      </c>
      <c r="W128">
        <f ca="1">IF(G128="恒定伤害",0,MIN(1,IF(COUNTIF(F128,"*内会*")&gt;0,内会,IF(D128="轻剑",$Y$2,$Y$3)+COUNTIF(G128,"*莺鸣*")*0.2+COUNTIF(G128,"*叠1*")*0.1+COUNTIF(G128,"*叠2*")*0.2+COUNTIF(G128,"*叠3*")*0.3)+IFERROR(INDEX(技能数据库!$T$2:$W$27,MATCH(E128,技能数据库!$T$2:$T$27,0),2),0)+IF((IF(D128="轻剑",$AO$2,$AO$3)+INT(COUNTIF(G128,"*大莺鸣*")*IF(D128="轻剑",$AM$2,$AM$3)*听晓无双率)/无双系数)&gt;0.9,特效裤子会心/会心系数,0)))</f>
        <v>0.7343</v>
      </c>
      <c r="X128">
        <f ca="1">IF(G128="恒定伤害",0,IF(COUNTIF(F128,"*内会*")&gt;0,内会效,IF(D128="轻剑",$AB$2,$AB$3))+IFERROR(INDEX(技能数据库!$T$2:$W$27,MATCH(E128,技能数据库!$T$2:$T$27,0),3)/1024,0))+COUNTIF(G128,"*叠1*")*0.25+COUNTIF(G128,"*叠2*")*0.5+COUNTIF(G128,"*叠3*")*0.75</f>
        <v>2.3217485021</v>
      </c>
      <c r="Y128">
        <f ca="1" t="shared" si="266"/>
        <v>1.97055992509203</v>
      </c>
      <c r="Z128">
        <f t="shared" si="247"/>
        <v>0.150390625</v>
      </c>
      <c r="AA128">
        <f ca="1" t="shared" si="267"/>
        <v>0.0205078125</v>
      </c>
      <c r="AB128">
        <f ca="1" t="shared" si="268"/>
        <v>8950874.41109085</v>
      </c>
      <c r="AC128">
        <f ca="1">无穷技能数计算!AJ120</f>
        <v>0</v>
      </c>
      <c r="AD128" s="164">
        <f ca="1" t="shared" si="250"/>
        <v>0</v>
      </c>
      <c r="AE128" s="168">
        <f ca="1" t="shared" si="64"/>
        <v>0</v>
      </c>
      <c r="AF128" s="168">
        <f ca="1" t="shared" si="251"/>
        <v>0</v>
      </c>
      <c r="AG128">
        <f ca="1" t="shared" si="269"/>
        <v>0.00022389710037829</v>
      </c>
      <c r="AH128">
        <f ca="1" t="shared" si="253"/>
        <v>1</v>
      </c>
      <c r="AI128">
        <f ca="1" t="shared" si="254"/>
        <v>1.00022389710038</v>
      </c>
      <c r="AJ128">
        <f ca="1" t="shared" si="255"/>
        <v>0</v>
      </c>
      <c r="AK128">
        <f ca="1" t="shared" si="270"/>
        <v>0</v>
      </c>
      <c r="AL128">
        <f ca="1" t="shared" si="257"/>
        <v>0</v>
      </c>
      <c r="AM128">
        <f ca="1" t="shared" si="271"/>
        <v>0</v>
      </c>
      <c r="AN128" s="168">
        <f ca="1" t="shared" si="71"/>
        <v>0.00748399053993198</v>
      </c>
      <c r="AO128" s="168">
        <f ca="1" t="shared" si="195"/>
        <v>0</v>
      </c>
      <c r="AP128" s="172">
        <f ca="1" t="shared" si="259"/>
        <v>0</v>
      </c>
      <c r="AQ128" s="168">
        <f ca="1" t="shared" si="260"/>
        <v>0.00401583628616287</v>
      </c>
      <c r="AR128">
        <f t="shared" si="261"/>
        <v>1</v>
      </c>
    </row>
    <row r="129" spans="4:44">
      <c r="D129" t="s">
        <v>1825</v>
      </c>
      <c r="E129" s="161" t="s">
        <v>2859</v>
      </c>
      <c r="F129" t="s">
        <v>3160</v>
      </c>
      <c r="G129" t="s">
        <v>3044</v>
      </c>
      <c r="H129">
        <f ca="1">INDEX(技能数据库!$B$2:$I$100,MATCH(无穷伤害与收益计算!$E129,技能数据库!$B$2:$B$100,0),MATCH(H$9,技能数据库!$B$2:$I$2,0))</f>
        <v>1955936</v>
      </c>
      <c r="I129">
        <f ca="1">INDEX(技能数据库!$B$2:$I$100,MATCH(无穷伤害与收益计算!$E129,技能数据库!$B$2:$B$100,0),MATCH(I$9,技能数据库!$B$2:$I$2,0))</f>
        <v>0</v>
      </c>
      <c r="J129">
        <f ca="1">INDEX(技能数据库!$B$2:$I$100,MATCH(无穷伤害与收益计算!$E129,技能数据库!$B$2:$B$100,0),MATCH(J$9,技能数据库!$B$2:$I$2,0))</f>
        <v>0</v>
      </c>
      <c r="K129">
        <f ca="1">INDEX(技能数据库!$B$2:$I$100,MATCH(无穷伤害与收益计算!$E129,技能数据库!$B$2:$B$100,0),MATCH(K$9,技能数据库!$B$2:$I$2,0))</f>
        <v>0</v>
      </c>
      <c r="L129">
        <f ca="1" t="shared" si="58"/>
        <v>105847</v>
      </c>
      <c r="M129">
        <f ca="1" t="shared" si="262"/>
        <v>19530.5</v>
      </c>
      <c r="N129">
        <f ca="1" t="shared" si="263"/>
        <v>92028</v>
      </c>
      <c r="O129">
        <f ca="1" t="shared" si="242"/>
        <v>1955936</v>
      </c>
      <c r="P129">
        <f ca="1">IF(G129="恒定伤害",0,(IF(D129="轻剑",$AZ$2,$AZ$3)+IFERROR(INDEX(技能数据库!$T$2:$W$27,MATCH(E129,技能数据库!$T$2:$T$27,0),4),0)+COUNTIF(G129,"*造化2*")*154+COUNTIF(G129,"*造化1*")*102+COUNTIF(G129,"*碧归*")*307)/1024)</f>
        <v>0.176868146929785</v>
      </c>
      <c r="Q129">
        <f ca="1" t="shared" si="193"/>
        <v>0.0415122129107408</v>
      </c>
      <c r="R129">
        <f ca="1" t="shared" si="243"/>
        <v>0.21277697966198</v>
      </c>
      <c r="S129">
        <f ca="1" t="shared" si="264"/>
        <v>1887315.90971891</v>
      </c>
      <c r="T129">
        <f t="shared" si="97"/>
        <v>0.8</v>
      </c>
      <c r="U129">
        <f ca="1" t="shared" si="194"/>
        <v>2.68954760480339</v>
      </c>
      <c r="V129">
        <f ca="1" t="shared" si="265"/>
        <v>5570673.5153686</v>
      </c>
      <c r="W129">
        <f ca="1">IF(G129="恒定伤害",0,MIN(1,IF(COUNTIF(F129,"*内会*")&gt;0,内会,IF(D129="轻剑",$Y$2,$Y$3)+COUNTIF(G129,"*莺鸣*")*0.2+COUNTIF(G129,"*叠1*")*0.1+COUNTIF(G129,"*叠2*")*0.2+COUNTIF(G129,"*叠3*")*0.3)+IFERROR(INDEX(技能数据库!$T$2:$W$27,MATCH(E129,技能数据库!$T$2:$T$27,0),2),0)+IF((IF(D129="轻剑",$AO$2,$AO$3)+INT(COUNTIF(G129,"*大莺鸣*")*IF(D129="轻剑",$AM$2,$AM$3)*听晓无双率)/无双系数)&gt;0.9,特效裤子会心/会心系数,0)))</f>
        <v>0.112613819719478</v>
      </c>
      <c r="X129">
        <f ca="1">IF(G129="恒定伤害",0,IF(COUNTIF(F129,"*内会*")&gt;0,内会效,IF(D129="轻剑",$AB$2,$AB$3))+IFERROR(INDEX(技能数据库!$T$2:$W$27,MATCH(E129,技能数据库!$T$2:$T$27,0),3)/1024,0))+COUNTIF(G129,"*叠1*")*0.25+COUNTIF(G129,"*叠2*")*0.5+COUNTIF(G129,"*叠3*")*0.75</f>
        <v>1.93437818487951</v>
      </c>
      <c r="Y129">
        <f ca="1" t="shared" si="266"/>
        <v>1.10522389646183</v>
      </c>
      <c r="Z129">
        <f t="shared" si="247"/>
        <v>0.150390625</v>
      </c>
      <c r="AA129">
        <f ca="1" t="shared" si="267"/>
        <v>0.0205078125</v>
      </c>
      <c r="AB129">
        <f ca="1" t="shared" si="268"/>
        <v>7228024.90315203</v>
      </c>
      <c r="AC129">
        <f ca="1">无穷技能数计算!AJ121</f>
        <v>0</v>
      </c>
      <c r="AD129" s="164">
        <f ca="1" t="shared" si="250"/>
        <v>0</v>
      </c>
      <c r="AE129" s="168">
        <f ca="1" t="shared" si="64"/>
        <v>0</v>
      </c>
      <c r="AF129" s="168">
        <f ca="1" t="shared" si="251"/>
        <v>0</v>
      </c>
      <c r="AG129">
        <f ca="1" t="shared" si="269"/>
        <v>0.00022389710037829</v>
      </c>
      <c r="AH129">
        <f ca="1" t="shared" si="253"/>
        <v>1</v>
      </c>
      <c r="AI129">
        <f ca="1" t="shared" si="254"/>
        <v>1.00022389710038</v>
      </c>
      <c r="AJ129">
        <f ca="1" t="shared" si="255"/>
        <v>0</v>
      </c>
      <c r="AK129">
        <f ca="1" t="shared" si="270"/>
        <v>0</v>
      </c>
      <c r="AL129">
        <f ca="1" t="shared" si="257"/>
        <v>0</v>
      </c>
      <c r="AM129">
        <f ca="1" t="shared" si="271"/>
        <v>0</v>
      </c>
      <c r="AN129" s="168">
        <f ca="1" t="shared" si="71"/>
        <v>0</v>
      </c>
      <c r="AO129" s="168">
        <f ca="1" t="shared" si="195"/>
        <v>0</v>
      </c>
      <c r="AP129" s="172">
        <f ca="1" t="shared" si="259"/>
        <v>0</v>
      </c>
      <c r="AQ129" s="168">
        <f ca="1" t="shared" si="260"/>
        <v>0.00393951131463699</v>
      </c>
      <c r="AR129">
        <f t="shared" si="261"/>
        <v>1</v>
      </c>
    </row>
    <row r="130" spans="4:44">
      <c r="D130" t="s">
        <v>1825</v>
      </c>
      <c r="E130" s="161" t="s">
        <v>2859</v>
      </c>
      <c r="F130" t="s">
        <v>2503</v>
      </c>
      <c r="G130" t="s">
        <v>3044</v>
      </c>
      <c r="H130">
        <f ca="1">INDEX(技能数据库!$B$2:$I$100,MATCH(无穷伤害与收益计算!$E130,技能数据库!$B$2:$B$100,0),MATCH(H$9,技能数据库!$B$2:$I$2,0))</f>
        <v>1955936</v>
      </c>
      <c r="I130">
        <f ca="1">INDEX(技能数据库!$B$2:$I$100,MATCH(无穷伤害与收益计算!$E130,技能数据库!$B$2:$B$100,0),MATCH(I$9,技能数据库!$B$2:$I$2,0))</f>
        <v>0</v>
      </c>
      <c r="J130">
        <f ca="1">INDEX(技能数据库!$B$2:$I$100,MATCH(无穷伤害与收益计算!$E130,技能数据库!$B$2:$B$100,0),MATCH(J$9,技能数据库!$B$2:$I$2,0))</f>
        <v>0</v>
      </c>
      <c r="K130">
        <f ca="1">INDEX(技能数据库!$B$2:$I$100,MATCH(无穷伤害与收益计算!$E130,技能数据库!$B$2:$B$100,0),MATCH(K$9,技能数据库!$B$2:$I$2,0))</f>
        <v>0</v>
      </c>
      <c r="L130">
        <f ca="1" t="shared" si="58"/>
        <v>105847</v>
      </c>
      <c r="M130">
        <f ca="1" t="shared" si="262"/>
        <v>19530.5</v>
      </c>
      <c r="N130">
        <f ca="1" t="shared" si="263"/>
        <v>92028</v>
      </c>
      <c r="O130">
        <f ca="1" t="shared" si="242"/>
        <v>1955936</v>
      </c>
      <c r="P130">
        <f ca="1">IF(G130="恒定伤害",0,(IF(D130="轻剑",$AZ$2,$AZ$3)+IFERROR(INDEX(技能数据库!$T$2:$W$27,MATCH(E130,技能数据库!$T$2:$T$27,0),4),0)+COUNTIF(G130,"*造化2*")*154+COUNTIF(G130,"*造化1*")*102+COUNTIF(G130,"*碧归*")*307)/1024)</f>
        <v>0.176868146929785</v>
      </c>
      <c r="Q130">
        <f ca="1" t="shared" si="193"/>
        <v>0.0415122129107408</v>
      </c>
      <c r="R130">
        <f ca="1" t="shared" si="243"/>
        <v>0.21277697966198</v>
      </c>
      <c r="S130">
        <f ca="1" t="shared" si="264"/>
        <v>1887315.90971891</v>
      </c>
      <c r="T130">
        <f t="shared" si="97"/>
        <v>0.8</v>
      </c>
      <c r="U130">
        <f ca="1" t="shared" si="194"/>
        <v>2.68954760480339</v>
      </c>
      <c r="V130">
        <f ca="1" t="shared" si="265"/>
        <v>5570673.5153686</v>
      </c>
      <c r="W130">
        <f ca="1">IF(G130="恒定伤害",0,MIN(1,IF(COUNTIF(F130,"*内会*")&gt;0,内会,IF(D130="轻剑",$Y$2,$Y$3)+COUNTIF(G130,"*莺鸣*")*0.2+COUNTIF(G130,"*叠1*")*0.1+COUNTIF(G130,"*叠2*")*0.2+COUNTIF(G130,"*叠3*")*0.3)+IFERROR(INDEX(技能数据库!$T$2:$W$27,MATCH(E130,技能数据库!$T$2:$T$27,0),2),0)+IF((IF(D130="轻剑",$AO$2,$AO$3)+INT(COUNTIF(G130,"*大莺鸣*")*IF(D130="轻剑",$AM$2,$AM$3)*听晓无双率)/无双系数)&gt;0.9,特效裤子会心/会心系数,0)))</f>
        <v>0.9343</v>
      </c>
      <c r="X130">
        <f ca="1">IF(G130="恒定伤害",0,IF(COUNTIF(F130,"*内会*")&gt;0,内会效,IF(D130="轻剑",$AB$2,$AB$3))+IFERROR(INDEX(技能数据库!$T$2:$W$27,MATCH(E130,技能数据库!$T$2:$T$27,0),3)/1024,0))+COUNTIF(G130,"*叠1*")*0.25+COUNTIF(G130,"*叠2*")*0.5+COUNTIF(G130,"*叠3*")*0.75</f>
        <v>2.3217485021</v>
      </c>
      <c r="Y130">
        <f ca="1" t="shared" si="266"/>
        <v>2.23490962551203</v>
      </c>
      <c r="Z130">
        <f t="shared" si="247"/>
        <v>0.150390625</v>
      </c>
      <c r="AA130">
        <f ca="1" t="shared" si="267"/>
        <v>0.0205078125</v>
      </c>
      <c r="AB130">
        <f ca="1" t="shared" si="268"/>
        <v>14616027.1065519</v>
      </c>
      <c r="AC130">
        <f ca="1">无穷技能数计算!AJ122</f>
        <v>0</v>
      </c>
      <c r="AD130" s="164">
        <f ca="1" t="shared" si="250"/>
        <v>0</v>
      </c>
      <c r="AE130" s="168">
        <f ca="1" t="shared" si="64"/>
        <v>0</v>
      </c>
      <c r="AF130" s="168">
        <f ca="1" t="shared" si="251"/>
        <v>0</v>
      </c>
      <c r="AG130">
        <f ca="1" t="shared" si="269"/>
        <v>0.00022389710037829</v>
      </c>
      <c r="AH130">
        <f ca="1" t="shared" si="253"/>
        <v>1</v>
      </c>
      <c r="AI130">
        <f ca="1" t="shared" si="254"/>
        <v>1.00022389710038</v>
      </c>
      <c r="AJ130">
        <f ca="1" t="shared" si="255"/>
        <v>0</v>
      </c>
      <c r="AK130">
        <f ca="1" t="shared" si="270"/>
        <v>0</v>
      </c>
      <c r="AL130">
        <f ca="1" t="shared" si="257"/>
        <v>0</v>
      </c>
      <c r="AM130">
        <f ca="1" t="shared" si="271"/>
        <v>0</v>
      </c>
      <c r="AN130" s="168">
        <f ca="1" t="shared" si="71"/>
        <v>0.00839606381672686</v>
      </c>
      <c r="AO130" s="168">
        <f ca="1" t="shared" si="195"/>
        <v>0</v>
      </c>
      <c r="AP130" s="172">
        <f ca="1" t="shared" si="259"/>
        <v>0</v>
      </c>
      <c r="AQ130" s="168">
        <f ca="1" t="shared" si="260"/>
        <v>0.00393951131463699</v>
      </c>
      <c r="AR130">
        <f t="shared" si="261"/>
        <v>1</v>
      </c>
    </row>
    <row r="131" spans="4:44">
      <c r="D131" t="s">
        <v>1028</v>
      </c>
      <c r="E131" s="161" t="s">
        <v>2861</v>
      </c>
      <c r="F131" t="s">
        <v>3160</v>
      </c>
      <c r="G131" t="s">
        <v>2750</v>
      </c>
      <c r="H131">
        <f ca="1">INDEX(技能数据库!$B$2:$I$100,MATCH(无穷伤害与收益计算!$E131,技能数据库!$B$2:$B$100,0),MATCH(H$9,技能数据库!$B$2:$I$2,0))</f>
        <v>1344706</v>
      </c>
      <c r="I131">
        <f ca="1">INDEX(技能数据库!$B$2:$I$100,MATCH(无穷伤害与收益计算!$E131,技能数据库!$B$2:$B$100,0),MATCH(I$9,技能数据库!$B$2:$I$2,0))</f>
        <v>0</v>
      </c>
      <c r="J131">
        <f ca="1">INDEX(技能数据库!$B$2:$I$100,MATCH(无穷伤害与收益计算!$E131,技能数据库!$B$2:$B$100,0),MATCH(J$9,技能数据库!$B$2:$I$2,0))</f>
        <v>0</v>
      </c>
      <c r="K131">
        <f ca="1">INDEX(技能数据库!$B$2:$I$100,MATCH(无穷伤害与收益计算!$E131,技能数据库!$B$2:$B$100,0),MATCH(K$9,技能数据库!$B$2:$I$2,0))</f>
        <v>0</v>
      </c>
      <c r="L131">
        <f ca="1" t="shared" si="58"/>
        <v>105847</v>
      </c>
      <c r="M131">
        <f ca="1" t="shared" si="262"/>
        <v>12694.5</v>
      </c>
      <c r="N131">
        <f ca="1" t="shared" si="263"/>
        <v>92028</v>
      </c>
      <c r="O131">
        <f ca="1" t="shared" si="242"/>
        <v>1344706</v>
      </c>
      <c r="P131">
        <f ca="1">IF(G131="恒定伤害",0,(IF(D131="轻剑",$AZ$2,$AZ$3)+IFERROR(INDEX(技能数据库!$T$2:$W$27,MATCH(E131,技能数据库!$T$2:$T$27,0),4),0)+COUNTIF(G131,"*造化2*")*154+COUNTIF(G131,"*造化1*")*102+COUNTIF(G131,"*碧归*")*307)/1024)</f>
        <v>0.0772587719297852</v>
      </c>
      <c r="Q131">
        <f ca="1" t="shared" si="193"/>
        <v>0.0415122129107408</v>
      </c>
      <c r="R131">
        <f ca="1" t="shared" si="243"/>
        <v>0.21277697966198</v>
      </c>
      <c r="S131">
        <f ca="1" t="shared" si="264"/>
        <v>1187707.59647996</v>
      </c>
      <c r="T131">
        <f t="shared" si="97"/>
        <v>0.8</v>
      </c>
      <c r="U131">
        <f ca="1" t="shared" si="194"/>
        <v>1.7995442148</v>
      </c>
      <c r="V131">
        <f ca="1" t="shared" si="265"/>
        <v>2660031.94447958</v>
      </c>
      <c r="W131">
        <f ca="1">IF(G131="恒定伤害",0,MIN(1,IF(COUNTIF(F131,"*内会*")&gt;0,内会,IF(D131="轻剑",$Y$2,$Y$3)+COUNTIF(G131,"*莺鸣*")*0.2+COUNTIF(G131,"*叠1*")*0.1+COUNTIF(G131,"*叠2*")*0.2+COUNTIF(G131,"*叠3*")*0.3)+IFERROR(INDEX(技能数据库!$T$2:$W$27,MATCH(E131,技能数据库!$T$2:$T$27,0),2),0)+IF((IF(D131="轻剑",$AO$2,$AO$3)+INT(COUNTIF(G131,"*大莺鸣*")*IF(D131="轻剑",$AM$2,$AM$3)*听晓无双率)/无双系数)&gt;0.9,特效裤子会心/会心系数,0)))</f>
        <v>0.112613819719478</v>
      </c>
      <c r="X131">
        <f ca="1">IF(G131="恒定伤害",0,IF(COUNTIF(F131,"*内会*")&gt;0,内会效,IF(D131="轻剑",$AB$2,$AB$3))+IFERROR(INDEX(技能数据库!$T$2:$W$27,MATCH(E131,技能数据库!$T$2:$T$27,0),3)/1024,0))+COUNTIF(G131,"*叠1*")*0.25+COUNTIF(G131,"*叠2*")*0.5+COUNTIF(G131,"*叠3*")*0.75</f>
        <v>1.93437818487951</v>
      </c>
      <c r="Y131">
        <f ca="1" t="shared" si="266"/>
        <v>1.10522389646183</v>
      </c>
      <c r="Z131">
        <f t="shared" si="247"/>
        <v>0.150390625</v>
      </c>
      <c r="AA131">
        <f ca="1" t="shared" si="267"/>
        <v>0.0205078125</v>
      </c>
      <c r="AB131">
        <f ca="1" t="shared" si="268"/>
        <v>3451427.74654353</v>
      </c>
      <c r="AC131">
        <f ca="1">无穷技能数计算!AJ123</f>
        <v>0</v>
      </c>
      <c r="AD131" s="164">
        <f ca="1" t="shared" si="250"/>
        <v>0</v>
      </c>
      <c r="AE131" s="168">
        <f ca="1" t="shared" si="64"/>
        <v>0</v>
      </c>
      <c r="AF131" s="168">
        <f ca="1" t="shared" si="251"/>
        <v>0</v>
      </c>
      <c r="AG131">
        <f ca="1" t="shared" si="269"/>
        <v>0.00022389710037829</v>
      </c>
      <c r="AH131">
        <f ca="1" t="shared" si="253"/>
        <v>1</v>
      </c>
      <c r="AI131">
        <f ca="1" t="shared" si="254"/>
        <v>1.00022389710038</v>
      </c>
      <c r="AJ131">
        <f ca="1" t="shared" si="255"/>
        <v>0</v>
      </c>
      <c r="AK131">
        <f ca="1" t="shared" si="270"/>
        <v>0</v>
      </c>
      <c r="AL131">
        <f ca="1" t="shared" si="257"/>
        <v>0</v>
      </c>
      <c r="AM131">
        <f ca="1" t="shared" si="271"/>
        <v>0</v>
      </c>
      <c r="AN131" s="168">
        <f ca="1" t="shared" si="71"/>
        <v>0</v>
      </c>
      <c r="AO131" s="168">
        <f ca="1" t="shared" si="195"/>
        <v>0</v>
      </c>
      <c r="AP131" s="172">
        <f ca="1" t="shared" si="259"/>
        <v>0</v>
      </c>
      <c r="AQ131" s="168">
        <f ca="1" t="shared" si="260"/>
        <v>0.00401583628616287</v>
      </c>
      <c r="AR131">
        <f t="shared" si="261"/>
        <v>1</v>
      </c>
    </row>
    <row r="132" spans="4:44">
      <c r="D132" t="s">
        <v>1825</v>
      </c>
      <c r="E132" s="161" t="s">
        <v>2861</v>
      </c>
      <c r="F132" t="s">
        <v>3160</v>
      </c>
      <c r="G132" t="s">
        <v>3044</v>
      </c>
      <c r="H132">
        <f ca="1">INDEX(技能数据库!$B$2:$I$100,MATCH(无穷伤害与收益计算!$E132,技能数据库!$B$2:$B$100,0),MATCH(H$9,技能数据库!$B$2:$I$2,0))</f>
        <v>1344706</v>
      </c>
      <c r="I132">
        <f ca="1">INDEX(技能数据库!$B$2:$I$100,MATCH(无穷伤害与收益计算!$E132,技能数据库!$B$2:$B$100,0),MATCH(I$9,技能数据库!$B$2:$I$2,0))</f>
        <v>0</v>
      </c>
      <c r="J132">
        <f ca="1">INDEX(技能数据库!$B$2:$I$100,MATCH(无穷伤害与收益计算!$E132,技能数据库!$B$2:$B$100,0),MATCH(J$9,技能数据库!$B$2:$I$2,0))</f>
        <v>0</v>
      </c>
      <c r="K132">
        <f ca="1">INDEX(技能数据库!$B$2:$I$100,MATCH(无穷伤害与收益计算!$E132,技能数据库!$B$2:$B$100,0),MATCH(K$9,技能数据库!$B$2:$I$2,0))</f>
        <v>0</v>
      </c>
      <c r="L132">
        <f ca="1" t="shared" si="58"/>
        <v>105847</v>
      </c>
      <c r="M132">
        <f ca="1" t="shared" si="262"/>
        <v>19530.5</v>
      </c>
      <c r="N132">
        <f ca="1" t="shared" si="263"/>
        <v>92028</v>
      </c>
      <c r="O132">
        <f ca="1" t="shared" ref="O132:O147" si="272">H132+I132*L132+J132*M132+IF(K132&gt;0,MAX(1,K132*N132*破招全局系数),0)</f>
        <v>1344706</v>
      </c>
      <c r="P132">
        <f ca="1">IF(G132="恒定伤害",0,(IF(D132="轻剑",$AZ$2,$AZ$3)+IFERROR(INDEX(技能数据库!$T$2:$W$27,MATCH(E132,技能数据库!$T$2:$T$27,0),4),0)+COUNTIF(G132,"*造化2*")*154+COUNTIF(G132,"*造化1*")*102+COUNTIF(G132,"*碧归*")*307)/1024)</f>
        <v>0.176868146929785</v>
      </c>
      <c r="Q132">
        <f ca="1" t="shared" si="193"/>
        <v>0.0415122129107408</v>
      </c>
      <c r="R132">
        <f ca="1" t="shared" ref="R132:R147" si="273">IF(G132="恒定伤害",0,(($F$5-IF(D132="轻剑",$BB$2,$BB$3))*(1024-IF(D132="轻剑",$BD$2,$BD$3))/1024*(1024-IF(D132="轻剑",$BC$2,$BC$3)-COUNTIF(G132,"*雾锁*")*461*雾锁)/1024/(($F$5-IF(D132="轻剑",$BB$2,$BB$3))*(1024-IF(D132="轻剑",$BD$2,$BD$3))/1024*(1024-IF(D132="轻剑",$BC$2,$BC$3)-COUNTIF(G132,"*雾锁*")*461*雾锁)/1024+$F$7)))</f>
        <v>0.21277697966198</v>
      </c>
      <c r="S132">
        <f ca="1" t="shared" si="264"/>
        <v>1297529.68793175</v>
      </c>
      <c r="T132">
        <f t="shared" si="97"/>
        <v>0.8</v>
      </c>
      <c r="U132">
        <f ca="1" t="shared" si="194"/>
        <v>2.68954760480339</v>
      </c>
      <c r="V132">
        <f ca="1" t="shared" si="265"/>
        <v>3829838.04181591</v>
      </c>
      <c r="W132">
        <f ca="1">IF(G132="恒定伤害",0,MIN(1,IF(COUNTIF(F132,"*内会*")&gt;0,内会,IF(D132="轻剑",$Y$2,$Y$3)+COUNTIF(G132,"*莺鸣*")*0.2+COUNTIF(G132,"*叠1*")*0.1+COUNTIF(G132,"*叠2*")*0.2+COUNTIF(G132,"*叠3*")*0.3)+IFERROR(INDEX(技能数据库!$T$2:$W$27,MATCH(E132,技能数据库!$T$2:$T$27,0),2),0)+IF((IF(D132="轻剑",$AO$2,$AO$3)+INT(COUNTIF(G132,"*大莺鸣*")*IF(D132="轻剑",$AM$2,$AM$3)*听晓无双率)/无双系数)&gt;0.9,特效裤子会心/会心系数,0)))</f>
        <v>0.112613819719478</v>
      </c>
      <c r="X132">
        <f ca="1">IF(G132="恒定伤害",0,IF(COUNTIF(F132,"*内会*")&gt;0,内会效,IF(D132="轻剑",$AB$2,$AB$3))+IFERROR(INDEX(技能数据库!$T$2:$W$27,MATCH(E132,技能数据库!$T$2:$T$27,0),3)/1024,0))+COUNTIF(G132,"*叠1*")*0.25+COUNTIF(G132,"*叠2*")*0.5+COUNTIF(G132,"*叠3*")*0.75</f>
        <v>1.93437818487951</v>
      </c>
      <c r="Y132">
        <f ca="1" t="shared" si="266"/>
        <v>1.10522389646183</v>
      </c>
      <c r="Z132">
        <f t="shared" ref="Z132:Z147" si="274">IF(G132="恒定伤害",0,非侠士伤害/1024)</f>
        <v>0.150390625</v>
      </c>
      <c r="AA132">
        <f ca="1" t="shared" si="267"/>
        <v>0.0205078125</v>
      </c>
      <c r="AB132">
        <f ca="1" t="shared" si="268"/>
        <v>4969267.12091702</v>
      </c>
      <c r="AC132">
        <f ca="1">无穷技能数计算!AJ124</f>
        <v>0</v>
      </c>
      <c r="AD132" s="164">
        <f ca="1" t="shared" ref="AD132:AD147" si="275">IFERROR(AB132*AC132/$AD$7,0)</f>
        <v>0</v>
      </c>
      <c r="AE132" s="168">
        <f ca="1" t="shared" si="64"/>
        <v>0</v>
      </c>
      <c r="AF132" s="168">
        <f ca="1" t="shared" ref="AF132:AF147" si="276">IFERROR((delta武伤+INT((IF(D132="轻剑",$AW$2,$AW$3))/1024*delta武伤))*J132/O132,0)</f>
        <v>0</v>
      </c>
      <c r="AG132">
        <f ca="1" t="shared" si="269"/>
        <v>0.00022389710037829</v>
      </c>
      <c r="AH132">
        <f ca="1" t="shared" ref="AH132:AH147" si="277">IFERROR((delta身法+INT((IF(D132="轻剑",$N$2,$N$3))/1024*delta身法))*身法转额外攻击*I132/O132+1,0)</f>
        <v>1</v>
      </c>
      <c r="AI132">
        <f ca="1" t="shared" ref="AI132:AI147" si="278">IFERROR(((delta身法+INT((IF(D132="轻剑",$N$2,$N$3))/1024*delta身法))*身法转额外破防/破防系数+Q132+1)/(1+Q132),0)</f>
        <v>1.00022389710038</v>
      </c>
      <c r="AJ132">
        <f ca="1" t="shared" ref="AJ132:AJ147" si="279">IFERROR(((1+MIN(1,((delta身法+INT((IF(D132="轻剑",$N$2,$N$3))/1024*delta身法))*身法转基础会心/会心系数)+W132)*(X132-1))*AK132)/(Y132*AC132),0)</f>
        <v>0</v>
      </c>
      <c r="AK132">
        <f ca="1" t="shared" si="270"/>
        <v>0</v>
      </c>
      <c r="AL132">
        <f ca="1" t="shared" ref="AL132:AL147" si="280">IF(G132="恒定伤害",0,IFERROR(((1+MIN(1,W132+delta会心/会心系数)*(X132-1))*AM132)/(Y132*AC132)-1,0))</f>
        <v>0</v>
      </c>
      <c r="AM132">
        <f ca="1" t="shared" si="271"/>
        <v>0</v>
      </c>
      <c r="AN132" s="168">
        <f ca="1" t="shared" si="71"/>
        <v>0</v>
      </c>
      <c r="AO132" s="168">
        <f ca="1" t="shared" si="195"/>
        <v>0</v>
      </c>
      <c r="AP132" s="172">
        <f ca="1" t="shared" ref="AP132:AP147" si="281">IFERROR((delta破招+INT((IF(D132="轻剑",$AI$2,$AI$3))/1024*delta破招))*K132*破招全局系数/MAX(1,O132),0)</f>
        <v>0</v>
      </c>
      <c r="AQ132" s="168">
        <f ca="1" t="shared" ref="AQ132:AQ147" si="282">IF(G132="恒定伤害",0,IFERROR(((delta无双+INT((IF(D132="轻剑",$AL$2,$AL$3)+COUNTIF(G132,"*大莺鸣*")*307)/1024*delta无双))/无双系数+U132+1)/(U132+1)-1,0))</f>
        <v>0.00393951131463699</v>
      </c>
      <c r="AR132">
        <f t="shared" ref="AR132:AR147" si="283">IF($AR$8="综合属性收益",1,COUNTIF(D132,LEFT($AR$8,2)))</f>
        <v>1</v>
      </c>
    </row>
    <row r="133" spans="4:44">
      <c r="D133" t="s">
        <v>1825</v>
      </c>
      <c r="E133" s="161" t="s">
        <v>2869</v>
      </c>
      <c r="G133" t="s">
        <v>3044</v>
      </c>
      <c r="H133">
        <f ca="1">INDEX(技能数据库!$B$2:$I$100,MATCH(无穷伤害与收益计算!$E133,技能数据库!$B$2:$B$100,0),MATCH(H$9,技能数据库!$B$2:$I$2,0))</f>
        <v>1544889</v>
      </c>
      <c r="I133">
        <f ca="1">INDEX(技能数据库!$B$2:$I$100,MATCH(无穷伤害与收益计算!$E133,技能数据库!$B$2:$B$100,0),MATCH(I$9,技能数据库!$B$2:$I$2,0))</f>
        <v>0</v>
      </c>
      <c r="J133">
        <f ca="1">INDEX(技能数据库!$B$2:$I$100,MATCH(无穷伤害与收益计算!$E133,技能数据库!$B$2:$B$100,0),MATCH(J$9,技能数据库!$B$2:$I$2,0))</f>
        <v>0</v>
      </c>
      <c r="K133">
        <f ca="1">INDEX(技能数据库!$B$2:$I$100,MATCH(无穷伤害与收益计算!$E133,技能数据库!$B$2:$B$100,0),MATCH(K$9,技能数据库!$B$2:$I$2,0))</f>
        <v>0</v>
      </c>
      <c r="L133">
        <f ca="1" t="shared" si="58"/>
        <v>105847</v>
      </c>
      <c r="M133">
        <f ca="1" t="shared" si="262"/>
        <v>19530.5</v>
      </c>
      <c r="N133">
        <f ca="1" t="shared" si="263"/>
        <v>92028</v>
      </c>
      <c r="O133">
        <f ca="1" t="shared" si="272"/>
        <v>1544889</v>
      </c>
      <c r="P133">
        <f ca="1">IF(G133="恒定伤害",0,(IF(D133="轻剑",$AZ$2,$AZ$3)+IFERROR(INDEX(技能数据库!$T$2:$W$27,MATCH(E133,技能数据库!$T$2:$T$27,0),4),0)+COUNTIF(G133,"*造化2*")*154+COUNTIF(G133,"*造化1*")*102+COUNTIF(G133,"*碧归*")*307)/1024)</f>
        <v>0.176868146929785</v>
      </c>
      <c r="Q133">
        <f ca="1" t="shared" si="193"/>
        <v>0.448284482196154</v>
      </c>
      <c r="R133">
        <f ca="1" t="shared" si="273"/>
        <v>0.21277697966198</v>
      </c>
      <c r="S133">
        <f ca="1" t="shared" si="264"/>
        <v>2072892.36615608</v>
      </c>
      <c r="T133">
        <f t="shared" si="97"/>
        <v>0.8</v>
      </c>
      <c r="U133">
        <f ca="1" t="shared" si="194"/>
        <v>2.68954760480339</v>
      </c>
      <c r="V133">
        <f ca="1" t="shared" si="265"/>
        <v>6118428.05165313</v>
      </c>
      <c r="W133">
        <f ca="1">IF(G133="恒定伤害",0,MIN(1,IF(COUNTIF(F133,"*内会*")&gt;0,内会,IF(D133="轻剑",$Y$2,$Y$3)+COUNTIF(G133,"*莺鸣*")*0.2+COUNTIF(G133,"*叠1*")*0.1+COUNTIF(G133,"*叠2*")*0.2+COUNTIF(G133,"*叠3*")*0.3)+IFERROR(INDEX(技能数据库!$T$2:$W$27,MATCH(E133,技能数据库!$T$2:$T$27,0),2),0)+IF((IF(D133="轻剑",$AO$2,$AO$3)+INT(COUNTIF(G133,"*大莺鸣*")*IF(D133="轻剑",$AM$2,$AM$3)*听晓无双率)/无双系数)&gt;0.9,特效裤子会心/会心系数,0)))</f>
        <v>0.9343</v>
      </c>
      <c r="X133">
        <f ca="1">IF(G133="恒定伤害",0,IF(COUNTIF(F133,"*内会*")&gt;0,内会效,IF(D133="轻剑",$AB$2,$AB$3))+IFERROR(INDEX(技能数据库!$T$2:$W$27,MATCH(E133,技能数据库!$T$2:$T$27,0),3)/1024,0))+COUNTIF(G133,"*叠1*")*0.25+COUNTIF(G133,"*叠2*")*0.5+COUNTIF(G133,"*叠3*")*0.75</f>
        <v>2.3217485021</v>
      </c>
      <c r="Y133">
        <f ca="1" t="shared" si="266"/>
        <v>2.23490962551203</v>
      </c>
      <c r="Z133">
        <f t="shared" si="274"/>
        <v>0.150390625</v>
      </c>
      <c r="AA133">
        <f ca="1" t="shared" si="267"/>
        <v>0.0205078125</v>
      </c>
      <c r="AB133">
        <f ca="1" t="shared" si="268"/>
        <v>16053195.3642113</v>
      </c>
      <c r="AC133">
        <f ca="1">无穷技能数计算!AJ125</f>
        <v>0</v>
      </c>
      <c r="AD133" s="164">
        <f ca="1" t="shared" si="275"/>
        <v>0</v>
      </c>
      <c r="AE133" s="168">
        <f ca="1" t="shared" si="64"/>
        <v>0</v>
      </c>
      <c r="AF133" s="168">
        <f ca="1" t="shared" si="276"/>
        <v>0</v>
      </c>
      <c r="AG133">
        <f ca="1" t="shared" si="269"/>
        <v>0.000161012264749072</v>
      </c>
      <c r="AH133">
        <f ca="1" t="shared" si="277"/>
        <v>1</v>
      </c>
      <c r="AI133">
        <f ca="1" t="shared" si="278"/>
        <v>1.00016101226475</v>
      </c>
      <c r="AJ133">
        <f ca="1" t="shared" si="279"/>
        <v>0</v>
      </c>
      <c r="AK133">
        <f ca="1" t="shared" si="270"/>
        <v>0</v>
      </c>
      <c r="AL133">
        <f ca="1" t="shared" si="280"/>
        <v>0</v>
      </c>
      <c r="AM133">
        <f ca="1" t="shared" si="271"/>
        <v>0</v>
      </c>
      <c r="AN133" s="168">
        <f ca="1" t="shared" si="71"/>
        <v>0.00839606381672686</v>
      </c>
      <c r="AO133" s="168">
        <f ca="1" t="shared" si="195"/>
        <v>0.00447057613551372</v>
      </c>
      <c r="AP133" s="172">
        <f ca="1" t="shared" si="281"/>
        <v>0</v>
      </c>
      <c r="AQ133" s="168">
        <f ca="1" t="shared" si="282"/>
        <v>0.00393951131463699</v>
      </c>
      <c r="AR133">
        <f t="shared" si="283"/>
        <v>1</v>
      </c>
    </row>
    <row r="134" spans="4:44">
      <c r="D134" t="s">
        <v>1825</v>
      </c>
      <c r="E134" s="161" t="s">
        <v>2871</v>
      </c>
      <c r="F134" t="s">
        <v>2503</v>
      </c>
      <c r="G134" t="s">
        <v>3044</v>
      </c>
      <c r="H134">
        <f ca="1">INDEX(技能数据库!$B$2:$I$100,MATCH(无穷伤害与收益计算!$E134,技能数据库!$B$2:$B$100,0),MATCH(H$9,技能数据库!$B$2:$I$2,0))</f>
        <v>2607915</v>
      </c>
      <c r="I134">
        <f ca="1">INDEX(技能数据库!$B$2:$I$100,MATCH(无穷伤害与收益计算!$E134,技能数据库!$B$2:$B$100,0),MATCH(I$9,技能数据库!$B$2:$I$2,0))</f>
        <v>0</v>
      </c>
      <c r="J134">
        <f ca="1">INDEX(技能数据库!$B$2:$I$100,MATCH(无穷伤害与收益计算!$E134,技能数据库!$B$2:$B$100,0),MATCH(J$9,技能数据库!$B$2:$I$2,0))</f>
        <v>0</v>
      </c>
      <c r="K134">
        <f ca="1">INDEX(技能数据库!$B$2:$I$100,MATCH(无穷伤害与收益计算!$E134,技能数据库!$B$2:$B$100,0),MATCH(K$9,技能数据库!$B$2:$I$2,0))</f>
        <v>0</v>
      </c>
      <c r="L134">
        <f ca="1" t="shared" si="58"/>
        <v>105847</v>
      </c>
      <c r="M134">
        <f ca="1" t="shared" si="262"/>
        <v>19530.5</v>
      </c>
      <c r="N134">
        <f ca="1" t="shared" si="263"/>
        <v>92028</v>
      </c>
      <c r="O134">
        <f ca="1" t="shared" si="272"/>
        <v>2607915</v>
      </c>
      <c r="P134">
        <f ca="1">IF(G134="恒定伤害",0,(IF(D134="轻剑",$AZ$2,$AZ$3)+IFERROR(INDEX(技能数据库!$T$2:$W$27,MATCH(E134,技能数据库!$T$2:$T$27,0),4),0)+COUNTIF(G134,"*造化2*")*154+COUNTIF(G134,"*造化1*")*102+COUNTIF(G134,"*碧归*")*307)/1024)</f>
        <v>0.176868146929785</v>
      </c>
      <c r="Q134">
        <f ca="1" t="shared" si="193"/>
        <v>0.0415122129107408</v>
      </c>
      <c r="R134">
        <f ca="1" t="shared" si="273"/>
        <v>0.21277697966198</v>
      </c>
      <c r="S134">
        <f ca="1" t="shared" si="264"/>
        <v>2516421.53459755</v>
      </c>
      <c r="T134">
        <f t="shared" si="97"/>
        <v>0.8</v>
      </c>
      <c r="U134">
        <f ca="1" t="shared" si="194"/>
        <v>2.68954760480339</v>
      </c>
      <c r="V134">
        <f ca="1" t="shared" si="265"/>
        <v>7427565.63652006</v>
      </c>
      <c r="W134">
        <f ca="1">IF(G134="恒定伤害",0,MIN(1,IF(COUNTIF(F134,"*内会*")&gt;0,内会,IF(D134="轻剑",$Y$2,$Y$3)+COUNTIF(G134,"*莺鸣*")*0.2+COUNTIF(G134,"*叠1*")*0.1+COUNTIF(G134,"*叠2*")*0.2+COUNTIF(G134,"*叠3*")*0.3)+IFERROR(INDEX(技能数据库!$T$2:$W$27,MATCH(E134,技能数据库!$T$2:$T$27,0),2),0)+IF((IF(D134="轻剑",$AO$2,$AO$3)+INT(COUNTIF(G134,"*大莺鸣*")*IF(D134="轻剑",$AM$2,$AM$3)*听晓无双率)/无双系数)&gt;0.9,特效裤子会心/会心系数,0)))</f>
        <v>0.9343</v>
      </c>
      <c r="X134">
        <f ca="1">IF(G134="恒定伤害",0,IF(COUNTIF(F134,"*内会*")&gt;0,内会效,IF(D134="轻剑",$AB$2,$AB$3))+IFERROR(INDEX(技能数据库!$T$2:$W$27,MATCH(E134,技能数据库!$T$2:$T$27,0),3)/1024,0))+COUNTIF(G134,"*叠1*")*0.25+COUNTIF(G134,"*叠2*")*0.5+COUNTIF(G134,"*叠3*")*0.75</f>
        <v>2.3217485021</v>
      </c>
      <c r="Y134">
        <f ca="1" t="shared" si="266"/>
        <v>2.23490962551203</v>
      </c>
      <c r="Z134">
        <f t="shared" si="274"/>
        <v>0.150390625</v>
      </c>
      <c r="AA134">
        <f ca="1" t="shared" si="267"/>
        <v>0.0205078125</v>
      </c>
      <c r="AB134">
        <f ca="1" t="shared" si="268"/>
        <v>19488038.6329529</v>
      </c>
      <c r="AC134">
        <f ca="1">无穷技能数计算!AJ126</f>
        <v>0</v>
      </c>
      <c r="AD134" s="164">
        <f ca="1" t="shared" si="275"/>
        <v>0</v>
      </c>
      <c r="AE134" s="168">
        <f ca="1" t="shared" si="64"/>
        <v>0</v>
      </c>
      <c r="AF134" s="168">
        <f ca="1" t="shared" si="276"/>
        <v>0</v>
      </c>
      <c r="AG134">
        <f ca="1" t="shared" si="269"/>
        <v>0.00022389710037829</v>
      </c>
      <c r="AH134">
        <f ca="1" t="shared" si="277"/>
        <v>1</v>
      </c>
      <c r="AI134">
        <f ca="1" t="shared" si="278"/>
        <v>1.00022389710038</v>
      </c>
      <c r="AJ134">
        <f ca="1" t="shared" si="279"/>
        <v>0</v>
      </c>
      <c r="AK134">
        <f ca="1" t="shared" si="270"/>
        <v>0</v>
      </c>
      <c r="AL134">
        <f ca="1" t="shared" si="280"/>
        <v>0</v>
      </c>
      <c r="AM134">
        <f ca="1" t="shared" si="271"/>
        <v>0</v>
      </c>
      <c r="AN134" s="168">
        <f ca="1" t="shared" si="71"/>
        <v>0.00839606381672686</v>
      </c>
      <c r="AO134" s="168">
        <f ca="1" t="shared" si="195"/>
        <v>0</v>
      </c>
      <c r="AP134" s="172">
        <f ca="1" t="shared" si="281"/>
        <v>0</v>
      </c>
      <c r="AQ134" s="168">
        <f ca="1" t="shared" si="282"/>
        <v>0.00393951131463699</v>
      </c>
      <c r="AR134">
        <f t="shared" si="283"/>
        <v>1</v>
      </c>
    </row>
    <row r="135" spans="4:44">
      <c r="D135" t="s">
        <v>1825</v>
      </c>
      <c r="E135" s="161" t="s">
        <v>2885</v>
      </c>
      <c r="F135" t="s">
        <v>2503</v>
      </c>
      <c r="G135" t="s">
        <v>3044</v>
      </c>
      <c r="H135">
        <f ca="1">INDEX(技能数据库!$B$2:$I$100,MATCH(无穷伤害与收益计算!$E135,技能数据库!$B$2:$B$100,0),MATCH(H$9,技能数据库!$B$2:$I$2,0))</f>
        <v>2133748</v>
      </c>
      <c r="I135">
        <f ca="1">INDEX(技能数据库!$B$2:$I$100,MATCH(无穷伤害与收益计算!$E135,技能数据库!$B$2:$B$100,0),MATCH(I$9,技能数据库!$B$2:$I$2,0))</f>
        <v>0</v>
      </c>
      <c r="J135">
        <f ca="1">INDEX(技能数据库!$B$2:$I$100,MATCH(无穷伤害与收益计算!$E135,技能数据库!$B$2:$B$100,0),MATCH(J$9,技能数据库!$B$2:$I$2,0))</f>
        <v>0</v>
      </c>
      <c r="K135">
        <f ca="1">INDEX(技能数据库!$B$2:$I$100,MATCH(无穷伤害与收益计算!$E135,技能数据库!$B$2:$B$100,0),MATCH(K$9,技能数据库!$B$2:$I$2,0))</f>
        <v>0</v>
      </c>
      <c r="L135">
        <f ca="1" t="shared" si="58"/>
        <v>105847</v>
      </c>
      <c r="M135">
        <f ca="1" t="shared" si="262"/>
        <v>19530.5</v>
      </c>
      <c r="N135">
        <f ca="1" t="shared" si="263"/>
        <v>92028</v>
      </c>
      <c r="O135">
        <f ca="1" t="shared" si="272"/>
        <v>2133748</v>
      </c>
      <c r="P135">
        <f ca="1">IF(G135="恒定伤害",0,(IF(D135="轻剑",$AZ$2,$AZ$3)+IFERROR(INDEX(技能数据库!$T$2:$W$27,MATCH(E135,技能数据库!$T$2:$T$27,0),4),0)+COUNTIF(G135,"*造化2*")*154+COUNTIF(G135,"*造化1*")*102+COUNTIF(G135,"*碧归*")*307)/1024)</f>
        <v>0.176868146929785</v>
      </c>
      <c r="Q135">
        <f ca="1" t="shared" si="193"/>
        <v>0.0415122129107408</v>
      </c>
      <c r="R135">
        <f ca="1" t="shared" si="273"/>
        <v>0.21277697966198</v>
      </c>
      <c r="S135">
        <f ca="1" t="shared" si="264"/>
        <v>2058889.73245081</v>
      </c>
      <c r="T135">
        <f t="shared" si="97"/>
        <v>0.8</v>
      </c>
      <c r="U135">
        <f ca="1" t="shared" si="194"/>
        <v>2.68954760480339</v>
      </c>
      <c r="V135">
        <f ca="1" t="shared" si="265"/>
        <v>6077097.34473455</v>
      </c>
      <c r="W135">
        <f ca="1">IF(G135="恒定伤害",0,MIN(1,IF(COUNTIF(F135,"*内会*")&gt;0,内会,IF(D135="轻剑",$Y$2,$Y$3)+COUNTIF(G135,"*莺鸣*")*0.2+COUNTIF(G135,"*叠1*")*0.1+COUNTIF(G135,"*叠2*")*0.2+COUNTIF(G135,"*叠3*")*0.3)+IFERROR(INDEX(技能数据库!$T$2:$W$27,MATCH(E135,技能数据库!$T$2:$T$27,0),2),0)+IF((IF(D135="轻剑",$AO$2,$AO$3)+INT(COUNTIF(G135,"*大莺鸣*")*IF(D135="轻剑",$AM$2,$AM$3)*听晓无双率)/无双系数)&gt;0.9,特效裤子会心/会心系数,0)))</f>
        <v>0.9343</v>
      </c>
      <c r="X135">
        <f ca="1">IF(G135="恒定伤害",0,IF(COUNTIF(F135,"*内会*")&gt;0,内会效,IF(D135="轻剑",$AB$2,$AB$3))+IFERROR(INDEX(技能数据库!$T$2:$W$27,MATCH(E135,技能数据库!$T$2:$T$27,0),3)/1024,0))+COUNTIF(G135,"*叠1*")*0.25+COUNTIF(G135,"*叠2*")*0.5+COUNTIF(G135,"*叠3*")*0.75</f>
        <v>2.3217485021</v>
      </c>
      <c r="Y135">
        <f ca="1" t="shared" si="266"/>
        <v>2.23490962551203</v>
      </c>
      <c r="Z135">
        <f t="shared" si="274"/>
        <v>0.150390625</v>
      </c>
      <c r="AA135">
        <f ca="1" t="shared" si="267"/>
        <v>0.0205078125</v>
      </c>
      <c r="AB135">
        <f ca="1" t="shared" si="268"/>
        <v>15944754.1261836</v>
      </c>
      <c r="AC135">
        <f ca="1">无穷技能数计算!AJ127</f>
        <v>0</v>
      </c>
      <c r="AD135" s="164">
        <f ca="1" t="shared" si="275"/>
        <v>0</v>
      </c>
      <c r="AE135" s="168">
        <f ca="1" t="shared" si="64"/>
        <v>0</v>
      </c>
      <c r="AF135" s="168">
        <f ca="1" t="shared" si="276"/>
        <v>0</v>
      </c>
      <c r="AG135">
        <f ca="1" t="shared" si="269"/>
        <v>0.00022389710037829</v>
      </c>
      <c r="AH135">
        <f ca="1" t="shared" si="277"/>
        <v>1</v>
      </c>
      <c r="AI135">
        <f ca="1" t="shared" si="278"/>
        <v>1.00022389710038</v>
      </c>
      <c r="AJ135">
        <f ca="1" t="shared" si="279"/>
        <v>0</v>
      </c>
      <c r="AK135">
        <f ca="1" t="shared" si="270"/>
        <v>0</v>
      </c>
      <c r="AL135">
        <f ca="1" t="shared" si="280"/>
        <v>0</v>
      </c>
      <c r="AM135">
        <f ca="1" t="shared" si="271"/>
        <v>0</v>
      </c>
      <c r="AN135" s="168">
        <f ca="1" t="shared" si="71"/>
        <v>0.00839606381672686</v>
      </c>
      <c r="AO135" s="168">
        <f ca="1" t="shared" si="195"/>
        <v>0</v>
      </c>
      <c r="AP135" s="172">
        <f ca="1" t="shared" si="281"/>
        <v>0</v>
      </c>
      <c r="AQ135" s="168">
        <f ca="1" t="shared" si="282"/>
        <v>0.00393951131463699</v>
      </c>
      <c r="AR135">
        <f t="shared" si="283"/>
        <v>1</v>
      </c>
    </row>
    <row r="136" spans="4:44">
      <c r="D136" t="s">
        <v>1825</v>
      </c>
      <c r="E136" s="161" t="s">
        <v>2897</v>
      </c>
      <c r="F136" t="s">
        <v>3160</v>
      </c>
      <c r="G136" t="s">
        <v>3044</v>
      </c>
      <c r="H136">
        <f ca="1">INDEX(技能数据库!$B$2:$I$100,MATCH(无穷伤害与收益计算!$E136,技能数据库!$B$2:$B$100,0),MATCH(H$9,技能数据库!$B$2:$I$2,0))</f>
        <v>4978746</v>
      </c>
      <c r="I136">
        <f ca="1">INDEX(技能数据库!$B$2:$I$100,MATCH(无穷伤害与收益计算!$E136,技能数据库!$B$2:$B$100,0),MATCH(I$9,技能数据库!$B$2:$I$2,0))</f>
        <v>0</v>
      </c>
      <c r="J136">
        <f ca="1">INDEX(技能数据库!$B$2:$I$100,MATCH(无穷伤害与收益计算!$E136,技能数据库!$B$2:$B$100,0),MATCH(J$9,技能数据库!$B$2:$I$2,0))</f>
        <v>0</v>
      </c>
      <c r="K136">
        <f ca="1">INDEX(技能数据库!$B$2:$I$100,MATCH(无穷伤害与收益计算!$E136,技能数据库!$B$2:$B$100,0),MATCH(K$9,技能数据库!$B$2:$I$2,0))</f>
        <v>0</v>
      </c>
      <c r="L136">
        <f ca="1" t="shared" si="58"/>
        <v>105847</v>
      </c>
      <c r="M136">
        <f ca="1" t="shared" si="262"/>
        <v>19530.5</v>
      </c>
      <c r="N136">
        <f ca="1" t="shared" si="263"/>
        <v>92028</v>
      </c>
      <c r="O136">
        <f ca="1" t="shared" si="272"/>
        <v>4978746</v>
      </c>
      <c r="P136">
        <f ca="1">IF(G136="恒定伤害",0,(IF(D136="轻剑",$AZ$2,$AZ$3)+IFERROR(INDEX(技能数据库!$T$2:$W$27,MATCH(E136,技能数据库!$T$2:$T$27,0),4),0)+COUNTIF(G136,"*造化2*")*154+COUNTIF(G136,"*造化1*")*102+COUNTIF(G136,"*碧归*")*307)/1024)</f>
        <v>0.176868146929785</v>
      </c>
      <c r="Q136">
        <f ca="1" t="shared" si="193"/>
        <v>0.0415122129107408</v>
      </c>
      <c r="R136">
        <f ca="1" t="shared" si="273"/>
        <v>0.21277697966198</v>
      </c>
      <c r="S136">
        <f ca="1" t="shared" si="264"/>
        <v>4804076.68566323</v>
      </c>
      <c r="T136">
        <f t="shared" si="97"/>
        <v>0.8</v>
      </c>
      <c r="U136">
        <f ca="1" t="shared" si="194"/>
        <v>2.68954760480339</v>
      </c>
      <c r="V136">
        <f ca="1" t="shared" si="265"/>
        <v>14179895.7031045</v>
      </c>
      <c r="W136">
        <f ca="1">IF(G136="恒定伤害",0,MIN(1,IF(COUNTIF(F136,"*内会*")&gt;0,内会,IF(D136="轻剑",$Y$2,$Y$3)+COUNTIF(G136,"*莺鸣*")*0.2+COUNTIF(G136,"*叠1*")*0.1+COUNTIF(G136,"*叠2*")*0.2+COUNTIF(G136,"*叠3*")*0.3)+IFERROR(INDEX(技能数据库!$T$2:$W$27,MATCH(E136,技能数据库!$T$2:$T$27,0),2),0)+IF((IF(D136="轻剑",$AO$2,$AO$3)+INT(COUNTIF(G136,"*大莺鸣*")*IF(D136="轻剑",$AM$2,$AM$3)*听晓无双率)/无双系数)&gt;0.9,特效裤子会心/会心系数,0)))</f>
        <v>0.112613819719478</v>
      </c>
      <c r="X136">
        <f ca="1">IF(G136="恒定伤害",0,IF(COUNTIF(F136,"*内会*")&gt;0,内会效,IF(D136="轻剑",$AB$2,$AB$3))+IFERROR(INDEX(技能数据库!$T$2:$W$27,MATCH(E136,技能数据库!$T$2:$T$27,0),3)/1024,0))+COUNTIF(G136,"*叠1*")*0.25+COUNTIF(G136,"*叠2*")*0.5+COUNTIF(G136,"*叠3*")*0.75</f>
        <v>1.93437818487951</v>
      </c>
      <c r="Y136">
        <f ca="1" t="shared" si="266"/>
        <v>1.10522389646183</v>
      </c>
      <c r="Z136">
        <f t="shared" si="274"/>
        <v>0.150390625</v>
      </c>
      <c r="AA136">
        <f ca="1" t="shared" si="267"/>
        <v>0.0205078125</v>
      </c>
      <c r="AB136">
        <f ca="1" t="shared" si="268"/>
        <v>18398608.1724906</v>
      </c>
      <c r="AC136">
        <f ca="1">无穷技能数计算!AJ128</f>
        <v>0</v>
      </c>
      <c r="AD136" s="164">
        <f ca="1" t="shared" si="275"/>
        <v>0</v>
      </c>
      <c r="AE136" s="168">
        <f ca="1" t="shared" si="64"/>
        <v>0</v>
      </c>
      <c r="AF136" s="168">
        <f ca="1" t="shared" si="276"/>
        <v>0</v>
      </c>
      <c r="AG136">
        <f ca="1" t="shared" si="269"/>
        <v>0.00022389710037829</v>
      </c>
      <c r="AH136">
        <f ca="1" t="shared" si="277"/>
        <v>1</v>
      </c>
      <c r="AI136">
        <f ca="1" t="shared" si="278"/>
        <v>1.00022389710038</v>
      </c>
      <c r="AJ136">
        <f ca="1" t="shared" si="279"/>
        <v>0</v>
      </c>
      <c r="AK136">
        <f ca="1" t="shared" si="270"/>
        <v>0</v>
      </c>
      <c r="AL136">
        <f ca="1" t="shared" si="280"/>
        <v>0</v>
      </c>
      <c r="AM136">
        <f ca="1" t="shared" si="271"/>
        <v>0</v>
      </c>
      <c r="AN136" s="168">
        <f ca="1" t="shared" si="71"/>
        <v>0</v>
      </c>
      <c r="AO136" s="168">
        <f ca="1" t="shared" si="195"/>
        <v>0</v>
      </c>
      <c r="AP136" s="172">
        <f ca="1" t="shared" si="281"/>
        <v>0</v>
      </c>
      <c r="AQ136" s="168">
        <f ca="1" t="shared" si="282"/>
        <v>0.00393951131463699</v>
      </c>
      <c r="AR136">
        <f t="shared" si="283"/>
        <v>1</v>
      </c>
    </row>
    <row r="137" spans="4:44">
      <c r="D137" t="s">
        <v>1825</v>
      </c>
      <c r="E137" t="s">
        <v>2776</v>
      </c>
      <c r="G137" t="s">
        <v>3046</v>
      </c>
      <c r="H137">
        <f ca="1">INDEX(技能数据库!$B$2:$I$100,MATCH(无穷伤害与收益计算!$E137,技能数据库!$B$2:$B$100,0),MATCH(H$9,技能数据库!$B$2:$I$2,0))</f>
        <v>281.5</v>
      </c>
      <c r="I137">
        <f ca="1">INDEX(技能数据库!$B$2:$I$100,MATCH(无穷伤害与收益计算!$E137,技能数据库!$B$2:$B$100,0),MATCH(I$9,技能数据库!$B$2:$I$2,0))</f>
        <v>7.06875</v>
      </c>
      <c r="J137">
        <f ca="1">INDEX(技能数据库!$B$2:$I$100,MATCH(无穷伤害与收益计算!$E137,技能数据库!$B$2:$B$100,0),MATCH(J$9,技能数据库!$B$2:$I$2,0))</f>
        <v>2</v>
      </c>
      <c r="K137">
        <f ca="1">INDEX(技能数据库!$B$2:$I$100,MATCH(无穷伤害与收益计算!$E137,技能数据库!$B$2:$B$100,0),MATCH(K$9,技能数据库!$B$2:$I$2,0))</f>
        <v>0</v>
      </c>
      <c r="L137">
        <f ca="1" t="shared" si="58"/>
        <v>91975</v>
      </c>
      <c r="M137">
        <f ca="1" t="shared" si="262"/>
        <v>19530.5</v>
      </c>
      <c r="N137">
        <f ca="1" t="shared" si="263"/>
        <v>92028</v>
      </c>
      <c r="O137">
        <f ca="1" t="shared" si="272"/>
        <v>689490.78125</v>
      </c>
      <c r="P137">
        <f ca="1">IF(G137="恒定伤害",0,(IF(D137="轻剑",$AZ$2,$AZ$3)+IFERROR(INDEX(技能数据库!$T$2:$W$27,MATCH(E137,技能数据库!$T$2:$T$27,0),4),0)+COUNTIF(G137,"*造化2*")*154+COUNTIF(G137,"*造化1*")*102+COUNTIF(G137,"*碧归*")*307)/1024)</f>
        <v>0.397571271929785</v>
      </c>
      <c r="Q137">
        <f ca="1" t="shared" si="193"/>
        <v>0.448284482196154</v>
      </c>
      <c r="R137">
        <f ca="1" t="shared" si="273"/>
        <v>0.32958230397716</v>
      </c>
      <c r="S137">
        <f ca="1" t="shared" si="264"/>
        <v>935624.908718113</v>
      </c>
      <c r="T137">
        <f t="shared" si="97"/>
        <v>0.8</v>
      </c>
      <c r="U137">
        <f ca="1" t="shared" si="194"/>
        <v>1.7995442148</v>
      </c>
      <c r="V137">
        <f ca="1" t="shared" si="265"/>
        <v>2095458.64033966</v>
      </c>
      <c r="W137">
        <f ca="1">IF(G137="恒定伤害",0,MIN(1,IF(COUNTIF(F137,"*内会*")&gt;0,内会,IF(D137="轻剑",$Y$2,$Y$3)+COUNTIF(G137,"*莺鸣*")*0.2+COUNTIF(G137,"*叠1*")*0.1+COUNTIF(G137,"*叠2*")*0.2+COUNTIF(G137,"*叠3*")*0.3)+IFERROR(INDEX(技能数据库!$T$2:$W$27,MATCH(E137,技能数据库!$T$2:$T$27,0),2),0)+IF((IF(D137="轻剑",$AO$2,$AO$3)+INT(COUNTIF(G137,"*大莺鸣*")*IF(D137="轻剑",$AM$2,$AM$3)*听晓无双率)/无双系数)&gt;0.9,特效裤子会心/会心系数,0)))</f>
        <v>0.7343</v>
      </c>
      <c r="X137">
        <f ca="1">IF(G137="恒定伤害",0,IF(COUNTIF(F137,"*内会*")&gt;0,内会效,IF(D137="轻剑",$AB$2,$AB$3))+IFERROR(INDEX(技能数据库!$T$2:$W$27,MATCH(E137,技能数据库!$T$2:$T$27,0),3)/1024,0))+COUNTIF(G137,"*叠1*")*0.25+COUNTIF(G137,"*叠2*")*0.5+COUNTIF(G137,"*叠3*")*0.75</f>
        <v>2.3217485021</v>
      </c>
      <c r="Y137">
        <f ca="1" t="shared" si="266"/>
        <v>1.97055992509203</v>
      </c>
      <c r="Z137">
        <f t="shared" si="274"/>
        <v>0.150390625</v>
      </c>
      <c r="AA137">
        <f ca="1" t="shared" si="267"/>
        <v>0.0205078125</v>
      </c>
      <c r="AB137">
        <f ca="1" t="shared" si="268"/>
        <v>4847640.52328032</v>
      </c>
      <c r="AC137">
        <f ca="1">无穷技能数计算!AJ129</f>
        <v>0</v>
      </c>
      <c r="AD137" s="164">
        <f ca="1" t="shared" si="275"/>
        <v>0</v>
      </c>
      <c r="AE137" s="168">
        <f ca="1" t="shared" si="64"/>
        <v>0.004264886609026</v>
      </c>
      <c r="AF137" s="168">
        <f ca="1" t="shared" si="276"/>
        <v>0.00172953726493352</v>
      </c>
      <c r="AG137">
        <f ca="1" t="shared" si="269"/>
        <v>0.00363051558430105</v>
      </c>
      <c r="AH137">
        <f ca="1" t="shared" si="277"/>
        <v>1.0034689447769</v>
      </c>
      <c r="AI137">
        <f ca="1" t="shared" si="278"/>
        <v>1.00016101226475</v>
      </c>
      <c r="AJ137">
        <f ca="1" t="shared" si="279"/>
        <v>0</v>
      </c>
      <c r="AK137">
        <f ca="1" t="shared" si="270"/>
        <v>0</v>
      </c>
      <c r="AL137">
        <f ca="1" t="shared" si="280"/>
        <v>0</v>
      </c>
      <c r="AM137">
        <f ca="1" t="shared" si="271"/>
        <v>0</v>
      </c>
      <c r="AN137" s="168">
        <f ca="1" t="shared" si="71"/>
        <v>0.00748399053993198</v>
      </c>
      <c r="AO137" s="168">
        <f ca="1" t="shared" si="195"/>
        <v>0.00447057613551372</v>
      </c>
      <c r="AP137" s="172">
        <f ca="1" t="shared" si="281"/>
        <v>0</v>
      </c>
      <c r="AQ137" s="168">
        <f ca="1" t="shared" si="282"/>
        <v>0.00401583628616287</v>
      </c>
      <c r="AR137">
        <f t="shared" si="283"/>
        <v>1</v>
      </c>
    </row>
    <row r="138" spans="4:44">
      <c r="D138" t="s">
        <v>1825</v>
      </c>
      <c r="E138" t="s">
        <v>2780</v>
      </c>
      <c r="G138" t="s">
        <v>3046</v>
      </c>
      <c r="H138">
        <f ca="1">INDEX(技能数据库!$B$2:$I$100,MATCH(无穷伤害与收益计算!$E138,技能数据库!$B$2:$B$100,0),MATCH(H$9,技能数据库!$B$2:$I$2,0))</f>
        <v>252.5</v>
      </c>
      <c r="I138">
        <f ca="1">INDEX(技能数据库!$B$2:$I$100,MATCH(无穷伤害与收益计算!$E138,技能数据库!$B$2:$B$100,0),MATCH(I$9,技能数据库!$B$2:$I$2,0))</f>
        <v>2.11875</v>
      </c>
      <c r="J138">
        <f ca="1">INDEX(技能数据库!$B$2:$I$100,MATCH(无穷伤害与收益计算!$E138,技能数据库!$B$2:$B$100,0),MATCH(J$9,技能数据库!$B$2:$I$2,0))</f>
        <v>2</v>
      </c>
      <c r="K138">
        <f ca="1">INDEX(技能数据库!$B$2:$I$100,MATCH(无穷伤害与收益计算!$E138,技能数据库!$B$2:$B$100,0),MATCH(K$9,技能数据库!$B$2:$I$2,0))</f>
        <v>0</v>
      </c>
      <c r="L138">
        <f ca="1" t="shared" ref="L138:L201" si="284">IF(D138="轻剑",$V$2,$V$3)+INT(残雪*(COUNTIF(G138,"*莺鸣*")+COUNTIF(G138,"*叠1*")+COUNTIF(G138,"*叠2*")*2+COUNTIF(G138,"*叠3*")*3)*IF(D138="轻剑",$U$2,$U$3)*154/1024+COUNTIF(G138,"*雾锁*")*205/1024*IF(D138="轻剑",$U$2,$U$3))</f>
        <v>91975</v>
      </c>
      <c r="M138">
        <f ca="1" t="shared" si="262"/>
        <v>19530.5</v>
      </c>
      <c r="N138">
        <f ca="1" t="shared" si="263"/>
        <v>92028</v>
      </c>
      <c r="O138">
        <f ca="1" t="shared" si="272"/>
        <v>234185.53125</v>
      </c>
      <c r="P138">
        <f ca="1">IF(G138="恒定伤害",0,(IF(D138="轻剑",$AZ$2,$AZ$3)+IFERROR(INDEX(技能数据库!$T$2:$W$27,MATCH(E138,技能数据库!$T$2:$T$27,0),4),0)+COUNTIF(G138,"*造化2*")*154+COUNTIF(G138,"*造化1*")*102+COUNTIF(G138,"*碧归*")*307)/1024)</f>
        <v>0.397571271929785</v>
      </c>
      <c r="Q138">
        <f ca="1" t="shared" si="193"/>
        <v>0.448284482196154</v>
      </c>
      <c r="R138">
        <f ca="1" t="shared" si="273"/>
        <v>0.32958230397716</v>
      </c>
      <c r="S138">
        <f ca="1" t="shared" si="264"/>
        <v>317784.983146044</v>
      </c>
      <c r="T138">
        <f t="shared" si="97"/>
        <v>0.8</v>
      </c>
      <c r="U138">
        <f ca="1" t="shared" si="194"/>
        <v>1.7995442148</v>
      </c>
      <c r="V138">
        <f ca="1" t="shared" si="265"/>
        <v>711722.488893459</v>
      </c>
      <c r="W138">
        <f ca="1">IF(G138="恒定伤害",0,MIN(1,IF(COUNTIF(F138,"*内会*")&gt;0,内会,IF(D138="轻剑",$Y$2,$Y$3)+COUNTIF(G138,"*莺鸣*")*0.2+COUNTIF(G138,"*叠1*")*0.1+COUNTIF(G138,"*叠2*")*0.2+COUNTIF(G138,"*叠3*")*0.3)+IFERROR(INDEX(技能数据库!$T$2:$W$27,MATCH(E138,技能数据库!$T$2:$T$27,0),2),0)+IF((IF(D138="轻剑",$AO$2,$AO$3)+INT(COUNTIF(G138,"*大莺鸣*")*IF(D138="轻剑",$AM$2,$AM$3)*听晓无双率)/无双系数)&gt;0.9,特效裤子会心/会心系数,0)))</f>
        <v>0.7343</v>
      </c>
      <c r="X138">
        <f ca="1">IF(G138="恒定伤害",0,IF(COUNTIF(F138,"*内会*")&gt;0,内会效,IF(D138="轻剑",$AB$2,$AB$3))+IFERROR(INDEX(技能数据库!$T$2:$W$27,MATCH(E138,技能数据库!$T$2:$T$27,0),3)/1024,0))+COUNTIF(G138,"*叠1*")*0.25+COUNTIF(G138,"*叠2*")*0.5+COUNTIF(G138,"*叠3*")*0.75</f>
        <v>2.3217485021</v>
      </c>
      <c r="Y138">
        <f ca="1" t="shared" si="266"/>
        <v>1.97055992509203</v>
      </c>
      <c r="Z138">
        <f t="shared" si="274"/>
        <v>0.150390625</v>
      </c>
      <c r="AA138">
        <f ca="1" t="shared" si="267"/>
        <v>0.0205078125</v>
      </c>
      <c r="AB138">
        <f ca="1" t="shared" si="268"/>
        <v>1646501.01513367</v>
      </c>
      <c r="AC138">
        <f ca="1">无穷技能数计算!AJ130</f>
        <v>0</v>
      </c>
      <c r="AD138" s="164">
        <f ca="1" t="shared" si="275"/>
        <v>0</v>
      </c>
      <c r="AE138" s="168">
        <f ca="1" t="shared" ref="AE138:AE201" si="285">IFERROR((delta攻击+INT((IF(D138="轻剑",$T$2,$T$3)+残雪*(COUNTIF(G138,"*莺鸣*")+COUNTIF(G138,"*叠1*")+COUNTIF(G138,"*叠2*")*2+COUNTIF(G138,"*叠3*")*3)*153+COUNTIF(G138,"*雾锁*")*205)/1024*delta攻击))*I138/O138,0)</f>
        <v>0.0037636825609823</v>
      </c>
      <c r="AF138" s="168">
        <f ca="1" t="shared" si="276"/>
        <v>0.00509211646695188</v>
      </c>
      <c r="AG138">
        <f ca="1" t="shared" si="269"/>
        <v>0.00322278396846398</v>
      </c>
      <c r="AH138">
        <f ca="1" t="shared" si="277"/>
        <v>1.00306127880028</v>
      </c>
      <c r="AI138">
        <f ca="1" t="shared" si="278"/>
        <v>1.00016101226475</v>
      </c>
      <c r="AJ138">
        <f ca="1" t="shared" si="279"/>
        <v>0</v>
      </c>
      <c r="AK138">
        <f ca="1" t="shared" si="270"/>
        <v>0</v>
      </c>
      <c r="AL138">
        <f ca="1" t="shared" si="280"/>
        <v>0</v>
      </c>
      <c r="AM138">
        <f ca="1" t="shared" si="271"/>
        <v>0</v>
      </c>
      <c r="AN138" s="168">
        <f ca="1" t="shared" ref="AN138:AN201" si="286">IF(OR(COUNTIF(F138,"*内会*")&gt;0,G138="恒定伤害"),0,(1+W138*(MIN(3+COUNTIF(G138,"*叠*")*0.75,X138+delta会效/会效系数)-1))/Y138-1)</f>
        <v>0.00748399053993198</v>
      </c>
      <c r="AO138" s="168">
        <f ca="1" t="shared" si="195"/>
        <v>0.00447057613551372</v>
      </c>
      <c r="AP138" s="172">
        <f ca="1" t="shared" si="281"/>
        <v>0</v>
      </c>
      <c r="AQ138" s="168">
        <f ca="1" t="shared" si="282"/>
        <v>0.00401583628616287</v>
      </c>
      <c r="AR138">
        <f t="shared" si="283"/>
        <v>1</v>
      </c>
    </row>
    <row r="139" spans="4:44">
      <c r="D139" t="s">
        <v>1825</v>
      </c>
      <c r="E139" s="161" t="s">
        <v>2783</v>
      </c>
      <c r="H139">
        <f ca="1">INDEX(技能数据库!$B$2:$I$100,MATCH(无穷伤害与收益计算!$E139,技能数据库!$B$2:$B$100,0),MATCH(H$9,技能数据库!$B$2:$I$2,0))</f>
        <v>0</v>
      </c>
      <c r="I139">
        <f ca="1">INDEX(技能数据库!$B$2:$I$100,MATCH(无穷伤害与收益计算!$E139,技能数据库!$B$2:$B$100,0),MATCH(I$9,技能数据库!$B$2:$I$2,0))</f>
        <v>0</v>
      </c>
      <c r="J139">
        <f ca="1">INDEX(技能数据库!$B$2:$I$100,MATCH(无穷伤害与收益计算!$E139,技能数据库!$B$2:$B$100,0),MATCH(J$9,技能数据库!$B$2:$I$2,0))</f>
        <v>0</v>
      </c>
      <c r="K139">
        <f ca="1">INDEX(技能数据库!$B$2:$I$100,MATCH(无穷伤害与收益计算!$E139,技能数据库!$B$2:$B$100,0),MATCH(K$9,技能数据库!$B$2:$I$2,0))</f>
        <v>1.28127956390381</v>
      </c>
      <c r="L139">
        <f ca="1" t="shared" si="284"/>
        <v>91975</v>
      </c>
      <c r="M139">
        <f ca="1" t="shared" si="262"/>
        <v>19530.5</v>
      </c>
      <c r="N139">
        <f ca="1" t="shared" si="263"/>
        <v>92028</v>
      </c>
      <c r="O139">
        <f ca="1" t="shared" si="272"/>
        <v>1006274.62576302</v>
      </c>
      <c r="P139">
        <f ca="1">IF(G139="恒定伤害",0,(IF(D139="轻剑",$AZ$2,$AZ$3)+IFERROR(INDEX(技能数据库!$T$2:$W$27,MATCH(E139,技能数据库!$T$2:$T$27,0),4),0)+COUNTIF(G139,"*造化2*")*154+COUNTIF(G139,"*造化1*")*102+COUNTIF(G139,"*碧归*")*307)/1024)</f>
        <v>0.176868146929785</v>
      </c>
      <c r="Q139">
        <f ca="1" t="shared" si="193"/>
        <v>0.448284482196154</v>
      </c>
      <c r="R139">
        <f ca="1" t="shared" si="273"/>
        <v>0.32958230397716</v>
      </c>
      <c r="S139">
        <f ca="1" t="shared" si="264"/>
        <v>1149856.58498314</v>
      </c>
      <c r="T139">
        <f t="shared" si="97"/>
        <v>0.8</v>
      </c>
      <c r="U139">
        <f ca="1" t="shared" si="194"/>
        <v>1.7995442148</v>
      </c>
      <c r="V139">
        <f ca="1" t="shared" si="265"/>
        <v>2575259.4802714</v>
      </c>
      <c r="W139">
        <f ca="1">IF(G139="恒定伤害",0,MIN(1,IF(COUNTIF(F139,"*内会*")&gt;0,内会,IF(D139="轻剑",$Y$2,$Y$3)+COUNTIF(G139,"*莺鸣*")*0.2+COUNTIF(G139,"*叠1*")*0.1+COUNTIF(G139,"*叠2*")*0.2+COUNTIF(G139,"*叠3*")*0.3)+IFERROR(INDEX(技能数据库!$T$2:$W$27,MATCH(E139,技能数据库!$T$2:$T$27,0),2),0)+IF((IF(D139="轻剑",$AO$2,$AO$3)+INT(COUNTIF(G139,"*大莺鸣*")*IF(D139="轻剑",$AM$2,$AM$3)*听晓无双率)/无双系数)&gt;0.9,特效裤子会心/会心系数,0)))</f>
        <v>0.7343</v>
      </c>
      <c r="X139">
        <f ca="1">IF(G139="恒定伤害",0,IF(COUNTIF(F139,"*内会*")&gt;0,内会效,IF(D139="轻剑",$AB$2,$AB$3))+IFERROR(INDEX(技能数据库!$T$2:$W$27,MATCH(E139,技能数据库!$T$2:$T$27,0),3)/1024,0))+COUNTIF(G139,"*叠1*")*0.25+COUNTIF(G139,"*叠2*")*0.5+COUNTIF(G139,"*叠3*")*0.75</f>
        <v>2.3217485021</v>
      </c>
      <c r="Y139">
        <f ca="1" t="shared" si="266"/>
        <v>1.97055992509203</v>
      </c>
      <c r="Z139">
        <f t="shared" si="274"/>
        <v>0.150390625</v>
      </c>
      <c r="AA139">
        <f ca="1" t="shared" si="267"/>
        <v>0.0205078125</v>
      </c>
      <c r="AB139">
        <f ca="1" t="shared" si="268"/>
        <v>5957613.27577522</v>
      </c>
      <c r="AC139">
        <f ca="1">无穷技能数计算!AJ131</f>
        <v>0</v>
      </c>
      <c r="AD139" s="164">
        <f ca="1" t="shared" si="275"/>
        <v>0</v>
      </c>
      <c r="AE139" s="168">
        <f ca="1" t="shared" si="285"/>
        <v>0</v>
      </c>
      <c r="AF139" s="168">
        <f ca="1" t="shared" si="276"/>
        <v>0</v>
      </c>
      <c r="AG139">
        <f ca="1" t="shared" si="269"/>
        <v>0.000161012264749072</v>
      </c>
      <c r="AH139">
        <f ca="1" t="shared" si="277"/>
        <v>1</v>
      </c>
      <c r="AI139">
        <f ca="1" t="shared" si="278"/>
        <v>1.00016101226475</v>
      </c>
      <c r="AJ139">
        <f ca="1" t="shared" si="279"/>
        <v>0</v>
      </c>
      <c r="AK139">
        <f ca="1" t="shared" si="270"/>
        <v>0</v>
      </c>
      <c r="AL139">
        <f ca="1" t="shared" si="280"/>
        <v>0</v>
      </c>
      <c r="AM139">
        <f ca="1" t="shared" si="271"/>
        <v>0</v>
      </c>
      <c r="AN139" s="168">
        <f ca="1" t="shared" si="286"/>
        <v>0.00748399053993198</v>
      </c>
      <c r="AO139" s="168">
        <f ca="1" t="shared" si="195"/>
        <v>0.00447057613551372</v>
      </c>
      <c r="AP139" s="172">
        <f ca="1" t="shared" si="281"/>
        <v>0.015897335593515</v>
      </c>
      <c r="AQ139" s="168">
        <f ca="1" t="shared" si="282"/>
        <v>0.00401583628616287</v>
      </c>
      <c r="AR139">
        <f t="shared" si="283"/>
        <v>1</v>
      </c>
    </row>
    <row r="140" spans="4:44">
      <c r="D140" t="s">
        <v>1825</v>
      </c>
      <c r="E140" t="s">
        <v>2786</v>
      </c>
      <c r="H140">
        <f ca="1">INDEX(技能数据库!$B$2:$I$100,MATCH(无穷伤害与收益计算!$E140,技能数据库!$B$2:$B$100,0),MATCH(H$9,技能数据库!$B$2:$I$2,0))</f>
        <v>0</v>
      </c>
      <c r="I140">
        <f ca="1">INDEX(技能数据库!$B$2:$I$100,MATCH(无穷伤害与收益计算!$E140,技能数据库!$B$2:$B$100,0),MATCH(I$9,技能数据库!$B$2:$I$2,0))</f>
        <v>0</v>
      </c>
      <c r="J140">
        <f ca="1">INDEX(技能数据库!$B$2:$I$100,MATCH(无穷伤害与收益计算!$E140,技能数据库!$B$2:$B$100,0),MATCH(J$9,技能数据库!$B$2:$I$2,0))</f>
        <v>0</v>
      </c>
      <c r="K140">
        <f ca="1">INDEX(技能数据库!$B$2:$I$100,MATCH(无穷伤害与收益计算!$E140,技能数据库!$B$2:$B$100,0),MATCH(K$9,技能数据库!$B$2:$I$2,0))</f>
        <v>0</v>
      </c>
      <c r="L140">
        <f ca="1" t="shared" si="284"/>
        <v>91975</v>
      </c>
      <c r="M140">
        <f ca="1" t="shared" si="262"/>
        <v>19530.5</v>
      </c>
      <c r="N140">
        <f ca="1" t="shared" si="263"/>
        <v>92028</v>
      </c>
      <c r="O140">
        <f ca="1" t="shared" si="272"/>
        <v>0</v>
      </c>
      <c r="P140">
        <f ca="1">IF(G140="恒定伤害",0,(IF(D140="轻剑",$AZ$2,$AZ$3)+IFERROR(INDEX(技能数据库!$T$2:$W$27,MATCH(E140,技能数据库!$T$2:$T$27,0),4),0)+COUNTIF(G140,"*造化2*")*154+COUNTIF(G140,"*造化1*")*102+COUNTIF(G140,"*碧归*")*307)/1024)</f>
        <v>0.176868146929785</v>
      </c>
      <c r="Q140">
        <f ca="1" t="shared" si="193"/>
        <v>0.448284482196154</v>
      </c>
      <c r="R140">
        <f ca="1" t="shared" si="273"/>
        <v>0.32958230397716</v>
      </c>
      <c r="S140">
        <f ca="1" t="shared" si="264"/>
        <v>0</v>
      </c>
      <c r="T140">
        <f t="shared" si="97"/>
        <v>0.8</v>
      </c>
      <c r="U140">
        <f ca="1" t="shared" si="194"/>
        <v>1.7995442148</v>
      </c>
      <c r="V140">
        <f ca="1" t="shared" si="265"/>
        <v>0</v>
      </c>
      <c r="W140">
        <f ca="1">IF(G140="恒定伤害",0,MIN(1,IF(COUNTIF(F140,"*内会*")&gt;0,内会,IF(D140="轻剑",$Y$2,$Y$3)+COUNTIF(G140,"*莺鸣*")*0.2+COUNTIF(G140,"*叠1*")*0.1+COUNTIF(G140,"*叠2*")*0.2+COUNTIF(G140,"*叠3*")*0.3)+IFERROR(INDEX(技能数据库!$T$2:$W$27,MATCH(E140,技能数据库!$T$2:$T$27,0),2),0)+IF((IF(D140="轻剑",$AO$2,$AO$3)+INT(COUNTIF(G140,"*大莺鸣*")*IF(D140="轻剑",$AM$2,$AM$3)*听晓无双率)/无双系数)&gt;0.9,特效裤子会心/会心系数,0)))</f>
        <v>0.7343</v>
      </c>
      <c r="X140">
        <f ca="1">IF(G140="恒定伤害",0,IF(COUNTIF(F140,"*内会*")&gt;0,内会效,IF(D140="轻剑",$AB$2,$AB$3))+IFERROR(INDEX(技能数据库!$T$2:$W$27,MATCH(E140,技能数据库!$T$2:$T$27,0),3)/1024,0))+COUNTIF(G140,"*叠1*")*0.25+COUNTIF(G140,"*叠2*")*0.5+COUNTIF(G140,"*叠3*")*0.75</f>
        <v>2.3217485021</v>
      </c>
      <c r="Y140">
        <f ca="1" t="shared" si="266"/>
        <v>1.97055992509203</v>
      </c>
      <c r="Z140">
        <f t="shared" si="274"/>
        <v>0.150390625</v>
      </c>
      <c r="AA140">
        <f ca="1" t="shared" si="267"/>
        <v>0.0205078125</v>
      </c>
      <c r="AB140">
        <f ca="1" t="shared" si="268"/>
        <v>0</v>
      </c>
      <c r="AC140">
        <f ca="1">无穷技能数计算!AJ132</f>
        <v>0</v>
      </c>
      <c r="AD140" s="164">
        <f ca="1" t="shared" si="275"/>
        <v>0</v>
      </c>
      <c r="AE140" s="168">
        <f ca="1" t="shared" si="285"/>
        <v>0</v>
      </c>
      <c r="AF140" s="168">
        <f ca="1" t="shared" si="276"/>
        <v>0</v>
      </c>
      <c r="AG140">
        <f ca="1" t="shared" si="269"/>
        <v>0</v>
      </c>
      <c r="AH140">
        <f ca="1" t="shared" si="277"/>
        <v>0</v>
      </c>
      <c r="AI140">
        <f ca="1" t="shared" si="278"/>
        <v>1.00016101226475</v>
      </c>
      <c r="AJ140">
        <f ca="1" t="shared" si="279"/>
        <v>0</v>
      </c>
      <c r="AK140">
        <f ca="1" t="shared" si="270"/>
        <v>0</v>
      </c>
      <c r="AL140">
        <f ca="1" t="shared" si="280"/>
        <v>0</v>
      </c>
      <c r="AM140">
        <f ca="1" t="shared" si="271"/>
        <v>0</v>
      </c>
      <c r="AN140" s="168">
        <f ca="1" t="shared" si="286"/>
        <v>0.00748399053993198</v>
      </c>
      <c r="AO140" s="168">
        <f ca="1" t="shared" si="195"/>
        <v>0.00447057613551372</v>
      </c>
      <c r="AP140" s="172">
        <f ca="1" t="shared" si="281"/>
        <v>0</v>
      </c>
      <c r="AQ140" s="168">
        <f ca="1" t="shared" si="282"/>
        <v>0.00401583628616287</v>
      </c>
      <c r="AR140">
        <f t="shared" si="283"/>
        <v>1</v>
      </c>
    </row>
    <row r="141" spans="4:44">
      <c r="D141" t="s">
        <v>1825</v>
      </c>
      <c r="E141" t="s">
        <v>2794</v>
      </c>
      <c r="G141" t="s">
        <v>3104</v>
      </c>
      <c r="H141">
        <f ca="1">INDEX(技能数据库!$B$2:$I$100,MATCH(无穷伤害与收益计算!$E141,技能数据库!$B$2:$B$100,0),MATCH(H$9,技能数据库!$B$2:$I$2,0))</f>
        <v>231.5</v>
      </c>
      <c r="I141">
        <f ca="1">INDEX(技能数据库!$B$2:$I$100,MATCH(无穷伤害与收益计算!$E141,技能数据库!$B$2:$B$100,0),MATCH(I$9,技能数据库!$B$2:$I$2,0))</f>
        <v>2.71875</v>
      </c>
      <c r="J141">
        <f ca="1">INDEX(技能数据库!$B$2:$I$100,MATCH(无穷伤害与收益计算!$E141,技能数据库!$B$2:$B$100,0),MATCH(J$9,技能数据库!$B$2:$I$2,0))</f>
        <v>2</v>
      </c>
      <c r="K141">
        <f ca="1">INDEX(技能数据库!$B$2:$I$100,MATCH(无穷伤害与收益计算!$E141,技能数据库!$B$2:$B$100,0),MATCH(K$9,技能数据库!$B$2:$I$2,0))</f>
        <v>0</v>
      </c>
      <c r="L141">
        <f ca="1" t="shared" si="284"/>
        <v>105847</v>
      </c>
      <c r="M141">
        <f ca="1" t="shared" si="262"/>
        <v>19530.5</v>
      </c>
      <c r="N141">
        <f ca="1" t="shared" si="263"/>
        <v>92028</v>
      </c>
      <c r="O141">
        <f ca="1" t="shared" si="272"/>
        <v>327064.03125</v>
      </c>
      <c r="P141">
        <f ca="1">IF(G141="恒定伤害",0,(IF(D141="轻剑",$AZ$2,$AZ$3)+IFERROR(INDEX(技能数据库!$T$2:$W$27,MATCH(E141,技能数据库!$T$2:$T$27,0),4),0)+COUNTIF(G141,"*造化2*")*154+COUNTIF(G141,"*造化1*")*102+COUNTIF(G141,"*碧归*")*307)/1024)</f>
        <v>0.596790021929785</v>
      </c>
      <c r="Q141">
        <f ca="1" t="shared" ref="Q141:Q156" si="287">IF(G141="恒定伤害",0,(IF(COUNTIF(F141,"*内破*")&gt;0,内破,IF(D141="轻剑",$AF$2,$AF$3)/破防系数))+IF((IF(D141="轻剑",$AO$2,$AO$3)+INT(COUNTIF(G141,"*大莺鸣*")*IF(D141="轻剑",$AM$2,$AM$3)*听晓无双率)/无双系数)&gt;0.9,(特效裤子破防+特效裤子破防*IF(D141="轻剑",$AD$2,$AD$3)/1024)/破防系数,0))</f>
        <v>0.448284482196154</v>
      </c>
      <c r="R141">
        <f ca="1" t="shared" si="273"/>
        <v>0.21277697966198</v>
      </c>
      <c r="S141">
        <f ca="1" t="shared" si="264"/>
        <v>595432.119746968</v>
      </c>
      <c r="T141">
        <f t="shared" si="97"/>
        <v>0.8</v>
      </c>
      <c r="U141">
        <f ca="1" t="shared" ref="U141:U156" si="288">IF(G141="恒定伤害",0,(IF(D141="轻剑",$AO$2,$AO$3)+INT(COUNTIF(G141,"*大莺鸣*")*IF(D141="轻剑",$AM$2,$AM$3)*听晓无双率)/无双系数)+IF((IF(D141="轻剑",$AO$2,$AO$3)+INT(COUNTIF(G141,"*大莺鸣*")*IF(D141="轻剑",$AM$2,$AM$3)*听晓无双率)/无双系数)&lt;=0.9,特效裤子无双,0))</f>
        <v>1.7995442148</v>
      </c>
      <c r="V141">
        <f ca="1" t="shared" si="265"/>
        <v>1333550.83691498</v>
      </c>
      <c r="W141">
        <f ca="1">IF(G141="恒定伤害",0,MIN(1,IF(COUNTIF(F141,"*内会*")&gt;0,内会,IF(D141="轻剑",$Y$2,$Y$3)+COUNTIF(G141,"*莺鸣*")*0.2+COUNTIF(G141,"*叠1*")*0.1+COUNTIF(G141,"*叠2*")*0.2+COUNTIF(G141,"*叠3*")*0.3)+IFERROR(INDEX(技能数据库!$T$2:$W$27,MATCH(E141,技能数据库!$T$2:$T$27,0),2),0)+IF((IF(D141="轻剑",$AO$2,$AO$3)+INT(COUNTIF(G141,"*大莺鸣*")*IF(D141="轻剑",$AM$2,$AM$3)*听晓无双率)/无双系数)&gt;0.9,特效裤子会心/会心系数,0)))</f>
        <v>0.7343</v>
      </c>
      <c r="X141">
        <f ca="1">IF(G141="恒定伤害",0,IF(COUNTIF(F141,"*内会*")&gt;0,内会效,IF(D141="轻剑",$AB$2,$AB$3))+IFERROR(INDEX(技能数据库!$T$2:$W$27,MATCH(E141,技能数据库!$T$2:$T$27,0),3)/1024,0))+COUNTIF(G141,"*叠1*")*0.25+COUNTIF(G141,"*叠2*")*0.5+COUNTIF(G141,"*叠3*")*0.75</f>
        <v>2.3217485021</v>
      </c>
      <c r="Y141">
        <f ca="1" t="shared" si="266"/>
        <v>1.97055992509203</v>
      </c>
      <c r="Z141">
        <f t="shared" si="274"/>
        <v>0.150390625</v>
      </c>
      <c r="AA141">
        <f ca="1" t="shared" si="267"/>
        <v>0.0205078125</v>
      </c>
      <c r="AB141">
        <f ca="1" t="shared" si="268"/>
        <v>3085040.64572498</v>
      </c>
      <c r="AC141">
        <f ca="1">无穷技能数计算!AJ133</f>
        <v>0</v>
      </c>
      <c r="AD141" s="164">
        <f ca="1" t="shared" si="275"/>
        <v>0</v>
      </c>
      <c r="AE141" s="168">
        <f ca="1" t="shared" si="285"/>
        <v>0.00412304585999932</v>
      </c>
      <c r="AF141" s="168">
        <f ca="1" t="shared" si="276"/>
        <v>0.00364607503748549</v>
      </c>
      <c r="AG141">
        <f ca="1" t="shared" si="269"/>
        <v>0.00297414120044159</v>
      </c>
      <c r="AH141">
        <f ca="1" t="shared" si="277"/>
        <v>1.00281267606035</v>
      </c>
      <c r="AI141">
        <f ca="1" t="shared" si="278"/>
        <v>1.00016101226475</v>
      </c>
      <c r="AJ141">
        <f ca="1" t="shared" si="279"/>
        <v>0</v>
      </c>
      <c r="AK141">
        <f ca="1" t="shared" si="270"/>
        <v>0</v>
      </c>
      <c r="AL141">
        <f ca="1" t="shared" si="280"/>
        <v>0</v>
      </c>
      <c r="AM141">
        <f ca="1" t="shared" si="271"/>
        <v>0</v>
      </c>
      <c r="AN141" s="168">
        <f ca="1" t="shared" si="286"/>
        <v>0.00748399053993198</v>
      </c>
      <c r="AO141" s="168">
        <f ca="1" t="shared" ref="AO141:AO156" si="289">IF(OR(COUNTIF(F141,"*内破*")&gt;0,G141="恒定伤害"),0,IFERROR(((delta破防+INT((IF(D141="轻剑",$AD$2,$AD$3))/1024*delta破防))/破防系数+Q141+1)/(Q141+1)-1,0))</f>
        <v>0.00447057613551372</v>
      </c>
      <c r="AP141" s="172">
        <f ca="1" t="shared" si="281"/>
        <v>0</v>
      </c>
      <c r="AQ141" s="168">
        <f ca="1" t="shared" si="282"/>
        <v>0.00401583628616287</v>
      </c>
      <c r="AR141">
        <f t="shared" si="283"/>
        <v>1</v>
      </c>
    </row>
    <row r="142" spans="4:44">
      <c r="D142" t="s">
        <v>1825</v>
      </c>
      <c r="E142" t="s">
        <v>2798</v>
      </c>
      <c r="G142" t="s">
        <v>3104</v>
      </c>
      <c r="H142">
        <f ca="1">INDEX(技能数据库!$B$2:$I$100,MATCH(无穷伤害与收益计算!$E142,技能数据库!$B$2:$B$100,0),MATCH(H$9,技能数据库!$B$2:$I$2,0))</f>
        <v>1504.5</v>
      </c>
      <c r="I142">
        <f ca="1">INDEX(技能数据库!$B$2:$I$100,MATCH(无穷伤害与收益计算!$E142,技能数据库!$B$2:$B$100,0),MATCH(I$9,技能数据库!$B$2:$I$2,0))</f>
        <v>2.85625</v>
      </c>
      <c r="J142">
        <f ca="1">INDEX(技能数据库!$B$2:$I$100,MATCH(无穷伤害与收益计算!$E142,技能数据库!$B$2:$B$100,0),MATCH(J$9,技能数据库!$B$2:$I$2,0))</f>
        <v>0</v>
      </c>
      <c r="K142">
        <f ca="1">INDEX(技能数据库!$B$2:$I$100,MATCH(无穷伤害与收益计算!$E142,技能数据库!$B$2:$B$100,0),MATCH(K$9,技能数据库!$B$2:$I$2,0))</f>
        <v>0</v>
      </c>
      <c r="L142">
        <f ca="1" t="shared" si="284"/>
        <v>105847</v>
      </c>
      <c r="M142">
        <f ca="1" t="shared" si="262"/>
        <v>19530.5</v>
      </c>
      <c r="N142">
        <f ca="1" t="shared" si="263"/>
        <v>92028</v>
      </c>
      <c r="O142">
        <f ca="1" t="shared" si="272"/>
        <v>303829.99375</v>
      </c>
      <c r="P142">
        <f ca="1">IF(G142="恒定伤害",0,(IF(D142="轻剑",$AZ$2,$AZ$3)+IFERROR(INDEX(技能数据库!$T$2:$W$27,MATCH(E142,技能数据库!$T$2:$T$27,0),4),0)+COUNTIF(G142,"*造化2*")*154+COUNTIF(G142,"*造化1*")*102+COUNTIF(G142,"*碧归*")*307)/1024)</f>
        <v>0.476672834429785</v>
      </c>
      <c r="Q142">
        <f ca="1" t="shared" si="287"/>
        <v>0.448284482196154</v>
      </c>
      <c r="R142">
        <f ca="1" t="shared" si="273"/>
        <v>0.21277697966198</v>
      </c>
      <c r="S142">
        <f ca="1" t="shared" si="264"/>
        <v>511524.68078327</v>
      </c>
      <c r="T142">
        <f t="shared" si="97"/>
        <v>0.8</v>
      </c>
      <c r="U142">
        <f ca="1" t="shared" si="288"/>
        <v>1.7995442148</v>
      </c>
      <c r="V142">
        <f ca="1" t="shared" si="265"/>
        <v>1145628.76865138</v>
      </c>
      <c r="W142">
        <f ca="1">IF(G142="恒定伤害",0,MIN(1,IF(COUNTIF(F142,"*内会*")&gt;0,内会,IF(D142="轻剑",$Y$2,$Y$3)+COUNTIF(G142,"*莺鸣*")*0.2+COUNTIF(G142,"*叠1*")*0.1+COUNTIF(G142,"*叠2*")*0.2+COUNTIF(G142,"*叠3*")*0.3)+IFERROR(INDEX(技能数据库!$T$2:$W$27,MATCH(E142,技能数据库!$T$2:$T$27,0),2),0)+IF((IF(D142="轻剑",$AO$2,$AO$3)+INT(COUNTIF(G142,"*大莺鸣*")*IF(D142="轻剑",$AM$2,$AM$3)*听晓无双率)/无双系数)&gt;0.9,特效裤子会心/会心系数,0)))</f>
        <v>0.7343</v>
      </c>
      <c r="X142">
        <f ca="1">IF(G142="恒定伤害",0,IF(COUNTIF(F142,"*内会*")&gt;0,内会效,IF(D142="轻剑",$AB$2,$AB$3))+IFERROR(INDEX(技能数据库!$T$2:$W$27,MATCH(E142,技能数据库!$T$2:$T$27,0),3)/1024,0))+COUNTIF(G142,"*叠1*")*0.25+COUNTIF(G142,"*叠2*")*0.5+COUNTIF(G142,"*叠3*")*0.75</f>
        <v>2.3217485021</v>
      </c>
      <c r="Y142">
        <f ca="1" t="shared" si="266"/>
        <v>1.97055992509203</v>
      </c>
      <c r="Z142">
        <f t="shared" si="274"/>
        <v>0.150390625</v>
      </c>
      <c r="AA142">
        <f ca="1" t="shared" si="267"/>
        <v>0.0205078125</v>
      </c>
      <c r="AB142">
        <f ca="1" t="shared" si="268"/>
        <v>2650301.14965665</v>
      </c>
      <c r="AC142">
        <f ca="1">无穷技能数计算!AJ134</f>
        <v>0</v>
      </c>
      <c r="AD142" s="164">
        <f ca="1" t="shared" si="275"/>
        <v>0</v>
      </c>
      <c r="AE142" s="168">
        <f ca="1" t="shared" si="285"/>
        <v>0.00466280495389702</v>
      </c>
      <c r="AF142" s="168">
        <f ca="1" t="shared" si="276"/>
        <v>0</v>
      </c>
      <c r="AG142">
        <f ca="1" t="shared" si="269"/>
        <v>0.00334241552406178</v>
      </c>
      <c r="AH142">
        <f ca="1" t="shared" si="277"/>
        <v>1.00318089109683</v>
      </c>
      <c r="AI142">
        <f ca="1" t="shared" si="278"/>
        <v>1.00016101226475</v>
      </c>
      <c r="AJ142">
        <f ca="1" t="shared" si="279"/>
        <v>0</v>
      </c>
      <c r="AK142">
        <f ca="1" t="shared" si="270"/>
        <v>0</v>
      </c>
      <c r="AL142">
        <f ca="1" t="shared" si="280"/>
        <v>0</v>
      </c>
      <c r="AM142">
        <f ca="1" t="shared" si="271"/>
        <v>0</v>
      </c>
      <c r="AN142" s="168">
        <f ca="1" t="shared" si="286"/>
        <v>0.00748399053993198</v>
      </c>
      <c r="AO142" s="168">
        <f ca="1" t="shared" si="289"/>
        <v>0.00447057613551372</v>
      </c>
      <c r="AP142" s="172">
        <f ca="1" t="shared" si="281"/>
        <v>0</v>
      </c>
      <c r="AQ142" s="168">
        <f ca="1" t="shared" si="282"/>
        <v>0.00401583628616287</v>
      </c>
      <c r="AR142">
        <f t="shared" si="283"/>
        <v>1</v>
      </c>
    </row>
    <row r="143" spans="4:44">
      <c r="D143" t="s">
        <v>1825</v>
      </c>
      <c r="E143" t="s">
        <v>2924</v>
      </c>
      <c r="G143" t="s">
        <v>3098</v>
      </c>
      <c r="H143">
        <f ca="1">INDEX(技能数据库!$B$2:$I$100,MATCH(无穷伤害与收益计算!$E143,技能数据库!$B$2:$B$100,0),MATCH(H$9,技能数据库!$B$2:$I$2,0))</f>
        <v>0</v>
      </c>
      <c r="I143">
        <f ca="1">INDEX(技能数据库!$B$2:$I$100,MATCH(无穷伤害与收益计算!$E143,技能数据库!$B$2:$B$100,0),MATCH(I$9,技能数据库!$B$2:$I$2,0))</f>
        <v>0</v>
      </c>
      <c r="J143">
        <f ca="1">INDEX(技能数据库!$B$2:$I$100,MATCH(无穷伤害与收益计算!$E143,技能数据库!$B$2:$B$100,0),MATCH(J$9,技能数据库!$B$2:$I$2,0))</f>
        <v>0</v>
      </c>
      <c r="K143">
        <f ca="1">INDEX(技能数据库!$B$2:$I$100,MATCH(无穷伤害与收益计算!$E143,技能数据库!$B$2:$B$100,0),MATCH(K$9,技能数据库!$B$2:$I$2,0))</f>
        <v>0</v>
      </c>
      <c r="L143">
        <f ca="1" t="shared" si="284"/>
        <v>91975</v>
      </c>
      <c r="M143">
        <f ca="1" t="shared" si="262"/>
        <v>19530.5</v>
      </c>
      <c r="N143">
        <f ca="1" t="shared" si="263"/>
        <v>92028</v>
      </c>
      <c r="O143">
        <f ca="1" t="shared" si="272"/>
        <v>0</v>
      </c>
      <c r="P143">
        <f ca="1">IF(G143="恒定伤害",0,(IF(D143="轻剑",$AZ$2,$AZ$3)+IFERROR(INDEX(技能数据库!$T$2:$W$27,MATCH(E143,技能数据库!$T$2:$T$27,0),4),0)+COUNTIF(G143,"*造化2*")*154+COUNTIF(G143,"*造化1*")*102+COUNTIF(G143,"*碧归*")*307)/1024)</f>
        <v>0</v>
      </c>
      <c r="Q143">
        <f ca="1" t="shared" si="287"/>
        <v>0</v>
      </c>
      <c r="R143">
        <f ca="1" t="shared" si="273"/>
        <v>0</v>
      </c>
      <c r="S143">
        <f ca="1" t="shared" si="264"/>
        <v>0</v>
      </c>
      <c r="T143">
        <f t="shared" si="97"/>
        <v>0.8</v>
      </c>
      <c r="U143">
        <f ca="1" t="shared" si="288"/>
        <v>0</v>
      </c>
      <c r="V143">
        <f ca="1" t="shared" si="265"/>
        <v>0</v>
      </c>
      <c r="W143">
        <f ca="1">IF(G143="恒定伤害",0,MIN(1,IF(COUNTIF(F143,"*内会*")&gt;0,内会,IF(D143="轻剑",$Y$2,$Y$3)+COUNTIF(G143,"*莺鸣*")*0.2+COUNTIF(G143,"*叠1*")*0.1+COUNTIF(G143,"*叠2*")*0.2+COUNTIF(G143,"*叠3*")*0.3)+IFERROR(INDEX(技能数据库!$T$2:$W$27,MATCH(E143,技能数据库!$T$2:$T$27,0),2),0)+IF((IF(D143="轻剑",$AO$2,$AO$3)+INT(COUNTIF(G143,"*大莺鸣*")*IF(D143="轻剑",$AM$2,$AM$3)*听晓无双率)/无双系数)&gt;0.9,特效裤子会心/会心系数,0)))</f>
        <v>0</v>
      </c>
      <c r="X143">
        <f ca="1">IF(G143="恒定伤害",0,IF(COUNTIF(F143,"*内会*")&gt;0,内会效,IF(D143="轻剑",$AB$2,$AB$3))+IFERROR(INDEX(技能数据库!$T$2:$W$27,MATCH(E143,技能数据库!$T$2:$T$27,0),3)/1024,0))+COUNTIF(G143,"*叠1*")*0.25+COUNTIF(G143,"*叠2*")*0.5+COUNTIF(G143,"*叠3*")*0.75</f>
        <v>0</v>
      </c>
      <c r="Y143">
        <f ca="1" t="shared" si="266"/>
        <v>1</v>
      </c>
      <c r="Z143">
        <f t="shared" si="274"/>
        <v>0</v>
      </c>
      <c r="AA143">
        <f ca="1" t="shared" si="267"/>
        <v>0.0205078125</v>
      </c>
      <c r="AB143">
        <f ca="1" t="shared" si="268"/>
        <v>0</v>
      </c>
      <c r="AC143" s="171">
        <f ca="1">无穷技能数计算!AJ135</f>
        <v>0</v>
      </c>
      <c r="AD143" s="164">
        <f ca="1" t="shared" si="275"/>
        <v>0</v>
      </c>
      <c r="AE143" s="168">
        <f ca="1" t="shared" si="285"/>
        <v>0</v>
      </c>
      <c r="AF143" s="168">
        <f ca="1" t="shared" si="276"/>
        <v>0</v>
      </c>
      <c r="AG143">
        <f ca="1" t="shared" si="269"/>
        <v>0</v>
      </c>
      <c r="AH143">
        <f ca="1" t="shared" si="277"/>
        <v>0</v>
      </c>
      <c r="AI143">
        <f ca="1" t="shared" si="278"/>
        <v>1.00023319156448</v>
      </c>
      <c r="AJ143">
        <f ca="1" t="shared" si="279"/>
        <v>0</v>
      </c>
      <c r="AK143">
        <f ca="1" t="shared" si="270"/>
        <v>0</v>
      </c>
      <c r="AL143">
        <f ca="1" t="shared" si="280"/>
        <v>0</v>
      </c>
      <c r="AM143">
        <f ca="1" t="shared" si="271"/>
        <v>0</v>
      </c>
      <c r="AN143" s="168">
        <f ca="1" t="shared" si="286"/>
        <v>0</v>
      </c>
      <c r="AO143" s="168">
        <f ca="1" t="shared" si="289"/>
        <v>0</v>
      </c>
      <c r="AP143" s="172">
        <f ca="1" t="shared" si="281"/>
        <v>0</v>
      </c>
      <c r="AQ143" s="168">
        <f ca="1" t="shared" si="282"/>
        <v>0</v>
      </c>
      <c r="AR143">
        <f t="shared" si="283"/>
        <v>1</v>
      </c>
    </row>
    <row r="144" spans="4:44">
      <c r="D144" t="s">
        <v>1825</v>
      </c>
      <c r="E144" t="s">
        <v>2776</v>
      </c>
      <c r="G144" t="s">
        <v>3105</v>
      </c>
      <c r="H144">
        <f ca="1">INDEX(技能数据库!$B$2:$I$100,MATCH(无穷伤害与收益计算!$E144,技能数据库!$B$2:$B$100,0),MATCH(H$9,技能数据库!$B$2:$I$2,0))</f>
        <v>281.5</v>
      </c>
      <c r="I144">
        <f ca="1">INDEX(技能数据库!$B$2:$I$100,MATCH(无穷伤害与收益计算!$E144,技能数据库!$B$2:$B$100,0),MATCH(I$9,技能数据库!$B$2:$I$2,0))</f>
        <v>7.06875</v>
      </c>
      <c r="J144">
        <f ca="1">INDEX(技能数据库!$B$2:$I$100,MATCH(无穷伤害与收益计算!$E144,技能数据库!$B$2:$B$100,0),MATCH(J$9,技能数据库!$B$2:$I$2,0))</f>
        <v>2</v>
      </c>
      <c r="K144">
        <f ca="1">INDEX(技能数据库!$B$2:$I$100,MATCH(无穷伤害与收益计算!$E144,技能数据库!$B$2:$B$100,0),MATCH(K$9,技能数据库!$B$2:$I$2,0))</f>
        <v>0</v>
      </c>
      <c r="L144">
        <f ca="1" t="shared" si="284"/>
        <v>105847</v>
      </c>
      <c r="M144">
        <f ca="1" t="shared" ref="M144:M159" si="290">IF(D144="轻剑",$AU$2+$AV$2,$AU$3+$AV$3)/2</f>
        <v>19530.5</v>
      </c>
      <c r="N144">
        <f ca="1" t="shared" ref="N144:N159" si="291">IF(D144="轻剑",$AJ$2,$AJ$3)</f>
        <v>92028</v>
      </c>
      <c r="O144">
        <f ca="1" t="shared" si="272"/>
        <v>787548.48125</v>
      </c>
      <c r="P144">
        <f ca="1">IF(G144="恒定伤害",0,(IF(D144="轻剑",$AZ$2,$AZ$3)+IFERROR(INDEX(技能数据库!$T$2:$W$27,MATCH(E144,技能数据库!$T$2:$T$27,0),4),0)+COUNTIF(G144,"*造化2*")*154+COUNTIF(G144,"*造化1*")*102+COUNTIF(G144,"*碧归*")*307)/1024)</f>
        <v>0.397571271929785</v>
      </c>
      <c r="Q144">
        <f ca="1" t="shared" si="287"/>
        <v>0.448284482196154</v>
      </c>
      <c r="R144">
        <f ca="1" t="shared" si="273"/>
        <v>0.21277697966198</v>
      </c>
      <c r="S144">
        <f ca="1" t="shared" ref="S144:S159" si="292">O144*(1+P144)*(1+Q144)*(1-R144)</f>
        <v>1254882.10454453</v>
      </c>
      <c r="T144">
        <f t="shared" si="97"/>
        <v>0.8</v>
      </c>
      <c r="U144">
        <f ca="1" t="shared" si="288"/>
        <v>1.7995442148</v>
      </c>
      <c r="V144">
        <f ca="1" t="shared" ref="V144:V159" si="293">S144*T144*(1+U144)</f>
        <v>2810478.34882695</v>
      </c>
      <c r="W144">
        <f ca="1">IF(G144="恒定伤害",0,MIN(1,IF(COUNTIF(F144,"*内会*")&gt;0,内会,IF(D144="轻剑",$Y$2,$Y$3)+COUNTIF(G144,"*莺鸣*")*0.2+COUNTIF(G144,"*叠1*")*0.1+COUNTIF(G144,"*叠2*")*0.2+COUNTIF(G144,"*叠3*")*0.3)+IFERROR(INDEX(技能数据库!$T$2:$W$27,MATCH(E144,技能数据库!$T$2:$T$27,0),2),0)+IF((IF(D144="轻剑",$AO$2,$AO$3)+INT(COUNTIF(G144,"*大莺鸣*")*IF(D144="轻剑",$AM$2,$AM$3)*听晓无双率)/无双系数)&gt;0.9,特效裤子会心/会心系数,0)))</f>
        <v>0.8343</v>
      </c>
      <c r="X144">
        <f ca="1">IF(G144="恒定伤害",0,IF(COUNTIF(F144,"*内会*")&gt;0,内会效,IF(D144="轻剑",$AB$2,$AB$3))+IFERROR(INDEX(技能数据库!$T$2:$W$27,MATCH(E144,技能数据库!$T$2:$T$27,0),3)/1024,0))+COUNTIF(G144,"*叠1*")*0.25+COUNTIF(G144,"*叠2*")*0.5+COUNTIF(G144,"*叠3*")*0.75</f>
        <v>2.5717485021</v>
      </c>
      <c r="Y144">
        <f ca="1" t="shared" ref="Y144:Y159" si="294">1+W144*(X144-1)</f>
        <v>2.31130977530203</v>
      </c>
      <c r="Z144">
        <f t="shared" si="274"/>
        <v>0.150390625</v>
      </c>
      <c r="AA144">
        <f ca="1" t="shared" ref="AA144:AA159" si="295">IF(D144="轻剑",$BA$2,$BA$3)/1024</f>
        <v>0.0205078125</v>
      </c>
      <c r="AB144">
        <f ca="1" t="shared" ref="AB144:AB159" si="296">V144*Y144*(1+Z144)*(1+AA144)</f>
        <v>7626057.36205235</v>
      </c>
      <c r="AC144">
        <f ca="1">无穷技能数计算!AJ136</f>
        <v>4</v>
      </c>
      <c r="AD144" s="164">
        <f ca="1" t="shared" si="275"/>
        <v>0.0106991747055081</v>
      </c>
      <c r="AE144" s="168">
        <f ca="1" t="shared" si="285"/>
        <v>0.00445191640067048</v>
      </c>
      <c r="AF144" s="168">
        <f ca="1" t="shared" si="276"/>
        <v>0.00151419249530805</v>
      </c>
      <c r="AG144">
        <f ca="1" t="shared" ref="AG144:AG159" si="297">IF(G144="恒定伤害",0,MAX(0,AH144*AI144*IF(AJ144=0,1,AJ144)-1))</f>
        <v>0.0037823743292007</v>
      </c>
      <c r="AH144">
        <f ca="1" t="shared" si="277"/>
        <v>1.0030370262927</v>
      </c>
      <c r="AI144">
        <f ca="1" t="shared" si="278"/>
        <v>1.00016101226475</v>
      </c>
      <c r="AJ144">
        <f ca="1" t="shared" si="279"/>
        <v>1.00058198527732</v>
      </c>
      <c r="AK144">
        <f ca="1" t="shared" si="270"/>
        <v>4</v>
      </c>
      <c r="AL144">
        <f ca="1" t="shared" si="280"/>
        <v>0.00503217766381492</v>
      </c>
      <c r="AM144">
        <f ca="1" t="shared" si="271"/>
        <v>4</v>
      </c>
      <c r="AN144" s="168">
        <f ca="1" t="shared" si="286"/>
        <v>0.00724958982916823</v>
      </c>
      <c r="AO144" s="168">
        <f ca="1" t="shared" si="289"/>
        <v>0.00447057613551372</v>
      </c>
      <c r="AP144" s="172">
        <f ca="1" t="shared" si="281"/>
        <v>0</v>
      </c>
      <c r="AQ144" s="168">
        <f ca="1" t="shared" si="282"/>
        <v>0.00401583628616287</v>
      </c>
      <c r="AR144">
        <f t="shared" si="283"/>
        <v>1</v>
      </c>
    </row>
    <row r="145" spans="4:44">
      <c r="D145" t="s">
        <v>1825</v>
      </c>
      <c r="E145" t="s">
        <v>2776</v>
      </c>
      <c r="G145" t="s">
        <v>3106</v>
      </c>
      <c r="H145">
        <f ca="1">INDEX(技能数据库!$B$2:$I$100,MATCH(无穷伤害与收益计算!$E145,技能数据库!$B$2:$B$100,0),MATCH(H$9,技能数据库!$B$2:$I$2,0))</f>
        <v>281.5</v>
      </c>
      <c r="I145">
        <f ca="1">INDEX(技能数据库!$B$2:$I$100,MATCH(无穷伤害与收益计算!$E145,技能数据库!$B$2:$B$100,0),MATCH(I$9,技能数据库!$B$2:$I$2,0))</f>
        <v>7.06875</v>
      </c>
      <c r="J145">
        <f ca="1">INDEX(技能数据库!$B$2:$I$100,MATCH(无穷伤害与收益计算!$E145,技能数据库!$B$2:$B$100,0),MATCH(J$9,技能数据库!$B$2:$I$2,0))</f>
        <v>2</v>
      </c>
      <c r="K145">
        <f ca="1">INDEX(技能数据库!$B$2:$I$100,MATCH(无穷伤害与收益计算!$E145,技能数据库!$B$2:$B$100,0),MATCH(K$9,技能数据库!$B$2:$I$2,0))</f>
        <v>0</v>
      </c>
      <c r="L145">
        <f ca="1" t="shared" si="284"/>
        <v>105847</v>
      </c>
      <c r="M145">
        <f ca="1" t="shared" si="290"/>
        <v>19530.5</v>
      </c>
      <c r="N145">
        <f ca="1" t="shared" si="291"/>
        <v>92028</v>
      </c>
      <c r="O145">
        <f ca="1" t="shared" si="272"/>
        <v>787548.48125</v>
      </c>
      <c r="P145">
        <f ca="1">IF(G145="恒定伤害",0,(IF(D145="轻剑",$AZ$2,$AZ$3)+IFERROR(INDEX(技能数据库!$T$2:$W$27,MATCH(E145,技能数据库!$T$2:$T$27,0),4),0)+COUNTIF(G145,"*造化2*")*154+COUNTIF(G145,"*造化1*")*102+COUNTIF(G145,"*碧归*")*307)/1024)</f>
        <v>0.397571271929785</v>
      </c>
      <c r="Q145">
        <f ca="1" t="shared" si="287"/>
        <v>0.448284482196154</v>
      </c>
      <c r="R145">
        <f ca="1" t="shared" si="273"/>
        <v>0.21277697966198</v>
      </c>
      <c r="S145">
        <f ca="1" t="shared" si="292"/>
        <v>1254882.10454453</v>
      </c>
      <c r="T145">
        <f t="shared" si="97"/>
        <v>0.8</v>
      </c>
      <c r="U145">
        <f ca="1" t="shared" si="288"/>
        <v>1.7995442148</v>
      </c>
      <c r="V145">
        <f ca="1" t="shared" si="293"/>
        <v>2810478.34882695</v>
      </c>
      <c r="W145">
        <f ca="1">IF(G145="恒定伤害",0,MIN(1,IF(COUNTIF(F145,"*内会*")&gt;0,内会,IF(D145="轻剑",$Y$2,$Y$3)+COUNTIF(G145,"*莺鸣*")*0.2+COUNTIF(G145,"*叠1*")*0.1+COUNTIF(G145,"*叠2*")*0.2+COUNTIF(G145,"*叠3*")*0.3)+IFERROR(INDEX(技能数据库!$T$2:$W$27,MATCH(E145,技能数据库!$T$2:$T$27,0),2),0)+IF((IF(D145="轻剑",$AO$2,$AO$3)+INT(COUNTIF(G145,"*大莺鸣*")*IF(D145="轻剑",$AM$2,$AM$3)*听晓无双率)/无双系数)&gt;0.9,特效裤子会心/会心系数,0)))</f>
        <v>0.9343</v>
      </c>
      <c r="X145">
        <f ca="1">IF(G145="恒定伤害",0,IF(COUNTIF(F145,"*内会*")&gt;0,内会效,IF(D145="轻剑",$AB$2,$AB$3))+IFERROR(INDEX(技能数据库!$T$2:$W$27,MATCH(E145,技能数据库!$T$2:$T$27,0),3)/1024,0))+COUNTIF(G145,"*叠1*")*0.25+COUNTIF(G145,"*叠2*")*0.5+COUNTIF(G145,"*叠3*")*0.75</f>
        <v>2.8217485021</v>
      </c>
      <c r="Y145">
        <f ca="1" t="shared" si="294"/>
        <v>2.70205962551203</v>
      </c>
      <c r="Z145">
        <f t="shared" si="274"/>
        <v>0.150390625</v>
      </c>
      <c r="AA145">
        <f ca="1" t="shared" si="295"/>
        <v>0.0205078125</v>
      </c>
      <c r="AB145">
        <f ca="1" t="shared" si="296"/>
        <v>8915318.0244512</v>
      </c>
      <c r="AC145">
        <f ca="1">无穷技能数计算!AJ137</f>
        <v>0</v>
      </c>
      <c r="AD145" s="164">
        <f ca="1" t="shared" si="275"/>
        <v>0</v>
      </c>
      <c r="AE145" s="168">
        <f ca="1" t="shared" si="285"/>
        <v>0.00445191640067048</v>
      </c>
      <c r="AF145" s="168">
        <f ca="1" t="shared" si="276"/>
        <v>0.00151419249530805</v>
      </c>
      <c r="AG145">
        <f ca="1" t="shared" si="297"/>
        <v>0.00319852755593519</v>
      </c>
      <c r="AH145">
        <f ca="1" t="shared" si="277"/>
        <v>1.0030370262927</v>
      </c>
      <c r="AI145">
        <f ca="1" t="shared" si="278"/>
        <v>1.00016101226475</v>
      </c>
      <c r="AJ145">
        <f ca="1" t="shared" si="279"/>
        <v>0</v>
      </c>
      <c r="AK145">
        <f ca="1" t="shared" si="270"/>
        <v>0</v>
      </c>
      <c r="AL145">
        <f ca="1" t="shared" si="280"/>
        <v>0</v>
      </c>
      <c r="AM145">
        <f ca="1" t="shared" si="271"/>
        <v>0</v>
      </c>
      <c r="AN145" s="168">
        <f ca="1" t="shared" si="286"/>
        <v>0.00694449658447471</v>
      </c>
      <c r="AO145" s="168">
        <f ca="1" t="shared" si="289"/>
        <v>0.00447057613551372</v>
      </c>
      <c r="AP145" s="172">
        <f ca="1" t="shared" si="281"/>
        <v>0</v>
      </c>
      <c r="AQ145" s="168">
        <f ca="1" t="shared" si="282"/>
        <v>0.00401583628616287</v>
      </c>
      <c r="AR145">
        <f t="shared" si="283"/>
        <v>1</v>
      </c>
    </row>
    <row r="146" spans="4:44">
      <c r="D146" t="s">
        <v>1825</v>
      </c>
      <c r="E146" t="s">
        <v>2776</v>
      </c>
      <c r="G146" t="s">
        <v>3107</v>
      </c>
      <c r="H146">
        <f ca="1">INDEX(技能数据库!$B$2:$I$100,MATCH(无穷伤害与收益计算!$E146,技能数据库!$B$2:$B$100,0),MATCH(H$9,技能数据库!$B$2:$I$2,0))</f>
        <v>281.5</v>
      </c>
      <c r="I146">
        <f ca="1">INDEX(技能数据库!$B$2:$I$100,MATCH(无穷伤害与收益计算!$E146,技能数据库!$B$2:$B$100,0),MATCH(I$9,技能数据库!$B$2:$I$2,0))</f>
        <v>7.06875</v>
      </c>
      <c r="J146">
        <f ca="1">INDEX(技能数据库!$B$2:$I$100,MATCH(无穷伤害与收益计算!$E146,技能数据库!$B$2:$B$100,0),MATCH(J$9,技能数据库!$B$2:$I$2,0))</f>
        <v>2</v>
      </c>
      <c r="K146">
        <f ca="1">INDEX(技能数据库!$B$2:$I$100,MATCH(无穷伤害与收益计算!$E146,技能数据库!$B$2:$B$100,0),MATCH(K$9,技能数据库!$B$2:$I$2,0))</f>
        <v>0</v>
      </c>
      <c r="L146">
        <f ca="1" t="shared" si="284"/>
        <v>105847</v>
      </c>
      <c r="M146">
        <f ca="1" t="shared" si="290"/>
        <v>19530.5</v>
      </c>
      <c r="N146">
        <f ca="1" t="shared" si="291"/>
        <v>92028</v>
      </c>
      <c r="O146">
        <f ca="1" t="shared" si="272"/>
        <v>787548.48125</v>
      </c>
      <c r="P146">
        <f ca="1">IF(G146="恒定伤害",0,(IF(D146="轻剑",$AZ$2,$AZ$3)+IFERROR(INDEX(技能数据库!$T$2:$W$27,MATCH(E146,技能数据库!$T$2:$T$27,0),4),0)+COUNTIF(G146,"*造化2*")*154+COUNTIF(G146,"*造化1*")*102+COUNTIF(G146,"*碧归*")*307)/1024)</f>
        <v>0.397571271929785</v>
      </c>
      <c r="Q146">
        <f ca="1" t="shared" si="287"/>
        <v>0.448284482196154</v>
      </c>
      <c r="R146">
        <f ca="1" t="shared" si="273"/>
        <v>0.21277697966198</v>
      </c>
      <c r="S146">
        <f ca="1" t="shared" si="292"/>
        <v>1254882.10454453</v>
      </c>
      <c r="T146">
        <f t="shared" si="97"/>
        <v>0.8</v>
      </c>
      <c r="U146">
        <f ca="1" t="shared" si="288"/>
        <v>1.7995442148</v>
      </c>
      <c r="V146">
        <f ca="1" t="shared" si="293"/>
        <v>2810478.34882695</v>
      </c>
      <c r="W146">
        <f ca="1">IF(G146="恒定伤害",0,MIN(1,IF(COUNTIF(F146,"*内会*")&gt;0,内会,IF(D146="轻剑",$Y$2,$Y$3)+COUNTIF(G146,"*莺鸣*")*0.2+COUNTIF(G146,"*叠1*")*0.1+COUNTIF(G146,"*叠2*")*0.2+COUNTIF(G146,"*叠3*")*0.3)+IFERROR(INDEX(技能数据库!$T$2:$W$27,MATCH(E146,技能数据库!$T$2:$T$27,0),2),0)+IF((IF(D146="轻剑",$AO$2,$AO$3)+INT(COUNTIF(G146,"*大莺鸣*")*IF(D146="轻剑",$AM$2,$AM$3)*听晓无双率)/无双系数)&gt;0.9,特效裤子会心/会心系数,0)))</f>
        <v>1</v>
      </c>
      <c r="X146">
        <f ca="1">IF(G146="恒定伤害",0,IF(COUNTIF(F146,"*内会*")&gt;0,内会效,IF(D146="轻剑",$AB$2,$AB$3))+IFERROR(INDEX(技能数据库!$T$2:$W$27,MATCH(E146,技能数据库!$T$2:$T$27,0),3)/1024,0))+COUNTIF(G146,"*叠1*")*0.25+COUNTIF(G146,"*叠2*")*0.5+COUNTIF(G146,"*叠3*")*0.75</f>
        <v>3.0717485021</v>
      </c>
      <c r="Y146">
        <f ca="1" t="shared" si="294"/>
        <v>3.0717485021</v>
      </c>
      <c r="Z146">
        <f t="shared" si="274"/>
        <v>0.150390625</v>
      </c>
      <c r="AA146">
        <f ca="1" t="shared" si="295"/>
        <v>0.0205078125</v>
      </c>
      <c r="AB146">
        <f ca="1" t="shared" si="296"/>
        <v>10135088.9998083</v>
      </c>
      <c r="AC146">
        <f ca="1">无穷技能数计算!AJ138</f>
        <v>18</v>
      </c>
      <c r="AD146" s="164">
        <f ca="1" t="shared" si="275"/>
        <v>0.0639867853367915</v>
      </c>
      <c r="AE146" s="168">
        <f ca="1" t="shared" si="285"/>
        <v>0.00445191640067048</v>
      </c>
      <c r="AF146" s="168">
        <f ca="1" t="shared" si="276"/>
        <v>0.00151419249530805</v>
      </c>
      <c r="AG146">
        <f ca="1" t="shared" si="297"/>
        <v>0.00319852755593519</v>
      </c>
      <c r="AH146">
        <f ca="1" t="shared" si="277"/>
        <v>1.0030370262927</v>
      </c>
      <c r="AI146">
        <f ca="1" t="shared" si="278"/>
        <v>1.00016101226475</v>
      </c>
      <c r="AJ146">
        <f ca="1" t="shared" si="279"/>
        <v>1</v>
      </c>
      <c r="AK146">
        <f ca="1" t="shared" si="270"/>
        <v>18</v>
      </c>
      <c r="AL146">
        <f ca="1" t="shared" si="280"/>
        <v>0</v>
      </c>
      <c r="AM146">
        <f ca="1" t="shared" si="271"/>
        <v>18</v>
      </c>
      <c r="AN146" s="168">
        <f ca="1" t="shared" si="286"/>
        <v>0.00653828267501666</v>
      </c>
      <c r="AO146" s="168">
        <f ca="1" t="shared" si="289"/>
        <v>0.00447057613551372</v>
      </c>
      <c r="AP146" s="172">
        <f ca="1" t="shared" si="281"/>
        <v>0</v>
      </c>
      <c r="AQ146" s="168">
        <f ca="1" t="shared" si="282"/>
        <v>0.00401583628616287</v>
      </c>
      <c r="AR146">
        <f t="shared" si="283"/>
        <v>1</v>
      </c>
    </row>
    <row r="147" spans="4:44">
      <c r="D147" t="s">
        <v>1825</v>
      </c>
      <c r="E147" t="s">
        <v>2780</v>
      </c>
      <c r="G147" t="s">
        <v>3105</v>
      </c>
      <c r="H147">
        <f ca="1">INDEX(技能数据库!$B$2:$I$100,MATCH(无穷伤害与收益计算!$E147,技能数据库!$B$2:$B$100,0),MATCH(H$9,技能数据库!$B$2:$I$2,0))</f>
        <v>252.5</v>
      </c>
      <c r="I147">
        <f ca="1">INDEX(技能数据库!$B$2:$I$100,MATCH(无穷伤害与收益计算!$E147,技能数据库!$B$2:$B$100,0),MATCH(I$9,技能数据库!$B$2:$I$2,0))</f>
        <v>2.11875</v>
      </c>
      <c r="J147">
        <f ca="1">INDEX(技能数据库!$B$2:$I$100,MATCH(无穷伤害与收益计算!$E147,技能数据库!$B$2:$B$100,0),MATCH(J$9,技能数据库!$B$2:$I$2,0))</f>
        <v>2</v>
      </c>
      <c r="K147">
        <f ca="1">INDEX(技能数据库!$B$2:$I$100,MATCH(无穷伤害与收益计算!$E147,技能数据库!$B$2:$B$100,0),MATCH(K$9,技能数据库!$B$2:$I$2,0))</f>
        <v>0</v>
      </c>
      <c r="L147">
        <f ca="1" t="shared" si="284"/>
        <v>105847</v>
      </c>
      <c r="M147">
        <f ca="1" t="shared" si="290"/>
        <v>19530.5</v>
      </c>
      <c r="N147">
        <f ca="1" t="shared" si="291"/>
        <v>92028</v>
      </c>
      <c r="O147">
        <f ca="1" t="shared" si="272"/>
        <v>263576.83125</v>
      </c>
      <c r="P147">
        <f ca="1">IF(G147="恒定伤害",0,(IF(D147="轻剑",$AZ$2,$AZ$3)+IFERROR(INDEX(技能数据库!$T$2:$W$27,MATCH(E147,技能数据库!$T$2:$T$27,0),4),0)+COUNTIF(G147,"*造化2*")*154+COUNTIF(G147,"*造化1*")*102+COUNTIF(G147,"*碧归*")*307)/1024)</f>
        <v>0.397571271929785</v>
      </c>
      <c r="Q147">
        <f ca="1" t="shared" si="287"/>
        <v>0.448284482196154</v>
      </c>
      <c r="R147">
        <f ca="1" t="shared" si="273"/>
        <v>0.21277697966198</v>
      </c>
      <c r="S147">
        <f ca="1" t="shared" si="292"/>
        <v>419984.11092508</v>
      </c>
      <c r="T147">
        <f t="shared" si="97"/>
        <v>0.8</v>
      </c>
      <c r="U147">
        <f ca="1" t="shared" si="288"/>
        <v>1.7995442148</v>
      </c>
      <c r="V147">
        <f ca="1" t="shared" si="293"/>
        <v>940611.270438584</v>
      </c>
      <c r="W147">
        <f ca="1">IF(G147="恒定伤害",0,MIN(1,IF(COUNTIF(F147,"*内会*")&gt;0,内会,IF(D147="轻剑",$Y$2,$Y$3)+COUNTIF(G147,"*莺鸣*")*0.2+COUNTIF(G147,"*叠1*")*0.1+COUNTIF(G147,"*叠2*")*0.2+COUNTIF(G147,"*叠3*")*0.3)+IFERROR(INDEX(技能数据库!$T$2:$W$27,MATCH(E147,技能数据库!$T$2:$T$27,0),2),0)+IF((IF(D147="轻剑",$AO$2,$AO$3)+INT(COUNTIF(G147,"*大莺鸣*")*IF(D147="轻剑",$AM$2,$AM$3)*听晓无双率)/无双系数)&gt;0.9,特效裤子会心/会心系数,0)))</f>
        <v>0.8343</v>
      </c>
      <c r="X147">
        <f ca="1">IF(G147="恒定伤害",0,IF(COUNTIF(F147,"*内会*")&gt;0,内会效,IF(D147="轻剑",$AB$2,$AB$3))+IFERROR(INDEX(技能数据库!$T$2:$W$27,MATCH(E147,技能数据库!$T$2:$T$27,0),3)/1024,0))+COUNTIF(G147,"*叠1*")*0.25+COUNTIF(G147,"*叠2*")*0.5+COUNTIF(G147,"*叠3*")*0.75</f>
        <v>2.5717485021</v>
      </c>
      <c r="Y147">
        <f ca="1" t="shared" si="294"/>
        <v>2.31130977530203</v>
      </c>
      <c r="Z147">
        <f t="shared" si="274"/>
        <v>0.150390625</v>
      </c>
      <c r="AA147">
        <f ca="1" t="shared" si="295"/>
        <v>0.0205078125</v>
      </c>
      <c r="AB147">
        <f ca="1" t="shared" si="296"/>
        <v>2552289.89995655</v>
      </c>
      <c r="AC147">
        <f ca="1">无穷技能数计算!AJ139</f>
        <v>4</v>
      </c>
      <c r="AD147" s="164">
        <f ca="1" t="shared" si="275"/>
        <v>0.00358080122431572</v>
      </c>
      <c r="AE147" s="168">
        <f ca="1" t="shared" si="285"/>
        <v>0.00398707274465726</v>
      </c>
      <c r="AF147" s="168">
        <f ca="1" t="shared" si="276"/>
        <v>0.00452429750499931</v>
      </c>
      <c r="AG147">
        <f ca="1" t="shared" si="297"/>
        <v>0.00346502976753671</v>
      </c>
      <c r="AH147">
        <f ca="1" t="shared" si="277"/>
        <v>1.0027199173719</v>
      </c>
      <c r="AI147">
        <f ca="1" t="shared" si="278"/>
        <v>1.00016101226475</v>
      </c>
      <c r="AJ147">
        <f ca="1" t="shared" si="279"/>
        <v>1.00058198527732</v>
      </c>
      <c r="AK147">
        <f ca="1" t="shared" si="270"/>
        <v>4</v>
      </c>
      <c r="AL147">
        <f ca="1" t="shared" si="280"/>
        <v>0.00503217766381492</v>
      </c>
      <c r="AM147">
        <f ca="1" t="shared" si="271"/>
        <v>4</v>
      </c>
      <c r="AN147" s="168">
        <f ca="1" t="shared" si="286"/>
        <v>0.00724958982916823</v>
      </c>
      <c r="AO147" s="168">
        <f ca="1" t="shared" si="289"/>
        <v>0.00447057613551372</v>
      </c>
      <c r="AP147" s="172">
        <f ca="1" t="shared" si="281"/>
        <v>0</v>
      </c>
      <c r="AQ147" s="168">
        <f ca="1" t="shared" si="282"/>
        <v>0.00401583628616287</v>
      </c>
      <c r="AR147">
        <f t="shared" si="283"/>
        <v>1</v>
      </c>
    </row>
    <row r="148" spans="4:44">
      <c r="D148" t="s">
        <v>1825</v>
      </c>
      <c r="E148" t="s">
        <v>2780</v>
      </c>
      <c r="G148" t="s">
        <v>3106</v>
      </c>
      <c r="H148">
        <f ca="1">INDEX(技能数据库!$B$2:$I$100,MATCH(无穷伤害与收益计算!$E148,技能数据库!$B$2:$B$100,0),MATCH(H$9,技能数据库!$B$2:$I$2,0))</f>
        <v>252.5</v>
      </c>
      <c r="I148">
        <f ca="1">INDEX(技能数据库!$B$2:$I$100,MATCH(无穷伤害与收益计算!$E148,技能数据库!$B$2:$B$100,0),MATCH(I$9,技能数据库!$B$2:$I$2,0))</f>
        <v>2.11875</v>
      </c>
      <c r="J148">
        <f ca="1">INDEX(技能数据库!$B$2:$I$100,MATCH(无穷伤害与收益计算!$E148,技能数据库!$B$2:$B$100,0),MATCH(J$9,技能数据库!$B$2:$I$2,0))</f>
        <v>2</v>
      </c>
      <c r="K148">
        <f ca="1">INDEX(技能数据库!$B$2:$I$100,MATCH(无穷伤害与收益计算!$E148,技能数据库!$B$2:$B$100,0),MATCH(K$9,技能数据库!$B$2:$I$2,0))</f>
        <v>0</v>
      </c>
      <c r="L148">
        <f ca="1" t="shared" si="284"/>
        <v>105847</v>
      </c>
      <c r="M148">
        <f ca="1" t="shared" si="290"/>
        <v>19530.5</v>
      </c>
      <c r="N148">
        <f ca="1" t="shared" si="291"/>
        <v>92028</v>
      </c>
      <c r="O148">
        <f ca="1" t="shared" ref="O148:O163" si="298">H148+I148*L148+J148*M148+IF(K148&gt;0,MAX(1,K148*N148*破招全局系数),0)</f>
        <v>263576.83125</v>
      </c>
      <c r="P148">
        <f ca="1">IF(G148="恒定伤害",0,(IF(D148="轻剑",$AZ$2,$AZ$3)+IFERROR(INDEX(技能数据库!$T$2:$W$27,MATCH(E148,技能数据库!$T$2:$T$27,0),4),0)+COUNTIF(G148,"*造化2*")*154+COUNTIF(G148,"*造化1*")*102+COUNTIF(G148,"*碧归*")*307)/1024)</f>
        <v>0.397571271929785</v>
      </c>
      <c r="Q148">
        <f ca="1" t="shared" si="287"/>
        <v>0.448284482196154</v>
      </c>
      <c r="R148">
        <f ca="1" t="shared" ref="R148:R163" si="299">IF(G148="恒定伤害",0,(($F$5-IF(D148="轻剑",$BB$2,$BB$3))*(1024-IF(D148="轻剑",$BD$2,$BD$3))/1024*(1024-IF(D148="轻剑",$BC$2,$BC$3)-COUNTIF(G148,"*雾锁*")*461*雾锁)/1024/(($F$5-IF(D148="轻剑",$BB$2,$BB$3))*(1024-IF(D148="轻剑",$BD$2,$BD$3))/1024*(1024-IF(D148="轻剑",$BC$2,$BC$3)-COUNTIF(G148,"*雾锁*")*461*雾锁)/1024+$F$7)))</f>
        <v>0.21277697966198</v>
      </c>
      <c r="S148">
        <f ca="1" t="shared" si="292"/>
        <v>419984.11092508</v>
      </c>
      <c r="T148">
        <f t="shared" si="97"/>
        <v>0.8</v>
      </c>
      <c r="U148">
        <f ca="1" t="shared" si="288"/>
        <v>1.7995442148</v>
      </c>
      <c r="V148">
        <f ca="1" t="shared" si="293"/>
        <v>940611.270438584</v>
      </c>
      <c r="W148">
        <f ca="1">IF(G148="恒定伤害",0,MIN(1,IF(COUNTIF(F148,"*内会*")&gt;0,内会,IF(D148="轻剑",$Y$2,$Y$3)+COUNTIF(G148,"*莺鸣*")*0.2+COUNTIF(G148,"*叠1*")*0.1+COUNTIF(G148,"*叠2*")*0.2+COUNTIF(G148,"*叠3*")*0.3)+IFERROR(INDEX(技能数据库!$T$2:$W$27,MATCH(E148,技能数据库!$T$2:$T$27,0),2),0)+IF((IF(D148="轻剑",$AO$2,$AO$3)+INT(COUNTIF(G148,"*大莺鸣*")*IF(D148="轻剑",$AM$2,$AM$3)*听晓无双率)/无双系数)&gt;0.9,特效裤子会心/会心系数,0)))</f>
        <v>0.9343</v>
      </c>
      <c r="X148">
        <f ca="1">IF(G148="恒定伤害",0,IF(COUNTIF(F148,"*内会*")&gt;0,内会效,IF(D148="轻剑",$AB$2,$AB$3))+IFERROR(INDEX(技能数据库!$T$2:$W$27,MATCH(E148,技能数据库!$T$2:$T$27,0),3)/1024,0))+COUNTIF(G148,"*叠1*")*0.25+COUNTIF(G148,"*叠2*")*0.5+COUNTIF(G148,"*叠3*")*0.75</f>
        <v>2.8217485021</v>
      </c>
      <c r="Y148">
        <f ca="1" t="shared" si="294"/>
        <v>2.70205962551203</v>
      </c>
      <c r="Z148">
        <f t="shared" ref="Z148:Z163" si="300">IF(G148="恒定伤害",0,非侠士伤害/1024)</f>
        <v>0.150390625</v>
      </c>
      <c r="AA148">
        <f ca="1" t="shared" si="295"/>
        <v>0.0205078125</v>
      </c>
      <c r="AB148">
        <f ca="1" t="shared" si="296"/>
        <v>2983779.83123164</v>
      </c>
      <c r="AC148">
        <f ca="1">无穷技能数计算!AJ140</f>
        <v>3</v>
      </c>
      <c r="AD148" s="164">
        <f ca="1" t="shared" ref="AD148:AD163" si="301">IFERROR(AB148*AC148/$AD$7,0)</f>
        <v>0.00313962839985714</v>
      </c>
      <c r="AE148" s="168">
        <f ca="1" t="shared" si="285"/>
        <v>0.00398707274465726</v>
      </c>
      <c r="AF148" s="168">
        <f ca="1" t="shared" ref="AF148:AF163" si="302">IFERROR((delta武伤+INT((IF(D148="轻剑",$AW$2,$AW$3))/1024*delta武伤))*J148/O148,0)</f>
        <v>0.00452429750499931</v>
      </c>
      <c r="AG148">
        <f ca="1" t="shared" si="297"/>
        <v>0.00346003649340609</v>
      </c>
      <c r="AH148">
        <f ca="1" t="shared" ref="AH148:AH163" si="303">IFERROR((delta身法+INT((IF(D148="轻剑",$N$2,$N$3))/1024*delta身法))*身法转额外攻击*I148/O148+1,0)</f>
        <v>1.0027199173719</v>
      </c>
      <c r="AI148">
        <f ca="1" t="shared" ref="AI148:AI163" si="304">IFERROR(((delta身法+INT((IF(D148="轻剑",$N$2,$N$3))/1024*delta身法))*身法转额外破防/破防系数+Q148+1)/(1+Q148),0)</f>
        <v>1.00016101226475</v>
      </c>
      <c r="AJ148">
        <f ca="1" t="shared" ref="AJ148:AJ163" si="305">IFERROR(((1+MIN(1,((delta身法+INT((IF(D148="轻剑",$N$2,$N$3))/1024*delta身法))*身法转基础会心/会心系数)+W148)*(X148-1))*AK148)/(Y148*AC148),0)</f>
        <v>1.00057700634931</v>
      </c>
      <c r="AK148">
        <f ca="1" t="shared" si="270"/>
        <v>3</v>
      </c>
      <c r="AL148">
        <f ca="1" t="shared" ref="AL148:AL163" si="306">IF(G148="恒定伤害",0,IFERROR(((1+MIN(1,W148+delta会心/会心系数)*(X148-1))*AM148)/(Y148*AC148)-1,0))</f>
        <v>0.00498912700378584</v>
      </c>
      <c r="AM148">
        <f ca="1" t="shared" si="271"/>
        <v>3</v>
      </c>
      <c r="AN148" s="168">
        <f ca="1" t="shared" si="286"/>
        <v>0.00694449658447471</v>
      </c>
      <c r="AO148" s="168">
        <f ca="1" t="shared" si="289"/>
        <v>0.00447057613551372</v>
      </c>
      <c r="AP148" s="172">
        <f ca="1" t="shared" ref="AP148:AP163" si="307">IFERROR((delta破招+INT((IF(D148="轻剑",$AI$2,$AI$3))/1024*delta破招))*K148*破招全局系数/MAX(1,O148),0)</f>
        <v>0</v>
      </c>
      <c r="AQ148" s="168">
        <f ca="1" t="shared" ref="AQ148:AQ163" si="308">IF(G148="恒定伤害",0,IFERROR(((delta无双+INT((IF(D148="轻剑",$AL$2,$AL$3)+COUNTIF(G148,"*大莺鸣*")*307)/1024*delta无双))/无双系数+U148+1)/(U148+1)-1,0))</f>
        <v>0.00401583628616287</v>
      </c>
      <c r="AR148">
        <f t="shared" ref="AR148:AR163" si="309">IF($AR$8="综合属性收益",1,COUNTIF(D148,LEFT($AR$8,2)))</f>
        <v>1</v>
      </c>
    </row>
    <row r="149" spans="4:44">
      <c r="D149" t="s">
        <v>1825</v>
      </c>
      <c r="E149" t="s">
        <v>2780</v>
      </c>
      <c r="G149" t="s">
        <v>3107</v>
      </c>
      <c r="H149">
        <f ca="1">INDEX(技能数据库!$B$2:$I$100,MATCH(无穷伤害与收益计算!$E149,技能数据库!$B$2:$B$100,0),MATCH(H$9,技能数据库!$B$2:$I$2,0))</f>
        <v>252.5</v>
      </c>
      <c r="I149">
        <f ca="1">INDEX(技能数据库!$B$2:$I$100,MATCH(无穷伤害与收益计算!$E149,技能数据库!$B$2:$B$100,0),MATCH(I$9,技能数据库!$B$2:$I$2,0))</f>
        <v>2.11875</v>
      </c>
      <c r="J149">
        <f ca="1">INDEX(技能数据库!$B$2:$I$100,MATCH(无穷伤害与收益计算!$E149,技能数据库!$B$2:$B$100,0),MATCH(J$9,技能数据库!$B$2:$I$2,0))</f>
        <v>2</v>
      </c>
      <c r="K149">
        <f ca="1">INDEX(技能数据库!$B$2:$I$100,MATCH(无穷伤害与收益计算!$E149,技能数据库!$B$2:$B$100,0),MATCH(K$9,技能数据库!$B$2:$I$2,0))</f>
        <v>0</v>
      </c>
      <c r="L149">
        <f ca="1" t="shared" si="284"/>
        <v>105847</v>
      </c>
      <c r="M149">
        <f ca="1" t="shared" si="290"/>
        <v>19530.5</v>
      </c>
      <c r="N149">
        <f ca="1" t="shared" si="291"/>
        <v>92028</v>
      </c>
      <c r="O149">
        <f ca="1" t="shared" si="298"/>
        <v>263576.83125</v>
      </c>
      <c r="P149">
        <f ca="1">IF(G149="恒定伤害",0,(IF(D149="轻剑",$AZ$2,$AZ$3)+IFERROR(INDEX(技能数据库!$T$2:$W$27,MATCH(E149,技能数据库!$T$2:$T$27,0),4),0)+COUNTIF(G149,"*造化2*")*154+COUNTIF(G149,"*造化1*")*102+COUNTIF(G149,"*碧归*")*307)/1024)</f>
        <v>0.397571271929785</v>
      </c>
      <c r="Q149">
        <f ca="1" t="shared" si="287"/>
        <v>0.448284482196154</v>
      </c>
      <c r="R149">
        <f ca="1" t="shared" si="299"/>
        <v>0.21277697966198</v>
      </c>
      <c r="S149">
        <f ca="1" t="shared" si="292"/>
        <v>419984.11092508</v>
      </c>
      <c r="T149">
        <f t="shared" si="97"/>
        <v>0.8</v>
      </c>
      <c r="U149">
        <f ca="1" t="shared" si="288"/>
        <v>1.7995442148</v>
      </c>
      <c r="V149">
        <f ca="1" t="shared" si="293"/>
        <v>940611.270438584</v>
      </c>
      <c r="W149">
        <f ca="1">IF(G149="恒定伤害",0,MIN(1,IF(COUNTIF(F149,"*内会*")&gt;0,内会,IF(D149="轻剑",$Y$2,$Y$3)+COUNTIF(G149,"*莺鸣*")*0.2+COUNTIF(G149,"*叠1*")*0.1+COUNTIF(G149,"*叠2*")*0.2+COUNTIF(G149,"*叠3*")*0.3)+IFERROR(INDEX(技能数据库!$T$2:$W$27,MATCH(E149,技能数据库!$T$2:$T$27,0),2),0)+IF((IF(D149="轻剑",$AO$2,$AO$3)+INT(COUNTIF(G149,"*大莺鸣*")*IF(D149="轻剑",$AM$2,$AM$3)*听晓无双率)/无双系数)&gt;0.9,特效裤子会心/会心系数,0)))</f>
        <v>1</v>
      </c>
      <c r="X149">
        <f ca="1">IF(G149="恒定伤害",0,IF(COUNTIF(F149,"*内会*")&gt;0,内会效,IF(D149="轻剑",$AB$2,$AB$3))+IFERROR(INDEX(技能数据库!$T$2:$W$27,MATCH(E149,技能数据库!$T$2:$T$27,0),3)/1024,0))+COUNTIF(G149,"*叠1*")*0.25+COUNTIF(G149,"*叠2*")*0.5+COUNTIF(G149,"*叠3*")*0.75</f>
        <v>3.0717485021</v>
      </c>
      <c r="Y149">
        <f ca="1" t="shared" si="294"/>
        <v>3.0717485021</v>
      </c>
      <c r="Z149">
        <f t="shared" si="300"/>
        <v>0.150390625</v>
      </c>
      <c r="AA149">
        <f ca="1" t="shared" si="295"/>
        <v>0.0205078125</v>
      </c>
      <c r="AB149">
        <f ca="1" t="shared" si="296"/>
        <v>3392012.94473476</v>
      </c>
      <c r="AC149">
        <f ca="1">无穷技能数计算!AJ141</f>
        <v>22</v>
      </c>
      <c r="AD149" s="164">
        <f ca="1" t="shared" si="301"/>
        <v>0.0261740183122783</v>
      </c>
      <c r="AE149" s="168">
        <f ca="1" t="shared" si="285"/>
        <v>0.00398707274465726</v>
      </c>
      <c r="AF149" s="168">
        <f ca="1" t="shared" si="302"/>
        <v>0.00452429750499931</v>
      </c>
      <c r="AG149">
        <f ca="1" t="shared" si="297"/>
        <v>0.00288136757670965</v>
      </c>
      <c r="AH149">
        <f ca="1" t="shared" si="303"/>
        <v>1.0027199173719</v>
      </c>
      <c r="AI149">
        <f ca="1" t="shared" si="304"/>
        <v>1.00016101226475</v>
      </c>
      <c r="AJ149">
        <f ca="1" t="shared" si="305"/>
        <v>1</v>
      </c>
      <c r="AK149">
        <f ca="1" t="shared" si="270"/>
        <v>22</v>
      </c>
      <c r="AL149">
        <f ca="1" t="shared" si="306"/>
        <v>0</v>
      </c>
      <c r="AM149">
        <f ca="1" t="shared" si="271"/>
        <v>22</v>
      </c>
      <c r="AN149" s="168">
        <f ca="1" t="shared" si="286"/>
        <v>0.00653828267501666</v>
      </c>
      <c r="AO149" s="168">
        <f ca="1" t="shared" si="289"/>
        <v>0.00447057613551372</v>
      </c>
      <c r="AP149" s="172">
        <f ca="1" t="shared" si="307"/>
        <v>0</v>
      </c>
      <c r="AQ149" s="168">
        <f ca="1" t="shared" si="308"/>
        <v>0.00401583628616287</v>
      </c>
      <c r="AR149">
        <f t="shared" si="309"/>
        <v>1</v>
      </c>
    </row>
    <row r="150" spans="4:44">
      <c r="D150" t="s">
        <v>1825</v>
      </c>
      <c r="E150" t="s">
        <v>2808</v>
      </c>
      <c r="G150" t="s">
        <v>3105</v>
      </c>
      <c r="H150">
        <f ca="1">INDEX(技能数据库!$B$2:$I$100,MATCH(无穷伤害与收益计算!$E150,技能数据库!$B$2:$B$100,0),MATCH(H$9,技能数据库!$B$2:$I$2,0))</f>
        <v>535</v>
      </c>
      <c r="I150">
        <f ca="1">INDEX(技能数据库!$B$2:$I$100,MATCH(无穷伤害与收益计算!$E150,技能数据库!$B$2:$B$100,0),MATCH(I$9,技能数据库!$B$2:$I$2,0))</f>
        <v>7.06875</v>
      </c>
      <c r="J150">
        <f ca="1">INDEX(技能数据库!$B$2:$I$100,MATCH(无穷伤害与收益计算!$E150,技能数据库!$B$2:$B$100,0),MATCH(J$9,技能数据库!$B$2:$I$2,0))</f>
        <v>2</v>
      </c>
      <c r="K150">
        <f ca="1">INDEX(技能数据库!$B$2:$I$100,MATCH(无穷伤害与收益计算!$E150,技能数据库!$B$2:$B$100,0),MATCH(K$9,技能数据库!$B$2:$I$2,0))</f>
        <v>0</v>
      </c>
      <c r="L150">
        <f ca="1" t="shared" si="284"/>
        <v>105847</v>
      </c>
      <c r="M150">
        <f ca="1" t="shared" si="290"/>
        <v>19530.5</v>
      </c>
      <c r="N150">
        <f ca="1" t="shared" si="291"/>
        <v>92028</v>
      </c>
      <c r="O150">
        <f ca="1" t="shared" si="298"/>
        <v>787801.98125</v>
      </c>
      <c r="P150">
        <f ca="1">IF(G150="恒定伤害",0,(IF(D150="轻剑",$AZ$2,$AZ$3)+IFERROR(INDEX(技能数据库!$T$2:$W$27,MATCH(E150,技能数据库!$T$2:$T$27,0),4),0)+COUNTIF(G150,"*造化2*")*154+COUNTIF(G150,"*造化1*")*102+COUNTIF(G150,"*碧归*")*307)/1024)</f>
        <v>0.397571271929785</v>
      </c>
      <c r="Q150">
        <f ca="1" t="shared" si="287"/>
        <v>0.448284482196154</v>
      </c>
      <c r="R150">
        <f ca="1" t="shared" si="299"/>
        <v>0.21277697966198</v>
      </c>
      <c r="S150">
        <f ca="1" t="shared" si="292"/>
        <v>1255286.03220241</v>
      </c>
      <c r="T150">
        <f t="shared" si="97"/>
        <v>0.8</v>
      </c>
      <c r="U150">
        <f ca="1" t="shared" si="288"/>
        <v>1.7995442148</v>
      </c>
      <c r="V150">
        <f ca="1" t="shared" si="293"/>
        <v>2811382.99949721</v>
      </c>
      <c r="W150">
        <f ca="1">IF(G150="恒定伤害",0,MIN(1,IF(COUNTIF(F150,"*内会*")&gt;0,内会,IF(D150="轻剑",$Y$2,$Y$3)+COUNTIF(G150,"*莺鸣*")*0.2+COUNTIF(G150,"*叠1*")*0.1+COUNTIF(G150,"*叠2*")*0.2+COUNTIF(G150,"*叠3*")*0.3)+IFERROR(INDEX(技能数据库!$T$2:$W$27,MATCH(E150,技能数据库!$T$2:$T$27,0),2),0)+IF((IF(D150="轻剑",$AO$2,$AO$3)+INT(COUNTIF(G150,"*大莺鸣*")*IF(D150="轻剑",$AM$2,$AM$3)*听晓无双率)/无双系数)&gt;0.9,特效裤子会心/会心系数,0)))</f>
        <v>0.8343</v>
      </c>
      <c r="X150">
        <f ca="1">IF(G150="恒定伤害",0,IF(COUNTIF(F150,"*内会*")&gt;0,内会效,IF(D150="轻剑",$AB$2,$AB$3))+IFERROR(INDEX(技能数据库!$T$2:$W$27,MATCH(E150,技能数据库!$T$2:$T$27,0),3)/1024,0))+COUNTIF(G150,"*叠1*")*0.25+COUNTIF(G150,"*叠2*")*0.5+COUNTIF(G150,"*叠3*")*0.75</f>
        <v>2.5717485021</v>
      </c>
      <c r="Y150">
        <f ca="1" t="shared" si="294"/>
        <v>2.31130977530203</v>
      </c>
      <c r="Z150">
        <f t="shared" si="300"/>
        <v>0.150390625</v>
      </c>
      <c r="AA150">
        <f ca="1" t="shared" si="295"/>
        <v>0.0205078125</v>
      </c>
      <c r="AB150">
        <f ca="1" t="shared" si="296"/>
        <v>7628512.07511105</v>
      </c>
      <c r="AC150">
        <f ca="1">无穷技能数计算!AJ142</f>
        <v>0</v>
      </c>
      <c r="AD150" s="164">
        <f ca="1" t="shared" si="301"/>
        <v>0</v>
      </c>
      <c r="AE150" s="168">
        <f ca="1" t="shared" si="285"/>
        <v>0.00445048385691655</v>
      </c>
      <c r="AF150" s="168">
        <f ca="1" t="shared" si="302"/>
        <v>0.00151370525637403</v>
      </c>
      <c r="AG150">
        <f ca="1" t="shared" si="297"/>
        <v>0.0031975501401067</v>
      </c>
      <c r="AH150">
        <f ca="1" t="shared" si="303"/>
        <v>1.00303604903423</v>
      </c>
      <c r="AI150">
        <f ca="1" t="shared" si="304"/>
        <v>1.00016101226475</v>
      </c>
      <c r="AJ150">
        <f ca="1" t="shared" si="305"/>
        <v>0</v>
      </c>
      <c r="AK150">
        <f ca="1" t="shared" si="270"/>
        <v>0</v>
      </c>
      <c r="AL150">
        <f ca="1" t="shared" si="306"/>
        <v>0</v>
      </c>
      <c r="AM150">
        <f ca="1" t="shared" si="271"/>
        <v>0</v>
      </c>
      <c r="AN150" s="168">
        <f ca="1" t="shared" si="286"/>
        <v>0.00724958982916823</v>
      </c>
      <c r="AO150" s="168">
        <f ca="1" t="shared" si="289"/>
        <v>0.00447057613551372</v>
      </c>
      <c r="AP150" s="172">
        <f ca="1" t="shared" si="307"/>
        <v>0</v>
      </c>
      <c r="AQ150" s="168">
        <f ca="1" t="shared" si="308"/>
        <v>0.00401583628616287</v>
      </c>
      <c r="AR150">
        <f t="shared" si="309"/>
        <v>1</v>
      </c>
    </row>
    <row r="151" spans="4:44">
      <c r="D151" t="s">
        <v>1825</v>
      </c>
      <c r="E151" t="s">
        <v>2808</v>
      </c>
      <c r="G151" t="s">
        <v>3106</v>
      </c>
      <c r="H151">
        <f ca="1">INDEX(技能数据库!$B$2:$I$100,MATCH(无穷伤害与收益计算!$E151,技能数据库!$B$2:$B$100,0),MATCH(H$9,技能数据库!$B$2:$I$2,0))</f>
        <v>535</v>
      </c>
      <c r="I151">
        <f ca="1">INDEX(技能数据库!$B$2:$I$100,MATCH(无穷伤害与收益计算!$E151,技能数据库!$B$2:$B$100,0),MATCH(I$9,技能数据库!$B$2:$I$2,0))</f>
        <v>7.06875</v>
      </c>
      <c r="J151">
        <f ca="1">INDEX(技能数据库!$B$2:$I$100,MATCH(无穷伤害与收益计算!$E151,技能数据库!$B$2:$B$100,0),MATCH(J$9,技能数据库!$B$2:$I$2,0))</f>
        <v>2</v>
      </c>
      <c r="K151">
        <f ca="1">INDEX(技能数据库!$B$2:$I$100,MATCH(无穷伤害与收益计算!$E151,技能数据库!$B$2:$B$100,0),MATCH(K$9,技能数据库!$B$2:$I$2,0))</f>
        <v>0</v>
      </c>
      <c r="L151">
        <f ca="1" t="shared" si="284"/>
        <v>105847</v>
      </c>
      <c r="M151">
        <f ca="1" t="shared" si="290"/>
        <v>19530.5</v>
      </c>
      <c r="N151">
        <f ca="1" t="shared" si="291"/>
        <v>92028</v>
      </c>
      <c r="O151">
        <f ca="1" t="shared" si="298"/>
        <v>787801.98125</v>
      </c>
      <c r="P151">
        <f ca="1">IF(G151="恒定伤害",0,(IF(D151="轻剑",$AZ$2,$AZ$3)+IFERROR(INDEX(技能数据库!$T$2:$W$27,MATCH(E151,技能数据库!$T$2:$T$27,0),4),0)+COUNTIF(G151,"*造化2*")*154+COUNTIF(G151,"*造化1*")*102+COUNTIF(G151,"*碧归*")*307)/1024)</f>
        <v>0.397571271929785</v>
      </c>
      <c r="Q151">
        <f ca="1" t="shared" si="287"/>
        <v>0.448284482196154</v>
      </c>
      <c r="R151">
        <f ca="1" t="shared" si="299"/>
        <v>0.21277697966198</v>
      </c>
      <c r="S151">
        <f ca="1" t="shared" si="292"/>
        <v>1255286.03220241</v>
      </c>
      <c r="T151">
        <f t="shared" si="97"/>
        <v>0.8</v>
      </c>
      <c r="U151">
        <f ca="1" t="shared" si="288"/>
        <v>1.7995442148</v>
      </c>
      <c r="V151">
        <f ca="1" t="shared" si="293"/>
        <v>2811382.99949721</v>
      </c>
      <c r="W151">
        <f ca="1">IF(G151="恒定伤害",0,MIN(1,IF(COUNTIF(F151,"*内会*")&gt;0,内会,IF(D151="轻剑",$Y$2,$Y$3)+COUNTIF(G151,"*莺鸣*")*0.2+COUNTIF(G151,"*叠1*")*0.1+COUNTIF(G151,"*叠2*")*0.2+COUNTIF(G151,"*叠3*")*0.3)+IFERROR(INDEX(技能数据库!$T$2:$W$27,MATCH(E151,技能数据库!$T$2:$T$27,0),2),0)+IF((IF(D151="轻剑",$AO$2,$AO$3)+INT(COUNTIF(G151,"*大莺鸣*")*IF(D151="轻剑",$AM$2,$AM$3)*听晓无双率)/无双系数)&gt;0.9,特效裤子会心/会心系数,0)))</f>
        <v>0.9343</v>
      </c>
      <c r="X151">
        <f ca="1">IF(G151="恒定伤害",0,IF(COUNTIF(F151,"*内会*")&gt;0,内会效,IF(D151="轻剑",$AB$2,$AB$3))+IFERROR(INDEX(技能数据库!$T$2:$W$27,MATCH(E151,技能数据库!$T$2:$T$27,0),3)/1024,0))+COUNTIF(G151,"*叠1*")*0.25+COUNTIF(G151,"*叠2*")*0.5+COUNTIF(G151,"*叠3*")*0.75</f>
        <v>2.8217485021</v>
      </c>
      <c r="Y151">
        <f ca="1" t="shared" si="294"/>
        <v>2.70205962551203</v>
      </c>
      <c r="Z151">
        <f t="shared" si="300"/>
        <v>0.150390625</v>
      </c>
      <c r="AA151">
        <f ca="1" t="shared" si="295"/>
        <v>0.0205078125</v>
      </c>
      <c r="AB151">
        <f ca="1" t="shared" si="296"/>
        <v>8918187.731108</v>
      </c>
      <c r="AC151">
        <f ca="1">无穷技能数计算!AJ143</f>
        <v>3</v>
      </c>
      <c r="AD151" s="164">
        <f ca="1" t="shared" si="301"/>
        <v>0.00938400185656007</v>
      </c>
      <c r="AE151" s="168">
        <f ca="1" t="shared" si="285"/>
        <v>0.00445048385691655</v>
      </c>
      <c r="AF151" s="168">
        <f ca="1" t="shared" si="302"/>
        <v>0.00151370525637403</v>
      </c>
      <c r="AG151">
        <f ca="1" t="shared" si="297"/>
        <v>0.00377640149614988</v>
      </c>
      <c r="AH151">
        <f ca="1" t="shared" si="303"/>
        <v>1.00303604903423</v>
      </c>
      <c r="AI151">
        <f ca="1" t="shared" si="304"/>
        <v>1.00016101226475</v>
      </c>
      <c r="AJ151">
        <f ca="1" t="shared" si="305"/>
        <v>1.00057700634931</v>
      </c>
      <c r="AK151">
        <f ca="1" t="shared" si="270"/>
        <v>3</v>
      </c>
      <c r="AL151">
        <f ca="1" t="shared" si="306"/>
        <v>0.00498912700378584</v>
      </c>
      <c r="AM151">
        <f ca="1" t="shared" si="271"/>
        <v>3</v>
      </c>
      <c r="AN151" s="168">
        <f ca="1" t="shared" si="286"/>
        <v>0.00694449658447471</v>
      </c>
      <c r="AO151" s="168">
        <f ca="1" t="shared" si="289"/>
        <v>0.00447057613551372</v>
      </c>
      <c r="AP151" s="172">
        <f ca="1" t="shared" si="307"/>
        <v>0</v>
      </c>
      <c r="AQ151" s="168">
        <f ca="1" t="shared" si="308"/>
        <v>0.00401583628616287</v>
      </c>
      <c r="AR151">
        <f t="shared" si="309"/>
        <v>1</v>
      </c>
    </row>
    <row r="152" spans="4:44">
      <c r="D152" t="s">
        <v>1825</v>
      </c>
      <c r="E152" t="s">
        <v>2808</v>
      </c>
      <c r="G152" t="s">
        <v>3107</v>
      </c>
      <c r="H152">
        <f ca="1">INDEX(技能数据库!$B$2:$I$100,MATCH(无穷伤害与收益计算!$E152,技能数据库!$B$2:$B$100,0),MATCH(H$9,技能数据库!$B$2:$I$2,0))</f>
        <v>535</v>
      </c>
      <c r="I152">
        <f ca="1">INDEX(技能数据库!$B$2:$I$100,MATCH(无穷伤害与收益计算!$E152,技能数据库!$B$2:$B$100,0),MATCH(I$9,技能数据库!$B$2:$I$2,0))</f>
        <v>7.06875</v>
      </c>
      <c r="J152">
        <f ca="1">INDEX(技能数据库!$B$2:$I$100,MATCH(无穷伤害与收益计算!$E152,技能数据库!$B$2:$B$100,0),MATCH(J$9,技能数据库!$B$2:$I$2,0))</f>
        <v>2</v>
      </c>
      <c r="K152">
        <f ca="1">INDEX(技能数据库!$B$2:$I$100,MATCH(无穷伤害与收益计算!$E152,技能数据库!$B$2:$B$100,0),MATCH(K$9,技能数据库!$B$2:$I$2,0))</f>
        <v>0</v>
      </c>
      <c r="L152">
        <f ca="1" t="shared" si="284"/>
        <v>105847</v>
      </c>
      <c r="M152">
        <f ca="1" t="shared" si="290"/>
        <v>19530.5</v>
      </c>
      <c r="N152">
        <f ca="1" t="shared" si="291"/>
        <v>92028</v>
      </c>
      <c r="O152">
        <f ca="1" t="shared" si="298"/>
        <v>787801.98125</v>
      </c>
      <c r="P152">
        <f ca="1">IF(G152="恒定伤害",0,(IF(D152="轻剑",$AZ$2,$AZ$3)+IFERROR(INDEX(技能数据库!$T$2:$W$27,MATCH(E152,技能数据库!$T$2:$T$27,0),4),0)+COUNTIF(G152,"*造化2*")*154+COUNTIF(G152,"*造化1*")*102+COUNTIF(G152,"*碧归*")*307)/1024)</f>
        <v>0.397571271929785</v>
      </c>
      <c r="Q152">
        <f ca="1" t="shared" si="287"/>
        <v>0.448284482196154</v>
      </c>
      <c r="R152">
        <f ca="1" t="shared" si="299"/>
        <v>0.21277697966198</v>
      </c>
      <c r="S152">
        <f ca="1" t="shared" si="292"/>
        <v>1255286.03220241</v>
      </c>
      <c r="T152">
        <f t="shared" si="97"/>
        <v>0.8</v>
      </c>
      <c r="U152">
        <f ca="1" t="shared" si="288"/>
        <v>1.7995442148</v>
      </c>
      <c r="V152">
        <f ca="1" t="shared" si="293"/>
        <v>2811382.99949721</v>
      </c>
      <c r="W152">
        <f ca="1">IF(G152="恒定伤害",0,MIN(1,IF(COUNTIF(F152,"*内会*")&gt;0,内会,IF(D152="轻剑",$Y$2,$Y$3)+COUNTIF(G152,"*莺鸣*")*0.2+COUNTIF(G152,"*叠1*")*0.1+COUNTIF(G152,"*叠2*")*0.2+COUNTIF(G152,"*叠3*")*0.3)+IFERROR(INDEX(技能数据库!$T$2:$W$27,MATCH(E152,技能数据库!$T$2:$T$27,0),2),0)+IF((IF(D152="轻剑",$AO$2,$AO$3)+INT(COUNTIF(G152,"*大莺鸣*")*IF(D152="轻剑",$AM$2,$AM$3)*听晓无双率)/无双系数)&gt;0.9,特效裤子会心/会心系数,0)))</f>
        <v>1</v>
      </c>
      <c r="X152">
        <f ca="1">IF(G152="恒定伤害",0,IF(COUNTIF(F152,"*内会*")&gt;0,内会效,IF(D152="轻剑",$AB$2,$AB$3))+IFERROR(INDEX(技能数据库!$T$2:$W$27,MATCH(E152,技能数据库!$T$2:$T$27,0),3)/1024,0))+COUNTIF(G152,"*叠1*")*0.25+COUNTIF(G152,"*叠2*")*0.5+COUNTIF(G152,"*叠3*")*0.75</f>
        <v>3.0717485021</v>
      </c>
      <c r="Y152">
        <f ca="1" t="shared" si="294"/>
        <v>3.0717485021</v>
      </c>
      <c r="Z152">
        <f t="shared" si="300"/>
        <v>0.150390625</v>
      </c>
      <c r="AA152">
        <f ca="1" t="shared" si="295"/>
        <v>0.0205078125</v>
      </c>
      <c r="AB152">
        <f ca="1" t="shared" si="296"/>
        <v>10138351.3323791</v>
      </c>
      <c r="AC152">
        <f ca="1">无穷技能数计算!AJ144</f>
        <v>4</v>
      </c>
      <c r="AD152" s="164">
        <f ca="1" t="shared" si="301"/>
        <v>0.0142238626043789</v>
      </c>
      <c r="AE152" s="168">
        <f ca="1" t="shared" si="285"/>
        <v>0.00445048385691655</v>
      </c>
      <c r="AF152" s="168">
        <f ca="1" t="shared" si="302"/>
        <v>0.00151370525637403</v>
      </c>
      <c r="AG152">
        <f ca="1" t="shared" si="297"/>
        <v>0.0031975501401067</v>
      </c>
      <c r="AH152">
        <f ca="1" t="shared" si="303"/>
        <v>1.00303604903423</v>
      </c>
      <c r="AI152">
        <f ca="1" t="shared" si="304"/>
        <v>1.00016101226475</v>
      </c>
      <c r="AJ152">
        <f ca="1" t="shared" si="305"/>
        <v>1</v>
      </c>
      <c r="AK152">
        <f ca="1" t="shared" si="270"/>
        <v>4</v>
      </c>
      <c r="AL152">
        <f ca="1" t="shared" si="306"/>
        <v>0</v>
      </c>
      <c r="AM152">
        <f ca="1" t="shared" si="271"/>
        <v>4</v>
      </c>
      <c r="AN152" s="168">
        <f ca="1" t="shared" si="286"/>
        <v>0.00653828267501666</v>
      </c>
      <c r="AO152" s="168">
        <f ca="1" t="shared" si="289"/>
        <v>0.00447057613551372</v>
      </c>
      <c r="AP152" s="172">
        <f ca="1" t="shared" si="307"/>
        <v>0</v>
      </c>
      <c r="AQ152" s="168">
        <f ca="1" t="shared" si="308"/>
        <v>0.00401583628616287</v>
      </c>
      <c r="AR152">
        <f t="shared" si="309"/>
        <v>1</v>
      </c>
    </row>
    <row r="153" spans="4:44">
      <c r="D153" t="s">
        <v>1825</v>
      </c>
      <c r="E153" t="s">
        <v>2768</v>
      </c>
      <c r="G153" t="s">
        <v>3105</v>
      </c>
      <c r="H153">
        <f ca="1">INDEX(技能数据库!$B$2:$I$100,MATCH(无穷伤害与收益计算!$E153,技能数据库!$B$2:$B$100,0),MATCH(H$9,技能数据库!$B$2:$I$2,0))</f>
        <v>210</v>
      </c>
      <c r="I153">
        <f ca="1">INDEX(技能数据库!$B$2:$I$100,MATCH(无穷伤害与收益计算!$E153,技能数据库!$B$2:$B$100,0),MATCH(I$9,技能数据库!$B$2:$I$2,0))</f>
        <v>5.7875</v>
      </c>
      <c r="J153">
        <f ca="1">INDEX(技能数据库!$B$2:$I$100,MATCH(无穷伤害与收益计算!$E153,技能数据库!$B$2:$B$100,0),MATCH(J$9,技能数据库!$B$2:$I$2,0))</f>
        <v>2</v>
      </c>
      <c r="K153">
        <f ca="1">INDEX(技能数据库!$B$2:$I$100,MATCH(无穷伤害与收益计算!$E153,技能数据库!$B$2:$B$100,0),MATCH(K$9,技能数据库!$B$2:$I$2,0))</f>
        <v>0</v>
      </c>
      <c r="L153">
        <f ca="1" t="shared" si="284"/>
        <v>105847</v>
      </c>
      <c r="M153">
        <f ca="1" t="shared" si="290"/>
        <v>19530.5</v>
      </c>
      <c r="N153">
        <f ca="1" t="shared" si="291"/>
        <v>92028</v>
      </c>
      <c r="O153">
        <f ca="1" t="shared" si="298"/>
        <v>651860.5125</v>
      </c>
      <c r="P153">
        <f ca="1">IF(G153="恒定伤害",0,(IF(D153="轻剑",$AZ$2,$AZ$3)+IFERROR(INDEX(技能数据库!$T$2:$W$27,MATCH(E153,技能数据库!$T$2:$T$27,0),4),0)+COUNTIF(G153,"*造化2*")*154+COUNTIF(G153,"*造化1*")*102+COUNTIF(G153,"*碧归*")*307)/1024)</f>
        <v>0.447375959429785</v>
      </c>
      <c r="Q153">
        <f ca="1" t="shared" si="287"/>
        <v>0.448284482196154</v>
      </c>
      <c r="R153">
        <f ca="1" t="shared" si="299"/>
        <v>0.21277697966198</v>
      </c>
      <c r="S153">
        <f ca="1" t="shared" si="292"/>
        <v>1075691.38739809</v>
      </c>
      <c r="T153">
        <f t="shared" si="97"/>
        <v>0.8</v>
      </c>
      <c r="U153">
        <f ca="1" t="shared" si="288"/>
        <v>1.7995442148</v>
      </c>
      <c r="V153">
        <f ca="1" t="shared" si="293"/>
        <v>2409156.4804004</v>
      </c>
      <c r="W153">
        <f ca="1">IF(G153="恒定伤害",0,MIN(1,IF(COUNTIF(F153,"*内会*")&gt;0,内会,IF(D153="轻剑",$Y$2,$Y$3)+COUNTIF(G153,"*莺鸣*")*0.2+COUNTIF(G153,"*叠1*")*0.1+COUNTIF(G153,"*叠2*")*0.2+COUNTIF(G153,"*叠3*")*0.3)+IFERROR(INDEX(技能数据库!$T$2:$W$27,MATCH(E153,技能数据库!$T$2:$T$27,0),2),0)+IF((IF(D153="轻剑",$AO$2,$AO$3)+INT(COUNTIF(G153,"*大莺鸣*")*IF(D153="轻剑",$AM$2,$AM$3)*听晓无双率)/无双系数)&gt;0.9,特效裤子会心/会心系数,0)))</f>
        <v>0.8343</v>
      </c>
      <c r="X153">
        <f ca="1">IF(G153="恒定伤害",0,IF(COUNTIF(F153,"*内会*")&gt;0,内会效,IF(D153="轻剑",$AB$2,$AB$3))+IFERROR(INDEX(技能数据库!$T$2:$W$27,MATCH(E153,技能数据库!$T$2:$T$27,0),3)/1024,0))+COUNTIF(G153,"*叠1*")*0.25+COUNTIF(G153,"*叠2*")*0.5+COUNTIF(G153,"*叠3*")*0.75</f>
        <v>2.5717485021</v>
      </c>
      <c r="Y153">
        <f ca="1" t="shared" si="294"/>
        <v>2.31130977530203</v>
      </c>
      <c r="Z153">
        <f t="shared" si="300"/>
        <v>0.150390625</v>
      </c>
      <c r="AA153">
        <f ca="1" t="shared" si="295"/>
        <v>0.0205078125</v>
      </c>
      <c r="AB153">
        <f ca="1" t="shared" si="296"/>
        <v>6537095.55220802</v>
      </c>
      <c r="AC153">
        <f ca="1">无穷技能数计算!AJ145</f>
        <v>4</v>
      </c>
      <c r="AD153" s="164">
        <f ca="1" t="shared" si="301"/>
        <v>0.0091713875282012</v>
      </c>
      <c r="AE153" s="168">
        <f ca="1" t="shared" si="285"/>
        <v>0.00440370285506441</v>
      </c>
      <c r="AF153" s="168">
        <f ca="1" t="shared" si="302"/>
        <v>0.00182937910355477</v>
      </c>
      <c r="AG153">
        <f ca="1" t="shared" si="297"/>
        <v>0.00374945937747739</v>
      </c>
      <c r="AH153">
        <f ca="1" t="shared" si="303"/>
        <v>1.00300413578163</v>
      </c>
      <c r="AI153">
        <f ca="1" t="shared" si="304"/>
        <v>1.00016101226475</v>
      </c>
      <c r="AJ153">
        <f ca="1" t="shared" si="305"/>
        <v>1.00058198527732</v>
      </c>
      <c r="AK153">
        <f ca="1" t="shared" si="270"/>
        <v>4</v>
      </c>
      <c r="AL153">
        <f ca="1" t="shared" si="306"/>
        <v>0.00503217766381492</v>
      </c>
      <c r="AM153">
        <f ca="1" t="shared" si="271"/>
        <v>4</v>
      </c>
      <c r="AN153" s="168">
        <f ca="1" t="shared" si="286"/>
        <v>0.00724958982916823</v>
      </c>
      <c r="AO153" s="168">
        <f ca="1" t="shared" si="289"/>
        <v>0.00447057613551372</v>
      </c>
      <c r="AP153" s="172">
        <f ca="1" t="shared" si="307"/>
        <v>0</v>
      </c>
      <c r="AQ153" s="168">
        <f ca="1" t="shared" si="308"/>
        <v>0.00401583628616287</v>
      </c>
      <c r="AR153">
        <f t="shared" si="309"/>
        <v>1</v>
      </c>
    </row>
    <row r="154" spans="4:44">
      <c r="D154" t="s">
        <v>1825</v>
      </c>
      <c r="E154" t="s">
        <v>2768</v>
      </c>
      <c r="G154" t="s">
        <v>3106</v>
      </c>
      <c r="H154">
        <f ca="1">INDEX(技能数据库!$B$2:$I$100,MATCH(无穷伤害与收益计算!$E154,技能数据库!$B$2:$B$100,0),MATCH(H$9,技能数据库!$B$2:$I$2,0))</f>
        <v>210</v>
      </c>
      <c r="I154">
        <f ca="1">INDEX(技能数据库!$B$2:$I$100,MATCH(无穷伤害与收益计算!$E154,技能数据库!$B$2:$B$100,0),MATCH(I$9,技能数据库!$B$2:$I$2,0))</f>
        <v>5.7875</v>
      </c>
      <c r="J154">
        <f ca="1">INDEX(技能数据库!$B$2:$I$100,MATCH(无穷伤害与收益计算!$E154,技能数据库!$B$2:$B$100,0),MATCH(J$9,技能数据库!$B$2:$I$2,0))</f>
        <v>2</v>
      </c>
      <c r="K154">
        <f ca="1">INDEX(技能数据库!$B$2:$I$100,MATCH(无穷伤害与收益计算!$E154,技能数据库!$B$2:$B$100,0),MATCH(K$9,技能数据库!$B$2:$I$2,0))</f>
        <v>0</v>
      </c>
      <c r="L154">
        <f ca="1" t="shared" si="284"/>
        <v>105847</v>
      </c>
      <c r="M154">
        <f ca="1" t="shared" si="290"/>
        <v>19530.5</v>
      </c>
      <c r="N154">
        <f ca="1" t="shared" si="291"/>
        <v>92028</v>
      </c>
      <c r="O154">
        <f ca="1" t="shared" si="298"/>
        <v>651860.5125</v>
      </c>
      <c r="P154">
        <f ca="1">IF(G154="恒定伤害",0,(IF(D154="轻剑",$AZ$2,$AZ$3)+IFERROR(INDEX(技能数据库!$T$2:$W$27,MATCH(E154,技能数据库!$T$2:$T$27,0),4),0)+COUNTIF(G154,"*造化2*")*154+COUNTIF(G154,"*造化1*")*102+COUNTIF(G154,"*碧归*")*307)/1024)</f>
        <v>0.447375959429785</v>
      </c>
      <c r="Q154">
        <f ca="1" t="shared" si="287"/>
        <v>0.448284482196154</v>
      </c>
      <c r="R154">
        <f ca="1" t="shared" si="299"/>
        <v>0.21277697966198</v>
      </c>
      <c r="S154">
        <f ca="1" t="shared" si="292"/>
        <v>1075691.38739809</v>
      </c>
      <c r="T154">
        <f t="shared" si="97"/>
        <v>0.8</v>
      </c>
      <c r="U154">
        <f ca="1" t="shared" si="288"/>
        <v>1.7995442148</v>
      </c>
      <c r="V154">
        <f ca="1" t="shared" si="293"/>
        <v>2409156.4804004</v>
      </c>
      <c r="W154">
        <f ca="1">IF(G154="恒定伤害",0,MIN(1,IF(COUNTIF(F154,"*内会*")&gt;0,内会,IF(D154="轻剑",$Y$2,$Y$3)+COUNTIF(G154,"*莺鸣*")*0.2+COUNTIF(G154,"*叠1*")*0.1+COUNTIF(G154,"*叠2*")*0.2+COUNTIF(G154,"*叠3*")*0.3)+IFERROR(INDEX(技能数据库!$T$2:$W$27,MATCH(E154,技能数据库!$T$2:$T$27,0),2),0)+IF((IF(D154="轻剑",$AO$2,$AO$3)+INT(COUNTIF(G154,"*大莺鸣*")*IF(D154="轻剑",$AM$2,$AM$3)*听晓无双率)/无双系数)&gt;0.9,特效裤子会心/会心系数,0)))</f>
        <v>0.9343</v>
      </c>
      <c r="X154">
        <f ca="1">IF(G154="恒定伤害",0,IF(COUNTIF(F154,"*内会*")&gt;0,内会效,IF(D154="轻剑",$AB$2,$AB$3))+IFERROR(INDEX(技能数据库!$T$2:$W$27,MATCH(E154,技能数据库!$T$2:$T$27,0),3)/1024,0))+COUNTIF(G154,"*叠1*")*0.25+COUNTIF(G154,"*叠2*")*0.5+COUNTIF(G154,"*叠3*")*0.75</f>
        <v>2.8217485021</v>
      </c>
      <c r="Y154">
        <f ca="1" t="shared" si="294"/>
        <v>2.70205962551203</v>
      </c>
      <c r="Z154">
        <f t="shared" si="300"/>
        <v>0.150390625</v>
      </c>
      <c r="AA154">
        <f ca="1" t="shared" si="295"/>
        <v>0.0205078125</v>
      </c>
      <c r="AB154">
        <f ca="1" t="shared" si="296"/>
        <v>7642256.41603033</v>
      </c>
      <c r="AC154">
        <f ca="1">无穷技能数计算!AJ146</f>
        <v>3</v>
      </c>
      <c r="AD154" s="164">
        <f ca="1" t="shared" si="301"/>
        <v>0.00804142619090469</v>
      </c>
      <c r="AE154" s="168">
        <f ca="1" t="shared" si="285"/>
        <v>0.00440370285506441</v>
      </c>
      <c r="AF154" s="168">
        <f ca="1" t="shared" si="302"/>
        <v>0.00182937910355477</v>
      </c>
      <c r="AG154">
        <f ca="1" t="shared" si="297"/>
        <v>0.00374446468801604</v>
      </c>
      <c r="AH154">
        <f ca="1" t="shared" si="303"/>
        <v>1.00300413578163</v>
      </c>
      <c r="AI154">
        <f ca="1" t="shared" si="304"/>
        <v>1.00016101226475</v>
      </c>
      <c r="AJ154">
        <f ca="1" t="shared" si="305"/>
        <v>1.00057700634931</v>
      </c>
      <c r="AK154">
        <f ca="1" t="shared" si="270"/>
        <v>3</v>
      </c>
      <c r="AL154">
        <f ca="1" t="shared" si="306"/>
        <v>0.00498912700378584</v>
      </c>
      <c r="AM154">
        <f ca="1" t="shared" si="271"/>
        <v>3</v>
      </c>
      <c r="AN154" s="168">
        <f ca="1" t="shared" si="286"/>
        <v>0.00694449658447471</v>
      </c>
      <c r="AO154" s="168">
        <f ca="1" t="shared" si="289"/>
        <v>0.00447057613551372</v>
      </c>
      <c r="AP154" s="172">
        <f ca="1" t="shared" si="307"/>
        <v>0</v>
      </c>
      <c r="AQ154" s="168">
        <f ca="1" t="shared" si="308"/>
        <v>0.00401583628616287</v>
      </c>
      <c r="AR154">
        <f t="shared" si="309"/>
        <v>1</v>
      </c>
    </row>
    <row r="155" spans="4:44">
      <c r="D155" t="s">
        <v>1825</v>
      </c>
      <c r="E155" t="s">
        <v>2768</v>
      </c>
      <c r="G155" t="s">
        <v>3107</v>
      </c>
      <c r="H155">
        <f ca="1">INDEX(技能数据库!$B$2:$I$100,MATCH(无穷伤害与收益计算!$E155,技能数据库!$B$2:$B$100,0),MATCH(H$9,技能数据库!$B$2:$I$2,0))</f>
        <v>210</v>
      </c>
      <c r="I155">
        <f ca="1">INDEX(技能数据库!$B$2:$I$100,MATCH(无穷伤害与收益计算!$E155,技能数据库!$B$2:$B$100,0),MATCH(I$9,技能数据库!$B$2:$I$2,0))</f>
        <v>5.7875</v>
      </c>
      <c r="J155">
        <f ca="1">INDEX(技能数据库!$B$2:$I$100,MATCH(无穷伤害与收益计算!$E155,技能数据库!$B$2:$B$100,0),MATCH(J$9,技能数据库!$B$2:$I$2,0))</f>
        <v>2</v>
      </c>
      <c r="K155">
        <f ca="1">INDEX(技能数据库!$B$2:$I$100,MATCH(无穷伤害与收益计算!$E155,技能数据库!$B$2:$B$100,0),MATCH(K$9,技能数据库!$B$2:$I$2,0))</f>
        <v>0</v>
      </c>
      <c r="L155">
        <f ca="1" t="shared" si="284"/>
        <v>105847</v>
      </c>
      <c r="M155">
        <f ca="1" t="shared" si="290"/>
        <v>19530.5</v>
      </c>
      <c r="N155">
        <f ca="1" t="shared" si="291"/>
        <v>92028</v>
      </c>
      <c r="O155">
        <f ca="1" t="shared" si="298"/>
        <v>651860.5125</v>
      </c>
      <c r="P155">
        <f ca="1">IF(G155="恒定伤害",0,(IF(D155="轻剑",$AZ$2,$AZ$3)+IFERROR(INDEX(技能数据库!$T$2:$W$27,MATCH(E155,技能数据库!$T$2:$T$27,0),4),0)+COUNTIF(G155,"*造化2*")*154+COUNTIF(G155,"*造化1*")*102+COUNTIF(G155,"*碧归*")*307)/1024)</f>
        <v>0.447375959429785</v>
      </c>
      <c r="Q155">
        <f ca="1" t="shared" si="287"/>
        <v>0.448284482196154</v>
      </c>
      <c r="R155">
        <f ca="1" t="shared" si="299"/>
        <v>0.21277697966198</v>
      </c>
      <c r="S155">
        <f ca="1" t="shared" si="292"/>
        <v>1075691.38739809</v>
      </c>
      <c r="T155">
        <f t="shared" si="97"/>
        <v>0.8</v>
      </c>
      <c r="U155">
        <f ca="1" t="shared" si="288"/>
        <v>1.7995442148</v>
      </c>
      <c r="V155">
        <f ca="1" t="shared" si="293"/>
        <v>2409156.4804004</v>
      </c>
      <c r="W155">
        <f ca="1">IF(G155="恒定伤害",0,MIN(1,IF(COUNTIF(F155,"*内会*")&gt;0,内会,IF(D155="轻剑",$Y$2,$Y$3)+COUNTIF(G155,"*莺鸣*")*0.2+COUNTIF(G155,"*叠1*")*0.1+COUNTIF(G155,"*叠2*")*0.2+COUNTIF(G155,"*叠3*")*0.3)+IFERROR(INDEX(技能数据库!$T$2:$W$27,MATCH(E155,技能数据库!$T$2:$T$27,0),2),0)+IF((IF(D155="轻剑",$AO$2,$AO$3)+INT(COUNTIF(G155,"*大莺鸣*")*IF(D155="轻剑",$AM$2,$AM$3)*听晓无双率)/无双系数)&gt;0.9,特效裤子会心/会心系数,0)))</f>
        <v>1</v>
      </c>
      <c r="X155">
        <f ca="1">IF(G155="恒定伤害",0,IF(COUNTIF(F155,"*内会*")&gt;0,内会效,IF(D155="轻剑",$AB$2,$AB$3))+IFERROR(INDEX(技能数据库!$T$2:$W$27,MATCH(E155,技能数据库!$T$2:$T$27,0),3)/1024,0))+COUNTIF(G155,"*叠1*")*0.25+COUNTIF(G155,"*叠2*")*0.5+COUNTIF(G155,"*叠3*")*0.75</f>
        <v>3.0717485021</v>
      </c>
      <c r="Y155">
        <f ca="1" t="shared" si="294"/>
        <v>3.0717485021</v>
      </c>
      <c r="Z155">
        <f t="shared" si="300"/>
        <v>0.150390625</v>
      </c>
      <c r="AA155">
        <f ca="1" t="shared" si="295"/>
        <v>0.0205078125</v>
      </c>
      <c r="AB155">
        <f ca="1" t="shared" si="296"/>
        <v>8687850.36309362</v>
      </c>
      <c r="AC155">
        <f ca="1">无穷技能数计算!AJ147</f>
        <v>8</v>
      </c>
      <c r="AD155" s="164">
        <f ca="1" t="shared" si="301"/>
        <v>0.0243776893975618</v>
      </c>
      <c r="AE155" s="168">
        <f ca="1" t="shared" si="285"/>
        <v>0.00440370285506441</v>
      </c>
      <c r="AF155" s="168">
        <f ca="1" t="shared" si="302"/>
        <v>0.00182937910355477</v>
      </c>
      <c r="AG155">
        <f ca="1" t="shared" si="297"/>
        <v>0.00316563174908713</v>
      </c>
      <c r="AH155">
        <f ca="1" t="shared" si="303"/>
        <v>1.00300413578163</v>
      </c>
      <c r="AI155">
        <f ca="1" t="shared" si="304"/>
        <v>1.00016101226475</v>
      </c>
      <c r="AJ155">
        <f ca="1" t="shared" si="305"/>
        <v>1</v>
      </c>
      <c r="AK155">
        <f ca="1" t="shared" si="270"/>
        <v>8</v>
      </c>
      <c r="AL155">
        <f ca="1" t="shared" si="306"/>
        <v>0</v>
      </c>
      <c r="AM155">
        <f ca="1" t="shared" si="271"/>
        <v>8</v>
      </c>
      <c r="AN155" s="168">
        <f ca="1" t="shared" si="286"/>
        <v>0.00653828267501666</v>
      </c>
      <c r="AO155" s="168">
        <f ca="1" t="shared" si="289"/>
        <v>0.00447057613551372</v>
      </c>
      <c r="AP155" s="172">
        <f ca="1" t="shared" si="307"/>
        <v>0</v>
      </c>
      <c r="AQ155" s="168">
        <f ca="1" t="shared" si="308"/>
        <v>0.00401583628616287</v>
      </c>
      <c r="AR155">
        <f t="shared" si="309"/>
        <v>1</v>
      </c>
    </row>
    <row r="156" spans="4:44">
      <c r="D156" t="s">
        <v>1825</v>
      </c>
      <c r="E156" t="s">
        <v>2723</v>
      </c>
      <c r="G156" t="s">
        <v>3108</v>
      </c>
      <c r="H156">
        <f ca="1">INDEX(技能数据库!$B$2:$I$100,MATCH(无穷伤害与收益计算!$E156,技能数据库!$B$2:$B$100,0),MATCH(H$9,技能数据库!$B$2:$I$2,0))</f>
        <v>143</v>
      </c>
      <c r="I156">
        <f ca="1">INDEX(技能数据库!$B$2:$I$100,MATCH(无穷伤害与收益计算!$E156,技能数据库!$B$2:$B$100,0),MATCH(I$9,技能数据库!$B$2:$I$2,0))</f>
        <v>2.53125</v>
      </c>
      <c r="J156">
        <f ca="1">INDEX(技能数据库!$B$2:$I$100,MATCH(无穷伤害与收益计算!$E156,技能数据库!$B$2:$B$100,0),MATCH(J$9,技能数据库!$B$2:$I$2,0))</f>
        <v>2</v>
      </c>
      <c r="K156">
        <f ca="1">INDEX(技能数据库!$B$2:$I$100,MATCH(无穷伤害与收益计算!$E156,技能数据库!$B$2:$B$100,0),MATCH(K$9,技能数据库!$B$2:$I$2,0))</f>
        <v>0</v>
      </c>
      <c r="L156">
        <f ca="1" t="shared" si="284"/>
        <v>105847</v>
      </c>
      <c r="M156">
        <f ca="1" t="shared" si="290"/>
        <v>19530.5</v>
      </c>
      <c r="N156">
        <f ca="1" t="shared" si="291"/>
        <v>92028</v>
      </c>
      <c r="O156">
        <f ca="1" t="shared" si="298"/>
        <v>307129.21875</v>
      </c>
      <c r="P156">
        <f ca="1">IF(G156="恒定伤害",0,(IF(D156="轻剑",$AZ$2,$AZ$3)+IFERROR(INDEX(技能数据库!$T$2:$W$27,MATCH(E156,技能数据库!$T$2:$T$27,0),4),0)+COUNTIF(G156,"*造化2*")*154+COUNTIF(G156,"*造化1*")*102+COUNTIF(G156,"*碧归*")*307)/1024)</f>
        <v>0.176868146929785</v>
      </c>
      <c r="Q156">
        <f ca="1" t="shared" si="287"/>
        <v>0.448284482196154</v>
      </c>
      <c r="R156">
        <f ca="1" t="shared" si="299"/>
        <v>0.21277697966198</v>
      </c>
      <c r="S156">
        <f ca="1" t="shared" si="292"/>
        <v>412098.094407014</v>
      </c>
      <c r="T156">
        <f t="shared" ref="T156:T159" si="310">1-($F$6-130)*0.05</f>
        <v>0.8</v>
      </c>
      <c r="U156">
        <f ca="1" t="shared" si="288"/>
        <v>1.7995442148</v>
      </c>
      <c r="V156">
        <f ca="1" t="shared" si="293"/>
        <v>922949.468901808</v>
      </c>
      <c r="W156">
        <f ca="1">IF(G156="恒定伤害",0,MIN(1,IF(COUNTIF(F156,"*内会*")&gt;0,内会,IF(D156="轻剑",$Y$2,$Y$3)+COUNTIF(G156,"*莺鸣*")*0.2+COUNTIF(G156,"*叠1*")*0.1+COUNTIF(G156,"*叠2*")*0.2+COUNTIF(G156,"*叠3*")*0.3)+IFERROR(INDEX(技能数据库!$T$2:$W$27,MATCH(E156,技能数据库!$T$2:$T$27,0),2),0)+IF((IF(D156="轻剑",$AO$2,$AO$3)+INT(COUNTIF(G156,"*大莺鸣*")*IF(D156="轻剑",$AM$2,$AM$3)*听晓无双率)/无双系数)&gt;0.9,特效裤子会心/会心系数,0)))</f>
        <v>0.8343</v>
      </c>
      <c r="X156">
        <f ca="1">IF(G156="恒定伤害",0,IF(COUNTIF(F156,"*内会*")&gt;0,内会效,IF(D156="轻剑",$AB$2,$AB$3))+IFERROR(INDEX(技能数据库!$T$2:$W$27,MATCH(E156,技能数据库!$T$2:$T$27,0),3)/1024,0))+COUNTIF(G156,"*叠1*")*0.25+COUNTIF(G156,"*叠2*")*0.5+COUNTIF(G156,"*叠3*")*0.75</f>
        <v>2.5717485021</v>
      </c>
      <c r="Y156">
        <f ca="1" t="shared" si="294"/>
        <v>2.31130977530203</v>
      </c>
      <c r="Z156">
        <f t="shared" si="300"/>
        <v>0.150390625</v>
      </c>
      <c r="AA156">
        <f ca="1" t="shared" si="295"/>
        <v>0.0205078125</v>
      </c>
      <c r="AB156">
        <f ca="1" t="shared" si="296"/>
        <v>2504365.70523971</v>
      </c>
      <c r="AC156" s="171">
        <f ca="1">($AC$144+$AC$150+$AC$153+$AC$194+$AC$200+$AC$203)*MIN(1,0.1+$Y$3+0.3)</f>
        <v>8</v>
      </c>
      <c r="AD156" s="164">
        <f ca="1" t="shared" si="301"/>
        <v>0.00702712946801955</v>
      </c>
      <c r="AE156" s="168">
        <f ca="1" t="shared" si="285"/>
        <v>0.00408785593604483</v>
      </c>
      <c r="AF156" s="168">
        <f ca="1" t="shared" si="302"/>
        <v>0.00388273054857305</v>
      </c>
      <c r="AG156">
        <f ca="1" t="shared" si="297"/>
        <v>0.00353383354119297</v>
      </c>
      <c r="AH156">
        <f ca="1" t="shared" si="303"/>
        <v>1.00278867005604</v>
      </c>
      <c r="AI156">
        <f ca="1" t="shared" si="304"/>
        <v>1.00016101226475</v>
      </c>
      <c r="AJ156">
        <f ca="1" t="shared" si="305"/>
        <v>1.00058198527732</v>
      </c>
      <c r="AK156" s="171">
        <f ca="1">(($AC$144+$AC$150+$AC$153+$AC$194+$AC$200+$AC$203))*MIN(1,0.1+$Y$2+0.3+((delta身法+INT((IF(D139="轻剑",$N$2,$N$3))/1024*delta身法))*身法转基础会心/会心系数))</f>
        <v>8</v>
      </c>
      <c r="AL156">
        <f ca="1" t="shared" si="306"/>
        <v>0.00503217766381492</v>
      </c>
      <c r="AM156" s="171">
        <f ca="1">($AC$144+$AC$150+$AC$153+$AC$194+$AC$200+$AC$203)*MIN(1,0.1+$Y$2+0.3+delta会心/会心系数)</f>
        <v>8</v>
      </c>
      <c r="AN156" s="168">
        <f ca="1" t="shared" si="286"/>
        <v>0.00724958982916823</v>
      </c>
      <c r="AO156" s="168">
        <f ca="1" t="shared" si="289"/>
        <v>0.00447057613551372</v>
      </c>
      <c r="AP156" s="172">
        <f ca="1" t="shared" si="307"/>
        <v>0</v>
      </c>
      <c r="AQ156" s="168">
        <f ca="1" t="shared" si="308"/>
        <v>0.00401583628616287</v>
      </c>
      <c r="AR156">
        <f t="shared" si="309"/>
        <v>1</v>
      </c>
    </row>
    <row r="157" spans="4:44">
      <c r="D157" t="s">
        <v>1825</v>
      </c>
      <c r="E157" t="s">
        <v>2723</v>
      </c>
      <c r="G157" t="s">
        <v>3109</v>
      </c>
      <c r="H157">
        <f ca="1">INDEX(技能数据库!$B$2:$I$100,MATCH(无穷伤害与收益计算!$E157,技能数据库!$B$2:$B$100,0),MATCH(H$9,技能数据库!$B$2:$I$2,0))</f>
        <v>143</v>
      </c>
      <c r="I157">
        <f ca="1">INDEX(技能数据库!$B$2:$I$100,MATCH(无穷伤害与收益计算!$E157,技能数据库!$B$2:$B$100,0),MATCH(I$9,技能数据库!$B$2:$I$2,0))</f>
        <v>2.53125</v>
      </c>
      <c r="J157">
        <f ca="1">INDEX(技能数据库!$B$2:$I$100,MATCH(无穷伤害与收益计算!$E157,技能数据库!$B$2:$B$100,0),MATCH(J$9,技能数据库!$B$2:$I$2,0))</f>
        <v>2</v>
      </c>
      <c r="K157">
        <f ca="1">INDEX(技能数据库!$B$2:$I$100,MATCH(无穷伤害与收益计算!$E157,技能数据库!$B$2:$B$100,0),MATCH(K$9,技能数据库!$B$2:$I$2,0))</f>
        <v>0</v>
      </c>
      <c r="L157">
        <f ca="1" t="shared" si="284"/>
        <v>105847</v>
      </c>
      <c r="M157">
        <f ca="1" t="shared" si="290"/>
        <v>19530.5</v>
      </c>
      <c r="N157">
        <f ca="1" t="shared" si="291"/>
        <v>92028</v>
      </c>
      <c r="O157">
        <f ca="1" t="shared" si="298"/>
        <v>307129.21875</v>
      </c>
      <c r="P157">
        <f ca="1">IF(G157="恒定伤害",0,(IF(D157="轻剑",$AZ$2,$AZ$3)+IFERROR(INDEX(技能数据库!$T$2:$W$27,MATCH(E157,技能数据库!$T$2:$T$27,0),4),0)+COUNTIF(G157,"*造化2*")*154+COUNTIF(G157,"*造化1*")*102+COUNTIF(G157,"*碧归*")*307)/1024)</f>
        <v>0.176868146929785</v>
      </c>
      <c r="Q157">
        <f ca="1" t="shared" ref="Q157:Q172" si="311">IF(G157="恒定伤害",0,(IF(COUNTIF(F157,"*内破*")&gt;0,内破,IF(D157="轻剑",$AF$2,$AF$3)/破防系数))+IF((IF(D157="轻剑",$AO$2,$AO$3)+INT(COUNTIF(G157,"*大莺鸣*")*IF(D157="轻剑",$AM$2,$AM$3)*听晓无双率)/无双系数)&gt;0.9,(特效裤子破防+特效裤子破防*IF(D157="轻剑",$AD$2,$AD$3)/1024)/破防系数,0))</f>
        <v>0.448284482196154</v>
      </c>
      <c r="R157">
        <f ca="1" t="shared" si="299"/>
        <v>0.21277697966198</v>
      </c>
      <c r="S157">
        <f ca="1" t="shared" si="292"/>
        <v>412098.094407014</v>
      </c>
      <c r="T157">
        <f t="shared" si="310"/>
        <v>0.8</v>
      </c>
      <c r="U157">
        <f ca="1" t="shared" ref="U157:U172" si="312">IF(G157="恒定伤害",0,(IF(D157="轻剑",$AO$2,$AO$3)+INT(COUNTIF(G157,"*大莺鸣*")*IF(D157="轻剑",$AM$2,$AM$3)*听晓无双率)/无双系数)+IF((IF(D157="轻剑",$AO$2,$AO$3)+INT(COUNTIF(G157,"*大莺鸣*")*IF(D157="轻剑",$AM$2,$AM$3)*听晓无双率)/无双系数)&lt;=0.9,特效裤子无双,0))</f>
        <v>1.7995442148</v>
      </c>
      <c r="V157">
        <f ca="1" t="shared" si="293"/>
        <v>922949.468901808</v>
      </c>
      <c r="W157">
        <f ca="1">IF(G157="恒定伤害",0,MIN(1,IF(COUNTIF(F157,"*内会*")&gt;0,内会,IF(D157="轻剑",$Y$2,$Y$3)+COUNTIF(G157,"*莺鸣*")*0.2+COUNTIF(G157,"*叠1*")*0.1+COUNTIF(G157,"*叠2*")*0.2+COUNTIF(G157,"*叠3*")*0.3)+IFERROR(INDEX(技能数据库!$T$2:$W$27,MATCH(E157,技能数据库!$T$2:$T$27,0),2),0)+IF((IF(D157="轻剑",$AO$2,$AO$3)+INT(COUNTIF(G157,"*大莺鸣*")*IF(D157="轻剑",$AM$2,$AM$3)*听晓无双率)/无双系数)&gt;0.9,特效裤子会心/会心系数,0)))</f>
        <v>0.9343</v>
      </c>
      <c r="X157">
        <f ca="1">IF(G157="恒定伤害",0,IF(COUNTIF(F157,"*内会*")&gt;0,内会效,IF(D157="轻剑",$AB$2,$AB$3))+IFERROR(INDEX(技能数据库!$T$2:$W$27,MATCH(E157,技能数据库!$T$2:$T$27,0),3)/1024,0))+COUNTIF(G157,"*叠1*")*0.25+COUNTIF(G157,"*叠2*")*0.5+COUNTIF(G157,"*叠3*")*0.75</f>
        <v>2.8217485021</v>
      </c>
      <c r="Y157">
        <f ca="1" t="shared" si="294"/>
        <v>2.70205962551203</v>
      </c>
      <c r="Z157">
        <f t="shared" si="300"/>
        <v>0.150390625</v>
      </c>
      <c r="AA157">
        <f ca="1" t="shared" si="295"/>
        <v>0.0205078125</v>
      </c>
      <c r="AB157">
        <f ca="1" t="shared" si="296"/>
        <v>2927753.57589655</v>
      </c>
      <c r="AC157" s="171">
        <f ca="1">($AC$145+$AC$151+$AC$154+$AC$195+$AC$201+$AC$204)*MIN(1,0.2+$Y$3+0.3)</f>
        <v>6</v>
      </c>
      <c r="AD157" s="164">
        <f ca="1" t="shared" si="301"/>
        <v>0.00616135157055059</v>
      </c>
      <c r="AE157" s="168">
        <f ca="1" t="shared" si="285"/>
        <v>0.00408785593604483</v>
      </c>
      <c r="AF157" s="168">
        <f ca="1" t="shared" si="302"/>
        <v>0.00388273054857305</v>
      </c>
      <c r="AG157">
        <f ca="1" t="shared" si="297"/>
        <v>0.00352883992469266</v>
      </c>
      <c r="AH157">
        <f ca="1" t="shared" si="303"/>
        <v>1.00278867005604</v>
      </c>
      <c r="AI157">
        <f ca="1" t="shared" si="304"/>
        <v>1.00016101226475</v>
      </c>
      <c r="AJ157">
        <f ca="1" t="shared" si="305"/>
        <v>1.00057700634931</v>
      </c>
      <c r="AK157" s="171">
        <f ca="1">($AC$145+$AC$151+$AC$154+$AC$195+$AC$201+$AC$204)*MIN(1,$Y$2+0.2+0.3+((delta身法+INT((IF(D139="轻剑",$N$2,$N$3))/1024*delta身法))*身法转基础会心/会心系数))</f>
        <v>6</v>
      </c>
      <c r="AL157">
        <f ca="1" t="shared" si="306"/>
        <v>0.00498912700378584</v>
      </c>
      <c r="AM157" s="171">
        <f ca="1">($AC$145+$AC$151+$AC$154+$AC$195+$AC$201+$AC$204)*MIN(1,$Y$2+0.2+0.3+delta会心/会心系数)</f>
        <v>6</v>
      </c>
      <c r="AN157" s="168">
        <f ca="1" t="shared" si="286"/>
        <v>0.00694449658447471</v>
      </c>
      <c r="AO157" s="168">
        <f ca="1" t="shared" ref="AO157:AO172" si="313">IF(OR(COUNTIF(F157,"*内破*")&gt;0,G157="恒定伤害"),0,IFERROR(((delta破防+INT((IF(D157="轻剑",$AD$2,$AD$3))/1024*delta破防))/破防系数+Q157+1)/(Q157+1)-1,0))</f>
        <v>0.00447057613551372</v>
      </c>
      <c r="AP157" s="172">
        <f ca="1" t="shared" si="307"/>
        <v>0</v>
      </c>
      <c r="AQ157" s="168">
        <f ca="1" t="shared" si="308"/>
        <v>0.00401583628616287</v>
      </c>
      <c r="AR157">
        <f t="shared" si="309"/>
        <v>1</v>
      </c>
    </row>
    <row r="158" spans="4:44">
      <c r="D158" t="s">
        <v>1825</v>
      </c>
      <c r="E158" t="s">
        <v>2723</v>
      </c>
      <c r="G158" t="s">
        <v>3110</v>
      </c>
      <c r="H158">
        <f ca="1">INDEX(技能数据库!$B$2:$I$100,MATCH(无穷伤害与收益计算!$E158,技能数据库!$B$2:$B$100,0),MATCH(H$9,技能数据库!$B$2:$I$2,0))</f>
        <v>143</v>
      </c>
      <c r="I158">
        <f ca="1">INDEX(技能数据库!$B$2:$I$100,MATCH(无穷伤害与收益计算!$E158,技能数据库!$B$2:$B$100,0),MATCH(I$9,技能数据库!$B$2:$I$2,0))</f>
        <v>2.53125</v>
      </c>
      <c r="J158">
        <f ca="1">INDEX(技能数据库!$B$2:$I$100,MATCH(无穷伤害与收益计算!$E158,技能数据库!$B$2:$B$100,0),MATCH(J$9,技能数据库!$B$2:$I$2,0))</f>
        <v>2</v>
      </c>
      <c r="K158">
        <f ca="1">INDEX(技能数据库!$B$2:$I$100,MATCH(无穷伤害与收益计算!$E158,技能数据库!$B$2:$B$100,0),MATCH(K$9,技能数据库!$B$2:$I$2,0))</f>
        <v>0</v>
      </c>
      <c r="L158">
        <f ca="1" t="shared" si="284"/>
        <v>105847</v>
      </c>
      <c r="M158">
        <f ca="1" t="shared" si="290"/>
        <v>19530.5</v>
      </c>
      <c r="N158">
        <f ca="1" t="shared" si="291"/>
        <v>92028</v>
      </c>
      <c r="O158">
        <f ca="1" t="shared" si="298"/>
        <v>307129.21875</v>
      </c>
      <c r="P158">
        <f ca="1">IF(G158="恒定伤害",0,(IF(D158="轻剑",$AZ$2,$AZ$3)+IFERROR(INDEX(技能数据库!$T$2:$W$27,MATCH(E158,技能数据库!$T$2:$T$27,0),4),0)+COUNTIF(G158,"*造化2*")*154+COUNTIF(G158,"*造化1*")*102+COUNTIF(G158,"*碧归*")*307)/1024)</f>
        <v>0.176868146929785</v>
      </c>
      <c r="Q158">
        <f ca="1" t="shared" si="311"/>
        <v>0.448284482196154</v>
      </c>
      <c r="R158">
        <f ca="1" t="shared" si="299"/>
        <v>0.21277697966198</v>
      </c>
      <c r="S158">
        <f ca="1" t="shared" si="292"/>
        <v>412098.094407014</v>
      </c>
      <c r="T158">
        <f t="shared" si="310"/>
        <v>0.8</v>
      </c>
      <c r="U158">
        <f ca="1" t="shared" si="312"/>
        <v>1.7995442148</v>
      </c>
      <c r="V158">
        <f ca="1" t="shared" si="293"/>
        <v>922949.468901808</v>
      </c>
      <c r="W158">
        <f ca="1">IF(G158="恒定伤害",0,MIN(1,IF(COUNTIF(F158,"*内会*")&gt;0,内会,IF(D158="轻剑",$Y$2,$Y$3)+COUNTIF(G158,"*莺鸣*")*0.2+COUNTIF(G158,"*叠1*")*0.1+COUNTIF(G158,"*叠2*")*0.2+COUNTIF(G158,"*叠3*")*0.3)+IFERROR(INDEX(技能数据库!$T$2:$W$27,MATCH(E158,技能数据库!$T$2:$T$27,0),2),0)+IF((IF(D158="轻剑",$AO$2,$AO$3)+INT(COUNTIF(G158,"*大莺鸣*")*IF(D158="轻剑",$AM$2,$AM$3)*听晓无双率)/无双系数)&gt;0.9,特效裤子会心/会心系数,0)))</f>
        <v>1</v>
      </c>
      <c r="X158">
        <f ca="1">IF(G158="恒定伤害",0,IF(COUNTIF(F158,"*内会*")&gt;0,内会效,IF(D158="轻剑",$AB$2,$AB$3))+IFERROR(INDEX(技能数据库!$T$2:$W$27,MATCH(E158,技能数据库!$T$2:$T$27,0),3)/1024,0))+COUNTIF(G158,"*叠1*")*0.25+COUNTIF(G158,"*叠2*")*0.5+COUNTIF(G158,"*叠3*")*0.75</f>
        <v>3.0717485021</v>
      </c>
      <c r="Y158">
        <f ca="1" t="shared" si="294"/>
        <v>3.0717485021</v>
      </c>
      <c r="Z158">
        <f t="shared" si="300"/>
        <v>0.150390625</v>
      </c>
      <c r="AA158">
        <f ca="1" t="shared" si="295"/>
        <v>0.0205078125</v>
      </c>
      <c r="AB158">
        <f ca="1" t="shared" si="296"/>
        <v>3328321.320657</v>
      </c>
      <c r="AC158" s="171">
        <f ca="1">($AC$146+$AC$152+$AC$155+$AC$196+$AC$202+$AC$205)*MIN(1,0.3+$Y$3+0.3)</f>
        <v>44</v>
      </c>
      <c r="AD158" s="164">
        <f ca="1" t="shared" si="301"/>
        <v>0.0513651006734791</v>
      </c>
      <c r="AE158" s="168">
        <f ca="1" t="shared" si="285"/>
        <v>0.00408785593604483</v>
      </c>
      <c r="AF158" s="168">
        <f ca="1" t="shared" si="302"/>
        <v>0.00388273054857305</v>
      </c>
      <c r="AG158">
        <f ca="1" t="shared" si="297"/>
        <v>0.00295013133087352</v>
      </c>
      <c r="AH158">
        <f ca="1" t="shared" si="303"/>
        <v>1.00278867005604</v>
      </c>
      <c r="AI158">
        <f ca="1" t="shared" si="304"/>
        <v>1.00016101226475</v>
      </c>
      <c r="AJ158">
        <f ca="1" t="shared" si="305"/>
        <v>1</v>
      </c>
      <c r="AK158" s="171">
        <f ca="1">($AC$146+$AC$152+$AC$155+$AC$196+$AC$202+$AC$205)*MIN(1,0.3+$Y$2+0.3+((delta身法+INT((IF(D139="轻剑",$N$2,$N$3))/1024*delta身法))*身法转基础会心/会心系数))</f>
        <v>44</v>
      </c>
      <c r="AL158">
        <f ca="1" t="shared" si="306"/>
        <v>0</v>
      </c>
      <c r="AM158" s="171">
        <f ca="1">($AC$146+$AC$152+$AC$155+$AC$196+$AC$202+$AC$205)*MIN(1,0.3+$Y$2+0.3+delta会心/会心系数)</f>
        <v>44</v>
      </c>
      <c r="AN158" s="168">
        <f ca="1" t="shared" si="286"/>
        <v>0.00653828267501666</v>
      </c>
      <c r="AO158" s="168">
        <f ca="1" t="shared" si="313"/>
        <v>0.00447057613551372</v>
      </c>
      <c r="AP158" s="172">
        <f ca="1" t="shared" si="307"/>
        <v>0</v>
      </c>
      <c r="AQ158" s="168">
        <f ca="1" t="shared" si="308"/>
        <v>0.00401583628616287</v>
      </c>
      <c r="AR158">
        <f t="shared" si="309"/>
        <v>1</v>
      </c>
    </row>
    <row r="159" spans="4:44">
      <c r="D159" t="s">
        <v>1825</v>
      </c>
      <c r="E159" t="s">
        <v>2792</v>
      </c>
      <c r="G159" t="s">
        <v>3108</v>
      </c>
      <c r="H159">
        <f ca="1">INDEX(技能数据库!$B$2:$I$100,MATCH(无穷伤害与收益计算!$E159,技能数据库!$B$2:$B$100,0),MATCH(H$9,技能数据库!$B$2:$I$2,0))</f>
        <v>0</v>
      </c>
      <c r="I159">
        <f ca="1">INDEX(技能数据库!$B$2:$I$100,MATCH(无穷伤害与收益计算!$E159,技能数据库!$B$2:$B$100,0),MATCH(I$9,技能数据库!$B$2:$I$2,0))</f>
        <v>0.16875</v>
      </c>
      <c r="J159">
        <f ca="1">INDEX(技能数据库!$B$2:$I$100,MATCH(无穷伤害与收益计算!$E159,技能数据库!$B$2:$B$100,0),MATCH(J$9,技能数据库!$B$2:$I$2,0))</f>
        <v>1</v>
      </c>
      <c r="K159">
        <f ca="1">INDEX(技能数据库!$B$2:$I$100,MATCH(无穷伤害与收益计算!$E159,技能数据库!$B$2:$B$100,0),MATCH(K$9,技能数据库!$B$2:$I$2,0))</f>
        <v>0</v>
      </c>
      <c r="L159">
        <f ca="1" t="shared" si="284"/>
        <v>105847</v>
      </c>
      <c r="M159">
        <f ca="1" t="shared" si="290"/>
        <v>19530.5</v>
      </c>
      <c r="N159">
        <f ca="1" t="shared" si="291"/>
        <v>92028</v>
      </c>
      <c r="O159">
        <f ca="1" t="shared" si="298"/>
        <v>37392.18125</v>
      </c>
      <c r="P159">
        <f ca="1">IF(G159="恒定伤害",0,(IF(D159="轻剑",$AZ$2,$AZ$3)+IFERROR(INDEX(技能数据库!$T$2:$W$27,MATCH(E159,技能数据库!$T$2:$T$27,0),4),0)+COUNTIF(G159,"*造化2*")*154+COUNTIF(G159,"*造化1*")*102+COUNTIF(G159,"*碧归*")*307)/1024)</f>
        <v>0.377063459429785</v>
      </c>
      <c r="Q159">
        <f ca="1" t="shared" si="311"/>
        <v>0.448284482196154</v>
      </c>
      <c r="R159">
        <f ca="1" t="shared" si="299"/>
        <v>0.21277697966198</v>
      </c>
      <c r="S159">
        <f ca="1" t="shared" si="292"/>
        <v>58706.5308629565</v>
      </c>
      <c r="T159">
        <f t="shared" si="310"/>
        <v>0.8</v>
      </c>
      <c r="U159">
        <f ca="1" t="shared" si="312"/>
        <v>1.7995442148</v>
      </c>
      <c r="V159">
        <f ca="1" t="shared" si="293"/>
        <v>131481.223078694</v>
      </c>
      <c r="W159">
        <f ca="1">IF(G159="恒定伤害",0,MIN(1,IF(COUNTIF(F159,"*内会*")&gt;0,内会,IF(D159="轻剑",$Y$2,$Y$3)+COUNTIF(G159,"*莺鸣*")*0.2+COUNTIF(G159,"*叠1*")*0.1+COUNTIF(G159,"*叠2*")*0.2+COUNTIF(G159,"*叠3*")*0.3)+IFERROR(INDEX(技能数据库!$T$2:$W$27,MATCH(E159,技能数据库!$T$2:$T$27,0),2),0)+IF((IF(D159="轻剑",$AO$2,$AO$3)+INT(COUNTIF(G159,"*大莺鸣*")*IF(D159="轻剑",$AM$2,$AM$3)*听晓无双率)/无双系数)&gt;0.9,特效裤子会心/会心系数,0)))</f>
        <v>0.8343</v>
      </c>
      <c r="X159">
        <f ca="1">IF(G159="恒定伤害",0,IF(COUNTIF(F159,"*内会*")&gt;0,内会效,IF(D159="轻剑",$AB$2,$AB$3))+IFERROR(INDEX(技能数据库!$T$2:$W$27,MATCH(E159,技能数据库!$T$2:$T$27,0),3)/1024,0))+COUNTIF(G159,"*叠1*")*0.25+COUNTIF(G159,"*叠2*")*0.5+COUNTIF(G159,"*叠3*")*0.75</f>
        <v>2.5717485021</v>
      </c>
      <c r="Y159">
        <f ca="1" t="shared" si="294"/>
        <v>2.31130977530203</v>
      </c>
      <c r="Z159">
        <f t="shared" si="300"/>
        <v>0.150390625</v>
      </c>
      <c r="AA159">
        <f ca="1" t="shared" si="295"/>
        <v>0.0205078125</v>
      </c>
      <c r="AB159">
        <f ca="1" t="shared" si="296"/>
        <v>356766.082061947</v>
      </c>
      <c r="AC159" s="171">
        <f ca="1">无穷技能数计算!AJ151</f>
        <v>4</v>
      </c>
      <c r="AD159" s="164">
        <f ca="1" t="shared" si="301"/>
        <v>0.000500534215750137</v>
      </c>
      <c r="AE159" s="168">
        <f ca="1" t="shared" si="285"/>
        <v>0.00223843587621677</v>
      </c>
      <c r="AF159" s="168">
        <f ca="1" t="shared" si="302"/>
        <v>0.0159458469676732</v>
      </c>
      <c r="AG159">
        <f ca="1" t="shared" si="297"/>
        <v>0.00227125118554117</v>
      </c>
      <c r="AH159">
        <f ca="1" t="shared" si="303"/>
        <v>1.00152702521763</v>
      </c>
      <c r="AI159">
        <f ca="1" t="shared" si="304"/>
        <v>1.00016101226475</v>
      </c>
      <c r="AJ159">
        <f ca="1" t="shared" si="305"/>
        <v>1.00058198527732</v>
      </c>
      <c r="AK159">
        <f ca="1" t="shared" ref="AK159:AK215" si="314">AC159</f>
        <v>4</v>
      </c>
      <c r="AL159">
        <f ca="1" t="shared" si="306"/>
        <v>0.00503217766381492</v>
      </c>
      <c r="AM159">
        <f ca="1" t="shared" ref="AM159:AM215" si="315">AC159</f>
        <v>4</v>
      </c>
      <c r="AN159" s="168">
        <f ca="1" t="shared" si="286"/>
        <v>0.00724958982916823</v>
      </c>
      <c r="AO159" s="168">
        <f ca="1" t="shared" si="313"/>
        <v>0.00447057613551372</v>
      </c>
      <c r="AP159" s="172">
        <f ca="1" t="shared" si="307"/>
        <v>0</v>
      </c>
      <c r="AQ159" s="168">
        <f ca="1" t="shared" si="308"/>
        <v>0.00401583628616287</v>
      </c>
      <c r="AR159">
        <f t="shared" si="309"/>
        <v>1</v>
      </c>
    </row>
    <row r="160" spans="4:44">
      <c r="D160" t="s">
        <v>1825</v>
      </c>
      <c r="E160" t="s">
        <v>2792</v>
      </c>
      <c r="G160" t="s">
        <v>3109</v>
      </c>
      <c r="H160">
        <f ca="1">INDEX(技能数据库!$B$2:$I$100,MATCH(无穷伤害与收益计算!$E160,技能数据库!$B$2:$B$100,0),MATCH(H$9,技能数据库!$B$2:$I$2,0))</f>
        <v>0</v>
      </c>
      <c r="I160">
        <f ca="1">INDEX(技能数据库!$B$2:$I$100,MATCH(无穷伤害与收益计算!$E160,技能数据库!$B$2:$B$100,0),MATCH(I$9,技能数据库!$B$2:$I$2,0))</f>
        <v>0.16875</v>
      </c>
      <c r="J160">
        <f ca="1">INDEX(技能数据库!$B$2:$I$100,MATCH(无穷伤害与收益计算!$E160,技能数据库!$B$2:$B$100,0),MATCH(J$9,技能数据库!$B$2:$I$2,0))</f>
        <v>1</v>
      </c>
      <c r="K160">
        <f ca="1">INDEX(技能数据库!$B$2:$I$100,MATCH(无穷伤害与收益计算!$E160,技能数据库!$B$2:$B$100,0),MATCH(K$9,技能数据库!$B$2:$I$2,0))</f>
        <v>0</v>
      </c>
      <c r="L160">
        <f ca="1" t="shared" si="284"/>
        <v>105847</v>
      </c>
      <c r="M160">
        <f ca="1" t="shared" ref="M160:M175" si="316">IF(D160="轻剑",$AU$2+$AV$2,$AU$3+$AV$3)/2</f>
        <v>19530.5</v>
      </c>
      <c r="N160">
        <f ca="1" t="shared" ref="N160:N175" si="317">IF(D160="轻剑",$AJ$2,$AJ$3)</f>
        <v>92028</v>
      </c>
      <c r="O160">
        <f ca="1" t="shared" si="298"/>
        <v>37392.18125</v>
      </c>
      <c r="P160">
        <f ca="1">IF(G160="恒定伤害",0,(IF(D160="轻剑",$AZ$2,$AZ$3)+IFERROR(INDEX(技能数据库!$T$2:$W$27,MATCH(E160,技能数据库!$T$2:$T$27,0),4),0)+COUNTIF(G160,"*造化2*")*154+COUNTIF(G160,"*造化1*")*102+COUNTIF(G160,"*碧归*")*307)/1024)</f>
        <v>0.377063459429785</v>
      </c>
      <c r="Q160">
        <f ca="1" t="shared" si="311"/>
        <v>0.448284482196154</v>
      </c>
      <c r="R160">
        <f ca="1" t="shared" si="299"/>
        <v>0.21277697966198</v>
      </c>
      <c r="S160">
        <f ca="1" t="shared" ref="S160:S175" si="318">O160*(1+P160)*(1+Q160)*(1-R160)</f>
        <v>58706.5308629565</v>
      </c>
      <c r="T160">
        <f t="shared" ref="T160:T175" si="319">1-($F$6-130)*0.05</f>
        <v>0.8</v>
      </c>
      <c r="U160">
        <f ca="1" t="shared" si="312"/>
        <v>1.7995442148</v>
      </c>
      <c r="V160">
        <f ca="1" t="shared" ref="V160:V175" si="320">S160*T160*(1+U160)</f>
        <v>131481.223078694</v>
      </c>
      <c r="W160">
        <f ca="1">IF(G160="恒定伤害",0,MIN(1,IF(COUNTIF(F160,"*内会*")&gt;0,内会,IF(D160="轻剑",$Y$2,$Y$3)+COUNTIF(G160,"*莺鸣*")*0.2+COUNTIF(G160,"*叠1*")*0.1+COUNTIF(G160,"*叠2*")*0.2+COUNTIF(G160,"*叠3*")*0.3)+IFERROR(INDEX(技能数据库!$T$2:$W$27,MATCH(E160,技能数据库!$T$2:$T$27,0),2),0)+IF((IF(D160="轻剑",$AO$2,$AO$3)+INT(COUNTIF(G160,"*大莺鸣*")*IF(D160="轻剑",$AM$2,$AM$3)*听晓无双率)/无双系数)&gt;0.9,特效裤子会心/会心系数,0)))</f>
        <v>0.9343</v>
      </c>
      <c r="X160">
        <f ca="1">IF(G160="恒定伤害",0,IF(COUNTIF(F160,"*内会*")&gt;0,内会效,IF(D160="轻剑",$AB$2,$AB$3))+IFERROR(INDEX(技能数据库!$T$2:$W$27,MATCH(E160,技能数据库!$T$2:$T$27,0),3)/1024,0))+COUNTIF(G160,"*叠1*")*0.25+COUNTIF(G160,"*叠2*")*0.5+COUNTIF(G160,"*叠3*")*0.75</f>
        <v>2.8217485021</v>
      </c>
      <c r="Y160">
        <f ca="1" t="shared" ref="Y160:Y175" si="321">1+W160*(X160-1)</f>
        <v>2.70205962551203</v>
      </c>
      <c r="Z160">
        <f t="shared" si="300"/>
        <v>0.150390625</v>
      </c>
      <c r="AA160">
        <f ca="1" t="shared" ref="AA160:AA175" si="322">IF(D160="轻剑",$BA$2,$BA$3)/1024</f>
        <v>0.0205078125</v>
      </c>
      <c r="AB160">
        <f ca="1" t="shared" ref="AB160:AB175" si="323">V160*Y160*(1+Z160)*(1+AA160)</f>
        <v>417080.928049001</v>
      </c>
      <c r="AC160">
        <f ca="1">无穷技能数计算!AJ152</f>
        <v>3.125</v>
      </c>
      <c r="AD160" s="164">
        <f ca="1" t="shared" si="301"/>
        <v>0.000457151946247744</v>
      </c>
      <c r="AE160" s="168">
        <f ca="1" t="shared" si="285"/>
        <v>0.00223843587621677</v>
      </c>
      <c r="AF160" s="168">
        <f ca="1" t="shared" si="302"/>
        <v>0.0159458469676732</v>
      </c>
      <c r="AG160">
        <f ca="1" t="shared" ref="AG160:AG175" si="324">IF(G160="恒定伤害",0,MAX(0,AH160*AI160*IF(AJ160=0,1,AJ160)-1))</f>
        <v>0.00226626385169104</v>
      </c>
      <c r="AH160">
        <f ca="1" t="shared" si="303"/>
        <v>1.00152702521763</v>
      </c>
      <c r="AI160">
        <f ca="1" t="shared" si="304"/>
        <v>1.00016101226475</v>
      </c>
      <c r="AJ160">
        <f ca="1" t="shared" si="305"/>
        <v>1.00057700634931</v>
      </c>
      <c r="AK160">
        <f ca="1" t="shared" si="314"/>
        <v>3.125</v>
      </c>
      <c r="AL160">
        <f ca="1" t="shared" si="306"/>
        <v>0.00498912700378584</v>
      </c>
      <c r="AM160">
        <f ca="1" t="shared" si="315"/>
        <v>3.125</v>
      </c>
      <c r="AN160" s="168">
        <f ca="1" t="shared" si="286"/>
        <v>0.00694449658447471</v>
      </c>
      <c r="AO160" s="168">
        <f ca="1" t="shared" si="313"/>
        <v>0.00447057613551372</v>
      </c>
      <c r="AP160" s="172">
        <f ca="1" t="shared" si="307"/>
        <v>0</v>
      </c>
      <c r="AQ160" s="168">
        <f ca="1" t="shared" si="308"/>
        <v>0.00401583628616287</v>
      </c>
      <c r="AR160">
        <f t="shared" si="309"/>
        <v>1</v>
      </c>
    </row>
    <row r="161" spans="4:44">
      <c r="D161" t="s">
        <v>1825</v>
      </c>
      <c r="E161" t="s">
        <v>2792</v>
      </c>
      <c r="G161" t="s">
        <v>3110</v>
      </c>
      <c r="H161">
        <f ca="1">INDEX(技能数据库!$B$2:$I$100,MATCH(无穷伤害与收益计算!$E161,技能数据库!$B$2:$B$100,0),MATCH(H$9,技能数据库!$B$2:$I$2,0))</f>
        <v>0</v>
      </c>
      <c r="I161">
        <f ca="1">INDEX(技能数据库!$B$2:$I$100,MATCH(无穷伤害与收益计算!$E161,技能数据库!$B$2:$B$100,0),MATCH(I$9,技能数据库!$B$2:$I$2,0))</f>
        <v>0.16875</v>
      </c>
      <c r="J161">
        <f ca="1">INDEX(技能数据库!$B$2:$I$100,MATCH(无穷伤害与收益计算!$E161,技能数据库!$B$2:$B$100,0),MATCH(J$9,技能数据库!$B$2:$I$2,0))</f>
        <v>1</v>
      </c>
      <c r="K161">
        <f ca="1">INDEX(技能数据库!$B$2:$I$100,MATCH(无穷伤害与收益计算!$E161,技能数据库!$B$2:$B$100,0),MATCH(K$9,技能数据库!$B$2:$I$2,0))</f>
        <v>0</v>
      </c>
      <c r="L161">
        <f ca="1" t="shared" si="284"/>
        <v>105847</v>
      </c>
      <c r="M161">
        <f ca="1" t="shared" si="316"/>
        <v>19530.5</v>
      </c>
      <c r="N161">
        <f ca="1" t="shared" si="317"/>
        <v>92028</v>
      </c>
      <c r="O161">
        <f ca="1" t="shared" si="298"/>
        <v>37392.18125</v>
      </c>
      <c r="P161">
        <f ca="1">IF(G161="恒定伤害",0,(IF(D161="轻剑",$AZ$2,$AZ$3)+IFERROR(INDEX(技能数据库!$T$2:$W$27,MATCH(E161,技能数据库!$T$2:$T$27,0),4),0)+COUNTIF(G161,"*造化2*")*154+COUNTIF(G161,"*造化1*")*102+COUNTIF(G161,"*碧归*")*307)/1024)</f>
        <v>0.377063459429785</v>
      </c>
      <c r="Q161">
        <f ca="1" t="shared" si="311"/>
        <v>0.448284482196154</v>
      </c>
      <c r="R161">
        <f ca="1" t="shared" si="299"/>
        <v>0.21277697966198</v>
      </c>
      <c r="S161">
        <f ca="1" t="shared" si="318"/>
        <v>58706.5308629565</v>
      </c>
      <c r="T161">
        <f t="shared" si="319"/>
        <v>0.8</v>
      </c>
      <c r="U161">
        <f ca="1" t="shared" si="312"/>
        <v>1.7995442148</v>
      </c>
      <c r="V161">
        <f ca="1" t="shared" si="320"/>
        <v>131481.223078694</v>
      </c>
      <c r="W161">
        <f ca="1">IF(G161="恒定伤害",0,MIN(1,IF(COUNTIF(F161,"*内会*")&gt;0,内会,IF(D161="轻剑",$Y$2,$Y$3)+COUNTIF(G161,"*莺鸣*")*0.2+COUNTIF(G161,"*叠1*")*0.1+COUNTIF(G161,"*叠2*")*0.2+COUNTIF(G161,"*叠3*")*0.3)+IFERROR(INDEX(技能数据库!$T$2:$W$27,MATCH(E161,技能数据库!$T$2:$T$27,0),2),0)+IF((IF(D161="轻剑",$AO$2,$AO$3)+INT(COUNTIF(G161,"*大莺鸣*")*IF(D161="轻剑",$AM$2,$AM$3)*听晓无双率)/无双系数)&gt;0.9,特效裤子会心/会心系数,0)))</f>
        <v>1</v>
      </c>
      <c r="X161">
        <f ca="1">IF(G161="恒定伤害",0,IF(COUNTIF(F161,"*内会*")&gt;0,内会效,IF(D161="轻剑",$AB$2,$AB$3))+IFERROR(INDEX(技能数据库!$T$2:$W$27,MATCH(E161,技能数据库!$T$2:$T$27,0),3)/1024,0))+COUNTIF(G161,"*叠1*")*0.25+COUNTIF(G161,"*叠2*")*0.5+COUNTIF(G161,"*叠3*")*0.75</f>
        <v>3.0717485021</v>
      </c>
      <c r="Y161">
        <f ca="1" t="shared" si="321"/>
        <v>3.0717485021</v>
      </c>
      <c r="Z161">
        <f t="shared" si="300"/>
        <v>0.150390625</v>
      </c>
      <c r="AA161">
        <f ca="1" t="shared" si="322"/>
        <v>0.0205078125</v>
      </c>
      <c r="AB161">
        <f ca="1" t="shared" si="323"/>
        <v>474144.872264328</v>
      </c>
      <c r="AC161">
        <f ca="1">无穷技能数计算!AJ153</f>
        <v>27.875</v>
      </c>
      <c r="AD161" s="164">
        <f ca="1" t="shared" si="301"/>
        <v>0.00463570887641103</v>
      </c>
      <c r="AE161" s="168">
        <f ca="1" t="shared" si="285"/>
        <v>0.00223843587621677</v>
      </c>
      <c r="AF161" s="168">
        <f ca="1" t="shared" si="302"/>
        <v>0.0159458469676732</v>
      </c>
      <c r="AG161">
        <f ca="1" t="shared" si="324"/>
        <v>0.00168828335216742</v>
      </c>
      <c r="AH161">
        <f ca="1" t="shared" si="303"/>
        <v>1.00152702521763</v>
      </c>
      <c r="AI161">
        <f ca="1" t="shared" si="304"/>
        <v>1.00016101226475</v>
      </c>
      <c r="AJ161">
        <f ca="1" t="shared" si="305"/>
        <v>1</v>
      </c>
      <c r="AK161">
        <f ca="1" t="shared" si="314"/>
        <v>27.875</v>
      </c>
      <c r="AL161">
        <f ca="1" t="shared" si="306"/>
        <v>0</v>
      </c>
      <c r="AM161">
        <f ca="1" t="shared" si="315"/>
        <v>27.875</v>
      </c>
      <c r="AN161" s="168">
        <f ca="1" t="shared" si="286"/>
        <v>0.00653828267501666</v>
      </c>
      <c r="AO161" s="168">
        <f ca="1" t="shared" si="313"/>
        <v>0.00447057613551372</v>
      </c>
      <c r="AP161" s="172">
        <f ca="1" t="shared" si="307"/>
        <v>0</v>
      </c>
      <c r="AQ161" s="168">
        <f ca="1" t="shared" si="308"/>
        <v>0.00401583628616287</v>
      </c>
      <c r="AR161">
        <f t="shared" si="309"/>
        <v>1</v>
      </c>
    </row>
    <row r="162" spans="4:44">
      <c r="D162" t="s">
        <v>1825</v>
      </c>
      <c r="E162" t="s">
        <v>2794</v>
      </c>
      <c r="G162" t="s">
        <v>3108</v>
      </c>
      <c r="H162">
        <f ca="1">INDEX(技能数据库!$B$2:$I$100,MATCH(无穷伤害与收益计算!$E162,技能数据库!$B$2:$B$100,0),MATCH(H$9,技能数据库!$B$2:$I$2,0))</f>
        <v>231.5</v>
      </c>
      <c r="I162">
        <f ca="1">INDEX(技能数据库!$B$2:$I$100,MATCH(无穷伤害与收益计算!$E162,技能数据库!$B$2:$B$100,0),MATCH(I$9,技能数据库!$B$2:$I$2,0))</f>
        <v>2.71875</v>
      </c>
      <c r="J162">
        <f ca="1">INDEX(技能数据库!$B$2:$I$100,MATCH(无穷伤害与收益计算!$E162,技能数据库!$B$2:$B$100,0),MATCH(J$9,技能数据库!$B$2:$I$2,0))</f>
        <v>2</v>
      </c>
      <c r="K162">
        <f ca="1">INDEX(技能数据库!$B$2:$I$100,MATCH(无穷伤害与收益计算!$E162,技能数据库!$B$2:$B$100,0),MATCH(K$9,技能数据库!$B$2:$I$2,0))</f>
        <v>0</v>
      </c>
      <c r="L162">
        <f ca="1" t="shared" si="284"/>
        <v>105847</v>
      </c>
      <c r="M162">
        <f ca="1" t="shared" si="316"/>
        <v>19530.5</v>
      </c>
      <c r="N162">
        <f ca="1" t="shared" si="317"/>
        <v>92028</v>
      </c>
      <c r="O162">
        <f ca="1" t="shared" si="298"/>
        <v>327064.03125</v>
      </c>
      <c r="P162">
        <f ca="1">IF(G162="恒定伤害",0,(IF(D162="轻剑",$AZ$2,$AZ$3)+IFERROR(INDEX(技能数据库!$T$2:$W$27,MATCH(E162,技能数据库!$T$2:$T$27,0),4),0)+COUNTIF(G162,"*造化2*")*154+COUNTIF(G162,"*造化1*")*102+COUNTIF(G162,"*碧归*")*307)/1024)</f>
        <v>0.296985334429785</v>
      </c>
      <c r="Q162">
        <f ca="1" t="shared" si="311"/>
        <v>0.448284482196154</v>
      </c>
      <c r="R162">
        <f ca="1" t="shared" si="299"/>
        <v>0.21277697966198</v>
      </c>
      <c r="S162">
        <f ca="1" t="shared" si="318"/>
        <v>483636.994441474</v>
      </c>
      <c r="T162">
        <f t="shared" si="319"/>
        <v>0.8</v>
      </c>
      <c r="U162">
        <f ca="1" t="shared" si="312"/>
        <v>1.7995442148</v>
      </c>
      <c r="V162">
        <f ca="1" t="shared" si="320"/>
        <v>1083170.51988151</v>
      </c>
      <c r="W162">
        <f ca="1">IF(G162="恒定伤害",0,MIN(1,IF(COUNTIF(F162,"*内会*")&gt;0,内会,IF(D162="轻剑",$Y$2,$Y$3)+COUNTIF(G162,"*莺鸣*")*0.2+COUNTIF(G162,"*叠1*")*0.1+COUNTIF(G162,"*叠2*")*0.2+COUNTIF(G162,"*叠3*")*0.3)+IFERROR(INDEX(技能数据库!$T$2:$W$27,MATCH(E162,技能数据库!$T$2:$T$27,0),2),0)+IF((IF(D162="轻剑",$AO$2,$AO$3)+INT(COUNTIF(G162,"*大莺鸣*")*IF(D162="轻剑",$AM$2,$AM$3)*听晓无双率)/无双系数)&gt;0.9,特效裤子会心/会心系数,0)))</f>
        <v>0.8343</v>
      </c>
      <c r="X162">
        <f ca="1">IF(G162="恒定伤害",0,IF(COUNTIF(F162,"*内会*")&gt;0,内会效,IF(D162="轻剑",$AB$2,$AB$3))+IFERROR(INDEX(技能数据库!$T$2:$W$27,MATCH(E162,技能数据库!$T$2:$T$27,0),3)/1024,0))+COUNTIF(G162,"*叠1*")*0.25+COUNTIF(G162,"*叠2*")*0.5+COUNTIF(G162,"*叠3*")*0.75</f>
        <v>2.5717485021</v>
      </c>
      <c r="Y162">
        <f ca="1" t="shared" si="321"/>
        <v>2.31130977530203</v>
      </c>
      <c r="Z162">
        <f t="shared" si="300"/>
        <v>0.150390625</v>
      </c>
      <c r="AA162">
        <f ca="1" t="shared" si="322"/>
        <v>0.0205078125</v>
      </c>
      <c r="AB162">
        <f ca="1" t="shared" si="323"/>
        <v>2939115.51424981</v>
      </c>
      <c r="AC162">
        <f ca="1">无穷技能数计算!AJ154</f>
        <v>0</v>
      </c>
      <c r="AD162" s="164">
        <f ca="1" t="shared" si="301"/>
        <v>0</v>
      </c>
      <c r="AE162" s="168">
        <f ca="1" t="shared" si="285"/>
        <v>0.00412304585999932</v>
      </c>
      <c r="AF162" s="168">
        <f ca="1" t="shared" si="302"/>
        <v>0.00364607503748549</v>
      </c>
      <c r="AG162">
        <f ca="1" t="shared" si="324"/>
        <v>0.00297414120044159</v>
      </c>
      <c r="AH162">
        <f ca="1" t="shared" si="303"/>
        <v>1.00281267606035</v>
      </c>
      <c r="AI162">
        <f ca="1" t="shared" si="304"/>
        <v>1.00016101226475</v>
      </c>
      <c r="AJ162">
        <f ca="1" t="shared" si="305"/>
        <v>0</v>
      </c>
      <c r="AK162">
        <f ca="1" t="shared" si="314"/>
        <v>0</v>
      </c>
      <c r="AL162">
        <f ca="1" t="shared" si="306"/>
        <v>0</v>
      </c>
      <c r="AM162">
        <f ca="1" t="shared" si="315"/>
        <v>0</v>
      </c>
      <c r="AN162" s="168">
        <f ca="1" t="shared" si="286"/>
        <v>0.00724958982916823</v>
      </c>
      <c r="AO162" s="168">
        <f ca="1" t="shared" si="313"/>
        <v>0.00447057613551372</v>
      </c>
      <c r="AP162" s="172">
        <f ca="1" t="shared" si="307"/>
        <v>0</v>
      </c>
      <c r="AQ162" s="168">
        <f ca="1" t="shared" si="308"/>
        <v>0.00401583628616287</v>
      </c>
      <c r="AR162">
        <f t="shared" si="309"/>
        <v>1</v>
      </c>
    </row>
    <row r="163" spans="4:44">
      <c r="D163" t="s">
        <v>1825</v>
      </c>
      <c r="E163" t="s">
        <v>2794</v>
      </c>
      <c r="G163" t="s">
        <v>3109</v>
      </c>
      <c r="H163">
        <f ca="1">INDEX(技能数据库!$B$2:$I$100,MATCH(无穷伤害与收益计算!$E163,技能数据库!$B$2:$B$100,0),MATCH(H$9,技能数据库!$B$2:$I$2,0))</f>
        <v>231.5</v>
      </c>
      <c r="I163">
        <f ca="1">INDEX(技能数据库!$B$2:$I$100,MATCH(无穷伤害与收益计算!$E163,技能数据库!$B$2:$B$100,0),MATCH(I$9,技能数据库!$B$2:$I$2,0))</f>
        <v>2.71875</v>
      </c>
      <c r="J163">
        <f ca="1">INDEX(技能数据库!$B$2:$I$100,MATCH(无穷伤害与收益计算!$E163,技能数据库!$B$2:$B$100,0),MATCH(J$9,技能数据库!$B$2:$I$2,0))</f>
        <v>2</v>
      </c>
      <c r="K163">
        <f ca="1">INDEX(技能数据库!$B$2:$I$100,MATCH(无穷伤害与收益计算!$E163,技能数据库!$B$2:$B$100,0),MATCH(K$9,技能数据库!$B$2:$I$2,0))</f>
        <v>0</v>
      </c>
      <c r="L163">
        <f ca="1" t="shared" si="284"/>
        <v>105847</v>
      </c>
      <c r="M163">
        <f ca="1" t="shared" si="316"/>
        <v>19530.5</v>
      </c>
      <c r="N163">
        <f ca="1" t="shared" si="317"/>
        <v>92028</v>
      </c>
      <c r="O163">
        <f ca="1" t="shared" si="298"/>
        <v>327064.03125</v>
      </c>
      <c r="P163">
        <f ca="1">IF(G163="恒定伤害",0,(IF(D163="轻剑",$AZ$2,$AZ$3)+IFERROR(INDEX(技能数据库!$T$2:$W$27,MATCH(E163,技能数据库!$T$2:$T$27,0),4),0)+COUNTIF(G163,"*造化2*")*154+COUNTIF(G163,"*造化1*")*102+COUNTIF(G163,"*碧归*")*307)/1024)</f>
        <v>0.296985334429785</v>
      </c>
      <c r="Q163">
        <f ca="1" t="shared" si="311"/>
        <v>0.448284482196154</v>
      </c>
      <c r="R163">
        <f ca="1" t="shared" si="299"/>
        <v>0.21277697966198</v>
      </c>
      <c r="S163">
        <f ca="1" t="shared" si="318"/>
        <v>483636.994441474</v>
      </c>
      <c r="T163">
        <f t="shared" si="319"/>
        <v>0.8</v>
      </c>
      <c r="U163">
        <f ca="1" t="shared" si="312"/>
        <v>1.7995442148</v>
      </c>
      <c r="V163">
        <f ca="1" t="shared" si="320"/>
        <v>1083170.51988151</v>
      </c>
      <c r="W163">
        <f ca="1">IF(G163="恒定伤害",0,MIN(1,IF(COUNTIF(F163,"*内会*")&gt;0,内会,IF(D163="轻剑",$Y$2,$Y$3)+COUNTIF(G163,"*莺鸣*")*0.2+COUNTIF(G163,"*叠1*")*0.1+COUNTIF(G163,"*叠2*")*0.2+COUNTIF(G163,"*叠3*")*0.3)+IFERROR(INDEX(技能数据库!$T$2:$W$27,MATCH(E163,技能数据库!$T$2:$T$27,0),2),0)+IF((IF(D163="轻剑",$AO$2,$AO$3)+INT(COUNTIF(G163,"*大莺鸣*")*IF(D163="轻剑",$AM$2,$AM$3)*听晓无双率)/无双系数)&gt;0.9,特效裤子会心/会心系数,0)))</f>
        <v>0.9343</v>
      </c>
      <c r="X163">
        <f ca="1">IF(G163="恒定伤害",0,IF(COUNTIF(F163,"*内会*")&gt;0,内会效,IF(D163="轻剑",$AB$2,$AB$3))+IFERROR(INDEX(技能数据库!$T$2:$W$27,MATCH(E163,技能数据库!$T$2:$T$27,0),3)/1024,0))+COUNTIF(G163,"*叠1*")*0.25+COUNTIF(G163,"*叠2*")*0.5+COUNTIF(G163,"*叠3*")*0.75</f>
        <v>2.8217485021</v>
      </c>
      <c r="Y163">
        <f ca="1" t="shared" si="321"/>
        <v>2.70205962551203</v>
      </c>
      <c r="Z163">
        <f t="shared" si="300"/>
        <v>0.150390625</v>
      </c>
      <c r="AA163">
        <f ca="1" t="shared" si="322"/>
        <v>0.0205078125</v>
      </c>
      <c r="AB163">
        <f ca="1" t="shared" si="323"/>
        <v>3436002.15368477</v>
      </c>
      <c r="AC163">
        <f ca="1">无穷技能数计算!AJ155</f>
        <v>0</v>
      </c>
      <c r="AD163" s="164">
        <f ca="1" t="shared" si="301"/>
        <v>0</v>
      </c>
      <c r="AE163" s="168">
        <f ca="1" t="shared" si="285"/>
        <v>0.00412304585999932</v>
      </c>
      <c r="AF163" s="168">
        <f ca="1" t="shared" si="302"/>
        <v>0.00364607503748549</v>
      </c>
      <c r="AG163">
        <f ca="1" t="shared" si="324"/>
        <v>0.00297414120044159</v>
      </c>
      <c r="AH163">
        <f ca="1" t="shared" si="303"/>
        <v>1.00281267606035</v>
      </c>
      <c r="AI163">
        <f ca="1" t="shared" si="304"/>
        <v>1.00016101226475</v>
      </c>
      <c r="AJ163">
        <f ca="1" t="shared" si="305"/>
        <v>0</v>
      </c>
      <c r="AK163">
        <f ca="1" t="shared" si="314"/>
        <v>0</v>
      </c>
      <c r="AL163">
        <f ca="1" t="shared" si="306"/>
        <v>0</v>
      </c>
      <c r="AM163">
        <f ca="1" t="shared" si="315"/>
        <v>0</v>
      </c>
      <c r="AN163" s="168">
        <f ca="1" t="shared" si="286"/>
        <v>0.00694449658447471</v>
      </c>
      <c r="AO163" s="168">
        <f ca="1" t="shared" si="313"/>
        <v>0.00447057613551372</v>
      </c>
      <c r="AP163" s="172">
        <f ca="1" t="shared" si="307"/>
        <v>0</v>
      </c>
      <c r="AQ163" s="168">
        <f ca="1" t="shared" si="308"/>
        <v>0.00401583628616287</v>
      </c>
      <c r="AR163">
        <f t="shared" si="309"/>
        <v>1</v>
      </c>
    </row>
    <row r="164" spans="4:44">
      <c r="D164" t="s">
        <v>1825</v>
      </c>
      <c r="E164" t="s">
        <v>2794</v>
      </c>
      <c r="G164" t="s">
        <v>3110</v>
      </c>
      <c r="H164">
        <f ca="1">INDEX(技能数据库!$B$2:$I$100,MATCH(无穷伤害与收益计算!$E164,技能数据库!$B$2:$B$100,0),MATCH(H$9,技能数据库!$B$2:$I$2,0))</f>
        <v>231.5</v>
      </c>
      <c r="I164">
        <f ca="1">INDEX(技能数据库!$B$2:$I$100,MATCH(无穷伤害与收益计算!$E164,技能数据库!$B$2:$B$100,0),MATCH(I$9,技能数据库!$B$2:$I$2,0))</f>
        <v>2.71875</v>
      </c>
      <c r="J164">
        <f ca="1">INDEX(技能数据库!$B$2:$I$100,MATCH(无穷伤害与收益计算!$E164,技能数据库!$B$2:$B$100,0),MATCH(J$9,技能数据库!$B$2:$I$2,0))</f>
        <v>2</v>
      </c>
      <c r="K164">
        <f ca="1">INDEX(技能数据库!$B$2:$I$100,MATCH(无穷伤害与收益计算!$E164,技能数据库!$B$2:$B$100,0),MATCH(K$9,技能数据库!$B$2:$I$2,0))</f>
        <v>0</v>
      </c>
      <c r="L164">
        <f ca="1" t="shared" si="284"/>
        <v>105847</v>
      </c>
      <c r="M164">
        <f ca="1" t="shared" si="316"/>
        <v>19530.5</v>
      </c>
      <c r="N164">
        <f ca="1" t="shared" si="317"/>
        <v>92028</v>
      </c>
      <c r="O164">
        <f ca="1" t="shared" ref="O164:O207" si="325">H164+I164*L164+J164*M164+IF(K164&gt;0,MAX(1,K164*N164*破招全局系数),0)</f>
        <v>327064.03125</v>
      </c>
      <c r="P164">
        <f ca="1">IF(G164="恒定伤害",0,(IF(D164="轻剑",$AZ$2,$AZ$3)+IFERROR(INDEX(技能数据库!$T$2:$W$27,MATCH(E164,技能数据库!$T$2:$T$27,0),4),0)+COUNTIF(G164,"*造化2*")*154+COUNTIF(G164,"*造化1*")*102+COUNTIF(G164,"*碧归*")*307)/1024)</f>
        <v>0.296985334429785</v>
      </c>
      <c r="Q164">
        <f ca="1" t="shared" si="311"/>
        <v>0.448284482196154</v>
      </c>
      <c r="R164">
        <f ca="1" t="shared" ref="R164:R207" si="326">IF(G164="恒定伤害",0,(($F$5-IF(D164="轻剑",$BB$2,$BB$3))*(1024-IF(D164="轻剑",$BD$2,$BD$3))/1024*(1024-IF(D164="轻剑",$BC$2,$BC$3)-COUNTIF(G164,"*雾锁*")*461*雾锁)/1024/(($F$5-IF(D164="轻剑",$BB$2,$BB$3))*(1024-IF(D164="轻剑",$BD$2,$BD$3))/1024*(1024-IF(D164="轻剑",$BC$2,$BC$3)-COUNTIF(G164,"*雾锁*")*461*雾锁)/1024+$F$7)))</f>
        <v>0.21277697966198</v>
      </c>
      <c r="S164">
        <f ca="1" t="shared" si="318"/>
        <v>483636.994441474</v>
      </c>
      <c r="T164">
        <f t="shared" si="319"/>
        <v>0.8</v>
      </c>
      <c r="U164">
        <f ca="1" t="shared" si="312"/>
        <v>1.7995442148</v>
      </c>
      <c r="V164">
        <f ca="1" t="shared" si="320"/>
        <v>1083170.51988151</v>
      </c>
      <c r="W164">
        <f ca="1">IF(G164="恒定伤害",0,MIN(1,IF(COUNTIF(F164,"*内会*")&gt;0,内会,IF(D164="轻剑",$Y$2,$Y$3)+COUNTIF(G164,"*莺鸣*")*0.2+COUNTIF(G164,"*叠1*")*0.1+COUNTIF(G164,"*叠2*")*0.2+COUNTIF(G164,"*叠3*")*0.3)+IFERROR(INDEX(技能数据库!$T$2:$W$27,MATCH(E164,技能数据库!$T$2:$T$27,0),2),0)+IF((IF(D164="轻剑",$AO$2,$AO$3)+INT(COUNTIF(G164,"*大莺鸣*")*IF(D164="轻剑",$AM$2,$AM$3)*听晓无双率)/无双系数)&gt;0.9,特效裤子会心/会心系数,0)))</f>
        <v>1</v>
      </c>
      <c r="X164">
        <f ca="1">IF(G164="恒定伤害",0,IF(COUNTIF(F164,"*内会*")&gt;0,内会效,IF(D164="轻剑",$AB$2,$AB$3))+IFERROR(INDEX(技能数据库!$T$2:$W$27,MATCH(E164,技能数据库!$T$2:$T$27,0),3)/1024,0))+COUNTIF(G164,"*叠1*")*0.25+COUNTIF(G164,"*叠2*")*0.5+COUNTIF(G164,"*叠3*")*0.75</f>
        <v>3.0717485021</v>
      </c>
      <c r="Y164">
        <f ca="1" t="shared" si="321"/>
        <v>3.0717485021</v>
      </c>
      <c r="Z164">
        <f t="shared" ref="Z164:Z207" si="327">IF(G164="恒定伤害",0,非侠士伤害/1024)</f>
        <v>0.150390625</v>
      </c>
      <c r="AA164">
        <f ca="1" t="shared" si="322"/>
        <v>0.0205078125</v>
      </c>
      <c r="AB164">
        <f ca="1" t="shared" si="323"/>
        <v>3906107.16697027</v>
      </c>
      <c r="AC164">
        <f ca="1">无穷技能数计算!AJ156</f>
        <v>2</v>
      </c>
      <c r="AD164" s="164">
        <f ca="1" t="shared" ref="AD164:AD207" si="328">IFERROR(AB164*AC164/$AD$7,0)</f>
        <v>0.00274008711275974</v>
      </c>
      <c r="AE164" s="168">
        <f ca="1" t="shared" si="285"/>
        <v>0.00412304585999932</v>
      </c>
      <c r="AF164" s="168">
        <f ca="1" t="shared" ref="AF164:AF207" si="329">IFERROR((delta武伤+INT((IF(D164="轻剑",$AW$2,$AW$3))/1024*delta武伤))*J164/O164,0)</f>
        <v>0.00364607503748549</v>
      </c>
      <c r="AG164">
        <f ca="1" t="shared" si="324"/>
        <v>0.00297414120044159</v>
      </c>
      <c r="AH164">
        <f ca="1" t="shared" ref="AH164:AH207" si="330">IFERROR((delta身法+INT((IF(D164="轻剑",$N$2,$N$3))/1024*delta身法))*身法转额外攻击*I164/O164+1,0)</f>
        <v>1.00281267606035</v>
      </c>
      <c r="AI164">
        <f ca="1" t="shared" ref="AI164:AI207" si="331">IFERROR(((delta身法+INT((IF(D164="轻剑",$N$2,$N$3))/1024*delta身法))*身法转额外破防/破防系数+Q164+1)/(1+Q164),0)</f>
        <v>1.00016101226475</v>
      </c>
      <c r="AJ164">
        <f ca="1" t="shared" ref="AJ164:AJ207" si="332">IFERROR(((1+MIN(1,((delta身法+INT((IF(D164="轻剑",$N$2,$N$3))/1024*delta身法))*身法转基础会心/会心系数)+W164)*(X164-1))*AK164)/(Y164*AC164),0)</f>
        <v>1</v>
      </c>
      <c r="AK164">
        <f ca="1" t="shared" si="314"/>
        <v>2</v>
      </c>
      <c r="AL164">
        <f ca="1" t="shared" ref="AL164:AL207" si="333">IF(G164="恒定伤害",0,IFERROR(((1+MIN(1,W164+delta会心/会心系数)*(X164-1))*AM164)/(Y164*AC164)-1,0))</f>
        <v>0</v>
      </c>
      <c r="AM164">
        <f ca="1" t="shared" si="315"/>
        <v>2</v>
      </c>
      <c r="AN164" s="168">
        <f ca="1" t="shared" si="286"/>
        <v>0.00653828267501666</v>
      </c>
      <c r="AO164" s="168">
        <f ca="1" t="shared" si="313"/>
        <v>0.00447057613551372</v>
      </c>
      <c r="AP164" s="172">
        <f ca="1" t="shared" ref="AP164:AP207" si="334">IFERROR((delta破招+INT((IF(D164="轻剑",$AI$2,$AI$3))/1024*delta破招))*K164*破招全局系数/MAX(1,O164),0)</f>
        <v>0</v>
      </c>
      <c r="AQ164" s="168">
        <f ca="1" t="shared" ref="AQ164:AQ207" si="335">IF(G164="恒定伤害",0,IFERROR(((delta无双+INT((IF(D164="轻剑",$AL$2,$AL$3)+COUNTIF(G164,"*大莺鸣*")*307)/1024*delta无双))/无双系数+U164+1)/(U164+1)-1,0))</f>
        <v>0.00401583628616287</v>
      </c>
      <c r="AR164">
        <f t="shared" ref="AR164:AR207" si="336">IF($AR$8="综合属性收益",1,COUNTIF(D164,LEFT($AR$8,2)))</f>
        <v>1</v>
      </c>
    </row>
    <row r="165" spans="4:44">
      <c r="D165" t="s">
        <v>1825</v>
      </c>
      <c r="E165" t="s">
        <v>2798</v>
      </c>
      <c r="G165" t="s">
        <v>3108</v>
      </c>
      <c r="H165">
        <f ca="1">INDEX(技能数据库!$B$2:$I$100,MATCH(无穷伤害与收益计算!$E165,技能数据库!$B$2:$B$100,0),MATCH(H$9,技能数据库!$B$2:$I$2,0))</f>
        <v>1504.5</v>
      </c>
      <c r="I165">
        <f ca="1">INDEX(技能数据库!$B$2:$I$100,MATCH(无穷伤害与收益计算!$E165,技能数据库!$B$2:$B$100,0),MATCH(I$9,技能数据库!$B$2:$I$2,0))</f>
        <v>2.85625</v>
      </c>
      <c r="J165">
        <f ca="1">INDEX(技能数据库!$B$2:$I$100,MATCH(无穷伤害与收益计算!$E165,技能数据库!$B$2:$B$100,0),MATCH(J$9,技能数据库!$B$2:$I$2,0))</f>
        <v>0</v>
      </c>
      <c r="K165">
        <f ca="1">INDEX(技能数据库!$B$2:$I$100,MATCH(无穷伤害与收益计算!$E165,技能数据库!$B$2:$B$100,0),MATCH(K$9,技能数据库!$B$2:$I$2,0))</f>
        <v>0</v>
      </c>
      <c r="L165">
        <f ca="1" t="shared" si="284"/>
        <v>105847</v>
      </c>
      <c r="M165">
        <f ca="1" t="shared" si="316"/>
        <v>19530.5</v>
      </c>
      <c r="N165">
        <f ca="1" t="shared" si="317"/>
        <v>92028</v>
      </c>
      <c r="O165">
        <f ca="1" t="shared" si="325"/>
        <v>303829.99375</v>
      </c>
      <c r="P165">
        <f ca="1">IF(G165="恒定伤害",0,(IF(D165="轻剑",$AZ$2,$AZ$3)+IFERROR(INDEX(技能数据库!$T$2:$W$27,MATCH(E165,技能数据库!$T$2:$T$27,0),4),0)+COUNTIF(G165,"*造化2*")*154+COUNTIF(G165,"*造化1*")*102+COUNTIF(G165,"*碧归*")*307)/1024)</f>
        <v>0.176868146929785</v>
      </c>
      <c r="Q165">
        <f ca="1" t="shared" si="311"/>
        <v>0.448284482196154</v>
      </c>
      <c r="R165">
        <f ca="1" t="shared" si="326"/>
        <v>0.21277697966198</v>
      </c>
      <c r="S165">
        <f ca="1" t="shared" si="318"/>
        <v>407671.279071588</v>
      </c>
      <c r="T165">
        <f t="shared" si="319"/>
        <v>0.8</v>
      </c>
      <c r="U165">
        <f ca="1" t="shared" si="312"/>
        <v>1.7995442148</v>
      </c>
      <c r="V165">
        <f ca="1" t="shared" si="320"/>
        <v>913035.016691983</v>
      </c>
      <c r="W165">
        <f ca="1">IF(G165="恒定伤害",0,MIN(1,IF(COUNTIF(F165,"*内会*")&gt;0,内会,IF(D165="轻剑",$Y$2,$Y$3)+COUNTIF(G165,"*莺鸣*")*0.2+COUNTIF(G165,"*叠1*")*0.1+COUNTIF(G165,"*叠2*")*0.2+COUNTIF(G165,"*叠3*")*0.3)+IFERROR(INDEX(技能数据库!$T$2:$W$27,MATCH(E165,技能数据库!$T$2:$T$27,0),2),0)+IF((IF(D165="轻剑",$AO$2,$AO$3)+INT(COUNTIF(G165,"*大莺鸣*")*IF(D165="轻剑",$AM$2,$AM$3)*听晓无双率)/无双系数)&gt;0.9,特效裤子会心/会心系数,0)))</f>
        <v>0.8343</v>
      </c>
      <c r="X165">
        <f ca="1">IF(G165="恒定伤害",0,IF(COUNTIF(F165,"*内会*")&gt;0,内会效,IF(D165="轻剑",$AB$2,$AB$3))+IFERROR(INDEX(技能数据库!$T$2:$W$27,MATCH(E165,技能数据库!$T$2:$T$27,0),3)/1024,0))+COUNTIF(G165,"*叠1*")*0.25+COUNTIF(G165,"*叠2*")*0.5+COUNTIF(G165,"*叠3*")*0.75</f>
        <v>2.5717485021</v>
      </c>
      <c r="Y165">
        <f ca="1" t="shared" si="321"/>
        <v>2.31130977530203</v>
      </c>
      <c r="Z165">
        <f t="shared" si="327"/>
        <v>0.150390625</v>
      </c>
      <c r="AA165">
        <f ca="1" t="shared" si="322"/>
        <v>0.0205078125</v>
      </c>
      <c r="AB165">
        <f ca="1" t="shared" si="323"/>
        <v>2477463.45876021</v>
      </c>
      <c r="AC165">
        <f ca="1">无穷技能数计算!AJ157</f>
        <v>0</v>
      </c>
      <c r="AD165" s="164">
        <f ca="1" t="shared" si="328"/>
        <v>0</v>
      </c>
      <c r="AE165" s="168">
        <f ca="1" t="shared" si="285"/>
        <v>0.00466280495389702</v>
      </c>
      <c r="AF165" s="168">
        <f ca="1" t="shared" si="329"/>
        <v>0</v>
      </c>
      <c r="AG165">
        <f ca="1" t="shared" si="324"/>
        <v>0.00334241552406178</v>
      </c>
      <c r="AH165">
        <f ca="1" t="shared" si="330"/>
        <v>1.00318089109683</v>
      </c>
      <c r="AI165">
        <f ca="1" t="shared" si="331"/>
        <v>1.00016101226475</v>
      </c>
      <c r="AJ165">
        <f ca="1" t="shared" si="332"/>
        <v>0</v>
      </c>
      <c r="AK165">
        <f ca="1" t="shared" si="314"/>
        <v>0</v>
      </c>
      <c r="AL165">
        <f ca="1" t="shared" si="333"/>
        <v>0</v>
      </c>
      <c r="AM165">
        <f ca="1" t="shared" si="315"/>
        <v>0</v>
      </c>
      <c r="AN165" s="168">
        <f ca="1" t="shared" si="286"/>
        <v>0.00724958982916823</v>
      </c>
      <c r="AO165" s="168">
        <f ca="1" t="shared" si="313"/>
        <v>0.00447057613551372</v>
      </c>
      <c r="AP165" s="172">
        <f ca="1" t="shared" si="334"/>
        <v>0</v>
      </c>
      <c r="AQ165" s="168">
        <f ca="1" t="shared" si="335"/>
        <v>0.00401583628616287</v>
      </c>
      <c r="AR165">
        <f t="shared" si="336"/>
        <v>1</v>
      </c>
    </row>
    <row r="166" spans="4:44">
      <c r="D166" t="s">
        <v>1825</v>
      </c>
      <c r="E166" t="s">
        <v>2798</v>
      </c>
      <c r="G166" t="s">
        <v>3109</v>
      </c>
      <c r="H166">
        <f ca="1">INDEX(技能数据库!$B$2:$I$100,MATCH(无穷伤害与收益计算!$E166,技能数据库!$B$2:$B$100,0),MATCH(H$9,技能数据库!$B$2:$I$2,0))</f>
        <v>1504.5</v>
      </c>
      <c r="I166">
        <f ca="1">INDEX(技能数据库!$B$2:$I$100,MATCH(无穷伤害与收益计算!$E166,技能数据库!$B$2:$B$100,0),MATCH(I$9,技能数据库!$B$2:$I$2,0))</f>
        <v>2.85625</v>
      </c>
      <c r="J166">
        <f ca="1">INDEX(技能数据库!$B$2:$I$100,MATCH(无穷伤害与收益计算!$E166,技能数据库!$B$2:$B$100,0),MATCH(J$9,技能数据库!$B$2:$I$2,0))</f>
        <v>0</v>
      </c>
      <c r="K166">
        <f ca="1">INDEX(技能数据库!$B$2:$I$100,MATCH(无穷伤害与收益计算!$E166,技能数据库!$B$2:$B$100,0),MATCH(K$9,技能数据库!$B$2:$I$2,0))</f>
        <v>0</v>
      </c>
      <c r="L166">
        <f ca="1" t="shared" si="284"/>
        <v>105847</v>
      </c>
      <c r="M166">
        <f ca="1" t="shared" si="316"/>
        <v>19530.5</v>
      </c>
      <c r="N166">
        <f ca="1" t="shared" si="317"/>
        <v>92028</v>
      </c>
      <c r="O166">
        <f ca="1" t="shared" si="325"/>
        <v>303829.99375</v>
      </c>
      <c r="P166">
        <f ca="1">IF(G166="恒定伤害",0,(IF(D166="轻剑",$AZ$2,$AZ$3)+IFERROR(INDEX(技能数据库!$T$2:$W$27,MATCH(E166,技能数据库!$T$2:$T$27,0),4),0)+COUNTIF(G166,"*造化2*")*154+COUNTIF(G166,"*造化1*")*102+COUNTIF(G166,"*碧归*")*307)/1024)</f>
        <v>0.176868146929785</v>
      </c>
      <c r="Q166">
        <f ca="1" t="shared" si="311"/>
        <v>0.448284482196154</v>
      </c>
      <c r="R166">
        <f ca="1" t="shared" si="326"/>
        <v>0.21277697966198</v>
      </c>
      <c r="S166">
        <f ca="1" t="shared" si="318"/>
        <v>407671.279071588</v>
      </c>
      <c r="T166">
        <f t="shared" si="319"/>
        <v>0.8</v>
      </c>
      <c r="U166">
        <f ca="1" t="shared" si="312"/>
        <v>1.7995442148</v>
      </c>
      <c r="V166">
        <f ca="1" t="shared" si="320"/>
        <v>913035.016691983</v>
      </c>
      <c r="W166">
        <f ca="1">IF(G166="恒定伤害",0,MIN(1,IF(COUNTIF(F166,"*内会*")&gt;0,内会,IF(D166="轻剑",$Y$2,$Y$3)+COUNTIF(G166,"*莺鸣*")*0.2+COUNTIF(G166,"*叠1*")*0.1+COUNTIF(G166,"*叠2*")*0.2+COUNTIF(G166,"*叠3*")*0.3)+IFERROR(INDEX(技能数据库!$T$2:$W$27,MATCH(E166,技能数据库!$T$2:$T$27,0),2),0)+IF((IF(D166="轻剑",$AO$2,$AO$3)+INT(COUNTIF(G166,"*大莺鸣*")*IF(D166="轻剑",$AM$2,$AM$3)*听晓无双率)/无双系数)&gt;0.9,特效裤子会心/会心系数,0)))</f>
        <v>0.9343</v>
      </c>
      <c r="X166">
        <f ca="1">IF(G166="恒定伤害",0,IF(COUNTIF(F166,"*内会*")&gt;0,内会效,IF(D166="轻剑",$AB$2,$AB$3))+IFERROR(INDEX(技能数据库!$T$2:$W$27,MATCH(E166,技能数据库!$T$2:$T$27,0),3)/1024,0))+COUNTIF(G166,"*叠1*")*0.25+COUNTIF(G166,"*叠2*")*0.5+COUNTIF(G166,"*叠3*")*0.75</f>
        <v>2.8217485021</v>
      </c>
      <c r="Y166">
        <f ca="1" t="shared" si="321"/>
        <v>2.70205962551203</v>
      </c>
      <c r="Z166">
        <f t="shared" si="327"/>
        <v>0.150390625</v>
      </c>
      <c r="AA166">
        <f ca="1" t="shared" si="322"/>
        <v>0.0205078125</v>
      </c>
      <c r="AB166">
        <f ca="1" t="shared" si="323"/>
        <v>2896303.237727</v>
      </c>
      <c r="AC166">
        <f ca="1">无穷技能数计算!AJ158</f>
        <v>0</v>
      </c>
      <c r="AD166" s="164">
        <f ca="1" t="shared" si="328"/>
        <v>0</v>
      </c>
      <c r="AE166" s="168">
        <f ca="1" t="shared" si="285"/>
        <v>0.00466280495389702</v>
      </c>
      <c r="AF166" s="168">
        <f ca="1" t="shared" si="329"/>
        <v>0</v>
      </c>
      <c r="AG166">
        <f ca="1" t="shared" si="324"/>
        <v>0.00334241552406178</v>
      </c>
      <c r="AH166">
        <f ca="1" t="shared" si="330"/>
        <v>1.00318089109683</v>
      </c>
      <c r="AI166">
        <f ca="1" t="shared" si="331"/>
        <v>1.00016101226475</v>
      </c>
      <c r="AJ166">
        <f ca="1" t="shared" si="332"/>
        <v>0</v>
      </c>
      <c r="AK166">
        <f ca="1" t="shared" si="314"/>
        <v>0</v>
      </c>
      <c r="AL166">
        <f ca="1" t="shared" si="333"/>
        <v>0</v>
      </c>
      <c r="AM166">
        <f ca="1" t="shared" si="315"/>
        <v>0</v>
      </c>
      <c r="AN166" s="168">
        <f ca="1" t="shared" si="286"/>
        <v>0.00694449658447471</v>
      </c>
      <c r="AO166" s="168">
        <f ca="1" t="shared" si="313"/>
        <v>0.00447057613551372</v>
      </c>
      <c r="AP166" s="172">
        <f ca="1" t="shared" si="334"/>
        <v>0</v>
      </c>
      <c r="AQ166" s="168">
        <f ca="1" t="shared" si="335"/>
        <v>0.00401583628616287</v>
      </c>
      <c r="AR166">
        <f t="shared" si="336"/>
        <v>1</v>
      </c>
    </row>
    <row r="167" spans="4:44">
      <c r="D167" t="s">
        <v>1825</v>
      </c>
      <c r="E167" t="s">
        <v>2798</v>
      </c>
      <c r="G167" t="s">
        <v>3110</v>
      </c>
      <c r="H167">
        <f ca="1">INDEX(技能数据库!$B$2:$I$100,MATCH(无穷伤害与收益计算!$E167,技能数据库!$B$2:$B$100,0),MATCH(H$9,技能数据库!$B$2:$I$2,0))</f>
        <v>1504.5</v>
      </c>
      <c r="I167">
        <f ca="1">INDEX(技能数据库!$B$2:$I$100,MATCH(无穷伤害与收益计算!$E167,技能数据库!$B$2:$B$100,0),MATCH(I$9,技能数据库!$B$2:$I$2,0))</f>
        <v>2.85625</v>
      </c>
      <c r="J167">
        <f ca="1">INDEX(技能数据库!$B$2:$I$100,MATCH(无穷伤害与收益计算!$E167,技能数据库!$B$2:$B$100,0),MATCH(J$9,技能数据库!$B$2:$I$2,0))</f>
        <v>0</v>
      </c>
      <c r="K167">
        <f ca="1">INDEX(技能数据库!$B$2:$I$100,MATCH(无穷伤害与收益计算!$E167,技能数据库!$B$2:$B$100,0),MATCH(K$9,技能数据库!$B$2:$I$2,0))</f>
        <v>0</v>
      </c>
      <c r="L167">
        <f ca="1" t="shared" si="284"/>
        <v>105847</v>
      </c>
      <c r="M167">
        <f ca="1" t="shared" si="316"/>
        <v>19530.5</v>
      </c>
      <c r="N167">
        <f ca="1" t="shared" si="317"/>
        <v>92028</v>
      </c>
      <c r="O167">
        <f ca="1" t="shared" si="325"/>
        <v>303829.99375</v>
      </c>
      <c r="P167">
        <f ca="1">IF(G167="恒定伤害",0,(IF(D167="轻剑",$AZ$2,$AZ$3)+IFERROR(INDEX(技能数据库!$T$2:$W$27,MATCH(E167,技能数据库!$T$2:$T$27,0),4),0)+COUNTIF(G167,"*造化2*")*154+COUNTIF(G167,"*造化1*")*102+COUNTIF(G167,"*碧归*")*307)/1024)</f>
        <v>0.176868146929785</v>
      </c>
      <c r="Q167">
        <f ca="1" t="shared" si="311"/>
        <v>0.448284482196154</v>
      </c>
      <c r="R167">
        <f ca="1" t="shared" si="326"/>
        <v>0.21277697966198</v>
      </c>
      <c r="S167">
        <f ca="1" t="shared" si="318"/>
        <v>407671.279071588</v>
      </c>
      <c r="T167">
        <f t="shared" si="319"/>
        <v>0.8</v>
      </c>
      <c r="U167">
        <f ca="1" t="shared" si="312"/>
        <v>1.7995442148</v>
      </c>
      <c r="V167">
        <f ca="1" t="shared" si="320"/>
        <v>913035.016691983</v>
      </c>
      <c r="W167">
        <f ca="1">IF(G167="恒定伤害",0,MIN(1,IF(COUNTIF(F167,"*内会*")&gt;0,内会,IF(D167="轻剑",$Y$2,$Y$3)+COUNTIF(G167,"*莺鸣*")*0.2+COUNTIF(G167,"*叠1*")*0.1+COUNTIF(G167,"*叠2*")*0.2+COUNTIF(G167,"*叠3*")*0.3)+IFERROR(INDEX(技能数据库!$T$2:$W$27,MATCH(E167,技能数据库!$T$2:$T$27,0),2),0)+IF((IF(D167="轻剑",$AO$2,$AO$3)+INT(COUNTIF(G167,"*大莺鸣*")*IF(D167="轻剑",$AM$2,$AM$3)*听晓无双率)/无双系数)&gt;0.9,特效裤子会心/会心系数,0)))</f>
        <v>1</v>
      </c>
      <c r="X167">
        <f ca="1">IF(G167="恒定伤害",0,IF(COUNTIF(F167,"*内会*")&gt;0,内会效,IF(D167="轻剑",$AB$2,$AB$3))+IFERROR(INDEX(技能数据库!$T$2:$W$27,MATCH(E167,技能数据库!$T$2:$T$27,0),3)/1024,0))+COUNTIF(G167,"*叠1*")*0.25+COUNTIF(G167,"*叠2*")*0.5+COUNTIF(G167,"*叠3*")*0.75</f>
        <v>3.0717485021</v>
      </c>
      <c r="Y167">
        <f ca="1" t="shared" si="321"/>
        <v>3.0717485021</v>
      </c>
      <c r="Z167">
        <f t="shared" si="327"/>
        <v>0.150390625</v>
      </c>
      <c r="AA167">
        <f ca="1" t="shared" si="322"/>
        <v>0.0205078125</v>
      </c>
      <c r="AB167">
        <f ca="1" t="shared" si="323"/>
        <v>3292568.0277797</v>
      </c>
      <c r="AC167">
        <f ca="1">无穷技能数计算!AJ159</f>
        <v>2</v>
      </c>
      <c r="AD167" s="164">
        <f ca="1" t="shared" si="328"/>
        <v>0.00230969679917965</v>
      </c>
      <c r="AE167" s="168">
        <f ca="1" t="shared" si="285"/>
        <v>0.00466280495389702</v>
      </c>
      <c r="AF167" s="168">
        <f ca="1" t="shared" si="329"/>
        <v>0</v>
      </c>
      <c r="AG167">
        <f ca="1" t="shared" si="324"/>
        <v>0.00334241552406178</v>
      </c>
      <c r="AH167">
        <f ca="1" t="shared" si="330"/>
        <v>1.00318089109683</v>
      </c>
      <c r="AI167">
        <f ca="1" t="shared" si="331"/>
        <v>1.00016101226475</v>
      </c>
      <c r="AJ167">
        <f ca="1" t="shared" si="332"/>
        <v>1</v>
      </c>
      <c r="AK167">
        <f ca="1" t="shared" si="314"/>
        <v>2</v>
      </c>
      <c r="AL167">
        <f ca="1" t="shared" si="333"/>
        <v>0</v>
      </c>
      <c r="AM167">
        <f ca="1" t="shared" si="315"/>
        <v>2</v>
      </c>
      <c r="AN167" s="168">
        <f ca="1" t="shared" si="286"/>
        <v>0.00653828267501666</v>
      </c>
      <c r="AO167" s="168">
        <f ca="1" t="shared" si="313"/>
        <v>0.00447057613551372</v>
      </c>
      <c r="AP167" s="172">
        <f ca="1" t="shared" si="334"/>
        <v>0</v>
      </c>
      <c r="AQ167" s="168">
        <f ca="1" t="shared" si="335"/>
        <v>0.00401583628616287</v>
      </c>
      <c r="AR167">
        <f t="shared" si="336"/>
        <v>1</v>
      </c>
    </row>
    <row r="168" spans="4:44">
      <c r="D168" t="s">
        <v>1825</v>
      </c>
      <c r="E168" t="s">
        <v>2801</v>
      </c>
      <c r="G168" t="s">
        <v>3108</v>
      </c>
      <c r="H168">
        <f ca="1">INDEX(技能数据库!$B$2:$I$100,MATCH(无穷伤害与收益计算!$E168,技能数据库!$B$2:$B$100,0),MATCH(H$9,技能数据库!$B$2:$I$2,0))</f>
        <v>291</v>
      </c>
      <c r="I168">
        <f ca="1">INDEX(技能数据库!$B$2:$I$100,MATCH(无穷伤害与收益计算!$E168,技能数据库!$B$2:$B$100,0),MATCH(I$9,技能数据库!$B$2:$I$2,0))</f>
        <v>1.8875</v>
      </c>
      <c r="J168">
        <f ca="1">INDEX(技能数据库!$B$2:$I$100,MATCH(无穷伤害与收益计算!$E168,技能数据库!$B$2:$B$100,0),MATCH(J$9,技能数据库!$B$2:$I$2,0))</f>
        <v>2</v>
      </c>
      <c r="K168">
        <f ca="1">INDEX(技能数据库!$B$2:$I$100,MATCH(无穷伤害与收益计算!$E168,技能数据库!$B$2:$B$100,0),MATCH(K$9,技能数据库!$B$2:$I$2,0))</f>
        <v>0</v>
      </c>
      <c r="L168">
        <f ca="1" t="shared" si="284"/>
        <v>105847</v>
      </c>
      <c r="M168">
        <f ca="1" t="shared" si="316"/>
        <v>19530.5</v>
      </c>
      <c r="N168">
        <f ca="1" t="shared" si="317"/>
        <v>92028</v>
      </c>
      <c r="O168">
        <f ca="1" t="shared" si="325"/>
        <v>239138.2125</v>
      </c>
      <c r="P168">
        <f ca="1">IF(G168="恒定伤害",0,(IF(D168="轻剑",$AZ$2,$AZ$3)+IFERROR(INDEX(技能数据库!$T$2:$W$27,MATCH(E168,技能数据库!$T$2:$T$27,0),4),0)+COUNTIF(G168,"*造化2*")*154+COUNTIF(G168,"*造化1*")*102+COUNTIF(G168,"*碧归*")*307)/1024)</f>
        <v>0.176868146929785</v>
      </c>
      <c r="Q168">
        <f ca="1" t="shared" si="311"/>
        <v>0.448284482196154</v>
      </c>
      <c r="R168">
        <f ca="1" t="shared" si="326"/>
        <v>0.21277697966198</v>
      </c>
      <c r="S168">
        <f ca="1" t="shared" si="318"/>
        <v>320869.509166977</v>
      </c>
      <c r="T168">
        <f t="shared" si="319"/>
        <v>0.8</v>
      </c>
      <c r="U168">
        <f ca="1" t="shared" si="312"/>
        <v>1.7995442148</v>
      </c>
      <c r="V168">
        <f ca="1" t="shared" si="320"/>
        <v>718630.7024753</v>
      </c>
      <c r="W168">
        <f ca="1">IF(G168="恒定伤害",0,MIN(1,IF(COUNTIF(F168,"*内会*")&gt;0,内会,IF(D168="轻剑",$Y$2,$Y$3)+COUNTIF(G168,"*莺鸣*")*0.2+COUNTIF(G168,"*叠1*")*0.1+COUNTIF(G168,"*叠2*")*0.2+COUNTIF(G168,"*叠3*")*0.3)+IFERROR(INDEX(技能数据库!$T$2:$W$27,MATCH(E168,技能数据库!$T$2:$T$27,0),2),0)+IF((IF(D168="轻剑",$AO$2,$AO$3)+INT(COUNTIF(G168,"*大莺鸣*")*IF(D168="轻剑",$AM$2,$AM$3)*听晓无双率)/无双系数)&gt;0.9,特效裤子会心/会心系数,0)))</f>
        <v>0.8343</v>
      </c>
      <c r="X168">
        <f ca="1">IF(G168="恒定伤害",0,IF(COUNTIF(F168,"*内会*")&gt;0,内会效,IF(D168="轻剑",$AB$2,$AB$3))+IFERROR(INDEX(技能数据库!$T$2:$W$27,MATCH(E168,技能数据库!$T$2:$T$27,0),3)/1024,0))+COUNTIF(G168,"*叠1*")*0.25+COUNTIF(G168,"*叠2*")*0.5+COUNTIF(G168,"*叠3*")*0.75</f>
        <v>2.5717485021</v>
      </c>
      <c r="Y168">
        <f ca="1" t="shared" si="321"/>
        <v>2.31130977530203</v>
      </c>
      <c r="Z168">
        <f t="shared" si="327"/>
        <v>0.150390625</v>
      </c>
      <c r="AA168">
        <f ca="1" t="shared" si="322"/>
        <v>0.0205078125</v>
      </c>
      <c r="AB168">
        <f ca="1" t="shared" si="323"/>
        <v>1949959.5011988</v>
      </c>
      <c r="AC168">
        <f ca="1">无穷技能数计算!AJ160</f>
        <v>6</v>
      </c>
      <c r="AD168" s="164">
        <f ca="1" t="shared" si="328"/>
        <v>0.00410361928481024</v>
      </c>
      <c r="AE168" s="168">
        <f ca="1" t="shared" si="285"/>
        <v>0.00391489084999329</v>
      </c>
      <c r="AF168" s="168">
        <f ca="1" t="shared" si="329"/>
        <v>0.00498665599083208</v>
      </c>
      <c r="AG168">
        <f ca="1" t="shared" si="324"/>
        <v>0.00341575184059106</v>
      </c>
      <c r="AH168">
        <f ca="1" t="shared" si="330"/>
        <v>1.00267067603576</v>
      </c>
      <c r="AI168">
        <f ca="1" t="shared" si="331"/>
        <v>1.00016101226475</v>
      </c>
      <c r="AJ168">
        <f ca="1" t="shared" si="332"/>
        <v>1.00058198527732</v>
      </c>
      <c r="AK168">
        <f ca="1" t="shared" si="314"/>
        <v>6</v>
      </c>
      <c r="AL168">
        <f ca="1" t="shared" si="333"/>
        <v>0.00503217766381492</v>
      </c>
      <c r="AM168">
        <f ca="1" t="shared" si="315"/>
        <v>6</v>
      </c>
      <c r="AN168" s="168">
        <f ca="1" t="shared" si="286"/>
        <v>0.00724958982916823</v>
      </c>
      <c r="AO168" s="168">
        <f ca="1" t="shared" si="313"/>
        <v>0.00447057613551372</v>
      </c>
      <c r="AP168" s="172">
        <f ca="1" t="shared" si="334"/>
        <v>0</v>
      </c>
      <c r="AQ168" s="168">
        <f ca="1" t="shared" si="335"/>
        <v>0.00401583628616287</v>
      </c>
      <c r="AR168">
        <f t="shared" si="336"/>
        <v>1</v>
      </c>
    </row>
    <row r="169" spans="4:44">
      <c r="D169" t="s">
        <v>1825</v>
      </c>
      <c r="E169" t="s">
        <v>2801</v>
      </c>
      <c r="G169" t="s">
        <v>3109</v>
      </c>
      <c r="H169">
        <f ca="1">INDEX(技能数据库!$B$2:$I$100,MATCH(无穷伤害与收益计算!$E169,技能数据库!$B$2:$B$100,0),MATCH(H$9,技能数据库!$B$2:$I$2,0))</f>
        <v>291</v>
      </c>
      <c r="I169">
        <f ca="1">INDEX(技能数据库!$B$2:$I$100,MATCH(无穷伤害与收益计算!$E169,技能数据库!$B$2:$B$100,0),MATCH(I$9,技能数据库!$B$2:$I$2,0))</f>
        <v>1.8875</v>
      </c>
      <c r="J169">
        <f ca="1">INDEX(技能数据库!$B$2:$I$100,MATCH(无穷伤害与收益计算!$E169,技能数据库!$B$2:$B$100,0),MATCH(J$9,技能数据库!$B$2:$I$2,0))</f>
        <v>2</v>
      </c>
      <c r="K169">
        <f ca="1">INDEX(技能数据库!$B$2:$I$100,MATCH(无穷伤害与收益计算!$E169,技能数据库!$B$2:$B$100,0),MATCH(K$9,技能数据库!$B$2:$I$2,0))</f>
        <v>0</v>
      </c>
      <c r="L169">
        <f ca="1" t="shared" si="284"/>
        <v>105847</v>
      </c>
      <c r="M169">
        <f ca="1" t="shared" si="316"/>
        <v>19530.5</v>
      </c>
      <c r="N169">
        <f ca="1" t="shared" si="317"/>
        <v>92028</v>
      </c>
      <c r="O169">
        <f ca="1" t="shared" si="325"/>
        <v>239138.2125</v>
      </c>
      <c r="P169">
        <f ca="1">IF(G169="恒定伤害",0,(IF(D169="轻剑",$AZ$2,$AZ$3)+IFERROR(INDEX(技能数据库!$T$2:$W$27,MATCH(E169,技能数据库!$T$2:$T$27,0),4),0)+COUNTIF(G169,"*造化2*")*154+COUNTIF(G169,"*造化1*")*102+COUNTIF(G169,"*碧归*")*307)/1024)</f>
        <v>0.176868146929785</v>
      </c>
      <c r="Q169">
        <f ca="1" t="shared" si="311"/>
        <v>0.448284482196154</v>
      </c>
      <c r="R169">
        <f ca="1" t="shared" si="326"/>
        <v>0.21277697966198</v>
      </c>
      <c r="S169">
        <f ca="1" t="shared" si="318"/>
        <v>320869.509166977</v>
      </c>
      <c r="T169">
        <f t="shared" si="319"/>
        <v>0.8</v>
      </c>
      <c r="U169">
        <f ca="1" t="shared" si="312"/>
        <v>1.7995442148</v>
      </c>
      <c r="V169">
        <f ca="1" t="shared" si="320"/>
        <v>718630.7024753</v>
      </c>
      <c r="W169">
        <f ca="1">IF(G169="恒定伤害",0,MIN(1,IF(COUNTIF(F169,"*内会*")&gt;0,内会,IF(D169="轻剑",$Y$2,$Y$3)+COUNTIF(G169,"*莺鸣*")*0.2+COUNTIF(G169,"*叠1*")*0.1+COUNTIF(G169,"*叠2*")*0.2+COUNTIF(G169,"*叠3*")*0.3)+IFERROR(INDEX(技能数据库!$T$2:$W$27,MATCH(E169,技能数据库!$T$2:$T$27,0),2),0)+IF((IF(D169="轻剑",$AO$2,$AO$3)+INT(COUNTIF(G169,"*大莺鸣*")*IF(D169="轻剑",$AM$2,$AM$3)*听晓无双率)/无双系数)&gt;0.9,特效裤子会心/会心系数,0)))</f>
        <v>0.9343</v>
      </c>
      <c r="X169">
        <f ca="1">IF(G169="恒定伤害",0,IF(COUNTIF(F169,"*内会*")&gt;0,内会效,IF(D169="轻剑",$AB$2,$AB$3))+IFERROR(INDEX(技能数据库!$T$2:$W$27,MATCH(E169,技能数据库!$T$2:$T$27,0),3)/1024,0))+COUNTIF(G169,"*叠1*")*0.25+COUNTIF(G169,"*叠2*")*0.5+COUNTIF(G169,"*叠3*")*0.75</f>
        <v>2.8217485021</v>
      </c>
      <c r="Y169">
        <f ca="1" t="shared" si="321"/>
        <v>2.70205962551203</v>
      </c>
      <c r="Z169">
        <f t="shared" si="327"/>
        <v>0.150390625</v>
      </c>
      <c r="AA169">
        <f ca="1" t="shared" si="322"/>
        <v>0.0205078125</v>
      </c>
      <c r="AB169">
        <f ca="1" t="shared" si="323"/>
        <v>2279619.50227305</v>
      </c>
      <c r="AC169">
        <f ca="1">无穷技能数计算!AJ161</f>
        <v>3</v>
      </c>
      <c r="AD169" s="164">
        <f ca="1" t="shared" si="328"/>
        <v>0.0023986884204021</v>
      </c>
      <c r="AE169" s="168">
        <f ca="1" t="shared" si="285"/>
        <v>0.00391489084999329</v>
      </c>
      <c r="AF169" s="168">
        <f ca="1" t="shared" si="329"/>
        <v>0.00498665599083208</v>
      </c>
      <c r="AG169">
        <f ca="1" t="shared" si="324"/>
        <v>0.00341075881166897</v>
      </c>
      <c r="AH169">
        <f ca="1" t="shared" si="330"/>
        <v>1.00267067603576</v>
      </c>
      <c r="AI169">
        <f ca="1" t="shared" si="331"/>
        <v>1.00016101226475</v>
      </c>
      <c r="AJ169">
        <f ca="1" t="shared" si="332"/>
        <v>1.00057700634931</v>
      </c>
      <c r="AK169">
        <f ca="1" t="shared" si="314"/>
        <v>3</v>
      </c>
      <c r="AL169">
        <f ca="1" t="shared" si="333"/>
        <v>0.00498912700378584</v>
      </c>
      <c r="AM169">
        <f ca="1" t="shared" si="315"/>
        <v>3</v>
      </c>
      <c r="AN169" s="168">
        <f ca="1" t="shared" si="286"/>
        <v>0.00694449658447471</v>
      </c>
      <c r="AO169" s="168">
        <f ca="1" t="shared" si="313"/>
        <v>0.00447057613551372</v>
      </c>
      <c r="AP169" s="172">
        <f ca="1" t="shared" si="334"/>
        <v>0</v>
      </c>
      <c r="AQ169" s="168">
        <f ca="1" t="shared" si="335"/>
        <v>0.00401583628616287</v>
      </c>
      <c r="AR169">
        <f t="shared" si="336"/>
        <v>1</v>
      </c>
    </row>
    <row r="170" spans="4:44">
      <c r="D170" t="s">
        <v>1825</v>
      </c>
      <c r="E170" t="s">
        <v>2801</v>
      </c>
      <c r="G170" t="s">
        <v>3110</v>
      </c>
      <c r="H170">
        <f ca="1">INDEX(技能数据库!$B$2:$I$100,MATCH(无穷伤害与收益计算!$E170,技能数据库!$B$2:$B$100,0),MATCH(H$9,技能数据库!$B$2:$I$2,0))</f>
        <v>291</v>
      </c>
      <c r="I170">
        <f ca="1">INDEX(技能数据库!$B$2:$I$100,MATCH(无穷伤害与收益计算!$E170,技能数据库!$B$2:$B$100,0),MATCH(I$9,技能数据库!$B$2:$I$2,0))</f>
        <v>1.8875</v>
      </c>
      <c r="J170">
        <f ca="1">INDEX(技能数据库!$B$2:$I$100,MATCH(无穷伤害与收益计算!$E170,技能数据库!$B$2:$B$100,0),MATCH(J$9,技能数据库!$B$2:$I$2,0))</f>
        <v>2</v>
      </c>
      <c r="K170">
        <f ca="1">INDEX(技能数据库!$B$2:$I$100,MATCH(无穷伤害与收益计算!$E170,技能数据库!$B$2:$B$100,0),MATCH(K$9,技能数据库!$B$2:$I$2,0))</f>
        <v>0</v>
      </c>
      <c r="L170">
        <f ca="1" t="shared" si="284"/>
        <v>105847</v>
      </c>
      <c r="M170">
        <f ca="1" t="shared" si="316"/>
        <v>19530.5</v>
      </c>
      <c r="N170">
        <f ca="1" t="shared" si="317"/>
        <v>92028</v>
      </c>
      <c r="O170">
        <f ca="1" t="shared" si="325"/>
        <v>239138.2125</v>
      </c>
      <c r="P170">
        <f ca="1">IF(G170="恒定伤害",0,(IF(D170="轻剑",$AZ$2,$AZ$3)+IFERROR(INDEX(技能数据库!$T$2:$W$27,MATCH(E170,技能数据库!$T$2:$T$27,0),4),0)+COUNTIF(G170,"*造化2*")*154+COUNTIF(G170,"*造化1*")*102+COUNTIF(G170,"*碧归*")*307)/1024)</f>
        <v>0.176868146929785</v>
      </c>
      <c r="Q170">
        <f ca="1" t="shared" si="311"/>
        <v>0.448284482196154</v>
      </c>
      <c r="R170">
        <f ca="1" t="shared" si="326"/>
        <v>0.21277697966198</v>
      </c>
      <c r="S170">
        <f ca="1" t="shared" si="318"/>
        <v>320869.509166977</v>
      </c>
      <c r="T170">
        <f t="shared" si="319"/>
        <v>0.8</v>
      </c>
      <c r="U170">
        <f ca="1" t="shared" si="312"/>
        <v>1.7995442148</v>
      </c>
      <c r="V170">
        <f ca="1" t="shared" si="320"/>
        <v>718630.7024753</v>
      </c>
      <c r="W170">
        <f ca="1">IF(G170="恒定伤害",0,MIN(1,IF(COUNTIF(F170,"*内会*")&gt;0,内会,IF(D170="轻剑",$Y$2,$Y$3)+COUNTIF(G170,"*莺鸣*")*0.2+COUNTIF(G170,"*叠1*")*0.1+COUNTIF(G170,"*叠2*")*0.2+COUNTIF(G170,"*叠3*")*0.3)+IFERROR(INDEX(技能数据库!$T$2:$W$27,MATCH(E170,技能数据库!$T$2:$T$27,0),2),0)+IF((IF(D170="轻剑",$AO$2,$AO$3)+INT(COUNTIF(G170,"*大莺鸣*")*IF(D170="轻剑",$AM$2,$AM$3)*听晓无双率)/无双系数)&gt;0.9,特效裤子会心/会心系数,0)))</f>
        <v>1</v>
      </c>
      <c r="X170">
        <f ca="1">IF(G170="恒定伤害",0,IF(COUNTIF(F170,"*内会*")&gt;0,内会效,IF(D170="轻剑",$AB$2,$AB$3))+IFERROR(INDEX(技能数据库!$T$2:$W$27,MATCH(E170,技能数据库!$T$2:$T$27,0),3)/1024,0))+COUNTIF(G170,"*叠1*")*0.25+COUNTIF(G170,"*叠2*")*0.5+COUNTIF(G170,"*叠3*")*0.75</f>
        <v>3.0717485021</v>
      </c>
      <c r="Y170">
        <f ca="1" t="shared" si="321"/>
        <v>3.0717485021</v>
      </c>
      <c r="Z170">
        <f t="shared" si="327"/>
        <v>0.150390625</v>
      </c>
      <c r="AA170">
        <f ca="1" t="shared" si="322"/>
        <v>0.0205078125</v>
      </c>
      <c r="AB170">
        <f ca="1" t="shared" si="323"/>
        <v>2591511.20328747</v>
      </c>
      <c r="AC170">
        <f ca="1">无穷技能数计算!AJ162</f>
        <v>20</v>
      </c>
      <c r="AD170" s="164">
        <f ca="1" t="shared" si="328"/>
        <v>0.0181791388386517</v>
      </c>
      <c r="AE170" s="168">
        <f ca="1" t="shared" si="285"/>
        <v>0.00391489084999329</v>
      </c>
      <c r="AF170" s="168">
        <f ca="1" t="shared" si="329"/>
        <v>0.00498665599083208</v>
      </c>
      <c r="AG170">
        <f ca="1" t="shared" si="324"/>
        <v>0.00283211831211094</v>
      </c>
      <c r="AH170">
        <f ca="1" t="shared" si="330"/>
        <v>1.00267067603576</v>
      </c>
      <c r="AI170">
        <f ca="1" t="shared" si="331"/>
        <v>1.00016101226475</v>
      </c>
      <c r="AJ170">
        <f ca="1" t="shared" si="332"/>
        <v>1</v>
      </c>
      <c r="AK170">
        <f ca="1" t="shared" si="314"/>
        <v>20</v>
      </c>
      <c r="AL170">
        <f ca="1" t="shared" si="333"/>
        <v>0</v>
      </c>
      <c r="AM170">
        <f ca="1" t="shared" si="315"/>
        <v>20</v>
      </c>
      <c r="AN170" s="168">
        <f ca="1" t="shared" si="286"/>
        <v>0.00653828267501666</v>
      </c>
      <c r="AO170" s="168">
        <f ca="1" t="shared" si="313"/>
        <v>0.00447057613551372</v>
      </c>
      <c r="AP170" s="172">
        <f ca="1" t="shared" si="334"/>
        <v>0</v>
      </c>
      <c r="AQ170" s="168">
        <f ca="1" t="shared" si="335"/>
        <v>0.00401583628616287</v>
      </c>
      <c r="AR170">
        <f t="shared" si="336"/>
        <v>1</v>
      </c>
    </row>
    <row r="171" spans="4:44">
      <c r="D171" t="s">
        <v>1825</v>
      </c>
      <c r="E171" s="161" t="s">
        <v>2772</v>
      </c>
      <c r="G171" t="s">
        <v>3108</v>
      </c>
      <c r="H171">
        <f ca="1">INDEX(技能数据库!$B$2:$I$100,MATCH(无穷伤害与收益计算!$E171,技能数据库!$B$2:$B$100,0),MATCH(H$9,技能数据库!$B$2:$I$2,0))</f>
        <v>0</v>
      </c>
      <c r="I171">
        <f ca="1">INDEX(技能数据库!$B$2:$I$100,MATCH(无穷伤害与收益计算!$E171,技能数据库!$B$2:$B$100,0),MATCH(I$9,技能数据库!$B$2:$I$2,0))</f>
        <v>0</v>
      </c>
      <c r="J171">
        <f ca="1">INDEX(技能数据库!$B$2:$I$100,MATCH(无穷伤害与收益计算!$E171,技能数据库!$B$2:$B$100,0),MATCH(J$9,技能数据库!$B$2:$I$2,0))</f>
        <v>0</v>
      </c>
      <c r="K171">
        <f ca="1">INDEX(技能数据库!$B$2:$I$100,MATCH(无穷伤害与收益计算!$E171,技能数据库!$B$2:$B$100,0),MATCH(K$9,技能数据库!$B$2:$I$2,0))</f>
        <v>0.207999229431152</v>
      </c>
      <c r="L171">
        <f ca="1" t="shared" si="284"/>
        <v>105847</v>
      </c>
      <c r="M171">
        <f ca="1" t="shared" si="316"/>
        <v>19530.5</v>
      </c>
      <c r="N171">
        <f ca="1" t="shared" si="317"/>
        <v>92028</v>
      </c>
      <c r="O171">
        <f ca="1" t="shared" si="325"/>
        <v>163355.720836693</v>
      </c>
      <c r="P171">
        <f ca="1">IF(G171="恒定伤害",0,(IF(D171="轻剑",$AZ$2,$AZ$3)+IFERROR(INDEX(技能数据库!$T$2:$W$27,MATCH(E171,技能数据库!$T$2:$T$27,0),4),0)+COUNTIF(G171,"*造化2*")*154+COUNTIF(G171,"*造化1*")*102+COUNTIF(G171,"*碧归*")*307)/1024)</f>
        <v>0.176868146929785</v>
      </c>
      <c r="Q171">
        <f ca="1" t="shared" si="311"/>
        <v>0.448284482196154</v>
      </c>
      <c r="R171">
        <f ca="1" t="shared" si="326"/>
        <v>0.21277697966198</v>
      </c>
      <c r="S171">
        <f ca="1" t="shared" si="318"/>
        <v>219186.508992105</v>
      </c>
      <c r="T171">
        <f t="shared" si="319"/>
        <v>0.8</v>
      </c>
      <c r="U171">
        <f ca="1" t="shared" si="312"/>
        <v>1.7995442148</v>
      </c>
      <c r="V171">
        <f ca="1" t="shared" si="320"/>
        <v>490897.858568846</v>
      </c>
      <c r="W171">
        <f ca="1">IF(G171="恒定伤害",0,MIN(1,IF(COUNTIF(F171,"*内会*")&gt;0,内会,IF(D171="轻剑",$Y$2,$Y$3)+COUNTIF(G171,"*莺鸣*")*0.2+COUNTIF(G171,"*叠1*")*0.1+COUNTIF(G171,"*叠2*")*0.2+COUNTIF(G171,"*叠3*")*0.3)+IFERROR(INDEX(技能数据库!$T$2:$W$27,MATCH(E171,技能数据库!$T$2:$T$27,0),2),0)+IF((IF(D171="轻剑",$AO$2,$AO$3)+INT(COUNTIF(G171,"*大莺鸣*")*IF(D171="轻剑",$AM$2,$AM$3)*听晓无双率)/无双系数)&gt;0.9,特效裤子会心/会心系数,0)))</f>
        <v>0.8343</v>
      </c>
      <c r="X171">
        <f ca="1">IF(G171="恒定伤害",0,IF(COUNTIF(F171,"*内会*")&gt;0,内会效,IF(D171="轻剑",$AB$2,$AB$3))+IFERROR(INDEX(技能数据库!$T$2:$W$27,MATCH(E171,技能数据库!$T$2:$T$27,0),3)/1024,0))+COUNTIF(G171,"*叠1*")*0.25+COUNTIF(G171,"*叠2*")*0.5+COUNTIF(G171,"*叠3*")*0.75</f>
        <v>2.5717485021</v>
      </c>
      <c r="Y171">
        <f ca="1" t="shared" si="321"/>
        <v>2.31130977530203</v>
      </c>
      <c r="Z171">
        <f t="shared" si="327"/>
        <v>0.150390625</v>
      </c>
      <c r="AA171">
        <f ca="1" t="shared" si="322"/>
        <v>0.0205078125</v>
      </c>
      <c r="AB171">
        <f ca="1" t="shared" si="323"/>
        <v>1332020.66115087</v>
      </c>
      <c r="AC171">
        <f ca="1">无穷技能数计算!AJ163</f>
        <v>4</v>
      </c>
      <c r="AD171" s="164">
        <f ca="1" t="shared" si="328"/>
        <v>0.00186879288843484</v>
      </c>
      <c r="AE171" s="168">
        <f ca="1" t="shared" si="285"/>
        <v>0</v>
      </c>
      <c r="AF171" s="168">
        <f ca="1" t="shared" si="329"/>
        <v>0</v>
      </c>
      <c r="AG171">
        <f ca="1" t="shared" si="324"/>
        <v>0.000743091248835315</v>
      </c>
      <c r="AH171">
        <f ca="1" t="shared" si="330"/>
        <v>1</v>
      </c>
      <c r="AI171">
        <f ca="1" t="shared" si="331"/>
        <v>1.00016101226475</v>
      </c>
      <c r="AJ171">
        <f ca="1" t="shared" si="332"/>
        <v>1.00058198527732</v>
      </c>
      <c r="AK171">
        <f ca="1" t="shared" si="314"/>
        <v>4</v>
      </c>
      <c r="AL171">
        <f ca="1" t="shared" si="333"/>
        <v>0.00503217766381492</v>
      </c>
      <c r="AM171">
        <f ca="1" t="shared" si="315"/>
        <v>4</v>
      </c>
      <c r="AN171" s="168">
        <f ca="1" t="shared" si="286"/>
        <v>0.00724958982916823</v>
      </c>
      <c r="AO171" s="168">
        <f ca="1" t="shared" si="313"/>
        <v>0.00447057613551372</v>
      </c>
      <c r="AP171" s="172">
        <f ca="1" t="shared" si="334"/>
        <v>0.015897335593515</v>
      </c>
      <c r="AQ171" s="168">
        <f ca="1" t="shared" si="335"/>
        <v>0.00401583628616287</v>
      </c>
      <c r="AR171">
        <f t="shared" si="336"/>
        <v>1</v>
      </c>
    </row>
    <row r="172" spans="4:44">
      <c r="D172" t="s">
        <v>1825</v>
      </c>
      <c r="E172" s="161" t="s">
        <v>2772</v>
      </c>
      <c r="G172" t="s">
        <v>3109</v>
      </c>
      <c r="H172">
        <f ca="1">INDEX(技能数据库!$B$2:$I$100,MATCH(无穷伤害与收益计算!$E172,技能数据库!$B$2:$B$100,0),MATCH(H$9,技能数据库!$B$2:$I$2,0))</f>
        <v>0</v>
      </c>
      <c r="I172">
        <f ca="1">INDEX(技能数据库!$B$2:$I$100,MATCH(无穷伤害与收益计算!$E172,技能数据库!$B$2:$B$100,0),MATCH(I$9,技能数据库!$B$2:$I$2,0))</f>
        <v>0</v>
      </c>
      <c r="J172">
        <f ca="1">INDEX(技能数据库!$B$2:$I$100,MATCH(无穷伤害与收益计算!$E172,技能数据库!$B$2:$B$100,0),MATCH(J$9,技能数据库!$B$2:$I$2,0))</f>
        <v>0</v>
      </c>
      <c r="K172">
        <f ca="1">INDEX(技能数据库!$B$2:$I$100,MATCH(无穷伤害与收益计算!$E172,技能数据库!$B$2:$B$100,0),MATCH(K$9,技能数据库!$B$2:$I$2,0))</f>
        <v>0.207999229431152</v>
      </c>
      <c r="L172">
        <f ca="1" t="shared" si="284"/>
        <v>105847</v>
      </c>
      <c r="M172">
        <f ca="1" t="shared" si="316"/>
        <v>19530.5</v>
      </c>
      <c r="N172">
        <f ca="1" t="shared" si="317"/>
        <v>92028</v>
      </c>
      <c r="O172">
        <f ca="1" t="shared" si="325"/>
        <v>163355.720836693</v>
      </c>
      <c r="P172">
        <f ca="1">IF(G172="恒定伤害",0,(IF(D172="轻剑",$AZ$2,$AZ$3)+IFERROR(INDEX(技能数据库!$T$2:$W$27,MATCH(E172,技能数据库!$T$2:$T$27,0),4),0)+COUNTIF(G172,"*造化2*")*154+COUNTIF(G172,"*造化1*")*102+COUNTIF(G172,"*碧归*")*307)/1024)</f>
        <v>0.176868146929785</v>
      </c>
      <c r="Q172">
        <f ca="1" t="shared" si="311"/>
        <v>0.448284482196154</v>
      </c>
      <c r="R172">
        <f ca="1" t="shared" si="326"/>
        <v>0.21277697966198</v>
      </c>
      <c r="S172">
        <f ca="1" t="shared" si="318"/>
        <v>219186.508992105</v>
      </c>
      <c r="T172">
        <f t="shared" si="319"/>
        <v>0.8</v>
      </c>
      <c r="U172">
        <f ca="1" t="shared" si="312"/>
        <v>1.7995442148</v>
      </c>
      <c r="V172">
        <f ca="1" t="shared" si="320"/>
        <v>490897.858568846</v>
      </c>
      <c r="W172">
        <f ca="1">IF(G172="恒定伤害",0,MIN(1,IF(COUNTIF(F172,"*内会*")&gt;0,内会,IF(D172="轻剑",$Y$2,$Y$3)+COUNTIF(G172,"*莺鸣*")*0.2+COUNTIF(G172,"*叠1*")*0.1+COUNTIF(G172,"*叠2*")*0.2+COUNTIF(G172,"*叠3*")*0.3)+IFERROR(INDEX(技能数据库!$T$2:$W$27,MATCH(E172,技能数据库!$T$2:$T$27,0),2),0)+IF((IF(D172="轻剑",$AO$2,$AO$3)+INT(COUNTIF(G172,"*大莺鸣*")*IF(D172="轻剑",$AM$2,$AM$3)*听晓无双率)/无双系数)&gt;0.9,特效裤子会心/会心系数,0)))</f>
        <v>0.9343</v>
      </c>
      <c r="X172">
        <f ca="1">IF(G172="恒定伤害",0,IF(COUNTIF(F172,"*内会*")&gt;0,内会效,IF(D172="轻剑",$AB$2,$AB$3))+IFERROR(INDEX(技能数据库!$T$2:$W$27,MATCH(E172,技能数据库!$T$2:$T$27,0),3)/1024,0))+COUNTIF(G172,"*叠1*")*0.25+COUNTIF(G172,"*叠2*")*0.5+COUNTIF(G172,"*叠3*")*0.75</f>
        <v>2.8217485021</v>
      </c>
      <c r="Y172">
        <f ca="1" t="shared" si="321"/>
        <v>2.70205962551203</v>
      </c>
      <c r="Z172">
        <f t="shared" si="327"/>
        <v>0.150390625</v>
      </c>
      <c r="AA172">
        <f ca="1" t="shared" si="322"/>
        <v>0.0205078125</v>
      </c>
      <c r="AB172">
        <f ca="1" t="shared" si="323"/>
        <v>1557211.97015804</v>
      </c>
      <c r="AC172">
        <f ca="1">无穷技能数计算!AJ164</f>
        <v>3</v>
      </c>
      <c r="AD172" s="164">
        <f ca="1" t="shared" si="328"/>
        <v>0.00163854815121784</v>
      </c>
      <c r="AE172" s="168">
        <f ca="1" t="shared" si="285"/>
        <v>0</v>
      </c>
      <c r="AF172" s="168">
        <f ca="1" t="shared" si="329"/>
        <v>0</v>
      </c>
      <c r="AG172">
        <f ca="1" t="shared" si="324"/>
        <v>0.000738111519158258</v>
      </c>
      <c r="AH172">
        <f ca="1" t="shared" si="330"/>
        <v>1</v>
      </c>
      <c r="AI172">
        <f ca="1" t="shared" si="331"/>
        <v>1.00016101226475</v>
      </c>
      <c r="AJ172">
        <f ca="1" t="shared" si="332"/>
        <v>1.00057700634931</v>
      </c>
      <c r="AK172">
        <f ca="1" t="shared" si="314"/>
        <v>3</v>
      </c>
      <c r="AL172">
        <f ca="1" t="shared" si="333"/>
        <v>0.00498912700378584</v>
      </c>
      <c r="AM172">
        <f ca="1" t="shared" si="315"/>
        <v>3</v>
      </c>
      <c r="AN172" s="168">
        <f ca="1" t="shared" si="286"/>
        <v>0.00694449658447471</v>
      </c>
      <c r="AO172" s="168">
        <f ca="1" t="shared" si="313"/>
        <v>0.00447057613551372</v>
      </c>
      <c r="AP172" s="172">
        <f ca="1" t="shared" si="334"/>
        <v>0.015897335593515</v>
      </c>
      <c r="AQ172" s="168">
        <f ca="1" t="shared" si="335"/>
        <v>0.00401583628616287</v>
      </c>
      <c r="AR172">
        <f t="shared" si="336"/>
        <v>1</v>
      </c>
    </row>
    <row r="173" spans="4:44">
      <c r="D173" t="s">
        <v>1825</v>
      </c>
      <c r="E173" s="161" t="s">
        <v>2772</v>
      </c>
      <c r="G173" t="s">
        <v>3110</v>
      </c>
      <c r="H173">
        <f ca="1">INDEX(技能数据库!$B$2:$I$100,MATCH(无穷伤害与收益计算!$E173,技能数据库!$B$2:$B$100,0),MATCH(H$9,技能数据库!$B$2:$I$2,0))</f>
        <v>0</v>
      </c>
      <c r="I173">
        <f ca="1">INDEX(技能数据库!$B$2:$I$100,MATCH(无穷伤害与收益计算!$E173,技能数据库!$B$2:$B$100,0),MATCH(I$9,技能数据库!$B$2:$I$2,0))</f>
        <v>0</v>
      </c>
      <c r="J173">
        <f ca="1">INDEX(技能数据库!$B$2:$I$100,MATCH(无穷伤害与收益计算!$E173,技能数据库!$B$2:$B$100,0),MATCH(J$9,技能数据库!$B$2:$I$2,0))</f>
        <v>0</v>
      </c>
      <c r="K173">
        <f ca="1">INDEX(技能数据库!$B$2:$I$100,MATCH(无穷伤害与收益计算!$E173,技能数据库!$B$2:$B$100,0),MATCH(K$9,技能数据库!$B$2:$I$2,0))</f>
        <v>0.207999229431152</v>
      </c>
      <c r="L173">
        <f ca="1" t="shared" si="284"/>
        <v>105847</v>
      </c>
      <c r="M173">
        <f ca="1" t="shared" si="316"/>
        <v>19530.5</v>
      </c>
      <c r="N173">
        <f ca="1" t="shared" si="317"/>
        <v>92028</v>
      </c>
      <c r="O173">
        <f ca="1" t="shared" si="325"/>
        <v>163355.720836693</v>
      </c>
      <c r="P173">
        <f ca="1">IF(G173="恒定伤害",0,(IF(D173="轻剑",$AZ$2,$AZ$3)+IFERROR(INDEX(技能数据库!$T$2:$W$27,MATCH(E173,技能数据库!$T$2:$T$27,0),4),0)+COUNTIF(G173,"*造化2*")*154+COUNTIF(G173,"*造化1*")*102+COUNTIF(G173,"*碧归*")*307)/1024)</f>
        <v>0.176868146929785</v>
      </c>
      <c r="Q173">
        <f ca="1" t="shared" ref="Q173:Q207" si="337">IF(G173="恒定伤害",0,(IF(COUNTIF(F173,"*内破*")&gt;0,内破,IF(D173="轻剑",$AF$2,$AF$3)/破防系数))+IF((IF(D173="轻剑",$AO$2,$AO$3)+INT(COUNTIF(G173,"*大莺鸣*")*IF(D173="轻剑",$AM$2,$AM$3)*听晓无双率)/无双系数)&gt;0.9,(特效裤子破防+特效裤子破防*IF(D173="轻剑",$AD$2,$AD$3)/1024)/破防系数,0))</f>
        <v>0.448284482196154</v>
      </c>
      <c r="R173">
        <f ca="1" t="shared" si="326"/>
        <v>0.21277697966198</v>
      </c>
      <c r="S173">
        <f ca="1" t="shared" si="318"/>
        <v>219186.508992105</v>
      </c>
      <c r="T173">
        <f t="shared" si="319"/>
        <v>0.8</v>
      </c>
      <c r="U173">
        <f ca="1" t="shared" ref="U173:U207" si="338">IF(G173="恒定伤害",0,(IF(D173="轻剑",$AO$2,$AO$3)+INT(COUNTIF(G173,"*大莺鸣*")*IF(D173="轻剑",$AM$2,$AM$3)*听晓无双率)/无双系数)+IF((IF(D173="轻剑",$AO$2,$AO$3)+INT(COUNTIF(G173,"*大莺鸣*")*IF(D173="轻剑",$AM$2,$AM$3)*听晓无双率)/无双系数)&lt;=0.9,特效裤子无双,0))</f>
        <v>1.7995442148</v>
      </c>
      <c r="V173">
        <f ca="1" t="shared" si="320"/>
        <v>490897.858568846</v>
      </c>
      <c r="W173">
        <f ca="1">IF(G173="恒定伤害",0,MIN(1,IF(COUNTIF(F173,"*内会*")&gt;0,内会,IF(D173="轻剑",$Y$2,$Y$3)+COUNTIF(G173,"*莺鸣*")*0.2+COUNTIF(G173,"*叠1*")*0.1+COUNTIF(G173,"*叠2*")*0.2+COUNTIF(G173,"*叠3*")*0.3)+IFERROR(INDEX(技能数据库!$T$2:$W$27,MATCH(E173,技能数据库!$T$2:$T$27,0),2),0)+IF((IF(D173="轻剑",$AO$2,$AO$3)+INT(COUNTIF(G173,"*大莺鸣*")*IF(D173="轻剑",$AM$2,$AM$3)*听晓无双率)/无双系数)&gt;0.9,特效裤子会心/会心系数,0)))</f>
        <v>1</v>
      </c>
      <c r="X173">
        <f ca="1">IF(G173="恒定伤害",0,IF(COUNTIF(F173,"*内会*")&gt;0,内会效,IF(D173="轻剑",$AB$2,$AB$3))+IFERROR(INDEX(技能数据库!$T$2:$W$27,MATCH(E173,技能数据库!$T$2:$T$27,0),3)/1024,0))+COUNTIF(G173,"*叠1*")*0.25+COUNTIF(G173,"*叠2*")*0.5+COUNTIF(G173,"*叠3*")*0.75</f>
        <v>3.0717485021</v>
      </c>
      <c r="Y173">
        <f ca="1" t="shared" si="321"/>
        <v>3.0717485021</v>
      </c>
      <c r="Z173">
        <f t="shared" si="327"/>
        <v>0.150390625</v>
      </c>
      <c r="AA173">
        <f ca="1" t="shared" si="322"/>
        <v>0.0205078125</v>
      </c>
      <c r="AB173">
        <f ca="1" t="shared" si="323"/>
        <v>1770265.72308844</v>
      </c>
      <c r="AC173">
        <f ca="1">无穷技能数计算!AJ165</f>
        <v>8</v>
      </c>
      <c r="AD173" s="164">
        <f ca="1" t="shared" si="328"/>
        <v>0.00496728029892465</v>
      </c>
      <c r="AE173" s="168">
        <f ca="1" t="shared" si="285"/>
        <v>0</v>
      </c>
      <c r="AF173" s="168">
        <f ca="1" t="shared" si="329"/>
        <v>0</v>
      </c>
      <c r="AG173">
        <f ca="1" t="shared" si="324"/>
        <v>0.000161012264749072</v>
      </c>
      <c r="AH173">
        <f ca="1" t="shared" si="330"/>
        <v>1</v>
      </c>
      <c r="AI173">
        <f ca="1" t="shared" si="331"/>
        <v>1.00016101226475</v>
      </c>
      <c r="AJ173">
        <f ca="1" t="shared" si="332"/>
        <v>1</v>
      </c>
      <c r="AK173">
        <f ca="1" t="shared" si="314"/>
        <v>8</v>
      </c>
      <c r="AL173">
        <f ca="1" t="shared" si="333"/>
        <v>0</v>
      </c>
      <c r="AM173">
        <f ca="1" t="shared" si="315"/>
        <v>8</v>
      </c>
      <c r="AN173" s="168">
        <f ca="1" t="shared" si="286"/>
        <v>0.00653828267501666</v>
      </c>
      <c r="AO173" s="168">
        <f ca="1" t="shared" ref="AO173:AO207" si="339">IF(OR(COUNTIF(F173,"*内破*")&gt;0,G173="恒定伤害"),0,IFERROR(((delta破防+INT((IF(D173="轻剑",$AD$2,$AD$3))/1024*delta破防))/破防系数+Q173+1)/(Q173+1)-1,0))</f>
        <v>0.00447057613551372</v>
      </c>
      <c r="AP173" s="172">
        <f ca="1" t="shared" si="334"/>
        <v>0.015897335593515</v>
      </c>
      <c r="AQ173" s="168">
        <f ca="1" t="shared" si="335"/>
        <v>0.00401583628616287</v>
      </c>
      <c r="AR173">
        <f t="shared" si="336"/>
        <v>1</v>
      </c>
    </row>
    <row r="174" spans="4:44">
      <c r="D174" t="s">
        <v>1825</v>
      </c>
      <c r="E174" s="161" t="s">
        <v>2783</v>
      </c>
      <c r="G174" t="s">
        <v>3108</v>
      </c>
      <c r="H174">
        <f ca="1">INDEX(技能数据库!$B$2:$I$100,MATCH(无穷伤害与收益计算!$E174,技能数据库!$B$2:$B$100,0),MATCH(H$9,技能数据库!$B$2:$I$2,0))</f>
        <v>0</v>
      </c>
      <c r="I174">
        <f ca="1">INDEX(技能数据库!$B$2:$I$100,MATCH(无穷伤害与收益计算!$E174,技能数据库!$B$2:$B$100,0),MATCH(I$9,技能数据库!$B$2:$I$2,0))</f>
        <v>0</v>
      </c>
      <c r="J174">
        <f ca="1">INDEX(技能数据库!$B$2:$I$100,MATCH(无穷伤害与收益计算!$E174,技能数据库!$B$2:$B$100,0),MATCH(J$9,技能数据库!$B$2:$I$2,0))</f>
        <v>0</v>
      </c>
      <c r="K174">
        <f ca="1">INDEX(技能数据库!$B$2:$I$100,MATCH(无穷伤害与收益计算!$E174,技能数据库!$B$2:$B$100,0),MATCH(K$9,技能数据库!$B$2:$I$2,0))</f>
        <v>1.28127956390381</v>
      </c>
      <c r="L174">
        <f ca="1" t="shared" si="284"/>
        <v>105847</v>
      </c>
      <c r="M174">
        <f ca="1" t="shared" si="316"/>
        <v>19530.5</v>
      </c>
      <c r="N174">
        <f ca="1" t="shared" si="317"/>
        <v>92028</v>
      </c>
      <c r="O174">
        <f ca="1" t="shared" si="325"/>
        <v>1006274.62576302</v>
      </c>
      <c r="P174">
        <f ca="1">IF(G174="恒定伤害",0,(IF(D174="轻剑",$AZ$2,$AZ$3)+IFERROR(INDEX(技能数据库!$T$2:$W$27,MATCH(E174,技能数据库!$T$2:$T$27,0),4),0)+COUNTIF(G174,"*造化2*")*154+COUNTIF(G174,"*造化1*")*102+COUNTIF(G174,"*碧归*")*307)/1024)</f>
        <v>0.176868146929785</v>
      </c>
      <c r="Q174">
        <f ca="1" t="shared" si="337"/>
        <v>0.448284482196154</v>
      </c>
      <c r="R174">
        <f ca="1" t="shared" si="326"/>
        <v>0.21277697966198</v>
      </c>
      <c r="S174">
        <f ca="1" t="shared" si="318"/>
        <v>1350193.43784618</v>
      </c>
      <c r="T174">
        <f t="shared" si="319"/>
        <v>0.8</v>
      </c>
      <c r="U174">
        <f ca="1" t="shared" si="338"/>
        <v>1.7995442148</v>
      </c>
      <c r="V174">
        <f ca="1" t="shared" si="320"/>
        <v>3023940.98222655</v>
      </c>
      <c r="W174">
        <f ca="1">IF(G174="恒定伤害",0,MIN(1,IF(COUNTIF(F174,"*内会*")&gt;0,内会,IF(D174="轻剑",$Y$2,$Y$3)+COUNTIF(G174,"*莺鸣*")*0.2+COUNTIF(G174,"*叠1*")*0.1+COUNTIF(G174,"*叠2*")*0.2+COUNTIF(G174,"*叠3*")*0.3)+IFERROR(INDEX(技能数据库!$T$2:$W$27,MATCH(E174,技能数据库!$T$2:$T$27,0),2),0)+IF((IF(D174="轻剑",$AO$2,$AO$3)+INT(COUNTIF(G174,"*大莺鸣*")*IF(D174="轻剑",$AM$2,$AM$3)*听晓无双率)/无双系数)&gt;0.9,特效裤子会心/会心系数,0)))</f>
        <v>0.8343</v>
      </c>
      <c r="X174">
        <f ca="1">IF(G174="恒定伤害",0,IF(COUNTIF(F174,"*内会*")&gt;0,内会效,IF(D174="轻剑",$AB$2,$AB$3))+IFERROR(INDEX(技能数据库!$T$2:$W$27,MATCH(E174,技能数据库!$T$2:$T$27,0),3)/1024,0))+COUNTIF(G174,"*叠1*")*0.25+COUNTIF(G174,"*叠2*")*0.5+COUNTIF(G174,"*叠3*")*0.75</f>
        <v>2.5717485021</v>
      </c>
      <c r="Y174">
        <f ca="1" t="shared" si="321"/>
        <v>2.31130977530203</v>
      </c>
      <c r="Z174">
        <f t="shared" si="327"/>
        <v>0.150390625</v>
      </c>
      <c r="AA174">
        <f ca="1" t="shared" si="322"/>
        <v>0.0205078125</v>
      </c>
      <c r="AB174">
        <f ca="1" t="shared" si="323"/>
        <v>8205274.8776897</v>
      </c>
      <c r="AC174">
        <f ca="1">无穷技能数计算!AJ166</f>
        <v>4</v>
      </c>
      <c r="AD174" s="164">
        <f ca="1" t="shared" si="328"/>
        <v>0.0115118029219089</v>
      </c>
      <c r="AE174" s="168">
        <f ca="1" t="shared" si="285"/>
        <v>0</v>
      </c>
      <c r="AF174" s="168">
        <f ca="1" t="shared" si="329"/>
        <v>0</v>
      </c>
      <c r="AG174">
        <f ca="1" t="shared" si="324"/>
        <v>0.000743091248835315</v>
      </c>
      <c r="AH174">
        <f ca="1" t="shared" si="330"/>
        <v>1</v>
      </c>
      <c r="AI174">
        <f ca="1" t="shared" si="331"/>
        <v>1.00016101226475</v>
      </c>
      <c r="AJ174">
        <f ca="1" t="shared" si="332"/>
        <v>1.00058198527732</v>
      </c>
      <c r="AK174">
        <f ca="1" t="shared" si="314"/>
        <v>4</v>
      </c>
      <c r="AL174">
        <f ca="1" t="shared" si="333"/>
        <v>0.00503217766381492</v>
      </c>
      <c r="AM174">
        <f ca="1" t="shared" si="315"/>
        <v>4</v>
      </c>
      <c r="AN174" s="168">
        <f ca="1" t="shared" si="286"/>
        <v>0.00724958982916823</v>
      </c>
      <c r="AO174" s="168">
        <f ca="1" t="shared" si="339"/>
        <v>0.00447057613551372</v>
      </c>
      <c r="AP174" s="172">
        <f ca="1" t="shared" si="334"/>
        <v>0.015897335593515</v>
      </c>
      <c r="AQ174" s="168">
        <f ca="1" t="shared" si="335"/>
        <v>0.00401583628616287</v>
      </c>
      <c r="AR174">
        <f t="shared" si="336"/>
        <v>1</v>
      </c>
    </row>
    <row r="175" spans="4:44">
      <c r="D175" t="s">
        <v>1825</v>
      </c>
      <c r="E175" s="161" t="s">
        <v>2783</v>
      </c>
      <c r="G175" t="s">
        <v>3109</v>
      </c>
      <c r="H175">
        <f ca="1">INDEX(技能数据库!$B$2:$I$100,MATCH(无穷伤害与收益计算!$E175,技能数据库!$B$2:$B$100,0),MATCH(H$9,技能数据库!$B$2:$I$2,0))</f>
        <v>0</v>
      </c>
      <c r="I175">
        <f ca="1">INDEX(技能数据库!$B$2:$I$100,MATCH(无穷伤害与收益计算!$E175,技能数据库!$B$2:$B$100,0),MATCH(I$9,技能数据库!$B$2:$I$2,0))</f>
        <v>0</v>
      </c>
      <c r="J175">
        <f ca="1">INDEX(技能数据库!$B$2:$I$100,MATCH(无穷伤害与收益计算!$E175,技能数据库!$B$2:$B$100,0),MATCH(J$9,技能数据库!$B$2:$I$2,0))</f>
        <v>0</v>
      </c>
      <c r="K175">
        <f ca="1">INDEX(技能数据库!$B$2:$I$100,MATCH(无穷伤害与收益计算!$E175,技能数据库!$B$2:$B$100,0),MATCH(K$9,技能数据库!$B$2:$I$2,0))</f>
        <v>1.28127956390381</v>
      </c>
      <c r="L175">
        <f ca="1" t="shared" si="284"/>
        <v>105847</v>
      </c>
      <c r="M175">
        <f ca="1" t="shared" si="316"/>
        <v>19530.5</v>
      </c>
      <c r="N175">
        <f ca="1" t="shared" si="317"/>
        <v>92028</v>
      </c>
      <c r="O175">
        <f ca="1" t="shared" si="325"/>
        <v>1006274.62576302</v>
      </c>
      <c r="P175">
        <f ca="1">IF(G175="恒定伤害",0,(IF(D175="轻剑",$AZ$2,$AZ$3)+IFERROR(INDEX(技能数据库!$T$2:$W$27,MATCH(E175,技能数据库!$T$2:$T$27,0),4),0)+COUNTIF(G175,"*造化2*")*154+COUNTIF(G175,"*造化1*")*102+COUNTIF(G175,"*碧归*")*307)/1024)</f>
        <v>0.176868146929785</v>
      </c>
      <c r="Q175">
        <f ca="1" t="shared" si="337"/>
        <v>0.448284482196154</v>
      </c>
      <c r="R175">
        <f ca="1" t="shared" si="326"/>
        <v>0.21277697966198</v>
      </c>
      <c r="S175">
        <f ca="1" t="shared" si="318"/>
        <v>1350193.43784618</v>
      </c>
      <c r="T175">
        <f t="shared" si="319"/>
        <v>0.8</v>
      </c>
      <c r="U175">
        <f ca="1" t="shared" si="338"/>
        <v>1.7995442148</v>
      </c>
      <c r="V175">
        <f ca="1" t="shared" si="320"/>
        <v>3023940.98222655</v>
      </c>
      <c r="W175">
        <f ca="1">IF(G175="恒定伤害",0,MIN(1,IF(COUNTIF(F175,"*内会*")&gt;0,内会,IF(D175="轻剑",$Y$2,$Y$3)+COUNTIF(G175,"*莺鸣*")*0.2+COUNTIF(G175,"*叠1*")*0.1+COUNTIF(G175,"*叠2*")*0.2+COUNTIF(G175,"*叠3*")*0.3)+IFERROR(INDEX(技能数据库!$T$2:$W$27,MATCH(E175,技能数据库!$T$2:$T$27,0),2),0)+IF((IF(D175="轻剑",$AO$2,$AO$3)+INT(COUNTIF(G175,"*大莺鸣*")*IF(D175="轻剑",$AM$2,$AM$3)*听晓无双率)/无双系数)&gt;0.9,特效裤子会心/会心系数,0)))</f>
        <v>0.9343</v>
      </c>
      <c r="X175">
        <f ca="1">IF(G175="恒定伤害",0,IF(COUNTIF(F175,"*内会*")&gt;0,内会效,IF(D175="轻剑",$AB$2,$AB$3))+IFERROR(INDEX(技能数据库!$T$2:$W$27,MATCH(E175,技能数据库!$T$2:$T$27,0),3)/1024,0))+COUNTIF(G175,"*叠1*")*0.25+COUNTIF(G175,"*叠2*")*0.5+COUNTIF(G175,"*叠3*")*0.75</f>
        <v>2.8217485021</v>
      </c>
      <c r="Y175">
        <f ca="1" t="shared" si="321"/>
        <v>2.70205962551203</v>
      </c>
      <c r="Z175">
        <f t="shared" si="327"/>
        <v>0.150390625</v>
      </c>
      <c r="AA175">
        <f ca="1" t="shared" si="322"/>
        <v>0.0205078125</v>
      </c>
      <c r="AB175">
        <f ca="1" t="shared" si="323"/>
        <v>9592458.00807306</v>
      </c>
      <c r="AC175" s="171">
        <f ca="1">无穷技能数计算!AJ167</f>
        <v>3</v>
      </c>
      <c r="AD175" s="164">
        <f ca="1" t="shared" si="328"/>
        <v>0.0100934905690249</v>
      </c>
      <c r="AE175" s="168">
        <f ca="1" t="shared" si="285"/>
        <v>0</v>
      </c>
      <c r="AF175" s="168">
        <f ca="1" t="shared" si="329"/>
        <v>0</v>
      </c>
      <c r="AG175">
        <f ca="1" t="shared" si="324"/>
        <v>0.000738111519158258</v>
      </c>
      <c r="AH175">
        <f ca="1" t="shared" si="330"/>
        <v>1</v>
      </c>
      <c r="AI175">
        <f ca="1" t="shared" si="331"/>
        <v>1.00016101226475</v>
      </c>
      <c r="AJ175">
        <f ca="1" t="shared" si="332"/>
        <v>1.00057700634931</v>
      </c>
      <c r="AK175">
        <f ca="1" t="shared" si="314"/>
        <v>3</v>
      </c>
      <c r="AL175">
        <f ca="1" t="shared" si="333"/>
        <v>0.00498912700378584</v>
      </c>
      <c r="AM175">
        <f ca="1" t="shared" si="315"/>
        <v>3</v>
      </c>
      <c r="AN175" s="168">
        <f ca="1" t="shared" si="286"/>
        <v>0.00694449658447471</v>
      </c>
      <c r="AO175" s="168">
        <f ca="1" t="shared" si="339"/>
        <v>0.00447057613551372</v>
      </c>
      <c r="AP175" s="172">
        <f ca="1" t="shared" si="334"/>
        <v>0.015897335593515</v>
      </c>
      <c r="AQ175" s="168">
        <f ca="1" t="shared" si="335"/>
        <v>0.00401583628616287</v>
      </c>
      <c r="AR175">
        <f t="shared" si="336"/>
        <v>1</v>
      </c>
    </row>
    <row r="176" spans="4:44">
      <c r="D176" t="s">
        <v>1825</v>
      </c>
      <c r="E176" s="161" t="s">
        <v>2783</v>
      </c>
      <c r="G176" t="s">
        <v>3110</v>
      </c>
      <c r="H176">
        <f ca="1">INDEX(技能数据库!$B$2:$I$100,MATCH(无穷伤害与收益计算!$E176,技能数据库!$B$2:$B$100,0),MATCH(H$9,技能数据库!$B$2:$I$2,0))</f>
        <v>0</v>
      </c>
      <c r="I176">
        <f ca="1">INDEX(技能数据库!$B$2:$I$100,MATCH(无穷伤害与收益计算!$E176,技能数据库!$B$2:$B$100,0),MATCH(I$9,技能数据库!$B$2:$I$2,0))</f>
        <v>0</v>
      </c>
      <c r="J176">
        <f ca="1">INDEX(技能数据库!$B$2:$I$100,MATCH(无穷伤害与收益计算!$E176,技能数据库!$B$2:$B$100,0),MATCH(J$9,技能数据库!$B$2:$I$2,0))</f>
        <v>0</v>
      </c>
      <c r="K176">
        <f ca="1">INDEX(技能数据库!$B$2:$I$100,MATCH(无穷伤害与收益计算!$E176,技能数据库!$B$2:$B$100,0),MATCH(K$9,技能数据库!$B$2:$I$2,0))</f>
        <v>1.28127956390381</v>
      </c>
      <c r="L176">
        <f ca="1" t="shared" si="284"/>
        <v>105847</v>
      </c>
      <c r="M176">
        <f ca="1" t="shared" ref="M176:M191" si="340">IF(D176="轻剑",$AU$2+$AV$2,$AU$3+$AV$3)/2</f>
        <v>19530.5</v>
      </c>
      <c r="N176">
        <f ca="1" t="shared" ref="N176:N191" si="341">IF(D176="轻剑",$AJ$2,$AJ$3)</f>
        <v>92028</v>
      </c>
      <c r="O176">
        <f ca="1" t="shared" si="325"/>
        <v>1006274.62576302</v>
      </c>
      <c r="P176">
        <f ca="1">IF(G176="恒定伤害",0,(IF(D176="轻剑",$AZ$2,$AZ$3)+IFERROR(INDEX(技能数据库!$T$2:$W$27,MATCH(E176,技能数据库!$T$2:$T$27,0),4),0)+COUNTIF(G176,"*造化2*")*154+COUNTIF(G176,"*造化1*")*102+COUNTIF(G176,"*碧归*")*307)/1024)</f>
        <v>0.176868146929785</v>
      </c>
      <c r="Q176">
        <f ca="1" t="shared" si="337"/>
        <v>0.448284482196154</v>
      </c>
      <c r="R176">
        <f ca="1" t="shared" si="326"/>
        <v>0.21277697966198</v>
      </c>
      <c r="S176">
        <f ca="1" t="shared" ref="S176:S191" si="342">O176*(1+P176)*(1+Q176)*(1-R176)</f>
        <v>1350193.43784618</v>
      </c>
      <c r="T176">
        <f t="shared" ref="T176:T191" si="343">1-($F$6-130)*0.05</f>
        <v>0.8</v>
      </c>
      <c r="U176">
        <f ca="1" t="shared" si="338"/>
        <v>1.7995442148</v>
      </c>
      <c r="V176">
        <f ca="1" t="shared" ref="V176:V191" si="344">S176*T176*(1+U176)</f>
        <v>3023940.98222655</v>
      </c>
      <c r="W176">
        <f ca="1">IF(G176="恒定伤害",0,MIN(1,IF(COUNTIF(F176,"*内会*")&gt;0,内会,IF(D176="轻剑",$Y$2,$Y$3)+COUNTIF(G176,"*莺鸣*")*0.2+COUNTIF(G176,"*叠1*")*0.1+COUNTIF(G176,"*叠2*")*0.2+COUNTIF(G176,"*叠3*")*0.3)+IFERROR(INDEX(技能数据库!$T$2:$W$27,MATCH(E176,技能数据库!$T$2:$T$27,0),2),0)+IF((IF(D176="轻剑",$AO$2,$AO$3)+INT(COUNTIF(G176,"*大莺鸣*")*IF(D176="轻剑",$AM$2,$AM$3)*听晓无双率)/无双系数)&gt;0.9,特效裤子会心/会心系数,0)))</f>
        <v>1</v>
      </c>
      <c r="X176">
        <f ca="1">IF(G176="恒定伤害",0,IF(COUNTIF(F176,"*内会*")&gt;0,内会效,IF(D176="轻剑",$AB$2,$AB$3))+IFERROR(INDEX(技能数据库!$T$2:$W$27,MATCH(E176,技能数据库!$T$2:$T$27,0),3)/1024,0))+COUNTIF(G176,"*叠1*")*0.25+COUNTIF(G176,"*叠2*")*0.5+COUNTIF(G176,"*叠3*")*0.75</f>
        <v>3.0717485021</v>
      </c>
      <c r="Y176">
        <f ca="1" t="shared" ref="Y176:Y191" si="345">1+W176*(X176-1)</f>
        <v>3.0717485021</v>
      </c>
      <c r="Z176">
        <f t="shared" si="327"/>
        <v>0.150390625</v>
      </c>
      <c r="AA176">
        <f ca="1" t="shared" ref="AA176:AA191" si="346">IF(D176="轻剑",$BA$2,$BA$3)/1024</f>
        <v>0.0205078125</v>
      </c>
      <c r="AB176">
        <f ca="1" t="shared" ref="AB176:AB191" si="347">V176*Y176*(1+Z176)*(1+AA176)</f>
        <v>10904873.541483</v>
      </c>
      <c r="AC176">
        <f ca="1">无穷技能数计算!AJ168</f>
        <v>36</v>
      </c>
      <c r="AD176" s="164">
        <f ca="1" t="shared" si="328"/>
        <v>0.137693473128243</v>
      </c>
      <c r="AE176" s="168">
        <f ca="1" t="shared" si="285"/>
        <v>0</v>
      </c>
      <c r="AF176" s="168">
        <f ca="1" t="shared" si="329"/>
        <v>0</v>
      </c>
      <c r="AG176">
        <f ca="1" t="shared" ref="AG176:AG191" si="348">IF(G176="恒定伤害",0,MAX(0,AH176*AI176*IF(AJ176=0,1,AJ176)-1))</f>
        <v>0.000161012264749072</v>
      </c>
      <c r="AH176">
        <f ca="1" t="shared" si="330"/>
        <v>1</v>
      </c>
      <c r="AI176">
        <f ca="1" t="shared" si="331"/>
        <v>1.00016101226475</v>
      </c>
      <c r="AJ176">
        <f ca="1" t="shared" si="332"/>
        <v>1</v>
      </c>
      <c r="AK176">
        <f ca="1" t="shared" si="314"/>
        <v>36</v>
      </c>
      <c r="AL176">
        <f ca="1" t="shared" si="333"/>
        <v>0</v>
      </c>
      <c r="AM176">
        <f ca="1" t="shared" si="315"/>
        <v>36</v>
      </c>
      <c r="AN176" s="168">
        <f ca="1" t="shared" si="286"/>
        <v>0.00653828267501666</v>
      </c>
      <c r="AO176" s="168">
        <f ca="1" t="shared" si="339"/>
        <v>0.00447057613551372</v>
      </c>
      <c r="AP176" s="172">
        <f ca="1" t="shared" si="334"/>
        <v>0.015897335593515</v>
      </c>
      <c r="AQ176" s="168">
        <f ca="1" t="shared" si="335"/>
        <v>0.00401583628616287</v>
      </c>
      <c r="AR176">
        <f t="shared" si="336"/>
        <v>1</v>
      </c>
    </row>
    <row r="177" spans="4:44">
      <c r="D177" t="s">
        <v>1825</v>
      </c>
      <c r="E177" s="161" t="s">
        <v>2789</v>
      </c>
      <c r="G177" t="s">
        <v>3108</v>
      </c>
      <c r="H177">
        <f ca="1">INDEX(技能数据库!$B$2:$I$100,MATCH(无穷伤害与收益计算!$E177,技能数据库!$B$2:$B$100,0),MATCH(H$9,技能数据库!$B$2:$I$2,0))</f>
        <v>131</v>
      </c>
      <c r="I177">
        <f ca="1">INDEX(技能数据库!$B$2:$I$100,MATCH(无穷伤害与收益计算!$E177,技能数据库!$B$2:$B$100,0),MATCH(I$9,技能数据库!$B$2:$I$2,0))</f>
        <v>3.425</v>
      </c>
      <c r="J177">
        <f ca="1">INDEX(技能数据库!$B$2:$I$100,MATCH(无穷伤害与收益计算!$E177,技能数据库!$B$2:$B$100,0),MATCH(J$9,技能数据库!$B$2:$I$2,0))</f>
        <v>0</v>
      </c>
      <c r="K177">
        <f ca="1">INDEX(技能数据库!$B$2:$I$100,MATCH(无穷伤害与收益计算!$E177,技能数据库!$B$2:$B$100,0),MATCH(K$9,技能数据库!$B$2:$I$2,0))</f>
        <v>0</v>
      </c>
      <c r="L177">
        <f ca="1" t="shared" si="284"/>
        <v>105847</v>
      </c>
      <c r="M177">
        <f ca="1" t="shared" si="340"/>
        <v>19530.5</v>
      </c>
      <c r="N177">
        <f ca="1" t="shared" si="341"/>
        <v>92028</v>
      </c>
      <c r="O177">
        <f ca="1" t="shared" si="325"/>
        <v>362656.975</v>
      </c>
      <c r="P177">
        <f ca="1">IF(G177="恒定伤害",0,(IF(D177="轻剑",$AZ$2,$AZ$3)+IFERROR(INDEX(技能数据库!$T$2:$W$27,MATCH(E177,技能数据库!$T$2:$T$27,0),4),0)+COUNTIF(G177,"*造化2*")*154+COUNTIF(G177,"*造化1*")*102+COUNTIF(G177,"*碧归*")*307)/1024)</f>
        <v>0.672900861773535</v>
      </c>
      <c r="Q177">
        <f ca="1" t="shared" si="337"/>
        <v>0.448284482196154</v>
      </c>
      <c r="R177">
        <f ca="1" t="shared" si="326"/>
        <v>0.21277697966198</v>
      </c>
      <c r="S177">
        <f ca="1" t="shared" si="342"/>
        <v>691700.201870402</v>
      </c>
      <c r="T177">
        <f t="shared" si="343"/>
        <v>0.8</v>
      </c>
      <c r="U177">
        <f ca="1" t="shared" si="338"/>
        <v>1.7995442148</v>
      </c>
      <c r="V177">
        <f ca="1" t="shared" si="344"/>
        <v>1549156.23881782</v>
      </c>
      <c r="W177">
        <f ca="1">IF(G177="恒定伤害",0,MIN(1,IF(COUNTIF(F177,"*内会*")&gt;0,内会,IF(D177="轻剑",$Y$2,$Y$3)+COUNTIF(G177,"*莺鸣*")*0.2+COUNTIF(G177,"*叠1*")*0.1+COUNTIF(G177,"*叠2*")*0.2+COUNTIF(G177,"*叠3*")*0.3)+IFERROR(INDEX(技能数据库!$T$2:$W$27,MATCH(E177,技能数据库!$T$2:$T$27,0),2),0)+IF((IF(D177="轻剑",$AO$2,$AO$3)+INT(COUNTIF(G177,"*大莺鸣*")*IF(D177="轻剑",$AM$2,$AM$3)*听晓无双率)/无双系数)&gt;0.9,特效裤子会心/会心系数,0)))</f>
        <v>0.8643</v>
      </c>
      <c r="X177">
        <f ca="1">IF(G177="恒定伤害",0,IF(COUNTIF(F177,"*内会*")&gt;0,内会效,IF(D177="轻剑",$AB$2,$AB$3))+IFERROR(INDEX(技能数据库!$T$2:$W$27,MATCH(E177,技能数据库!$T$2:$T$27,0),3)/1024,0))+COUNTIF(G177,"*叠1*")*0.25+COUNTIF(G177,"*叠2*")*0.5+COUNTIF(G177,"*叠3*")*0.75</f>
        <v>2.5717485021</v>
      </c>
      <c r="Y177">
        <f ca="1" t="shared" si="345"/>
        <v>2.35846223036503</v>
      </c>
      <c r="Z177">
        <f t="shared" si="327"/>
        <v>0.150390625</v>
      </c>
      <c r="AA177">
        <f ca="1" t="shared" si="346"/>
        <v>0.0205078125</v>
      </c>
      <c r="AB177">
        <f ca="1" t="shared" si="347"/>
        <v>4289293.98623654</v>
      </c>
      <c r="AC177">
        <f ca="1">无穷技能数计算!AJ169</f>
        <v>0</v>
      </c>
      <c r="AD177" s="164">
        <f ca="1" t="shared" si="328"/>
        <v>0</v>
      </c>
      <c r="AE177" s="168">
        <f ca="1" t="shared" si="285"/>
        <v>0.00468431635707544</v>
      </c>
      <c r="AF177" s="168">
        <f ca="1" t="shared" si="329"/>
        <v>0</v>
      </c>
      <c r="AG177">
        <f ca="1" t="shared" si="348"/>
        <v>0.00335709262268846</v>
      </c>
      <c r="AH177">
        <f ca="1" t="shared" si="330"/>
        <v>1.00319556583265</v>
      </c>
      <c r="AI177">
        <f ca="1" t="shared" si="331"/>
        <v>1.00016101226475</v>
      </c>
      <c r="AJ177">
        <f ca="1" t="shared" si="332"/>
        <v>0</v>
      </c>
      <c r="AK177">
        <f ca="1" t="shared" si="314"/>
        <v>0</v>
      </c>
      <c r="AL177">
        <f ca="1" t="shared" si="333"/>
        <v>0</v>
      </c>
      <c r="AM177">
        <f ca="1" t="shared" si="315"/>
        <v>0</v>
      </c>
      <c r="AN177" s="168">
        <f ca="1" t="shared" si="286"/>
        <v>0.0073601206820253</v>
      </c>
      <c r="AO177" s="168">
        <f ca="1" t="shared" si="339"/>
        <v>0.00447057613551372</v>
      </c>
      <c r="AP177" s="172">
        <f ca="1" t="shared" si="334"/>
        <v>0</v>
      </c>
      <c r="AQ177" s="168">
        <f ca="1" t="shared" si="335"/>
        <v>0.00401583628616287</v>
      </c>
      <c r="AR177">
        <f t="shared" si="336"/>
        <v>1</v>
      </c>
    </row>
    <row r="178" spans="4:44">
      <c r="D178" t="s">
        <v>1825</v>
      </c>
      <c r="E178" s="161" t="s">
        <v>2789</v>
      </c>
      <c r="G178" t="s">
        <v>3109</v>
      </c>
      <c r="H178">
        <f ca="1">INDEX(技能数据库!$B$2:$I$100,MATCH(无穷伤害与收益计算!$E178,技能数据库!$B$2:$B$100,0),MATCH(H$9,技能数据库!$B$2:$I$2,0))</f>
        <v>131</v>
      </c>
      <c r="I178">
        <f ca="1">INDEX(技能数据库!$B$2:$I$100,MATCH(无穷伤害与收益计算!$E178,技能数据库!$B$2:$B$100,0),MATCH(I$9,技能数据库!$B$2:$I$2,0))</f>
        <v>3.425</v>
      </c>
      <c r="J178">
        <f ca="1">INDEX(技能数据库!$B$2:$I$100,MATCH(无穷伤害与收益计算!$E178,技能数据库!$B$2:$B$100,0),MATCH(J$9,技能数据库!$B$2:$I$2,0))</f>
        <v>0</v>
      </c>
      <c r="K178">
        <f ca="1">INDEX(技能数据库!$B$2:$I$100,MATCH(无穷伤害与收益计算!$E178,技能数据库!$B$2:$B$100,0),MATCH(K$9,技能数据库!$B$2:$I$2,0))</f>
        <v>0</v>
      </c>
      <c r="L178">
        <f ca="1" t="shared" si="284"/>
        <v>105847</v>
      </c>
      <c r="M178">
        <f ca="1" t="shared" si="340"/>
        <v>19530.5</v>
      </c>
      <c r="N178">
        <f ca="1" t="shared" si="341"/>
        <v>92028</v>
      </c>
      <c r="O178">
        <f ca="1" t="shared" si="325"/>
        <v>362656.975</v>
      </c>
      <c r="P178">
        <f ca="1">IF(G178="恒定伤害",0,(IF(D178="轻剑",$AZ$2,$AZ$3)+IFERROR(INDEX(技能数据库!$T$2:$W$27,MATCH(E178,技能数据库!$T$2:$T$27,0),4),0)+COUNTIF(G178,"*造化2*")*154+COUNTIF(G178,"*造化1*")*102+COUNTIF(G178,"*碧归*")*307)/1024)</f>
        <v>0.672900861773535</v>
      </c>
      <c r="Q178">
        <f ca="1" t="shared" si="337"/>
        <v>0.448284482196154</v>
      </c>
      <c r="R178">
        <f ca="1" t="shared" si="326"/>
        <v>0.21277697966198</v>
      </c>
      <c r="S178">
        <f ca="1" t="shared" si="342"/>
        <v>691700.201870402</v>
      </c>
      <c r="T178">
        <f t="shared" si="343"/>
        <v>0.8</v>
      </c>
      <c r="U178">
        <f ca="1" t="shared" si="338"/>
        <v>1.7995442148</v>
      </c>
      <c r="V178">
        <f ca="1" t="shared" si="344"/>
        <v>1549156.23881782</v>
      </c>
      <c r="W178">
        <f ca="1">IF(G178="恒定伤害",0,MIN(1,IF(COUNTIF(F178,"*内会*")&gt;0,内会,IF(D178="轻剑",$Y$2,$Y$3)+COUNTIF(G178,"*莺鸣*")*0.2+COUNTIF(G178,"*叠1*")*0.1+COUNTIF(G178,"*叠2*")*0.2+COUNTIF(G178,"*叠3*")*0.3)+IFERROR(INDEX(技能数据库!$T$2:$W$27,MATCH(E178,技能数据库!$T$2:$T$27,0),2),0)+IF((IF(D178="轻剑",$AO$2,$AO$3)+INT(COUNTIF(G178,"*大莺鸣*")*IF(D178="轻剑",$AM$2,$AM$3)*听晓无双率)/无双系数)&gt;0.9,特效裤子会心/会心系数,0)))</f>
        <v>0.9643</v>
      </c>
      <c r="X178">
        <f ca="1">IF(G178="恒定伤害",0,IF(COUNTIF(F178,"*内会*")&gt;0,内会效,IF(D178="轻剑",$AB$2,$AB$3))+IFERROR(INDEX(技能数据库!$T$2:$W$27,MATCH(E178,技能数据库!$T$2:$T$27,0),3)/1024,0))+COUNTIF(G178,"*叠1*")*0.25+COUNTIF(G178,"*叠2*")*0.5+COUNTIF(G178,"*叠3*")*0.75</f>
        <v>2.8217485021</v>
      </c>
      <c r="Y178">
        <f ca="1" t="shared" si="345"/>
        <v>2.75671208057503</v>
      </c>
      <c r="Z178">
        <f t="shared" si="327"/>
        <v>0.150390625</v>
      </c>
      <c r="AA178">
        <f ca="1" t="shared" si="346"/>
        <v>0.0205078125</v>
      </c>
      <c r="AB178">
        <f ca="1" t="shared" si="347"/>
        <v>5013584.01960331</v>
      </c>
      <c r="AC178">
        <f ca="1">无穷技能数计算!AJ170</f>
        <v>2</v>
      </c>
      <c r="AD178" s="164">
        <f ca="1" t="shared" si="328"/>
        <v>0.00351696878084087</v>
      </c>
      <c r="AE178" s="168">
        <f ca="1" t="shared" si="285"/>
        <v>0.00468431635707544</v>
      </c>
      <c r="AF178" s="168">
        <f ca="1" t="shared" si="329"/>
        <v>0</v>
      </c>
      <c r="AG178">
        <f ca="1" t="shared" si="348"/>
        <v>0.00392455834859118</v>
      </c>
      <c r="AH178">
        <f ca="1" t="shared" si="330"/>
        <v>1.00319556583265</v>
      </c>
      <c r="AI178">
        <f ca="1" t="shared" si="331"/>
        <v>1.00016101226475</v>
      </c>
      <c r="AJ178">
        <f ca="1" t="shared" si="332"/>
        <v>1.00056556706488</v>
      </c>
      <c r="AK178">
        <f ca="1" t="shared" si="314"/>
        <v>2</v>
      </c>
      <c r="AL178">
        <f ca="1" t="shared" si="333"/>
        <v>0.00489021640615794</v>
      </c>
      <c r="AM178">
        <f ca="1" t="shared" si="315"/>
        <v>2</v>
      </c>
      <c r="AN178" s="168">
        <f ca="1" t="shared" si="286"/>
        <v>0.00702538461571023</v>
      </c>
      <c r="AO178" s="168">
        <f ca="1" t="shared" si="339"/>
        <v>0.00447057613551372</v>
      </c>
      <c r="AP178" s="172">
        <f ca="1" t="shared" si="334"/>
        <v>0</v>
      </c>
      <c r="AQ178" s="168">
        <f ca="1" t="shared" si="335"/>
        <v>0.00401583628616287</v>
      </c>
      <c r="AR178">
        <f t="shared" si="336"/>
        <v>1</v>
      </c>
    </row>
    <row r="179" spans="4:44">
      <c r="D179" t="s">
        <v>1825</v>
      </c>
      <c r="E179" s="161" t="s">
        <v>2789</v>
      </c>
      <c r="G179" t="s">
        <v>3110</v>
      </c>
      <c r="H179">
        <f ca="1">INDEX(技能数据库!$B$2:$I$100,MATCH(无穷伤害与收益计算!$E179,技能数据库!$B$2:$B$100,0),MATCH(H$9,技能数据库!$B$2:$I$2,0))</f>
        <v>131</v>
      </c>
      <c r="I179">
        <f ca="1">INDEX(技能数据库!$B$2:$I$100,MATCH(无穷伤害与收益计算!$E179,技能数据库!$B$2:$B$100,0),MATCH(I$9,技能数据库!$B$2:$I$2,0))</f>
        <v>3.425</v>
      </c>
      <c r="J179">
        <f ca="1">INDEX(技能数据库!$B$2:$I$100,MATCH(无穷伤害与收益计算!$E179,技能数据库!$B$2:$B$100,0),MATCH(J$9,技能数据库!$B$2:$I$2,0))</f>
        <v>0</v>
      </c>
      <c r="K179">
        <f ca="1">INDEX(技能数据库!$B$2:$I$100,MATCH(无穷伤害与收益计算!$E179,技能数据库!$B$2:$B$100,0),MATCH(K$9,技能数据库!$B$2:$I$2,0))</f>
        <v>0</v>
      </c>
      <c r="L179">
        <f ca="1" t="shared" si="284"/>
        <v>105847</v>
      </c>
      <c r="M179">
        <f ca="1" t="shared" si="340"/>
        <v>19530.5</v>
      </c>
      <c r="N179">
        <f ca="1" t="shared" si="341"/>
        <v>92028</v>
      </c>
      <c r="O179">
        <f ca="1" t="shared" si="325"/>
        <v>362656.975</v>
      </c>
      <c r="P179">
        <f ca="1">IF(G179="恒定伤害",0,(IF(D179="轻剑",$AZ$2,$AZ$3)+IFERROR(INDEX(技能数据库!$T$2:$W$27,MATCH(E179,技能数据库!$T$2:$T$27,0),4),0)+COUNTIF(G179,"*造化2*")*154+COUNTIF(G179,"*造化1*")*102+COUNTIF(G179,"*碧归*")*307)/1024)</f>
        <v>0.672900861773535</v>
      </c>
      <c r="Q179">
        <f ca="1" t="shared" si="337"/>
        <v>0.448284482196154</v>
      </c>
      <c r="R179">
        <f ca="1" t="shared" si="326"/>
        <v>0.21277697966198</v>
      </c>
      <c r="S179">
        <f ca="1" t="shared" si="342"/>
        <v>691700.201870402</v>
      </c>
      <c r="T179">
        <f t="shared" si="343"/>
        <v>0.8</v>
      </c>
      <c r="U179">
        <f ca="1" t="shared" si="338"/>
        <v>1.7995442148</v>
      </c>
      <c r="V179">
        <f ca="1" t="shared" si="344"/>
        <v>1549156.23881782</v>
      </c>
      <c r="W179">
        <f ca="1">IF(G179="恒定伤害",0,MIN(1,IF(COUNTIF(F179,"*内会*")&gt;0,内会,IF(D179="轻剑",$Y$2,$Y$3)+COUNTIF(G179,"*莺鸣*")*0.2+COUNTIF(G179,"*叠1*")*0.1+COUNTIF(G179,"*叠2*")*0.2+COUNTIF(G179,"*叠3*")*0.3)+IFERROR(INDEX(技能数据库!$T$2:$W$27,MATCH(E179,技能数据库!$T$2:$T$27,0),2),0)+IF((IF(D179="轻剑",$AO$2,$AO$3)+INT(COUNTIF(G179,"*大莺鸣*")*IF(D179="轻剑",$AM$2,$AM$3)*听晓无双率)/无双系数)&gt;0.9,特效裤子会心/会心系数,0)))</f>
        <v>1</v>
      </c>
      <c r="X179">
        <f ca="1">IF(G179="恒定伤害",0,IF(COUNTIF(F179,"*内会*")&gt;0,内会效,IF(D179="轻剑",$AB$2,$AB$3))+IFERROR(INDEX(技能数据库!$T$2:$W$27,MATCH(E179,技能数据库!$T$2:$T$27,0),3)/1024,0))+COUNTIF(G179,"*叠1*")*0.25+COUNTIF(G179,"*叠2*")*0.5+COUNTIF(G179,"*叠3*")*0.75</f>
        <v>3.0717485021</v>
      </c>
      <c r="Y179">
        <f ca="1" t="shared" si="345"/>
        <v>3.0717485021</v>
      </c>
      <c r="Z179">
        <f t="shared" si="327"/>
        <v>0.150390625</v>
      </c>
      <c r="AA179">
        <f ca="1" t="shared" si="346"/>
        <v>0.0205078125</v>
      </c>
      <c r="AB179">
        <f ca="1" t="shared" si="347"/>
        <v>5586535.24642173</v>
      </c>
      <c r="AC179">
        <f ca="1">无穷技能数计算!AJ171</f>
        <v>30</v>
      </c>
      <c r="AD179" s="164">
        <f ca="1" t="shared" si="328"/>
        <v>0.0587833074440636</v>
      </c>
      <c r="AE179" s="168">
        <f ca="1" t="shared" si="285"/>
        <v>0.00468431635707544</v>
      </c>
      <c r="AF179" s="168">
        <f ca="1" t="shared" si="329"/>
        <v>0</v>
      </c>
      <c r="AG179">
        <f ca="1" t="shared" si="348"/>
        <v>0.00335709262268846</v>
      </c>
      <c r="AH179">
        <f ca="1" t="shared" si="330"/>
        <v>1.00319556583265</v>
      </c>
      <c r="AI179">
        <f ca="1" t="shared" si="331"/>
        <v>1.00016101226475</v>
      </c>
      <c r="AJ179">
        <f ca="1" t="shared" si="332"/>
        <v>1</v>
      </c>
      <c r="AK179">
        <f ca="1" t="shared" si="314"/>
        <v>30</v>
      </c>
      <c r="AL179">
        <f ca="1" t="shared" si="333"/>
        <v>0</v>
      </c>
      <c r="AM179">
        <f ca="1" t="shared" si="315"/>
        <v>30</v>
      </c>
      <c r="AN179" s="168">
        <f ca="1" t="shared" si="286"/>
        <v>0.00653828267501666</v>
      </c>
      <c r="AO179" s="168">
        <f ca="1" t="shared" si="339"/>
        <v>0.00447057613551372</v>
      </c>
      <c r="AP179" s="172">
        <f ca="1" t="shared" si="334"/>
        <v>0</v>
      </c>
      <c r="AQ179" s="168">
        <f ca="1" t="shared" si="335"/>
        <v>0.00401583628616287</v>
      </c>
      <c r="AR179">
        <f t="shared" si="336"/>
        <v>1</v>
      </c>
    </row>
    <row r="180" spans="4:44">
      <c r="D180" t="s">
        <v>1825</v>
      </c>
      <c r="E180" t="s">
        <v>2786</v>
      </c>
      <c r="G180" t="s">
        <v>3108</v>
      </c>
      <c r="H180">
        <f ca="1">INDEX(技能数据库!$B$2:$I$100,MATCH(无穷伤害与收益计算!$E180,技能数据库!$B$2:$B$100,0),MATCH(H$9,技能数据库!$B$2:$I$2,0))</f>
        <v>0</v>
      </c>
      <c r="I180">
        <f ca="1">INDEX(技能数据库!$B$2:$I$100,MATCH(无穷伤害与收益计算!$E180,技能数据库!$B$2:$B$100,0),MATCH(I$9,技能数据库!$B$2:$I$2,0))</f>
        <v>0</v>
      </c>
      <c r="J180">
        <f ca="1">INDEX(技能数据库!$B$2:$I$100,MATCH(无穷伤害与收益计算!$E180,技能数据库!$B$2:$B$100,0),MATCH(J$9,技能数据库!$B$2:$I$2,0))</f>
        <v>0</v>
      </c>
      <c r="K180">
        <f ca="1">INDEX(技能数据库!$B$2:$I$100,MATCH(无穷伤害与收益计算!$E180,技能数据库!$B$2:$B$100,0),MATCH(K$9,技能数据库!$B$2:$I$2,0))</f>
        <v>0</v>
      </c>
      <c r="L180">
        <f ca="1" t="shared" si="284"/>
        <v>105847</v>
      </c>
      <c r="M180">
        <f ca="1" t="shared" si="340"/>
        <v>19530.5</v>
      </c>
      <c r="N180">
        <f ca="1" t="shared" si="341"/>
        <v>92028</v>
      </c>
      <c r="O180">
        <f ca="1" t="shared" si="325"/>
        <v>0</v>
      </c>
      <c r="P180">
        <f ca="1">IF(G180="恒定伤害",0,(IF(D180="轻剑",$AZ$2,$AZ$3)+IFERROR(INDEX(技能数据库!$T$2:$W$27,MATCH(E180,技能数据库!$T$2:$T$27,0),4),0)+COUNTIF(G180,"*造化2*")*154+COUNTIF(G180,"*造化1*")*102+COUNTIF(G180,"*碧归*")*307)/1024)</f>
        <v>0.176868146929785</v>
      </c>
      <c r="Q180">
        <f ca="1" t="shared" si="337"/>
        <v>0.448284482196154</v>
      </c>
      <c r="R180">
        <f ca="1" t="shared" si="326"/>
        <v>0.21277697966198</v>
      </c>
      <c r="S180">
        <f ca="1" t="shared" si="342"/>
        <v>0</v>
      </c>
      <c r="T180">
        <f t="shared" si="343"/>
        <v>0.8</v>
      </c>
      <c r="U180">
        <f ca="1" t="shared" si="338"/>
        <v>1.7995442148</v>
      </c>
      <c r="V180">
        <f ca="1" t="shared" si="344"/>
        <v>0</v>
      </c>
      <c r="W180">
        <f ca="1">IF(G180="恒定伤害",0,MIN(1,IF(COUNTIF(F180,"*内会*")&gt;0,内会,IF(D180="轻剑",$Y$2,$Y$3)+COUNTIF(G180,"*莺鸣*")*0.2+COUNTIF(G180,"*叠1*")*0.1+COUNTIF(G180,"*叠2*")*0.2+COUNTIF(G180,"*叠3*")*0.3)+IFERROR(INDEX(技能数据库!$T$2:$W$27,MATCH(E180,技能数据库!$T$2:$T$27,0),2),0)+IF((IF(D180="轻剑",$AO$2,$AO$3)+INT(COUNTIF(G180,"*大莺鸣*")*IF(D180="轻剑",$AM$2,$AM$3)*听晓无双率)/无双系数)&gt;0.9,特效裤子会心/会心系数,0)))</f>
        <v>0.8343</v>
      </c>
      <c r="X180">
        <f ca="1">IF(G180="恒定伤害",0,IF(COUNTIF(F180,"*内会*")&gt;0,内会效,IF(D180="轻剑",$AB$2,$AB$3))+IFERROR(INDEX(技能数据库!$T$2:$W$27,MATCH(E180,技能数据库!$T$2:$T$27,0),3)/1024,0))+COUNTIF(G180,"*叠1*")*0.25+COUNTIF(G180,"*叠2*")*0.5+COUNTIF(G180,"*叠3*")*0.75</f>
        <v>2.5717485021</v>
      </c>
      <c r="Y180">
        <f ca="1" t="shared" si="345"/>
        <v>2.31130977530203</v>
      </c>
      <c r="Z180">
        <f t="shared" si="327"/>
        <v>0.150390625</v>
      </c>
      <c r="AA180">
        <f ca="1" t="shared" si="346"/>
        <v>0.0205078125</v>
      </c>
      <c r="AB180">
        <f ca="1" t="shared" si="347"/>
        <v>0</v>
      </c>
      <c r="AC180">
        <f ca="1">无穷技能数计算!AJ172</f>
        <v>4</v>
      </c>
      <c r="AD180" s="164">
        <f ca="1" t="shared" si="328"/>
        <v>0</v>
      </c>
      <c r="AE180" s="168">
        <f ca="1" t="shared" si="285"/>
        <v>0</v>
      </c>
      <c r="AF180" s="168">
        <f ca="1" t="shared" si="329"/>
        <v>0</v>
      </c>
      <c r="AG180">
        <f ca="1" t="shared" si="348"/>
        <v>0</v>
      </c>
      <c r="AH180">
        <f ca="1" t="shared" si="330"/>
        <v>0</v>
      </c>
      <c r="AI180">
        <f ca="1" t="shared" si="331"/>
        <v>1.00016101226475</v>
      </c>
      <c r="AJ180">
        <f ca="1" t="shared" si="332"/>
        <v>1.00058198527732</v>
      </c>
      <c r="AK180">
        <f ca="1" t="shared" si="314"/>
        <v>4</v>
      </c>
      <c r="AL180">
        <f ca="1" t="shared" si="333"/>
        <v>0.00503217766381492</v>
      </c>
      <c r="AM180">
        <f ca="1" t="shared" si="315"/>
        <v>4</v>
      </c>
      <c r="AN180" s="168">
        <f ca="1" t="shared" si="286"/>
        <v>0.00724958982916823</v>
      </c>
      <c r="AO180" s="168">
        <f ca="1" t="shared" si="339"/>
        <v>0.00447057613551372</v>
      </c>
      <c r="AP180" s="172">
        <f ca="1" t="shared" si="334"/>
        <v>0</v>
      </c>
      <c r="AQ180" s="168">
        <f ca="1" t="shared" si="335"/>
        <v>0.00401583628616287</v>
      </c>
      <c r="AR180">
        <f t="shared" si="336"/>
        <v>1</v>
      </c>
    </row>
    <row r="181" spans="4:44">
      <c r="D181" t="s">
        <v>1825</v>
      </c>
      <c r="E181" t="s">
        <v>2786</v>
      </c>
      <c r="G181" t="s">
        <v>3109</v>
      </c>
      <c r="H181">
        <f ca="1">INDEX(技能数据库!$B$2:$I$100,MATCH(无穷伤害与收益计算!$E181,技能数据库!$B$2:$B$100,0),MATCH(H$9,技能数据库!$B$2:$I$2,0))</f>
        <v>0</v>
      </c>
      <c r="I181">
        <f ca="1">INDEX(技能数据库!$B$2:$I$100,MATCH(无穷伤害与收益计算!$E181,技能数据库!$B$2:$B$100,0),MATCH(I$9,技能数据库!$B$2:$I$2,0))</f>
        <v>0</v>
      </c>
      <c r="J181">
        <f ca="1">INDEX(技能数据库!$B$2:$I$100,MATCH(无穷伤害与收益计算!$E181,技能数据库!$B$2:$B$100,0),MATCH(J$9,技能数据库!$B$2:$I$2,0))</f>
        <v>0</v>
      </c>
      <c r="K181">
        <f ca="1">INDEX(技能数据库!$B$2:$I$100,MATCH(无穷伤害与收益计算!$E181,技能数据库!$B$2:$B$100,0),MATCH(K$9,技能数据库!$B$2:$I$2,0))</f>
        <v>0</v>
      </c>
      <c r="L181">
        <f ca="1" t="shared" si="284"/>
        <v>105847</v>
      </c>
      <c r="M181">
        <f ca="1" t="shared" si="340"/>
        <v>19530.5</v>
      </c>
      <c r="N181">
        <f ca="1" t="shared" si="341"/>
        <v>92028</v>
      </c>
      <c r="O181">
        <f ca="1" t="shared" si="325"/>
        <v>0</v>
      </c>
      <c r="P181">
        <f ca="1">IF(G181="恒定伤害",0,(IF(D181="轻剑",$AZ$2,$AZ$3)+IFERROR(INDEX(技能数据库!$T$2:$W$27,MATCH(E181,技能数据库!$T$2:$T$27,0),4),0)+COUNTIF(G181,"*造化2*")*154+COUNTIF(G181,"*造化1*")*102+COUNTIF(G181,"*碧归*")*307)/1024)</f>
        <v>0.176868146929785</v>
      </c>
      <c r="Q181">
        <f ca="1" t="shared" si="337"/>
        <v>0.448284482196154</v>
      </c>
      <c r="R181">
        <f ca="1" t="shared" si="326"/>
        <v>0.21277697966198</v>
      </c>
      <c r="S181">
        <f ca="1" t="shared" si="342"/>
        <v>0</v>
      </c>
      <c r="T181">
        <f t="shared" si="343"/>
        <v>0.8</v>
      </c>
      <c r="U181">
        <f ca="1" t="shared" si="338"/>
        <v>1.7995442148</v>
      </c>
      <c r="V181">
        <f ca="1" t="shared" si="344"/>
        <v>0</v>
      </c>
      <c r="W181">
        <f ca="1">IF(G181="恒定伤害",0,MIN(1,IF(COUNTIF(F181,"*内会*")&gt;0,内会,IF(D181="轻剑",$Y$2,$Y$3)+COUNTIF(G181,"*莺鸣*")*0.2+COUNTIF(G181,"*叠1*")*0.1+COUNTIF(G181,"*叠2*")*0.2+COUNTIF(G181,"*叠3*")*0.3)+IFERROR(INDEX(技能数据库!$T$2:$W$27,MATCH(E181,技能数据库!$T$2:$T$27,0),2),0)+IF((IF(D181="轻剑",$AO$2,$AO$3)+INT(COUNTIF(G181,"*大莺鸣*")*IF(D181="轻剑",$AM$2,$AM$3)*听晓无双率)/无双系数)&gt;0.9,特效裤子会心/会心系数,0)))</f>
        <v>0.9343</v>
      </c>
      <c r="X181">
        <f ca="1">IF(G181="恒定伤害",0,IF(COUNTIF(F181,"*内会*")&gt;0,内会效,IF(D181="轻剑",$AB$2,$AB$3))+IFERROR(INDEX(技能数据库!$T$2:$W$27,MATCH(E181,技能数据库!$T$2:$T$27,0),3)/1024,0))+COUNTIF(G181,"*叠1*")*0.25+COUNTIF(G181,"*叠2*")*0.5+COUNTIF(G181,"*叠3*")*0.75</f>
        <v>2.8217485021</v>
      </c>
      <c r="Y181">
        <f ca="1" t="shared" si="345"/>
        <v>2.70205962551203</v>
      </c>
      <c r="Z181">
        <f t="shared" si="327"/>
        <v>0.150390625</v>
      </c>
      <c r="AA181">
        <f ca="1" t="shared" si="346"/>
        <v>0.0205078125</v>
      </c>
      <c r="AB181">
        <f ca="1" t="shared" si="347"/>
        <v>0</v>
      </c>
      <c r="AC181">
        <f ca="1">无穷技能数计算!AJ173</f>
        <v>3</v>
      </c>
      <c r="AD181" s="164">
        <f ca="1" t="shared" si="328"/>
        <v>0</v>
      </c>
      <c r="AE181" s="168">
        <f ca="1" t="shared" si="285"/>
        <v>0</v>
      </c>
      <c r="AF181" s="168">
        <f ca="1" t="shared" si="329"/>
        <v>0</v>
      </c>
      <c r="AG181">
        <f ca="1" t="shared" si="348"/>
        <v>0</v>
      </c>
      <c r="AH181">
        <f ca="1" t="shared" si="330"/>
        <v>0</v>
      </c>
      <c r="AI181">
        <f ca="1" t="shared" si="331"/>
        <v>1.00016101226475</v>
      </c>
      <c r="AJ181">
        <f ca="1" t="shared" si="332"/>
        <v>1.00057700634931</v>
      </c>
      <c r="AK181">
        <f ca="1" t="shared" si="314"/>
        <v>3</v>
      </c>
      <c r="AL181">
        <f ca="1" t="shared" si="333"/>
        <v>0.00498912700378584</v>
      </c>
      <c r="AM181">
        <f ca="1" t="shared" si="315"/>
        <v>3</v>
      </c>
      <c r="AN181" s="168">
        <f ca="1" t="shared" si="286"/>
        <v>0.00694449658447471</v>
      </c>
      <c r="AO181" s="168">
        <f ca="1" t="shared" si="339"/>
        <v>0.00447057613551372</v>
      </c>
      <c r="AP181" s="172">
        <f ca="1" t="shared" si="334"/>
        <v>0</v>
      </c>
      <c r="AQ181" s="168">
        <f ca="1" t="shared" si="335"/>
        <v>0.00401583628616287</v>
      </c>
      <c r="AR181">
        <f t="shared" si="336"/>
        <v>1</v>
      </c>
    </row>
    <row r="182" spans="4:44">
      <c r="D182" t="s">
        <v>1825</v>
      </c>
      <c r="E182" t="s">
        <v>2786</v>
      </c>
      <c r="G182" t="s">
        <v>3110</v>
      </c>
      <c r="H182">
        <f ca="1">INDEX(技能数据库!$B$2:$I$100,MATCH(无穷伤害与收益计算!$E182,技能数据库!$B$2:$B$100,0),MATCH(H$9,技能数据库!$B$2:$I$2,0))</f>
        <v>0</v>
      </c>
      <c r="I182">
        <f ca="1">INDEX(技能数据库!$B$2:$I$100,MATCH(无穷伤害与收益计算!$E182,技能数据库!$B$2:$B$100,0),MATCH(I$9,技能数据库!$B$2:$I$2,0))</f>
        <v>0</v>
      </c>
      <c r="J182">
        <f ca="1">INDEX(技能数据库!$B$2:$I$100,MATCH(无穷伤害与收益计算!$E182,技能数据库!$B$2:$B$100,0),MATCH(J$9,技能数据库!$B$2:$I$2,0))</f>
        <v>0</v>
      </c>
      <c r="K182">
        <f ca="1">INDEX(技能数据库!$B$2:$I$100,MATCH(无穷伤害与收益计算!$E182,技能数据库!$B$2:$B$100,0),MATCH(K$9,技能数据库!$B$2:$I$2,0))</f>
        <v>0</v>
      </c>
      <c r="L182">
        <f ca="1" t="shared" si="284"/>
        <v>105847</v>
      </c>
      <c r="M182">
        <f ca="1" t="shared" si="340"/>
        <v>19530.5</v>
      </c>
      <c r="N182">
        <f ca="1" t="shared" si="341"/>
        <v>92028</v>
      </c>
      <c r="O182">
        <f ca="1" t="shared" si="325"/>
        <v>0</v>
      </c>
      <c r="P182">
        <f ca="1">IF(G182="恒定伤害",0,(IF(D182="轻剑",$AZ$2,$AZ$3)+IFERROR(INDEX(技能数据库!$T$2:$W$27,MATCH(E182,技能数据库!$T$2:$T$27,0),4),0)+COUNTIF(G182,"*造化2*")*154+COUNTIF(G182,"*造化1*")*102+COUNTIF(G182,"*碧归*")*307)/1024)</f>
        <v>0.176868146929785</v>
      </c>
      <c r="Q182">
        <f ca="1" t="shared" si="337"/>
        <v>0.448284482196154</v>
      </c>
      <c r="R182">
        <f ca="1" t="shared" si="326"/>
        <v>0.21277697966198</v>
      </c>
      <c r="S182">
        <f ca="1" t="shared" si="342"/>
        <v>0</v>
      </c>
      <c r="T182">
        <f t="shared" si="343"/>
        <v>0.8</v>
      </c>
      <c r="U182">
        <f ca="1" t="shared" si="338"/>
        <v>1.7995442148</v>
      </c>
      <c r="V182">
        <f ca="1" t="shared" si="344"/>
        <v>0</v>
      </c>
      <c r="W182">
        <f ca="1">IF(G182="恒定伤害",0,MIN(1,IF(COUNTIF(F182,"*内会*")&gt;0,内会,IF(D182="轻剑",$Y$2,$Y$3)+COUNTIF(G182,"*莺鸣*")*0.2+COUNTIF(G182,"*叠1*")*0.1+COUNTIF(G182,"*叠2*")*0.2+COUNTIF(G182,"*叠3*")*0.3)+IFERROR(INDEX(技能数据库!$T$2:$W$27,MATCH(E182,技能数据库!$T$2:$T$27,0),2),0)+IF((IF(D182="轻剑",$AO$2,$AO$3)+INT(COUNTIF(G182,"*大莺鸣*")*IF(D182="轻剑",$AM$2,$AM$3)*听晓无双率)/无双系数)&gt;0.9,特效裤子会心/会心系数,0)))</f>
        <v>1</v>
      </c>
      <c r="X182">
        <f ca="1">IF(G182="恒定伤害",0,IF(COUNTIF(F182,"*内会*")&gt;0,内会效,IF(D182="轻剑",$AB$2,$AB$3))+IFERROR(INDEX(技能数据库!$T$2:$W$27,MATCH(E182,技能数据库!$T$2:$T$27,0),3)/1024,0))+COUNTIF(G182,"*叠1*")*0.25+COUNTIF(G182,"*叠2*")*0.5+COUNTIF(G182,"*叠3*")*0.75</f>
        <v>3.0717485021</v>
      </c>
      <c r="Y182">
        <f ca="1" t="shared" si="345"/>
        <v>3.0717485021</v>
      </c>
      <c r="Z182">
        <f t="shared" si="327"/>
        <v>0.150390625</v>
      </c>
      <c r="AA182">
        <f ca="1" t="shared" si="346"/>
        <v>0.0205078125</v>
      </c>
      <c r="AB182">
        <f ca="1" t="shared" si="347"/>
        <v>0</v>
      </c>
      <c r="AC182">
        <f ca="1">无穷技能数计算!AJ174</f>
        <v>36</v>
      </c>
      <c r="AD182" s="164">
        <f ca="1" t="shared" si="328"/>
        <v>0</v>
      </c>
      <c r="AE182" s="168">
        <f ca="1" t="shared" si="285"/>
        <v>0</v>
      </c>
      <c r="AF182" s="168">
        <f ca="1" t="shared" si="329"/>
        <v>0</v>
      </c>
      <c r="AG182">
        <f ca="1" t="shared" si="348"/>
        <v>0</v>
      </c>
      <c r="AH182">
        <f ca="1" t="shared" si="330"/>
        <v>0</v>
      </c>
      <c r="AI182">
        <f ca="1" t="shared" si="331"/>
        <v>1.00016101226475</v>
      </c>
      <c r="AJ182">
        <f ca="1" t="shared" si="332"/>
        <v>1</v>
      </c>
      <c r="AK182">
        <f ca="1" t="shared" si="314"/>
        <v>36</v>
      </c>
      <c r="AL182">
        <f ca="1" t="shared" si="333"/>
        <v>0</v>
      </c>
      <c r="AM182">
        <f ca="1" t="shared" si="315"/>
        <v>36</v>
      </c>
      <c r="AN182" s="168">
        <f ca="1" t="shared" si="286"/>
        <v>0.00653828267501666</v>
      </c>
      <c r="AO182" s="168">
        <f ca="1" t="shared" si="339"/>
        <v>0.00447057613551372</v>
      </c>
      <c r="AP182" s="172">
        <f ca="1" t="shared" si="334"/>
        <v>0</v>
      </c>
      <c r="AQ182" s="168">
        <f ca="1" t="shared" si="335"/>
        <v>0.00401583628616287</v>
      </c>
      <c r="AR182">
        <f t="shared" si="336"/>
        <v>1</v>
      </c>
    </row>
    <row r="183" spans="4:44">
      <c r="D183" t="s">
        <v>1825</v>
      </c>
      <c r="E183" s="161" t="s">
        <v>2859</v>
      </c>
      <c r="F183" t="s">
        <v>3160</v>
      </c>
      <c r="G183" t="s">
        <v>3108</v>
      </c>
      <c r="H183">
        <f ca="1">INDEX(技能数据库!$B$2:$I$100,MATCH(无穷伤害与收益计算!$E183,技能数据库!$B$2:$B$100,0),MATCH(H$9,技能数据库!$B$2:$I$2,0))</f>
        <v>1955936</v>
      </c>
      <c r="I183">
        <f ca="1">INDEX(技能数据库!$B$2:$I$100,MATCH(无穷伤害与收益计算!$E183,技能数据库!$B$2:$B$100,0),MATCH(I$9,技能数据库!$B$2:$I$2,0))</f>
        <v>0</v>
      </c>
      <c r="J183">
        <f ca="1">INDEX(技能数据库!$B$2:$I$100,MATCH(无穷伤害与收益计算!$E183,技能数据库!$B$2:$B$100,0),MATCH(J$9,技能数据库!$B$2:$I$2,0))</f>
        <v>0</v>
      </c>
      <c r="K183">
        <f ca="1">INDEX(技能数据库!$B$2:$I$100,MATCH(无穷伤害与收益计算!$E183,技能数据库!$B$2:$B$100,0),MATCH(K$9,技能数据库!$B$2:$I$2,0))</f>
        <v>0</v>
      </c>
      <c r="L183">
        <f ca="1" t="shared" si="284"/>
        <v>105847</v>
      </c>
      <c r="M183">
        <f ca="1" t="shared" si="340"/>
        <v>19530.5</v>
      </c>
      <c r="N183">
        <f ca="1" t="shared" si="341"/>
        <v>92028</v>
      </c>
      <c r="O183">
        <f ca="1" t="shared" si="325"/>
        <v>1955936</v>
      </c>
      <c r="P183">
        <f ca="1">IF(G183="恒定伤害",0,(IF(D183="轻剑",$AZ$2,$AZ$3)+IFERROR(INDEX(技能数据库!$T$2:$W$27,MATCH(E183,技能数据库!$T$2:$T$27,0),4),0)+COUNTIF(G183,"*造化2*")*154+COUNTIF(G183,"*造化1*")*102+COUNTIF(G183,"*碧归*")*307)/1024)</f>
        <v>0.176868146929785</v>
      </c>
      <c r="Q183">
        <f ca="1" t="shared" si="337"/>
        <v>0.0415122129107408</v>
      </c>
      <c r="R183">
        <f ca="1" t="shared" si="326"/>
        <v>0.21277697966198</v>
      </c>
      <c r="S183">
        <f ca="1" t="shared" si="342"/>
        <v>1887315.90971891</v>
      </c>
      <c r="T183">
        <f t="shared" si="343"/>
        <v>0.8</v>
      </c>
      <c r="U183">
        <f ca="1" t="shared" si="338"/>
        <v>1.7995442148</v>
      </c>
      <c r="V183">
        <f ca="1" t="shared" si="344"/>
        <v>4226899.46924287</v>
      </c>
      <c r="W183">
        <f ca="1">IF(G183="恒定伤害",0,MIN(1,IF(COUNTIF(F183,"*内会*")&gt;0,内会,IF(D183="轻剑",$Y$2,$Y$3)+COUNTIF(G183,"*莺鸣*")*0.2+COUNTIF(G183,"*叠1*")*0.1+COUNTIF(G183,"*叠2*")*0.2+COUNTIF(G183,"*叠3*")*0.3)+IFERROR(INDEX(技能数据库!$T$2:$W$27,MATCH(E183,技能数据库!$T$2:$T$27,0),2),0)+IF((IF(D183="轻剑",$AO$2,$AO$3)+INT(COUNTIF(G183,"*大莺鸣*")*IF(D183="轻剑",$AM$2,$AM$3)*听晓无双率)/无双系数)&gt;0.9,特效裤子会心/会心系数,0)))</f>
        <v>0.112613819719478</v>
      </c>
      <c r="X183">
        <f ca="1">IF(G183="恒定伤害",0,IF(COUNTIF(F183,"*内会*")&gt;0,内会效,IF(D183="轻剑",$AB$2,$AB$3))+IFERROR(INDEX(技能数据库!$T$2:$W$27,MATCH(E183,技能数据库!$T$2:$T$27,0),3)/1024,0))+COUNTIF(G183,"*叠1*")*0.25+COUNTIF(G183,"*叠2*")*0.5+COUNTIF(G183,"*叠3*")*0.75</f>
        <v>2.18437818487951</v>
      </c>
      <c r="Y183">
        <f ca="1" t="shared" si="345"/>
        <v>1.1333773513917</v>
      </c>
      <c r="Z183">
        <f t="shared" si="327"/>
        <v>0.150390625</v>
      </c>
      <c r="AA183">
        <f ca="1" t="shared" si="346"/>
        <v>0.0205078125</v>
      </c>
      <c r="AB183">
        <f ca="1" t="shared" si="347"/>
        <v>5624165.81407276</v>
      </c>
      <c r="AC183">
        <f ca="1">无穷技能数计算!AJ175</f>
        <v>0</v>
      </c>
      <c r="AD183" s="164">
        <f ca="1" t="shared" si="328"/>
        <v>0</v>
      </c>
      <c r="AE183" s="168">
        <f ca="1" t="shared" si="285"/>
        <v>0</v>
      </c>
      <c r="AF183" s="168">
        <f ca="1" t="shared" si="329"/>
        <v>0</v>
      </c>
      <c r="AG183">
        <f ca="1" t="shared" si="348"/>
        <v>0.00022389710037829</v>
      </c>
      <c r="AH183">
        <f ca="1" t="shared" si="330"/>
        <v>1</v>
      </c>
      <c r="AI183">
        <f ca="1" t="shared" si="331"/>
        <v>1.00022389710038</v>
      </c>
      <c r="AJ183">
        <f ca="1" t="shared" si="332"/>
        <v>0</v>
      </c>
      <c r="AK183">
        <f ca="1" t="shared" si="314"/>
        <v>0</v>
      </c>
      <c r="AL183">
        <f ca="1" t="shared" si="333"/>
        <v>0</v>
      </c>
      <c r="AM183">
        <f ca="1" t="shared" si="315"/>
        <v>0</v>
      </c>
      <c r="AN183" s="168">
        <f ca="1" t="shared" si="286"/>
        <v>0</v>
      </c>
      <c r="AO183" s="168">
        <f ca="1" t="shared" si="339"/>
        <v>0</v>
      </c>
      <c r="AP183" s="172">
        <f ca="1" t="shared" si="334"/>
        <v>0</v>
      </c>
      <c r="AQ183" s="168">
        <f ca="1" t="shared" si="335"/>
        <v>0.00401583628616287</v>
      </c>
      <c r="AR183">
        <f t="shared" si="336"/>
        <v>1</v>
      </c>
    </row>
    <row r="184" spans="4:44">
      <c r="D184" t="s">
        <v>1825</v>
      </c>
      <c r="E184" s="161" t="s">
        <v>2859</v>
      </c>
      <c r="F184" t="s">
        <v>2503</v>
      </c>
      <c r="G184" t="s">
        <v>3108</v>
      </c>
      <c r="H184">
        <f ca="1">INDEX(技能数据库!$B$2:$I$100,MATCH(无穷伤害与收益计算!$E184,技能数据库!$B$2:$B$100,0),MATCH(H$9,技能数据库!$B$2:$I$2,0))</f>
        <v>1955936</v>
      </c>
      <c r="I184">
        <f ca="1">INDEX(技能数据库!$B$2:$I$100,MATCH(无穷伤害与收益计算!$E184,技能数据库!$B$2:$B$100,0),MATCH(I$9,技能数据库!$B$2:$I$2,0))</f>
        <v>0</v>
      </c>
      <c r="J184">
        <f ca="1">INDEX(技能数据库!$B$2:$I$100,MATCH(无穷伤害与收益计算!$E184,技能数据库!$B$2:$B$100,0),MATCH(J$9,技能数据库!$B$2:$I$2,0))</f>
        <v>0</v>
      </c>
      <c r="K184">
        <f ca="1">INDEX(技能数据库!$B$2:$I$100,MATCH(无穷伤害与收益计算!$E184,技能数据库!$B$2:$B$100,0),MATCH(K$9,技能数据库!$B$2:$I$2,0))</f>
        <v>0</v>
      </c>
      <c r="L184">
        <f ca="1" t="shared" si="284"/>
        <v>105847</v>
      </c>
      <c r="M184">
        <f ca="1" t="shared" si="340"/>
        <v>19530.5</v>
      </c>
      <c r="N184">
        <f ca="1" t="shared" si="341"/>
        <v>92028</v>
      </c>
      <c r="O184">
        <f ca="1" t="shared" si="325"/>
        <v>1955936</v>
      </c>
      <c r="P184">
        <f ca="1">IF(G184="恒定伤害",0,(IF(D184="轻剑",$AZ$2,$AZ$3)+IFERROR(INDEX(技能数据库!$T$2:$W$27,MATCH(E184,技能数据库!$T$2:$T$27,0),4),0)+COUNTIF(G184,"*造化2*")*154+COUNTIF(G184,"*造化1*")*102+COUNTIF(G184,"*碧归*")*307)/1024)</f>
        <v>0.176868146929785</v>
      </c>
      <c r="Q184">
        <f ca="1" t="shared" si="337"/>
        <v>0.0415122129107408</v>
      </c>
      <c r="R184">
        <f ca="1" t="shared" si="326"/>
        <v>0.21277697966198</v>
      </c>
      <c r="S184">
        <f ca="1" t="shared" si="342"/>
        <v>1887315.90971891</v>
      </c>
      <c r="T184">
        <f t="shared" si="343"/>
        <v>0.8</v>
      </c>
      <c r="U184">
        <f ca="1" t="shared" si="338"/>
        <v>1.7995442148</v>
      </c>
      <c r="V184">
        <f ca="1" t="shared" si="344"/>
        <v>4226899.46924287</v>
      </c>
      <c r="W184">
        <f ca="1">IF(G184="恒定伤害",0,MIN(1,IF(COUNTIF(F184,"*内会*")&gt;0,内会,IF(D184="轻剑",$Y$2,$Y$3)+COUNTIF(G184,"*莺鸣*")*0.2+COUNTIF(G184,"*叠1*")*0.1+COUNTIF(G184,"*叠2*")*0.2+COUNTIF(G184,"*叠3*")*0.3)+IFERROR(INDEX(技能数据库!$T$2:$W$27,MATCH(E184,技能数据库!$T$2:$T$27,0),2),0)+IF((IF(D184="轻剑",$AO$2,$AO$3)+INT(COUNTIF(G184,"*大莺鸣*")*IF(D184="轻剑",$AM$2,$AM$3)*听晓无双率)/无双系数)&gt;0.9,特效裤子会心/会心系数,0)))</f>
        <v>0.8343</v>
      </c>
      <c r="X184">
        <f ca="1">IF(G184="恒定伤害",0,IF(COUNTIF(F184,"*内会*")&gt;0,内会效,IF(D184="轻剑",$AB$2,$AB$3))+IFERROR(INDEX(技能数据库!$T$2:$W$27,MATCH(E184,技能数据库!$T$2:$T$27,0),3)/1024,0))+COUNTIF(G184,"*叠1*")*0.25+COUNTIF(G184,"*叠2*")*0.5+COUNTIF(G184,"*叠3*")*0.75</f>
        <v>2.5717485021</v>
      </c>
      <c r="Y184">
        <f ca="1" t="shared" si="345"/>
        <v>2.31130977530203</v>
      </c>
      <c r="Z184">
        <f t="shared" si="327"/>
        <v>0.150390625</v>
      </c>
      <c r="AA184">
        <f ca="1" t="shared" si="346"/>
        <v>0.0205078125</v>
      </c>
      <c r="AB184">
        <f ca="1" t="shared" si="347"/>
        <v>11469427.5547538</v>
      </c>
      <c r="AC184">
        <f ca="1">无穷技能数计算!AJ176</f>
        <v>0</v>
      </c>
      <c r="AD184" s="164">
        <f ca="1" t="shared" si="328"/>
        <v>0</v>
      </c>
      <c r="AE184" s="168">
        <f ca="1" t="shared" si="285"/>
        <v>0</v>
      </c>
      <c r="AF184" s="168">
        <f ca="1" t="shared" si="329"/>
        <v>0</v>
      </c>
      <c r="AG184">
        <f ca="1" t="shared" si="348"/>
        <v>0.00022389710037829</v>
      </c>
      <c r="AH184">
        <f ca="1" t="shared" si="330"/>
        <v>1</v>
      </c>
      <c r="AI184">
        <f ca="1" t="shared" si="331"/>
        <v>1.00022389710038</v>
      </c>
      <c r="AJ184">
        <f ca="1" t="shared" si="332"/>
        <v>0</v>
      </c>
      <c r="AK184">
        <f ca="1" t="shared" si="314"/>
        <v>0</v>
      </c>
      <c r="AL184">
        <f ca="1" t="shared" si="333"/>
        <v>0</v>
      </c>
      <c r="AM184">
        <f ca="1" t="shared" si="315"/>
        <v>0</v>
      </c>
      <c r="AN184" s="168">
        <f ca="1" t="shared" si="286"/>
        <v>0.00724958982916823</v>
      </c>
      <c r="AO184" s="168">
        <f ca="1" t="shared" si="339"/>
        <v>0</v>
      </c>
      <c r="AP184" s="172">
        <f ca="1" t="shared" si="334"/>
        <v>0</v>
      </c>
      <c r="AQ184" s="168">
        <f ca="1" t="shared" si="335"/>
        <v>0.00401583628616287</v>
      </c>
      <c r="AR184">
        <f t="shared" si="336"/>
        <v>1</v>
      </c>
    </row>
    <row r="185" spans="4:44">
      <c r="D185" t="s">
        <v>1825</v>
      </c>
      <c r="E185" s="161" t="s">
        <v>2861</v>
      </c>
      <c r="F185" t="s">
        <v>3160</v>
      </c>
      <c r="G185" t="s">
        <v>3108</v>
      </c>
      <c r="H185">
        <f ca="1">INDEX(技能数据库!$B$2:$I$100,MATCH(无穷伤害与收益计算!$E185,技能数据库!$B$2:$B$100,0),MATCH(H$9,技能数据库!$B$2:$I$2,0))</f>
        <v>1344706</v>
      </c>
      <c r="I185">
        <f ca="1">INDEX(技能数据库!$B$2:$I$100,MATCH(无穷伤害与收益计算!$E185,技能数据库!$B$2:$B$100,0),MATCH(I$9,技能数据库!$B$2:$I$2,0))</f>
        <v>0</v>
      </c>
      <c r="J185">
        <f ca="1">INDEX(技能数据库!$B$2:$I$100,MATCH(无穷伤害与收益计算!$E185,技能数据库!$B$2:$B$100,0),MATCH(J$9,技能数据库!$B$2:$I$2,0))</f>
        <v>0</v>
      </c>
      <c r="K185">
        <f ca="1">INDEX(技能数据库!$B$2:$I$100,MATCH(无穷伤害与收益计算!$E185,技能数据库!$B$2:$B$100,0),MATCH(K$9,技能数据库!$B$2:$I$2,0))</f>
        <v>0</v>
      </c>
      <c r="L185">
        <f ca="1" t="shared" si="284"/>
        <v>105847</v>
      </c>
      <c r="M185">
        <f ca="1" t="shared" si="340"/>
        <v>19530.5</v>
      </c>
      <c r="N185">
        <f ca="1" t="shared" si="341"/>
        <v>92028</v>
      </c>
      <c r="O185">
        <f ca="1" t="shared" si="325"/>
        <v>1344706</v>
      </c>
      <c r="P185">
        <f ca="1">IF(G185="恒定伤害",0,(IF(D185="轻剑",$AZ$2,$AZ$3)+IFERROR(INDEX(技能数据库!$T$2:$W$27,MATCH(E185,技能数据库!$T$2:$T$27,0),4),0)+COUNTIF(G185,"*造化2*")*154+COUNTIF(G185,"*造化1*")*102+COUNTIF(G185,"*碧归*")*307)/1024)</f>
        <v>0.176868146929785</v>
      </c>
      <c r="Q185">
        <f ca="1" t="shared" si="337"/>
        <v>0.0415122129107408</v>
      </c>
      <c r="R185">
        <f ca="1" t="shared" si="326"/>
        <v>0.21277697966198</v>
      </c>
      <c r="S185">
        <f ca="1" t="shared" si="342"/>
        <v>1297529.68793175</v>
      </c>
      <c r="T185">
        <f t="shared" si="343"/>
        <v>0.8</v>
      </c>
      <c r="U185">
        <f ca="1" t="shared" si="338"/>
        <v>1.7995442148</v>
      </c>
      <c r="V185">
        <f ca="1" t="shared" si="344"/>
        <v>2905993.38510447</v>
      </c>
      <c r="W185">
        <f ca="1">IF(G185="恒定伤害",0,MIN(1,IF(COUNTIF(F185,"*内会*")&gt;0,内会,IF(D185="轻剑",$Y$2,$Y$3)+COUNTIF(G185,"*莺鸣*")*0.2+COUNTIF(G185,"*叠1*")*0.1+COUNTIF(G185,"*叠2*")*0.2+COUNTIF(G185,"*叠3*")*0.3)+IFERROR(INDEX(技能数据库!$T$2:$W$27,MATCH(E185,技能数据库!$T$2:$T$27,0),2),0)+IF((IF(D185="轻剑",$AO$2,$AO$3)+INT(COUNTIF(G185,"*大莺鸣*")*IF(D185="轻剑",$AM$2,$AM$3)*听晓无双率)/无双系数)&gt;0.9,特效裤子会心/会心系数,0)))</f>
        <v>0.112613819719478</v>
      </c>
      <c r="X185">
        <f ca="1">IF(G185="恒定伤害",0,IF(COUNTIF(F185,"*内会*")&gt;0,内会效,IF(D185="轻剑",$AB$2,$AB$3))+IFERROR(INDEX(技能数据库!$T$2:$W$27,MATCH(E185,技能数据库!$T$2:$T$27,0),3)/1024,0))+COUNTIF(G185,"*叠1*")*0.25+COUNTIF(G185,"*叠2*")*0.5+COUNTIF(G185,"*叠3*")*0.75</f>
        <v>2.18437818487951</v>
      </c>
      <c r="Y185">
        <f ca="1" t="shared" si="345"/>
        <v>1.1333773513917</v>
      </c>
      <c r="Z185">
        <f t="shared" si="327"/>
        <v>0.150390625</v>
      </c>
      <c r="AA185">
        <f ca="1" t="shared" si="346"/>
        <v>0.0205078125</v>
      </c>
      <c r="AB185">
        <f ca="1" t="shared" si="347"/>
        <v>3866613.99717502</v>
      </c>
      <c r="AC185">
        <f ca="1">无穷技能数计算!AJ177</f>
        <v>0</v>
      </c>
      <c r="AD185" s="164">
        <f ca="1" t="shared" si="328"/>
        <v>0</v>
      </c>
      <c r="AE185" s="168">
        <f ca="1" t="shared" si="285"/>
        <v>0</v>
      </c>
      <c r="AF185" s="168">
        <f ca="1" t="shared" si="329"/>
        <v>0</v>
      </c>
      <c r="AG185">
        <f ca="1" t="shared" si="348"/>
        <v>0.00022389710037829</v>
      </c>
      <c r="AH185">
        <f ca="1" t="shared" si="330"/>
        <v>1</v>
      </c>
      <c r="AI185">
        <f ca="1" t="shared" si="331"/>
        <v>1.00022389710038</v>
      </c>
      <c r="AJ185">
        <f ca="1" t="shared" si="332"/>
        <v>0</v>
      </c>
      <c r="AK185">
        <f ca="1" t="shared" si="314"/>
        <v>0</v>
      </c>
      <c r="AL185">
        <f ca="1" t="shared" si="333"/>
        <v>0</v>
      </c>
      <c r="AM185">
        <f ca="1" t="shared" si="315"/>
        <v>0</v>
      </c>
      <c r="AN185" s="168">
        <f ca="1" t="shared" si="286"/>
        <v>0</v>
      </c>
      <c r="AO185" s="168">
        <f ca="1" t="shared" si="339"/>
        <v>0</v>
      </c>
      <c r="AP185" s="172">
        <f ca="1" t="shared" si="334"/>
        <v>0</v>
      </c>
      <c r="AQ185" s="168">
        <f ca="1" t="shared" si="335"/>
        <v>0.00401583628616287</v>
      </c>
      <c r="AR185">
        <f t="shared" si="336"/>
        <v>1</v>
      </c>
    </row>
    <row r="186" spans="4:44">
      <c r="D186" t="s">
        <v>1825</v>
      </c>
      <c r="E186" s="161" t="s">
        <v>2869</v>
      </c>
      <c r="G186" t="s">
        <v>3110</v>
      </c>
      <c r="H186">
        <f ca="1">INDEX(技能数据库!$B$2:$I$100,MATCH(无穷伤害与收益计算!$E186,技能数据库!$B$2:$B$100,0),MATCH(H$9,技能数据库!$B$2:$I$2,0))</f>
        <v>1544889</v>
      </c>
      <c r="I186">
        <f ca="1">INDEX(技能数据库!$B$2:$I$100,MATCH(无穷伤害与收益计算!$E186,技能数据库!$B$2:$B$100,0),MATCH(I$9,技能数据库!$B$2:$I$2,0))</f>
        <v>0</v>
      </c>
      <c r="J186">
        <f ca="1">INDEX(技能数据库!$B$2:$I$100,MATCH(无穷伤害与收益计算!$E186,技能数据库!$B$2:$B$100,0),MATCH(J$9,技能数据库!$B$2:$I$2,0))</f>
        <v>0</v>
      </c>
      <c r="K186">
        <f ca="1">INDEX(技能数据库!$B$2:$I$100,MATCH(无穷伤害与收益计算!$E186,技能数据库!$B$2:$B$100,0),MATCH(K$9,技能数据库!$B$2:$I$2,0))</f>
        <v>0</v>
      </c>
      <c r="L186">
        <f ca="1" t="shared" si="284"/>
        <v>105847</v>
      </c>
      <c r="M186">
        <f ca="1" t="shared" si="340"/>
        <v>19530.5</v>
      </c>
      <c r="N186">
        <f ca="1" t="shared" si="341"/>
        <v>92028</v>
      </c>
      <c r="O186">
        <f ca="1" t="shared" si="325"/>
        <v>1544889</v>
      </c>
      <c r="P186">
        <f ca="1">IF(G186="恒定伤害",0,(IF(D186="轻剑",$AZ$2,$AZ$3)+IFERROR(INDEX(技能数据库!$T$2:$W$27,MATCH(E186,技能数据库!$T$2:$T$27,0),4),0)+COUNTIF(G186,"*造化2*")*154+COUNTIF(G186,"*造化1*")*102+COUNTIF(G186,"*碧归*")*307)/1024)</f>
        <v>0.176868146929785</v>
      </c>
      <c r="Q186">
        <f ca="1" t="shared" si="337"/>
        <v>0.448284482196154</v>
      </c>
      <c r="R186">
        <f ca="1" t="shared" si="326"/>
        <v>0.21277697966198</v>
      </c>
      <c r="S186">
        <f ca="1" t="shared" si="342"/>
        <v>2072892.36615608</v>
      </c>
      <c r="T186">
        <f t="shared" si="343"/>
        <v>0.8</v>
      </c>
      <c r="U186">
        <f ca="1" t="shared" si="338"/>
        <v>1.7995442148</v>
      </c>
      <c r="V186">
        <f ca="1" t="shared" si="344"/>
        <v>4642523.06526028</v>
      </c>
      <c r="W186">
        <f ca="1">IF(G186="恒定伤害",0,MIN(1,IF(COUNTIF(F186,"*内会*")&gt;0,内会,IF(D186="轻剑",$Y$2,$Y$3)+COUNTIF(G186,"*莺鸣*")*0.2+COUNTIF(G186,"*叠1*")*0.1+COUNTIF(G186,"*叠2*")*0.2+COUNTIF(G186,"*叠3*")*0.3)+IFERROR(INDEX(技能数据库!$T$2:$W$27,MATCH(E186,技能数据库!$T$2:$T$27,0),2),0)+IF((IF(D186="轻剑",$AO$2,$AO$3)+INT(COUNTIF(G186,"*大莺鸣*")*IF(D186="轻剑",$AM$2,$AM$3)*听晓无双率)/无双系数)&gt;0.9,特效裤子会心/会心系数,0)))</f>
        <v>1</v>
      </c>
      <c r="X186">
        <f ca="1">IF(G186="恒定伤害",0,IF(COUNTIF(F186,"*内会*")&gt;0,内会效,IF(D186="轻剑",$AB$2,$AB$3))+IFERROR(INDEX(技能数据库!$T$2:$W$27,MATCH(E186,技能数据库!$T$2:$T$27,0),3)/1024,0))+COUNTIF(G186,"*叠1*")*0.25+COUNTIF(G186,"*叠2*")*0.5+COUNTIF(G186,"*叠3*")*0.75</f>
        <v>3.0717485021</v>
      </c>
      <c r="Y186">
        <f ca="1" t="shared" si="345"/>
        <v>3.0717485021</v>
      </c>
      <c r="Z186">
        <f t="shared" si="327"/>
        <v>0.150390625</v>
      </c>
      <c r="AA186">
        <f ca="1" t="shared" si="346"/>
        <v>0.0205078125</v>
      </c>
      <c r="AB186">
        <f ca="1" t="shared" si="347"/>
        <v>16741770.8340342</v>
      </c>
      <c r="AC186">
        <f ca="1">无穷技能数计算!AJ178</f>
        <v>0</v>
      </c>
      <c r="AD186" s="164">
        <f ca="1" t="shared" si="328"/>
        <v>0</v>
      </c>
      <c r="AE186" s="168">
        <f ca="1" t="shared" si="285"/>
        <v>0</v>
      </c>
      <c r="AF186" s="168">
        <f ca="1" t="shared" si="329"/>
        <v>0</v>
      </c>
      <c r="AG186">
        <f ca="1" t="shared" si="348"/>
        <v>0.000161012264749072</v>
      </c>
      <c r="AH186">
        <f ca="1" t="shared" si="330"/>
        <v>1</v>
      </c>
      <c r="AI186">
        <f ca="1" t="shared" si="331"/>
        <v>1.00016101226475</v>
      </c>
      <c r="AJ186">
        <f ca="1" t="shared" si="332"/>
        <v>0</v>
      </c>
      <c r="AK186">
        <f ca="1" t="shared" si="314"/>
        <v>0</v>
      </c>
      <c r="AL186">
        <f ca="1" t="shared" si="333"/>
        <v>0</v>
      </c>
      <c r="AM186">
        <f ca="1" t="shared" si="315"/>
        <v>0</v>
      </c>
      <c r="AN186" s="168">
        <f ca="1" t="shared" si="286"/>
        <v>0.00653828267501666</v>
      </c>
      <c r="AO186" s="168">
        <f ca="1" t="shared" si="339"/>
        <v>0.00447057613551372</v>
      </c>
      <c r="AP186" s="172">
        <f ca="1" t="shared" si="334"/>
        <v>0</v>
      </c>
      <c r="AQ186" s="168">
        <f ca="1" t="shared" si="335"/>
        <v>0.00401583628616287</v>
      </c>
      <c r="AR186">
        <f t="shared" si="336"/>
        <v>1</v>
      </c>
    </row>
    <row r="187" spans="4:44">
      <c r="D187" t="s">
        <v>1825</v>
      </c>
      <c r="E187" s="161" t="s">
        <v>2871</v>
      </c>
      <c r="F187" t="s">
        <v>2503</v>
      </c>
      <c r="G187" t="s">
        <v>3110</v>
      </c>
      <c r="H187">
        <f ca="1">INDEX(技能数据库!$B$2:$I$100,MATCH(无穷伤害与收益计算!$E187,技能数据库!$B$2:$B$100,0),MATCH(H$9,技能数据库!$B$2:$I$2,0))</f>
        <v>2607915</v>
      </c>
      <c r="I187">
        <f ca="1">INDEX(技能数据库!$B$2:$I$100,MATCH(无穷伤害与收益计算!$E187,技能数据库!$B$2:$B$100,0),MATCH(I$9,技能数据库!$B$2:$I$2,0))</f>
        <v>0</v>
      </c>
      <c r="J187">
        <f ca="1">INDEX(技能数据库!$B$2:$I$100,MATCH(无穷伤害与收益计算!$E187,技能数据库!$B$2:$B$100,0),MATCH(J$9,技能数据库!$B$2:$I$2,0))</f>
        <v>0</v>
      </c>
      <c r="K187">
        <f ca="1">INDEX(技能数据库!$B$2:$I$100,MATCH(无穷伤害与收益计算!$E187,技能数据库!$B$2:$B$100,0),MATCH(K$9,技能数据库!$B$2:$I$2,0))</f>
        <v>0</v>
      </c>
      <c r="L187">
        <f ca="1" t="shared" si="284"/>
        <v>105847</v>
      </c>
      <c r="M187">
        <f ca="1" t="shared" si="340"/>
        <v>19530.5</v>
      </c>
      <c r="N187">
        <f ca="1" t="shared" si="341"/>
        <v>92028</v>
      </c>
      <c r="O187">
        <f ca="1" t="shared" si="325"/>
        <v>2607915</v>
      </c>
      <c r="P187">
        <f ca="1">IF(G187="恒定伤害",0,(IF(D187="轻剑",$AZ$2,$AZ$3)+IFERROR(INDEX(技能数据库!$T$2:$W$27,MATCH(E187,技能数据库!$T$2:$T$27,0),4),0)+COUNTIF(G187,"*造化2*")*154+COUNTIF(G187,"*造化1*")*102+COUNTIF(G187,"*碧归*")*307)/1024)</f>
        <v>0.176868146929785</v>
      </c>
      <c r="Q187">
        <f ca="1" t="shared" si="337"/>
        <v>0.0415122129107408</v>
      </c>
      <c r="R187">
        <f ca="1" t="shared" si="326"/>
        <v>0.21277697966198</v>
      </c>
      <c r="S187">
        <f ca="1" t="shared" si="342"/>
        <v>2516421.53459755</v>
      </c>
      <c r="T187">
        <f t="shared" si="343"/>
        <v>0.8</v>
      </c>
      <c r="U187">
        <f ca="1" t="shared" si="338"/>
        <v>1.7995442148</v>
      </c>
      <c r="V187">
        <f ca="1" t="shared" si="344"/>
        <v>5635866.67934457</v>
      </c>
      <c r="W187">
        <f ca="1">IF(G187="恒定伤害",0,MIN(1,IF(COUNTIF(F187,"*内会*")&gt;0,内会,IF(D187="轻剑",$Y$2,$Y$3)+COUNTIF(G187,"*莺鸣*")*0.2+COUNTIF(G187,"*叠1*")*0.1+COUNTIF(G187,"*叠2*")*0.2+COUNTIF(G187,"*叠3*")*0.3)+IFERROR(INDEX(技能数据库!$T$2:$W$27,MATCH(E187,技能数据库!$T$2:$T$27,0),2),0)+IF((IF(D187="轻剑",$AO$2,$AO$3)+INT(COUNTIF(G187,"*大莺鸣*")*IF(D187="轻剑",$AM$2,$AM$3)*听晓无双率)/无双系数)&gt;0.9,特效裤子会心/会心系数,0)))</f>
        <v>1</v>
      </c>
      <c r="X187">
        <f ca="1">IF(G187="恒定伤害",0,IF(COUNTIF(F187,"*内会*")&gt;0,内会效,IF(D187="轻剑",$AB$2,$AB$3))+IFERROR(INDEX(技能数据库!$T$2:$W$27,MATCH(E187,技能数据库!$T$2:$T$27,0),3)/1024,0))+COUNTIF(G187,"*叠1*")*0.25+COUNTIF(G187,"*叠2*")*0.5+COUNTIF(G187,"*叠3*")*0.75</f>
        <v>3.0717485021</v>
      </c>
      <c r="Y187">
        <f ca="1" t="shared" si="345"/>
        <v>3.0717485021</v>
      </c>
      <c r="Z187">
        <f t="shared" si="327"/>
        <v>0.150390625</v>
      </c>
      <c r="AA187">
        <f ca="1" t="shared" si="346"/>
        <v>0.0205078125</v>
      </c>
      <c r="AB187">
        <f ca="1" t="shared" si="347"/>
        <v>20323946.0677761</v>
      </c>
      <c r="AC187">
        <f ca="1">无穷技能数计算!AJ179</f>
        <v>0</v>
      </c>
      <c r="AD187" s="164">
        <f ca="1" t="shared" si="328"/>
        <v>0</v>
      </c>
      <c r="AE187" s="168">
        <f ca="1" t="shared" si="285"/>
        <v>0</v>
      </c>
      <c r="AF187" s="168">
        <f ca="1" t="shared" si="329"/>
        <v>0</v>
      </c>
      <c r="AG187">
        <f ca="1" t="shared" si="348"/>
        <v>0.00022389710037829</v>
      </c>
      <c r="AH187">
        <f ca="1" t="shared" si="330"/>
        <v>1</v>
      </c>
      <c r="AI187">
        <f ca="1" t="shared" si="331"/>
        <v>1.00022389710038</v>
      </c>
      <c r="AJ187">
        <f ca="1" t="shared" si="332"/>
        <v>0</v>
      </c>
      <c r="AK187">
        <f ca="1" t="shared" si="314"/>
        <v>0</v>
      </c>
      <c r="AL187">
        <f ca="1" t="shared" si="333"/>
        <v>0</v>
      </c>
      <c r="AM187">
        <f ca="1" t="shared" si="315"/>
        <v>0</v>
      </c>
      <c r="AN187" s="168">
        <f ca="1" t="shared" si="286"/>
        <v>0.00653828267501666</v>
      </c>
      <c r="AO187" s="168">
        <f ca="1" t="shared" si="339"/>
        <v>0</v>
      </c>
      <c r="AP187" s="172">
        <f ca="1" t="shared" si="334"/>
        <v>0</v>
      </c>
      <c r="AQ187" s="168">
        <f ca="1" t="shared" si="335"/>
        <v>0.00401583628616287</v>
      </c>
      <c r="AR187">
        <f t="shared" si="336"/>
        <v>1</v>
      </c>
    </row>
    <row r="188" spans="4:44">
      <c r="D188" t="s">
        <v>1825</v>
      </c>
      <c r="E188" s="161" t="s">
        <v>2885</v>
      </c>
      <c r="F188" t="s">
        <v>2503</v>
      </c>
      <c r="G188" t="s">
        <v>3110</v>
      </c>
      <c r="H188">
        <f ca="1">INDEX(技能数据库!$B$2:$I$100,MATCH(无穷伤害与收益计算!$E188,技能数据库!$B$2:$B$100,0),MATCH(H$9,技能数据库!$B$2:$I$2,0))</f>
        <v>2133748</v>
      </c>
      <c r="I188">
        <f ca="1">INDEX(技能数据库!$B$2:$I$100,MATCH(无穷伤害与收益计算!$E188,技能数据库!$B$2:$B$100,0),MATCH(I$9,技能数据库!$B$2:$I$2,0))</f>
        <v>0</v>
      </c>
      <c r="J188">
        <f ca="1">INDEX(技能数据库!$B$2:$I$100,MATCH(无穷伤害与收益计算!$E188,技能数据库!$B$2:$B$100,0),MATCH(J$9,技能数据库!$B$2:$I$2,0))</f>
        <v>0</v>
      </c>
      <c r="K188">
        <f ca="1">INDEX(技能数据库!$B$2:$I$100,MATCH(无穷伤害与收益计算!$E188,技能数据库!$B$2:$B$100,0),MATCH(K$9,技能数据库!$B$2:$I$2,0))</f>
        <v>0</v>
      </c>
      <c r="L188">
        <f ca="1" t="shared" si="284"/>
        <v>105847</v>
      </c>
      <c r="M188">
        <f ca="1" t="shared" si="340"/>
        <v>19530.5</v>
      </c>
      <c r="N188">
        <f ca="1" t="shared" si="341"/>
        <v>92028</v>
      </c>
      <c r="O188">
        <f ca="1" t="shared" si="325"/>
        <v>2133748</v>
      </c>
      <c r="P188">
        <f ca="1">IF(G188="恒定伤害",0,(IF(D188="轻剑",$AZ$2,$AZ$3)+IFERROR(INDEX(技能数据库!$T$2:$W$27,MATCH(E188,技能数据库!$T$2:$T$27,0),4),0)+COUNTIF(G188,"*造化2*")*154+COUNTIF(G188,"*造化1*")*102+COUNTIF(G188,"*碧归*")*307)/1024)</f>
        <v>0.176868146929785</v>
      </c>
      <c r="Q188">
        <f ca="1" t="shared" si="337"/>
        <v>0.0415122129107408</v>
      </c>
      <c r="R188">
        <f ca="1" t="shared" si="326"/>
        <v>0.21277697966198</v>
      </c>
      <c r="S188">
        <f ca="1" t="shared" si="342"/>
        <v>2058889.73245081</v>
      </c>
      <c r="T188">
        <f t="shared" si="343"/>
        <v>0.8</v>
      </c>
      <c r="U188">
        <f ca="1" t="shared" si="338"/>
        <v>1.7995442148</v>
      </c>
      <c r="V188">
        <f ca="1" t="shared" si="344"/>
        <v>4611162.27151503</v>
      </c>
      <c r="W188">
        <f ca="1">IF(G188="恒定伤害",0,MIN(1,IF(COUNTIF(F188,"*内会*")&gt;0,内会,IF(D188="轻剑",$Y$2,$Y$3)+COUNTIF(G188,"*莺鸣*")*0.2+COUNTIF(G188,"*叠1*")*0.1+COUNTIF(G188,"*叠2*")*0.2+COUNTIF(G188,"*叠3*")*0.3)+IFERROR(INDEX(技能数据库!$T$2:$W$27,MATCH(E188,技能数据库!$T$2:$T$27,0),2),0)+IF((IF(D188="轻剑",$AO$2,$AO$3)+INT(COUNTIF(G188,"*大莺鸣*")*IF(D188="轻剑",$AM$2,$AM$3)*听晓无双率)/无双系数)&gt;0.9,特效裤子会心/会心系数,0)))</f>
        <v>1</v>
      </c>
      <c r="X188">
        <f ca="1">IF(G188="恒定伤害",0,IF(COUNTIF(F188,"*内会*")&gt;0,内会效,IF(D188="轻剑",$AB$2,$AB$3))+IFERROR(INDEX(技能数据库!$T$2:$W$27,MATCH(E188,技能数据库!$T$2:$T$27,0),3)/1024,0))+COUNTIF(G188,"*叠1*")*0.25+COUNTIF(G188,"*叠2*")*0.5+COUNTIF(G188,"*叠3*")*0.75</f>
        <v>3.0717485021</v>
      </c>
      <c r="Y188">
        <f ca="1" t="shared" si="345"/>
        <v>3.0717485021</v>
      </c>
      <c r="Z188">
        <f t="shared" si="327"/>
        <v>0.150390625</v>
      </c>
      <c r="AA188">
        <f ca="1" t="shared" si="346"/>
        <v>0.0205078125</v>
      </c>
      <c r="AB188">
        <f ca="1" t="shared" si="347"/>
        <v>16628678.1870671</v>
      </c>
      <c r="AC188">
        <f ca="1">无穷技能数计算!AJ180</f>
        <v>0</v>
      </c>
      <c r="AD188" s="164">
        <f ca="1" t="shared" si="328"/>
        <v>0</v>
      </c>
      <c r="AE188" s="168">
        <f ca="1" t="shared" si="285"/>
        <v>0</v>
      </c>
      <c r="AF188" s="168">
        <f ca="1" t="shared" si="329"/>
        <v>0</v>
      </c>
      <c r="AG188">
        <f ca="1" t="shared" si="348"/>
        <v>0.00022389710037829</v>
      </c>
      <c r="AH188">
        <f ca="1" t="shared" si="330"/>
        <v>1</v>
      </c>
      <c r="AI188">
        <f ca="1" t="shared" si="331"/>
        <v>1.00022389710038</v>
      </c>
      <c r="AJ188">
        <f ca="1" t="shared" si="332"/>
        <v>0</v>
      </c>
      <c r="AK188">
        <f ca="1" t="shared" si="314"/>
        <v>0</v>
      </c>
      <c r="AL188">
        <f ca="1" t="shared" si="333"/>
        <v>0</v>
      </c>
      <c r="AM188">
        <f ca="1" t="shared" si="315"/>
        <v>0</v>
      </c>
      <c r="AN188" s="168">
        <f ca="1" t="shared" si="286"/>
        <v>0.00653828267501666</v>
      </c>
      <c r="AO188" s="168">
        <f ca="1" t="shared" si="339"/>
        <v>0</v>
      </c>
      <c r="AP188" s="172">
        <f ca="1" t="shared" si="334"/>
        <v>0</v>
      </c>
      <c r="AQ188" s="168">
        <f ca="1" t="shared" si="335"/>
        <v>0.00401583628616287</v>
      </c>
      <c r="AR188">
        <f t="shared" si="336"/>
        <v>1</v>
      </c>
    </row>
    <row r="189" spans="4:44">
      <c r="D189" t="s">
        <v>1825</v>
      </c>
      <c r="E189" s="161" t="s">
        <v>2897</v>
      </c>
      <c r="F189" t="s">
        <v>3160</v>
      </c>
      <c r="G189" t="s">
        <v>3110</v>
      </c>
      <c r="H189">
        <f ca="1">INDEX(技能数据库!$B$2:$I$100,MATCH(无穷伤害与收益计算!$E189,技能数据库!$B$2:$B$100,0),MATCH(H$9,技能数据库!$B$2:$I$2,0))</f>
        <v>4978746</v>
      </c>
      <c r="I189">
        <f ca="1">INDEX(技能数据库!$B$2:$I$100,MATCH(无穷伤害与收益计算!$E189,技能数据库!$B$2:$B$100,0),MATCH(I$9,技能数据库!$B$2:$I$2,0))</f>
        <v>0</v>
      </c>
      <c r="J189">
        <f ca="1">INDEX(技能数据库!$B$2:$I$100,MATCH(无穷伤害与收益计算!$E189,技能数据库!$B$2:$B$100,0),MATCH(J$9,技能数据库!$B$2:$I$2,0))</f>
        <v>0</v>
      </c>
      <c r="K189">
        <f ca="1">INDEX(技能数据库!$B$2:$I$100,MATCH(无穷伤害与收益计算!$E189,技能数据库!$B$2:$B$100,0),MATCH(K$9,技能数据库!$B$2:$I$2,0))</f>
        <v>0</v>
      </c>
      <c r="L189">
        <f ca="1" t="shared" si="284"/>
        <v>105847</v>
      </c>
      <c r="M189">
        <f ca="1" t="shared" si="340"/>
        <v>19530.5</v>
      </c>
      <c r="N189">
        <f ca="1" t="shared" si="341"/>
        <v>92028</v>
      </c>
      <c r="O189">
        <f ca="1" t="shared" si="325"/>
        <v>4978746</v>
      </c>
      <c r="P189">
        <f ca="1">IF(G189="恒定伤害",0,(IF(D189="轻剑",$AZ$2,$AZ$3)+IFERROR(INDEX(技能数据库!$T$2:$W$27,MATCH(E189,技能数据库!$T$2:$T$27,0),4),0)+COUNTIF(G189,"*造化2*")*154+COUNTIF(G189,"*造化1*")*102+COUNTIF(G189,"*碧归*")*307)/1024)</f>
        <v>0.176868146929785</v>
      </c>
      <c r="Q189">
        <f ca="1" t="shared" si="337"/>
        <v>0.0415122129107408</v>
      </c>
      <c r="R189">
        <f ca="1" t="shared" si="326"/>
        <v>0.21277697966198</v>
      </c>
      <c r="S189">
        <f ca="1" t="shared" si="342"/>
        <v>4804076.68566323</v>
      </c>
      <c r="T189">
        <f t="shared" si="343"/>
        <v>0.8</v>
      </c>
      <c r="U189">
        <f ca="1" t="shared" si="338"/>
        <v>1.7995442148</v>
      </c>
      <c r="V189">
        <f ca="1" t="shared" si="344"/>
        <v>10759380.0742432</v>
      </c>
      <c r="W189">
        <f ca="1">IF(G189="恒定伤害",0,MIN(1,IF(COUNTIF(F189,"*内会*")&gt;0,内会,IF(D189="轻剑",$Y$2,$Y$3)+COUNTIF(G189,"*莺鸣*")*0.2+COUNTIF(G189,"*叠1*")*0.1+COUNTIF(G189,"*叠2*")*0.2+COUNTIF(G189,"*叠3*")*0.3)+IFERROR(INDEX(技能数据库!$T$2:$W$27,MATCH(E189,技能数据库!$T$2:$T$27,0),2),0)+IF((IF(D189="轻剑",$AO$2,$AO$3)+INT(COUNTIF(G189,"*大莺鸣*")*IF(D189="轻剑",$AM$2,$AM$3)*听晓无双率)/无双系数)&gt;0.9,特效裤子会心/会心系数,0)))</f>
        <v>0.112613819719478</v>
      </c>
      <c r="X189">
        <f ca="1">IF(G189="恒定伤害",0,IF(COUNTIF(F189,"*内会*")&gt;0,内会效,IF(D189="轻剑",$AB$2,$AB$3))+IFERROR(INDEX(技能数据库!$T$2:$W$27,MATCH(E189,技能数据库!$T$2:$T$27,0),3)/1024,0))+COUNTIF(G189,"*叠1*")*0.25+COUNTIF(G189,"*叠2*")*0.5+COUNTIF(G189,"*叠3*")*0.75</f>
        <v>2.68437818487951</v>
      </c>
      <c r="Y189">
        <f ca="1" t="shared" si="345"/>
        <v>1.18968426125144</v>
      </c>
      <c r="Z189">
        <f t="shared" si="327"/>
        <v>0.150390625</v>
      </c>
      <c r="AA189">
        <f ca="1" t="shared" si="346"/>
        <v>0.0205078125</v>
      </c>
      <c r="AB189">
        <f ca="1" t="shared" si="347"/>
        <v>15027288.8031201</v>
      </c>
      <c r="AC189">
        <f ca="1">无穷技能数计算!AJ181</f>
        <v>0</v>
      </c>
      <c r="AD189" s="164">
        <f ca="1" t="shared" si="328"/>
        <v>0</v>
      </c>
      <c r="AE189" s="168">
        <f ca="1" t="shared" si="285"/>
        <v>0</v>
      </c>
      <c r="AF189" s="168">
        <f ca="1" t="shared" si="329"/>
        <v>0</v>
      </c>
      <c r="AG189">
        <f ca="1" t="shared" si="348"/>
        <v>0.00022389710037829</v>
      </c>
      <c r="AH189">
        <f ca="1" t="shared" si="330"/>
        <v>1</v>
      </c>
      <c r="AI189">
        <f ca="1" t="shared" si="331"/>
        <v>1.00022389710038</v>
      </c>
      <c r="AJ189">
        <f ca="1" t="shared" si="332"/>
        <v>0</v>
      </c>
      <c r="AK189">
        <f ca="1" t="shared" si="314"/>
        <v>0</v>
      </c>
      <c r="AL189">
        <f ca="1" t="shared" si="333"/>
        <v>0</v>
      </c>
      <c r="AM189">
        <f ca="1" t="shared" si="315"/>
        <v>0</v>
      </c>
      <c r="AN189" s="168">
        <f ca="1" t="shared" si="286"/>
        <v>0</v>
      </c>
      <c r="AO189" s="168">
        <f ca="1" t="shared" si="339"/>
        <v>0</v>
      </c>
      <c r="AP189" s="172">
        <f ca="1" t="shared" si="334"/>
        <v>0</v>
      </c>
      <c r="AQ189" s="168">
        <f ca="1" t="shared" si="335"/>
        <v>0.00401583628616287</v>
      </c>
      <c r="AR189">
        <f t="shared" si="336"/>
        <v>1</v>
      </c>
    </row>
    <row r="190" spans="4:44">
      <c r="D190" t="s">
        <v>1825</v>
      </c>
      <c r="E190" s="161" t="s">
        <v>2859</v>
      </c>
      <c r="F190" t="s">
        <v>3160</v>
      </c>
      <c r="G190" t="s">
        <v>2750</v>
      </c>
      <c r="H190">
        <f ca="1">INDEX(技能数据库!$B$2:$I$100,MATCH(无穷伤害与收益计算!$E190,技能数据库!$B$2:$B$100,0),MATCH(H$9,技能数据库!$B$2:$I$2,0))</f>
        <v>1955936</v>
      </c>
      <c r="I190">
        <f ca="1">INDEX(技能数据库!$B$2:$I$100,MATCH(无穷伤害与收益计算!$E190,技能数据库!$B$2:$B$100,0),MATCH(I$9,技能数据库!$B$2:$I$2,0))</f>
        <v>0</v>
      </c>
      <c r="J190">
        <f ca="1">INDEX(技能数据库!$B$2:$I$100,MATCH(无穷伤害与收益计算!$E190,技能数据库!$B$2:$B$100,0),MATCH(J$9,技能数据库!$B$2:$I$2,0))</f>
        <v>0</v>
      </c>
      <c r="K190">
        <f ca="1">INDEX(技能数据库!$B$2:$I$100,MATCH(无穷伤害与收益计算!$E190,技能数据库!$B$2:$B$100,0),MATCH(K$9,技能数据库!$B$2:$I$2,0))</f>
        <v>0</v>
      </c>
      <c r="L190">
        <f ca="1" t="shared" si="284"/>
        <v>105847</v>
      </c>
      <c r="M190">
        <f ca="1" t="shared" si="340"/>
        <v>19530.5</v>
      </c>
      <c r="N190">
        <f ca="1" t="shared" si="341"/>
        <v>92028</v>
      </c>
      <c r="O190">
        <f ca="1" t="shared" si="325"/>
        <v>1955936</v>
      </c>
      <c r="P190">
        <f ca="1">IF(G190="恒定伤害",0,(IF(D190="轻剑",$AZ$2,$AZ$3)+IFERROR(INDEX(技能数据库!$T$2:$W$27,MATCH(E190,技能数据库!$T$2:$T$27,0),4),0)+COUNTIF(G190,"*造化2*")*154+COUNTIF(G190,"*造化1*")*102+COUNTIF(G190,"*碧归*")*307)/1024)</f>
        <v>0.176868146929785</v>
      </c>
      <c r="Q190">
        <f ca="1" t="shared" si="337"/>
        <v>0.0415122129107408</v>
      </c>
      <c r="R190">
        <f ca="1" t="shared" si="326"/>
        <v>0.21277697966198</v>
      </c>
      <c r="S190">
        <f ca="1" t="shared" si="342"/>
        <v>1887315.90971891</v>
      </c>
      <c r="T190">
        <f t="shared" si="343"/>
        <v>0.8</v>
      </c>
      <c r="U190">
        <f ca="1" t="shared" si="338"/>
        <v>1.7995442148</v>
      </c>
      <c r="V190">
        <f ca="1" t="shared" si="344"/>
        <v>4226899.46924287</v>
      </c>
      <c r="W190">
        <f ca="1">IF(G190="恒定伤害",0,MIN(1,IF(COUNTIF(F190,"*内会*")&gt;0,内会,IF(D190="轻剑",$Y$2,$Y$3)+COUNTIF(G190,"*莺鸣*")*0.2+COUNTIF(G190,"*叠1*")*0.1+COUNTIF(G190,"*叠2*")*0.2+COUNTIF(G190,"*叠3*")*0.3)+IFERROR(INDEX(技能数据库!$T$2:$W$27,MATCH(E190,技能数据库!$T$2:$T$27,0),2),0)+IF((IF(D190="轻剑",$AO$2,$AO$3)+INT(COUNTIF(G190,"*大莺鸣*")*IF(D190="轻剑",$AM$2,$AM$3)*听晓无双率)/无双系数)&gt;0.9,特效裤子会心/会心系数,0)))</f>
        <v>0.112613819719478</v>
      </c>
      <c r="X190">
        <f ca="1">IF(G190="恒定伤害",0,IF(COUNTIF(F190,"*内会*")&gt;0,内会效,IF(D190="轻剑",$AB$2,$AB$3))+IFERROR(INDEX(技能数据库!$T$2:$W$27,MATCH(E190,技能数据库!$T$2:$T$27,0),3)/1024,0))+COUNTIF(G190,"*叠1*")*0.25+COUNTIF(G190,"*叠2*")*0.5+COUNTIF(G190,"*叠3*")*0.75</f>
        <v>1.93437818487951</v>
      </c>
      <c r="Y190">
        <f ca="1" t="shared" si="345"/>
        <v>1.10522389646183</v>
      </c>
      <c r="Z190">
        <f t="shared" si="327"/>
        <v>0.150390625</v>
      </c>
      <c r="AA190">
        <f ca="1" t="shared" si="346"/>
        <v>0.0205078125</v>
      </c>
      <c r="AB190">
        <f ca="1" t="shared" si="347"/>
        <v>5484459.74127169</v>
      </c>
      <c r="AC190">
        <f ca="1">无穷技能数计算!AJ182</f>
        <v>0</v>
      </c>
      <c r="AD190" s="164">
        <f ca="1" t="shared" si="328"/>
        <v>0</v>
      </c>
      <c r="AE190" s="168">
        <f ca="1" t="shared" si="285"/>
        <v>0</v>
      </c>
      <c r="AF190" s="168">
        <f ca="1" t="shared" si="329"/>
        <v>0</v>
      </c>
      <c r="AG190">
        <f ca="1" t="shared" si="348"/>
        <v>0.00022389710037829</v>
      </c>
      <c r="AH190">
        <f ca="1" t="shared" si="330"/>
        <v>1</v>
      </c>
      <c r="AI190">
        <f ca="1" t="shared" si="331"/>
        <v>1.00022389710038</v>
      </c>
      <c r="AJ190">
        <f ca="1" t="shared" si="332"/>
        <v>0</v>
      </c>
      <c r="AK190">
        <f ca="1" t="shared" si="314"/>
        <v>0</v>
      </c>
      <c r="AL190">
        <f ca="1" t="shared" si="333"/>
        <v>0</v>
      </c>
      <c r="AM190">
        <f ca="1" t="shared" si="315"/>
        <v>0</v>
      </c>
      <c r="AN190" s="168">
        <f ca="1" t="shared" si="286"/>
        <v>0</v>
      </c>
      <c r="AO190" s="168">
        <f ca="1" t="shared" si="339"/>
        <v>0</v>
      </c>
      <c r="AP190" s="172">
        <f ca="1" t="shared" si="334"/>
        <v>0</v>
      </c>
      <c r="AQ190" s="168">
        <f ca="1" t="shared" si="335"/>
        <v>0.00401583628616287</v>
      </c>
      <c r="AR190">
        <f t="shared" si="336"/>
        <v>1</v>
      </c>
    </row>
    <row r="191" spans="4:44">
      <c r="D191" t="s">
        <v>1825</v>
      </c>
      <c r="E191" s="161" t="s">
        <v>2859</v>
      </c>
      <c r="F191" t="s">
        <v>2503</v>
      </c>
      <c r="G191" t="s">
        <v>2750</v>
      </c>
      <c r="H191">
        <f ca="1">INDEX(技能数据库!$B$2:$I$100,MATCH(无穷伤害与收益计算!$E191,技能数据库!$B$2:$B$100,0),MATCH(H$9,技能数据库!$B$2:$I$2,0))</f>
        <v>1955936</v>
      </c>
      <c r="I191">
        <f ca="1">INDEX(技能数据库!$B$2:$I$100,MATCH(无穷伤害与收益计算!$E191,技能数据库!$B$2:$B$100,0),MATCH(I$9,技能数据库!$B$2:$I$2,0))</f>
        <v>0</v>
      </c>
      <c r="J191">
        <f ca="1">INDEX(技能数据库!$B$2:$I$100,MATCH(无穷伤害与收益计算!$E191,技能数据库!$B$2:$B$100,0),MATCH(J$9,技能数据库!$B$2:$I$2,0))</f>
        <v>0</v>
      </c>
      <c r="K191">
        <f ca="1">INDEX(技能数据库!$B$2:$I$100,MATCH(无穷伤害与收益计算!$E191,技能数据库!$B$2:$B$100,0),MATCH(K$9,技能数据库!$B$2:$I$2,0))</f>
        <v>0</v>
      </c>
      <c r="L191">
        <f ca="1" t="shared" si="284"/>
        <v>105847</v>
      </c>
      <c r="M191">
        <f ca="1" t="shared" si="340"/>
        <v>19530.5</v>
      </c>
      <c r="N191">
        <f ca="1" t="shared" si="341"/>
        <v>92028</v>
      </c>
      <c r="O191">
        <f ca="1" t="shared" si="325"/>
        <v>1955936</v>
      </c>
      <c r="P191">
        <f ca="1">IF(G191="恒定伤害",0,(IF(D191="轻剑",$AZ$2,$AZ$3)+IFERROR(INDEX(技能数据库!$T$2:$W$27,MATCH(E191,技能数据库!$T$2:$T$27,0),4),0)+COUNTIF(G191,"*造化2*")*154+COUNTIF(G191,"*造化1*")*102+COUNTIF(G191,"*碧归*")*307)/1024)</f>
        <v>0.176868146929785</v>
      </c>
      <c r="Q191">
        <f ca="1" t="shared" si="337"/>
        <v>0.0415122129107408</v>
      </c>
      <c r="R191">
        <f ca="1" t="shared" si="326"/>
        <v>0.21277697966198</v>
      </c>
      <c r="S191">
        <f ca="1" t="shared" si="342"/>
        <v>1887315.90971891</v>
      </c>
      <c r="T191">
        <f t="shared" si="343"/>
        <v>0.8</v>
      </c>
      <c r="U191">
        <f ca="1" t="shared" si="338"/>
        <v>1.7995442148</v>
      </c>
      <c r="V191">
        <f ca="1" t="shared" si="344"/>
        <v>4226899.46924287</v>
      </c>
      <c r="W191">
        <f ca="1">IF(G191="恒定伤害",0,MIN(1,IF(COUNTIF(F191,"*内会*")&gt;0,内会,IF(D191="轻剑",$Y$2,$Y$3)+COUNTIF(G191,"*莺鸣*")*0.2+COUNTIF(G191,"*叠1*")*0.1+COUNTIF(G191,"*叠2*")*0.2+COUNTIF(G191,"*叠3*")*0.3)+IFERROR(INDEX(技能数据库!$T$2:$W$27,MATCH(E191,技能数据库!$T$2:$T$27,0),2),0)+IF((IF(D191="轻剑",$AO$2,$AO$3)+INT(COUNTIF(G191,"*大莺鸣*")*IF(D191="轻剑",$AM$2,$AM$3)*听晓无双率)/无双系数)&gt;0.9,特效裤子会心/会心系数,0)))</f>
        <v>0.7343</v>
      </c>
      <c r="X191">
        <f ca="1">IF(G191="恒定伤害",0,IF(COUNTIF(F191,"*内会*")&gt;0,内会效,IF(D191="轻剑",$AB$2,$AB$3))+IFERROR(INDEX(技能数据库!$T$2:$W$27,MATCH(E191,技能数据库!$T$2:$T$27,0),3)/1024,0))+COUNTIF(G191,"*叠1*")*0.25+COUNTIF(G191,"*叠2*")*0.5+COUNTIF(G191,"*叠3*")*0.75</f>
        <v>2.3217485021</v>
      </c>
      <c r="Y191">
        <f ca="1" t="shared" si="345"/>
        <v>1.97055992509203</v>
      </c>
      <c r="Z191">
        <f t="shared" si="327"/>
        <v>0.150390625</v>
      </c>
      <c r="AA191">
        <f ca="1" t="shared" si="346"/>
        <v>0.0205078125</v>
      </c>
      <c r="AB191">
        <f ca="1" t="shared" si="347"/>
        <v>9778522.3532794</v>
      </c>
      <c r="AC191" s="171">
        <f ca="1">无穷技能数计算!AJ183</f>
        <v>0</v>
      </c>
      <c r="AD191" s="164">
        <f ca="1" t="shared" si="328"/>
        <v>0</v>
      </c>
      <c r="AE191" s="168">
        <f ca="1" t="shared" si="285"/>
        <v>0</v>
      </c>
      <c r="AF191" s="168">
        <f ca="1" t="shared" si="329"/>
        <v>0</v>
      </c>
      <c r="AG191">
        <f ca="1" t="shared" si="348"/>
        <v>0.00022389710037829</v>
      </c>
      <c r="AH191">
        <f ca="1" t="shared" si="330"/>
        <v>1</v>
      </c>
      <c r="AI191">
        <f ca="1" t="shared" si="331"/>
        <v>1.00022389710038</v>
      </c>
      <c r="AJ191">
        <f ca="1" t="shared" si="332"/>
        <v>0</v>
      </c>
      <c r="AK191">
        <f ca="1" t="shared" si="314"/>
        <v>0</v>
      </c>
      <c r="AL191">
        <f ca="1" t="shared" si="333"/>
        <v>0</v>
      </c>
      <c r="AM191">
        <f ca="1" t="shared" si="315"/>
        <v>0</v>
      </c>
      <c r="AN191" s="168">
        <f ca="1" t="shared" si="286"/>
        <v>0.00748399053993198</v>
      </c>
      <c r="AO191" s="168">
        <f ca="1" t="shared" si="339"/>
        <v>0</v>
      </c>
      <c r="AP191" s="172">
        <f ca="1" t="shared" si="334"/>
        <v>0</v>
      </c>
      <c r="AQ191" s="168">
        <f ca="1" t="shared" si="335"/>
        <v>0.00401583628616287</v>
      </c>
      <c r="AR191">
        <f t="shared" si="336"/>
        <v>1</v>
      </c>
    </row>
    <row r="192" spans="4:44">
      <c r="D192" t="s">
        <v>1825</v>
      </c>
      <c r="E192" s="161" t="s">
        <v>2861</v>
      </c>
      <c r="F192" t="s">
        <v>3160</v>
      </c>
      <c r="G192" t="s">
        <v>2750</v>
      </c>
      <c r="H192">
        <f ca="1">INDEX(技能数据库!$B$2:$I$100,MATCH(无穷伤害与收益计算!$E192,技能数据库!$B$2:$B$100,0),MATCH(H$9,技能数据库!$B$2:$I$2,0))</f>
        <v>1344706</v>
      </c>
      <c r="I192">
        <f ca="1">INDEX(技能数据库!$B$2:$I$100,MATCH(无穷伤害与收益计算!$E192,技能数据库!$B$2:$B$100,0),MATCH(I$9,技能数据库!$B$2:$I$2,0))</f>
        <v>0</v>
      </c>
      <c r="J192">
        <f ca="1">INDEX(技能数据库!$B$2:$I$100,MATCH(无穷伤害与收益计算!$E192,技能数据库!$B$2:$B$100,0),MATCH(J$9,技能数据库!$B$2:$I$2,0))</f>
        <v>0</v>
      </c>
      <c r="K192">
        <f ca="1">INDEX(技能数据库!$B$2:$I$100,MATCH(无穷伤害与收益计算!$E192,技能数据库!$B$2:$B$100,0),MATCH(K$9,技能数据库!$B$2:$I$2,0))</f>
        <v>0</v>
      </c>
      <c r="L192">
        <f ca="1" t="shared" si="284"/>
        <v>105847</v>
      </c>
      <c r="M192">
        <f ca="1" t="shared" ref="M192:M207" si="349">IF(D192="轻剑",$AU$2+$AV$2,$AU$3+$AV$3)/2</f>
        <v>19530.5</v>
      </c>
      <c r="N192">
        <f ca="1" t="shared" ref="N192:N207" si="350">IF(D192="轻剑",$AJ$2,$AJ$3)</f>
        <v>92028</v>
      </c>
      <c r="O192">
        <f ca="1" t="shared" si="325"/>
        <v>1344706</v>
      </c>
      <c r="P192">
        <f ca="1">IF(G192="恒定伤害",0,(IF(D192="轻剑",$AZ$2,$AZ$3)+IFERROR(INDEX(技能数据库!$T$2:$W$27,MATCH(E192,技能数据库!$T$2:$T$27,0),4),0)+COUNTIF(G192,"*造化2*")*154+COUNTIF(G192,"*造化1*")*102+COUNTIF(G192,"*碧归*")*307)/1024)</f>
        <v>0.176868146929785</v>
      </c>
      <c r="Q192">
        <f ca="1" t="shared" si="337"/>
        <v>0.0415122129107408</v>
      </c>
      <c r="R192">
        <f ca="1" t="shared" si="326"/>
        <v>0.21277697966198</v>
      </c>
      <c r="S192">
        <f ca="1" t="shared" ref="S192:S207" si="351">O192*(1+P192)*(1+Q192)*(1-R192)</f>
        <v>1297529.68793175</v>
      </c>
      <c r="T192">
        <f t="shared" ref="T192:T219" si="352">1-($F$6-130)*0.05</f>
        <v>0.8</v>
      </c>
      <c r="U192">
        <f ca="1" t="shared" si="338"/>
        <v>1.7995442148</v>
      </c>
      <c r="V192">
        <f ca="1" t="shared" ref="V192:V207" si="353">S192*T192*(1+U192)</f>
        <v>2905993.38510447</v>
      </c>
      <c r="W192">
        <f ca="1">IF(G192="恒定伤害",0,MIN(1,IF(COUNTIF(F192,"*内会*")&gt;0,内会,IF(D192="轻剑",$Y$2,$Y$3)+COUNTIF(G192,"*莺鸣*")*0.2+COUNTIF(G192,"*叠1*")*0.1+COUNTIF(G192,"*叠2*")*0.2+COUNTIF(G192,"*叠3*")*0.3)+IFERROR(INDEX(技能数据库!$T$2:$W$27,MATCH(E192,技能数据库!$T$2:$T$27,0),2),0)+IF((IF(D192="轻剑",$AO$2,$AO$3)+INT(COUNTIF(G192,"*大莺鸣*")*IF(D192="轻剑",$AM$2,$AM$3)*听晓无双率)/无双系数)&gt;0.9,特效裤子会心/会心系数,0)))</f>
        <v>0.112613819719478</v>
      </c>
      <c r="X192">
        <f ca="1">IF(G192="恒定伤害",0,IF(COUNTIF(F192,"*内会*")&gt;0,内会效,IF(D192="轻剑",$AB$2,$AB$3))+IFERROR(INDEX(技能数据库!$T$2:$W$27,MATCH(E192,技能数据库!$T$2:$T$27,0),3)/1024,0))+COUNTIF(G192,"*叠1*")*0.25+COUNTIF(G192,"*叠2*")*0.5+COUNTIF(G192,"*叠3*")*0.75</f>
        <v>1.93437818487951</v>
      </c>
      <c r="Y192">
        <f ca="1" t="shared" ref="Y192:Y207" si="354">1+W192*(X192-1)</f>
        <v>1.10522389646183</v>
      </c>
      <c r="Z192">
        <f t="shared" si="327"/>
        <v>0.150390625</v>
      </c>
      <c r="AA192">
        <f ca="1" t="shared" ref="AA192:AA207" si="355">IF(D192="轻剑",$BA$2,$BA$3)/1024</f>
        <v>0.0205078125</v>
      </c>
      <c r="AB192">
        <f ca="1" t="shared" ref="AB192:AB207" si="356">V192*Y192*(1+Z192)*(1+AA192)</f>
        <v>3770566.07212429</v>
      </c>
      <c r="AC192">
        <f ca="1">无穷技能数计算!AJ184</f>
        <v>0</v>
      </c>
      <c r="AD192" s="164">
        <f ca="1" t="shared" si="328"/>
        <v>0</v>
      </c>
      <c r="AE192" s="168">
        <f ca="1" t="shared" si="285"/>
        <v>0</v>
      </c>
      <c r="AF192" s="168">
        <f ca="1" t="shared" si="329"/>
        <v>0</v>
      </c>
      <c r="AG192">
        <f ca="1" t="shared" ref="AG192:AG207" si="357">IF(G192="恒定伤害",0,MAX(0,AH192*AI192*IF(AJ192=0,1,AJ192)-1))</f>
        <v>0.00022389710037829</v>
      </c>
      <c r="AH192">
        <f ca="1" t="shared" si="330"/>
        <v>1</v>
      </c>
      <c r="AI192">
        <f ca="1" t="shared" si="331"/>
        <v>1.00022389710038</v>
      </c>
      <c r="AJ192">
        <f ca="1" t="shared" si="332"/>
        <v>0</v>
      </c>
      <c r="AK192">
        <f ca="1" t="shared" si="314"/>
        <v>0</v>
      </c>
      <c r="AL192">
        <f ca="1" t="shared" si="333"/>
        <v>0</v>
      </c>
      <c r="AM192">
        <f ca="1" t="shared" si="315"/>
        <v>0</v>
      </c>
      <c r="AN192" s="168">
        <f ca="1" t="shared" si="286"/>
        <v>0</v>
      </c>
      <c r="AO192" s="168">
        <f ca="1" t="shared" si="339"/>
        <v>0</v>
      </c>
      <c r="AP192" s="172">
        <f ca="1" t="shared" si="334"/>
        <v>0</v>
      </c>
      <c r="AQ192" s="168">
        <f ca="1" t="shared" si="335"/>
        <v>0.00401583628616287</v>
      </c>
      <c r="AR192">
        <f t="shared" si="336"/>
        <v>1</v>
      </c>
    </row>
    <row r="193" spans="4:44">
      <c r="D193" t="s">
        <v>1825</v>
      </c>
      <c r="E193" t="s">
        <v>2902</v>
      </c>
      <c r="G193" t="s">
        <v>3110</v>
      </c>
      <c r="H193">
        <f ca="1">INDEX(技能数据库!$B$2:$I$100,MATCH(无穷伤害与收益计算!$E193,技能数据库!$B$2:$B$100,0),MATCH(H$9,技能数据库!$B$2:$I$2,0))</f>
        <v>317.5</v>
      </c>
      <c r="I193">
        <f ca="1">INDEX(技能数据库!$B$2:$I$100,MATCH(无穷伤害与收益计算!$E193,技能数据库!$B$2:$B$100,0),MATCH(I$9,技能数据库!$B$2:$I$2,0))</f>
        <v>2.25</v>
      </c>
      <c r="J193">
        <f ca="1">INDEX(技能数据库!$B$2:$I$100,MATCH(无穷伤害与收益计算!$E193,技能数据库!$B$2:$B$100,0),MATCH(J$9,技能数据库!$B$2:$I$2,0))</f>
        <v>1</v>
      </c>
      <c r="K193">
        <f ca="1">INDEX(技能数据库!$B$2:$I$100,MATCH(无穷伤害与收益计算!$E193,技能数据库!$B$2:$B$100,0),MATCH(K$9,技能数据库!$B$2:$I$2,0))</f>
        <v>0</v>
      </c>
      <c r="L193">
        <f ca="1" t="shared" si="284"/>
        <v>105847</v>
      </c>
      <c r="M193">
        <f ca="1" t="shared" si="349"/>
        <v>19530.5</v>
      </c>
      <c r="N193">
        <f ca="1" t="shared" si="350"/>
        <v>92028</v>
      </c>
      <c r="O193">
        <f ca="1" t="shared" si="325"/>
        <v>258003.75</v>
      </c>
      <c r="P193">
        <f ca="1">IF(G193="恒定伤害",0,(IF(D193="轻剑",$AZ$2,$AZ$3)+IFERROR(INDEX(技能数据库!$T$2:$W$27,MATCH(E193,技能数据库!$T$2:$T$27,0),4),0)+COUNTIF(G193,"*造化2*")*154+COUNTIF(G193,"*造化1*")*102+COUNTIF(G193,"*碧归*")*307)/1024)</f>
        <v>0.176868146929785</v>
      </c>
      <c r="Q193">
        <f ca="1" t="shared" si="337"/>
        <v>0.448284482196154</v>
      </c>
      <c r="R193">
        <f ca="1" t="shared" si="326"/>
        <v>0.21277697966198</v>
      </c>
      <c r="S193">
        <f ca="1" t="shared" si="351"/>
        <v>346182.802657435</v>
      </c>
      <c r="T193">
        <f t="shared" si="352"/>
        <v>0.8</v>
      </c>
      <c r="U193">
        <f ca="1" t="shared" si="338"/>
        <v>1.7995442148</v>
      </c>
      <c r="V193">
        <f ca="1" t="shared" si="353"/>
        <v>775323.249954299</v>
      </c>
      <c r="W193">
        <f ca="1">IF(G193="恒定伤害",0,MIN(1,IF(COUNTIF(F193,"*内会*")&gt;0,内会,IF(D193="轻剑",$Y$2,$Y$3)+COUNTIF(G193,"*莺鸣*")*0.2+COUNTIF(G193,"*叠1*")*0.1+COUNTIF(G193,"*叠2*")*0.2+COUNTIF(G193,"*叠3*")*0.3)+IFERROR(INDEX(技能数据库!$T$2:$W$27,MATCH(E193,技能数据库!$T$2:$T$27,0),2),0)+IF((IF(D193="轻剑",$AO$2,$AO$3)+INT(COUNTIF(G193,"*大莺鸣*")*IF(D193="轻剑",$AM$2,$AM$3)*听晓无双率)/无双系数)&gt;0.9,特效裤子会心/会心系数,0)))</f>
        <v>1</v>
      </c>
      <c r="X193">
        <f ca="1">IF(G193="恒定伤害",0,IF(COUNTIF(F193,"*内会*")&gt;0,内会效,IF(D193="轻剑",$AB$2,$AB$3))+IFERROR(INDEX(技能数据库!$T$2:$W$27,MATCH(E193,技能数据库!$T$2:$T$27,0),3)/1024,0))+COUNTIF(G193,"*叠1*")*0.25+COUNTIF(G193,"*叠2*")*0.5+COUNTIF(G193,"*叠3*")*0.75</f>
        <v>3.0717485021</v>
      </c>
      <c r="Y193">
        <f ca="1" t="shared" si="354"/>
        <v>3.0717485021</v>
      </c>
      <c r="Z193">
        <f t="shared" si="327"/>
        <v>0.150390625</v>
      </c>
      <c r="AA193">
        <f ca="1" t="shared" si="355"/>
        <v>0.0205078125</v>
      </c>
      <c r="AB193">
        <f ca="1" t="shared" si="356"/>
        <v>2795954.69760058</v>
      </c>
      <c r="AC193">
        <f ca="1">无穷技能数计算!AJ185</f>
        <v>20</v>
      </c>
      <c r="AD193" s="164">
        <f ca="1" t="shared" si="328"/>
        <v>0.0196132853177649</v>
      </c>
      <c r="AE193" s="168">
        <f ca="1" t="shared" si="285"/>
        <v>0.00432551852444005</v>
      </c>
      <c r="AF193" s="168">
        <f ca="1" t="shared" si="329"/>
        <v>0.00231101292132382</v>
      </c>
      <c r="AG193">
        <f ca="1" t="shared" si="357"/>
        <v>0.00311228705919864</v>
      </c>
      <c r="AH193">
        <f ca="1" t="shared" si="330"/>
        <v>1.00295079967951</v>
      </c>
      <c r="AI193">
        <f ca="1" t="shared" si="331"/>
        <v>1.00016101226475</v>
      </c>
      <c r="AJ193">
        <f ca="1" t="shared" si="332"/>
        <v>1</v>
      </c>
      <c r="AK193">
        <f ca="1" t="shared" si="314"/>
        <v>20</v>
      </c>
      <c r="AL193">
        <f ca="1" t="shared" si="333"/>
        <v>0</v>
      </c>
      <c r="AM193">
        <f ca="1" t="shared" si="315"/>
        <v>20</v>
      </c>
      <c r="AN193" s="168">
        <f ca="1" t="shared" si="286"/>
        <v>0.00653828267501666</v>
      </c>
      <c r="AO193" s="168">
        <f ca="1" t="shared" si="339"/>
        <v>0.00447057613551372</v>
      </c>
      <c r="AP193" s="172">
        <f ca="1" t="shared" si="334"/>
        <v>0</v>
      </c>
      <c r="AQ193" s="168">
        <f ca="1" t="shared" si="335"/>
        <v>0.00401583628616287</v>
      </c>
      <c r="AR193">
        <f t="shared" si="336"/>
        <v>1</v>
      </c>
    </row>
    <row r="194" spans="4:44">
      <c r="D194" t="s">
        <v>1825</v>
      </c>
      <c r="E194" t="s">
        <v>2776</v>
      </c>
      <c r="G194" t="s">
        <v>3111</v>
      </c>
      <c r="H194">
        <f ca="1">INDEX(技能数据库!$B$2:$I$100,MATCH(无穷伤害与收益计算!$E194,技能数据库!$B$2:$B$100,0),MATCH(H$9,技能数据库!$B$2:$I$2,0))</f>
        <v>281.5</v>
      </c>
      <c r="I194">
        <f ca="1">INDEX(技能数据库!$B$2:$I$100,MATCH(无穷伤害与收益计算!$E194,技能数据库!$B$2:$B$100,0),MATCH(I$9,技能数据库!$B$2:$I$2,0))</f>
        <v>7.06875</v>
      </c>
      <c r="J194">
        <f ca="1">INDEX(技能数据库!$B$2:$I$100,MATCH(无穷伤害与收益计算!$E194,技能数据库!$B$2:$B$100,0),MATCH(J$9,技能数据库!$B$2:$I$2,0))</f>
        <v>2</v>
      </c>
      <c r="K194">
        <f ca="1">INDEX(技能数据库!$B$2:$I$100,MATCH(无穷伤害与收益计算!$E194,技能数据库!$B$2:$B$100,0),MATCH(K$9,技能数据库!$B$2:$I$2,0))</f>
        <v>0</v>
      </c>
      <c r="L194">
        <f ca="1" t="shared" si="284"/>
        <v>105847</v>
      </c>
      <c r="M194">
        <f ca="1" t="shared" si="349"/>
        <v>19530.5</v>
      </c>
      <c r="N194">
        <f ca="1" t="shared" si="350"/>
        <v>92028</v>
      </c>
      <c r="O194">
        <f ca="1" t="shared" si="325"/>
        <v>787548.48125</v>
      </c>
      <c r="P194">
        <f ca="1">IF(G194="恒定伤害",0,(IF(D194="轻剑",$AZ$2,$AZ$3)+IFERROR(INDEX(技能数据库!$T$2:$W$27,MATCH(E194,技能数据库!$T$2:$T$27,0),4),0)+COUNTIF(G194,"*造化2*")*154+COUNTIF(G194,"*造化1*")*102+COUNTIF(G194,"*碧归*")*307)/1024)</f>
        <v>0.697375959429785</v>
      </c>
      <c r="Q194">
        <f ca="1" t="shared" si="337"/>
        <v>0.448284482196154</v>
      </c>
      <c r="R194">
        <f ca="1" t="shared" si="326"/>
        <v>0.21277697966198</v>
      </c>
      <c r="S194">
        <f ca="1" t="shared" si="351"/>
        <v>1524077.34686146</v>
      </c>
      <c r="T194">
        <f t="shared" si="352"/>
        <v>0.8</v>
      </c>
      <c r="U194">
        <f ca="1" t="shared" si="338"/>
        <v>1.7995442148</v>
      </c>
      <c r="V194">
        <f ca="1" t="shared" si="353"/>
        <v>3413377.53545098</v>
      </c>
      <c r="W194">
        <f ca="1">IF(G194="恒定伤害",0,MIN(1,IF(COUNTIF(F194,"*内会*")&gt;0,内会,IF(D194="轻剑",$Y$2,$Y$3)+COUNTIF(G194,"*莺鸣*")*0.2+COUNTIF(G194,"*叠1*")*0.1+COUNTIF(G194,"*叠2*")*0.2+COUNTIF(G194,"*叠3*")*0.3)+IFERROR(INDEX(技能数据库!$T$2:$W$27,MATCH(E194,技能数据库!$T$2:$T$27,0),2),0)+IF((IF(D194="轻剑",$AO$2,$AO$3)+INT(COUNTIF(G194,"*大莺鸣*")*IF(D194="轻剑",$AM$2,$AM$3)*听晓无双率)/无双系数)&gt;0.9,特效裤子会心/会心系数,0)))</f>
        <v>0.8343</v>
      </c>
      <c r="X194">
        <f ca="1">IF(G194="恒定伤害",0,IF(COUNTIF(F194,"*内会*")&gt;0,内会效,IF(D194="轻剑",$AB$2,$AB$3))+IFERROR(INDEX(技能数据库!$T$2:$W$27,MATCH(E194,技能数据库!$T$2:$T$27,0),3)/1024,0))+COUNTIF(G194,"*叠1*")*0.25+COUNTIF(G194,"*叠2*")*0.5+COUNTIF(G194,"*叠3*")*0.75</f>
        <v>2.5717485021</v>
      </c>
      <c r="Y194">
        <f ca="1" t="shared" si="354"/>
        <v>2.31130977530203</v>
      </c>
      <c r="Z194">
        <f t="shared" si="327"/>
        <v>0.150390625</v>
      </c>
      <c r="AA194">
        <f ca="1" t="shared" si="355"/>
        <v>0.0205078125</v>
      </c>
      <c r="AB194">
        <f ca="1" t="shared" si="356"/>
        <v>9261986.62749167</v>
      </c>
      <c r="AC194">
        <f ca="1">无穷技能数计算!AJ186</f>
        <v>0</v>
      </c>
      <c r="AD194" s="164">
        <f ca="1" t="shared" si="328"/>
        <v>0</v>
      </c>
      <c r="AE194" s="168">
        <f ca="1" t="shared" si="285"/>
        <v>0.00445191640067048</v>
      </c>
      <c r="AF194" s="168">
        <f ca="1" t="shared" si="329"/>
        <v>0.00151419249530805</v>
      </c>
      <c r="AG194">
        <f ca="1" t="shared" si="357"/>
        <v>0.00319852755593519</v>
      </c>
      <c r="AH194">
        <f ca="1" t="shared" si="330"/>
        <v>1.0030370262927</v>
      </c>
      <c r="AI194">
        <f ca="1" t="shared" si="331"/>
        <v>1.00016101226475</v>
      </c>
      <c r="AJ194">
        <f ca="1" t="shared" si="332"/>
        <v>0</v>
      </c>
      <c r="AK194">
        <f ca="1" t="shared" si="314"/>
        <v>0</v>
      </c>
      <c r="AL194">
        <f ca="1" t="shared" si="333"/>
        <v>0</v>
      </c>
      <c r="AM194">
        <f ca="1" t="shared" si="315"/>
        <v>0</v>
      </c>
      <c r="AN194" s="168">
        <f ca="1" t="shared" si="286"/>
        <v>0.00724958982916823</v>
      </c>
      <c r="AO194" s="168">
        <f ca="1" t="shared" si="339"/>
        <v>0.00447057613551372</v>
      </c>
      <c r="AP194" s="172">
        <f ca="1" t="shared" si="334"/>
        <v>0</v>
      </c>
      <c r="AQ194" s="168">
        <f ca="1" t="shared" si="335"/>
        <v>0.00401583628616287</v>
      </c>
      <c r="AR194">
        <f t="shared" si="336"/>
        <v>1</v>
      </c>
    </row>
    <row r="195" spans="4:44">
      <c r="D195" t="s">
        <v>1825</v>
      </c>
      <c r="E195" t="s">
        <v>2776</v>
      </c>
      <c r="G195" t="s">
        <v>3112</v>
      </c>
      <c r="H195">
        <f ca="1">INDEX(技能数据库!$B$2:$I$100,MATCH(无穷伤害与收益计算!$E195,技能数据库!$B$2:$B$100,0),MATCH(H$9,技能数据库!$B$2:$I$2,0))</f>
        <v>281.5</v>
      </c>
      <c r="I195">
        <f ca="1">INDEX(技能数据库!$B$2:$I$100,MATCH(无穷伤害与收益计算!$E195,技能数据库!$B$2:$B$100,0),MATCH(I$9,技能数据库!$B$2:$I$2,0))</f>
        <v>7.06875</v>
      </c>
      <c r="J195">
        <f ca="1">INDEX(技能数据库!$B$2:$I$100,MATCH(无穷伤害与收益计算!$E195,技能数据库!$B$2:$B$100,0),MATCH(J$9,技能数据库!$B$2:$I$2,0))</f>
        <v>2</v>
      </c>
      <c r="K195">
        <f ca="1">INDEX(技能数据库!$B$2:$I$100,MATCH(无穷伤害与收益计算!$E195,技能数据库!$B$2:$B$100,0),MATCH(K$9,技能数据库!$B$2:$I$2,0))</f>
        <v>0</v>
      </c>
      <c r="L195">
        <f ca="1" t="shared" si="284"/>
        <v>105847</v>
      </c>
      <c r="M195">
        <f ca="1" t="shared" si="349"/>
        <v>19530.5</v>
      </c>
      <c r="N195">
        <f ca="1" t="shared" si="350"/>
        <v>92028</v>
      </c>
      <c r="O195">
        <f ca="1" t="shared" si="325"/>
        <v>787548.48125</v>
      </c>
      <c r="P195">
        <f ca="1">IF(G195="恒定伤害",0,(IF(D195="轻剑",$AZ$2,$AZ$3)+IFERROR(INDEX(技能数据库!$T$2:$W$27,MATCH(E195,技能数据库!$T$2:$T$27,0),4),0)+COUNTIF(G195,"*造化2*")*154+COUNTIF(G195,"*造化1*")*102+COUNTIF(G195,"*碧归*")*307)/1024)</f>
        <v>0.697375959429785</v>
      </c>
      <c r="Q195">
        <f ca="1" t="shared" si="337"/>
        <v>0.448284482196154</v>
      </c>
      <c r="R195">
        <f ca="1" t="shared" si="326"/>
        <v>0.21277697966198</v>
      </c>
      <c r="S195">
        <f ca="1" t="shared" si="351"/>
        <v>1524077.34686146</v>
      </c>
      <c r="T195">
        <f t="shared" si="352"/>
        <v>0.8</v>
      </c>
      <c r="U195">
        <f ca="1" t="shared" si="338"/>
        <v>1.7995442148</v>
      </c>
      <c r="V195">
        <f ca="1" t="shared" si="353"/>
        <v>3413377.53545098</v>
      </c>
      <c r="W195">
        <f ca="1">IF(G195="恒定伤害",0,MIN(1,IF(COUNTIF(F195,"*内会*")&gt;0,内会,IF(D195="轻剑",$Y$2,$Y$3)+COUNTIF(G195,"*莺鸣*")*0.2+COUNTIF(G195,"*叠1*")*0.1+COUNTIF(G195,"*叠2*")*0.2+COUNTIF(G195,"*叠3*")*0.3)+IFERROR(INDEX(技能数据库!$T$2:$W$27,MATCH(E195,技能数据库!$T$2:$T$27,0),2),0)+IF((IF(D195="轻剑",$AO$2,$AO$3)+INT(COUNTIF(G195,"*大莺鸣*")*IF(D195="轻剑",$AM$2,$AM$3)*听晓无双率)/无双系数)&gt;0.9,特效裤子会心/会心系数,0)))</f>
        <v>0.9343</v>
      </c>
      <c r="X195">
        <f ca="1">IF(G195="恒定伤害",0,IF(COUNTIF(F195,"*内会*")&gt;0,内会效,IF(D195="轻剑",$AB$2,$AB$3))+IFERROR(INDEX(技能数据库!$T$2:$W$27,MATCH(E195,技能数据库!$T$2:$T$27,0),3)/1024,0))+COUNTIF(G195,"*叠1*")*0.25+COUNTIF(G195,"*叠2*")*0.5+COUNTIF(G195,"*叠3*")*0.75</f>
        <v>2.8217485021</v>
      </c>
      <c r="Y195">
        <f ca="1" t="shared" si="354"/>
        <v>2.70205962551203</v>
      </c>
      <c r="Z195">
        <f t="shared" si="327"/>
        <v>0.150390625</v>
      </c>
      <c r="AA195">
        <f ca="1" t="shared" si="355"/>
        <v>0.0205078125</v>
      </c>
      <c r="AB195">
        <f ca="1" t="shared" si="356"/>
        <v>10827817.363818</v>
      </c>
      <c r="AC195">
        <f ca="1">无穷技能数计算!AJ187</f>
        <v>0</v>
      </c>
      <c r="AD195" s="164">
        <f ca="1" t="shared" si="328"/>
        <v>0</v>
      </c>
      <c r="AE195" s="168">
        <f ca="1" t="shared" si="285"/>
        <v>0.00445191640067048</v>
      </c>
      <c r="AF195" s="168">
        <f ca="1" t="shared" si="329"/>
        <v>0.00151419249530805</v>
      </c>
      <c r="AG195">
        <f ca="1" t="shared" si="357"/>
        <v>0.00319852755593519</v>
      </c>
      <c r="AH195">
        <f ca="1" t="shared" si="330"/>
        <v>1.0030370262927</v>
      </c>
      <c r="AI195">
        <f ca="1" t="shared" si="331"/>
        <v>1.00016101226475</v>
      </c>
      <c r="AJ195">
        <f ca="1" t="shared" si="332"/>
        <v>0</v>
      </c>
      <c r="AK195">
        <f ca="1" t="shared" si="314"/>
        <v>0</v>
      </c>
      <c r="AL195">
        <f ca="1" t="shared" si="333"/>
        <v>0</v>
      </c>
      <c r="AM195">
        <f ca="1" t="shared" si="315"/>
        <v>0</v>
      </c>
      <c r="AN195" s="168">
        <f ca="1" t="shared" si="286"/>
        <v>0.00694449658447471</v>
      </c>
      <c r="AO195" s="168">
        <f ca="1" t="shared" si="339"/>
        <v>0.00447057613551372</v>
      </c>
      <c r="AP195" s="172">
        <f ca="1" t="shared" si="334"/>
        <v>0</v>
      </c>
      <c r="AQ195" s="168">
        <f ca="1" t="shared" si="335"/>
        <v>0.00401583628616287</v>
      </c>
      <c r="AR195">
        <f t="shared" si="336"/>
        <v>1</v>
      </c>
    </row>
    <row r="196" spans="4:44">
      <c r="D196" t="s">
        <v>1825</v>
      </c>
      <c r="E196" t="s">
        <v>2776</v>
      </c>
      <c r="G196" t="s">
        <v>3113</v>
      </c>
      <c r="H196">
        <f ca="1">INDEX(技能数据库!$B$2:$I$100,MATCH(无穷伤害与收益计算!$E196,技能数据库!$B$2:$B$100,0),MATCH(H$9,技能数据库!$B$2:$I$2,0))</f>
        <v>281.5</v>
      </c>
      <c r="I196">
        <f ca="1">INDEX(技能数据库!$B$2:$I$100,MATCH(无穷伤害与收益计算!$E196,技能数据库!$B$2:$B$100,0),MATCH(I$9,技能数据库!$B$2:$I$2,0))</f>
        <v>7.06875</v>
      </c>
      <c r="J196">
        <f ca="1">INDEX(技能数据库!$B$2:$I$100,MATCH(无穷伤害与收益计算!$E196,技能数据库!$B$2:$B$100,0),MATCH(J$9,技能数据库!$B$2:$I$2,0))</f>
        <v>2</v>
      </c>
      <c r="K196">
        <f ca="1">INDEX(技能数据库!$B$2:$I$100,MATCH(无穷伤害与收益计算!$E196,技能数据库!$B$2:$B$100,0),MATCH(K$9,技能数据库!$B$2:$I$2,0))</f>
        <v>0</v>
      </c>
      <c r="L196">
        <f ca="1" t="shared" si="284"/>
        <v>105847</v>
      </c>
      <c r="M196">
        <f ca="1" t="shared" si="349"/>
        <v>19530.5</v>
      </c>
      <c r="N196">
        <f ca="1" t="shared" si="350"/>
        <v>92028</v>
      </c>
      <c r="O196">
        <f ca="1" t="shared" si="325"/>
        <v>787548.48125</v>
      </c>
      <c r="P196">
        <f ca="1">IF(G196="恒定伤害",0,(IF(D196="轻剑",$AZ$2,$AZ$3)+IFERROR(INDEX(技能数据库!$T$2:$W$27,MATCH(E196,技能数据库!$T$2:$T$27,0),4),0)+COUNTIF(G196,"*造化2*")*154+COUNTIF(G196,"*造化1*")*102+COUNTIF(G196,"*碧归*")*307)/1024)</f>
        <v>0.697375959429785</v>
      </c>
      <c r="Q196">
        <f ca="1" t="shared" si="337"/>
        <v>0.448284482196154</v>
      </c>
      <c r="R196">
        <f ca="1" t="shared" si="326"/>
        <v>0.21277697966198</v>
      </c>
      <c r="S196">
        <f ca="1" t="shared" si="351"/>
        <v>1524077.34686146</v>
      </c>
      <c r="T196">
        <f t="shared" si="352"/>
        <v>0.8</v>
      </c>
      <c r="U196">
        <f ca="1" t="shared" si="338"/>
        <v>1.7995442148</v>
      </c>
      <c r="V196">
        <f ca="1" t="shared" si="353"/>
        <v>3413377.53545098</v>
      </c>
      <c r="W196">
        <f ca="1">IF(G196="恒定伤害",0,MIN(1,IF(COUNTIF(F196,"*内会*")&gt;0,内会,IF(D196="轻剑",$Y$2,$Y$3)+COUNTIF(G196,"*莺鸣*")*0.2+COUNTIF(G196,"*叠1*")*0.1+COUNTIF(G196,"*叠2*")*0.2+COUNTIF(G196,"*叠3*")*0.3)+IFERROR(INDEX(技能数据库!$T$2:$W$27,MATCH(E196,技能数据库!$T$2:$T$27,0),2),0)+IF((IF(D196="轻剑",$AO$2,$AO$3)+INT(COUNTIF(G196,"*大莺鸣*")*IF(D196="轻剑",$AM$2,$AM$3)*听晓无双率)/无双系数)&gt;0.9,特效裤子会心/会心系数,0)))</f>
        <v>1</v>
      </c>
      <c r="X196">
        <f ca="1">IF(G196="恒定伤害",0,IF(COUNTIF(F196,"*内会*")&gt;0,内会效,IF(D196="轻剑",$AB$2,$AB$3))+IFERROR(INDEX(技能数据库!$T$2:$W$27,MATCH(E196,技能数据库!$T$2:$T$27,0),3)/1024,0))+COUNTIF(G196,"*叠1*")*0.25+COUNTIF(G196,"*叠2*")*0.5+COUNTIF(G196,"*叠3*")*0.75</f>
        <v>3.0717485021</v>
      </c>
      <c r="Y196">
        <f ca="1" t="shared" si="354"/>
        <v>3.0717485021</v>
      </c>
      <c r="Z196">
        <f t="shared" si="327"/>
        <v>0.150390625</v>
      </c>
      <c r="AA196">
        <f ca="1" t="shared" si="355"/>
        <v>0.0205078125</v>
      </c>
      <c r="AB196">
        <f ca="1" t="shared" si="356"/>
        <v>12309251.5998856</v>
      </c>
      <c r="AC196">
        <f ca="1">无穷技能数计算!AJ188</f>
        <v>14</v>
      </c>
      <c r="AD196" s="164">
        <f ca="1" t="shared" si="328"/>
        <v>0.0604435417779574</v>
      </c>
      <c r="AE196" s="168">
        <f ca="1" t="shared" si="285"/>
        <v>0.00445191640067048</v>
      </c>
      <c r="AF196" s="168">
        <f ca="1" t="shared" si="329"/>
        <v>0.00151419249530805</v>
      </c>
      <c r="AG196">
        <f ca="1" t="shared" si="357"/>
        <v>0.00319852755593519</v>
      </c>
      <c r="AH196">
        <f ca="1" t="shared" si="330"/>
        <v>1.0030370262927</v>
      </c>
      <c r="AI196">
        <f ca="1" t="shared" si="331"/>
        <v>1.00016101226475</v>
      </c>
      <c r="AJ196">
        <f ca="1" t="shared" si="332"/>
        <v>1</v>
      </c>
      <c r="AK196">
        <f ca="1" t="shared" si="314"/>
        <v>14</v>
      </c>
      <c r="AL196">
        <f ca="1" t="shared" si="333"/>
        <v>0</v>
      </c>
      <c r="AM196">
        <f ca="1" t="shared" si="315"/>
        <v>14</v>
      </c>
      <c r="AN196" s="168">
        <f ca="1" t="shared" si="286"/>
        <v>0.00653828267501666</v>
      </c>
      <c r="AO196" s="168">
        <f ca="1" t="shared" si="339"/>
        <v>0.00447057613551372</v>
      </c>
      <c r="AP196" s="172">
        <f ca="1" t="shared" si="334"/>
        <v>0</v>
      </c>
      <c r="AQ196" s="168">
        <f ca="1" t="shared" si="335"/>
        <v>0.00401583628616287</v>
      </c>
      <c r="AR196">
        <f t="shared" si="336"/>
        <v>1</v>
      </c>
    </row>
    <row r="197" spans="4:44">
      <c r="D197" t="s">
        <v>1825</v>
      </c>
      <c r="E197" t="s">
        <v>2780</v>
      </c>
      <c r="G197" t="s">
        <v>3111</v>
      </c>
      <c r="H197">
        <f ca="1">INDEX(技能数据库!$B$2:$I$100,MATCH(无穷伤害与收益计算!$E197,技能数据库!$B$2:$B$100,0),MATCH(H$9,技能数据库!$B$2:$I$2,0))</f>
        <v>252.5</v>
      </c>
      <c r="I197">
        <f ca="1">INDEX(技能数据库!$B$2:$I$100,MATCH(无穷伤害与收益计算!$E197,技能数据库!$B$2:$B$100,0),MATCH(I$9,技能数据库!$B$2:$I$2,0))</f>
        <v>2.11875</v>
      </c>
      <c r="J197">
        <f ca="1">INDEX(技能数据库!$B$2:$I$100,MATCH(无穷伤害与收益计算!$E197,技能数据库!$B$2:$B$100,0),MATCH(J$9,技能数据库!$B$2:$I$2,0))</f>
        <v>2</v>
      </c>
      <c r="K197">
        <f ca="1">INDEX(技能数据库!$B$2:$I$100,MATCH(无穷伤害与收益计算!$E197,技能数据库!$B$2:$B$100,0),MATCH(K$9,技能数据库!$B$2:$I$2,0))</f>
        <v>0</v>
      </c>
      <c r="L197">
        <f ca="1" t="shared" si="284"/>
        <v>105847</v>
      </c>
      <c r="M197">
        <f ca="1" t="shared" si="349"/>
        <v>19530.5</v>
      </c>
      <c r="N197">
        <f ca="1" t="shared" si="350"/>
        <v>92028</v>
      </c>
      <c r="O197">
        <f ca="1" t="shared" si="325"/>
        <v>263576.83125</v>
      </c>
      <c r="P197">
        <f ca="1">IF(G197="恒定伤害",0,(IF(D197="轻剑",$AZ$2,$AZ$3)+IFERROR(INDEX(技能数据库!$T$2:$W$27,MATCH(E197,技能数据库!$T$2:$T$27,0),4),0)+COUNTIF(G197,"*造化2*")*154+COUNTIF(G197,"*造化1*")*102+COUNTIF(G197,"*碧归*")*307)/1024)</f>
        <v>0.697375959429785</v>
      </c>
      <c r="Q197">
        <f ca="1" t="shared" si="337"/>
        <v>0.448284482196154</v>
      </c>
      <c r="R197">
        <f ca="1" t="shared" si="326"/>
        <v>0.21277697966198</v>
      </c>
      <c r="S197">
        <f ca="1" t="shared" si="351"/>
        <v>510078.410700573</v>
      </c>
      <c r="T197">
        <f t="shared" si="352"/>
        <v>0.8</v>
      </c>
      <c r="U197">
        <f ca="1" t="shared" si="338"/>
        <v>1.7995442148</v>
      </c>
      <c r="V197">
        <f ca="1" t="shared" si="353"/>
        <v>1142389.65101693</v>
      </c>
      <c r="W197">
        <f ca="1">IF(G197="恒定伤害",0,MIN(1,IF(COUNTIF(F197,"*内会*")&gt;0,内会,IF(D197="轻剑",$Y$2,$Y$3)+COUNTIF(G197,"*莺鸣*")*0.2+COUNTIF(G197,"*叠1*")*0.1+COUNTIF(G197,"*叠2*")*0.2+COUNTIF(G197,"*叠3*")*0.3)+IFERROR(INDEX(技能数据库!$T$2:$W$27,MATCH(E197,技能数据库!$T$2:$T$27,0),2),0)+IF((IF(D197="轻剑",$AO$2,$AO$3)+INT(COUNTIF(G197,"*大莺鸣*")*IF(D197="轻剑",$AM$2,$AM$3)*听晓无双率)/无双系数)&gt;0.9,特效裤子会心/会心系数,0)))</f>
        <v>0.8343</v>
      </c>
      <c r="X197">
        <f ca="1">IF(G197="恒定伤害",0,IF(COUNTIF(F197,"*内会*")&gt;0,内会效,IF(D197="轻剑",$AB$2,$AB$3))+IFERROR(INDEX(技能数据库!$T$2:$W$27,MATCH(E197,技能数据库!$T$2:$T$27,0),3)/1024,0))+COUNTIF(G197,"*叠1*")*0.25+COUNTIF(G197,"*叠2*")*0.5+COUNTIF(G197,"*叠3*")*0.75</f>
        <v>2.5717485021</v>
      </c>
      <c r="Y197">
        <f ca="1" t="shared" si="354"/>
        <v>2.31130977530203</v>
      </c>
      <c r="Z197">
        <f t="shared" si="327"/>
        <v>0.150390625</v>
      </c>
      <c r="AA197">
        <f ca="1" t="shared" si="355"/>
        <v>0.0205078125</v>
      </c>
      <c r="AB197">
        <f ca="1" t="shared" si="356"/>
        <v>3099802.92575687</v>
      </c>
      <c r="AC197">
        <f ca="1">无穷技能数计算!AJ189</f>
        <v>0</v>
      </c>
      <c r="AD197" s="164">
        <f ca="1" t="shared" si="328"/>
        <v>0</v>
      </c>
      <c r="AE197" s="168">
        <f ca="1" t="shared" si="285"/>
        <v>0.00398707274465726</v>
      </c>
      <c r="AF197" s="168">
        <f ca="1" t="shared" si="329"/>
        <v>0.00452429750499931</v>
      </c>
      <c r="AG197">
        <f ca="1" t="shared" si="357"/>
        <v>0.00288136757670965</v>
      </c>
      <c r="AH197">
        <f ca="1" t="shared" si="330"/>
        <v>1.0027199173719</v>
      </c>
      <c r="AI197">
        <f ca="1" t="shared" si="331"/>
        <v>1.00016101226475</v>
      </c>
      <c r="AJ197">
        <f ca="1" t="shared" si="332"/>
        <v>0</v>
      </c>
      <c r="AK197">
        <f ca="1" t="shared" si="314"/>
        <v>0</v>
      </c>
      <c r="AL197">
        <f ca="1" t="shared" si="333"/>
        <v>0</v>
      </c>
      <c r="AM197">
        <f ca="1" t="shared" si="315"/>
        <v>0</v>
      </c>
      <c r="AN197" s="168">
        <f ca="1" t="shared" si="286"/>
        <v>0.00724958982916823</v>
      </c>
      <c r="AO197" s="168">
        <f ca="1" t="shared" si="339"/>
        <v>0.00447057613551372</v>
      </c>
      <c r="AP197" s="172">
        <f ca="1" t="shared" si="334"/>
        <v>0</v>
      </c>
      <c r="AQ197" s="168">
        <f ca="1" t="shared" si="335"/>
        <v>0.00401583628616287</v>
      </c>
      <c r="AR197">
        <f t="shared" si="336"/>
        <v>1</v>
      </c>
    </row>
    <row r="198" spans="4:44">
      <c r="D198" t="s">
        <v>1825</v>
      </c>
      <c r="E198" t="s">
        <v>2780</v>
      </c>
      <c r="G198" t="s">
        <v>3112</v>
      </c>
      <c r="H198">
        <f ca="1">INDEX(技能数据库!$B$2:$I$100,MATCH(无穷伤害与收益计算!$E198,技能数据库!$B$2:$B$100,0),MATCH(H$9,技能数据库!$B$2:$I$2,0))</f>
        <v>252.5</v>
      </c>
      <c r="I198">
        <f ca="1">INDEX(技能数据库!$B$2:$I$100,MATCH(无穷伤害与收益计算!$E198,技能数据库!$B$2:$B$100,0),MATCH(I$9,技能数据库!$B$2:$I$2,0))</f>
        <v>2.11875</v>
      </c>
      <c r="J198">
        <f ca="1">INDEX(技能数据库!$B$2:$I$100,MATCH(无穷伤害与收益计算!$E198,技能数据库!$B$2:$B$100,0),MATCH(J$9,技能数据库!$B$2:$I$2,0))</f>
        <v>2</v>
      </c>
      <c r="K198">
        <f ca="1">INDEX(技能数据库!$B$2:$I$100,MATCH(无穷伤害与收益计算!$E198,技能数据库!$B$2:$B$100,0),MATCH(K$9,技能数据库!$B$2:$I$2,0))</f>
        <v>0</v>
      </c>
      <c r="L198">
        <f ca="1" t="shared" si="284"/>
        <v>105847</v>
      </c>
      <c r="M198">
        <f ca="1" t="shared" si="349"/>
        <v>19530.5</v>
      </c>
      <c r="N198">
        <f ca="1" t="shared" si="350"/>
        <v>92028</v>
      </c>
      <c r="O198">
        <f ca="1" t="shared" si="325"/>
        <v>263576.83125</v>
      </c>
      <c r="P198">
        <f ca="1">IF(G198="恒定伤害",0,(IF(D198="轻剑",$AZ$2,$AZ$3)+IFERROR(INDEX(技能数据库!$T$2:$W$27,MATCH(E198,技能数据库!$T$2:$T$27,0),4),0)+COUNTIF(G198,"*造化2*")*154+COUNTIF(G198,"*造化1*")*102+COUNTIF(G198,"*碧归*")*307)/1024)</f>
        <v>0.697375959429785</v>
      </c>
      <c r="Q198">
        <f ca="1" t="shared" si="337"/>
        <v>0.448284482196154</v>
      </c>
      <c r="R198">
        <f ca="1" t="shared" si="326"/>
        <v>0.21277697966198</v>
      </c>
      <c r="S198">
        <f ca="1" t="shared" si="351"/>
        <v>510078.410700573</v>
      </c>
      <c r="T198">
        <f t="shared" si="352"/>
        <v>0.8</v>
      </c>
      <c r="U198">
        <f ca="1" t="shared" si="338"/>
        <v>1.7995442148</v>
      </c>
      <c r="V198">
        <f ca="1" t="shared" si="353"/>
        <v>1142389.65101693</v>
      </c>
      <c r="W198">
        <f ca="1">IF(G198="恒定伤害",0,MIN(1,IF(COUNTIF(F198,"*内会*")&gt;0,内会,IF(D198="轻剑",$Y$2,$Y$3)+COUNTIF(G198,"*莺鸣*")*0.2+COUNTIF(G198,"*叠1*")*0.1+COUNTIF(G198,"*叠2*")*0.2+COUNTIF(G198,"*叠3*")*0.3)+IFERROR(INDEX(技能数据库!$T$2:$W$27,MATCH(E198,技能数据库!$T$2:$T$27,0),2),0)+IF((IF(D198="轻剑",$AO$2,$AO$3)+INT(COUNTIF(G198,"*大莺鸣*")*IF(D198="轻剑",$AM$2,$AM$3)*听晓无双率)/无双系数)&gt;0.9,特效裤子会心/会心系数,0)))</f>
        <v>0.9343</v>
      </c>
      <c r="X198">
        <f ca="1">IF(G198="恒定伤害",0,IF(COUNTIF(F198,"*内会*")&gt;0,内会效,IF(D198="轻剑",$AB$2,$AB$3))+IFERROR(INDEX(技能数据库!$T$2:$W$27,MATCH(E198,技能数据库!$T$2:$T$27,0),3)/1024,0))+COUNTIF(G198,"*叠1*")*0.25+COUNTIF(G198,"*叠2*")*0.5+COUNTIF(G198,"*叠3*")*0.75</f>
        <v>2.8217485021</v>
      </c>
      <c r="Y198">
        <f ca="1" t="shared" si="354"/>
        <v>2.70205962551203</v>
      </c>
      <c r="Z198">
        <f t="shared" si="327"/>
        <v>0.150390625</v>
      </c>
      <c r="AA198">
        <f ca="1" t="shared" si="355"/>
        <v>0.0205078125</v>
      </c>
      <c r="AB198">
        <f ca="1" t="shared" si="356"/>
        <v>3623855.36643922</v>
      </c>
      <c r="AC198">
        <f ca="1">无穷技能数计算!AJ190</f>
        <v>0</v>
      </c>
      <c r="AD198" s="164">
        <f ca="1" t="shared" si="328"/>
        <v>0</v>
      </c>
      <c r="AE198" s="168">
        <f ca="1" t="shared" si="285"/>
        <v>0.00398707274465726</v>
      </c>
      <c r="AF198" s="168">
        <f ca="1" t="shared" si="329"/>
        <v>0.00452429750499931</v>
      </c>
      <c r="AG198">
        <f ca="1" t="shared" si="357"/>
        <v>0.00288136757670965</v>
      </c>
      <c r="AH198">
        <f ca="1" t="shared" si="330"/>
        <v>1.0027199173719</v>
      </c>
      <c r="AI198">
        <f ca="1" t="shared" si="331"/>
        <v>1.00016101226475</v>
      </c>
      <c r="AJ198">
        <f ca="1" t="shared" si="332"/>
        <v>0</v>
      </c>
      <c r="AK198">
        <f ca="1" t="shared" si="314"/>
        <v>0</v>
      </c>
      <c r="AL198">
        <f ca="1" t="shared" si="333"/>
        <v>0</v>
      </c>
      <c r="AM198">
        <f ca="1" t="shared" si="315"/>
        <v>0</v>
      </c>
      <c r="AN198" s="168">
        <f ca="1" t="shared" si="286"/>
        <v>0.00694449658447471</v>
      </c>
      <c r="AO198" s="168">
        <f ca="1" t="shared" si="339"/>
        <v>0.00447057613551372</v>
      </c>
      <c r="AP198" s="172">
        <f ca="1" t="shared" si="334"/>
        <v>0</v>
      </c>
      <c r="AQ198" s="168">
        <f ca="1" t="shared" si="335"/>
        <v>0.00401583628616287</v>
      </c>
      <c r="AR198">
        <f t="shared" si="336"/>
        <v>1</v>
      </c>
    </row>
    <row r="199" spans="4:44">
      <c r="D199" t="s">
        <v>1825</v>
      </c>
      <c r="E199" t="s">
        <v>2780</v>
      </c>
      <c r="G199" t="s">
        <v>3113</v>
      </c>
      <c r="H199">
        <f ca="1">INDEX(技能数据库!$B$2:$I$100,MATCH(无穷伤害与收益计算!$E199,技能数据库!$B$2:$B$100,0),MATCH(H$9,技能数据库!$B$2:$I$2,0))</f>
        <v>252.5</v>
      </c>
      <c r="I199">
        <f ca="1">INDEX(技能数据库!$B$2:$I$100,MATCH(无穷伤害与收益计算!$E199,技能数据库!$B$2:$B$100,0),MATCH(I$9,技能数据库!$B$2:$I$2,0))</f>
        <v>2.11875</v>
      </c>
      <c r="J199">
        <f ca="1">INDEX(技能数据库!$B$2:$I$100,MATCH(无穷伤害与收益计算!$E199,技能数据库!$B$2:$B$100,0),MATCH(J$9,技能数据库!$B$2:$I$2,0))</f>
        <v>2</v>
      </c>
      <c r="K199">
        <f ca="1">INDEX(技能数据库!$B$2:$I$100,MATCH(无穷伤害与收益计算!$E199,技能数据库!$B$2:$B$100,0),MATCH(K$9,技能数据库!$B$2:$I$2,0))</f>
        <v>0</v>
      </c>
      <c r="L199">
        <f ca="1" t="shared" si="284"/>
        <v>105847</v>
      </c>
      <c r="M199">
        <f ca="1" t="shared" si="349"/>
        <v>19530.5</v>
      </c>
      <c r="N199">
        <f ca="1" t="shared" si="350"/>
        <v>92028</v>
      </c>
      <c r="O199">
        <f ca="1" t="shared" si="325"/>
        <v>263576.83125</v>
      </c>
      <c r="P199">
        <f ca="1">IF(G199="恒定伤害",0,(IF(D199="轻剑",$AZ$2,$AZ$3)+IFERROR(INDEX(技能数据库!$T$2:$W$27,MATCH(E199,技能数据库!$T$2:$T$27,0),4),0)+COUNTIF(G199,"*造化2*")*154+COUNTIF(G199,"*造化1*")*102+COUNTIF(G199,"*碧归*")*307)/1024)</f>
        <v>0.697375959429785</v>
      </c>
      <c r="Q199">
        <f ca="1" t="shared" si="337"/>
        <v>0.448284482196154</v>
      </c>
      <c r="R199">
        <f ca="1" t="shared" si="326"/>
        <v>0.21277697966198</v>
      </c>
      <c r="S199">
        <f ca="1" t="shared" si="351"/>
        <v>510078.410700573</v>
      </c>
      <c r="T199">
        <f t="shared" si="352"/>
        <v>0.8</v>
      </c>
      <c r="U199">
        <f ca="1" t="shared" si="338"/>
        <v>1.7995442148</v>
      </c>
      <c r="V199">
        <f ca="1" t="shared" si="353"/>
        <v>1142389.65101693</v>
      </c>
      <c r="W199">
        <f ca="1">IF(G199="恒定伤害",0,MIN(1,IF(COUNTIF(F199,"*内会*")&gt;0,内会,IF(D199="轻剑",$Y$2,$Y$3)+COUNTIF(G199,"*莺鸣*")*0.2+COUNTIF(G199,"*叠1*")*0.1+COUNTIF(G199,"*叠2*")*0.2+COUNTIF(G199,"*叠3*")*0.3)+IFERROR(INDEX(技能数据库!$T$2:$W$27,MATCH(E199,技能数据库!$T$2:$T$27,0),2),0)+IF((IF(D199="轻剑",$AO$2,$AO$3)+INT(COUNTIF(G199,"*大莺鸣*")*IF(D199="轻剑",$AM$2,$AM$3)*听晓无双率)/无双系数)&gt;0.9,特效裤子会心/会心系数,0)))</f>
        <v>1</v>
      </c>
      <c r="X199">
        <f ca="1">IF(G199="恒定伤害",0,IF(COUNTIF(F199,"*内会*")&gt;0,内会效,IF(D199="轻剑",$AB$2,$AB$3))+IFERROR(INDEX(技能数据库!$T$2:$W$27,MATCH(E199,技能数据库!$T$2:$T$27,0),3)/1024,0))+COUNTIF(G199,"*叠1*")*0.25+COUNTIF(G199,"*叠2*")*0.5+COUNTIF(G199,"*叠3*")*0.75</f>
        <v>3.0717485021</v>
      </c>
      <c r="Y199">
        <f ca="1" t="shared" si="354"/>
        <v>3.0717485021</v>
      </c>
      <c r="Z199">
        <f t="shared" si="327"/>
        <v>0.150390625</v>
      </c>
      <c r="AA199">
        <f ca="1" t="shared" si="355"/>
        <v>0.0205078125</v>
      </c>
      <c r="AB199">
        <f ca="1" t="shared" si="356"/>
        <v>4119661.97510439</v>
      </c>
      <c r="AC199">
        <f ca="1">无穷技能数计算!AJ191</f>
        <v>14</v>
      </c>
      <c r="AD199" s="164">
        <f ca="1" t="shared" si="328"/>
        <v>0.020229252662737</v>
      </c>
      <c r="AE199" s="168">
        <f ca="1" t="shared" si="285"/>
        <v>0.00398707274465726</v>
      </c>
      <c r="AF199" s="168">
        <f ca="1" t="shared" si="329"/>
        <v>0.00452429750499931</v>
      </c>
      <c r="AG199">
        <f ca="1" t="shared" si="357"/>
        <v>0.00288136757670965</v>
      </c>
      <c r="AH199">
        <f ca="1" t="shared" si="330"/>
        <v>1.0027199173719</v>
      </c>
      <c r="AI199">
        <f ca="1" t="shared" si="331"/>
        <v>1.00016101226475</v>
      </c>
      <c r="AJ199">
        <f ca="1" t="shared" si="332"/>
        <v>1</v>
      </c>
      <c r="AK199">
        <f ca="1" t="shared" si="314"/>
        <v>14</v>
      </c>
      <c r="AL199">
        <f ca="1" t="shared" si="333"/>
        <v>0</v>
      </c>
      <c r="AM199">
        <f ca="1" t="shared" si="315"/>
        <v>14</v>
      </c>
      <c r="AN199" s="168">
        <f ca="1" t="shared" si="286"/>
        <v>0.00653828267501666</v>
      </c>
      <c r="AO199" s="168">
        <f ca="1" t="shared" si="339"/>
        <v>0.00447057613551372</v>
      </c>
      <c r="AP199" s="172">
        <f ca="1" t="shared" si="334"/>
        <v>0</v>
      </c>
      <c r="AQ199" s="168">
        <f ca="1" t="shared" si="335"/>
        <v>0.00401583628616287</v>
      </c>
      <c r="AR199">
        <f t="shared" si="336"/>
        <v>1</v>
      </c>
    </row>
    <row r="200" spans="4:44">
      <c r="D200" t="s">
        <v>1825</v>
      </c>
      <c r="E200" t="s">
        <v>2808</v>
      </c>
      <c r="G200" t="s">
        <v>3111</v>
      </c>
      <c r="H200">
        <f ca="1">INDEX(技能数据库!$B$2:$I$100,MATCH(无穷伤害与收益计算!$E200,技能数据库!$B$2:$B$100,0),MATCH(H$9,技能数据库!$B$2:$I$2,0))</f>
        <v>535</v>
      </c>
      <c r="I200">
        <f ca="1">INDEX(技能数据库!$B$2:$I$100,MATCH(无穷伤害与收益计算!$E200,技能数据库!$B$2:$B$100,0),MATCH(I$9,技能数据库!$B$2:$I$2,0))</f>
        <v>7.06875</v>
      </c>
      <c r="J200">
        <f ca="1">INDEX(技能数据库!$B$2:$I$100,MATCH(无穷伤害与收益计算!$E200,技能数据库!$B$2:$B$100,0),MATCH(J$9,技能数据库!$B$2:$I$2,0))</f>
        <v>2</v>
      </c>
      <c r="K200">
        <f ca="1">INDEX(技能数据库!$B$2:$I$100,MATCH(无穷伤害与收益计算!$E200,技能数据库!$B$2:$B$100,0),MATCH(K$9,技能数据库!$B$2:$I$2,0))</f>
        <v>0</v>
      </c>
      <c r="L200">
        <f ca="1" t="shared" si="284"/>
        <v>105847</v>
      </c>
      <c r="M200">
        <f ca="1" t="shared" si="349"/>
        <v>19530.5</v>
      </c>
      <c r="N200">
        <f ca="1" t="shared" si="350"/>
        <v>92028</v>
      </c>
      <c r="O200">
        <f ca="1" t="shared" si="325"/>
        <v>787801.98125</v>
      </c>
      <c r="P200">
        <f ca="1">IF(G200="恒定伤害",0,(IF(D200="轻剑",$AZ$2,$AZ$3)+IFERROR(INDEX(技能数据库!$T$2:$W$27,MATCH(E200,技能数据库!$T$2:$T$27,0),4),0)+COUNTIF(G200,"*造化2*")*154+COUNTIF(G200,"*造化1*")*102+COUNTIF(G200,"*碧归*")*307)/1024)</f>
        <v>0.697375959429785</v>
      </c>
      <c r="Q200">
        <f ca="1" t="shared" si="337"/>
        <v>0.448284482196154</v>
      </c>
      <c r="R200">
        <f ca="1" t="shared" si="326"/>
        <v>0.21277697966198</v>
      </c>
      <c r="S200">
        <f ca="1" t="shared" si="351"/>
        <v>1524567.92441526</v>
      </c>
      <c r="T200">
        <f t="shared" si="352"/>
        <v>0.8</v>
      </c>
      <c r="U200">
        <f ca="1" t="shared" si="338"/>
        <v>1.7995442148</v>
      </c>
      <c r="V200">
        <f ca="1" t="shared" si="353"/>
        <v>3414476.2502931</v>
      </c>
      <c r="W200">
        <f ca="1">IF(G200="恒定伤害",0,MIN(1,IF(COUNTIF(F200,"*内会*")&gt;0,内会,IF(D200="轻剑",$Y$2,$Y$3)+COUNTIF(G200,"*莺鸣*")*0.2+COUNTIF(G200,"*叠1*")*0.1+COUNTIF(G200,"*叠2*")*0.2+COUNTIF(G200,"*叠3*")*0.3)+IFERROR(INDEX(技能数据库!$T$2:$W$27,MATCH(E200,技能数据库!$T$2:$T$27,0),2),0)+IF((IF(D200="轻剑",$AO$2,$AO$3)+INT(COUNTIF(G200,"*大莺鸣*")*IF(D200="轻剑",$AM$2,$AM$3)*听晓无双率)/无双系数)&gt;0.9,特效裤子会心/会心系数,0)))</f>
        <v>0.8343</v>
      </c>
      <c r="X200">
        <f ca="1">IF(G200="恒定伤害",0,IF(COUNTIF(F200,"*内会*")&gt;0,内会效,IF(D200="轻剑",$AB$2,$AB$3))+IFERROR(INDEX(技能数据库!$T$2:$W$27,MATCH(E200,技能数据库!$T$2:$T$27,0),3)/1024,0))+COUNTIF(G200,"*叠1*")*0.25+COUNTIF(G200,"*叠2*")*0.5+COUNTIF(G200,"*叠3*")*0.75</f>
        <v>2.5717485021</v>
      </c>
      <c r="Y200">
        <f ca="1" t="shared" si="354"/>
        <v>2.31130977530203</v>
      </c>
      <c r="Z200">
        <f t="shared" si="327"/>
        <v>0.150390625</v>
      </c>
      <c r="AA200">
        <f ca="1" t="shared" si="355"/>
        <v>0.0205078125</v>
      </c>
      <c r="AB200">
        <f ca="1" t="shared" si="356"/>
        <v>9264967.92155288</v>
      </c>
      <c r="AC200">
        <f ca="1">无穷技能数计算!AJ192</f>
        <v>0</v>
      </c>
      <c r="AD200" s="164">
        <f ca="1" t="shared" si="328"/>
        <v>0</v>
      </c>
      <c r="AE200" s="168">
        <f ca="1" t="shared" si="285"/>
        <v>0.00445048385691655</v>
      </c>
      <c r="AF200" s="168">
        <f ca="1" t="shared" si="329"/>
        <v>0.00151370525637403</v>
      </c>
      <c r="AG200">
        <f ca="1" t="shared" si="357"/>
        <v>0.0031975501401067</v>
      </c>
      <c r="AH200">
        <f ca="1" t="shared" si="330"/>
        <v>1.00303604903423</v>
      </c>
      <c r="AI200">
        <f ca="1" t="shared" si="331"/>
        <v>1.00016101226475</v>
      </c>
      <c r="AJ200">
        <f ca="1" t="shared" si="332"/>
        <v>0</v>
      </c>
      <c r="AK200">
        <f ca="1" t="shared" si="314"/>
        <v>0</v>
      </c>
      <c r="AL200">
        <f ca="1" t="shared" si="333"/>
        <v>0</v>
      </c>
      <c r="AM200">
        <f ca="1" t="shared" si="315"/>
        <v>0</v>
      </c>
      <c r="AN200" s="168">
        <f ca="1" t="shared" si="286"/>
        <v>0.00724958982916823</v>
      </c>
      <c r="AO200" s="168">
        <f ca="1" t="shared" si="339"/>
        <v>0.00447057613551372</v>
      </c>
      <c r="AP200" s="172">
        <f ca="1" t="shared" si="334"/>
        <v>0</v>
      </c>
      <c r="AQ200" s="168">
        <f ca="1" t="shared" si="335"/>
        <v>0.00401583628616287</v>
      </c>
      <c r="AR200">
        <f t="shared" si="336"/>
        <v>1</v>
      </c>
    </row>
    <row r="201" spans="4:44">
      <c r="D201" t="s">
        <v>1825</v>
      </c>
      <c r="E201" t="s">
        <v>2808</v>
      </c>
      <c r="G201" t="s">
        <v>3112</v>
      </c>
      <c r="H201">
        <f ca="1">INDEX(技能数据库!$B$2:$I$100,MATCH(无穷伤害与收益计算!$E201,技能数据库!$B$2:$B$100,0),MATCH(H$9,技能数据库!$B$2:$I$2,0))</f>
        <v>535</v>
      </c>
      <c r="I201">
        <f ca="1">INDEX(技能数据库!$B$2:$I$100,MATCH(无穷伤害与收益计算!$E201,技能数据库!$B$2:$B$100,0),MATCH(I$9,技能数据库!$B$2:$I$2,0))</f>
        <v>7.06875</v>
      </c>
      <c r="J201">
        <f ca="1">INDEX(技能数据库!$B$2:$I$100,MATCH(无穷伤害与收益计算!$E201,技能数据库!$B$2:$B$100,0),MATCH(J$9,技能数据库!$B$2:$I$2,0))</f>
        <v>2</v>
      </c>
      <c r="K201">
        <f ca="1">INDEX(技能数据库!$B$2:$I$100,MATCH(无穷伤害与收益计算!$E201,技能数据库!$B$2:$B$100,0),MATCH(K$9,技能数据库!$B$2:$I$2,0))</f>
        <v>0</v>
      </c>
      <c r="L201">
        <f ca="1" t="shared" si="284"/>
        <v>105847</v>
      </c>
      <c r="M201">
        <f ca="1" t="shared" si="349"/>
        <v>19530.5</v>
      </c>
      <c r="N201">
        <f ca="1" t="shared" si="350"/>
        <v>92028</v>
      </c>
      <c r="O201">
        <f ca="1" t="shared" si="325"/>
        <v>787801.98125</v>
      </c>
      <c r="P201">
        <f ca="1">IF(G201="恒定伤害",0,(IF(D201="轻剑",$AZ$2,$AZ$3)+IFERROR(INDEX(技能数据库!$T$2:$W$27,MATCH(E201,技能数据库!$T$2:$T$27,0),4),0)+COUNTIF(G201,"*造化2*")*154+COUNTIF(G201,"*造化1*")*102+COUNTIF(G201,"*碧归*")*307)/1024)</f>
        <v>0.697375959429785</v>
      </c>
      <c r="Q201">
        <f ca="1" t="shared" si="337"/>
        <v>0.448284482196154</v>
      </c>
      <c r="R201">
        <f ca="1" t="shared" si="326"/>
        <v>0.21277697966198</v>
      </c>
      <c r="S201">
        <f ca="1" t="shared" si="351"/>
        <v>1524567.92441526</v>
      </c>
      <c r="T201">
        <f t="shared" si="352"/>
        <v>0.8</v>
      </c>
      <c r="U201">
        <f ca="1" t="shared" si="338"/>
        <v>1.7995442148</v>
      </c>
      <c r="V201">
        <f ca="1" t="shared" si="353"/>
        <v>3414476.2502931</v>
      </c>
      <c r="W201">
        <f ca="1">IF(G201="恒定伤害",0,MIN(1,IF(COUNTIF(F201,"*内会*")&gt;0,内会,IF(D201="轻剑",$Y$2,$Y$3)+COUNTIF(G201,"*莺鸣*")*0.2+COUNTIF(G201,"*叠1*")*0.1+COUNTIF(G201,"*叠2*")*0.2+COUNTIF(G201,"*叠3*")*0.3)+IFERROR(INDEX(技能数据库!$T$2:$W$27,MATCH(E201,技能数据库!$T$2:$T$27,0),2),0)+IF((IF(D201="轻剑",$AO$2,$AO$3)+INT(COUNTIF(G201,"*大莺鸣*")*IF(D201="轻剑",$AM$2,$AM$3)*听晓无双率)/无双系数)&gt;0.9,特效裤子会心/会心系数,0)))</f>
        <v>0.9343</v>
      </c>
      <c r="X201">
        <f ca="1">IF(G201="恒定伤害",0,IF(COUNTIF(F201,"*内会*")&gt;0,内会效,IF(D201="轻剑",$AB$2,$AB$3))+IFERROR(INDEX(技能数据库!$T$2:$W$27,MATCH(E201,技能数据库!$T$2:$T$27,0),3)/1024,0))+COUNTIF(G201,"*叠1*")*0.25+COUNTIF(G201,"*叠2*")*0.5+COUNTIF(G201,"*叠3*")*0.75</f>
        <v>2.8217485021</v>
      </c>
      <c r="Y201">
        <f ca="1" t="shared" si="354"/>
        <v>2.70205962551203</v>
      </c>
      <c r="Z201">
        <f t="shared" si="327"/>
        <v>0.150390625</v>
      </c>
      <c r="AA201">
        <f ca="1" t="shared" si="355"/>
        <v>0.0205078125</v>
      </c>
      <c r="AB201">
        <f ca="1" t="shared" si="356"/>
        <v>10831302.6752205</v>
      </c>
      <c r="AC201">
        <f ca="1">无穷技能数计算!AJ193</f>
        <v>0</v>
      </c>
      <c r="AD201" s="164">
        <f ca="1" t="shared" si="328"/>
        <v>0</v>
      </c>
      <c r="AE201" s="168">
        <f ca="1" t="shared" si="285"/>
        <v>0.00445048385691655</v>
      </c>
      <c r="AF201" s="168">
        <f ca="1" t="shared" si="329"/>
        <v>0.00151370525637403</v>
      </c>
      <c r="AG201">
        <f ca="1" t="shared" si="357"/>
        <v>0.0031975501401067</v>
      </c>
      <c r="AH201">
        <f ca="1" t="shared" si="330"/>
        <v>1.00303604903423</v>
      </c>
      <c r="AI201">
        <f ca="1" t="shared" si="331"/>
        <v>1.00016101226475</v>
      </c>
      <c r="AJ201">
        <f ca="1" t="shared" si="332"/>
        <v>0</v>
      </c>
      <c r="AK201">
        <f ca="1" t="shared" si="314"/>
        <v>0</v>
      </c>
      <c r="AL201">
        <f ca="1" t="shared" si="333"/>
        <v>0</v>
      </c>
      <c r="AM201">
        <f ca="1" t="shared" si="315"/>
        <v>0</v>
      </c>
      <c r="AN201" s="168">
        <f ca="1" t="shared" si="286"/>
        <v>0.00694449658447471</v>
      </c>
      <c r="AO201" s="168">
        <f ca="1" t="shared" si="339"/>
        <v>0.00447057613551372</v>
      </c>
      <c r="AP201" s="172">
        <f ca="1" t="shared" si="334"/>
        <v>0</v>
      </c>
      <c r="AQ201" s="168">
        <f ca="1" t="shared" si="335"/>
        <v>0.00401583628616287</v>
      </c>
      <c r="AR201">
        <f t="shared" si="336"/>
        <v>1</v>
      </c>
    </row>
    <row r="202" spans="4:44">
      <c r="D202" t="s">
        <v>1825</v>
      </c>
      <c r="E202" t="s">
        <v>2808</v>
      </c>
      <c r="G202" t="s">
        <v>3113</v>
      </c>
      <c r="H202">
        <f ca="1">INDEX(技能数据库!$B$2:$I$100,MATCH(无穷伤害与收益计算!$E202,技能数据库!$B$2:$B$100,0),MATCH(H$9,技能数据库!$B$2:$I$2,0))</f>
        <v>535</v>
      </c>
      <c r="I202">
        <f ca="1">INDEX(技能数据库!$B$2:$I$100,MATCH(无穷伤害与收益计算!$E202,技能数据库!$B$2:$B$100,0),MATCH(I$9,技能数据库!$B$2:$I$2,0))</f>
        <v>7.06875</v>
      </c>
      <c r="J202">
        <f ca="1">INDEX(技能数据库!$B$2:$I$100,MATCH(无穷伤害与收益计算!$E202,技能数据库!$B$2:$B$100,0),MATCH(J$9,技能数据库!$B$2:$I$2,0))</f>
        <v>2</v>
      </c>
      <c r="K202">
        <f ca="1">INDEX(技能数据库!$B$2:$I$100,MATCH(无穷伤害与收益计算!$E202,技能数据库!$B$2:$B$100,0),MATCH(K$9,技能数据库!$B$2:$I$2,0))</f>
        <v>0</v>
      </c>
      <c r="L202">
        <f ca="1" t="shared" ref="L202:L219" si="358">IF(D202="轻剑",$V$2,$V$3)+INT(残雪*(COUNTIF(G202,"*莺鸣*")+COUNTIF(G202,"*叠1*")+COUNTIF(G202,"*叠2*")*2+COUNTIF(G202,"*叠3*")*3)*IF(D202="轻剑",$U$2,$U$3)*154/1024+COUNTIF(G202,"*雾锁*")*205/1024*IF(D202="轻剑",$U$2,$U$3))</f>
        <v>105847</v>
      </c>
      <c r="M202">
        <f ca="1" t="shared" si="349"/>
        <v>19530.5</v>
      </c>
      <c r="N202">
        <f ca="1" t="shared" si="350"/>
        <v>92028</v>
      </c>
      <c r="O202">
        <f ca="1" t="shared" si="325"/>
        <v>787801.98125</v>
      </c>
      <c r="P202">
        <f ca="1">IF(G202="恒定伤害",0,(IF(D202="轻剑",$AZ$2,$AZ$3)+IFERROR(INDEX(技能数据库!$T$2:$W$27,MATCH(E202,技能数据库!$T$2:$T$27,0),4),0)+COUNTIF(G202,"*造化2*")*154+COUNTIF(G202,"*造化1*")*102+COUNTIF(G202,"*碧归*")*307)/1024)</f>
        <v>0.697375959429785</v>
      </c>
      <c r="Q202">
        <f ca="1" t="shared" si="337"/>
        <v>0.448284482196154</v>
      </c>
      <c r="R202">
        <f ca="1" t="shared" si="326"/>
        <v>0.21277697966198</v>
      </c>
      <c r="S202">
        <f ca="1" t="shared" si="351"/>
        <v>1524567.92441526</v>
      </c>
      <c r="T202">
        <f t="shared" si="352"/>
        <v>0.8</v>
      </c>
      <c r="U202">
        <f ca="1" t="shared" si="338"/>
        <v>1.7995442148</v>
      </c>
      <c r="V202">
        <f ca="1" t="shared" si="353"/>
        <v>3414476.2502931</v>
      </c>
      <c r="W202">
        <f ca="1">IF(G202="恒定伤害",0,MIN(1,IF(COUNTIF(F202,"*内会*")&gt;0,内会,IF(D202="轻剑",$Y$2,$Y$3)+COUNTIF(G202,"*莺鸣*")*0.2+COUNTIF(G202,"*叠1*")*0.1+COUNTIF(G202,"*叠2*")*0.2+COUNTIF(G202,"*叠3*")*0.3)+IFERROR(INDEX(技能数据库!$T$2:$W$27,MATCH(E202,技能数据库!$T$2:$T$27,0),2),0)+IF((IF(D202="轻剑",$AO$2,$AO$3)+INT(COUNTIF(G202,"*大莺鸣*")*IF(D202="轻剑",$AM$2,$AM$3)*听晓无双率)/无双系数)&gt;0.9,特效裤子会心/会心系数,0)))</f>
        <v>1</v>
      </c>
      <c r="X202">
        <f ca="1">IF(G202="恒定伤害",0,IF(COUNTIF(F202,"*内会*")&gt;0,内会效,IF(D202="轻剑",$AB$2,$AB$3))+IFERROR(INDEX(技能数据库!$T$2:$W$27,MATCH(E202,技能数据库!$T$2:$T$27,0),3)/1024,0))+COUNTIF(G202,"*叠1*")*0.25+COUNTIF(G202,"*叠2*")*0.5+COUNTIF(G202,"*叠3*")*0.75</f>
        <v>3.0717485021</v>
      </c>
      <c r="Y202">
        <f ca="1" t="shared" si="354"/>
        <v>3.0717485021</v>
      </c>
      <c r="Z202">
        <f t="shared" si="327"/>
        <v>0.150390625</v>
      </c>
      <c r="AA202">
        <f ca="1" t="shared" si="355"/>
        <v>0.0205078125</v>
      </c>
      <c r="AB202">
        <f ca="1" t="shared" si="356"/>
        <v>12313213.7626665</v>
      </c>
      <c r="AC202">
        <f ca="1">无穷技能数计算!AJ194</f>
        <v>0</v>
      </c>
      <c r="AD202" s="164">
        <f ca="1" t="shared" si="328"/>
        <v>0</v>
      </c>
      <c r="AE202" s="168">
        <f ca="1" t="shared" ref="AE202:AE219" si="359">IFERROR((delta攻击+INT((IF(D202="轻剑",$T$2,$T$3)+残雪*(COUNTIF(G202,"*莺鸣*")+COUNTIF(G202,"*叠1*")+COUNTIF(G202,"*叠2*")*2+COUNTIF(G202,"*叠3*")*3)*153+COUNTIF(G202,"*雾锁*")*205)/1024*delta攻击))*I202/O202,0)</f>
        <v>0.00445048385691655</v>
      </c>
      <c r="AF202" s="168">
        <f ca="1" t="shared" si="329"/>
        <v>0.00151370525637403</v>
      </c>
      <c r="AG202">
        <f ca="1" t="shared" si="357"/>
        <v>0.0031975501401067</v>
      </c>
      <c r="AH202">
        <f ca="1" t="shared" si="330"/>
        <v>1.00303604903423</v>
      </c>
      <c r="AI202">
        <f ca="1" t="shared" si="331"/>
        <v>1.00016101226475</v>
      </c>
      <c r="AJ202">
        <f ca="1" t="shared" si="332"/>
        <v>0</v>
      </c>
      <c r="AK202">
        <f ca="1" t="shared" si="314"/>
        <v>0</v>
      </c>
      <c r="AL202">
        <f ca="1" t="shared" si="333"/>
        <v>0</v>
      </c>
      <c r="AM202">
        <f ca="1" t="shared" si="315"/>
        <v>0</v>
      </c>
      <c r="AN202" s="168">
        <f ca="1" t="shared" ref="AN202:AN215" si="360">IF(OR(COUNTIF(F202,"*内会*")&gt;0,G202="恒定伤害"),0,(1+W202*(MIN(3+COUNTIF(G202,"*叠*")*0.75,X202+delta会效/会效系数)-1))/Y202-1)</f>
        <v>0.00653828267501666</v>
      </c>
      <c r="AO202" s="168">
        <f ca="1" t="shared" si="339"/>
        <v>0.00447057613551372</v>
      </c>
      <c r="AP202" s="172">
        <f ca="1" t="shared" si="334"/>
        <v>0</v>
      </c>
      <c r="AQ202" s="168">
        <f ca="1" t="shared" si="335"/>
        <v>0.00401583628616287</v>
      </c>
      <c r="AR202">
        <f t="shared" si="336"/>
        <v>1</v>
      </c>
    </row>
    <row r="203" spans="4:44">
      <c r="D203" t="s">
        <v>1825</v>
      </c>
      <c r="E203" t="s">
        <v>2768</v>
      </c>
      <c r="G203" t="s">
        <v>3111</v>
      </c>
      <c r="H203">
        <f ca="1">INDEX(技能数据库!$B$2:$I$100,MATCH(无穷伤害与收益计算!$E203,技能数据库!$B$2:$B$100,0),MATCH(H$9,技能数据库!$B$2:$I$2,0))</f>
        <v>210</v>
      </c>
      <c r="I203">
        <f ca="1">INDEX(技能数据库!$B$2:$I$100,MATCH(无穷伤害与收益计算!$E203,技能数据库!$B$2:$B$100,0),MATCH(I$9,技能数据库!$B$2:$I$2,0))</f>
        <v>5.7875</v>
      </c>
      <c r="J203">
        <f ca="1">INDEX(技能数据库!$B$2:$I$100,MATCH(无穷伤害与收益计算!$E203,技能数据库!$B$2:$B$100,0),MATCH(J$9,技能数据库!$B$2:$I$2,0))</f>
        <v>2</v>
      </c>
      <c r="K203">
        <f ca="1">INDEX(技能数据库!$B$2:$I$100,MATCH(无穷伤害与收益计算!$E203,技能数据库!$B$2:$B$100,0),MATCH(K$9,技能数据库!$B$2:$I$2,0))</f>
        <v>0</v>
      </c>
      <c r="L203">
        <f ca="1" t="shared" si="358"/>
        <v>105847</v>
      </c>
      <c r="M203">
        <f ca="1" t="shared" si="349"/>
        <v>19530.5</v>
      </c>
      <c r="N203">
        <f ca="1" t="shared" si="350"/>
        <v>92028</v>
      </c>
      <c r="O203">
        <f ca="1" t="shared" si="325"/>
        <v>651860.5125</v>
      </c>
      <c r="P203">
        <f ca="1">IF(G203="恒定伤害",0,(IF(D203="轻剑",$AZ$2,$AZ$3)+IFERROR(INDEX(技能数据库!$T$2:$W$27,MATCH(E203,技能数据库!$T$2:$T$27,0),4),0)+COUNTIF(G203,"*造化2*")*154+COUNTIF(G203,"*造化1*")*102+COUNTIF(G203,"*碧归*")*307)/1024)</f>
        <v>0.747180646929785</v>
      </c>
      <c r="Q203">
        <f ca="1" t="shared" si="337"/>
        <v>0.448284482196154</v>
      </c>
      <c r="R203">
        <f ca="1" t="shared" si="326"/>
        <v>0.21277697966198</v>
      </c>
      <c r="S203">
        <f ca="1" t="shared" si="351"/>
        <v>1298506.55725373</v>
      </c>
      <c r="T203">
        <f t="shared" si="352"/>
        <v>0.8</v>
      </c>
      <c r="U203">
        <f ca="1" t="shared" si="338"/>
        <v>1.7995442148</v>
      </c>
      <c r="V203">
        <f ca="1" t="shared" si="353"/>
        <v>2908181.21619164</v>
      </c>
      <c r="W203">
        <f ca="1">IF(G203="恒定伤害",0,MIN(1,IF(COUNTIF(F203,"*内会*")&gt;0,内会,IF(D203="轻剑",$Y$2,$Y$3)+COUNTIF(G203,"*莺鸣*")*0.2+COUNTIF(G203,"*叠1*")*0.1+COUNTIF(G203,"*叠2*")*0.2+COUNTIF(G203,"*叠3*")*0.3)+IFERROR(INDEX(技能数据库!$T$2:$W$27,MATCH(E203,技能数据库!$T$2:$T$27,0),2),0)+IF((IF(D203="轻剑",$AO$2,$AO$3)+INT(COUNTIF(G203,"*大莺鸣*")*IF(D203="轻剑",$AM$2,$AM$3)*听晓无双率)/无双系数)&gt;0.9,特效裤子会心/会心系数,0)))</f>
        <v>0.8343</v>
      </c>
      <c r="X203">
        <f ca="1">IF(G203="恒定伤害",0,IF(COUNTIF(F203,"*内会*")&gt;0,内会效,IF(D203="轻剑",$AB$2,$AB$3))+IFERROR(INDEX(技能数据库!$T$2:$W$27,MATCH(E203,技能数据库!$T$2:$T$27,0),3)/1024,0))+COUNTIF(G203,"*叠1*")*0.25+COUNTIF(G203,"*叠2*")*0.5+COUNTIF(G203,"*叠3*")*0.75</f>
        <v>2.5717485021</v>
      </c>
      <c r="Y203">
        <f ca="1" t="shared" si="354"/>
        <v>2.31130977530203</v>
      </c>
      <c r="Z203">
        <f t="shared" si="327"/>
        <v>0.150390625</v>
      </c>
      <c r="AA203">
        <f ca="1" t="shared" si="355"/>
        <v>0.0205078125</v>
      </c>
      <c r="AB203">
        <f ca="1" t="shared" si="356"/>
        <v>7891167.98682237</v>
      </c>
      <c r="AC203">
        <f ca="1">无穷技能数计算!AJ195</f>
        <v>0</v>
      </c>
      <c r="AD203" s="164">
        <f ca="1" t="shared" si="328"/>
        <v>0</v>
      </c>
      <c r="AE203" s="168">
        <f ca="1" t="shared" si="359"/>
        <v>0.00440370285506441</v>
      </c>
      <c r="AF203" s="168">
        <f ca="1" t="shared" si="329"/>
        <v>0.00182937910355477</v>
      </c>
      <c r="AG203">
        <f ca="1" t="shared" si="357"/>
        <v>0.00316563174908713</v>
      </c>
      <c r="AH203">
        <f ca="1" t="shared" si="330"/>
        <v>1.00300413578163</v>
      </c>
      <c r="AI203">
        <f ca="1" t="shared" si="331"/>
        <v>1.00016101226475</v>
      </c>
      <c r="AJ203">
        <f ca="1" t="shared" si="332"/>
        <v>0</v>
      </c>
      <c r="AK203">
        <f ca="1" t="shared" si="314"/>
        <v>0</v>
      </c>
      <c r="AL203">
        <f ca="1" t="shared" si="333"/>
        <v>0</v>
      </c>
      <c r="AM203">
        <f ca="1" t="shared" si="315"/>
        <v>0</v>
      </c>
      <c r="AN203" s="168">
        <f ca="1" t="shared" si="360"/>
        <v>0.00724958982916823</v>
      </c>
      <c r="AO203" s="168">
        <f ca="1" t="shared" si="339"/>
        <v>0.00447057613551372</v>
      </c>
      <c r="AP203" s="172">
        <f ca="1" t="shared" si="334"/>
        <v>0</v>
      </c>
      <c r="AQ203" s="168">
        <f ca="1" t="shared" si="335"/>
        <v>0.00401583628616287</v>
      </c>
      <c r="AR203">
        <f t="shared" si="336"/>
        <v>1</v>
      </c>
    </row>
    <row r="204" spans="4:44">
      <c r="D204" t="s">
        <v>1825</v>
      </c>
      <c r="E204" t="s">
        <v>2768</v>
      </c>
      <c r="G204" t="s">
        <v>3112</v>
      </c>
      <c r="H204">
        <f ca="1">INDEX(技能数据库!$B$2:$I$100,MATCH(无穷伤害与收益计算!$E204,技能数据库!$B$2:$B$100,0),MATCH(H$9,技能数据库!$B$2:$I$2,0))</f>
        <v>210</v>
      </c>
      <c r="I204">
        <f ca="1">INDEX(技能数据库!$B$2:$I$100,MATCH(无穷伤害与收益计算!$E204,技能数据库!$B$2:$B$100,0),MATCH(I$9,技能数据库!$B$2:$I$2,0))</f>
        <v>5.7875</v>
      </c>
      <c r="J204">
        <f ca="1">INDEX(技能数据库!$B$2:$I$100,MATCH(无穷伤害与收益计算!$E204,技能数据库!$B$2:$B$100,0),MATCH(J$9,技能数据库!$B$2:$I$2,0))</f>
        <v>2</v>
      </c>
      <c r="K204">
        <f ca="1">INDEX(技能数据库!$B$2:$I$100,MATCH(无穷伤害与收益计算!$E204,技能数据库!$B$2:$B$100,0),MATCH(K$9,技能数据库!$B$2:$I$2,0))</f>
        <v>0</v>
      </c>
      <c r="L204">
        <f ca="1" t="shared" si="358"/>
        <v>105847</v>
      </c>
      <c r="M204">
        <f ca="1" t="shared" si="349"/>
        <v>19530.5</v>
      </c>
      <c r="N204">
        <f ca="1" t="shared" si="350"/>
        <v>92028</v>
      </c>
      <c r="O204">
        <f ca="1" t="shared" si="325"/>
        <v>651860.5125</v>
      </c>
      <c r="P204">
        <f ca="1">IF(G204="恒定伤害",0,(IF(D204="轻剑",$AZ$2,$AZ$3)+IFERROR(INDEX(技能数据库!$T$2:$W$27,MATCH(E204,技能数据库!$T$2:$T$27,0),4),0)+COUNTIF(G204,"*造化2*")*154+COUNTIF(G204,"*造化1*")*102+COUNTIF(G204,"*碧归*")*307)/1024)</f>
        <v>0.747180646929785</v>
      </c>
      <c r="Q204">
        <f ca="1" t="shared" si="337"/>
        <v>0.448284482196154</v>
      </c>
      <c r="R204">
        <f ca="1" t="shared" si="326"/>
        <v>0.21277697966198</v>
      </c>
      <c r="S204">
        <f ca="1" t="shared" si="351"/>
        <v>1298506.55725373</v>
      </c>
      <c r="T204">
        <f t="shared" si="352"/>
        <v>0.8</v>
      </c>
      <c r="U204">
        <f ca="1" t="shared" si="338"/>
        <v>1.7995442148</v>
      </c>
      <c r="V204">
        <f ca="1" t="shared" si="353"/>
        <v>2908181.21619164</v>
      </c>
      <c r="W204">
        <f ca="1">IF(G204="恒定伤害",0,MIN(1,IF(COUNTIF(F204,"*内会*")&gt;0,内会,IF(D204="轻剑",$Y$2,$Y$3)+COUNTIF(G204,"*莺鸣*")*0.2+COUNTIF(G204,"*叠1*")*0.1+COUNTIF(G204,"*叠2*")*0.2+COUNTIF(G204,"*叠3*")*0.3)+IFERROR(INDEX(技能数据库!$T$2:$W$27,MATCH(E204,技能数据库!$T$2:$T$27,0),2),0)+IF((IF(D204="轻剑",$AO$2,$AO$3)+INT(COUNTIF(G204,"*大莺鸣*")*IF(D204="轻剑",$AM$2,$AM$3)*听晓无双率)/无双系数)&gt;0.9,特效裤子会心/会心系数,0)))</f>
        <v>0.9343</v>
      </c>
      <c r="X204">
        <f ca="1">IF(G204="恒定伤害",0,IF(COUNTIF(F204,"*内会*")&gt;0,内会效,IF(D204="轻剑",$AB$2,$AB$3))+IFERROR(INDEX(技能数据库!$T$2:$W$27,MATCH(E204,技能数据库!$T$2:$T$27,0),3)/1024,0))+COUNTIF(G204,"*叠1*")*0.25+COUNTIF(G204,"*叠2*")*0.5+COUNTIF(G204,"*叠3*")*0.75</f>
        <v>2.8217485021</v>
      </c>
      <c r="Y204">
        <f ca="1" t="shared" si="354"/>
        <v>2.70205962551203</v>
      </c>
      <c r="Z204">
        <f t="shared" si="327"/>
        <v>0.150390625</v>
      </c>
      <c r="AA204">
        <f ca="1" t="shared" si="355"/>
        <v>0.0205078125</v>
      </c>
      <c r="AB204">
        <f ca="1" t="shared" si="356"/>
        <v>9225248.2307524</v>
      </c>
      <c r="AC204">
        <f ca="1">无穷技能数计算!AJ196</f>
        <v>0</v>
      </c>
      <c r="AD204" s="164">
        <f ca="1" t="shared" si="328"/>
        <v>0</v>
      </c>
      <c r="AE204" s="168">
        <f ca="1" t="shared" si="359"/>
        <v>0.00440370285506441</v>
      </c>
      <c r="AF204" s="168">
        <f ca="1" t="shared" si="329"/>
        <v>0.00182937910355477</v>
      </c>
      <c r="AG204">
        <f ca="1" t="shared" si="357"/>
        <v>0.00316563174908713</v>
      </c>
      <c r="AH204">
        <f ca="1" t="shared" si="330"/>
        <v>1.00300413578163</v>
      </c>
      <c r="AI204">
        <f ca="1" t="shared" si="331"/>
        <v>1.00016101226475</v>
      </c>
      <c r="AJ204">
        <f ca="1" t="shared" si="332"/>
        <v>0</v>
      </c>
      <c r="AK204">
        <f ca="1" t="shared" si="314"/>
        <v>0</v>
      </c>
      <c r="AL204">
        <f ca="1" t="shared" si="333"/>
        <v>0</v>
      </c>
      <c r="AM204">
        <f ca="1" t="shared" si="315"/>
        <v>0</v>
      </c>
      <c r="AN204" s="168">
        <f ca="1" t="shared" si="360"/>
        <v>0.00694449658447471</v>
      </c>
      <c r="AO204" s="168">
        <f ca="1" t="shared" si="339"/>
        <v>0.00447057613551372</v>
      </c>
      <c r="AP204" s="172">
        <f ca="1" t="shared" si="334"/>
        <v>0</v>
      </c>
      <c r="AQ204" s="168">
        <f ca="1" t="shared" si="335"/>
        <v>0.00401583628616287</v>
      </c>
      <c r="AR204">
        <f t="shared" si="336"/>
        <v>1</v>
      </c>
    </row>
    <row r="205" spans="4:44">
      <c r="D205" t="s">
        <v>1825</v>
      </c>
      <c r="E205" t="s">
        <v>2768</v>
      </c>
      <c r="G205" t="s">
        <v>3113</v>
      </c>
      <c r="H205">
        <f ca="1">INDEX(技能数据库!$B$2:$I$100,MATCH(无穷伤害与收益计算!$E205,技能数据库!$B$2:$B$100,0),MATCH(H$9,技能数据库!$B$2:$I$2,0))</f>
        <v>210</v>
      </c>
      <c r="I205">
        <f ca="1">INDEX(技能数据库!$B$2:$I$100,MATCH(无穷伤害与收益计算!$E205,技能数据库!$B$2:$B$100,0),MATCH(I$9,技能数据库!$B$2:$I$2,0))</f>
        <v>5.7875</v>
      </c>
      <c r="J205">
        <f ca="1">INDEX(技能数据库!$B$2:$I$100,MATCH(无穷伤害与收益计算!$E205,技能数据库!$B$2:$B$100,0),MATCH(J$9,技能数据库!$B$2:$I$2,0))</f>
        <v>2</v>
      </c>
      <c r="K205">
        <f ca="1">INDEX(技能数据库!$B$2:$I$100,MATCH(无穷伤害与收益计算!$E205,技能数据库!$B$2:$B$100,0),MATCH(K$9,技能数据库!$B$2:$I$2,0))</f>
        <v>0</v>
      </c>
      <c r="L205">
        <f ca="1" t="shared" si="358"/>
        <v>105847</v>
      </c>
      <c r="M205">
        <f ca="1" t="shared" si="349"/>
        <v>19530.5</v>
      </c>
      <c r="N205">
        <f ca="1" t="shared" si="350"/>
        <v>92028</v>
      </c>
      <c r="O205">
        <f ca="1" t="shared" si="325"/>
        <v>651860.5125</v>
      </c>
      <c r="P205">
        <f ca="1">IF(G205="恒定伤害",0,(IF(D205="轻剑",$AZ$2,$AZ$3)+IFERROR(INDEX(技能数据库!$T$2:$W$27,MATCH(E205,技能数据库!$T$2:$T$27,0),4),0)+COUNTIF(G205,"*造化2*")*154+COUNTIF(G205,"*造化1*")*102+COUNTIF(G205,"*碧归*")*307)/1024)</f>
        <v>0.747180646929785</v>
      </c>
      <c r="Q205">
        <f ca="1" t="shared" si="337"/>
        <v>0.448284482196154</v>
      </c>
      <c r="R205">
        <f ca="1" t="shared" si="326"/>
        <v>0.21277697966198</v>
      </c>
      <c r="S205">
        <f ca="1" t="shared" si="351"/>
        <v>1298506.55725373</v>
      </c>
      <c r="T205">
        <f t="shared" si="352"/>
        <v>0.8</v>
      </c>
      <c r="U205">
        <f ca="1" t="shared" si="338"/>
        <v>1.7995442148</v>
      </c>
      <c r="V205">
        <f ca="1" t="shared" si="353"/>
        <v>2908181.21619164</v>
      </c>
      <c r="W205">
        <f ca="1">IF(G205="恒定伤害",0,MIN(1,IF(COUNTIF(F205,"*内会*")&gt;0,内会,IF(D205="轻剑",$Y$2,$Y$3)+COUNTIF(G205,"*莺鸣*")*0.2+COUNTIF(G205,"*叠1*")*0.1+COUNTIF(G205,"*叠2*")*0.2+COUNTIF(G205,"*叠3*")*0.3)+IFERROR(INDEX(技能数据库!$T$2:$W$27,MATCH(E205,技能数据库!$T$2:$T$27,0),2),0)+IF((IF(D205="轻剑",$AO$2,$AO$3)+INT(COUNTIF(G205,"*大莺鸣*")*IF(D205="轻剑",$AM$2,$AM$3)*听晓无双率)/无双系数)&gt;0.9,特效裤子会心/会心系数,0)))</f>
        <v>1</v>
      </c>
      <c r="X205">
        <f ca="1">IF(G205="恒定伤害",0,IF(COUNTIF(F205,"*内会*")&gt;0,内会效,IF(D205="轻剑",$AB$2,$AB$3))+IFERROR(INDEX(技能数据库!$T$2:$W$27,MATCH(E205,技能数据库!$T$2:$T$27,0),3)/1024,0))+COUNTIF(G205,"*叠1*")*0.25+COUNTIF(G205,"*叠2*")*0.5+COUNTIF(G205,"*叠3*")*0.75</f>
        <v>3.0717485021</v>
      </c>
      <c r="Y205">
        <f ca="1" t="shared" si="354"/>
        <v>3.0717485021</v>
      </c>
      <c r="Z205">
        <f t="shared" si="327"/>
        <v>0.150390625</v>
      </c>
      <c r="AA205">
        <f ca="1" t="shared" si="355"/>
        <v>0.0205078125</v>
      </c>
      <c r="AB205">
        <f ca="1" t="shared" si="356"/>
        <v>10487423.0630438</v>
      </c>
      <c r="AC205">
        <f ca="1">无穷技能数计算!AJ197</f>
        <v>0</v>
      </c>
      <c r="AD205" s="164">
        <f ca="1" t="shared" si="328"/>
        <v>0</v>
      </c>
      <c r="AE205" s="168">
        <f ca="1" t="shared" si="359"/>
        <v>0.00440370285506441</v>
      </c>
      <c r="AF205" s="168">
        <f ca="1" t="shared" si="329"/>
        <v>0.00182937910355477</v>
      </c>
      <c r="AG205">
        <f ca="1" t="shared" si="357"/>
        <v>0.00316563174908713</v>
      </c>
      <c r="AH205">
        <f ca="1" t="shared" si="330"/>
        <v>1.00300413578163</v>
      </c>
      <c r="AI205">
        <f ca="1" t="shared" si="331"/>
        <v>1.00016101226475</v>
      </c>
      <c r="AJ205">
        <f ca="1" t="shared" si="332"/>
        <v>0</v>
      </c>
      <c r="AK205">
        <f ca="1" t="shared" si="314"/>
        <v>0</v>
      </c>
      <c r="AL205">
        <f ca="1" t="shared" si="333"/>
        <v>0</v>
      </c>
      <c r="AM205">
        <f ca="1" t="shared" si="315"/>
        <v>0</v>
      </c>
      <c r="AN205" s="168">
        <f ca="1" t="shared" si="360"/>
        <v>0.00653828267501666</v>
      </c>
      <c r="AO205" s="168">
        <f ca="1" t="shared" si="339"/>
        <v>0.00447057613551372</v>
      </c>
      <c r="AP205" s="172">
        <f ca="1" t="shared" si="334"/>
        <v>0</v>
      </c>
      <c r="AQ205" s="168">
        <f ca="1" t="shared" si="335"/>
        <v>0.00401583628616287</v>
      </c>
      <c r="AR205">
        <f t="shared" si="336"/>
        <v>1</v>
      </c>
    </row>
    <row r="206" spans="4:44">
      <c r="D206" t="s">
        <v>1825</v>
      </c>
      <c r="E206" t="s">
        <v>2794</v>
      </c>
      <c r="G206" t="s">
        <v>3114</v>
      </c>
      <c r="H206">
        <f ca="1">INDEX(技能数据库!$B$2:$I$100,MATCH(无穷伤害与收益计算!$E206,技能数据库!$B$2:$B$100,0),MATCH(H$9,技能数据库!$B$2:$I$2,0))</f>
        <v>231.5</v>
      </c>
      <c r="I206">
        <f ca="1">INDEX(技能数据库!$B$2:$I$100,MATCH(无穷伤害与收益计算!$E206,技能数据库!$B$2:$B$100,0),MATCH(I$9,技能数据库!$B$2:$I$2,0))</f>
        <v>2.71875</v>
      </c>
      <c r="J206">
        <f ca="1">INDEX(技能数据库!$B$2:$I$100,MATCH(无穷伤害与收益计算!$E206,技能数据库!$B$2:$B$100,0),MATCH(J$9,技能数据库!$B$2:$I$2,0))</f>
        <v>2</v>
      </c>
      <c r="K206">
        <f ca="1">INDEX(技能数据库!$B$2:$I$100,MATCH(无穷伤害与收益计算!$E206,技能数据库!$B$2:$B$100,0),MATCH(K$9,技能数据库!$B$2:$I$2,0))</f>
        <v>0</v>
      </c>
      <c r="L206">
        <f ca="1" t="shared" si="358"/>
        <v>105847</v>
      </c>
      <c r="M206">
        <f ca="1" t="shared" si="349"/>
        <v>19530.5</v>
      </c>
      <c r="N206">
        <f ca="1" t="shared" si="350"/>
        <v>92028</v>
      </c>
      <c r="O206">
        <f ca="1" t="shared" si="325"/>
        <v>327064.03125</v>
      </c>
      <c r="P206">
        <f ca="1">IF(G206="恒定伤害",0,(IF(D206="轻剑",$AZ$2,$AZ$3)+IFERROR(INDEX(技能数据库!$T$2:$W$27,MATCH(E206,技能数据库!$T$2:$T$27,0),4),0)+COUNTIF(G206,"*造化2*")*154+COUNTIF(G206,"*造化1*")*102+COUNTIF(G206,"*碧归*")*307)/1024)</f>
        <v>0.596790021929785</v>
      </c>
      <c r="Q206">
        <f ca="1" t="shared" si="337"/>
        <v>0.448284482196154</v>
      </c>
      <c r="R206">
        <f ca="1" t="shared" si="326"/>
        <v>0.21277697966198</v>
      </c>
      <c r="S206">
        <f ca="1" t="shared" si="351"/>
        <v>595432.119746968</v>
      </c>
      <c r="T206">
        <f t="shared" si="352"/>
        <v>0.8</v>
      </c>
      <c r="U206">
        <f ca="1" t="shared" si="338"/>
        <v>1.7995442148</v>
      </c>
      <c r="V206">
        <f ca="1" t="shared" si="353"/>
        <v>1333550.83691498</v>
      </c>
      <c r="W206">
        <f ca="1">IF(G206="恒定伤害",0,MIN(1,IF(COUNTIF(F206,"*内会*")&gt;0,内会,IF(D206="轻剑",$Y$2,$Y$3)+COUNTIF(G206,"*莺鸣*")*0.2+COUNTIF(G206,"*叠1*")*0.1+COUNTIF(G206,"*叠2*")*0.2+COUNTIF(G206,"*叠3*")*0.3)+IFERROR(INDEX(技能数据库!$T$2:$W$27,MATCH(E206,技能数据库!$T$2:$T$27,0),2),0)+IF((IF(D206="轻剑",$AO$2,$AO$3)+INT(COUNTIF(G206,"*大莺鸣*")*IF(D206="轻剑",$AM$2,$AM$3)*听晓无双率)/无双系数)&gt;0.9,特效裤子会心/会心系数,0)))</f>
        <v>0.8343</v>
      </c>
      <c r="X206">
        <f ca="1">IF(G206="恒定伤害",0,IF(COUNTIF(F206,"*内会*")&gt;0,内会效,IF(D206="轻剑",$AB$2,$AB$3))+IFERROR(INDEX(技能数据库!$T$2:$W$27,MATCH(E206,技能数据库!$T$2:$T$27,0),3)/1024,0))+COUNTIF(G206,"*叠1*")*0.25+COUNTIF(G206,"*叠2*")*0.5+COUNTIF(G206,"*叠3*")*0.75</f>
        <v>2.5717485021</v>
      </c>
      <c r="Y206">
        <f ca="1" t="shared" si="354"/>
        <v>2.31130977530203</v>
      </c>
      <c r="Z206">
        <f t="shared" si="327"/>
        <v>0.150390625</v>
      </c>
      <c r="AA206">
        <f ca="1" t="shared" si="355"/>
        <v>0.0205078125</v>
      </c>
      <c r="AB206">
        <f ca="1" t="shared" si="356"/>
        <v>3618506.85730109</v>
      </c>
      <c r="AC206">
        <f ca="1">无穷技能数计算!AJ198</f>
        <v>0</v>
      </c>
      <c r="AD206" s="164">
        <f ca="1" t="shared" si="328"/>
        <v>0</v>
      </c>
      <c r="AE206" s="168">
        <f ca="1" t="shared" si="359"/>
        <v>0.00412304585999932</v>
      </c>
      <c r="AF206" s="168">
        <f ca="1" t="shared" si="329"/>
        <v>0.00364607503748549</v>
      </c>
      <c r="AG206">
        <f ca="1" t="shared" si="357"/>
        <v>0.00297414120044159</v>
      </c>
      <c r="AH206">
        <f ca="1" t="shared" si="330"/>
        <v>1.00281267606035</v>
      </c>
      <c r="AI206">
        <f ca="1" t="shared" si="331"/>
        <v>1.00016101226475</v>
      </c>
      <c r="AJ206">
        <f ca="1" t="shared" si="332"/>
        <v>0</v>
      </c>
      <c r="AK206">
        <f ca="1" t="shared" si="314"/>
        <v>0</v>
      </c>
      <c r="AL206">
        <f ca="1" t="shared" si="333"/>
        <v>0</v>
      </c>
      <c r="AM206">
        <f ca="1" t="shared" si="315"/>
        <v>0</v>
      </c>
      <c r="AN206" s="168">
        <f ca="1" t="shared" si="360"/>
        <v>0.00724958982916823</v>
      </c>
      <c r="AO206" s="168">
        <f ca="1" t="shared" si="339"/>
        <v>0.00447057613551372</v>
      </c>
      <c r="AP206" s="172">
        <f ca="1" t="shared" si="334"/>
        <v>0</v>
      </c>
      <c r="AQ206" s="168">
        <f ca="1" t="shared" si="335"/>
        <v>0.00401583628616287</v>
      </c>
      <c r="AR206">
        <f t="shared" si="336"/>
        <v>1</v>
      </c>
    </row>
    <row r="207" spans="4:44">
      <c r="D207" t="s">
        <v>1825</v>
      </c>
      <c r="E207" t="s">
        <v>2794</v>
      </c>
      <c r="G207" t="s">
        <v>3115</v>
      </c>
      <c r="H207">
        <f ca="1">INDEX(技能数据库!$B$2:$I$100,MATCH(无穷伤害与收益计算!$E207,技能数据库!$B$2:$B$100,0),MATCH(H$9,技能数据库!$B$2:$I$2,0))</f>
        <v>231.5</v>
      </c>
      <c r="I207">
        <f ca="1">INDEX(技能数据库!$B$2:$I$100,MATCH(无穷伤害与收益计算!$E207,技能数据库!$B$2:$B$100,0),MATCH(I$9,技能数据库!$B$2:$I$2,0))</f>
        <v>2.71875</v>
      </c>
      <c r="J207">
        <f ca="1">INDEX(技能数据库!$B$2:$I$100,MATCH(无穷伤害与收益计算!$E207,技能数据库!$B$2:$B$100,0),MATCH(J$9,技能数据库!$B$2:$I$2,0))</f>
        <v>2</v>
      </c>
      <c r="K207">
        <f ca="1">INDEX(技能数据库!$B$2:$I$100,MATCH(无穷伤害与收益计算!$E207,技能数据库!$B$2:$B$100,0),MATCH(K$9,技能数据库!$B$2:$I$2,0))</f>
        <v>0</v>
      </c>
      <c r="L207">
        <f ca="1" t="shared" si="358"/>
        <v>105847</v>
      </c>
      <c r="M207">
        <f ca="1" t="shared" si="349"/>
        <v>19530.5</v>
      </c>
      <c r="N207">
        <f ca="1" t="shared" si="350"/>
        <v>92028</v>
      </c>
      <c r="O207">
        <f ca="1" t="shared" si="325"/>
        <v>327064.03125</v>
      </c>
      <c r="P207">
        <f ca="1">IF(G207="恒定伤害",0,(IF(D207="轻剑",$AZ$2,$AZ$3)+IFERROR(INDEX(技能数据库!$T$2:$W$27,MATCH(E207,技能数据库!$T$2:$T$27,0),4),0)+COUNTIF(G207,"*造化2*")*154+COUNTIF(G207,"*造化1*")*102+COUNTIF(G207,"*碧归*")*307)/1024)</f>
        <v>0.596790021929785</v>
      </c>
      <c r="Q207">
        <f ca="1" t="shared" si="337"/>
        <v>0.448284482196154</v>
      </c>
      <c r="R207">
        <f ca="1" t="shared" si="326"/>
        <v>0.21277697966198</v>
      </c>
      <c r="S207">
        <f ca="1" t="shared" si="351"/>
        <v>595432.119746968</v>
      </c>
      <c r="T207">
        <f t="shared" si="352"/>
        <v>0.8</v>
      </c>
      <c r="U207">
        <f ca="1" t="shared" si="338"/>
        <v>1.7995442148</v>
      </c>
      <c r="V207">
        <f ca="1" t="shared" si="353"/>
        <v>1333550.83691498</v>
      </c>
      <c r="W207">
        <f ca="1">IF(G207="恒定伤害",0,MIN(1,IF(COUNTIF(F207,"*内会*")&gt;0,内会,IF(D207="轻剑",$Y$2,$Y$3)+COUNTIF(G207,"*莺鸣*")*0.2+COUNTIF(G207,"*叠1*")*0.1+COUNTIF(G207,"*叠2*")*0.2+COUNTIF(G207,"*叠3*")*0.3)+IFERROR(INDEX(技能数据库!$T$2:$W$27,MATCH(E207,技能数据库!$T$2:$T$27,0),2),0)+IF((IF(D207="轻剑",$AO$2,$AO$3)+INT(COUNTIF(G207,"*大莺鸣*")*IF(D207="轻剑",$AM$2,$AM$3)*听晓无双率)/无双系数)&gt;0.9,特效裤子会心/会心系数,0)))</f>
        <v>0.9343</v>
      </c>
      <c r="X207">
        <f ca="1">IF(G207="恒定伤害",0,IF(COUNTIF(F207,"*内会*")&gt;0,内会效,IF(D207="轻剑",$AB$2,$AB$3))+IFERROR(INDEX(技能数据库!$T$2:$W$27,MATCH(E207,技能数据库!$T$2:$T$27,0),3)/1024,0))+COUNTIF(G207,"*叠1*")*0.25+COUNTIF(G207,"*叠2*")*0.5+COUNTIF(G207,"*叠3*")*0.75</f>
        <v>2.8217485021</v>
      </c>
      <c r="Y207">
        <f ca="1" t="shared" si="354"/>
        <v>2.70205962551203</v>
      </c>
      <c r="Z207">
        <f t="shared" si="327"/>
        <v>0.150390625</v>
      </c>
      <c r="AA207">
        <f ca="1" t="shared" si="355"/>
        <v>0.0205078125</v>
      </c>
      <c r="AB207">
        <f ca="1" t="shared" si="356"/>
        <v>4230251.34416438</v>
      </c>
      <c r="AC207" s="171">
        <f ca="1">无穷技能数计算!AJ199</f>
        <v>0</v>
      </c>
      <c r="AD207" s="164">
        <f ca="1" t="shared" si="328"/>
        <v>0</v>
      </c>
      <c r="AE207" s="168">
        <f ca="1" t="shared" si="359"/>
        <v>0.00412304585999932</v>
      </c>
      <c r="AF207" s="168">
        <f ca="1" t="shared" si="329"/>
        <v>0.00364607503748549</v>
      </c>
      <c r="AG207">
        <f ca="1" t="shared" si="357"/>
        <v>0.00297414120044159</v>
      </c>
      <c r="AH207">
        <f ca="1" t="shared" si="330"/>
        <v>1.00281267606035</v>
      </c>
      <c r="AI207">
        <f ca="1" t="shared" si="331"/>
        <v>1.00016101226475</v>
      </c>
      <c r="AJ207">
        <f ca="1" t="shared" si="332"/>
        <v>0</v>
      </c>
      <c r="AK207">
        <f ca="1" t="shared" si="314"/>
        <v>0</v>
      </c>
      <c r="AL207">
        <f ca="1" t="shared" si="333"/>
        <v>0</v>
      </c>
      <c r="AM207">
        <f ca="1" t="shared" si="315"/>
        <v>0</v>
      </c>
      <c r="AN207" s="168">
        <f ca="1" t="shared" si="360"/>
        <v>0.00694449658447471</v>
      </c>
      <c r="AO207" s="168">
        <f ca="1" t="shared" si="339"/>
        <v>0.00447057613551372</v>
      </c>
      <c r="AP207" s="172">
        <f ca="1" t="shared" si="334"/>
        <v>0</v>
      </c>
      <c r="AQ207" s="168">
        <f ca="1" t="shared" si="335"/>
        <v>0.00401583628616287</v>
      </c>
      <c r="AR207">
        <f t="shared" si="336"/>
        <v>1</v>
      </c>
    </row>
    <row r="208" spans="4:44">
      <c r="D208" t="s">
        <v>1825</v>
      </c>
      <c r="E208" t="s">
        <v>2794</v>
      </c>
      <c r="G208" t="s">
        <v>3116</v>
      </c>
      <c r="H208">
        <f ca="1">INDEX(技能数据库!$B$2:$I$100,MATCH(无穷伤害与收益计算!$E208,技能数据库!$B$2:$B$100,0),MATCH(H$9,技能数据库!$B$2:$I$2,0))</f>
        <v>231.5</v>
      </c>
      <c r="I208">
        <f ca="1">INDEX(技能数据库!$B$2:$I$100,MATCH(无穷伤害与收益计算!$E208,技能数据库!$B$2:$B$100,0),MATCH(I$9,技能数据库!$B$2:$I$2,0))</f>
        <v>2.71875</v>
      </c>
      <c r="J208">
        <f ca="1">INDEX(技能数据库!$B$2:$I$100,MATCH(无穷伤害与收益计算!$E208,技能数据库!$B$2:$B$100,0),MATCH(J$9,技能数据库!$B$2:$I$2,0))</f>
        <v>2</v>
      </c>
      <c r="K208">
        <f ca="1">INDEX(技能数据库!$B$2:$I$100,MATCH(无穷伤害与收益计算!$E208,技能数据库!$B$2:$B$100,0),MATCH(K$9,技能数据库!$B$2:$I$2,0))</f>
        <v>0</v>
      </c>
      <c r="L208">
        <f ca="1" t="shared" si="358"/>
        <v>105847</v>
      </c>
      <c r="M208">
        <f ca="1" t="shared" ref="M208:M215" si="361">IF(D208="轻剑",$AU$2+$AV$2,$AU$3+$AV$3)/2</f>
        <v>19530.5</v>
      </c>
      <c r="N208">
        <f ca="1" t="shared" ref="N208:N215" si="362">IF(D208="轻剑",$AJ$2,$AJ$3)</f>
        <v>92028</v>
      </c>
      <c r="O208">
        <f ca="1" t="shared" ref="O208:O215" si="363">H208+I208*L208+J208*M208+IF(K208&gt;0,MAX(1,K208*N208*破招全局系数),0)</f>
        <v>327064.03125</v>
      </c>
      <c r="P208">
        <f ca="1">IF(G208="恒定伤害",0,(IF(D208="轻剑",$AZ$2,$AZ$3)+IFERROR(INDEX(技能数据库!$T$2:$W$27,MATCH(E208,技能数据库!$T$2:$T$27,0),4),0)+COUNTIF(G208,"*造化2*")*154+COUNTIF(G208,"*造化1*")*102+COUNTIF(G208,"*碧归*")*307)/1024)</f>
        <v>0.596790021929785</v>
      </c>
      <c r="Q208">
        <f ca="1" t="shared" ref="Q208:Q215" si="364">IF(G208="恒定伤害",0,(IF(COUNTIF(F208,"*内破*")&gt;0,内破,IF(D208="轻剑",$AF$2,$AF$3)/破防系数))+IF((IF(D208="轻剑",$AO$2,$AO$3)+INT(COUNTIF(G208,"*大莺鸣*")*IF(D208="轻剑",$AM$2,$AM$3)*听晓无双率)/无双系数)&gt;0.9,(特效裤子破防+特效裤子破防*IF(D208="轻剑",$AD$2,$AD$3)/1024)/破防系数,0))</f>
        <v>0.448284482196154</v>
      </c>
      <c r="R208">
        <f ca="1" t="shared" ref="R208:R215" si="365">IF(G208="恒定伤害",0,(($F$5-IF(D208="轻剑",$BB$2,$BB$3))*(1024-IF(D208="轻剑",$BD$2,$BD$3))/1024*(1024-IF(D208="轻剑",$BC$2,$BC$3)-COUNTIF(G208,"*雾锁*")*461*雾锁)/1024/(($F$5-IF(D208="轻剑",$BB$2,$BB$3))*(1024-IF(D208="轻剑",$BD$2,$BD$3))/1024*(1024-IF(D208="轻剑",$BC$2,$BC$3)-COUNTIF(G208,"*雾锁*")*461*雾锁)/1024+$F$7)))</f>
        <v>0.21277697966198</v>
      </c>
      <c r="S208">
        <f ca="1" t="shared" ref="S208:S215" si="366">O208*(1+P208)*(1+Q208)*(1-R208)</f>
        <v>595432.119746968</v>
      </c>
      <c r="T208">
        <f t="shared" si="352"/>
        <v>0.8</v>
      </c>
      <c r="U208">
        <f ca="1" t="shared" ref="U208:U215" si="367">IF(G208="恒定伤害",0,(IF(D208="轻剑",$AO$2,$AO$3)+INT(COUNTIF(G208,"*大莺鸣*")*IF(D208="轻剑",$AM$2,$AM$3)*听晓无双率)/无双系数)+IF((IF(D208="轻剑",$AO$2,$AO$3)+INT(COUNTIF(G208,"*大莺鸣*")*IF(D208="轻剑",$AM$2,$AM$3)*听晓无双率)/无双系数)&lt;=0.9,特效裤子无双,0))</f>
        <v>1.7995442148</v>
      </c>
      <c r="V208">
        <f ca="1" t="shared" ref="V208:V215" si="368">S208*T208*(1+U208)</f>
        <v>1333550.83691498</v>
      </c>
      <c r="W208">
        <f ca="1">IF(G208="恒定伤害",0,MIN(1,IF(COUNTIF(F208,"*内会*")&gt;0,内会,IF(D208="轻剑",$Y$2,$Y$3)+COUNTIF(G208,"*莺鸣*")*0.2+COUNTIF(G208,"*叠1*")*0.1+COUNTIF(G208,"*叠2*")*0.2+COUNTIF(G208,"*叠3*")*0.3)+IFERROR(INDEX(技能数据库!$T$2:$W$27,MATCH(E208,技能数据库!$T$2:$T$27,0),2),0)+IF((IF(D208="轻剑",$AO$2,$AO$3)+INT(COUNTIF(G208,"*大莺鸣*")*IF(D208="轻剑",$AM$2,$AM$3)*听晓无双率)/无双系数)&gt;0.9,特效裤子会心/会心系数,0)))</f>
        <v>1</v>
      </c>
      <c r="X208">
        <f ca="1">IF(G208="恒定伤害",0,IF(COUNTIF(F208,"*内会*")&gt;0,内会效,IF(D208="轻剑",$AB$2,$AB$3))+IFERROR(INDEX(技能数据库!$T$2:$W$27,MATCH(E208,技能数据库!$T$2:$T$27,0),3)/1024,0))+COUNTIF(G208,"*叠1*")*0.25+COUNTIF(G208,"*叠2*")*0.5+COUNTIF(G208,"*叠3*")*0.75</f>
        <v>3.0717485021</v>
      </c>
      <c r="Y208">
        <f ca="1" t="shared" ref="Y208:Y215" si="369">1+W208*(X208-1)</f>
        <v>3.0717485021</v>
      </c>
      <c r="Z208">
        <f t="shared" ref="Z208:Z215" si="370">IF(G208="恒定伤害",0,非侠士伤害/1024)</f>
        <v>0.150390625</v>
      </c>
      <c r="AA208">
        <f ca="1" t="shared" ref="AA208:AA215" si="371">IF(D208="轻剑",$BA$2,$BA$3)/1024</f>
        <v>0.0205078125</v>
      </c>
      <c r="AB208">
        <f ca="1" t="shared" ref="AB208:AB215" si="372">V208*Y208*(1+Z208)*(1+AA208)</f>
        <v>4809023.49720765</v>
      </c>
      <c r="AC208">
        <f ca="1">无穷技能数计算!AJ200</f>
        <v>2</v>
      </c>
      <c r="AD208" s="164">
        <f ca="1" t="shared" ref="AD208:AD215" si="373">IFERROR(AB208*AC208/$AD$7,0)</f>
        <v>0.00337347203913972</v>
      </c>
      <c r="AE208" s="168">
        <f ca="1" t="shared" si="359"/>
        <v>0.00412304585999932</v>
      </c>
      <c r="AF208" s="168">
        <f ca="1" t="shared" ref="AF208:AF215" si="374">IFERROR((delta武伤+INT((IF(D208="轻剑",$AW$2,$AW$3))/1024*delta武伤))*J208/O208,0)</f>
        <v>0.00364607503748549</v>
      </c>
      <c r="AG208">
        <f ca="1" t="shared" ref="AG208:AG215" si="375">IF(G208="恒定伤害",0,MAX(0,AH208*AI208*IF(AJ208=0,1,AJ208)-1))</f>
        <v>0.00297414120044159</v>
      </c>
      <c r="AH208">
        <f ca="1" t="shared" ref="AH208:AH215" si="376">IFERROR((delta身法+INT((IF(D208="轻剑",$N$2,$N$3))/1024*delta身法))*身法转额外攻击*I208/O208+1,0)</f>
        <v>1.00281267606035</v>
      </c>
      <c r="AI208">
        <f ca="1" t="shared" ref="AI208:AI215" si="377">IFERROR(((delta身法+INT((IF(D208="轻剑",$N$2,$N$3))/1024*delta身法))*身法转额外破防/破防系数+Q208+1)/(1+Q208),0)</f>
        <v>1.00016101226475</v>
      </c>
      <c r="AJ208">
        <f ca="1" t="shared" ref="AJ208:AJ215" si="378">IFERROR(((1+MIN(1,((delta身法+INT((IF(D208="轻剑",$N$2,$N$3))/1024*delta身法))*身法转基础会心/会心系数)+W208)*(X208-1))*AK208)/(Y208*AC208),0)</f>
        <v>1</v>
      </c>
      <c r="AK208">
        <f ca="1" t="shared" si="314"/>
        <v>2</v>
      </c>
      <c r="AL208">
        <f ca="1" t="shared" ref="AL208:AL215" si="379">IF(G208="恒定伤害",0,IFERROR(((1+MIN(1,W208+delta会心/会心系数)*(X208-1))*AM208)/(Y208*AC208)-1,0))</f>
        <v>0</v>
      </c>
      <c r="AM208">
        <f ca="1" t="shared" si="315"/>
        <v>2</v>
      </c>
      <c r="AN208" s="168">
        <f ca="1" t="shared" si="360"/>
        <v>0.00653828267501666</v>
      </c>
      <c r="AO208" s="168">
        <f ca="1" t="shared" ref="AO208:AO215" si="380">IF(OR(COUNTIF(F208,"*内破*")&gt;0,G208="恒定伤害"),0,IFERROR(((delta破防+INT((IF(D208="轻剑",$AD$2,$AD$3))/1024*delta破防))/破防系数+Q208+1)/(Q208+1)-1,0))</f>
        <v>0.00447057613551372</v>
      </c>
      <c r="AP208" s="172">
        <f ca="1" t="shared" ref="AP208:AP215" si="381">IFERROR((delta破招+INT((IF(D208="轻剑",$AI$2,$AI$3))/1024*delta破招))*K208*破招全局系数/MAX(1,O208),0)</f>
        <v>0</v>
      </c>
      <c r="AQ208" s="168">
        <f ca="1" t="shared" ref="AQ208:AQ215" si="382">IF(G208="恒定伤害",0,IFERROR(((delta无双+INT((IF(D208="轻剑",$AL$2,$AL$3)+COUNTIF(G208,"*大莺鸣*")*307)/1024*delta无双))/无双系数+U208+1)/(U208+1)-1,0))</f>
        <v>0.00401583628616287</v>
      </c>
      <c r="AR208">
        <f t="shared" ref="AR208:AR215" si="383">IF($AR$8="综合属性收益",1,COUNTIF(D208,LEFT($AR$8,2)))</f>
        <v>1</v>
      </c>
    </row>
    <row r="209" spans="4:44">
      <c r="D209" t="s">
        <v>1825</v>
      </c>
      <c r="E209" t="s">
        <v>2798</v>
      </c>
      <c r="G209" t="s">
        <v>3114</v>
      </c>
      <c r="H209">
        <f ca="1">INDEX(技能数据库!$B$2:$I$100,MATCH(无穷伤害与收益计算!$E209,技能数据库!$B$2:$B$100,0),MATCH(H$9,技能数据库!$B$2:$I$2,0))</f>
        <v>1504.5</v>
      </c>
      <c r="I209">
        <f ca="1">INDEX(技能数据库!$B$2:$I$100,MATCH(无穷伤害与收益计算!$E209,技能数据库!$B$2:$B$100,0),MATCH(I$9,技能数据库!$B$2:$I$2,0))</f>
        <v>2.85625</v>
      </c>
      <c r="J209">
        <f ca="1">INDEX(技能数据库!$B$2:$I$100,MATCH(无穷伤害与收益计算!$E209,技能数据库!$B$2:$B$100,0),MATCH(J$9,技能数据库!$B$2:$I$2,0))</f>
        <v>0</v>
      </c>
      <c r="K209">
        <f ca="1">INDEX(技能数据库!$B$2:$I$100,MATCH(无穷伤害与收益计算!$E209,技能数据库!$B$2:$B$100,0),MATCH(K$9,技能数据库!$B$2:$I$2,0))</f>
        <v>0</v>
      </c>
      <c r="L209">
        <f ca="1" t="shared" si="358"/>
        <v>105847</v>
      </c>
      <c r="M209">
        <f ca="1" t="shared" si="361"/>
        <v>19530.5</v>
      </c>
      <c r="N209">
        <f ca="1" t="shared" si="362"/>
        <v>92028</v>
      </c>
      <c r="O209">
        <f ca="1" t="shared" si="363"/>
        <v>303829.99375</v>
      </c>
      <c r="P209">
        <f ca="1">IF(G209="恒定伤害",0,(IF(D209="轻剑",$AZ$2,$AZ$3)+IFERROR(INDEX(技能数据库!$T$2:$W$27,MATCH(E209,技能数据库!$T$2:$T$27,0),4),0)+COUNTIF(G209,"*造化2*")*154+COUNTIF(G209,"*造化1*")*102+COUNTIF(G209,"*碧归*")*307)/1024)</f>
        <v>0.476672834429785</v>
      </c>
      <c r="Q209">
        <f ca="1" t="shared" si="364"/>
        <v>0.448284482196154</v>
      </c>
      <c r="R209">
        <f ca="1" t="shared" si="365"/>
        <v>0.21277697966198</v>
      </c>
      <c r="S209">
        <f ca="1" t="shared" si="366"/>
        <v>511524.68078327</v>
      </c>
      <c r="T209">
        <f t="shared" si="352"/>
        <v>0.8</v>
      </c>
      <c r="U209">
        <f ca="1" t="shared" si="367"/>
        <v>1.7995442148</v>
      </c>
      <c r="V209">
        <f ca="1" t="shared" si="368"/>
        <v>1145628.76865138</v>
      </c>
      <c r="W209">
        <f ca="1">IF(G209="恒定伤害",0,MIN(1,IF(COUNTIF(F209,"*内会*")&gt;0,内会,IF(D209="轻剑",$Y$2,$Y$3)+COUNTIF(G209,"*莺鸣*")*0.2+COUNTIF(G209,"*叠1*")*0.1+COUNTIF(G209,"*叠2*")*0.2+COUNTIF(G209,"*叠3*")*0.3)+IFERROR(INDEX(技能数据库!$T$2:$W$27,MATCH(E209,技能数据库!$T$2:$T$27,0),2),0)+IF((IF(D209="轻剑",$AO$2,$AO$3)+INT(COUNTIF(G209,"*大莺鸣*")*IF(D209="轻剑",$AM$2,$AM$3)*听晓无双率)/无双系数)&gt;0.9,特效裤子会心/会心系数,0)))</f>
        <v>0.8343</v>
      </c>
      <c r="X209">
        <f ca="1">IF(G209="恒定伤害",0,IF(COUNTIF(F209,"*内会*")&gt;0,内会效,IF(D209="轻剑",$AB$2,$AB$3))+IFERROR(INDEX(技能数据库!$T$2:$W$27,MATCH(E209,技能数据库!$T$2:$T$27,0),3)/1024,0))+COUNTIF(G209,"*叠1*")*0.25+COUNTIF(G209,"*叠2*")*0.5+COUNTIF(G209,"*叠3*")*0.75</f>
        <v>2.5717485021</v>
      </c>
      <c r="Y209">
        <f ca="1" t="shared" si="369"/>
        <v>2.31130977530203</v>
      </c>
      <c r="Z209">
        <f t="shared" si="370"/>
        <v>0.150390625</v>
      </c>
      <c r="AA209">
        <f ca="1" t="shared" si="371"/>
        <v>0.0205078125</v>
      </c>
      <c r="AB209">
        <f ca="1" t="shared" si="372"/>
        <v>3108592.06903314</v>
      </c>
      <c r="AC209">
        <f ca="1">无穷技能数计算!AJ201</f>
        <v>0</v>
      </c>
      <c r="AD209" s="164">
        <f ca="1" t="shared" si="373"/>
        <v>0</v>
      </c>
      <c r="AE209" s="168">
        <f ca="1" t="shared" si="359"/>
        <v>0.00466280495389702</v>
      </c>
      <c r="AF209" s="168">
        <f ca="1" t="shared" si="374"/>
        <v>0</v>
      </c>
      <c r="AG209">
        <f ca="1" t="shared" si="375"/>
        <v>0.00334241552406178</v>
      </c>
      <c r="AH209">
        <f ca="1" t="shared" si="376"/>
        <v>1.00318089109683</v>
      </c>
      <c r="AI209">
        <f ca="1" t="shared" si="377"/>
        <v>1.00016101226475</v>
      </c>
      <c r="AJ209">
        <f ca="1" t="shared" si="378"/>
        <v>0</v>
      </c>
      <c r="AK209">
        <f ca="1" t="shared" si="314"/>
        <v>0</v>
      </c>
      <c r="AL209">
        <f ca="1" t="shared" si="379"/>
        <v>0</v>
      </c>
      <c r="AM209">
        <f ca="1" t="shared" si="315"/>
        <v>0</v>
      </c>
      <c r="AN209" s="168">
        <f ca="1" t="shared" si="360"/>
        <v>0.00724958982916823</v>
      </c>
      <c r="AO209" s="168">
        <f ca="1" t="shared" si="380"/>
        <v>0.00447057613551372</v>
      </c>
      <c r="AP209" s="172">
        <f ca="1" t="shared" si="381"/>
        <v>0</v>
      </c>
      <c r="AQ209" s="168">
        <f ca="1" t="shared" si="382"/>
        <v>0.00401583628616287</v>
      </c>
      <c r="AR209">
        <f t="shared" si="383"/>
        <v>1</v>
      </c>
    </row>
    <row r="210" spans="4:44">
      <c r="D210" t="s">
        <v>1825</v>
      </c>
      <c r="E210" t="s">
        <v>2798</v>
      </c>
      <c r="G210" t="s">
        <v>3115</v>
      </c>
      <c r="H210">
        <f ca="1">INDEX(技能数据库!$B$2:$I$100,MATCH(无穷伤害与收益计算!$E210,技能数据库!$B$2:$B$100,0),MATCH(H$9,技能数据库!$B$2:$I$2,0))</f>
        <v>1504.5</v>
      </c>
      <c r="I210">
        <f ca="1">INDEX(技能数据库!$B$2:$I$100,MATCH(无穷伤害与收益计算!$E210,技能数据库!$B$2:$B$100,0),MATCH(I$9,技能数据库!$B$2:$I$2,0))</f>
        <v>2.85625</v>
      </c>
      <c r="J210">
        <f ca="1">INDEX(技能数据库!$B$2:$I$100,MATCH(无穷伤害与收益计算!$E210,技能数据库!$B$2:$B$100,0),MATCH(J$9,技能数据库!$B$2:$I$2,0))</f>
        <v>0</v>
      </c>
      <c r="K210">
        <f ca="1">INDEX(技能数据库!$B$2:$I$100,MATCH(无穷伤害与收益计算!$E210,技能数据库!$B$2:$B$100,0),MATCH(K$9,技能数据库!$B$2:$I$2,0))</f>
        <v>0</v>
      </c>
      <c r="L210">
        <f ca="1" t="shared" si="358"/>
        <v>105847</v>
      </c>
      <c r="M210">
        <f ca="1" t="shared" si="361"/>
        <v>19530.5</v>
      </c>
      <c r="N210">
        <f ca="1" t="shared" si="362"/>
        <v>92028</v>
      </c>
      <c r="O210">
        <f ca="1" t="shared" si="363"/>
        <v>303829.99375</v>
      </c>
      <c r="P210">
        <f ca="1">IF(G210="恒定伤害",0,(IF(D210="轻剑",$AZ$2,$AZ$3)+IFERROR(INDEX(技能数据库!$T$2:$W$27,MATCH(E210,技能数据库!$T$2:$T$27,0),4),0)+COUNTIF(G210,"*造化2*")*154+COUNTIF(G210,"*造化1*")*102+COUNTIF(G210,"*碧归*")*307)/1024)</f>
        <v>0.476672834429785</v>
      </c>
      <c r="Q210">
        <f ca="1" t="shared" si="364"/>
        <v>0.448284482196154</v>
      </c>
      <c r="R210">
        <f ca="1" t="shared" si="365"/>
        <v>0.21277697966198</v>
      </c>
      <c r="S210">
        <f ca="1" t="shared" si="366"/>
        <v>511524.68078327</v>
      </c>
      <c r="T210">
        <f t="shared" si="352"/>
        <v>0.8</v>
      </c>
      <c r="U210">
        <f ca="1" t="shared" si="367"/>
        <v>1.7995442148</v>
      </c>
      <c r="V210">
        <f ca="1" t="shared" si="368"/>
        <v>1145628.76865138</v>
      </c>
      <c r="W210">
        <f ca="1">IF(G210="恒定伤害",0,MIN(1,IF(COUNTIF(F210,"*内会*")&gt;0,内会,IF(D210="轻剑",$Y$2,$Y$3)+COUNTIF(G210,"*莺鸣*")*0.2+COUNTIF(G210,"*叠1*")*0.1+COUNTIF(G210,"*叠2*")*0.2+COUNTIF(G210,"*叠3*")*0.3)+IFERROR(INDEX(技能数据库!$T$2:$W$27,MATCH(E210,技能数据库!$T$2:$T$27,0),2),0)+IF((IF(D210="轻剑",$AO$2,$AO$3)+INT(COUNTIF(G210,"*大莺鸣*")*IF(D210="轻剑",$AM$2,$AM$3)*听晓无双率)/无双系数)&gt;0.9,特效裤子会心/会心系数,0)))</f>
        <v>0.9343</v>
      </c>
      <c r="X210">
        <f ca="1">IF(G210="恒定伤害",0,IF(COUNTIF(F210,"*内会*")&gt;0,内会效,IF(D210="轻剑",$AB$2,$AB$3))+IFERROR(INDEX(技能数据库!$T$2:$W$27,MATCH(E210,技能数据库!$T$2:$T$27,0),3)/1024,0))+COUNTIF(G210,"*叠1*")*0.25+COUNTIF(G210,"*叠2*")*0.5+COUNTIF(G210,"*叠3*")*0.75</f>
        <v>2.8217485021</v>
      </c>
      <c r="Y210">
        <f ca="1" t="shared" si="369"/>
        <v>2.70205962551203</v>
      </c>
      <c r="Z210">
        <f t="shared" si="370"/>
        <v>0.150390625</v>
      </c>
      <c r="AA210">
        <f ca="1" t="shared" si="371"/>
        <v>0.0205078125</v>
      </c>
      <c r="AB210">
        <f ca="1" t="shared" si="372"/>
        <v>3634130.40159177</v>
      </c>
      <c r="AC210">
        <f ca="1">无穷技能数计算!AJ202</f>
        <v>0</v>
      </c>
      <c r="AD210" s="164">
        <f ca="1" t="shared" si="373"/>
        <v>0</v>
      </c>
      <c r="AE210" s="168">
        <f ca="1" t="shared" si="359"/>
        <v>0.00466280495389702</v>
      </c>
      <c r="AF210" s="168">
        <f ca="1" t="shared" si="374"/>
        <v>0</v>
      </c>
      <c r="AG210">
        <f ca="1" t="shared" si="375"/>
        <v>0.00334241552406178</v>
      </c>
      <c r="AH210">
        <f ca="1" t="shared" si="376"/>
        <v>1.00318089109683</v>
      </c>
      <c r="AI210">
        <f ca="1" t="shared" si="377"/>
        <v>1.00016101226475</v>
      </c>
      <c r="AJ210">
        <f ca="1" t="shared" si="378"/>
        <v>0</v>
      </c>
      <c r="AK210">
        <f ca="1" t="shared" si="314"/>
        <v>0</v>
      </c>
      <c r="AL210">
        <f ca="1" t="shared" si="379"/>
        <v>0</v>
      </c>
      <c r="AM210">
        <f ca="1" t="shared" si="315"/>
        <v>0</v>
      </c>
      <c r="AN210" s="168">
        <f ca="1" t="shared" si="360"/>
        <v>0.00694449658447471</v>
      </c>
      <c r="AO210" s="168">
        <f ca="1" t="shared" si="380"/>
        <v>0.00447057613551372</v>
      </c>
      <c r="AP210" s="172">
        <f ca="1" t="shared" si="381"/>
        <v>0</v>
      </c>
      <c r="AQ210" s="168">
        <f ca="1" t="shared" si="382"/>
        <v>0.00401583628616287</v>
      </c>
      <c r="AR210">
        <f t="shared" si="383"/>
        <v>1</v>
      </c>
    </row>
    <row r="211" spans="4:44">
      <c r="D211" t="s">
        <v>1825</v>
      </c>
      <c r="E211" t="s">
        <v>2798</v>
      </c>
      <c r="G211" t="s">
        <v>3116</v>
      </c>
      <c r="H211">
        <f ca="1">INDEX(技能数据库!$B$2:$I$100,MATCH(无穷伤害与收益计算!$E211,技能数据库!$B$2:$B$100,0),MATCH(H$9,技能数据库!$B$2:$I$2,0))</f>
        <v>1504.5</v>
      </c>
      <c r="I211">
        <f ca="1">INDEX(技能数据库!$B$2:$I$100,MATCH(无穷伤害与收益计算!$E211,技能数据库!$B$2:$B$100,0),MATCH(I$9,技能数据库!$B$2:$I$2,0))</f>
        <v>2.85625</v>
      </c>
      <c r="J211">
        <f ca="1">INDEX(技能数据库!$B$2:$I$100,MATCH(无穷伤害与收益计算!$E211,技能数据库!$B$2:$B$100,0),MATCH(J$9,技能数据库!$B$2:$I$2,0))</f>
        <v>0</v>
      </c>
      <c r="K211">
        <f ca="1">INDEX(技能数据库!$B$2:$I$100,MATCH(无穷伤害与收益计算!$E211,技能数据库!$B$2:$B$100,0),MATCH(K$9,技能数据库!$B$2:$I$2,0))</f>
        <v>0</v>
      </c>
      <c r="L211">
        <f ca="1" t="shared" si="358"/>
        <v>105847</v>
      </c>
      <c r="M211">
        <f ca="1" t="shared" si="361"/>
        <v>19530.5</v>
      </c>
      <c r="N211">
        <f ca="1" t="shared" si="362"/>
        <v>92028</v>
      </c>
      <c r="O211">
        <f ca="1" t="shared" si="363"/>
        <v>303829.99375</v>
      </c>
      <c r="P211">
        <f ca="1">IF(G211="恒定伤害",0,(IF(D211="轻剑",$AZ$2,$AZ$3)+IFERROR(INDEX(技能数据库!$T$2:$W$27,MATCH(E211,技能数据库!$T$2:$T$27,0),4),0)+COUNTIF(G211,"*造化2*")*154+COUNTIF(G211,"*造化1*")*102+COUNTIF(G211,"*碧归*")*307)/1024)</f>
        <v>0.476672834429785</v>
      </c>
      <c r="Q211">
        <f ca="1" t="shared" si="364"/>
        <v>0.448284482196154</v>
      </c>
      <c r="R211">
        <f ca="1" t="shared" si="365"/>
        <v>0.21277697966198</v>
      </c>
      <c r="S211">
        <f ca="1" t="shared" si="366"/>
        <v>511524.68078327</v>
      </c>
      <c r="T211">
        <f t="shared" si="352"/>
        <v>0.8</v>
      </c>
      <c r="U211">
        <f ca="1" t="shared" si="367"/>
        <v>1.7995442148</v>
      </c>
      <c r="V211">
        <f ca="1" t="shared" si="368"/>
        <v>1145628.76865138</v>
      </c>
      <c r="W211">
        <f ca="1">IF(G211="恒定伤害",0,MIN(1,IF(COUNTIF(F211,"*内会*")&gt;0,内会,IF(D211="轻剑",$Y$2,$Y$3)+COUNTIF(G211,"*莺鸣*")*0.2+COUNTIF(G211,"*叠1*")*0.1+COUNTIF(G211,"*叠2*")*0.2+COUNTIF(G211,"*叠3*")*0.3)+IFERROR(INDEX(技能数据库!$T$2:$W$27,MATCH(E211,技能数据库!$T$2:$T$27,0),2),0)+IF((IF(D211="轻剑",$AO$2,$AO$3)+INT(COUNTIF(G211,"*大莺鸣*")*IF(D211="轻剑",$AM$2,$AM$3)*听晓无双率)/无双系数)&gt;0.9,特效裤子会心/会心系数,0)))</f>
        <v>1</v>
      </c>
      <c r="X211">
        <f ca="1">IF(G211="恒定伤害",0,IF(COUNTIF(F211,"*内会*")&gt;0,内会效,IF(D211="轻剑",$AB$2,$AB$3))+IFERROR(INDEX(技能数据库!$T$2:$W$27,MATCH(E211,技能数据库!$T$2:$T$27,0),3)/1024,0))+COUNTIF(G211,"*叠1*")*0.25+COUNTIF(G211,"*叠2*")*0.5+COUNTIF(G211,"*叠3*")*0.75</f>
        <v>3.0717485021</v>
      </c>
      <c r="Y211">
        <f ca="1" t="shared" si="369"/>
        <v>3.0717485021</v>
      </c>
      <c r="Z211">
        <f t="shared" si="370"/>
        <v>0.150390625</v>
      </c>
      <c r="AA211">
        <f ca="1" t="shared" si="371"/>
        <v>0.0205078125</v>
      </c>
      <c r="AB211">
        <f ca="1" t="shared" si="372"/>
        <v>4131342.81424682</v>
      </c>
      <c r="AC211">
        <f ca="1">无穷技能数计算!AJ203</f>
        <v>2</v>
      </c>
      <c r="AD211" s="164">
        <f ca="1" t="shared" si="373"/>
        <v>0.00289808720544928</v>
      </c>
      <c r="AE211" s="168">
        <f ca="1" t="shared" si="359"/>
        <v>0.00466280495389702</v>
      </c>
      <c r="AF211" s="168">
        <f ca="1" t="shared" si="374"/>
        <v>0</v>
      </c>
      <c r="AG211">
        <f ca="1" t="shared" si="375"/>
        <v>0.00334241552406178</v>
      </c>
      <c r="AH211">
        <f ca="1" t="shared" si="376"/>
        <v>1.00318089109683</v>
      </c>
      <c r="AI211">
        <f ca="1" t="shared" si="377"/>
        <v>1.00016101226475</v>
      </c>
      <c r="AJ211">
        <f ca="1" t="shared" si="378"/>
        <v>1</v>
      </c>
      <c r="AK211">
        <f ca="1" t="shared" si="314"/>
        <v>2</v>
      </c>
      <c r="AL211">
        <f ca="1" t="shared" si="379"/>
        <v>0</v>
      </c>
      <c r="AM211">
        <f ca="1" t="shared" si="315"/>
        <v>2</v>
      </c>
      <c r="AN211" s="168">
        <f ca="1" t="shared" si="360"/>
        <v>0.00653828267501666</v>
      </c>
      <c r="AO211" s="168">
        <f ca="1" t="shared" si="380"/>
        <v>0.00447057613551372</v>
      </c>
      <c r="AP211" s="172">
        <f ca="1" t="shared" si="381"/>
        <v>0</v>
      </c>
      <c r="AQ211" s="168">
        <f ca="1" t="shared" si="382"/>
        <v>0.00401583628616287</v>
      </c>
      <c r="AR211">
        <f t="shared" si="383"/>
        <v>1</v>
      </c>
    </row>
    <row r="212" spans="4:44">
      <c r="D212" t="s">
        <v>1825</v>
      </c>
      <c r="E212" s="161" t="s">
        <v>2859</v>
      </c>
      <c r="G212" t="s">
        <v>3109</v>
      </c>
      <c r="H212">
        <f ca="1">INDEX(技能数据库!$B$2:$I$100,MATCH(无穷伤害与收益计算!$E212,技能数据库!$B$2:$B$100,0),MATCH(H$9,技能数据库!$B$2:$I$2,0))</f>
        <v>1955936</v>
      </c>
      <c r="I212">
        <f ca="1">INDEX(技能数据库!$B$2:$I$100,MATCH(无穷伤害与收益计算!$E212,技能数据库!$B$2:$B$100,0),MATCH(I$9,技能数据库!$B$2:$I$2,0))</f>
        <v>0</v>
      </c>
      <c r="J212">
        <f ca="1">INDEX(技能数据库!$B$2:$I$100,MATCH(无穷伤害与收益计算!$E212,技能数据库!$B$2:$B$100,0),MATCH(J$9,技能数据库!$B$2:$I$2,0))</f>
        <v>0</v>
      </c>
      <c r="K212">
        <f ca="1">INDEX(技能数据库!$B$2:$I$100,MATCH(无穷伤害与收益计算!$E212,技能数据库!$B$2:$B$100,0),MATCH(K$9,技能数据库!$B$2:$I$2,0))</f>
        <v>0</v>
      </c>
      <c r="L212">
        <f ca="1" t="shared" si="358"/>
        <v>105847</v>
      </c>
      <c r="M212">
        <f ca="1" t="shared" si="361"/>
        <v>19530.5</v>
      </c>
      <c r="N212">
        <f ca="1" t="shared" si="362"/>
        <v>92028</v>
      </c>
      <c r="O212">
        <f ca="1" t="shared" si="363"/>
        <v>1955936</v>
      </c>
      <c r="P212">
        <f ca="1">IF(G212="恒定伤害",0,(IF(D212="轻剑",$AZ$2,$AZ$3)+IFERROR(INDEX(技能数据库!$T$2:$W$27,MATCH(E212,技能数据库!$T$2:$T$27,0),4),0)+COUNTIF(G212,"*造化2*")*154+COUNTIF(G212,"*造化1*")*102+COUNTIF(G212,"*碧归*")*307)/1024)</f>
        <v>0.176868146929785</v>
      </c>
      <c r="Q212">
        <f ca="1" t="shared" si="364"/>
        <v>0.448284482196154</v>
      </c>
      <c r="R212">
        <f ca="1" t="shared" si="365"/>
        <v>0.21277697966198</v>
      </c>
      <c r="S212">
        <f ca="1" t="shared" si="366"/>
        <v>2624424.66940335</v>
      </c>
      <c r="T212">
        <f t="shared" si="352"/>
        <v>0.8</v>
      </c>
      <c r="U212">
        <f ca="1" t="shared" si="367"/>
        <v>1.7995442148</v>
      </c>
      <c r="V212">
        <f ca="1" t="shared" si="368"/>
        <v>5877754.32032523</v>
      </c>
      <c r="W212">
        <f ca="1">IF(G212="恒定伤害",0,MIN(1,IF(COUNTIF(F212,"*内会*")&gt;0,内会,IF(D212="轻剑",$Y$2,$Y$3)+COUNTIF(G212,"*莺鸣*")*0.2+COUNTIF(G212,"*叠1*")*0.1+COUNTIF(G212,"*叠2*")*0.2+COUNTIF(G212,"*叠3*")*0.3)+IFERROR(INDEX(技能数据库!$T$2:$W$27,MATCH(E212,技能数据库!$T$2:$T$27,0),2),0)+IF((IF(D212="轻剑",$AO$2,$AO$3)+INT(COUNTIF(G212,"*大莺鸣*")*IF(D212="轻剑",$AM$2,$AM$3)*听晓无双率)/无双系数)&gt;0.9,特效裤子会心/会心系数,0)))</f>
        <v>0.9343</v>
      </c>
      <c r="X212">
        <f ca="1">IF(G212="恒定伤害",0,IF(COUNTIF(F212,"*内会*")&gt;0,内会效,IF(D212="轻剑",$AB$2,$AB$3))+IFERROR(INDEX(技能数据库!$T$2:$W$27,MATCH(E212,技能数据库!$T$2:$T$27,0),3)/1024,0))+COUNTIF(G212,"*叠1*")*0.25+COUNTIF(G212,"*叠2*")*0.5+COUNTIF(G212,"*叠3*")*0.75</f>
        <v>2.8217485021</v>
      </c>
      <c r="Y212">
        <f ca="1" t="shared" si="369"/>
        <v>2.70205962551203</v>
      </c>
      <c r="Z212">
        <f t="shared" si="370"/>
        <v>0.150390625</v>
      </c>
      <c r="AA212">
        <f ca="1" t="shared" si="371"/>
        <v>0.0205078125</v>
      </c>
      <c r="AB212">
        <f ca="1" t="shared" si="372"/>
        <v>18645242.0304761</v>
      </c>
      <c r="AC212">
        <f ca="1">无穷技能数计算!AJ204</f>
        <v>0</v>
      </c>
      <c r="AD212" s="164">
        <f ca="1" t="shared" si="373"/>
        <v>0</v>
      </c>
      <c r="AE212" s="168">
        <f ca="1" t="shared" si="359"/>
        <v>0</v>
      </c>
      <c r="AF212" s="168">
        <f ca="1" t="shared" si="374"/>
        <v>0</v>
      </c>
      <c r="AG212">
        <f ca="1" t="shared" si="375"/>
        <v>0.000161012264749072</v>
      </c>
      <c r="AH212">
        <f ca="1" t="shared" si="376"/>
        <v>1</v>
      </c>
      <c r="AI212">
        <f ca="1" t="shared" si="377"/>
        <v>1.00016101226475</v>
      </c>
      <c r="AJ212">
        <f ca="1" t="shared" si="378"/>
        <v>0</v>
      </c>
      <c r="AK212">
        <f ca="1" t="shared" si="314"/>
        <v>0</v>
      </c>
      <c r="AL212">
        <f ca="1" t="shared" si="379"/>
        <v>0</v>
      </c>
      <c r="AM212">
        <f ca="1" t="shared" si="315"/>
        <v>0</v>
      </c>
      <c r="AN212" s="168">
        <f ca="1" t="shared" si="360"/>
        <v>0.00694449658447471</v>
      </c>
      <c r="AO212" s="168">
        <f ca="1" t="shared" si="380"/>
        <v>0.00447057613551372</v>
      </c>
      <c r="AP212" s="172">
        <f ca="1" t="shared" si="381"/>
        <v>0</v>
      </c>
      <c r="AQ212" s="168">
        <f ca="1" t="shared" si="382"/>
        <v>0.00401583628616287</v>
      </c>
      <c r="AR212">
        <f t="shared" si="383"/>
        <v>1</v>
      </c>
    </row>
    <row r="213" spans="4:44">
      <c r="D213" t="s">
        <v>1825</v>
      </c>
      <c r="E213" s="161" t="s">
        <v>2859</v>
      </c>
      <c r="G213" t="s">
        <v>3109</v>
      </c>
      <c r="H213">
        <f ca="1">INDEX(技能数据库!$B$2:$I$100,MATCH(无穷伤害与收益计算!$E213,技能数据库!$B$2:$B$100,0),MATCH(H$9,技能数据库!$B$2:$I$2,0))</f>
        <v>1955936</v>
      </c>
      <c r="I213">
        <f ca="1">INDEX(技能数据库!$B$2:$I$100,MATCH(无穷伤害与收益计算!$E213,技能数据库!$B$2:$B$100,0),MATCH(I$9,技能数据库!$B$2:$I$2,0))</f>
        <v>0</v>
      </c>
      <c r="J213">
        <f ca="1">INDEX(技能数据库!$B$2:$I$100,MATCH(无穷伤害与收益计算!$E213,技能数据库!$B$2:$B$100,0),MATCH(J$9,技能数据库!$B$2:$I$2,0))</f>
        <v>0</v>
      </c>
      <c r="K213">
        <f ca="1">INDEX(技能数据库!$B$2:$I$100,MATCH(无穷伤害与收益计算!$E213,技能数据库!$B$2:$B$100,0),MATCH(K$9,技能数据库!$B$2:$I$2,0))</f>
        <v>0</v>
      </c>
      <c r="L213">
        <f ca="1" t="shared" si="358"/>
        <v>105847</v>
      </c>
      <c r="M213">
        <f ca="1" t="shared" si="361"/>
        <v>19530.5</v>
      </c>
      <c r="N213">
        <f ca="1" t="shared" si="362"/>
        <v>92028</v>
      </c>
      <c r="O213">
        <f ca="1" t="shared" si="363"/>
        <v>1955936</v>
      </c>
      <c r="P213">
        <f ca="1">IF(G213="恒定伤害",0,(IF(D213="轻剑",$AZ$2,$AZ$3)+IFERROR(INDEX(技能数据库!$T$2:$W$27,MATCH(E213,技能数据库!$T$2:$T$27,0),4),0)+COUNTIF(G213,"*造化2*")*154+COUNTIF(G213,"*造化1*")*102+COUNTIF(G213,"*碧归*")*307)/1024)</f>
        <v>0.176868146929785</v>
      </c>
      <c r="Q213">
        <f ca="1" t="shared" si="364"/>
        <v>0.448284482196154</v>
      </c>
      <c r="R213">
        <f ca="1" t="shared" si="365"/>
        <v>0.21277697966198</v>
      </c>
      <c r="S213">
        <f ca="1" t="shared" si="366"/>
        <v>2624424.66940335</v>
      </c>
      <c r="T213">
        <f t="shared" si="352"/>
        <v>0.8</v>
      </c>
      <c r="U213">
        <f ca="1" t="shared" si="367"/>
        <v>1.7995442148</v>
      </c>
      <c r="V213">
        <f ca="1" t="shared" si="368"/>
        <v>5877754.32032523</v>
      </c>
      <c r="W213">
        <f ca="1">IF(G213="恒定伤害",0,MIN(1,IF(COUNTIF(F213,"*内会*")&gt;0,内会,IF(D213="轻剑",$Y$2,$Y$3)+COUNTIF(G213,"*莺鸣*")*0.2+COUNTIF(G213,"*叠1*")*0.1+COUNTIF(G213,"*叠2*")*0.2+COUNTIF(G213,"*叠3*")*0.3)+IFERROR(INDEX(技能数据库!$T$2:$W$27,MATCH(E213,技能数据库!$T$2:$T$27,0),2),0)+IF((IF(D213="轻剑",$AO$2,$AO$3)+INT(COUNTIF(G213,"*大莺鸣*")*IF(D213="轻剑",$AM$2,$AM$3)*听晓无双率)/无双系数)&gt;0.9,特效裤子会心/会心系数,0)))</f>
        <v>0.9343</v>
      </c>
      <c r="X213">
        <f ca="1">IF(G213="恒定伤害",0,IF(COUNTIF(F213,"*内会*")&gt;0,内会效,IF(D213="轻剑",$AB$2,$AB$3))+IFERROR(INDEX(技能数据库!$T$2:$W$27,MATCH(E213,技能数据库!$T$2:$T$27,0),3)/1024,0))+COUNTIF(G213,"*叠1*")*0.25+COUNTIF(G213,"*叠2*")*0.5+COUNTIF(G213,"*叠3*")*0.75</f>
        <v>2.8217485021</v>
      </c>
      <c r="Y213">
        <f ca="1" t="shared" si="369"/>
        <v>2.70205962551203</v>
      </c>
      <c r="Z213">
        <f t="shared" si="370"/>
        <v>0.150390625</v>
      </c>
      <c r="AA213">
        <f ca="1" t="shared" si="371"/>
        <v>0.0205078125</v>
      </c>
      <c r="AB213">
        <f ca="1" t="shared" si="372"/>
        <v>18645242.0304761</v>
      </c>
      <c r="AC213">
        <f ca="1">无穷技能数计算!AJ205</f>
        <v>0</v>
      </c>
      <c r="AD213" s="164">
        <f ca="1" t="shared" si="373"/>
        <v>0</v>
      </c>
      <c r="AE213" s="168">
        <f ca="1" t="shared" si="359"/>
        <v>0</v>
      </c>
      <c r="AF213" s="168">
        <f ca="1" t="shared" si="374"/>
        <v>0</v>
      </c>
      <c r="AG213">
        <f ca="1" t="shared" si="375"/>
        <v>0.000161012264749072</v>
      </c>
      <c r="AH213">
        <f ca="1" t="shared" si="376"/>
        <v>1</v>
      </c>
      <c r="AI213">
        <f ca="1" t="shared" si="377"/>
        <v>1.00016101226475</v>
      </c>
      <c r="AJ213">
        <f ca="1" t="shared" si="378"/>
        <v>0</v>
      </c>
      <c r="AK213">
        <f ca="1" t="shared" si="314"/>
        <v>0</v>
      </c>
      <c r="AL213">
        <f ca="1" t="shared" si="379"/>
        <v>0</v>
      </c>
      <c r="AM213">
        <f ca="1" t="shared" si="315"/>
        <v>0</v>
      </c>
      <c r="AN213" s="168">
        <f ca="1" t="shared" si="360"/>
        <v>0.00694449658447471</v>
      </c>
      <c r="AO213" s="168">
        <f ca="1" t="shared" si="380"/>
        <v>0.00447057613551372</v>
      </c>
      <c r="AP213" s="172">
        <f ca="1" t="shared" si="381"/>
        <v>0</v>
      </c>
      <c r="AQ213" s="168">
        <f ca="1" t="shared" si="382"/>
        <v>0.00401583628616287</v>
      </c>
      <c r="AR213">
        <f t="shared" si="383"/>
        <v>1</v>
      </c>
    </row>
    <row r="214" spans="4:44">
      <c r="D214" t="s">
        <v>1825</v>
      </c>
      <c r="E214" s="161" t="s">
        <v>2861</v>
      </c>
      <c r="G214" t="s">
        <v>3109</v>
      </c>
      <c r="H214">
        <f ca="1">INDEX(技能数据库!$B$2:$I$100,MATCH(无穷伤害与收益计算!$E214,技能数据库!$B$2:$B$100,0),MATCH(H$9,技能数据库!$B$2:$I$2,0))</f>
        <v>1344706</v>
      </c>
      <c r="I214">
        <f ca="1">INDEX(技能数据库!$B$2:$I$100,MATCH(无穷伤害与收益计算!$E214,技能数据库!$B$2:$B$100,0),MATCH(I$9,技能数据库!$B$2:$I$2,0))</f>
        <v>0</v>
      </c>
      <c r="J214">
        <f ca="1">INDEX(技能数据库!$B$2:$I$100,MATCH(无穷伤害与收益计算!$E214,技能数据库!$B$2:$B$100,0),MATCH(J$9,技能数据库!$B$2:$I$2,0))</f>
        <v>0</v>
      </c>
      <c r="K214">
        <f ca="1">INDEX(技能数据库!$B$2:$I$100,MATCH(无穷伤害与收益计算!$E214,技能数据库!$B$2:$B$100,0),MATCH(K$9,技能数据库!$B$2:$I$2,0))</f>
        <v>0</v>
      </c>
      <c r="L214">
        <f ca="1" t="shared" si="358"/>
        <v>105847</v>
      </c>
      <c r="M214">
        <f ca="1" t="shared" si="361"/>
        <v>19530.5</v>
      </c>
      <c r="N214">
        <f ca="1" t="shared" si="362"/>
        <v>92028</v>
      </c>
      <c r="O214">
        <f ca="1" t="shared" si="363"/>
        <v>1344706</v>
      </c>
      <c r="P214">
        <f ca="1">IF(G214="恒定伤害",0,(IF(D214="轻剑",$AZ$2,$AZ$3)+IFERROR(INDEX(技能数据库!$T$2:$W$27,MATCH(E214,技能数据库!$T$2:$T$27,0),4),0)+COUNTIF(G214,"*造化2*")*154+COUNTIF(G214,"*造化1*")*102+COUNTIF(G214,"*碧归*")*307)/1024)</f>
        <v>0.176868146929785</v>
      </c>
      <c r="Q214">
        <f ca="1" t="shared" si="364"/>
        <v>0.448284482196154</v>
      </c>
      <c r="R214">
        <f ca="1" t="shared" si="365"/>
        <v>0.21277697966198</v>
      </c>
      <c r="S214">
        <f ca="1" t="shared" si="366"/>
        <v>1804291.9602148</v>
      </c>
      <c r="T214">
        <f t="shared" si="352"/>
        <v>0.8</v>
      </c>
      <c r="U214">
        <f ca="1" t="shared" si="367"/>
        <v>1.7995442148</v>
      </c>
      <c r="V214">
        <f ca="1" t="shared" si="368"/>
        <v>4040956.0952236</v>
      </c>
      <c r="W214">
        <f ca="1">IF(G214="恒定伤害",0,MIN(1,IF(COUNTIF(F214,"*内会*")&gt;0,内会,IF(D214="轻剑",$Y$2,$Y$3)+COUNTIF(G214,"*莺鸣*")*0.2+COUNTIF(G214,"*叠1*")*0.1+COUNTIF(G214,"*叠2*")*0.2+COUNTIF(G214,"*叠3*")*0.3)+IFERROR(INDEX(技能数据库!$T$2:$W$27,MATCH(E214,技能数据库!$T$2:$T$27,0),2),0)+IF((IF(D214="轻剑",$AO$2,$AO$3)+INT(COUNTIF(G214,"*大莺鸣*")*IF(D214="轻剑",$AM$2,$AM$3)*听晓无双率)/无双系数)&gt;0.9,特效裤子会心/会心系数,0)))</f>
        <v>0.9343</v>
      </c>
      <c r="X214">
        <f ca="1">IF(G214="恒定伤害",0,IF(COUNTIF(F214,"*内会*")&gt;0,内会效,IF(D214="轻剑",$AB$2,$AB$3))+IFERROR(INDEX(技能数据库!$T$2:$W$27,MATCH(E214,技能数据库!$T$2:$T$27,0),3)/1024,0))+COUNTIF(G214,"*叠1*")*0.25+COUNTIF(G214,"*叠2*")*0.5+COUNTIF(G214,"*叠3*")*0.75</f>
        <v>2.8217485021</v>
      </c>
      <c r="Y214">
        <f ca="1" t="shared" si="369"/>
        <v>2.70205962551203</v>
      </c>
      <c r="Z214">
        <f t="shared" si="370"/>
        <v>0.150390625</v>
      </c>
      <c r="AA214">
        <f ca="1" t="shared" si="371"/>
        <v>0.0205078125</v>
      </c>
      <c r="AB214">
        <f ca="1" t="shared" si="372"/>
        <v>12818603.8959524</v>
      </c>
      <c r="AC214">
        <f ca="1">无穷技能数计算!AJ206</f>
        <v>0</v>
      </c>
      <c r="AD214" s="164">
        <f ca="1" t="shared" si="373"/>
        <v>0</v>
      </c>
      <c r="AE214" s="168">
        <f ca="1" t="shared" si="359"/>
        <v>0</v>
      </c>
      <c r="AF214" s="168">
        <f ca="1" t="shared" si="374"/>
        <v>0</v>
      </c>
      <c r="AG214">
        <f ca="1" t="shared" si="375"/>
        <v>0.000161012264749072</v>
      </c>
      <c r="AH214">
        <f ca="1" t="shared" si="376"/>
        <v>1</v>
      </c>
      <c r="AI214">
        <f ca="1" t="shared" si="377"/>
        <v>1.00016101226475</v>
      </c>
      <c r="AJ214">
        <f ca="1" t="shared" si="378"/>
        <v>0</v>
      </c>
      <c r="AK214">
        <f ca="1" t="shared" si="314"/>
        <v>0</v>
      </c>
      <c r="AL214">
        <f ca="1" t="shared" si="379"/>
        <v>0</v>
      </c>
      <c r="AM214">
        <f ca="1" t="shared" si="315"/>
        <v>0</v>
      </c>
      <c r="AN214" s="168">
        <f ca="1" t="shared" si="360"/>
        <v>0.00694449658447471</v>
      </c>
      <c r="AO214" s="168">
        <f ca="1" t="shared" si="380"/>
        <v>0.00447057613551372</v>
      </c>
      <c r="AP214" s="172">
        <f ca="1" t="shared" si="381"/>
        <v>0</v>
      </c>
      <c r="AQ214" s="168">
        <f ca="1" t="shared" si="382"/>
        <v>0.00401583628616287</v>
      </c>
      <c r="AR214">
        <f t="shared" si="383"/>
        <v>1</v>
      </c>
    </row>
    <row r="215" spans="4:44">
      <c r="D215" t="s">
        <v>1028</v>
      </c>
      <c r="E215" t="s">
        <v>2726</v>
      </c>
      <c r="G215" t="s">
        <v>3108</v>
      </c>
      <c r="H215">
        <f ca="1">INDEX(技能数据库!$B$2:$I$100,MATCH(无穷伤害与收益计算!$E215,技能数据库!$B$2:$B$100,0),MATCH(H$9,技能数据库!$B$2:$I$2,0))</f>
        <v>122</v>
      </c>
      <c r="I215">
        <f ca="1">INDEX(技能数据库!$B$2:$I$100,MATCH(无穷伤害与收益计算!$E215,技能数据库!$B$2:$B$100,0),MATCH(I$9,技能数据库!$B$2:$I$2,0))</f>
        <v>0.7</v>
      </c>
      <c r="J215">
        <f ca="1">INDEX(技能数据库!$B$2:$I$100,MATCH(无穷伤害与收益计算!$E215,技能数据库!$B$2:$B$100,0),MATCH(J$9,技能数据库!$B$2:$I$2,0))</f>
        <v>1</v>
      </c>
      <c r="K215">
        <f ca="1">INDEX(技能数据库!$B$2:$I$100,MATCH(无穷伤害与收益计算!$E215,技能数据库!$B$2:$B$100,0),MATCH(K$9,技能数据库!$B$2:$I$2,0))</f>
        <v>0</v>
      </c>
      <c r="L215">
        <f ca="1" t="shared" si="358"/>
        <v>105847</v>
      </c>
      <c r="M215">
        <f ca="1" t="shared" si="361"/>
        <v>12694.5</v>
      </c>
      <c r="N215">
        <f ca="1" t="shared" si="362"/>
        <v>92028</v>
      </c>
      <c r="O215">
        <f ca="1" t="shared" si="363"/>
        <v>86909.4</v>
      </c>
      <c r="P215">
        <f ca="1">IF(G215="恒定伤害",0,(IF(D215="轻剑",$AZ$2,$AZ$3)+IFERROR(INDEX(技能数据库!$T$2:$W$27,MATCH(E215,技能数据库!$T$2:$T$27,0),4),0)+COUNTIF(G215,"*造化2*")*154+COUNTIF(G215,"*造化1*")*102+COUNTIF(G215,"*碧归*")*307)/1024)</f>
        <v>0.197375959429785</v>
      </c>
      <c r="Q215">
        <f ca="1" t="shared" si="364"/>
        <v>0.448284482196154</v>
      </c>
      <c r="R215">
        <f ca="1" t="shared" si="365"/>
        <v>0.21277697966198</v>
      </c>
      <c r="S215">
        <f ca="1" t="shared" si="366"/>
        <v>118644.865623013</v>
      </c>
      <c r="T215">
        <f t="shared" si="352"/>
        <v>0.8</v>
      </c>
      <c r="U215">
        <f ca="1" t="shared" si="367"/>
        <v>1.7995442148</v>
      </c>
      <c r="V215">
        <f ca="1" t="shared" si="368"/>
        <v>265721.237736503</v>
      </c>
      <c r="W215">
        <f ca="1">IF(G215="恒定伤害",0,MIN(1,IF(COUNTIF(F215,"*内会*")&gt;0,内会,IF(D215="轻剑",$Y$2,$Y$3)+COUNTIF(G215,"*莺鸣*")*0.2+COUNTIF(G215,"*叠1*")*0.1+COUNTIF(G215,"*叠2*")*0.2+COUNTIF(G215,"*叠3*")*0.3)+IFERROR(INDEX(技能数据库!$T$2:$W$27,MATCH(E215,技能数据库!$T$2:$T$27,0),2),0)+IF((IF(D215="轻剑",$AO$2,$AO$3)+INT(COUNTIF(G215,"*大莺鸣*")*IF(D215="轻剑",$AM$2,$AM$3)*听晓无双率)/无双系数)&gt;0.9,特效裤子会心/会心系数,0)))</f>
        <v>0.8743</v>
      </c>
      <c r="X215">
        <f ca="1">IF(G215="恒定伤害",0,IF(COUNTIF(F215,"*内会*")&gt;0,内会效,IF(D215="轻剑",$AB$2,$AB$3))+IFERROR(INDEX(技能数据库!$T$2:$W$27,MATCH(E215,技能数据库!$T$2:$T$27,0),3)/1024,0))+COUNTIF(G215,"*叠1*")*0.25+COUNTIF(G215,"*叠2*")*0.5+COUNTIF(G215,"*叠3*")*0.75</f>
        <v>2.5717485021</v>
      </c>
      <c r="Y215">
        <f ca="1" t="shared" si="369"/>
        <v>2.37417971538603</v>
      </c>
      <c r="Z215">
        <f t="shared" si="370"/>
        <v>0.150390625</v>
      </c>
      <c r="AA215">
        <f ca="1" t="shared" si="371"/>
        <v>0.0205078125</v>
      </c>
      <c r="AB215">
        <f ca="1" t="shared" si="372"/>
        <v>740630.383441233</v>
      </c>
      <c r="AC215" s="171">
        <f ca="1">无穷技能数计算!AJ207</f>
        <v>0</v>
      </c>
      <c r="AD215" s="164">
        <f ca="1" t="shared" si="373"/>
        <v>0</v>
      </c>
      <c r="AE215" s="168">
        <f ca="1" t="shared" si="359"/>
        <v>0.00399496487146385</v>
      </c>
      <c r="AF215" s="168">
        <f ca="1" t="shared" si="374"/>
        <v>0.00686059275521405</v>
      </c>
      <c r="AG215">
        <f ca="1" t="shared" si="375"/>
        <v>0.00288675232648883</v>
      </c>
      <c r="AH215">
        <f ca="1" t="shared" si="376"/>
        <v>1.00272530125481</v>
      </c>
      <c r="AI215">
        <f ca="1" t="shared" si="377"/>
        <v>1.00016101226475</v>
      </c>
      <c r="AJ215">
        <f ca="1" t="shared" si="378"/>
        <v>0</v>
      </c>
      <c r="AK215">
        <f ca="1" t="shared" si="314"/>
        <v>0</v>
      </c>
      <c r="AL215">
        <f ca="1" t="shared" si="379"/>
        <v>0</v>
      </c>
      <c r="AM215">
        <f ca="1" t="shared" si="315"/>
        <v>0</v>
      </c>
      <c r="AN215" s="168">
        <f ca="1" t="shared" si="360"/>
        <v>0.00739598865487023</v>
      </c>
      <c r="AO215" s="168">
        <f ca="1" t="shared" si="380"/>
        <v>0.00447057613551372</v>
      </c>
      <c r="AP215" s="172">
        <f ca="1" t="shared" si="381"/>
        <v>0</v>
      </c>
      <c r="AQ215" s="168">
        <f ca="1" t="shared" si="382"/>
        <v>0.00401583628616287</v>
      </c>
      <c r="AR215">
        <f t="shared" si="383"/>
        <v>1</v>
      </c>
    </row>
    <row r="216" spans="4:44">
      <c r="D216" t="s">
        <v>1825</v>
      </c>
      <c r="E216" t="s">
        <v>2820</v>
      </c>
      <c r="G216" t="s">
        <v>2750</v>
      </c>
      <c r="H216">
        <f ca="1">INDEX(技能数据库!$B$2:$I$100,MATCH(无穷伤害与收益计算!$E216,技能数据库!$B$2:$B$100,0),MATCH(H$9,技能数据库!$B$2:$I$2,0))</f>
        <v>31590</v>
      </c>
      <c r="I216">
        <f ca="1">INDEX(技能数据库!$B$2:$I$100,MATCH(无穷伤害与收益计算!$E216,技能数据库!$B$2:$B$100,0),MATCH(I$9,技能数据库!$B$2:$I$2,0))</f>
        <v>0</v>
      </c>
      <c r="J216">
        <f ca="1">INDEX(技能数据库!$B$2:$I$100,MATCH(无穷伤害与收益计算!$E216,技能数据库!$B$2:$B$100,0),MATCH(J$9,技能数据库!$B$2:$I$2,0))</f>
        <v>0</v>
      </c>
      <c r="K216">
        <f ca="1">INDEX(技能数据库!$B$2:$I$100,MATCH(无穷伤害与收益计算!$E216,技能数据库!$B$2:$B$100,0),MATCH(K$9,技能数据库!$B$2:$I$2,0))</f>
        <v>0</v>
      </c>
      <c r="L216">
        <f ca="1" t="shared" si="358"/>
        <v>105847</v>
      </c>
      <c r="M216">
        <f ca="1" t="shared" ref="M216:M219" si="384">IF(D216="轻剑",$AU$2+$AV$2,$AU$3+$AV$3)/2</f>
        <v>19530.5</v>
      </c>
      <c r="N216">
        <f ca="1" t="shared" ref="N216:N219" si="385">IF(D216="轻剑",$AJ$2,$AJ$3)</f>
        <v>92028</v>
      </c>
      <c r="O216">
        <f ca="1" t="shared" ref="O216:O219" si="386">H216+I216*L216+J216*M216+IF(K216&gt;0,MAX(1,K216*N216*破招全局系数),0)</f>
        <v>31590</v>
      </c>
      <c r="P216">
        <f ca="1">IF(G216="恒定伤害",0,(IF(D216="轻剑",$AZ$2,$AZ$3)+IFERROR(INDEX(技能数据库!$T$2:$W$27,MATCH(E216,技能数据库!$T$2:$T$27,0),4),0)+COUNTIF(G216,"*造化2*")*154+COUNTIF(G216,"*造化1*")*102+COUNTIF(G216,"*碧归*")*307)/1024)</f>
        <v>0.176868146929785</v>
      </c>
      <c r="Q216">
        <f ca="1" t="shared" ref="Q216:Q219" si="387">IF(G216="恒定伤害",0,(IF(COUNTIF(F216,"*内破*")&gt;0,内破,IF(D216="轻剑",$AF$2,$AF$3)/破防系数))+IF((IF(D216="轻剑",$AO$2,$AO$3)+INT(COUNTIF(G216,"*大莺鸣*")*IF(D216="轻剑",$AM$2,$AM$3)*听晓无双率)/无双系数)&gt;0.9,(特效裤子破防+特效裤子破防*IF(D216="轻剑",$AD$2,$AD$3)/1024)/破防系数,0))</f>
        <v>0.448284482196154</v>
      </c>
      <c r="R216">
        <f ca="1" t="shared" ref="R216:R219" si="388">IF(G216="恒定伤害",0,(($F$5-IF(D216="轻剑",$BB$2,$BB$3))*(1024-IF(D216="轻剑",$BD$2,$BD$3))/1024*(1024-IF(D216="轻剑",$BC$2,$BC$3)-COUNTIF(G216,"*雾锁*")*461*雾锁)/1024/(($F$5-IF(D216="轻剑",$BB$2,$BB$3))*(1024-IF(D216="轻剑",$BD$2,$BD$3))/1024*(1024-IF(D216="轻剑",$BC$2,$BC$3)-COUNTIF(G216,"*雾锁*")*461*雾锁)/1024+$F$7)))</f>
        <v>0.21277697966198</v>
      </c>
      <c r="S216">
        <f ca="1" t="shared" ref="S216:S219" si="389">O216*(1+P216)*(1+Q216)*(1-R216)</f>
        <v>42386.6503333707</v>
      </c>
      <c r="T216">
        <f t="shared" si="352"/>
        <v>0.8</v>
      </c>
      <c r="U216">
        <f ca="1" t="shared" ref="U216:U219" si="390">IF(G216="恒定伤害",0,(IF(D216="轻剑",$AO$2,$AO$3)+INT(COUNTIF(G216,"*大莺鸣*")*IF(D216="轻剑",$AM$2,$AM$3)*听晓无双率)/无双系数)+IF((IF(D216="轻剑",$AO$2,$AO$3)+INT(COUNTIF(G216,"*大莺鸣*")*IF(D216="轻剑",$AM$2,$AM$3)*听晓无双率)/无双系数)&lt;=0.9,特效裤子无双,0))</f>
        <v>1.7995442148</v>
      </c>
      <c r="V216">
        <f ca="1" t="shared" ref="V216:V219" si="391">S216*T216*(1+U216)</f>
        <v>94930.6413804307</v>
      </c>
      <c r="W216">
        <f ca="1">IF(G216="恒定伤害",0,MIN(1,IF(COUNTIF(F216,"*内会*")&gt;0,内会,IF(D216="轻剑",$Y$2,$Y$3)+COUNTIF(G216,"*莺鸣*")*0.2+COUNTIF(G216,"*叠1*")*0.1+COUNTIF(G216,"*叠2*")*0.2+COUNTIF(G216,"*叠3*")*0.3)+IFERROR(INDEX(技能数据库!$T$2:$W$27,MATCH(E216,技能数据库!$T$2:$T$27,0),2),0)+IF((IF(D216="轻剑",$AO$2,$AO$3)+INT(COUNTIF(G216,"*大莺鸣*")*IF(D216="轻剑",$AM$2,$AM$3)*听晓无双率)/无双系数)&gt;0.9,特效裤子会心/会心系数,0)))</f>
        <v>0.7343</v>
      </c>
      <c r="X216">
        <f ca="1">IF(G216="恒定伤害",0,IF(COUNTIF(F216,"*内会*")&gt;0,内会效,IF(D216="轻剑",$AB$2,$AB$3))+IFERROR(INDEX(技能数据库!$T$2:$W$27,MATCH(E216,技能数据库!$T$2:$T$27,0),3)/1024,0))+COUNTIF(G216,"*叠1*")*0.25+COUNTIF(G216,"*叠2*")*0.5+COUNTIF(G216,"*叠3*")*0.75</f>
        <v>2.3217485021</v>
      </c>
      <c r="Y216">
        <f ca="1" t="shared" ref="Y216:Y219" si="392">1+W216*(X216-1)</f>
        <v>1.97055992509203</v>
      </c>
      <c r="Z216">
        <f t="shared" ref="Z216:Z219" si="393">IF(G216="恒定伤害",0,非侠士伤害/1024)</f>
        <v>0.150390625</v>
      </c>
      <c r="AA216">
        <f ca="1" t="shared" ref="AA216:AA219" si="394">IF(D216="轻剑",$BA$2,$BA$3)/1024</f>
        <v>0.0205078125</v>
      </c>
      <c r="AB216">
        <f ca="1" t="shared" ref="AB216:AB219" si="395">V216*Y216*(1+Z216)*(1+AA216)</f>
        <v>219612.840452997</v>
      </c>
      <c r="AC216">
        <f ca="1">无穷技能数计算!AJ208</f>
        <v>0</v>
      </c>
      <c r="AD216" s="164">
        <f ca="1" t="shared" ref="AD216:AD219" si="396">IFERROR(AB216*AC216/$AD$7,0)</f>
        <v>0</v>
      </c>
      <c r="AE216" s="168">
        <f ca="1" t="shared" si="359"/>
        <v>0</v>
      </c>
      <c r="AF216" s="168">
        <f ca="1" t="shared" ref="AF216:AF219" si="397">IFERROR((delta武伤+INT((IF(D216="轻剑",$AW$2,$AW$3))/1024*delta武伤))*J216/O216,0)</f>
        <v>0</v>
      </c>
      <c r="AG216">
        <f ca="1" t="shared" ref="AG216:AG219" si="398">IF(G216="恒定伤害",0,MAX(0,AH216*AI216*IF(AJ216=0,1,AJ216)-1))</f>
        <v>0.000161012264749072</v>
      </c>
      <c r="AH216">
        <f ca="1" t="shared" ref="AH216:AH219" si="399">IFERROR((delta身法+INT((IF(D216="轻剑",$N$2,$N$3))/1024*delta身法))*身法转额外攻击*I216/O216+1,0)</f>
        <v>1</v>
      </c>
      <c r="AI216">
        <f ca="1" t="shared" ref="AI216:AI219" si="400">IFERROR(((delta身法+INT((IF(D216="轻剑",$N$2,$N$3))/1024*delta身法))*身法转额外破防/破防系数+Q216+1)/(1+Q216),0)</f>
        <v>1.00016101226475</v>
      </c>
      <c r="AJ216">
        <f ca="1" t="shared" ref="AJ216:AJ219" si="401">IFERROR(((1+MIN(1,((delta身法+INT((IF(D216="轻剑",$N$2,$N$3))/1024*delta身法))*身法转基础会心/会心系数)+W216)*(X216-1))*AK216)/(Y216*AC216),0)</f>
        <v>0</v>
      </c>
      <c r="AK216">
        <f ca="1" t="shared" ref="AK216:AK219" si="402">AC216</f>
        <v>0</v>
      </c>
      <c r="AL216">
        <f ca="1" t="shared" ref="AL216:AL219" si="403">IF(G216="恒定伤害",0,IFERROR(((1+MIN(1,W216+delta会心/会心系数)*(X216-1))*AM216)/(Y216*AC216)-1,0))</f>
        <v>0</v>
      </c>
      <c r="AM216">
        <f ca="1" t="shared" ref="AM216:AM219" si="404">AC216</f>
        <v>0</v>
      </c>
      <c r="AN216" s="168">
        <f ca="1" t="shared" ref="AN216:AN219" si="405">IF(OR(COUNTIF(F216,"*内会*")&gt;0,G216="恒定伤害"),0,(1+W216*(MIN(3+COUNTIF(G216,"*叠*")*0.75,X216+delta会效/会效系数)-1))/Y216-1)</f>
        <v>0.00748399053993198</v>
      </c>
      <c r="AO216" s="168">
        <f ca="1" t="shared" ref="AO216:AO219" si="406">IF(OR(COUNTIF(F216,"*内破*")&gt;0,G216="恒定伤害"),0,IFERROR(((delta破防+INT((IF(D216="轻剑",$AD$2,$AD$3))/1024*delta破防))/破防系数+Q216+1)/(Q216+1)-1,0))</f>
        <v>0.00447057613551372</v>
      </c>
      <c r="AP216" s="172">
        <f ca="1" t="shared" ref="AP216:AP219" si="407">IFERROR((delta破招+INT((IF(D216="轻剑",$AI$2,$AI$3))/1024*delta破招))*K216*破招全局系数/MAX(1,O216),0)</f>
        <v>0</v>
      </c>
      <c r="AQ216" s="168">
        <f ca="1" t="shared" ref="AQ216:AQ219" si="408">IF(G216="恒定伤害",0,IFERROR(((delta无双+INT((IF(D216="轻剑",$AL$2,$AL$3)+COUNTIF(G216,"*大莺鸣*")*307)/1024*delta无双))/无双系数+U216+1)/(U216+1)-1,0))</f>
        <v>0.00401583628616287</v>
      </c>
      <c r="AR216">
        <f t="shared" ref="AR216:AR219" si="409">IF($AR$8="综合属性收益",1,COUNTIF(D216,LEFT($AR$8,2)))</f>
        <v>1</v>
      </c>
    </row>
    <row r="217" spans="4:44">
      <c r="D217" t="s">
        <v>1825</v>
      </c>
      <c r="E217" t="s">
        <v>2820</v>
      </c>
      <c r="G217" t="s">
        <v>3096</v>
      </c>
      <c r="H217">
        <f ca="1">INDEX(技能数据库!$B$2:$I$100,MATCH(无穷伤害与收益计算!$E217,技能数据库!$B$2:$B$100,0),MATCH(H$9,技能数据库!$B$2:$I$2,0))</f>
        <v>31590</v>
      </c>
      <c r="I217">
        <f ca="1">INDEX(技能数据库!$B$2:$I$100,MATCH(无穷伤害与收益计算!$E217,技能数据库!$B$2:$B$100,0),MATCH(I$9,技能数据库!$B$2:$I$2,0))</f>
        <v>0</v>
      </c>
      <c r="J217">
        <f ca="1">INDEX(技能数据库!$B$2:$I$100,MATCH(无穷伤害与收益计算!$E217,技能数据库!$B$2:$B$100,0),MATCH(J$9,技能数据库!$B$2:$I$2,0))</f>
        <v>0</v>
      </c>
      <c r="K217">
        <f ca="1">INDEX(技能数据库!$B$2:$I$100,MATCH(无穷伤害与收益计算!$E217,技能数据库!$B$2:$B$100,0),MATCH(K$9,技能数据库!$B$2:$I$2,0))</f>
        <v>0</v>
      </c>
      <c r="L217">
        <f ca="1" t="shared" si="358"/>
        <v>105847</v>
      </c>
      <c r="M217">
        <f ca="1" t="shared" si="384"/>
        <v>19530.5</v>
      </c>
      <c r="N217">
        <f ca="1" t="shared" si="385"/>
        <v>92028</v>
      </c>
      <c r="O217">
        <f ca="1" t="shared" si="386"/>
        <v>31590</v>
      </c>
      <c r="P217">
        <f ca="1">IF(G217="恒定伤害",0,(IF(D217="轻剑",$AZ$2,$AZ$3)+IFERROR(INDEX(技能数据库!$T$2:$W$27,MATCH(E217,技能数据库!$T$2:$T$27,0),4),0)+COUNTIF(G217,"*造化2*")*154+COUNTIF(G217,"*造化1*")*102+COUNTIF(G217,"*碧归*")*307)/1024)</f>
        <v>0.176868146929785</v>
      </c>
      <c r="Q217">
        <f ca="1" t="shared" si="387"/>
        <v>0.448284482196154</v>
      </c>
      <c r="R217">
        <f ca="1" t="shared" si="388"/>
        <v>0.21277697966198</v>
      </c>
      <c r="S217">
        <f ca="1" t="shared" si="389"/>
        <v>42386.6503333707</v>
      </c>
      <c r="T217">
        <f t="shared" si="352"/>
        <v>0.8</v>
      </c>
      <c r="U217">
        <f ca="1" t="shared" si="390"/>
        <v>1.7995442148</v>
      </c>
      <c r="V217">
        <f ca="1" t="shared" si="391"/>
        <v>94930.6413804307</v>
      </c>
      <c r="W217">
        <f ca="1">IF(G217="恒定伤害",0,MIN(1,IF(COUNTIF(F217,"*内会*")&gt;0,内会,IF(D217="轻剑",$Y$2,$Y$3)+COUNTIF(G217,"*莺鸣*")*0.2+COUNTIF(G217,"*叠1*")*0.1+COUNTIF(G217,"*叠2*")*0.2+COUNTIF(G217,"*叠3*")*0.3)+IFERROR(INDEX(技能数据库!$T$2:$W$27,MATCH(E217,技能数据库!$T$2:$T$27,0),2),0)+IF((IF(D217="轻剑",$AO$2,$AO$3)+INT(COUNTIF(G217,"*大莺鸣*")*IF(D217="轻剑",$AM$2,$AM$3)*听晓无双率)/无双系数)&gt;0.9,特效裤子会心/会心系数,0)))</f>
        <v>0.8343</v>
      </c>
      <c r="X217">
        <f ca="1">IF(G217="恒定伤害",0,IF(COUNTIF(F217,"*内会*")&gt;0,内会效,IF(D217="轻剑",$AB$2,$AB$3))+IFERROR(INDEX(技能数据库!$T$2:$W$27,MATCH(E217,技能数据库!$T$2:$T$27,0),3)/1024,0))+COUNTIF(G217,"*叠1*")*0.25+COUNTIF(G217,"*叠2*")*0.5+COUNTIF(G217,"*叠3*")*0.75</f>
        <v>2.5717485021</v>
      </c>
      <c r="Y217">
        <f ca="1" t="shared" si="392"/>
        <v>2.31130977530203</v>
      </c>
      <c r="Z217">
        <f t="shared" si="393"/>
        <v>0.150390625</v>
      </c>
      <c r="AA217">
        <f ca="1" t="shared" si="394"/>
        <v>0.0205078125</v>
      </c>
      <c r="AB217">
        <f ca="1" t="shared" si="395"/>
        <v>257588.362808683</v>
      </c>
      <c r="AC217">
        <f ca="1">无穷技能数计算!AJ209</f>
        <v>0</v>
      </c>
      <c r="AD217" s="164">
        <f ca="1" t="shared" si="396"/>
        <v>0</v>
      </c>
      <c r="AE217" s="168">
        <f ca="1" t="shared" si="359"/>
        <v>0</v>
      </c>
      <c r="AF217" s="168">
        <f ca="1" t="shared" si="397"/>
        <v>0</v>
      </c>
      <c r="AG217">
        <f ca="1" t="shared" si="398"/>
        <v>0.000161012264749072</v>
      </c>
      <c r="AH217">
        <f ca="1" t="shared" si="399"/>
        <v>1</v>
      </c>
      <c r="AI217">
        <f ca="1" t="shared" si="400"/>
        <v>1.00016101226475</v>
      </c>
      <c r="AJ217">
        <f ca="1" t="shared" si="401"/>
        <v>0</v>
      </c>
      <c r="AK217">
        <f ca="1" t="shared" si="402"/>
        <v>0</v>
      </c>
      <c r="AL217">
        <f ca="1" t="shared" si="403"/>
        <v>0</v>
      </c>
      <c r="AM217">
        <f ca="1" t="shared" si="404"/>
        <v>0</v>
      </c>
      <c r="AN217" s="168">
        <f ca="1" t="shared" si="405"/>
        <v>0.00724958982916823</v>
      </c>
      <c r="AO217" s="168">
        <f ca="1" t="shared" si="406"/>
        <v>0.00447057613551372</v>
      </c>
      <c r="AP217" s="172">
        <f ca="1" t="shared" si="407"/>
        <v>0</v>
      </c>
      <c r="AQ217" s="168">
        <f ca="1" t="shared" si="408"/>
        <v>0.00401583628616287</v>
      </c>
      <c r="AR217">
        <f t="shared" si="409"/>
        <v>1</v>
      </c>
    </row>
    <row r="218" spans="4:44">
      <c r="D218" t="s">
        <v>1825</v>
      </c>
      <c r="E218" t="s">
        <v>2820</v>
      </c>
      <c r="G218" t="s">
        <v>3097</v>
      </c>
      <c r="H218">
        <f ca="1">INDEX(技能数据库!$B$2:$I$100,MATCH(无穷伤害与收益计算!$E218,技能数据库!$B$2:$B$100,0),MATCH(H$9,技能数据库!$B$2:$I$2,0))</f>
        <v>31590</v>
      </c>
      <c r="I218">
        <f ca="1">INDEX(技能数据库!$B$2:$I$100,MATCH(无穷伤害与收益计算!$E218,技能数据库!$B$2:$B$100,0),MATCH(I$9,技能数据库!$B$2:$I$2,0))</f>
        <v>0</v>
      </c>
      <c r="J218">
        <f ca="1">INDEX(技能数据库!$B$2:$I$100,MATCH(无穷伤害与收益计算!$E218,技能数据库!$B$2:$B$100,0),MATCH(J$9,技能数据库!$B$2:$I$2,0))</f>
        <v>0</v>
      </c>
      <c r="K218">
        <f ca="1">INDEX(技能数据库!$B$2:$I$100,MATCH(无穷伤害与收益计算!$E218,技能数据库!$B$2:$B$100,0),MATCH(K$9,技能数据库!$B$2:$I$2,0))</f>
        <v>0</v>
      </c>
      <c r="L218">
        <f ca="1" t="shared" si="358"/>
        <v>105847</v>
      </c>
      <c r="M218">
        <f ca="1" t="shared" si="384"/>
        <v>19530.5</v>
      </c>
      <c r="N218">
        <f ca="1" t="shared" si="385"/>
        <v>92028</v>
      </c>
      <c r="O218">
        <f ca="1" t="shared" si="386"/>
        <v>31590</v>
      </c>
      <c r="P218">
        <f ca="1">IF(G218="恒定伤害",0,(IF(D218="轻剑",$AZ$2,$AZ$3)+IFERROR(INDEX(技能数据库!$T$2:$W$27,MATCH(E218,技能数据库!$T$2:$T$27,0),4),0)+COUNTIF(G218,"*造化2*")*154+COUNTIF(G218,"*造化1*")*102+COUNTIF(G218,"*碧归*")*307)/1024)</f>
        <v>0.176868146929785</v>
      </c>
      <c r="Q218">
        <f ca="1" t="shared" si="387"/>
        <v>0.448284482196154</v>
      </c>
      <c r="R218">
        <f ca="1" t="shared" si="388"/>
        <v>0.21277697966198</v>
      </c>
      <c r="S218">
        <f ca="1" t="shared" si="389"/>
        <v>42386.6503333707</v>
      </c>
      <c r="T218">
        <f t="shared" si="352"/>
        <v>0.8</v>
      </c>
      <c r="U218">
        <f ca="1" t="shared" si="390"/>
        <v>1.7995442148</v>
      </c>
      <c r="V218">
        <f ca="1" t="shared" si="391"/>
        <v>94930.6413804307</v>
      </c>
      <c r="W218">
        <f ca="1">IF(G218="恒定伤害",0,MIN(1,IF(COUNTIF(F218,"*内会*")&gt;0,内会,IF(D218="轻剑",$Y$2,$Y$3)+COUNTIF(G218,"*莺鸣*")*0.2+COUNTIF(G218,"*叠1*")*0.1+COUNTIF(G218,"*叠2*")*0.2+COUNTIF(G218,"*叠3*")*0.3)+IFERROR(INDEX(技能数据库!$T$2:$W$27,MATCH(E218,技能数据库!$T$2:$T$27,0),2),0)+IF((IF(D218="轻剑",$AO$2,$AO$3)+INT(COUNTIF(G218,"*大莺鸣*")*IF(D218="轻剑",$AM$2,$AM$3)*听晓无双率)/无双系数)&gt;0.9,特效裤子会心/会心系数,0)))</f>
        <v>0.9343</v>
      </c>
      <c r="X218">
        <f ca="1">IF(G218="恒定伤害",0,IF(COUNTIF(F218,"*内会*")&gt;0,内会效,IF(D218="轻剑",$AB$2,$AB$3))+IFERROR(INDEX(技能数据库!$T$2:$W$27,MATCH(E218,技能数据库!$T$2:$T$27,0),3)/1024,0))+COUNTIF(G218,"*叠1*")*0.25+COUNTIF(G218,"*叠2*")*0.5+COUNTIF(G218,"*叠3*")*0.75</f>
        <v>2.8217485021</v>
      </c>
      <c r="Y218">
        <f ca="1" t="shared" si="392"/>
        <v>2.70205962551203</v>
      </c>
      <c r="Z218">
        <f t="shared" si="393"/>
        <v>0.150390625</v>
      </c>
      <c r="AA218">
        <f ca="1" t="shared" si="394"/>
        <v>0.0205078125</v>
      </c>
      <c r="AB218">
        <f ca="1" t="shared" si="395"/>
        <v>301136.231319809</v>
      </c>
      <c r="AC218">
        <f ca="1">无穷技能数计算!AJ210</f>
        <v>0</v>
      </c>
      <c r="AD218" s="164">
        <f ca="1" t="shared" si="396"/>
        <v>0</v>
      </c>
      <c r="AE218" s="168">
        <f ca="1" t="shared" si="359"/>
        <v>0</v>
      </c>
      <c r="AF218" s="168">
        <f ca="1" t="shared" si="397"/>
        <v>0</v>
      </c>
      <c r="AG218">
        <f ca="1" t="shared" si="398"/>
        <v>0.000161012264749072</v>
      </c>
      <c r="AH218">
        <f ca="1" t="shared" si="399"/>
        <v>1</v>
      </c>
      <c r="AI218">
        <f ca="1" t="shared" si="400"/>
        <v>1.00016101226475</v>
      </c>
      <c r="AJ218">
        <f ca="1" t="shared" si="401"/>
        <v>0</v>
      </c>
      <c r="AK218">
        <f ca="1" t="shared" si="402"/>
        <v>0</v>
      </c>
      <c r="AL218">
        <f ca="1" t="shared" si="403"/>
        <v>0</v>
      </c>
      <c r="AM218">
        <f ca="1" t="shared" si="404"/>
        <v>0</v>
      </c>
      <c r="AN218" s="168">
        <f ca="1" t="shared" si="405"/>
        <v>0.00694449658447471</v>
      </c>
      <c r="AO218" s="168">
        <f ca="1" t="shared" si="406"/>
        <v>0.00447057613551372</v>
      </c>
      <c r="AP218" s="172">
        <f ca="1" t="shared" si="407"/>
        <v>0</v>
      </c>
      <c r="AQ218" s="168">
        <f ca="1" t="shared" si="408"/>
        <v>0.00401583628616287</v>
      </c>
      <c r="AR218">
        <f t="shared" si="409"/>
        <v>1</v>
      </c>
    </row>
    <row r="219" spans="4:44">
      <c r="D219" t="s">
        <v>1825</v>
      </c>
      <c r="E219" t="s">
        <v>2820</v>
      </c>
      <c r="G219" t="s">
        <v>3099</v>
      </c>
      <c r="H219">
        <f ca="1">INDEX(技能数据库!$B$2:$I$100,MATCH(无穷伤害与收益计算!$E219,技能数据库!$B$2:$B$100,0),MATCH(H$9,技能数据库!$B$2:$I$2,0))</f>
        <v>31590</v>
      </c>
      <c r="I219">
        <f ca="1">INDEX(技能数据库!$B$2:$I$100,MATCH(无穷伤害与收益计算!$E219,技能数据库!$B$2:$B$100,0),MATCH(I$9,技能数据库!$B$2:$I$2,0))</f>
        <v>0</v>
      </c>
      <c r="J219">
        <f ca="1">INDEX(技能数据库!$B$2:$I$100,MATCH(无穷伤害与收益计算!$E219,技能数据库!$B$2:$B$100,0),MATCH(J$9,技能数据库!$B$2:$I$2,0))</f>
        <v>0</v>
      </c>
      <c r="K219">
        <f ca="1">INDEX(技能数据库!$B$2:$I$100,MATCH(无穷伤害与收益计算!$E219,技能数据库!$B$2:$B$100,0),MATCH(K$9,技能数据库!$B$2:$I$2,0))</f>
        <v>0</v>
      </c>
      <c r="L219">
        <f ca="1" t="shared" si="358"/>
        <v>105847</v>
      </c>
      <c r="M219">
        <f ca="1" t="shared" si="384"/>
        <v>19530.5</v>
      </c>
      <c r="N219">
        <f ca="1" t="shared" si="385"/>
        <v>92028</v>
      </c>
      <c r="O219">
        <f ca="1" t="shared" si="386"/>
        <v>31590</v>
      </c>
      <c r="P219">
        <f ca="1">IF(G219="恒定伤害",0,(IF(D219="轻剑",$AZ$2,$AZ$3)+IFERROR(INDEX(技能数据库!$T$2:$W$27,MATCH(E219,技能数据库!$T$2:$T$27,0),4),0)+COUNTIF(G219,"*造化2*")*154+COUNTIF(G219,"*造化1*")*102+COUNTIF(G219,"*碧归*")*307)/1024)</f>
        <v>0.176868146929785</v>
      </c>
      <c r="Q219">
        <f ca="1" t="shared" si="387"/>
        <v>0.448284482196154</v>
      </c>
      <c r="R219">
        <f ca="1" t="shared" si="388"/>
        <v>0.21277697966198</v>
      </c>
      <c r="S219">
        <f ca="1" t="shared" si="389"/>
        <v>42386.6503333707</v>
      </c>
      <c r="T219">
        <f t="shared" si="352"/>
        <v>0.8</v>
      </c>
      <c r="U219">
        <f ca="1" t="shared" si="390"/>
        <v>1.7995442148</v>
      </c>
      <c r="V219">
        <f ca="1" t="shared" si="391"/>
        <v>94930.6413804307</v>
      </c>
      <c r="W219">
        <f ca="1">IF(G219="恒定伤害",0,MIN(1,IF(COUNTIF(F219,"*内会*")&gt;0,内会,IF(D219="轻剑",$Y$2,$Y$3)+COUNTIF(G219,"*莺鸣*")*0.2+COUNTIF(G219,"*叠1*")*0.1+COUNTIF(G219,"*叠2*")*0.2+COUNTIF(G219,"*叠3*")*0.3)+IFERROR(INDEX(技能数据库!$T$2:$W$27,MATCH(E219,技能数据库!$T$2:$T$27,0),2),0)+IF((IF(D219="轻剑",$AO$2,$AO$3)+INT(COUNTIF(G219,"*大莺鸣*")*IF(D219="轻剑",$AM$2,$AM$3)*听晓无双率)/无双系数)&gt;0.9,特效裤子会心/会心系数,0)))</f>
        <v>1</v>
      </c>
      <c r="X219">
        <f ca="1">IF(G219="恒定伤害",0,IF(COUNTIF(F219,"*内会*")&gt;0,内会效,IF(D219="轻剑",$AB$2,$AB$3))+IFERROR(INDEX(技能数据库!$T$2:$W$27,MATCH(E219,技能数据库!$T$2:$T$27,0),3)/1024,0))+COUNTIF(G219,"*叠1*")*0.25+COUNTIF(G219,"*叠2*")*0.5+COUNTIF(G219,"*叠3*")*0.75</f>
        <v>3.0717485021</v>
      </c>
      <c r="Y219">
        <f ca="1" t="shared" si="392"/>
        <v>3.0717485021</v>
      </c>
      <c r="Z219">
        <f t="shared" si="393"/>
        <v>0.150390625</v>
      </c>
      <c r="AA219">
        <f ca="1" t="shared" si="394"/>
        <v>0.0205078125</v>
      </c>
      <c r="AB219">
        <f ca="1" t="shared" si="395"/>
        <v>342336.919123084</v>
      </c>
      <c r="AC219" s="171">
        <f ca="1">无穷技能数计算!AJ211</f>
        <v>0</v>
      </c>
      <c r="AD219" s="164">
        <f ca="1" t="shared" si="396"/>
        <v>0</v>
      </c>
      <c r="AE219" s="168">
        <f ca="1" t="shared" si="359"/>
        <v>0</v>
      </c>
      <c r="AF219" s="168">
        <f ca="1" t="shared" si="397"/>
        <v>0</v>
      </c>
      <c r="AG219">
        <f ca="1" t="shared" si="398"/>
        <v>0.000161012264749072</v>
      </c>
      <c r="AH219">
        <f ca="1" t="shared" si="399"/>
        <v>1</v>
      </c>
      <c r="AI219">
        <f ca="1" t="shared" si="400"/>
        <v>1.00016101226475</v>
      </c>
      <c r="AJ219">
        <f ca="1" t="shared" si="401"/>
        <v>0</v>
      </c>
      <c r="AK219">
        <f ca="1" t="shared" si="402"/>
        <v>0</v>
      </c>
      <c r="AL219">
        <f ca="1" t="shared" si="403"/>
        <v>0</v>
      </c>
      <c r="AM219">
        <f ca="1" t="shared" si="404"/>
        <v>0</v>
      </c>
      <c r="AN219" s="168">
        <f ca="1" t="shared" si="405"/>
        <v>0.00653828267501666</v>
      </c>
      <c r="AO219" s="168">
        <f ca="1" t="shared" si="406"/>
        <v>0.00447057613551372</v>
      </c>
      <c r="AP219" s="172">
        <f ca="1" t="shared" si="407"/>
        <v>0</v>
      </c>
      <c r="AQ219" s="168">
        <f ca="1" t="shared" si="408"/>
        <v>0.00401583628616287</v>
      </c>
      <c r="AR219">
        <f t="shared" si="409"/>
        <v>1</v>
      </c>
    </row>
  </sheetData>
  <conditionalFormatting sqref="BF10:BF1048576">
    <cfRule type="expression" dxfId="5" priority="1">
      <formula>IF(ROUND(BF10,5)&lt;&gt;ROUND(BE10,5),1,0)=1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C219"/>
  <sheetViews>
    <sheetView topLeftCell="D1" workbookViewId="0">
      <pane xSplit="4" ySplit="9" topLeftCell="H10" activePane="bottomRight" state="frozen"/>
      <selection/>
      <selection pane="topRight"/>
      <selection pane="bottomLeft"/>
      <selection pane="bottomRight" activeCell="I17" sqref="I17:K17"/>
    </sheetView>
  </sheetViews>
  <sheetFormatPr defaultColWidth="9" defaultRowHeight="16.8"/>
  <cols>
    <col min="1" max="1" width="9.25" customWidth="1"/>
    <col min="2" max="2" width="15.375" customWidth="1"/>
    <col min="3" max="4" width="5.25" customWidth="1"/>
    <col min="5" max="5" width="13.5" customWidth="1"/>
    <col min="6" max="6" width="11" customWidth="1"/>
    <col min="7" max="7" width="16.25" customWidth="1"/>
    <col min="8" max="8" width="17.25" customWidth="1"/>
    <col min="9" max="9" width="15.125" customWidth="1"/>
    <col min="10" max="10" width="11" customWidth="1"/>
    <col min="11" max="11" width="17.25" customWidth="1"/>
    <col min="12" max="12" width="11" customWidth="1"/>
    <col min="13" max="13" width="9" customWidth="1"/>
    <col min="14" max="14" width="11" customWidth="1"/>
    <col min="15" max="16" width="9" customWidth="1"/>
    <col min="17" max="17" width="11" customWidth="1"/>
    <col min="18" max="18" width="9" customWidth="1"/>
    <col min="19" max="20" width="15.125" customWidth="1"/>
    <col min="21" max="22" width="13" customWidth="1"/>
    <col min="23" max="23" width="7.125" customWidth="1"/>
    <col min="24" max="25" width="9" customWidth="1"/>
    <col min="26" max="26" width="12.75" customWidth="1"/>
    <col min="27" max="27" width="9" customWidth="1"/>
    <col min="28" max="28" width="9.5" customWidth="1"/>
    <col min="29" max="29" width="8.875" customWidth="1"/>
    <col min="30" max="30" width="12.125" customWidth="1"/>
    <col min="31" max="31" width="13" customWidth="1"/>
    <col min="32" max="32" width="11" customWidth="1"/>
    <col min="33" max="33" width="9" customWidth="1"/>
    <col min="34" max="36" width="15.125" customWidth="1"/>
    <col min="37" max="37" width="11.625" customWidth="1"/>
    <col min="38" max="38" width="13" customWidth="1"/>
    <col min="39" max="40" width="11" customWidth="1"/>
    <col min="41" max="41" width="15.375" customWidth="1"/>
    <col min="42" max="42" width="10.5" customWidth="1"/>
    <col min="43" max="43" width="13" customWidth="1"/>
    <col min="44" max="45" width="11" customWidth="1"/>
    <col min="46" max="46" width="9" customWidth="1"/>
    <col min="47" max="48" width="11" customWidth="1"/>
    <col min="49" max="51" width="15.125" customWidth="1"/>
    <col min="52" max="52" width="18.875" customWidth="1"/>
    <col min="53" max="53" width="14.25" customWidth="1"/>
    <col min="54" max="54" width="13" customWidth="1"/>
    <col min="55" max="55" width="9" customWidth="1"/>
    <col min="56" max="56" width="15.125" customWidth="1"/>
    <col min="57" max="57" width="16.625" customWidth="1"/>
    <col min="58" max="58" width="11" customWidth="1"/>
    <col min="59" max="59" width="9" customWidth="1"/>
    <col min="60" max="60" width="7.125" customWidth="1"/>
    <col min="63" max="63" width="11.625" customWidth="1"/>
    <col min="66" max="66" width="12.75" customWidth="1"/>
    <col min="68" max="68" width="12.75" customWidth="1"/>
    <col min="70" max="70" width="12.75" customWidth="1"/>
    <col min="73" max="73" width="12.75" customWidth="1"/>
    <col min="77" max="77" width="12.75" customWidth="1"/>
    <col min="82" max="82" width="12.75" customWidth="1"/>
    <col min="85" max="85" width="12.75" customWidth="1"/>
    <col min="88" max="88" width="12.75" customWidth="1"/>
    <col min="91" max="91" width="12.75" customWidth="1"/>
    <col min="94" max="94" width="12.75" customWidth="1"/>
    <col min="96" max="96" width="12.75" customWidth="1"/>
    <col min="100" max="100" width="21.5" customWidth="1"/>
  </cols>
  <sheetData>
    <row r="1" s="160" customFormat="1" spans="2:107">
      <c r="B1" s="160" t="s">
        <v>1988</v>
      </c>
      <c r="C1" s="160" t="s">
        <v>1989</v>
      </c>
      <c r="D1" s="160" t="s">
        <v>1990</v>
      </c>
      <c r="E1" s="160" t="s">
        <v>1991</v>
      </c>
      <c r="F1" s="160" t="s">
        <v>1992</v>
      </c>
      <c r="G1" s="160" t="s">
        <v>1993</v>
      </c>
      <c r="H1" s="160" t="s">
        <v>1994</v>
      </c>
      <c r="I1" s="160" t="s">
        <v>1995</v>
      </c>
      <c r="J1" s="160" t="s">
        <v>1996</v>
      </c>
      <c r="K1" s="160" t="s">
        <v>1997</v>
      </c>
      <c r="L1" s="160" t="s">
        <v>229</v>
      </c>
      <c r="M1" s="160" t="s">
        <v>1998</v>
      </c>
      <c r="N1" s="160" t="s">
        <v>1999</v>
      </c>
      <c r="O1" s="160" t="s">
        <v>2000</v>
      </c>
      <c r="P1" s="160" t="s">
        <v>2001</v>
      </c>
      <c r="Q1" s="160" t="s">
        <v>2002</v>
      </c>
      <c r="R1" s="160" t="s">
        <v>2003</v>
      </c>
      <c r="S1" s="160" t="s">
        <v>2004</v>
      </c>
      <c r="T1" s="160" t="s">
        <v>2005</v>
      </c>
      <c r="U1" s="160" t="s">
        <v>2006</v>
      </c>
      <c r="V1" s="160" t="s">
        <v>2007</v>
      </c>
      <c r="W1" s="160" t="s">
        <v>2008</v>
      </c>
      <c r="X1" s="160" t="s">
        <v>2009</v>
      </c>
      <c r="Y1" s="160" t="s">
        <v>2010</v>
      </c>
      <c r="Z1" s="160" t="s">
        <v>2011</v>
      </c>
      <c r="AA1" s="160" t="s">
        <v>2012</v>
      </c>
      <c r="AB1" s="160" t="s">
        <v>2013</v>
      </c>
      <c r="AC1" s="160" t="s">
        <v>2014</v>
      </c>
      <c r="AD1" s="160" t="s">
        <v>2015</v>
      </c>
      <c r="AE1" s="160" t="s">
        <v>2016</v>
      </c>
      <c r="AF1" s="160" t="s">
        <v>2017</v>
      </c>
      <c r="AG1" s="160" t="s">
        <v>2018</v>
      </c>
      <c r="AH1" s="160" t="s">
        <v>2019</v>
      </c>
      <c r="AI1" s="160" t="s">
        <v>2020</v>
      </c>
      <c r="AJ1" s="160" t="s">
        <v>2021</v>
      </c>
      <c r="AK1" s="160" t="s">
        <v>2022</v>
      </c>
      <c r="AL1" s="160" t="s">
        <v>2023</v>
      </c>
      <c r="AM1" s="160" t="s">
        <v>2024</v>
      </c>
      <c r="AN1" s="160" t="s">
        <v>2025</v>
      </c>
      <c r="AO1" s="160" t="s">
        <v>2026</v>
      </c>
      <c r="AP1" s="160" t="s">
        <v>2027</v>
      </c>
      <c r="AQ1" s="160" t="s">
        <v>2028</v>
      </c>
      <c r="AR1" s="160" t="s">
        <v>2029</v>
      </c>
      <c r="AS1" s="160" t="s">
        <v>2030</v>
      </c>
      <c r="AT1" s="160" t="s">
        <v>2031</v>
      </c>
      <c r="AU1" s="160" t="s">
        <v>2032</v>
      </c>
      <c r="AV1" s="160" t="s">
        <v>2033</v>
      </c>
      <c r="AW1" s="160" t="s">
        <v>2034</v>
      </c>
      <c r="AX1" s="160" t="s">
        <v>2035</v>
      </c>
      <c r="AY1" s="160" t="s">
        <v>2036</v>
      </c>
      <c r="AZ1" s="160" t="s">
        <v>2037</v>
      </c>
      <c r="BA1" s="160" t="s">
        <v>2038</v>
      </c>
      <c r="BB1" s="160" t="s">
        <v>2039</v>
      </c>
      <c r="BC1" s="160" t="s">
        <v>2040</v>
      </c>
      <c r="BD1" s="160" t="s">
        <v>2041</v>
      </c>
      <c r="BE1" s="160" t="s">
        <v>2042</v>
      </c>
      <c r="BF1" s="160" t="s">
        <v>2043</v>
      </c>
      <c r="BG1" s="160" t="s">
        <v>2044</v>
      </c>
      <c r="BH1" s="160" t="s">
        <v>2045</v>
      </c>
    </row>
    <row r="2" s="161" customFormat="1" spans="2:107">
      <c r="B2" s="159" t="s">
        <v>2508</v>
      </c>
      <c r="C2" s="161">
        <f>额外属性!C7</f>
        <v>0</v>
      </c>
      <c r="D2" s="161">
        <f>额外属性!D7</f>
        <v>0</v>
      </c>
      <c r="E2" s="161">
        <f ca="1">额外属性!E7-E$4</f>
        <v>218067</v>
      </c>
      <c r="F2" s="161">
        <f ca="1">额外属性!F7-F$4</f>
        <v>0</v>
      </c>
      <c r="G2" s="161">
        <f ca="1">额外属性!G7-G$4</f>
        <v>112978</v>
      </c>
      <c r="H2" s="161">
        <f ca="1">额外属性!H7-H$4</f>
        <v>358</v>
      </c>
      <c r="I2" s="159">
        <f ca="1" t="shared" ref="I2:I3" si="0">G2+E2*10</f>
        <v>2293648</v>
      </c>
      <c r="J2" s="161">
        <f ca="1">额外属性!J7-J$4</f>
        <v>0</v>
      </c>
      <c r="K2" s="161">
        <f ca="1">额外属性!K7-K$4</f>
        <v>0</v>
      </c>
      <c r="L2" s="159">
        <f ca="1" t="shared" ref="L2:L3" si="1">INT((I2)+INT(H2*(I2)/1024)+J2+INT(((I2)+INT(H2*(I2)/1024)+J2)*K2/1024))</f>
        <v>3095528</v>
      </c>
      <c r="M2" s="161">
        <f ca="1">额外属性!M7-M$4</f>
        <v>10684</v>
      </c>
      <c r="N2" s="161">
        <f ca="1">额外属性!N7-N$4</f>
        <v>0</v>
      </c>
      <c r="O2" s="159">
        <f ca="1">M2+INT(M2*N2/1024)</f>
        <v>10684</v>
      </c>
      <c r="P2" s="161">
        <f ca="1">额外属性!P7-P$4</f>
        <v>361</v>
      </c>
      <c r="Q2" s="161">
        <f ca="1">额外属性!Q7-Q$4</f>
        <v>0</v>
      </c>
      <c r="R2" s="159">
        <f ca="1">P2+INT(P2*Q2/1024)</f>
        <v>361</v>
      </c>
      <c r="S2" s="161">
        <f ca="1">额外属性!S7-S$4</f>
        <v>69237</v>
      </c>
      <c r="T2" s="161">
        <f ca="1">额外属性!T7-T$4</f>
        <v>51</v>
      </c>
      <c r="U2" s="159">
        <f ca="1">(INT(R2*力道转基础攻击)+S2)</f>
        <v>69295</v>
      </c>
      <c r="V2" s="159">
        <f ca="1">U2+INT(O2*身法转额外攻击)+INT(U2*T2/1024)</f>
        <v>91975</v>
      </c>
      <c r="W2" s="161">
        <f ca="1">额外属性!W7-W$4</f>
        <v>129620</v>
      </c>
      <c r="X2" s="161">
        <f ca="1">额外属性!X7-X$4</f>
        <v>0</v>
      </c>
      <c r="Y2" s="162">
        <f ca="1">ROUND((W2+INT(O2*身法转基础会心))/会心系数+X2,4)</f>
        <v>0.7043</v>
      </c>
      <c r="Z2" s="161">
        <f ca="1">额外属性!Z7-Z$4</f>
        <v>13632</v>
      </c>
      <c r="AA2" s="161">
        <f ca="1">额外属性!AA7-额外属性!AA9*额外属性!BH9+额外属性!AA9*3-AA$4</f>
        <v>246</v>
      </c>
      <c r="AB2" s="163">
        <f ca="1">ROUND(1.75+Z2/会效系数+AA2/1024,10)</f>
        <v>2.1773735021</v>
      </c>
      <c r="AC2" s="161">
        <f ca="1">额外属性!AC7-AC$4</f>
        <v>98191.2857142857</v>
      </c>
      <c r="AD2" s="161">
        <f ca="1">额外属性!AD7-AD$4</f>
        <v>0</v>
      </c>
      <c r="AE2" s="159">
        <f ca="1">AC2+INT(R2*力道转基础破防)</f>
        <v>98299.2857142857</v>
      </c>
      <c r="AF2" s="159">
        <f ca="1">AE2+INT(O2*身法转额外破防)+INT(AE2*AD2/1024)</f>
        <v>101293.285714286</v>
      </c>
      <c r="AG2" s="161">
        <f ca="1">额外属性!AG7-AG$4</f>
        <v>0</v>
      </c>
      <c r="AH2" s="161">
        <f ca="1">额外属性!AH7-AH$4</f>
        <v>92028</v>
      </c>
      <c r="AI2" s="161">
        <f ca="1">额外属性!AI7-AI$4</f>
        <v>0</v>
      </c>
      <c r="AJ2" s="159">
        <f ca="1" t="shared" ref="AJ2:AJ3" si="2">AH2+INT(AH2*AI2/1024)+AG2*全能转破招</f>
        <v>92028</v>
      </c>
      <c r="AK2" s="161">
        <f ca="1">额外属性!AK7-AK$4</f>
        <v>231568.824643414</v>
      </c>
      <c r="AL2" s="161">
        <f ca="1">额外属性!AL7-AL$4</f>
        <v>25.5</v>
      </c>
      <c r="AM2" s="159">
        <f ca="1" t="shared" ref="AM2:AM3" si="3">(AK2+INT(AK2*AL2/1024)+AG2*全能转无双)</f>
        <v>237334.824643414</v>
      </c>
      <c r="AN2" s="161">
        <f ca="1">额外属性!AN7-AN$4</f>
        <v>0</v>
      </c>
      <c r="AO2" s="163">
        <f ca="1">ROUND(AM2/无双系数+AN2/1024,10)</f>
        <v>1.7800129648</v>
      </c>
      <c r="AP2" s="161">
        <f ca="1">额外属性!AP7-AP$4</f>
        <v>14505</v>
      </c>
      <c r="AQ2" s="161">
        <f ca="1">额外属性!AQ7-AQ$4</f>
        <v>0</v>
      </c>
      <c r="AR2" s="159">
        <f ca="1" t="shared" ref="AR2:AR3" si="4">(AP2+INT(AP2*AQ2/1024))</f>
        <v>14505</v>
      </c>
      <c r="AS2" s="161">
        <f ca="1">额外属性!AS7-AS$4</f>
        <v>82</v>
      </c>
      <c r="AT2" s="163">
        <f ca="1">ROUND(AR2/急速系数+AS2/1024,10)</f>
        <v>0.149123908</v>
      </c>
      <c r="AU2" s="161">
        <f ca="1">额外属性!AU7-AU$4</f>
        <v>9521</v>
      </c>
      <c r="AV2" s="161">
        <f ca="1">额外属性!AV7-AV$4</f>
        <v>15868</v>
      </c>
      <c r="AW2" s="161">
        <f ca="1">额外属性!AW7-AW$4</f>
        <v>0</v>
      </c>
      <c r="AX2" s="159">
        <f ca="1" t="shared" ref="AX2:AX3" si="5">AU2+INT(AU2*AW2/1024)</f>
        <v>9521</v>
      </c>
      <c r="AY2" s="159">
        <f ca="1" t="shared" ref="AY2:AY3" si="6">AX2+AV2-AU2</f>
        <v>15868</v>
      </c>
      <c r="AZ2" s="161">
        <f ca="1">ROUND(额外属性!AZ7-AZ$4,10)</f>
        <v>17.1129824561</v>
      </c>
      <c r="BA2" s="161">
        <f ca="1">额外属性!BA7-BA$4</f>
        <v>21</v>
      </c>
      <c r="BB2" s="161">
        <f ca="1">额外属性!BB7-BB$4</f>
        <v>4655</v>
      </c>
      <c r="BC2" s="161">
        <f ca="1">额外属性!BC7-BC$4</f>
        <v>0</v>
      </c>
      <c r="BD2" s="161">
        <f ca="1">额外属性!BD7-BD$4</f>
        <v>34</v>
      </c>
      <c r="BE2" s="161">
        <f>额外属性!BE7</f>
        <v>0</v>
      </c>
    </row>
    <row r="3" s="161" customFormat="1" spans="2:107">
      <c r="B3" s="159" t="s">
        <v>2509</v>
      </c>
      <c r="C3" s="161">
        <f>额外属性!C8</f>
        <v>0</v>
      </c>
      <c r="D3" s="161">
        <f>额外属性!D8</f>
        <v>0</v>
      </c>
      <c r="E3" s="161">
        <f ca="1">额外属性!E8-E$4</f>
        <v>218067</v>
      </c>
      <c r="F3" s="161">
        <f ca="1">额外属性!F8-F$4</f>
        <v>0</v>
      </c>
      <c r="G3" s="161">
        <f ca="1">额外属性!G8-G$4</f>
        <v>112978</v>
      </c>
      <c r="H3" s="161">
        <f ca="1">额外属性!H8-H$4</f>
        <v>358</v>
      </c>
      <c r="I3" s="159">
        <f ca="1" t="shared" si="0"/>
        <v>2293648</v>
      </c>
      <c r="J3" s="161">
        <f ca="1">额外属性!J8-J$4</f>
        <v>0</v>
      </c>
      <c r="K3" s="161">
        <f ca="1">额外属性!K8-K$4</f>
        <v>0</v>
      </c>
      <c r="L3" s="159">
        <f ca="1" t="shared" si="1"/>
        <v>3095528</v>
      </c>
      <c r="M3" s="161">
        <f ca="1">额外属性!M8-M$4</f>
        <v>10684</v>
      </c>
      <c r="N3" s="161">
        <f ca="1">额外属性!N8-N$4</f>
        <v>0</v>
      </c>
      <c r="O3" s="159">
        <f ca="1" t="shared" ref="O3" si="7">M3+INT(M3*N3/1024)</f>
        <v>10684</v>
      </c>
      <c r="P3" s="161">
        <f ca="1">额外属性!P8-P$4</f>
        <v>361</v>
      </c>
      <c r="Q3" s="161">
        <f ca="1">额外属性!Q8-Q$4</f>
        <v>0</v>
      </c>
      <c r="R3" s="159">
        <f ca="1" t="shared" ref="R3" si="8">P3+INT(P3*Q3/1024)</f>
        <v>361</v>
      </c>
      <c r="S3" s="161">
        <f ca="1">额外属性!S8-S$4</f>
        <v>69237</v>
      </c>
      <c r="T3" s="161">
        <f ca="1">额外属性!T8-T$4</f>
        <v>51</v>
      </c>
      <c r="U3" s="159">
        <f ca="1" t="shared" ref="U3" si="9">(INT(R3*力道转基础攻击)+S3)</f>
        <v>69295</v>
      </c>
      <c r="V3" s="159">
        <f ca="1" t="shared" ref="V3" si="10">U3+INT(O3*身法转额外攻击)+INT(U3*T3/1024)</f>
        <v>91975</v>
      </c>
      <c r="W3" s="161">
        <f ca="1">额外属性!W8-W$4</f>
        <v>129620</v>
      </c>
      <c r="X3" s="161">
        <f ca="1">额外属性!X8-X$4</f>
        <v>0</v>
      </c>
      <c r="Y3" s="162">
        <f ca="1">ROUND((W3+INT(O3*身法转基础会心))/会心系数+X3,4)</f>
        <v>0.7043</v>
      </c>
      <c r="Z3" s="161">
        <f ca="1">额外属性!Z8-Z$4</f>
        <v>13632</v>
      </c>
      <c r="AA3" s="161">
        <f ca="1">额外属性!AA8-额外属性!AA9*额外属性!BH9+额外属性!AA9*3-AA$4</f>
        <v>246</v>
      </c>
      <c r="AB3" s="163">
        <f ca="1">ROUND(1.75+Z3/会效系数+AA3/1024,10)</f>
        <v>2.1773735021</v>
      </c>
      <c r="AC3" s="161">
        <f ca="1">额外属性!AC8-AC$4</f>
        <v>98191.2857142857</v>
      </c>
      <c r="AD3" s="161">
        <f ca="1">额外属性!AD8-AD$4</f>
        <v>0</v>
      </c>
      <c r="AE3" s="159">
        <f ca="1" t="shared" ref="AE3" si="11">AC3+INT(R3*力道转基础破防)</f>
        <v>98299.2857142857</v>
      </c>
      <c r="AF3" s="159">
        <f ca="1" t="shared" ref="AF3" si="12">AE3+INT(O3*身法转额外破防)+INT(AE3*AD3/1024)</f>
        <v>101293.285714286</v>
      </c>
      <c r="AG3" s="161">
        <f ca="1">额外属性!AG8-AG$4</f>
        <v>0</v>
      </c>
      <c r="AH3" s="161">
        <f ca="1">额外属性!AH8-AH$4</f>
        <v>92028</v>
      </c>
      <c r="AI3" s="161">
        <f ca="1">额外属性!AI8-AI$4</f>
        <v>0</v>
      </c>
      <c r="AJ3" s="159">
        <f ca="1" t="shared" si="2"/>
        <v>92028</v>
      </c>
      <c r="AK3" s="161">
        <f ca="1">额外属性!AK8-AK$4</f>
        <v>231568.824643414</v>
      </c>
      <c r="AL3" s="161">
        <f ca="1">额外属性!AL8-AL$4</f>
        <v>25.5</v>
      </c>
      <c r="AM3" s="159">
        <f ca="1" t="shared" si="3"/>
        <v>237334.824643414</v>
      </c>
      <c r="AN3" s="161">
        <f ca="1">额外属性!AN8-AN$4</f>
        <v>0</v>
      </c>
      <c r="AO3" s="163">
        <f ca="1">ROUND(AM3/无双系数+AN3/1024,10)</f>
        <v>1.7800129648</v>
      </c>
      <c r="AP3" s="161">
        <f ca="1">额外属性!AP8-AP$4</f>
        <v>14505</v>
      </c>
      <c r="AQ3" s="161">
        <f ca="1">额外属性!AQ8-AQ$4</f>
        <v>0</v>
      </c>
      <c r="AR3" s="159">
        <f ca="1" t="shared" si="4"/>
        <v>14505</v>
      </c>
      <c r="AS3" s="161">
        <f ca="1">额外属性!AS8-AS$4</f>
        <v>82</v>
      </c>
      <c r="AT3" s="163">
        <f ca="1">ROUND(AR3/急速系数+AS3/1024,10)</f>
        <v>0.149123908</v>
      </c>
      <c r="AU3" s="161">
        <f ca="1">额外属性!AU8-AU$4</f>
        <v>14648</v>
      </c>
      <c r="AV3" s="161">
        <f ca="1">额外属性!AV8-AV$4</f>
        <v>24413</v>
      </c>
      <c r="AW3" s="161">
        <f ca="1">额外属性!AW8-AW$4</f>
        <v>0</v>
      </c>
      <c r="AX3" s="159">
        <f ca="1" t="shared" si="5"/>
        <v>14648</v>
      </c>
      <c r="AY3" s="159">
        <f ca="1" t="shared" si="6"/>
        <v>24413</v>
      </c>
      <c r="AZ3" s="161">
        <f ca="1">ROUND(额外属性!AZ8-AZ$4,10)</f>
        <v>119.1129824561</v>
      </c>
      <c r="BA3" s="161">
        <f ca="1">额外属性!BA8-BA$4</f>
        <v>21</v>
      </c>
      <c r="BB3" s="161">
        <f ca="1">额外属性!BB8-BB$4</f>
        <v>4655</v>
      </c>
      <c r="BC3" s="161">
        <f ca="1">额外属性!BC8-BC$4</f>
        <v>0</v>
      </c>
      <c r="BD3" s="161">
        <f ca="1">额外属性!BD8-BD$4</f>
        <v>34</v>
      </c>
      <c r="BE3" s="161">
        <f>额外属性!BE8</f>
        <v>0</v>
      </c>
    </row>
    <row r="4" s="160" customFormat="1" spans="2:107">
      <c r="D4" s="160" t="s">
        <v>3161</v>
      </c>
      <c r="E4" s="160">
        <f ca="1">SUMPRODUCT(额外属性!E$141:E$166,额外属性!$BG$141:$BG$166,额外属性!$BE$141:$BE$166,额外属性!$BH$141:$BH$166)</f>
        <v>0</v>
      </c>
      <c r="F4" s="160">
        <f ca="1">SUMPRODUCT(额外属性!F$141:F$166,额外属性!$BG$141:$BG$166,额外属性!$BE$141:$BE$166,额外属性!$BH$141:$BH$166)</f>
        <v>0</v>
      </c>
      <c r="G4" s="160">
        <f ca="1">SUMPRODUCT(额外属性!G$141:G$166,额外属性!$BG$141:$BG$166,额外属性!$BE$141:$BE$166,额外属性!$BH$141:$BH$166)</f>
        <v>0</v>
      </c>
      <c r="H4" s="160">
        <f ca="1">SUMPRODUCT(额外属性!H$141:H$166,额外属性!$BG$141:$BG$166,额外属性!$BE$141:$BE$166,额外属性!$BH$141:$BH$166)</f>
        <v>0</v>
      </c>
      <c r="I4" s="160">
        <f ca="1">SUMPRODUCT(额外属性!I$141:I$166,额外属性!$BG$141:$BG$166,额外属性!$BE$141:$BE$166,额外属性!$BH$141:$BH$166)</f>
        <v>0</v>
      </c>
      <c r="J4" s="160">
        <f ca="1">SUMPRODUCT(额外属性!J$141:J$166,额外属性!$BG$141:$BG$166,额外属性!$BE$141:$BE$166,额外属性!$BH$141:$BH$166)</f>
        <v>0</v>
      </c>
      <c r="K4" s="160">
        <f ca="1">SUMPRODUCT(额外属性!K$141:K$166,额外属性!$BG$141:$BG$166,额外属性!$BE$141:$BE$166,额外属性!$BH$141:$BH$166)</f>
        <v>0</v>
      </c>
      <c r="L4" s="160">
        <f ca="1">SUMPRODUCT(额外属性!L$141:L$166,额外属性!$BG$141:$BG$166,额外属性!$BE$141:$BE$166,额外属性!$BH$141:$BH$166)</f>
        <v>0</v>
      </c>
      <c r="M4" s="160">
        <f ca="1">SUMPRODUCT(额外属性!M$141:M$166,额外属性!$BG$141:$BG$166,额外属性!$BE$141:$BE$166,额外属性!$BH$141:$BH$166)</f>
        <v>0</v>
      </c>
      <c r="N4" s="160">
        <f ca="1">SUMPRODUCT(额外属性!N$141:N$166,额外属性!$BG$141:$BG$166,额外属性!$BE$141:$BE$166,额外属性!$BH$141:$BH$166)</f>
        <v>0</v>
      </c>
      <c r="O4" s="160">
        <f ca="1">SUMPRODUCT(额外属性!O$141:O$166,额外属性!$BG$141:$BG$166,额外属性!$BE$141:$BE$166,额外属性!$BH$141:$BH$166)</f>
        <v>0</v>
      </c>
      <c r="P4" s="160">
        <f ca="1">SUMPRODUCT(额外属性!P$141:P$166,额外属性!$BG$141:$BG$166,额外属性!$BE$141:$BE$166,额外属性!$BH$141:$BH$166)</f>
        <v>0</v>
      </c>
      <c r="Q4" s="160">
        <f ca="1">SUMPRODUCT(额外属性!Q$141:Q$166,额外属性!$BG$141:$BG$166,额外属性!$BE$141:$BE$166,额外属性!$BH$141:$BH$166)</f>
        <v>0</v>
      </c>
      <c r="R4" s="160">
        <f ca="1">SUMPRODUCT(额外属性!R$141:R$166,额外属性!$BG$141:$BG$166,额外属性!$BE$141:$BE$166,额外属性!$BH$141:$BH$166)</f>
        <v>0</v>
      </c>
      <c r="S4" s="160">
        <f ca="1">SUMPRODUCT(额外属性!S$141:S$166,额外属性!$BG$141:$BG$166,额外属性!$BE$141:$BE$166,额外属性!$BH$141:$BH$166)</f>
        <v>0</v>
      </c>
      <c r="T4" s="160">
        <f ca="1">SUMPRODUCT(额外属性!T$141:T$166,额外属性!$BG$141:$BG$166,额外属性!$BE$141:$BE$166,额外属性!$BH$141:$BH$166)</f>
        <v>0</v>
      </c>
      <c r="U4" s="160">
        <f ca="1">SUMPRODUCT(额外属性!U$141:U$166,额外属性!$BG$141:$BG$166,额外属性!$BE$141:$BE$166,额外属性!$BH$141:$BH$166)</f>
        <v>0</v>
      </c>
      <c r="V4" s="160">
        <f ca="1">SUMPRODUCT(额外属性!V$141:V$166,额外属性!$BG$141:$BG$166,额外属性!$BE$141:$BE$166,额外属性!$BH$141:$BH$166)</f>
        <v>0</v>
      </c>
      <c r="W4" s="160">
        <f ca="1">SUMPRODUCT(额外属性!W$141:W$166,额外属性!$BG$141:$BG$166,额外属性!$BE$141:$BE$166,额外属性!$BH$141:$BH$166)</f>
        <v>0</v>
      </c>
      <c r="X4" s="160">
        <f ca="1">SUMPRODUCT(额外属性!X$141:X$166,额外属性!$BG$141:$BG$166,额外属性!$BE$141:$BE$166,额外属性!$BH$141:$BH$166)</f>
        <v>0.03</v>
      </c>
      <c r="Y4" s="160">
        <f ca="1">SUMPRODUCT(额外属性!Y$141:Y$166,额外属性!$BG$141:$BG$166,额外属性!$BE$141:$BE$166,额外属性!$BH$141:$BH$166)</f>
        <v>0</v>
      </c>
      <c r="Z4" s="160">
        <f ca="1">SUMPRODUCT(额外属性!Z$141:Z$166,额外属性!$BG$141:$BG$166,额外属性!$BE$141:$BE$166,额外属性!$BH$141:$BH$166)</f>
        <v>0</v>
      </c>
      <c r="AA4" s="160">
        <f ca="1">SUMPRODUCT(额外属性!AA$141:AA$166,额外属性!$BG$141:$BG$166,额外属性!$BE$141:$BE$166,额外属性!$BH$141:$BH$166)</f>
        <v>147.84</v>
      </c>
      <c r="AB4" s="160">
        <f ca="1">SUMPRODUCT(额外属性!AB$141:AB$166,额外属性!$BG$141:$BG$166,额外属性!$BE$141:$BE$166,额外属性!$BH$141:$BH$166)</f>
        <v>0</v>
      </c>
      <c r="AC4" s="160">
        <f ca="1">SUMPRODUCT(额外属性!AC$141:AC$166,额外属性!$BG$141:$BG$166,额外属性!$BE$141:$BE$166,额外属性!$BH$141:$BH$166)</f>
        <v>0</v>
      </c>
      <c r="AD4" s="160">
        <f ca="1">SUMPRODUCT(额外属性!AD$141:AD$166,额外属性!$BG$141:$BG$166,额外属性!$BE$141:$BE$166,额外属性!$BH$141:$BH$166)</f>
        <v>0</v>
      </c>
      <c r="AE4" s="160">
        <f ca="1">SUMPRODUCT(额外属性!AE$141:AE$166,额外属性!$BG$141:$BG$166,额外属性!$BE$141:$BE$166,额外属性!$BH$141:$BH$166)</f>
        <v>0</v>
      </c>
      <c r="AF4" s="160">
        <f ca="1">SUMPRODUCT(额外属性!AF$141:AF$166,额外属性!$BG$141:$BG$166,额外属性!$BE$141:$BE$166,额外属性!$BH$141:$BH$166)</f>
        <v>0</v>
      </c>
      <c r="AG4" s="160">
        <f ca="1">SUMPRODUCT(额外属性!AG$141:AG$166,额外属性!$BG$141:$BG$166,额外属性!$BE$141:$BE$166,额外属性!$BH$141:$BH$166)</f>
        <v>0</v>
      </c>
      <c r="AH4" s="160">
        <f ca="1">SUMPRODUCT(额外属性!AH$141:AH$166,额外属性!$BG$141:$BG$166,额外属性!$BE$141:$BE$166,额外属性!$BH$141:$BH$166)</f>
        <v>0</v>
      </c>
      <c r="AI4" s="160">
        <f ca="1">SUMPRODUCT(额外属性!AI$141:AI$166,额外属性!$BG$141:$BG$166,额外属性!$BE$141:$BE$166,额外属性!$BH$141:$BH$166)</f>
        <v>0</v>
      </c>
      <c r="AJ4" s="160">
        <f ca="1">SUMPRODUCT(额外属性!AJ$141:AJ$166,额外属性!$BG$141:$BG$166,额外属性!$BE$141:$BE$166,额外属性!$BH$141:$BH$166)</f>
        <v>0</v>
      </c>
      <c r="AK4" s="160">
        <f ca="1">SUMPRODUCT(额外属性!AK$141:AK$166,额外属性!$BG$141:$BG$166,额外属性!$BE$141:$BE$166,额外属性!$BH$141:$BH$166)</f>
        <v>0</v>
      </c>
      <c r="AL4" s="160">
        <f ca="1">SUMPRODUCT(额外属性!AL$141:AL$166,额外属性!$BG$141:$BG$166,额外属性!$BE$141:$BE$166,额外属性!$BH$141:$BH$166)</f>
        <v>0</v>
      </c>
      <c r="AM4" s="160">
        <f ca="1">SUMPRODUCT(额外属性!AM$141:AM$166,额外属性!$BG$141:$BG$166,额外属性!$BE$141:$BE$166,额外属性!$BH$141:$BH$166)</f>
        <v>0</v>
      </c>
      <c r="AN4" s="160">
        <f ca="1">SUMPRODUCT(额外属性!AN$141:AN$166,额外属性!$BG$141:$BG$166,额外属性!$BE$141:$BE$166,额外属性!$BH$141:$BH$166)</f>
        <v>20</v>
      </c>
      <c r="AO4" s="160">
        <f ca="1">SUMPRODUCT(额外属性!AO$141:AO$166,额外属性!$BG$141:$BG$166,额外属性!$BE$141:$BE$166,额外属性!$BH$141:$BH$166)</f>
        <v>0</v>
      </c>
      <c r="AP4" s="160">
        <f ca="1">SUMPRODUCT(额外属性!AP$141:AP$166,额外属性!$BG$141:$BG$166,额外属性!$BE$141:$BE$166,额外属性!$BH$141:$BH$166)</f>
        <v>0</v>
      </c>
      <c r="AQ4" s="160">
        <f ca="1">SUMPRODUCT(额外属性!AQ$141:AQ$166,额外属性!$BG$141:$BG$166,额外属性!$BE$141:$BE$166,额外属性!$BH$141:$BH$166)</f>
        <v>0</v>
      </c>
      <c r="AR4" s="160">
        <f ca="1">SUMPRODUCT(额外属性!AR$141:AR$166,额外属性!$BG$141:$BG$166,额外属性!$BE$141:$BE$166,额外属性!$BH$141:$BH$166)</f>
        <v>0</v>
      </c>
      <c r="AS4" s="160">
        <f ca="1">SUMPRODUCT(额外属性!AS$141:AS$166,额外属性!$BG$141:$BG$166,额外属性!$BE$141:$BE$166,额外属性!$BH$141:$BH$166)</f>
        <v>0</v>
      </c>
      <c r="AT4" s="160">
        <f ca="1">SUMPRODUCT(额外属性!AT$141:AT$166,额外属性!$BG$141:$BG$166,额外属性!$BE$141:$BE$166,额外属性!$BH$141:$BH$166)</f>
        <v>0</v>
      </c>
      <c r="AU4" s="160">
        <f ca="1">SUMPRODUCT(额外属性!AU$141:AU$166,额外属性!$BG$141:$BG$166,额外属性!$BE$141:$BE$166,额外属性!$BH$141:$BH$166)</f>
        <v>0</v>
      </c>
      <c r="AV4" s="160">
        <f ca="1">SUMPRODUCT(额外属性!AV$141:AV$166,额外属性!$BG$141:$BG$166,额外属性!$BE$141:$BE$166,额外属性!$BH$141:$BH$166)</f>
        <v>0</v>
      </c>
      <c r="AW4" s="160">
        <f ca="1">SUMPRODUCT(额外属性!AW$141:AW$166,额外属性!$BG$141:$BG$166,额外属性!$BE$141:$BE$166,额外属性!$BH$141:$BH$166)</f>
        <v>0</v>
      </c>
      <c r="AX4" s="160">
        <f ca="1">SUMPRODUCT(额外属性!AX$141:AX$166,额外属性!$BG$141:$BG$166,额外属性!$BE$141:$BE$166,额外属性!$BH$141:$BH$166)</f>
        <v>0</v>
      </c>
      <c r="AY4" s="160">
        <f ca="1">SUMPRODUCT(额外属性!AY$141:AY$166,额外属性!$BG$141:$BG$166,额外属性!$BE$141:$BE$166,额外属性!$BH$141:$BH$166)</f>
        <v>0</v>
      </c>
      <c r="AZ4" s="160">
        <f ca="1">SUMPRODUCT(额外属性!AZ$141:AZ$166,额外属性!$BG$141:$BG$166,额外属性!$BE$141:$BE$166,额外属性!$BH$141:$BH$166)</f>
        <v>62</v>
      </c>
      <c r="BA4" s="160">
        <f ca="1">SUMPRODUCT(额外属性!BA$141:BA$166,额外属性!$BG$141:$BG$166,额外属性!$BE$141:$BE$166,额外属性!$BH$141:$BH$166)</f>
        <v>0</v>
      </c>
      <c r="BB4" s="160">
        <f ca="1">SUMPRODUCT(额外属性!BB$141:BB$166,额外属性!$BG$141:$BG$166,额外属性!$BE$141:$BE$166,额外属性!$BH$141:$BH$166)</f>
        <v>0</v>
      </c>
      <c r="BC4" s="160">
        <f ca="1">SUMPRODUCT(额外属性!BC$141:BC$166,额外属性!$BG$141:$BG$166,额外属性!$BE$141:$BE$166,额外属性!$BH$141:$BH$166)</f>
        <v>0</v>
      </c>
      <c r="BD4" s="160">
        <f ca="1">SUMPRODUCT(额外属性!BD$141:BD$166,额外属性!$BG$141:$BG$166,额外属性!$BE$141:$BE$166,额外属性!$BH$141:$BH$166)</f>
        <v>0</v>
      </c>
    </row>
    <row r="5" spans="2:107">
      <c r="E5" t="s">
        <v>3118</v>
      </c>
      <c r="F5">
        <f>INDEX(技能数据库!$Z$16:$AB$23,MATCH(配装计算器!$K$31,技能数据库!$Z$16:$Z$23,0),2)</f>
        <v>83679</v>
      </c>
    </row>
    <row r="6" spans="2:107">
      <c r="E6" t="s">
        <v>3119</v>
      </c>
      <c r="F6">
        <f>INDEX(技能数据库!$Z$16:$AB$23,MATCH(配装计算器!$K$31,技能数据库!$Z$16:$Z$23,0),3)</f>
        <v>134</v>
      </c>
      <c r="AE6" t="s">
        <v>2654</v>
      </c>
      <c r="AF6" t="s">
        <v>3121</v>
      </c>
      <c r="AH6">
        <f ca="1">SUMPRODUCT($AG$10:$AG$1048576,$AL$10:$AL$1048576)</f>
        <v>2800875726.91125</v>
      </c>
      <c r="AI6">
        <f ca="1">AH6/MAX(无穷最小总时间,无穷技能数计算!$AS$1)</f>
        <v>14018397.0315879</v>
      </c>
      <c r="AJ6" s="164"/>
      <c r="AM6" t="s">
        <v>3162</v>
      </c>
      <c r="AN6">
        <f ca="1">SUMPRODUCT(AN10:AN1048576,AO10:AO1048576)</f>
        <v>2819860980.1751</v>
      </c>
      <c r="AO6">
        <f ca="1">AN6/MAX(无穷最小总时间,无穷技能数计算!$AS$1)</f>
        <v>14113418.3191947</v>
      </c>
      <c r="AP6" t="s">
        <v>2659</v>
      </c>
      <c r="AQ6">
        <f ca="1">SUMPRODUCT(AR10:AR1048576,AC10:AC1048576)</f>
        <v>2781750501.499</v>
      </c>
      <c r="AR6">
        <f ca="1">AQ6/MAX(无穷最小总时间,无穷技能数计算!$AS$1)</f>
        <v>13922675.1826777</v>
      </c>
      <c r="AS6" t="s">
        <v>3163</v>
      </c>
      <c r="AU6">
        <f ca="1">SUMPRODUCT(AW10:AW1048576,AT10:AT1048576)</f>
        <v>2766770982.35188</v>
      </c>
      <c r="AV6">
        <f ca="1">AU6/MAX(无穷最小总时间,无穷技能数计算!$AS$1)</f>
        <v>13847702.6143738</v>
      </c>
      <c r="AX6" t="s">
        <v>3164</v>
      </c>
      <c r="AY6">
        <f ca="1">SUMPRODUCT(AZ10:AZ1048576,AY10:AY1048576)</f>
        <v>2758496120.64857</v>
      </c>
      <c r="AZ6">
        <f ca="1">AY6/MAX(无穷最小总时间,无穷技能数计算!$AS$1)</f>
        <v>13806286.890133</v>
      </c>
      <c r="BA6" t="s">
        <v>3165</v>
      </c>
      <c r="BB6">
        <f ca="1">SUMPRODUCT(BC10:BC1048576,BB10:BB1048576)</f>
        <v>2750184548.58412</v>
      </c>
      <c r="BC6">
        <f ca="1">BB6/MAX(无穷最小总时间,无穷技能数计算!$AS$1)</f>
        <v>13764687.430351</v>
      </c>
      <c r="BD6" t="s">
        <v>2664</v>
      </c>
      <c r="BE6" t="s">
        <v>3166</v>
      </c>
      <c r="BF6">
        <f ca="1">SUMPRODUCT(BK10:BK1048576,BJ10:BJ1048576)</f>
        <v>2757416236.78158</v>
      </c>
      <c r="BG6">
        <f ca="1">BF6/MAX(无穷最小总时间,无穷技能数计算!$AS$1)</f>
        <v>13800882.0659739</v>
      </c>
      <c r="BL6" t="s">
        <v>3167</v>
      </c>
      <c r="BN6">
        <f ca="1">SUMPRODUCT(AC10:AC1048576,BO10:BO1048576)</f>
        <v>2806762434.67265</v>
      </c>
      <c r="BO6">
        <f ca="1">BN6/MAX(无穷最小总时间,无穷技能数计算!$AS$1)</f>
        <v>14047860.0333967</v>
      </c>
      <c r="BP6" t="s">
        <v>3168</v>
      </c>
      <c r="BQ6" t="s">
        <v>2668</v>
      </c>
      <c r="BR6">
        <f ca="1">SUMPRODUCT(BJ10:BJ1048576,BS10:BS1048576)</f>
        <v>2737918308.06853</v>
      </c>
      <c r="BS6">
        <f ca="1">BR6/MAX(无穷最小总时间,无穷技能数计算!$AS$1)</f>
        <v>13703294.8351779</v>
      </c>
      <c r="BT6" t="s">
        <v>2671</v>
      </c>
      <c r="BU6">
        <f ca="1">SUMPRODUCT(BJ10:BJ1048576,BV10:BV1048576)</f>
        <v>2776247794.11113</v>
      </c>
      <c r="BV6">
        <f ca="1">BU6/MAX(无穷最小总时间,无穷技能数计算!$AS$1)</f>
        <v>13895134.1046603</v>
      </c>
      <c r="BW6" t="s">
        <v>3169</v>
      </c>
      <c r="BY6">
        <f ca="1">SUMPRODUCT(CB10:CB1048576,BZ10:BZ1048576)</f>
        <v>2830661210.54942</v>
      </c>
      <c r="BZ6">
        <f ca="1">BY6/MAX(无穷最小总时间,无穷技能数计算!$AS$1)</f>
        <v>14167473.5262734</v>
      </c>
      <c r="CC6" t="s">
        <v>2676</v>
      </c>
      <c r="CD6">
        <f ca="1">SUMPRODUCT(BZ10:BZ1048576,CE10:CE1048576)</f>
        <v>2795762384.31868</v>
      </c>
      <c r="CE6">
        <f ca="1">CD6/MAX(无穷最小总时间,无穷技能数计算!$AS$1)</f>
        <v>13992804.7263197</v>
      </c>
      <c r="CF6" t="s">
        <v>3170</v>
      </c>
      <c r="CG6">
        <f ca="1">SUMPRODUCT(BZ10:BZ1048576,CH10:CH1048576)</f>
        <v>2680556428.0218</v>
      </c>
      <c r="CH6">
        <f ca="1">CG6/MAX(无穷最小总时间,无穷技能数计算!$AS$1)</f>
        <v>13416198.3384475</v>
      </c>
      <c r="CI6" t="s">
        <v>2684</v>
      </c>
      <c r="CJ6">
        <f ca="1">SUMPRODUCT(AC10:AC1048576,CK10:CK1048576)</f>
        <v>2814567071.8045</v>
      </c>
      <c r="CK6">
        <f ca="1">CJ6/MAX(无穷最小总时间,无穷技能数计算!$AS$1)</f>
        <v>14086922.2813038</v>
      </c>
      <c r="CL6" t="s">
        <v>3171</v>
      </c>
      <c r="CM6">
        <f ca="1">SUMPRODUCT(BZ10:BZ1048576,CN10:CN1048576)</f>
        <v>2828033174.54298</v>
      </c>
      <c r="CN6">
        <f ca="1">CM6/MAX(无穷最小总时间,无穷技能数计算!$AS$1)</f>
        <v>14154320.1929078</v>
      </c>
      <c r="CO6" t="s">
        <v>3172</v>
      </c>
      <c r="CP6">
        <f ca="1">SUMPRODUCT(BZ10:BZ1048576,CP10:CP1048576)</f>
        <v>2855404213.0576</v>
      </c>
      <c r="CQ6" t="s">
        <v>2688</v>
      </c>
      <c r="CR6">
        <f ca="1">SUMPRODUCT(AC10:AC1048576,CS10:CS1048576)</f>
        <v>2745737875.85234</v>
      </c>
      <c r="CS6">
        <f ca="1">CR6/MAX(无穷最小总时间,无穷技能数计算!$AS$1)</f>
        <v>13742431.8110728</v>
      </c>
    </row>
    <row r="7" spans="2:107">
      <c r="E7" t="s">
        <v>3120</v>
      </c>
      <c r="F7">
        <f>外防全局系数*(1155*F6-130350)</f>
        <v>155408.88</v>
      </c>
      <c r="AC7" t="s">
        <v>3121</v>
      </c>
      <c r="AD7">
        <f ca="1">SUMPRODUCT(AB10:AB1048576,AC10:AC1048576)</f>
        <v>2551601139.45847</v>
      </c>
      <c r="AE7" t="s">
        <v>3173</v>
      </c>
      <c r="AF7" t="s">
        <v>3174</v>
      </c>
      <c r="AG7" t="s">
        <v>3034</v>
      </c>
      <c r="AH7" t="s">
        <v>3175</v>
      </c>
      <c r="AI7" t="s">
        <v>3176</v>
      </c>
      <c r="AJ7" t="s">
        <v>3177</v>
      </c>
      <c r="AK7" t="s">
        <v>3178</v>
      </c>
      <c r="AL7" t="s">
        <v>3131</v>
      </c>
      <c r="AM7" t="s">
        <v>3179</v>
      </c>
      <c r="AO7" s="164"/>
      <c r="AP7" t="s">
        <v>3180</v>
      </c>
      <c r="AQ7" t="s">
        <v>3181</v>
      </c>
      <c r="AR7" t="s">
        <v>3131</v>
      </c>
      <c r="AS7" t="s">
        <v>3182</v>
      </c>
      <c r="AT7" t="s">
        <v>3034</v>
      </c>
      <c r="AU7" t="s">
        <v>3183</v>
      </c>
      <c r="AV7" t="s">
        <v>3184</v>
      </c>
      <c r="AW7" t="s">
        <v>3131</v>
      </c>
      <c r="AX7" t="s">
        <v>3185</v>
      </c>
      <c r="AY7" t="s">
        <v>3034</v>
      </c>
      <c r="AZ7" t="s">
        <v>3131</v>
      </c>
      <c r="BA7" t="s">
        <v>3186</v>
      </c>
      <c r="BB7" t="s">
        <v>3034</v>
      </c>
      <c r="BC7" t="s">
        <v>3131</v>
      </c>
      <c r="BD7" t="s">
        <v>3187</v>
      </c>
      <c r="BE7" t="s">
        <v>35</v>
      </c>
      <c r="BF7" t="s">
        <v>2007</v>
      </c>
      <c r="BG7" t="s">
        <v>36</v>
      </c>
      <c r="BH7" t="s">
        <v>3188</v>
      </c>
      <c r="BI7" t="s">
        <v>3189</v>
      </c>
      <c r="BJ7" t="s">
        <v>3034</v>
      </c>
      <c r="BK7" t="s">
        <v>3131</v>
      </c>
      <c r="BL7" t="s">
        <v>3190</v>
      </c>
      <c r="BM7" t="s">
        <v>3191</v>
      </c>
      <c r="BN7" t="s">
        <v>3192</v>
      </c>
      <c r="BO7" t="s">
        <v>3131</v>
      </c>
      <c r="BP7">
        <f ca="1">SUMPRODUCT(AC10:AC1048576,BP10:BP1048576)</f>
        <v>2680407636.70947</v>
      </c>
      <c r="BQ7" t="s">
        <v>3191</v>
      </c>
      <c r="BR7" t="s">
        <v>3193</v>
      </c>
      <c r="BS7" t="s">
        <v>3131</v>
      </c>
      <c r="BT7" t="s">
        <v>3194</v>
      </c>
      <c r="BU7" t="s">
        <v>3195</v>
      </c>
      <c r="BV7" t="s">
        <v>3131</v>
      </c>
      <c r="BW7" t="s">
        <v>3196</v>
      </c>
      <c r="BY7" t="s">
        <v>3197</v>
      </c>
      <c r="BZ7" t="s">
        <v>3034</v>
      </c>
      <c r="CA7" t="s">
        <v>3198</v>
      </c>
      <c r="CB7" t="s">
        <v>3131</v>
      </c>
      <c r="CC7" t="s">
        <v>3199</v>
      </c>
      <c r="CD7" t="s">
        <v>3200</v>
      </c>
      <c r="CE7" t="s">
        <v>3131</v>
      </c>
      <c r="CF7" t="s">
        <v>3201</v>
      </c>
      <c r="CG7" t="s">
        <v>3200</v>
      </c>
      <c r="CH7" t="s">
        <v>3131</v>
      </c>
      <c r="CI7" t="s">
        <v>3202</v>
      </c>
      <c r="CJ7" t="s">
        <v>3203</v>
      </c>
      <c r="CK7" t="s">
        <v>3131</v>
      </c>
      <c r="CL7" t="s">
        <v>3204</v>
      </c>
      <c r="CM7" t="s">
        <v>3205</v>
      </c>
      <c r="CN7" t="s">
        <v>3200</v>
      </c>
      <c r="CO7" t="s">
        <v>3236</v>
      </c>
      <c r="CP7">
        <f ca="1">CP6/MAX(无穷最小总时间,无穷技能数计算!$AS$1)</f>
        <v>14291312.3776657</v>
      </c>
      <c r="CQ7" t="s">
        <v>3207</v>
      </c>
      <c r="CR7" t="s">
        <v>3208</v>
      </c>
      <c r="CS7" t="s">
        <v>3131</v>
      </c>
      <c r="CV7" t="s">
        <v>3209</v>
      </c>
      <c r="CW7">
        <f ca="1">AD8</f>
        <v>12770776.4737661</v>
      </c>
    </row>
    <row r="8" spans="2:107">
      <c r="AC8" t="s">
        <v>3210</v>
      </c>
      <c r="AD8">
        <f ca="1">AD7/(MAX(无穷最小总时间,无穷技能数计算!$AS$1))</f>
        <v>12770776.4737661</v>
      </c>
      <c r="AE8">
        <f ca="1">M2+INT(M2*(N2+31)/1024)</f>
        <v>11007</v>
      </c>
      <c r="AF8" s="164">
        <f ca="1">ROUND((W2+INT(AE8*身法转基础会心))/会心系数+X2,4)</f>
        <v>0.7057</v>
      </c>
      <c r="AH8">
        <f ca="1">U2+INT(AE8*身法转额外攻击)+INT(U2*(T2+51)/1024)</f>
        <v>96007</v>
      </c>
      <c r="AI8">
        <f ca="1">AE2+INT(AE8*身法转额外破防)+INT(AE2*AD2/1024)</f>
        <v>101383.285714286</v>
      </c>
      <c r="AJ8">
        <f ca="1">ROUND(1.75+Z2/会效系数+(AA2+204)/1024,10)</f>
        <v>2.3765922521</v>
      </c>
      <c r="AK8">
        <f>2385*(15/47.5*叠峰意+0.1*听晓)</f>
        <v>753.157894736842</v>
      </c>
      <c r="AM8" s="165">
        <v>0.15</v>
      </c>
      <c r="AN8" s="166">
        <f ca="1">ROUND((W2+INT(AE8*身法转基础会心))/会心系数+X2+$AM$9,4)</f>
        <v>0.7272</v>
      </c>
      <c r="AO8" t="s">
        <v>3131</v>
      </c>
      <c r="AP8">
        <f ca="1">U2+INT(O2*身法转额外攻击)+INT(U2*(T2+50+51/2)/1024)</f>
        <v>97084</v>
      </c>
      <c r="AQ8">
        <f ca="1">AE2+INT(O2*身法转额外破防)+INT(AE2*(AD2+200)/1024)</f>
        <v>120492.285714286</v>
      </c>
      <c r="AS8" s="166">
        <f ca="1">Y2+0.08</f>
        <v>0.7843</v>
      </c>
      <c r="AU8">
        <f ca="1">ROUND(1.75+Z2/会效系数+(AA2+150)/1024,10)</f>
        <v>2.3238578771</v>
      </c>
      <c r="AV8">
        <f ca="1">ROUND(AM2/无双系数+(AN2+20)/1024,10)</f>
        <v>1.7995442148</v>
      </c>
      <c r="AX8" s="166">
        <f ca="1">Y2+0.07</f>
        <v>0.7743</v>
      </c>
      <c r="BA8" s="166">
        <f ca="1">$Y2+0.06</f>
        <v>0.7643</v>
      </c>
      <c r="BD8">
        <f ca="1">P2+INT(P2*(Q2+31)/1024)</f>
        <v>371</v>
      </c>
      <c r="BE8">
        <f ca="1">(INT(BD8*力道转基础攻击)+S2)</f>
        <v>69297</v>
      </c>
      <c r="BF8">
        <f ca="1">BE8+INT(O2*身法转额外攻击)+INT(BE8*T2/1024)</f>
        <v>91977</v>
      </c>
      <c r="BG8">
        <f ca="1">AC2+INT(BD8*力道转基础破防)</f>
        <v>98302.2857142857</v>
      </c>
      <c r="BH8">
        <f ca="1">BG8+INT(O2*身法转额外破防)+INT(BG8*(AD2+204)/1024)</f>
        <v>120879.285714286</v>
      </c>
      <c r="BI8" s="166">
        <f ca="1">$Y2+0.05</f>
        <v>0.7543</v>
      </c>
      <c r="BL8">
        <f ca="1">AC2+INT(R2*力道转基础破防)+14900</f>
        <v>113199.285714286</v>
      </c>
      <c r="BM8">
        <f ca="1">BL8+INT(O2*身法转额外破防)+INT(BL8*(AD2+102)/1024)</f>
        <v>127468.285714286</v>
      </c>
      <c r="BN8">
        <f ca="1">U2+INT(O2*身法转额外攻击)+INT(U2*(T2+50)/1024)</f>
        <v>95358</v>
      </c>
      <c r="BP8">
        <f ca="1">BP7/MAX(无穷最小总时间,无穷技能数计算!$AS$1)</f>
        <v>13415453.6371846</v>
      </c>
      <c r="BQ8">
        <f ca="1">AE2+INT(O2*身法转额外破防)+INT(AE2*(AD2+102)/1024)</f>
        <v>111084.285714286</v>
      </c>
      <c r="BR8" t="s">
        <v>3211</v>
      </c>
      <c r="BT8">
        <f ca="1">额外属性!BC7-BC$4+52</f>
        <v>52</v>
      </c>
      <c r="BW8">
        <f ca="1">U2+INT(O2*身法转额外攻击)+INT(U2*(T2+50+102*0.55)/1024)</f>
        <v>99155</v>
      </c>
      <c r="BY8" s="166">
        <f ca="1">$Y2+0.03</f>
        <v>0.7343</v>
      </c>
      <c r="CA8">
        <f ca="1">ROUND(1.75+Z2/会效系数+(AA2+154)/1024,10)</f>
        <v>2.3277641271</v>
      </c>
      <c r="CC8">
        <f ca="1">U2+INT(O2*身法转额外攻击)+INT(U2*(T2+133)/1024)</f>
        <v>100975</v>
      </c>
      <c r="CD8" t="s">
        <v>3212</v>
      </c>
      <c r="CF8">
        <f ca="1">ROUND(1.75+Z2/会效系数+(AA2+100)/1024,10)</f>
        <v>2.2750297521</v>
      </c>
      <c r="CG8" t="s">
        <v>3211</v>
      </c>
      <c r="CI8">
        <f ca="1">AE2+INT(O2*身法转额外破防)+INT(AE2*(AD2+256)/1024)</f>
        <v>125867.285714286</v>
      </c>
      <c r="CJ8" t="s">
        <v>3193</v>
      </c>
      <c r="CL8">
        <f ca="1">ROUND(1.75+Z2/会效系数+(AA2+154*0.8)/1024,10)</f>
        <v>2.2976860021</v>
      </c>
      <c r="CM8">
        <f ca="1">ROUND(额外属性!AZ7-AZ$4+62,10)</f>
        <v>79.1129824561</v>
      </c>
      <c r="CN8" t="s">
        <v>3211</v>
      </c>
      <c r="CO8">
        <f ca="1">ROUND(1.75+Z2/会效系数+(AA2+154*0.99)/1024,10)</f>
        <v>2.3262602208</v>
      </c>
      <c r="CQ8">
        <f ca="1">ROUND(AM2/无双系数+(AN2+104)/1024,10)</f>
        <v>1.8815754648</v>
      </c>
      <c r="CR8">
        <f ca="1">ROUND(额外属性!AZ7-AZ$4+52,10)</f>
        <v>69.1129824561</v>
      </c>
      <c r="CV8" s="167" t="s">
        <v>3213</v>
      </c>
      <c r="CW8" s="167"/>
      <c r="CX8" s="167"/>
      <c r="CY8" s="167"/>
      <c r="CZ8" s="167" t="s">
        <v>1986</v>
      </c>
      <c r="DA8" s="167"/>
      <c r="DB8" s="167"/>
      <c r="DC8" s="167"/>
    </row>
    <row r="9" spans="2:107">
      <c r="D9" t="s">
        <v>2135</v>
      </c>
      <c r="E9" t="s">
        <v>2969</v>
      </c>
      <c r="F9" t="s">
        <v>1990</v>
      </c>
      <c r="G9" t="s">
        <v>2971</v>
      </c>
      <c r="H9" t="s">
        <v>2705</v>
      </c>
      <c r="I9" t="s">
        <v>2709</v>
      </c>
      <c r="J9" t="s">
        <v>2710</v>
      </c>
      <c r="K9" t="s">
        <v>2711</v>
      </c>
      <c r="L9" t="s">
        <v>66</v>
      </c>
      <c r="M9" t="s">
        <v>69</v>
      </c>
      <c r="N9" t="s">
        <v>34</v>
      </c>
      <c r="O9" t="s">
        <v>3123</v>
      </c>
      <c r="P9" t="s">
        <v>3124</v>
      </c>
      <c r="Q9" t="s">
        <v>28</v>
      </c>
      <c r="R9" t="s">
        <v>3125</v>
      </c>
      <c r="S9" t="s">
        <v>3126</v>
      </c>
      <c r="T9" t="s">
        <v>3127</v>
      </c>
      <c r="U9" t="s">
        <v>21</v>
      </c>
      <c r="V9" t="s">
        <v>3128</v>
      </c>
      <c r="W9" t="s">
        <v>7</v>
      </c>
      <c r="X9" t="s">
        <v>9</v>
      </c>
      <c r="Y9" t="s">
        <v>3129</v>
      </c>
      <c r="Z9" t="s">
        <v>3130</v>
      </c>
      <c r="AA9" t="s">
        <v>2038</v>
      </c>
      <c r="AB9" t="s">
        <v>3131</v>
      </c>
      <c r="AC9" t="s">
        <v>3034</v>
      </c>
      <c r="AD9" t="s">
        <v>3132</v>
      </c>
      <c r="AE9">
        <f ca="1">M3+INT(M3*(N3+31)/1024)</f>
        <v>11007</v>
      </c>
      <c r="AF9" s="164">
        <f ca="1">ROUND((W3+INT(AE9*身法转基础会心))/会心系数+X3,4)</f>
        <v>0.7057</v>
      </c>
      <c r="AH9">
        <f ca="1">U3+INT(AE9*身法转额外攻击)+INT(U3*(T3+51)/1024)</f>
        <v>96007</v>
      </c>
      <c r="AI9">
        <f ca="1">AE3+INT(AE9*身法转额外破防)+INT(AE3*AD3/1024)</f>
        <v>101383.285714286</v>
      </c>
      <c r="AJ9">
        <f ca="1">ROUND(1.75+Z3/会效系数+(AA3+204)/1024,10)</f>
        <v>2.3765922521</v>
      </c>
      <c r="AK9">
        <f>2385*(15/47.5*叠峰意+0.1*听晓)</f>
        <v>753.157894736842</v>
      </c>
      <c r="AM9">
        <f>IFERROR(5/(20+2/AM8*2),0)*0.2</f>
        <v>0.0214285714285714</v>
      </c>
      <c r="AN9" s="166">
        <f ca="1">ROUND((W3+INT(AE9*身法转基础会心))/会心系数+X3+$AM$9,4)</f>
        <v>0.7272</v>
      </c>
      <c r="AP9">
        <f ca="1">U3+INT(O3*身法转额外攻击)+INT(U3*(T3+50+51/2)/1024)</f>
        <v>97084</v>
      </c>
      <c r="AQ9">
        <f ca="1">AE3+INT(O3*身法转额外破防)+INT(AE3*(AD3+200)/1024)</f>
        <v>120492.285714286</v>
      </c>
      <c r="AS9" s="166">
        <f ca="1">Y3+0.08</f>
        <v>0.7843</v>
      </c>
      <c r="AU9">
        <f ca="1">ROUND(1.75+Z3/会效系数+(AA3+150)/1024,10)</f>
        <v>2.3238578771</v>
      </c>
      <c r="AV9">
        <f ca="1">ROUND(AM3/无双系数+(AN3+20)/1024,10)</f>
        <v>1.7995442148</v>
      </c>
      <c r="AX9" s="166">
        <f ca="1">Y3+0.07</f>
        <v>0.7743</v>
      </c>
      <c r="AY9" s="167"/>
      <c r="BA9" s="166">
        <f ca="1">$Y3+0.06</f>
        <v>0.7643</v>
      </c>
      <c r="BB9" s="167"/>
      <c r="BD9">
        <f ca="1">P3+INT(P3*(Q3+31)/1024)</f>
        <v>371</v>
      </c>
      <c r="BE9">
        <f ca="1">(INT(BD9*力道转基础攻击)+S3)</f>
        <v>69297</v>
      </c>
      <c r="BF9">
        <f ca="1">BE9+INT(O3*身法转额外攻击)+INT(BE9*T3/1024)</f>
        <v>91977</v>
      </c>
      <c r="BG9">
        <f ca="1">AC3+INT(BD9*力道转基础破防)</f>
        <v>98302.2857142857</v>
      </c>
      <c r="BH9">
        <f ca="1">BG9+INT(O3*身法转额外破防)+INT(BG9*(AD3+204)/1024)</f>
        <v>120879.285714286</v>
      </c>
      <c r="BI9" s="166">
        <f ca="1">$Y3+0.05</f>
        <v>0.7543</v>
      </c>
      <c r="BL9">
        <f ca="1">AC3+INT(R3*力道转基础破防)+14900</f>
        <v>113199.285714286</v>
      </c>
      <c r="BM9">
        <f ca="1">BL9+INT(O3*身法转额外破防)+INT(BL9*(AD3+102)/1024)</f>
        <v>127468.285714286</v>
      </c>
      <c r="BN9">
        <f ca="1">U3+INT(O3*身法转额外攻击)+INT(U3*(T3+50)/1024)</f>
        <v>95358</v>
      </c>
      <c r="BQ9">
        <f ca="1">AE3+INT(O3*身法转额外破防)+INT(AE3*(AD3+102)/1024)</f>
        <v>111084.285714286</v>
      </c>
      <c r="BR9" t="s">
        <v>3214</v>
      </c>
      <c r="BT9">
        <f ca="1">额外属性!BC8-BC$4+52</f>
        <v>52</v>
      </c>
      <c r="BU9" t="s">
        <v>3215</v>
      </c>
      <c r="BW9">
        <f ca="1">U3+INT(O3*身法转额外攻击)+INT(U3*(T3+50+102*0.55)/1024)</f>
        <v>99155</v>
      </c>
      <c r="BY9" s="166">
        <f ca="1">$Y3+0.03</f>
        <v>0.7343</v>
      </c>
      <c r="CA9">
        <f ca="1">ROUND(1.75+Z3/会效系数+(AA3+154)/1024,10)</f>
        <v>2.3277641271</v>
      </c>
      <c r="CC9">
        <f ca="1">U3+INT(O3*身法转额外攻击)+INT(U3*(T3+133)/1024)</f>
        <v>100975</v>
      </c>
      <c r="CF9">
        <f ca="1">ROUND(1.75+Z3/会效系数+(AA3+100)/1024,10)</f>
        <v>2.2750297521</v>
      </c>
      <c r="CG9" t="s">
        <v>3216</v>
      </c>
      <c r="CI9">
        <f ca="1">AE3+INT(O3*身法转额外破防)+INT(AE3*(AD3+256)/1024)</f>
        <v>125867.285714286</v>
      </c>
      <c r="CL9">
        <f ca="1">ROUND(1.75+Z3/会效系数+(AA3+154*0.8)/1024,10)</f>
        <v>2.2976860021</v>
      </c>
      <c r="CM9">
        <f ca="1">ROUND(额外属性!AZ8-AZ$4+62,10)</f>
        <v>181.1129824561</v>
      </c>
      <c r="CN9" t="s">
        <v>3131</v>
      </c>
      <c r="CO9">
        <f ca="1">ROUND(1.75+Z3/会效系数+(AA3+154*0.99)/1024,10)</f>
        <v>2.3262602208</v>
      </c>
      <c r="CP9" t="s">
        <v>3131</v>
      </c>
      <c r="CQ9">
        <f ca="1">ROUND(AM3/无双系数+(AN3+104)/1024,10)</f>
        <v>1.8815754648</v>
      </c>
      <c r="CR9">
        <f ca="1">ROUND(额外属性!AZ8-AZ$4+52,10)</f>
        <v>171.1129824561</v>
      </c>
      <c r="CV9" t="s">
        <v>2653</v>
      </c>
      <c r="CW9" t="s">
        <v>3122</v>
      </c>
      <c r="CX9" t="s">
        <v>3217</v>
      </c>
      <c r="CY9" t="s">
        <v>3218</v>
      </c>
      <c r="CZ9" t="s">
        <v>3218</v>
      </c>
      <c r="DA9" t="s">
        <v>2653</v>
      </c>
      <c r="DB9" t="s">
        <v>3217</v>
      </c>
    </row>
    <row r="10" spans="2:107">
      <c r="D10" t="s">
        <v>1028</v>
      </c>
      <c r="E10" t="s">
        <v>2722</v>
      </c>
      <c r="H10">
        <f ca="1">INDEX(技能数据库!$B$2:$I$100,MATCH(无穷阵眼收益计算!$E10,技能数据库!$B$2:$B$100,0),MATCH(H$9,技能数据库!$B$2:$I$2,0))</f>
        <v>145.5</v>
      </c>
      <c r="I10">
        <f ca="1">INDEX(技能数据库!$B$2:$I$100,MATCH(无穷阵眼收益计算!$E10,技能数据库!$B$2:$B$100,0),MATCH(I$9,技能数据库!$B$2:$I$2,0))</f>
        <v>5.1625</v>
      </c>
      <c r="J10">
        <f ca="1">INDEX(技能数据库!$B$2:$I$100,MATCH(无穷阵眼收益计算!$E10,技能数据库!$B$2:$B$100,0),MATCH(J$9,技能数据库!$B$2:$I$2,0))</f>
        <v>1</v>
      </c>
      <c r="K10">
        <f ca="1">INDEX(技能数据库!$B$2:$I$100,MATCH(无穷阵眼收益计算!$E10,技能数据库!$B$2:$B$100,0),MATCH(K$9,技能数据库!$B$2:$I$2,0))</f>
        <v>0</v>
      </c>
      <c r="L10">
        <f ca="1" t="shared" ref="L10:L73" si="13">IF(D10="轻剑",$V$2,$V$3)+INT(残雪*(COUNTIF(G10,"*莺鸣*")+COUNTIF(G10,"*叠1*")+COUNTIF(G10,"*叠2*")*2+COUNTIF(G10,"*叠3*")*3)*IF(D10="轻剑",$U$2,$U$3)*154/1024+COUNTIF(G10,"*雾锁*")*205/1024*IF(D10="轻剑",$U$2,$U$3))</f>
        <v>91975</v>
      </c>
      <c r="M10">
        <f ca="1">IF(D10="轻剑",$AU$2+$AV$2,$AU$3+$AV$3)/2</f>
        <v>12694.5</v>
      </c>
      <c r="N10">
        <f ca="1">IF(D10="轻剑",$AJ$2,$AJ$3)</f>
        <v>92028</v>
      </c>
      <c r="O10">
        <f ca="1">H10+I10*L10+J10*M10+IF(K10&gt;0,MAX(1,K10*N10*破招全局系数),0)</f>
        <v>487660.9375</v>
      </c>
      <c r="P10">
        <f ca="1">IF(G10="恒定伤害",0,(IF(D10="轻剑",$AZ$2,$AZ$3)+IFERROR(INDEX(技能数据库!$T$2:$W$27,MATCH(E10,技能数据库!$T$2:$T$27,0),4),0)+COUNTIF(G10,"*造化2*")*154+COUNTIF(G10,"*造化1*")*102+COUNTIF(G10,"*碧归*")*307)/1024)</f>
        <v>0.186633771929785</v>
      </c>
      <c r="Q10">
        <f ca="1" t="shared" ref="Q10:Q41" si="14">IF(G10="恒定伤害",0,(IF(COUNTIF(F10,"*内破*")&gt;0,内破,IF(D10="轻剑",$AF$2,$AF$3)/破防系数))+IF((IF(D10="轻剑",$AO$2,$AO$3)+INT(COUNTIF(G10,"*大莺鸣*")*IF(D10="轻剑",$AM$2,$AM$3)*听晓无双率)/无双系数)&gt;0.9,(特效裤子破防+特效裤子破防*IF(D10="轻剑",$AD$2,$AD$3)/1024)/破防系数,0))</f>
        <v>0.448284482196154</v>
      </c>
      <c r="R10">
        <f ca="1">IF(G10="恒定伤害",0,(($F$5-IF(D10="轻剑",$BB$2,$BB$3))*(1024-IF(D10="轻剑",$BD$2,$BD$3))/1024*(1024-IF(D10="轻剑",$BC$2,$BC$3)-COUNTIF(G10,"*雾锁*")*461*雾锁)/1024/(($F$5-IF(D10="轻剑",$BB$2,$BB$3))*(1024-IF(D10="轻剑",$BD$2,$BD$3))/1024*(1024-IF(D10="轻剑",$BC$2,$BC$3)-COUNTIF(G10,"*雾锁*")*461*雾锁)/1024+$F$7)))</f>
        <v>0.32958230397716</v>
      </c>
      <c r="S10">
        <f ca="1">O10*(1+P10)*(1+Q10)*(1-R10)</f>
        <v>561867.639929095</v>
      </c>
      <c r="T10">
        <f>1-($F$6-130)*0.05</f>
        <v>0.8</v>
      </c>
      <c r="U10">
        <f ca="1" t="shared" ref="U10:U41" si="15">IF(G10="恒定伤害",0,(IF(D10="轻剑",$AO$2,$AO$3)+INT(COUNTIF(G10,"*大莺鸣*")*IF(D10="轻剑",$AM$2,$AM$3)*听晓无双率)/无双系数)+IF((IF(D10="轻剑",$AO$2,$AO$3)+INT(COUNTIF(G10,"*大莺鸣*")*IF(D10="轻剑",$AM$2,$AM$3)*听晓无双率)/无双系数)&lt;=0.9,特效裤子无双,0))</f>
        <v>1.7800129648</v>
      </c>
      <c r="V10">
        <f ca="1">S10*T10*(1+U10)</f>
        <v>1249599.45880357</v>
      </c>
      <c r="W10">
        <f ca="1">IF(G10="恒定伤害",0,MIN(1,IF(COUNTIF(F10,"*内会*")&gt;0,内会2,IF(D10="轻剑",$Y$2,$Y$3)+COUNTIF(G10,"*莺鸣*")*0.2+COUNTIF(G10,"*叠1*")*0.1+COUNTIF(G10,"*叠2*")*0.2+COUNTIF(G10,"*叠3*")*0.3)+IFERROR(INDEX(技能数据库!$T$2:$W$27,MATCH(E10,技能数据库!$T$2:$T$27,0),2),0)+IF((IF(D10="轻剑",$AO$2,$AO$3)+INT(COUNTIF(G10,"*大莺鸣*")*IF(D10="轻剑",$AM$2,$AM$3)*听晓无双率)/无双系数)&gt;0.9,特效裤子会心/会心系数,0)))</f>
        <v>0.7043</v>
      </c>
      <c r="X10">
        <f ca="1">IF(G10="恒定伤害",0,IF(COUNTIF(F10,"*内会*")&gt;0,内会效2,IF(D10="轻剑",$AB$2,$AB$3))+IFERROR(INDEX(技能数据库!$T$2:$W$27,MATCH(E10,技能数据库!$T$2:$T$27,0),3)/1024,0))+COUNTIF(G10,"*叠1*")*0.25+COUNTIF(G10,"*叠2*")*0.5+COUNTIF(G10,"*叠3*")*0.75</f>
        <v>2.1773735021</v>
      </c>
      <c r="Y10">
        <f ca="1">1+W10*(X10-1)</f>
        <v>1.82922415752903</v>
      </c>
      <c r="Z10">
        <f t="shared" ref="Z10:Z73" si="16">IF(G10="恒定伤害",0,非侠士伤害/1024)</f>
        <v>0.150390625</v>
      </c>
      <c r="AA10">
        <f ca="1">IF(D10="轻剑",$BA$2,$BA$3)/1024</f>
        <v>0.0205078125</v>
      </c>
      <c r="AB10">
        <f ca="1">V10*Y10*(1+Z10)*(1+AA10)</f>
        <v>2683486.55867123</v>
      </c>
      <c r="AC10">
        <f ca="1">无穷技能数计算!$AJ2</f>
        <v>0</v>
      </c>
      <c r="AD10" s="164">
        <f ca="1">IFERROR(AB10*AC10/$AD$7,0)</f>
        <v>0</v>
      </c>
      <c r="AE10" s="168"/>
      <c r="AF10" s="168">
        <f ca="1" t="shared" ref="AF10:AF73" si="17">W10+IF(COUNTIF(F10,"*内会*")&gt;0,0,IF(D10="轻剑",$AF$8-$Y$2,$AF$9-$Y$3))</f>
        <v>0.7057</v>
      </c>
      <c r="AG10">
        <f ca="1">无穷技能数计算!$AJ2</f>
        <v>0</v>
      </c>
      <c r="AH10">
        <f ca="1" t="shared" ref="AH10:AH73" si="18">IF(D10="轻剑",$AH$8,$AH$9)+INT(残雪*(COUNTIF(G10,"*莺鸣*")+COUNTIF(G10,"*叠1*")+COUNTIF(G10,"*叠2*")*2+COUNTIF(G10,"*叠3*")*3)*IF(D10="轻剑",$U$2,$U$3)*154/1024+COUNTIF(G10,"*雾锁*")*205/1024*IF(D10="轻剑",$U$2,$U$3))</f>
        <v>96007</v>
      </c>
      <c r="AJ10">
        <f ca="1" t="shared" ref="AJ10:AJ73" si="19">X10+IF(COUNTIF(F10,"*内会*")&gt;0,0,IF(D10="轻剑",$AJ$8-$AB$2,$AJ$9-$AB$3))</f>
        <v>2.3765922521</v>
      </c>
      <c r="AK10">
        <f ca="1">H10+AH10*I10+J10*(238.5+M10)+IF(K10&gt;0,MAX(1,K10*N10*破招全局系数),0)</f>
        <v>508714.6375</v>
      </c>
      <c r="AL10">
        <f ca="1" t="shared" ref="AL10:AL73" si="20">IF(COUNTIF(G10,"*恒定伤害*")&gt;0,AB10,((AK10*(1+P10)*(1+IF(COUNTIF(F10,"*内破*")&gt;0,内破,IF(D10="轻剑",$AI$8,$AI$9)/破防系数)+IF((IF(D10="轻剑",$AO$2,$AO$3)+INT(COUNTIF(G10,"*大莺鸣*")*IF(D10="轻剑",$AM$2,$AM$3)*听晓无双率)/无双系数)&gt;0.9,(特效裤子破防+特效裤子破防*IF(D10="轻剑",$AD$2,$AD$3)/1024)/破防系数,0))*(1-R10))*T10*(1+U10))*(1+Z10)*(1+AA10)*(1+MIN(1,AF10)*(MIN(3+COUNTIF(G10,"*叠*")*0.75,AJ10)-1)))</f>
        <v>3017841.36511035</v>
      </c>
      <c r="AM10" s="169">
        <f ca="1" t="shared" ref="AM10:AM73" si="21">W10+IF(COUNTIF(F10,"*内会*")&gt;0,0,IF(D10="轻剑",$AN$8-$Y$2,$AN$9-$Y$3))</f>
        <v>0.7272</v>
      </c>
      <c r="AN10">
        <f ca="1">无穷技能数计算!$AJ2</f>
        <v>0</v>
      </c>
      <c r="AO10" s="170">
        <f ca="1" t="shared" ref="AO10:AO73" si="22">IF(COUNTIF(G10,"*恒定伤害*")&gt;0,AB10,((AK10*(1+P10)*(1+IF(COUNTIF(F10,"*内破*")&gt;0,内破,IF(D10="轻剑",$AI$8,$AI$9)/破防系数)+IF((IF(D10="轻剑",$AO$2,$AO$3)+INT(COUNTIF(G10,"*大莺鸣*")*IF(D10="轻剑",$AM$2,$AM$3)*听晓无双率)/无双系数)&gt;0.9,(特效裤子破防+特效裤子破防*IF(D10="轻剑",$AD$2,$AD$3)/1024)/破防系数,0))*(1-R10))*T10*(1+U10))*(1+Z10)*(1+AA10)*(1+MIN(1,AM10)*(MIN(3+COUNTIF(G10,"*叠*")*0.75,AJ10)-1)))</f>
        <v>3063146.97322895</v>
      </c>
      <c r="AP10">
        <f ca="1" t="shared" ref="AP10:AP73" si="23">IF(D10="轻剑",$AP$8,$AP$9)+INT(残雪*(COUNTIF(G10,"*莺鸣*")+COUNTIF(G10,"*叠1*")+COUNTIF(G10,"*叠2*")*2+COUNTIF(G10,"*叠3*")*3)*IF(D10="轻剑",$U$2,$U$3)*154/1024+COUNTIF(G10,"*雾锁*")*205/1024*IF(D10="轻剑",$U$2,$U$3))</f>
        <v>97084</v>
      </c>
      <c r="AQ10" s="170">
        <f ca="1">H10+AP10*I10+J10*M10+IF(K10&gt;0,MAX(1,K10*N10*破招全局系数),0)</f>
        <v>514036.15</v>
      </c>
      <c r="AR10">
        <f ca="1" t="shared" ref="AR10:AR41" si="24">IF(COUNTIF(G10,"*恒定伤害*")&gt;0,AB10,((AQ10*(1+P10)*(1+IF(COUNTIF(F10,"*内破*")&gt;0,内破,IF(D10="轻剑",$AQ$8,$AQ$9)/破防系数)+IF((IF(D10="轻剑",$AO$2,$AO$3)+INT(COUNTIF(G10,"*大莺鸣*")*IF(D10="轻剑",$AM$2,$AM$3)*听晓无双率)/无双系数)&gt;0.9,(特效裤子破防+特效裤子破防*IF(D10="轻剑",$AD$2+200,$AD$3+200)/1024)/破防系数,0))*(1-R10))*T10*(1+U10))*Y10*(1+Z10)*(1+AA10))</f>
        <v>2994571.65161248</v>
      </c>
      <c r="AS10">
        <f ca="1" t="shared" ref="AS10:AS73" si="25">W10+IF(COUNTIF(F10,"*内会*")&gt;0,0,IF(D10="轻剑",$AS$8-$Y$2,$AS$9-$Y$3))</f>
        <v>0.7843</v>
      </c>
      <c r="AT10">
        <f ca="1">无穷技能数计算!$AJ2</f>
        <v>0</v>
      </c>
      <c r="AU10">
        <f ca="1" t="shared" ref="AU10:AU73" si="26">X10+IF(COUNTIF(F10,"*内会*")&gt;0,0,IF(D10="轻剑",$AU$8-$AB$2,$AU$9-$AB$3))</f>
        <v>2.3238578771</v>
      </c>
      <c r="AV10">
        <f ca="1" t="shared" ref="AV10:AV41" si="27">IF(G10="恒定伤害",0,(IF(D10="轻剑",$AV$8,$AV$9)+INT(COUNTIF(G10,"*大莺鸣*")*IF(D10="轻剑",$AM$2,$AM$3)*听晓无双率)/无双系数))+IF((IF(G10="恒定伤害",0,(IF(D10="轻剑",$AV$8,$AV$9)+INT(COUNTIF(G10,"*大莺鸣*")*IF(D10="轻剑",$AM$2,$AM$3)*听晓无双率)/无双系数)))&lt;=0.9,特效裤子无双,0)</f>
        <v>1.7995442148</v>
      </c>
      <c r="AW10">
        <f ca="1">IF(COUNTIF(G10,"*恒定伤害*")&gt;0,AB10,((O10*(1+P10)*(1+Q10)*(1-R10))*T10*(1+AV10))*(1+MIN(1,AS10)*(MIN(3+COUNTIF(G10,"*叠*")*0.75,AU10)-1))*(1+Z10)*(1+AA10))</f>
        <v>3011213.01911357</v>
      </c>
      <c r="AX10">
        <f ca="1" t="shared" ref="AX10:AX73" si="28">$W10+IF(COUNTIF(F10,"*内会*")&gt;0,0,IF(I10="轻剑",AX$8-$Y$2,AX$9-$Y$3))</f>
        <v>0.7743</v>
      </c>
      <c r="AY10">
        <f ca="1">无穷技能数计算!$AJ2</f>
        <v>0</v>
      </c>
      <c r="AZ10" s="170">
        <f ca="1">IF(COUNTIF(G10,"*恒定伤害*")&gt;0,AB10,((O10*(1+P10)*(1+Q10)*(1-R10))*T10*(1+AV10))*(1+MIN(1,AX10)*(MIN(3+COUNTIF(G10,"*叠*")*0.75,AU10)-1))*(1+Z10)*(1+AA10))</f>
        <v>2991655.47269921</v>
      </c>
      <c r="BA10">
        <f ca="1" t="shared" ref="BA10:BA73" si="29">$W10+IF(COUNTIF(F10,"*内会*")&gt;0,0,IF(L10="轻剑",BA$8-$Y$2,BA$9-$Y$3))</f>
        <v>0.7643</v>
      </c>
      <c r="BB10">
        <f ca="1">无穷技能数计算!$AJ2</f>
        <v>0</v>
      </c>
      <c r="BC10" s="170">
        <f ca="1">IF(COUNTIF(G10,"*恒定伤害*")&gt;0,AB10,((O10*(1+P10)*(1+Q10)*(1-R10))*T10*(1+AV10))*(1+MIN(1,BA10)*(MIN(3+COUNTIF(G10,"*叠*")*0.75,AU10)-1))*(1+Z10)*(1+AA10))</f>
        <v>2972097.92628485</v>
      </c>
      <c r="BE10">
        <f ca="1" t="shared" ref="BE10:BE73" si="30">IF(D10="轻剑",$BF$8,$BF$9)+INT(残雪*(COUNTIF(G10,"*莺鸣*")+COUNTIF(G10,"*叠1*")+COUNTIF(G10,"*叠2*")*2+COUNTIF(G10,"*叠3*")*3)*IF(D10="轻剑",$BE$8,$BE$9)*154/1024+COUNTIF(G10,"*雾锁*")*205/1024*IF(D10="轻剑",$BE$8,$BE$9))</f>
        <v>91977</v>
      </c>
      <c r="BF10">
        <f ca="1" t="shared" ref="BF10:BF73" si="31">H10+BE10*I10+J10*M10+IF(K10&gt;0,MAX(1,K10*N10*破招全局系数),0)</f>
        <v>487671.2625</v>
      </c>
      <c r="BI10">
        <f ca="1" t="shared" ref="BI10:BI73" si="32">$W10+IF(COUNTIF(F10,"*内会*")&gt;0,0,IF(T10="轻剑",BI$8-$Y$2,BI$9-$Y$3))</f>
        <v>0.7543</v>
      </c>
      <c r="BJ10">
        <f ca="1">无穷技能数计算!$AJ2</f>
        <v>0</v>
      </c>
      <c r="BK10">
        <f ca="1" t="shared" ref="BK10:BK73" si="33">IF(COUNTIF(G10,"*恒定伤害*")&gt;0,AB10,((BF10*(1+P10)*(1+IF(COUNTIF(F10,"*内破*")&gt;0,内破,IF(D10="轻剑",$BH$8,$BH$9)/破防系数)+IF((IF(D10="轻剑",$AO$2,$AO$3)+INT(COUNTIF(G10,"*大莺鸣*")*IF(D10="轻剑",$AM$2,$AM$3)*听晓无双率)/无双系数)&gt;0.9,(特效裤子破防+特效裤子破防*IF(D10="轻剑",$AD$2+204,$AD$3+204)/1024)/破防系数,0))*(1-R10))*T10*(1+AV10))*(1+MIN(1,BI10)*(MIN(3+COUNTIF(G10,"*叠*")*0.75,X10)-1))*(1+Z10)*(1+AA10))</f>
        <v>2956310.13105565</v>
      </c>
      <c r="BM10">
        <f ca="1" t="shared" ref="BM10:BM73" si="34">IF(D10="轻剑",$BN$8,$BN$9)+INT(残雪*(COUNTIF(G10,"*莺鸣*")+COUNTIF(G10,"*叠1*")+COUNTIF(G10,"*叠2*")*2+COUNTIF(G10,"*叠3*")*3)*IF(D10="轻剑",$U$2,$U$3)*154/1024+COUNTIF(G10,"*雾锁*")*205/1024*IF(D10="轻剑",$U$2,$U$3))</f>
        <v>95358</v>
      </c>
      <c r="BN10">
        <f ca="1" t="shared" ref="BN10:BN73" si="35">H10+BM10*I10+J10*M10+IF(K10&gt;0,MAX(1,K10*N10*破招全局系数),0)</f>
        <v>505125.675</v>
      </c>
      <c r="BO10">
        <f ca="1" t="shared" ref="BO10:BO41" si="36">IF(COUNTIF(G10,"*恒定伤害*")&gt;0,AB10,((BN10*(1+P10)*(1+IF(COUNTIF(F10,"*内破*")&gt;0,内破,IF(D10="轻剑",$BM$8,$BM$9)/破防系数)+IF((IF(D10="轻剑",$AO$2,$AO$3)+INT(COUNTIF(G10,"*大莺鸣*")*IF(D10="轻剑",$AM$2,$AM$3)*听晓无双率)/无双系数)&gt;0.9,(特效裤子破防+特效裤子破防*IF(D10="轻剑",$AD$2+102,$AD$3+102)/1024)/破防系数,0))*(1-R10))*T10*(1+U10))*Y10*(1+Z10)*(1+AA10))</f>
        <v>3001915.22346812</v>
      </c>
      <c r="BP10">
        <f ca="1" t="shared" ref="BP10:BP41" si="37">IF(COUNTIF(G10,"*恒定伤害*")&gt;0,AB10,((BN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U10))*Y10*(1+Z10)*(1+AA10))</f>
        <v>2862753.4330919</v>
      </c>
      <c r="BR10">
        <f ca="1" t="shared" ref="BR10:BR73" si="38">$W10+IF(T10="轻剑",BI$8-$Y$2,BI$9-$Y$3)</f>
        <v>0.7543</v>
      </c>
      <c r="BS10">
        <f ca="1" t="shared" ref="BS10:BS73" si="39">IF(COUNTIF(G10,"*恒定伤害*")&gt;0,AB10,((BN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AV10))*(1+MIN(1,BR10)*(MIN(3+COUNTIF(G10,"*叠*")*0.75,X10)-1))*(1+Z10)*(1+AA10))</f>
        <v>2975643.29659304</v>
      </c>
      <c r="BT10">
        <f ca="1" t="shared" ref="BT10:BT73" si="40">IF(G10="恒定伤害",0,(($F$5-IF(D10="轻剑",$BB$2,$BB$3))*(1024-IF(D10="轻剑",$BD$2,$BD$3))/1024*(1024-IF(D10="轻剑",$BT$8,$BT$9)-COUNTIF(G10,"*雾锁*")*461*雾锁)/1024/(($F$5-IF(D10="轻剑",$BB$2,$BB$3))*(1024-IF(D10="轻剑",$BD$2,$BD$3))/1024*(1024-IF(D10="轻剑",$BT$8,$BT$9)-COUNTIF(G10,"*雾锁*")*461*雾锁)/1024+$F$7)))</f>
        <v>0.318170800459405</v>
      </c>
      <c r="BU10">
        <f ca="1" t="shared" ref="BU10:BU73" si="41">X10+IF(D10="轻剑",$AU$8-$AB$2,$AU$9-$AB$3)</f>
        <v>2.3238578771</v>
      </c>
      <c r="BV10">
        <f ca="1">IF(COUNTIF(G10,"*恒定伤害*")&gt;0,AB10,((O10*(1+P10)*(1+Q10)*(1-BT10))*T10*(1+U10))*(1+MIN(1,BR10)*(MIN(3+COUNTIF(G10,"*叠*")*0.75,BU10)-1))*(1+Z10)*(1+AA10))</f>
        <v>2981847.73649014</v>
      </c>
      <c r="BW10">
        <f ca="1" t="shared" ref="BW10:BW73" si="42">IF(D10="轻剑",$BW$8,$BW$9)+INT(残雪*(COUNTIF(G10,"*莺鸣*")+COUNTIF(G10,"*叠1*")+COUNTIF(G10,"*叠2*")*2+COUNTIF(G10,"*叠3*")*3)*IF(D10="轻剑",$U$2,$U$3)*154/1024+COUNTIF(G10,"*雾锁*")*205/1024*IF(D10="轻剑",$U$2,$U$3))</f>
        <v>99155</v>
      </c>
      <c r="BX10">
        <f ca="1" t="shared" ref="BX10:BX73" si="43">H10+BW10*I10+J10*M10+IF(K10&gt;0,MAX(1,K10*N10*破招全局系数),0)</f>
        <v>524727.6875</v>
      </c>
      <c r="BY10">
        <f ca="1" t="shared" ref="BY10:BY73" si="44">$W10+IF(COUNTIF(F10,"*内会*")&gt;0,0,IF(AI10="轻剑",BY$8-$Y$2,BY$9-$Y$3))</f>
        <v>0.7343</v>
      </c>
      <c r="BZ10">
        <f ca="1">无穷技能数计算!$AJ2</f>
        <v>0</v>
      </c>
      <c r="CA10">
        <f ca="1" t="shared" ref="CA10:CA73" si="45">X10+IF(COUNTIF(F10,"*内会*")&gt;0,0,IF(D10="轻剑",$CA$8-$AB$2,$CA$9-$AB$3))</f>
        <v>2.3277641271</v>
      </c>
      <c r="CB10">
        <f ca="1">IF(COUNTIF(G10,"*恒定伤害*")&gt;0,AB10,((BX10*(1+P10)*(1+Q10)*(1-R10))*T10*(1+U10))*(1+MIN(1,BY10)*(MIN(3+COUNTIF(G10,"*叠*")*0.75,CA10)-1))*(1+Z10)*(1+AA10))</f>
        <v>3117529.65527042</v>
      </c>
      <c r="CC10">
        <f ca="1" t="shared" ref="CC10:CC73" si="46">IF(D10="轻剑",$CC$8,$CC$9)+INT(残雪*(COUNTIF(G10,"*莺鸣*")+COUNTIF(G10,"*叠1*")+COUNTIF(G10,"*叠2*")*2+COUNTIF(G10,"*叠3*")*3)*IF(D10="轻剑",$U$2,$U$3)*154/1024+COUNTIF(G10,"*雾锁*")*205/1024*IF(D10="轻剑",$U$2,$U$3))</f>
        <v>100975</v>
      </c>
      <c r="CD10">
        <f ca="1" t="shared" ref="CD10:CD73" si="47">H10+CC10*I10+J10*M10+IF(K10&gt;0,MAX(1,K10*N10*破招全局系数),0)</f>
        <v>534123.4375</v>
      </c>
      <c r="CE10">
        <f ca="1" t="shared" ref="CE10:CE73" si="48">IF(COUNTIF(G10,"*恒定伤害*")&gt;0,AB10,((CD10*(1+P10)*(1+IF(COUNTIF(F10,"*内破*")&gt;0,内破,IF(D10="轻剑",$BQ$8,$BQ$9)/破防系数)+IF((IF(D10="轻剑",$AO$2,$AO$3)+INT(COUNTIF(G10,"*大莺鸣*")*IF(D10="轻剑",$AM$2,$AM$3)*听晓无双率)/无双系数)&gt;0.9,(特效裤子破防+特效裤子破防*IF(D10="轻剑",$AD$2+102,$AD$3+102)/1024)/破防系数,0))*(1-R10))*T10*(1+U10))*(1+MIN(1,BY10)*(MIN(3+COUNTIF(G10,"*叠*")*0.75,X10)-1))*(1+Z10)*(1+AA10))</f>
        <v>3085546.96574032</v>
      </c>
      <c r="CF10">
        <f ca="1" t="shared" ref="CF10:CF73" si="49">X10+IF(COUNTIF(F10,"*内会*")&gt;0,0,IF(D10="轻剑",$CF$8-$AB$2,$CF$9-$AB$3))</f>
        <v>2.2750297521</v>
      </c>
      <c r="CG10">
        <f ca="1" t="shared" ref="CG10:CG73" si="50">$W10+IF(AI10="轻剑",BY$8-$Y$2,BY$9-$Y$3)</f>
        <v>0.7343</v>
      </c>
      <c r="CH10">
        <f ca="1">IF(COUNTIF(G10,"*恒定伤害*")&gt;0,AB10,((O10*(1+P10)*(1+Q10)*(1-R10))*T10*(1+AV10))*(1+MIN(1,BY10)*(MIN(3+COUNTIF(G10,"*叠*")*0.75,CF10)-1))*(1+Z10)*(1+AA10))</f>
        <v>2860456.92032736</v>
      </c>
      <c r="CJ10">
        <f ca="1" t="shared" ref="CJ10:CJ73" si="51">H10+BM10*I10+J10*M10+IF(K10&gt;0,MAX(1,K10*(N10+2667)*破招全局系数),0)</f>
        <v>505125.675</v>
      </c>
      <c r="CK10">
        <f ca="1" t="shared" ref="CK10:CK41" si="52">IF(COUNTIF(G10,"*恒定伤害*")&gt;0,AB10,((CJ10*(1+P10)*(1+IF(COUNTIF(F10,"*内破*")&gt;0,内破,IF(D10="轻剑",$CI$8,$CI$9)/破防系数)+IF((IF(D10="轻剑",$AO$2,$AO$3)+INT(COUNTIF(G10,"*大莺鸣*")*IF(D10="轻剑",$AM$2,$AM$3)*听晓无双率)/无双系数)&gt;0.9,(特效裤子破防+特效裤子破防*IF(D10="轻剑",$AD$2+256,$AD$3+256)/1024)/破防系数,0))*(1-R10))*T10*(1+U10))*Y10*(1+Z10)*(1+AA10))</f>
        <v>2988316.71111508</v>
      </c>
      <c r="CL10">
        <f ca="1">X10+IF(D10="轻剑",$CL$8-$AB$2,$CL$9-$AB$3)</f>
        <v>2.2976860021</v>
      </c>
      <c r="CM10">
        <f ca="1">IF(G10="恒定伤害",0,(IF(D10="轻剑",$CM$8,$CM$9)+IFERROR(INDEX(技能数据库!$T$2:$W$27,MATCH(E10,技能数据库!$T$2:$T$27,0),4),0)+COUNTIF(G10,"*造化2*")*154+COUNTIF(G10,"*造化1*")*102+COUNTIF(G10,"*碧归*")*307)/1024)</f>
        <v>0.247180646929785</v>
      </c>
      <c r="CN10">
        <f ca="1">IF(COUNTIF(G10,"*恒定伤害*")&gt;0,AB10,((O10*(1+CM10)*(1+Q10)*(1-R10))*T10*(1+AV10))*(1+MIN(1,CG10)*(MIN(3+COUNTIF(G10,"*叠*")*0.75,CL10)-1))*(1+Z10)*(1+AA10))</f>
        <v>3032240.40817815</v>
      </c>
      <c r="CO10">
        <f ca="1">X10+IF(D10="轻剑",$CO$8-$AB$2,$CO$9-$AB$3)</f>
        <v>2.3262602208</v>
      </c>
      <c r="CP10">
        <f ca="1">IF(COUNTIF(G10,"*恒定伤害*")&gt;0,AB10,((O10*(1+CM10)*(1+Q10)*(1-R10))*T10*(1+AV10))*(1+MIN(1,CG10)*(MIN(3+COUNTIF(G10,"*叠*")*0.75,CO10)-1))*(1+Z10)*(1+AA10))</f>
        <v>3064819.0936687</v>
      </c>
      <c r="CQ10">
        <f ca="1" t="shared" ref="CQ10:CQ41" si="53">IF(G10="恒定伤害",0,(IF(D10="轻剑",$CQ$8,$CQ$9)+INT(COUNTIF(G10,"*大莺鸣*")*IF(D10="轻剑",$AM$2,$AM$3)*听晓无双率)/无双系数))+IF((IF(G10="恒定伤害",0,(IF(D10="轻剑",$CQ$8,$CQ$9)+INT(COUNTIF(G10,"*大莺鸣*")*IF(D10="轻剑",$AM$2,$AM$3)*听晓无双率)/无双系数)))&lt;=0.9,特效裤子无双,0)</f>
        <v>1.8815754648</v>
      </c>
      <c r="CR10">
        <f ca="1">IF(G10="恒定伤害",0,(IF(D10="轻剑",$CR$8,$CR$9)+IFERROR(INDEX(技能数据库!$T$2:$W$27,MATCH(E10,技能数据库!$T$2:$T$27,0),4),0)+COUNTIF(G10,"*造化2*")*154+COUNTIF(G10,"*造化1*")*102+COUNTIF(G10,"*碧归*")*307)/1024)</f>
        <v>0.237415021929785</v>
      </c>
      <c r="CS10">
        <f ca="1">IF(COUNTIF(G10,"*恒定伤害*")&gt;0,AB10,((O10*(1+CR10)*(1+Q10)*(1-R10))*T10*(1+CQ10))*Y10*(1+Z10)*(1+AA10))</f>
        <v>2900556.17140668</v>
      </c>
      <c r="CV10" t="s">
        <v>3169</v>
      </c>
      <c r="CW10">
        <f ca="1">BZ6</f>
        <v>14167473.5262734</v>
      </c>
      <c r="CX10" s="164">
        <f ca="1">CW10/$CW$7-1</f>
        <v>0.109366650914014</v>
      </c>
      <c r="CY10">
        <f ca="1">RANK(CW10,$CW$10:$CW$27)</f>
        <v>2</v>
      </c>
      <c r="CZ10">
        <v>1</v>
      </c>
      <c r="DA10" t="str">
        <f ca="1">INDEX($CV$10:$CY$27,MATCH(CZ10,$CY$10:$CY$27,0),1)</f>
        <v>万灵阵(99%)</v>
      </c>
      <c r="DB10" s="164">
        <f ca="1">MAX(0,INDEX($CV$10:$CY$27,MATCH(CZ10,$CY$10:$CY$27,0),3))</f>
        <v>0.119063700396218</v>
      </c>
    </row>
    <row r="11" spans="2:107">
      <c r="D11" t="s">
        <v>1028</v>
      </c>
      <c r="E11" t="s">
        <v>2722</v>
      </c>
      <c r="G11" t="s">
        <v>2750</v>
      </c>
      <c r="H11">
        <f ca="1">INDEX(技能数据库!$B$2:$I$100,MATCH(无穷阵眼收益计算!$E11,技能数据库!$B$2:$B$100,0),MATCH(H$9,技能数据库!$B$2:$I$2,0))</f>
        <v>145.5</v>
      </c>
      <c r="I11">
        <f ca="1">INDEX(技能数据库!$B$2:$I$100,MATCH(无穷阵眼收益计算!$E11,技能数据库!$B$2:$B$100,0),MATCH(I$9,技能数据库!$B$2:$I$2,0))</f>
        <v>5.1625</v>
      </c>
      <c r="J11">
        <f ca="1">INDEX(技能数据库!$B$2:$I$100,MATCH(无穷阵眼收益计算!$E11,技能数据库!$B$2:$B$100,0),MATCH(J$9,技能数据库!$B$2:$I$2,0))</f>
        <v>1</v>
      </c>
      <c r="K11">
        <f ca="1">INDEX(技能数据库!$B$2:$I$100,MATCH(无穷阵眼收益计算!$E11,技能数据库!$B$2:$B$100,0),MATCH(K$9,技能数据库!$B$2:$I$2,0))</f>
        <v>0</v>
      </c>
      <c r="L11">
        <f ca="1" t="shared" si="13"/>
        <v>105847</v>
      </c>
      <c r="M11">
        <f ca="1">IF(D11="轻剑",$AU$2+$AV$2,$AU$3+$AV$3)/2</f>
        <v>12694.5</v>
      </c>
      <c r="N11">
        <f ca="1">IF(D11="轻剑",$AJ$2,$AJ$3)</f>
        <v>92028</v>
      </c>
      <c r="O11">
        <f ca="1" t="shared" ref="O11:O74" si="54">H11+I11*L11+J11*M11+IF(K11&gt;0,MAX(1,K11*N11*破招全局系数),0)</f>
        <v>559275.1375</v>
      </c>
      <c r="P11">
        <f ca="1">IF(G11="恒定伤害",0,(IF(D11="轻剑",$AZ$2,$AZ$3)+IFERROR(INDEX(技能数据库!$T$2:$W$27,MATCH(E11,技能数据库!$T$2:$T$27,0),4),0)+COUNTIF(G11,"*造化2*")*154+COUNTIF(G11,"*造化1*")*102+COUNTIF(G11,"*碧归*")*307)/1024)</f>
        <v>0.186633771929785</v>
      </c>
      <c r="Q11">
        <f ca="1" t="shared" si="14"/>
        <v>0.448284482196154</v>
      </c>
      <c r="R11">
        <f ca="1" t="shared" ref="R11:R74" si="55">IF(G11="恒定伤害",0,(($F$5-IF(D11="轻剑",$BB$2,$BB$3))*(1024-IF(D11="轻剑",$BD$2,$BD$3))/1024*(1024-IF(D11="轻剑",$BC$2,$BC$3)-COUNTIF(G11,"*雾锁*")*461*雾锁)/1024/(($F$5-IF(D11="轻剑",$BB$2,$BB$3))*(1024-IF(D11="轻剑",$BD$2,$BD$3))/1024*(1024-IF(D11="轻剑",$BC$2,$BC$3)-COUNTIF(G11,"*雾锁*")*461*雾锁)/1024+$F$7)))</f>
        <v>0.21277697966198</v>
      </c>
      <c r="S11">
        <f ca="1">O11*(1+P11)*(1+Q11)*(1-R11)</f>
        <v>756647.985998852</v>
      </c>
      <c r="T11">
        <f>1-($F$6-130)*0.05</f>
        <v>0.8</v>
      </c>
      <c r="U11">
        <f ca="1" t="shared" si="15"/>
        <v>1.7800129648</v>
      </c>
      <c r="V11">
        <f ca="1">S11*T11*(1+U11)</f>
        <v>1682792.96869329</v>
      </c>
      <c r="W11">
        <f ca="1">IF(G11="恒定伤害",0,MIN(1,IF(COUNTIF(F11,"*内会*")&gt;0,内会2,IF(D11="轻剑",$Y$2,$Y$3)+COUNTIF(G11,"*莺鸣*")*0.2+COUNTIF(G11,"*叠1*")*0.1+COUNTIF(G11,"*叠2*")*0.2+COUNTIF(G11,"*叠3*")*0.3)+IFERROR(INDEX(技能数据库!$T$2:$W$27,MATCH(E11,技能数据库!$T$2:$T$27,0),2),0)+IF((IF(D11="轻剑",$AO$2,$AO$3)+INT(COUNTIF(G11,"*大莺鸣*")*IF(D11="轻剑",$AM$2,$AM$3)*听晓无双率)/无双系数)&gt;0.9,特效裤子会心/会心系数,0)))</f>
        <v>0.7043</v>
      </c>
      <c r="X11">
        <f ca="1">IF(G11="恒定伤害",0,IF(COUNTIF(F11,"*内会*")&gt;0,内会效2,IF(D11="轻剑",$AB$2,$AB$3))+IFERROR(INDEX(技能数据库!$T$2:$W$27,MATCH(E11,技能数据库!$T$2:$T$27,0),3)/1024,0))+COUNTIF(G11,"*叠1*")*0.25+COUNTIF(G11,"*叠2*")*0.5+COUNTIF(G11,"*叠3*")*0.75</f>
        <v>2.1773735021</v>
      </c>
      <c r="Y11">
        <f ca="1">1+W11*(X11-1)</f>
        <v>1.82922415752903</v>
      </c>
      <c r="Z11">
        <f t="shared" si="16"/>
        <v>0.150390625</v>
      </c>
      <c r="AA11">
        <f ca="1">IF(D11="轻剑",$BA$2,$BA$3)/1024</f>
        <v>0.0205078125</v>
      </c>
      <c r="AB11">
        <f ca="1">V11*Y11*(1+Z11)*(1+AA11)</f>
        <v>3613759.81775674</v>
      </c>
      <c r="AC11">
        <f ca="1">无穷技能数计算!$AJ3</f>
        <v>4</v>
      </c>
      <c r="AD11" s="164">
        <f ca="1">IFERROR(AB11*AC11/$AD$7,0)</f>
        <v>0.0056650857563478</v>
      </c>
      <c r="AE11" s="168"/>
      <c r="AF11" s="168">
        <f ca="1" t="shared" si="17"/>
        <v>0.7057</v>
      </c>
      <c r="AG11">
        <f ca="1">无穷技能数计算!$AJ3</f>
        <v>4</v>
      </c>
      <c r="AH11">
        <f ca="1" t="shared" si="18"/>
        <v>109879</v>
      </c>
      <c r="AJ11">
        <f ca="1" t="shared" si="19"/>
        <v>2.3765922521</v>
      </c>
      <c r="AK11">
        <f ca="1" t="shared" ref="AK11:AK74" si="56">H11+AH11*I11+J11*(238.5+M11)+IF(K11&gt;0,MAX(1,K11*N11*破招全局系数),0)</f>
        <v>580328.8375</v>
      </c>
      <c r="AL11">
        <f ca="1" t="shared" si="20"/>
        <v>4042487.08629974</v>
      </c>
      <c r="AM11" s="169">
        <f ca="1" t="shared" si="21"/>
        <v>0.7272</v>
      </c>
      <c r="AN11">
        <f ca="1">无穷技能数计算!$AJ3</f>
        <v>4</v>
      </c>
      <c r="AO11" s="170">
        <f ca="1" t="shared" si="22"/>
        <v>4103175.27815562</v>
      </c>
      <c r="AP11">
        <f ca="1" t="shared" si="23"/>
        <v>110956</v>
      </c>
      <c r="AQ11" s="170">
        <f ca="1" t="shared" ref="AQ11:AQ74" si="57">H11+AP11*I11+J11*M11+IF(K11&gt;0,MAX(1,K11*N11*破招全局系数),0)</f>
        <v>585650.35</v>
      </c>
      <c r="AR11">
        <f ca="1" t="shared" si="24"/>
        <v>4006192.1000887</v>
      </c>
      <c r="AS11">
        <f ca="1" t="shared" si="25"/>
        <v>0.7843</v>
      </c>
      <c r="AT11">
        <f ca="1">无穷技能数计算!$AJ3</f>
        <v>4</v>
      </c>
      <c r="AU11">
        <f ca="1" t="shared" si="26"/>
        <v>2.3238578771</v>
      </c>
      <c r="AV11">
        <f ca="1" t="shared" si="27"/>
        <v>1.7995442148</v>
      </c>
      <c r="AW11">
        <f ca="1" t="shared" ref="AW11:AW74" si="58">IF(COUNTIF(G11,"*恒定伤害*")&gt;0,AB11,((O11*(1+P11)*(1+Q11)*(1-R11))*T11*(1+AV11))*(1+MIN(1,AS11)*(MIN(3+COUNTIF(G11,"*叠*")*0.75,AU11)-1))*(1+Z11)*(1+AA11))</f>
        <v>4055097.86364156</v>
      </c>
      <c r="AX11">
        <f ca="1" t="shared" si="28"/>
        <v>0.7743</v>
      </c>
      <c r="AY11">
        <f ca="1">无穷技能数计算!$AJ3</f>
        <v>4</v>
      </c>
      <c r="AZ11" s="170">
        <f ca="1" t="shared" ref="AZ11:AZ74" si="59">IF(COUNTIF(G11,"*恒定伤害*")&gt;0,AB11,((O11*(1+P11)*(1+Q11)*(1-R11))*T11*(1+AV11))*(1+MIN(1,AX11)*(MIN(3+COUNTIF(G11,"*叠*")*0.75,AU11)-1))*(1+Z11)*(1+AA11))</f>
        <v>4028760.38297197</v>
      </c>
      <c r="BA11">
        <f ca="1" t="shared" si="29"/>
        <v>0.7643</v>
      </c>
      <c r="BB11">
        <f ca="1">无穷技能数计算!$AJ3</f>
        <v>4</v>
      </c>
      <c r="BC11" s="170">
        <f ca="1" t="shared" ref="BC11:BC74" si="60">IF(COUNTIF(G11,"*恒定伤害*")&gt;0,AB11,((O11*(1+P11)*(1+Q11)*(1-R11))*T11*(1+AV11))*(1+MIN(1,BA11)*(MIN(3+COUNTIF(G11,"*叠*")*0.75,AU11)-1))*(1+Z11)*(1+AA11))</f>
        <v>4002422.90230238</v>
      </c>
      <c r="BE11">
        <f ca="1" t="shared" si="30"/>
        <v>105849</v>
      </c>
      <c r="BF11">
        <f ca="1" t="shared" si="31"/>
        <v>559285.4625</v>
      </c>
      <c r="BI11">
        <f ca="1" t="shared" si="32"/>
        <v>0.7543</v>
      </c>
      <c r="BJ11">
        <f ca="1">无穷技能数计算!$AJ3</f>
        <v>4</v>
      </c>
      <c r="BK11">
        <f ca="1" t="shared" si="33"/>
        <v>3981151.22386728</v>
      </c>
      <c r="BM11">
        <f ca="1" t="shared" si="34"/>
        <v>109230</v>
      </c>
      <c r="BN11">
        <f ca="1" t="shared" si="35"/>
        <v>576739.875</v>
      </c>
      <c r="BO11">
        <f ca="1" t="shared" si="36"/>
        <v>4024679.25026042</v>
      </c>
      <c r="BP11">
        <f ca="1" t="shared" si="37"/>
        <v>3838104.50431899</v>
      </c>
      <c r="BR11">
        <f ca="1" t="shared" si="38"/>
        <v>0.7543</v>
      </c>
      <c r="BS11">
        <f ca="1" t="shared" si="39"/>
        <v>3989456.3771653</v>
      </c>
      <c r="BT11">
        <f ca="1" t="shared" si="40"/>
        <v>0.196995876306796</v>
      </c>
      <c r="BU11">
        <f ca="1" t="shared" si="41"/>
        <v>2.3238578771</v>
      </c>
      <c r="BV11">
        <f ca="1" t="shared" ref="BV11:BV74" si="61">IF(COUNTIF(G11,"*恒定伤害*")&gt;0,AB11,((O11*(1+P11)*(1+Q11)*(1-BT11))*T11*(1+U11))*(1+MIN(1,BR11)*(MIN(3+COUNTIF(G11,"*叠*")*0.75,BU11)-1))*(1+Z11)*(1+AA11))</f>
        <v>4027496.63809192</v>
      </c>
      <c r="BW11">
        <f ca="1" t="shared" si="42"/>
        <v>113027</v>
      </c>
      <c r="BX11">
        <f ca="1" t="shared" si="43"/>
        <v>596341.8875</v>
      </c>
      <c r="BY11">
        <f ca="1" t="shared" si="44"/>
        <v>0.7343</v>
      </c>
      <c r="BZ11">
        <f ca="1">无穷技能数计算!$AJ3</f>
        <v>4</v>
      </c>
      <c r="CA11">
        <f ca="1" t="shared" si="45"/>
        <v>2.3277641271</v>
      </c>
      <c r="CB11">
        <f ca="1" t="shared" ref="CB11:CB74" si="62">IF(COUNTIF(G11,"*恒定伤害*")&gt;0,AB11,((BX11*(1+P11)*(1+Q11)*(1-R11))*T11*(1+U11))*(1+MIN(1,BY11)*(MIN(3+COUNTIF(G11,"*叠*")*0.75,CA11)-1))*(1+Z11)*(1+AA11))</f>
        <v>4160296.12830818</v>
      </c>
      <c r="CC11">
        <f ca="1" t="shared" si="46"/>
        <v>114847</v>
      </c>
      <c r="CD11">
        <f ca="1" t="shared" si="47"/>
        <v>605737.6375</v>
      </c>
      <c r="CE11">
        <f ca="1" t="shared" si="48"/>
        <v>4108917.31163677</v>
      </c>
      <c r="CF11">
        <f ca="1" t="shared" si="49"/>
        <v>2.2750297521</v>
      </c>
      <c r="CG11">
        <f ca="1" t="shared" si="50"/>
        <v>0.7343</v>
      </c>
      <c r="CH11">
        <f ca="1" t="shared" ref="CH11:CH74" si="63">IF(COUNTIF(G11,"*恒定伤害*")&gt;0,AB11,((O11*(1+P11)*(1+Q11)*(1-R11))*T11*(1+AV11))*(1+MIN(1,BY11)*(MIN(3+COUNTIF(G11,"*叠*")*0.75,CF11)-1))*(1+Z11)*(1+AA11))</f>
        <v>3852079.76753262</v>
      </c>
      <c r="CJ11">
        <f ca="1" t="shared" si="51"/>
        <v>576739.875</v>
      </c>
      <c r="CK11">
        <f ca="1" t="shared" si="52"/>
        <v>4006447.67260831</v>
      </c>
      <c r="CL11">
        <f ca="1" t="shared" ref="CL11:CL74" si="64">X11+IF(D11="轻剑",$CL$8-$AB$2,$CL$9-$AB$3)</f>
        <v>2.2976860021</v>
      </c>
      <c r="CM11">
        <f ca="1">IF(G11="恒定伤害",0,(IF(D11="轻剑",$CM$8,$CM$9)+IFERROR(INDEX(技能数据库!$T$2:$W$27,MATCH(E11,技能数据库!$T$2:$T$27,0),4),0)+COUNTIF(G11,"*造化2*")*154+COUNTIF(G11,"*造化1*")*102+COUNTIF(G11,"*碧归*")*307)/1024)</f>
        <v>0.247180646929785</v>
      </c>
      <c r="CN11">
        <f ca="1" t="shared" ref="CN11:CN74" si="65">IF(COUNTIF(G11,"*恒定伤害*")&gt;0,AB11,((O11*(1+CM11)*(1+Q11)*(1-R11))*T11*(1+AV11))*(1+MIN(1,CG11)*(MIN(3+COUNTIF(G11,"*叠*")*0.75,CL11)-1))*(1+Z11)*(1+AA11))</f>
        <v>4083414.73127348</v>
      </c>
      <c r="CO11">
        <f ca="1" t="shared" ref="CO11:CO74" si="66">X11+IF(D11="轻剑",$CO$8-$AB$2,$CO$9-$AB$3)</f>
        <v>2.3262602208</v>
      </c>
      <c r="CP11">
        <f ca="1" t="shared" ref="CP11:CP74" si="67">IF(COUNTIF(G11,"*恒定伤害*")&gt;0,AB11,((O11*(1+CM11)*(1+Q11)*(1-R11))*T11*(1+AV11))*(1+MIN(1,CG11)*(MIN(3+COUNTIF(G11,"*叠*")*0.75,CO11)-1))*(1+Z11)*(1+AA11))</f>
        <v>4127287.33580011</v>
      </c>
      <c r="CQ11">
        <f ca="1" t="shared" si="53"/>
        <v>1.8815754648</v>
      </c>
      <c r="CR11">
        <f ca="1">IF(G11="恒定伤害",0,(IF(D11="轻剑",$CR$8,$CR$9)+IFERROR(INDEX(技能数据库!$T$2:$W$27,MATCH(E11,技能数据库!$T$2:$T$27,0),4),0)+COUNTIF(G11,"*造化2*")*154+COUNTIF(G11,"*造化1*")*102+COUNTIF(G11,"*碧归*")*307)/1024)</f>
        <v>0.237415021929785</v>
      </c>
      <c r="CS11">
        <f ca="1" t="shared" ref="CS11:CS74" si="68">IF(COUNTIF(G11,"*恒定伤害*")&gt;0,AB11,((O11*(1+CR11)*(1+Q11)*(1-R11))*T11*(1+CQ11))*Y11*(1+Z11)*(1+AA11))</f>
        <v>3906080.06121934</v>
      </c>
      <c r="CV11" t="s">
        <v>3163</v>
      </c>
      <c r="CW11">
        <f ca="1">AV6</f>
        <v>13847702.6143738</v>
      </c>
      <c r="CX11" s="164">
        <f ca="1" t="shared" ref="CX11:CX27" si="69">CW11/$CW$7-1</f>
        <v>0.0843273815668069</v>
      </c>
      <c r="CY11">
        <f ca="1" t="shared" ref="CY11:CY27" si="70">RANK(CW11,$CW$10:$CW$27)</f>
        <v>11</v>
      </c>
      <c r="CZ11">
        <v>2</v>
      </c>
      <c r="DA11" t="str">
        <f ca="1" t="shared" ref="DA11:DA27" si="71">INDEX($CV$10:$CY$27,MATCH(CZ11,$CY$10:$CY$27,0),1)</f>
        <v>凌雪阵(55%)</v>
      </c>
      <c r="DB11" s="164">
        <f ca="1" t="shared" ref="DB11:DB27" si="72">MAX(0,INDEX($CV$10:$CY$27,MATCH(CZ11,$CY$10:$CY$27,0),3))</f>
        <v>0.109366650914014</v>
      </c>
    </row>
    <row r="12" spans="2:107">
      <c r="D12" t="s">
        <v>1028</v>
      </c>
      <c r="E12" t="s">
        <v>2722</v>
      </c>
      <c r="G12" t="s">
        <v>2949</v>
      </c>
      <c r="H12">
        <f ca="1">INDEX(技能数据库!$B$2:$I$100,MATCH(无穷阵眼收益计算!$E12,技能数据库!$B$2:$B$100,0),MATCH(H$9,技能数据库!$B$2:$I$2,0))</f>
        <v>145.5</v>
      </c>
      <c r="I12">
        <f ca="1">INDEX(技能数据库!$B$2:$I$100,MATCH(无穷阵眼收益计算!$E12,技能数据库!$B$2:$B$100,0),MATCH(I$9,技能数据库!$B$2:$I$2,0))</f>
        <v>5.1625</v>
      </c>
      <c r="J12">
        <f ca="1">INDEX(技能数据库!$B$2:$I$100,MATCH(无穷阵眼收益计算!$E12,技能数据库!$B$2:$B$100,0),MATCH(J$9,技能数据库!$B$2:$I$2,0))</f>
        <v>1</v>
      </c>
      <c r="K12">
        <f ca="1">INDEX(技能数据库!$B$2:$I$100,MATCH(无穷阵眼收益计算!$E12,技能数据库!$B$2:$B$100,0),MATCH(K$9,技能数据库!$B$2:$I$2,0))</f>
        <v>0</v>
      </c>
      <c r="L12">
        <f ca="1" t="shared" si="13"/>
        <v>91975</v>
      </c>
      <c r="M12">
        <f ca="1" t="shared" ref="M12:M69" si="73">IF(D12="轻剑",$AU$2+$AV$2,$AU$3+$AV$3)/2</f>
        <v>12694.5</v>
      </c>
      <c r="N12">
        <f ca="1" t="shared" ref="N12:N69" si="74">IF(D12="轻剑",$AJ$2,$AJ$3)</f>
        <v>92028</v>
      </c>
      <c r="O12">
        <f ca="1" t="shared" si="54"/>
        <v>487660.9375</v>
      </c>
      <c r="P12">
        <f ca="1">IF(G12="恒定伤害",0,(IF(D12="轻剑",$AZ$2,$AZ$3)+IFERROR(INDEX(技能数据库!$T$2:$W$27,MATCH(E12,技能数据库!$T$2:$T$27,0),4),0)+COUNTIF(G12,"*造化2*")*154+COUNTIF(G12,"*造化1*")*102+COUNTIF(G12,"*碧归*")*307)/1024)</f>
        <v>0.186633771929785</v>
      </c>
      <c r="Q12">
        <f ca="1" t="shared" si="14"/>
        <v>0.448284482196154</v>
      </c>
      <c r="R12">
        <f ca="1" t="shared" si="55"/>
        <v>0.32958230397716</v>
      </c>
      <c r="S12">
        <f ca="1" t="shared" ref="S12:S69" si="75">O12*(1+P12)*(1+Q12)*(1-R12)</f>
        <v>561867.639929095</v>
      </c>
      <c r="T12">
        <f t="shared" ref="T12:T79" si="76">1-($F$6-130)*0.05</f>
        <v>0.8</v>
      </c>
      <c r="U12">
        <f ca="1" t="shared" si="15"/>
        <v>1.7800129648</v>
      </c>
      <c r="V12">
        <f ca="1" t="shared" ref="V12:V69" si="77">S12*T12*(1+U12)</f>
        <v>1249599.45880357</v>
      </c>
      <c r="W12">
        <f ca="1">IF(G12="恒定伤害",0,MIN(1,IF(COUNTIF(F12,"*内会*")&gt;0,内会2,IF(D12="轻剑",$Y$2,$Y$3)+COUNTIF(G12,"*莺鸣*")*0.2+COUNTIF(G12,"*叠1*")*0.1+COUNTIF(G12,"*叠2*")*0.2+COUNTIF(G12,"*叠3*")*0.3)+IFERROR(INDEX(技能数据库!$T$2:$W$27,MATCH(E12,技能数据库!$T$2:$T$27,0),2),0)+IF((IF(D12="轻剑",$AO$2,$AO$3)+INT(COUNTIF(G12,"*大莺鸣*")*IF(D12="轻剑",$AM$2,$AM$3)*听晓无双率)/无双系数)&gt;0.9,特效裤子会心/会心系数,0)))</f>
        <v>0.9043</v>
      </c>
      <c r="X12">
        <f ca="1">IF(G12="恒定伤害",0,IF(COUNTIF(F12,"*内会*")&gt;0,内会效2,IF(D12="轻剑",$AB$2,$AB$3))+IFERROR(INDEX(技能数据库!$T$2:$W$27,MATCH(E12,技能数据库!$T$2:$T$27,0),3)/1024,0))+COUNTIF(G12,"*叠1*")*0.25+COUNTIF(G12,"*叠2*")*0.5+COUNTIF(G12,"*叠3*")*0.75</f>
        <v>2.1773735021</v>
      </c>
      <c r="Y12">
        <f ca="1" t="shared" ref="Y12:Y69" si="78">1+W12*(X12-1)</f>
        <v>2.06469885794903</v>
      </c>
      <c r="Z12">
        <f t="shared" si="16"/>
        <v>0.150390625</v>
      </c>
      <c r="AA12">
        <f ca="1" t="shared" ref="AA12:AA69" si="79">IF(D12="轻剑",$BA$2,$BA$3)/1024</f>
        <v>0.0205078125</v>
      </c>
      <c r="AB12">
        <f ca="1" t="shared" ref="AB12:AB69" si="80">V12*Y12*(1+Z12)*(1+AA12)</f>
        <v>3028929.83902774</v>
      </c>
      <c r="AC12">
        <f ca="1">无穷技能数计算!$AJ4</f>
        <v>0</v>
      </c>
      <c r="AD12" s="164">
        <f ca="1" t="shared" ref="AD12:AD75" si="81">IFERROR(AB12*AC12/$AD$7,0)</f>
        <v>0</v>
      </c>
      <c r="AE12" s="168"/>
      <c r="AF12" s="168">
        <f ca="1" t="shared" si="17"/>
        <v>0.9057</v>
      </c>
      <c r="AG12">
        <f ca="1">无穷技能数计算!$AJ4</f>
        <v>0</v>
      </c>
      <c r="AH12">
        <f ca="1" t="shared" si="18"/>
        <v>96007</v>
      </c>
      <c r="AJ12">
        <f ca="1" t="shared" si="19"/>
        <v>2.3765922521</v>
      </c>
      <c r="AK12">
        <f ca="1" t="shared" si="56"/>
        <v>508714.6375</v>
      </c>
      <c r="AL12">
        <f ca="1" t="shared" si="20"/>
        <v>3439288.88249272</v>
      </c>
      <c r="AM12" s="169">
        <f ca="1" t="shared" si="21"/>
        <v>0.9272</v>
      </c>
      <c r="AN12">
        <f ca="1">无穷技能数计算!$AJ4</f>
        <v>0</v>
      </c>
      <c r="AO12" s="170">
        <f ca="1" t="shared" si="22"/>
        <v>3484594.49061132</v>
      </c>
      <c r="AP12">
        <f ca="1" t="shared" si="23"/>
        <v>97084</v>
      </c>
      <c r="AQ12" s="170">
        <f ca="1" t="shared" si="57"/>
        <v>514036.15</v>
      </c>
      <c r="AR12">
        <f ca="1" t="shared" si="24"/>
        <v>3380060.69058418</v>
      </c>
      <c r="AS12">
        <f ca="1" t="shared" si="25"/>
        <v>0.9843</v>
      </c>
      <c r="AT12">
        <f ca="1">无穷技能数计算!$AJ4</f>
        <v>0</v>
      </c>
      <c r="AU12">
        <f ca="1" t="shared" si="26"/>
        <v>2.3238578771</v>
      </c>
      <c r="AV12">
        <f ca="1" t="shared" si="27"/>
        <v>1.7995442148</v>
      </c>
      <c r="AW12">
        <f ca="1" t="shared" si="58"/>
        <v>3402363.94740068</v>
      </c>
      <c r="AX12">
        <f ca="1" t="shared" si="28"/>
        <v>0.9743</v>
      </c>
      <c r="AY12">
        <f ca="1">无穷技能数计算!$AJ4</f>
        <v>0</v>
      </c>
      <c r="AZ12" s="170">
        <f ca="1" t="shared" si="59"/>
        <v>3382806.40098632</v>
      </c>
      <c r="BA12">
        <f ca="1" t="shared" si="29"/>
        <v>0.9643</v>
      </c>
      <c r="BB12">
        <f ca="1">无穷技能数计算!$AJ4</f>
        <v>0</v>
      </c>
      <c r="BC12" s="170">
        <f ca="1" t="shared" si="60"/>
        <v>3363248.85457197</v>
      </c>
      <c r="BE12">
        <f ca="1" t="shared" si="30"/>
        <v>91977</v>
      </c>
      <c r="BF12">
        <f ca="1" t="shared" si="31"/>
        <v>487671.2625</v>
      </c>
      <c r="BI12">
        <f ca="1" t="shared" si="32"/>
        <v>0.9543</v>
      </c>
      <c r="BJ12">
        <f ca="1">无穷技能数计算!$AJ4</f>
        <v>0</v>
      </c>
      <c r="BK12">
        <f ca="1" t="shared" si="33"/>
        <v>3325008.23234963</v>
      </c>
      <c r="BM12">
        <f ca="1" t="shared" si="34"/>
        <v>95358</v>
      </c>
      <c r="BN12">
        <f ca="1" t="shared" si="35"/>
        <v>505125.675</v>
      </c>
      <c r="BO12">
        <f ca="1" t="shared" si="36"/>
        <v>3388349.59512395</v>
      </c>
      <c r="BP12">
        <f ca="1" t="shared" si="37"/>
        <v>3231273.60830336</v>
      </c>
      <c r="BR12">
        <f ca="1" t="shared" si="38"/>
        <v>0.9543</v>
      </c>
      <c r="BS12">
        <f ca="1" t="shared" si="39"/>
        <v>3346752.54594309</v>
      </c>
      <c r="BT12">
        <f ca="1" t="shared" si="40"/>
        <v>0.318170800459405</v>
      </c>
      <c r="BU12">
        <f ca="1" t="shared" si="41"/>
        <v>2.3238578771</v>
      </c>
      <c r="BV12">
        <f ca="1" t="shared" si="61"/>
        <v>3376881.28728958</v>
      </c>
      <c r="BW12">
        <f ca="1" t="shared" si="42"/>
        <v>99155</v>
      </c>
      <c r="BX12">
        <f ca="1" t="shared" si="43"/>
        <v>524727.6875</v>
      </c>
      <c r="BY12">
        <f ca="1" t="shared" si="44"/>
        <v>0.9343</v>
      </c>
      <c r="BZ12">
        <f ca="1">无穷技能数计算!$AJ4</f>
        <v>0</v>
      </c>
      <c r="CA12">
        <f ca="1" t="shared" si="45"/>
        <v>2.3277641271</v>
      </c>
      <c r="CB12">
        <f ca="1" t="shared" si="62"/>
        <v>3536708.57485698</v>
      </c>
      <c r="CC12">
        <f ca="1" t="shared" si="46"/>
        <v>100975</v>
      </c>
      <c r="CD12">
        <f ca="1" t="shared" si="47"/>
        <v>534123.4375</v>
      </c>
      <c r="CE12">
        <f ca="1" t="shared" si="48"/>
        <v>3475222.78804345</v>
      </c>
      <c r="CF12">
        <f ca="1" t="shared" si="49"/>
        <v>2.2750297521</v>
      </c>
      <c r="CG12">
        <f ca="1" t="shared" si="50"/>
        <v>0.9343</v>
      </c>
      <c r="CH12">
        <f ca="1" t="shared" si="63"/>
        <v>3237180.94769811</v>
      </c>
      <c r="CJ12">
        <f ca="1" t="shared" si="51"/>
        <v>505125.675</v>
      </c>
      <c r="CK12">
        <f ca="1" t="shared" si="52"/>
        <v>3373000.5561286</v>
      </c>
      <c r="CL12">
        <f ca="1" t="shared" si="64"/>
        <v>2.2976860021</v>
      </c>
      <c r="CM12">
        <f ca="1">IF(G12="恒定伤害",0,(IF(D12="轻剑",$CM$8,$CM$9)+IFERROR(INDEX(技能数据库!$T$2:$W$27,MATCH(E12,技能数据库!$T$2:$T$27,0),4),0)+COUNTIF(G12,"*造化2*")*154+COUNTIF(G12,"*造化1*")*102+COUNTIF(G12,"*碧归*")*307)/1024)</f>
        <v>0.247180646929785</v>
      </c>
      <c r="CN12">
        <f ca="1" t="shared" si="65"/>
        <v>3435222.06691129</v>
      </c>
      <c r="CO12">
        <f ca="1" t="shared" si="66"/>
        <v>2.3262602208</v>
      </c>
      <c r="CP12">
        <f ca="1" t="shared" si="67"/>
        <v>3476674.15169111</v>
      </c>
      <c r="CQ12">
        <f ca="1" t="shared" si="53"/>
        <v>1.8815754648</v>
      </c>
      <c r="CR12">
        <f ca="1">IF(G12="恒定伤害",0,(IF(D12="轻剑",$CR$8,$CR$9)+IFERROR(INDEX(技能数据库!$T$2:$W$27,MATCH(E12,技能数据库!$T$2:$T$27,0),4),0)+COUNTIF(G12,"*造化2*")*154+COUNTIF(G12,"*造化1*")*102+COUNTIF(G12,"*碧归*")*307)/1024)</f>
        <v>0.237415021929785</v>
      </c>
      <c r="CS12">
        <f ca="1" t="shared" si="68"/>
        <v>3273942.66573113</v>
      </c>
      <c r="CV12" t="s">
        <v>3171</v>
      </c>
      <c r="CW12">
        <f ca="1">CN6</f>
        <v>14154320.1929078</v>
      </c>
      <c r="CX12" s="164">
        <f ca="1" t="shared" si="69"/>
        <v>0.10833669526546</v>
      </c>
      <c r="CY12">
        <f ca="1" t="shared" si="70"/>
        <v>3</v>
      </c>
      <c r="CZ12">
        <v>3</v>
      </c>
      <c r="DA12" t="str">
        <f ca="1" t="shared" si="71"/>
        <v>万灵阵(80%)</v>
      </c>
      <c r="DB12" s="164">
        <f ca="1" t="shared" si="72"/>
        <v>0.10833669526546</v>
      </c>
    </row>
    <row r="13" spans="2:107">
      <c r="D13" t="s">
        <v>1028</v>
      </c>
      <c r="E13" t="s">
        <v>2722</v>
      </c>
      <c r="G13" t="s">
        <v>3014</v>
      </c>
      <c r="H13">
        <f ca="1">INDEX(技能数据库!$B$2:$I$100,MATCH(无穷阵眼收益计算!$E13,技能数据库!$B$2:$B$100,0),MATCH(H$9,技能数据库!$B$2:$I$2,0))</f>
        <v>145.5</v>
      </c>
      <c r="I13">
        <f ca="1">INDEX(技能数据库!$B$2:$I$100,MATCH(无穷阵眼收益计算!$E13,技能数据库!$B$2:$B$100,0),MATCH(I$9,技能数据库!$B$2:$I$2,0))</f>
        <v>5.1625</v>
      </c>
      <c r="J13">
        <f ca="1">INDEX(技能数据库!$B$2:$I$100,MATCH(无穷阵眼收益计算!$E13,技能数据库!$B$2:$B$100,0),MATCH(J$9,技能数据库!$B$2:$I$2,0))</f>
        <v>1</v>
      </c>
      <c r="K13">
        <f ca="1">INDEX(技能数据库!$B$2:$I$100,MATCH(无穷阵眼收益计算!$E13,技能数据库!$B$2:$B$100,0),MATCH(K$9,技能数据库!$B$2:$I$2,0))</f>
        <v>0</v>
      </c>
      <c r="L13">
        <f ca="1" t="shared" si="13"/>
        <v>105847</v>
      </c>
      <c r="M13">
        <f ca="1" t="shared" si="73"/>
        <v>12694.5</v>
      </c>
      <c r="N13">
        <f ca="1" t="shared" si="74"/>
        <v>92028</v>
      </c>
      <c r="O13">
        <f ca="1" t="shared" si="54"/>
        <v>559275.1375</v>
      </c>
      <c r="P13">
        <f ca="1">IF(G13="恒定伤害",0,(IF(D13="轻剑",$AZ$2,$AZ$3)+IFERROR(INDEX(技能数据库!$T$2:$W$27,MATCH(E13,技能数据库!$T$2:$T$27,0),4),0)+COUNTIF(G13,"*造化2*")*154+COUNTIF(G13,"*造化1*")*102+COUNTIF(G13,"*碧归*")*307)/1024)</f>
        <v>0.186633771929785</v>
      </c>
      <c r="Q13">
        <f ca="1" t="shared" si="14"/>
        <v>0.448284482196154</v>
      </c>
      <c r="R13">
        <f ca="1" t="shared" si="55"/>
        <v>0.21277697966198</v>
      </c>
      <c r="S13">
        <f ca="1" t="shared" si="75"/>
        <v>756647.985998852</v>
      </c>
      <c r="T13">
        <f t="shared" si="76"/>
        <v>0.8</v>
      </c>
      <c r="U13">
        <f ca="1" t="shared" si="15"/>
        <v>1.7800129648</v>
      </c>
      <c r="V13">
        <f ca="1" t="shared" si="77"/>
        <v>1682792.96869329</v>
      </c>
      <c r="W13">
        <f ca="1">IF(G13="恒定伤害",0,MIN(1,IF(COUNTIF(F13,"*内会*")&gt;0,内会2,IF(D13="轻剑",$Y$2,$Y$3)+COUNTIF(G13,"*莺鸣*")*0.2+COUNTIF(G13,"*叠1*")*0.1+COUNTIF(G13,"*叠2*")*0.2+COUNTIF(G13,"*叠3*")*0.3)+IFERROR(INDEX(技能数据库!$T$2:$W$27,MATCH(E13,技能数据库!$T$2:$T$27,0),2),0)+IF((IF(D13="轻剑",$AO$2,$AO$3)+INT(COUNTIF(G13,"*大莺鸣*")*IF(D13="轻剑",$AM$2,$AM$3)*听晓无双率)/无双系数)&gt;0.9,特效裤子会心/会心系数,0)))</f>
        <v>0.9043</v>
      </c>
      <c r="X13">
        <f ca="1">IF(G13="恒定伤害",0,IF(COUNTIF(F13,"*内会*")&gt;0,内会效2,IF(D13="轻剑",$AB$2,$AB$3))+IFERROR(INDEX(技能数据库!$T$2:$W$27,MATCH(E13,技能数据库!$T$2:$T$27,0),3)/1024,0))+COUNTIF(G13,"*叠1*")*0.25+COUNTIF(G13,"*叠2*")*0.5+COUNTIF(G13,"*叠3*")*0.75</f>
        <v>2.1773735021</v>
      </c>
      <c r="Y13">
        <f ca="1" t="shared" si="78"/>
        <v>2.06469885794903</v>
      </c>
      <c r="Z13">
        <f t="shared" si="16"/>
        <v>0.150390625</v>
      </c>
      <c r="AA13">
        <f ca="1" t="shared" si="79"/>
        <v>0.0205078125</v>
      </c>
      <c r="AB13">
        <f ca="1" t="shared" si="80"/>
        <v>4078956.50071854</v>
      </c>
      <c r="AC13">
        <f ca="1">无穷技能数计算!$AJ5</f>
        <v>0</v>
      </c>
      <c r="AD13" s="164">
        <f ca="1" t="shared" si="81"/>
        <v>0</v>
      </c>
      <c r="AE13" s="168"/>
      <c r="AF13" s="168">
        <f ca="1" t="shared" si="17"/>
        <v>0.9057</v>
      </c>
      <c r="AG13">
        <f ca="1">无穷技能数计算!$AJ5</f>
        <v>0</v>
      </c>
      <c r="AH13">
        <f ca="1" t="shared" si="18"/>
        <v>109879</v>
      </c>
      <c r="AJ13">
        <f ca="1" t="shared" si="19"/>
        <v>2.3765922521</v>
      </c>
      <c r="AK13">
        <f ca="1" t="shared" si="56"/>
        <v>580328.8375</v>
      </c>
      <c r="AL13">
        <f ca="1" t="shared" si="20"/>
        <v>4607028.40588929</v>
      </c>
      <c r="AM13" s="169">
        <f ca="1" t="shared" si="21"/>
        <v>0.9272</v>
      </c>
      <c r="AN13">
        <f ca="1">无穷技能数计算!$AJ5</f>
        <v>0</v>
      </c>
      <c r="AO13" s="170">
        <f ca="1" t="shared" si="22"/>
        <v>4667716.59774517</v>
      </c>
      <c r="AP13">
        <f ca="1" t="shared" si="23"/>
        <v>110956</v>
      </c>
      <c r="AQ13" s="170">
        <f ca="1" t="shared" si="57"/>
        <v>585650.35</v>
      </c>
      <c r="AR13">
        <f ca="1" t="shared" si="24"/>
        <v>4521906.30641521</v>
      </c>
      <c r="AS13">
        <f ca="1" t="shared" si="25"/>
        <v>0.9843</v>
      </c>
      <c r="AT13">
        <f ca="1">无穷技能数计算!$AJ5</f>
        <v>0</v>
      </c>
      <c r="AU13">
        <f ca="1" t="shared" si="26"/>
        <v>2.3238578771</v>
      </c>
      <c r="AV13">
        <f ca="1" t="shared" si="27"/>
        <v>1.7995442148</v>
      </c>
      <c r="AW13">
        <f ca="1" t="shared" si="58"/>
        <v>4581847.47703339</v>
      </c>
      <c r="AX13">
        <f ca="1" t="shared" si="28"/>
        <v>0.9743</v>
      </c>
      <c r="AY13">
        <f ca="1">无穷技能数计算!$AJ5</f>
        <v>0</v>
      </c>
      <c r="AZ13" s="170">
        <f ca="1" t="shared" si="59"/>
        <v>4555509.9963638</v>
      </c>
      <c r="BA13">
        <f ca="1" t="shared" si="29"/>
        <v>0.9643</v>
      </c>
      <c r="BB13">
        <f ca="1">无穷技能数计算!$AJ5</f>
        <v>0</v>
      </c>
      <c r="BC13" s="170">
        <f ca="1" t="shared" si="60"/>
        <v>4529172.5156942</v>
      </c>
      <c r="BE13">
        <f ca="1" t="shared" si="30"/>
        <v>105849</v>
      </c>
      <c r="BF13">
        <f ca="1" t="shared" si="31"/>
        <v>559285.4625</v>
      </c>
      <c r="BI13">
        <f ca="1" t="shared" si="32"/>
        <v>0.9543</v>
      </c>
      <c r="BJ13">
        <f ca="1">无穷技能数计算!$AJ5</f>
        <v>0</v>
      </c>
      <c r="BK13">
        <f ca="1" t="shared" si="33"/>
        <v>4477663.03492005</v>
      </c>
      <c r="BM13">
        <f ca="1" t="shared" si="34"/>
        <v>109230</v>
      </c>
      <c r="BN13">
        <f ca="1" t="shared" si="35"/>
        <v>576739.875</v>
      </c>
      <c r="BO13">
        <f ca="1" t="shared" si="36"/>
        <v>4542773.29403352</v>
      </c>
      <c r="BP13">
        <f ca="1" t="shared" si="37"/>
        <v>4332180.91623125</v>
      </c>
      <c r="BR13">
        <f ca="1" t="shared" si="38"/>
        <v>0.9543</v>
      </c>
      <c r="BS13">
        <f ca="1" t="shared" si="39"/>
        <v>4487003.97070238</v>
      </c>
      <c r="BT13">
        <f ca="1" t="shared" si="40"/>
        <v>0.196995876306796</v>
      </c>
      <c r="BU13">
        <f ca="1" t="shared" si="41"/>
        <v>2.3238578771</v>
      </c>
      <c r="BV13">
        <f ca="1" t="shared" si="61"/>
        <v>4561057.18121038</v>
      </c>
      <c r="BW13">
        <f ca="1" t="shared" si="42"/>
        <v>113027</v>
      </c>
      <c r="BX13">
        <f ca="1" t="shared" si="43"/>
        <v>596341.8875</v>
      </c>
      <c r="BY13">
        <f ca="1" t="shared" si="44"/>
        <v>0.9343</v>
      </c>
      <c r="BZ13">
        <f ca="1">无穷技能数计算!$AJ5</f>
        <v>0</v>
      </c>
      <c r="CA13">
        <f ca="1" t="shared" si="45"/>
        <v>2.3277641271</v>
      </c>
      <c r="CB13">
        <f ca="1" t="shared" si="62"/>
        <v>4719684.0504972</v>
      </c>
      <c r="CC13">
        <f ca="1" t="shared" si="46"/>
        <v>114847</v>
      </c>
      <c r="CD13">
        <f ca="1" t="shared" si="47"/>
        <v>605737.6375</v>
      </c>
      <c r="CE13">
        <f ca="1" t="shared" si="48"/>
        <v>4627835.27009457</v>
      </c>
      <c r="CF13">
        <f ca="1" t="shared" si="49"/>
        <v>2.2750297521</v>
      </c>
      <c r="CG13">
        <f ca="1" t="shared" si="50"/>
        <v>0.9343</v>
      </c>
      <c r="CH13">
        <f ca="1" t="shared" si="63"/>
        <v>4359401.16554627</v>
      </c>
      <c r="CJ13">
        <f ca="1" t="shared" si="51"/>
        <v>576739.875</v>
      </c>
      <c r="CK13">
        <f ca="1" t="shared" si="52"/>
        <v>4522194.77860009</v>
      </c>
      <c r="CL13">
        <f ca="1" t="shared" si="64"/>
        <v>2.2976860021</v>
      </c>
      <c r="CM13">
        <f ca="1">IF(G13="恒定伤害",0,(IF(D13="轻剑",$CM$8,$CM$9)+IFERROR(INDEX(技能数据库!$T$2:$W$27,MATCH(E13,技能数据库!$T$2:$T$27,0),4),0)+COUNTIF(G13,"*造化2*")*154+COUNTIF(G13,"*造化1*")*102+COUNTIF(G13,"*碧归*")*307)/1024)</f>
        <v>0.247180646929785</v>
      </c>
      <c r="CN13">
        <f ca="1" t="shared" si="65"/>
        <v>4626096.38582363</v>
      </c>
      <c r="CO13">
        <f ca="1" t="shared" si="66"/>
        <v>2.3262602208</v>
      </c>
      <c r="CP13">
        <f ca="1" t="shared" si="67"/>
        <v>4681918.49451112</v>
      </c>
      <c r="CQ13">
        <f ca="1" t="shared" si="53"/>
        <v>1.8815754648</v>
      </c>
      <c r="CR13">
        <f ca="1">IF(G13="恒定伤害",0,(IF(D13="轻剑",$CR$8,$CR$9)+IFERROR(INDEX(技能数据库!$T$2:$W$27,MATCH(E13,技能数据库!$T$2:$T$27,0),4),0)+COUNTIF(G13,"*造化2*")*154+COUNTIF(G13,"*造化1*")*102+COUNTIF(G13,"*碧归*")*307)/1024)</f>
        <v>0.237415021929785</v>
      </c>
      <c r="CS13">
        <f ca="1" t="shared" si="68"/>
        <v>4408906.91731915</v>
      </c>
      <c r="CV13" t="s">
        <v>3164</v>
      </c>
      <c r="CW13">
        <f ca="1">AZ6</f>
        <v>13806286.890133</v>
      </c>
      <c r="CX13" s="164">
        <f ca="1" t="shared" si="69"/>
        <v>0.0810843740389691</v>
      </c>
      <c r="CY13">
        <f ca="1" t="shared" si="70"/>
        <v>12</v>
      </c>
      <c r="CZ13">
        <v>4</v>
      </c>
      <c r="DA13" t="str">
        <f ca="1" t="shared" si="71"/>
        <v>藏剑阵(阵眼&amp;T闪避15%)</v>
      </c>
      <c r="DB13" s="164">
        <f ca="1" t="shared" si="72"/>
        <v>0.105133924173419</v>
      </c>
    </row>
    <row r="14" spans="2:107">
      <c r="D14" t="s">
        <v>1028</v>
      </c>
      <c r="E14" t="s">
        <v>2726</v>
      </c>
      <c r="G14" t="s">
        <v>2750</v>
      </c>
      <c r="H14">
        <f ca="1">INDEX(技能数据库!$B$2:$I$100,MATCH(无穷阵眼收益计算!$E14,技能数据库!$B$2:$B$100,0),MATCH(H$9,技能数据库!$B$2:$I$2,0))</f>
        <v>122</v>
      </c>
      <c r="I14">
        <f ca="1">INDEX(技能数据库!$B$2:$I$100,MATCH(无穷阵眼收益计算!$E14,技能数据库!$B$2:$B$100,0),MATCH(I$9,技能数据库!$B$2:$I$2,0))</f>
        <v>0.7</v>
      </c>
      <c r="J14">
        <f ca="1">INDEX(技能数据库!$B$2:$I$100,MATCH(无穷阵眼收益计算!$E14,技能数据库!$B$2:$B$100,0),MATCH(J$9,技能数据库!$B$2:$I$2,0))</f>
        <v>1</v>
      </c>
      <c r="K14">
        <f ca="1">INDEX(技能数据库!$B$2:$I$100,MATCH(无穷阵眼收益计算!$E14,技能数据库!$B$2:$B$100,0),MATCH(K$9,技能数据库!$B$2:$I$2,0))</f>
        <v>0</v>
      </c>
      <c r="L14">
        <f ca="1" t="shared" si="13"/>
        <v>105847</v>
      </c>
      <c r="M14">
        <f ca="1" t="shared" si="73"/>
        <v>12694.5</v>
      </c>
      <c r="N14">
        <f ca="1" t="shared" si="74"/>
        <v>92028</v>
      </c>
      <c r="O14">
        <f ca="1" t="shared" si="54"/>
        <v>86909.4</v>
      </c>
      <c r="P14">
        <f ca="1">IF(G14="恒定伤害",0,(IF(D14="轻剑",$AZ$2,$AZ$3)+IFERROR(INDEX(技能数据库!$T$2:$W$27,MATCH(E14,技能数据库!$T$2:$T$27,0),4),0)+COUNTIF(G14,"*造化2*")*154+COUNTIF(G14,"*造化1*")*102+COUNTIF(G14,"*碧归*")*307)/1024)</f>
        <v>0.136829084429785</v>
      </c>
      <c r="Q14">
        <f ca="1" t="shared" si="14"/>
        <v>0.448284482196154</v>
      </c>
      <c r="R14">
        <f ca="1" t="shared" si="55"/>
        <v>0.21277697966198</v>
      </c>
      <c r="S14">
        <f ca="1" t="shared" si="75"/>
        <v>112645.43345495</v>
      </c>
      <c r="T14">
        <f t="shared" si="76"/>
        <v>0.8</v>
      </c>
      <c r="U14">
        <f ca="1" t="shared" si="15"/>
        <v>1.7800129648</v>
      </c>
      <c r="V14">
        <f ca="1" t="shared" si="77"/>
        <v>250524.612344221</v>
      </c>
      <c r="W14">
        <f ca="1">IF(G14="恒定伤害",0,MIN(1,IF(COUNTIF(F14,"*内会*")&gt;0,内会2,IF(D14="轻剑",$Y$2,$Y$3)+COUNTIF(G14,"*莺鸣*")*0.2+COUNTIF(G14,"*叠1*")*0.1+COUNTIF(G14,"*叠2*")*0.2+COUNTIF(G14,"*叠3*")*0.3)+IFERROR(INDEX(技能数据库!$T$2:$W$27,MATCH(E14,技能数据库!$T$2:$T$27,0),2),0)+IF((IF(D14="轻剑",$AO$2,$AO$3)+INT(COUNTIF(G14,"*大莺鸣*")*IF(D14="轻剑",$AM$2,$AM$3)*听晓无双率)/无双系数)&gt;0.9,特效裤子会心/会心系数,0)))</f>
        <v>0.7443</v>
      </c>
      <c r="X14">
        <f ca="1">IF(G14="恒定伤害",0,IF(COUNTIF(F14,"*内会*")&gt;0,内会效2,IF(D14="轻剑",$AB$2,$AB$3))+IFERROR(INDEX(技能数据库!$T$2:$W$27,MATCH(E14,技能数据库!$T$2:$T$27,0),3)/1024,0))+COUNTIF(G14,"*叠1*")*0.25+COUNTIF(G14,"*叠2*")*0.5+COUNTIF(G14,"*叠3*")*0.75</f>
        <v>2.1773735021</v>
      </c>
      <c r="Y14">
        <f ca="1" t="shared" si="78"/>
        <v>1.87631909761303</v>
      </c>
      <c r="Z14">
        <f t="shared" si="16"/>
        <v>0.150390625</v>
      </c>
      <c r="AA14">
        <f ca="1" t="shared" si="79"/>
        <v>0.0205078125</v>
      </c>
      <c r="AB14">
        <f ca="1" t="shared" si="80"/>
        <v>551847.100895777</v>
      </c>
      <c r="AC14">
        <f ca="1">无穷技能数计算!$AJ6</f>
        <v>0</v>
      </c>
      <c r="AD14" s="164">
        <f ca="1" t="shared" si="81"/>
        <v>0</v>
      </c>
      <c r="AE14" s="168"/>
      <c r="AF14" s="168">
        <f ca="1" t="shared" si="17"/>
        <v>0.7457</v>
      </c>
      <c r="AG14">
        <f ca="1">无穷技能数计算!$AJ6</f>
        <v>0</v>
      </c>
      <c r="AH14">
        <f ca="1" t="shared" si="18"/>
        <v>109879</v>
      </c>
      <c r="AJ14">
        <f ca="1" t="shared" si="19"/>
        <v>2.3765922521</v>
      </c>
      <c r="AK14">
        <f ca="1" t="shared" si="56"/>
        <v>89970.3</v>
      </c>
      <c r="AL14">
        <f ca="1" t="shared" si="20"/>
        <v>617185.675540454</v>
      </c>
      <c r="AM14" s="169">
        <f ca="1" t="shared" si="21"/>
        <v>0.7672</v>
      </c>
      <c r="AN14">
        <f ca="1">无穷技能数计算!$AJ6</f>
        <v>0</v>
      </c>
      <c r="AO14" s="170">
        <f ca="1" t="shared" si="22"/>
        <v>626199.470746711</v>
      </c>
      <c r="AP14">
        <f ca="1" t="shared" si="23"/>
        <v>110956</v>
      </c>
      <c r="AQ14" s="170">
        <f ca="1" t="shared" si="57"/>
        <v>90485.7</v>
      </c>
      <c r="AR14">
        <f ca="1" t="shared" si="24"/>
        <v>608263.218891666</v>
      </c>
      <c r="AS14">
        <f ca="1" t="shared" si="25"/>
        <v>0.8243</v>
      </c>
      <c r="AT14">
        <f ca="1">无穷技能数计算!$AJ6</f>
        <v>0</v>
      </c>
      <c r="AU14">
        <f ca="1" t="shared" si="26"/>
        <v>2.3238578771</v>
      </c>
      <c r="AV14">
        <f ca="1" t="shared" si="27"/>
        <v>1.7995442148</v>
      </c>
      <c r="AW14">
        <f ca="1" t="shared" si="58"/>
        <v>619383.719944779</v>
      </c>
      <c r="AX14">
        <f ca="1" t="shared" si="28"/>
        <v>0.8143</v>
      </c>
      <c r="AY14">
        <f ca="1">无穷技能数计算!$AJ6</f>
        <v>0</v>
      </c>
      <c r="AZ14" s="170">
        <f ca="1" t="shared" si="59"/>
        <v>615462.746148462</v>
      </c>
      <c r="BA14">
        <f ca="1" t="shared" si="29"/>
        <v>0.8043</v>
      </c>
      <c r="BB14">
        <f ca="1">无穷技能数计算!$AJ6</f>
        <v>0</v>
      </c>
      <c r="BC14" s="170">
        <f ca="1" t="shared" si="60"/>
        <v>611541.772352145</v>
      </c>
      <c r="BE14">
        <f ca="1" t="shared" si="30"/>
        <v>105849</v>
      </c>
      <c r="BF14">
        <f ca="1" t="shared" si="31"/>
        <v>86910.8</v>
      </c>
      <c r="BI14">
        <f ca="1" t="shared" si="32"/>
        <v>0.7943</v>
      </c>
      <c r="BJ14">
        <f ca="1">无穷技能数计算!$AJ6</f>
        <v>0</v>
      </c>
      <c r="BK14">
        <f ca="1" t="shared" si="33"/>
        <v>607473.210834416</v>
      </c>
      <c r="BM14">
        <f ca="1" t="shared" si="34"/>
        <v>109230</v>
      </c>
      <c r="BN14">
        <f ca="1" t="shared" si="35"/>
        <v>89277.5</v>
      </c>
      <c r="BO14">
        <f ca="1" t="shared" si="36"/>
        <v>612225.702836659</v>
      </c>
      <c r="BP14">
        <f ca="1" t="shared" si="37"/>
        <v>583844.346742712</v>
      </c>
      <c r="BR14">
        <f ca="1" t="shared" si="38"/>
        <v>0.7943</v>
      </c>
      <c r="BS14">
        <f ca="1" t="shared" si="39"/>
        <v>606392.751610836</v>
      </c>
      <c r="BT14">
        <f ca="1" t="shared" si="40"/>
        <v>0.196995876306796</v>
      </c>
      <c r="BU14">
        <f ca="1" t="shared" si="41"/>
        <v>2.3238578771</v>
      </c>
      <c r="BV14">
        <f ca="1" t="shared" si="61"/>
        <v>615477.401492391</v>
      </c>
      <c r="BW14">
        <f ca="1" t="shared" si="42"/>
        <v>113027</v>
      </c>
      <c r="BX14">
        <f ca="1" t="shared" si="43"/>
        <v>91935.4</v>
      </c>
      <c r="BY14">
        <f ca="1" t="shared" si="44"/>
        <v>0.7743</v>
      </c>
      <c r="BZ14">
        <f ca="1">无穷技能数计算!$AJ6</f>
        <v>0</v>
      </c>
      <c r="CA14">
        <f ca="1" t="shared" si="45"/>
        <v>2.3277641271</v>
      </c>
      <c r="CB14">
        <f ca="1" t="shared" si="62"/>
        <v>630978.889579512</v>
      </c>
      <c r="CC14">
        <f ca="1" t="shared" si="46"/>
        <v>114847</v>
      </c>
      <c r="CD14">
        <f ca="1" t="shared" si="47"/>
        <v>93209.4</v>
      </c>
      <c r="CE14">
        <f ca="1" t="shared" si="48"/>
        <v>621032.388643158</v>
      </c>
      <c r="CF14">
        <f ca="1" t="shared" si="49"/>
        <v>2.2750297521</v>
      </c>
      <c r="CG14">
        <f ca="1" t="shared" si="50"/>
        <v>0.7743</v>
      </c>
      <c r="CH14">
        <f ca="1" t="shared" si="63"/>
        <v>588581.072194215</v>
      </c>
      <c r="CJ14">
        <f ca="1" t="shared" si="51"/>
        <v>89277.5</v>
      </c>
      <c r="CK14">
        <f ca="1" t="shared" si="52"/>
        <v>609452.353770106</v>
      </c>
      <c r="CL14">
        <f ca="1" t="shared" si="64"/>
        <v>2.2976860021</v>
      </c>
      <c r="CM14">
        <f ca="1">IF(G14="恒定伤害",0,(IF(D14="轻剑",$CM$8,$CM$9)+IFERROR(INDEX(技能数据库!$T$2:$W$27,MATCH(E14,技能数据库!$T$2:$T$27,0),4),0)+COUNTIF(G14,"*造化2*")*154+COUNTIF(G14,"*造化1*")*102+COUNTIF(G14,"*碧归*")*307)/1024)</f>
        <v>0.197375959429785</v>
      </c>
      <c r="CN14">
        <f ca="1" t="shared" si="65"/>
        <v>625401.0607816</v>
      </c>
      <c r="CO14">
        <f ca="1" t="shared" si="66"/>
        <v>2.3262602208</v>
      </c>
      <c r="CP14">
        <f ca="1" t="shared" si="67"/>
        <v>632303.006795907</v>
      </c>
      <c r="CQ14">
        <f ca="1" t="shared" si="53"/>
        <v>1.8815754648</v>
      </c>
      <c r="CR14">
        <f ca="1">IF(G14="恒定伤害",0,(IF(D14="轻剑",$CR$8,$CR$9)+IFERROR(INDEX(技能数据库!$T$2:$W$27,MATCH(E14,技能数据库!$T$2:$T$27,0),4),0)+COUNTIF(G14,"*造化2*")*154+COUNTIF(G14,"*造化1*")*102+COUNTIF(G14,"*碧归*")*307)/1024)</f>
        <v>0.187610334429785</v>
      </c>
      <c r="CS14">
        <f ca="1" t="shared" si="68"/>
        <v>597558.920298719</v>
      </c>
      <c r="CV14" t="s">
        <v>3219</v>
      </c>
      <c r="CW14">
        <f ca="1">AO6</f>
        <v>14113418.3191947</v>
      </c>
      <c r="CX14" s="164">
        <f ca="1" t="shared" si="69"/>
        <v>0.105133924173419</v>
      </c>
      <c r="CY14">
        <f ca="1" t="shared" si="70"/>
        <v>4</v>
      </c>
      <c r="CZ14">
        <v>5</v>
      </c>
      <c r="DA14" t="str">
        <f ca="1" t="shared" si="71"/>
        <v>刀宗阵</v>
      </c>
      <c r="DB14" s="164">
        <f ca="1" t="shared" si="72"/>
        <v>0.10305918439974</v>
      </c>
    </row>
    <row r="15" spans="2:107">
      <c r="D15" t="s">
        <v>1028</v>
      </c>
      <c r="E15" t="s">
        <v>2726</v>
      </c>
      <c r="G15" t="s">
        <v>2949</v>
      </c>
      <c r="H15">
        <f ca="1">INDEX(技能数据库!$B$2:$I$100,MATCH(无穷阵眼收益计算!$E15,技能数据库!$B$2:$B$100,0),MATCH(H$9,技能数据库!$B$2:$I$2,0))</f>
        <v>122</v>
      </c>
      <c r="I15">
        <f ca="1">INDEX(技能数据库!$B$2:$I$100,MATCH(无穷阵眼收益计算!$E15,技能数据库!$B$2:$B$100,0),MATCH(I$9,技能数据库!$B$2:$I$2,0))</f>
        <v>0.7</v>
      </c>
      <c r="J15">
        <f ca="1">INDEX(技能数据库!$B$2:$I$100,MATCH(无穷阵眼收益计算!$E15,技能数据库!$B$2:$B$100,0),MATCH(J$9,技能数据库!$B$2:$I$2,0))</f>
        <v>1</v>
      </c>
      <c r="K15">
        <f ca="1">INDEX(技能数据库!$B$2:$I$100,MATCH(无穷阵眼收益计算!$E15,技能数据库!$B$2:$B$100,0),MATCH(K$9,技能数据库!$B$2:$I$2,0))</f>
        <v>0</v>
      </c>
      <c r="L15">
        <f ca="1" t="shared" si="13"/>
        <v>91975</v>
      </c>
      <c r="M15">
        <f ca="1" t="shared" si="73"/>
        <v>12694.5</v>
      </c>
      <c r="N15">
        <f ca="1" t="shared" si="74"/>
        <v>92028</v>
      </c>
      <c r="O15">
        <f ca="1" t="shared" si="54"/>
        <v>77199</v>
      </c>
      <c r="P15">
        <f ca="1">IF(G15="恒定伤害",0,(IF(D15="轻剑",$AZ$2,$AZ$3)+IFERROR(INDEX(技能数据库!$T$2:$W$27,MATCH(E15,技能数据库!$T$2:$T$27,0),4),0)+COUNTIF(G15,"*造化2*")*154+COUNTIF(G15,"*造化1*")*102+COUNTIF(G15,"*碧归*")*307)/1024)</f>
        <v>0.136829084429785</v>
      </c>
      <c r="Q15">
        <f ca="1" t="shared" si="14"/>
        <v>0.448284482196154</v>
      </c>
      <c r="R15">
        <f ca="1" t="shared" si="55"/>
        <v>0.32958230397716</v>
      </c>
      <c r="S15">
        <f ca="1" t="shared" si="75"/>
        <v>85213.0671048692</v>
      </c>
      <c r="T15">
        <f t="shared" si="76"/>
        <v>0.8</v>
      </c>
      <c r="U15">
        <f ca="1" t="shared" si="15"/>
        <v>1.7800129648</v>
      </c>
      <c r="V15">
        <f ca="1" t="shared" si="77"/>
        <v>189514.745057527</v>
      </c>
      <c r="W15">
        <f ca="1">IF(G15="恒定伤害",0,MIN(1,IF(COUNTIF(F15,"*内会*")&gt;0,内会2,IF(D15="轻剑",$Y$2,$Y$3)+COUNTIF(G15,"*莺鸣*")*0.2+COUNTIF(G15,"*叠1*")*0.1+COUNTIF(G15,"*叠2*")*0.2+COUNTIF(G15,"*叠3*")*0.3)+IFERROR(INDEX(技能数据库!$T$2:$W$27,MATCH(E15,技能数据库!$T$2:$T$27,0),2),0)+IF((IF(D15="轻剑",$AO$2,$AO$3)+INT(COUNTIF(G15,"*大莺鸣*")*IF(D15="轻剑",$AM$2,$AM$3)*听晓无双率)/无双系数)&gt;0.9,特效裤子会心/会心系数,0)))</f>
        <v>0.9443</v>
      </c>
      <c r="X15">
        <f ca="1">IF(G15="恒定伤害",0,IF(COUNTIF(F15,"*内会*")&gt;0,内会效2,IF(D15="轻剑",$AB$2,$AB$3))+IFERROR(INDEX(技能数据库!$T$2:$W$27,MATCH(E15,技能数据库!$T$2:$T$27,0),3)/1024,0))+COUNTIF(G15,"*叠1*")*0.25+COUNTIF(G15,"*叠2*")*0.5+COUNTIF(G15,"*叠3*")*0.75</f>
        <v>2.1773735021</v>
      </c>
      <c r="Y15">
        <f ca="1" t="shared" si="78"/>
        <v>2.11179379803303</v>
      </c>
      <c r="Z15">
        <f t="shared" si="16"/>
        <v>0.150390625</v>
      </c>
      <c r="AA15">
        <f ca="1" t="shared" si="79"/>
        <v>0.0205078125</v>
      </c>
      <c r="AB15">
        <f ca="1" t="shared" si="80"/>
        <v>469846.702594076</v>
      </c>
      <c r="AC15">
        <f ca="1">无穷技能数计算!$AJ7</f>
        <v>0</v>
      </c>
      <c r="AD15" s="164">
        <f ca="1" t="shared" si="81"/>
        <v>0</v>
      </c>
      <c r="AE15" s="168"/>
      <c r="AF15" s="168">
        <f ca="1" t="shared" si="17"/>
        <v>0.9457</v>
      </c>
      <c r="AG15">
        <f ca="1">无穷技能数计算!$AJ7</f>
        <v>0</v>
      </c>
      <c r="AH15">
        <f ca="1" t="shared" si="18"/>
        <v>96007</v>
      </c>
      <c r="AJ15">
        <f ca="1" t="shared" si="19"/>
        <v>2.3765922521</v>
      </c>
      <c r="AK15">
        <f ca="1" t="shared" si="56"/>
        <v>80259.9</v>
      </c>
      <c r="AL15">
        <f ca="1" t="shared" si="20"/>
        <v>532582.374068407</v>
      </c>
      <c r="AM15" s="169">
        <f ca="1" t="shared" si="21"/>
        <v>0.9672</v>
      </c>
      <c r="AN15">
        <f ca="1">无穷技能数计算!$AJ7</f>
        <v>0</v>
      </c>
      <c r="AO15" s="170">
        <f ca="1" t="shared" si="22"/>
        <v>539430.233172805</v>
      </c>
      <c r="AP15">
        <f ca="1" t="shared" si="23"/>
        <v>97084</v>
      </c>
      <c r="AQ15" s="170">
        <f ca="1" t="shared" si="57"/>
        <v>80775.3</v>
      </c>
      <c r="AR15">
        <f ca="1" t="shared" si="24"/>
        <v>520454.394627758</v>
      </c>
      <c r="AS15">
        <f ca="1" t="shared" si="25"/>
        <v>1.0243</v>
      </c>
      <c r="AT15">
        <f ca="1">无穷技能数计算!$AJ7</f>
        <v>0</v>
      </c>
      <c r="AU15">
        <f ca="1" t="shared" si="26"/>
        <v>2.3238578771</v>
      </c>
      <c r="AV15">
        <f ca="1" t="shared" si="27"/>
        <v>1.7995442148</v>
      </c>
      <c r="AW15">
        <f ca="1" t="shared" si="58"/>
        <v>520660.638634625</v>
      </c>
      <c r="AX15">
        <f ca="1" t="shared" si="28"/>
        <v>1.0143</v>
      </c>
      <c r="AY15">
        <f ca="1">无穷技能数计算!$AJ7</f>
        <v>0</v>
      </c>
      <c r="AZ15" s="170">
        <f ca="1" t="shared" si="59"/>
        <v>520660.638634625</v>
      </c>
      <c r="BA15">
        <f ca="1" t="shared" si="29"/>
        <v>1.0043</v>
      </c>
      <c r="BB15">
        <f ca="1">无穷技能数计算!$AJ7</f>
        <v>0</v>
      </c>
      <c r="BC15" s="170">
        <f ca="1" t="shared" si="60"/>
        <v>520660.638634625</v>
      </c>
      <c r="BE15">
        <f ca="1" t="shared" si="30"/>
        <v>91977</v>
      </c>
      <c r="BF15">
        <f ca="1" t="shared" si="31"/>
        <v>77200.4</v>
      </c>
      <c r="BI15">
        <f ca="1" t="shared" si="32"/>
        <v>0.9943</v>
      </c>
      <c r="BJ15">
        <f ca="1">无穷技能数计算!$AJ7</f>
        <v>0</v>
      </c>
      <c r="BK15">
        <f ca="1" t="shared" si="33"/>
        <v>515453.86946361</v>
      </c>
      <c r="BM15">
        <f ca="1" t="shared" si="34"/>
        <v>95358</v>
      </c>
      <c r="BN15">
        <f ca="1" t="shared" si="35"/>
        <v>79567.1</v>
      </c>
      <c r="BO15">
        <f ca="1" t="shared" si="36"/>
        <v>522992.622356147</v>
      </c>
      <c r="BP15">
        <f ca="1" t="shared" si="37"/>
        <v>498747.903813911</v>
      </c>
      <c r="BR15">
        <f ca="1" t="shared" si="38"/>
        <v>0.9943</v>
      </c>
      <c r="BS15">
        <f ca="1" t="shared" si="39"/>
        <v>516252.753584632</v>
      </c>
      <c r="BT15">
        <f ca="1" t="shared" si="40"/>
        <v>0.318170800459405</v>
      </c>
      <c r="BU15">
        <f ca="1" t="shared" si="41"/>
        <v>2.3238578771</v>
      </c>
      <c r="BV15">
        <f ca="1" t="shared" si="61"/>
        <v>524121.331975509</v>
      </c>
      <c r="BW15">
        <f ca="1" t="shared" si="42"/>
        <v>99155</v>
      </c>
      <c r="BX15">
        <f ca="1" t="shared" si="43"/>
        <v>82225</v>
      </c>
      <c r="BY15">
        <f ca="1" t="shared" si="44"/>
        <v>0.9743</v>
      </c>
      <c r="BZ15">
        <f ca="1">无穷技能数计算!$AJ7</f>
        <v>0</v>
      </c>
      <c r="CA15">
        <f ca="1" t="shared" si="45"/>
        <v>2.3277641271</v>
      </c>
      <c r="CB15">
        <f ca="1" t="shared" si="62"/>
        <v>543528.40581919</v>
      </c>
      <c r="CC15">
        <f ca="1" t="shared" si="46"/>
        <v>100975</v>
      </c>
      <c r="CD15">
        <f ca="1" t="shared" si="47"/>
        <v>83499</v>
      </c>
      <c r="CE15">
        <f ca="1" t="shared" si="48"/>
        <v>532148.233362005</v>
      </c>
      <c r="CF15">
        <f ca="1" t="shared" si="49"/>
        <v>2.2750297521</v>
      </c>
      <c r="CG15">
        <f ca="1" t="shared" si="50"/>
        <v>0.9743</v>
      </c>
      <c r="CH15">
        <f ca="1" t="shared" si="63"/>
        <v>502378.957662157</v>
      </c>
      <c r="CJ15">
        <f ca="1" t="shared" si="51"/>
        <v>79567.1</v>
      </c>
      <c r="CK15">
        <f ca="1" t="shared" si="52"/>
        <v>520623.494280822</v>
      </c>
      <c r="CL15">
        <f ca="1" t="shared" si="64"/>
        <v>2.2976860021</v>
      </c>
      <c r="CM15">
        <f ca="1">IF(G15="恒定伤害",0,(IF(D15="轻剑",$CM$8,$CM$9)+IFERROR(INDEX(技能数据库!$T$2:$W$27,MATCH(E15,技能数据库!$T$2:$T$27,0),4),0)+COUNTIF(G15,"*造化2*")*154+COUNTIF(G15,"*造化1*")*102+COUNTIF(G15,"*碧归*")*307)/1024)</f>
        <v>0.197375959429785</v>
      </c>
      <c r="CN15">
        <f ca="1" t="shared" si="65"/>
        <v>534344.460157707</v>
      </c>
      <c r="CO15">
        <f ca="1" t="shared" si="66"/>
        <v>2.3262602208</v>
      </c>
      <c r="CP15">
        <f ca="1" t="shared" si="67"/>
        <v>540914.19146792</v>
      </c>
      <c r="CQ15">
        <f ca="1" t="shared" si="53"/>
        <v>1.8815754648</v>
      </c>
      <c r="CR15">
        <f ca="1">IF(G15="恒定伤害",0,(IF(D15="轻剑",$CR$8,$CR$9)+IFERROR(INDEX(技能数据库!$T$2:$W$27,MATCH(E15,技能数据库!$T$2:$T$27,0),4),0)+COUNTIF(G15,"*造化2*")*154+COUNTIF(G15,"*造化1*")*102+COUNTIF(G15,"*碧归*")*307)/1024)</f>
        <v>0.187610334429785</v>
      </c>
      <c r="CS15">
        <f ca="1" t="shared" si="68"/>
        <v>508766.083671162</v>
      </c>
      <c r="CV15" t="s">
        <v>3172</v>
      </c>
      <c r="CW15">
        <f ca="1">CP7</f>
        <v>14291312.3776657</v>
      </c>
      <c r="CX15" s="164">
        <f ca="1" t="shared" si="69"/>
        <v>0.119063700396218</v>
      </c>
      <c r="CY15">
        <f ca="1" t="shared" si="70"/>
        <v>1</v>
      </c>
      <c r="CZ15">
        <v>6</v>
      </c>
      <c r="DA15" t="str">
        <f ca="1" t="shared" si="71"/>
        <v>丐帮阵(5层)</v>
      </c>
      <c r="DB15" s="164">
        <f ca="1" t="shared" si="72"/>
        <v>0.1000004629518</v>
      </c>
    </row>
    <row r="16" spans="2:107">
      <c r="D16" t="s">
        <v>1028</v>
      </c>
      <c r="E16" t="s">
        <v>2726</v>
      </c>
      <c r="G16" t="s">
        <v>3014</v>
      </c>
      <c r="H16">
        <f ca="1">INDEX(技能数据库!$B$2:$I$100,MATCH(无穷阵眼收益计算!$E16,技能数据库!$B$2:$B$100,0),MATCH(H$9,技能数据库!$B$2:$I$2,0))</f>
        <v>122</v>
      </c>
      <c r="I16">
        <f ca="1">INDEX(技能数据库!$B$2:$I$100,MATCH(无穷阵眼收益计算!$E16,技能数据库!$B$2:$B$100,0),MATCH(I$9,技能数据库!$B$2:$I$2,0))</f>
        <v>0.7</v>
      </c>
      <c r="J16">
        <f ca="1">INDEX(技能数据库!$B$2:$I$100,MATCH(无穷阵眼收益计算!$E16,技能数据库!$B$2:$B$100,0),MATCH(J$9,技能数据库!$B$2:$I$2,0))</f>
        <v>1</v>
      </c>
      <c r="K16">
        <f ca="1">INDEX(技能数据库!$B$2:$I$100,MATCH(无穷阵眼收益计算!$E16,技能数据库!$B$2:$B$100,0),MATCH(K$9,技能数据库!$B$2:$I$2,0))</f>
        <v>0</v>
      </c>
      <c r="L16">
        <f ca="1" t="shared" si="13"/>
        <v>105847</v>
      </c>
      <c r="M16">
        <f ca="1" t="shared" si="73"/>
        <v>12694.5</v>
      </c>
      <c r="N16">
        <f ca="1" t="shared" si="74"/>
        <v>92028</v>
      </c>
      <c r="O16">
        <f ca="1" t="shared" si="54"/>
        <v>86909.4</v>
      </c>
      <c r="P16">
        <f ca="1">IF(G16="恒定伤害",0,(IF(D16="轻剑",$AZ$2,$AZ$3)+IFERROR(INDEX(技能数据库!$T$2:$W$27,MATCH(E16,技能数据库!$T$2:$T$27,0),4),0)+COUNTIF(G16,"*造化2*")*154+COUNTIF(G16,"*造化1*")*102+COUNTIF(G16,"*碧归*")*307)/1024)</f>
        <v>0.136829084429785</v>
      </c>
      <c r="Q16">
        <f ca="1" t="shared" si="14"/>
        <v>0.448284482196154</v>
      </c>
      <c r="R16">
        <f ca="1" t="shared" si="55"/>
        <v>0.21277697966198</v>
      </c>
      <c r="S16">
        <f ca="1" t="shared" si="75"/>
        <v>112645.43345495</v>
      </c>
      <c r="T16">
        <f t="shared" si="76"/>
        <v>0.8</v>
      </c>
      <c r="U16">
        <f ca="1" t="shared" si="15"/>
        <v>1.7800129648</v>
      </c>
      <c r="V16">
        <f ca="1" t="shared" si="77"/>
        <v>250524.612344221</v>
      </c>
      <c r="W16">
        <f ca="1">IF(G16="恒定伤害",0,MIN(1,IF(COUNTIF(F16,"*内会*")&gt;0,内会2,IF(D16="轻剑",$Y$2,$Y$3)+COUNTIF(G16,"*莺鸣*")*0.2+COUNTIF(G16,"*叠1*")*0.1+COUNTIF(G16,"*叠2*")*0.2+COUNTIF(G16,"*叠3*")*0.3)+IFERROR(INDEX(技能数据库!$T$2:$W$27,MATCH(E16,技能数据库!$T$2:$T$27,0),2),0)+IF((IF(D16="轻剑",$AO$2,$AO$3)+INT(COUNTIF(G16,"*大莺鸣*")*IF(D16="轻剑",$AM$2,$AM$3)*听晓无双率)/无双系数)&gt;0.9,特效裤子会心/会心系数,0)))</f>
        <v>0.9443</v>
      </c>
      <c r="X16">
        <f ca="1">IF(G16="恒定伤害",0,IF(COUNTIF(F16,"*内会*")&gt;0,内会效2,IF(D16="轻剑",$AB$2,$AB$3))+IFERROR(INDEX(技能数据库!$T$2:$W$27,MATCH(E16,技能数据库!$T$2:$T$27,0),3)/1024,0))+COUNTIF(G16,"*叠1*")*0.25+COUNTIF(G16,"*叠2*")*0.5+COUNTIF(G16,"*叠3*")*0.75</f>
        <v>2.1773735021</v>
      </c>
      <c r="Y16">
        <f ca="1" t="shared" si="78"/>
        <v>2.11179379803303</v>
      </c>
      <c r="Z16">
        <f t="shared" si="16"/>
        <v>0.150390625</v>
      </c>
      <c r="AA16">
        <f ca="1" t="shared" si="79"/>
        <v>0.0205078125</v>
      </c>
      <c r="AB16">
        <f ca="1" t="shared" si="80"/>
        <v>621102.927863797</v>
      </c>
      <c r="AC16">
        <f ca="1">无穷技能数计算!$AJ8</f>
        <v>0</v>
      </c>
      <c r="AD16" s="164">
        <f ca="1" t="shared" si="81"/>
        <v>0</v>
      </c>
      <c r="AE16" s="168"/>
      <c r="AF16" s="168">
        <f ca="1" t="shared" si="17"/>
        <v>0.9457</v>
      </c>
      <c r="AG16">
        <f ca="1">无穷技能数计算!$AJ8</f>
        <v>0</v>
      </c>
      <c r="AH16">
        <f ca="1" t="shared" si="18"/>
        <v>109879</v>
      </c>
      <c r="AJ16">
        <f ca="1" t="shared" si="19"/>
        <v>2.3765922521</v>
      </c>
      <c r="AK16">
        <f ca="1" t="shared" si="56"/>
        <v>89970.3</v>
      </c>
      <c r="AL16">
        <f ca="1" t="shared" si="20"/>
        <v>701034.933273084</v>
      </c>
      <c r="AM16" s="169">
        <f ca="1" t="shared" si="21"/>
        <v>0.9672</v>
      </c>
      <c r="AN16">
        <f ca="1">无穷技能数计算!$AJ8</f>
        <v>0</v>
      </c>
      <c r="AO16" s="170">
        <f ca="1" t="shared" si="22"/>
        <v>710048.728479342</v>
      </c>
      <c r="AP16">
        <f ca="1" t="shared" si="23"/>
        <v>110956</v>
      </c>
      <c r="AQ16" s="170">
        <f ca="1" t="shared" si="57"/>
        <v>90485.7</v>
      </c>
      <c r="AR16">
        <f ca="1" t="shared" si="24"/>
        <v>684599.168052569</v>
      </c>
      <c r="AS16">
        <f ca="1" t="shared" si="25"/>
        <v>1.0243</v>
      </c>
      <c r="AT16">
        <f ca="1">无穷技能数计算!$AJ8</f>
        <v>0</v>
      </c>
      <c r="AU16">
        <f ca="1" t="shared" si="26"/>
        <v>2.3238578771</v>
      </c>
      <c r="AV16">
        <f ca="1" t="shared" si="27"/>
        <v>1.7995442148</v>
      </c>
      <c r="AW16">
        <f ca="1" t="shared" si="58"/>
        <v>688275.229546067</v>
      </c>
      <c r="AX16">
        <f ca="1" t="shared" si="28"/>
        <v>1.0143</v>
      </c>
      <c r="AY16">
        <f ca="1">无穷技能数计算!$AJ8</f>
        <v>0</v>
      </c>
      <c r="AZ16" s="170">
        <f ca="1" t="shared" si="59"/>
        <v>688275.229546067</v>
      </c>
      <c r="BA16">
        <f ca="1" t="shared" si="29"/>
        <v>1.0043</v>
      </c>
      <c r="BB16">
        <f ca="1">无穷技能数计算!$AJ8</f>
        <v>0</v>
      </c>
      <c r="BC16" s="170">
        <f ca="1" t="shared" si="60"/>
        <v>688275.229546067</v>
      </c>
      <c r="BE16">
        <f ca="1" t="shared" si="30"/>
        <v>105849</v>
      </c>
      <c r="BF16">
        <f ca="1" t="shared" si="31"/>
        <v>86910.8</v>
      </c>
      <c r="BI16">
        <f ca="1" t="shared" si="32"/>
        <v>0.9943</v>
      </c>
      <c r="BJ16">
        <f ca="1">无穷技能数计算!$AJ8</f>
        <v>0</v>
      </c>
      <c r="BK16">
        <f ca="1" t="shared" si="33"/>
        <v>681390.881435187</v>
      </c>
      <c r="BM16">
        <f ca="1" t="shared" si="34"/>
        <v>109230</v>
      </c>
      <c r="BN16">
        <f ca="1" t="shared" si="35"/>
        <v>89277.5</v>
      </c>
      <c r="BO16">
        <f ca="1" t="shared" si="36"/>
        <v>689058.936665748</v>
      </c>
      <c r="BP16">
        <f ca="1" t="shared" si="37"/>
        <v>657115.770998878</v>
      </c>
      <c r="BR16">
        <f ca="1" t="shared" si="38"/>
        <v>0.9943</v>
      </c>
      <c r="BS16">
        <f ca="1" t="shared" si="39"/>
        <v>680178.951345794</v>
      </c>
      <c r="BT16">
        <f ca="1" t="shared" si="40"/>
        <v>0.196995876306796</v>
      </c>
      <c r="BU16">
        <f ca="1" t="shared" si="41"/>
        <v>2.3238578771</v>
      </c>
      <c r="BV16">
        <f ca="1" t="shared" si="61"/>
        <v>694910.849761859</v>
      </c>
      <c r="BW16">
        <f ca="1" t="shared" si="42"/>
        <v>113027</v>
      </c>
      <c r="BX16">
        <f ca="1" t="shared" si="43"/>
        <v>91935.4</v>
      </c>
      <c r="BY16">
        <f ca="1" t="shared" si="44"/>
        <v>0.9743</v>
      </c>
      <c r="BZ16">
        <f ca="1">无穷技能数计算!$AJ8</f>
        <v>0</v>
      </c>
      <c r="CA16">
        <f ca="1" t="shared" si="45"/>
        <v>2.3277641271</v>
      </c>
      <c r="CB16">
        <f ca="1" t="shared" si="62"/>
        <v>713597.71402805</v>
      </c>
      <c r="CC16">
        <f ca="1" t="shared" si="46"/>
        <v>114847</v>
      </c>
      <c r="CD16">
        <f ca="1" t="shared" si="47"/>
        <v>93209.4</v>
      </c>
      <c r="CE16">
        <f ca="1" t="shared" si="48"/>
        <v>697530.784006633</v>
      </c>
      <c r="CF16">
        <f ca="1" t="shared" si="49"/>
        <v>2.2750297521</v>
      </c>
      <c r="CG16">
        <f ca="1" t="shared" si="50"/>
        <v>0.9743</v>
      </c>
      <c r="CH16">
        <f ca="1" t="shared" si="63"/>
        <v>664108.186304983</v>
      </c>
      <c r="CJ16">
        <f ca="1" t="shared" si="51"/>
        <v>89277.5</v>
      </c>
      <c r="CK16">
        <f ca="1" t="shared" si="52"/>
        <v>685937.537237485</v>
      </c>
      <c r="CL16">
        <f ca="1" t="shared" si="64"/>
        <v>2.2976860021</v>
      </c>
      <c r="CM16">
        <f ca="1">IF(G16="恒定伤害",0,(IF(D16="轻剑",$CM$8,$CM$9)+IFERROR(INDEX(技能数据库!$T$2:$W$27,MATCH(E16,技能数据库!$T$2:$T$27,0),4),0)+COUNTIF(G16,"*造化2*")*154+COUNTIF(G16,"*造化1*")*102+COUNTIF(G16,"*碧归*")*307)/1024)</f>
        <v>0.197375959429785</v>
      </c>
      <c r="CN16">
        <f ca="1" t="shared" si="65"/>
        <v>706364.239355921</v>
      </c>
      <c r="CO16">
        <f ca="1" t="shared" si="66"/>
        <v>2.3262602208</v>
      </c>
      <c r="CP16">
        <f ca="1" t="shared" si="67"/>
        <v>715048.942961422</v>
      </c>
      <c r="CQ16">
        <f ca="1" t="shared" si="53"/>
        <v>1.8815754648</v>
      </c>
      <c r="CR16">
        <f ca="1">IF(G16="恒定伤害",0,(IF(D16="轻剑",$CR$8,$CR$9)+IFERROR(INDEX(技能数据库!$T$2:$W$27,MATCH(E16,技能数据库!$T$2:$T$27,0),4),0)+COUNTIF(G16,"*造化2*")*154+COUNTIF(G16,"*造化1*")*102+COUNTIF(G16,"*碧归*")*307)/1024)</f>
        <v>0.187610334429785</v>
      </c>
      <c r="CS16">
        <f ca="1" t="shared" si="68"/>
        <v>672551.49907684</v>
      </c>
      <c r="CV16" t="s">
        <v>2671</v>
      </c>
      <c r="CW16">
        <f ca="1">BV6</f>
        <v>13895134.1046603</v>
      </c>
      <c r="CX16" s="164">
        <f ca="1" t="shared" si="69"/>
        <v>0.088041446281979</v>
      </c>
      <c r="CY16">
        <f ca="1" t="shared" si="70"/>
        <v>10</v>
      </c>
      <c r="CZ16">
        <v>7</v>
      </c>
      <c r="DA16" t="str">
        <f ca="1" t="shared" si="71"/>
        <v>藏剑阵</v>
      </c>
      <c r="DB16" s="164">
        <f ca="1" t="shared" si="72"/>
        <v>0.097693398704819</v>
      </c>
    </row>
    <row r="17" spans="4:106">
      <c r="D17" t="s">
        <v>1028</v>
      </c>
      <c r="E17" t="s">
        <v>2741</v>
      </c>
      <c r="H17">
        <f ca="1">INDEX(技能数据库!$B$2:$I$100,MATCH(无穷阵眼收益计算!$E17,技能数据库!$B$2:$B$100,0),MATCH(H$9,技能数据库!$B$2:$I$2,0))</f>
        <v>68.5</v>
      </c>
      <c r="I17">
        <f ca="1">INDEX(技能数据库!$B$2:$I$100,MATCH(无穷阵眼收益计算!$E17,技能数据库!$B$2:$B$100,0),MATCH(I$9,技能数据库!$B$2:$I$2,0))</f>
        <v>0.325</v>
      </c>
      <c r="J17">
        <f ca="1">INDEX(技能数据库!$B$2:$I$100,MATCH(无穷阵眼收益计算!$E17,技能数据库!$B$2:$B$100,0),MATCH(J$9,技能数据库!$B$2:$I$2,0))</f>
        <v>1</v>
      </c>
      <c r="K17">
        <f ca="1">INDEX(技能数据库!$B$2:$I$100,MATCH(无穷阵眼收益计算!$E17,技能数据库!$B$2:$B$100,0),MATCH(K$9,技能数据库!$B$2:$I$2,0))</f>
        <v>0</v>
      </c>
      <c r="L17">
        <f ca="1" t="shared" si="13"/>
        <v>91975</v>
      </c>
      <c r="M17">
        <f ca="1" t="shared" si="73"/>
        <v>12694.5</v>
      </c>
      <c r="N17">
        <f ca="1" t="shared" si="74"/>
        <v>92028</v>
      </c>
      <c r="O17">
        <f ca="1" t="shared" si="54"/>
        <v>42654.875</v>
      </c>
      <c r="P17">
        <f ca="1">IF(G17="恒定伤害",0,(IF(D17="轻剑",$AZ$2,$AZ$3)+IFERROR(INDEX(技能数据库!$T$2:$W$27,MATCH(E17,技能数据库!$T$2:$T$27,0),4),0)+COUNTIF(G17,"*造化2*")*154+COUNTIF(G17,"*造化1*")*102+COUNTIF(G17,"*碧归*")*307)/1024)</f>
        <v>0.106555646929785</v>
      </c>
      <c r="Q17">
        <f ca="1" t="shared" si="14"/>
        <v>0.448284482196154</v>
      </c>
      <c r="R17">
        <f ca="1" t="shared" si="55"/>
        <v>0.32958230397716</v>
      </c>
      <c r="S17">
        <f ca="1" t="shared" si="75"/>
        <v>45829.0947683526</v>
      </c>
      <c r="T17">
        <f t="shared" si="76"/>
        <v>0.8</v>
      </c>
      <c r="U17">
        <f ca="1" t="shared" si="15"/>
        <v>1.7800129648</v>
      </c>
      <c r="V17">
        <f ca="1" t="shared" si="77"/>
        <v>101924.382096854</v>
      </c>
      <c r="W17">
        <f ca="1">IF(G17="恒定伤害",0,MIN(1,IF(COUNTIF(F17,"*内会*")&gt;0,内会2,IF(D17="轻剑",$Y$2,$Y$3)+COUNTIF(G17,"*莺鸣*")*0.2+COUNTIF(G17,"*叠1*")*0.1+COUNTIF(G17,"*叠2*")*0.2+COUNTIF(G17,"*叠3*")*0.3)+IFERROR(INDEX(技能数据库!$T$2:$W$27,MATCH(E17,技能数据库!$T$2:$T$27,0),2),0)+IF((IF(D17="轻剑",$AO$2,$AO$3)+INT(COUNTIF(G17,"*大莺鸣*")*IF(D17="轻剑",$AM$2,$AM$3)*听晓无双率)/无双系数)&gt;0.9,特效裤子会心/会心系数,0)))</f>
        <v>0.7043</v>
      </c>
      <c r="X17">
        <f ca="1">IF(G17="恒定伤害",0,IF(COUNTIF(F17,"*内会*")&gt;0,内会效2,IF(D17="轻剑",$AB$2,$AB$3))+IFERROR(INDEX(技能数据库!$T$2:$W$27,MATCH(E17,技能数据库!$T$2:$T$27,0),3)/1024,0))+COUNTIF(G17,"*叠1*")*0.25+COUNTIF(G17,"*叠2*")*0.5+COUNTIF(G17,"*叠3*")*0.75</f>
        <v>2.1773735021</v>
      </c>
      <c r="Y17">
        <f ca="1" t="shared" si="78"/>
        <v>1.82922415752903</v>
      </c>
      <c r="Z17">
        <f t="shared" si="16"/>
        <v>0.150390625</v>
      </c>
      <c r="AA17">
        <f ca="1" t="shared" si="79"/>
        <v>0.0205078125</v>
      </c>
      <c r="AB17">
        <f ca="1" t="shared" si="80"/>
        <v>218880.303949278</v>
      </c>
      <c r="AC17">
        <f ca="1">无穷技能数计算!$AJ9</f>
        <v>0</v>
      </c>
      <c r="AD17" s="164">
        <f ca="1" t="shared" si="81"/>
        <v>0</v>
      </c>
      <c r="AE17" s="168"/>
      <c r="AF17" s="168">
        <f ca="1" t="shared" si="17"/>
        <v>0.7057</v>
      </c>
      <c r="AG17">
        <f ca="1">无穷技能数计算!$AJ9</f>
        <v>0</v>
      </c>
      <c r="AH17">
        <f ca="1" t="shared" si="18"/>
        <v>96007</v>
      </c>
      <c r="AJ17">
        <f ca="1" t="shared" si="19"/>
        <v>2.3765922521</v>
      </c>
      <c r="AK17">
        <f ca="1" t="shared" si="56"/>
        <v>44203.775</v>
      </c>
      <c r="AL17">
        <f ca="1" t="shared" si="20"/>
        <v>244533.34417816</v>
      </c>
      <c r="AM17" s="169">
        <f ca="1" t="shared" si="21"/>
        <v>0.7272</v>
      </c>
      <c r="AN17">
        <f ca="1">无穷技能数计算!$AJ9</f>
        <v>0</v>
      </c>
      <c r="AO17" s="170">
        <f ca="1" t="shared" si="22"/>
        <v>248204.422449984</v>
      </c>
      <c r="AP17">
        <f ca="1" t="shared" si="23"/>
        <v>97084</v>
      </c>
      <c r="AQ17" s="170">
        <f ca="1" t="shared" si="57"/>
        <v>44315.3</v>
      </c>
      <c r="AR17">
        <f ca="1" t="shared" si="24"/>
        <v>240741.684470607</v>
      </c>
      <c r="AS17">
        <f ca="1" t="shared" si="25"/>
        <v>0.7843</v>
      </c>
      <c r="AT17">
        <f ca="1">无穷技能数计算!$AJ9</f>
        <v>0</v>
      </c>
      <c r="AU17">
        <f ca="1" t="shared" si="26"/>
        <v>2.3238578771</v>
      </c>
      <c r="AV17">
        <f ca="1" t="shared" si="27"/>
        <v>1.7995442148</v>
      </c>
      <c r="AW17">
        <f ca="1" t="shared" si="58"/>
        <v>245611.523094777</v>
      </c>
      <c r="AX17">
        <f ca="1" t="shared" si="28"/>
        <v>0.7743</v>
      </c>
      <c r="AY17">
        <f ca="1">无穷技能数计算!$AJ9</f>
        <v>0</v>
      </c>
      <c r="AZ17" s="170">
        <f ca="1" t="shared" si="59"/>
        <v>244016.299265597</v>
      </c>
      <c r="BA17">
        <f ca="1" t="shared" si="29"/>
        <v>0.7643</v>
      </c>
      <c r="BB17">
        <f ca="1">无穷技能数计算!$AJ9</f>
        <v>0</v>
      </c>
      <c r="BC17" s="170">
        <f ca="1" t="shared" si="60"/>
        <v>242421.075436417</v>
      </c>
      <c r="BE17">
        <f ca="1" t="shared" si="30"/>
        <v>91977</v>
      </c>
      <c r="BF17">
        <f ca="1" t="shared" si="31"/>
        <v>42655.525</v>
      </c>
      <c r="BI17">
        <f ca="1" t="shared" si="32"/>
        <v>0.7543</v>
      </c>
      <c r="BJ17">
        <f ca="1">无穷技能数计算!$AJ9</f>
        <v>0</v>
      </c>
      <c r="BK17">
        <f ca="1" t="shared" si="33"/>
        <v>241131.902949353</v>
      </c>
      <c r="BM17">
        <f ca="1" t="shared" si="34"/>
        <v>95358</v>
      </c>
      <c r="BN17">
        <f ca="1" t="shared" si="35"/>
        <v>43754.35</v>
      </c>
      <c r="BO17">
        <f ca="1" t="shared" si="36"/>
        <v>242480.472938414</v>
      </c>
      <c r="BP17">
        <f ca="1" t="shared" si="37"/>
        <v>231239.64359001</v>
      </c>
      <c r="BR17">
        <f ca="1" t="shared" si="38"/>
        <v>0.7543</v>
      </c>
      <c r="BS17">
        <f ca="1" t="shared" si="39"/>
        <v>240358.351299578</v>
      </c>
      <c r="BT17">
        <f ca="1" t="shared" si="40"/>
        <v>0.318170800459405</v>
      </c>
      <c r="BU17">
        <f ca="1" t="shared" si="41"/>
        <v>2.3238578771</v>
      </c>
      <c r="BV17">
        <f ca="1" t="shared" si="61"/>
        <v>243216.324965163</v>
      </c>
      <c r="BW17">
        <f ca="1" t="shared" si="42"/>
        <v>99155</v>
      </c>
      <c r="BX17">
        <f ca="1" t="shared" si="43"/>
        <v>44988.375</v>
      </c>
      <c r="BY17">
        <f ca="1" t="shared" si="44"/>
        <v>0.7343</v>
      </c>
      <c r="BZ17">
        <f ca="1">无穷技能数计算!$AJ9</f>
        <v>0</v>
      </c>
      <c r="CA17">
        <f ca="1" t="shared" si="45"/>
        <v>2.3277641271</v>
      </c>
      <c r="CB17">
        <f ca="1" t="shared" si="62"/>
        <v>249249.028265546</v>
      </c>
      <c r="CC17">
        <f ca="1" t="shared" si="46"/>
        <v>100975</v>
      </c>
      <c r="CD17">
        <f ca="1" t="shared" si="47"/>
        <v>45579.875</v>
      </c>
      <c r="CE17">
        <f ca="1" t="shared" si="48"/>
        <v>245538.845905174</v>
      </c>
      <c r="CF17">
        <f ca="1" t="shared" si="49"/>
        <v>2.2750297521</v>
      </c>
      <c r="CG17">
        <f ca="1" t="shared" si="50"/>
        <v>0.7343</v>
      </c>
      <c r="CH17">
        <f ca="1" t="shared" si="63"/>
        <v>233315.005112264</v>
      </c>
      <c r="CJ17">
        <f ca="1" t="shared" si="51"/>
        <v>43754.35</v>
      </c>
      <c r="CK17">
        <f ca="1" t="shared" si="52"/>
        <v>241382.049611584</v>
      </c>
      <c r="CL17">
        <f ca="1" t="shared" si="64"/>
        <v>2.2976860021</v>
      </c>
      <c r="CM17">
        <f ca="1">IF(G17="恒定伤害",0,(IF(D17="轻剑",$CM$8,$CM$9)+IFERROR(INDEX(技能数据库!$T$2:$W$27,MATCH(E17,技能数据库!$T$2:$T$27,0),4),0)+COUNTIF(G17,"*造化2*")*154+COUNTIF(G17,"*造化1*")*102+COUNTIF(G17,"*碧归*")*307)/1024)</f>
        <v>0.167102521929785</v>
      </c>
      <c r="CN17">
        <f ca="1" t="shared" si="65"/>
        <v>248195.543784868</v>
      </c>
      <c r="CO17">
        <f ca="1" t="shared" si="66"/>
        <v>2.3262602208</v>
      </c>
      <c r="CP17">
        <f ca="1" t="shared" si="67"/>
        <v>250862.180816455</v>
      </c>
      <c r="CQ17">
        <f ca="1" t="shared" si="53"/>
        <v>1.8815754648</v>
      </c>
      <c r="CR17">
        <f ca="1">IF(G17="恒定伤害",0,(IF(D17="轻剑",$CR$8,$CR$9)+IFERROR(INDEX(技能数据库!$T$2:$W$27,MATCH(E17,技能数据库!$T$2:$T$27,0),4),0)+COUNTIF(G17,"*造化2*")*154+COUNTIF(G17,"*造化1*")*102+COUNTIF(G17,"*碧归*")*307)/1024)</f>
        <v>0.157336896929785</v>
      </c>
      <c r="CS17">
        <f ca="1" t="shared" si="68"/>
        <v>237288.34088499</v>
      </c>
      <c r="CV17" t="s">
        <v>3165</v>
      </c>
      <c r="CW17">
        <f ca="1">BC6</f>
        <v>13764687.430351</v>
      </c>
      <c r="CX17" s="164">
        <f ca="1" t="shared" si="69"/>
        <v>0.0778269793247541</v>
      </c>
      <c r="CY17">
        <f ca="1" t="shared" si="70"/>
        <v>14</v>
      </c>
      <c r="CZ17">
        <v>8</v>
      </c>
      <c r="DA17" t="str">
        <f ca="1" t="shared" si="71"/>
        <v>蓬莱阵</v>
      </c>
      <c r="DB17" s="164">
        <f ca="1" t="shared" si="72"/>
        <v>0.0956894246065569</v>
      </c>
    </row>
    <row r="18" spans="4:106">
      <c r="D18" t="s">
        <v>1028</v>
      </c>
      <c r="E18" t="s">
        <v>2741</v>
      </c>
      <c r="G18" t="s">
        <v>2949</v>
      </c>
      <c r="H18">
        <f ca="1">INDEX(技能数据库!$B$2:$I$100,MATCH(无穷阵眼收益计算!$E18,技能数据库!$B$2:$B$100,0),MATCH(H$9,技能数据库!$B$2:$I$2,0))</f>
        <v>68.5</v>
      </c>
      <c r="I18">
        <f ca="1">INDEX(技能数据库!$B$2:$I$100,MATCH(无穷阵眼收益计算!$E18,技能数据库!$B$2:$B$100,0),MATCH(I$9,技能数据库!$B$2:$I$2,0))</f>
        <v>0.325</v>
      </c>
      <c r="J18">
        <f ca="1">INDEX(技能数据库!$B$2:$I$100,MATCH(无穷阵眼收益计算!$E18,技能数据库!$B$2:$B$100,0),MATCH(J$9,技能数据库!$B$2:$I$2,0))</f>
        <v>1</v>
      </c>
      <c r="K18">
        <f ca="1">INDEX(技能数据库!$B$2:$I$100,MATCH(无穷阵眼收益计算!$E18,技能数据库!$B$2:$B$100,0),MATCH(K$9,技能数据库!$B$2:$I$2,0))</f>
        <v>0</v>
      </c>
      <c r="L18">
        <f ca="1" t="shared" si="13"/>
        <v>91975</v>
      </c>
      <c r="M18">
        <f ca="1" t="shared" si="73"/>
        <v>12694.5</v>
      </c>
      <c r="N18">
        <f ca="1" t="shared" si="74"/>
        <v>92028</v>
      </c>
      <c r="O18">
        <f ca="1" t="shared" si="54"/>
        <v>42654.875</v>
      </c>
      <c r="P18">
        <f ca="1">IF(G18="恒定伤害",0,(IF(D18="轻剑",$AZ$2,$AZ$3)+IFERROR(INDEX(技能数据库!$T$2:$W$27,MATCH(E18,技能数据库!$T$2:$T$27,0),4),0)+COUNTIF(G18,"*造化2*")*154+COUNTIF(G18,"*造化1*")*102+COUNTIF(G18,"*碧归*")*307)/1024)</f>
        <v>0.106555646929785</v>
      </c>
      <c r="Q18">
        <f ca="1" t="shared" si="14"/>
        <v>0.448284482196154</v>
      </c>
      <c r="R18">
        <f ca="1" t="shared" si="55"/>
        <v>0.32958230397716</v>
      </c>
      <c r="S18">
        <f ca="1" t="shared" si="75"/>
        <v>45829.0947683526</v>
      </c>
      <c r="T18">
        <f t="shared" si="76"/>
        <v>0.8</v>
      </c>
      <c r="U18">
        <f ca="1" t="shared" si="15"/>
        <v>1.7800129648</v>
      </c>
      <c r="V18">
        <f ca="1" t="shared" si="77"/>
        <v>101924.382096854</v>
      </c>
      <c r="W18">
        <f ca="1">IF(G18="恒定伤害",0,MIN(1,IF(COUNTIF(F18,"*内会*")&gt;0,内会2,IF(D18="轻剑",$Y$2,$Y$3)+COUNTIF(G18,"*莺鸣*")*0.2+COUNTIF(G18,"*叠1*")*0.1+COUNTIF(G18,"*叠2*")*0.2+COUNTIF(G18,"*叠3*")*0.3)+IFERROR(INDEX(技能数据库!$T$2:$W$27,MATCH(E18,技能数据库!$T$2:$T$27,0),2),0)+IF((IF(D18="轻剑",$AO$2,$AO$3)+INT(COUNTIF(G18,"*大莺鸣*")*IF(D18="轻剑",$AM$2,$AM$3)*听晓无双率)/无双系数)&gt;0.9,特效裤子会心/会心系数,0)))</f>
        <v>0.9043</v>
      </c>
      <c r="X18">
        <f ca="1">IF(G18="恒定伤害",0,IF(COUNTIF(F18,"*内会*")&gt;0,内会效2,IF(D18="轻剑",$AB$2,$AB$3))+IFERROR(INDEX(技能数据库!$T$2:$W$27,MATCH(E18,技能数据库!$T$2:$T$27,0),3)/1024,0))+COUNTIF(G18,"*叠1*")*0.25+COUNTIF(G18,"*叠2*")*0.5+COUNTIF(G18,"*叠3*")*0.75</f>
        <v>2.1773735021</v>
      </c>
      <c r="Y18">
        <f ca="1" t="shared" si="78"/>
        <v>2.06469885794903</v>
      </c>
      <c r="Z18">
        <f t="shared" si="16"/>
        <v>0.150390625</v>
      </c>
      <c r="AA18">
        <f ca="1" t="shared" si="79"/>
        <v>0.0205078125</v>
      </c>
      <c r="AB18">
        <f ca="1" t="shared" si="80"/>
        <v>247056.606885228</v>
      </c>
      <c r="AC18">
        <f ca="1">无穷技能数计算!$AJ10</f>
        <v>0</v>
      </c>
      <c r="AD18" s="164">
        <f ca="1" t="shared" si="81"/>
        <v>0</v>
      </c>
      <c r="AE18" s="168"/>
      <c r="AF18" s="168">
        <f ca="1" t="shared" si="17"/>
        <v>0.9057</v>
      </c>
      <c r="AG18">
        <f ca="1">无穷技能数计算!$AJ10</f>
        <v>0</v>
      </c>
      <c r="AH18">
        <f ca="1" t="shared" si="18"/>
        <v>96007</v>
      </c>
      <c r="AJ18">
        <f ca="1" t="shared" si="19"/>
        <v>2.3765922521</v>
      </c>
      <c r="AK18">
        <f ca="1" t="shared" si="56"/>
        <v>44203.775</v>
      </c>
      <c r="AL18">
        <f ca="1" t="shared" si="20"/>
        <v>278682.909497451</v>
      </c>
      <c r="AM18" s="169">
        <f ca="1" t="shared" si="21"/>
        <v>0.9272</v>
      </c>
      <c r="AN18">
        <f ca="1">无穷技能数计算!$AJ10</f>
        <v>0</v>
      </c>
      <c r="AO18" s="170">
        <f ca="1" t="shared" si="22"/>
        <v>282353.987769275</v>
      </c>
      <c r="AP18">
        <f ca="1" t="shared" si="23"/>
        <v>97084</v>
      </c>
      <c r="AQ18" s="170">
        <f ca="1" t="shared" si="57"/>
        <v>44315.3</v>
      </c>
      <c r="AR18">
        <f ca="1" t="shared" si="24"/>
        <v>271732.187081233</v>
      </c>
      <c r="AS18">
        <f ca="1" t="shared" si="25"/>
        <v>0.9843</v>
      </c>
      <c r="AT18">
        <f ca="1">无穷技能数计算!$AJ10</f>
        <v>0</v>
      </c>
      <c r="AU18">
        <f ca="1" t="shared" si="26"/>
        <v>2.3238578771</v>
      </c>
      <c r="AV18">
        <f ca="1" t="shared" si="27"/>
        <v>1.7995442148</v>
      </c>
      <c r="AW18">
        <f ca="1" t="shared" si="58"/>
        <v>277515.999678375</v>
      </c>
      <c r="AX18">
        <f ca="1" t="shared" si="28"/>
        <v>0.9743</v>
      </c>
      <c r="AY18">
        <f ca="1">无穷技能数计算!$AJ10</f>
        <v>0</v>
      </c>
      <c r="AZ18" s="170">
        <f ca="1" t="shared" si="59"/>
        <v>275920.775849195</v>
      </c>
      <c r="BA18">
        <f ca="1" t="shared" si="29"/>
        <v>0.9643</v>
      </c>
      <c r="BB18">
        <f ca="1">无穷技能数计算!$AJ10</f>
        <v>0</v>
      </c>
      <c r="BC18" s="170">
        <f ca="1" t="shared" si="60"/>
        <v>274325.552020015</v>
      </c>
      <c r="BE18">
        <f ca="1" t="shared" si="30"/>
        <v>91977</v>
      </c>
      <c r="BF18">
        <f ca="1" t="shared" si="31"/>
        <v>42655.525</v>
      </c>
      <c r="BI18">
        <f ca="1" t="shared" si="32"/>
        <v>0.9543</v>
      </c>
      <c r="BJ18">
        <f ca="1">无穷技能数计算!$AJ10</f>
        <v>0</v>
      </c>
      <c r="BK18">
        <f ca="1" t="shared" si="33"/>
        <v>271204.821837293</v>
      </c>
      <c r="BM18">
        <f ca="1" t="shared" si="34"/>
        <v>95358</v>
      </c>
      <c r="BN18">
        <f ca="1" t="shared" si="35"/>
        <v>43754.35</v>
      </c>
      <c r="BO18">
        <f ca="1" t="shared" si="36"/>
        <v>273694.808528648</v>
      </c>
      <c r="BP18">
        <f ca="1" t="shared" si="37"/>
        <v>261006.955362854</v>
      </c>
      <c r="BR18">
        <f ca="1" t="shared" si="38"/>
        <v>0.9543</v>
      </c>
      <c r="BS18">
        <f ca="1" t="shared" si="39"/>
        <v>270334.79620073</v>
      </c>
      <c r="BT18">
        <f ca="1" t="shared" si="40"/>
        <v>0.318170800459405</v>
      </c>
      <c r="BU18">
        <f ca="1" t="shared" si="41"/>
        <v>2.3238578771</v>
      </c>
      <c r="BV18">
        <f ca="1" t="shared" si="61"/>
        <v>275437.490146612</v>
      </c>
      <c r="BW18">
        <f ca="1" t="shared" si="42"/>
        <v>99155</v>
      </c>
      <c r="BX18">
        <f ca="1" t="shared" si="43"/>
        <v>44988.375</v>
      </c>
      <c r="BY18">
        <f ca="1" t="shared" si="44"/>
        <v>0.9343</v>
      </c>
      <c r="BZ18">
        <f ca="1">无穷技能数计算!$AJ10</f>
        <v>0</v>
      </c>
      <c r="CA18">
        <f ca="1" t="shared" si="45"/>
        <v>2.3277641271</v>
      </c>
      <c r="CB18">
        <f ca="1" t="shared" si="62"/>
        <v>282762.723379791</v>
      </c>
      <c r="CC18">
        <f ca="1" t="shared" si="46"/>
        <v>100975</v>
      </c>
      <c r="CD18">
        <f ca="1" t="shared" si="47"/>
        <v>45579.875</v>
      </c>
      <c r="CE18">
        <f ca="1" t="shared" si="48"/>
        <v>276548.1135481</v>
      </c>
      <c r="CF18">
        <f ca="1" t="shared" si="49"/>
        <v>2.2750297521</v>
      </c>
      <c r="CG18">
        <f ca="1" t="shared" si="50"/>
        <v>0.9343</v>
      </c>
      <c r="CH18">
        <f ca="1" t="shared" si="63"/>
        <v>264042.742260586</v>
      </c>
      <c r="CJ18">
        <f ca="1" t="shared" si="51"/>
        <v>43754.35</v>
      </c>
      <c r="CK18">
        <f ca="1" t="shared" si="52"/>
        <v>272454.985962825</v>
      </c>
      <c r="CL18">
        <f ca="1" t="shared" si="64"/>
        <v>2.2976860021</v>
      </c>
      <c r="CM18">
        <f ca="1">IF(G18="恒定伤害",0,(IF(D18="轻剑",$CM$8,$CM$9)+IFERROR(INDEX(技能数据库!$T$2:$W$27,MATCH(E18,技能数据库!$T$2:$T$27,0),4),0)+COUNTIF(G18,"*造化2*")*154+COUNTIF(G18,"*造化1*")*102+COUNTIF(G18,"*碧归*")*307)/1024)</f>
        <v>0.167102521929785</v>
      </c>
      <c r="CN18">
        <f ca="1" t="shared" si="65"/>
        <v>281180.478506681</v>
      </c>
      <c r="CO18">
        <f ca="1" t="shared" si="66"/>
        <v>2.3262602208</v>
      </c>
      <c r="CP18">
        <f ca="1" t="shared" si="67"/>
        <v>284573.422778249</v>
      </c>
      <c r="CQ18">
        <f ca="1" t="shared" si="53"/>
        <v>1.8815754648</v>
      </c>
      <c r="CR18">
        <f ca="1">IF(G18="恒定伤害",0,(IF(D18="轻剑",$CR$8,$CR$9)+IFERROR(INDEX(技能数据库!$T$2:$W$27,MATCH(E18,技能数据库!$T$2:$T$27,0),4),0)+COUNTIF(G18,"*造化2*")*154+COUNTIF(G18,"*造化1*")*102+COUNTIF(G18,"*碧归*")*307)/1024)</f>
        <v>0.157336896929785</v>
      </c>
      <c r="CS18">
        <f ca="1" t="shared" si="68"/>
        <v>267834.297077986</v>
      </c>
      <c r="CV18" t="s">
        <v>2654</v>
      </c>
      <c r="CW18">
        <f ca="1">AI6</f>
        <v>14018397.0315879</v>
      </c>
      <c r="CX18" s="164">
        <f ca="1" t="shared" si="69"/>
        <v>0.097693398704819</v>
      </c>
      <c r="CY18">
        <f ca="1" t="shared" si="70"/>
        <v>7</v>
      </c>
      <c r="CZ18">
        <v>9</v>
      </c>
      <c r="DA18" t="str">
        <f ca="1" t="shared" si="71"/>
        <v>天策阵</v>
      </c>
      <c r="DB18" s="164">
        <f ca="1" t="shared" si="72"/>
        <v>0.090198016641966</v>
      </c>
    </row>
    <row r="19" spans="4:106">
      <c r="D19" t="s">
        <v>1028</v>
      </c>
      <c r="E19" t="s">
        <v>2741</v>
      </c>
      <c r="G19" t="s">
        <v>3014</v>
      </c>
      <c r="H19">
        <f ca="1">INDEX(技能数据库!$B$2:$I$100,MATCH(无穷阵眼收益计算!$E19,技能数据库!$B$2:$B$100,0),MATCH(H$9,技能数据库!$B$2:$I$2,0))</f>
        <v>68.5</v>
      </c>
      <c r="I19">
        <f ca="1">INDEX(技能数据库!$B$2:$I$100,MATCH(无穷阵眼收益计算!$E19,技能数据库!$B$2:$B$100,0),MATCH(I$9,技能数据库!$B$2:$I$2,0))</f>
        <v>0.325</v>
      </c>
      <c r="J19">
        <f ca="1">INDEX(技能数据库!$B$2:$I$100,MATCH(无穷阵眼收益计算!$E19,技能数据库!$B$2:$B$100,0),MATCH(J$9,技能数据库!$B$2:$I$2,0))</f>
        <v>1</v>
      </c>
      <c r="K19">
        <f ca="1">INDEX(技能数据库!$B$2:$I$100,MATCH(无穷阵眼收益计算!$E19,技能数据库!$B$2:$B$100,0),MATCH(K$9,技能数据库!$B$2:$I$2,0))</f>
        <v>0</v>
      </c>
      <c r="L19">
        <f ca="1" t="shared" si="13"/>
        <v>105847</v>
      </c>
      <c r="M19">
        <f ca="1" t="shared" si="73"/>
        <v>12694.5</v>
      </c>
      <c r="N19">
        <f ca="1" t="shared" si="74"/>
        <v>92028</v>
      </c>
      <c r="O19">
        <f ca="1" t="shared" si="54"/>
        <v>47163.275</v>
      </c>
      <c r="P19">
        <f ca="1">IF(G19="恒定伤害",0,(IF(D19="轻剑",$AZ$2,$AZ$3)+IFERROR(INDEX(技能数据库!$T$2:$W$27,MATCH(E19,技能数据库!$T$2:$T$27,0),4),0)+COUNTIF(G19,"*造化2*")*154+COUNTIF(G19,"*造化1*")*102+COUNTIF(G19,"*碧归*")*307)/1024)</f>
        <v>0.106555646929785</v>
      </c>
      <c r="Q19">
        <f ca="1" t="shared" si="14"/>
        <v>0.448284482196154</v>
      </c>
      <c r="R19">
        <f ca="1" t="shared" si="55"/>
        <v>0.21277697966198</v>
      </c>
      <c r="S19">
        <f ca="1" t="shared" si="75"/>
        <v>59501.6318250602</v>
      </c>
      <c r="T19">
        <f t="shared" si="76"/>
        <v>0.8</v>
      </c>
      <c r="U19">
        <f ca="1" t="shared" si="15"/>
        <v>1.7800129648</v>
      </c>
      <c r="V19">
        <f ca="1" t="shared" si="77"/>
        <v>132332.246320339</v>
      </c>
      <c r="W19">
        <f ca="1">IF(G19="恒定伤害",0,MIN(1,IF(COUNTIF(F19,"*内会*")&gt;0,内会2,IF(D19="轻剑",$Y$2,$Y$3)+COUNTIF(G19,"*莺鸣*")*0.2+COUNTIF(G19,"*叠1*")*0.1+COUNTIF(G19,"*叠2*")*0.2+COUNTIF(G19,"*叠3*")*0.3)+IFERROR(INDEX(技能数据库!$T$2:$W$27,MATCH(E19,技能数据库!$T$2:$T$27,0),2),0)+IF((IF(D19="轻剑",$AO$2,$AO$3)+INT(COUNTIF(G19,"*大莺鸣*")*IF(D19="轻剑",$AM$2,$AM$3)*听晓无双率)/无双系数)&gt;0.9,特效裤子会心/会心系数,0)))</f>
        <v>0.9043</v>
      </c>
      <c r="X19">
        <f ca="1">IF(G19="恒定伤害",0,IF(COUNTIF(F19,"*内会*")&gt;0,内会效2,IF(D19="轻剑",$AB$2,$AB$3))+IFERROR(INDEX(技能数据库!$T$2:$W$27,MATCH(E19,技能数据库!$T$2:$T$27,0),3)/1024,0))+COUNTIF(G19,"*叠1*")*0.25+COUNTIF(G19,"*叠2*")*0.5+COUNTIF(G19,"*叠3*")*0.75</f>
        <v>2.1773735021</v>
      </c>
      <c r="Y19">
        <f ca="1" t="shared" si="78"/>
        <v>2.06469885794903</v>
      </c>
      <c r="Z19">
        <f t="shared" si="16"/>
        <v>0.150390625</v>
      </c>
      <c r="AA19">
        <f ca="1" t="shared" si="79"/>
        <v>0.0205078125</v>
      </c>
      <c r="AB19">
        <f ca="1" t="shared" si="80"/>
        <v>320762.854626245</v>
      </c>
      <c r="AC19">
        <f ca="1">无穷技能数计算!$AJ11</f>
        <v>0</v>
      </c>
      <c r="AD19" s="164">
        <f ca="1" t="shared" si="81"/>
        <v>0</v>
      </c>
      <c r="AE19" s="168"/>
      <c r="AF19" s="168">
        <f ca="1" t="shared" si="17"/>
        <v>0.9057</v>
      </c>
      <c r="AG19">
        <f ca="1">无穷技能数计算!$AJ11</f>
        <v>0</v>
      </c>
      <c r="AH19">
        <f ca="1" t="shared" si="18"/>
        <v>109879</v>
      </c>
      <c r="AJ19">
        <f ca="1" t="shared" si="19"/>
        <v>2.3765922521</v>
      </c>
      <c r="AK19">
        <f ca="1" t="shared" si="56"/>
        <v>48712.175</v>
      </c>
      <c r="AL19">
        <f ca="1" t="shared" si="20"/>
        <v>360612.530843191</v>
      </c>
      <c r="AM19" s="169">
        <f ca="1" t="shared" si="21"/>
        <v>0.9272</v>
      </c>
      <c r="AN19">
        <f ca="1">无穷技能数计算!$AJ11</f>
        <v>0</v>
      </c>
      <c r="AO19" s="170">
        <f ca="1" t="shared" si="22"/>
        <v>365362.864578809</v>
      </c>
      <c r="AP19">
        <f ca="1" t="shared" si="23"/>
        <v>110956</v>
      </c>
      <c r="AQ19" s="170">
        <f ca="1" t="shared" si="57"/>
        <v>48823.7</v>
      </c>
      <c r="AR19">
        <f ca="1" t="shared" si="24"/>
        <v>351536.476377598</v>
      </c>
      <c r="AS19">
        <f ca="1" t="shared" si="25"/>
        <v>0.9843</v>
      </c>
      <c r="AT19">
        <f ca="1">无穷技能数计算!$AJ11</f>
        <v>0</v>
      </c>
      <c r="AU19">
        <f ca="1" t="shared" si="26"/>
        <v>2.3238578771</v>
      </c>
      <c r="AV19">
        <f ca="1" t="shared" si="27"/>
        <v>1.7995442148</v>
      </c>
      <c r="AW19">
        <f ca="1" t="shared" si="58"/>
        <v>360309.426182013</v>
      </c>
      <c r="AX19">
        <f ca="1" t="shared" si="28"/>
        <v>0.9743</v>
      </c>
      <c r="AY19">
        <f ca="1">无穷技能数计算!$AJ11</f>
        <v>0</v>
      </c>
      <c r="AZ19" s="170">
        <f ca="1" t="shared" si="59"/>
        <v>358238.287281229</v>
      </c>
      <c r="BA19">
        <f ca="1" t="shared" si="29"/>
        <v>0.9643</v>
      </c>
      <c r="BB19">
        <f ca="1">无穷技能数计算!$AJ11</f>
        <v>0</v>
      </c>
      <c r="BC19" s="170">
        <f ca="1" t="shared" si="60"/>
        <v>356167.148380446</v>
      </c>
      <c r="BE19">
        <f ca="1" t="shared" si="30"/>
        <v>105849</v>
      </c>
      <c r="BF19">
        <f ca="1" t="shared" si="31"/>
        <v>47163.925</v>
      </c>
      <c r="BI19">
        <f ca="1" t="shared" si="32"/>
        <v>0.9543</v>
      </c>
      <c r="BJ19">
        <f ca="1">无穷技能数计算!$AJ11</f>
        <v>0</v>
      </c>
      <c r="BK19">
        <f ca="1" t="shared" si="33"/>
        <v>352114.874480679</v>
      </c>
      <c r="BM19">
        <f ca="1" t="shared" si="34"/>
        <v>109230</v>
      </c>
      <c r="BN19">
        <f ca="1" t="shared" si="35"/>
        <v>48262.75</v>
      </c>
      <c r="BO19">
        <f ca="1" t="shared" si="36"/>
        <v>354494.66513138</v>
      </c>
      <c r="BP19">
        <f ca="1" t="shared" si="37"/>
        <v>338061.119009612</v>
      </c>
      <c r="BR19">
        <f ca="1" t="shared" si="38"/>
        <v>0.9543</v>
      </c>
      <c r="BS19">
        <f ca="1" t="shared" si="39"/>
        <v>350142.713951064</v>
      </c>
      <c r="BT19">
        <f ca="1" t="shared" si="40"/>
        <v>0.196995876306796</v>
      </c>
      <c r="BU19">
        <f ca="1" t="shared" si="41"/>
        <v>2.3238578771</v>
      </c>
      <c r="BV19">
        <f ca="1" t="shared" si="61"/>
        <v>358674.509350824</v>
      </c>
      <c r="BW19">
        <f ca="1" t="shared" si="42"/>
        <v>113027</v>
      </c>
      <c r="BX19">
        <f ca="1" t="shared" si="43"/>
        <v>49496.775</v>
      </c>
      <c r="BY19">
        <f ca="1" t="shared" si="44"/>
        <v>0.9343</v>
      </c>
      <c r="BZ19">
        <f ca="1">无穷技能数计算!$AJ11</f>
        <v>0</v>
      </c>
      <c r="CA19">
        <f ca="1" t="shared" si="45"/>
        <v>2.3277641271</v>
      </c>
      <c r="CB19">
        <f ca="1" t="shared" si="62"/>
        <v>365301.174564937</v>
      </c>
      <c r="CC19">
        <f ca="1" t="shared" si="46"/>
        <v>114847</v>
      </c>
      <c r="CD19">
        <f ca="1" t="shared" si="47"/>
        <v>50088.275</v>
      </c>
      <c r="CE19">
        <f ca="1" t="shared" si="48"/>
        <v>356850.214322805</v>
      </c>
      <c r="CF19">
        <f ca="1" t="shared" si="49"/>
        <v>2.2750297521</v>
      </c>
      <c r="CG19">
        <f ca="1" t="shared" si="50"/>
        <v>0.9343</v>
      </c>
      <c r="CH19">
        <f ca="1" t="shared" si="63"/>
        <v>342816.590977441</v>
      </c>
      <c r="CJ19">
        <f ca="1" t="shared" si="51"/>
        <v>48262.75</v>
      </c>
      <c r="CK19">
        <f ca="1" t="shared" si="52"/>
        <v>352888.823618871</v>
      </c>
      <c r="CL19">
        <f ca="1" t="shared" si="64"/>
        <v>2.2976860021</v>
      </c>
      <c r="CM19">
        <f ca="1">IF(G19="恒定伤害",0,(IF(D19="轻剑",$CM$8,$CM$9)+IFERROR(INDEX(技能数据库!$T$2:$W$27,MATCH(E19,技能数据库!$T$2:$T$27,0),4),0)+COUNTIF(G19,"*造化2*")*154+COUNTIF(G19,"*造化1*")*102+COUNTIF(G19,"*碧归*")*307)/1024)</f>
        <v>0.167102521929785</v>
      </c>
      <c r="CN19">
        <f ca="1" t="shared" si="65"/>
        <v>365067.156422479</v>
      </c>
      <c r="CO19">
        <f ca="1" t="shared" si="66"/>
        <v>2.3262602208</v>
      </c>
      <c r="CP19">
        <f ca="1" t="shared" si="67"/>
        <v>369472.343168371</v>
      </c>
      <c r="CQ19">
        <f ca="1" t="shared" si="53"/>
        <v>1.8815754648</v>
      </c>
      <c r="CR19">
        <f ca="1">IF(G19="恒定伤害",0,(IF(D19="轻剑",$CR$8,$CR$9)+IFERROR(INDEX(技能数据库!$T$2:$W$27,MATCH(E19,技能数据库!$T$2:$T$27,0),4),0)+COUNTIF(G19,"*造化2*")*154+COUNTIF(G19,"*造化1*")*102+COUNTIF(G19,"*碧归*")*307)/1024)</f>
        <v>0.157336896929785</v>
      </c>
      <c r="CS19">
        <f ca="1" t="shared" si="68"/>
        <v>347739.3087385</v>
      </c>
      <c r="CV19" t="s">
        <v>2676</v>
      </c>
      <c r="CW19">
        <f ca="1">CE6</f>
        <v>13992804.7263197</v>
      </c>
      <c r="CX19" s="164">
        <f ca="1" t="shared" si="69"/>
        <v>0.0956894246065569</v>
      </c>
      <c r="CY19">
        <f ca="1" t="shared" si="70"/>
        <v>8</v>
      </c>
      <c r="CZ19">
        <v>10</v>
      </c>
      <c r="DA19" t="str">
        <f ca="1" t="shared" si="71"/>
        <v>天罗阵</v>
      </c>
      <c r="DB19" s="164">
        <f ca="1" t="shared" si="72"/>
        <v>0.088041446281979</v>
      </c>
    </row>
    <row r="20" spans="4:106">
      <c r="D20" t="s">
        <v>1028</v>
      </c>
      <c r="E20" t="s">
        <v>2754</v>
      </c>
      <c r="H20">
        <f ca="1">INDEX(技能数据库!$B$2:$I$100,MATCH(无穷阵眼收益计算!$E20,技能数据库!$B$2:$B$100,0),MATCH(H$9,技能数据库!$B$2:$I$2,0))</f>
        <v>0</v>
      </c>
      <c r="I20">
        <f ca="1">INDEX(技能数据库!$B$2:$I$100,MATCH(无穷阵眼收益计算!$E20,技能数据库!$B$2:$B$100,0),MATCH(I$9,技能数据库!$B$2:$I$2,0))</f>
        <v>0.10625</v>
      </c>
      <c r="J20">
        <f ca="1">INDEX(技能数据库!$B$2:$I$100,MATCH(无穷阵眼收益计算!$E20,技能数据库!$B$2:$B$100,0),MATCH(J$9,技能数据库!$B$2:$I$2,0))</f>
        <v>1</v>
      </c>
      <c r="K20">
        <f ca="1">INDEX(技能数据库!$B$2:$I$100,MATCH(无穷阵眼收益计算!$E20,技能数据库!$B$2:$B$100,0),MATCH(K$9,技能数据库!$B$2:$I$2,0))</f>
        <v>0</v>
      </c>
      <c r="L20">
        <f ca="1" t="shared" si="13"/>
        <v>91975</v>
      </c>
      <c r="M20">
        <f ca="1" t="shared" si="73"/>
        <v>12694.5</v>
      </c>
      <c r="N20">
        <f ca="1" t="shared" si="74"/>
        <v>92028</v>
      </c>
      <c r="O20">
        <f ca="1" t="shared" si="54"/>
        <v>22466.84375</v>
      </c>
      <c r="P20">
        <f ca="1">IF(G20="恒定伤害",0,(IF(D20="轻剑",$AZ$2,$AZ$3)+IFERROR(INDEX(技能数据库!$T$2:$W$27,MATCH(E20,技能数据库!$T$2:$T$27,0),4),0)+COUNTIF(G20,"*造化2*")*154+COUNTIF(G20,"*造化1*")*102+COUNTIF(G20,"*碧归*")*307)/1024)</f>
        <v>0.215930646929785</v>
      </c>
      <c r="Q20">
        <f ca="1" t="shared" si="14"/>
        <v>0.448284482196154</v>
      </c>
      <c r="R20">
        <f ca="1" t="shared" si="55"/>
        <v>0.32958230397716</v>
      </c>
      <c r="S20">
        <f ca="1" t="shared" si="75"/>
        <v>26524.6838566089</v>
      </c>
      <c r="T20">
        <f t="shared" si="76"/>
        <v>0.8</v>
      </c>
      <c r="U20">
        <f ca="1" t="shared" si="15"/>
        <v>1.7800129648</v>
      </c>
      <c r="V20">
        <f ca="1" t="shared" si="77"/>
        <v>58991.1720068753</v>
      </c>
      <c r="W20">
        <f ca="1">IF(G20="恒定伤害",0,MIN(1,IF(COUNTIF(F20,"*内会*")&gt;0,内会2,IF(D20="轻剑",$Y$2,$Y$3)+COUNTIF(G20,"*莺鸣*")*0.2+COUNTIF(G20,"*叠1*")*0.1+COUNTIF(G20,"*叠2*")*0.2+COUNTIF(G20,"*叠3*")*0.3)+IFERROR(INDEX(技能数据库!$T$2:$W$27,MATCH(E20,技能数据库!$T$2:$T$27,0),2),0)+IF((IF(D20="轻剑",$AO$2,$AO$3)+INT(COUNTIF(G20,"*大莺鸣*")*IF(D20="轻剑",$AM$2,$AM$3)*听晓无双率)/无双系数)&gt;0.9,特效裤子会心/会心系数,0)))</f>
        <v>0.7043</v>
      </c>
      <c r="X20">
        <f ca="1">IF(G20="恒定伤害",0,IF(COUNTIF(F20,"*内会*")&gt;0,内会效2,IF(D20="轻剑",$AB$2,$AB$3))+IFERROR(INDEX(技能数据库!$T$2:$W$27,MATCH(E20,技能数据库!$T$2:$T$27,0),3)/1024,0))+COUNTIF(G20,"*叠1*")*0.25+COUNTIF(G20,"*叠2*")*0.5+COUNTIF(G20,"*叠3*")*0.75</f>
        <v>2.1773735021</v>
      </c>
      <c r="Y20">
        <f ca="1" t="shared" si="78"/>
        <v>1.82922415752903</v>
      </c>
      <c r="Z20">
        <f t="shared" si="16"/>
        <v>0.150390625</v>
      </c>
      <c r="AA20">
        <f ca="1" t="shared" si="79"/>
        <v>0.0205078125</v>
      </c>
      <c r="AB20">
        <f ca="1" t="shared" si="80"/>
        <v>126682.206882739</v>
      </c>
      <c r="AC20">
        <f ca="1">无穷技能数计算!$AJ12</f>
        <v>0</v>
      </c>
      <c r="AD20" s="164">
        <f ca="1" t="shared" si="81"/>
        <v>0</v>
      </c>
      <c r="AE20" s="168"/>
      <c r="AF20" s="168">
        <f ca="1" t="shared" si="17"/>
        <v>0.7057</v>
      </c>
      <c r="AG20">
        <f ca="1">无穷技能数计算!$AJ12</f>
        <v>0</v>
      </c>
      <c r="AH20">
        <f ca="1" t="shared" si="18"/>
        <v>96007</v>
      </c>
      <c r="AJ20">
        <f ca="1" t="shared" si="19"/>
        <v>2.3765922521</v>
      </c>
      <c r="AK20">
        <f ca="1" t="shared" si="56"/>
        <v>23133.74375</v>
      </c>
      <c r="AL20">
        <f ca="1" t="shared" si="20"/>
        <v>140624.241890389</v>
      </c>
      <c r="AM20" s="169">
        <f ca="1" t="shared" si="21"/>
        <v>0.7272</v>
      </c>
      <c r="AN20">
        <f ca="1">无穷技能数计算!$AJ12</f>
        <v>0</v>
      </c>
      <c r="AO20" s="170">
        <f ca="1" t="shared" si="22"/>
        <v>142735.375652659</v>
      </c>
      <c r="AP20">
        <f ca="1" t="shared" si="23"/>
        <v>97084</v>
      </c>
      <c r="AQ20" s="170">
        <f ca="1" t="shared" si="57"/>
        <v>23009.675</v>
      </c>
      <c r="AR20">
        <f ca="1" t="shared" si="24"/>
        <v>137354.733871659</v>
      </c>
      <c r="AS20">
        <f ca="1" t="shared" si="25"/>
        <v>0.7843</v>
      </c>
      <c r="AT20">
        <f ca="1">无穷技能数计算!$AJ12</f>
        <v>0</v>
      </c>
      <c r="AU20">
        <f ca="1" t="shared" si="26"/>
        <v>2.3238578771</v>
      </c>
      <c r="AV20">
        <f ca="1" t="shared" si="27"/>
        <v>1.7995442148</v>
      </c>
      <c r="AW20">
        <f ca="1" t="shared" si="58"/>
        <v>142153.538806705</v>
      </c>
      <c r="AX20">
        <f ca="1" t="shared" si="28"/>
        <v>0.7743</v>
      </c>
      <c r="AY20">
        <f ca="1">无穷技能数计算!$AJ12</f>
        <v>0</v>
      </c>
      <c r="AZ20" s="170">
        <f ca="1" t="shared" si="59"/>
        <v>141230.264891665</v>
      </c>
      <c r="BA20">
        <f ca="1" t="shared" si="29"/>
        <v>0.7643</v>
      </c>
      <c r="BB20">
        <f ca="1">无穷技能数计算!$AJ12</f>
        <v>0</v>
      </c>
      <c r="BC20" s="170">
        <f ca="1" t="shared" si="60"/>
        <v>140306.990976624</v>
      </c>
      <c r="BE20">
        <f ca="1" t="shared" si="30"/>
        <v>91977</v>
      </c>
      <c r="BF20">
        <f ca="1" t="shared" si="31"/>
        <v>22467.05625</v>
      </c>
      <c r="BI20">
        <f ca="1" t="shared" si="32"/>
        <v>0.7543</v>
      </c>
      <c r="BJ20">
        <f ca="1">无穷技能数计算!$AJ12</f>
        <v>0</v>
      </c>
      <c r="BK20">
        <f ca="1" t="shared" si="33"/>
        <v>139560.044912184</v>
      </c>
      <c r="BM20">
        <f ca="1" t="shared" si="34"/>
        <v>95358</v>
      </c>
      <c r="BN20">
        <f ca="1" t="shared" si="35"/>
        <v>22826.2875</v>
      </c>
      <c r="BO20">
        <f ca="1" t="shared" si="36"/>
        <v>139003.700771241</v>
      </c>
      <c r="BP20">
        <f ca="1" t="shared" si="37"/>
        <v>132559.81330999</v>
      </c>
      <c r="BR20">
        <f ca="1" t="shared" si="38"/>
        <v>0.7543</v>
      </c>
      <c r="BS20">
        <f ca="1" t="shared" si="39"/>
        <v>137787.179054213</v>
      </c>
      <c r="BT20">
        <f ca="1" t="shared" si="40"/>
        <v>0.318170800459405</v>
      </c>
      <c r="BU20">
        <f ca="1" t="shared" si="41"/>
        <v>2.3238578771</v>
      </c>
      <c r="BV20">
        <f ca="1" t="shared" si="61"/>
        <v>140767.26064688</v>
      </c>
      <c r="BW20">
        <f ca="1" t="shared" si="42"/>
        <v>99155</v>
      </c>
      <c r="BX20">
        <f ca="1" t="shared" si="43"/>
        <v>23229.71875</v>
      </c>
      <c r="BY20">
        <f ca="1" t="shared" si="44"/>
        <v>0.7343</v>
      </c>
      <c r="BZ20">
        <f ca="1">无穷技能数计算!$AJ12</f>
        <v>0</v>
      </c>
      <c r="CA20">
        <f ca="1" t="shared" si="45"/>
        <v>2.3277641271</v>
      </c>
      <c r="CB20">
        <f ca="1" t="shared" si="62"/>
        <v>141420.596572392</v>
      </c>
      <c r="CC20">
        <f ca="1" t="shared" si="46"/>
        <v>100975</v>
      </c>
      <c r="CD20">
        <f ca="1" t="shared" si="47"/>
        <v>23423.09375</v>
      </c>
      <c r="CE20">
        <f ca="1" t="shared" si="48"/>
        <v>138652.237704064</v>
      </c>
      <c r="CF20">
        <f ca="1" t="shared" si="49"/>
        <v>2.2750297521</v>
      </c>
      <c r="CG20">
        <f ca="1" t="shared" si="50"/>
        <v>0.7343</v>
      </c>
      <c r="CH20">
        <f ca="1" t="shared" si="63"/>
        <v>135036.635152555</v>
      </c>
      <c r="CJ20">
        <f ca="1" t="shared" si="51"/>
        <v>22826.2875</v>
      </c>
      <c r="CK20">
        <f ca="1" t="shared" si="52"/>
        <v>138374.021582676</v>
      </c>
      <c r="CL20">
        <f ca="1" t="shared" si="64"/>
        <v>2.2976860021</v>
      </c>
      <c r="CM20">
        <f ca="1">IF(G20="恒定伤害",0,(IF(D20="轻剑",$CM$8,$CM$9)+IFERROR(INDEX(技能数据库!$T$2:$W$27,MATCH(E20,技能数据库!$T$2:$T$27,0),4),0)+COUNTIF(G20,"*造化2*")*154+COUNTIF(G20,"*造化1*")*102+COUNTIF(G20,"*碧归*")*307)/1024)</f>
        <v>0.276477521929785</v>
      </c>
      <c r="CN20">
        <f ca="1" t="shared" si="65"/>
        <v>142978.762893212</v>
      </c>
      <c r="CO20">
        <f ca="1" t="shared" si="66"/>
        <v>2.3262602208</v>
      </c>
      <c r="CP20">
        <f ca="1" t="shared" si="67"/>
        <v>144514.940610375</v>
      </c>
      <c r="CQ20">
        <f ca="1" t="shared" si="53"/>
        <v>1.8815754648</v>
      </c>
      <c r="CR20">
        <f ca="1">IF(G20="恒定伤害",0,(IF(D20="轻剑",$CR$8,$CR$9)+IFERROR(INDEX(技能数据库!$T$2:$W$27,MATCH(E20,技能数据库!$T$2:$T$27,0),4),0)+COUNTIF(G20,"*造化2*")*154+COUNTIF(G20,"*造化1*")*102+COUNTIF(G20,"*碧归*")*307)/1024)</f>
        <v>0.266711896929785</v>
      </c>
      <c r="CS20">
        <f ca="1" t="shared" si="68"/>
        <v>136794.249639776</v>
      </c>
      <c r="CV20" t="s">
        <v>3167</v>
      </c>
      <c r="CW20">
        <f ca="1">BO6</f>
        <v>14047860.0333967</v>
      </c>
      <c r="CX20" s="164">
        <f ca="1" t="shared" si="69"/>
        <v>0.1000004629518</v>
      </c>
      <c r="CY20">
        <f ca="1" t="shared" si="70"/>
        <v>6</v>
      </c>
      <c r="CZ20">
        <v>11</v>
      </c>
      <c r="DA20" t="str">
        <f ca="1" t="shared" si="71"/>
        <v>剑纯阵(5层)</v>
      </c>
      <c r="DB20" s="164">
        <f ca="1" t="shared" si="72"/>
        <v>0.0843273815668069</v>
      </c>
    </row>
    <row r="21" spans="4:106">
      <c r="D21" t="s">
        <v>1028</v>
      </c>
      <c r="E21" t="s">
        <v>2754</v>
      </c>
      <c r="G21" t="s">
        <v>2750</v>
      </c>
      <c r="H21">
        <f ca="1">INDEX(技能数据库!$B$2:$I$100,MATCH(无穷阵眼收益计算!$E21,技能数据库!$B$2:$B$100,0),MATCH(H$9,技能数据库!$B$2:$I$2,0))</f>
        <v>0</v>
      </c>
      <c r="I21">
        <f ca="1">INDEX(技能数据库!$B$2:$I$100,MATCH(无穷阵眼收益计算!$E21,技能数据库!$B$2:$B$100,0),MATCH(I$9,技能数据库!$B$2:$I$2,0))</f>
        <v>0.10625</v>
      </c>
      <c r="J21">
        <f ca="1">INDEX(技能数据库!$B$2:$I$100,MATCH(无穷阵眼收益计算!$E21,技能数据库!$B$2:$B$100,0),MATCH(J$9,技能数据库!$B$2:$I$2,0))</f>
        <v>1</v>
      </c>
      <c r="K21">
        <f ca="1">INDEX(技能数据库!$B$2:$I$100,MATCH(无穷阵眼收益计算!$E21,技能数据库!$B$2:$B$100,0),MATCH(K$9,技能数据库!$B$2:$I$2,0))</f>
        <v>0</v>
      </c>
      <c r="L21">
        <f ca="1" t="shared" si="13"/>
        <v>105847</v>
      </c>
      <c r="M21">
        <f ca="1" t="shared" si="73"/>
        <v>12694.5</v>
      </c>
      <c r="N21">
        <f ca="1" t="shared" si="74"/>
        <v>92028</v>
      </c>
      <c r="O21">
        <f ca="1" t="shared" si="54"/>
        <v>23940.74375</v>
      </c>
      <c r="P21">
        <f ca="1">IF(G21="恒定伤害",0,(IF(D21="轻剑",$AZ$2,$AZ$3)+IFERROR(INDEX(技能数据库!$T$2:$W$27,MATCH(E21,技能数据库!$T$2:$T$27,0),4),0)+COUNTIF(G21,"*造化2*")*154+COUNTIF(G21,"*造化1*")*102+COUNTIF(G21,"*碧归*")*307)/1024)</f>
        <v>0.215930646929785</v>
      </c>
      <c r="Q21">
        <f ca="1" t="shared" si="14"/>
        <v>0.448284482196154</v>
      </c>
      <c r="R21">
        <f ca="1" t="shared" si="55"/>
        <v>0.21277697966198</v>
      </c>
      <c r="S21">
        <f ca="1" t="shared" si="75"/>
        <v>33189.301000243</v>
      </c>
      <c r="T21">
        <f t="shared" si="76"/>
        <v>0.8</v>
      </c>
      <c r="U21">
        <f ca="1" t="shared" si="15"/>
        <v>1.7800129648</v>
      </c>
      <c r="V21">
        <f ca="1" t="shared" si="77"/>
        <v>73813.3496586602</v>
      </c>
      <c r="W21">
        <f ca="1">IF(G21="恒定伤害",0,MIN(1,IF(COUNTIF(F21,"*内会*")&gt;0,内会2,IF(D21="轻剑",$Y$2,$Y$3)+COUNTIF(G21,"*莺鸣*")*0.2+COUNTIF(G21,"*叠1*")*0.1+COUNTIF(G21,"*叠2*")*0.2+COUNTIF(G21,"*叠3*")*0.3)+IFERROR(INDEX(技能数据库!$T$2:$W$27,MATCH(E21,技能数据库!$T$2:$T$27,0),2),0)+IF((IF(D21="轻剑",$AO$2,$AO$3)+INT(COUNTIF(G21,"*大莺鸣*")*IF(D21="轻剑",$AM$2,$AM$3)*听晓无双率)/无双系数)&gt;0.9,特效裤子会心/会心系数,0)))</f>
        <v>0.7043</v>
      </c>
      <c r="X21">
        <f ca="1">IF(G21="恒定伤害",0,IF(COUNTIF(F21,"*内会*")&gt;0,内会效2,IF(D21="轻剑",$AB$2,$AB$3))+IFERROR(INDEX(技能数据库!$T$2:$W$27,MATCH(E21,技能数据库!$T$2:$T$27,0),3)/1024,0))+COUNTIF(G21,"*叠1*")*0.25+COUNTIF(G21,"*叠2*")*0.5+COUNTIF(G21,"*叠3*")*0.75</f>
        <v>2.1773735021</v>
      </c>
      <c r="Y21">
        <f ca="1" t="shared" si="78"/>
        <v>1.82922415752903</v>
      </c>
      <c r="Z21">
        <f t="shared" si="16"/>
        <v>0.150390625</v>
      </c>
      <c r="AA21">
        <f ca="1" t="shared" si="79"/>
        <v>0.0205078125</v>
      </c>
      <c r="AB21">
        <f ca="1" t="shared" si="80"/>
        <v>158512.497956076</v>
      </c>
      <c r="AC21">
        <f ca="1">无穷技能数计算!$AJ13</f>
        <v>8</v>
      </c>
      <c r="AD21" s="164">
        <f ca="1" t="shared" si="81"/>
        <v>0.000496982057280997</v>
      </c>
      <c r="AE21" s="168"/>
      <c r="AF21" s="168">
        <f ca="1" t="shared" si="17"/>
        <v>0.7057</v>
      </c>
      <c r="AG21">
        <f ca="1">无穷技能数计算!$AJ13</f>
        <v>8</v>
      </c>
      <c r="AH21">
        <f ca="1" t="shared" si="18"/>
        <v>109879</v>
      </c>
      <c r="AJ21">
        <f ca="1" t="shared" si="19"/>
        <v>2.3765922521</v>
      </c>
      <c r="AK21">
        <f ca="1" t="shared" si="56"/>
        <v>24607.64375</v>
      </c>
      <c r="AL21">
        <f ca="1" t="shared" si="20"/>
        <v>175645.335324727</v>
      </c>
      <c r="AM21" s="169">
        <f ca="1" t="shared" si="21"/>
        <v>0.7272</v>
      </c>
      <c r="AN21">
        <f ca="1">无穷技能数计算!$AJ13</f>
        <v>8</v>
      </c>
      <c r="AO21" s="170">
        <f ca="1" t="shared" si="22"/>
        <v>178282.226323069</v>
      </c>
      <c r="AP21">
        <f ca="1" t="shared" si="23"/>
        <v>110956</v>
      </c>
      <c r="AQ21" s="170">
        <f ca="1" t="shared" si="57"/>
        <v>24483.575</v>
      </c>
      <c r="AR21">
        <f ca="1" t="shared" si="24"/>
        <v>171616.995959886</v>
      </c>
      <c r="AS21">
        <f ca="1" t="shared" si="25"/>
        <v>0.7843</v>
      </c>
      <c r="AT21">
        <f ca="1">无穷技能数计算!$AJ13</f>
        <v>8</v>
      </c>
      <c r="AU21">
        <f ca="1" t="shared" si="26"/>
        <v>2.3238578771</v>
      </c>
      <c r="AV21">
        <f ca="1" t="shared" si="27"/>
        <v>1.7995442148</v>
      </c>
      <c r="AW21">
        <f ca="1" t="shared" si="58"/>
        <v>177871.171366663</v>
      </c>
      <c r="AX21">
        <f ca="1" t="shared" si="28"/>
        <v>0.7743</v>
      </c>
      <c r="AY21">
        <f ca="1">无穷技能数计算!$AJ13</f>
        <v>8</v>
      </c>
      <c r="AZ21" s="170">
        <f ca="1" t="shared" si="59"/>
        <v>176715.914774818</v>
      </c>
      <c r="BA21">
        <f ca="1" t="shared" si="29"/>
        <v>0.7643</v>
      </c>
      <c r="BB21">
        <f ca="1">无穷技能数计算!$AJ13</f>
        <v>8</v>
      </c>
      <c r="BC21" s="170">
        <f ca="1" t="shared" si="60"/>
        <v>175560.658182974</v>
      </c>
      <c r="BE21">
        <f ca="1" t="shared" si="30"/>
        <v>105849</v>
      </c>
      <c r="BF21">
        <f ca="1" t="shared" si="31"/>
        <v>23940.95625</v>
      </c>
      <c r="BI21">
        <f ca="1" t="shared" si="32"/>
        <v>0.7543</v>
      </c>
      <c r="BJ21">
        <f ca="1">无穷技能数计算!$AJ13</f>
        <v>8</v>
      </c>
      <c r="BK21">
        <f ca="1" t="shared" si="33"/>
        <v>174625.932060295</v>
      </c>
      <c r="BM21">
        <f ca="1" t="shared" si="34"/>
        <v>109230</v>
      </c>
      <c r="BN21">
        <f ca="1" t="shared" si="35"/>
        <v>24300.1875</v>
      </c>
      <c r="BO21">
        <f ca="1" t="shared" si="36"/>
        <v>173761.285464428</v>
      </c>
      <c r="BP21">
        <f ca="1" t="shared" si="37"/>
        <v>165706.117418954</v>
      </c>
      <c r="BR21">
        <f ca="1" t="shared" si="38"/>
        <v>0.7543</v>
      </c>
      <c r="BS21">
        <f ca="1" t="shared" si="39"/>
        <v>172240.575036048</v>
      </c>
      <c r="BT21">
        <f ca="1" t="shared" si="40"/>
        <v>0.196995876306796</v>
      </c>
      <c r="BU21">
        <f ca="1" t="shared" si="41"/>
        <v>2.3238578771</v>
      </c>
      <c r="BV21">
        <f ca="1" t="shared" si="61"/>
        <v>176660.482380908</v>
      </c>
      <c r="BW21">
        <f ca="1" t="shared" si="42"/>
        <v>113027</v>
      </c>
      <c r="BX21">
        <f ca="1" t="shared" si="43"/>
        <v>24703.61875</v>
      </c>
      <c r="BY21">
        <f ca="1" t="shared" si="44"/>
        <v>0.7343</v>
      </c>
      <c r="BZ21">
        <f ca="1">无穷技能数计算!$AJ13</f>
        <v>8</v>
      </c>
      <c r="CA21">
        <f ca="1" t="shared" si="45"/>
        <v>2.3277641271</v>
      </c>
      <c r="CB21">
        <f ca="1" t="shared" si="62"/>
        <v>176596.30230182</v>
      </c>
      <c r="CC21">
        <f ca="1" t="shared" si="46"/>
        <v>114847</v>
      </c>
      <c r="CD21">
        <f ca="1" t="shared" si="47"/>
        <v>24896.99375</v>
      </c>
      <c r="CE21">
        <f ca="1" t="shared" si="48"/>
        <v>173054.084000707</v>
      </c>
      <c r="CF21">
        <f ca="1" t="shared" si="49"/>
        <v>2.2750297521</v>
      </c>
      <c r="CG21">
        <f ca="1" t="shared" si="50"/>
        <v>0.7343</v>
      </c>
      <c r="CH21">
        <f ca="1" t="shared" si="63"/>
        <v>168966.067771679</v>
      </c>
      <c r="CJ21">
        <f ca="1" t="shared" si="51"/>
        <v>24300.1875</v>
      </c>
      <c r="CK21">
        <f ca="1" t="shared" si="52"/>
        <v>172974.156311547</v>
      </c>
      <c r="CL21">
        <f ca="1" t="shared" si="64"/>
        <v>2.2976860021</v>
      </c>
      <c r="CM21">
        <f ca="1">IF(G21="恒定伤害",0,(IF(D21="轻剑",$CM$8,$CM$9)+IFERROR(INDEX(技能数据库!$T$2:$W$27,MATCH(E21,技能数据库!$T$2:$T$27,0),4),0)+COUNTIF(G21,"*造化2*")*154+COUNTIF(G21,"*造化1*")*102+COUNTIF(G21,"*碧归*")*307)/1024)</f>
        <v>0.276477521929785</v>
      </c>
      <c r="CN21">
        <f ca="1" t="shared" si="65"/>
        <v>178903.742037356</v>
      </c>
      <c r="CO21">
        <f ca="1" t="shared" si="66"/>
        <v>2.3262602208</v>
      </c>
      <c r="CP21">
        <f ca="1" t="shared" si="67"/>
        <v>180825.901220116</v>
      </c>
      <c r="CQ21">
        <f ca="1" t="shared" si="53"/>
        <v>1.8815754648</v>
      </c>
      <c r="CR21">
        <f ca="1">IF(G21="恒定伤害",0,(IF(D21="轻剑",$CR$8,$CR$9)+IFERROR(INDEX(技能数据库!$T$2:$W$27,MATCH(E21,技能数据库!$T$2:$T$27,0),4),0)+COUNTIF(G21,"*造化2*")*154+COUNTIF(G21,"*造化1*")*102+COUNTIF(G21,"*碧归*")*307)/1024)</f>
        <v>0.266711896929785</v>
      </c>
      <c r="CS21">
        <f ca="1" t="shared" si="68"/>
        <v>171165.302136699</v>
      </c>
      <c r="CV21" t="s">
        <v>2688</v>
      </c>
      <c r="CW21">
        <f ca="1">CS6</f>
        <v>13742431.8110728</v>
      </c>
      <c r="CX21" s="164">
        <f ca="1" t="shared" si="69"/>
        <v>0.0760842803335151</v>
      </c>
      <c r="CY21">
        <f ca="1" t="shared" si="70"/>
        <v>15</v>
      </c>
      <c r="CZ21">
        <v>12</v>
      </c>
      <c r="DA21" t="str">
        <f ca="1" t="shared" si="71"/>
        <v>剑纯阵(4层)</v>
      </c>
      <c r="DB21" s="164">
        <f ca="1" t="shared" si="72"/>
        <v>0.0810843740389691</v>
      </c>
    </row>
    <row r="22" spans="4:106">
      <c r="D22" t="s">
        <v>1028</v>
      </c>
      <c r="E22" t="s">
        <v>2754</v>
      </c>
      <c r="G22" t="s">
        <v>2949</v>
      </c>
      <c r="H22">
        <f ca="1">INDEX(技能数据库!$B$2:$I$100,MATCH(无穷阵眼收益计算!$E22,技能数据库!$B$2:$B$100,0),MATCH(H$9,技能数据库!$B$2:$I$2,0))</f>
        <v>0</v>
      </c>
      <c r="I22">
        <f ca="1">INDEX(技能数据库!$B$2:$I$100,MATCH(无穷阵眼收益计算!$E22,技能数据库!$B$2:$B$100,0),MATCH(I$9,技能数据库!$B$2:$I$2,0))</f>
        <v>0.10625</v>
      </c>
      <c r="J22">
        <f ca="1">INDEX(技能数据库!$B$2:$I$100,MATCH(无穷阵眼收益计算!$E22,技能数据库!$B$2:$B$100,0),MATCH(J$9,技能数据库!$B$2:$I$2,0))</f>
        <v>1</v>
      </c>
      <c r="K22">
        <f ca="1">INDEX(技能数据库!$B$2:$I$100,MATCH(无穷阵眼收益计算!$E22,技能数据库!$B$2:$B$100,0),MATCH(K$9,技能数据库!$B$2:$I$2,0))</f>
        <v>0</v>
      </c>
      <c r="L22">
        <f ca="1" t="shared" si="13"/>
        <v>91975</v>
      </c>
      <c r="M22">
        <f ca="1" t="shared" si="73"/>
        <v>12694.5</v>
      </c>
      <c r="N22">
        <f ca="1" t="shared" si="74"/>
        <v>92028</v>
      </c>
      <c r="O22">
        <f ca="1" t="shared" si="54"/>
        <v>22466.84375</v>
      </c>
      <c r="P22">
        <f ca="1">IF(G22="恒定伤害",0,(IF(D22="轻剑",$AZ$2,$AZ$3)+IFERROR(INDEX(技能数据库!$T$2:$W$27,MATCH(E22,技能数据库!$T$2:$T$27,0),4),0)+COUNTIF(G22,"*造化2*")*154+COUNTIF(G22,"*造化1*")*102+COUNTIF(G22,"*碧归*")*307)/1024)</f>
        <v>0.215930646929785</v>
      </c>
      <c r="Q22">
        <f ca="1" t="shared" si="14"/>
        <v>0.448284482196154</v>
      </c>
      <c r="R22">
        <f ca="1" t="shared" si="55"/>
        <v>0.32958230397716</v>
      </c>
      <c r="S22">
        <f ca="1" t="shared" si="75"/>
        <v>26524.6838566089</v>
      </c>
      <c r="T22">
        <f t="shared" si="76"/>
        <v>0.8</v>
      </c>
      <c r="U22">
        <f ca="1" t="shared" si="15"/>
        <v>1.7800129648</v>
      </c>
      <c r="V22">
        <f ca="1" t="shared" si="77"/>
        <v>58991.1720068753</v>
      </c>
      <c r="W22">
        <f ca="1">IF(G22="恒定伤害",0,MIN(1,IF(COUNTIF(F22,"*内会*")&gt;0,内会2,IF(D22="轻剑",$Y$2,$Y$3)+COUNTIF(G22,"*莺鸣*")*0.2+COUNTIF(G22,"*叠1*")*0.1+COUNTIF(G22,"*叠2*")*0.2+COUNTIF(G22,"*叠3*")*0.3)+IFERROR(INDEX(技能数据库!$T$2:$W$27,MATCH(E22,技能数据库!$T$2:$T$27,0),2),0)+IF((IF(D22="轻剑",$AO$2,$AO$3)+INT(COUNTIF(G22,"*大莺鸣*")*IF(D22="轻剑",$AM$2,$AM$3)*听晓无双率)/无双系数)&gt;0.9,特效裤子会心/会心系数,0)))</f>
        <v>0.9043</v>
      </c>
      <c r="X22">
        <f ca="1">IF(G22="恒定伤害",0,IF(COUNTIF(F22,"*内会*")&gt;0,内会效2,IF(D22="轻剑",$AB$2,$AB$3))+IFERROR(INDEX(技能数据库!$T$2:$W$27,MATCH(E22,技能数据库!$T$2:$T$27,0),3)/1024,0))+COUNTIF(G22,"*叠1*")*0.25+COUNTIF(G22,"*叠2*")*0.5+COUNTIF(G22,"*叠3*")*0.75</f>
        <v>2.1773735021</v>
      </c>
      <c r="Y22">
        <f ca="1" t="shared" si="78"/>
        <v>2.06469885794903</v>
      </c>
      <c r="Z22">
        <f t="shared" si="16"/>
        <v>0.150390625</v>
      </c>
      <c r="AA22">
        <f ca="1" t="shared" si="79"/>
        <v>0.0205078125</v>
      </c>
      <c r="AB22">
        <f ca="1" t="shared" si="80"/>
        <v>142989.915586167</v>
      </c>
      <c r="AC22">
        <f ca="1">无穷技能数计算!$AJ14</f>
        <v>0</v>
      </c>
      <c r="AD22" s="164">
        <f ca="1" t="shared" si="81"/>
        <v>0</v>
      </c>
      <c r="AE22" s="168"/>
      <c r="AF22" s="168">
        <f ca="1" t="shared" si="17"/>
        <v>0.9057</v>
      </c>
      <c r="AG22">
        <f ca="1">无穷技能数计算!$AJ14</f>
        <v>0</v>
      </c>
      <c r="AH22">
        <f ca="1" t="shared" si="18"/>
        <v>96007</v>
      </c>
      <c r="AJ22">
        <f ca="1" t="shared" si="19"/>
        <v>2.3765922521</v>
      </c>
      <c r="AK22">
        <f ca="1" t="shared" si="56"/>
        <v>23133.74375</v>
      </c>
      <c r="AL22">
        <f ca="1" t="shared" si="20"/>
        <v>160262.695492908</v>
      </c>
      <c r="AM22" s="169">
        <f ca="1" t="shared" si="21"/>
        <v>0.9272</v>
      </c>
      <c r="AN22">
        <f ca="1">无穷技能数计算!$AJ14</f>
        <v>0</v>
      </c>
      <c r="AO22" s="170">
        <f ca="1" t="shared" si="22"/>
        <v>162373.829255178</v>
      </c>
      <c r="AP22">
        <f ca="1" t="shared" si="23"/>
        <v>97084</v>
      </c>
      <c r="AQ22" s="170">
        <f ca="1" t="shared" si="57"/>
        <v>23009.675</v>
      </c>
      <c r="AR22">
        <f ca="1" t="shared" si="24"/>
        <v>155036.309241508</v>
      </c>
      <c r="AS22">
        <f ca="1" t="shared" si="25"/>
        <v>0.9843</v>
      </c>
      <c r="AT22">
        <f ca="1">无穷技能数计算!$AJ14</f>
        <v>0</v>
      </c>
      <c r="AU22">
        <f ca="1" t="shared" si="26"/>
        <v>2.3238578771</v>
      </c>
      <c r="AV22">
        <f ca="1" t="shared" si="27"/>
        <v>1.7995442148</v>
      </c>
      <c r="AW22">
        <f ca="1" t="shared" si="58"/>
        <v>160619.017107509</v>
      </c>
      <c r="AX22">
        <f ca="1" t="shared" si="28"/>
        <v>0.9743</v>
      </c>
      <c r="AY22">
        <f ca="1">无穷技能数计算!$AJ14</f>
        <v>0</v>
      </c>
      <c r="AZ22" s="170">
        <f ca="1" t="shared" si="59"/>
        <v>159695.743192469</v>
      </c>
      <c r="BA22">
        <f ca="1" t="shared" si="29"/>
        <v>0.9643</v>
      </c>
      <c r="BB22">
        <f ca="1">无穷技能数计算!$AJ14</f>
        <v>0</v>
      </c>
      <c r="BC22" s="170">
        <f ca="1" t="shared" si="60"/>
        <v>158772.469277429</v>
      </c>
      <c r="BE22">
        <f ca="1" t="shared" si="30"/>
        <v>91977</v>
      </c>
      <c r="BF22">
        <f ca="1" t="shared" si="31"/>
        <v>22467.05625</v>
      </c>
      <c r="BI22">
        <f ca="1" t="shared" si="32"/>
        <v>0.9543</v>
      </c>
      <c r="BJ22">
        <f ca="1">无穷技能数计算!$AJ14</f>
        <v>0</v>
      </c>
      <c r="BK22">
        <f ca="1" t="shared" si="33"/>
        <v>156965.364819285</v>
      </c>
      <c r="BM22">
        <f ca="1" t="shared" si="34"/>
        <v>95358</v>
      </c>
      <c r="BN22">
        <f ca="1" t="shared" si="35"/>
        <v>22826.2875</v>
      </c>
      <c r="BO22">
        <f ca="1" t="shared" si="36"/>
        <v>156897.546455302</v>
      </c>
      <c r="BP22">
        <f ca="1" t="shared" si="37"/>
        <v>149624.142030132</v>
      </c>
      <c r="BR22">
        <f ca="1" t="shared" si="38"/>
        <v>0.9543</v>
      </c>
      <c r="BS22">
        <f ca="1" t="shared" si="39"/>
        <v>154971.394866443</v>
      </c>
      <c r="BT22">
        <f ca="1" t="shared" si="40"/>
        <v>0.318170800459405</v>
      </c>
      <c r="BU22">
        <f ca="1" t="shared" si="41"/>
        <v>2.3238578771</v>
      </c>
      <c r="BV22">
        <f ca="1" t="shared" si="61"/>
        <v>159416.030042161</v>
      </c>
      <c r="BW22">
        <f ca="1" t="shared" si="42"/>
        <v>99155</v>
      </c>
      <c r="BX22">
        <f ca="1" t="shared" si="43"/>
        <v>23229.71875</v>
      </c>
      <c r="BY22">
        <f ca="1" t="shared" si="44"/>
        <v>0.9343</v>
      </c>
      <c r="BZ22">
        <f ca="1">无穷技能数计算!$AJ14</f>
        <v>0</v>
      </c>
      <c r="CA22">
        <f ca="1" t="shared" si="45"/>
        <v>2.3277641271</v>
      </c>
      <c r="CB22">
        <f ca="1" t="shared" si="62"/>
        <v>160435.823188852</v>
      </c>
      <c r="CC22">
        <f ca="1" t="shared" si="46"/>
        <v>100975</v>
      </c>
      <c r="CD22">
        <f ca="1" t="shared" si="47"/>
        <v>23423.09375</v>
      </c>
      <c r="CE22">
        <f ca="1" t="shared" si="48"/>
        <v>156162.722989624</v>
      </c>
      <c r="CF22">
        <f ca="1" t="shared" si="49"/>
        <v>2.2750297521</v>
      </c>
      <c r="CG22">
        <f ca="1" t="shared" si="50"/>
        <v>0.9343</v>
      </c>
      <c r="CH22">
        <f ca="1" t="shared" si="63"/>
        <v>152821.047382558</v>
      </c>
      <c r="CJ22">
        <f ca="1" t="shared" si="51"/>
        <v>22826.2875</v>
      </c>
      <c r="CK22">
        <f ca="1" t="shared" si="52"/>
        <v>156186.809121031</v>
      </c>
      <c r="CL22">
        <f ca="1" t="shared" si="64"/>
        <v>2.2976860021</v>
      </c>
      <c r="CM22">
        <f ca="1">IF(G22="恒定伤害",0,(IF(D22="轻剑",$CM$8,$CM$9)+IFERROR(INDEX(技能数据库!$T$2:$W$27,MATCH(E22,技能数据库!$T$2:$T$27,0),4),0)+COUNTIF(G22,"*造化2*")*154+COUNTIF(G22,"*造化1*")*102+COUNTIF(G22,"*碧归*")*307)/1024)</f>
        <v>0.276477521929785</v>
      </c>
      <c r="CN22">
        <f ca="1" t="shared" si="65"/>
        <v>161980.494708051</v>
      </c>
      <c r="CO22">
        <f ca="1" t="shared" si="66"/>
        <v>2.3262602208</v>
      </c>
      <c r="CP22">
        <f ca="1" t="shared" si="67"/>
        <v>163935.078449227</v>
      </c>
      <c r="CQ22">
        <f ca="1" t="shared" si="53"/>
        <v>1.8815754648</v>
      </c>
      <c r="CR22">
        <f ca="1">IF(G22="恒定伤害",0,(IF(D22="轻剑",$CR$8,$CR$9)+IFERROR(INDEX(技能数据库!$T$2:$W$27,MATCH(E22,技能数据库!$T$2:$T$27,0),4),0)+COUNTIF(G22,"*造化2*")*154+COUNTIF(G22,"*造化1*")*102+COUNTIF(G22,"*碧归*")*307)/1024)</f>
        <v>0.266711896929785</v>
      </c>
      <c r="CS22">
        <f ca="1" t="shared" si="68"/>
        <v>154403.674280557</v>
      </c>
      <c r="CV22" t="s">
        <v>2668</v>
      </c>
      <c r="CW22">
        <f ca="1">BS6</f>
        <v>13703294.8351779</v>
      </c>
      <c r="CX22" s="164">
        <f ca="1" t="shared" si="69"/>
        <v>0.0730197074020789</v>
      </c>
      <c r="CY22">
        <f ca="1" t="shared" si="70"/>
        <v>16</v>
      </c>
      <c r="CZ22">
        <v>13</v>
      </c>
      <c r="DA22" t="str">
        <f ca="1" t="shared" si="71"/>
        <v>惊羽阵</v>
      </c>
      <c r="DB22" s="164">
        <f ca="1" t="shared" si="72"/>
        <v>0.0806611559073047</v>
      </c>
    </row>
    <row r="23" spans="4:106">
      <c r="D23" t="s">
        <v>1028</v>
      </c>
      <c r="E23" t="s">
        <v>2754</v>
      </c>
      <c r="G23" t="s">
        <v>3014</v>
      </c>
      <c r="H23">
        <f ca="1">INDEX(技能数据库!$B$2:$I$100,MATCH(无穷阵眼收益计算!$E23,技能数据库!$B$2:$B$100,0),MATCH(H$9,技能数据库!$B$2:$I$2,0))</f>
        <v>0</v>
      </c>
      <c r="I23">
        <f ca="1">INDEX(技能数据库!$B$2:$I$100,MATCH(无穷阵眼收益计算!$E23,技能数据库!$B$2:$B$100,0),MATCH(I$9,技能数据库!$B$2:$I$2,0))</f>
        <v>0.10625</v>
      </c>
      <c r="J23">
        <f ca="1">INDEX(技能数据库!$B$2:$I$100,MATCH(无穷阵眼收益计算!$E23,技能数据库!$B$2:$B$100,0),MATCH(J$9,技能数据库!$B$2:$I$2,0))</f>
        <v>1</v>
      </c>
      <c r="K23">
        <f ca="1">INDEX(技能数据库!$B$2:$I$100,MATCH(无穷阵眼收益计算!$E23,技能数据库!$B$2:$B$100,0),MATCH(K$9,技能数据库!$B$2:$I$2,0))</f>
        <v>0</v>
      </c>
      <c r="L23">
        <f ca="1" t="shared" si="13"/>
        <v>105847</v>
      </c>
      <c r="M23">
        <f ca="1" t="shared" si="73"/>
        <v>12694.5</v>
      </c>
      <c r="N23">
        <f ca="1" t="shared" si="74"/>
        <v>92028</v>
      </c>
      <c r="O23">
        <f ca="1" t="shared" si="54"/>
        <v>23940.74375</v>
      </c>
      <c r="P23">
        <f ca="1">IF(G23="恒定伤害",0,(IF(D23="轻剑",$AZ$2,$AZ$3)+IFERROR(INDEX(技能数据库!$T$2:$W$27,MATCH(E23,技能数据库!$T$2:$T$27,0),4),0)+COUNTIF(G23,"*造化2*")*154+COUNTIF(G23,"*造化1*")*102+COUNTIF(G23,"*碧归*")*307)/1024)</f>
        <v>0.215930646929785</v>
      </c>
      <c r="Q23">
        <f ca="1" t="shared" si="14"/>
        <v>0.448284482196154</v>
      </c>
      <c r="R23">
        <f ca="1" t="shared" si="55"/>
        <v>0.21277697966198</v>
      </c>
      <c r="S23">
        <f ca="1" t="shared" si="75"/>
        <v>33189.301000243</v>
      </c>
      <c r="T23">
        <f t="shared" si="76"/>
        <v>0.8</v>
      </c>
      <c r="U23">
        <f ca="1" t="shared" si="15"/>
        <v>1.7800129648</v>
      </c>
      <c r="V23">
        <f ca="1" t="shared" si="77"/>
        <v>73813.3496586602</v>
      </c>
      <c r="W23">
        <f ca="1">IF(G23="恒定伤害",0,MIN(1,IF(COUNTIF(F23,"*内会*")&gt;0,内会2,IF(D23="轻剑",$Y$2,$Y$3)+COUNTIF(G23,"*莺鸣*")*0.2+COUNTIF(G23,"*叠1*")*0.1+COUNTIF(G23,"*叠2*")*0.2+COUNTIF(G23,"*叠3*")*0.3)+IFERROR(INDEX(技能数据库!$T$2:$W$27,MATCH(E23,技能数据库!$T$2:$T$27,0),2),0)+IF((IF(D23="轻剑",$AO$2,$AO$3)+INT(COUNTIF(G23,"*大莺鸣*")*IF(D23="轻剑",$AM$2,$AM$3)*听晓无双率)/无双系数)&gt;0.9,特效裤子会心/会心系数,0)))</f>
        <v>0.9043</v>
      </c>
      <c r="X23">
        <f ca="1">IF(G23="恒定伤害",0,IF(COUNTIF(F23,"*内会*")&gt;0,内会效2,IF(D23="轻剑",$AB$2,$AB$3))+IFERROR(INDEX(技能数据库!$T$2:$W$27,MATCH(E23,技能数据库!$T$2:$T$27,0),3)/1024,0))+COUNTIF(G23,"*叠1*")*0.25+COUNTIF(G23,"*叠2*")*0.5+COUNTIF(G23,"*叠3*")*0.75</f>
        <v>2.1773735021</v>
      </c>
      <c r="Y23">
        <f ca="1" t="shared" si="78"/>
        <v>2.06469885794903</v>
      </c>
      <c r="Z23">
        <f t="shared" si="16"/>
        <v>0.150390625</v>
      </c>
      <c r="AA23">
        <f ca="1" t="shared" si="79"/>
        <v>0.0205078125</v>
      </c>
      <c r="AB23">
        <f ca="1" t="shared" si="80"/>
        <v>178917.696966487</v>
      </c>
      <c r="AC23">
        <f ca="1">无穷技能数计算!$AJ15</f>
        <v>0</v>
      </c>
      <c r="AD23" s="164">
        <f ca="1" t="shared" si="81"/>
        <v>0</v>
      </c>
      <c r="AE23" s="168"/>
      <c r="AF23" s="168">
        <f ca="1" t="shared" si="17"/>
        <v>0.9057</v>
      </c>
      <c r="AG23">
        <f ca="1">无穷技能数计算!$AJ15</f>
        <v>0</v>
      </c>
      <c r="AH23">
        <f ca="1" t="shared" si="18"/>
        <v>109879</v>
      </c>
      <c r="AJ23">
        <f ca="1" t="shared" si="19"/>
        <v>2.3765922521</v>
      </c>
      <c r="AK23">
        <f ca="1" t="shared" si="56"/>
        <v>24607.64375</v>
      </c>
      <c r="AL23">
        <f ca="1" t="shared" si="20"/>
        <v>200174.553913954</v>
      </c>
      <c r="AM23" s="169">
        <f ca="1" t="shared" si="21"/>
        <v>0.9272</v>
      </c>
      <c r="AN23">
        <f ca="1">无穷技能数计算!$AJ15</f>
        <v>0</v>
      </c>
      <c r="AO23" s="170">
        <f ca="1" t="shared" si="22"/>
        <v>202811.444912295</v>
      </c>
      <c r="AP23">
        <f ca="1" t="shared" si="23"/>
        <v>110956</v>
      </c>
      <c r="AQ23" s="170">
        <f ca="1" t="shared" si="57"/>
        <v>24483.575</v>
      </c>
      <c r="AR23">
        <f ca="1" t="shared" si="24"/>
        <v>193709.127503361</v>
      </c>
      <c r="AS23">
        <f ca="1" t="shared" si="25"/>
        <v>0.9843</v>
      </c>
      <c r="AT23">
        <f ca="1">无穷技能数计算!$AJ15</f>
        <v>0</v>
      </c>
      <c r="AU23">
        <f ca="1" t="shared" si="26"/>
        <v>2.3238578771</v>
      </c>
      <c r="AV23">
        <f ca="1" t="shared" si="27"/>
        <v>1.7995442148</v>
      </c>
      <c r="AW23">
        <f ca="1" t="shared" si="58"/>
        <v>200976.303203556</v>
      </c>
      <c r="AX23">
        <f ca="1" t="shared" si="28"/>
        <v>0.9743</v>
      </c>
      <c r="AY23">
        <f ca="1">无穷技能数计算!$AJ15</f>
        <v>0</v>
      </c>
      <c r="AZ23" s="170">
        <f ca="1" t="shared" si="59"/>
        <v>199821.046611711</v>
      </c>
      <c r="BA23">
        <f ca="1" t="shared" si="29"/>
        <v>0.9643</v>
      </c>
      <c r="BB23">
        <f ca="1">无穷技能数计算!$AJ15</f>
        <v>0</v>
      </c>
      <c r="BC23" s="170">
        <f ca="1" t="shared" si="60"/>
        <v>198665.790019867</v>
      </c>
      <c r="BE23">
        <f ca="1" t="shared" si="30"/>
        <v>105849</v>
      </c>
      <c r="BF23">
        <f ca="1" t="shared" si="31"/>
        <v>23940.95625</v>
      </c>
      <c r="BI23">
        <f ca="1" t="shared" si="32"/>
        <v>0.9543</v>
      </c>
      <c r="BJ23">
        <f ca="1">无穷技能数计算!$AJ15</f>
        <v>0</v>
      </c>
      <c r="BK23">
        <f ca="1" t="shared" si="33"/>
        <v>196404.516421582</v>
      </c>
      <c r="BM23">
        <f ca="1" t="shared" si="34"/>
        <v>109230</v>
      </c>
      <c r="BN23">
        <f ca="1" t="shared" si="35"/>
        <v>24300.1875</v>
      </c>
      <c r="BO23">
        <f ca="1" t="shared" si="36"/>
        <v>196129.449842162</v>
      </c>
      <c r="BP23">
        <f ca="1" t="shared" si="37"/>
        <v>187037.345850628</v>
      </c>
      <c r="BR23">
        <f ca="1" t="shared" si="38"/>
        <v>0.9543</v>
      </c>
      <c r="BS23">
        <f ca="1" t="shared" si="39"/>
        <v>193721.668076478</v>
      </c>
      <c r="BT23">
        <f ca="1" t="shared" si="40"/>
        <v>0.196995876306796</v>
      </c>
      <c r="BU23">
        <f ca="1" t="shared" si="41"/>
        <v>2.3238578771</v>
      </c>
      <c r="BV23">
        <f ca="1" t="shared" si="61"/>
        <v>200064.366082567</v>
      </c>
      <c r="BW23">
        <f ca="1" t="shared" si="42"/>
        <v>113027</v>
      </c>
      <c r="BX23">
        <f ca="1" t="shared" si="43"/>
        <v>24703.61875</v>
      </c>
      <c r="BY23">
        <f ca="1" t="shared" si="44"/>
        <v>0.9343</v>
      </c>
      <c r="BZ23">
        <f ca="1">无穷技能数计算!$AJ15</f>
        <v>0</v>
      </c>
      <c r="CA23">
        <f ca="1" t="shared" si="45"/>
        <v>2.3277641271</v>
      </c>
      <c r="CB23">
        <f ca="1" t="shared" si="62"/>
        <v>200341.207848016</v>
      </c>
      <c r="CC23">
        <f ca="1" t="shared" si="46"/>
        <v>114847</v>
      </c>
      <c r="CD23">
        <f ca="1" t="shared" si="47"/>
        <v>24896.99375</v>
      </c>
      <c r="CE23">
        <f ca="1" t="shared" si="48"/>
        <v>194909.201824108</v>
      </c>
      <c r="CF23">
        <f ca="1" t="shared" si="49"/>
        <v>2.2750297521</v>
      </c>
      <c r="CG23">
        <f ca="1" t="shared" si="50"/>
        <v>0.9343</v>
      </c>
      <c r="CH23">
        <f ca="1" t="shared" si="63"/>
        <v>191219.008232905</v>
      </c>
      <c r="CJ23">
        <f ca="1" t="shared" si="51"/>
        <v>24300.1875</v>
      </c>
      <c r="CK23">
        <f ca="1" t="shared" si="52"/>
        <v>195240.994123751</v>
      </c>
      <c r="CL23">
        <f ca="1" t="shared" si="64"/>
        <v>2.2976860021</v>
      </c>
      <c r="CM23">
        <f ca="1">IF(G23="恒定伤害",0,(IF(D23="轻剑",$CM$8,$CM$9)+IFERROR(INDEX(技能数据库!$T$2:$W$27,MATCH(E23,技能数据库!$T$2:$T$27,0),4),0)+COUNTIF(G23,"*造化2*")*154+COUNTIF(G23,"*造化1*")*102+COUNTIF(G23,"*碧归*")*307)/1024)</f>
        <v>0.276477521929785</v>
      </c>
      <c r="CN23">
        <f ca="1" t="shared" si="65"/>
        <v>202679.866953221</v>
      </c>
      <c r="CO23">
        <f ca="1" t="shared" si="66"/>
        <v>2.3262602208</v>
      </c>
      <c r="CP23">
        <f ca="1" t="shared" si="67"/>
        <v>205125.561253172</v>
      </c>
      <c r="CQ23">
        <f ca="1" t="shared" si="53"/>
        <v>1.8815754648</v>
      </c>
      <c r="CR23">
        <f ca="1">IF(G23="恒定伤害",0,(IF(D23="轻剑",$CR$8,$CR$9)+IFERROR(INDEX(技能数据库!$T$2:$W$27,MATCH(E23,技能数据库!$T$2:$T$27,0),4),0)+COUNTIF(G23,"*造化2*")*154+COUNTIF(G23,"*造化1*")*102+COUNTIF(G23,"*碧归*")*307)/1024)</f>
        <v>0.266711896929785</v>
      </c>
      <c r="CS23">
        <f ca="1" t="shared" si="68"/>
        <v>193199.287461594</v>
      </c>
      <c r="CV23" t="s">
        <v>2664</v>
      </c>
      <c r="CW23">
        <f ca="1">BG6</f>
        <v>13800882.0659739</v>
      </c>
      <c r="CX23" s="164">
        <f ca="1" t="shared" si="69"/>
        <v>0.0806611559073047</v>
      </c>
      <c r="CY23">
        <f ca="1" t="shared" si="70"/>
        <v>13</v>
      </c>
      <c r="CZ23">
        <v>14</v>
      </c>
      <c r="DA23" t="str">
        <f ca="1" t="shared" si="71"/>
        <v>剑纯阵(3层)</v>
      </c>
      <c r="DB23" s="164">
        <f ca="1" t="shared" si="72"/>
        <v>0.0778269793247541</v>
      </c>
    </row>
    <row r="24" spans="4:106">
      <c r="D24" t="s">
        <v>1825</v>
      </c>
      <c r="E24" t="s">
        <v>2768</v>
      </c>
      <c r="H24">
        <f ca="1">INDEX(技能数据库!$B$2:$I$100,MATCH(无穷阵眼收益计算!$E24,技能数据库!$B$2:$B$100,0),MATCH(H$9,技能数据库!$B$2:$I$2,0))</f>
        <v>210</v>
      </c>
      <c r="I24">
        <f ca="1">INDEX(技能数据库!$B$2:$I$100,MATCH(无穷阵眼收益计算!$E24,技能数据库!$B$2:$B$100,0),MATCH(I$9,技能数据库!$B$2:$I$2,0))</f>
        <v>5.7875</v>
      </c>
      <c r="J24">
        <f ca="1">INDEX(技能数据库!$B$2:$I$100,MATCH(无穷阵眼收益计算!$E24,技能数据库!$B$2:$B$100,0),MATCH(J$9,技能数据库!$B$2:$I$2,0))</f>
        <v>2</v>
      </c>
      <c r="K24">
        <f ca="1">INDEX(技能数据库!$B$2:$I$100,MATCH(无穷阵眼收益计算!$E24,技能数据库!$B$2:$B$100,0),MATCH(K$9,技能数据库!$B$2:$I$2,0))</f>
        <v>0</v>
      </c>
      <c r="L24">
        <f ca="1" t="shared" si="13"/>
        <v>91975</v>
      </c>
      <c r="M24">
        <f ca="1" t="shared" si="73"/>
        <v>19530.5</v>
      </c>
      <c r="N24">
        <f ca="1" t="shared" si="74"/>
        <v>92028</v>
      </c>
      <c r="O24">
        <f ca="1" t="shared" si="54"/>
        <v>571576.3125</v>
      </c>
      <c r="P24">
        <f ca="1">IF(G24="恒定伤害",0,(IF(D24="轻剑",$AZ$2,$AZ$3)+IFERROR(INDEX(技能数据库!$T$2:$W$27,MATCH(E24,技能数据库!$T$2:$T$27,0),4),0)+COUNTIF(G24,"*造化2*")*154+COUNTIF(G24,"*造化1*")*102+COUNTIF(G24,"*碧归*")*307)/1024)</f>
        <v>0.236438459429785</v>
      </c>
      <c r="Q24">
        <f ca="1" t="shared" si="14"/>
        <v>0.448284482196154</v>
      </c>
      <c r="R24">
        <f ca="1" t="shared" si="55"/>
        <v>0.32958230397716</v>
      </c>
      <c r="S24">
        <f ca="1" t="shared" si="75"/>
        <v>686192.669483516</v>
      </c>
      <c r="T24">
        <f t="shared" si="76"/>
        <v>0.8</v>
      </c>
      <c r="U24">
        <f ca="1" t="shared" si="15"/>
        <v>1.7800129648</v>
      </c>
      <c r="V24">
        <f ca="1" t="shared" si="77"/>
        <v>1526099.61401192</v>
      </c>
      <c r="W24">
        <f ca="1">IF(G24="恒定伤害",0,MIN(1,IF(COUNTIF(F24,"*内会*")&gt;0,内会2,IF(D24="轻剑",$Y$2,$Y$3)+COUNTIF(G24,"*莺鸣*")*0.2+COUNTIF(G24,"*叠1*")*0.1+COUNTIF(G24,"*叠2*")*0.2+COUNTIF(G24,"*叠3*")*0.3)+IFERROR(INDEX(技能数据库!$T$2:$W$27,MATCH(E24,技能数据库!$T$2:$T$27,0),2),0)+IF((IF(D24="轻剑",$AO$2,$AO$3)+INT(COUNTIF(G24,"*大莺鸣*")*IF(D24="轻剑",$AM$2,$AM$3)*听晓无双率)/无双系数)&gt;0.9,特效裤子会心/会心系数,0)))</f>
        <v>0.7043</v>
      </c>
      <c r="X24">
        <f ca="1">IF(G24="恒定伤害",0,IF(COUNTIF(F24,"*内会*")&gt;0,内会效2,IF(D24="轻剑",$AB$2,$AB$3))+IFERROR(INDEX(技能数据库!$T$2:$W$27,MATCH(E24,技能数据库!$T$2:$T$27,0),3)/1024,0))+COUNTIF(G24,"*叠1*")*0.25+COUNTIF(G24,"*叠2*")*0.5+COUNTIF(G24,"*叠3*")*0.75</f>
        <v>2.1773735021</v>
      </c>
      <c r="Y24">
        <f ca="1" t="shared" si="78"/>
        <v>1.82922415752903</v>
      </c>
      <c r="Z24">
        <f t="shared" si="16"/>
        <v>0.150390625</v>
      </c>
      <c r="AA24">
        <f ca="1" t="shared" si="79"/>
        <v>0.0205078125</v>
      </c>
      <c r="AB24">
        <f ca="1" t="shared" si="80"/>
        <v>3277264.38463357</v>
      </c>
      <c r="AC24">
        <f ca="1">无穷技能数计算!$AJ16</f>
        <v>0</v>
      </c>
      <c r="AD24" s="164">
        <f ca="1" t="shared" si="81"/>
        <v>0</v>
      </c>
      <c r="AE24" s="168"/>
      <c r="AF24" s="168">
        <f ca="1" t="shared" si="17"/>
        <v>0.7057</v>
      </c>
      <c r="AG24">
        <f ca="1">无穷技能数计算!$AJ16</f>
        <v>0</v>
      </c>
      <c r="AH24">
        <f ca="1" t="shared" si="18"/>
        <v>96007</v>
      </c>
      <c r="AJ24">
        <f ca="1" t="shared" si="19"/>
        <v>2.3765922521</v>
      </c>
      <c r="AK24">
        <f ca="1" t="shared" si="56"/>
        <v>595388.5125</v>
      </c>
      <c r="AL24">
        <f ca="1" t="shared" si="20"/>
        <v>3680259.3534862</v>
      </c>
      <c r="AM24" s="169">
        <f ca="1" t="shared" si="21"/>
        <v>0.7272</v>
      </c>
      <c r="AN24">
        <f ca="1">无穷技能数计算!$AJ16</f>
        <v>0</v>
      </c>
      <c r="AO24" s="170">
        <f ca="1" t="shared" si="22"/>
        <v>3735509.56974062</v>
      </c>
      <c r="AP24">
        <f ca="1" t="shared" si="23"/>
        <v>97084</v>
      </c>
      <c r="AQ24" s="170">
        <f ca="1" t="shared" si="57"/>
        <v>601144.65</v>
      </c>
      <c r="AR24">
        <f ca="1" t="shared" si="24"/>
        <v>3649016.55924404</v>
      </c>
      <c r="AS24">
        <f ca="1" t="shared" si="25"/>
        <v>0.7843</v>
      </c>
      <c r="AT24">
        <f ca="1">无穷技能数计算!$AJ16</f>
        <v>0</v>
      </c>
      <c r="AU24">
        <f ca="1" t="shared" si="26"/>
        <v>2.3238578771</v>
      </c>
      <c r="AV24">
        <f ca="1" t="shared" si="27"/>
        <v>1.7995442148</v>
      </c>
      <c r="AW24">
        <f ca="1" t="shared" si="58"/>
        <v>3677507.21545346</v>
      </c>
      <c r="AX24">
        <f ca="1" t="shared" si="28"/>
        <v>0.7743</v>
      </c>
      <c r="AY24">
        <f ca="1">无穷技能数计算!$AJ16</f>
        <v>0</v>
      </c>
      <c r="AZ24" s="170">
        <f ca="1" t="shared" si="59"/>
        <v>3653622.15066434</v>
      </c>
      <c r="BA24">
        <f ca="1" t="shared" si="29"/>
        <v>0.7643</v>
      </c>
      <c r="BB24">
        <f ca="1">无穷技能数计算!$AJ16</f>
        <v>0</v>
      </c>
      <c r="BC24" s="170">
        <f ca="1" t="shared" si="60"/>
        <v>3629737.08587522</v>
      </c>
      <c r="BE24">
        <f ca="1" t="shared" si="30"/>
        <v>91977</v>
      </c>
      <c r="BF24">
        <f ca="1" t="shared" si="31"/>
        <v>571587.8875</v>
      </c>
      <c r="BI24">
        <f ca="1" t="shared" si="32"/>
        <v>0.7543</v>
      </c>
      <c r="BJ24">
        <f ca="1">无穷技能数计算!$AJ16</f>
        <v>0</v>
      </c>
      <c r="BK24">
        <f ca="1" t="shared" si="33"/>
        <v>3610452.58208172</v>
      </c>
      <c r="BM24">
        <f ca="1" t="shared" si="34"/>
        <v>95358</v>
      </c>
      <c r="BN24">
        <f ca="1" t="shared" si="35"/>
        <v>591155.425</v>
      </c>
      <c r="BO24">
        <f ca="1" t="shared" si="36"/>
        <v>3660635.27088144</v>
      </c>
      <c r="BP24">
        <f ca="1" t="shared" si="37"/>
        <v>3490936.75500475</v>
      </c>
      <c r="BR24">
        <f ca="1" t="shared" si="38"/>
        <v>0.7543</v>
      </c>
      <c r="BS24">
        <f ca="1" t="shared" si="39"/>
        <v>3628598.40941343</v>
      </c>
      <c r="BT24">
        <f ca="1" t="shared" si="40"/>
        <v>0.318170800459405</v>
      </c>
      <c r="BU24">
        <f ca="1" t="shared" si="41"/>
        <v>2.3238578771</v>
      </c>
      <c r="BV24">
        <f ca="1" t="shared" si="61"/>
        <v>3641644.24659473</v>
      </c>
      <c r="BW24">
        <f ca="1" t="shared" si="42"/>
        <v>99155</v>
      </c>
      <c r="BX24">
        <f ca="1" t="shared" si="43"/>
        <v>613130.5625</v>
      </c>
      <c r="BY24">
        <f ca="1" t="shared" si="44"/>
        <v>0.7343</v>
      </c>
      <c r="BZ24">
        <f ca="1">无穷技能数计算!$AJ16</f>
        <v>0</v>
      </c>
      <c r="CA24">
        <f ca="1" t="shared" si="45"/>
        <v>2.3277641271</v>
      </c>
      <c r="CB24">
        <f ca="1" t="shared" si="62"/>
        <v>3795643.18002247</v>
      </c>
      <c r="CC24">
        <f ca="1" t="shared" si="46"/>
        <v>100975</v>
      </c>
      <c r="CD24">
        <f ca="1" t="shared" si="47"/>
        <v>623663.8125</v>
      </c>
      <c r="CE24">
        <f ca="1" t="shared" si="48"/>
        <v>3754022.50802633</v>
      </c>
      <c r="CF24">
        <f ca="1" t="shared" si="49"/>
        <v>2.2750297521</v>
      </c>
      <c r="CG24">
        <f ca="1" t="shared" si="50"/>
        <v>0.7343</v>
      </c>
      <c r="CH24">
        <f ca="1" t="shared" si="63"/>
        <v>3493393.15990813</v>
      </c>
      <c r="CJ24">
        <f ca="1" t="shared" si="51"/>
        <v>591155.425</v>
      </c>
      <c r="CK24">
        <f ca="1" t="shared" si="52"/>
        <v>3644052.79261493</v>
      </c>
      <c r="CL24">
        <f ca="1" t="shared" si="64"/>
        <v>2.2976860021</v>
      </c>
      <c r="CM24">
        <f ca="1">IF(G24="恒定伤害",0,(IF(D24="轻剑",$CM$8,$CM$9)+IFERROR(INDEX(技能数据库!$T$2:$W$27,MATCH(E24,技能数据库!$T$2:$T$27,0),4),0)+COUNTIF(G24,"*造化2*")*154+COUNTIF(G24,"*造化1*")*102+COUNTIF(G24,"*碧归*")*307)/1024)</f>
        <v>0.296985334429785</v>
      </c>
      <c r="CN24">
        <f ca="1" t="shared" si="65"/>
        <v>3695945.73586522</v>
      </c>
      <c r="CO24">
        <f ca="1" t="shared" si="66"/>
        <v>2.3262602208</v>
      </c>
      <c r="CP24">
        <f ca="1" t="shared" si="67"/>
        <v>3735655.3358673</v>
      </c>
      <c r="CQ24">
        <f ca="1" t="shared" si="53"/>
        <v>1.8815754648</v>
      </c>
      <c r="CR24">
        <f ca="1">IF(G24="恒定伤害",0,(IF(D24="轻剑",$CR$8,$CR$9)+IFERROR(INDEX(技能数据库!$T$2:$W$27,MATCH(E24,技能数据库!$T$2:$T$27,0),4),0)+COUNTIF(G24,"*造化2*")*154+COUNTIF(G24,"*造化1*")*102+COUNTIF(G24,"*碧归*")*307)/1024)</f>
        <v>0.287219709429785</v>
      </c>
      <c r="CS24">
        <f ca="1" t="shared" si="68"/>
        <v>3536509.51030511</v>
      </c>
      <c r="CV24" t="s">
        <v>3170</v>
      </c>
      <c r="CW24">
        <f ca="1">CH6</f>
        <v>13416198.3384475</v>
      </c>
      <c r="CX24" s="164">
        <f ca="1" t="shared" si="69"/>
        <v>0.0505389680891526</v>
      </c>
      <c r="CY24">
        <f ca="1" t="shared" si="70"/>
        <v>17</v>
      </c>
      <c r="CZ24">
        <v>15</v>
      </c>
      <c r="DA24" t="str">
        <f ca="1" t="shared" si="71"/>
        <v>无界阵</v>
      </c>
      <c r="DB24" s="164">
        <f ca="1" t="shared" si="72"/>
        <v>0.0760842803335151</v>
      </c>
    </row>
    <row r="25" spans="4:106">
      <c r="D25" t="s">
        <v>1825</v>
      </c>
      <c r="E25" t="s">
        <v>2768</v>
      </c>
      <c r="G25" t="s">
        <v>2750</v>
      </c>
      <c r="H25">
        <f ca="1">INDEX(技能数据库!$B$2:$I$100,MATCH(无穷阵眼收益计算!$E25,技能数据库!$B$2:$B$100,0),MATCH(H$9,技能数据库!$B$2:$I$2,0))</f>
        <v>210</v>
      </c>
      <c r="I25">
        <f ca="1">INDEX(技能数据库!$B$2:$I$100,MATCH(无穷阵眼收益计算!$E25,技能数据库!$B$2:$B$100,0),MATCH(I$9,技能数据库!$B$2:$I$2,0))</f>
        <v>5.7875</v>
      </c>
      <c r="J25">
        <f ca="1">INDEX(技能数据库!$B$2:$I$100,MATCH(无穷阵眼收益计算!$E25,技能数据库!$B$2:$B$100,0),MATCH(J$9,技能数据库!$B$2:$I$2,0))</f>
        <v>2</v>
      </c>
      <c r="K25">
        <f ca="1">INDEX(技能数据库!$B$2:$I$100,MATCH(无穷阵眼收益计算!$E25,技能数据库!$B$2:$B$100,0),MATCH(K$9,技能数据库!$B$2:$I$2,0))</f>
        <v>0</v>
      </c>
      <c r="L25">
        <f ca="1" t="shared" si="13"/>
        <v>105847</v>
      </c>
      <c r="M25">
        <f ca="1" t="shared" si="73"/>
        <v>19530.5</v>
      </c>
      <c r="N25">
        <f ca="1" t="shared" si="74"/>
        <v>92028</v>
      </c>
      <c r="O25">
        <f ca="1" t="shared" si="54"/>
        <v>651860.5125</v>
      </c>
      <c r="P25">
        <f ca="1">IF(G25="恒定伤害",0,(IF(D25="轻剑",$AZ$2,$AZ$3)+IFERROR(INDEX(技能数据库!$T$2:$W$27,MATCH(E25,技能数据库!$T$2:$T$27,0),4),0)+COUNTIF(G25,"*造化2*")*154+COUNTIF(G25,"*造化1*")*102+COUNTIF(G25,"*碧归*")*307)/1024)</f>
        <v>0.236438459429785</v>
      </c>
      <c r="Q25">
        <f ca="1" t="shared" si="14"/>
        <v>0.448284482196154</v>
      </c>
      <c r="R25">
        <f ca="1" t="shared" si="55"/>
        <v>0.21277697966198</v>
      </c>
      <c r="S25">
        <f ca="1" t="shared" si="75"/>
        <v>918922.407955679</v>
      </c>
      <c r="T25">
        <f t="shared" si="76"/>
        <v>0.8</v>
      </c>
      <c r="U25">
        <f ca="1" t="shared" si="15"/>
        <v>1.7800129648</v>
      </c>
      <c r="V25">
        <f ca="1" t="shared" si="77"/>
        <v>2043692.96620962</v>
      </c>
      <c r="W25">
        <f ca="1">IF(G25="恒定伤害",0,MIN(1,IF(COUNTIF(F25,"*内会*")&gt;0,内会2,IF(D25="轻剑",$Y$2,$Y$3)+COUNTIF(G25,"*莺鸣*")*0.2+COUNTIF(G25,"*叠1*")*0.1+COUNTIF(G25,"*叠2*")*0.2+COUNTIF(G25,"*叠3*")*0.3)+IFERROR(INDEX(技能数据库!$T$2:$W$27,MATCH(E25,技能数据库!$T$2:$T$27,0),2),0)+IF((IF(D25="轻剑",$AO$2,$AO$3)+INT(COUNTIF(G25,"*大莺鸣*")*IF(D25="轻剑",$AM$2,$AM$3)*听晓无双率)/无双系数)&gt;0.9,特效裤子会心/会心系数,0)))</f>
        <v>0.7043</v>
      </c>
      <c r="X25">
        <f ca="1">IF(G25="恒定伤害",0,IF(COUNTIF(F25,"*内会*")&gt;0,内会效2,IF(D25="轻剑",$AB$2,$AB$3))+IFERROR(INDEX(技能数据库!$T$2:$W$27,MATCH(E25,技能数据库!$T$2:$T$27,0),3)/1024,0))+COUNTIF(G25,"*叠1*")*0.25+COUNTIF(G25,"*叠2*")*0.5+COUNTIF(G25,"*叠3*")*0.75</f>
        <v>2.1773735021</v>
      </c>
      <c r="Y25">
        <f ca="1" t="shared" si="78"/>
        <v>1.82922415752903</v>
      </c>
      <c r="Z25">
        <f t="shared" si="16"/>
        <v>0.150390625</v>
      </c>
      <c r="AA25">
        <f ca="1" t="shared" si="79"/>
        <v>0.0205078125</v>
      </c>
      <c r="AB25">
        <f ca="1" t="shared" si="80"/>
        <v>4388784.39506153</v>
      </c>
      <c r="AC25">
        <f ca="1">无穷技能数计算!$AJ17</f>
        <v>12</v>
      </c>
      <c r="AD25" s="164">
        <f ca="1" t="shared" si="81"/>
        <v>0.0206401431345636</v>
      </c>
      <c r="AE25" s="168"/>
      <c r="AF25" s="168">
        <f ca="1" t="shared" si="17"/>
        <v>0.7057</v>
      </c>
      <c r="AG25">
        <f ca="1">无穷技能数计算!$AJ17</f>
        <v>12</v>
      </c>
      <c r="AH25">
        <f ca="1" t="shared" si="18"/>
        <v>109879</v>
      </c>
      <c r="AJ25">
        <f ca="1" t="shared" si="19"/>
        <v>2.3765922521</v>
      </c>
      <c r="AK25">
        <f ca="1" t="shared" si="56"/>
        <v>675672.7125</v>
      </c>
      <c r="AL25">
        <f ca="1" t="shared" si="20"/>
        <v>4904183.03147713</v>
      </c>
      <c r="AM25" s="169">
        <f ca="1" t="shared" si="21"/>
        <v>0.7272</v>
      </c>
      <c r="AN25">
        <f ca="1">无穷技能数计算!$AJ17</f>
        <v>12</v>
      </c>
      <c r="AO25" s="170">
        <f ca="1" t="shared" si="22"/>
        <v>4977807.50926935</v>
      </c>
      <c r="AP25">
        <f ca="1" t="shared" si="23"/>
        <v>110956</v>
      </c>
      <c r="AQ25" s="170">
        <f ca="1" t="shared" si="57"/>
        <v>681428.85</v>
      </c>
      <c r="AR25">
        <f ca="1" t="shared" si="24"/>
        <v>4857017.63848866</v>
      </c>
      <c r="AS25">
        <f ca="1" t="shared" si="25"/>
        <v>0.7843</v>
      </c>
      <c r="AT25">
        <f ca="1">无穷技能数计算!$AJ17</f>
        <v>12</v>
      </c>
      <c r="AU25">
        <f ca="1" t="shared" si="26"/>
        <v>2.3238578771</v>
      </c>
      <c r="AV25">
        <f ca="1" t="shared" si="27"/>
        <v>1.7995442148</v>
      </c>
      <c r="AW25">
        <f ca="1" t="shared" si="58"/>
        <v>4924773.95341813</v>
      </c>
      <c r="AX25">
        <f ca="1" t="shared" si="28"/>
        <v>0.7743</v>
      </c>
      <c r="AY25">
        <f ca="1">无穷技能数计算!$AJ17</f>
        <v>12</v>
      </c>
      <c r="AZ25" s="170">
        <f ca="1" t="shared" si="59"/>
        <v>4892788.0080324</v>
      </c>
      <c r="BA25">
        <f ca="1" t="shared" si="29"/>
        <v>0.7643</v>
      </c>
      <c r="BB25">
        <f ca="1">无穷技能数计算!$AJ17</f>
        <v>12</v>
      </c>
      <c r="BC25" s="170">
        <f ca="1" t="shared" si="60"/>
        <v>4860802.06264666</v>
      </c>
      <c r="BE25">
        <f ca="1" t="shared" si="30"/>
        <v>105849</v>
      </c>
      <c r="BF25">
        <f ca="1" t="shared" si="31"/>
        <v>651872.0875</v>
      </c>
      <c r="BI25">
        <f ca="1" t="shared" si="32"/>
        <v>0.7543</v>
      </c>
      <c r="BJ25">
        <f ca="1">无穷技能数计算!$AJ17</f>
        <v>12</v>
      </c>
      <c r="BK25">
        <f ca="1" t="shared" si="33"/>
        <v>4834964.94986254</v>
      </c>
      <c r="BM25">
        <f ca="1" t="shared" si="34"/>
        <v>109230</v>
      </c>
      <c r="BN25">
        <f ca="1" t="shared" si="35"/>
        <v>671439.625</v>
      </c>
      <c r="BO25">
        <f ca="1" t="shared" si="36"/>
        <v>4882183.1137278</v>
      </c>
      <c r="BP25">
        <f ca="1" t="shared" si="37"/>
        <v>4655856.4880658</v>
      </c>
      <c r="BR25">
        <f ca="1" t="shared" si="38"/>
        <v>0.7543</v>
      </c>
      <c r="BS25">
        <f ca="1" t="shared" si="39"/>
        <v>4839455.60538516</v>
      </c>
      <c r="BT25">
        <f ca="1" t="shared" si="40"/>
        <v>0.196995876306796</v>
      </c>
      <c r="BU25">
        <f ca="1" t="shared" si="41"/>
        <v>2.3238578771</v>
      </c>
      <c r="BV25">
        <f ca="1" t="shared" si="61"/>
        <v>4891253.23425422</v>
      </c>
      <c r="BW25">
        <f ca="1" t="shared" si="42"/>
        <v>113027</v>
      </c>
      <c r="BX25">
        <f ca="1" t="shared" si="43"/>
        <v>693414.7625</v>
      </c>
      <c r="BY25">
        <f ca="1" t="shared" si="44"/>
        <v>0.7343</v>
      </c>
      <c r="BZ25">
        <f ca="1">无穷技能数计算!$AJ17</f>
        <v>12</v>
      </c>
      <c r="CA25">
        <f ca="1" t="shared" si="45"/>
        <v>2.3277641271</v>
      </c>
      <c r="CB25">
        <f ca="1" t="shared" si="62"/>
        <v>5040548.68067476</v>
      </c>
      <c r="CC25">
        <f ca="1" t="shared" si="46"/>
        <v>114847</v>
      </c>
      <c r="CD25">
        <f ca="1" t="shared" si="47"/>
        <v>703948.0125</v>
      </c>
      <c r="CE25">
        <f ca="1" t="shared" si="48"/>
        <v>4975528.63803582</v>
      </c>
      <c r="CF25">
        <f ca="1" t="shared" si="49"/>
        <v>2.2750297521</v>
      </c>
      <c r="CG25">
        <f ca="1" t="shared" si="50"/>
        <v>0.7343</v>
      </c>
      <c r="CH25">
        <f ca="1" t="shared" si="63"/>
        <v>4678215.60503539</v>
      </c>
      <c r="CJ25">
        <f ca="1" t="shared" si="51"/>
        <v>671439.625</v>
      </c>
      <c r="CK25">
        <f ca="1" t="shared" si="52"/>
        <v>4860067.09030953</v>
      </c>
      <c r="CL25">
        <f ca="1" t="shared" si="64"/>
        <v>2.2976860021</v>
      </c>
      <c r="CM25">
        <f ca="1">IF(G25="恒定伤害",0,(IF(D25="轻剑",$CM$8,$CM$9)+IFERROR(INDEX(技能数据库!$T$2:$W$27,MATCH(E25,技能数据库!$T$2:$T$27,0),4),0)+COUNTIF(G25,"*造化2*")*154+COUNTIF(G25,"*造化1*")*102+COUNTIF(G25,"*碧归*")*307)/1024)</f>
        <v>0.296985334429785</v>
      </c>
      <c r="CN25">
        <f ca="1" t="shared" si="65"/>
        <v>4949466.09941361</v>
      </c>
      <c r="CO25">
        <f ca="1" t="shared" si="66"/>
        <v>2.3262602208</v>
      </c>
      <c r="CP25">
        <f ca="1" t="shared" si="67"/>
        <v>5002643.64396584</v>
      </c>
      <c r="CQ25">
        <f ca="1" t="shared" si="53"/>
        <v>1.8815754648</v>
      </c>
      <c r="CR25">
        <f ca="1">IF(G25="恒定伤害",0,(IF(D25="轻剑",$CR$8,$CR$9)+IFERROR(INDEX(技能数据库!$T$2:$W$27,MATCH(E25,技能数据库!$T$2:$T$27,0),4),0)+COUNTIF(G25,"*造化2*")*154+COUNTIF(G25,"*造化1*")*102+COUNTIF(G25,"*碧归*")*307)/1024)</f>
        <v>0.287219709429785</v>
      </c>
      <c r="CS25">
        <f ca="1" t="shared" si="68"/>
        <v>4735955.33658758</v>
      </c>
      <c r="CV25" t="s">
        <v>2684</v>
      </c>
      <c r="CW25">
        <f ca="1">CK6</f>
        <v>14086922.2813038</v>
      </c>
      <c r="CX25" s="164">
        <f ca="1" t="shared" si="69"/>
        <v>0.10305918439974</v>
      </c>
      <c r="CY25">
        <f ca="1" t="shared" si="70"/>
        <v>5</v>
      </c>
      <c r="CZ25">
        <v>16</v>
      </c>
      <c r="DA25" t="str">
        <f ca="1" t="shared" si="71"/>
        <v>霸刀阵</v>
      </c>
      <c r="DB25" s="164">
        <f ca="1" t="shared" si="72"/>
        <v>0.0730197074020789</v>
      </c>
    </row>
    <row r="26" spans="4:106">
      <c r="D26" t="s">
        <v>1825</v>
      </c>
      <c r="E26" t="s">
        <v>2768</v>
      </c>
      <c r="G26" t="s">
        <v>2948</v>
      </c>
      <c r="H26">
        <f ca="1">INDEX(技能数据库!$B$2:$I$100,MATCH(无穷阵眼收益计算!$E26,技能数据库!$B$2:$B$100,0),MATCH(H$9,技能数据库!$B$2:$I$2,0))</f>
        <v>210</v>
      </c>
      <c r="I26">
        <f ca="1">INDEX(技能数据库!$B$2:$I$100,MATCH(无穷阵眼收益计算!$E26,技能数据库!$B$2:$B$100,0),MATCH(I$9,技能数据库!$B$2:$I$2,0))</f>
        <v>5.7875</v>
      </c>
      <c r="J26">
        <f ca="1">INDEX(技能数据库!$B$2:$I$100,MATCH(无穷阵眼收益计算!$E26,技能数据库!$B$2:$B$100,0),MATCH(J$9,技能数据库!$B$2:$I$2,0))</f>
        <v>2</v>
      </c>
      <c r="K26">
        <f ca="1">INDEX(技能数据库!$B$2:$I$100,MATCH(无穷阵眼收益计算!$E26,技能数据库!$B$2:$B$100,0),MATCH(K$9,技能数据库!$B$2:$I$2,0))</f>
        <v>0</v>
      </c>
      <c r="L26">
        <f ca="1" t="shared" si="13"/>
        <v>91975</v>
      </c>
      <c r="M26">
        <f ca="1" t="shared" si="73"/>
        <v>19530.5</v>
      </c>
      <c r="N26">
        <f ca="1" t="shared" si="74"/>
        <v>92028</v>
      </c>
      <c r="O26">
        <f ca="1" t="shared" si="54"/>
        <v>571576.3125</v>
      </c>
      <c r="P26">
        <f ca="1">IF(G26="恒定伤害",0,(IF(D26="轻剑",$AZ$2,$AZ$3)+IFERROR(INDEX(技能数据库!$T$2:$W$27,MATCH(E26,技能数据库!$T$2:$T$27,0),4),0)+COUNTIF(G26,"*造化2*")*154+COUNTIF(G26,"*造化1*")*102+COUNTIF(G26,"*碧归*")*307)/1024)</f>
        <v>0.236438459429785</v>
      </c>
      <c r="Q26">
        <f ca="1" t="shared" si="14"/>
        <v>0.448284482196154</v>
      </c>
      <c r="R26">
        <f ca="1" t="shared" si="55"/>
        <v>0.32958230397716</v>
      </c>
      <c r="S26">
        <f ca="1" t="shared" si="75"/>
        <v>686192.669483516</v>
      </c>
      <c r="T26">
        <f t="shared" si="76"/>
        <v>0.8</v>
      </c>
      <c r="U26">
        <f ca="1" t="shared" si="15"/>
        <v>2.67001635480339</v>
      </c>
      <c r="V26">
        <f ca="1" t="shared" si="77"/>
        <v>2014670.65564056</v>
      </c>
      <c r="W26">
        <f ca="1">IF(G26="恒定伤害",0,MIN(1,IF(COUNTIF(F26,"*内会*")&gt;0,内会2,IF(D26="轻剑",$Y$2,$Y$3)+COUNTIF(G26,"*莺鸣*")*0.2+COUNTIF(G26,"*叠1*")*0.1+COUNTIF(G26,"*叠2*")*0.2+COUNTIF(G26,"*叠3*")*0.3)+IFERROR(INDEX(技能数据库!$T$2:$W$27,MATCH(E26,技能数据库!$T$2:$T$27,0),2),0)+IF((IF(D26="轻剑",$AO$2,$AO$3)+INT(COUNTIF(G26,"*大莺鸣*")*IF(D26="轻剑",$AM$2,$AM$3)*听晓无双率)/无双系数)&gt;0.9,特效裤子会心/会心系数,0)))</f>
        <v>0.9043</v>
      </c>
      <c r="X26">
        <f ca="1">IF(G26="恒定伤害",0,IF(COUNTIF(F26,"*内会*")&gt;0,内会效2,IF(D26="轻剑",$AB$2,$AB$3))+IFERROR(INDEX(技能数据库!$T$2:$W$27,MATCH(E26,技能数据库!$T$2:$T$27,0),3)/1024,0))+COUNTIF(G26,"*叠1*")*0.25+COUNTIF(G26,"*叠2*")*0.5+COUNTIF(G26,"*叠3*")*0.75</f>
        <v>2.1773735021</v>
      </c>
      <c r="Y26">
        <f ca="1" t="shared" si="78"/>
        <v>2.06469885794903</v>
      </c>
      <c r="Z26">
        <f t="shared" si="16"/>
        <v>0.150390625</v>
      </c>
      <c r="AA26">
        <f ca="1" t="shared" si="79"/>
        <v>0.0205078125</v>
      </c>
      <c r="AB26">
        <f ca="1" t="shared" si="80"/>
        <v>4883401.65457972</v>
      </c>
      <c r="AC26">
        <f ca="1">无穷技能数计算!$AJ18</f>
        <v>0</v>
      </c>
      <c r="AD26" s="164">
        <f ca="1" t="shared" si="81"/>
        <v>0</v>
      </c>
      <c r="AE26" s="168"/>
      <c r="AF26" s="168">
        <f ca="1" t="shared" si="17"/>
        <v>0.9057</v>
      </c>
      <c r="AG26">
        <f ca="1">无穷技能数计算!$AJ18</f>
        <v>0</v>
      </c>
      <c r="AH26">
        <f ca="1" t="shared" si="18"/>
        <v>96007</v>
      </c>
      <c r="AJ26">
        <f ca="1" t="shared" si="19"/>
        <v>2.3765922521</v>
      </c>
      <c r="AK26">
        <f ca="1" t="shared" si="56"/>
        <v>595388.5125</v>
      </c>
      <c r="AL26">
        <f ca="1" t="shared" si="20"/>
        <v>5536965.9432908</v>
      </c>
      <c r="AM26" s="169">
        <f ca="1" t="shared" si="21"/>
        <v>0.9272</v>
      </c>
      <c r="AN26">
        <f ca="1">无穷技能数计算!$AJ18</f>
        <v>0</v>
      </c>
      <c r="AO26" s="170">
        <f ca="1" t="shared" si="22"/>
        <v>5609904.16330185</v>
      </c>
      <c r="AP26">
        <f ca="1" t="shared" si="23"/>
        <v>97084</v>
      </c>
      <c r="AQ26" s="170">
        <f ca="1" t="shared" si="57"/>
        <v>601144.65</v>
      </c>
      <c r="AR26">
        <f ca="1" t="shared" si="24"/>
        <v>5437343.8977196</v>
      </c>
      <c r="AS26">
        <f ca="1" t="shared" si="25"/>
        <v>0.9843</v>
      </c>
      <c r="AT26">
        <f ca="1">无穷技能数计算!$AJ18</f>
        <v>0</v>
      </c>
      <c r="AU26">
        <f ca="1" t="shared" si="26"/>
        <v>2.3238578771</v>
      </c>
      <c r="AV26">
        <f ca="1" t="shared" si="27"/>
        <v>2.68954760480339</v>
      </c>
      <c r="AW26">
        <f ca="1" t="shared" si="58"/>
        <v>5476191.27750905</v>
      </c>
      <c r="AX26">
        <f ca="1" t="shared" si="28"/>
        <v>0.9743</v>
      </c>
      <c r="AY26">
        <f ca="1">无穷技能数计算!$AJ18</f>
        <v>0</v>
      </c>
      <c r="AZ26" s="170">
        <f ca="1" t="shared" si="59"/>
        <v>5444712.9093099</v>
      </c>
      <c r="BA26">
        <f ca="1" t="shared" si="29"/>
        <v>0.9643</v>
      </c>
      <c r="BB26">
        <f ca="1">无穷技能数计算!$AJ18</f>
        <v>0</v>
      </c>
      <c r="BC26" s="170">
        <f ca="1" t="shared" si="60"/>
        <v>5413234.54111076</v>
      </c>
      <c r="BE26">
        <f ca="1" t="shared" si="30"/>
        <v>91977</v>
      </c>
      <c r="BF26">
        <f ca="1" t="shared" si="31"/>
        <v>571587.8875</v>
      </c>
      <c r="BI26">
        <f ca="1" t="shared" si="32"/>
        <v>0.9543</v>
      </c>
      <c r="BJ26">
        <f ca="1">无穷技能数计算!$AJ18</f>
        <v>0</v>
      </c>
      <c r="BK26">
        <f ca="1" t="shared" si="33"/>
        <v>5351680.35600198</v>
      </c>
      <c r="BM26">
        <f ca="1" t="shared" si="34"/>
        <v>95358</v>
      </c>
      <c r="BN26">
        <f ca="1" t="shared" si="35"/>
        <v>591155.425</v>
      </c>
      <c r="BO26">
        <f ca="1" t="shared" si="36"/>
        <v>5454656.76265055</v>
      </c>
      <c r="BP26">
        <f ca="1" t="shared" si="37"/>
        <v>5201791.5934266</v>
      </c>
      <c r="BR26">
        <f ca="1" t="shared" si="38"/>
        <v>0.9543</v>
      </c>
      <c r="BS26">
        <f ca="1" t="shared" si="39"/>
        <v>5378577.44590048</v>
      </c>
      <c r="BT26">
        <f ca="1" t="shared" si="40"/>
        <v>0.318170800459405</v>
      </c>
      <c r="BU26">
        <f ca="1" t="shared" si="41"/>
        <v>2.3238578771</v>
      </c>
      <c r="BV26">
        <f ca="1" t="shared" si="61"/>
        <v>5444387.47084434</v>
      </c>
      <c r="BW26">
        <f ca="1" t="shared" si="42"/>
        <v>99155</v>
      </c>
      <c r="BX26">
        <f ca="1" t="shared" si="43"/>
        <v>613130.5625</v>
      </c>
      <c r="BY26">
        <f ca="1" t="shared" si="44"/>
        <v>0.9343</v>
      </c>
      <c r="BZ26">
        <f ca="1">无穷技能数计算!$AJ18</f>
        <v>0</v>
      </c>
      <c r="CA26">
        <f ca="1" t="shared" si="45"/>
        <v>2.3277641271</v>
      </c>
      <c r="CB26">
        <f ca="1" t="shared" si="62"/>
        <v>5684538.85024243</v>
      </c>
      <c r="CC26">
        <f ca="1" t="shared" si="46"/>
        <v>100975</v>
      </c>
      <c r="CD26">
        <f ca="1" t="shared" si="47"/>
        <v>623663.8125</v>
      </c>
      <c r="CE26">
        <f ca="1" t="shared" si="48"/>
        <v>5581726.34594529</v>
      </c>
      <c r="CF26">
        <f ca="1" t="shared" si="49"/>
        <v>2.2750297521</v>
      </c>
      <c r="CG26">
        <f ca="1" t="shared" si="50"/>
        <v>0.9343</v>
      </c>
      <c r="CH26">
        <f ca="1" t="shared" si="63"/>
        <v>5210325.03975542</v>
      </c>
      <c r="CJ26">
        <f ca="1" t="shared" si="51"/>
        <v>591155.425</v>
      </c>
      <c r="CK26">
        <f ca="1" t="shared" si="52"/>
        <v>5429947.46480341</v>
      </c>
      <c r="CL26">
        <f ca="1" t="shared" si="64"/>
        <v>2.2976860021</v>
      </c>
      <c r="CM26">
        <f ca="1">IF(G26="恒定伤害",0,(IF(D26="轻剑",$CM$8,$CM$9)+IFERROR(INDEX(技能数据库!$T$2:$W$27,MATCH(E26,技能数据库!$T$2:$T$27,0),4),0)+COUNTIF(G26,"*造化2*")*154+COUNTIF(G26,"*造化1*")*102+COUNTIF(G26,"*碧归*")*307)/1024)</f>
        <v>0.296985334429785</v>
      </c>
      <c r="CN26">
        <f ca="1" t="shared" si="65"/>
        <v>5518265.08934096</v>
      </c>
      <c r="CO26">
        <f ca="1" t="shared" si="66"/>
        <v>2.3262602208</v>
      </c>
      <c r="CP26">
        <f ca="1" t="shared" si="67"/>
        <v>5584852.80561241</v>
      </c>
      <c r="CQ26">
        <f ca="1" t="shared" si="53"/>
        <v>2.77157885480339</v>
      </c>
      <c r="CR26">
        <f ca="1">IF(G26="恒定伤害",0,(IF(D26="轻剑",$CR$8,$CR$9)+IFERROR(INDEX(技能数据库!$T$2:$W$27,MATCH(E26,技能数据库!$T$2:$T$27,0),4),0)+COUNTIF(G26,"*造化2*")*154+COUNTIF(G26,"*造化1*")*102+COUNTIF(G26,"*碧归*")*307)/1024)</f>
        <v>0.287219709429785</v>
      </c>
      <c r="CS26">
        <f ca="1" t="shared" si="68"/>
        <v>5224657.36085133</v>
      </c>
      <c r="CV26" t="s">
        <v>2659</v>
      </c>
      <c r="CW26">
        <f ca="1">AR6</f>
        <v>13922675.1826777</v>
      </c>
      <c r="CX26" s="164">
        <f ca="1" t="shared" si="69"/>
        <v>0.090198016641966</v>
      </c>
      <c r="CY26">
        <f ca="1" t="shared" si="70"/>
        <v>9</v>
      </c>
      <c r="CZ26">
        <v>17</v>
      </c>
      <c r="DA26" t="str">
        <f ca="1" t="shared" si="71"/>
        <v>苍云阵(5层)</v>
      </c>
      <c r="DB26" s="164">
        <f ca="1" t="shared" si="72"/>
        <v>0.0505389680891526</v>
      </c>
    </row>
    <row r="27" spans="4:106">
      <c r="D27" t="s">
        <v>1825</v>
      </c>
      <c r="E27" t="s">
        <v>2768</v>
      </c>
      <c r="G27" t="s">
        <v>3044</v>
      </c>
      <c r="H27">
        <f ca="1">INDEX(技能数据库!$B$2:$I$100,MATCH(无穷阵眼收益计算!$E27,技能数据库!$B$2:$B$100,0),MATCH(H$9,技能数据库!$B$2:$I$2,0))</f>
        <v>210</v>
      </c>
      <c r="I27">
        <f ca="1">INDEX(技能数据库!$B$2:$I$100,MATCH(无穷阵眼收益计算!$E27,技能数据库!$B$2:$B$100,0),MATCH(I$9,技能数据库!$B$2:$I$2,0))</f>
        <v>5.7875</v>
      </c>
      <c r="J27">
        <f ca="1">INDEX(技能数据库!$B$2:$I$100,MATCH(无穷阵眼收益计算!$E27,技能数据库!$B$2:$B$100,0),MATCH(J$9,技能数据库!$B$2:$I$2,0))</f>
        <v>2</v>
      </c>
      <c r="K27">
        <f ca="1">INDEX(技能数据库!$B$2:$I$100,MATCH(无穷阵眼收益计算!$E27,技能数据库!$B$2:$B$100,0),MATCH(K$9,技能数据库!$B$2:$I$2,0))</f>
        <v>0</v>
      </c>
      <c r="L27">
        <f ca="1" t="shared" si="13"/>
        <v>105847</v>
      </c>
      <c r="M27">
        <f ca="1" t="shared" si="73"/>
        <v>19530.5</v>
      </c>
      <c r="N27">
        <f ca="1" t="shared" si="74"/>
        <v>92028</v>
      </c>
      <c r="O27">
        <f ca="1" t="shared" si="54"/>
        <v>651860.5125</v>
      </c>
      <c r="P27">
        <f ca="1">IF(G27="恒定伤害",0,(IF(D27="轻剑",$AZ$2,$AZ$3)+IFERROR(INDEX(技能数据库!$T$2:$W$27,MATCH(E27,技能数据库!$T$2:$T$27,0),4),0)+COUNTIF(G27,"*造化2*")*154+COUNTIF(G27,"*造化1*")*102+COUNTIF(G27,"*碧归*")*307)/1024)</f>
        <v>0.236438459429785</v>
      </c>
      <c r="Q27">
        <f ca="1" t="shared" si="14"/>
        <v>0.448284482196154</v>
      </c>
      <c r="R27">
        <f ca="1" t="shared" si="55"/>
        <v>0.21277697966198</v>
      </c>
      <c r="S27">
        <f ca="1" t="shared" si="75"/>
        <v>918922.407955679</v>
      </c>
      <c r="T27">
        <f t="shared" si="76"/>
        <v>0.8</v>
      </c>
      <c r="U27">
        <f ca="1" t="shared" si="15"/>
        <v>2.67001635480339</v>
      </c>
      <c r="V27">
        <f ca="1" t="shared" si="77"/>
        <v>2697968.21279412</v>
      </c>
      <c r="W27">
        <f ca="1">IF(G27="恒定伤害",0,MIN(1,IF(COUNTIF(F27,"*内会*")&gt;0,内会2,IF(D27="轻剑",$Y$2,$Y$3)+COUNTIF(G27,"*莺鸣*")*0.2+COUNTIF(G27,"*叠1*")*0.1+COUNTIF(G27,"*叠2*")*0.2+COUNTIF(G27,"*叠3*")*0.3)+IFERROR(INDEX(技能数据库!$T$2:$W$27,MATCH(E27,技能数据库!$T$2:$T$27,0),2),0)+IF((IF(D27="轻剑",$AO$2,$AO$3)+INT(COUNTIF(G27,"*大莺鸣*")*IF(D27="轻剑",$AM$2,$AM$3)*听晓无双率)/无双系数)&gt;0.9,特效裤子会心/会心系数,0)))</f>
        <v>0.9043</v>
      </c>
      <c r="X27">
        <f ca="1">IF(G27="恒定伤害",0,IF(COUNTIF(F27,"*内会*")&gt;0,内会效2,IF(D27="轻剑",$AB$2,$AB$3))+IFERROR(INDEX(技能数据库!$T$2:$W$27,MATCH(E27,技能数据库!$T$2:$T$27,0),3)/1024,0))+COUNTIF(G27,"*叠1*")*0.25+COUNTIF(G27,"*叠2*")*0.5+COUNTIF(G27,"*叠3*")*0.75</f>
        <v>2.1773735021</v>
      </c>
      <c r="Y27">
        <f ca="1" t="shared" si="78"/>
        <v>2.06469885794903</v>
      </c>
      <c r="Z27">
        <f t="shared" si="16"/>
        <v>0.150390625</v>
      </c>
      <c r="AA27">
        <f ca="1" t="shared" si="79"/>
        <v>0.0205078125</v>
      </c>
      <c r="AB27">
        <f ca="1" t="shared" si="80"/>
        <v>6539660.66238914</v>
      </c>
      <c r="AC27">
        <f ca="1">无穷技能数计算!$AJ19</f>
        <v>0</v>
      </c>
      <c r="AD27" s="164">
        <f ca="1" t="shared" si="81"/>
        <v>0</v>
      </c>
      <c r="AE27" s="168"/>
      <c r="AF27" s="168">
        <f ca="1" t="shared" si="17"/>
        <v>0.9057</v>
      </c>
      <c r="AG27">
        <f ca="1">无穷技能数计算!$AJ19</f>
        <v>0</v>
      </c>
      <c r="AH27">
        <f ca="1" t="shared" si="18"/>
        <v>109879</v>
      </c>
      <c r="AJ27">
        <f ca="1" t="shared" si="19"/>
        <v>2.3765922521</v>
      </c>
      <c r="AK27">
        <f ca="1" t="shared" si="56"/>
        <v>675672.7125</v>
      </c>
      <c r="AL27">
        <f ca="1" t="shared" si="20"/>
        <v>7378364.35337935</v>
      </c>
      <c r="AM27" s="169">
        <f ca="1" t="shared" si="21"/>
        <v>0.9272</v>
      </c>
      <c r="AN27">
        <f ca="1">无穷技能数计算!$AJ19</f>
        <v>0</v>
      </c>
      <c r="AO27" s="170">
        <f ca="1" t="shared" si="22"/>
        <v>7475559.23737182</v>
      </c>
      <c r="AP27">
        <f ca="1" t="shared" si="23"/>
        <v>110956</v>
      </c>
      <c r="AQ27" s="170">
        <f ca="1" t="shared" si="57"/>
        <v>681428.85</v>
      </c>
      <c r="AR27">
        <f ca="1" t="shared" si="24"/>
        <v>7237367.87405095</v>
      </c>
      <c r="AS27">
        <f ca="1" t="shared" si="25"/>
        <v>0.9843</v>
      </c>
      <c r="AT27">
        <f ca="1">无穷技能数计算!$AJ19</f>
        <v>0</v>
      </c>
      <c r="AU27">
        <f ca="1" t="shared" si="26"/>
        <v>2.3238578771</v>
      </c>
      <c r="AV27">
        <f ca="1" t="shared" si="27"/>
        <v>2.68954760480339</v>
      </c>
      <c r="AW27">
        <f ca="1" t="shared" si="58"/>
        <v>7333501.36040092</v>
      </c>
      <c r="AX27">
        <f ca="1" t="shared" si="28"/>
        <v>0.9743</v>
      </c>
      <c r="AY27">
        <f ca="1">无穷技能数计算!$AJ19</f>
        <v>0</v>
      </c>
      <c r="AZ27" s="170">
        <f ca="1" t="shared" si="59"/>
        <v>7291346.75981936</v>
      </c>
      <c r="BA27">
        <f ca="1" t="shared" si="29"/>
        <v>0.9643</v>
      </c>
      <c r="BB27">
        <f ca="1">无穷技能数计算!$AJ19</f>
        <v>0</v>
      </c>
      <c r="BC27" s="170">
        <f ca="1" t="shared" si="60"/>
        <v>7249192.15923779</v>
      </c>
      <c r="BE27">
        <f ca="1" t="shared" si="30"/>
        <v>105849</v>
      </c>
      <c r="BF27">
        <f ca="1" t="shared" si="31"/>
        <v>651872.0875</v>
      </c>
      <c r="BI27">
        <f ca="1" t="shared" si="32"/>
        <v>0.9543</v>
      </c>
      <c r="BJ27">
        <f ca="1">无穷技能数计算!$AJ19</f>
        <v>0</v>
      </c>
      <c r="BK27">
        <f ca="1" t="shared" si="33"/>
        <v>7166743.32535293</v>
      </c>
      <c r="BM27">
        <f ca="1" t="shared" si="34"/>
        <v>109230</v>
      </c>
      <c r="BN27">
        <f ca="1" t="shared" si="35"/>
        <v>671439.625</v>
      </c>
      <c r="BO27">
        <f ca="1" t="shared" si="36"/>
        <v>7274866.56472642</v>
      </c>
      <c r="BP27">
        <f ca="1" t="shared" si="37"/>
        <v>6937620.7131511</v>
      </c>
      <c r="BR27">
        <f ca="1" t="shared" si="38"/>
        <v>0.9543</v>
      </c>
      <c r="BS27">
        <f ca="1" t="shared" si="39"/>
        <v>7173399.70773149</v>
      </c>
      <c r="BT27">
        <f ca="1" t="shared" si="40"/>
        <v>0.196995876306796</v>
      </c>
      <c r="BU27">
        <f ca="1" t="shared" si="41"/>
        <v>2.3238578771</v>
      </c>
      <c r="BV27">
        <f ca="1" t="shared" si="61"/>
        <v>7312597.28354902</v>
      </c>
      <c r="BW27">
        <f ca="1" t="shared" si="42"/>
        <v>113027</v>
      </c>
      <c r="BX27">
        <f ca="1" t="shared" si="43"/>
        <v>693414.7625</v>
      </c>
      <c r="BY27">
        <f ca="1" t="shared" si="44"/>
        <v>0.9343</v>
      </c>
      <c r="BZ27">
        <f ca="1">无穷技能数计算!$AJ19</f>
        <v>0</v>
      </c>
      <c r="CA27">
        <f ca="1" t="shared" si="45"/>
        <v>2.3277641271</v>
      </c>
      <c r="CB27">
        <f ca="1" t="shared" si="62"/>
        <v>7548969.55347216</v>
      </c>
      <c r="CC27">
        <f ca="1" t="shared" si="46"/>
        <v>114847</v>
      </c>
      <c r="CD27">
        <f ca="1" t="shared" si="47"/>
        <v>703948.0125</v>
      </c>
      <c r="CE27">
        <f ca="1" t="shared" si="48"/>
        <v>7397941.60118953</v>
      </c>
      <c r="CF27">
        <f ca="1" t="shared" si="49"/>
        <v>2.2750297521</v>
      </c>
      <c r="CG27">
        <f ca="1" t="shared" si="50"/>
        <v>0.9343</v>
      </c>
      <c r="CH27">
        <f ca="1" t="shared" si="63"/>
        <v>6977463.68431416</v>
      </c>
      <c r="CJ27">
        <f ca="1" t="shared" si="51"/>
        <v>671439.625</v>
      </c>
      <c r="CK27">
        <f ca="1" t="shared" si="52"/>
        <v>7241911.81568027</v>
      </c>
      <c r="CL27">
        <f ca="1" t="shared" si="64"/>
        <v>2.2976860021</v>
      </c>
      <c r="CM27">
        <f ca="1">IF(G27="恒定伤害",0,(IF(D27="轻剑",$CM$8,$CM$9)+IFERROR(INDEX(技能数据库!$T$2:$W$27,MATCH(E27,技能数据库!$T$2:$T$27,0),4),0)+COUNTIF(G27,"*造化2*")*154+COUNTIF(G27,"*造化1*")*102+COUNTIF(G27,"*碧归*")*307)/1024)</f>
        <v>0.296985334429785</v>
      </c>
      <c r="CN27">
        <f ca="1" t="shared" si="65"/>
        <v>7389844.96504706</v>
      </c>
      <c r="CO27">
        <f ca="1" t="shared" si="66"/>
        <v>2.3262602208</v>
      </c>
      <c r="CP27">
        <f ca="1" t="shared" si="67"/>
        <v>7479016.63256499</v>
      </c>
      <c r="CQ27">
        <f ca="1" t="shared" si="53"/>
        <v>2.77157885480339</v>
      </c>
      <c r="CR27">
        <f ca="1">IF(G27="恒定伤害",0,(IF(D27="轻剑",$CR$8,$CR$9)+IFERROR(INDEX(技能数据库!$T$2:$W$27,MATCH(E27,技能数据库!$T$2:$T$27,0),4),0)+COUNTIF(G27,"*造化2*")*154+COUNTIF(G27,"*造化1*")*102+COUNTIF(G27,"*碧归*")*307)/1024)</f>
        <v>0.287219709429785</v>
      </c>
      <c r="CS27">
        <f ca="1" t="shared" si="68"/>
        <v>6996656.96864778</v>
      </c>
      <c r="CV27" t="s">
        <v>3168</v>
      </c>
      <c r="CW27">
        <f ca="1">BP8</f>
        <v>13415453.6371846</v>
      </c>
      <c r="CX27" s="164">
        <f ca="1" t="shared" si="69"/>
        <v>0.0504806551694617</v>
      </c>
      <c r="CY27">
        <f ca="1" t="shared" si="70"/>
        <v>18</v>
      </c>
      <c r="CZ27">
        <v>18</v>
      </c>
      <c r="DA27" t="str">
        <f ca="1" t="shared" si="71"/>
        <v>丐帮阵(0层)</v>
      </c>
      <c r="DB27" s="164">
        <f ca="1" t="shared" si="72"/>
        <v>0.0504806551694617</v>
      </c>
    </row>
    <row r="28" spans="4:106">
      <c r="D28" t="s">
        <v>1825</v>
      </c>
      <c r="E28" t="s">
        <v>2768</v>
      </c>
      <c r="G28" t="s">
        <v>3046</v>
      </c>
      <c r="H28">
        <f ca="1">INDEX(技能数据库!$B$2:$I$100,MATCH(无穷阵眼收益计算!$E28,技能数据库!$B$2:$B$100,0),MATCH(H$9,技能数据库!$B$2:$I$2,0))</f>
        <v>210</v>
      </c>
      <c r="I28">
        <f ca="1">INDEX(技能数据库!$B$2:$I$100,MATCH(无穷阵眼收益计算!$E28,技能数据库!$B$2:$B$100,0),MATCH(I$9,技能数据库!$B$2:$I$2,0))</f>
        <v>5.7875</v>
      </c>
      <c r="J28">
        <f ca="1">INDEX(技能数据库!$B$2:$I$100,MATCH(无穷阵眼收益计算!$E28,技能数据库!$B$2:$B$100,0),MATCH(J$9,技能数据库!$B$2:$I$2,0))</f>
        <v>2</v>
      </c>
      <c r="K28">
        <f ca="1">INDEX(技能数据库!$B$2:$I$100,MATCH(无穷阵眼收益计算!$E28,技能数据库!$B$2:$B$100,0),MATCH(K$9,技能数据库!$B$2:$I$2,0))</f>
        <v>0</v>
      </c>
      <c r="L28">
        <f ca="1" t="shared" si="13"/>
        <v>91975</v>
      </c>
      <c r="M28">
        <f ca="1" t="shared" si="73"/>
        <v>19530.5</v>
      </c>
      <c r="N28">
        <f ca="1" t="shared" si="74"/>
        <v>92028</v>
      </c>
      <c r="O28">
        <f ca="1" t="shared" si="54"/>
        <v>571576.3125</v>
      </c>
      <c r="P28">
        <f ca="1">IF(G28="恒定伤害",0,(IF(D28="轻剑",$AZ$2,$AZ$3)+IFERROR(INDEX(技能数据库!$T$2:$W$27,MATCH(E28,技能数据库!$T$2:$T$27,0),4),0)+COUNTIF(G28,"*造化2*")*154+COUNTIF(G28,"*造化1*")*102+COUNTIF(G28,"*碧归*")*307)/1024)</f>
        <v>0.386829084429785</v>
      </c>
      <c r="Q28">
        <f ca="1" t="shared" si="14"/>
        <v>0.448284482196154</v>
      </c>
      <c r="R28">
        <f ca="1" t="shared" si="55"/>
        <v>0.32958230397716</v>
      </c>
      <c r="S28">
        <f ca="1" t="shared" si="75"/>
        <v>769655.735232567</v>
      </c>
      <c r="T28">
        <f t="shared" si="76"/>
        <v>0.8</v>
      </c>
      <c r="U28">
        <f ca="1" t="shared" si="15"/>
        <v>1.7800129648</v>
      </c>
      <c r="V28">
        <f ca="1" t="shared" si="77"/>
        <v>1711722.33790337</v>
      </c>
      <c r="W28">
        <f ca="1">IF(G28="恒定伤害",0,MIN(1,IF(COUNTIF(F28,"*内会*")&gt;0,内会2,IF(D28="轻剑",$Y$2,$Y$3)+COUNTIF(G28,"*莺鸣*")*0.2+COUNTIF(G28,"*叠1*")*0.1+COUNTIF(G28,"*叠2*")*0.2+COUNTIF(G28,"*叠3*")*0.3)+IFERROR(INDEX(技能数据库!$T$2:$W$27,MATCH(E28,技能数据库!$T$2:$T$27,0),2),0)+IF((IF(D28="轻剑",$AO$2,$AO$3)+INT(COUNTIF(G28,"*大莺鸣*")*IF(D28="轻剑",$AM$2,$AM$3)*听晓无双率)/无双系数)&gt;0.9,特效裤子会心/会心系数,0)))</f>
        <v>0.7043</v>
      </c>
      <c r="X28">
        <f ca="1">IF(G28="恒定伤害",0,IF(COUNTIF(F28,"*内会*")&gt;0,内会效2,IF(D28="轻剑",$AB$2,$AB$3))+IFERROR(INDEX(技能数据库!$T$2:$W$27,MATCH(E28,技能数据库!$T$2:$T$27,0),3)/1024,0))+COUNTIF(G28,"*叠1*")*0.25+COUNTIF(G28,"*叠2*")*0.5+COUNTIF(G28,"*叠3*")*0.75</f>
        <v>2.1773735021</v>
      </c>
      <c r="Y28">
        <f ca="1" t="shared" si="78"/>
        <v>1.82922415752903</v>
      </c>
      <c r="Z28">
        <f t="shared" si="16"/>
        <v>0.150390625</v>
      </c>
      <c r="AA28">
        <f ca="1" t="shared" si="79"/>
        <v>0.0205078125</v>
      </c>
      <c r="AB28">
        <f ca="1" t="shared" si="80"/>
        <v>3675884.98344816</v>
      </c>
      <c r="AC28">
        <f ca="1">无穷技能数计算!$AJ20</f>
        <v>0</v>
      </c>
      <c r="AD28" s="164">
        <f ca="1" t="shared" si="81"/>
        <v>0</v>
      </c>
      <c r="AE28" s="168"/>
      <c r="AF28" s="168">
        <f ca="1" t="shared" si="17"/>
        <v>0.7057</v>
      </c>
      <c r="AG28">
        <f ca="1">无穷技能数计算!$AJ20</f>
        <v>0</v>
      </c>
      <c r="AH28">
        <f ca="1" t="shared" si="18"/>
        <v>96007</v>
      </c>
      <c r="AJ28">
        <f ca="1" t="shared" si="19"/>
        <v>2.3765922521</v>
      </c>
      <c r="AK28">
        <f ca="1" t="shared" si="56"/>
        <v>595388.5125</v>
      </c>
      <c r="AL28">
        <f ca="1" t="shared" si="20"/>
        <v>4127897.08273326</v>
      </c>
      <c r="AM28" s="169">
        <f ca="1" t="shared" si="21"/>
        <v>0.7272</v>
      </c>
      <c r="AN28">
        <f ca="1">无穷技能数计算!$AJ20</f>
        <v>0</v>
      </c>
      <c r="AO28" s="170">
        <f ca="1" t="shared" si="22"/>
        <v>4189867.49964993</v>
      </c>
      <c r="AP28">
        <f ca="1" t="shared" si="23"/>
        <v>97084</v>
      </c>
      <c r="AQ28" s="170">
        <f ca="1" t="shared" si="57"/>
        <v>601144.65</v>
      </c>
      <c r="AR28">
        <f ca="1" t="shared" si="24"/>
        <v>4092854.16134608</v>
      </c>
      <c r="AS28">
        <f ca="1" t="shared" si="25"/>
        <v>0.7843</v>
      </c>
      <c r="AT28">
        <f ca="1">无穷技能数计算!$AJ20</f>
        <v>0</v>
      </c>
      <c r="AU28">
        <f ca="1" t="shared" si="26"/>
        <v>2.3238578771</v>
      </c>
      <c r="AV28">
        <f ca="1" t="shared" si="27"/>
        <v>1.7995442148</v>
      </c>
      <c r="AW28">
        <f ca="1" t="shared" si="58"/>
        <v>4124810.19633058</v>
      </c>
      <c r="AX28">
        <f ca="1" t="shared" si="28"/>
        <v>0.7743</v>
      </c>
      <c r="AY28">
        <f ca="1">无穷技能数计算!$AJ20</f>
        <v>0</v>
      </c>
      <c r="AZ28" s="170">
        <f ca="1" t="shared" si="59"/>
        <v>4098019.94059208</v>
      </c>
      <c r="BA28">
        <f ca="1" t="shared" si="29"/>
        <v>0.7643</v>
      </c>
      <c r="BB28">
        <f ca="1">无穷技能数计算!$AJ20</f>
        <v>0</v>
      </c>
      <c r="BC28" s="170">
        <f ca="1" t="shared" si="60"/>
        <v>4071229.68485358</v>
      </c>
      <c r="BE28">
        <f ca="1" t="shared" si="30"/>
        <v>91977</v>
      </c>
      <c r="BF28">
        <f ca="1" t="shared" si="31"/>
        <v>571587.8875</v>
      </c>
      <c r="BI28">
        <f ca="1" t="shared" si="32"/>
        <v>0.7543</v>
      </c>
      <c r="BJ28">
        <f ca="1">无穷技能数计算!$AJ20</f>
        <v>0</v>
      </c>
      <c r="BK28">
        <f ca="1" t="shared" si="33"/>
        <v>4049599.5660752</v>
      </c>
      <c r="BM28">
        <f ca="1" t="shared" si="34"/>
        <v>95358</v>
      </c>
      <c r="BN28">
        <f ca="1" t="shared" si="35"/>
        <v>591155.425</v>
      </c>
      <c r="BO28">
        <f ca="1" t="shared" si="36"/>
        <v>4105886.08145457</v>
      </c>
      <c r="BP28">
        <f ca="1" t="shared" si="37"/>
        <v>3915546.77616403</v>
      </c>
      <c r="BR28">
        <f ca="1" t="shared" si="38"/>
        <v>0.7543</v>
      </c>
      <c r="BS28">
        <f ca="1" t="shared" si="39"/>
        <v>4069952.50876534</v>
      </c>
      <c r="BT28">
        <f ca="1" t="shared" si="40"/>
        <v>0.318170800459405</v>
      </c>
      <c r="BU28">
        <f ca="1" t="shared" si="41"/>
        <v>2.3238578771</v>
      </c>
      <c r="BV28">
        <f ca="1" t="shared" si="61"/>
        <v>4084585.13871613</v>
      </c>
      <c r="BW28">
        <f ca="1" t="shared" si="42"/>
        <v>99155</v>
      </c>
      <c r="BX28">
        <f ca="1" t="shared" si="43"/>
        <v>613130.5625</v>
      </c>
      <c r="BY28">
        <f ca="1" t="shared" si="44"/>
        <v>0.7343</v>
      </c>
      <c r="BZ28">
        <f ca="1">无穷技能数计算!$AJ20</f>
        <v>0</v>
      </c>
      <c r="CA28">
        <f ca="1" t="shared" si="45"/>
        <v>2.3277641271</v>
      </c>
      <c r="CB28">
        <f ca="1" t="shared" si="62"/>
        <v>4257315.28813841</v>
      </c>
      <c r="CC28">
        <f ca="1" t="shared" si="46"/>
        <v>100975</v>
      </c>
      <c r="CD28">
        <f ca="1" t="shared" si="47"/>
        <v>623663.8125</v>
      </c>
      <c r="CE28">
        <f ca="1" t="shared" si="48"/>
        <v>4210632.20577587</v>
      </c>
      <c r="CF28">
        <f ca="1" t="shared" si="49"/>
        <v>2.2750297521</v>
      </c>
      <c r="CG28">
        <f ca="1" t="shared" si="50"/>
        <v>0.7343</v>
      </c>
      <c r="CH28">
        <f ca="1" t="shared" si="63"/>
        <v>3918301.95879133</v>
      </c>
      <c r="CJ28">
        <f ca="1" t="shared" si="51"/>
        <v>591155.425</v>
      </c>
      <c r="CK28">
        <f ca="1" t="shared" si="52"/>
        <v>4087286.64128306</v>
      </c>
      <c r="CL28">
        <f ca="1" t="shared" si="64"/>
        <v>2.2976860021</v>
      </c>
      <c r="CM28">
        <f ca="1">IF(G28="恒定伤害",0,(IF(D28="轻剑",$CM$8,$CM$9)+IFERROR(INDEX(技能数据库!$T$2:$W$27,MATCH(E28,技能数据库!$T$2:$T$27,0),4),0)+COUNTIF(G28,"*造化2*")*154+COUNTIF(G28,"*造化1*")*102+COUNTIF(G28,"*碧归*")*307)/1024)</f>
        <v>0.447375959429785</v>
      </c>
      <c r="CN28">
        <f ca="1" t="shared" si="65"/>
        <v>4124505.39219104</v>
      </c>
      <c r="CO28">
        <f ca="1" t="shared" si="66"/>
        <v>2.3262602208</v>
      </c>
      <c r="CP28">
        <f ca="1" t="shared" si="67"/>
        <v>4168819.47877002</v>
      </c>
      <c r="CQ28">
        <f ca="1" t="shared" si="53"/>
        <v>1.8815754648</v>
      </c>
      <c r="CR28">
        <f ca="1">IF(G28="恒定伤害",0,(IF(D28="轻剑",$CR$8,$CR$9)+IFERROR(INDEX(技能数据库!$T$2:$W$27,MATCH(E28,技能数据库!$T$2:$T$27,0),4),0)+COUNTIF(G28,"*造化2*")*154+COUNTIF(G28,"*造化1*")*102+COUNTIF(G28,"*碧归*")*307)/1024)</f>
        <v>0.437610334429785</v>
      </c>
      <c r="CS28">
        <f ca="1" t="shared" si="68"/>
        <v>3949692.95651635</v>
      </c>
    </row>
    <row r="29" spans="4:106">
      <c r="D29" t="s">
        <v>1825</v>
      </c>
      <c r="E29" t="s">
        <v>2768</v>
      </c>
      <c r="G29" t="s">
        <v>3048</v>
      </c>
      <c r="H29">
        <f ca="1">INDEX(技能数据库!$B$2:$I$100,MATCH(无穷阵眼收益计算!$E29,技能数据库!$B$2:$B$100,0),MATCH(H$9,技能数据库!$B$2:$I$2,0))</f>
        <v>210</v>
      </c>
      <c r="I29">
        <f ca="1">INDEX(技能数据库!$B$2:$I$100,MATCH(无穷阵眼收益计算!$E29,技能数据库!$B$2:$B$100,0),MATCH(I$9,技能数据库!$B$2:$I$2,0))</f>
        <v>5.7875</v>
      </c>
      <c r="J29">
        <f ca="1">INDEX(技能数据库!$B$2:$I$100,MATCH(无穷阵眼收益计算!$E29,技能数据库!$B$2:$B$100,0),MATCH(J$9,技能数据库!$B$2:$I$2,0))</f>
        <v>2</v>
      </c>
      <c r="K29">
        <f ca="1">INDEX(技能数据库!$B$2:$I$100,MATCH(无穷阵眼收益计算!$E29,技能数据库!$B$2:$B$100,0),MATCH(K$9,技能数据库!$B$2:$I$2,0))</f>
        <v>0</v>
      </c>
      <c r="L29">
        <f ca="1" t="shared" si="13"/>
        <v>105847</v>
      </c>
      <c r="M29">
        <f ca="1" t="shared" si="73"/>
        <v>19530.5</v>
      </c>
      <c r="N29">
        <f ca="1" t="shared" si="74"/>
        <v>92028</v>
      </c>
      <c r="O29">
        <f ca="1" t="shared" si="54"/>
        <v>651860.5125</v>
      </c>
      <c r="P29">
        <f ca="1">IF(G29="恒定伤害",0,(IF(D29="轻剑",$AZ$2,$AZ$3)+IFERROR(INDEX(技能数据库!$T$2:$W$27,MATCH(E29,技能数据库!$T$2:$T$27,0),4),0)+COUNTIF(G29,"*造化2*")*154+COUNTIF(G29,"*造化1*")*102+COUNTIF(G29,"*碧归*")*307)/1024)</f>
        <v>0.386829084429785</v>
      </c>
      <c r="Q29">
        <f ca="1" t="shared" si="14"/>
        <v>0.448284482196154</v>
      </c>
      <c r="R29">
        <f ca="1" t="shared" si="55"/>
        <v>0.21277697966198</v>
      </c>
      <c r="S29">
        <f ca="1" t="shared" si="75"/>
        <v>1030692.88403962</v>
      </c>
      <c r="T29">
        <f t="shared" si="76"/>
        <v>0.8</v>
      </c>
      <c r="U29">
        <f ca="1" t="shared" si="15"/>
        <v>1.7800129648</v>
      </c>
      <c r="V29">
        <f ca="1" t="shared" si="77"/>
        <v>2292271.66428579</v>
      </c>
      <c r="W29">
        <f ca="1">IF(G29="恒定伤害",0,MIN(1,IF(COUNTIF(F29,"*内会*")&gt;0,内会2,IF(D29="轻剑",$Y$2,$Y$3)+COUNTIF(G29,"*莺鸣*")*0.2+COUNTIF(G29,"*叠1*")*0.1+COUNTIF(G29,"*叠2*")*0.2+COUNTIF(G29,"*叠3*")*0.3)+IFERROR(INDEX(技能数据库!$T$2:$W$27,MATCH(E29,技能数据库!$T$2:$T$27,0),2),0)+IF((IF(D29="轻剑",$AO$2,$AO$3)+INT(COUNTIF(G29,"*大莺鸣*")*IF(D29="轻剑",$AM$2,$AM$3)*听晓无双率)/无双系数)&gt;0.9,特效裤子会心/会心系数,0)))</f>
        <v>0.7043</v>
      </c>
      <c r="X29">
        <f ca="1">IF(G29="恒定伤害",0,IF(COUNTIF(F29,"*内会*")&gt;0,内会效2,IF(D29="轻剑",$AB$2,$AB$3))+IFERROR(INDEX(技能数据库!$T$2:$W$27,MATCH(E29,技能数据库!$T$2:$T$27,0),3)/1024,0))+COUNTIF(G29,"*叠1*")*0.25+COUNTIF(G29,"*叠2*")*0.5+COUNTIF(G29,"*叠3*")*0.75</f>
        <v>2.1773735021</v>
      </c>
      <c r="Y29">
        <f ca="1" t="shared" si="78"/>
        <v>1.82922415752903</v>
      </c>
      <c r="Z29">
        <f t="shared" si="16"/>
        <v>0.150390625</v>
      </c>
      <c r="AA29">
        <f ca="1" t="shared" si="79"/>
        <v>0.0205078125</v>
      </c>
      <c r="AB29">
        <f ca="1" t="shared" si="80"/>
        <v>4922601.52371017</v>
      </c>
      <c r="AC29">
        <f ca="1">无穷技能数计算!$AJ21</f>
        <v>24</v>
      </c>
      <c r="AD29" s="164">
        <f ca="1" t="shared" si="81"/>
        <v>0.0463012947995931</v>
      </c>
      <c r="AE29" s="168"/>
      <c r="AF29" s="168">
        <f ca="1" t="shared" si="17"/>
        <v>0.7057</v>
      </c>
      <c r="AG29">
        <f ca="1">无穷技能数计算!$AJ21</f>
        <v>24</v>
      </c>
      <c r="AH29">
        <f ca="1" t="shared" si="18"/>
        <v>109879</v>
      </c>
      <c r="AJ29">
        <f ca="1" t="shared" si="19"/>
        <v>2.3765922521</v>
      </c>
      <c r="AK29">
        <f ca="1" t="shared" si="56"/>
        <v>675672.7125</v>
      </c>
      <c r="AL29">
        <f ca="1" t="shared" si="20"/>
        <v>5500689.18638788</v>
      </c>
      <c r="AM29" s="169">
        <f ca="1" t="shared" si="21"/>
        <v>0.7272</v>
      </c>
      <c r="AN29">
        <f ca="1">无穷技能数计算!$AJ21</f>
        <v>24</v>
      </c>
      <c r="AO29" s="170">
        <f ca="1" t="shared" si="22"/>
        <v>5583268.76513642</v>
      </c>
      <c r="AP29">
        <f ca="1" t="shared" si="23"/>
        <v>110956</v>
      </c>
      <c r="AQ29" s="170">
        <f ca="1" t="shared" si="57"/>
        <v>681428.85</v>
      </c>
      <c r="AR29">
        <f ca="1" t="shared" si="24"/>
        <v>5447786.96689114</v>
      </c>
      <c r="AS29">
        <f ca="1" t="shared" si="25"/>
        <v>0.7843</v>
      </c>
      <c r="AT29">
        <f ca="1">无穷技能数计算!$AJ21</f>
        <v>24</v>
      </c>
      <c r="AU29">
        <f ca="1" t="shared" si="26"/>
        <v>2.3238578771</v>
      </c>
      <c r="AV29">
        <f ca="1" t="shared" si="27"/>
        <v>1.7995442148</v>
      </c>
      <c r="AW29">
        <f ca="1" t="shared" si="58"/>
        <v>5523784.62571624</v>
      </c>
      <c r="AX29">
        <f ca="1" t="shared" si="28"/>
        <v>0.7743</v>
      </c>
      <c r="AY29">
        <f ca="1">无穷技能数计算!$AJ21</f>
        <v>24</v>
      </c>
      <c r="AZ29" s="170">
        <f ca="1" t="shared" si="59"/>
        <v>5487908.16214006</v>
      </c>
      <c r="BA29">
        <f ca="1" t="shared" si="29"/>
        <v>0.7643</v>
      </c>
      <c r="BB29">
        <f ca="1">无穷技能数计算!$AJ21</f>
        <v>24</v>
      </c>
      <c r="BC29" s="170">
        <f ca="1" t="shared" si="60"/>
        <v>5452031.69856388</v>
      </c>
      <c r="BE29">
        <f ca="1" t="shared" si="30"/>
        <v>105849</v>
      </c>
      <c r="BF29">
        <f ca="1" t="shared" si="31"/>
        <v>651872.0875</v>
      </c>
      <c r="BI29">
        <f ca="1" t="shared" si="32"/>
        <v>0.7543</v>
      </c>
      <c r="BJ29">
        <f ca="1">无穷技能数计算!$AJ21</f>
        <v>24</v>
      </c>
      <c r="BK29">
        <f ca="1" t="shared" si="33"/>
        <v>5423051.96310398</v>
      </c>
      <c r="BM29">
        <f ca="1" t="shared" si="34"/>
        <v>109230</v>
      </c>
      <c r="BN29">
        <f ca="1" t="shared" si="35"/>
        <v>671439.625</v>
      </c>
      <c r="BO29">
        <f ca="1" t="shared" si="36"/>
        <v>5476013.37211088</v>
      </c>
      <c r="BP29">
        <f ca="1" t="shared" si="37"/>
        <v>5222158.16026826</v>
      </c>
      <c r="BR29">
        <f ca="1" t="shared" si="38"/>
        <v>0.7543</v>
      </c>
      <c r="BS29">
        <f ca="1" t="shared" si="39"/>
        <v>5428088.82655597</v>
      </c>
      <c r="BT29">
        <f ca="1" t="shared" si="40"/>
        <v>0.196995876306796</v>
      </c>
      <c r="BU29">
        <f ca="1" t="shared" si="41"/>
        <v>2.3238578771</v>
      </c>
      <c r="BV29">
        <f ca="1" t="shared" si="61"/>
        <v>5486186.71058106</v>
      </c>
      <c r="BW29">
        <f ca="1" t="shared" si="42"/>
        <v>113027</v>
      </c>
      <c r="BX29">
        <f ca="1" t="shared" si="43"/>
        <v>693414.7625</v>
      </c>
      <c r="BY29">
        <f ca="1" t="shared" si="44"/>
        <v>0.7343</v>
      </c>
      <c r="BZ29">
        <f ca="1">无穷技能数计算!$AJ21</f>
        <v>24</v>
      </c>
      <c r="CA29">
        <f ca="1" t="shared" si="45"/>
        <v>2.3277641271</v>
      </c>
      <c r="CB29">
        <f ca="1" t="shared" si="62"/>
        <v>5653641.27792315</v>
      </c>
      <c r="CC29">
        <f ca="1" t="shared" si="46"/>
        <v>114847</v>
      </c>
      <c r="CD29">
        <f ca="1" t="shared" si="47"/>
        <v>703948.0125</v>
      </c>
      <c r="CE29">
        <f ca="1" t="shared" si="48"/>
        <v>5580712.70997474</v>
      </c>
      <c r="CF29">
        <f ca="1" t="shared" si="49"/>
        <v>2.2750297521</v>
      </c>
      <c r="CG29">
        <f ca="1" t="shared" si="50"/>
        <v>0.7343</v>
      </c>
      <c r="CH29">
        <f ca="1" t="shared" si="63"/>
        <v>5247236.86392642</v>
      </c>
      <c r="CJ29">
        <f ca="1" t="shared" si="51"/>
        <v>671439.625</v>
      </c>
      <c r="CK29">
        <f ca="1" t="shared" si="52"/>
        <v>5451207.32998686</v>
      </c>
      <c r="CL29">
        <f ca="1" t="shared" si="64"/>
        <v>2.2976860021</v>
      </c>
      <c r="CM29">
        <f ca="1">IF(G29="恒定伤害",0,(IF(D29="轻剑",$CM$8,$CM$9)+IFERROR(INDEX(技能数据库!$T$2:$W$27,MATCH(E29,技能数据库!$T$2:$T$27,0),4),0)+COUNTIF(G29,"*造化2*")*154+COUNTIF(G29,"*造化1*")*102+COUNTIF(G29,"*碧归*")*307)/1024)</f>
        <v>0.447375959429785</v>
      </c>
      <c r="CN29">
        <f ca="1" t="shared" si="65"/>
        <v>5523376.4439237</v>
      </c>
      <c r="CO29">
        <f ca="1" t="shared" si="66"/>
        <v>2.3262602208</v>
      </c>
      <c r="CP29">
        <f ca="1" t="shared" si="67"/>
        <v>5582720.13696572</v>
      </c>
      <c r="CQ29">
        <f ca="1" t="shared" si="53"/>
        <v>1.8815754648</v>
      </c>
      <c r="CR29">
        <f ca="1">IF(G29="恒定伤害",0,(IF(D29="轻剑",$CR$8,$CR$9)+IFERROR(INDEX(技能数据库!$T$2:$W$27,MATCH(E29,技能数据库!$T$2:$T$27,0),4),0)+COUNTIF(G29,"*造化2*")*154+COUNTIF(G29,"*造化1*")*102+COUNTIF(G29,"*碧归*")*307)/1024)</f>
        <v>0.437610334429785</v>
      </c>
      <c r="CS29">
        <f ca="1" t="shared" si="68"/>
        <v>5289274.4613833</v>
      </c>
    </row>
    <row r="30" spans="4:106">
      <c r="D30" t="s">
        <v>1825</v>
      </c>
      <c r="E30" t="s">
        <v>2768</v>
      </c>
      <c r="G30" t="s">
        <v>3050</v>
      </c>
      <c r="H30">
        <f ca="1">INDEX(技能数据库!$B$2:$I$100,MATCH(无穷阵眼收益计算!$E30,技能数据库!$B$2:$B$100,0),MATCH(H$9,技能数据库!$B$2:$I$2,0))</f>
        <v>210</v>
      </c>
      <c r="I30">
        <f ca="1">INDEX(技能数据库!$B$2:$I$100,MATCH(无穷阵眼收益计算!$E30,技能数据库!$B$2:$B$100,0),MATCH(I$9,技能数据库!$B$2:$I$2,0))</f>
        <v>5.7875</v>
      </c>
      <c r="J30">
        <f ca="1">INDEX(技能数据库!$B$2:$I$100,MATCH(无穷阵眼收益计算!$E30,技能数据库!$B$2:$B$100,0),MATCH(J$9,技能数据库!$B$2:$I$2,0))</f>
        <v>2</v>
      </c>
      <c r="K30">
        <f ca="1">INDEX(技能数据库!$B$2:$I$100,MATCH(无穷阵眼收益计算!$E30,技能数据库!$B$2:$B$100,0),MATCH(K$9,技能数据库!$B$2:$I$2,0))</f>
        <v>0</v>
      </c>
      <c r="L30">
        <f ca="1" t="shared" si="13"/>
        <v>91975</v>
      </c>
      <c r="M30">
        <f ca="1" t="shared" si="73"/>
        <v>19530.5</v>
      </c>
      <c r="N30">
        <f ca="1" t="shared" si="74"/>
        <v>92028</v>
      </c>
      <c r="O30">
        <f ca="1" t="shared" si="54"/>
        <v>571576.3125</v>
      </c>
      <c r="P30">
        <f ca="1">IF(G30="恒定伤害",0,(IF(D30="轻剑",$AZ$2,$AZ$3)+IFERROR(INDEX(技能数据库!$T$2:$W$27,MATCH(E30,技能数据库!$T$2:$T$27,0),4),0)+COUNTIF(G30,"*造化2*")*154+COUNTIF(G30,"*造化1*")*102+COUNTIF(G30,"*碧归*")*307)/1024)</f>
        <v>0.386829084429785</v>
      </c>
      <c r="Q30">
        <f ca="1" t="shared" si="14"/>
        <v>0.448284482196154</v>
      </c>
      <c r="R30">
        <f ca="1" t="shared" si="55"/>
        <v>0.32958230397716</v>
      </c>
      <c r="S30">
        <f ca="1" t="shared" si="75"/>
        <v>769655.735232567</v>
      </c>
      <c r="T30">
        <f t="shared" si="76"/>
        <v>0.8</v>
      </c>
      <c r="U30">
        <f ca="1" t="shared" si="15"/>
        <v>2.67001635480339</v>
      </c>
      <c r="V30">
        <f ca="1" t="shared" si="77"/>
        <v>2259719.3086974</v>
      </c>
      <c r="W30">
        <f ca="1">IF(G30="恒定伤害",0,MIN(1,IF(COUNTIF(F30,"*内会*")&gt;0,内会2,IF(D30="轻剑",$Y$2,$Y$3)+COUNTIF(G30,"*莺鸣*")*0.2+COUNTIF(G30,"*叠1*")*0.1+COUNTIF(G30,"*叠2*")*0.2+COUNTIF(G30,"*叠3*")*0.3)+IFERROR(INDEX(技能数据库!$T$2:$W$27,MATCH(E30,技能数据库!$T$2:$T$27,0),2),0)+IF((IF(D30="轻剑",$AO$2,$AO$3)+INT(COUNTIF(G30,"*大莺鸣*")*IF(D30="轻剑",$AM$2,$AM$3)*听晓无双率)/无双系数)&gt;0.9,特效裤子会心/会心系数,0)))</f>
        <v>0.9043</v>
      </c>
      <c r="X30">
        <f ca="1">IF(G30="恒定伤害",0,IF(COUNTIF(F30,"*内会*")&gt;0,内会效2,IF(D30="轻剑",$AB$2,$AB$3))+IFERROR(INDEX(技能数据库!$T$2:$W$27,MATCH(E30,技能数据库!$T$2:$T$27,0),3)/1024,0))+COUNTIF(G30,"*叠1*")*0.25+COUNTIF(G30,"*叠2*")*0.5+COUNTIF(G30,"*叠3*")*0.75</f>
        <v>2.1773735021</v>
      </c>
      <c r="Y30">
        <f ca="1" t="shared" si="78"/>
        <v>2.06469885794903</v>
      </c>
      <c r="Z30">
        <f t="shared" si="16"/>
        <v>0.150390625</v>
      </c>
      <c r="AA30">
        <f ca="1" t="shared" si="79"/>
        <v>0.0205078125</v>
      </c>
      <c r="AB30">
        <f ca="1" t="shared" si="80"/>
        <v>5477380.12666394</v>
      </c>
      <c r="AC30">
        <f ca="1">无穷技能数计算!$AJ22</f>
        <v>0</v>
      </c>
      <c r="AD30" s="164">
        <f ca="1" t="shared" si="81"/>
        <v>0</v>
      </c>
      <c r="AE30" s="168"/>
      <c r="AF30" s="168">
        <f ca="1" t="shared" si="17"/>
        <v>0.9057</v>
      </c>
      <c r="AG30">
        <f ca="1">无穷技能数计算!$AJ22</f>
        <v>0</v>
      </c>
      <c r="AH30">
        <f ca="1" t="shared" si="18"/>
        <v>96007</v>
      </c>
      <c r="AJ30">
        <f ca="1" t="shared" si="19"/>
        <v>2.3765922521</v>
      </c>
      <c r="AK30">
        <f ca="1" t="shared" si="56"/>
        <v>595388.5125</v>
      </c>
      <c r="AL30">
        <f ca="1" t="shared" si="20"/>
        <v>6210438.82215875</v>
      </c>
      <c r="AM30" s="169">
        <f ca="1" t="shared" si="21"/>
        <v>0.9272</v>
      </c>
      <c r="AN30">
        <f ca="1">无穷技能数计算!$AJ22</f>
        <v>0</v>
      </c>
      <c r="AO30" s="170">
        <f ca="1" t="shared" si="22"/>
        <v>6292248.67214069</v>
      </c>
      <c r="AP30">
        <f ca="1" t="shared" si="23"/>
        <v>97084</v>
      </c>
      <c r="AQ30" s="170">
        <f ca="1" t="shared" si="57"/>
        <v>601144.65</v>
      </c>
      <c r="AR30">
        <f ca="1" t="shared" si="24"/>
        <v>6098699.53647504</v>
      </c>
      <c r="AS30">
        <f ca="1" t="shared" si="25"/>
        <v>0.9843</v>
      </c>
      <c r="AT30">
        <f ca="1">无穷技能数计算!$AJ22</f>
        <v>0</v>
      </c>
      <c r="AU30">
        <f ca="1" t="shared" si="26"/>
        <v>2.3238578771</v>
      </c>
      <c r="AV30">
        <f ca="1" t="shared" si="27"/>
        <v>2.68954760480339</v>
      </c>
      <c r="AW30">
        <f ca="1" t="shared" si="58"/>
        <v>6142272.00523402</v>
      </c>
      <c r="AX30">
        <f ca="1" t="shared" si="28"/>
        <v>0.9743</v>
      </c>
      <c r="AY30">
        <f ca="1">无穷技能数计算!$AJ22</f>
        <v>0</v>
      </c>
      <c r="AZ30" s="170">
        <f ca="1" t="shared" si="59"/>
        <v>6106964.85653121</v>
      </c>
      <c r="BA30">
        <f ca="1" t="shared" si="29"/>
        <v>0.9643</v>
      </c>
      <c r="BB30">
        <f ca="1">无穷技能数计算!$AJ22</f>
        <v>0</v>
      </c>
      <c r="BC30" s="170">
        <f ca="1" t="shared" si="60"/>
        <v>6071657.7078284</v>
      </c>
      <c r="BE30">
        <f ca="1" t="shared" si="30"/>
        <v>91977</v>
      </c>
      <c r="BF30">
        <f ca="1" t="shared" si="31"/>
        <v>571587.8875</v>
      </c>
      <c r="BI30">
        <f ca="1" t="shared" si="32"/>
        <v>0.9543</v>
      </c>
      <c r="BJ30">
        <f ca="1">无穷技能数计算!$AJ22</f>
        <v>0</v>
      </c>
      <c r="BK30">
        <f ca="1" t="shared" si="33"/>
        <v>6002616.55699214</v>
      </c>
      <c r="BM30">
        <f ca="1" t="shared" si="34"/>
        <v>95358</v>
      </c>
      <c r="BN30">
        <f ca="1" t="shared" si="35"/>
        <v>591155.425</v>
      </c>
      <c r="BO30">
        <f ca="1" t="shared" si="36"/>
        <v>6118118.20178583</v>
      </c>
      <c r="BP30">
        <f ca="1" t="shared" si="37"/>
        <v>5834496.50719639</v>
      </c>
      <c r="BR30">
        <f ca="1" t="shared" si="38"/>
        <v>0.9543</v>
      </c>
      <c r="BS30">
        <f ca="1" t="shared" si="39"/>
        <v>6032785.19682479</v>
      </c>
      <c r="BT30">
        <f ca="1" t="shared" si="40"/>
        <v>0.318170800459405</v>
      </c>
      <c r="BU30">
        <f ca="1" t="shared" si="41"/>
        <v>2.3238578771</v>
      </c>
      <c r="BV30">
        <f ca="1" t="shared" si="61"/>
        <v>6106599.83429675</v>
      </c>
      <c r="BW30">
        <f ca="1" t="shared" si="42"/>
        <v>99155</v>
      </c>
      <c r="BX30">
        <f ca="1" t="shared" si="43"/>
        <v>613130.5625</v>
      </c>
      <c r="BY30">
        <f ca="1" t="shared" si="44"/>
        <v>0.9343</v>
      </c>
      <c r="BZ30">
        <f ca="1">无穷技能数计算!$AJ22</f>
        <v>0</v>
      </c>
      <c r="CA30">
        <f ca="1" t="shared" si="45"/>
        <v>2.3277641271</v>
      </c>
      <c r="CB30">
        <f ca="1" t="shared" si="62"/>
        <v>6375961.33391299</v>
      </c>
      <c r="CC30">
        <f ca="1" t="shared" si="46"/>
        <v>100975</v>
      </c>
      <c r="CD30">
        <f ca="1" t="shared" si="47"/>
        <v>623663.8125</v>
      </c>
      <c r="CE30">
        <f ca="1" t="shared" si="48"/>
        <v>6260643.52726041</v>
      </c>
      <c r="CF30">
        <f ca="1" t="shared" si="49"/>
        <v>2.2750297521</v>
      </c>
      <c r="CG30">
        <f ca="1" t="shared" si="50"/>
        <v>0.9343</v>
      </c>
      <c r="CH30">
        <f ca="1" t="shared" si="63"/>
        <v>5844067.8946512</v>
      </c>
      <c r="CJ30">
        <f ca="1" t="shared" si="51"/>
        <v>591155.425</v>
      </c>
      <c r="CK30">
        <f ca="1" t="shared" si="52"/>
        <v>6090403.45977913</v>
      </c>
      <c r="CL30">
        <f ca="1" t="shared" si="64"/>
        <v>2.2976860021</v>
      </c>
      <c r="CM30">
        <f ca="1">IF(G30="恒定伤害",0,(IF(D30="轻剑",$CM$8,$CM$9)+IFERROR(INDEX(技能数据库!$T$2:$W$27,MATCH(E30,技能数据库!$T$2:$T$27,0),4),0)+COUNTIF(G30,"*造化2*")*154+COUNTIF(G30,"*造化1*")*102+COUNTIF(G30,"*碧归*")*307)/1024)</f>
        <v>0.447375959429785</v>
      </c>
      <c r="CN30">
        <f ca="1" t="shared" si="65"/>
        <v>6158129.94646098</v>
      </c>
      <c r="CO30">
        <f ca="1" t="shared" si="66"/>
        <v>2.3262602208</v>
      </c>
      <c r="CP30">
        <f ca="1" t="shared" si="67"/>
        <v>6232438.77414483</v>
      </c>
      <c r="CQ30">
        <f ca="1" t="shared" si="53"/>
        <v>2.77157885480339</v>
      </c>
      <c r="CR30">
        <f ca="1">IF(G30="恒定伤害",0,(IF(D30="轻剑",$CR$8,$CR$9)+IFERROR(INDEX(技能数据库!$T$2:$W$27,MATCH(E30,技能数据库!$T$2:$T$27,0),4),0)+COUNTIF(G30,"*造化2*")*154+COUNTIF(G30,"*造化1*")*102+COUNTIF(G30,"*碧归*")*307)/1024)</f>
        <v>0.437610334429785</v>
      </c>
      <c r="CS30">
        <f ca="1" t="shared" si="68"/>
        <v>5835073.34512596</v>
      </c>
    </row>
    <row r="31" spans="4:106">
      <c r="D31" t="s">
        <v>1825</v>
      </c>
      <c r="E31" t="s">
        <v>2768</v>
      </c>
      <c r="G31" t="s">
        <v>3052</v>
      </c>
      <c r="H31">
        <f ca="1">INDEX(技能数据库!$B$2:$I$100,MATCH(无穷阵眼收益计算!$E31,技能数据库!$B$2:$B$100,0),MATCH(H$9,技能数据库!$B$2:$I$2,0))</f>
        <v>210</v>
      </c>
      <c r="I31">
        <f ca="1">INDEX(技能数据库!$B$2:$I$100,MATCH(无穷阵眼收益计算!$E31,技能数据库!$B$2:$B$100,0),MATCH(I$9,技能数据库!$B$2:$I$2,0))</f>
        <v>5.7875</v>
      </c>
      <c r="J31">
        <f ca="1">INDEX(技能数据库!$B$2:$I$100,MATCH(无穷阵眼收益计算!$E31,技能数据库!$B$2:$B$100,0),MATCH(J$9,技能数据库!$B$2:$I$2,0))</f>
        <v>2</v>
      </c>
      <c r="K31">
        <f ca="1">INDEX(技能数据库!$B$2:$I$100,MATCH(无穷阵眼收益计算!$E31,技能数据库!$B$2:$B$100,0),MATCH(K$9,技能数据库!$B$2:$I$2,0))</f>
        <v>0</v>
      </c>
      <c r="L31">
        <f ca="1" t="shared" si="13"/>
        <v>105847</v>
      </c>
      <c r="M31">
        <f ca="1" t="shared" si="73"/>
        <v>19530.5</v>
      </c>
      <c r="N31">
        <f ca="1" t="shared" si="74"/>
        <v>92028</v>
      </c>
      <c r="O31">
        <f ca="1" t="shared" si="54"/>
        <v>651860.5125</v>
      </c>
      <c r="P31">
        <f ca="1">IF(G31="恒定伤害",0,(IF(D31="轻剑",$AZ$2,$AZ$3)+IFERROR(INDEX(技能数据库!$T$2:$W$27,MATCH(E31,技能数据库!$T$2:$T$27,0),4),0)+COUNTIF(G31,"*造化2*")*154+COUNTIF(G31,"*造化1*")*102+COUNTIF(G31,"*碧归*")*307)/1024)</f>
        <v>0.386829084429785</v>
      </c>
      <c r="Q31">
        <f ca="1" t="shared" si="14"/>
        <v>0.448284482196154</v>
      </c>
      <c r="R31">
        <f ca="1" t="shared" si="55"/>
        <v>0.21277697966198</v>
      </c>
      <c r="S31">
        <f ca="1" t="shared" si="75"/>
        <v>1030692.88403962</v>
      </c>
      <c r="T31">
        <f t="shared" si="76"/>
        <v>0.8</v>
      </c>
      <c r="U31">
        <f ca="1" t="shared" si="15"/>
        <v>2.67001635480339</v>
      </c>
      <c r="V31">
        <f ca="1" t="shared" si="77"/>
        <v>3026127.7929639</v>
      </c>
      <c r="W31">
        <f ca="1">IF(G31="恒定伤害",0,MIN(1,IF(COUNTIF(F31,"*内会*")&gt;0,内会2,IF(D31="轻剑",$Y$2,$Y$3)+COUNTIF(G31,"*莺鸣*")*0.2+COUNTIF(G31,"*叠1*")*0.1+COUNTIF(G31,"*叠2*")*0.2+COUNTIF(G31,"*叠3*")*0.3)+IFERROR(INDEX(技能数据库!$T$2:$W$27,MATCH(E31,技能数据库!$T$2:$T$27,0),2),0)+IF((IF(D31="轻剑",$AO$2,$AO$3)+INT(COUNTIF(G31,"*大莺鸣*")*IF(D31="轻剑",$AM$2,$AM$3)*听晓无双率)/无双系数)&gt;0.9,特效裤子会心/会心系数,0)))</f>
        <v>0.9043</v>
      </c>
      <c r="X31">
        <f ca="1">IF(G31="恒定伤害",0,IF(COUNTIF(F31,"*内会*")&gt;0,内会效2,IF(D31="轻剑",$AB$2,$AB$3))+IFERROR(INDEX(技能数据库!$T$2:$W$27,MATCH(E31,技能数据库!$T$2:$T$27,0),3)/1024,0))+COUNTIF(G31,"*叠1*")*0.25+COUNTIF(G31,"*叠2*")*0.5+COUNTIF(G31,"*叠3*")*0.75</f>
        <v>2.1773735021</v>
      </c>
      <c r="Y31">
        <f ca="1" t="shared" si="78"/>
        <v>2.06469885794903</v>
      </c>
      <c r="Z31">
        <f t="shared" si="16"/>
        <v>0.150390625</v>
      </c>
      <c r="AA31">
        <f ca="1" t="shared" si="79"/>
        <v>0.0205078125</v>
      </c>
      <c r="AB31">
        <f ca="1" t="shared" si="80"/>
        <v>7335093.42073134</v>
      </c>
      <c r="AC31">
        <f ca="1">无穷技能数计算!$AJ23</f>
        <v>0</v>
      </c>
      <c r="AD31" s="164">
        <f ca="1" t="shared" si="81"/>
        <v>0</v>
      </c>
      <c r="AE31" s="168"/>
      <c r="AF31" s="168">
        <f ca="1" t="shared" si="17"/>
        <v>0.9057</v>
      </c>
      <c r="AG31">
        <f ca="1">无穷技能数计算!$AJ23</f>
        <v>0</v>
      </c>
      <c r="AH31">
        <f ca="1" t="shared" si="18"/>
        <v>109879</v>
      </c>
      <c r="AJ31">
        <f ca="1" t="shared" si="19"/>
        <v>2.3765922521</v>
      </c>
      <c r="AK31">
        <f ca="1" t="shared" si="56"/>
        <v>675672.7125</v>
      </c>
      <c r="AL31">
        <f ca="1" t="shared" si="20"/>
        <v>8275810.41559111</v>
      </c>
      <c r="AM31" s="169">
        <f ca="1" t="shared" si="21"/>
        <v>0.9272</v>
      </c>
      <c r="AN31">
        <f ca="1">无穷技能数计算!$AJ23</f>
        <v>0</v>
      </c>
      <c r="AO31" s="170">
        <f ca="1" t="shared" si="22"/>
        <v>8384827.31889959</v>
      </c>
      <c r="AP31">
        <f ca="1" t="shared" si="23"/>
        <v>110956</v>
      </c>
      <c r="AQ31" s="170">
        <f ca="1" t="shared" si="57"/>
        <v>681428.85</v>
      </c>
      <c r="AR31">
        <f ca="1" t="shared" si="24"/>
        <v>8117664.23626165</v>
      </c>
      <c r="AS31">
        <f ca="1" t="shared" si="25"/>
        <v>0.9843</v>
      </c>
      <c r="AT31">
        <f ca="1">无穷技能数计算!$AJ23</f>
        <v>0</v>
      </c>
      <c r="AU31">
        <f ca="1" t="shared" si="26"/>
        <v>2.3238578771</v>
      </c>
      <c r="AV31">
        <f ca="1" t="shared" si="27"/>
        <v>2.68954760480339</v>
      </c>
      <c r="AW31">
        <f ca="1" t="shared" si="58"/>
        <v>8225490.64188741</v>
      </c>
      <c r="AX31">
        <f ca="1" t="shared" si="28"/>
        <v>0.9743</v>
      </c>
      <c r="AY31">
        <f ca="1">无穷技能数计算!$AJ23</f>
        <v>0</v>
      </c>
      <c r="AZ31" s="170">
        <f ca="1" t="shared" si="59"/>
        <v>8178208.68807631</v>
      </c>
      <c r="BA31">
        <f ca="1" t="shared" si="29"/>
        <v>0.9643</v>
      </c>
      <c r="BB31">
        <f ca="1">无穷技能数计算!$AJ23</f>
        <v>0</v>
      </c>
      <c r="BC31" s="170">
        <f ca="1" t="shared" si="60"/>
        <v>8130926.73426521</v>
      </c>
      <c r="BE31">
        <f ca="1" t="shared" si="30"/>
        <v>105849</v>
      </c>
      <c r="BF31">
        <f ca="1" t="shared" si="31"/>
        <v>651872.0875</v>
      </c>
      <c r="BI31">
        <f ca="1" t="shared" si="32"/>
        <v>0.9543</v>
      </c>
      <c r="BJ31">
        <f ca="1">无穷技能数计算!$AJ23</f>
        <v>0</v>
      </c>
      <c r="BK31">
        <f ca="1" t="shared" si="33"/>
        <v>8038449.47432816</v>
      </c>
      <c r="BM31">
        <f ca="1" t="shared" si="34"/>
        <v>109230</v>
      </c>
      <c r="BN31">
        <f ca="1" t="shared" si="35"/>
        <v>671439.625</v>
      </c>
      <c r="BO31">
        <f ca="1" t="shared" si="36"/>
        <v>8159723.97199711</v>
      </c>
      <c r="BP31">
        <f ca="1" t="shared" si="37"/>
        <v>7781458.1941891</v>
      </c>
      <c r="BR31">
        <f ca="1" t="shared" si="38"/>
        <v>0.9543</v>
      </c>
      <c r="BS31">
        <f ca="1" t="shared" si="39"/>
        <v>8045915.48657428</v>
      </c>
      <c r="BT31">
        <f ca="1" t="shared" si="40"/>
        <v>0.196995876306796</v>
      </c>
      <c r="BU31">
        <f ca="1" t="shared" si="41"/>
        <v>2.3238578771</v>
      </c>
      <c r="BV31">
        <f ca="1" t="shared" si="61"/>
        <v>8202043.957954</v>
      </c>
      <c r="BW31">
        <f ca="1" t="shared" si="42"/>
        <v>113027</v>
      </c>
      <c r="BX31">
        <f ca="1" t="shared" si="43"/>
        <v>693414.7625</v>
      </c>
      <c r="BY31">
        <f ca="1" t="shared" si="44"/>
        <v>0.9343</v>
      </c>
      <c r="BZ31">
        <f ca="1">无穷技能数计算!$AJ23</f>
        <v>0</v>
      </c>
      <c r="CA31">
        <f ca="1" t="shared" si="45"/>
        <v>2.3277641271</v>
      </c>
      <c r="CB31">
        <f ca="1" t="shared" si="62"/>
        <v>8467166.68701669</v>
      </c>
      <c r="CC31">
        <f ca="1" t="shared" si="46"/>
        <v>114847</v>
      </c>
      <c r="CD31">
        <f ca="1" t="shared" si="47"/>
        <v>703948.0125</v>
      </c>
      <c r="CE31">
        <f ca="1" t="shared" si="48"/>
        <v>8297768.8854601</v>
      </c>
      <c r="CF31">
        <f ca="1" t="shared" si="49"/>
        <v>2.2750297521</v>
      </c>
      <c r="CG31">
        <f ca="1" t="shared" si="50"/>
        <v>0.9343</v>
      </c>
      <c r="CH31">
        <f ca="1" t="shared" si="63"/>
        <v>7826147.35020622</v>
      </c>
      <c r="CJ31">
        <f ca="1" t="shared" si="51"/>
        <v>671439.625</v>
      </c>
      <c r="CK31">
        <f ca="1" t="shared" si="52"/>
        <v>8122760.8671222</v>
      </c>
      <c r="CL31">
        <f ca="1" t="shared" si="64"/>
        <v>2.2976860021</v>
      </c>
      <c r="CM31">
        <f ca="1">IF(G31="恒定伤害",0,(IF(D31="轻剑",$CM$8,$CM$9)+IFERROR(INDEX(技能数据库!$T$2:$W$27,MATCH(E31,技能数据库!$T$2:$T$27,0),4),0)+COUNTIF(G31,"*造化2*")*154+COUNTIF(G31,"*造化1*")*102+COUNTIF(G31,"*碧归*")*307)/1024)</f>
        <v>0.447375959429785</v>
      </c>
      <c r="CN31">
        <f ca="1" t="shared" si="65"/>
        <v>8246726.9770824</v>
      </c>
      <c r="CO31">
        <f ca="1" t="shared" si="66"/>
        <v>2.3262602208</v>
      </c>
      <c r="CP31">
        <f ca="1" t="shared" si="67"/>
        <v>8346238.45527847</v>
      </c>
      <c r="CQ31">
        <f ca="1" t="shared" si="53"/>
        <v>2.77157885480339</v>
      </c>
      <c r="CR31">
        <f ca="1">IF(G31="恒定伤害",0,(IF(D31="轻剑",$CR$8,$CR$9)+IFERROR(INDEX(技能数据库!$T$2:$W$27,MATCH(E31,技能数据库!$T$2:$T$27,0),4),0)+COUNTIF(G31,"*造化2*")*154+COUNTIF(G31,"*造化1*")*102+COUNTIF(G31,"*碧归*")*307)/1024)</f>
        <v>0.437610334429785</v>
      </c>
      <c r="CS31">
        <f ca="1" t="shared" si="68"/>
        <v>7814102.20097076</v>
      </c>
    </row>
    <row r="32" spans="4:106">
      <c r="D32" t="s">
        <v>1825</v>
      </c>
      <c r="E32" t="s">
        <v>2768</v>
      </c>
      <c r="G32" t="s">
        <v>3053</v>
      </c>
      <c r="H32">
        <f ca="1">INDEX(技能数据库!$B$2:$I$100,MATCH(无穷阵眼收益计算!$E32,技能数据库!$B$2:$B$100,0),MATCH(H$9,技能数据库!$B$2:$I$2,0))</f>
        <v>210</v>
      </c>
      <c r="I32">
        <f ca="1">INDEX(技能数据库!$B$2:$I$100,MATCH(无穷阵眼收益计算!$E32,技能数据库!$B$2:$B$100,0),MATCH(I$9,技能数据库!$B$2:$I$2,0))</f>
        <v>5.7875</v>
      </c>
      <c r="J32">
        <f ca="1">INDEX(技能数据库!$B$2:$I$100,MATCH(无穷阵眼收益计算!$E32,技能数据库!$B$2:$B$100,0),MATCH(J$9,技能数据库!$B$2:$I$2,0))</f>
        <v>2</v>
      </c>
      <c r="K32">
        <f ca="1">INDEX(技能数据库!$B$2:$I$100,MATCH(无穷阵眼收益计算!$E32,技能数据库!$B$2:$B$100,0),MATCH(K$9,技能数据库!$B$2:$I$2,0))</f>
        <v>0</v>
      </c>
      <c r="L32">
        <f ca="1" t="shared" si="13"/>
        <v>91975</v>
      </c>
      <c r="M32">
        <f ca="1" t="shared" si="73"/>
        <v>19530.5</v>
      </c>
      <c r="N32">
        <f ca="1" t="shared" si="74"/>
        <v>92028</v>
      </c>
      <c r="O32">
        <f ca="1" t="shared" si="54"/>
        <v>571576.3125</v>
      </c>
      <c r="P32">
        <f ca="1">IF(G32="恒定伤害",0,(IF(D32="轻剑",$AZ$2,$AZ$3)+IFERROR(INDEX(技能数据库!$T$2:$W$27,MATCH(E32,技能数据库!$T$2:$T$27,0),4),0)+COUNTIF(G32,"*造化2*")*154+COUNTIF(G32,"*造化1*")*102+COUNTIF(G32,"*碧归*")*307)/1024)</f>
        <v>0.336047834429785</v>
      </c>
      <c r="Q32">
        <f ca="1" t="shared" si="14"/>
        <v>0.448284482196154</v>
      </c>
      <c r="R32">
        <f ca="1" t="shared" si="55"/>
        <v>0.32958230397716</v>
      </c>
      <c r="S32">
        <f ca="1" t="shared" si="75"/>
        <v>741473.401343277</v>
      </c>
      <c r="T32">
        <f t="shared" si="76"/>
        <v>0.8</v>
      </c>
      <c r="U32">
        <f ca="1" t="shared" si="15"/>
        <v>1.7800129648</v>
      </c>
      <c r="V32">
        <f ca="1" t="shared" si="77"/>
        <v>1649044.53503093</v>
      </c>
      <c r="W32">
        <f ca="1">IF(G32="恒定伤害",0,MIN(1,IF(COUNTIF(F32,"*内会*")&gt;0,内会2,IF(D32="轻剑",$Y$2,$Y$3)+COUNTIF(G32,"*莺鸣*")*0.2+COUNTIF(G32,"*叠1*")*0.1+COUNTIF(G32,"*叠2*")*0.2+COUNTIF(G32,"*叠3*")*0.3)+IFERROR(INDEX(技能数据库!$T$2:$W$27,MATCH(E32,技能数据库!$T$2:$T$27,0),2),0)+IF((IF(D32="轻剑",$AO$2,$AO$3)+INT(COUNTIF(G32,"*大莺鸣*")*IF(D32="轻剑",$AM$2,$AM$3)*听晓无双率)/无双系数)&gt;0.9,特效裤子会心/会心系数,0)))</f>
        <v>0.7043</v>
      </c>
      <c r="X32">
        <f ca="1">IF(G32="恒定伤害",0,IF(COUNTIF(F32,"*内会*")&gt;0,内会效2,IF(D32="轻剑",$AB$2,$AB$3))+IFERROR(INDEX(技能数据库!$T$2:$W$27,MATCH(E32,技能数据库!$T$2:$T$27,0),3)/1024,0))+COUNTIF(G32,"*叠1*")*0.25+COUNTIF(G32,"*叠2*")*0.5+COUNTIF(G32,"*叠3*")*0.75</f>
        <v>2.1773735021</v>
      </c>
      <c r="Y32">
        <f ca="1" t="shared" si="78"/>
        <v>1.82922415752903</v>
      </c>
      <c r="Z32">
        <f t="shared" si="16"/>
        <v>0.150390625</v>
      </c>
      <c r="AA32">
        <f ca="1" t="shared" si="79"/>
        <v>0.0205078125</v>
      </c>
      <c r="AB32">
        <f ca="1" t="shared" si="80"/>
        <v>3541285.82021206</v>
      </c>
      <c r="AC32">
        <f ca="1">无穷技能数计算!$AJ24</f>
        <v>0</v>
      </c>
      <c r="AD32" s="164">
        <f ca="1" t="shared" si="81"/>
        <v>0</v>
      </c>
      <c r="AE32" s="168"/>
      <c r="AF32" s="168">
        <f ca="1" t="shared" si="17"/>
        <v>0.7057</v>
      </c>
      <c r="AG32">
        <f ca="1">无穷技能数计算!$AJ24</f>
        <v>0</v>
      </c>
      <c r="AH32">
        <f ca="1" t="shared" si="18"/>
        <v>96007</v>
      </c>
      <c r="AJ32">
        <f ca="1" t="shared" si="19"/>
        <v>2.3765922521</v>
      </c>
      <c r="AK32">
        <f ca="1" t="shared" si="56"/>
        <v>595388.5125</v>
      </c>
      <c r="AL32">
        <f ca="1" t="shared" si="20"/>
        <v>3976746.68064984</v>
      </c>
      <c r="AM32" s="169">
        <f ca="1" t="shared" si="21"/>
        <v>0.7272</v>
      </c>
      <c r="AN32">
        <f ca="1">无穷技能数计算!$AJ24</f>
        <v>0</v>
      </c>
      <c r="AO32" s="170">
        <f ca="1" t="shared" si="22"/>
        <v>4036447.93890133</v>
      </c>
      <c r="AP32">
        <f ca="1" t="shared" si="23"/>
        <v>97084</v>
      </c>
      <c r="AQ32" s="170">
        <f ca="1" t="shared" si="57"/>
        <v>601144.65</v>
      </c>
      <c r="AR32">
        <f ca="1" t="shared" si="24"/>
        <v>3942986.91907786</v>
      </c>
      <c r="AS32">
        <f ca="1" t="shared" si="25"/>
        <v>0.7843</v>
      </c>
      <c r="AT32">
        <f ca="1">无穷技能数计算!$AJ24</f>
        <v>0</v>
      </c>
      <c r="AU32">
        <f ca="1" t="shared" si="26"/>
        <v>2.3238578771</v>
      </c>
      <c r="AV32">
        <f ca="1" t="shared" si="27"/>
        <v>1.7995442148</v>
      </c>
      <c r="AW32">
        <f ca="1" t="shared" si="58"/>
        <v>3973772.82616428</v>
      </c>
      <c r="AX32">
        <f ca="1" t="shared" si="28"/>
        <v>0.7743</v>
      </c>
      <c r="AY32">
        <f ca="1">无穷技能数计算!$AJ24</f>
        <v>0</v>
      </c>
      <c r="AZ32" s="170">
        <f ca="1" t="shared" si="59"/>
        <v>3947963.5439931</v>
      </c>
      <c r="BA32">
        <f ca="1" t="shared" si="29"/>
        <v>0.7643</v>
      </c>
      <c r="BB32">
        <f ca="1">无穷技能数计算!$AJ24</f>
        <v>0</v>
      </c>
      <c r="BC32" s="170">
        <f ca="1" t="shared" si="60"/>
        <v>3922154.26182193</v>
      </c>
      <c r="BE32">
        <f ca="1" t="shared" si="30"/>
        <v>91977</v>
      </c>
      <c r="BF32">
        <f ca="1" t="shared" si="31"/>
        <v>571587.8875</v>
      </c>
      <c r="BI32">
        <f ca="1" t="shared" si="32"/>
        <v>0.7543</v>
      </c>
      <c r="BJ32">
        <f ca="1">无穷技能数计算!$AJ24</f>
        <v>0</v>
      </c>
      <c r="BK32">
        <f ca="1" t="shared" si="33"/>
        <v>3901316.1688826</v>
      </c>
      <c r="BM32">
        <f ca="1" t="shared" si="34"/>
        <v>95358</v>
      </c>
      <c r="BN32">
        <f ca="1" t="shared" si="35"/>
        <v>591155.425</v>
      </c>
      <c r="BO32">
        <f ca="1" t="shared" si="36"/>
        <v>3955541.6519104</v>
      </c>
      <c r="BP32">
        <f ca="1" t="shared" si="37"/>
        <v>3772171.96382453</v>
      </c>
      <c r="BR32">
        <f ca="1" t="shared" si="38"/>
        <v>0.7543</v>
      </c>
      <c r="BS32">
        <f ca="1" t="shared" si="39"/>
        <v>3920923.85184132</v>
      </c>
      <c r="BT32">
        <f ca="1" t="shared" si="40"/>
        <v>0.318170800459405</v>
      </c>
      <c r="BU32">
        <f ca="1" t="shared" si="41"/>
        <v>2.3238578771</v>
      </c>
      <c r="BV32">
        <f ca="1" t="shared" si="61"/>
        <v>3935020.68163618</v>
      </c>
      <c r="BW32">
        <f ca="1" t="shared" si="42"/>
        <v>99155</v>
      </c>
      <c r="BX32">
        <f ca="1" t="shared" si="43"/>
        <v>613130.5625</v>
      </c>
      <c r="BY32">
        <f ca="1" t="shared" si="44"/>
        <v>0.7343</v>
      </c>
      <c r="BZ32">
        <f ca="1">无穷技能数计算!$AJ24</f>
        <v>0</v>
      </c>
      <c r="CA32">
        <f ca="1" t="shared" si="45"/>
        <v>2.3277641271</v>
      </c>
      <c r="CB32">
        <f ca="1" t="shared" si="62"/>
        <v>4101426.00487848</v>
      </c>
      <c r="CC32">
        <f ca="1" t="shared" si="46"/>
        <v>100975</v>
      </c>
      <c r="CD32">
        <f ca="1" t="shared" si="47"/>
        <v>623663.8125</v>
      </c>
      <c r="CE32">
        <f ca="1" t="shared" si="48"/>
        <v>4056452.30783447</v>
      </c>
      <c r="CF32">
        <f ca="1" t="shared" si="49"/>
        <v>2.2750297521</v>
      </c>
      <c r="CG32">
        <f ca="1" t="shared" si="50"/>
        <v>0.7343</v>
      </c>
      <c r="CH32">
        <f ca="1" t="shared" si="63"/>
        <v>3774826.26046713</v>
      </c>
      <c r="CJ32">
        <f ca="1" t="shared" si="51"/>
        <v>591155.425</v>
      </c>
      <c r="CK32">
        <f ca="1" t="shared" si="52"/>
        <v>3937623.2638107</v>
      </c>
      <c r="CL32">
        <f ca="1" t="shared" si="64"/>
        <v>2.2976860021</v>
      </c>
      <c r="CM32">
        <f ca="1">IF(G32="恒定伤害",0,(IF(D32="轻剑",$CM$8,$CM$9)+IFERROR(INDEX(技能数据库!$T$2:$W$27,MATCH(E32,技能数据库!$T$2:$T$27,0),4),0)+COUNTIF(G32,"*造化2*")*154+COUNTIF(G32,"*造化1*")*102+COUNTIF(G32,"*碧归*")*307)/1024)</f>
        <v>0.396594709429785</v>
      </c>
      <c r="CN32">
        <f ca="1" t="shared" si="65"/>
        <v>3979796.93680829</v>
      </c>
      <c r="CO32">
        <f ca="1" t="shared" si="66"/>
        <v>2.3262602208</v>
      </c>
      <c r="CP32">
        <f ca="1" t="shared" si="67"/>
        <v>4022556.26168599</v>
      </c>
      <c r="CQ32">
        <f ca="1" t="shared" si="53"/>
        <v>1.8815754648</v>
      </c>
      <c r="CR32">
        <f ca="1">IF(G32="恒定伤害",0,(IF(D32="轻剑",$CR$8,$CR$9)+IFERROR(INDEX(技能数据库!$T$2:$W$27,MATCH(E32,技能数据库!$T$2:$T$27,0),4),0)+COUNTIF(G32,"*造化2*")*154+COUNTIF(G32,"*造化1*")*102+COUNTIF(G32,"*碧归*")*307)/1024)</f>
        <v>0.386829084429785</v>
      </c>
      <c r="CS32">
        <f ca="1" t="shared" si="68"/>
        <v>3810176.46818528</v>
      </c>
    </row>
    <row r="33" spans="4:97">
      <c r="D33" t="s">
        <v>1825</v>
      </c>
      <c r="E33" t="s">
        <v>2768</v>
      </c>
      <c r="G33" t="s">
        <v>3057</v>
      </c>
      <c r="H33">
        <f ca="1">INDEX(技能数据库!$B$2:$I$100,MATCH(无穷阵眼收益计算!$E33,技能数据库!$B$2:$B$100,0),MATCH(H$9,技能数据库!$B$2:$I$2,0))</f>
        <v>210</v>
      </c>
      <c r="I33">
        <f ca="1">INDEX(技能数据库!$B$2:$I$100,MATCH(无穷阵眼收益计算!$E33,技能数据库!$B$2:$B$100,0),MATCH(I$9,技能数据库!$B$2:$I$2,0))</f>
        <v>5.7875</v>
      </c>
      <c r="J33">
        <f ca="1">INDEX(技能数据库!$B$2:$I$100,MATCH(无穷阵眼收益计算!$E33,技能数据库!$B$2:$B$100,0),MATCH(J$9,技能数据库!$B$2:$I$2,0))</f>
        <v>2</v>
      </c>
      <c r="K33">
        <f ca="1">INDEX(技能数据库!$B$2:$I$100,MATCH(无穷阵眼收益计算!$E33,技能数据库!$B$2:$B$100,0),MATCH(K$9,技能数据库!$B$2:$I$2,0))</f>
        <v>0</v>
      </c>
      <c r="L33">
        <f ca="1" t="shared" si="13"/>
        <v>105847</v>
      </c>
      <c r="M33">
        <f ca="1" t="shared" si="73"/>
        <v>19530.5</v>
      </c>
      <c r="N33">
        <f ca="1" t="shared" si="74"/>
        <v>92028</v>
      </c>
      <c r="O33">
        <f ca="1" t="shared" si="54"/>
        <v>651860.5125</v>
      </c>
      <c r="P33">
        <f ca="1">IF(G33="恒定伤害",0,(IF(D33="轻剑",$AZ$2,$AZ$3)+IFERROR(INDEX(技能数据库!$T$2:$W$27,MATCH(E33,技能数据库!$T$2:$T$27,0),4),0)+COUNTIF(G33,"*造化2*")*154+COUNTIF(G33,"*造化1*")*102+COUNTIF(G33,"*碧归*")*307)/1024)</f>
        <v>0.336047834429785</v>
      </c>
      <c r="Q33">
        <f ca="1" t="shared" si="14"/>
        <v>0.448284482196154</v>
      </c>
      <c r="R33">
        <f ca="1" t="shared" si="55"/>
        <v>0.21277697966198</v>
      </c>
      <c r="S33">
        <f ca="1" t="shared" si="75"/>
        <v>992952.203803482</v>
      </c>
      <c r="T33">
        <f t="shared" si="76"/>
        <v>0.8</v>
      </c>
      <c r="U33">
        <f ca="1" t="shared" si="15"/>
        <v>1.7800129648</v>
      </c>
      <c r="V33">
        <f ca="1" t="shared" si="77"/>
        <v>2208336.00000033</v>
      </c>
      <c r="W33">
        <f ca="1">IF(G33="恒定伤害",0,MIN(1,IF(COUNTIF(F33,"*内会*")&gt;0,内会2,IF(D33="轻剑",$Y$2,$Y$3)+COUNTIF(G33,"*莺鸣*")*0.2+COUNTIF(G33,"*叠1*")*0.1+COUNTIF(G33,"*叠2*")*0.2+COUNTIF(G33,"*叠3*")*0.3)+IFERROR(INDEX(技能数据库!$T$2:$W$27,MATCH(E33,技能数据库!$T$2:$T$27,0),2),0)+IF((IF(D33="轻剑",$AO$2,$AO$3)+INT(COUNTIF(G33,"*大莺鸣*")*IF(D33="轻剑",$AM$2,$AM$3)*听晓无双率)/无双系数)&gt;0.9,特效裤子会心/会心系数,0)))</f>
        <v>0.7043</v>
      </c>
      <c r="X33">
        <f ca="1">IF(G33="恒定伤害",0,IF(COUNTIF(F33,"*内会*")&gt;0,内会效2,IF(D33="轻剑",$AB$2,$AB$3))+IFERROR(INDEX(技能数据库!$T$2:$W$27,MATCH(E33,技能数据库!$T$2:$T$27,0),3)/1024,0))+COUNTIF(G33,"*叠1*")*0.25+COUNTIF(G33,"*叠2*")*0.5+COUNTIF(G33,"*叠3*")*0.75</f>
        <v>2.1773735021</v>
      </c>
      <c r="Y33">
        <f ca="1" t="shared" si="78"/>
        <v>1.82922415752903</v>
      </c>
      <c r="Z33">
        <f t="shared" si="16"/>
        <v>0.150390625</v>
      </c>
      <c r="AA33">
        <f ca="1" t="shared" si="79"/>
        <v>0.0205078125</v>
      </c>
      <c r="AB33">
        <f ca="1" t="shared" si="80"/>
        <v>4742351.58416647</v>
      </c>
      <c r="AC33">
        <f ca="1">无穷技能数计算!$AJ25</f>
        <v>12</v>
      </c>
      <c r="AD33" s="164">
        <f ca="1" t="shared" si="81"/>
        <v>0.0223029446608867</v>
      </c>
      <c r="AE33" s="168"/>
      <c r="AF33" s="168">
        <f ca="1" t="shared" si="17"/>
        <v>0.7057</v>
      </c>
      <c r="AG33">
        <f ca="1">无穷技能数计算!$AJ25</f>
        <v>12</v>
      </c>
      <c r="AH33">
        <f ca="1" t="shared" si="18"/>
        <v>109879</v>
      </c>
      <c r="AJ33">
        <f ca="1" t="shared" si="19"/>
        <v>2.3765922521</v>
      </c>
      <c r="AK33">
        <f ca="1" t="shared" si="56"/>
        <v>675672.7125</v>
      </c>
      <c r="AL33">
        <f ca="1" t="shared" si="20"/>
        <v>5299271.52369075</v>
      </c>
      <c r="AM33" s="169">
        <f ca="1" t="shared" si="21"/>
        <v>0.7272</v>
      </c>
      <c r="AN33">
        <f ca="1">无穷技能数计算!$AJ25</f>
        <v>12</v>
      </c>
      <c r="AO33" s="170">
        <f ca="1" t="shared" si="22"/>
        <v>5378827.30211637</v>
      </c>
      <c r="AP33">
        <f ca="1" t="shared" si="23"/>
        <v>110956</v>
      </c>
      <c r="AQ33" s="170">
        <f ca="1" t="shared" si="57"/>
        <v>681428.85</v>
      </c>
      <c r="AR33">
        <f ca="1" t="shared" si="24"/>
        <v>5248306.41444355</v>
      </c>
      <c r="AS33">
        <f ca="1" t="shared" si="25"/>
        <v>0.7843</v>
      </c>
      <c r="AT33">
        <f ca="1">无穷技能数计算!$AJ25</f>
        <v>12</v>
      </c>
      <c r="AU33">
        <f ca="1" t="shared" si="26"/>
        <v>2.3238578771</v>
      </c>
      <c r="AV33">
        <f ca="1" t="shared" si="27"/>
        <v>1.7995442148</v>
      </c>
      <c r="AW33">
        <f ca="1" t="shared" si="58"/>
        <v>5321521.28182337</v>
      </c>
      <c r="AX33">
        <f ca="1" t="shared" si="28"/>
        <v>0.7743</v>
      </c>
      <c r="AY33">
        <f ca="1">无穷技能数计算!$AJ25</f>
        <v>12</v>
      </c>
      <c r="AZ33" s="170">
        <f ca="1" t="shared" si="59"/>
        <v>5286958.49971409</v>
      </c>
      <c r="BA33">
        <f ca="1" t="shared" si="29"/>
        <v>0.7643</v>
      </c>
      <c r="BB33">
        <f ca="1">无穷技能数计算!$AJ25</f>
        <v>12</v>
      </c>
      <c r="BC33" s="170">
        <f ca="1" t="shared" si="60"/>
        <v>5252395.71760482</v>
      </c>
      <c r="BE33">
        <f ca="1" t="shared" si="30"/>
        <v>105849</v>
      </c>
      <c r="BF33">
        <f ca="1" t="shared" si="31"/>
        <v>651872.0875</v>
      </c>
      <c r="BI33">
        <f ca="1" t="shared" si="32"/>
        <v>0.7543</v>
      </c>
      <c r="BJ33">
        <f ca="1">无穷技能数计算!$AJ25</f>
        <v>12</v>
      </c>
      <c r="BK33">
        <f ca="1" t="shared" si="33"/>
        <v>5224477.12746401</v>
      </c>
      <c r="BM33">
        <f ca="1" t="shared" si="34"/>
        <v>109230</v>
      </c>
      <c r="BN33">
        <f ca="1" t="shared" si="35"/>
        <v>671439.625</v>
      </c>
      <c r="BO33">
        <f ca="1" t="shared" si="36"/>
        <v>5275499.25889062</v>
      </c>
      <c r="BP33">
        <f ca="1" t="shared" si="37"/>
        <v>5030939.41381029</v>
      </c>
      <c r="BR33">
        <f ca="1" t="shared" si="38"/>
        <v>0.7543</v>
      </c>
      <c r="BS33">
        <f ca="1" t="shared" si="39"/>
        <v>5229329.55706972</v>
      </c>
      <c r="BT33">
        <f ca="1" t="shared" si="40"/>
        <v>0.196995876306796</v>
      </c>
      <c r="BU33">
        <f ca="1" t="shared" si="41"/>
        <v>2.3238578771</v>
      </c>
      <c r="BV33">
        <f ca="1" t="shared" si="61"/>
        <v>5285300.08221096</v>
      </c>
      <c r="BW33">
        <f ca="1" t="shared" si="42"/>
        <v>113027</v>
      </c>
      <c r="BX33">
        <f ca="1" t="shared" si="43"/>
        <v>693414.7625</v>
      </c>
      <c r="BY33">
        <f ca="1" t="shared" si="44"/>
        <v>0.7343</v>
      </c>
      <c r="BZ33">
        <f ca="1">无穷技能数计算!$AJ25</f>
        <v>12</v>
      </c>
      <c r="CA33">
        <f ca="1" t="shared" si="45"/>
        <v>2.3277641271</v>
      </c>
      <c r="CB33">
        <f ca="1" t="shared" si="62"/>
        <v>5446622.99833278</v>
      </c>
      <c r="CC33">
        <f ca="1" t="shared" si="46"/>
        <v>114847</v>
      </c>
      <c r="CD33">
        <f ca="1" t="shared" si="47"/>
        <v>703948.0125</v>
      </c>
      <c r="CE33">
        <f ca="1" t="shared" si="48"/>
        <v>5376364.84152783</v>
      </c>
      <c r="CF33">
        <f ca="1" t="shared" si="49"/>
        <v>2.2750297521</v>
      </c>
      <c r="CG33">
        <f ca="1" t="shared" si="50"/>
        <v>0.7343</v>
      </c>
      <c r="CH33">
        <f ca="1" t="shared" si="63"/>
        <v>5055099.81546971</v>
      </c>
      <c r="CJ33">
        <f ca="1" t="shared" si="51"/>
        <v>671439.625</v>
      </c>
      <c r="CK33">
        <f ca="1" t="shared" si="52"/>
        <v>5251601.53477114</v>
      </c>
      <c r="CL33">
        <f ca="1" t="shared" si="64"/>
        <v>2.2976860021</v>
      </c>
      <c r="CM33">
        <f ca="1">IF(G33="恒定伤害",0,(IF(D33="轻剑",$CM$8,$CM$9)+IFERROR(INDEX(技能数据库!$T$2:$W$27,MATCH(E33,技能数据库!$T$2:$T$27,0),4),0)+COUNTIF(G33,"*造化2*")*154+COUNTIF(G33,"*造化1*")*102+COUNTIF(G33,"*碧归*")*307)/1024)</f>
        <v>0.396594709429785</v>
      </c>
      <c r="CN33">
        <f ca="1" t="shared" si="65"/>
        <v>5329588.53538783</v>
      </c>
      <c r="CO33">
        <f ca="1" t="shared" si="66"/>
        <v>2.3262602208</v>
      </c>
      <c r="CP33">
        <f ca="1" t="shared" si="67"/>
        <v>5386850.15231641</v>
      </c>
      <c r="CQ33">
        <f ca="1" t="shared" si="53"/>
        <v>1.8815754648</v>
      </c>
      <c r="CR33">
        <f ca="1">IF(G33="恒定伤害",0,(IF(D33="轻剑",$CR$8,$CR$9)+IFERROR(INDEX(技能数据库!$T$2:$W$27,MATCH(E33,技能数据库!$T$2:$T$27,0),4),0)+COUNTIF(G33,"*造化2*")*154+COUNTIF(G33,"*造化1*")*102+COUNTIF(G33,"*碧归*")*307)/1024)</f>
        <v>0.386829084429785</v>
      </c>
      <c r="CS33">
        <f ca="1" t="shared" si="68"/>
        <v>5102439.4322315</v>
      </c>
    </row>
    <row r="34" spans="4:97">
      <c r="D34" t="s">
        <v>1825</v>
      </c>
      <c r="E34" s="161" t="s">
        <v>2772</v>
      </c>
      <c r="H34">
        <f ca="1">INDEX(技能数据库!$B$2:$I$100,MATCH(无穷阵眼收益计算!$E34,技能数据库!$B$2:$B$100,0),MATCH(H$9,技能数据库!$B$2:$I$2,0))</f>
        <v>0</v>
      </c>
      <c r="I34">
        <f ca="1">INDEX(技能数据库!$B$2:$I$100,MATCH(无穷阵眼收益计算!$E34,技能数据库!$B$2:$B$100,0),MATCH(I$9,技能数据库!$B$2:$I$2,0))</f>
        <v>0</v>
      </c>
      <c r="J34">
        <f ca="1">INDEX(技能数据库!$B$2:$I$100,MATCH(无穷阵眼收益计算!$E34,技能数据库!$B$2:$B$100,0),MATCH(J$9,技能数据库!$B$2:$I$2,0))</f>
        <v>0</v>
      </c>
      <c r="K34">
        <f ca="1">INDEX(技能数据库!$B$2:$I$100,MATCH(无穷阵眼收益计算!$E34,技能数据库!$B$2:$B$100,0),MATCH(K$9,技能数据库!$B$2:$I$2,0))</f>
        <v>0.207999229431152</v>
      </c>
      <c r="L34">
        <f ca="1" t="shared" si="13"/>
        <v>91975</v>
      </c>
      <c r="M34">
        <f ca="1" t="shared" si="73"/>
        <v>19530.5</v>
      </c>
      <c r="N34">
        <f ca="1" t="shared" si="74"/>
        <v>92028</v>
      </c>
      <c r="O34">
        <f ca="1" t="shared" si="54"/>
        <v>163355.720836693</v>
      </c>
      <c r="P34">
        <f ca="1">IF(G34="恒定伤害",0,(IF(D34="轻剑",$AZ$2,$AZ$3)+IFERROR(INDEX(技能数据库!$T$2:$W$27,MATCH(E34,技能数据库!$T$2:$T$27,0),4),0)+COUNTIF(G34,"*造化2*")*154+COUNTIF(G34,"*造化1*")*102+COUNTIF(G34,"*碧归*")*307)/1024)</f>
        <v>0.116321271929785</v>
      </c>
      <c r="Q34">
        <f ca="1" t="shared" si="14"/>
        <v>0.448284482196154</v>
      </c>
      <c r="R34">
        <f ca="1" t="shared" si="55"/>
        <v>0.32958230397716</v>
      </c>
      <c r="S34">
        <f ca="1" t="shared" si="75"/>
        <v>177060.992979356</v>
      </c>
      <c r="T34">
        <f t="shared" si="76"/>
        <v>0.8</v>
      </c>
      <c r="U34">
        <f ca="1" t="shared" si="15"/>
        <v>1.7800129648</v>
      </c>
      <c r="V34">
        <f ca="1" t="shared" si="77"/>
        <v>393785.484834378</v>
      </c>
      <c r="W34">
        <f ca="1">IF(G34="恒定伤害",0,MIN(1,IF(COUNTIF(F34,"*内会*")&gt;0,内会2,IF(D34="轻剑",$Y$2,$Y$3)+COUNTIF(G34,"*莺鸣*")*0.2+COUNTIF(G34,"*叠1*")*0.1+COUNTIF(G34,"*叠2*")*0.2+COUNTIF(G34,"*叠3*")*0.3)+IFERROR(INDEX(技能数据库!$T$2:$W$27,MATCH(E34,技能数据库!$T$2:$T$27,0),2),0)+IF((IF(D34="轻剑",$AO$2,$AO$3)+INT(COUNTIF(G34,"*大莺鸣*")*IF(D34="轻剑",$AM$2,$AM$3)*听晓无双率)/无双系数)&gt;0.9,特效裤子会心/会心系数,0)))</f>
        <v>0.7043</v>
      </c>
      <c r="X34">
        <f ca="1">IF(G34="恒定伤害",0,IF(COUNTIF(F34,"*内会*")&gt;0,内会效2,IF(D34="轻剑",$AB$2,$AB$3))+IFERROR(INDEX(技能数据库!$T$2:$W$27,MATCH(E34,技能数据库!$T$2:$T$27,0),3)/1024,0))+COUNTIF(G34,"*叠1*")*0.25+COUNTIF(G34,"*叠2*")*0.5+COUNTIF(G34,"*叠3*")*0.75</f>
        <v>2.1773735021</v>
      </c>
      <c r="Y34">
        <f ca="1" t="shared" si="78"/>
        <v>1.82922415752903</v>
      </c>
      <c r="Z34">
        <f t="shared" si="16"/>
        <v>0.150390625</v>
      </c>
      <c r="AA34">
        <f ca="1" t="shared" si="79"/>
        <v>0.0205078125</v>
      </c>
      <c r="AB34">
        <f ca="1" t="shared" si="80"/>
        <v>845645.417104007</v>
      </c>
      <c r="AC34">
        <f ca="1">无穷技能数计算!$AJ26</f>
        <v>0</v>
      </c>
      <c r="AD34" s="164">
        <f ca="1" t="shared" si="81"/>
        <v>0</v>
      </c>
      <c r="AE34" s="168"/>
      <c r="AF34" s="168">
        <f ca="1" t="shared" si="17"/>
        <v>0.7057</v>
      </c>
      <c r="AG34">
        <f ca="1">无穷技能数计算!$AJ26</f>
        <v>0</v>
      </c>
      <c r="AH34">
        <f ca="1" t="shared" si="18"/>
        <v>96007</v>
      </c>
      <c r="AJ34">
        <f ca="1" t="shared" si="19"/>
        <v>2.3765922521</v>
      </c>
      <c r="AK34">
        <f ca="1" t="shared" si="56"/>
        <v>163355.720836693</v>
      </c>
      <c r="AL34">
        <f ca="1" t="shared" si="20"/>
        <v>911651.849983382</v>
      </c>
      <c r="AM34" s="169">
        <f ca="1" t="shared" si="21"/>
        <v>0.7272</v>
      </c>
      <c r="AN34">
        <f ca="1">无穷技能数计算!$AJ26</f>
        <v>0</v>
      </c>
      <c r="AO34" s="170">
        <f ca="1" t="shared" si="22"/>
        <v>925338.103321101</v>
      </c>
      <c r="AP34">
        <f ca="1" t="shared" si="23"/>
        <v>97084</v>
      </c>
      <c r="AQ34" s="170">
        <f ca="1" t="shared" si="57"/>
        <v>163355.720836693</v>
      </c>
      <c r="AR34">
        <f ca="1" t="shared" si="24"/>
        <v>895257.341996258</v>
      </c>
      <c r="AS34">
        <f ca="1" t="shared" si="25"/>
        <v>0.7843</v>
      </c>
      <c r="AT34">
        <f ca="1">无穷技能数计算!$AJ26</f>
        <v>0</v>
      </c>
      <c r="AU34">
        <f ca="1" t="shared" si="26"/>
        <v>2.3238578771</v>
      </c>
      <c r="AV34">
        <f ca="1" t="shared" si="27"/>
        <v>1.7995442148</v>
      </c>
      <c r="AW34">
        <f ca="1" t="shared" si="58"/>
        <v>948921.648706974</v>
      </c>
      <c r="AX34">
        <f ca="1" t="shared" si="28"/>
        <v>0.7743</v>
      </c>
      <c r="AY34">
        <f ca="1">无穷技能数计算!$AJ26</f>
        <v>0</v>
      </c>
      <c r="AZ34" s="170">
        <f ca="1" t="shared" si="59"/>
        <v>942758.491510729</v>
      </c>
      <c r="BA34">
        <f ca="1" t="shared" si="29"/>
        <v>0.7643</v>
      </c>
      <c r="BB34">
        <f ca="1">无穷技能数计算!$AJ26</f>
        <v>0</v>
      </c>
      <c r="BC34" s="170">
        <f ca="1" t="shared" si="60"/>
        <v>936595.334314485</v>
      </c>
      <c r="BE34">
        <f ca="1" t="shared" si="30"/>
        <v>91977</v>
      </c>
      <c r="BF34">
        <f ca="1" t="shared" si="31"/>
        <v>163355.720836693</v>
      </c>
      <c r="BI34">
        <f ca="1" t="shared" si="32"/>
        <v>0.7543</v>
      </c>
      <c r="BJ34">
        <f ca="1">无穷技能数计算!$AJ26</f>
        <v>0</v>
      </c>
      <c r="BK34">
        <f ca="1" t="shared" si="33"/>
        <v>931600.412110638</v>
      </c>
      <c r="BM34">
        <f ca="1" t="shared" si="34"/>
        <v>95358</v>
      </c>
      <c r="BN34">
        <f ca="1" t="shared" si="35"/>
        <v>163355.720836693</v>
      </c>
      <c r="BO34">
        <f ca="1" t="shared" si="36"/>
        <v>913283.946926116</v>
      </c>
      <c r="BP34">
        <f ca="1" t="shared" si="37"/>
        <v>870946.23259544</v>
      </c>
      <c r="BR34">
        <f ca="1" t="shared" si="38"/>
        <v>0.7543</v>
      </c>
      <c r="BS34">
        <f ca="1" t="shared" si="39"/>
        <v>905291.139906699</v>
      </c>
      <c r="BT34">
        <f ca="1" t="shared" si="40"/>
        <v>0.318170800459405</v>
      </c>
      <c r="BU34">
        <f ca="1" t="shared" si="41"/>
        <v>2.3238578771</v>
      </c>
      <c r="BV34">
        <f ca="1" t="shared" si="61"/>
        <v>939667.785820193</v>
      </c>
      <c r="BW34">
        <f ca="1" t="shared" si="42"/>
        <v>99155</v>
      </c>
      <c r="BX34">
        <f ca="1" t="shared" si="43"/>
        <v>163355.720836693</v>
      </c>
      <c r="BY34">
        <f ca="1" t="shared" si="44"/>
        <v>0.7343</v>
      </c>
      <c r="BZ34">
        <f ca="1">无穷技能数计算!$AJ26</f>
        <v>0</v>
      </c>
      <c r="CA34">
        <f ca="1" t="shared" si="45"/>
        <v>2.3277641271</v>
      </c>
      <c r="CB34">
        <f ca="1" t="shared" si="62"/>
        <v>913026.656655065</v>
      </c>
      <c r="CC34">
        <f ca="1" t="shared" si="46"/>
        <v>100975</v>
      </c>
      <c r="CD34">
        <f ca="1" t="shared" si="47"/>
        <v>163355.720836693</v>
      </c>
      <c r="CE34">
        <f ca="1" t="shared" si="48"/>
        <v>887763.674216103</v>
      </c>
      <c r="CF34">
        <f ca="1" t="shared" si="49"/>
        <v>2.2750297521</v>
      </c>
      <c r="CG34">
        <f ca="1" t="shared" si="50"/>
        <v>0.7343</v>
      </c>
      <c r="CH34">
        <f ca="1" t="shared" si="63"/>
        <v>901413.974920762</v>
      </c>
      <c r="CJ34">
        <f ca="1" t="shared" si="51"/>
        <v>168089.820322409</v>
      </c>
      <c r="CK34">
        <f ca="1" t="shared" si="52"/>
        <v>935494.177422756</v>
      </c>
      <c r="CL34">
        <f ca="1" t="shared" si="64"/>
        <v>2.2976860021</v>
      </c>
      <c r="CM34">
        <f ca="1">IF(G34="恒定伤害",0,(IF(D34="轻剑",$CM$8,$CM$9)+IFERROR(INDEX(技能数据库!$T$2:$W$27,MATCH(E34,技能数据库!$T$2:$T$27,0),4),0)+COUNTIF(G34,"*造化2*")*154+COUNTIF(G34,"*造化1*")*102+COUNTIF(G34,"*碧归*")*307)/1024)</f>
        <v>0.176868146929785</v>
      </c>
      <c r="CN34">
        <f ca="1" t="shared" si="65"/>
        <v>958469.848494748</v>
      </c>
      <c r="CO34">
        <f ca="1" t="shared" si="66"/>
        <v>2.3262602208</v>
      </c>
      <c r="CP34">
        <f ca="1" t="shared" si="67"/>
        <v>968767.741650604</v>
      </c>
      <c r="CQ34">
        <f ca="1" t="shared" si="53"/>
        <v>1.8815754648</v>
      </c>
      <c r="CR34">
        <f ca="1">IF(G34="恒定伤害",0,(IF(D34="轻剑",$CR$8,$CR$9)+IFERROR(INDEX(技能数据库!$T$2:$W$27,MATCH(E34,技能数据库!$T$2:$T$27,0),4),0)+COUNTIF(G34,"*造化2*")*154+COUNTIF(G34,"*造化1*")*102+COUNTIF(G34,"*碧归*")*307)/1024)</f>
        <v>0.167102521929785</v>
      </c>
      <c r="CS34">
        <f ca="1" t="shared" si="68"/>
        <v>916413.087943398</v>
      </c>
    </row>
    <row r="35" spans="4:97">
      <c r="D35" t="s">
        <v>1825</v>
      </c>
      <c r="E35" s="161" t="s">
        <v>2772</v>
      </c>
      <c r="G35" t="s">
        <v>2750</v>
      </c>
      <c r="H35">
        <f ca="1">INDEX(技能数据库!$B$2:$I$100,MATCH(无穷阵眼收益计算!$E35,技能数据库!$B$2:$B$100,0),MATCH(H$9,技能数据库!$B$2:$I$2,0))</f>
        <v>0</v>
      </c>
      <c r="I35">
        <f ca="1">INDEX(技能数据库!$B$2:$I$100,MATCH(无穷阵眼收益计算!$E35,技能数据库!$B$2:$B$100,0),MATCH(I$9,技能数据库!$B$2:$I$2,0))</f>
        <v>0</v>
      </c>
      <c r="J35">
        <f ca="1">INDEX(技能数据库!$B$2:$I$100,MATCH(无穷阵眼收益计算!$E35,技能数据库!$B$2:$B$100,0),MATCH(J$9,技能数据库!$B$2:$I$2,0))</f>
        <v>0</v>
      </c>
      <c r="K35">
        <f ca="1">INDEX(技能数据库!$B$2:$I$100,MATCH(无穷阵眼收益计算!$E35,技能数据库!$B$2:$B$100,0),MATCH(K$9,技能数据库!$B$2:$I$2,0))</f>
        <v>0.207999229431152</v>
      </c>
      <c r="L35">
        <f ca="1" t="shared" si="13"/>
        <v>105847</v>
      </c>
      <c r="M35">
        <f ca="1" t="shared" si="73"/>
        <v>19530.5</v>
      </c>
      <c r="N35">
        <f ca="1" t="shared" si="74"/>
        <v>92028</v>
      </c>
      <c r="O35">
        <f ca="1" t="shared" si="54"/>
        <v>163355.720836693</v>
      </c>
      <c r="P35">
        <f ca="1">IF(G35="恒定伤害",0,(IF(D35="轻剑",$AZ$2,$AZ$3)+IFERROR(INDEX(技能数据库!$T$2:$W$27,MATCH(E35,技能数据库!$T$2:$T$27,0),4),0)+COUNTIF(G35,"*造化2*")*154+COUNTIF(G35,"*造化1*")*102+COUNTIF(G35,"*碧归*")*307)/1024)</f>
        <v>0.116321271929785</v>
      </c>
      <c r="Q35">
        <f ca="1" t="shared" si="14"/>
        <v>0.448284482196154</v>
      </c>
      <c r="R35">
        <f ca="1" t="shared" si="55"/>
        <v>0.21277697966198</v>
      </c>
      <c r="S35">
        <f ca="1" t="shared" si="75"/>
        <v>207909.920194751</v>
      </c>
      <c r="T35">
        <f t="shared" si="76"/>
        <v>0.8</v>
      </c>
      <c r="U35">
        <f ca="1" t="shared" si="15"/>
        <v>1.7800129648</v>
      </c>
      <c r="V35">
        <f ca="1" t="shared" si="77"/>
        <v>462393.818921554</v>
      </c>
      <c r="W35">
        <f ca="1">IF(G35="恒定伤害",0,MIN(1,IF(COUNTIF(F35,"*内会*")&gt;0,内会2,IF(D35="轻剑",$Y$2,$Y$3)+COUNTIF(G35,"*莺鸣*")*0.2+COUNTIF(G35,"*叠1*")*0.1+COUNTIF(G35,"*叠2*")*0.2+COUNTIF(G35,"*叠3*")*0.3)+IFERROR(INDEX(技能数据库!$T$2:$W$27,MATCH(E35,技能数据库!$T$2:$T$27,0),2),0)+IF((IF(D35="轻剑",$AO$2,$AO$3)+INT(COUNTIF(G35,"*大莺鸣*")*IF(D35="轻剑",$AM$2,$AM$3)*听晓无双率)/无双系数)&gt;0.9,特效裤子会心/会心系数,0)))</f>
        <v>0.7043</v>
      </c>
      <c r="X35">
        <f ca="1">IF(G35="恒定伤害",0,IF(COUNTIF(F35,"*内会*")&gt;0,内会效2,IF(D35="轻剑",$AB$2,$AB$3))+IFERROR(INDEX(技能数据库!$T$2:$W$27,MATCH(E35,技能数据库!$T$2:$T$27,0),3)/1024,0))+COUNTIF(G35,"*叠1*")*0.25+COUNTIF(G35,"*叠2*")*0.5+COUNTIF(G35,"*叠3*")*0.75</f>
        <v>2.1773735021</v>
      </c>
      <c r="Y35">
        <f ca="1" t="shared" si="78"/>
        <v>1.82922415752903</v>
      </c>
      <c r="Z35">
        <f t="shared" si="16"/>
        <v>0.150390625</v>
      </c>
      <c r="AA35">
        <f ca="1" t="shared" si="79"/>
        <v>0.0205078125</v>
      </c>
      <c r="AB35">
        <f ca="1" t="shared" si="80"/>
        <v>992980.261912629</v>
      </c>
      <c r="AC35">
        <f ca="1">无穷技能数计算!$AJ27</f>
        <v>48</v>
      </c>
      <c r="AD35" s="164">
        <f ca="1" t="shared" si="81"/>
        <v>0.0186796642448286</v>
      </c>
      <c r="AE35" s="168"/>
      <c r="AF35" s="168">
        <f ca="1" t="shared" si="17"/>
        <v>0.7057</v>
      </c>
      <c r="AG35">
        <f ca="1">无穷技能数计算!$AJ27</f>
        <v>48</v>
      </c>
      <c r="AH35">
        <f ca="1" t="shared" si="18"/>
        <v>109879</v>
      </c>
      <c r="AJ35">
        <f ca="1" t="shared" si="19"/>
        <v>2.3765922521</v>
      </c>
      <c r="AK35">
        <f ca="1" t="shared" si="56"/>
        <v>163355.720836693</v>
      </c>
      <c r="AL35">
        <f ca="1" t="shared" si="20"/>
        <v>1070486.84290131</v>
      </c>
      <c r="AM35" s="169">
        <f ca="1" t="shared" si="21"/>
        <v>0.7272</v>
      </c>
      <c r="AN35">
        <f ca="1">无穷技能数计算!$AJ27</f>
        <v>48</v>
      </c>
      <c r="AO35" s="170">
        <f ca="1" t="shared" si="22"/>
        <v>1086557.62049794</v>
      </c>
      <c r="AP35">
        <f ca="1" t="shared" si="23"/>
        <v>110956</v>
      </c>
      <c r="AQ35" s="170">
        <f ca="1" t="shared" si="57"/>
        <v>163355.720836693</v>
      </c>
      <c r="AR35">
        <f ca="1" t="shared" si="24"/>
        <v>1051235.95771265</v>
      </c>
      <c r="AS35">
        <f ca="1" t="shared" si="25"/>
        <v>0.7843</v>
      </c>
      <c r="AT35">
        <f ca="1">无穷技能数计算!$AJ27</f>
        <v>48</v>
      </c>
      <c r="AU35">
        <f ca="1" t="shared" si="26"/>
        <v>2.3238578771</v>
      </c>
      <c r="AV35">
        <f ca="1" t="shared" si="27"/>
        <v>1.7995442148</v>
      </c>
      <c r="AW35">
        <f ca="1" t="shared" si="58"/>
        <v>1114250.07244109</v>
      </c>
      <c r="AX35">
        <f ca="1" t="shared" si="28"/>
        <v>0.7743</v>
      </c>
      <c r="AY35">
        <f ca="1">无穷技能数计算!$AJ27</f>
        <v>48</v>
      </c>
      <c r="AZ35" s="170">
        <f ca="1" t="shared" si="59"/>
        <v>1107013.12262364</v>
      </c>
      <c r="BA35">
        <f ca="1" t="shared" si="29"/>
        <v>0.7643</v>
      </c>
      <c r="BB35">
        <f ca="1">无穷技能数计算!$AJ27</f>
        <v>48</v>
      </c>
      <c r="BC35" s="170">
        <f ca="1" t="shared" si="60"/>
        <v>1099776.1728062</v>
      </c>
      <c r="BE35">
        <f ca="1" t="shared" si="30"/>
        <v>105849</v>
      </c>
      <c r="BF35">
        <f ca="1" t="shared" si="31"/>
        <v>163355.720836693</v>
      </c>
      <c r="BI35">
        <f ca="1" t="shared" si="32"/>
        <v>0.7543</v>
      </c>
      <c r="BJ35">
        <f ca="1">无穷技能数计算!$AJ27</f>
        <v>48</v>
      </c>
      <c r="BK35">
        <f ca="1" t="shared" si="33"/>
        <v>1093910.99686142</v>
      </c>
      <c r="BM35">
        <f ca="1" t="shared" si="34"/>
        <v>109230</v>
      </c>
      <c r="BN35">
        <f ca="1" t="shared" si="35"/>
        <v>163355.720836693</v>
      </c>
      <c r="BO35">
        <f ca="1" t="shared" si="36"/>
        <v>1072403.29631888</v>
      </c>
      <c r="BP35">
        <f ca="1" t="shared" si="37"/>
        <v>1022689.1799593</v>
      </c>
      <c r="BR35">
        <f ca="1" t="shared" si="38"/>
        <v>0.7543</v>
      </c>
      <c r="BS35">
        <f ca="1" t="shared" si="39"/>
        <v>1063017.92102206</v>
      </c>
      <c r="BT35">
        <f ca="1" t="shared" si="40"/>
        <v>0.196995876306796</v>
      </c>
      <c r="BU35">
        <f ca="1" t="shared" si="41"/>
        <v>2.3238578771</v>
      </c>
      <c r="BV35">
        <f ca="1" t="shared" si="61"/>
        <v>1106665.87383422</v>
      </c>
      <c r="BW35">
        <f ca="1" t="shared" si="42"/>
        <v>113027</v>
      </c>
      <c r="BX35">
        <f ca="1" t="shared" si="43"/>
        <v>163355.720836693</v>
      </c>
      <c r="BY35">
        <f ca="1" t="shared" si="44"/>
        <v>0.7343</v>
      </c>
      <c r="BZ35">
        <f ca="1">无穷技能数计算!$AJ27</f>
        <v>48</v>
      </c>
      <c r="CA35">
        <f ca="1" t="shared" si="45"/>
        <v>2.3277641271</v>
      </c>
      <c r="CB35">
        <f ca="1" t="shared" si="62"/>
        <v>1072101.17895909</v>
      </c>
      <c r="CC35">
        <f ca="1" t="shared" si="46"/>
        <v>114847</v>
      </c>
      <c r="CD35">
        <f ca="1" t="shared" si="47"/>
        <v>163355.720836693</v>
      </c>
      <c r="CE35">
        <f ca="1" t="shared" si="48"/>
        <v>1042436.6855301</v>
      </c>
      <c r="CF35">
        <f ca="1" t="shared" si="49"/>
        <v>2.2750297521</v>
      </c>
      <c r="CG35">
        <f ca="1" t="shared" si="50"/>
        <v>0.7343</v>
      </c>
      <c r="CH35">
        <f ca="1" t="shared" si="63"/>
        <v>1058465.24654959</v>
      </c>
      <c r="CJ35">
        <f ca="1" t="shared" si="51"/>
        <v>168089.820322409</v>
      </c>
      <c r="CK35">
        <f ca="1" t="shared" si="52"/>
        <v>1098483.1638965</v>
      </c>
      <c r="CL35">
        <f ca="1" t="shared" si="64"/>
        <v>2.2976860021</v>
      </c>
      <c r="CM35">
        <f ca="1">IF(G35="恒定伤害",0,(IF(D35="轻剑",$CM$8,$CM$9)+IFERROR(INDEX(技能数据库!$T$2:$W$27,MATCH(E35,技能数据库!$T$2:$T$27,0),4),0)+COUNTIF(G35,"*造化2*")*154+COUNTIF(G35,"*造化1*")*102+COUNTIF(G35,"*碧归*")*307)/1024)</f>
        <v>0.176868146929785</v>
      </c>
      <c r="CN35">
        <f ca="1" t="shared" si="65"/>
        <v>1125461.83299024</v>
      </c>
      <c r="CO35">
        <f ca="1" t="shared" si="66"/>
        <v>2.3262602208</v>
      </c>
      <c r="CP35">
        <f ca="1" t="shared" si="67"/>
        <v>1137553.90424875</v>
      </c>
      <c r="CQ35">
        <f ca="1" t="shared" si="53"/>
        <v>1.8815754648</v>
      </c>
      <c r="CR35">
        <f ca="1">IF(G35="恒定伤害",0,(IF(D35="轻剑",$CR$8,$CR$9)+IFERROR(INDEX(技能数据库!$T$2:$W$27,MATCH(E35,技能数据库!$T$2:$T$27,0),4),0)+COUNTIF(G35,"*造化2*")*154+COUNTIF(G35,"*造化1*")*102+COUNTIF(G35,"*碧归*")*307)/1024)</f>
        <v>0.167102521929785</v>
      </c>
      <c r="CS35">
        <f ca="1" t="shared" si="68"/>
        <v>1076077.62033703</v>
      </c>
    </row>
    <row r="36" spans="4:97">
      <c r="D36" t="s">
        <v>1825</v>
      </c>
      <c r="E36" s="161" t="s">
        <v>2772</v>
      </c>
      <c r="G36" t="s">
        <v>2948</v>
      </c>
      <c r="H36">
        <f ca="1">INDEX(技能数据库!$B$2:$I$100,MATCH(无穷阵眼收益计算!$E36,技能数据库!$B$2:$B$100,0),MATCH(H$9,技能数据库!$B$2:$I$2,0))</f>
        <v>0</v>
      </c>
      <c r="I36">
        <f ca="1">INDEX(技能数据库!$B$2:$I$100,MATCH(无穷阵眼收益计算!$E36,技能数据库!$B$2:$B$100,0),MATCH(I$9,技能数据库!$B$2:$I$2,0))</f>
        <v>0</v>
      </c>
      <c r="J36">
        <f ca="1">INDEX(技能数据库!$B$2:$I$100,MATCH(无穷阵眼收益计算!$E36,技能数据库!$B$2:$B$100,0),MATCH(J$9,技能数据库!$B$2:$I$2,0))</f>
        <v>0</v>
      </c>
      <c r="K36">
        <f ca="1">INDEX(技能数据库!$B$2:$I$100,MATCH(无穷阵眼收益计算!$E36,技能数据库!$B$2:$B$100,0),MATCH(K$9,技能数据库!$B$2:$I$2,0))</f>
        <v>0.207999229431152</v>
      </c>
      <c r="L36">
        <f ca="1" t="shared" si="13"/>
        <v>91975</v>
      </c>
      <c r="M36">
        <f ca="1" t="shared" si="73"/>
        <v>19530.5</v>
      </c>
      <c r="N36">
        <f ca="1" t="shared" si="74"/>
        <v>92028</v>
      </c>
      <c r="O36">
        <f ca="1" t="shared" si="54"/>
        <v>163355.720836693</v>
      </c>
      <c r="P36">
        <f ca="1">IF(G36="恒定伤害",0,(IF(D36="轻剑",$AZ$2,$AZ$3)+IFERROR(INDEX(技能数据库!$T$2:$W$27,MATCH(E36,技能数据库!$T$2:$T$27,0),4),0)+COUNTIF(G36,"*造化2*")*154+COUNTIF(G36,"*造化1*")*102+COUNTIF(G36,"*碧归*")*307)/1024)</f>
        <v>0.116321271929785</v>
      </c>
      <c r="Q36">
        <f ca="1" t="shared" si="14"/>
        <v>0.448284482196154</v>
      </c>
      <c r="R36">
        <f ca="1" t="shared" si="55"/>
        <v>0.32958230397716</v>
      </c>
      <c r="S36">
        <f ca="1" t="shared" si="75"/>
        <v>177060.992979356</v>
      </c>
      <c r="T36">
        <f t="shared" si="76"/>
        <v>0.8</v>
      </c>
      <c r="U36">
        <f ca="1" t="shared" si="15"/>
        <v>2.67001635480339</v>
      </c>
      <c r="V36">
        <f ca="1" t="shared" si="77"/>
        <v>519853.392025573</v>
      </c>
      <c r="W36">
        <f ca="1">IF(G36="恒定伤害",0,MIN(1,IF(COUNTIF(F36,"*内会*")&gt;0,内会2,IF(D36="轻剑",$Y$2,$Y$3)+COUNTIF(G36,"*莺鸣*")*0.2+COUNTIF(G36,"*叠1*")*0.1+COUNTIF(G36,"*叠2*")*0.2+COUNTIF(G36,"*叠3*")*0.3)+IFERROR(INDEX(技能数据库!$T$2:$W$27,MATCH(E36,技能数据库!$T$2:$T$27,0),2),0)+IF((IF(D36="轻剑",$AO$2,$AO$3)+INT(COUNTIF(G36,"*大莺鸣*")*IF(D36="轻剑",$AM$2,$AM$3)*听晓无双率)/无双系数)&gt;0.9,特效裤子会心/会心系数,0)))</f>
        <v>0.9043</v>
      </c>
      <c r="X36">
        <f ca="1">IF(G36="恒定伤害",0,IF(COUNTIF(F36,"*内会*")&gt;0,内会效2,IF(D36="轻剑",$AB$2,$AB$3))+IFERROR(INDEX(技能数据库!$T$2:$W$27,MATCH(E36,技能数据库!$T$2:$T$27,0),3)/1024,0))+COUNTIF(G36,"*叠1*")*0.25+COUNTIF(G36,"*叠2*")*0.5+COUNTIF(G36,"*叠3*")*0.75</f>
        <v>2.1773735021</v>
      </c>
      <c r="Y36">
        <f ca="1" t="shared" si="78"/>
        <v>2.06469885794903</v>
      </c>
      <c r="Z36">
        <f t="shared" si="16"/>
        <v>0.150390625</v>
      </c>
      <c r="AA36">
        <f ca="1" t="shared" si="79"/>
        <v>0.0205078125</v>
      </c>
      <c r="AB36">
        <f ca="1" t="shared" si="80"/>
        <v>1260083.33304949</v>
      </c>
      <c r="AC36">
        <f ca="1">无穷技能数计算!$AJ28</f>
        <v>0</v>
      </c>
      <c r="AD36" s="164">
        <f ca="1" t="shared" si="81"/>
        <v>0</v>
      </c>
      <c r="AE36" s="168"/>
      <c r="AF36" s="168">
        <f ca="1" t="shared" si="17"/>
        <v>0.9057</v>
      </c>
      <c r="AG36">
        <f ca="1">无穷技能数计算!$AJ28</f>
        <v>0</v>
      </c>
      <c r="AH36">
        <f ca="1" t="shared" si="18"/>
        <v>96007</v>
      </c>
      <c r="AJ36">
        <f ca="1" t="shared" si="19"/>
        <v>2.3765922521</v>
      </c>
      <c r="AK36">
        <f ca="1" t="shared" si="56"/>
        <v>163355.720836693</v>
      </c>
      <c r="AL36">
        <f ca="1" t="shared" si="20"/>
        <v>1371584.10879777</v>
      </c>
      <c r="AM36" s="169">
        <f ca="1" t="shared" si="21"/>
        <v>0.9272</v>
      </c>
      <c r="AN36">
        <f ca="1">无穷技能数计算!$AJ28</f>
        <v>0</v>
      </c>
      <c r="AO36" s="170">
        <f ca="1" t="shared" si="22"/>
        <v>1389651.92870416</v>
      </c>
      <c r="AP36">
        <f ca="1" t="shared" si="23"/>
        <v>97084</v>
      </c>
      <c r="AQ36" s="170">
        <f ca="1" t="shared" si="57"/>
        <v>163355.720836693</v>
      </c>
      <c r="AR36">
        <f ca="1" t="shared" si="24"/>
        <v>1334009.30534568</v>
      </c>
      <c r="AS36">
        <f ca="1" t="shared" si="25"/>
        <v>0.9843</v>
      </c>
      <c r="AT36">
        <f ca="1">无穷技能数计算!$AJ28</f>
        <v>0</v>
      </c>
      <c r="AU36">
        <f ca="1" t="shared" si="26"/>
        <v>2.3238578771</v>
      </c>
      <c r="AV36">
        <f ca="1" t="shared" si="27"/>
        <v>2.68954760480339</v>
      </c>
      <c r="AW36">
        <f ca="1" t="shared" si="58"/>
        <v>1413043.17061629</v>
      </c>
      <c r="AX36">
        <f ca="1" t="shared" si="28"/>
        <v>0.9743</v>
      </c>
      <c r="AY36">
        <f ca="1">无穷技能数计算!$AJ28</f>
        <v>0</v>
      </c>
      <c r="AZ36" s="170">
        <f ca="1" t="shared" si="59"/>
        <v>1404920.68348027</v>
      </c>
      <c r="BA36">
        <f ca="1" t="shared" si="29"/>
        <v>0.9643</v>
      </c>
      <c r="BB36">
        <f ca="1">无穷技能数计算!$AJ28</f>
        <v>0</v>
      </c>
      <c r="BC36" s="170">
        <f ca="1" t="shared" si="60"/>
        <v>1396798.19634425</v>
      </c>
      <c r="BE36">
        <f ca="1" t="shared" si="30"/>
        <v>91977</v>
      </c>
      <c r="BF36">
        <f ca="1" t="shared" si="31"/>
        <v>163355.720836693</v>
      </c>
      <c r="BI36">
        <f ca="1" t="shared" si="32"/>
        <v>0.9543</v>
      </c>
      <c r="BJ36">
        <f ca="1">无穷技能数计算!$AJ28</f>
        <v>0</v>
      </c>
      <c r="BK36">
        <f ca="1" t="shared" si="33"/>
        <v>1380887.16353151</v>
      </c>
      <c r="BM36">
        <f ca="1" t="shared" si="34"/>
        <v>95358</v>
      </c>
      <c r="BN36">
        <f ca="1" t="shared" si="35"/>
        <v>163355.720836693</v>
      </c>
      <c r="BO36">
        <f ca="1" t="shared" si="36"/>
        <v>1360870.47429918</v>
      </c>
      <c r="BP36">
        <f ca="1" t="shared" si="37"/>
        <v>1297783.69216986</v>
      </c>
      <c r="BR36">
        <f ca="1" t="shared" si="38"/>
        <v>0.9543</v>
      </c>
      <c r="BS36">
        <f ca="1" t="shared" si="39"/>
        <v>1341889.6107224</v>
      </c>
      <c r="BT36">
        <f ca="1" t="shared" si="40"/>
        <v>0.318170800459405</v>
      </c>
      <c r="BU36">
        <f ca="1" t="shared" si="41"/>
        <v>2.3238578771</v>
      </c>
      <c r="BV36">
        <f ca="1" t="shared" si="61"/>
        <v>1404836.7093132</v>
      </c>
      <c r="BW36">
        <f ca="1" t="shared" si="42"/>
        <v>99155</v>
      </c>
      <c r="BX36">
        <f ca="1" t="shared" si="43"/>
        <v>163355.720836693</v>
      </c>
      <c r="BY36">
        <f ca="1" t="shared" si="44"/>
        <v>0.9343</v>
      </c>
      <c r="BZ36">
        <f ca="1">无穷技能数计算!$AJ28</f>
        <v>0</v>
      </c>
      <c r="CA36">
        <f ca="1" t="shared" si="45"/>
        <v>2.3277641271</v>
      </c>
      <c r="CB36">
        <f ca="1" t="shared" si="62"/>
        <v>1367392.89098085</v>
      </c>
      <c r="CC36">
        <f ca="1" t="shared" si="46"/>
        <v>100975</v>
      </c>
      <c r="CD36">
        <f ca="1" t="shared" si="47"/>
        <v>163355.720836693</v>
      </c>
      <c r="CE36">
        <f ca="1" t="shared" si="48"/>
        <v>1319985.13028374</v>
      </c>
      <c r="CF36">
        <f ca="1" t="shared" si="49"/>
        <v>2.2750297521</v>
      </c>
      <c r="CG36">
        <f ca="1" t="shared" si="50"/>
        <v>0.9343</v>
      </c>
      <c r="CH36">
        <f ca="1" t="shared" si="63"/>
        <v>1344440.65976205</v>
      </c>
      <c r="CJ36">
        <f ca="1" t="shared" si="51"/>
        <v>168089.820322409</v>
      </c>
      <c r="CK36">
        <f ca="1" t="shared" si="52"/>
        <v>1393965.59987539</v>
      </c>
      <c r="CL36">
        <f ca="1" t="shared" si="64"/>
        <v>2.2976860021</v>
      </c>
      <c r="CM36">
        <f ca="1">IF(G36="恒定伤害",0,(IF(D36="轻剑",$CM$8,$CM$9)+IFERROR(INDEX(技能数据库!$T$2:$W$27,MATCH(E36,技能数据库!$T$2:$T$27,0),4),0)+COUNTIF(G36,"*造化2*")*154+COUNTIF(G36,"*造化1*")*102+COUNTIF(G36,"*碧归*")*307)/1024)</f>
        <v>0.176868146929785</v>
      </c>
      <c r="CN36">
        <f ca="1" t="shared" si="65"/>
        <v>1431052.04516654</v>
      </c>
      <c r="CO36">
        <f ca="1" t="shared" si="66"/>
        <v>2.3262602208</v>
      </c>
      <c r="CP36">
        <f ca="1" t="shared" si="67"/>
        <v>1448320.2419658</v>
      </c>
      <c r="CQ36">
        <f ca="1" t="shared" si="53"/>
        <v>2.77157885480339</v>
      </c>
      <c r="CR36">
        <f ca="1">IF(G36="恒定伤害",0,(IF(D36="轻剑",$CR$8,$CR$9)+IFERROR(INDEX(技能数据库!$T$2:$W$27,MATCH(E36,技能数据库!$T$2:$T$27,0),4),0)+COUNTIF(G36,"*造化2*")*154+COUNTIF(G36,"*造化1*")*102+COUNTIF(G36,"*碧归*")*307)/1024)</f>
        <v>0.167102521929785</v>
      </c>
      <c r="CS36">
        <f ca="1" t="shared" si="68"/>
        <v>1353861.58910425</v>
      </c>
    </row>
    <row r="37" spans="4:97">
      <c r="D37" t="s">
        <v>1825</v>
      </c>
      <c r="E37" s="161" t="s">
        <v>2772</v>
      </c>
      <c r="G37" t="s">
        <v>3044</v>
      </c>
      <c r="H37">
        <f ca="1">INDEX(技能数据库!$B$2:$I$100,MATCH(无穷阵眼收益计算!$E37,技能数据库!$B$2:$B$100,0),MATCH(H$9,技能数据库!$B$2:$I$2,0))</f>
        <v>0</v>
      </c>
      <c r="I37">
        <f ca="1">INDEX(技能数据库!$B$2:$I$100,MATCH(无穷阵眼收益计算!$E37,技能数据库!$B$2:$B$100,0),MATCH(I$9,技能数据库!$B$2:$I$2,0))</f>
        <v>0</v>
      </c>
      <c r="J37">
        <f ca="1">INDEX(技能数据库!$B$2:$I$100,MATCH(无穷阵眼收益计算!$E37,技能数据库!$B$2:$B$100,0),MATCH(J$9,技能数据库!$B$2:$I$2,0))</f>
        <v>0</v>
      </c>
      <c r="K37">
        <f ca="1">INDEX(技能数据库!$B$2:$I$100,MATCH(无穷阵眼收益计算!$E37,技能数据库!$B$2:$B$100,0),MATCH(K$9,技能数据库!$B$2:$I$2,0))</f>
        <v>0.207999229431152</v>
      </c>
      <c r="L37">
        <f ca="1" t="shared" si="13"/>
        <v>105847</v>
      </c>
      <c r="M37">
        <f ca="1" t="shared" si="73"/>
        <v>19530.5</v>
      </c>
      <c r="N37">
        <f ca="1" t="shared" si="74"/>
        <v>92028</v>
      </c>
      <c r="O37">
        <f ca="1" t="shared" si="54"/>
        <v>163355.720836693</v>
      </c>
      <c r="P37">
        <f ca="1">IF(G37="恒定伤害",0,(IF(D37="轻剑",$AZ$2,$AZ$3)+IFERROR(INDEX(技能数据库!$T$2:$W$27,MATCH(E37,技能数据库!$T$2:$T$27,0),4),0)+COUNTIF(G37,"*造化2*")*154+COUNTIF(G37,"*造化1*")*102+COUNTIF(G37,"*碧归*")*307)/1024)</f>
        <v>0.116321271929785</v>
      </c>
      <c r="Q37">
        <f ca="1" t="shared" si="14"/>
        <v>0.448284482196154</v>
      </c>
      <c r="R37">
        <f ca="1" t="shared" si="55"/>
        <v>0.21277697966198</v>
      </c>
      <c r="S37">
        <f ca="1" t="shared" si="75"/>
        <v>207909.920194751</v>
      </c>
      <c r="T37">
        <f t="shared" si="76"/>
        <v>0.8</v>
      </c>
      <c r="U37">
        <f ca="1" t="shared" si="15"/>
        <v>2.67001635480339</v>
      </c>
      <c r="V37">
        <f ca="1" t="shared" si="77"/>
        <v>610426.245952484</v>
      </c>
      <c r="W37">
        <f ca="1">IF(G37="恒定伤害",0,MIN(1,IF(COUNTIF(F37,"*内会*")&gt;0,内会2,IF(D37="轻剑",$Y$2,$Y$3)+COUNTIF(G37,"*莺鸣*")*0.2+COUNTIF(G37,"*叠1*")*0.1+COUNTIF(G37,"*叠2*")*0.2+COUNTIF(G37,"*叠3*")*0.3)+IFERROR(INDEX(技能数据库!$T$2:$W$27,MATCH(E37,技能数据库!$T$2:$T$27,0),2),0)+IF((IF(D37="轻剑",$AO$2,$AO$3)+INT(COUNTIF(G37,"*大莺鸣*")*IF(D37="轻剑",$AM$2,$AM$3)*听晓无双率)/无双系数)&gt;0.9,特效裤子会心/会心系数,0)))</f>
        <v>0.9043</v>
      </c>
      <c r="X37">
        <f ca="1">IF(G37="恒定伤害",0,IF(COUNTIF(F37,"*内会*")&gt;0,内会效2,IF(D37="轻剑",$AB$2,$AB$3))+IFERROR(INDEX(技能数据库!$T$2:$W$27,MATCH(E37,技能数据库!$T$2:$T$27,0),3)/1024,0))+COUNTIF(G37,"*叠1*")*0.25+COUNTIF(G37,"*叠2*")*0.5+COUNTIF(G37,"*叠3*")*0.75</f>
        <v>2.1773735021</v>
      </c>
      <c r="Y37">
        <f ca="1" t="shared" si="78"/>
        <v>2.06469885794903</v>
      </c>
      <c r="Z37">
        <f t="shared" si="16"/>
        <v>0.150390625</v>
      </c>
      <c r="AA37">
        <f ca="1" t="shared" si="79"/>
        <v>0.0205078125</v>
      </c>
      <c r="AB37">
        <f ca="1" t="shared" si="80"/>
        <v>1479624.73724295</v>
      </c>
      <c r="AC37">
        <f ca="1">无穷技能数计算!$AJ29</f>
        <v>0</v>
      </c>
      <c r="AD37" s="164">
        <f ca="1" t="shared" si="81"/>
        <v>0</v>
      </c>
      <c r="AE37" s="168"/>
      <c r="AF37" s="168">
        <f ca="1" t="shared" si="17"/>
        <v>0.9057</v>
      </c>
      <c r="AG37">
        <f ca="1">无穷技能数计算!$AJ29</f>
        <v>0</v>
      </c>
      <c r="AH37">
        <f ca="1" t="shared" si="18"/>
        <v>109879</v>
      </c>
      <c r="AJ37">
        <f ca="1" t="shared" si="19"/>
        <v>2.3765922521</v>
      </c>
      <c r="AK37">
        <f ca="1" t="shared" si="56"/>
        <v>163355.720836693</v>
      </c>
      <c r="AL37">
        <f ca="1" t="shared" si="20"/>
        <v>1610552.0352175</v>
      </c>
      <c r="AM37" s="169">
        <f ca="1" t="shared" si="21"/>
        <v>0.9272</v>
      </c>
      <c r="AN37">
        <f ca="1">无穷技能数计算!$AJ29</f>
        <v>0</v>
      </c>
      <c r="AO37" s="170">
        <f ca="1" t="shared" si="22"/>
        <v>1631767.76959027</v>
      </c>
      <c r="AP37">
        <f ca="1" t="shared" si="23"/>
        <v>110956</v>
      </c>
      <c r="AQ37" s="170">
        <f ca="1" t="shared" si="57"/>
        <v>163355.720836693</v>
      </c>
      <c r="AR37">
        <f ca="1" t="shared" si="24"/>
        <v>1566430.66068094</v>
      </c>
      <c r="AS37">
        <f ca="1" t="shared" si="25"/>
        <v>0.9843</v>
      </c>
      <c r="AT37">
        <f ca="1">无穷技能数计算!$AJ29</f>
        <v>0</v>
      </c>
      <c r="AU37">
        <f ca="1" t="shared" si="26"/>
        <v>2.3238578771</v>
      </c>
      <c r="AV37">
        <f ca="1" t="shared" si="27"/>
        <v>2.68954760480339</v>
      </c>
      <c r="AW37">
        <f ca="1" t="shared" si="58"/>
        <v>1659234.4134703</v>
      </c>
      <c r="AX37">
        <f ca="1" t="shared" si="28"/>
        <v>0.9743</v>
      </c>
      <c r="AY37">
        <f ca="1">无穷技能数计算!$AJ29</f>
        <v>0</v>
      </c>
      <c r="AZ37" s="170">
        <f ca="1" t="shared" si="59"/>
        <v>1649696.76419015</v>
      </c>
      <c r="BA37">
        <f ca="1" t="shared" si="29"/>
        <v>0.9643</v>
      </c>
      <c r="BB37">
        <f ca="1">无穷技能数计算!$AJ29</f>
        <v>0</v>
      </c>
      <c r="BC37" s="170">
        <f ca="1" t="shared" si="60"/>
        <v>1640159.11490999</v>
      </c>
      <c r="BE37">
        <f ca="1" t="shared" si="30"/>
        <v>105849</v>
      </c>
      <c r="BF37">
        <f ca="1" t="shared" si="31"/>
        <v>163355.720836693</v>
      </c>
      <c r="BI37">
        <f ca="1" t="shared" si="32"/>
        <v>0.9543</v>
      </c>
      <c r="BJ37">
        <f ca="1">无穷技能数计算!$AJ29</f>
        <v>0</v>
      </c>
      <c r="BK37">
        <f ca="1" t="shared" si="33"/>
        <v>1621475.93965694</v>
      </c>
      <c r="BM37">
        <f ca="1" t="shared" si="34"/>
        <v>109230</v>
      </c>
      <c r="BN37">
        <f ca="1" t="shared" si="35"/>
        <v>163355.720836693</v>
      </c>
      <c r="BO37">
        <f ca="1" t="shared" si="36"/>
        <v>1597971.78896384</v>
      </c>
      <c r="BP37">
        <f ca="1" t="shared" si="37"/>
        <v>1523893.54272143</v>
      </c>
      <c r="BR37">
        <f ca="1" t="shared" si="38"/>
        <v>0.9543</v>
      </c>
      <c r="BS37">
        <f ca="1" t="shared" si="39"/>
        <v>1575683.9334341</v>
      </c>
      <c r="BT37">
        <f ca="1" t="shared" si="40"/>
        <v>0.196995876306796</v>
      </c>
      <c r="BU37">
        <f ca="1" t="shared" si="41"/>
        <v>2.3238578771</v>
      </c>
      <c r="BV37">
        <f ca="1" t="shared" si="61"/>
        <v>1654504.78133553</v>
      </c>
      <c r="BW37">
        <f ca="1" t="shared" si="42"/>
        <v>113027</v>
      </c>
      <c r="BX37">
        <f ca="1" t="shared" si="43"/>
        <v>163355.720836693</v>
      </c>
      <c r="BY37">
        <f ca="1" t="shared" si="44"/>
        <v>0.9343</v>
      </c>
      <c r="BZ37">
        <f ca="1">无穷技能数计算!$AJ29</f>
        <v>0</v>
      </c>
      <c r="CA37">
        <f ca="1" t="shared" si="45"/>
        <v>2.3277641271</v>
      </c>
      <c r="CB37">
        <f ca="1" t="shared" si="62"/>
        <v>1605630.59121579</v>
      </c>
      <c r="CC37">
        <f ca="1" t="shared" si="46"/>
        <v>114847</v>
      </c>
      <c r="CD37">
        <f ca="1" t="shared" si="47"/>
        <v>163355.720836693</v>
      </c>
      <c r="CE37">
        <f ca="1" t="shared" si="48"/>
        <v>1549963.08603978</v>
      </c>
      <c r="CF37">
        <f ca="1" t="shared" si="49"/>
        <v>2.2750297521</v>
      </c>
      <c r="CG37">
        <f ca="1" t="shared" si="50"/>
        <v>0.9343</v>
      </c>
      <c r="CH37">
        <f ca="1" t="shared" si="63"/>
        <v>1578679.44584664</v>
      </c>
      <c r="CJ37">
        <f ca="1" t="shared" si="51"/>
        <v>168089.820322409</v>
      </c>
      <c r="CK37">
        <f ca="1" t="shared" si="52"/>
        <v>1636833.00171095</v>
      </c>
      <c r="CL37">
        <f ca="1" t="shared" si="64"/>
        <v>2.2976860021</v>
      </c>
      <c r="CM37">
        <f ca="1">IF(G37="恒定伤害",0,(IF(D37="轻剑",$CM$8,$CM$9)+IFERROR(INDEX(技能数据库!$T$2:$W$27,MATCH(E37,技能数据库!$T$2:$T$27,0),4),0)+COUNTIF(G37,"*造化2*")*154+COUNTIF(G37,"*造化1*")*102+COUNTIF(G37,"*碧归*")*307)/1024)</f>
        <v>0.176868146929785</v>
      </c>
      <c r="CN37">
        <f ca="1" t="shared" si="65"/>
        <v>1680380.9325739</v>
      </c>
      <c r="CO37">
        <f ca="1" t="shared" si="66"/>
        <v>2.3262602208</v>
      </c>
      <c r="CP37">
        <f ca="1" t="shared" si="67"/>
        <v>1700657.72735535</v>
      </c>
      <c r="CQ37">
        <f ca="1" t="shared" si="53"/>
        <v>2.77157885480339</v>
      </c>
      <c r="CR37">
        <f ca="1">IF(G37="恒定伤害",0,(IF(D37="轻剑",$CR$8,$CR$9)+IFERROR(INDEX(技能数据库!$T$2:$W$27,MATCH(E37,技能数据库!$T$2:$T$27,0),4),0)+COUNTIF(G37,"*造化2*")*154+COUNTIF(G37,"*造化1*")*102+COUNTIF(G37,"*碧归*")*307)/1024)</f>
        <v>0.167102521929785</v>
      </c>
      <c r="CS37">
        <f ca="1" t="shared" si="68"/>
        <v>1589741.7619149</v>
      </c>
    </row>
    <row r="38" spans="4:97">
      <c r="D38" t="s">
        <v>1825</v>
      </c>
      <c r="E38" t="s">
        <v>2776</v>
      </c>
      <c r="G38" t="s">
        <v>2750</v>
      </c>
      <c r="H38">
        <f ca="1">INDEX(技能数据库!$B$2:$I$100,MATCH(无穷阵眼收益计算!$E38,技能数据库!$B$2:$B$100,0),MATCH(H$9,技能数据库!$B$2:$I$2,0))</f>
        <v>281.5</v>
      </c>
      <c r="I38">
        <f ca="1">INDEX(技能数据库!$B$2:$I$100,MATCH(无穷阵眼收益计算!$E38,技能数据库!$B$2:$B$100,0),MATCH(I$9,技能数据库!$B$2:$I$2,0))</f>
        <v>7.06875</v>
      </c>
      <c r="J38">
        <f ca="1">INDEX(技能数据库!$B$2:$I$100,MATCH(无穷阵眼收益计算!$E38,技能数据库!$B$2:$B$100,0),MATCH(J$9,技能数据库!$B$2:$I$2,0))</f>
        <v>2</v>
      </c>
      <c r="K38">
        <f ca="1">INDEX(技能数据库!$B$2:$I$100,MATCH(无穷阵眼收益计算!$E38,技能数据库!$B$2:$B$100,0),MATCH(K$9,技能数据库!$B$2:$I$2,0))</f>
        <v>0</v>
      </c>
      <c r="L38">
        <f ca="1" t="shared" si="13"/>
        <v>105847</v>
      </c>
      <c r="M38">
        <f ca="1" t="shared" si="73"/>
        <v>19530.5</v>
      </c>
      <c r="N38">
        <f ca="1" t="shared" si="74"/>
        <v>92028</v>
      </c>
      <c r="O38">
        <f ca="1" t="shared" si="54"/>
        <v>787548.48125</v>
      </c>
      <c r="P38">
        <f ca="1">IF(G38="恒定伤害",0,(IF(D38="轻剑",$AZ$2,$AZ$3)+IFERROR(INDEX(技能数据库!$T$2:$W$27,MATCH(E38,技能数据库!$T$2:$T$27,0),4),0)+COUNTIF(G38,"*造化2*")*154+COUNTIF(G38,"*造化1*")*102+COUNTIF(G38,"*碧归*")*307)/1024)</f>
        <v>0.186633771929785</v>
      </c>
      <c r="Q38">
        <f ca="1" t="shared" si="14"/>
        <v>0.448284482196154</v>
      </c>
      <c r="R38">
        <f ca="1" t="shared" si="55"/>
        <v>0.21277697966198</v>
      </c>
      <c r="S38">
        <f ca="1" t="shared" si="75"/>
        <v>1065480.89170917</v>
      </c>
      <c r="T38">
        <f t="shared" si="76"/>
        <v>0.8</v>
      </c>
      <c r="U38">
        <f ca="1" t="shared" si="15"/>
        <v>1.7800129648</v>
      </c>
      <c r="V38">
        <f ca="1" t="shared" si="77"/>
        <v>2369640.55415852</v>
      </c>
      <c r="W38">
        <f ca="1">IF(G38="恒定伤害",0,MIN(1,IF(COUNTIF(F38,"*内会*")&gt;0,内会2,IF(D38="轻剑",$Y$2,$Y$3)+COUNTIF(G38,"*莺鸣*")*0.2+COUNTIF(G38,"*叠1*")*0.1+COUNTIF(G38,"*叠2*")*0.2+COUNTIF(G38,"*叠3*")*0.3)+IFERROR(INDEX(技能数据库!$T$2:$W$27,MATCH(E38,技能数据库!$T$2:$T$27,0),2),0)+IF((IF(D38="轻剑",$AO$2,$AO$3)+INT(COUNTIF(G38,"*大莺鸣*")*IF(D38="轻剑",$AM$2,$AM$3)*听晓无双率)/无双系数)&gt;0.9,特效裤子会心/会心系数,0)))</f>
        <v>0.7043</v>
      </c>
      <c r="X38">
        <f ca="1">IF(G38="恒定伤害",0,IF(COUNTIF(F38,"*内会*")&gt;0,内会效2,IF(D38="轻剑",$AB$2,$AB$3))+IFERROR(INDEX(技能数据库!$T$2:$W$27,MATCH(E38,技能数据库!$T$2:$T$27,0),3)/1024,0))+COUNTIF(G38,"*叠1*")*0.25+COUNTIF(G38,"*叠2*")*0.5+COUNTIF(G38,"*叠3*")*0.75</f>
        <v>2.1773735021</v>
      </c>
      <c r="Y38">
        <f ca="1" t="shared" si="78"/>
        <v>1.82922415752903</v>
      </c>
      <c r="Z38">
        <f t="shared" si="16"/>
        <v>0.150390625</v>
      </c>
      <c r="AA38">
        <f ca="1" t="shared" si="79"/>
        <v>0.0205078125</v>
      </c>
      <c r="AB38">
        <f ca="1" t="shared" si="80"/>
        <v>5088749.46381216</v>
      </c>
      <c r="AC38">
        <f ca="1">无穷技能数计算!$AJ30</f>
        <v>8</v>
      </c>
      <c r="AD38" s="164">
        <f ca="1" t="shared" si="81"/>
        <v>0.0159546862873471</v>
      </c>
      <c r="AE38" s="168"/>
      <c r="AF38" s="168">
        <f ca="1" t="shared" si="17"/>
        <v>0.7057</v>
      </c>
      <c r="AG38">
        <f ca="1">无穷技能数计算!$AJ30</f>
        <v>8</v>
      </c>
      <c r="AH38">
        <f ca="1" t="shared" si="18"/>
        <v>109879</v>
      </c>
      <c r="AJ38">
        <f ca="1" t="shared" si="19"/>
        <v>2.3765922521</v>
      </c>
      <c r="AK38">
        <f ca="1" t="shared" si="56"/>
        <v>816526.68125</v>
      </c>
      <c r="AL38">
        <f ca="1" t="shared" si="20"/>
        <v>5687807.24182488</v>
      </c>
      <c r="AM38" s="169">
        <f ca="1" t="shared" si="21"/>
        <v>0.7272</v>
      </c>
      <c r="AN38">
        <f ca="1">无穷技能数计算!$AJ30</f>
        <v>8</v>
      </c>
      <c r="AO38" s="170">
        <f ca="1" t="shared" si="22"/>
        <v>5773195.94678845</v>
      </c>
      <c r="AP38">
        <f ca="1" t="shared" si="23"/>
        <v>110956</v>
      </c>
      <c r="AQ38" s="170">
        <f ca="1" t="shared" si="57"/>
        <v>823662.725</v>
      </c>
      <c r="AR38">
        <f ca="1" t="shared" si="24"/>
        <v>5634336.42963337</v>
      </c>
      <c r="AS38">
        <f ca="1" t="shared" si="25"/>
        <v>0.7843</v>
      </c>
      <c r="AT38">
        <f ca="1">无穷技能数计算!$AJ30</f>
        <v>8</v>
      </c>
      <c r="AU38">
        <f ca="1" t="shared" si="26"/>
        <v>2.3238578771</v>
      </c>
      <c r="AV38">
        <f ca="1" t="shared" si="27"/>
        <v>1.7995442148</v>
      </c>
      <c r="AW38">
        <f ca="1" t="shared" si="58"/>
        <v>5710223.73371824</v>
      </c>
      <c r="AX38">
        <f ca="1" t="shared" si="28"/>
        <v>0.7743</v>
      </c>
      <c r="AY38">
        <f ca="1">无穷技能数计算!$AJ30</f>
        <v>8</v>
      </c>
      <c r="AZ38" s="170">
        <f ca="1" t="shared" si="59"/>
        <v>5673136.36560457</v>
      </c>
      <c r="BA38">
        <f ca="1" t="shared" si="29"/>
        <v>0.7643</v>
      </c>
      <c r="BB38">
        <f ca="1">无穷技能数计算!$AJ30</f>
        <v>8</v>
      </c>
      <c r="BC38" s="170">
        <f ca="1" t="shared" si="60"/>
        <v>5636048.99749089</v>
      </c>
      <c r="BE38">
        <f ca="1" t="shared" si="30"/>
        <v>105849</v>
      </c>
      <c r="BF38">
        <f ca="1" t="shared" si="31"/>
        <v>787562.61875</v>
      </c>
      <c r="BI38">
        <f ca="1" t="shared" si="32"/>
        <v>0.7543</v>
      </c>
      <c r="BJ38">
        <f ca="1">无穷技能数计算!$AJ30</f>
        <v>8</v>
      </c>
      <c r="BK38">
        <f ca="1" t="shared" si="33"/>
        <v>5606092.22612984</v>
      </c>
      <c r="BM38">
        <f ca="1" t="shared" si="34"/>
        <v>109230</v>
      </c>
      <c r="BN38">
        <f ca="1" t="shared" si="35"/>
        <v>811462.0625</v>
      </c>
      <c r="BO38">
        <f ca="1" t="shared" si="36"/>
        <v>5662647.35088288</v>
      </c>
      <c r="BP38">
        <f ca="1" t="shared" si="37"/>
        <v>5400140.22294753</v>
      </c>
      <c r="BR38">
        <f ca="1" t="shared" si="38"/>
        <v>0.7543</v>
      </c>
      <c r="BS38">
        <f ca="1" t="shared" si="39"/>
        <v>5613089.43666906</v>
      </c>
      <c r="BT38">
        <f ca="1" t="shared" si="40"/>
        <v>0.196995876306796</v>
      </c>
      <c r="BU38">
        <f ca="1" t="shared" si="41"/>
        <v>2.3238578771</v>
      </c>
      <c r="BV38">
        <f ca="1" t="shared" si="61"/>
        <v>5671356.81150992</v>
      </c>
      <c r="BW38">
        <f ca="1" t="shared" si="42"/>
        <v>113027</v>
      </c>
      <c r="BX38">
        <f ca="1" t="shared" si="43"/>
        <v>838302.10625</v>
      </c>
      <c r="BY38">
        <f ca="1" t="shared" si="44"/>
        <v>0.7343</v>
      </c>
      <c r="BZ38">
        <f ca="1">无穷技能数计算!$AJ30</f>
        <v>8</v>
      </c>
      <c r="CA38">
        <f ca="1" t="shared" si="45"/>
        <v>2.3277641271</v>
      </c>
      <c r="CB38">
        <f ca="1" t="shared" si="62"/>
        <v>5848297.89771303</v>
      </c>
      <c r="CC38">
        <f ca="1" t="shared" si="46"/>
        <v>114847</v>
      </c>
      <c r="CD38">
        <f ca="1" t="shared" si="47"/>
        <v>851167.23125</v>
      </c>
      <c r="CE38">
        <f ca="1" t="shared" si="48"/>
        <v>5773746.84197506</v>
      </c>
      <c r="CF38">
        <f ca="1" t="shared" si="49"/>
        <v>2.2750297521</v>
      </c>
      <c r="CG38">
        <f ca="1" t="shared" si="50"/>
        <v>0.7343</v>
      </c>
      <c r="CH38">
        <f ca="1" t="shared" si="63"/>
        <v>5424341.91538538</v>
      </c>
      <c r="CJ38">
        <f ca="1" t="shared" si="51"/>
        <v>811462.0625</v>
      </c>
      <c r="CK38">
        <f ca="1" t="shared" si="52"/>
        <v>5636995.86700688</v>
      </c>
      <c r="CL38">
        <f ca="1" t="shared" si="64"/>
        <v>2.2976860021</v>
      </c>
      <c r="CM38">
        <f ca="1">IF(G38="恒定伤害",0,(IF(D38="轻剑",$CM$8,$CM$9)+IFERROR(INDEX(技能数据库!$T$2:$W$27,MATCH(E38,技能数据库!$T$2:$T$27,0),4),0)+COUNTIF(G38,"*造化2*")*154+COUNTIF(G38,"*造化1*")*102+COUNTIF(G38,"*碧归*")*307)/1024)</f>
        <v>0.247180646929785</v>
      </c>
      <c r="CN38">
        <f ca="1" t="shared" si="65"/>
        <v>5750098.39397395</v>
      </c>
      <c r="CO38">
        <f ca="1" t="shared" si="66"/>
        <v>2.3262602208</v>
      </c>
      <c r="CP38">
        <f ca="1" t="shared" si="67"/>
        <v>5811878.00967057</v>
      </c>
      <c r="CQ38">
        <f ca="1" t="shared" si="53"/>
        <v>1.8815754648</v>
      </c>
      <c r="CR38">
        <f ca="1">IF(G38="恒定伤害",0,(IF(D38="轻剑",$CR$8,$CR$9)+IFERROR(INDEX(技能数据库!$T$2:$W$27,MATCH(E38,技能数据库!$T$2:$T$27,0),4),0)+COUNTIF(G38,"*造化2*")*154+COUNTIF(G38,"*造化1*")*102+COUNTIF(G38,"*碧归*")*307)/1024)</f>
        <v>0.237415021929785</v>
      </c>
      <c r="CS38">
        <f ca="1" t="shared" si="68"/>
        <v>5500382.93067193</v>
      </c>
    </row>
    <row r="39" spans="4:97">
      <c r="D39" t="s">
        <v>1825</v>
      </c>
      <c r="E39" t="s">
        <v>2776</v>
      </c>
      <c r="G39" t="s">
        <v>3044</v>
      </c>
      <c r="H39">
        <f ca="1">INDEX(技能数据库!$B$2:$I$100,MATCH(无穷阵眼收益计算!$E39,技能数据库!$B$2:$B$100,0),MATCH(H$9,技能数据库!$B$2:$I$2,0))</f>
        <v>281.5</v>
      </c>
      <c r="I39">
        <f ca="1">INDEX(技能数据库!$B$2:$I$100,MATCH(无穷阵眼收益计算!$E39,技能数据库!$B$2:$B$100,0),MATCH(I$9,技能数据库!$B$2:$I$2,0))</f>
        <v>7.06875</v>
      </c>
      <c r="J39">
        <f ca="1">INDEX(技能数据库!$B$2:$I$100,MATCH(无穷阵眼收益计算!$E39,技能数据库!$B$2:$B$100,0),MATCH(J$9,技能数据库!$B$2:$I$2,0))</f>
        <v>2</v>
      </c>
      <c r="K39">
        <f ca="1">INDEX(技能数据库!$B$2:$I$100,MATCH(无穷阵眼收益计算!$E39,技能数据库!$B$2:$B$100,0),MATCH(K$9,技能数据库!$B$2:$I$2,0))</f>
        <v>0</v>
      </c>
      <c r="L39">
        <f ca="1" t="shared" si="13"/>
        <v>105847</v>
      </c>
      <c r="M39">
        <f ca="1" t="shared" si="73"/>
        <v>19530.5</v>
      </c>
      <c r="N39">
        <f ca="1" t="shared" si="74"/>
        <v>92028</v>
      </c>
      <c r="O39">
        <f ca="1" t="shared" si="54"/>
        <v>787548.48125</v>
      </c>
      <c r="P39">
        <f ca="1">IF(G39="恒定伤害",0,(IF(D39="轻剑",$AZ$2,$AZ$3)+IFERROR(INDEX(技能数据库!$T$2:$W$27,MATCH(E39,技能数据库!$T$2:$T$27,0),4),0)+COUNTIF(G39,"*造化2*")*154+COUNTIF(G39,"*造化1*")*102+COUNTIF(G39,"*碧归*")*307)/1024)</f>
        <v>0.186633771929785</v>
      </c>
      <c r="Q39">
        <f ca="1" t="shared" si="14"/>
        <v>0.448284482196154</v>
      </c>
      <c r="R39">
        <f ca="1" t="shared" si="55"/>
        <v>0.21277697966198</v>
      </c>
      <c r="S39">
        <f ca="1" t="shared" si="75"/>
        <v>1065480.89170917</v>
      </c>
      <c r="T39">
        <f t="shared" si="76"/>
        <v>0.8</v>
      </c>
      <c r="U39">
        <f ca="1" t="shared" si="15"/>
        <v>2.67001635480339</v>
      </c>
      <c r="V39">
        <f ca="1" t="shared" si="77"/>
        <v>3128265.83864251</v>
      </c>
      <c r="W39">
        <f ca="1">IF(G39="恒定伤害",0,MIN(1,IF(COUNTIF(F39,"*内会*")&gt;0,内会2,IF(D39="轻剑",$Y$2,$Y$3)+COUNTIF(G39,"*莺鸣*")*0.2+COUNTIF(G39,"*叠1*")*0.1+COUNTIF(G39,"*叠2*")*0.2+COUNTIF(G39,"*叠3*")*0.3)+IFERROR(INDEX(技能数据库!$T$2:$W$27,MATCH(E39,技能数据库!$T$2:$T$27,0),2),0)+IF((IF(D39="轻剑",$AO$2,$AO$3)+INT(COUNTIF(G39,"*大莺鸣*")*IF(D39="轻剑",$AM$2,$AM$3)*听晓无双率)/无双系数)&gt;0.9,特效裤子会心/会心系数,0)))</f>
        <v>0.9043</v>
      </c>
      <c r="X39">
        <f ca="1">IF(G39="恒定伤害",0,IF(COUNTIF(F39,"*内会*")&gt;0,内会效2,IF(D39="轻剑",$AB$2,$AB$3))+IFERROR(INDEX(技能数据库!$T$2:$W$27,MATCH(E39,技能数据库!$T$2:$T$27,0),3)/1024,0))+COUNTIF(G39,"*叠1*")*0.25+COUNTIF(G39,"*叠2*")*0.5+COUNTIF(G39,"*叠3*")*0.75</f>
        <v>2.1773735021</v>
      </c>
      <c r="Y39">
        <f ca="1" t="shared" si="78"/>
        <v>2.06469885794903</v>
      </c>
      <c r="Z39">
        <f t="shared" si="16"/>
        <v>0.150390625</v>
      </c>
      <c r="AA39">
        <f ca="1" t="shared" si="79"/>
        <v>0.0205078125</v>
      </c>
      <c r="AB39">
        <f ca="1" t="shared" si="80"/>
        <v>7582667.93116859</v>
      </c>
      <c r="AC39">
        <f ca="1">无穷技能数计算!$AJ31</f>
        <v>0</v>
      </c>
      <c r="AD39" s="164">
        <f ca="1" t="shared" si="81"/>
        <v>0</v>
      </c>
      <c r="AE39" s="168"/>
      <c r="AF39" s="168">
        <f ca="1" t="shared" si="17"/>
        <v>0.9057</v>
      </c>
      <c r="AG39">
        <f ca="1">无穷技能数计算!$AJ31</f>
        <v>0</v>
      </c>
      <c r="AH39">
        <f ca="1" t="shared" si="18"/>
        <v>109879</v>
      </c>
      <c r="AJ39">
        <f ca="1" t="shared" si="19"/>
        <v>2.3765922521</v>
      </c>
      <c r="AK39">
        <f ca="1" t="shared" si="56"/>
        <v>816526.68125</v>
      </c>
      <c r="AL39">
        <f ca="1" t="shared" si="20"/>
        <v>8557330.33057971</v>
      </c>
      <c r="AM39" s="169">
        <f ca="1" t="shared" si="21"/>
        <v>0.9272</v>
      </c>
      <c r="AN39">
        <f ca="1">无穷技能数计算!$AJ31</f>
        <v>0</v>
      </c>
      <c r="AO39" s="170">
        <f ca="1" t="shared" si="22"/>
        <v>8670055.68391429</v>
      </c>
      <c r="AP39">
        <f ca="1" t="shared" si="23"/>
        <v>110956</v>
      </c>
      <c r="AQ39" s="170">
        <f ca="1" t="shared" si="57"/>
        <v>823662.725</v>
      </c>
      <c r="AR39">
        <f ca="1" t="shared" si="24"/>
        <v>8395638.7442958</v>
      </c>
      <c r="AS39">
        <f ca="1" t="shared" si="25"/>
        <v>0.9843</v>
      </c>
      <c r="AT39">
        <f ca="1">无穷技能数计算!$AJ31</f>
        <v>0</v>
      </c>
      <c r="AU39">
        <f ca="1" t="shared" si="26"/>
        <v>2.3238578771</v>
      </c>
      <c r="AV39">
        <f ca="1" t="shared" si="27"/>
        <v>2.68954760480339</v>
      </c>
      <c r="AW39">
        <f ca="1" t="shared" si="58"/>
        <v>8503117.89241648</v>
      </c>
      <c r="AX39">
        <f ca="1" t="shared" si="28"/>
        <v>0.9743</v>
      </c>
      <c r="AY39">
        <f ca="1">无穷技能数计算!$AJ31</f>
        <v>0</v>
      </c>
      <c r="AZ39" s="170">
        <f ca="1" t="shared" si="59"/>
        <v>8454240.0752815</v>
      </c>
      <c r="BA39">
        <f ca="1" t="shared" si="29"/>
        <v>0.9643</v>
      </c>
      <c r="BB39">
        <f ca="1">无穷技能数计算!$AJ31</f>
        <v>0</v>
      </c>
      <c r="BC39" s="170">
        <f ca="1" t="shared" si="60"/>
        <v>8405362.25814653</v>
      </c>
      <c r="BE39">
        <f ca="1" t="shared" si="30"/>
        <v>105849</v>
      </c>
      <c r="BF39">
        <f ca="1" t="shared" si="31"/>
        <v>787562.61875</v>
      </c>
      <c r="BI39">
        <f ca="1" t="shared" si="32"/>
        <v>0.9543</v>
      </c>
      <c r="BJ39">
        <f ca="1">无穷技能数计算!$AJ31</f>
        <v>0</v>
      </c>
      <c r="BK39">
        <f ca="1" t="shared" si="33"/>
        <v>8309765.31568679</v>
      </c>
      <c r="BM39">
        <f ca="1" t="shared" si="34"/>
        <v>109230</v>
      </c>
      <c r="BN39">
        <f ca="1" t="shared" si="35"/>
        <v>811462.0625</v>
      </c>
      <c r="BO39">
        <f ca="1" t="shared" si="36"/>
        <v>8437824.41607767</v>
      </c>
      <c r="BP39">
        <f ca="1" t="shared" si="37"/>
        <v>8046666.55011203</v>
      </c>
      <c r="BR39">
        <f ca="1" t="shared" si="38"/>
        <v>0.9543</v>
      </c>
      <c r="BS39">
        <f ca="1" t="shared" si="39"/>
        <v>8320137.09964966</v>
      </c>
      <c r="BT39">
        <f ca="1" t="shared" si="40"/>
        <v>0.196995876306796</v>
      </c>
      <c r="BU39">
        <f ca="1" t="shared" si="41"/>
        <v>2.3238578771</v>
      </c>
      <c r="BV39">
        <f ca="1" t="shared" si="61"/>
        <v>8478879.8346091</v>
      </c>
      <c r="BW39">
        <f ca="1" t="shared" si="42"/>
        <v>113027</v>
      </c>
      <c r="BX39">
        <f ca="1" t="shared" si="43"/>
        <v>838302.10625</v>
      </c>
      <c r="BY39">
        <f ca="1" t="shared" si="44"/>
        <v>0.9343</v>
      </c>
      <c r="BZ39">
        <f ca="1">无穷技能数计算!$AJ31</f>
        <v>0</v>
      </c>
      <c r="CA39">
        <f ca="1" t="shared" si="45"/>
        <v>2.3277641271</v>
      </c>
      <c r="CB39">
        <f ca="1" t="shared" si="62"/>
        <v>8758693.85782043</v>
      </c>
      <c r="CC39">
        <f ca="1" t="shared" si="46"/>
        <v>114847</v>
      </c>
      <c r="CD39">
        <f ca="1" t="shared" si="47"/>
        <v>851167.23125</v>
      </c>
      <c r="CE39">
        <f ca="1" t="shared" si="48"/>
        <v>8584784.66598598</v>
      </c>
      <c r="CF39">
        <f ca="1" t="shared" si="49"/>
        <v>2.2750297521</v>
      </c>
      <c r="CG39">
        <f ca="1" t="shared" si="50"/>
        <v>0.9343</v>
      </c>
      <c r="CH39">
        <f ca="1" t="shared" si="63"/>
        <v>8090295.94214657</v>
      </c>
      <c r="CJ39">
        <f ca="1" t="shared" si="51"/>
        <v>811462.0625</v>
      </c>
      <c r="CK39">
        <f ca="1" t="shared" si="52"/>
        <v>8399601.531348</v>
      </c>
      <c r="CL39">
        <f ca="1" t="shared" si="64"/>
        <v>2.2976860021</v>
      </c>
      <c r="CM39">
        <f ca="1">IF(G39="恒定伤害",0,(IF(D39="轻剑",$CM$8,$CM$9)+IFERROR(INDEX(技能数据库!$T$2:$W$27,MATCH(E39,技能数据库!$T$2:$T$27,0),4),0)+COUNTIF(G39,"*造化2*")*154+COUNTIF(G39,"*造化1*")*102+COUNTIF(G39,"*碧归*")*307)/1024)</f>
        <v>0.247180646929785</v>
      </c>
      <c r="CN39">
        <f ca="1" t="shared" si="65"/>
        <v>8585236.22785654</v>
      </c>
      <c r="CO39">
        <f ca="1" t="shared" si="66"/>
        <v>2.3262602208</v>
      </c>
      <c r="CP39">
        <f ca="1" t="shared" si="67"/>
        <v>8688832.42427126</v>
      </c>
      <c r="CQ39">
        <f ca="1" t="shared" si="53"/>
        <v>2.77157885480339</v>
      </c>
      <c r="CR39">
        <f ca="1">IF(G39="恒定伤害",0,(IF(D39="轻剑",$CR$8,$CR$9)+IFERROR(INDEX(技能数据库!$T$2:$W$27,MATCH(E39,技能数据库!$T$2:$T$27,0),4),0)+COUNTIF(G39,"*造化2*")*154+COUNTIF(G39,"*造化1*")*102+COUNTIF(G39,"*碧归*")*307)/1024)</f>
        <v>0.237415021929785</v>
      </c>
      <c r="CS39">
        <f ca="1" t="shared" si="68"/>
        <v>8125983.00174139</v>
      </c>
    </row>
    <row r="40" spans="4:97">
      <c r="D40" t="s">
        <v>1825</v>
      </c>
      <c r="E40" t="s">
        <v>2780</v>
      </c>
      <c r="G40" t="s">
        <v>2750</v>
      </c>
      <c r="H40">
        <f ca="1">INDEX(技能数据库!$B$2:$I$100,MATCH(无穷阵眼收益计算!$E40,技能数据库!$B$2:$B$100,0),MATCH(H$9,技能数据库!$B$2:$I$2,0))</f>
        <v>252.5</v>
      </c>
      <c r="I40">
        <f ca="1">INDEX(技能数据库!$B$2:$I$100,MATCH(无穷阵眼收益计算!$E40,技能数据库!$B$2:$B$100,0),MATCH(I$9,技能数据库!$B$2:$I$2,0))</f>
        <v>2.11875</v>
      </c>
      <c r="J40">
        <f ca="1">INDEX(技能数据库!$B$2:$I$100,MATCH(无穷阵眼收益计算!$E40,技能数据库!$B$2:$B$100,0),MATCH(J$9,技能数据库!$B$2:$I$2,0))</f>
        <v>2</v>
      </c>
      <c r="K40">
        <f ca="1">INDEX(技能数据库!$B$2:$I$100,MATCH(无穷阵眼收益计算!$E40,技能数据库!$B$2:$B$100,0),MATCH(K$9,技能数据库!$B$2:$I$2,0))</f>
        <v>0</v>
      </c>
      <c r="L40">
        <f ca="1" t="shared" si="13"/>
        <v>105847</v>
      </c>
      <c r="M40">
        <f ca="1" t="shared" si="73"/>
        <v>19530.5</v>
      </c>
      <c r="N40">
        <f ca="1" t="shared" si="74"/>
        <v>92028</v>
      </c>
      <c r="O40">
        <f ca="1" t="shared" si="54"/>
        <v>263576.83125</v>
      </c>
      <c r="P40">
        <f ca="1">IF(G40="恒定伤害",0,(IF(D40="轻剑",$AZ$2,$AZ$3)+IFERROR(INDEX(技能数据库!$T$2:$W$27,MATCH(E40,技能数据库!$T$2:$T$27,0),4),0)+COUNTIF(G40,"*造化2*")*154+COUNTIF(G40,"*造化1*")*102+COUNTIF(G40,"*碧归*")*307)/1024)</f>
        <v>0.186633771929785</v>
      </c>
      <c r="Q40">
        <f ca="1" t="shared" si="14"/>
        <v>0.448284482196154</v>
      </c>
      <c r="R40">
        <f ca="1" t="shared" si="55"/>
        <v>0.21277697966198</v>
      </c>
      <c r="S40">
        <f ca="1" t="shared" si="75"/>
        <v>356595.287630271</v>
      </c>
      <c r="T40">
        <f t="shared" si="76"/>
        <v>0.8</v>
      </c>
      <c r="U40">
        <f ca="1" t="shared" si="15"/>
        <v>1.7800129648</v>
      </c>
      <c r="V40">
        <f ca="1" t="shared" si="77"/>
        <v>793071.61823899</v>
      </c>
      <c r="W40">
        <f ca="1">IF(G40="恒定伤害",0,MIN(1,IF(COUNTIF(F40,"*内会*")&gt;0,内会2,IF(D40="轻剑",$Y$2,$Y$3)+COUNTIF(G40,"*莺鸣*")*0.2+COUNTIF(G40,"*叠1*")*0.1+COUNTIF(G40,"*叠2*")*0.2+COUNTIF(G40,"*叠3*")*0.3)+IFERROR(INDEX(技能数据库!$T$2:$W$27,MATCH(E40,技能数据库!$T$2:$T$27,0),2),0)+IF((IF(D40="轻剑",$AO$2,$AO$3)+INT(COUNTIF(G40,"*大莺鸣*")*IF(D40="轻剑",$AM$2,$AM$3)*听晓无双率)/无双系数)&gt;0.9,特效裤子会心/会心系数,0)))</f>
        <v>0.7043</v>
      </c>
      <c r="X40">
        <f ca="1">IF(G40="恒定伤害",0,IF(COUNTIF(F40,"*内会*")&gt;0,内会效2,IF(D40="轻剑",$AB$2,$AB$3))+IFERROR(INDEX(技能数据库!$T$2:$W$27,MATCH(E40,技能数据库!$T$2:$T$27,0),3)/1024,0))+COUNTIF(G40,"*叠1*")*0.25+COUNTIF(G40,"*叠2*")*0.5+COUNTIF(G40,"*叠3*")*0.75</f>
        <v>2.1773735021</v>
      </c>
      <c r="Y40">
        <f ca="1" t="shared" si="78"/>
        <v>1.82922415752903</v>
      </c>
      <c r="Z40">
        <f t="shared" si="16"/>
        <v>0.150390625</v>
      </c>
      <c r="AA40">
        <f ca="1" t="shared" si="79"/>
        <v>0.0205078125</v>
      </c>
      <c r="AB40">
        <f ca="1" t="shared" si="80"/>
        <v>1703103.35252995</v>
      </c>
      <c r="AC40">
        <f ca="1">无穷技能数计算!$AJ32</f>
        <v>8</v>
      </c>
      <c r="AD40" s="164">
        <f ca="1" t="shared" si="81"/>
        <v>0.00533971654485593</v>
      </c>
      <c r="AE40" s="168"/>
      <c r="AF40" s="168">
        <f ca="1" t="shared" si="17"/>
        <v>0.7057</v>
      </c>
      <c r="AG40">
        <f ca="1">无穷技能数计算!$AJ32</f>
        <v>8</v>
      </c>
      <c r="AH40">
        <f ca="1" t="shared" si="18"/>
        <v>109879</v>
      </c>
      <c r="AJ40">
        <f ca="1" t="shared" si="19"/>
        <v>2.3765922521</v>
      </c>
      <c r="AK40">
        <f ca="1" t="shared" si="56"/>
        <v>272596.63125</v>
      </c>
      <c r="AL40">
        <f ca="1" t="shared" si="20"/>
        <v>1898868.86604517</v>
      </c>
      <c r="AM40" s="169">
        <f ca="1" t="shared" si="21"/>
        <v>0.7272</v>
      </c>
      <c r="AN40">
        <f ca="1">无穷技能数计算!$AJ32</f>
        <v>8</v>
      </c>
      <c r="AO40" s="170">
        <f ca="1" t="shared" si="22"/>
        <v>1927375.80140243</v>
      </c>
      <c r="AP40">
        <f ca="1" t="shared" si="23"/>
        <v>110956</v>
      </c>
      <c r="AQ40" s="170">
        <f ca="1" t="shared" si="57"/>
        <v>274401.525</v>
      </c>
      <c r="AR40">
        <f ca="1" t="shared" si="24"/>
        <v>1877067.47158487</v>
      </c>
      <c r="AS40">
        <f ca="1" t="shared" si="25"/>
        <v>0.7843</v>
      </c>
      <c r="AT40">
        <f ca="1">无穷技能数计算!$AJ32</f>
        <v>8</v>
      </c>
      <c r="AU40">
        <f ca="1" t="shared" si="26"/>
        <v>2.3238578771</v>
      </c>
      <c r="AV40">
        <f ca="1" t="shared" si="27"/>
        <v>1.7995442148</v>
      </c>
      <c r="AW40">
        <f ca="1" t="shared" si="58"/>
        <v>1911098.44447052</v>
      </c>
      <c r="AX40">
        <f ca="1" t="shared" si="28"/>
        <v>0.7743</v>
      </c>
      <c r="AY40">
        <f ca="1">无穷技能数计算!$AJ32</f>
        <v>8</v>
      </c>
      <c r="AZ40" s="170">
        <f ca="1" t="shared" si="59"/>
        <v>1898686.03913988</v>
      </c>
      <c r="BA40">
        <f ca="1" t="shared" si="29"/>
        <v>0.7643</v>
      </c>
      <c r="BB40">
        <f ca="1">无穷技能数计算!$AJ32</f>
        <v>8</v>
      </c>
      <c r="BC40" s="170">
        <f ca="1" t="shared" si="60"/>
        <v>1886273.63380924</v>
      </c>
      <c r="BE40">
        <f ca="1" t="shared" si="30"/>
        <v>105849</v>
      </c>
      <c r="BF40">
        <f ca="1" t="shared" si="31"/>
        <v>263581.06875</v>
      </c>
      <c r="BI40">
        <f ca="1" t="shared" si="32"/>
        <v>0.7543</v>
      </c>
      <c r="BJ40">
        <f ca="1">无穷技能数计算!$AJ32</f>
        <v>8</v>
      </c>
      <c r="BK40">
        <f ca="1" t="shared" si="33"/>
        <v>1876244.18083692</v>
      </c>
      <c r="BM40">
        <f ca="1" t="shared" si="34"/>
        <v>109230</v>
      </c>
      <c r="BN40">
        <f ca="1" t="shared" si="35"/>
        <v>270744.5625</v>
      </c>
      <c r="BO40">
        <f ca="1" t="shared" si="36"/>
        <v>1889344.00073271</v>
      </c>
      <c r="BP40">
        <f ca="1" t="shared" si="37"/>
        <v>1801758.41812763</v>
      </c>
      <c r="BR40">
        <f ca="1" t="shared" si="38"/>
        <v>0.7543</v>
      </c>
      <c r="BS40">
        <f ca="1" t="shared" si="39"/>
        <v>1872808.98767136</v>
      </c>
      <c r="BT40">
        <f ca="1" t="shared" si="40"/>
        <v>0.196995876306796</v>
      </c>
      <c r="BU40">
        <f ca="1" t="shared" si="41"/>
        <v>2.3238578771</v>
      </c>
      <c r="BV40">
        <f ca="1" t="shared" si="61"/>
        <v>1898090.457737</v>
      </c>
      <c r="BW40">
        <f ca="1" t="shared" si="42"/>
        <v>113027</v>
      </c>
      <c r="BX40">
        <f ca="1" t="shared" si="43"/>
        <v>278789.45625</v>
      </c>
      <c r="BY40">
        <f ca="1" t="shared" si="44"/>
        <v>0.7343</v>
      </c>
      <c r="BZ40">
        <f ca="1">无穷技能数计算!$AJ32</f>
        <v>8</v>
      </c>
      <c r="CA40">
        <f ca="1" t="shared" si="45"/>
        <v>2.3277641271</v>
      </c>
      <c r="CB40">
        <f ca="1" t="shared" si="62"/>
        <v>1944935.81578238</v>
      </c>
      <c r="CC40">
        <f ca="1" t="shared" si="46"/>
        <v>114847</v>
      </c>
      <c r="CD40">
        <f ca="1" t="shared" si="47"/>
        <v>282645.58125</v>
      </c>
      <c r="CE40">
        <f ca="1" t="shared" si="48"/>
        <v>1917277.79480396</v>
      </c>
      <c r="CF40">
        <f ca="1" t="shared" si="49"/>
        <v>2.2750297521</v>
      </c>
      <c r="CG40">
        <f ca="1" t="shared" si="50"/>
        <v>0.7343</v>
      </c>
      <c r="CH40">
        <f ca="1" t="shared" si="63"/>
        <v>1815419.47919772</v>
      </c>
      <c r="CJ40">
        <f ca="1" t="shared" si="51"/>
        <v>270744.5625</v>
      </c>
      <c r="CK40">
        <f ca="1" t="shared" si="52"/>
        <v>1880785.37538172</v>
      </c>
      <c r="CL40">
        <f ca="1" t="shared" si="64"/>
        <v>2.2976860021</v>
      </c>
      <c r="CM40">
        <f ca="1">IF(G40="恒定伤害",0,(IF(D40="轻剑",$CM$8,$CM$9)+IFERROR(INDEX(技能数据库!$T$2:$W$27,MATCH(E40,技能数据库!$T$2:$T$27,0),4),0)+COUNTIF(G40,"*造化2*")*154+COUNTIF(G40,"*造化1*")*102+COUNTIF(G40,"*碧归*")*307)/1024)</f>
        <v>0.247180646929785</v>
      </c>
      <c r="CN40">
        <f ca="1" t="shared" si="65"/>
        <v>1924443.7011088</v>
      </c>
      <c r="CO40">
        <f ca="1" t="shared" si="66"/>
        <v>2.3262602208</v>
      </c>
      <c r="CP40">
        <f ca="1" t="shared" si="67"/>
        <v>1945120.1111697</v>
      </c>
      <c r="CQ40">
        <f ca="1" t="shared" si="53"/>
        <v>1.8815754648</v>
      </c>
      <c r="CR40">
        <f ca="1">IF(G40="恒定伤害",0,(IF(D40="轻剑",$CR$8,$CR$9)+IFERROR(INDEX(技能数据库!$T$2:$W$27,MATCH(E40,技能数据库!$T$2:$T$27,0),4),0)+COUNTIF(G40,"*造化2*")*154+COUNTIF(G40,"*造化1*")*102+COUNTIF(G40,"*碧归*")*307)/1024)</f>
        <v>0.237415021929785</v>
      </c>
      <c r="CS40">
        <f ca="1" t="shared" si="68"/>
        <v>1840868.89638465</v>
      </c>
    </row>
    <row r="41" spans="4:97">
      <c r="D41" t="s">
        <v>1825</v>
      </c>
      <c r="E41" t="s">
        <v>2780</v>
      </c>
      <c r="G41" t="s">
        <v>3044</v>
      </c>
      <c r="H41">
        <f ca="1">INDEX(技能数据库!$B$2:$I$100,MATCH(无穷阵眼收益计算!$E41,技能数据库!$B$2:$B$100,0),MATCH(H$9,技能数据库!$B$2:$I$2,0))</f>
        <v>252.5</v>
      </c>
      <c r="I41">
        <f ca="1">INDEX(技能数据库!$B$2:$I$100,MATCH(无穷阵眼收益计算!$E41,技能数据库!$B$2:$B$100,0),MATCH(I$9,技能数据库!$B$2:$I$2,0))</f>
        <v>2.11875</v>
      </c>
      <c r="J41">
        <f ca="1">INDEX(技能数据库!$B$2:$I$100,MATCH(无穷阵眼收益计算!$E41,技能数据库!$B$2:$B$100,0),MATCH(J$9,技能数据库!$B$2:$I$2,0))</f>
        <v>2</v>
      </c>
      <c r="K41">
        <f ca="1">INDEX(技能数据库!$B$2:$I$100,MATCH(无穷阵眼收益计算!$E41,技能数据库!$B$2:$B$100,0),MATCH(K$9,技能数据库!$B$2:$I$2,0))</f>
        <v>0</v>
      </c>
      <c r="L41">
        <f ca="1" t="shared" si="13"/>
        <v>105847</v>
      </c>
      <c r="M41">
        <f ca="1" t="shared" si="73"/>
        <v>19530.5</v>
      </c>
      <c r="N41">
        <f ca="1" t="shared" si="74"/>
        <v>92028</v>
      </c>
      <c r="O41">
        <f ca="1" t="shared" si="54"/>
        <v>263576.83125</v>
      </c>
      <c r="P41">
        <f ca="1">IF(G41="恒定伤害",0,(IF(D41="轻剑",$AZ$2,$AZ$3)+IFERROR(INDEX(技能数据库!$T$2:$W$27,MATCH(E41,技能数据库!$T$2:$T$27,0),4),0)+COUNTIF(G41,"*造化2*")*154+COUNTIF(G41,"*造化1*")*102+COUNTIF(G41,"*碧归*")*307)/1024)</f>
        <v>0.186633771929785</v>
      </c>
      <c r="Q41">
        <f ca="1" t="shared" si="14"/>
        <v>0.448284482196154</v>
      </c>
      <c r="R41">
        <f ca="1" t="shared" si="55"/>
        <v>0.21277697966198</v>
      </c>
      <c r="S41">
        <f ca="1" t="shared" si="75"/>
        <v>356595.287630271</v>
      </c>
      <c r="T41">
        <f t="shared" si="76"/>
        <v>0.8</v>
      </c>
      <c r="U41">
        <f ca="1" t="shared" si="15"/>
        <v>2.67001635480339</v>
      </c>
      <c r="V41">
        <f ca="1" t="shared" si="77"/>
        <v>1046968.43011913</v>
      </c>
      <c r="W41">
        <f ca="1">IF(G41="恒定伤害",0,MIN(1,IF(COUNTIF(F41,"*内会*")&gt;0,内会2,IF(D41="轻剑",$Y$2,$Y$3)+COUNTIF(G41,"*莺鸣*")*0.2+COUNTIF(G41,"*叠1*")*0.1+COUNTIF(G41,"*叠2*")*0.2+COUNTIF(G41,"*叠3*")*0.3)+IFERROR(INDEX(技能数据库!$T$2:$W$27,MATCH(E41,技能数据库!$T$2:$T$27,0),2),0)+IF((IF(D41="轻剑",$AO$2,$AO$3)+INT(COUNTIF(G41,"*大莺鸣*")*IF(D41="轻剑",$AM$2,$AM$3)*听晓无双率)/无双系数)&gt;0.9,特效裤子会心/会心系数,0)))</f>
        <v>0.9043</v>
      </c>
      <c r="X41">
        <f ca="1">IF(G41="恒定伤害",0,IF(COUNTIF(F41,"*内会*")&gt;0,内会效2,IF(D41="轻剑",$AB$2,$AB$3))+IFERROR(INDEX(技能数据库!$T$2:$W$27,MATCH(E41,技能数据库!$T$2:$T$27,0),3)/1024,0))+COUNTIF(G41,"*叠1*")*0.25+COUNTIF(G41,"*叠2*")*0.5+COUNTIF(G41,"*叠3*")*0.75</f>
        <v>2.1773735021</v>
      </c>
      <c r="Y41">
        <f ca="1" t="shared" si="78"/>
        <v>2.06469885794903</v>
      </c>
      <c r="Z41">
        <f t="shared" si="16"/>
        <v>0.150390625</v>
      </c>
      <c r="AA41">
        <f ca="1" t="shared" si="79"/>
        <v>0.0205078125</v>
      </c>
      <c r="AB41">
        <f ca="1" t="shared" si="80"/>
        <v>2537768.31941343</v>
      </c>
      <c r="AC41">
        <f ca="1">无穷技能数计算!$AJ33</f>
        <v>0</v>
      </c>
      <c r="AD41" s="164">
        <f ca="1" t="shared" si="81"/>
        <v>0</v>
      </c>
      <c r="AE41" s="168"/>
      <c r="AF41" s="168">
        <f ca="1" t="shared" si="17"/>
        <v>0.9057</v>
      </c>
      <c r="AG41">
        <f ca="1">无穷技能数计算!$AJ33</f>
        <v>0</v>
      </c>
      <c r="AH41">
        <f ca="1" t="shared" si="18"/>
        <v>109879</v>
      </c>
      <c r="AJ41">
        <f ca="1" t="shared" si="19"/>
        <v>2.3765922521</v>
      </c>
      <c r="AK41">
        <f ca="1" t="shared" si="56"/>
        <v>272596.63125</v>
      </c>
      <c r="AL41">
        <f ca="1" t="shared" si="20"/>
        <v>2856856.33326569</v>
      </c>
      <c r="AM41" s="169">
        <f ca="1" t="shared" si="21"/>
        <v>0.9272</v>
      </c>
      <c r="AN41">
        <f ca="1">无穷技能数计算!$AJ33</f>
        <v>0</v>
      </c>
      <c r="AO41" s="170">
        <f ca="1" t="shared" si="22"/>
        <v>2894489.58185523</v>
      </c>
      <c r="AP41">
        <f ca="1" t="shared" si="23"/>
        <v>110956</v>
      </c>
      <c r="AQ41" s="170">
        <f ca="1" t="shared" si="57"/>
        <v>274401.525</v>
      </c>
      <c r="AR41">
        <f ca="1" t="shared" si="24"/>
        <v>2796989.59884806</v>
      </c>
      <c r="AS41">
        <f ca="1" t="shared" si="25"/>
        <v>0.9843</v>
      </c>
      <c r="AT41">
        <f ca="1">无穷技能数计算!$AJ33</f>
        <v>0</v>
      </c>
      <c r="AU41">
        <f ca="1" t="shared" si="26"/>
        <v>2.3238578771</v>
      </c>
      <c r="AV41">
        <f ca="1" t="shared" si="27"/>
        <v>2.68954760480339</v>
      </c>
      <c r="AW41">
        <f ca="1" t="shared" si="58"/>
        <v>2845824.63580024</v>
      </c>
      <c r="AX41">
        <f ca="1" t="shared" si="28"/>
        <v>0.9743</v>
      </c>
      <c r="AY41">
        <f ca="1">无穷技能数计算!$AJ33</f>
        <v>0</v>
      </c>
      <c r="AZ41" s="170">
        <f ca="1" t="shared" si="59"/>
        <v>2829466.20141102</v>
      </c>
      <c r="BA41">
        <f ca="1" t="shared" si="29"/>
        <v>0.9643</v>
      </c>
      <c r="BB41">
        <f ca="1">无穷技能数计算!$AJ33</f>
        <v>0</v>
      </c>
      <c r="BC41" s="170">
        <f ca="1" t="shared" si="60"/>
        <v>2813107.76702181</v>
      </c>
      <c r="BE41">
        <f ca="1" t="shared" si="30"/>
        <v>105849</v>
      </c>
      <c r="BF41">
        <f ca="1" t="shared" si="31"/>
        <v>263581.06875</v>
      </c>
      <c r="BI41">
        <f ca="1" t="shared" si="32"/>
        <v>0.9543</v>
      </c>
      <c r="BJ41">
        <f ca="1">无穷技能数计算!$AJ33</f>
        <v>0</v>
      </c>
      <c r="BK41">
        <f ca="1" t="shared" si="33"/>
        <v>2781108.156767</v>
      </c>
      <c r="BM41">
        <f ca="1" t="shared" si="34"/>
        <v>109230</v>
      </c>
      <c r="BN41">
        <f ca="1" t="shared" si="35"/>
        <v>270744.5625</v>
      </c>
      <c r="BO41">
        <f ca="1" t="shared" si="36"/>
        <v>2815282.66761426</v>
      </c>
      <c r="BP41">
        <f ca="1" t="shared" si="37"/>
        <v>2684772.7273676</v>
      </c>
      <c r="BR41">
        <f ca="1" t="shared" si="38"/>
        <v>0.9543</v>
      </c>
      <c r="BS41">
        <f ca="1" t="shared" si="39"/>
        <v>2776016.2589051</v>
      </c>
      <c r="BT41">
        <f ca="1" t="shared" si="40"/>
        <v>0.196995876306796</v>
      </c>
      <c r="BU41">
        <f ca="1" t="shared" si="41"/>
        <v>2.3238578771</v>
      </c>
      <c r="BV41">
        <f ca="1" t="shared" si="61"/>
        <v>2837712.63936494</v>
      </c>
      <c r="BW41">
        <f ca="1" t="shared" si="42"/>
        <v>113027</v>
      </c>
      <c r="BX41">
        <f ca="1" t="shared" si="43"/>
        <v>278789.45625</v>
      </c>
      <c r="BY41">
        <f ca="1" t="shared" si="44"/>
        <v>0.9343</v>
      </c>
      <c r="BZ41">
        <f ca="1">无穷技能数计算!$AJ33</f>
        <v>0</v>
      </c>
      <c r="CA41">
        <f ca="1" t="shared" si="45"/>
        <v>2.3277641271</v>
      </c>
      <c r="CB41">
        <f ca="1" t="shared" si="62"/>
        <v>2912829.96890594</v>
      </c>
      <c r="CC41">
        <f ca="1" t="shared" si="46"/>
        <v>114847</v>
      </c>
      <c r="CD41">
        <f ca="1" t="shared" si="47"/>
        <v>282645.58125</v>
      </c>
      <c r="CE41">
        <f ca="1" t="shared" si="48"/>
        <v>2850734.10105354</v>
      </c>
      <c r="CF41">
        <f ca="1" t="shared" si="49"/>
        <v>2.2750297521</v>
      </c>
      <c r="CG41">
        <f ca="1" t="shared" si="50"/>
        <v>0.9343</v>
      </c>
      <c r="CH41">
        <f ca="1" t="shared" si="63"/>
        <v>2707661.33015856</v>
      </c>
      <c r="CJ41">
        <f ca="1" t="shared" si="51"/>
        <v>270744.5625</v>
      </c>
      <c r="CK41">
        <f ca="1" t="shared" si="52"/>
        <v>2802529.59056745</v>
      </c>
      <c r="CL41">
        <f ca="1" t="shared" si="64"/>
        <v>2.2976860021</v>
      </c>
      <c r="CM41">
        <f ca="1">IF(G41="恒定伤害",0,(IF(D41="轻剑",$CM$8,$CM$9)+IFERROR(INDEX(技能数据库!$T$2:$W$27,MATCH(E41,技能数据库!$T$2:$T$27,0),4),0)+COUNTIF(G41,"*造化2*")*154+COUNTIF(G41,"*造化1*")*102+COUNTIF(G41,"*碧归*")*307)/1024)</f>
        <v>0.247180646929785</v>
      </c>
      <c r="CN41">
        <f ca="1" t="shared" si="65"/>
        <v>2873308.01131061</v>
      </c>
      <c r="CO41">
        <f ca="1" t="shared" si="66"/>
        <v>2.3262602208</v>
      </c>
      <c r="CP41">
        <f ca="1" t="shared" si="67"/>
        <v>2907979.60021039</v>
      </c>
      <c r="CQ41">
        <f ca="1" t="shared" si="53"/>
        <v>2.77157885480339</v>
      </c>
      <c r="CR41">
        <f ca="1">IF(G41="恒定伤害",0,(IF(D41="轻剑",$CR$8,$CR$9)+IFERROR(INDEX(技能数据库!$T$2:$W$27,MATCH(E41,技能数据库!$T$2:$T$27,0),4),0)+COUNTIF(G41,"*造化2*")*154+COUNTIF(G41,"*造化1*")*102+COUNTIF(G41,"*碧归*")*307)/1024)</f>
        <v>0.237415021929785</v>
      </c>
      <c r="CS41">
        <f ca="1" t="shared" si="68"/>
        <v>2719605.08004644</v>
      </c>
    </row>
    <row r="42" spans="4:97">
      <c r="D42" t="s">
        <v>1825</v>
      </c>
      <c r="E42" t="s">
        <v>2776</v>
      </c>
      <c r="G42" t="s">
        <v>3069</v>
      </c>
      <c r="H42">
        <f ca="1">INDEX(技能数据库!$B$2:$I$100,MATCH(无穷阵眼收益计算!$E42,技能数据库!$B$2:$B$100,0),MATCH(H$9,技能数据库!$B$2:$I$2,0))</f>
        <v>281.5</v>
      </c>
      <c r="I42">
        <f ca="1">INDEX(技能数据库!$B$2:$I$100,MATCH(无穷阵眼收益计算!$E42,技能数据库!$B$2:$B$100,0),MATCH(I$9,技能数据库!$B$2:$I$2,0))</f>
        <v>7.06875</v>
      </c>
      <c r="J42">
        <f ca="1">INDEX(技能数据库!$B$2:$I$100,MATCH(无穷阵眼收益计算!$E42,技能数据库!$B$2:$B$100,0),MATCH(J$9,技能数据库!$B$2:$I$2,0))</f>
        <v>2</v>
      </c>
      <c r="K42">
        <f ca="1">INDEX(技能数据库!$B$2:$I$100,MATCH(无穷阵眼收益计算!$E42,技能数据库!$B$2:$B$100,0),MATCH(K$9,技能数据库!$B$2:$I$2,0))</f>
        <v>0</v>
      </c>
      <c r="L42">
        <f ca="1" t="shared" si="13"/>
        <v>105847</v>
      </c>
      <c r="M42">
        <f ca="1" t="shared" si="73"/>
        <v>19530.5</v>
      </c>
      <c r="N42">
        <f ca="1" t="shared" si="74"/>
        <v>92028</v>
      </c>
      <c r="O42">
        <f ca="1" t="shared" si="54"/>
        <v>787548.48125</v>
      </c>
      <c r="P42">
        <f ca="1">IF(G42="恒定伤害",0,(IF(D42="轻剑",$AZ$2,$AZ$3)+IFERROR(INDEX(技能数据库!$T$2:$W$27,MATCH(E42,技能数据库!$T$2:$T$27,0),4),0)+COUNTIF(G42,"*造化2*")*154+COUNTIF(G42,"*造化1*")*102+COUNTIF(G42,"*碧归*")*307)/1024)</f>
        <v>0.337024396929785</v>
      </c>
      <c r="Q42">
        <f ca="1" t="shared" ref="Q42:Q73" si="82">IF(G42="恒定伤害",0,(IF(COUNTIF(F42,"*内破*")&gt;0,内破,IF(D42="轻剑",$AF$2,$AF$3)/破防系数))+IF((IF(D42="轻剑",$AO$2,$AO$3)+INT(COUNTIF(G42,"*大莺鸣*")*IF(D42="轻剑",$AM$2,$AM$3)*听晓无双率)/无双系数)&gt;0.9,(特效裤子破防+特效裤子破防*IF(D42="轻剑",$AD$2,$AD$3)/1024)/破防系数,0))</f>
        <v>0.448284482196154</v>
      </c>
      <c r="R42">
        <f ca="1" t="shared" si="55"/>
        <v>0.21277697966198</v>
      </c>
      <c r="S42">
        <f ca="1" t="shared" si="75"/>
        <v>1200516.94160105</v>
      </c>
      <c r="T42">
        <f t="shared" si="76"/>
        <v>0.8</v>
      </c>
      <c r="U42">
        <f ca="1" t="shared" ref="U42:U73" si="83">IF(G42="恒定伤害",0,(IF(D42="轻剑",$AO$2,$AO$3)+INT(COUNTIF(G42,"*大莺鸣*")*IF(D42="轻剑",$AM$2,$AM$3)*听晓无双率)/无双系数)+IF((IF(D42="轻剑",$AO$2,$AO$3)+INT(COUNTIF(G42,"*大莺鸣*")*IF(D42="轻剑",$AM$2,$AM$3)*听晓无双率)/无双系数)&lt;=0.9,特效裤子无双,0))</f>
        <v>1.7800129648</v>
      </c>
      <c r="V42">
        <f ca="1" t="shared" si="77"/>
        <v>2669962.12969036</v>
      </c>
      <c r="W42">
        <f ca="1">IF(G42="恒定伤害",0,MIN(1,IF(COUNTIF(F42,"*内会*")&gt;0,内会2,IF(D42="轻剑",$Y$2,$Y$3)+COUNTIF(G42,"*莺鸣*")*0.2+COUNTIF(G42,"*叠1*")*0.1+COUNTIF(G42,"*叠2*")*0.2+COUNTIF(G42,"*叠3*")*0.3)+IFERROR(INDEX(技能数据库!$T$2:$W$27,MATCH(E42,技能数据库!$T$2:$T$27,0),2),0)+IF((IF(D42="轻剑",$AO$2,$AO$3)+INT(COUNTIF(G42,"*大莺鸣*")*IF(D42="轻剑",$AM$2,$AM$3)*听晓无双率)/无双系数)&gt;0.9,特效裤子会心/会心系数,0)))</f>
        <v>0.7043</v>
      </c>
      <c r="X42">
        <f ca="1">IF(G42="恒定伤害",0,IF(COUNTIF(F42,"*内会*")&gt;0,内会效2,IF(D42="轻剑",$AB$2,$AB$3))+IFERROR(INDEX(技能数据库!$T$2:$W$27,MATCH(E42,技能数据库!$T$2:$T$27,0),3)/1024,0))+COUNTIF(G42,"*叠1*")*0.25+COUNTIF(G42,"*叠2*")*0.5+COUNTIF(G42,"*叠3*")*0.75</f>
        <v>2.1773735021</v>
      </c>
      <c r="Y42">
        <f ca="1" t="shared" si="78"/>
        <v>1.82922415752903</v>
      </c>
      <c r="Z42">
        <f t="shared" si="16"/>
        <v>0.150390625</v>
      </c>
      <c r="AA42">
        <f ca="1" t="shared" si="79"/>
        <v>0.0205078125</v>
      </c>
      <c r="AB42">
        <f ca="1" t="shared" si="80"/>
        <v>5733683.25082763</v>
      </c>
      <c r="AC42">
        <f ca="1">无穷技能数计算!$AJ34</f>
        <v>12</v>
      </c>
      <c r="AD42" s="164">
        <f ca="1" t="shared" si="81"/>
        <v>0.0269651074950273</v>
      </c>
      <c r="AE42" s="168"/>
      <c r="AF42" s="168">
        <f ca="1" t="shared" si="17"/>
        <v>0.7057</v>
      </c>
      <c r="AG42">
        <f ca="1">无穷技能数计算!$AJ34</f>
        <v>12</v>
      </c>
      <c r="AH42">
        <f ca="1" t="shared" si="18"/>
        <v>109879</v>
      </c>
      <c r="AJ42">
        <f ca="1" t="shared" si="19"/>
        <v>2.3765922521</v>
      </c>
      <c r="AK42">
        <f ca="1" t="shared" si="56"/>
        <v>816526.68125</v>
      </c>
      <c r="AL42">
        <f ca="1" t="shared" si="20"/>
        <v>6408663.92584329</v>
      </c>
      <c r="AM42" s="169">
        <f ca="1" t="shared" si="21"/>
        <v>0.7272</v>
      </c>
      <c r="AN42">
        <f ca="1">无穷技能数计算!$AJ34</f>
        <v>12</v>
      </c>
      <c r="AO42" s="170">
        <f ca="1" t="shared" si="22"/>
        <v>6504874.55498532</v>
      </c>
      <c r="AP42">
        <f ca="1" t="shared" si="23"/>
        <v>110956</v>
      </c>
      <c r="AQ42" s="170">
        <f ca="1" t="shared" si="57"/>
        <v>823662.725</v>
      </c>
      <c r="AR42">
        <f ca="1" t="shared" ref="AR42:AR73" si="84">IF(COUNTIF(G42,"*恒定伤害*")&gt;0,AB42,((AQ42*(1+P42)*(1+IF(COUNTIF(F42,"*内破*")&gt;0,内破,IF(D42="轻剑",$AQ$8,$AQ$9)/破防系数)+IF((IF(D42="轻剑",$AO$2,$AO$3)+INT(COUNTIF(G42,"*大莺鸣*")*IF(D42="轻剑",$AM$2,$AM$3)*听晓无双率)/无双系数)&gt;0.9,(特效裤子破防+特效裤子破防*IF(D42="轻剑",$AD$2+200,$AD$3+200)/1024)/破防系数,0))*(1-R42))*T42*(1+U42))*Y42*(1+Z42)*(1+AA42))</f>
        <v>6348416.37338451</v>
      </c>
      <c r="AS42">
        <f ca="1" t="shared" si="25"/>
        <v>0.7843</v>
      </c>
      <c r="AT42">
        <f ca="1">无穷技能数计算!$AJ34</f>
        <v>12</v>
      </c>
      <c r="AU42">
        <f ca="1" t="shared" si="26"/>
        <v>2.3238578771</v>
      </c>
      <c r="AV42">
        <f ca="1" t="shared" ref="AV42:AV73" si="85">IF(G42="恒定伤害",0,(IF(D42="轻剑",$AV$8,$AV$9)+INT(COUNTIF(G42,"*大莺鸣*")*IF(D42="轻剑",$AM$2,$AM$3)*听晓无双率)/无双系数))+IF((IF(G42="恒定伤害",0,(IF(D42="轻剑",$AV$8,$AV$9)+INT(COUNTIF(G42,"*大莺鸣*")*IF(D42="轻剑",$AM$2,$AM$3)*听晓无双率)/无双系数)))&lt;=0.9,特效裤子无双,0)</f>
        <v>1.7995442148</v>
      </c>
      <c r="AW42">
        <f ca="1" t="shared" si="58"/>
        <v>6433921.42083795</v>
      </c>
      <c r="AX42">
        <f ca="1" t="shared" si="28"/>
        <v>0.7743</v>
      </c>
      <c r="AY42">
        <f ca="1">无穷技能数计算!$AJ34</f>
        <v>12</v>
      </c>
      <c r="AZ42" s="170">
        <f ca="1" t="shared" si="59"/>
        <v>6392133.7040555</v>
      </c>
      <c r="BA42">
        <f ca="1" t="shared" si="29"/>
        <v>0.7643</v>
      </c>
      <c r="BB42">
        <f ca="1">无穷技能数计算!$AJ34</f>
        <v>12</v>
      </c>
      <c r="BC42" s="170">
        <f ca="1" t="shared" si="60"/>
        <v>6350345.98727304</v>
      </c>
      <c r="BE42">
        <f ca="1" t="shared" si="30"/>
        <v>105849</v>
      </c>
      <c r="BF42">
        <f ca="1" t="shared" si="31"/>
        <v>787562.61875</v>
      </c>
      <c r="BI42">
        <f ca="1" t="shared" si="32"/>
        <v>0.7543</v>
      </c>
      <c r="BJ42">
        <f ca="1">无穷技能数计算!$AJ34</f>
        <v>12</v>
      </c>
      <c r="BK42">
        <f ca="1" t="shared" si="33"/>
        <v>6316592.57900974</v>
      </c>
      <c r="BM42">
        <f ca="1" t="shared" si="34"/>
        <v>109230</v>
      </c>
      <c r="BN42">
        <f ca="1" t="shared" si="35"/>
        <v>811462.0625</v>
      </c>
      <c r="BO42">
        <f ca="1" t="shared" ref="BO42:BO73" si="86">IF(COUNTIF(G42,"*恒定伤害*")&gt;0,AB42,((BN42*(1+P42)*(1+IF(COUNTIF(F42,"*内破*")&gt;0,内破,IF(D42="轻剑",$BM$8,$BM$9)/破防系数)+IF((IF(D42="轻剑",$AO$2,$AO$3)+INT(COUNTIF(G42,"*大莺鸣*")*IF(D42="轻剑",$AM$2,$AM$3)*听晓无双率)/无双系数)&gt;0.9,(特效裤子破防+特效裤子破防*IF(D42="轻剑",$AD$2+102,$AD$3+102)/1024)/破防系数,0))*(1-R42))*T42*(1+U42))*Y42*(1+Z42)*(1+AA42))</f>
        <v>6380315.34112466</v>
      </c>
      <c r="BP42">
        <f ca="1" t="shared" ref="BP42:BP73" si="87">IF(COUNTIF(G42,"*恒定伤害*")&gt;0,AB42,((BN42*(1+P42)*(1+IF(COUNTIF(F42,"*内破*")&gt;0,内破,IF(D42="轻剑",$BQ$8,$BQ$9)/破防系数)+IF((IF(D42="轻剑",$AO$2,$AO$3)+INT(COUNTIF(G42,"*大莺鸣*")*IF(D42="轻剑",$AM$2,$AM$3)*听晓无双率)/无双系数)&gt;0.9,(特效裤子破防+特效裤子破防*IF(D42="轻剑",$AD$2+102,$AD$3+102)/1024)/破防系数,0))*(1-R42))*T42*(1+U42))*Y42*(1+Z42)*(1+AA42))</f>
        <v>6084538.79850465</v>
      </c>
      <c r="BR42">
        <f ca="1" t="shared" si="38"/>
        <v>0.7543</v>
      </c>
      <c r="BS42">
        <f ca="1" t="shared" si="39"/>
        <v>6324476.59632215</v>
      </c>
      <c r="BT42">
        <f ca="1" t="shared" si="40"/>
        <v>0.196995876306796</v>
      </c>
      <c r="BU42">
        <f ca="1" t="shared" si="41"/>
        <v>2.3238578771</v>
      </c>
      <c r="BV42">
        <f ca="1" t="shared" si="61"/>
        <v>6390128.61428265</v>
      </c>
      <c r="BW42">
        <f ca="1" t="shared" si="42"/>
        <v>113027</v>
      </c>
      <c r="BX42">
        <f ca="1" t="shared" si="43"/>
        <v>838302.10625</v>
      </c>
      <c r="BY42">
        <f ca="1" t="shared" si="44"/>
        <v>0.7343</v>
      </c>
      <c r="BZ42">
        <f ca="1">无穷技能数计算!$AJ34</f>
        <v>12</v>
      </c>
      <c r="CA42">
        <f ca="1" t="shared" si="45"/>
        <v>2.3277641271</v>
      </c>
      <c r="CB42">
        <f ca="1" t="shared" si="62"/>
        <v>6589494.71582895</v>
      </c>
      <c r="CC42">
        <f ca="1" t="shared" si="46"/>
        <v>114847</v>
      </c>
      <c r="CD42">
        <f ca="1" t="shared" si="47"/>
        <v>851167.23125</v>
      </c>
      <c r="CE42">
        <f ca="1" t="shared" si="48"/>
        <v>6505495.26907763</v>
      </c>
      <c r="CF42">
        <f ca="1" t="shared" si="49"/>
        <v>2.2750297521</v>
      </c>
      <c r="CG42">
        <f ca="1" t="shared" si="50"/>
        <v>0.7343</v>
      </c>
      <c r="CH42">
        <f ca="1" t="shared" si="63"/>
        <v>6111807.74533715</v>
      </c>
      <c r="CJ42">
        <f ca="1" t="shared" si="51"/>
        <v>811462.0625</v>
      </c>
      <c r="CK42">
        <f ca="1" t="shared" ref="CK42:CK73" si="88">IF(COUNTIF(G42,"*恒定伤害*")&gt;0,AB42,((CJ42*(1+P42)*(1+IF(COUNTIF(F42,"*内破*")&gt;0,内破,IF(D42="轻剑",$CI$8,$CI$9)/破防系数)+IF((IF(D42="轻剑",$AO$2,$AO$3)+INT(COUNTIF(G42,"*大莺鸣*")*IF(D42="轻剑",$AM$2,$AM$3)*听晓无双率)/无双系数)&gt;0.9,(特效裤子破防+特效裤子破防*IF(D42="轻剑",$AD$2+256,$AD$3+256)/1024)/破防系数,0))*(1-R42))*T42*(1+U42))*Y42*(1+Z42)*(1+AA42))</f>
        <v>6351412.86036693</v>
      </c>
      <c r="CL42">
        <f ca="1" t="shared" si="64"/>
        <v>2.2976860021</v>
      </c>
      <c r="CM42">
        <f ca="1">IF(G42="恒定伤害",0,(IF(D42="轻剑",$CM$8,$CM$9)+IFERROR(INDEX(技能数据库!$T$2:$W$27,MATCH(E42,技能数据库!$T$2:$T$27,0),4),0)+COUNTIF(G42,"*造化2*")*154+COUNTIF(G42,"*造化1*")*102+COUNTIF(G42,"*碧归*")*307)/1024)</f>
        <v>0.397571271929785</v>
      </c>
      <c r="CN42">
        <f ca="1" t="shared" si="65"/>
        <v>6443470.99674006</v>
      </c>
      <c r="CO42">
        <f ca="1" t="shared" si="66"/>
        <v>2.3262602208</v>
      </c>
      <c r="CP42">
        <f ca="1" t="shared" si="67"/>
        <v>6512700.27503348</v>
      </c>
      <c r="CQ42">
        <f ca="1" t="shared" ref="CQ42:CQ73" si="89">IF(G42="恒定伤害",0,(IF(D42="轻剑",$CQ$8,$CQ$9)+INT(COUNTIF(G42,"*大莺鸣*")*IF(D42="轻剑",$AM$2,$AM$3)*听晓无双率)/无双系数))+IF((IF(G42="恒定伤害",0,(IF(D42="轻剑",$CQ$8,$CQ$9)+INT(COUNTIF(G42,"*大莺鸣*")*IF(D42="轻剑",$AM$2,$AM$3)*听晓无双率)/无双系数)))&lt;=0.9,特效裤子无双,0)</f>
        <v>1.8815754648</v>
      </c>
      <c r="CR42">
        <f ca="1">IF(G42="恒定伤害",0,(IF(D42="轻剑",$CR$8,$CR$9)+IFERROR(INDEX(技能数据库!$T$2:$W$27,MATCH(E42,技能数据库!$T$2:$T$27,0),4),0)+COUNTIF(G42,"*造化2*")*154+COUNTIF(G42,"*造化1*")*102+COUNTIF(G42,"*碧归*")*307)/1024)</f>
        <v>0.387805646929785</v>
      </c>
      <c r="CS42">
        <f ca="1" t="shared" si="68"/>
        <v>6168878.15016024</v>
      </c>
    </row>
    <row r="43" spans="4:97">
      <c r="D43" t="s">
        <v>1825</v>
      </c>
      <c r="E43" t="s">
        <v>2776</v>
      </c>
      <c r="G43" t="s">
        <v>3070</v>
      </c>
      <c r="H43">
        <f ca="1">INDEX(技能数据库!$B$2:$I$100,MATCH(无穷阵眼收益计算!$E43,技能数据库!$B$2:$B$100,0),MATCH(H$9,技能数据库!$B$2:$I$2,0))</f>
        <v>281.5</v>
      </c>
      <c r="I43">
        <f ca="1">INDEX(技能数据库!$B$2:$I$100,MATCH(无穷阵眼收益计算!$E43,技能数据库!$B$2:$B$100,0),MATCH(I$9,技能数据库!$B$2:$I$2,0))</f>
        <v>7.06875</v>
      </c>
      <c r="J43">
        <f ca="1">INDEX(技能数据库!$B$2:$I$100,MATCH(无穷阵眼收益计算!$E43,技能数据库!$B$2:$B$100,0),MATCH(J$9,技能数据库!$B$2:$I$2,0))</f>
        <v>2</v>
      </c>
      <c r="K43">
        <f ca="1">INDEX(技能数据库!$B$2:$I$100,MATCH(无穷阵眼收益计算!$E43,技能数据库!$B$2:$B$100,0),MATCH(K$9,技能数据库!$B$2:$I$2,0))</f>
        <v>0</v>
      </c>
      <c r="L43">
        <f ca="1" t="shared" si="13"/>
        <v>105847</v>
      </c>
      <c r="M43">
        <f ca="1" t="shared" si="73"/>
        <v>19530.5</v>
      </c>
      <c r="N43">
        <f ca="1" t="shared" si="74"/>
        <v>92028</v>
      </c>
      <c r="O43">
        <f ca="1" t="shared" si="54"/>
        <v>787548.48125</v>
      </c>
      <c r="P43">
        <f ca="1">IF(G43="恒定伤害",0,(IF(D43="轻剑",$AZ$2,$AZ$3)+IFERROR(INDEX(技能数据库!$T$2:$W$27,MATCH(E43,技能数据库!$T$2:$T$27,0),4),0)+COUNTIF(G43,"*造化2*")*154+COUNTIF(G43,"*造化1*")*102+COUNTIF(G43,"*碧归*")*307)/1024)</f>
        <v>0.337024396929785</v>
      </c>
      <c r="Q43">
        <f ca="1" t="shared" si="82"/>
        <v>0.448284482196154</v>
      </c>
      <c r="R43">
        <f ca="1" t="shared" si="55"/>
        <v>0.21277697966198</v>
      </c>
      <c r="S43">
        <f ca="1" t="shared" si="75"/>
        <v>1200516.94160105</v>
      </c>
      <c r="T43">
        <f t="shared" si="76"/>
        <v>0.8</v>
      </c>
      <c r="U43">
        <f ca="1" t="shared" si="83"/>
        <v>2.67001635480339</v>
      </c>
      <c r="V43">
        <f ca="1" t="shared" si="77"/>
        <v>3524733.44791551</v>
      </c>
      <c r="W43">
        <f ca="1">IF(G43="恒定伤害",0,MIN(1,IF(COUNTIF(F43,"*内会*")&gt;0,内会2,IF(D43="轻剑",$Y$2,$Y$3)+COUNTIF(G43,"*莺鸣*")*0.2+COUNTIF(G43,"*叠1*")*0.1+COUNTIF(G43,"*叠2*")*0.2+COUNTIF(G43,"*叠3*")*0.3)+IFERROR(INDEX(技能数据库!$T$2:$W$27,MATCH(E43,技能数据库!$T$2:$T$27,0),2),0)+IF((IF(D43="轻剑",$AO$2,$AO$3)+INT(COUNTIF(G43,"*大莺鸣*")*IF(D43="轻剑",$AM$2,$AM$3)*听晓无双率)/无双系数)&gt;0.9,特效裤子会心/会心系数,0)))</f>
        <v>0.9043</v>
      </c>
      <c r="X43">
        <f ca="1">IF(G43="恒定伤害",0,IF(COUNTIF(F43,"*内会*")&gt;0,内会效2,IF(D43="轻剑",$AB$2,$AB$3))+IFERROR(INDEX(技能数据库!$T$2:$W$27,MATCH(E43,技能数据库!$T$2:$T$27,0),3)/1024,0))+COUNTIF(G43,"*叠1*")*0.25+COUNTIF(G43,"*叠2*")*0.5+COUNTIF(G43,"*叠3*")*0.75</f>
        <v>2.1773735021</v>
      </c>
      <c r="Y43">
        <f ca="1" t="shared" si="78"/>
        <v>2.06469885794903</v>
      </c>
      <c r="Z43">
        <f t="shared" si="16"/>
        <v>0.150390625</v>
      </c>
      <c r="AA43">
        <f ca="1" t="shared" si="79"/>
        <v>0.0205078125</v>
      </c>
      <c r="AB43">
        <f ca="1" t="shared" si="80"/>
        <v>8543673.92670954</v>
      </c>
      <c r="AC43">
        <f ca="1">无穷技能数计算!$AJ35</f>
        <v>0</v>
      </c>
      <c r="AD43" s="164">
        <f ca="1" t="shared" si="81"/>
        <v>0</v>
      </c>
      <c r="AE43" s="168"/>
      <c r="AF43" s="168">
        <f ca="1" t="shared" si="17"/>
        <v>0.9057</v>
      </c>
      <c r="AG43">
        <f ca="1">无穷技能数计算!$AJ35</f>
        <v>0</v>
      </c>
      <c r="AH43">
        <f ca="1" t="shared" si="18"/>
        <v>109879</v>
      </c>
      <c r="AJ43">
        <f ca="1" t="shared" si="19"/>
        <v>2.3765922521</v>
      </c>
      <c r="AK43">
        <f ca="1" t="shared" si="56"/>
        <v>816526.68125</v>
      </c>
      <c r="AL43">
        <f ca="1" t="shared" si="20"/>
        <v>9641862.29586705</v>
      </c>
      <c r="AM43" s="169">
        <f ca="1" t="shared" si="21"/>
        <v>0.9272</v>
      </c>
      <c r="AN43">
        <f ca="1">无穷技能数计算!$AJ35</f>
        <v>0</v>
      </c>
      <c r="AO43" s="170">
        <f ca="1" t="shared" si="22"/>
        <v>9768874.14326775</v>
      </c>
      <c r="AP43">
        <f ca="1" t="shared" si="23"/>
        <v>110956</v>
      </c>
      <c r="AQ43" s="170">
        <f ca="1" t="shared" si="57"/>
        <v>823662.725</v>
      </c>
      <c r="AR43">
        <f ca="1" t="shared" si="84"/>
        <v>9459678.37294677</v>
      </c>
      <c r="AS43">
        <f ca="1" t="shared" si="25"/>
        <v>0.9843</v>
      </c>
      <c r="AT43">
        <f ca="1">无穷技能数计算!$AJ35</f>
        <v>0</v>
      </c>
      <c r="AU43">
        <f ca="1" t="shared" si="26"/>
        <v>2.3238578771</v>
      </c>
      <c r="AV43">
        <f ca="1" t="shared" si="85"/>
        <v>2.68954760480339</v>
      </c>
      <c r="AW43">
        <f ca="1" t="shared" si="58"/>
        <v>9580779.12584787</v>
      </c>
      <c r="AX43">
        <f ca="1" t="shared" si="28"/>
        <v>0.9743</v>
      </c>
      <c r="AY43">
        <f ca="1">无穷技能数计算!$AJ35</f>
        <v>0</v>
      </c>
      <c r="AZ43" s="170">
        <f ca="1" t="shared" si="59"/>
        <v>9525706.67171414</v>
      </c>
      <c r="BA43">
        <f ca="1" t="shared" si="29"/>
        <v>0.9643</v>
      </c>
      <c r="BB43">
        <f ca="1">无穷技能数计算!$AJ35</f>
        <v>0</v>
      </c>
      <c r="BC43" s="170">
        <f ca="1" t="shared" si="60"/>
        <v>9470634.21758042</v>
      </c>
      <c r="BE43">
        <f ca="1" t="shared" si="30"/>
        <v>105849</v>
      </c>
      <c r="BF43">
        <f ca="1" t="shared" si="31"/>
        <v>787562.61875</v>
      </c>
      <c r="BI43">
        <f ca="1" t="shared" si="32"/>
        <v>0.9543</v>
      </c>
      <c r="BJ43">
        <f ca="1">无穷技能数计算!$AJ35</f>
        <v>0</v>
      </c>
      <c r="BK43">
        <f ca="1" t="shared" si="33"/>
        <v>9362921.58764852</v>
      </c>
      <c r="BM43">
        <f ca="1" t="shared" si="34"/>
        <v>109230</v>
      </c>
      <c r="BN43">
        <f ca="1" t="shared" si="35"/>
        <v>811462.0625</v>
      </c>
      <c r="BO43">
        <f ca="1" t="shared" si="86"/>
        <v>9507210.53805741</v>
      </c>
      <c r="BP43">
        <f ca="1" t="shared" si="87"/>
        <v>9066478.42489958</v>
      </c>
      <c r="BR43">
        <f ca="1" t="shared" si="38"/>
        <v>0.9543</v>
      </c>
      <c r="BS43">
        <f ca="1" t="shared" si="39"/>
        <v>9374607.86232406</v>
      </c>
      <c r="BT43">
        <f ca="1" t="shared" si="40"/>
        <v>0.196995876306796</v>
      </c>
      <c r="BU43">
        <f ca="1" t="shared" si="41"/>
        <v>2.3238578771</v>
      </c>
      <c r="BV43">
        <f ca="1" t="shared" si="61"/>
        <v>9553469.20480125</v>
      </c>
      <c r="BW43">
        <f ca="1" t="shared" si="42"/>
        <v>113027</v>
      </c>
      <c r="BX43">
        <f ca="1" t="shared" si="43"/>
        <v>838302.10625</v>
      </c>
      <c r="BY43">
        <f ca="1" t="shared" si="44"/>
        <v>0.9343</v>
      </c>
      <c r="BZ43">
        <f ca="1">无穷技能数计算!$AJ35</f>
        <v>0</v>
      </c>
      <c r="CA43">
        <f ca="1" t="shared" si="45"/>
        <v>2.3277641271</v>
      </c>
      <c r="CB43">
        <f ca="1" t="shared" si="62"/>
        <v>9868746.06990194</v>
      </c>
      <c r="CC43">
        <f ca="1" t="shared" si="46"/>
        <v>114847</v>
      </c>
      <c r="CD43">
        <f ca="1" t="shared" si="47"/>
        <v>851167.23125</v>
      </c>
      <c r="CE43">
        <f ca="1" t="shared" si="48"/>
        <v>9672796.11648466</v>
      </c>
      <c r="CF43">
        <f ca="1" t="shared" si="49"/>
        <v>2.2750297521</v>
      </c>
      <c r="CG43">
        <f ca="1" t="shared" si="50"/>
        <v>0.9343</v>
      </c>
      <c r="CH43">
        <f ca="1" t="shared" si="63"/>
        <v>9115637.28330501</v>
      </c>
      <c r="CJ43">
        <f ca="1" t="shared" si="51"/>
        <v>811462.0625</v>
      </c>
      <c r="CK43">
        <f ca="1" t="shared" si="88"/>
        <v>9464143.39247845</v>
      </c>
      <c r="CL43">
        <f ca="1" t="shared" si="64"/>
        <v>2.2976860021</v>
      </c>
      <c r="CM43">
        <f ca="1">IF(G43="恒定伤害",0,(IF(D43="轻剑",$CM$8,$CM$9)+IFERROR(INDEX(技能数据库!$T$2:$W$27,MATCH(E43,技能数据库!$T$2:$T$27,0),4),0)+COUNTIF(G43,"*造化2*")*154+COUNTIF(G43,"*造化1*")*102+COUNTIF(G43,"*碧归*")*307)/1024)</f>
        <v>0.397571271929785</v>
      </c>
      <c r="CN43">
        <f ca="1" t="shared" si="65"/>
        <v>9620482.44119252</v>
      </c>
      <c r="CO43">
        <f ca="1" t="shared" si="66"/>
        <v>2.3262602208</v>
      </c>
      <c r="CP43">
        <f ca="1" t="shared" si="67"/>
        <v>9736570.73068517</v>
      </c>
      <c r="CQ43">
        <f ca="1" t="shared" si="89"/>
        <v>2.77157885480339</v>
      </c>
      <c r="CR43">
        <f ca="1">IF(G43="恒定伤害",0,(IF(D43="轻剑",$CR$8,$CR$9)+IFERROR(INDEX(技能数据库!$T$2:$W$27,MATCH(E43,技能数据库!$T$2:$T$27,0),4),0)+COUNTIF(G43,"*造化2*")*154+COUNTIF(G43,"*造化1*")*102+COUNTIF(G43,"*碧归*")*307)/1024)</f>
        <v>0.387805646929785</v>
      </c>
      <c r="CS43">
        <f ca="1" t="shared" si="68"/>
        <v>9113583.47588579</v>
      </c>
    </row>
    <row r="44" spans="4:97">
      <c r="D44" t="s">
        <v>1825</v>
      </c>
      <c r="E44" t="s">
        <v>2780</v>
      </c>
      <c r="G44" t="s">
        <v>3157</v>
      </c>
      <c r="H44">
        <f ca="1">INDEX(技能数据库!$B$2:$I$100,MATCH(无穷阵眼收益计算!$E44,技能数据库!$B$2:$B$100,0),MATCH(H$9,技能数据库!$B$2:$I$2,0))</f>
        <v>252.5</v>
      </c>
      <c r="I44">
        <f ca="1">INDEX(技能数据库!$B$2:$I$100,MATCH(无穷阵眼收益计算!$E44,技能数据库!$B$2:$B$100,0),MATCH(I$9,技能数据库!$B$2:$I$2,0))</f>
        <v>2.11875</v>
      </c>
      <c r="J44">
        <f ca="1">INDEX(技能数据库!$B$2:$I$100,MATCH(无穷阵眼收益计算!$E44,技能数据库!$B$2:$B$100,0),MATCH(J$9,技能数据库!$B$2:$I$2,0))</f>
        <v>2</v>
      </c>
      <c r="K44">
        <f ca="1">INDEX(技能数据库!$B$2:$I$100,MATCH(无穷阵眼收益计算!$E44,技能数据库!$B$2:$B$100,0),MATCH(K$9,技能数据库!$B$2:$I$2,0))</f>
        <v>0</v>
      </c>
      <c r="L44">
        <f ca="1" t="shared" si="13"/>
        <v>105847</v>
      </c>
      <c r="M44">
        <f ca="1" t="shared" si="73"/>
        <v>19530.5</v>
      </c>
      <c r="N44">
        <f ca="1" t="shared" si="74"/>
        <v>92028</v>
      </c>
      <c r="O44">
        <f ca="1" t="shared" si="54"/>
        <v>263576.83125</v>
      </c>
      <c r="P44">
        <f ca="1">IF(G44="恒定伤害",0,(IF(D44="轻剑",$AZ$2,$AZ$3)+IFERROR(INDEX(技能数据库!$T$2:$W$27,MATCH(E44,技能数据库!$T$2:$T$27,0),4),0)+COUNTIF(G44,"*造化2*")*154+COUNTIF(G44,"*造化1*")*102+COUNTIF(G44,"*碧归*")*307)/1024)</f>
        <v>0.337024396929785</v>
      </c>
      <c r="Q44">
        <f ca="1" t="shared" si="82"/>
        <v>0.448284482196154</v>
      </c>
      <c r="R44">
        <f ca="1" t="shared" si="55"/>
        <v>0.21277697966198</v>
      </c>
      <c r="S44">
        <f ca="1" t="shared" si="75"/>
        <v>401789.170905274</v>
      </c>
      <c r="T44">
        <f t="shared" si="76"/>
        <v>0.8</v>
      </c>
      <c r="U44">
        <f ca="1" t="shared" si="83"/>
        <v>1.7800129648</v>
      </c>
      <c r="V44">
        <f ca="1" t="shared" si="77"/>
        <v>893583.283386323</v>
      </c>
      <c r="W44">
        <f ca="1">IF(G44="恒定伤害",0,MIN(1,IF(COUNTIF(F44,"*内会*")&gt;0,内会2,IF(D44="轻剑",$Y$2,$Y$3)+COUNTIF(G44,"*莺鸣*")*0.2+COUNTIF(G44,"*叠1*")*0.1+COUNTIF(G44,"*叠2*")*0.2+COUNTIF(G44,"*叠3*")*0.3)+IFERROR(INDEX(技能数据库!$T$2:$W$27,MATCH(E44,技能数据库!$T$2:$T$27,0),2),0)+IF((IF(D44="轻剑",$AO$2,$AO$3)+INT(COUNTIF(G44,"*大莺鸣*")*IF(D44="轻剑",$AM$2,$AM$3)*听晓无双率)/无双系数)&gt;0.9,特效裤子会心/会心系数,0)))</f>
        <v>0.7043</v>
      </c>
      <c r="X44">
        <f ca="1">IF(G44="恒定伤害",0,IF(COUNTIF(F44,"*内会*")&gt;0,内会效2,IF(D44="轻剑",$AB$2,$AB$3))+IFERROR(INDEX(技能数据库!$T$2:$W$27,MATCH(E44,技能数据库!$T$2:$T$27,0),3)/1024,0))+COUNTIF(G44,"*叠1*")*0.25+COUNTIF(G44,"*叠2*")*0.5+COUNTIF(G44,"*叠3*")*0.75</f>
        <v>2.1773735021</v>
      </c>
      <c r="Y44">
        <f ca="1" t="shared" si="78"/>
        <v>1.82922415752903</v>
      </c>
      <c r="Z44">
        <f t="shared" si="16"/>
        <v>0.150390625</v>
      </c>
      <c r="AA44">
        <f ca="1" t="shared" si="79"/>
        <v>0.0205078125</v>
      </c>
      <c r="AB44">
        <f ca="1" t="shared" si="80"/>
        <v>1918949.87880068</v>
      </c>
      <c r="AC44">
        <f ca="1">无穷技能数计算!$AJ36</f>
        <v>12</v>
      </c>
      <c r="AD44" s="164">
        <f ca="1" t="shared" si="81"/>
        <v>0.00902468579023104</v>
      </c>
      <c r="AE44" s="168"/>
      <c r="AF44" s="168">
        <f ca="1" t="shared" si="17"/>
        <v>0.7057</v>
      </c>
      <c r="AG44">
        <f ca="1">无穷技能数计算!$AJ36</f>
        <v>12</v>
      </c>
      <c r="AH44">
        <f ca="1" t="shared" si="18"/>
        <v>109879</v>
      </c>
      <c r="AJ44">
        <f ca="1" t="shared" si="19"/>
        <v>2.3765922521</v>
      </c>
      <c r="AK44">
        <f ca="1" t="shared" si="56"/>
        <v>272596.63125</v>
      </c>
      <c r="AL44">
        <f ca="1" t="shared" si="20"/>
        <v>2139526.16260362</v>
      </c>
      <c r="AM44" s="169">
        <f ca="1" t="shared" si="21"/>
        <v>0.7272</v>
      </c>
      <c r="AN44">
        <f ca="1">无穷技能数计算!$AJ36</f>
        <v>12</v>
      </c>
      <c r="AO44" s="170">
        <f ca="1" t="shared" si="22"/>
        <v>2171645.98672793</v>
      </c>
      <c r="AP44">
        <f ca="1" t="shared" si="23"/>
        <v>110956</v>
      </c>
      <c r="AQ44" s="170">
        <f ca="1" t="shared" si="57"/>
        <v>274401.525</v>
      </c>
      <c r="AR44">
        <f ca="1" t="shared" si="84"/>
        <v>2114961.72075977</v>
      </c>
      <c r="AS44">
        <f ca="1" t="shared" si="25"/>
        <v>0.7843</v>
      </c>
      <c r="AT44">
        <f ca="1">无穷技能数计算!$AJ36</f>
        <v>12</v>
      </c>
      <c r="AU44">
        <f ca="1" t="shared" si="26"/>
        <v>2.3238578771</v>
      </c>
      <c r="AV44">
        <f ca="1" t="shared" si="85"/>
        <v>1.7995442148</v>
      </c>
      <c r="AW44">
        <f ca="1" t="shared" si="58"/>
        <v>2153305.68338388</v>
      </c>
      <c r="AX44">
        <f ca="1" t="shared" si="28"/>
        <v>0.7743</v>
      </c>
      <c r="AY44">
        <f ca="1">无穷技能数计算!$AJ36</f>
        <v>12</v>
      </c>
      <c r="AZ44" s="170">
        <f ca="1" t="shared" si="59"/>
        <v>2139320.16473084</v>
      </c>
      <c r="BA44">
        <f ca="1" t="shared" si="29"/>
        <v>0.7643</v>
      </c>
      <c r="BB44">
        <f ca="1">无穷技能数计算!$AJ36</f>
        <v>12</v>
      </c>
      <c r="BC44" s="170">
        <f ca="1" t="shared" si="60"/>
        <v>2125334.6460778</v>
      </c>
      <c r="BE44">
        <f ca="1" t="shared" si="30"/>
        <v>105849</v>
      </c>
      <c r="BF44">
        <f ca="1" t="shared" si="31"/>
        <v>263581.06875</v>
      </c>
      <c r="BI44">
        <f ca="1" t="shared" si="32"/>
        <v>0.7543</v>
      </c>
      <c r="BJ44">
        <f ca="1">无穷技能数计算!$AJ36</f>
        <v>12</v>
      </c>
      <c r="BK44">
        <f ca="1" t="shared" si="33"/>
        <v>2114034.08845921</v>
      </c>
      <c r="BM44">
        <f ca="1" t="shared" si="34"/>
        <v>109230</v>
      </c>
      <c r="BN44">
        <f ca="1" t="shared" si="35"/>
        <v>270744.5625</v>
      </c>
      <c r="BO44">
        <f ca="1" t="shared" si="86"/>
        <v>2128794.14266497</v>
      </c>
      <c r="BP44">
        <f ca="1" t="shared" si="87"/>
        <v>2030108.20979128</v>
      </c>
      <c r="BR44">
        <f ca="1" t="shared" si="38"/>
        <v>0.7543</v>
      </c>
      <c r="BS44">
        <f ca="1" t="shared" si="39"/>
        <v>2110163.52857868</v>
      </c>
      <c r="BT44">
        <f ca="1" t="shared" si="40"/>
        <v>0.196995876306796</v>
      </c>
      <c r="BU44">
        <f ca="1" t="shared" si="41"/>
        <v>2.3238578771</v>
      </c>
      <c r="BV44">
        <f ca="1" t="shared" si="61"/>
        <v>2138649.10101695</v>
      </c>
      <c r="BW44">
        <f ca="1" t="shared" si="42"/>
        <v>113027</v>
      </c>
      <c r="BX44">
        <f ca="1" t="shared" si="43"/>
        <v>278789.45625</v>
      </c>
      <c r="BY44">
        <f ca="1" t="shared" si="44"/>
        <v>0.7343</v>
      </c>
      <c r="BZ44">
        <f ca="1">无穷技能数计算!$AJ36</f>
        <v>12</v>
      </c>
      <c r="CA44">
        <f ca="1" t="shared" si="45"/>
        <v>2.3277641271</v>
      </c>
      <c r="CB44">
        <f ca="1" t="shared" si="62"/>
        <v>2191431.50791553</v>
      </c>
      <c r="CC44">
        <f ca="1" t="shared" si="46"/>
        <v>114847</v>
      </c>
      <c r="CD44">
        <f ca="1" t="shared" si="47"/>
        <v>282645.58125</v>
      </c>
      <c r="CE44">
        <f ca="1" t="shared" si="48"/>
        <v>2160268.18718953</v>
      </c>
      <c r="CF44">
        <f ca="1" t="shared" si="49"/>
        <v>2.2750297521</v>
      </c>
      <c r="CG44">
        <f ca="1" t="shared" si="50"/>
        <v>0.7343</v>
      </c>
      <c r="CH44">
        <f ca="1" t="shared" si="63"/>
        <v>2045500.63529841</v>
      </c>
      <c r="CJ44">
        <f ca="1" t="shared" si="51"/>
        <v>270744.5625</v>
      </c>
      <c r="CK44">
        <f ca="1" t="shared" si="88"/>
        <v>2119150.82122144</v>
      </c>
      <c r="CL44">
        <f ca="1" t="shared" si="64"/>
        <v>2.2976860021</v>
      </c>
      <c r="CM44">
        <f ca="1">IF(G44="恒定伤害",0,(IF(D44="轻剑",$CM$8,$CM$9)+IFERROR(INDEX(技能数据库!$T$2:$W$27,MATCH(E44,技能数据库!$T$2:$T$27,0),4),0)+COUNTIF(G44,"*造化2*")*154+COUNTIF(G44,"*造化1*")*102+COUNTIF(G44,"*碧归*")*307)/1024)</f>
        <v>0.397571271929785</v>
      </c>
      <c r="CN44">
        <f ca="1" t="shared" si="65"/>
        <v>2156501.7367266</v>
      </c>
      <c r="CO44">
        <f ca="1" t="shared" si="66"/>
        <v>2.3262602208</v>
      </c>
      <c r="CP44">
        <f ca="1" t="shared" si="67"/>
        <v>2179671.40086378</v>
      </c>
      <c r="CQ44">
        <f ca="1" t="shared" si="89"/>
        <v>1.8815754648</v>
      </c>
      <c r="CR44">
        <f ca="1">IF(G44="恒定伤害",0,(IF(D44="轻剑",$CR$8,$CR$9)+IFERROR(INDEX(技能数据库!$T$2:$W$27,MATCH(E44,技能数据库!$T$2:$T$27,0),4),0)+COUNTIF(G44,"*造化2*")*154+COUNTIF(G44,"*造化1*")*102+COUNTIF(G44,"*碧归*")*307)/1024)</f>
        <v>0.387805646929785</v>
      </c>
      <c r="CS44">
        <f ca="1" t="shared" si="68"/>
        <v>2064600.96603303</v>
      </c>
    </row>
    <row r="45" spans="4:97">
      <c r="D45" t="s">
        <v>1825</v>
      </c>
      <c r="E45" t="s">
        <v>2780</v>
      </c>
      <c r="G45" t="s">
        <v>3070</v>
      </c>
      <c r="H45">
        <f ca="1">INDEX(技能数据库!$B$2:$I$100,MATCH(无穷阵眼收益计算!$E45,技能数据库!$B$2:$B$100,0),MATCH(H$9,技能数据库!$B$2:$I$2,0))</f>
        <v>252.5</v>
      </c>
      <c r="I45">
        <f ca="1">INDEX(技能数据库!$B$2:$I$100,MATCH(无穷阵眼收益计算!$E45,技能数据库!$B$2:$B$100,0),MATCH(I$9,技能数据库!$B$2:$I$2,0))</f>
        <v>2.11875</v>
      </c>
      <c r="J45">
        <f ca="1">INDEX(技能数据库!$B$2:$I$100,MATCH(无穷阵眼收益计算!$E45,技能数据库!$B$2:$B$100,0),MATCH(J$9,技能数据库!$B$2:$I$2,0))</f>
        <v>2</v>
      </c>
      <c r="K45">
        <f ca="1">INDEX(技能数据库!$B$2:$I$100,MATCH(无穷阵眼收益计算!$E45,技能数据库!$B$2:$B$100,0),MATCH(K$9,技能数据库!$B$2:$I$2,0))</f>
        <v>0</v>
      </c>
      <c r="L45">
        <f ca="1" t="shared" si="13"/>
        <v>105847</v>
      </c>
      <c r="M45">
        <f ca="1" t="shared" si="73"/>
        <v>19530.5</v>
      </c>
      <c r="N45">
        <f ca="1" t="shared" si="74"/>
        <v>92028</v>
      </c>
      <c r="O45">
        <f ca="1" t="shared" si="54"/>
        <v>263576.83125</v>
      </c>
      <c r="P45">
        <f ca="1">IF(G45="恒定伤害",0,(IF(D45="轻剑",$AZ$2,$AZ$3)+IFERROR(INDEX(技能数据库!$T$2:$W$27,MATCH(E45,技能数据库!$T$2:$T$27,0),4),0)+COUNTIF(G45,"*造化2*")*154+COUNTIF(G45,"*造化1*")*102+COUNTIF(G45,"*碧归*")*307)/1024)</f>
        <v>0.337024396929785</v>
      </c>
      <c r="Q45">
        <f ca="1" t="shared" si="82"/>
        <v>0.448284482196154</v>
      </c>
      <c r="R45">
        <f ca="1" t="shared" si="55"/>
        <v>0.21277697966198</v>
      </c>
      <c r="S45">
        <f ca="1" t="shared" si="75"/>
        <v>401789.170905274</v>
      </c>
      <c r="T45">
        <f t="shared" si="76"/>
        <v>0.8</v>
      </c>
      <c r="U45">
        <f ca="1" t="shared" si="83"/>
        <v>2.67001635480339</v>
      </c>
      <c r="V45">
        <f ca="1" t="shared" si="77"/>
        <v>1179658.2627242</v>
      </c>
      <c r="W45">
        <f ca="1">IF(G45="恒定伤害",0,MIN(1,IF(COUNTIF(F45,"*内会*")&gt;0,内会2,IF(D45="轻剑",$Y$2,$Y$3)+COUNTIF(G45,"*莺鸣*")*0.2+COUNTIF(G45,"*叠1*")*0.1+COUNTIF(G45,"*叠2*")*0.2+COUNTIF(G45,"*叠3*")*0.3)+IFERROR(INDEX(技能数据库!$T$2:$W$27,MATCH(E45,技能数据库!$T$2:$T$27,0),2),0)+IF((IF(D45="轻剑",$AO$2,$AO$3)+INT(COUNTIF(G45,"*大莺鸣*")*IF(D45="轻剑",$AM$2,$AM$3)*听晓无双率)/无双系数)&gt;0.9,特效裤子会心/会心系数,0)))</f>
        <v>0.9043</v>
      </c>
      <c r="X45">
        <f ca="1">IF(G45="恒定伤害",0,IF(COUNTIF(F45,"*内会*")&gt;0,内会效2,IF(D45="轻剑",$AB$2,$AB$3))+IFERROR(INDEX(技能数据库!$T$2:$W$27,MATCH(E45,技能数据库!$T$2:$T$27,0),3)/1024,0))+COUNTIF(G45,"*叠1*")*0.25+COUNTIF(G45,"*叠2*")*0.5+COUNTIF(G45,"*叠3*")*0.75</f>
        <v>2.1773735021</v>
      </c>
      <c r="Y45">
        <f ca="1" t="shared" si="78"/>
        <v>2.06469885794903</v>
      </c>
      <c r="Z45">
        <f t="shared" si="16"/>
        <v>0.150390625</v>
      </c>
      <c r="AA45">
        <f ca="1" t="shared" si="79"/>
        <v>0.0205078125</v>
      </c>
      <c r="AB45">
        <f ca="1" t="shared" si="80"/>
        <v>2859397.93479266</v>
      </c>
      <c r="AC45">
        <f ca="1">无穷技能数计算!$AJ37</f>
        <v>0</v>
      </c>
      <c r="AD45" s="164">
        <f ca="1" t="shared" si="81"/>
        <v>0</v>
      </c>
      <c r="AE45" s="168"/>
      <c r="AF45" s="168">
        <f ca="1" t="shared" si="17"/>
        <v>0.9057</v>
      </c>
      <c r="AG45">
        <f ca="1">无穷技能数计算!$AJ37</f>
        <v>0</v>
      </c>
      <c r="AH45">
        <f ca="1" t="shared" si="18"/>
        <v>109879</v>
      </c>
      <c r="AJ45">
        <f ca="1" t="shared" si="19"/>
        <v>2.3765922521</v>
      </c>
      <c r="AK45">
        <f ca="1" t="shared" si="56"/>
        <v>272596.63125</v>
      </c>
      <c r="AL45">
        <f ca="1" t="shared" si="20"/>
        <v>3218926.26558889</v>
      </c>
      <c r="AM45" s="169">
        <f ca="1" t="shared" si="21"/>
        <v>0.9272</v>
      </c>
      <c r="AN45">
        <f ca="1">无穷技能数计算!$AJ37</f>
        <v>0</v>
      </c>
      <c r="AO45" s="170">
        <f ca="1" t="shared" si="22"/>
        <v>3261329.04620258</v>
      </c>
      <c r="AP45">
        <f ca="1" t="shared" si="23"/>
        <v>110956</v>
      </c>
      <c r="AQ45" s="170">
        <f ca="1" t="shared" si="57"/>
        <v>274401.525</v>
      </c>
      <c r="AR45">
        <f ca="1" t="shared" si="84"/>
        <v>3151472.18971954</v>
      </c>
      <c r="AS45">
        <f ca="1" t="shared" si="25"/>
        <v>0.9843</v>
      </c>
      <c r="AT45">
        <f ca="1">无穷技能数计算!$AJ37</f>
        <v>0</v>
      </c>
      <c r="AU45">
        <f ca="1" t="shared" si="26"/>
        <v>2.3238578771</v>
      </c>
      <c r="AV45">
        <f ca="1" t="shared" si="85"/>
        <v>2.68954760480339</v>
      </c>
      <c r="AW45">
        <f ca="1" t="shared" si="58"/>
        <v>3206496.44183048</v>
      </c>
      <c r="AX45">
        <f ca="1" t="shared" si="28"/>
        <v>0.9743</v>
      </c>
      <c r="AY45">
        <f ca="1">无穷技能数计算!$AJ37</f>
        <v>0</v>
      </c>
      <c r="AZ45" s="170">
        <f ca="1" t="shared" si="59"/>
        <v>3188064.78550034</v>
      </c>
      <c r="BA45">
        <f ca="1" t="shared" si="29"/>
        <v>0.9643</v>
      </c>
      <c r="BB45">
        <f ca="1">无穷技能数计算!$AJ37</f>
        <v>0</v>
      </c>
      <c r="BC45" s="170">
        <f ca="1" t="shared" si="60"/>
        <v>3169633.12917019</v>
      </c>
      <c r="BE45">
        <f ca="1" t="shared" si="30"/>
        <v>105849</v>
      </c>
      <c r="BF45">
        <f ca="1" t="shared" si="31"/>
        <v>263581.06875</v>
      </c>
      <c r="BI45">
        <f ca="1" t="shared" si="32"/>
        <v>0.9543</v>
      </c>
      <c r="BJ45">
        <f ca="1">无穷技能数计算!$AJ37</f>
        <v>0</v>
      </c>
      <c r="BK45">
        <f ca="1" t="shared" si="33"/>
        <v>3133577.97836039</v>
      </c>
      <c r="BM45">
        <f ca="1" t="shared" si="34"/>
        <v>109230</v>
      </c>
      <c r="BN45">
        <f ca="1" t="shared" si="35"/>
        <v>270744.5625</v>
      </c>
      <c r="BO45">
        <f ca="1" t="shared" si="86"/>
        <v>3172083.67054343</v>
      </c>
      <c r="BP45">
        <f ca="1" t="shared" si="87"/>
        <v>3025033.26773225</v>
      </c>
      <c r="BR45">
        <f ca="1" t="shared" si="38"/>
        <v>0.9543</v>
      </c>
      <c r="BS45">
        <f ca="1" t="shared" si="39"/>
        <v>3127840.74769236</v>
      </c>
      <c r="BT45">
        <f ca="1" t="shared" si="40"/>
        <v>0.196995876306796</v>
      </c>
      <c r="BU45">
        <f ca="1" t="shared" si="41"/>
        <v>2.3238578771</v>
      </c>
      <c r="BV45">
        <f ca="1" t="shared" si="61"/>
        <v>3197356.35379459</v>
      </c>
      <c r="BW45">
        <f ca="1" t="shared" si="42"/>
        <v>113027</v>
      </c>
      <c r="BX45">
        <f ca="1" t="shared" si="43"/>
        <v>278789.45625</v>
      </c>
      <c r="BY45">
        <f ca="1" t="shared" si="44"/>
        <v>0.9343</v>
      </c>
      <c r="BZ45">
        <f ca="1">无穷技能数计算!$AJ37</f>
        <v>0</v>
      </c>
      <c r="CA45">
        <f ca="1" t="shared" si="45"/>
        <v>2.3277641271</v>
      </c>
      <c r="CB45">
        <f ca="1" t="shared" si="62"/>
        <v>3281993.84229722</v>
      </c>
      <c r="CC45">
        <f ca="1" t="shared" si="46"/>
        <v>114847</v>
      </c>
      <c r="CD45">
        <f ca="1" t="shared" si="47"/>
        <v>282645.58125</v>
      </c>
      <c r="CE45">
        <f ca="1" t="shared" si="48"/>
        <v>3212028.11889447</v>
      </c>
      <c r="CF45">
        <f ca="1" t="shared" si="49"/>
        <v>2.2750297521</v>
      </c>
      <c r="CG45">
        <f ca="1" t="shared" si="50"/>
        <v>0.9343</v>
      </c>
      <c r="CH45">
        <f ca="1" t="shared" si="63"/>
        <v>3050822.70763111</v>
      </c>
      <c r="CJ45">
        <f ca="1" t="shared" si="51"/>
        <v>270744.5625</v>
      </c>
      <c r="CK45">
        <f ca="1" t="shared" si="88"/>
        <v>3157714.30439959</v>
      </c>
      <c r="CL45">
        <f ca="1" t="shared" si="64"/>
        <v>2.2976860021</v>
      </c>
      <c r="CM45">
        <f ca="1">IF(G45="恒定伤害",0,(IF(D45="轻剑",$CM$8,$CM$9)+IFERROR(INDEX(技能数据库!$T$2:$W$27,MATCH(E45,技能数据库!$T$2:$T$27,0),4),0)+COUNTIF(G45,"*造化2*")*154+COUNTIF(G45,"*造化1*")*102+COUNTIF(G45,"*碧归*")*307)/1024)</f>
        <v>0.397571271929785</v>
      </c>
      <c r="CN45">
        <f ca="1" t="shared" si="65"/>
        <v>3219784.35273097</v>
      </c>
      <c r="CO45">
        <f ca="1" t="shared" si="66"/>
        <v>2.3262602208</v>
      </c>
      <c r="CP45">
        <f ca="1" t="shared" si="67"/>
        <v>3258636.79701623</v>
      </c>
      <c r="CQ45">
        <f ca="1" t="shared" si="89"/>
        <v>2.77157885480339</v>
      </c>
      <c r="CR45">
        <f ca="1">IF(G45="恒定伤害",0,(IF(D45="轻剑",$CR$8,$CR$9)+IFERROR(INDEX(技能数据库!$T$2:$W$27,MATCH(E45,技能数据库!$T$2:$T$27,0),4),0)+COUNTIF(G45,"*造化2*")*154+COUNTIF(G45,"*造化1*")*102+COUNTIF(G45,"*碧归*")*307)/1024)</f>
        <v>0.387805646929785</v>
      </c>
      <c r="CS45">
        <f ca="1" t="shared" si="68"/>
        <v>3050135.3390888</v>
      </c>
    </row>
    <row r="46" spans="4:97">
      <c r="D46" t="s">
        <v>1825</v>
      </c>
      <c r="E46" t="s">
        <v>2776</v>
      </c>
      <c r="G46" t="s">
        <v>3057</v>
      </c>
      <c r="H46">
        <f ca="1">INDEX(技能数据库!$B$2:$I$100,MATCH(无穷阵眼收益计算!$E46,技能数据库!$B$2:$B$100,0),MATCH(H$9,技能数据库!$B$2:$I$2,0))</f>
        <v>281.5</v>
      </c>
      <c r="I46">
        <f ca="1">INDEX(技能数据库!$B$2:$I$100,MATCH(无穷阵眼收益计算!$E46,技能数据库!$B$2:$B$100,0),MATCH(I$9,技能数据库!$B$2:$I$2,0))</f>
        <v>7.06875</v>
      </c>
      <c r="J46">
        <f ca="1">INDEX(技能数据库!$B$2:$I$100,MATCH(无穷阵眼收益计算!$E46,技能数据库!$B$2:$B$100,0),MATCH(J$9,技能数据库!$B$2:$I$2,0))</f>
        <v>2</v>
      </c>
      <c r="K46">
        <f ca="1">INDEX(技能数据库!$B$2:$I$100,MATCH(无穷阵眼收益计算!$E46,技能数据库!$B$2:$B$100,0),MATCH(K$9,技能数据库!$B$2:$I$2,0))</f>
        <v>0</v>
      </c>
      <c r="L46">
        <f ca="1" t="shared" si="13"/>
        <v>105847</v>
      </c>
      <c r="M46">
        <f ca="1" t="shared" si="73"/>
        <v>19530.5</v>
      </c>
      <c r="N46">
        <f ca="1" t="shared" si="74"/>
        <v>92028</v>
      </c>
      <c r="O46">
        <f ca="1" t="shared" si="54"/>
        <v>787548.48125</v>
      </c>
      <c r="P46">
        <f ca="1">IF(G46="恒定伤害",0,(IF(D46="轻剑",$AZ$2,$AZ$3)+IFERROR(INDEX(技能数据库!$T$2:$W$27,MATCH(E46,技能数据库!$T$2:$T$27,0),4),0)+COUNTIF(G46,"*造化2*")*154+COUNTIF(G46,"*造化1*")*102+COUNTIF(G46,"*碧归*")*307)/1024)</f>
        <v>0.286243146929785</v>
      </c>
      <c r="Q46">
        <f ca="1" t="shared" si="82"/>
        <v>0.448284482196154</v>
      </c>
      <c r="R46">
        <f ca="1" t="shared" si="55"/>
        <v>0.21277697966198</v>
      </c>
      <c r="S46">
        <f ca="1" t="shared" si="75"/>
        <v>1154920.35332587</v>
      </c>
      <c r="T46">
        <f t="shared" si="76"/>
        <v>0.8</v>
      </c>
      <c r="U46">
        <f ca="1" t="shared" si="83"/>
        <v>1.7800129648</v>
      </c>
      <c r="V46">
        <f ca="1" t="shared" si="77"/>
        <v>2568554.84444584</v>
      </c>
      <c r="W46">
        <f ca="1">IF(G46="恒定伤害",0,MIN(1,IF(COUNTIF(F46,"*内会*")&gt;0,内会2,IF(D46="轻剑",$Y$2,$Y$3)+COUNTIF(G46,"*莺鸣*")*0.2+COUNTIF(G46,"*叠1*")*0.1+COUNTIF(G46,"*叠2*")*0.2+COUNTIF(G46,"*叠3*")*0.3)+IFERROR(INDEX(技能数据库!$T$2:$W$27,MATCH(E46,技能数据库!$T$2:$T$27,0),2),0)+IF((IF(D46="轻剑",$AO$2,$AO$3)+INT(COUNTIF(G46,"*大莺鸣*")*IF(D46="轻剑",$AM$2,$AM$3)*听晓无双率)/无双系数)&gt;0.9,特效裤子会心/会心系数,0)))</f>
        <v>0.7043</v>
      </c>
      <c r="X46">
        <f ca="1">IF(G46="恒定伤害",0,IF(COUNTIF(F46,"*内会*")&gt;0,内会效2,IF(D46="轻剑",$AB$2,$AB$3))+IFERROR(INDEX(技能数据库!$T$2:$W$27,MATCH(E46,技能数据库!$T$2:$T$27,0),3)/1024,0))+COUNTIF(G46,"*叠1*")*0.25+COUNTIF(G46,"*叠2*")*0.5+COUNTIF(G46,"*叠3*")*0.75</f>
        <v>2.1773735021</v>
      </c>
      <c r="Y46">
        <f ca="1" t="shared" si="78"/>
        <v>1.82922415752903</v>
      </c>
      <c r="Z46">
        <f t="shared" si="16"/>
        <v>0.150390625</v>
      </c>
      <c r="AA46">
        <f ca="1" t="shared" si="79"/>
        <v>0.0205078125</v>
      </c>
      <c r="AB46">
        <f ca="1" t="shared" si="80"/>
        <v>5515913.40066656</v>
      </c>
      <c r="AC46">
        <f ca="1">无穷技能数计算!$AJ38</f>
        <v>8</v>
      </c>
      <c r="AD46" s="164">
        <f ca="1" t="shared" si="81"/>
        <v>0.017293967510415</v>
      </c>
      <c r="AE46" s="168"/>
      <c r="AF46" s="168">
        <f ca="1" t="shared" si="17"/>
        <v>0.7057</v>
      </c>
      <c r="AG46">
        <f ca="1">无穷技能数计算!$AJ38</f>
        <v>8</v>
      </c>
      <c r="AH46">
        <f ca="1" t="shared" si="18"/>
        <v>109879</v>
      </c>
      <c r="AJ46">
        <f ca="1" t="shared" si="19"/>
        <v>2.3765922521</v>
      </c>
      <c r="AK46">
        <f ca="1" t="shared" si="56"/>
        <v>816526.68125</v>
      </c>
      <c r="AL46">
        <f ca="1" t="shared" si="20"/>
        <v>6165257.77279811</v>
      </c>
      <c r="AM46" s="169">
        <f ca="1" t="shared" si="21"/>
        <v>0.7272</v>
      </c>
      <c r="AN46">
        <f ca="1">无穷技能数计算!$AJ38</f>
        <v>8</v>
      </c>
      <c r="AO46" s="170">
        <f ca="1" t="shared" si="22"/>
        <v>6257814.24572404</v>
      </c>
      <c r="AP46">
        <f ca="1" t="shared" si="23"/>
        <v>110956</v>
      </c>
      <c r="AQ46" s="170">
        <f ca="1" t="shared" si="57"/>
        <v>823662.725</v>
      </c>
      <c r="AR46">
        <f ca="1" t="shared" si="84"/>
        <v>6107298.47029971</v>
      </c>
      <c r="AS46">
        <f ca="1" t="shared" si="25"/>
        <v>0.7843</v>
      </c>
      <c r="AT46">
        <f ca="1">无穷技能数计算!$AJ38</f>
        <v>8</v>
      </c>
      <c r="AU46">
        <f ca="1" t="shared" si="26"/>
        <v>2.3238578771</v>
      </c>
      <c r="AV46">
        <f ca="1" t="shared" si="85"/>
        <v>1.7995442148</v>
      </c>
      <c r="AW46">
        <f ca="1" t="shared" si="58"/>
        <v>6189555.96804428</v>
      </c>
      <c r="AX46">
        <f ca="1" t="shared" si="28"/>
        <v>0.7743</v>
      </c>
      <c r="AY46">
        <f ca="1">无穷技能数计算!$AJ38</f>
        <v>8</v>
      </c>
      <c r="AZ46" s="170">
        <f ca="1" t="shared" si="59"/>
        <v>6149355.38198115</v>
      </c>
      <c r="BA46">
        <f ca="1" t="shared" si="29"/>
        <v>0.7643</v>
      </c>
      <c r="BB46">
        <f ca="1">无穷技能数计算!$AJ38</f>
        <v>8</v>
      </c>
      <c r="BC46" s="170">
        <f ca="1" t="shared" si="60"/>
        <v>6109154.79591803</v>
      </c>
      <c r="BE46">
        <f ca="1" t="shared" si="30"/>
        <v>105849</v>
      </c>
      <c r="BF46">
        <f ca="1" t="shared" si="31"/>
        <v>787562.61875</v>
      </c>
      <c r="BI46">
        <f ca="1" t="shared" si="32"/>
        <v>0.7543</v>
      </c>
      <c r="BJ46">
        <f ca="1">无穷技能数计算!$AJ38</f>
        <v>8</v>
      </c>
      <c r="BK46">
        <f ca="1" t="shared" si="33"/>
        <v>6076683.36894639</v>
      </c>
      <c r="BM46">
        <f ca="1" t="shared" si="34"/>
        <v>109230</v>
      </c>
      <c r="BN46">
        <f ca="1" t="shared" si="35"/>
        <v>811462.0625</v>
      </c>
      <c r="BO46">
        <f ca="1" t="shared" si="86"/>
        <v>6137985.88987419</v>
      </c>
      <c r="BP46">
        <f ca="1" t="shared" si="87"/>
        <v>5853443.17558926</v>
      </c>
      <c r="BR46">
        <f ca="1" t="shared" si="38"/>
        <v>0.7543</v>
      </c>
      <c r="BS46">
        <f ca="1" t="shared" si="39"/>
        <v>6084267.94501072</v>
      </c>
      <c r="BT46">
        <f ca="1" t="shared" si="40"/>
        <v>0.196995876306796</v>
      </c>
      <c r="BU46">
        <f ca="1" t="shared" si="41"/>
        <v>2.3238578771</v>
      </c>
      <c r="BV46">
        <f ca="1" t="shared" si="61"/>
        <v>6147426.44711264</v>
      </c>
      <c r="BW46">
        <f ca="1" t="shared" si="42"/>
        <v>113027</v>
      </c>
      <c r="BX46">
        <f ca="1" t="shared" si="43"/>
        <v>838302.10625</v>
      </c>
      <c r="BY46">
        <f ca="1" t="shared" si="44"/>
        <v>0.7343</v>
      </c>
      <c r="BZ46">
        <f ca="1">无穷技能数计算!$AJ38</f>
        <v>8</v>
      </c>
      <c r="CA46">
        <f ca="1" t="shared" si="45"/>
        <v>2.3277641271</v>
      </c>
      <c r="CB46">
        <f ca="1" t="shared" si="62"/>
        <v>6339220.46555605</v>
      </c>
      <c r="CC46">
        <f ca="1" t="shared" si="46"/>
        <v>114847</v>
      </c>
      <c r="CD46">
        <f ca="1" t="shared" si="47"/>
        <v>851167.23125</v>
      </c>
      <c r="CE46">
        <f ca="1" t="shared" si="48"/>
        <v>6258411.38460144</v>
      </c>
      <c r="CF46">
        <f ca="1" t="shared" si="49"/>
        <v>2.2750297521</v>
      </c>
      <c r="CG46">
        <f ca="1" t="shared" si="50"/>
        <v>0.7343</v>
      </c>
      <c r="CH46">
        <f ca="1" t="shared" si="63"/>
        <v>5879676.42613265</v>
      </c>
      <c r="CJ46">
        <f ca="1" t="shared" si="51"/>
        <v>811462.0625</v>
      </c>
      <c r="CK46">
        <f ca="1" t="shared" si="88"/>
        <v>6110181.14832328</v>
      </c>
      <c r="CL46">
        <f ca="1" t="shared" si="64"/>
        <v>2.2976860021</v>
      </c>
      <c r="CM46">
        <f ca="1">IF(G46="恒定伤害",0,(IF(D46="轻剑",$CM$8,$CM$9)+IFERROR(INDEX(技能数据库!$T$2:$W$27,MATCH(E46,技能数据库!$T$2:$T$27,0),4),0)+COUNTIF(G46,"*造化2*")*154+COUNTIF(G46,"*造化1*")*102+COUNTIF(G46,"*碧归*")*307)/1024)</f>
        <v>0.346790021929785</v>
      </c>
      <c r="CN46">
        <f ca="1" t="shared" si="65"/>
        <v>6209345.18281904</v>
      </c>
      <c r="CO46">
        <f ca="1" t="shared" si="66"/>
        <v>2.3262602208</v>
      </c>
      <c r="CP46">
        <f ca="1" t="shared" si="67"/>
        <v>6276058.99062522</v>
      </c>
      <c r="CQ46">
        <f ca="1" t="shared" si="89"/>
        <v>1.8815754648</v>
      </c>
      <c r="CR46">
        <f ca="1">IF(G46="恒定伤害",0,(IF(D46="轻剑",$CR$8,$CR$9)+IFERROR(INDEX(技能数据库!$T$2:$W$27,MATCH(E46,技能数据库!$T$2:$T$27,0),4),0)+COUNTIF(G46,"*造化2*")*154+COUNTIF(G46,"*造化1*")*102+COUNTIF(G46,"*碧归*")*307)/1024)</f>
        <v>0.337024396929785</v>
      </c>
      <c r="CS46">
        <f ca="1" t="shared" si="68"/>
        <v>5943152.49163172</v>
      </c>
    </row>
    <row r="47" spans="4:97">
      <c r="D47" t="s">
        <v>1825</v>
      </c>
      <c r="E47" t="s">
        <v>2780</v>
      </c>
      <c r="G47" t="s">
        <v>3057</v>
      </c>
      <c r="H47">
        <f ca="1">INDEX(技能数据库!$B$2:$I$100,MATCH(无穷阵眼收益计算!$E47,技能数据库!$B$2:$B$100,0),MATCH(H$9,技能数据库!$B$2:$I$2,0))</f>
        <v>252.5</v>
      </c>
      <c r="I47">
        <f ca="1">INDEX(技能数据库!$B$2:$I$100,MATCH(无穷阵眼收益计算!$E47,技能数据库!$B$2:$B$100,0),MATCH(I$9,技能数据库!$B$2:$I$2,0))</f>
        <v>2.11875</v>
      </c>
      <c r="J47">
        <f ca="1">INDEX(技能数据库!$B$2:$I$100,MATCH(无穷阵眼收益计算!$E47,技能数据库!$B$2:$B$100,0),MATCH(J$9,技能数据库!$B$2:$I$2,0))</f>
        <v>2</v>
      </c>
      <c r="K47">
        <f ca="1">INDEX(技能数据库!$B$2:$I$100,MATCH(无穷阵眼收益计算!$E47,技能数据库!$B$2:$B$100,0),MATCH(K$9,技能数据库!$B$2:$I$2,0))</f>
        <v>0</v>
      </c>
      <c r="L47">
        <f ca="1" t="shared" si="13"/>
        <v>105847</v>
      </c>
      <c r="M47">
        <f ca="1" t="shared" si="73"/>
        <v>19530.5</v>
      </c>
      <c r="N47">
        <f ca="1" t="shared" si="74"/>
        <v>92028</v>
      </c>
      <c r="O47">
        <f ca="1" t="shared" si="54"/>
        <v>263576.83125</v>
      </c>
      <c r="P47">
        <f ca="1">IF(G47="恒定伤害",0,(IF(D47="轻剑",$AZ$2,$AZ$3)+IFERROR(INDEX(技能数据库!$T$2:$W$27,MATCH(E47,技能数据库!$T$2:$T$27,0),4),0)+COUNTIF(G47,"*造化2*")*154+COUNTIF(G47,"*造化1*")*102+COUNTIF(G47,"*碧归*")*307)/1024)</f>
        <v>0.286243146929785</v>
      </c>
      <c r="Q47">
        <f ca="1" t="shared" si="82"/>
        <v>0.448284482196154</v>
      </c>
      <c r="R47">
        <f ca="1" t="shared" si="55"/>
        <v>0.21277697966198</v>
      </c>
      <c r="S47">
        <f ca="1" t="shared" si="75"/>
        <v>386528.898630597</v>
      </c>
      <c r="T47">
        <f t="shared" si="76"/>
        <v>0.8</v>
      </c>
      <c r="U47">
        <f ca="1" t="shared" si="83"/>
        <v>1.7800129648</v>
      </c>
      <c r="V47">
        <f ca="1" t="shared" si="77"/>
        <v>859644.279570341</v>
      </c>
      <c r="W47">
        <f ca="1">IF(G47="恒定伤害",0,MIN(1,IF(COUNTIF(F47,"*内会*")&gt;0,内会2,IF(D47="轻剑",$Y$2,$Y$3)+COUNTIF(G47,"*莺鸣*")*0.2+COUNTIF(G47,"*叠1*")*0.1+COUNTIF(G47,"*叠2*")*0.2+COUNTIF(G47,"*叠3*")*0.3)+IFERROR(INDEX(技能数据库!$T$2:$W$27,MATCH(E47,技能数据库!$T$2:$T$27,0),2),0)+IF((IF(D47="轻剑",$AO$2,$AO$3)+INT(COUNTIF(G47,"*大莺鸣*")*IF(D47="轻剑",$AM$2,$AM$3)*听晓无双率)/无双系数)&gt;0.9,特效裤子会心/会心系数,0)))</f>
        <v>0.7043</v>
      </c>
      <c r="X47">
        <f ca="1">IF(G47="恒定伤害",0,IF(COUNTIF(F47,"*内会*")&gt;0,内会效2,IF(D47="轻剑",$AB$2,$AB$3))+IFERROR(INDEX(技能数据库!$T$2:$W$27,MATCH(E47,技能数据库!$T$2:$T$27,0),3)/1024,0))+COUNTIF(G47,"*叠1*")*0.25+COUNTIF(G47,"*叠2*")*0.5+COUNTIF(G47,"*叠3*")*0.75</f>
        <v>2.1773735021</v>
      </c>
      <c r="Y47">
        <f ca="1" t="shared" si="78"/>
        <v>1.82922415752903</v>
      </c>
      <c r="Z47">
        <f t="shared" si="16"/>
        <v>0.150390625</v>
      </c>
      <c r="AA47">
        <f ca="1" t="shared" si="79"/>
        <v>0.0205078125</v>
      </c>
      <c r="AB47">
        <f ca="1" t="shared" si="80"/>
        <v>1846066.63616381</v>
      </c>
      <c r="AC47">
        <f ca="1">无穷技能数计算!$AJ39</f>
        <v>8</v>
      </c>
      <c r="AD47" s="164">
        <f ca="1" t="shared" si="81"/>
        <v>0.00578794736407934</v>
      </c>
      <c r="AE47" s="168"/>
      <c r="AF47" s="168">
        <f ca="1" t="shared" si="17"/>
        <v>0.7057</v>
      </c>
      <c r="AG47">
        <f ca="1">无穷技能数计算!$AJ39</f>
        <v>8</v>
      </c>
      <c r="AH47">
        <f ca="1" t="shared" si="18"/>
        <v>109879</v>
      </c>
      <c r="AJ47">
        <f ca="1" t="shared" si="19"/>
        <v>2.3765922521</v>
      </c>
      <c r="AK47">
        <f ca="1" t="shared" si="56"/>
        <v>272596.63125</v>
      </c>
      <c r="AL47">
        <f ca="1" t="shared" si="20"/>
        <v>2058265.2572722</v>
      </c>
      <c r="AM47" s="169">
        <f ca="1" t="shared" si="21"/>
        <v>0.7272</v>
      </c>
      <c r="AN47">
        <f ca="1">无穷技能数计算!$AJ39</f>
        <v>8</v>
      </c>
      <c r="AO47" s="170">
        <f ca="1" t="shared" si="22"/>
        <v>2089165.14492971</v>
      </c>
      <c r="AP47">
        <f ca="1" t="shared" si="23"/>
        <v>110956</v>
      </c>
      <c r="AQ47" s="170">
        <f ca="1" t="shared" si="57"/>
        <v>274401.525</v>
      </c>
      <c r="AR47">
        <f ca="1" t="shared" si="84"/>
        <v>2034633.79246695</v>
      </c>
      <c r="AS47">
        <f ca="1" t="shared" si="25"/>
        <v>0.7843</v>
      </c>
      <c r="AT47">
        <f ca="1">无穷技能数计算!$AJ39</f>
        <v>8</v>
      </c>
      <c r="AU47">
        <f ca="1" t="shared" si="26"/>
        <v>2.3238578771</v>
      </c>
      <c r="AV47">
        <f ca="1" t="shared" si="85"/>
        <v>1.7995442148</v>
      </c>
      <c r="AW47">
        <f ca="1" t="shared" si="58"/>
        <v>2071521.42089365</v>
      </c>
      <c r="AX47">
        <f ca="1" t="shared" si="28"/>
        <v>0.7743</v>
      </c>
      <c r="AY47">
        <f ca="1">无穷技能数计算!$AJ39</f>
        <v>8</v>
      </c>
      <c r="AZ47" s="170">
        <f ca="1" t="shared" si="59"/>
        <v>2058067.08336246</v>
      </c>
      <c r="BA47">
        <f ca="1" t="shared" si="29"/>
        <v>0.7643</v>
      </c>
      <c r="BB47">
        <f ca="1">无穷技能数计算!$AJ39</f>
        <v>8</v>
      </c>
      <c r="BC47" s="170">
        <f ca="1" t="shared" si="60"/>
        <v>2044612.74583128</v>
      </c>
      <c r="BE47">
        <f ca="1" t="shared" si="30"/>
        <v>105849</v>
      </c>
      <c r="BF47">
        <f ca="1" t="shared" si="31"/>
        <v>263581.06875</v>
      </c>
      <c r="BI47">
        <f ca="1" t="shared" si="32"/>
        <v>0.7543</v>
      </c>
      <c r="BJ47">
        <f ca="1">无穷技能数计算!$AJ39</f>
        <v>8</v>
      </c>
      <c r="BK47">
        <f ca="1" t="shared" si="33"/>
        <v>2033741.39237896</v>
      </c>
      <c r="BM47">
        <f ca="1" t="shared" si="34"/>
        <v>109230</v>
      </c>
      <c r="BN47">
        <f ca="1" t="shared" si="35"/>
        <v>270744.5625</v>
      </c>
      <c r="BO47">
        <f ca="1" t="shared" si="86"/>
        <v>2047940.84798655</v>
      </c>
      <c r="BP47">
        <f ca="1" t="shared" si="87"/>
        <v>1953003.08533343</v>
      </c>
      <c r="BR47">
        <f ca="1" t="shared" si="38"/>
        <v>0.7543</v>
      </c>
      <c r="BS47">
        <f ca="1" t="shared" si="39"/>
        <v>2030017.83944114</v>
      </c>
      <c r="BT47">
        <f ca="1" t="shared" si="40"/>
        <v>0.196995876306796</v>
      </c>
      <c r="BU47">
        <f ca="1" t="shared" si="41"/>
        <v>2.3238578771</v>
      </c>
      <c r="BV47">
        <f ca="1" t="shared" si="61"/>
        <v>2057421.50718216</v>
      </c>
      <c r="BW47">
        <f ca="1" t="shared" si="42"/>
        <v>113027</v>
      </c>
      <c r="BX47">
        <f ca="1" t="shared" si="43"/>
        <v>278789.45625</v>
      </c>
      <c r="BY47">
        <f ca="1" t="shared" si="44"/>
        <v>0.7343</v>
      </c>
      <c r="BZ47">
        <f ca="1">无穷技能数计算!$AJ39</f>
        <v>8</v>
      </c>
      <c r="CA47">
        <f ca="1" t="shared" si="45"/>
        <v>2.3277641271</v>
      </c>
      <c r="CB47">
        <f ca="1" t="shared" si="62"/>
        <v>2108199.19628616</v>
      </c>
      <c r="CC47">
        <f ca="1" t="shared" si="46"/>
        <v>114847</v>
      </c>
      <c r="CD47">
        <f ca="1" t="shared" si="47"/>
        <v>282645.58125</v>
      </c>
      <c r="CE47">
        <f ca="1" t="shared" si="48"/>
        <v>2078219.48326713</v>
      </c>
      <c r="CF47">
        <f ca="1" t="shared" si="49"/>
        <v>2.2750297521</v>
      </c>
      <c r="CG47">
        <f ca="1" t="shared" si="50"/>
        <v>0.7343</v>
      </c>
      <c r="CH47">
        <f ca="1" t="shared" si="63"/>
        <v>1967810.8942774</v>
      </c>
      <c r="CJ47">
        <f ca="1" t="shared" si="51"/>
        <v>270744.5625</v>
      </c>
      <c r="CK47">
        <f ca="1" t="shared" si="88"/>
        <v>2038663.78756127</v>
      </c>
      <c r="CL47">
        <f ca="1" t="shared" si="64"/>
        <v>2.2976860021</v>
      </c>
      <c r="CM47">
        <f ca="1">IF(G47="恒定伤害",0,(IF(D47="轻剑",$CM$8,$CM$9)+IFERROR(INDEX(技能数据库!$T$2:$W$27,MATCH(E47,技能数据库!$T$2:$T$27,0),4),0)+COUNTIF(G47,"*造化2*")*154+COUNTIF(G47,"*造化1*")*102+COUNTIF(G47,"*碧归*")*307)/1024)</f>
        <v>0.346790021929785</v>
      </c>
      <c r="CN47">
        <f ca="1" t="shared" si="65"/>
        <v>2078144.47794657</v>
      </c>
      <c r="CO47">
        <f ca="1" t="shared" si="66"/>
        <v>2.3262602208</v>
      </c>
      <c r="CP47">
        <f ca="1" t="shared" si="67"/>
        <v>2100472.26408396</v>
      </c>
      <c r="CQ47">
        <f ca="1" t="shared" si="89"/>
        <v>1.8815754648</v>
      </c>
      <c r="CR47">
        <f ca="1">IF(G47="恒定伤害",0,(IF(D47="轻剑",$CR$8,$CR$9)+IFERROR(INDEX(技能数据库!$T$2:$W$27,MATCH(E47,技能数据库!$T$2:$T$27,0),4),0)+COUNTIF(G47,"*造化2*")*154+COUNTIF(G47,"*造化1*")*102+COUNTIF(G47,"*碧归*")*307)/1024)</f>
        <v>0.337024396929785</v>
      </c>
      <c r="CS47">
        <f ca="1" t="shared" si="68"/>
        <v>1989055.07238553</v>
      </c>
    </row>
    <row r="48" spans="4:97">
      <c r="D48" t="s">
        <v>1825</v>
      </c>
      <c r="E48" s="161" t="s">
        <v>2783</v>
      </c>
      <c r="G48" t="s">
        <v>2750</v>
      </c>
      <c r="H48">
        <f ca="1">INDEX(技能数据库!$B$2:$I$100,MATCH(无穷阵眼收益计算!$E48,技能数据库!$B$2:$B$100,0),MATCH(H$9,技能数据库!$B$2:$I$2,0))</f>
        <v>0</v>
      </c>
      <c r="I48">
        <f ca="1">INDEX(技能数据库!$B$2:$I$100,MATCH(无穷阵眼收益计算!$E48,技能数据库!$B$2:$B$100,0),MATCH(I$9,技能数据库!$B$2:$I$2,0))</f>
        <v>0</v>
      </c>
      <c r="J48">
        <f ca="1">INDEX(技能数据库!$B$2:$I$100,MATCH(无穷阵眼收益计算!$E48,技能数据库!$B$2:$B$100,0),MATCH(J$9,技能数据库!$B$2:$I$2,0))</f>
        <v>0</v>
      </c>
      <c r="K48">
        <f ca="1">INDEX(技能数据库!$B$2:$I$100,MATCH(无穷阵眼收益计算!$E48,技能数据库!$B$2:$B$100,0),MATCH(K$9,技能数据库!$B$2:$I$2,0))</f>
        <v>1.28127956390381</v>
      </c>
      <c r="L48">
        <f ca="1" t="shared" si="13"/>
        <v>105847</v>
      </c>
      <c r="M48">
        <f ca="1" t="shared" si="73"/>
        <v>19530.5</v>
      </c>
      <c r="N48">
        <f ca="1" t="shared" si="74"/>
        <v>92028</v>
      </c>
      <c r="O48">
        <f ca="1" t="shared" si="54"/>
        <v>1006274.62576302</v>
      </c>
      <c r="P48">
        <f ca="1">IF(G48="恒定伤害",0,(IF(D48="轻剑",$AZ$2,$AZ$3)+IFERROR(INDEX(技能数据库!$T$2:$W$27,MATCH(E48,技能数据库!$T$2:$T$27,0),4),0)+COUNTIF(G48,"*造化2*")*154+COUNTIF(G48,"*造化1*")*102+COUNTIF(G48,"*碧归*")*307)/1024)</f>
        <v>0.116321271929785</v>
      </c>
      <c r="Q48">
        <f ca="1" t="shared" si="82"/>
        <v>0.448284482196154</v>
      </c>
      <c r="R48">
        <f ca="1" t="shared" si="55"/>
        <v>0.21277697966198</v>
      </c>
      <c r="S48">
        <f ca="1" t="shared" si="75"/>
        <v>1280729.41715672</v>
      </c>
      <c r="T48">
        <f t="shared" si="76"/>
        <v>0.8</v>
      </c>
      <c r="U48">
        <f ca="1" t="shared" si="83"/>
        <v>1.7800129648</v>
      </c>
      <c r="V48">
        <f ca="1" t="shared" si="77"/>
        <v>2848355.50727714</v>
      </c>
      <c r="W48">
        <f ca="1">IF(G48="恒定伤害",0,MIN(1,IF(COUNTIF(F48,"*内会*")&gt;0,内会2,IF(D48="轻剑",$Y$2,$Y$3)+COUNTIF(G48,"*莺鸣*")*0.2+COUNTIF(G48,"*叠1*")*0.1+COUNTIF(G48,"*叠2*")*0.2+COUNTIF(G48,"*叠3*")*0.3)+IFERROR(INDEX(技能数据库!$T$2:$W$27,MATCH(E48,技能数据库!$T$2:$T$27,0),2),0)+IF((IF(D48="轻剑",$AO$2,$AO$3)+INT(COUNTIF(G48,"*大莺鸣*")*IF(D48="轻剑",$AM$2,$AM$3)*听晓无双率)/无双系数)&gt;0.9,特效裤子会心/会心系数,0)))</f>
        <v>0.7043</v>
      </c>
      <c r="X48">
        <f ca="1">IF(G48="恒定伤害",0,IF(COUNTIF(F48,"*内会*")&gt;0,内会效2,IF(D48="轻剑",$AB$2,$AB$3))+IFERROR(INDEX(技能数据库!$T$2:$W$27,MATCH(E48,技能数据库!$T$2:$T$27,0),3)/1024,0))+COUNTIF(G48,"*叠1*")*0.25+COUNTIF(G48,"*叠2*")*0.5+COUNTIF(G48,"*叠3*")*0.75</f>
        <v>2.1773735021</v>
      </c>
      <c r="Y48">
        <f ca="1" t="shared" si="78"/>
        <v>1.82922415752903</v>
      </c>
      <c r="Z48">
        <f t="shared" si="16"/>
        <v>0.150390625</v>
      </c>
      <c r="AA48">
        <f ca="1" t="shared" si="79"/>
        <v>0.0205078125</v>
      </c>
      <c r="AB48">
        <f ca="1" t="shared" si="80"/>
        <v>6116778.99205693</v>
      </c>
      <c r="AC48">
        <f ca="1">无穷技能数计算!$AJ40</f>
        <v>28</v>
      </c>
      <c r="AD48" s="164">
        <f ca="1" t="shared" si="81"/>
        <v>0.0671224860065485</v>
      </c>
      <c r="AE48" s="168"/>
      <c r="AF48" s="168">
        <f ca="1" t="shared" si="17"/>
        <v>0.7057</v>
      </c>
      <c r="AG48">
        <f ca="1">无穷技能数计算!$AJ40</f>
        <v>28</v>
      </c>
      <c r="AH48">
        <f ca="1" t="shared" si="18"/>
        <v>109879</v>
      </c>
      <c r="AJ48">
        <f ca="1" t="shared" si="19"/>
        <v>2.3765922521</v>
      </c>
      <c r="AK48">
        <f ca="1" t="shared" si="56"/>
        <v>1006274.62576302</v>
      </c>
      <c r="AL48">
        <f ca="1" t="shared" si="20"/>
        <v>6594221.13720548</v>
      </c>
      <c r="AM48" s="169">
        <f ca="1" t="shared" si="21"/>
        <v>0.7272</v>
      </c>
      <c r="AN48">
        <f ca="1">无穷技能数计算!$AJ40</f>
        <v>28</v>
      </c>
      <c r="AO48" s="170">
        <f ca="1" t="shared" si="22"/>
        <v>6693217.460254</v>
      </c>
      <c r="AP48">
        <f ca="1" t="shared" si="23"/>
        <v>110956</v>
      </c>
      <c r="AQ48" s="170">
        <f ca="1" t="shared" si="57"/>
        <v>1006274.62576302</v>
      </c>
      <c r="AR48">
        <f ca="1" t="shared" si="84"/>
        <v>6475635.28548506</v>
      </c>
      <c r="AS48">
        <f ca="1" t="shared" si="25"/>
        <v>0.7843</v>
      </c>
      <c r="AT48">
        <f ca="1">无穷技能数计算!$AJ40</f>
        <v>28</v>
      </c>
      <c r="AU48">
        <f ca="1" t="shared" si="26"/>
        <v>2.3238578771</v>
      </c>
      <c r="AV48">
        <f ca="1" t="shared" si="85"/>
        <v>1.7995442148</v>
      </c>
      <c r="AW48">
        <f ca="1" t="shared" si="58"/>
        <v>6863803.53812638</v>
      </c>
      <c r="AX48">
        <f ca="1" t="shared" si="28"/>
        <v>0.7743</v>
      </c>
      <c r="AY48">
        <f ca="1">无穷技能数计算!$AJ40</f>
        <v>28</v>
      </c>
      <c r="AZ48" s="170">
        <f ca="1" t="shared" si="59"/>
        <v>6819223.77727125</v>
      </c>
      <c r="BA48">
        <f ca="1" t="shared" si="29"/>
        <v>0.7643</v>
      </c>
      <c r="BB48">
        <f ca="1">无穷技能数计算!$AJ40</f>
        <v>28</v>
      </c>
      <c r="BC48" s="170">
        <f ca="1" t="shared" si="60"/>
        <v>6774644.01641613</v>
      </c>
      <c r="BE48">
        <f ca="1" t="shared" si="30"/>
        <v>105849</v>
      </c>
      <c r="BF48">
        <f ca="1" t="shared" si="31"/>
        <v>1006274.62576302</v>
      </c>
      <c r="BI48">
        <f ca="1" t="shared" si="32"/>
        <v>0.7543</v>
      </c>
      <c r="BJ48">
        <f ca="1">无穷技能数计算!$AJ40</f>
        <v>28</v>
      </c>
      <c r="BK48">
        <f ca="1" t="shared" si="33"/>
        <v>6738514.41104549</v>
      </c>
      <c r="BM48">
        <f ca="1" t="shared" si="34"/>
        <v>109230</v>
      </c>
      <c r="BN48">
        <f ca="1" t="shared" si="35"/>
        <v>1006274.62576302</v>
      </c>
      <c r="BO48">
        <f ca="1" t="shared" si="86"/>
        <v>6606026.5299746</v>
      </c>
      <c r="BP48">
        <f ca="1" t="shared" si="87"/>
        <v>6299786.5429166</v>
      </c>
      <c r="BR48">
        <f ca="1" t="shared" si="38"/>
        <v>0.7543</v>
      </c>
      <c r="BS48">
        <f ca="1" t="shared" si="39"/>
        <v>6548212.42364222</v>
      </c>
      <c r="BT48">
        <f ca="1" t="shared" si="40"/>
        <v>0.196995876306796</v>
      </c>
      <c r="BU48">
        <f ca="1" t="shared" si="41"/>
        <v>2.3238578771</v>
      </c>
      <c r="BV48">
        <f ca="1" t="shared" si="61"/>
        <v>6817084.71753196</v>
      </c>
      <c r="BW48">
        <f ca="1" t="shared" si="42"/>
        <v>113027</v>
      </c>
      <c r="BX48">
        <f ca="1" t="shared" si="43"/>
        <v>1006274.62576302</v>
      </c>
      <c r="BY48">
        <f ca="1" t="shared" si="44"/>
        <v>0.7343</v>
      </c>
      <c r="BZ48">
        <f ca="1">无穷技能数计算!$AJ40</f>
        <v>28</v>
      </c>
      <c r="CA48">
        <f ca="1" t="shared" si="45"/>
        <v>2.3277641271</v>
      </c>
      <c r="CB48">
        <f ca="1" t="shared" si="62"/>
        <v>6604165.48077715</v>
      </c>
      <c r="CC48">
        <f ca="1" t="shared" si="46"/>
        <v>114847</v>
      </c>
      <c r="CD48">
        <f ca="1" t="shared" si="47"/>
        <v>1006274.62576302</v>
      </c>
      <c r="CE48">
        <f ca="1" t="shared" si="48"/>
        <v>6421431.58648309</v>
      </c>
      <c r="CF48">
        <f ca="1" t="shared" si="49"/>
        <v>2.2750297521</v>
      </c>
      <c r="CG48">
        <f ca="1" t="shared" si="50"/>
        <v>0.7343</v>
      </c>
      <c r="CH48">
        <f ca="1" t="shared" si="63"/>
        <v>6520167.85454146</v>
      </c>
      <c r="CJ48">
        <f ca="1" t="shared" si="51"/>
        <v>1035436.77670524</v>
      </c>
      <c r="CK48">
        <f ca="1" t="shared" si="88"/>
        <v>6766679.05473591</v>
      </c>
      <c r="CL48">
        <f ca="1" t="shared" si="64"/>
        <v>2.2976860021</v>
      </c>
      <c r="CM48">
        <f ca="1">IF(G48="恒定伤害",0,(IF(D48="轻剑",$CM$8,$CM$9)+IFERROR(INDEX(技能数据库!$T$2:$W$27,MATCH(E48,技能数据库!$T$2:$T$27,0),4),0)+COUNTIF(G48,"*造化2*")*154+COUNTIF(G48,"*造化1*")*102+COUNTIF(G48,"*碧归*")*307)/1024)</f>
        <v>0.176868146929785</v>
      </c>
      <c r="CN48">
        <f ca="1" t="shared" si="65"/>
        <v>6932868.2154634</v>
      </c>
      <c r="CO48">
        <f ca="1" t="shared" si="66"/>
        <v>2.3262602208</v>
      </c>
      <c r="CP48">
        <f ca="1" t="shared" si="67"/>
        <v>7007355.62501374</v>
      </c>
      <c r="CQ48">
        <f ca="1" t="shared" si="89"/>
        <v>1.8815754648</v>
      </c>
      <c r="CR48">
        <f ca="1">IF(G48="恒定伤害",0,(IF(D48="轻剑",$CR$8,$CR$9)+IFERROR(INDEX(技能数据库!$T$2:$W$27,MATCH(E48,技能数据库!$T$2:$T$27,0),4),0)+COUNTIF(G48,"*造化2*")*154+COUNTIF(G48,"*造化1*")*102+COUNTIF(G48,"*碧归*")*307)/1024)</f>
        <v>0.167102521929785</v>
      </c>
      <c r="CS48">
        <f ca="1" t="shared" si="68"/>
        <v>6628660.44207364</v>
      </c>
    </row>
    <row r="49" spans="4:97">
      <c r="D49" t="s">
        <v>1825</v>
      </c>
      <c r="E49" s="161" t="s">
        <v>2783</v>
      </c>
      <c r="G49" t="s">
        <v>3044</v>
      </c>
      <c r="H49">
        <f ca="1">INDEX(技能数据库!$B$2:$I$100,MATCH(无穷阵眼收益计算!$E49,技能数据库!$B$2:$B$100,0),MATCH(H$9,技能数据库!$B$2:$I$2,0))</f>
        <v>0</v>
      </c>
      <c r="I49">
        <f ca="1">INDEX(技能数据库!$B$2:$I$100,MATCH(无穷阵眼收益计算!$E49,技能数据库!$B$2:$B$100,0),MATCH(I$9,技能数据库!$B$2:$I$2,0))</f>
        <v>0</v>
      </c>
      <c r="J49">
        <f ca="1">INDEX(技能数据库!$B$2:$I$100,MATCH(无穷阵眼收益计算!$E49,技能数据库!$B$2:$B$100,0),MATCH(J$9,技能数据库!$B$2:$I$2,0))</f>
        <v>0</v>
      </c>
      <c r="K49">
        <f ca="1">INDEX(技能数据库!$B$2:$I$100,MATCH(无穷阵眼收益计算!$E49,技能数据库!$B$2:$B$100,0),MATCH(K$9,技能数据库!$B$2:$I$2,0))</f>
        <v>1.28127956390381</v>
      </c>
      <c r="L49">
        <f ca="1" t="shared" si="13"/>
        <v>105847</v>
      </c>
      <c r="M49">
        <f ca="1" t="shared" si="73"/>
        <v>19530.5</v>
      </c>
      <c r="N49">
        <f ca="1" t="shared" si="74"/>
        <v>92028</v>
      </c>
      <c r="O49">
        <f ca="1" t="shared" si="54"/>
        <v>1006274.62576302</v>
      </c>
      <c r="P49">
        <f ca="1">IF(G49="恒定伤害",0,(IF(D49="轻剑",$AZ$2,$AZ$3)+IFERROR(INDEX(技能数据库!$T$2:$W$27,MATCH(E49,技能数据库!$T$2:$T$27,0),4),0)+COUNTIF(G49,"*造化2*")*154+COUNTIF(G49,"*造化1*")*102+COUNTIF(G49,"*碧归*")*307)/1024)</f>
        <v>0.116321271929785</v>
      </c>
      <c r="Q49">
        <f ca="1" t="shared" si="82"/>
        <v>0.448284482196154</v>
      </c>
      <c r="R49">
        <f ca="1" t="shared" si="55"/>
        <v>0.21277697966198</v>
      </c>
      <c r="S49">
        <f ca="1" t="shared" si="75"/>
        <v>1280729.41715672</v>
      </c>
      <c r="T49">
        <f t="shared" si="76"/>
        <v>0.8</v>
      </c>
      <c r="U49">
        <f ca="1" t="shared" si="83"/>
        <v>2.67001635480339</v>
      </c>
      <c r="V49">
        <f ca="1" t="shared" si="77"/>
        <v>3760238.32563438</v>
      </c>
      <c r="W49">
        <f ca="1">IF(G49="恒定伤害",0,MIN(1,IF(COUNTIF(F49,"*内会*")&gt;0,内会2,IF(D49="轻剑",$Y$2,$Y$3)+COUNTIF(G49,"*莺鸣*")*0.2+COUNTIF(G49,"*叠1*")*0.1+COUNTIF(G49,"*叠2*")*0.2+COUNTIF(G49,"*叠3*")*0.3)+IFERROR(INDEX(技能数据库!$T$2:$W$27,MATCH(E49,技能数据库!$T$2:$T$27,0),2),0)+IF((IF(D49="轻剑",$AO$2,$AO$3)+INT(COUNTIF(G49,"*大莺鸣*")*IF(D49="轻剑",$AM$2,$AM$3)*听晓无双率)/无双系数)&gt;0.9,特效裤子会心/会心系数,0)))</f>
        <v>0.9043</v>
      </c>
      <c r="X49">
        <f ca="1">IF(G49="恒定伤害",0,IF(COUNTIF(F49,"*内会*")&gt;0,内会效2,IF(D49="轻剑",$AB$2,$AB$3))+IFERROR(INDEX(技能数据库!$T$2:$W$27,MATCH(E49,技能数据库!$T$2:$T$27,0),3)/1024,0))+COUNTIF(G49,"*叠1*")*0.25+COUNTIF(G49,"*叠2*")*0.5+COUNTIF(G49,"*叠3*")*0.75</f>
        <v>2.1773735021</v>
      </c>
      <c r="Y49">
        <f ca="1" t="shared" si="78"/>
        <v>2.06469885794903</v>
      </c>
      <c r="Z49">
        <f t="shared" si="16"/>
        <v>0.150390625</v>
      </c>
      <c r="AA49">
        <f ca="1" t="shared" si="79"/>
        <v>0.0205078125</v>
      </c>
      <c r="AB49">
        <f ca="1" t="shared" si="80"/>
        <v>9114519.04538641</v>
      </c>
      <c r="AC49">
        <f ca="1">无穷技能数计算!$AJ41</f>
        <v>0</v>
      </c>
      <c r="AD49" s="164">
        <f ca="1" t="shared" si="81"/>
        <v>0</v>
      </c>
      <c r="AE49" s="168"/>
      <c r="AF49" s="168">
        <f ca="1" t="shared" si="17"/>
        <v>0.9057</v>
      </c>
      <c r="AG49">
        <f ca="1">无穷技能数计算!$AJ41</f>
        <v>0</v>
      </c>
      <c r="AH49">
        <f ca="1" t="shared" si="18"/>
        <v>109879</v>
      </c>
      <c r="AJ49">
        <f ca="1" t="shared" si="19"/>
        <v>2.3765922521</v>
      </c>
      <c r="AK49">
        <f ca="1" t="shared" si="56"/>
        <v>1006274.62576302</v>
      </c>
      <c r="AL49">
        <f ca="1" t="shared" si="20"/>
        <v>9921033.91426704</v>
      </c>
      <c r="AM49" s="169">
        <f ca="1" t="shared" si="21"/>
        <v>0.9272</v>
      </c>
      <c r="AN49">
        <f ca="1">无穷技能数计算!$AJ41</f>
        <v>0</v>
      </c>
      <c r="AO49" s="170">
        <f ca="1" t="shared" si="22"/>
        <v>10051723.2776814</v>
      </c>
      <c r="AP49">
        <f ca="1" t="shared" si="23"/>
        <v>110956</v>
      </c>
      <c r="AQ49" s="170">
        <f ca="1" t="shared" si="57"/>
        <v>1006274.62576302</v>
      </c>
      <c r="AR49">
        <f ca="1" t="shared" si="84"/>
        <v>9649245.33274366</v>
      </c>
      <c r="AS49">
        <f ca="1" t="shared" si="25"/>
        <v>0.9843</v>
      </c>
      <c r="AT49">
        <f ca="1">无穷技能数计算!$AJ41</f>
        <v>0</v>
      </c>
      <c r="AU49">
        <f ca="1" t="shared" si="26"/>
        <v>2.3238578771</v>
      </c>
      <c r="AV49">
        <f ca="1" t="shared" si="85"/>
        <v>2.68954760480339</v>
      </c>
      <c r="AW49">
        <f ca="1" t="shared" si="58"/>
        <v>10220918.3732053</v>
      </c>
      <c r="AX49">
        <f ca="1" t="shared" si="28"/>
        <v>0.9743</v>
      </c>
      <c r="AY49">
        <f ca="1">无穷技能数计算!$AJ41</f>
        <v>0</v>
      </c>
      <c r="AZ49" s="170">
        <f ca="1" t="shared" si="59"/>
        <v>10162166.2559799</v>
      </c>
      <c r="BA49">
        <f ca="1" t="shared" si="29"/>
        <v>0.9643</v>
      </c>
      <c r="BB49">
        <f ca="1">无穷技能数计算!$AJ41</f>
        <v>0</v>
      </c>
      <c r="BC49" s="170">
        <f ca="1" t="shared" si="60"/>
        <v>10103414.1387544</v>
      </c>
      <c r="BE49">
        <f ca="1" t="shared" si="30"/>
        <v>105849</v>
      </c>
      <c r="BF49">
        <f ca="1" t="shared" si="31"/>
        <v>1006274.62576302</v>
      </c>
      <c r="BI49">
        <f ca="1" t="shared" si="32"/>
        <v>0.9543</v>
      </c>
      <c r="BJ49">
        <f ca="1">无穷技能数计算!$AJ41</f>
        <v>0</v>
      </c>
      <c r="BK49">
        <f ca="1" t="shared" si="33"/>
        <v>9988325.39200266</v>
      </c>
      <c r="BM49">
        <f ca="1" t="shared" si="34"/>
        <v>109230</v>
      </c>
      <c r="BN49">
        <f ca="1" t="shared" si="35"/>
        <v>1006274.62576302</v>
      </c>
      <c r="BO49">
        <f ca="1" t="shared" si="86"/>
        <v>9843539.3366295</v>
      </c>
      <c r="BP49">
        <f ca="1" t="shared" si="87"/>
        <v>9387215.80456735</v>
      </c>
      <c r="BR49">
        <f ca="1" t="shared" si="38"/>
        <v>0.9543</v>
      </c>
      <c r="BS49">
        <f ca="1" t="shared" si="39"/>
        <v>9706245.68466939</v>
      </c>
      <c r="BT49">
        <f ca="1" t="shared" si="40"/>
        <v>0.196995876306796</v>
      </c>
      <c r="BU49">
        <f ca="1" t="shared" si="41"/>
        <v>2.3238578771</v>
      </c>
      <c r="BV49">
        <f ca="1" t="shared" si="61"/>
        <v>10191783.7412376</v>
      </c>
      <c r="BW49">
        <f ca="1" t="shared" si="42"/>
        <v>113027</v>
      </c>
      <c r="BX49">
        <f ca="1" t="shared" si="43"/>
        <v>1006274.62576302</v>
      </c>
      <c r="BY49">
        <f ca="1" t="shared" si="44"/>
        <v>0.9343</v>
      </c>
      <c r="BZ49">
        <f ca="1">无穷技能数计算!$AJ41</f>
        <v>0</v>
      </c>
      <c r="CA49">
        <f ca="1" t="shared" si="45"/>
        <v>2.3277641271</v>
      </c>
      <c r="CB49">
        <f ca="1" t="shared" si="62"/>
        <v>9890717.71722372</v>
      </c>
      <c r="CC49">
        <f ca="1" t="shared" si="46"/>
        <v>114847</v>
      </c>
      <c r="CD49">
        <f ca="1" t="shared" si="47"/>
        <v>1006274.62576302</v>
      </c>
      <c r="CE49">
        <f ca="1" t="shared" si="48"/>
        <v>9547804.73167758</v>
      </c>
      <c r="CF49">
        <f ca="1" t="shared" si="49"/>
        <v>2.2750297521</v>
      </c>
      <c r="CG49">
        <f ca="1" t="shared" si="50"/>
        <v>0.9343</v>
      </c>
      <c r="CH49">
        <f ca="1" t="shared" si="63"/>
        <v>9724698.10321011</v>
      </c>
      <c r="CJ49">
        <f ca="1" t="shared" si="51"/>
        <v>1035436.77670524</v>
      </c>
      <c r="CK49">
        <f ca="1" t="shared" si="88"/>
        <v>10082925.2125174</v>
      </c>
      <c r="CL49">
        <f ca="1" t="shared" si="64"/>
        <v>2.2976860021</v>
      </c>
      <c r="CM49">
        <f ca="1">IF(G49="恒定伤害",0,(IF(D49="轻剑",$CM$8,$CM$9)+IFERROR(INDEX(技能数据库!$T$2:$W$27,MATCH(E49,技能数据库!$T$2:$T$27,0),4),0)+COUNTIF(G49,"*造化2*")*154+COUNTIF(G49,"*造化1*")*102+COUNTIF(G49,"*碧归*")*307)/1024)</f>
        <v>0.176868146929785</v>
      </c>
      <c r="CN49">
        <f ca="1" t="shared" si="65"/>
        <v>10351181.3691272</v>
      </c>
      <c r="CO49">
        <f ca="1" t="shared" si="66"/>
        <v>2.3262602208</v>
      </c>
      <c r="CP49">
        <f ca="1" t="shared" si="67"/>
        <v>10476086.8452003</v>
      </c>
      <c r="CQ49">
        <f ca="1" t="shared" si="89"/>
        <v>2.77157885480339</v>
      </c>
      <c r="CR49">
        <f ca="1">IF(G49="恒定伤害",0,(IF(D49="轻剑",$CR$8,$CR$9)+IFERROR(INDEX(技能数据库!$T$2:$W$27,MATCH(E49,技能数据库!$T$2:$T$27,0),4),0)+COUNTIF(G49,"*造化2*")*154+COUNTIF(G49,"*造化1*")*102+COUNTIF(G49,"*碧归*")*307)/1024)</f>
        <v>0.167102521929785</v>
      </c>
      <c r="CS49">
        <f ca="1" t="shared" si="68"/>
        <v>9792842.19944772</v>
      </c>
    </row>
    <row r="50" spans="4:97">
      <c r="D50" t="s">
        <v>1825</v>
      </c>
      <c r="E50" t="s">
        <v>2786</v>
      </c>
      <c r="G50" t="s">
        <v>2750</v>
      </c>
      <c r="H50">
        <f ca="1">INDEX(技能数据库!$B$2:$I$100,MATCH(无穷阵眼收益计算!$E50,技能数据库!$B$2:$B$100,0),MATCH(H$9,技能数据库!$B$2:$I$2,0))</f>
        <v>0</v>
      </c>
      <c r="I50">
        <f ca="1">INDEX(技能数据库!$B$2:$I$100,MATCH(无穷阵眼收益计算!$E50,技能数据库!$B$2:$B$100,0),MATCH(I$9,技能数据库!$B$2:$I$2,0))</f>
        <v>0</v>
      </c>
      <c r="J50">
        <f ca="1">INDEX(技能数据库!$B$2:$I$100,MATCH(无穷阵眼收益计算!$E50,技能数据库!$B$2:$B$100,0),MATCH(J$9,技能数据库!$B$2:$I$2,0))</f>
        <v>0</v>
      </c>
      <c r="K50">
        <f ca="1">INDEX(技能数据库!$B$2:$I$100,MATCH(无穷阵眼收益计算!$E50,技能数据库!$B$2:$B$100,0),MATCH(K$9,技能数据库!$B$2:$I$2,0))</f>
        <v>0</v>
      </c>
      <c r="L50">
        <f ca="1" t="shared" si="13"/>
        <v>105847</v>
      </c>
      <c r="M50">
        <f ca="1" t="shared" si="73"/>
        <v>19530.5</v>
      </c>
      <c r="N50">
        <f ca="1" t="shared" si="74"/>
        <v>92028</v>
      </c>
      <c r="O50">
        <f ca="1" t="shared" si="54"/>
        <v>0</v>
      </c>
      <c r="P50">
        <f ca="1">IF(G50="恒定伤害",0,(IF(D50="轻剑",$AZ$2,$AZ$3)+IFERROR(INDEX(技能数据库!$T$2:$W$27,MATCH(E50,技能数据库!$T$2:$T$27,0),4),0)+COUNTIF(G50,"*造化2*")*154+COUNTIF(G50,"*造化1*")*102+COUNTIF(G50,"*碧归*")*307)/1024)</f>
        <v>0.116321271929785</v>
      </c>
      <c r="Q50">
        <f ca="1" t="shared" si="82"/>
        <v>0.448284482196154</v>
      </c>
      <c r="R50">
        <f ca="1" t="shared" si="55"/>
        <v>0.21277697966198</v>
      </c>
      <c r="S50">
        <f ca="1" t="shared" si="75"/>
        <v>0</v>
      </c>
      <c r="T50">
        <f t="shared" si="76"/>
        <v>0.8</v>
      </c>
      <c r="U50">
        <f ca="1" t="shared" si="83"/>
        <v>1.7800129648</v>
      </c>
      <c r="V50">
        <f ca="1" t="shared" si="77"/>
        <v>0</v>
      </c>
      <c r="W50">
        <f ca="1">IF(G50="恒定伤害",0,MIN(1,IF(COUNTIF(F50,"*内会*")&gt;0,内会2,IF(D50="轻剑",$Y$2,$Y$3)+COUNTIF(G50,"*莺鸣*")*0.2+COUNTIF(G50,"*叠1*")*0.1+COUNTIF(G50,"*叠2*")*0.2+COUNTIF(G50,"*叠3*")*0.3)+IFERROR(INDEX(技能数据库!$T$2:$W$27,MATCH(E50,技能数据库!$T$2:$T$27,0),2),0)+IF((IF(D50="轻剑",$AO$2,$AO$3)+INT(COUNTIF(G50,"*大莺鸣*")*IF(D50="轻剑",$AM$2,$AM$3)*听晓无双率)/无双系数)&gt;0.9,特效裤子会心/会心系数,0)))</f>
        <v>0.7043</v>
      </c>
      <c r="X50">
        <f ca="1">IF(G50="恒定伤害",0,IF(COUNTIF(F50,"*内会*")&gt;0,内会效2,IF(D50="轻剑",$AB$2,$AB$3))+IFERROR(INDEX(技能数据库!$T$2:$W$27,MATCH(E50,技能数据库!$T$2:$T$27,0),3)/1024,0))+COUNTIF(G50,"*叠1*")*0.25+COUNTIF(G50,"*叠2*")*0.5+COUNTIF(G50,"*叠3*")*0.75</f>
        <v>2.1773735021</v>
      </c>
      <c r="Y50">
        <f ca="1" t="shared" si="78"/>
        <v>1.82922415752903</v>
      </c>
      <c r="Z50">
        <f t="shared" si="16"/>
        <v>0.150390625</v>
      </c>
      <c r="AA50">
        <f ca="1" t="shared" si="79"/>
        <v>0.0205078125</v>
      </c>
      <c r="AB50">
        <f ca="1" t="shared" si="80"/>
        <v>0</v>
      </c>
      <c r="AC50">
        <f ca="1">无穷技能数计算!$AJ42</f>
        <v>28</v>
      </c>
      <c r="AD50" s="164">
        <f ca="1" t="shared" si="81"/>
        <v>0</v>
      </c>
      <c r="AE50" s="168"/>
      <c r="AF50" s="168">
        <f ca="1" t="shared" si="17"/>
        <v>0.7057</v>
      </c>
      <c r="AG50">
        <f ca="1">无穷技能数计算!$AJ42</f>
        <v>28</v>
      </c>
      <c r="AH50">
        <f ca="1" t="shared" si="18"/>
        <v>109879</v>
      </c>
      <c r="AJ50">
        <f ca="1" t="shared" si="19"/>
        <v>2.3765922521</v>
      </c>
      <c r="AK50">
        <f ca="1" t="shared" si="56"/>
        <v>0</v>
      </c>
      <c r="AL50">
        <f ca="1" t="shared" si="20"/>
        <v>0</v>
      </c>
      <c r="AM50" s="169">
        <f ca="1" t="shared" si="21"/>
        <v>0.7272</v>
      </c>
      <c r="AN50">
        <f ca="1">无穷技能数计算!$AJ42</f>
        <v>28</v>
      </c>
      <c r="AO50" s="170">
        <f ca="1" t="shared" si="22"/>
        <v>0</v>
      </c>
      <c r="AP50">
        <f ca="1" t="shared" si="23"/>
        <v>110956</v>
      </c>
      <c r="AQ50" s="170">
        <f ca="1" t="shared" si="57"/>
        <v>0</v>
      </c>
      <c r="AR50">
        <f ca="1" t="shared" si="84"/>
        <v>0</v>
      </c>
      <c r="AS50">
        <f ca="1" t="shared" si="25"/>
        <v>0.7843</v>
      </c>
      <c r="AT50">
        <f ca="1">无穷技能数计算!$AJ42</f>
        <v>28</v>
      </c>
      <c r="AU50">
        <f ca="1" t="shared" si="26"/>
        <v>2.3238578771</v>
      </c>
      <c r="AV50">
        <f ca="1" t="shared" si="85"/>
        <v>1.7995442148</v>
      </c>
      <c r="AW50">
        <f ca="1" t="shared" si="58"/>
        <v>0</v>
      </c>
      <c r="AX50">
        <f ca="1" t="shared" si="28"/>
        <v>0.7743</v>
      </c>
      <c r="AY50">
        <f ca="1">无穷技能数计算!$AJ42</f>
        <v>28</v>
      </c>
      <c r="AZ50" s="170">
        <f ca="1" t="shared" si="59"/>
        <v>0</v>
      </c>
      <c r="BA50">
        <f ca="1" t="shared" si="29"/>
        <v>0.7643</v>
      </c>
      <c r="BB50">
        <f ca="1">无穷技能数计算!$AJ42</f>
        <v>28</v>
      </c>
      <c r="BC50" s="170">
        <f ca="1" t="shared" si="60"/>
        <v>0</v>
      </c>
      <c r="BE50">
        <f ca="1" t="shared" si="30"/>
        <v>105849</v>
      </c>
      <c r="BF50">
        <f ca="1" t="shared" si="31"/>
        <v>0</v>
      </c>
      <c r="BI50">
        <f ca="1" t="shared" si="32"/>
        <v>0.7543</v>
      </c>
      <c r="BJ50">
        <f ca="1">无穷技能数计算!$AJ42</f>
        <v>28</v>
      </c>
      <c r="BK50">
        <f ca="1" t="shared" si="33"/>
        <v>0</v>
      </c>
      <c r="BM50">
        <f ca="1" t="shared" si="34"/>
        <v>109230</v>
      </c>
      <c r="BN50">
        <f ca="1" t="shared" si="35"/>
        <v>0</v>
      </c>
      <c r="BO50">
        <f ca="1" t="shared" si="86"/>
        <v>0</v>
      </c>
      <c r="BP50">
        <f ca="1" t="shared" si="87"/>
        <v>0</v>
      </c>
      <c r="BR50">
        <f ca="1" t="shared" si="38"/>
        <v>0.7543</v>
      </c>
      <c r="BS50">
        <f ca="1" t="shared" si="39"/>
        <v>0</v>
      </c>
      <c r="BT50">
        <f ca="1" t="shared" si="40"/>
        <v>0.196995876306796</v>
      </c>
      <c r="BU50">
        <f ca="1" t="shared" si="41"/>
        <v>2.3238578771</v>
      </c>
      <c r="BV50">
        <f ca="1" t="shared" si="61"/>
        <v>0</v>
      </c>
      <c r="BW50">
        <f ca="1" t="shared" si="42"/>
        <v>113027</v>
      </c>
      <c r="BX50">
        <f ca="1" t="shared" si="43"/>
        <v>0</v>
      </c>
      <c r="BY50">
        <f ca="1" t="shared" si="44"/>
        <v>0.7343</v>
      </c>
      <c r="BZ50">
        <f ca="1">无穷技能数计算!$AJ42</f>
        <v>28</v>
      </c>
      <c r="CA50">
        <f ca="1" t="shared" si="45"/>
        <v>2.3277641271</v>
      </c>
      <c r="CB50">
        <f ca="1" t="shared" si="62"/>
        <v>0</v>
      </c>
      <c r="CC50">
        <f ca="1" t="shared" si="46"/>
        <v>114847</v>
      </c>
      <c r="CD50">
        <f ca="1" t="shared" si="47"/>
        <v>0</v>
      </c>
      <c r="CE50">
        <f ca="1" t="shared" si="48"/>
        <v>0</v>
      </c>
      <c r="CF50">
        <f ca="1" t="shared" si="49"/>
        <v>2.2750297521</v>
      </c>
      <c r="CG50">
        <f ca="1" t="shared" si="50"/>
        <v>0.7343</v>
      </c>
      <c r="CH50">
        <f ca="1" t="shared" si="63"/>
        <v>0</v>
      </c>
      <c r="CJ50">
        <f ca="1" t="shared" si="51"/>
        <v>0</v>
      </c>
      <c r="CK50">
        <f ca="1" t="shared" si="88"/>
        <v>0</v>
      </c>
      <c r="CL50">
        <f ca="1" t="shared" si="64"/>
        <v>2.2976860021</v>
      </c>
      <c r="CM50">
        <f ca="1">IF(G50="恒定伤害",0,(IF(D50="轻剑",$CM$8,$CM$9)+IFERROR(INDEX(技能数据库!$T$2:$W$27,MATCH(E50,技能数据库!$T$2:$T$27,0),4),0)+COUNTIF(G50,"*造化2*")*154+COUNTIF(G50,"*造化1*")*102+COUNTIF(G50,"*碧归*")*307)/1024)</f>
        <v>0.176868146929785</v>
      </c>
      <c r="CN50">
        <f ca="1" t="shared" si="65"/>
        <v>0</v>
      </c>
      <c r="CO50">
        <f ca="1" t="shared" si="66"/>
        <v>2.3262602208</v>
      </c>
      <c r="CP50">
        <f ca="1" t="shared" si="67"/>
        <v>0</v>
      </c>
      <c r="CQ50">
        <f ca="1" t="shared" si="89"/>
        <v>1.8815754648</v>
      </c>
      <c r="CR50">
        <f ca="1">IF(G50="恒定伤害",0,(IF(D50="轻剑",$CR$8,$CR$9)+IFERROR(INDEX(技能数据库!$T$2:$W$27,MATCH(E50,技能数据库!$T$2:$T$27,0),4),0)+COUNTIF(G50,"*造化2*")*154+COUNTIF(G50,"*造化1*")*102+COUNTIF(G50,"*碧归*")*307)/1024)</f>
        <v>0.167102521929785</v>
      </c>
      <c r="CS50">
        <f ca="1" t="shared" si="68"/>
        <v>0</v>
      </c>
    </row>
    <row r="51" spans="4:97">
      <c r="D51" t="s">
        <v>1825</v>
      </c>
      <c r="E51" t="s">
        <v>2786</v>
      </c>
      <c r="G51" t="s">
        <v>3044</v>
      </c>
      <c r="H51">
        <f ca="1">INDEX(技能数据库!$B$2:$I$100,MATCH(无穷阵眼收益计算!$E51,技能数据库!$B$2:$B$100,0),MATCH(H$9,技能数据库!$B$2:$I$2,0))</f>
        <v>0</v>
      </c>
      <c r="I51">
        <f ca="1">INDEX(技能数据库!$B$2:$I$100,MATCH(无穷阵眼收益计算!$E51,技能数据库!$B$2:$B$100,0),MATCH(I$9,技能数据库!$B$2:$I$2,0))</f>
        <v>0</v>
      </c>
      <c r="J51">
        <f ca="1">INDEX(技能数据库!$B$2:$I$100,MATCH(无穷阵眼收益计算!$E51,技能数据库!$B$2:$B$100,0),MATCH(J$9,技能数据库!$B$2:$I$2,0))</f>
        <v>0</v>
      </c>
      <c r="K51">
        <f ca="1">INDEX(技能数据库!$B$2:$I$100,MATCH(无穷阵眼收益计算!$E51,技能数据库!$B$2:$B$100,0),MATCH(K$9,技能数据库!$B$2:$I$2,0))</f>
        <v>0</v>
      </c>
      <c r="L51">
        <f ca="1" t="shared" si="13"/>
        <v>105847</v>
      </c>
      <c r="M51">
        <f ca="1" t="shared" si="73"/>
        <v>19530.5</v>
      </c>
      <c r="N51">
        <f ca="1" t="shared" si="74"/>
        <v>92028</v>
      </c>
      <c r="O51">
        <f ca="1" t="shared" si="54"/>
        <v>0</v>
      </c>
      <c r="P51">
        <f ca="1">IF(G51="恒定伤害",0,(IF(D51="轻剑",$AZ$2,$AZ$3)+IFERROR(INDEX(技能数据库!$T$2:$W$27,MATCH(E51,技能数据库!$T$2:$T$27,0),4),0)+COUNTIF(G51,"*造化2*")*154+COUNTIF(G51,"*造化1*")*102+COUNTIF(G51,"*碧归*")*307)/1024)</f>
        <v>0.116321271929785</v>
      </c>
      <c r="Q51">
        <f ca="1" t="shared" si="82"/>
        <v>0.448284482196154</v>
      </c>
      <c r="R51">
        <f ca="1" t="shared" si="55"/>
        <v>0.21277697966198</v>
      </c>
      <c r="S51">
        <f ca="1" t="shared" si="75"/>
        <v>0</v>
      </c>
      <c r="T51">
        <f t="shared" si="76"/>
        <v>0.8</v>
      </c>
      <c r="U51">
        <f ca="1" t="shared" si="83"/>
        <v>2.67001635480339</v>
      </c>
      <c r="V51">
        <f ca="1" t="shared" si="77"/>
        <v>0</v>
      </c>
      <c r="W51">
        <f ca="1">IF(G51="恒定伤害",0,MIN(1,IF(COUNTIF(F51,"*内会*")&gt;0,内会2,IF(D51="轻剑",$Y$2,$Y$3)+COUNTIF(G51,"*莺鸣*")*0.2+COUNTIF(G51,"*叠1*")*0.1+COUNTIF(G51,"*叠2*")*0.2+COUNTIF(G51,"*叠3*")*0.3)+IFERROR(INDEX(技能数据库!$T$2:$W$27,MATCH(E51,技能数据库!$T$2:$T$27,0),2),0)+IF((IF(D51="轻剑",$AO$2,$AO$3)+INT(COUNTIF(G51,"*大莺鸣*")*IF(D51="轻剑",$AM$2,$AM$3)*听晓无双率)/无双系数)&gt;0.9,特效裤子会心/会心系数,0)))</f>
        <v>0.9043</v>
      </c>
      <c r="X51">
        <f ca="1">IF(G51="恒定伤害",0,IF(COUNTIF(F51,"*内会*")&gt;0,内会效2,IF(D51="轻剑",$AB$2,$AB$3))+IFERROR(INDEX(技能数据库!$T$2:$W$27,MATCH(E51,技能数据库!$T$2:$T$27,0),3)/1024,0))+COUNTIF(G51,"*叠1*")*0.25+COUNTIF(G51,"*叠2*")*0.5+COUNTIF(G51,"*叠3*")*0.75</f>
        <v>2.1773735021</v>
      </c>
      <c r="Y51">
        <f ca="1" t="shared" si="78"/>
        <v>2.06469885794903</v>
      </c>
      <c r="Z51">
        <f t="shared" si="16"/>
        <v>0.150390625</v>
      </c>
      <c r="AA51">
        <f ca="1" t="shared" si="79"/>
        <v>0.0205078125</v>
      </c>
      <c r="AB51">
        <f ca="1" t="shared" si="80"/>
        <v>0</v>
      </c>
      <c r="AC51">
        <f ca="1">无穷技能数计算!$AJ43</f>
        <v>0</v>
      </c>
      <c r="AD51" s="164">
        <f ca="1" t="shared" si="81"/>
        <v>0</v>
      </c>
      <c r="AE51" s="168"/>
      <c r="AF51" s="168">
        <f ca="1" t="shared" si="17"/>
        <v>0.9057</v>
      </c>
      <c r="AG51">
        <f ca="1">无穷技能数计算!$AJ43</f>
        <v>0</v>
      </c>
      <c r="AH51">
        <f ca="1" t="shared" si="18"/>
        <v>109879</v>
      </c>
      <c r="AJ51">
        <f ca="1" t="shared" si="19"/>
        <v>2.3765922521</v>
      </c>
      <c r="AK51">
        <f ca="1" t="shared" si="56"/>
        <v>0</v>
      </c>
      <c r="AL51">
        <f ca="1" t="shared" si="20"/>
        <v>0</v>
      </c>
      <c r="AM51" s="169">
        <f ca="1" t="shared" si="21"/>
        <v>0.9272</v>
      </c>
      <c r="AN51">
        <f ca="1">无穷技能数计算!$AJ43</f>
        <v>0</v>
      </c>
      <c r="AO51" s="170">
        <f ca="1" t="shared" si="22"/>
        <v>0</v>
      </c>
      <c r="AP51">
        <f ca="1" t="shared" si="23"/>
        <v>110956</v>
      </c>
      <c r="AQ51" s="170">
        <f ca="1" t="shared" si="57"/>
        <v>0</v>
      </c>
      <c r="AR51">
        <f ca="1" t="shared" si="84"/>
        <v>0</v>
      </c>
      <c r="AS51">
        <f ca="1" t="shared" si="25"/>
        <v>0.9843</v>
      </c>
      <c r="AT51">
        <f ca="1">无穷技能数计算!$AJ43</f>
        <v>0</v>
      </c>
      <c r="AU51">
        <f ca="1" t="shared" si="26"/>
        <v>2.3238578771</v>
      </c>
      <c r="AV51">
        <f ca="1" t="shared" si="85"/>
        <v>2.68954760480339</v>
      </c>
      <c r="AW51">
        <f ca="1" t="shared" si="58"/>
        <v>0</v>
      </c>
      <c r="AX51">
        <f ca="1" t="shared" si="28"/>
        <v>0.9743</v>
      </c>
      <c r="AY51">
        <f ca="1">无穷技能数计算!$AJ43</f>
        <v>0</v>
      </c>
      <c r="AZ51" s="170">
        <f ca="1" t="shared" si="59"/>
        <v>0</v>
      </c>
      <c r="BA51">
        <f ca="1" t="shared" si="29"/>
        <v>0.9643</v>
      </c>
      <c r="BB51">
        <f ca="1">无穷技能数计算!$AJ43</f>
        <v>0</v>
      </c>
      <c r="BC51" s="170">
        <f ca="1" t="shared" si="60"/>
        <v>0</v>
      </c>
      <c r="BE51">
        <f ca="1" t="shared" si="30"/>
        <v>105849</v>
      </c>
      <c r="BF51">
        <f ca="1" t="shared" si="31"/>
        <v>0</v>
      </c>
      <c r="BI51">
        <f ca="1" t="shared" si="32"/>
        <v>0.9543</v>
      </c>
      <c r="BJ51">
        <f ca="1">无穷技能数计算!$AJ43</f>
        <v>0</v>
      </c>
      <c r="BK51">
        <f ca="1" t="shared" si="33"/>
        <v>0</v>
      </c>
      <c r="BM51">
        <f ca="1" t="shared" si="34"/>
        <v>109230</v>
      </c>
      <c r="BN51">
        <f ca="1" t="shared" si="35"/>
        <v>0</v>
      </c>
      <c r="BO51">
        <f ca="1" t="shared" si="86"/>
        <v>0</v>
      </c>
      <c r="BP51">
        <f ca="1" t="shared" si="87"/>
        <v>0</v>
      </c>
      <c r="BR51">
        <f ca="1" t="shared" si="38"/>
        <v>0.9543</v>
      </c>
      <c r="BS51">
        <f ca="1" t="shared" si="39"/>
        <v>0</v>
      </c>
      <c r="BT51">
        <f ca="1" t="shared" si="40"/>
        <v>0.196995876306796</v>
      </c>
      <c r="BU51">
        <f ca="1" t="shared" si="41"/>
        <v>2.3238578771</v>
      </c>
      <c r="BV51">
        <f ca="1" t="shared" si="61"/>
        <v>0</v>
      </c>
      <c r="BW51">
        <f ca="1" t="shared" si="42"/>
        <v>113027</v>
      </c>
      <c r="BX51">
        <f ca="1" t="shared" si="43"/>
        <v>0</v>
      </c>
      <c r="BY51">
        <f ca="1" t="shared" si="44"/>
        <v>0.9343</v>
      </c>
      <c r="BZ51">
        <f ca="1">无穷技能数计算!$AJ43</f>
        <v>0</v>
      </c>
      <c r="CA51">
        <f ca="1" t="shared" si="45"/>
        <v>2.3277641271</v>
      </c>
      <c r="CB51">
        <f ca="1" t="shared" si="62"/>
        <v>0</v>
      </c>
      <c r="CC51">
        <f ca="1" t="shared" si="46"/>
        <v>114847</v>
      </c>
      <c r="CD51">
        <f ca="1" t="shared" si="47"/>
        <v>0</v>
      </c>
      <c r="CE51">
        <f ca="1" t="shared" si="48"/>
        <v>0</v>
      </c>
      <c r="CF51">
        <f ca="1" t="shared" si="49"/>
        <v>2.2750297521</v>
      </c>
      <c r="CG51">
        <f ca="1" t="shared" si="50"/>
        <v>0.9343</v>
      </c>
      <c r="CH51">
        <f ca="1" t="shared" si="63"/>
        <v>0</v>
      </c>
      <c r="CJ51">
        <f ca="1" t="shared" si="51"/>
        <v>0</v>
      </c>
      <c r="CK51">
        <f ca="1" t="shared" si="88"/>
        <v>0</v>
      </c>
      <c r="CL51">
        <f ca="1" t="shared" si="64"/>
        <v>2.2976860021</v>
      </c>
      <c r="CM51">
        <f ca="1">IF(G51="恒定伤害",0,(IF(D51="轻剑",$CM$8,$CM$9)+IFERROR(INDEX(技能数据库!$T$2:$W$27,MATCH(E51,技能数据库!$T$2:$T$27,0),4),0)+COUNTIF(G51,"*造化2*")*154+COUNTIF(G51,"*造化1*")*102+COUNTIF(G51,"*碧归*")*307)/1024)</f>
        <v>0.176868146929785</v>
      </c>
      <c r="CN51">
        <f ca="1" t="shared" si="65"/>
        <v>0</v>
      </c>
      <c r="CO51">
        <f ca="1" t="shared" si="66"/>
        <v>2.3262602208</v>
      </c>
      <c r="CP51">
        <f ca="1" t="shared" si="67"/>
        <v>0</v>
      </c>
      <c r="CQ51">
        <f ca="1" t="shared" si="89"/>
        <v>2.77157885480339</v>
      </c>
      <c r="CR51">
        <f ca="1">IF(G51="恒定伤害",0,(IF(D51="轻剑",$CR$8,$CR$9)+IFERROR(INDEX(技能数据库!$T$2:$W$27,MATCH(E51,技能数据库!$T$2:$T$27,0),4),0)+COUNTIF(G51,"*造化2*")*154+COUNTIF(G51,"*造化1*")*102+COUNTIF(G51,"*碧归*")*307)/1024)</f>
        <v>0.167102521929785</v>
      </c>
      <c r="CS51">
        <f ca="1" t="shared" si="68"/>
        <v>0</v>
      </c>
    </row>
    <row r="52" spans="4:97">
      <c r="D52" t="s">
        <v>1825</v>
      </c>
      <c r="E52" t="s">
        <v>2723</v>
      </c>
      <c r="H52">
        <f ca="1">INDEX(技能数据库!$B$2:$I$100,MATCH(无穷阵眼收益计算!$E52,技能数据库!$B$2:$B$100,0),MATCH(H$9,技能数据库!$B$2:$I$2,0))</f>
        <v>143</v>
      </c>
      <c r="I52">
        <f ca="1">INDEX(技能数据库!$B$2:$I$100,MATCH(无穷阵眼收益计算!$E52,技能数据库!$B$2:$B$100,0),MATCH(I$9,技能数据库!$B$2:$I$2,0))</f>
        <v>2.53125</v>
      </c>
      <c r="J52">
        <f ca="1">INDEX(技能数据库!$B$2:$I$100,MATCH(无穷阵眼收益计算!$E52,技能数据库!$B$2:$B$100,0),MATCH(J$9,技能数据库!$B$2:$I$2,0))</f>
        <v>2</v>
      </c>
      <c r="K52">
        <f ca="1">INDEX(技能数据库!$B$2:$I$100,MATCH(无穷阵眼收益计算!$E52,技能数据库!$B$2:$B$100,0),MATCH(K$9,技能数据库!$B$2:$I$2,0))</f>
        <v>0</v>
      </c>
      <c r="L52">
        <f ca="1" t="shared" si="13"/>
        <v>91975</v>
      </c>
      <c r="M52">
        <f ca="1" t="shared" si="73"/>
        <v>19530.5</v>
      </c>
      <c r="N52">
        <f ca="1" t="shared" si="74"/>
        <v>92028</v>
      </c>
      <c r="O52">
        <f ca="1" t="shared" si="54"/>
        <v>272015.71875</v>
      </c>
      <c r="P52">
        <f ca="1">IF(G52="恒定伤害",0,(IF(D52="轻剑",$AZ$2,$AZ$3)+IFERROR(INDEX(技能数据库!$T$2:$W$27,MATCH(E52,技能数据库!$T$2:$T$27,0),4),0)+COUNTIF(G52,"*造化2*")*154+COUNTIF(G52,"*造化1*")*102+COUNTIF(G52,"*碧归*")*307)/1024)</f>
        <v>0.116321271929785</v>
      </c>
      <c r="Q52">
        <f ca="1" t="shared" si="82"/>
        <v>0.448284482196154</v>
      </c>
      <c r="R52">
        <f ca="1" t="shared" si="55"/>
        <v>0.32958230397716</v>
      </c>
      <c r="S52">
        <f ca="1" t="shared" si="75"/>
        <v>294837.383234453</v>
      </c>
      <c r="T52">
        <f t="shared" si="76"/>
        <v>0.8</v>
      </c>
      <c r="U52">
        <f ca="1" t="shared" si="83"/>
        <v>1.7800129648</v>
      </c>
      <c r="V52">
        <f ca="1" t="shared" si="77"/>
        <v>655721.398319588</v>
      </c>
      <c r="W52">
        <f ca="1">IF(G52="恒定伤害",0,MIN(1,IF(COUNTIF(F52,"*内会*")&gt;0,内会2,IF(D52="轻剑",$Y$2,$Y$3)+COUNTIF(G52,"*莺鸣*")*0.2+COUNTIF(G52,"*叠1*")*0.1+COUNTIF(G52,"*叠2*")*0.2+COUNTIF(G52,"*叠3*")*0.3)+IFERROR(INDEX(技能数据库!$T$2:$W$27,MATCH(E52,技能数据库!$T$2:$T$27,0),2),0)+IF((IF(D52="轻剑",$AO$2,$AO$3)+INT(COUNTIF(G52,"*大莺鸣*")*IF(D52="轻剑",$AM$2,$AM$3)*听晓无双率)/无双系数)&gt;0.9,特效裤子会心/会心系数,0)))</f>
        <v>0.7043</v>
      </c>
      <c r="X52">
        <f ca="1">IF(G52="恒定伤害",0,IF(COUNTIF(F52,"*内会*")&gt;0,内会效2,IF(D52="轻剑",$AB$2,$AB$3))+IFERROR(INDEX(技能数据库!$T$2:$W$27,MATCH(E52,技能数据库!$T$2:$T$27,0),3)/1024,0))+COUNTIF(G52,"*叠1*")*0.25+COUNTIF(G52,"*叠2*")*0.5+COUNTIF(G52,"*叠3*")*0.75</f>
        <v>2.1773735021</v>
      </c>
      <c r="Y52">
        <f ca="1" t="shared" si="78"/>
        <v>1.82922415752903</v>
      </c>
      <c r="Z52">
        <f t="shared" si="16"/>
        <v>0.150390625</v>
      </c>
      <c r="AA52">
        <f ca="1" t="shared" si="79"/>
        <v>0.0205078125</v>
      </c>
      <c r="AB52">
        <f ca="1" t="shared" si="80"/>
        <v>1408146.86356256</v>
      </c>
      <c r="AC52">
        <f ca="1">($AC$24+$AC$28+$AC$32+$AC$137)*MIN(1,0.3+$Y$3)</f>
        <v>0</v>
      </c>
      <c r="AD52" s="164">
        <f ca="1" t="shared" si="81"/>
        <v>0</v>
      </c>
      <c r="AE52" s="168"/>
      <c r="AF52" s="168">
        <f ca="1" t="shared" si="17"/>
        <v>0.7057</v>
      </c>
      <c r="AG52">
        <f ca="1">($AC$24+$AC$28+$AC$32+$AC$137)*MIN(1,0.3+$AF$9)</f>
        <v>0</v>
      </c>
      <c r="AH52">
        <f ca="1" t="shared" si="18"/>
        <v>96007</v>
      </c>
      <c r="AJ52">
        <f ca="1" t="shared" si="19"/>
        <v>2.3765922521</v>
      </c>
      <c r="AK52">
        <f ca="1" t="shared" si="56"/>
        <v>282698.71875</v>
      </c>
      <c r="AL52">
        <f ca="1" t="shared" si="20"/>
        <v>1577678.50808247</v>
      </c>
      <c r="AM52" s="169">
        <f ca="1" t="shared" si="21"/>
        <v>0.7272</v>
      </c>
      <c r="AN52">
        <f ca="1">($AC$24+$AC$28+$AC$32+$AC$137)*MIN(1,0.3+$AN$9)</f>
        <v>0</v>
      </c>
      <c r="AO52" s="170">
        <f ca="1" t="shared" si="22"/>
        <v>1601363.54502665</v>
      </c>
      <c r="AP52">
        <f ca="1" t="shared" si="23"/>
        <v>97084</v>
      </c>
      <c r="AQ52" s="170">
        <f ca="1" t="shared" si="57"/>
        <v>284947.875</v>
      </c>
      <c r="AR52">
        <f ca="1" t="shared" si="84"/>
        <v>1561632.95581798</v>
      </c>
      <c r="AS52">
        <f ca="1" t="shared" si="25"/>
        <v>0.7843</v>
      </c>
      <c r="AT52">
        <f ca="1">($AC$24+$AC$28+$AC$32+$AC$137)*MIN(1,0.3+AS$9)</f>
        <v>0</v>
      </c>
      <c r="AU52">
        <f ca="1" t="shared" si="26"/>
        <v>2.3238578771</v>
      </c>
      <c r="AV52">
        <f ca="1" t="shared" si="85"/>
        <v>1.7995442148</v>
      </c>
      <c r="AW52">
        <f ca="1" t="shared" si="58"/>
        <v>1580119.77167612</v>
      </c>
      <c r="AX52">
        <f ca="1" t="shared" si="28"/>
        <v>0.7743</v>
      </c>
      <c r="AY52">
        <f ca="1">($AC$24+$AC$28+$AC$32+$AC$137)*MIN(1,0.3+AX$9)</f>
        <v>0</v>
      </c>
      <c r="AZ52" s="170">
        <f ca="1" t="shared" si="59"/>
        <v>1569857.04181322</v>
      </c>
      <c r="BA52">
        <f ca="1" t="shared" si="29"/>
        <v>0.7643</v>
      </c>
      <c r="BB52">
        <f ca="1">($AC$24+$AC$28+$AC$32+$AC$137)*MIN(1,0.3+BA$9)</f>
        <v>0</v>
      </c>
      <c r="BC52" s="170">
        <f ca="1" t="shared" si="60"/>
        <v>1559594.31195032</v>
      </c>
      <c r="BE52">
        <f ca="1" t="shared" si="30"/>
        <v>91977</v>
      </c>
      <c r="BF52">
        <f ca="1" t="shared" si="31"/>
        <v>272020.78125</v>
      </c>
      <c r="BI52">
        <f ca="1" t="shared" si="32"/>
        <v>0.7543</v>
      </c>
      <c r="BJ52">
        <f ca="1">($AC$24+$AC$28+$AC$32+$AC$137)*MIN(1,0.3+BI$9)</f>
        <v>0</v>
      </c>
      <c r="BK52">
        <f ca="1" t="shared" si="33"/>
        <v>1551305.76766575</v>
      </c>
      <c r="BM52">
        <f ca="1" t="shared" si="34"/>
        <v>95358</v>
      </c>
      <c r="BN52">
        <f ca="1" t="shared" si="35"/>
        <v>280578.9375</v>
      </c>
      <c r="BO52">
        <f ca="1" t="shared" si="86"/>
        <v>1568651.76286362</v>
      </c>
      <c r="BP52">
        <f ca="1" t="shared" si="87"/>
        <v>1495932.72466749</v>
      </c>
      <c r="BR52">
        <f ca="1" t="shared" si="38"/>
        <v>0.7543</v>
      </c>
      <c r="BS52">
        <f ca="1" t="shared" si="39"/>
        <v>1554923.35904854</v>
      </c>
      <c r="BT52">
        <f ca="1" t="shared" si="40"/>
        <v>0.318170800459405</v>
      </c>
      <c r="BU52">
        <f ca="1" t="shared" si="41"/>
        <v>2.3238578771</v>
      </c>
      <c r="BV52">
        <f ca="1" t="shared" si="61"/>
        <v>1564710.47868369</v>
      </c>
      <c r="BW52">
        <f ca="1" t="shared" si="42"/>
        <v>99155</v>
      </c>
      <c r="BX52">
        <f ca="1" t="shared" si="43"/>
        <v>290190.09375</v>
      </c>
      <c r="BY52">
        <f ca="1" t="shared" si="44"/>
        <v>0.7343</v>
      </c>
      <c r="BZ52">
        <f ca="1">($AC$24+$AC$28+$AC$32+$AC$137)*MIN(1,0.3+BY$9)</f>
        <v>0</v>
      </c>
      <c r="CA52">
        <f ca="1" t="shared" si="45"/>
        <v>2.3277641271</v>
      </c>
      <c r="CB52">
        <f ca="1" t="shared" si="62"/>
        <v>1621928.44997363</v>
      </c>
      <c r="CC52">
        <f ca="1" t="shared" si="46"/>
        <v>100975</v>
      </c>
      <c r="CD52">
        <f ca="1" t="shared" si="47"/>
        <v>294796.96875</v>
      </c>
      <c r="CE52">
        <f ca="1" t="shared" si="48"/>
        <v>1602086.77593178</v>
      </c>
      <c r="CF52">
        <f ca="1" t="shared" si="49"/>
        <v>2.2750297521</v>
      </c>
      <c r="CG52">
        <f ca="1" t="shared" si="50"/>
        <v>0.7343</v>
      </c>
      <c r="CH52">
        <f ca="1" t="shared" si="63"/>
        <v>1501011.22276882</v>
      </c>
      <c r="CJ52">
        <f ca="1" t="shared" si="51"/>
        <v>280578.9375</v>
      </c>
      <c r="CK52">
        <f ca="1" t="shared" si="88"/>
        <v>1561545.85587192</v>
      </c>
      <c r="CL52">
        <f ca="1" t="shared" si="64"/>
        <v>2.2976860021</v>
      </c>
      <c r="CM52">
        <f ca="1">IF(G52="恒定伤害",0,(IF(D52="轻剑",$CM$8,$CM$9)+IFERROR(INDEX(技能数据库!$T$2:$W$27,MATCH(E52,技能数据库!$T$2:$T$27,0),4),0)+COUNTIF(G52,"*造化2*")*154+COUNTIF(G52,"*造化1*")*102+COUNTIF(G52,"*碧归*")*307)/1024)</f>
        <v>0.176868146929785</v>
      </c>
      <c r="CN52">
        <f ca="1" t="shared" si="65"/>
        <v>1596019.18685874</v>
      </c>
      <c r="CO52">
        <f ca="1" t="shared" si="66"/>
        <v>2.3262602208</v>
      </c>
      <c r="CP52">
        <f ca="1" t="shared" si="67"/>
        <v>1613166.97203611</v>
      </c>
      <c r="CQ52">
        <f ca="1" t="shared" si="89"/>
        <v>1.8815754648</v>
      </c>
      <c r="CR52">
        <f ca="1">IF(G52="恒定伤害",0,(IF(D52="轻剑",$CR$8,$CR$9)+IFERROR(INDEX(技能数据库!$T$2:$W$27,MATCH(E52,技能数据库!$T$2:$T$27,0),4),0)+COUNTIF(G52,"*造化2*")*154+COUNTIF(G52,"*造化1*")*102+COUNTIF(G52,"*碧归*")*307)/1024)</f>
        <v>0.167102521929785</v>
      </c>
      <c r="CS52">
        <f ca="1" t="shared" si="68"/>
        <v>1525987.35760246</v>
      </c>
    </row>
    <row r="53" spans="4:97">
      <c r="D53" t="s">
        <v>1825</v>
      </c>
      <c r="E53" t="s">
        <v>2723</v>
      </c>
      <c r="G53" t="s">
        <v>2750</v>
      </c>
      <c r="H53">
        <f ca="1">INDEX(技能数据库!$B$2:$I$100,MATCH(无穷阵眼收益计算!$E53,技能数据库!$B$2:$B$100,0),MATCH(H$9,技能数据库!$B$2:$I$2,0))</f>
        <v>143</v>
      </c>
      <c r="I53">
        <f ca="1">INDEX(技能数据库!$B$2:$I$100,MATCH(无穷阵眼收益计算!$E53,技能数据库!$B$2:$B$100,0),MATCH(I$9,技能数据库!$B$2:$I$2,0))</f>
        <v>2.53125</v>
      </c>
      <c r="J53">
        <f ca="1">INDEX(技能数据库!$B$2:$I$100,MATCH(无穷阵眼收益计算!$E53,技能数据库!$B$2:$B$100,0),MATCH(J$9,技能数据库!$B$2:$I$2,0))</f>
        <v>2</v>
      </c>
      <c r="K53">
        <f ca="1">INDEX(技能数据库!$B$2:$I$100,MATCH(无穷阵眼收益计算!$E53,技能数据库!$B$2:$B$100,0),MATCH(K$9,技能数据库!$B$2:$I$2,0))</f>
        <v>0</v>
      </c>
      <c r="L53">
        <f ca="1" t="shared" si="13"/>
        <v>105847</v>
      </c>
      <c r="M53">
        <f ca="1" t="shared" si="73"/>
        <v>19530.5</v>
      </c>
      <c r="N53">
        <f ca="1" t="shared" si="74"/>
        <v>92028</v>
      </c>
      <c r="O53">
        <f ca="1" t="shared" si="54"/>
        <v>307129.21875</v>
      </c>
      <c r="P53">
        <f ca="1">IF(G53="恒定伤害",0,(IF(D53="轻剑",$AZ$2,$AZ$3)+IFERROR(INDEX(技能数据库!$T$2:$W$27,MATCH(E53,技能数据库!$T$2:$T$27,0),4),0)+COUNTIF(G53,"*造化2*")*154+COUNTIF(G53,"*造化1*")*102+COUNTIF(G53,"*碧归*")*307)/1024)</f>
        <v>0.116321271929785</v>
      </c>
      <c r="Q53">
        <f ca="1" t="shared" si="82"/>
        <v>0.448284482196154</v>
      </c>
      <c r="R53">
        <f ca="1" t="shared" si="55"/>
        <v>0.21277697966198</v>
      </c>
      <c r="S53">
        <f ca="1" t="shared" si="75"/>
        <v>390896.694849304</v>
      </c>
      <c r="T53">
        <f t="shared" si="76"/>
        <v>0.8</v>
      </c>
      <c r="U53">
        <f ca="1" t="shared" si="83"/>
        <v>1.7800129648</v>
      </c>
      <c r="V53">
        <f ca="1" t="shared" si="77"/>
        <v>869358.303662828</v>
      </c>
      <c r="W53">
        <f ca="1">IF(G53="恒定伤害",0,MIN(1,IF(COUNTIF(F53,"*内会*")&gt;0,内会2,IF(D53="轻剑",$Y$2,$Y$3)+COUNTIF(G53,"*莺鸣*")*0.2+COUNTIF(G53,"*叠1*")*0.1+COUNTIF(G53,"*叠2*")*0.2+COUNTIF(G53,"*叠3*")*0.3)+IFERROR(INDEX(技能数据库!$T$2:$W$27,MATCH(E53,技能数据库!$T$2:$T$27,0),2),0)+IF((IF(D53="轻剑",$AO$2,$AO$3)+INT(COUNTIF(G53,"*大莺鸣*")*IF(D53="轻剑",$AM$2,$AM$3)*听晓无双率)/无双系数)&gt;0.9,特效裤子会心/会心系数,0)))</f>
        <v>0.7043</v>
      </c>
      <c r="X53">
        <f ca="1">IF(G53="恒定伤害",0,IF(COUNTIF(F53,"*内会*")&gt;0,内会效2,IF(D53="轻剑",$AB$2,$AB$3))+IFERROR(INDEX(技能数据库!$T$2:$W$27,MATCH(E53,技能数据库!$T$2:$T$27,0),3)/1024,0))+COUNTIF(G53,"*叠1*")*0.25+COUNTIF(G53,"*叠2*")*0.5+COUNTIF(G53,"*叠3*")*0.75</f>
        <v>2.1773735021</v>
      </c>
      <c r="Y53">
        <f ca="1" t="shared" si="78"/>
        <v>1.82922415752903</v>
      </c>
      <c r="Z53">
        <f t="shared" si="16"/>
        <v>0.150390625</v>
      </c>
      <c r="AA53">
        <f ca="1" t="shared" si="79"/>
        <v>0.0205078125</v>
      </c>
      <c r="AB53">
        <f ca="1" t="shared" si="80"/>
        <v>1866927.28306882</v>
      </c>
      <c r="AC53">
        <f ca="1">($AC$25+$AC$29+$AC$33+$AC$38+$AC$42+$AC$46+$AC$78+$AC$92+$AC$95+$AC$98+$AC$99+$AC$107)*MIN(1,0.3+$Y$3)</f>
        <v>76</v>
      </c>
      <c r="AD53" s="164">
        <f ca="1" t="shared" si="81"/>
        <v>0.0556068389056071</v>
      </c>
      <c r="AE53" s="168"/>
      <c r="AF53" s="168">
        <f ca="1" t="shared" si="17"/>
        <v>0.7057</v>
      </c>
      <c r="AG53">
        <f ca="1">($AC$25+$AC$29+$AC$33+$AC$38+$AC$42+$AC$46+$AC$78+$AC$92+$AC$95+$AC$98+$AC$99+$AC$107)*MIN(1,0.3+$AF$9)</f>
        <v>76</v>
      </c>
      <c r="AH53">
        <f ca="1" t="shared" si="18"/>
        <v>109879</v>
      </c>
      <c r="AJ53">
        <f ca="1" t="shared" si="19"/>
        <v>2.3765922521</v>
      </c>
      <c r="AK53">
        <f ca="1" t="shared" si="56"/>
        <v>317812.21875</v>
      </c>
      <c r="AL53">
        <f ca="1" t="shared" si="20"/>
        <v>2082656.16253049</v>
      </c>
      <c r="AM53" s="169">
        <f ca="1" t="shared" si="21"/>
        <v>0.7272</v>
      </c>
      <c r="AN53">
        <f ca="1">($AC$25+$AC$29+$AC$33+$AC$38+$AC$42+$AC$46+$AC$78+$AC$92+$AC$95+$AC$98+$AC$99+$AC$107)*MIN(1,0.3+$AN$9)</f>
        <v>76</v>
      </c>
      <c r="AO53" s="170">
        <f ca="1" t="shared" si="22"/>
        <v>2113922.22079195</v>
      </c>
      <c r="AP53">
        <f ca="1" t="shared" si="23"/>
        <v>110956</v>
      </c>
      <c r="AQ53" s="170">
        <f ca="1" t="shared" si="57"/>
        <v>320061.375</v>
      </c>
      <c r="AR53">
        <f ca="1" t="shared" si="84"/>
        <v>2059677.03090922</v>
      </c>
      <c r="AS53">
        <f ca="1" t="shared" si="25"/>
        <v>0.7843</v>
      </c>
      <c r="AT53">
        <f ca="1">($AC$25+$AC$29+$AC$33+$AC$38+$AC$42+$AC$46+$AC$78+$AC$92+$AC$95+$AC$98+$AC$99+$AC$107)*MIN(1,0.3+AS$9)</f>
        <v>76</v>
      </c>
      <c r="AU53">
        <f ca="1" t="shared" si="26"/>
        <v>2.3238578771</v>
      </c>
      <c r="AV53">
        <f ca="1" t="shared" si="85"/>
        <v>1.7995442148</v>
      </c>
      <c r="AW53">
        <f ca="1" t="shared" si="58"/>
        <v>2094929.71833585</v>
      </c>
      <c r="AX53">
        <f ca="1" t="shared" si="28"/>
        <v>0.7743</v>
      </c>
      <c r="AY53">
        <f ca="1">($AC$25+$AC$29+$AC$33+$AC$38+$AC$42+$AC$46+$AC$78+$AC$92+$AC$95+$AC$98+$AC$99+$AC$107)*MIN(1,0.3+AX$9)</f>
        <v>76</v>
      </c>
      <c r="AZ53" s="170">
        <f ca="1" t="shared" si="59"/>
        <v>2081323.34610608</v>
      </c>
      <c r="BA53">
        <f ca="1" t="shared" si="29"/>
        <v>0.7643</v>
      </c>
      <c r="BB53">
        <f ca="1">($AC$25+$AC$29+$AC$33+$AC$38+$AC$42+$AC$46+$AC$78+$AC$92+$AC$95+$AC$98+$AC$99+$AC$107)*MIN(1,0.3+BA$9)</f>
        <v>76</v>
      </c>
      <c r="BC53" s="170">
        <f ca="1" t="shared" si="60"/>
        <v>2067716.97387632</v>
      </c>
      <c r="BE53">
        <f ca="1" t="shared" si="30"/>
        <v>105849</v>
      </c>
      <c r="BF53">
        <f ca="1" t="shared" si="31"/>
        <v>307134.28125</v>
      </c>
      <c r="BI53">
        <f ca="1" t="shared" si="32"/>
        <v>0.7543</v>
      </c>
      <c r="BJ53">
        <f ca="1">($AC$25+$AC$29+$AC$33+$AC$38+$AC$42+$AC$46+$AC$78+$AC$92+$AC$95+$AC$98+$AC$99+$AC$107)*MIN(1,0.3+BI$9)</f>
        <v>76</v>
      </c>
      <c r="BK53">
        <f ca="1" t="shared" si="33"/>
        <v>2056723.60938238</v>
      </c>
      <c r="BM53">
        <f ca="1" t="shared" si="34"/>
        <v>109230</v>
      </c>
      <c r="BN53">
        <f ca="1" t="shared" si="35"/>
        <v>315692.4375</v>
      </c>
      <c r="BO53">
        <f ca="1" t="shared" si="86"/>
        <v>2072468.65223895</v>
      </c>
      <c r="BP53">
        <f ca="1" t="shared" si="87"/>
        <v>1976393.83777068</v>
      </c>
      <c r="BR53">
        <f ca="1" t="shared" si="38"/>
        <v>0.7543</v>
      </c>
      <c r="BS53">
        <f ca="1" t="shared" si="39"/>
        <v>2054330.98317459</v>
      </c>
      <c r="BT53">
        <f ca="1" t="shared" si="40"/>
        <v>0.196995876306796</v>
      </c>
      <c r="BU53">
        <f ca="1" t="shared" si="41"/>
        <v>2.3238578771</v>
      </c>
      <c r="BV53">
        <f ca="1" t="shared" si="61"/>
        <v>2080670.4748821</v>
      </c>
      <c r="BW53">
        <f ca="1" t="shared" si="42"/>
        <v>113027</v>
      </c>
      <c r="BX53">
        <f ca="1" t="shared" si="43"/>
        <v>325303.59375</v>
      </c>
      <c r="BY53">
        <f ca="1" t="shared" si="44"/>
        <v>0.7343</v>
      </c>
      <c r="BZ53">
        <f ca="1">($AC$25+$AC$29+$AC$33+$AC$38+$AC$42+$AC$46+$AC$78+$AC$92+$AC$95+$AC$98+$AC$99+$AC$107)*MIN(1,0.3+BY$9)</f>
        <v>76</v>
      </c>
      <c r="CA53">
        <f ca="1" t="shared" si="45"/>
        <v>2.3277641271</v>
      </c>
      <c r="CB53">
        <f ca="1" t="shared" si="62"/>
        <v>2134962.67282649</v>
      </c>
      <c r="CC53">
        <f ca="1" t="shared" si="46"/>
        <v>114847</v>
      </c>
      <c r="CD53">
        <f ca="1" t="shared" si="47"/>
        <v>329910.46875</v>
      </c>
      <c r="CE53">
        <f ca="1" t="shared" si="48"/>
        <v>2105287.61284854</v>
      </c>
      <c r="CF53">
        <f ca="1" t="shared" si="49"/>
        <v>2.2750297521</v>
      </c>
      <c r="CG53">
        <f ca="1" t="shared" si="50"/>
        <v>0.7343</v>
      </c>
      <c r="CH53">
        <f ca="1" t="shared" si="63"/>
        <v>1990047.25749268</v>
      </c>
      <c r="CJ53">
        <f ca="1" t="shared" si="51"/>
        <v>315692.4375</v>
      </c>
      <c r="CK53">
        <f ca="1" t="shared" si="88"/>
        <v>2063080.48219722</v>
      </c>
      <c r="CL53">
        <f ca="1" t="shared" si="64"/>
        <v>2.2976860021</v>
      </c>
      <c r="CM53">
        <f ca="1">IF(G53="恒定伤害",0,(IF(D53="轻剑",$CM$8,$CM$9)+IFERROR(INDEX(技能数据库!$T$2:$W$27,MATCH(E53,技能数据库!$T$2:$T$27,0),4),0)+COUNTIF(G53,"*造化2*")*154+COUNTIF(G53,"*造化1*")*102+COUNTIF(G53,"*碧归*")*307)/1024)</f>
        <v>0.176868146929785</v>
      </c>
      <c r="CN53">
        <f ca="1" t="shared" si="65"/>
        <v>2116009.2326659</v>
      </c>
      <c r="CO53">
        <f ca="1" t="shared" si="66"/>
        <v>2.3262602208</v>
      </c>
      <c r="CP53">
        <f ca="1" t="shared" si="67"/>
        <v>2138743.84140609</v>
      </c>
      <c r="CQ53">
        <f ca="1" t="shared" si="89"/>
        <v>1.8815754648</v>
      </c>
      <c r="CR53">
        <f ca="1">IF(G53="恒定伤害",0,(IF(D53="轻剑",$CR$8,$CR$9)+IFERROR(INDEX(技能数据库!$T$2:$W$27,MATCH(E53,技能数据库!$T$2:$T$27,0),4),0)+COUNTIF(G53,"*造化2*")*154+COUNTIF(G53,"*造化1*")*102+COUNTIF(G53,"*碧归*")*307)/1024)</f>
        <v>0.167102521929785</v>
      </c>
      <c r="CS53">
        <f ca="1" t="shared" si="68"/>
        <v>2023160.72651577</v>
      </c>
    </row>
    <row r="54" spans="4:97">
      <c r="D54" t="s">
        <v>1825</v>
      </c>
      <c r="E54" t="s">
        <v>2723</v>
      </c>
      <c r="G54" t="s">
        <v>2948</v>
      </c>
      <c r="H54">
        <f ca="1">INDEX(技能数据库!$B$2:$I$100,MATCH(无穷阵眼收益计算!$E54,技能数据库!$B$2:$B$100,0),MATCH(H$9,技能数据库!$B$2:$I$2,0))</f>
        <v>143</v>
      </c>
      <c r="I54">
        <f ca="1">INDEX(技能数据库!$B$2:$I$100,MATCH(无穷阵眼收益计算!$E54,技能数据库!$B$2:$B$100,0),MATCH(I$9,技能数据库!$B$2:$I$2,0))</f>
        <v>2.53125</v>
      </c>
      <c r="J54">
        <f ca="1">INDEX(技能数据库!$B$2:$I$100,MATCH(无穷阵眼收益计算!$E54,技能数据库!$B$2:$B$100,0),MATCH(J$9,技能数据库!$B$2:$I$2,0))</f>
        <v>2</v>
      </c>
      <c r="K54">
        <f ca="1">INDEX(技能数据库!$B$2:$I$100,MATCH(无穷阵眼收益计算!$E54,技能数据库!$B$2:$B$100,0),MATCH(K$9,技能数据库!$B$2:$I$2,0))</f>
        <v>0</v>
      </c>
      <c r="L54">
        <f ca="1" t="shared" si="13"/>
        <v>91975</v>
      </c>
      <c r="M54">
        <f ca="1" t="shared" si="73"/>
        <v>19530.5</v>
      </c>
      <c r="N54">
        <f ca="1" t="shared" si="74"/>
        <v>92028</v>
      </c>
      <c r="O54">
        <f ca="1" t="shared" si="54"/>
        <v>272015.71875</v>
      </c>
      <c r="P54">
        <f ca="1">IF(G54="恒定伤害",0,(IF(D54="轻剑",$AZ$2,$AZ$3)+IFERROR(INDEX(技能数据库!$T$2:$W$27,MATCH(E54,技能数据库!$T$2:$T$27,0),4),0)+COUNTIF(G54,"*造化2*")*154+COUNTIF(G54,"*造化1*")*102+COUNTIF(G54,"*碧归*")*307)/1024)</f>
        <v>0.116321271929785</v>
      </c>
      <c r="Q54">
        <f ca="1" t="shared" si="82"/>
        <v>0.448284482196154</v>
      </c>
      <c r="R54">
        <f ca="1" t="shared" si="55"/>
        <v>0.32958230397716</v>
      </c>
      <c r="S54">
        <f ca="1" t="shared" si="75"/>
        <v>294837.383234453</v>
      </c>
      <c r="T54">
        <f t="shared" si="76"/>
        <v>0.8</v>
      </c>
      <c r="U54">
        <f ca="1" t="shared" si="83"/>
        <v>2.67001635480339</v>
      </c>
      <c r="V54">
        <f ca="1" t="shared" si="77"/>
        <v>865646.414782301</v>
      </c>
      <c r="W54">
        <f ca="1">IF(G54="恒定伤害",0,MIN(1,IF(COUNTIF(F54,"*内会*")&gt;0,内会2,IF(D54="轻剑",$Y$2,$Y$3)+COUNTIF(G54,"*莺鸣*")*0.2+COUNTIF(G54,"*叠1*")*0.1+COUNTIF(G54,"*叠2*")*0.2+COUNTIF(G54,"*叠3*")*0.3)+IFERROR(INDEX(技能数据库!$T$2:$W$27,MATCH(E54,技能数据库!$T$2:$T$27,0),2),0)+IF((IF(D54="轻剑",$AO$2,$AO$3)+INT(COUNTIF(G54,"*大莺鸣*")*IF(D54="轻剑",$AM$2,$AM$3)*听晓无双率)/无双系数)&gt;0.9,特效裤子会心/会心系数,0)))</f>
        <v>0.9043</v>
      </c>
      <c r="X54">
        <f ca="1">IF(G54="恒定伤害",0,IF(COUNTIF(F54,"*内会*")&gt;0,内会效2,IF(D54="轻剑",$AB$2,$AB$3))+IFERROR(INDEX(技能数据库!$T$2:$W$27,MATCH(E54,技能数据库!$T$2:$T$27,0),3)/1024,0))+COUNTIF(G54,"*叠1*")*0.25+COUNTIF(G54,"*叠2*")*0.5+COUNTIF(G54,"*叠3*")*0.75</f>
        <v>2.1773735021</v>
      </c>
      <c r="Y54">
        <f ca="1" t="shared" si="78"/>
        <v>2.06469885794903</v>
      </c>
      <c r="Z54">
        <f t="shared" si="16"/>
        <v>0.150390625</v>
      </c>
      <c r="AA54">
        <f ca="1" t="shared" si="79"/>
        <v>0.0205078125</v>
      </c>
      <c r="AB54">
        <f ca="1" t="shared" si="80"/>
        <v>2098258.15569088</v>
      </c>
      <c r="AC54">
        <f ca="1">($AC$26+$AC$30+$AC$103+$AC$108+$AC$112)*MIN(1,0.3+$Y$3+0.2)</f>
        <v>0</v>
      </c>
      <c r="AD54" s="164">
        <f ca="1" t="shared" si="81"/>
        <v>0</v>
      </c>
      <c r="AE54" s="168"/>
      <c r="AF54" s="168">
        <f ca="1" t="shared" si="17"/>
        <v>0.9057</v>
      </c>
      <c r="AG54">
        <f ca="1">($AC$26+$AC$30+$AC$103+$AC$108+$AC$112)*MIN(1,0.3+$AF$9+0.2)</f>
        <v>0</v>
      </c>
      <c r="AH54">
        <f ca="1" t="shared" si="18"/>
        <v>96007</v>
      </c>
      <c r="AJ54">
        <f ca="1" t="shared" si="19"/>
        <v>2.3765922521</v>
      </c>
      <c r="AK54">
        <f ca="1" t="shared" si="56"/>
        <v>282698.71875</v>
      </c>
      <c r="AL54">
        <f ca="1" t="shared" si="20"/>
        <v>2373624.06549949</v>
      </c>
      <c r="AM54" s="169">
        <f ca="1" t="shared" si="21"/>
        <v>0.9272</v>
      </c>
      <c r="AN54">
        <f ca="1">($AC$26+$AC$30+$AC$103+$AC$108+$AC$112)*MIN(1,0.3+$AN$9+0.2)</f>
        <v>0</v>
      </c>
      <c r="AO54" s="170">
        <f ca="1" t="shared" si="22"/>
        <v>2404891.71570469</v>
      </c>
      <c r="AP54">
        <f ca="1" t="shared" si="23"/>
        <v>97084</v>
      </c>
      <c r="AQ54" s="170">
        <f ca="1" t="shared" si="57"/>
        <v>284947.875</v>
      </c>
      <c r="AR54">
        <f ca="1" t="shared" si="84"/>
        <v>2326965.43984822</v>
      </c>
      <c r="AS54">
        <f ca="1" t="shared" si="25"/>
        <v>0.9843</v>
      </c>
      <c r="AT54">
        <f ca="1">($AC$26+$AC$30+$AC$103+$AC$108+$AC$112)*MIN(1,0.3+AS$9+0.2)</f>
        <v>0</v>
      </c>
      <c r="AU54">
        <f ca="1" t="shared" si="26"/>
        <v>2.3238578771</v>
      </c>
      <c r="AV54">
        <f ca="1" t="shared" si="85"/>
        <v>2.68954760480339</v>
      </c>
      <c r="AW54">
        <f ca="1" t="shared" si="58"/>
        <v>2352962.91866157</v>
      </c>
      <c r="AX54">
        <f ca="1" t="shared" si="28"/>
        <v>0.9743</v>
      </c>
      <c r="AY54">
        <f ca="1">($AC$26+$AC$30+$AC$103+$AC$108+$AC$112)*MIN(1,0.3+AX$9+0.2)</f>
        <v>0</v>
      </c>
      <c r="AZ54" s="170">
        <f ca="1" t="shared" si="59"/>
        <v>2339437.56328971</v>
      </c>
      <c r="BA54">
        <f ca="1" t="shared" si="29"/>
        <v>0.9643</v>
      </c>
      <c r="BB54">
        <f ca="1">($AC$26+$AC$30+$AC$103+$AC$108+$AC$112)*MIN(1,0.3+BA$9+0.2)</f>
        <v>0</v>
      </c>
      <c r="BC54" s="170">
        <f ca="1" t="shared" si="60"/>
        <v>2325912.20791785</v>
      </c>
      <c r="BE54">
        <f ca="1" t="shared" si="30"/>
        <v>91977</v>
      </c>
      <c r="BF54">
        <f ca="1" t="shared" si="31"/>
        <v>272020.78125</v>
      </c>
      <c r="BI54">
        <f ca="1" t="shared" si="32"/>
        <v>0.9543</v>
      </c>
      <c r="BJ54">
        <f ca="1">($AC$26+$AC$30+$AC$103+$AC$108+$AC$112)*MIN(1,0.3+BI$9+0.2)</f>
        <v>0</v>
      </c>
      <c r="BK54">
        <f ca="1" t="shared" si="33"/>
        <v>2299460.36244091</v>
      </c>
      <c r="BM54">
        <f ca="1" t="shared" si="34"/>
        <v>95358</v>
      </c>
      <c r="BN54">
        <f ca="1" t="shared" si="35"/>
        <v>280578.9375</v>
      </c>
      <c r="BO54">
        <f ca="1" t="shared" si="86"/>
        <v>2337424.05713297</v>
      </c>
      <c r="BP54">
        <f ca="1" t="shared" si="87"/>
        <v>2229066.52787428</v>
      </c>
      <c r="BR54">
        <f ca="1" t="shared" si="38"/>
        <v>0.9543</v>
      </c>
      <c r="BS54">
        <f ca="1" t="shared" si="39"/>
        <v>2304822.62445631</v>
      </c>
      <c r="BT54">
        <f ca="1" t="shared" si="40"/>
        <v>0.318170800459405</v>
      </c>
      <c r="BU54">
        <f ca="1" t="shared" si="41"/>
        <v>2.3238578771</v>
      </c>
      <c r="BV54">
        <f ca="1" t="shared" si="61"/>
        <v>2339297.73167993</v>
      </c>
      <c r="BW54">
        <f ca="1" t="shared" si="42"/>
        <v>99155</v>
      </c>
      <c r="BX54">
        <f ca="1" t="shared" si="43"/>
        <v>290190.09375</v>
      </c>
      <c r="BY54">
        <f ca="1" t="shared" si="44"/>
        <v>0.9343</v>
      </c>
      <c r="BZ54">
        <f ca="1">($AC$26+$AC$30+$AC$103+$AC$108+$AC$112)*MIN(1,0.3+BY$9+0.2)</f>
        <v>0</v>
      </c>
      <c r="CA54">
        <f ca="1" t="shared" si="45"/>
        <v>2.3277641271</v>
      </c>
      <c r="CB54">
        <f ca="1" t="shared" si="62"/>
        <v>2429078.51157231</v>
      </c>
      <c r="CC54">
        <f ca="1" t="shared" si="46"/>
        <v>100975</v>
      </c>
      <c r="CD54">
        <f ca="1" t="shared" si="47"/>
        <v>294796.96875</v>
      </c>
      <c r="CE54">
        <f ca="1" t="shared" si="48"/>
        <v>2382087.46660138</v>
      </c>
      <c r="CF54">
        <f ca="1" t="shared" si="49"/>
        <v>2.2750297521</v>
      </c>
      <c r="CG54">
        <f ca="1" t="shared" si="50"/>
        <v>0.9343</v>
      </c>
      <c r="CH54">
        <f ca="1" t="shared" si="63"/>
        <v>2238727.79299537</v>
      </c>
      <c r="CJ54">
        <f ca="1" t="shared" si="51"/>
        <v>280578.9375</v>
      </c>
      <c r="CK54">
        <f ca="1" t="shared" si="88"/>
        <v>2326835.65354758</v>
      </c>
      <c r="CL54">
        <f ca="1" t="shared" si="64"/>
        <v>2.2976860021</v>
      </c>
      <c r="CM54">
        <f ca="1">IF(G54="恒定伤害",0,(IF(D54="轻剑",$CM$8,$CM$9)+IFERROR(INDEX(技能数据库!$T$2:$W$27,MATCH(E54,技能数据库!$T$2:$T$27,0),4),0)+COUNTIF(G54,"*造化2*")*154+COUNTIF(G54,"*造化1*")*102+COUNTIF(G54,"*碧归*")*307)/1024)</f>
        <v>0.176868146929785</v>
      </c>
      <c r="CN54">
        <f ca="1" t="shared" si="65"/>
        <v>2382950.83049946</v>
      </c>
      <c r="CO54">
        <f ca="1" t="shared" si="66"/>
        <v>2.3262602208</v>
      </c>
      <c r="CP54">
        <f ca="1" t="shared" si="67"/>
        <v>2411705.38491487</v>
      </c>
      <c r="CQ54">
        <f ca="1" t="shared" si="89"/>
        <v>2.77157885480339</v>
      </c>
      <c r="CR54">
        <f ca="1">IF(G54="恒定伤害",0,(IF(D54="轻剑",$CR$8,$CR$9)+IFERROR(INDEX(技能数据库!$T$2:$W$27,MATCH(E54,技能数据库!$T$2:$T$27,0),4),0)+COUNTIF(G54,"*造化2*")*154+COUNTIF(G54,"*造化1*")*102+COUNTIF(G54,"*碧归*")*307)/1024)</f>
        <v>0.167102521929785</v>
      </c>
      <c r="CS54">
        <f ca="1" t="shared" si="68"/>
        <v>2254415.28072575</v>
      </c>
    </row>
    <row r="55" spans="4:97">
      <c r="D55" t="s">
        <v>1825</v>
      </c>
      <c r="E55" t="s">
        <v>2723</v>
      </c>
      <c r="G55" t="s">
        <v>3044</v>
      </c>
      <c r="H55">
        <f ca="1">INDEX(技能数据库!$B$2:$I$100,MATCH(无穷阵眼收益计算!$E55,技能数据库!$B$2:$B$100,0),MATCH(H$9,技能数据库!$B$2:$I$2,0))</f>
        <v>143</v>
      </c>
      <c r="I55">
        <f ca="1">INDEX(技能数据库!$B$2:$I$100,MATCH(无穷阵眼收益计算!$E55,技能数据库!$B$2:$B$100,0),MATCH(I$9,技能数据库!$B$2:$I$2,0))</f>
        <v>2.53125</v>
      </c>
      <c r="J55">
        <f ca="1">INDEX(技能数据库!$B$2:$I$100,MATCH(无穷阵眼收益计算!$E55,技能数据库!$B$2:$B$100,0),MATCH(J$9,技能数据库!$B$2:$I$2,0))</f>
        <v>2</v>
      </c>
      <c r="K55">
        <f ca="1">INDEX(技能数据库!$B$2:$I$100,MATCH(无穷阵眼收益计算!$E55,技能数据库!$B$2:$B$100,0),MATCH(K$9,技能数据库!$B$2:$I$2,0))</f>
        <v>0</v>
      </c>
      <c r="L55">
        <f ca="1" t="shared" si="13"/>
        <v>105847</v>
      </c>
      <c r="M55">
        <f ca="1" t="shared" si="73"/>
        <v>19530.5</v>
      </c>
      <c r="N55">
        <f ca="1" t="shared" si="74"/>
        <v>92028</v>
      </c>
      <c r="O55">
        <f ca="1" t="shared" si="54"/>
        <v>307129.21875</v>
      </c>
      <c r="P55">
        <f ca="1">IF(G55="恒定伤害",0,(IF(D55="轻剑",$AZ$2,$AZ$3)+IFERROR(INDEX(技能数据库!$T$2:$W$27,MATCH(E55,技能数据库!$T$2:$T$27,0),4),0)+COUNTIF(G55,"*造化2*")*154+COUNTIF(G55,"*造化1*")*102+COUNTIF(G55,"*碧归*")*307)/1024)</f>
        <v>0.116321271929785</v>
      </c>
      <c r="Q55">
        <f ca="1" t="shared" si="82"/>
        <v>0.448284482196154</v>
      </c>
      <c r="R55">
        <f ca="1" t="shared" si="55"/>
        <v>0.21277697966198</v>
      </c>
      <c r="S55">
        <f ca="1" t="shared" si="75"/>
        <v>390896.694849304</v>
      </c>
      <c r="T55">
        <f t="shared" si="76"/>
        <v>0.8</v>
      </c>
      <c r="U55">
        <f ca="1" t="shared" si="83"/>
        <v>2.67001635480339</v>
      </c>
      <c r="V55">
        <f ca="1" t="shared" si="77"/>
        <v>1147677.81050843</v>
      </c>
      <c r="W55">
        <f ca="1">IF(G55="恒定伤害",0,MIN(1,IF(COUNTIF(F55,"*内会*")&gt;0,内会2,IF(D55="轻剑",$Y$2,$Y$3)+COUNTIF(G55,"*莺鸣*")*0.2+COUNTIF(G55,"*叠1*")*0.1+COUNTIF(G55,"*叠2*")*0.2+COUNTIF(G55,"*叠3*")*0.3)+IFERROR(INDEX(技能数据库!$T$2:$W$27,MATCH(E55,技能数据库!$T$2:$T$27,0),2),0)+IF((IF(D55="轻剑",$AO$2,$AO$3)+INT(COUNTIF(G55,"*大莺鸣*")*IF(D55="轻剑",$AM$2,$AM$3)*听晓无双率)/无双系数)&gt;0.9,特效裤子会心/会心系数,0)))</f>
        <v>0.9043</v>
      </c>
      <c r="X55">
        <f ca="1">IF(G55="恒定伤害",0,IF(COUNTIF(F55,"*内会*")&gt;0,内会效2,IF(D55="轻剑",$AB$2,$AB$3))+IFERROR(INDEX(技能数据库!$T$2:$W$27,MATCH(E55,技能数据库!$T$2:$T$27,0),3)/1024,0))+COUNTIF(G55,"*叠1*")*0.25+COUNTIF(G55,"*叠2*")*0.5+COUNTIF(G55,"*叠3*")*0.75</f>
        <v>2.1773735021</v>
      </c>
      <c r="Y55">
        <f ca="1" t="shared" si="78"/>
        <v>2.06469885794903</v>
      </c>
      <c r="Z55">
        <f t="shared" si="16"/>
        <v>0.150390625</v>
      </c>
      <c r="AA55">
        <f ca="1" t="shared" si="79"/>
        <v>0.0205078125</v>
      </c>
      <c r="AB55">
        <f ca="1" t="shared" si="80"/>
        <v>2781879.85866073</v>
      </c>
      <c r="AC55">
        <f ca="1">($AC$27+$AC$31+$AC$72+AC74+$AC$77+$AC$79+$AC$39+$AC$43)*MIN(1,0.3+$Y$3+0.2)</f>
        <v>0</v>
      </c>
      <c r="AD55" s="164">
        <f ca="1" t="shared" si="81"/>
        <v>0</v>
      </c>
      <c r="AE55" s="168"/>
      <c r="AF55" s="168">
        <f ca="1" t="shared" si="17"/>
        <v>0.9057</v>
      </c>
      <c r="AG55">
        <f ca="1">($AC$27+$AC$31+$AC$72+AG74+$AC$77+$AC$79+$AC$39+$AC$43)*MIN(1,0.3+$AF$9+0.2)</f>
        <v>0</v>
      </c>
      <c r="AH55">
        <f ca="1" t="shared" si="18"/>
        <v>109879</v>
      </c>
      <c r="AJ55">
        <f ca="1" t="shared" si="19"/>
        <v>2.3765922521</v>
      </c>
      <c r="AK55">
        <f ca="1" t="shared" si="56"/>
        <v>317812.21875</v>
      </c>
      <c r="AL55">
        <f ca="1" t="shared" si="20"/>
        <v>3133365.10716086</v>
      </c>
      <c r="AM55" s="169">
        <f ca="1" t="shared" si="21"/>
        <v>0.9272</v>
      </c>
      <c r="AN55">
        <f ca="1">($AC$27+$AC$31+$AC$72+AN74+$AC$77+$AC$79+$AC$39+$AC$43)*MIN(1,0.3+$AN$9+0.2)</f>
        <v>0</v>
      </c>
      <c r="AO55" s="170">
        <f ca="1" t="shared" si="22"/>
        <v>3174640.79422517</v>
      </c>
      <c r="AP55">
        <f ca="1" t="shared" si="23"/>
        <v>110956</v>
      </c>
      <c r="AQ55" s="170">
        <f ca="1" t="shared" si="57"/>
        <v>320061.375</v>
      </c>
      <c r="AR55">
        <f ca="1" t="shared" si="84"/>
        <v>3069093.31691483</v>
      </c>
      <c r="AS55">
        <f ca="1" t="shared" si="25"/>
        <v>0.9843</v>
      </c>
      <c r="AT55">
        <f ca="1">($AC$27+$AC$31+$AC$72+AT74+$AC$77+$AC$79+$AC$39+$AC$43)*MIN(1,0.3+AS$9+0.2)</f>
        <v>0</v>
      </c>
      <c r="AU55">
        <f ca="1" t="shared" si="26"/>
        <v>2.3238578771</v>
      </c>
      <c r="AV55">
        <f ca="1" t="shared" si="85"/>
        <v>2.68954760480339</v>
      </c>
      <c r="AW55">
        <f ca="1" t="shared" si="58"/>
        <v>3119568.54967874</v>
      </c>
      <c r="AX55">
        <f ca="1" t="shared" si="28"/>
        <v>0.9743</v>
      </c>
      <c r="AY55">
        <f ca="1">($AC$27+$AC$31+$AC$72+AY74+$AC$77+$AC$79+$AC$39+$AC$43)*MIN(1,0.3+AX$9+0.2)</f>
        <v>0</v>
      </c>
      <c r="AZ55" s="170">
        <f ca="1" t="shared" si="59"/>
        <v>3101636.57425039</v>
      </c>
      <c r="BA55">
        <f ca="1" t="shared" si="29"/>
        <v>0.9643</v>
      </c>
      <c r="BB55">
        <f ca="1">($AC$27+$AC$31+$AC$72+BB74+$AC$77+$AC$79+$AC$39+$AC$43)*MIN(1,0.3+BA$9+0.2)</f>
        <v>0</v>
      </c>
      <c r="BC55" s="170">
        <f ca="1" t="shared" si="60"/>
        <v>3083704.59882203</v>
      </c>
      <c r="BE55">
        <f ca="1" t="shared" si="30"/>
        <v>105849</v>
      </c>
      <c r="BF55">
        <f ca="1" t="shared" si="31"/>
        <v>307134.28125</v>
      </c>
      <c r="BI55">
        <f ca="1" t="shared" si="32"/>
        <v>0.9543</v>
      </c>
      <c r="BJ55">
        <f ca="1">($AC$27+$AC$31+$AC$72+BJ74+$AC$77+$AC$79+$AC$39+$AC$43)*MIN(1,0.3+BI$9+0.2)</f>
        <v>0</v>
      </c>
      <c r="BK55">
        <f ca="1" t="shared" si="33"/>
        <v>3048628.13949789</v>
      </c>
      <c r="BM55">
        <f ca="1" t="shared" si="34"/>
        <v>109230</v>
      </c>
      <c r="BN55">
        <f ca="1" t="shared" si="35"/>
        <v>315692.4375</v>
      </c>
      <c r="BO55">
        <f ca="1" t="shared" si="86"/>
        <v>3088153.91668191</v>
      </c>
      <c r="BP55">
        <f ca="1" t="shared" si="87"/>
        <v>2944994.30156583</v>
      </c>
      <c r="BR55">
        <f ca="1" t="shared" si="38"/>
        <v>0.9543</v>
      </c>
      <c r="BS55">
        <f ca="1" t="shared" si="39"/>
        <v>3045081.61163625</v>
      </c>
      <c r="BT55">
        <f ca="1" t="shared" si="40"/>
        <v>0.196995876306796</v>
      </c>
      <c r="BU55">
        <f ca="1" t="shared" si="41"/>
        <v>2.3238578771</v>
      </c>
      <c r="BV55">
        <f ca="1" t="shared" si="61"/>
        <v>3110676.2487842</v>
      </c>
      <c r="BW55">
        <f ca="1" t="shared" si="42"/>
        <v>113027</v>
      </c>
      <c r="BX55">
        <f ca="1" t="shared" si="43"/>
        <v>325303.59375</v>
      </c>
      <c r="BY55">
        <f ca="1" t="shared" si="44"/>
        <v>0.9343</v>
      </c>
      <c r="BZ55">
        <f ca="1">($AC$27+$AC$31+$AC$72+BZ74+$AC$77+$AC$79+$AC$39+$AC$43)*MIN(1,0.3+BY$9+0.2)</f>
        <v>0</v>
      </c>
      <c r="CA55">
        <f ca="1" t="shared" si="45"/>
        <v>2.3277641271</v>
      </c>
      <c r="CB55">
        <f ca="1" t="shared" si="62"/>
        <v>3197423.38304512</v>
      </c>
      <c r="CC55">
        <f ca="1" t="shared" si="46"/>
        <v>114847</v>
      </c>
      <c r="CD55">
        <f ca="1" t="shared" si="47"/>
        <v>329910.46875</v>
      </c>
      <c r="CE55">
        <f ca="1" t="shared" si="48"/>
        <v>3130279.40277511</v>
      </c>
      <c r="CF55">
        <f ca="1" t="shared" si="49"/>
        <v>2.2750297521</v>
      </c>
      <c r="CG55">
        <f ca="1" t="shared" si="50"/>
        <v>0.9343</v>
      </c>
      <c r="CH55">
        <f ca="1" t="shared" si="63"/>
        <v>2968115.11942258</v>
      </c>
      <c r="CJ55">
        <f ca="1" t="shared" si="51"/>
        <v>315692.4375</v>
      </c>
      <c r="CK55">
        <f ca="1" t="shared" si="88"/>
        <v>3074164.74774875</v>
      </c>
      <c r="CL55">
        <f ca="1" t="shared" si="64"/>
        <v>2.2976860021</v>
      </c>
      <c r="CM55">
        <f ca="1">IF(G55="恒定伤害",0,(IF(D55="轻剑",$CM$8,$CM$9)+IFERROR(INDEX(技能数据库!$T$2:$W$27,MATCH(E55,技能数据库!$T$2:$T$27,0),4),0)+COUNTIF(G55,"*造化2*")*154+COUNTIF(G55,"*造化1*")*102+COUNTIF(G55,"*碧归*")*307)/1024)</f>
        <v>0.176868146929785</v>
      </c>
      <c r="CN55">
        <f ca="1" t="shared" si="65"/>
        <v>3159326.65461872</v>
      </c>
      <c r="CO55">
        <f ca="1" t="shared" si="66"/>
        <v>2.3262602208</v>
      </c>
      <c r="CP55">
        <f ca="1" t="shared" si="67"/>
        <v>3197449.56888265</v>
      </c>
      <c r="CQ55">
        <f ca="1" t="shared" si="89"/>
        <v>2.77157885480339</v>
      </c>
      <c r="CR55">
        <f ca="1">IF(G55="恒定伤害",0,(IF(D55="轻剑",$CR$8,$CR$9)+IFERROR(INDEX(技能数据库!$T$2:$W$27,MATCH(E55,技能数据库!$T$2:$T$27,0),4),0)+COUNTIF(G55,"*造化2*")*154+COUNTIF(G55,"*造化1*")*102+COUNTIF(G55,"*碧归*")*307)/1024)</f>
        <v>0.167102521929785</v>
      </c>
      <c r="CS55">
        <f ca="1" t="shared" si="68"/>
        <v>2988913.65940764</v>
      </c>
    </row>
    <row r="56" spans="4:97">
      <c r="D56" t="s">
        <v>1825</v>
      </c>
      <c r="E56" t="s">
        <v>2789</v>
      </c>
      <c r="G56" t="s">
        <v>3044</v>
      </c>
      <c r="H56">
        <f ca="1">INDEX(技能数据库!$B$2:$I$100,MATCH(无穷阵眼收益计算!$E56,技能数据库!$B$2:$B$100,0),MATCH(H$9,技能数据库!$B$2:$I$2,0))</f>
        <v>131</v>
      </c>
      <c r="I56">
        <f ca="1">INDEX(技能数据库!$B$2:$I$100,MATCH(无穷阵眼收益计算!$E56,技能数据库!$B$2:$B$100,0),MATCH(I$9,技能数据库!$B$2:$I$2,0))</f>
        <v>3.425</v>
      </c>
      <c r="J56">
        <f ca="1">INDEX(技能数据库!$B$2:$I$100,MATCH(无穷阵眼收益计算!$E56,技能数据库!$B$2:$B$100,0),MATCH(J$9,技能数据库!$B$2:$I$2,0))</f>
        <v>0</v>
      </c>
      <c r="K56">
        <f ca="1">INDEX(技能数据库!$B$2:$I$100,MATCH(无穷阵眼收益计算!$E56,技能数据库!$B$2:$B$100,0),MATCH(K$9,技能数据库!$B$2:$I$2,0))</f>
        <v>0</v>
      </c>
      <c r="L56">
        <f ca="1" t="shared" si="13"/>
        <v>105847</v>
      </c>
      <c r="M56">
        <f ca="1" t="shared" si="73"/>
        <v>19530.5</v>
      </c>
      <c r="N56">
        <f ca="1" t="shared" si="74"/>
        <v>92028</v>
      </c>
      <c r="O56">
        <f ca="1" t="shared" si="54"/>
        <v>362656.975</v>
      </c>
      <c r="P56">
        <f ca="1">IF(G56="恒定伤害",0,(IF(D56="轻剑",$AZ$2,$AZ$3)+IFERROR(INDEX(技能数据库!$T$2:$W$27,MATCH(E56,技能数据库!$T$2:$T$27,0),4),0)+COUNTIF(G56,"*造化2*")*154+COUNTIF(G56,"*造化1*")*102+COUNTIF(G56,"*碧归*")*307)/1024)</f>
        <v>0.612353986773535</v>
      </c>
      <c r="Q56">
        <f ca="1" t="shared" si="82"/>
        <v>0.448284482196154</v>
      </c>
      <c r="R56">
        <f ca="1" t="shared" si="55"/>
        <v>0.21277697966198</v>
      </c>
      <c r="S56">
        <f ca="1" t="shared" si="75"/>
        <v>666665.672558413</v>
      </c>
      <c r="T56">
        <f t="shared" si="76"/>
        <v>0.8</v>
      </c>
      <c r="U56">
        <f ca="1" t="shared" si="83"/>
        <v>2.67001635480339</v>
      </c>
      <c r="V56">
        <f ca="1" t="shared" si="77"/>
        <v>1957339.1371803</v>
      </c>
      <c r="W56">
        <f ca="1">IF(G56="恒定伤害",0,MIN(1,IF(COUNTIF(F56,"*内会*")&gt;0,内会2,IF(D56="轻剑",$Y$2,$Y$3)+COUNTIF(G56,"*莺鸣*")*0.2+COUNTIF(G56,"*叠1*")*0.1+COUNTIF(G56,"*叠2*")*0.2+COUNTIF(G56,"*叠3*")*0.3)+IFERROR(INDEX(技能数据库!$T$2:$W$27,MATCH(E56,技能数据库!$T$2:$T$27,0),2),0)+IF((IF(D56="轻剑",$AO$2,$AO$3)+INT(COUNTIF(G56,"*大莺鸣*")*IF(D56="轻剑",$AM$2,$AM$3)*听晓无双率)/无双系数)&gt;0.9,特效裤子会心/会心系数,0)))</f>
        <v>0.9343</v>
      </c>
      <c r="X56">
        <f ca="1">IF(G56="恒定伤害",0,IF(COUNTIF(F56,"*内会*")&gt;0,内会效2,IF(D56="轻剑",$AB$2,$AB$3))+IFERROR(INDEX(技能数据库!$T$2:$W$27,MATCH(E56,技能数据库!$T$2:$T$27,0),3)/1024,0))+COUNTIF(G56,"*叠1*")*0.25+COUNTIF(G56,"*叠2*")*0.5+COUNTIF(G56,"*叠3*")*0.75</f>
        <v>2.1773735021</v>
      </c>
      <c r="Y56">
        <f ca="1" t="shared" si="78"/>
        <v>2.10002006301203</v>
      </c>
      <c r="Z56">
        <f t="shared" si="16"/>
        <v>0.150390625</v>
      </c>
      <c r="AA56">
        <f ca="1" t="shared" si="79"/>
        <v>0.0205078125</v>
      </c>
      <c r="AB56">
        <f ca="1" t="shared" si="80"/>
        <v>4825598.57326073</v>
      </c>
      <c r="AC56">
        <f ca="1">无穷技能数计算!$AJ48</f>
        <v>0</v>
      </c>
      <c r="AD56" s="164">
        <f ca="1" t="shared" si="81"/>
        <v>0</v>
      </c>
      <c r="AE56" s="168"/>
      <c r="AF56" s="168">
        <f ca="1" t="shared" si="17"/>
        <v>0.9357</v>
      </c>
      <c r="AG56">
        <f ca="1">无穷技能数计算!$AJ48</f>
        <v>0</v>
      </c>
      <c r="AH56">
        <f ca="1" t="shared" si="18"/>
        <v>109879</v>
      </c>
      <c r="AJ56">
        <f ca="1" t="shared" si="19"/>
        <v>2.3765922521</v>
      </c>
      <c r="AK56">
        <f ca="1" t="shared" si="56"/>
        <v>376466.575</v>
      </c>
      <c r="AL56">
        <f ca="1" t="shared" si="20"/>
        <v>5459442.09668011</v>
      </c>
      <c r="AM56" s="169">
        <f ca="1" t="shared" si="21"/>
        <v>0.9572</v>
      </c>
      <c r="AN56">
        <f ca="1">无穷技能数计算!$AJ48</f>
        <v>0</v>
      </c>
      <c r="AO56" s="170">
        <f ca="1" t="shared" si="22"/>
        <v>5530061.06020656</v>
      </c>
      <c r="AP56">
        <f ca="1" t="shared" si="23"/>
        <v>110956</v>
      </c>
      <c r="AQ56" s="170">
        <f ca="1" t="shared" si="57"/>
        <v>380155.3</v>
      </c>
      <c r="AR56">
        <f ca="1" t="shared" si="84"/>
        <v>5355201.2720021</v>
      </c>
      <c r="AS56">
        <f ca="1" t="shared" si="25"/>
        <v>1.0143</v>
      </c>
      <c r="AT56">
        <f ca="1">无穷技能数计算!$AJ48</f>
        <v>0</v>
      </c>
      <c r="AU56">
        <f ca="1" t="shared" si="26"/>
        <v>2.3238578771</v>
      </c>
      <c r="AV56">
        <f ca="1" t="shared" si="85"/>
        <v>2.68954760480339</v>
      </c>
      <c r="AW56">
        <f ca="1" t="shared" si="58"/>
        <v>5368369.8682427</v>
      </c>
      <c r="AX56">
        <f ca="1" t="shared" si="28"/>
        <v>1.0043</v>
      </c>
      <c r="AY56">
        <f ca="1">无穷技能数计算!$AJ48</f>
        <v>0</v>
      </c>
      <c r="AZ56" s="170">
        <f ca="1" t="shared" si="59"/>
        <v>5368369.8682427</v>
      </c>
      <c r="BA56">
        <f ca="1" t="shared" si="29"/>
        <v>0.9943</v>
      </c>
      <c r="BB56">
        <f ca="1">无穷技能数计算!$AJ48</f>
        <v>0</v>
      </c>
      <c r="BC56" s="170">
        <f ca="1" t="shared" si="60"/>
        <v>5350937.79324294</v>
      </c>
      <c r="BE56">
        <f ca="1" t="shared" si="30"/>
        <v>105849</v>
      </c>
      <c r="BF56">
        <f ca="1" t="shared" si="31"/>
        <v>362663.825</v>
      </c>
      <c r="BI56">
        <f ca="1" t="shared" si="32"/>
        <v>0.9843</v>
      </c>
      <c r="BJ56">
        <f ca="1">无穷技能数计算!$AJ48</f>
        <v>0</v>
      </c>
      <c r="BK56">
        <f ca="1" t="shared" si="33"/>
        <v>5285861.47363929</v>
      </c>
      <c r="BM56">
        <f ca="1" t="shared" si="34"/>
        <v>109230</v>
      </c>
      <c r="BN56">
        <f ca="1" t="shared" si="35"/>
        <v>374243.75</v>
      </c>
      <c r="BO56">
        <f ca="1" t="shared" si="86"/>
        <v>5378079.74260352</v>
      </c>
      <c r="BP56">
        <f ca="1" t="shared" si="87"/>
        <v>5128764.50547896</v>
      </c>
      <c r="BR56">
        <f ca="1" t="shared" si="38"/>
        <v>0.9843</v>
      </c>
      <c r="BS56">
        <f ca="1" t="shared" si="39"/>
        <v>5300595.87010639</v>
      </c>
      <c r="BT56">
        <f ca="1" t="shared" si="40"/>
        <v>0.196995876306796</v>
      </c>
      <c r="BU56">
        <f ca="1" t="shared" si="41"/>
        <v>2.3238578771</v>
      </c>
      <c r="BV56">
        <f ca="1" t="shared" si="61"/>
        <v>5398281.15321842</v>
      </c>
      <c r="BW56">
        <f ca="1" t="shared" si="42"/>
        <v>113027</v>
      </c>
      <c r="BX56">
        <f ca="1" t="shared" si="43"/>
        <v>387248.475</v>
      </c>
      <c r="BY56">
        <f ca="1" t="shared" si="44"/>
        <v>0.9643</v>
      </c>
      <c r="BZ56">
        <f ca="1">无穷技能数计算!$AJ48</f>
        <v>0</v>
      </c>
      <c r="CA56">
        <f ca="1" t="shared" si="45"/>
        <v>2.3277641271</v>
      </c>
      <c r="CB56">
        <f ca="1" t="shared" si="62"/>
        <v>5595326.12862707</v>
      </c>
      <c r="CC56">
        <f ca="1" t="shared" si="46"/>
        <v>114847</v>
      </c>
      <c r="CD56">
        <f ca="1" t="shared" si="47"/>
        <v>393481.975</v>
      </c>
      <c r="CE56">
        <f ca="1" t="shared" si="48"/>
        <v>5483109.18630864</v>
      </c>
      <c r="CF56">
        <f ca="1" t="shared" si="49"/>
        <v>2.2750297521</v>
      </c>
      <c r="CG56">
        <f ca="1" t="shared" si="50"/>
        <v>0.9643</v>
      </c>
      <c r="CH56">
        <f ca="1" t="shared" si="63"/>
        <v>5150418.53935314</v>
      </c>
      <c r="CJ56">
        <f ca="1" t="shared" si="51"/>
        <v>374243.75</v>
      </c>
      <c r="CK56">
        <f ca="1" t="shared" si="88"/>
        <v>5353717.33448362</v>
      </c>
      <c r="CL56">
        <f ca="1" t="shared" si="64"/>
        <v>2.2976860021</v>
      </c>
      <c r="CM56">
        <f ca="1">IF(G56="恒定伤害",0,(IF(D56="轻剑",$CM$8,$CM$9)+IFERROR(INDEX(技能数据库!$T$2:$W$27,MATCH(E56,技能数据库!$T$2:$T$27,0),4),0)+COUNTIF(G56,"*造化2*")*154+COUNTIF(G56,"*造化1*")*102+COUNTIF(G56,"*碧归*")*307)/1024)</f>
        <v>0.672900861773535</v>
      </c>
      <c r="CN56">
        <f ca="1" t="shared" si="65"/>
        <v>5396191.49609934</v>
      </c>
      <c r="CO56">
        <f ca="1" t="shared" si="66"/>
        <v>2.3262602208</v>
      </c>
      <c r="CP56">
        <f ca="1" t="shared" si="67"/>
        <v>5462234.86313469</v>
      </c>
      <c r="CQ56">
        <f ca="1" t="shared" si="89"/>
        <v>2.77157885480339</v>
      </c>
      <c r="CR56">
        <f ca="1">IF(G56="恒定伤害",0,(IF(D56="轻剑",$CR$8,$CR$9)+IFERROR(INDEX(技能数据库!$T$2:$W$27,MATCH(E56,技能数据库!$T$2:$T$27,0),4),0)+COUNTIF(G56,"*造化2*")*154+COUNTIF(G56,"*造化1*")*102+COUNTIF(G56,"*碧归*")*307)/1024)</f>
        <v>0.663135236773535</v>
      </c>
      <c r="CS56">
        <f ca="1" t="shared" si="68"/>
        <v>5115328.78851445</v>
      </c>
    </row>
    <row r="57" spans="4:97">
      <c r="D57" t="s">
        <v>1825</v>
      </c>
      <c r="E57" t="s">
        <v>2794</v>
      </c>
      <c r="G57" t="s">
        <v>2750</v>
      </c>
      <c r="H57">
        <f ca="1">INDEX(技能数据库!$B$2:$I$100,MATCH(无穷阵眼收益计算!$E57,技能数据库!$B$2:$B$100,0),MATCH(H$9,技能数据库!$B$2:$I$2,0))</f>
        <v>231.5</v>
      </c>
      <c r="I57">
        <f ca="1">INDEX(技能数据库!$B$2:$I$100,MATCH(无穷阵眼收益计算!$E57,技能数据库!$B$2:$B$100,0),MATCH(I$9,技能数据库!$B$2:$I$2,0))</f>
        <v>2.71875</v>
      </c>
      <c r="J57">
        <f ca="1">INDEX(技能数据库!$B$2:$I$100,MATCH(无穷阵眼收益计算!$E57,技能数据库!$B$2:$B$100,0),MATCH(J$9,技能数据库!$B$2:$I$2,0))</f>
        <v>2</v>
      </c>
      <c r="K57">
        <f ca="1">INDEX(技能数据库!$B$2:$I$100,MATCH(无穷阵眼收益计算!$E57,技能数据库!$B$2:$B$100,0),MATCH(K$9,技能数据库!$B$2:$I$2,0))</f>
        <v>0</v>
      </c>
      <c r="L57">
        <f ca="1" t="shared" si="13"/>
        <v>105847</v>
      </c>
      <c r="M57">
        <f ca="1" t="shared" si="73"/>
        <v>19530.5</v>
      </c>
      <c r="N57">
        <f ca="1" t="shared" si="74"/>
        <v>92028</v>
      </c>
      <c r="O57">
        <f ca="1" t="shared" si="54"/>
        <v>327064.03125</v>
      </c>
      <c r="P57">
        <f ca="1">IF(G57="恒定伤害",0,(IF(D57="轻剑",$AZ$2,$AZ$3)+IFERROR(INDEX(技能数据库!$T$2:$W$27,MATCH(E57,技能数据库!$T$2:$T$27,0),4),0)+COUNTIF(G57,"*造化2*")*154+COUNTIF(G57,"*造化1*")*102+COUNTIF(G57,"*碧归*")*307)/1024)</f>
        <v>0.236438459429785</v>
      </c>
      <c r="Q57">
        <f ca="1" t="shared" si="82"/>
        <v>0.448284482196154</v>
      </c>
      <c r="R57">
        <f ca="1" t="shared" si="55"/>
        <v>0.21277697966198</v>
      </c>
      <c r="S57">
        <f ca="1" t="shared" si="75"/>
        <v>461059.477278801</v>
      </c>
      <c r="T57">
        <f t="shared" si="76"/>
        <v>0.8</v>
      </c>
      <c r="U57">
        <f ca="1" t="shared" si="83"/>
        <v>1.7800129648</v>
      </c>
      <c r="V57">
        <f ca="1" t="shared" si="77"/>
        <v>1025401.05950318</v>
      </c>
      <c r="W57">
        <f ca="1">IF(G57="恒定伤害",0,MIN(1,IF(COUNTIF(F57,"*内会*")&gt;0,内会2,IF(D57="轻剑",$Y$2,$Y$3)+COUNTIF(G57,"*莺鸣*")*0.2+COUNTIF(G57,"*叠1*")*0.1+COUNTIF(G57,"*叠2*")*0.2+COUNTIF(G57,"*叠3*")*0.3)+IFERROR(INDEX(技能数据库!$T$2:$W$27,MATCH(E57,技能数据库!$T$2:$T$27,0),2),0)+IF((IF(D57="轻剑",$AO$2,$AO$3)+INT(COUNTIF(G57,"*大莺鸣*")*IF(D57="轻剑",$AM$2,$AM$3)*听晓无双率)/无双系数)&gt;0.9,特效裤子会心/会心系数,0)))</f>
        <v>0.7043</v>
      </c>
      <c r="X57">
        <f ca="1">IF(G57="恒定伤害",0,IF(COUNTIF(F57,"*内会*")&gt;0,内会效2,IF(D57="轻剑",$AB$2,$AB$3))+IFERROR(INDEX(技能数据库!$T$2:$W$27,MATCH(E57,技能数据库!$T$2:$T$27,0),3)/1024,0))+COUNTIF(G57,"*叠1*")*0.25+COUNTIF(G57,"*叠2*")*0.5+COUNTIF(G57,"*叠3*")*0.75</f>
        <v>2.1773735021</v>
      </c>
      <c r="Y57">
        <f ca="1" t="shared" si="78"/>
        <v>1.82922415752903</v>
      </c>
      <c r="Z57">
        <f t="shared" si="16"/>
        <v>0.150390625</v>
      </c>
      <c r="AA57">
        <f ca="1" t="shared" si="79"/>
        <v>0.0205078125</v>
      </c>
      <c r="AB57">
        <f ca="1" t="shared" si="80"/>
        <v>2202025.56990429</v>
      </c>
      <c r="AC57">
        <f ca="1">无穷技能数计算!$AJ49</f>
        <v>8</v>
      </c>
      <c r="AD57" s="164">
        <f ca="1" t="shared" si="81"/>
        <v>0.00690398051906071</v>
      </c>
      <c r="AE57" s="168"/>
      <c r="AF57" s="168">
        <f ca="1" t="shared" si="17"/>
        <v>0.7057</v>
      </c>
      <c r="AG57">
        <f ca="1">无穷技能数计算!$AJ49</f>
        <v>8</v>
      </c>
      <c r="AH57">
        <f ca="1" t="shared" si="18"/>
        <v>109879</v>
      </c>
      <c r="AJ57">
        <f ca="1" t="shared" si="19"/>
        <v>2.3765922521</v>
      </c>
      <c r="AK57">
        <f ca="1" t="shared" si="56"/>
        <v>338503.03125</v>
      </c>
      <c r="AL57">
        <f ca="1" t="shared" si="20"/>
        <v>2456930.39136877</v>
      </c>
      <c r="AM57" s="169">
        <f ca="1" t="shared" si="21"/>
        <v>0.7272</v>
      </c>
      <c r="AN57">
        <f ca="1">无穷技能数计算!$AJ49</f>
        <v>8</v>
      </c>
      <c r="AO57" s="170">
        <f ca="1" t="shared" si="22"/>
        <v>2493815.27430958</v>
      </c>
      <c r="AP57">
        <f ca="1" t="shared" si="23"/>
        <v>110956</v>
      </c>
      <c r="AQ57" s="170">
        <f ca="1" t="shared" si="57"/>
        <v>340954.125</v>
      </c>
      <c r="AR57">
        <f ca="1" t="shared" si="84"/>
        <v>2430217.32795796</v>
      </c>
      <c r="AS57">
        <f ca="1" t="shared" si="25"/>
        <v>0.7843</v>
      </c>
      <c r="AT57">
        <f ca="1">无穷技能数计算!$AJ49</f>
        <v>8</v>
      </c>
      <c r="AU57">
        <f ca="1" t="shared" si="26"/>
        <v>2.3238578771</v>
      </c>
      <c r="AV57">
        <f ca="1" t="shared" si="85"/>
        <v>1.7995442148</v>
      </c>
      <c r="AW57">
        <f ca="1" t="shared" si="58"/>
        <v>2470952.59079669</v>
      </c>
      <c r="AX57">
        <f ca="1" t="shared" si="28"/>
        <v>0.7743</v>
      </c>
      <c r="AY57">
        <f ca="1">无穷技能数计算!$AJ49</f>
        <v>8</v>
      </c>
      <c r="AZ57" s="170">
        <f ca="1" t="shared" si="59"/>
        <v>2454903.98524291</v>
      </c>
      <c r="BA57">
        <f ca="1" t="shared" si="29"/>
        <v>0.7643</v>
      </c>
      <c r="BB57">
        <f ca="1">无穷技能数计算!$AJ49</f>
        <v>8</v>
      </c>
      <c r="BC57" s="170">
        <f ca="1" t="shared" si="60"/>
        <v>2438855.37968912</v>
      </c>
      <c r="BE57">
        <f ca="1" t="shared" si="30"/>
        <v>105849</v>
      </c>
      <c r="BF57">
        <f ca="1" t="shared" si="31"/>
        <v>327069.46875</v>
      </c>
      <c r="BI57">
        <f ca="1" t="shared" si="32"/>
        <v>0.7543</v>
      </c>
      <c r="BJ57">
        <f ca="1">无穷技能数计算!$AJ49</f>
        <v>8</v>
      </c>
      <c r="BK57">
        <f ca="1" t="shared" si="33"/>
        <v>2425889.13975613</v>
      </c>
      <c r="BM57">
        <f ca="1" t="shared" si="34"/>
        <v>109230</v>
      </c>
      <c r="BN57">
        <f ca="1" t="shared" si="35"/>
        <v>336261.5625</v>
      </c>
      <c r="BO57">
        <f ca="1" t="shared" si="86"/>
        <v>2445030.73859131</v>
      </c>
      <c r="BP57">
        <f ca="1" t="shared" si="87"/>
        <v>2331684.81448019</v>
      </c>
      <c r="BR57">
        <f ca="1" t="shared" si="38"/>
        <v>0.7543</v>
      </c>
      <c r="BS57">
        <f ca="1" t="shared" si="39"/>
        <v>2423632.50979743</v>
      </c>
      <c r="BT57">
        <f ca="1" t="shared" si="40"/>
        <v>0.196995876306796</v>
      </c>
      <c r="BU57">
        <f ca="1" t="shared" si="41"/>
        <v>2.3238578771</v>
      </c>
      <c r="BV57">
        <f ca="1" t="shared" si="61"/>
        <v>2454133.92893589</v>
      </c>
      <c r="BW57">
        <f ca="1" t="shared" si="42"/>
        <v>113027</v>
      </c>
      <c r="BX57">
        <f ca="1" t="shared" si="43"/>
        <v>346584.65625</v>
      </c>
      <c r="BY57">
        <f ca="1" t="shared" si="44"/>
        <v>0.7343</v>
      </c>
      <c r="BZ57">
        <f ca="1">无穷技能数计算!$AJ49</f>
        <v>8</v>
      </c>
      <c r="CA57">
        <f ca="1" t="shared" si="45"/>
        <v>2.3277641271</v>
      </c>
      <c r="CB57">
        <f ca="1" t="shared" si="62"/>
        <v>2519382.23164531</v>
      </c>
      <c r="CC57">
        <f ca="1" t="shared" si="46"/>
        <v>114847</v>
      </c>
      <c r="CD57">
        <f ca="1" t="shared" si="47"/>
        <v>351532.78125</v>
      </c>
      <c r="CE57">
        <f ca="1" t="shared" si="48"/>
        <v>2484645.72562133</v>
      </c>
      <c r="CF57">
        <f ca="1" t="shared" si="49"/>
        <v>2.2750297521</v>
      </c>
      <c r="CG57">
        <f ca="1" t="shared" si="50"/>
        <v>0.7343</v>
      </c>
      <c r="CH57">
        <f ca="1" t="shared" si="63"/>
        <v>2347244.57993539</v>
      </c>
      <c r="CJ57">
        <f ca="1" t="shared" si="51"/>
        <v>336261.5625</v>
      </c>
      <c r="CK57">
        <f ca="1" t="shared" si="88"/>
        <v>2433954.88260365</v>
      </c>
      <c r="CL57">
        <f ca="1" t="shared" si="64"/>
        <v>2.2976860021</v>
      </c>
      <c r="CM57">
        <f ca="1">IF(G57="恒定伤害",0,(IF(D57="轻剑",$CM$8,$CM$9)+IFERROR(INDEX(技能数据库!$T$2:$W$27,MATCH(E57,技能数据库!$T$2:$T$27,0),4),0)+COUNTIF(G57,"*造化2*")*154+COUNTIF(G57,"*造化1*")*102+COUNTIF(G57,"*碧归*")*307)/1024)</f>
        <v>0.296985334429785</v>
      </c>
      <c r="CN57">
        <f ca="1" t="shared" si="65"/>
        <v>2483341.61061709</v>
      </c>
      <c r="CO57">
        <f ca="1" t="shared" si="66"/>
        <v>2.3262602208</v>
      </c>
      <c r="CP57">
        <f ca="1" t="shared" si="67"/>
        <v>2510022.87410784</v>
      </c>
      <c r="CQ57">
        <f ca="1" t="shared" si="89"/>
        <v>1.8815754648</v>
      </c>
      <c r="CR57">
        <f ca="1">IF(G57="恒定伤害",0,(IF(D57="轻剑",$CR$8,$CR$9)+IFERROR(INDEX(技能数据库!$T$2:$W$27,MATCH(E57,技能数据库!$T$2:$T$27,0),4),0)+COUNTIF(G57,"*造化2*")*154+COUNTIF(G57,"*造化1*")*102+COUNTIF(G57,"*碧归*")*307)/1024)</f>
        <v>0.287219709429785</v>
      </c>
      <c r="CS57">
        <f ca="1" t="shared" si="68"/>
        <v>2376214.87189605</v>
      </c>
    </row>
    <row r="58" spans="4:97">
      <c r="D58" t="s">
        <v>1825</v>
      </c>
      <c r="E58" t="s">
        <v>2794</v>
      </c>
      <c r="G58" t="s">
        <v>3044</v>
      </c>
      <c r="H58">
        <f ca="1">INDEX(技能数据库!$B$2:$I$100,MATCH(无穷阵眼收益计算!$E58,技能数据库!$B$2:$B$100,0),MATCH(H$9,技能数据库!$B$2:$I$2,0))</f>
        <v>231.5</v>
      </c>
      <c r="I58">
        <f ca="1">INDEX(技能数据库!$B$2:$I$100,MATCH(无穷阵眼收益计算!$E58,技能数据库!$B$2:$B$100,0),MATCH(I$9,技能数据库!$B$2:$I$2,0))</f>
        <v>2.71875</v>
      </c>
      <c r="J58">
        <f ca="1">INDEX(技能数据库!$B$2:$I$100,MATCH(无穷阵眼收益计算!$E58,技能数据库!$B$2:$B$100,0),MATCH(J$9,技能数据库!$B$2:$I$2,0))</f>
        <v>2</v>
      </c>
      <c r="K58">
        <f ca="1">INDEX(技能数据库!$B$2:$I$100,MATCH(无穷阵眼收益计算!$E58,技能数据库!$B$2:$B$100,0),MATCH(K$9,技能数据库!$B$2:$I$2,0))</f>
        <v>0</v>
      </c>
      <c r="L58">
        <f ca="1" t="shared" si="13"/>
        <v>105847</v>
      </c>
      <c r="M58">
        <f ca="1" t="shared" si="73"/>
        <v>19530.5</v>
      </c>
      <c r="N58">
        <f ca="1" t="shared" si="74"/>
        <v>92028</v>
      </c>
      <c r="O58">
        <f ca="1" t="shared" si="54"/>
        <v>327064.03125</v>
      </c>
      <c r="P58">
        <f ca="1">IF(G58="恒定伤害",0,(IF(D58="轻剑",$AZ$2,$AZ$3)+IFERROR(INDEX(技能数据库!$T$2:$W$27,MATCH(E58,技能数据库!$T$2:$T$27,0),4),0)+COUNTIF(G58,"*造化2*")*154+COUNTIF(G58,"*造化1*")*102+COUNTIF(G58,"*碧归*")*307)/1024)</f>
        <v>0.236438459429785</v>
      </c>
      <c r="Q58">
        <f ca="1" t="shared" si="82"/>
        <v>0.448284482196154</v>
      </c>
      <c r="R58">
        <f ca="1" t="shared" si="55"/>
        <v>0.21277697966198</v>
      </c>
      <c r="S58">
        <f ca="1" t="shared" si="75"/>
        <v>461059.477278801</v>
      </c>
      <c r="T58">
        <f t="shared" si="76"/>
        <v>0.8</v>
      </c>
      <c r="U58">
        <f ca="1" t="shared" si="83"/>
        <v>2.67001635480339</v>
      </c>
      <c r="V58">
        <f ca="1" t="shared" si="77"/>
        <v>1353676.65772024</v>
      </c>
      <c r="W58">
        <f ca="1">IF(G58="恒定伤害",0,MIN(1,IF(COUNTIF(F58,"*内会*")&gt;0,内会2,IF(D58="轻剑",$Y$2,$Y$3)+COUNTIF(G58,"*莺鸣*")*0.2+COUNTIF(G58,"*叠1*")*0.1+COUNTIF(G58,"*叠2*")*0.2+COUNTIF(G58,"*叠3*")*0.3)+IFERROR(INDEX(技能数据库!$T$2:$W$27,MATCH(E58,技能数据库!$T$2:$T$27,0),2),0)+IF((IF(D58="轻剑",$AO$2,$AO$3)+INT(COUNTIF(G58,"*大莺鸣*")*IF(D58="轻剑",$AM$2,$AM$3)*听晓无双率)/无双系数)&gt;0.9,特效裤子会心/会心系数,0)))</f>
        <v>0.9043</v>
      </c>
      <c r="X58">
        <f ca="1">IF(G58="恒定伤害",0,IF(COUNTIF(F58,"*内会*")&gt;0,内会效2,IF(D58="轻剑",$AB$2,$AB$3))+IFERROR(INDEX(技能数据库!$T$2:$W$27,MATCH(E58,技能数据库!$T$2:$T$27,0),3)/1024,0))+COUNTIF(G58,"*叠1*")*0.25+COUNTIF(G58,"*叠2*")*0.5+COUNTIF(G58,"*叠3*")*0.75</f>
        <v>2.1773735021</v>
      </c>
      <c r="Y58">
        <f ca="1" t="shared" si="78"/>
        <v>2.06469885794903</v>
      </c>
      <c r="Z58">
        <f t="shared" si="16"/>
        <v>0.150390625</v>
      </c>
      <c r="AA58">
        <f ca="1" t="shared" si="79"/>
        <v>0.0205078125</v>
      </c>
      <c r="AB58">
        <f ca="1" t="shared" si="80"/>
        <v>3281204.70289729</v>
      </c>
      <c r="AC58">
        <f ca="1">无穷技能数计算!$AJ50</f>
        <v>0</v>
      </c>
      <c r="AD58" s="164">
        <f ca="1" t="shared" si="81"/>
        <v>0</v>
      </c>
      <c r="AE58" s="168"/>
      <c r="AF58" s="168">
        <f ca="1" t="shared" si="17"/>
        <v>0.9057</v>
      </c>
      <c r="AG58">
        <f ca="1">无穷技能数计算!$AJ50</f>
        <v>0</v>
      </c>
      <c r="AH58">
        <f ca="1" t="shared" si="18"/>
        <v>109879</v>
      </c>
      <c r="AJ58">
        <f ca="1" t="shared" si="19"/>
        <v>2.3765922521</v>
      </c>
      <c r="AK58">
        <f ca="1" t="shared" si="56"/>
        <v>338503.03125</v>
      </c>
      <c r="AL58">
        <f ca="1" t="shared" si="20"/>
        <v>3696462.28577842</v>
      </c>
      <c r="AM58" s="169">
        <f ca="1" t="shared" si="21"/>
        <v>0.9272</v>
      </c>
      <c r="AN58">
        <f ca="1">无穷技能数计算!$AJ50</f>
        <v>0</v>
      </c>
      <c r="AO58" s="170">
        <f ca="1" t="shared" si="22"/>
        <v>3745155.62834617</v>
      </c>
      <c r="AP58">
        <f ca="1" t="shared" si="23"/>
        <v>110956</v>
      </c>
      <c r="AQ58" s="170">
        <f ca="1" t="shared" si="57"/>
        <v>340954.125</v>
      </c>
      <c r="AR58">
        <f ca="1" t="shared" si="84"/>
        <v>3621229.75979099</v>
      </c>
      <c r="AS58">
        <f ca="1" t="shared" si="25"/>
        <v>0.9843</v>
      </c>
      <c r="AT58">
        <f ca="1">无穷技能数计算!$AJ50</f>
        <v>0</v>
      </c>
      <c r="AU58">
        <f ca="1" t="shared" si="26"/>
        <v>2.3238578771</v>
      </c>
      <c r="AV58">
        <f ca="1" t="shared" si="85"/>
        <v>2.68954760480339</v>
      </c>
      <c r="AW58">
        <f ca="1" t="shared" si="58"/>
        <v>3679505.7717353</v>
      </c>
      <c r="AX58">
        <f ca="1" t="shared" si="28"/>
        <v>0.9743</v>
      </c>
      <c r="AY58">
        <f ca="1">无穷技能数计算!$AJ50</f>
        <v>0</v>
      </c>
      <c r="AZ58" s="170">
        <f ca="1" t="shared" si="59"/>
        <v>3658355.15233505</v>
      </c>
      <c r="BA58">
        <f ca="1" t="shared" si="29"/>
        <v>0.9643</v>
      </c>
      <c r="BB58">
        <f ca="1">无穷技能数计算!$AJ50</f>
        <v>0</v>
      </c>
      <c r="BC58" s="170">
        <f ca="1" t="shared" si="60"/>
        <v>3637204.53293481</v>
      </c>
      <c r="BE58">
        <f ca="1" t="shared" si="30"/>
        <v>105849</v>
      </c>
      <c r="BF58">
        <f ca="1" t="shared" si="31"/>
        <v>327069.46875</v>
      </c>
      <c r="BI58">
        <f ca="1" t="shared" si="32"/>
        <v>0.9543</v>
      </c>
      <c r="BJ58">
        <f ca="1">无穷技能数计算!$AJ50</f>
        <v>0</v>
      </c>
      <c r="BK58">
        <f ca="1" t="shared" si="33"/>
        <v>3595832.64422377</v>
      </c>
      <c r="BM58">
        <f ca="1" t="shared" si="34"/>
        <v>109230</v>
      </c>
      <c r="BN58">
        <f ca="1" t="shared" si="35"/>
        <v>336261.5625</v>
      </c>
      <c r="BO58">
        <f ca="1" t="shared" si="86"/>
        <v>3643302.99695064</v>
      </c>
      <c r="BP58">
        <f ca="1" t="shared" si="87"/>
        <v>3474407.96488076</v>
      </c>
      <c r="BR58">
        <f ca="1" t="shared" si="38"/>
        <v>0.9543</v>
      </c>
      <c r="BS58">
        <f ca="1" t="shared" si="39"/>
        <v>3592487.70008001</v>
      </c>
      <c r="BT58">
        <f ca="1" t="shared" si="40"/>
        <v>0.196995876306796</v>
      </c>
      <c r="BU58">
        <f ca="1" t="shared" si="41"/>
        <v>2.3238578771</v>
      </c>
      <c r="BV58">
        <f ca="1" t="shared" si="61"/>
        <v>3669017.37504056</v>
      </c>
      <c r="BW58">
        <f ca="1" t="shared" si="42"/>
        <v>113027</v>
      </c>
      <c r="BX58">
        <f ca="1" t="shared" si="43"/>
        <v>346584.65625</v>
      </c>
      <c r="BY58">
        <f ca="1" t="shared" si="44"/>
        <v>0.9343</v>
      </c>
      <c r="BZ58">
        <f ca="1">无穷技能数计算!$AJ50</f>
        <v>0</v>
      </c>
      <c r="CA58">
        <f ca="1" t="shared" si="45"/>
        <v>2.3277641271</v>
      </c>
      <c r="CB58">
        <f ca="1" t="shared" si="62"/>
        <v>3773148.71160082</v>
      </c>
      <c r="CC58">
        <f ca="1" t="shared" si="46"/>
        <v>114847</v>
      </c>
      <c r="CD58">
        <f ca="1" t="shared" si="47"/>
        <v>351532.78125</v>
      </c>
      <c r="CE58">
        <f ca="1" t="shared" si="48"/>
        <v>3694333.87183721</v>
      </c>
      <c r="CF58">
        <f ca="1" t="shared" si="49"/>
        <v>2.2750297521</v>
      </c>
      <c r="CG58">
        <f ca="1" t="shared" si="50"/>
        <v>0.9343</v>
      </c>
      <c r="CH58">
        <f ca="1" t="shared" si="63"/>
        <v>3500867.68063323</v>
      </c>
      <c r="CJ58">
        <f ca="1" t="shared" si="51"/>
        <v>336261.5625</v>
      </c>
      <c r="CK58">
        <f ca="1" t="shared" si="88"/>
        <v>3626799.03294039</v>
      </c>
      <c r="CL58">
        <f ca="1" t="shared" si="64"/>
        <v>2.2976860021</v>
      </c>
      <c r="CM58">
        <f ca="1">IF(G58="恒定伤害",0,(IF(D58="轻剑",$CM$8,$CM$9)+IFERROR(INDEX(技能数据库!$T$2:$W$27,MATCH(E58,技能数据库!$T$2:$T$27,0),4),0)+COUNTIF(G58,"*造化2*")*154+COUNTIF(G58,"*造化1*")*102+COUNTIF(G58,"*碧归*")*307)/1024)</f>
        <v>0.296985334429785</v>
      </c>
      <c r="CN58">
        <f ca="1" t="shared" si="65"/>
        <v>3707775.57197224</v>
      </c>
      <c r="CO58">
        <f ca="1" t="shared" si="66"/>
        <v>2.3262602208</v>
      </c>
      <c r="CP58">
        <f ca="1" t="shared" si="67"/>
        <v>3752516.5011932</v>
      </c>
      <c r="CQ58">
        <f ca="1" t="shared" si="89"/>
        <v>2.77157885480339</v>
      </c>
      <c r="CR58">
        <f ca="1">IF(G58="恒定伤害",0,(IF(D58="轻剑",$CR$8,$CR$9)+IFERROR(INDEX(技能数据库!$T$2:$W$27,MATCH(E58,技能数据库!$T$2:$T$27,0),4),0)+COUNTIF(G58,"*造化2*")*154+COUNTIF(G58,"*造化1*")*102+COUNTIF(G58,"*碧归*")*307)/1024)</f>
        <v>0.287219709429785</v>
      </c>
      <c r="CS58">
        <f ca="1" t="shared" si="68"/>
        <v>3510497.70550314</v>
      </c>
    </row>
    <row r="59" spans="4:97">
      <c r="D59" t="s">
        <v>1825</v>
      </c>
      <c r="E59" t="s">
        <v>2798</v>
      </c>
      <c r="G59" t="s">
        <v>2750</v>
      </c>
      <c r="H59">
        <f ca="1">INDEX(技能数据库!$B$2:$I$100,MATCH(无穷阵眼收益计算!$E59,技能数据库!$B$2:$B$100,0),MATCH(H$9,技能数据库!$B$2:$I$2,0))</f>
        <v>1504.5</v>
      </c>
      <c r="I59">
        <f ca="1">INDEX(技能数据库!$B$2:$I$100,MATCH(无穷阵眼收益计算!$E59,技能数据库!$B$2:$B$100,0),MATCH(I$9,技能数据库!$B$2:$I$2,0))</f>
        <v>2.85625</v>
      </c>
      <c r="J59">
        <f ca="1">INDEX(技能数据库!$B$2:$I$100,MATCH(无穷阵眼收益计算!$E59,技能数据库!$B$2:$B$100,0),MATCH(J$9,技能数据库!$B$2:$I$2,0))</f>
        <v>0</v>
      </c>
      <c r="K59">
        <f ca="1">INDEX(技能数据库!$B$2:$I$100,MATCH(无穷阵眼收益计算!$E59,技能数据库!$B$2:$B$100,0),MATCH(K$9,技能数据库!$B$2:$I$2,0))</f>
        <v>0</v>
      </c>
      <c r="L59">
        <f ca="1" t="shared" si="13"/>
        <v>105847</v>
      </c>
      <c r="M59">
        <f ca="1" t="shared" si="73"/>
        <v>19530.5</v>
      </c>
      <c r="N59">
        <f ca="1" t="shared" si="74"/>
        <v>92028</v>
      </c>
      <c r="O59">
        <f ca="1" t="shared" si="54"/>
        <v>303829.99375</v>
      </c>
      <c r="P59">
        <f ca="1">IF(G59="恒定伤害",0,(IF(D59="轻剑",$AZ$2,$AZ$3)+IFERROR(INDEX(技能数据库!$T$2:$W$27,MATCH(E59,技能数据库!$T$2:$T$27,0),4),0)+COUNTIF(G59,"*造化2*")*154+COUNTIF(G59,"*造化1*")*102+COUNTIF(G59,"*碧归*")*307)/1024)</f>
        <v>0.116321271929785</v>
      </c>
      <c r="Q59">
        <f ca="1" t="shared" si="82"/>
        <v>0.448284482196154</v>
      </c>
      <c r="R59">
        <f ca="1" t="shared" si="55"/>
        <v>0.21277697966198</v>
      </c>
      <c r="S59">
        <f ca="1" t="shared" si="75"/>
        <v>386697.627911573</v>
      </c>
      <c r="T59">
        <f t="shared" si="76"/>
        <v>0.8</v>
      </c>
      <c r="U59">
        <f ca="1" t="shared" si="83"/>
        <v>1.7800129648</v>
      </c>
      <c r="V59">
        <f ca="1" t="shared" si="77"/>
        <v>860019.535241264</v>
      </c>
      <c r="W59">
        <f ca="1">IF(G59="恒定伤害",0,MIN(1,IF(COUNTIF(F59,"*内会*")&gt;0,内会2,IF(D59="轻剑",$Y$2,$Y$3)+COUNTIF(G59,"*莺鸣*")*0.2+COUNTIF(G59,"*叠1*")*0.1+COUNTIF(G59,"*叠2*")*0.2+COUNTIF(G59,"*叠3*")*0.3)+IFERROR(INDEX(技能数据库!$T$2:$W$27,MATCH(E59,技能数据库!$T$2:$T$27,0),2),0)+IF((IF(D59="轻剑",$AO$2,$AO$3)+INT(COUNTIF(G59,"*大莺鸣*")*IF(D59="轻剑",$AM$2,$AM$3)*听晓无双率)/无双系数)&gt;0.9,特效裤子会心/会心系数,0)))</f>
        <v>0.7043</v>
      </c>
      <c r="X59">
        <f ca="1">IF(G59="恒定伤害",0,IF(COUNTIF(F59,"*内会*")&gt;0,内会效2,IF(D59="轻剑",$AB$2,$AB$3))+IFERROR(INDEX(技能数据库!$T$2:$W$27,MATCH(E59,技能数据库!$T$2:$T$27,0),3)/1024,0))+COUNTIF(G59,"*叠1*")*0.25+COUNTIF(G59,"*叠2*")*0.5+COUNTIF(G59,"*叠3*")*0.75</f>
        <v>2.1773735021</v>
      </c>
      <c r="Y59">
        <f ca="1" t="shared" si="78"/>
        <v>1.82922415752903</v>
      </c>
      <c r="Z59">
        <f t="shared" si="16"/>
        <v>0.150390625</v>
      </c>
      <c r="AA59">
        <f ca="1" t="shared" si="79"/>
        <v>0.0205078125</v>
      </c>
      <c r="AB59">
        <f ca="1" t="shared" si="80"/>
        <v>1846872.48922488</v>
      </c>
      <c r="AC59">
        <f ca="1">无穷技能数计算!$AJ51</f>
        <v>8</v>
      </c>
      <c r="AD59" s="164">
        <f ca="1" t="shared" si="81"/>
        <v>0.00579047394411133</v>
      </c>
      <c r="AE59" s="168"/>
      <c r="AF59" s="168">
        <f ca="1" t="shared" si="17"/>
        <v>0.7057</v>
      </c>
      <c r="AG59">
        <f ca="1">无穷技能数计算!$AJ51</f>
        <v>8</v>
      </c>
      <c r="AH59">
        <f ca="1" t="shared" si="18"/>
        <v>109879</v>
      </c>
      <c r="AJ59">
        <f ca="1" t="shared" si="19"/>
        <v>2.3765922521</v>
      </c>
      <c r="AK59">
        <f ca="1" t="shared" si="56"/>
        <v>315346.39375</v>
      </c>
      <c r="AL59">
        <f ca="1" t="shared" si="20"/>
        <v>2066497.35764825</v>
      </c>
      <c r="AM59" s="169">
        <f ca="1" t="shared" si="21"/>
        <v>0.7272</v>
      </c>
      <c r="AN59">
        <f ca="1">无穷技能数计算!$AJ51</f>
        <v>8</v>
      </c>
      <c r="AO59" s="170">
        <f ca="1" t="shared" si="22"/>
        <v>2097520.83043451</v>
      </c>
      <c r="AP59">
        <f ca="1" t="shared" si="23"/>
        <v>110956</v>
      </c>
      <c r="AQ59" s="170">
        <f ca="1" t="shared" si="57"/>
        <v>318422.575</v>
      </c>
      <c r="AR59">
        <f ca="1" t="shared" si="84"/>
        <v>2049130.93262337</v>
      </c>
      <c r="AS59">
        <f ca="1" t="shared" si="25"/>
        <v>0.7843</v>
      </c>
      <c r="AT59">
        <f ca="1">无穷技能数计算!$AJ51</f>
        <v>8</v>
      </c>
      <c r="AU59">
        <f ca="1" t="shared" si="26"/>
        <v>2.3238578771</v>
      </c>
      <c r="AV59">
        <f ca="1" t="shared" si="85"/>
        <v>1.7995442148</v>
      </c>
      <c r="AW59">
        <f ca="1" t="shared" si="58"/>
        <v>2072425.69046085</v>
      </c>
      <c r="AX59">
        <f ca="1" t="shared" si="28"/>
        <v>0.7743</v>
      </c>
      <c r="AY59">
        <f ca="1">无穷技能数计算!$AJ51</f>
        <v>8</v>
      </c>
      <c r="AZ59" s="170">
        <f ca="1" t="shared" si="59"/>
        <v>2058965.47978355</v>
      </c>
      <c r="BA59">
        <f ca="1" t="shared" si="29"/>
        <v>0.7643</v>
      </c>
      <c r="BB59">
        <f ca="1">无穷技能数计算!$AJ51</f>
        <v>8</v>
      </c>
      <c r="BC59" s="170">
        <f ca="1" t="shared" si="60"/>
        <v>2045505.26910625</v>
      </c>
      <c r="BE59">
        <f ca="1" t="shared" si="30"/>
        <v>105849</v>
      </c>
      <c r="BF59">
        <f ca="1" t="shared" si="31"/>
        <v>303835.70625</v>
      </c>
      <c r="BI59">
        <f ca="1" t="shared" si="32"/>
        <v>0.7543</v>
      </c>
      <c r="BJ59">
        <f ca="1">无穷技能数计算!$AJ51</f>
        <v>8</v>
      </c>
      <c r="BK59">
        <f ca="1" t="shared" si="33"/>
        <v>2034634.71376249</v>
      </c>
      <c r="BM59">
        <f ca="1" t="shared" si="34"/>
        <v>109230</v>
      </c>
      <c r="BN59">
        <f ca="1" t="shared" si="35"/>
        <v>313492.6875</v>
      </c>
      <c r="BO59">
        <f ca="1" t="shared" si="86"/>
        <v>2058027.65721903</v>
      </c>
      <c r="BP59">
        <f ca="1" t="shared" si="87"/>
        <v>1962622.2936087</v>
      </c>
      <c r="BR59">
        <f ca="1" t="shared" si="38"/>
        <v>0.7543</v>
      </c>
      <c r="BS59">
        <f ca="1" t="shared" si="39"/>
        <v>2040016.37172547</v>
      </c>
      <c r="BT59">
        <f ca="1" t="shared" si="40"/>
        <v>0.196995876306796</v>
      </c>
      <c r="BU59">
        <f ca="1" t="shared" si="41"/>
        <v>2.3238578771</v>
      </c>
      <c r="BV59">
        <f ca="1" t="shared" si="61"/>
        <v>2058319.62179352</v>
      </c>
      <c r="BW59">
        <f ca="1" t="shared" si="42"/>
        <v>113027</v>
      </c>
      <c r="BX59">
        <f ca="1" t="shared" si="43"/>
        <v>324337.86875</v>
      </c>
      <c r="BY59">
        <f ca="1" t="shared" si="44"/>
        <v>0.7343</v>
      </c>
      <c r="BZ59">
        <f ca="1">无穷技能数计算!$AJ51</f>
        <v>8</v>
      </c>
      <c r="CA59">
        <f ca="1" t="shared" si="45"/>
        <v>2.3277641271</v>
      </c>
      <c r="CB59">
        <f ca="1" t="shared" si="62"/>
        <v>2128624.63393965</v>
      </c>
      <c r="CC59">
        <f ca="1" t="shared" si="46"/>
        <v>114847</v>
      </c>
      <c r="CD59">
        <f ca="1" t="shared" si="47"/>
        <v>329536.24375</v>
      </c>
      <c r="CE59">
        <f ca="1" t="shared" si="48"/>
        <v>2102899.53689598</v>
      </c>
      <c r="CF59">
        <f ca="1" t="shared" si="49"/>
        <v>2.2750297521</v>
      </c>
      <c r="CG59">
        <f ca="1" t="shared" si="50"/>
        <v>0.7343</v>
      </c>
      <c r="CH59">
        <f ca="1" t="shared" si="63"/>
        <v>1968669.8916731</v>
      </c>
      <c r="CJ59">
        <f ca="1" t="shared" si="51"/>
        <v>313492.6875</v>
      </c>
      <c r="CK59">
        <f ca="1" t="shared" si="88"/>
        <v>2048704.90409769</v>
      </c>
      <c r="CL59">
        <f ca="1" t="shared" si="64"/>
        <v>2.2976860021</v>
      </c>
      <c r="CM59">
        <f ca="1">IF(G59="恒定伤害",0,(IF(D59="轻剑",$CM$8,$CM$9)+IFERROR(INDEX(技能数据库!$T$2:$W$27,MATCH(E59,技能数据库!$T$2:$T$27,0),4),0)+COUNTIF(G59,"*造化2*")*154+COUNTIF(G59,"*造化1*")*102+COUNTIF(G59,"*碧归*")*307)/1024)</f>
        <v>0.176868146929785</v>
      </c>
      <c r="CN59">
        <f ca="1" t="shared" si="65"/>
        <v>2093278.76570136</v>
      </c>
      <c r="CO59">
        <f ca="1" t="shared" si="66"/>
        <v>2.3262602208</v>
      </c>
      <c r="CP59">
        <f ca="1" t="shared" si="67"/>
        <v>2115769.1560965</v>
      </c>
      <c r="CQ59">
        <f ca="1" t="shared" si="89"/>
        <v>1.8815754648</v>
      </c>
      <c r="CR59">
        <f ca="1">IF(G59="恒定伤害",0,(IF(D59="轻剑",$CR$8,$CR$9)+IFERROR(INDEX(技能数据库!$T$2:$W$27,MATCH(E59,技能数据库!$T$2:$T$27,0),4),0)+COUNTIF(G59,"*造化2*")*154+COUNTIF(G59,"*造化1*")*102+COUNTIF(G59,"*碧归*")*307)/1024)</f>
        <v>0.167102521929785</v>
      </c>
      <c r="CS59">
        <f ca="1" t="shared" si="68"/>
        <v>2001427.65118317</v>
      </c>
    </row>
    <row r="60" spans="4:97">
      <c r="D60" t="s">
        <v>1825</v>
      </c>
      <c r="E60" t="s">
        <v>2798</v>
      </c>
      <c r="G60" t="s">
        <v>3044</v>
      </c>
      <c r="H60">
        <f ca="1">INDEX(技能数据库!$B$2:$I$100,MATCH(无穷阵眼收益计算!$E60,技能数据库!$B$2:$B$100,0),MATCH(H$9,技能数据库!$B$2:$I$2,0))</f>
        <v>1504.5</v>
      </c>
      <c r="I60">
        <f ca="1">INDEX(技能数据库!$B$2:$I$100,MATCH(无穷阵眼收益计算!$E60,技能数据库!$B$2:$B$100,0),MATCH(I$9,技能数据库!$B$2:$I$2,0))</f>
        <v>2.85625</v>
      </c>
      <c r="J60">
        <f ca="1">INDEX(技能数据库!$B$2:$I$100,MATCH(无穷阵眼收益计算!$E60,技能数据库!$B$2:$B$100,0),MATCH(J$9,技能数据库!$B$2:$I$2,0))</f>
        <v>0</v>
      </c>
      <c r="K60">
        <f ca="1">INDEX(技能数据库!$B$2:$I$100,MATCH(无穷阵眼收益计算!$E60,技能数据库!$B$2:$B$100,0),MATCH(K$9,技能数据库!$B$2:$I$2,0))</f>
        <v>0</v>
      </c>
      <c r="L60">
        <f ca="1" t="shared" si="13"/>
        <v>105847</v>
      </c>
      <c r="M60">
        <f ca="1" t="shared" si="73"/>
        <v>19530.5</v>
      </c>
      <c r="N60">
        <f ca="1" t="shared" si="74"/>
        <v>92028</v>
      </c>
      <c r="O60">
        <f ca="1" t="shared" si="54"/>
        <v>303829.99375</v>
      </c>
      <c r="P60">
        <f ca="1">IF(G60="恒定伤害",0,(IF(D60="轻剑",$AZ$2,$AZ$3)+IFERROR(INDEX(技能数据库!$T$2:$W$27,MATCH(E60,技能数据库!$T$2:$T$27,0),4),0)+COUNTIF(G60,"*造化2*")*154+COUNTIF(G60,"*造化1*")*102+COUNTIF(G60,"*碧归*")*307)/1024)</f>
        <v>0.116321271929785</v>
      </c>
      <c r="Q60">
        <f ca="1" t="shared" si="82"/>
        <v>0.448284482196154</v>
      </c>
      <c r="R60">
        <f ca="1" t="shared" si="55"/>
        <v>0.21277697966198</v>
      </c>
      <c r="S60">
        <f ca="1" t="shared" si="75"/>
        <v>386697.627911573</v>
      </c>
      <c r="T60">
        <f t="shared" si="76"/>
        <v>0.8</v>
      </c>
      <c r="U60">
        <f ca="1" t="shared" si="83"/>
        <v>2.67001635480339</v>
      </c>
      <c r="V60">
        <f ca="1" t="shared" si="77"/>
        <v>1135349.29503932</v>
      </c>
      <c r="W60">
        <f ca="1">IF(G60="恒定伤害",0,MIN(1,IF(COUNTIF(F60,"*内会*")&gt;0,内会2,IF(D60="轻剑",$Y$2,$Y$3)+COUNTIF(G60,"*莺鸣*")*0.2+COUNTIF(G60,"*叠1*")*0.1+COUNTIF(G60,"*叠2*")*0.2+COUNTIF(G60,"*叠3*")*0.3)+IFERROR(INDEX(技能数据库!$T$2:$W$27,MATCH(E60,技能数据库!$T$2:$T$27,0),2),0)+IF((IF(D60="轻剑",$AO$2,$AO$3)+INT(COUNTIF(G60,"*大莺鸣*")*IF(D60="轻剑",$AM$2,$AM$3)*听晓无双率)/无双系数)&gt;0.9,特效裤子会心/会心系数,0)))</f>
        <v>0.9043</v>
      </c>
      <c r="X60">
        <f ca="1">IF(G60="恒定伤害",0,IF(COUNTIF(F60,"*内会*")&gt;0,内会效2,IF(D60="轻剑",$AB$2,$AB$3))+IFERROR(INDEX(技能数据库!$T$2:$W$27,MATCH(E60,技能数据库!$T$2:$T$27,0),3)/1024,0))+COUNTIF(G60,"*叠1*")*0.25+COUNTIF(G60,"*叠2*")*0.5+COUNTIF(G60,"*叠3*")*0.75</f>
        <v>2.1773735021</v>
      </c>
      <c r="Y60">
        <f ca="1" t="shared" si="78"/>
        <v>2.06469885794903</v>
      </c>
      <c r="Z60">
        <f t="shared" si="16"/>
        <v>0.150390625</v>
      </c>
      <c r="AA60">
        <f ca="1" t="shared" si="79"/>
        <v>0.0205078125</v>
      </c>
      <c r="AB60">
        <f ca="1" t="shared" si="80"/>
        <v>2751996.51635275</v>
      </c>
      <c r="AC60">
        <f ca="1">无穷技能数计算!$AJ52</f>
        <v>0</v>
      </c>
      <c r="AD60" s="164">
        <f ca="1" t="shared" si="81"/>
        <v>0</v>
      </c>
      <c r="AE60" s="168"/>
      <c r="AF60" s="168">
        <f ca="1" t="shared" si="17"/>
        <v>0.9057</v>
      </c>
      <c r="AG60">
        <f ca="1">无穷技能数计算!$AJ52</f>
        <v>0</v>
      </c>
      <c r="AH60">
        <f ca="1" t="shared" si="18"/>
        <v>109879</v>
      </c>
      <c r="AJ60">
        <f ca="1" t="shared" si="19"/>
        <v>2.3765922521</v>
      </c>
      <c r="AK60">
        <f ca="1" t="shared" si="56"/>
        <v>315346.39375</v>
      </c>
      <c r="AL60">
        <f ca="1" t="shared" si="20"/>
        <v>3109054.11608017</v>
      </c>
      <c r="AM60" s="169">
        <f ca="1" t="shared" si="21"/>
        <v>0.9272</v>
      </c>
      <c r="AN60">
        <f ca="1">无穷技能数计算!$AJ52</f>
        <v>0</v>
      </c>
      <c r="AO60" s="170">
        <f ca="1" t="shared" si="22"/>
        <v>3150009.55547919</v>
      </c>
      <c r="AP60">
        <f ca="1" t="shared" si="23"/>
        <v>110956</v>
      </c>
      <c r="AQ60" s="170">
        <f ca="1" t="shared" si="57"/>
        <v>318422.575</v>
      </c>
      <c r="AR60">
        <f ca="1" t="shared" si="84"/>
        <v>3053378.73677295</v>
      </c>
      <c r="AS60">
        <f ca="1" t="shared" si="25"/>
        <v>0.9843</v>
      </c>
      <c r="AT60">
        <f ca="1">无穷技能数计算!$AJ52</f>
        <v>0</v>
      </c>
      <c r="AU60">
        <f ca="1" t="shared" si="26"/>
        <v>2.3238578771</v>
      </c>
      <c r="AV60">
        <f ca="1" t="shared" si="85"/>
        <v>2.68954760480339</v>
      </c>
      <c r="AW60">
        <f ca="1" t="shared" si="58"/>
        <v>3086057.70824789</v>
      </c>
      <c r="AX60">
        <f ca="1" t="shared" si="28"/>
        <v>0.9743</v>
      </c>
      <c r="AY60">
        <f ca="1">无穷技能数计算!$AJ52</f>
        <v>0</v>
      </c>
      <c r="AZ60" s="170">
        <f ca="1" t="shared" si="59"/>
        <v>3068318.36060621</v>
      </c>
      <c r="BA60">
        <f ca="1" t="shared" si="29"/>
        <v>0.9643</v>
      </c>
      <c r="BB60">
        <f ca="1">无穷技能数计算!$AJ52</f>
        <v>0</v>
      </c>
      <c r="BC60" s="170">
        <f ca="1" t="shared" si="60"/>
        <v>3050579.01296454</v>
      </c>
      <c r="BE60">
        <f ca="1" t="shared" si="30"/>
        <v>105849</v>
      </c>
      <c r="BF60">
        <f ca="1" t="shared" si="31"/>
        <v>303835.70625</v>
      </c>
      <c r="BI60">
        <f ca="1" t="shared" si="32"/>
        <v>0.9543</v>
      </c>
      <c r="BJ60">
        <f ca="1">无穷技能数计算!$AJ52</f>
        <v>0</v>
      </c>
      <c r="BK60">
        <f ca="1" t="shared" si="33"/>
        <v>3015886.3415966</v>
      </c>
      <c r="BM60">
        <f ca="1" t="shared" si="34"/>
        <v>109230</v>
      </c>
      <c r="BN60">
        <f ca="1" t="shared" si="35"/>
        <v>313492.6875</v>
      </c>
      <c r="BO60">
        <f ca="1" t="shared" si="86"/>
        <v>3066635.61034547</v>
      </c>
      <c r="BP60">
        <f ca="1" t="shared" si="87"/>
        <v>2924473.53373822</v>
      </c>
      <c r="BR60">
        <f ca="1" t="shared" si="38"/>
        <v>0.9543</v>
      </c>
      <c r="BS60">
        <f ca="1" t="shared" si="39"/>
        <v>3023863.4338166</v>
      </c>
      <c r="BT60">
        <f ca="1" t="shared" si="40"/>
        <v>0.196995876306796</v>
      </c>
      <c r="BU60">
        <f ca="1" t="shared" si="41"/>
        <v>2.3238578771</v>
      </c>
      <c r="BV60">
        <f ca="1" t="shared" si="61"/>
        <v>3077260.92969256</v>
      </c>
      <c r="BW60">
        <f ca="1" t="shared" si="42"/>
        <v>113027</v>
      </c>
      <c r="BX60">
        <f ca="1" t="shared" si="43"/>
        <v>324337.86875</v>
      </c>
      <c r="BY60">
        <f ca="1" t="shared" si="44"/>
        <v>0.9343</v>
      </c>
      <c r="BZ60">
        <f ca="1">无穷技能数计算!$AJ52</f>
        <v>0</v>
      </c>
      <c r="CA60">
        <f ca="1" t="shared" si="45"/>
        <v>2.3277641271</v>
      </c>
      <c r="CB60">
        <f ca="1" t="shared" si="62"/>
        <v>3187931.22938953</v>
      </c>
      <c r="CC60">
        <f ca="1" t="shared" si="46"/>
        <v>114847</v>
      </c>
      <c r="CD60">
        <f ca="1" t="shared" si="47"/>
        <v>329536.24375</v>
      </c>
      <c r="CE60">
        <f ca="1" t="shared" si="48"/>
        <v>3126728.65516185</v>
      </c>
      <c r="CF60">
        <f ca="1" t="shared" si="49"/>
        <v>2.2750297521</v>
      </c>
      <c r="CG60">
        <f ca="1" t="shared" si="50"/>
        <v>0.9343</v>
      </c>
      <c r="CH60">
        <f ca="1" t="shared" si="63"/>
        <v>2936231.21191052</v>
      </c>
      <c r="CJ60">
        <f ca="1" t="shared" si="51"/>
        <v>313492.6875</v>
      </c>
      <c r="CK60">
        <f ca="1" t="shared" si="88"/>
        <v>3052743.91816723</v>
      </c>
      <c r="CL60">
        <f ca="1" t="shared" si="64"/>
        <v>2.2976860021</v>
      </c>
      <c r="CM60">
        <f ca="1">IF(G60="恒定伤害",0,(IF(D60="轻剑",$CM$8,$CM$9)+IFERROR(INDEX(技能数据库!$T$2:$W$27,MATCH(E60,技能数据库!$T$2:$T$27,0),4),0)+COUNTIF(G60,"*造化2*")*154+COUNTIF(G60,"*造化1*")*102+COUNTIF(G60,"*碧归*")*307)/1024)</f>
        <v>0.176868146929785</v>
      </c>
      <c r="CN60">
        <f ca="1" t="shared" si="65"/>
        <v>3125388.726067</v>
      </c>
      <c r="CO60">
        <f ca="1" t="shared" si="66"/>
        <v>2.3262602208</v>
      </c>
      <c r="CP60">
        <f ca="1" t="shared" si="67"/>
        <v>3163102.11865688</v>
      </c>
      <c r="CQ60">
        <f ca="1" t="shared" si="89"/>
        <v>2.77157885480339</v>
      </c>
      <c r="CR60">
        <f ca="1">IF(G60="恒定伤害",0,(IF(D60="轻剑",$CR$8,$CR$9)+IFERROR(INDEX(技能数据库!$T$2:$W$27,MATCH(E60,技能数据库!$T$2:$T$27,0),4),0)+COUNTIF(G60,"*造化2*")*154+COUNTIF(G60,"*造化1*")*102+COUNTIF(G60,"*碧归*")*307)/1024)</f>
        <v>0.167102521929785</v>
      </c>
      <c r="CS60">
        <f ca="1" t="shared" si="68"/>
        <v>2956806.33107172</v>
      </c>
    </row>
    <row r="61" spans="4:97">
      <c r="D61" t="s">
        <v>1825</v>
      </c>
      <c r="E61" t="s">
        <v>2801</v>
      </c>
      <c r="H61">
        <f ca="1">INDEX(技能数据库!$B$2:$I$100,MATCH(无穷阵眼收益计算!$E61,技能数据库!$B$2:$B$100,0),MATCH(H$9,技能数据库!$B$2:$I$2,0))</f>
        <v>291</v>
      </c>
      <c r="I61">
        <f ca="1">INDEX(技能数据库!$B$2:$I$100,MATCH(无穷阵眼收益计算!$E61,技能数据库!$B$2:$B$100,0),MATCH(I$9,技能数据库!$B$2:$I$2,0))</f>
        <v>1.8875</v>
      </c>
      <c r="J61">
        <f ca="1">INDEX(技能数据库!$B$2:$I$100,MATCH(无穷阵眼收益计算!$E61,技能数据库!$B$2:$B$100,0),MATCH(J$9,技能数据库!$B$2:$I$2,0))</f>
        <v>2</v>
      </c>
      <c r="K61">
        <f ca="1">INDEX(技能数据库!$B$2:$I$100,MATCH(无穷阵眼收益计算!$E61,技能数据库!$B$2:$B$100,0),MATCH(K$9,技能数据库!$B$2:$I$2,0))</f>
        <v>0</v>
      </c>
      <c r="L61">
        <f ca="1" t="shared" si="13"/>
        <v>91975</v>
      </c>
      <c r="M61">
        <f ca="1" t="shared" si="73"/>
        <v>19530.5</v>
      </c>
      <c r="N61">
        <f ca="1" t="shared" si="74"/>
        <v>92028</v>
      </c>
      <c r="O61">
        <f ca="1" t="shared" si="54"/>
        <v>212954.8125</v>
      </c>
      <c r="P61">
        <f ca="1">IF(G61="恒定伤害",0,(IF(D61="轻剑",$AZ$2,$AZ$3)+IFERROR(INDEX(技能数据库!$T$2:$W$27,MATCH(E61,技能数据库!$T$2:$T$27,0),4),0)+COUNTIF(G61,"*造化2*")*154+COUNTIF(G61,"*造化1*")*102+COUNTIF(G61,"*碧归*")*307)/1024)</f>
        <v>0.116321271929785</v>
      </c>
      <c r="Q61">
        <f ca="1" t="shared" si="82"/>
        <v>0.448284482196154</v>
      </c>
      <c r="R61">
        <f ca="1" t="shared" si="55"/>
        <v>0.32958230397716</v>
      </c>
      <c r="S61">
        <f ca="1" t="shared" si="75"/>
        <v>230821.365593173</v>
      </c>
      <c r="T61">
        <f t="shared" si="76"/>
        <v>0.8</v>
      </c>
      <c r="U61">
        <f ca="1" t="shared" si="83"/>
        <v>1.7800129648</v>
      </c>
      <c r="V61">
        <f ca="1" t="shared" si="77"/>
        <v>513349.11112149</v>
      </c>
      <c r="W61">
        <f ca="1">IF(G61="恒定伤害",0,MIN(1,IF(COUNTIF(F61,"*内会*")&gt;0,内会2,IF(D61="轻剑",$Y$2,$Y$3)+COUNTIF(G61,"*莺鸣*")*0.2+COUNTIF(G61,"*叠1*")*0.1+COUNTIF(G61,"*叠2*")*0.2+COUNTIF(G61,"*叠3*")*0.3)+IFERROR(INDEX(技能数据库!$T$2:$W$27,MATCH(E61,技能数据库!$T$2:$T$27,0),2),0)+IF((IF(D61="轻剑",$AO$2,$AO$3)+INT(COUNTIF(G61,"*大莺鸣*")*IF(D61="轻剑",$AM$2,$AM$3)*听晓无双率)/无双系数)&gt;0.9,特效裤子会心/会心系数,0)))</f>
        <v>0.7043</v>
      </c>
      <c r="X61">
        <f ca="1">IF(G61="恒定伤害",0,IF(COUNTIF(F61,"*内会*")&gt;0,内会效2,IF(D61="轻剑",$AB$2,$AB$3))+IFERROR(INDEX(技能数据库!$T$2:$W$27,MATCH(E61,技能数据库!$T$2:$T$27,0),3)/1024,0))+COUNTIF(G61,"*叠1*")*0.25+COUNTIF(G61,"*叠2*")*0.5+COUNTIF(G61,"*叠3*")*0.75</f>
        <v>2.1773735021</v>
      </c>
      <c r="Y61">
        <f ca="1" t="shared" si="78"/>
        <v>1.82922415752903</v>
      </c>
      <c r="Z61">
        <f t="shared" si="16"/>
        <v>0.150390625</v>
      </c>
      <c r="AA61">
        <f ca="1" t="shared" si="79"/>
        <v>0.0205078125</v>
      </c>
      <c r="AB61">
        <f ca="1" t="shared" si="80"/>
        <v>1102405.59876626</v>
      </c>
      <c r="AC61">
        <f ca="1">无穷技能数计算!$AJ53</f>
        <v>0</v>
      </c>
      <c r="AD61" s="164">
        <f ca="1" t="shared" si="81"/>
        <v>0</v>
      </c>
      <c r="AE61" s="168"/>
      <c r="AF61" s="168">
        <f ca="1" t="shared" si="17"/>
        <v>0.7057</v>
      </c>
      <c r="AG61">
        <f ca="1">无穷技能数计算!$AJ53</f>
        <v>0</v>
      </c>
      <c r="AH61">
        <f ca="1" t="shared" si="18"/>
        <v>96007</v>
      </c>
      <c r="AJ61">
        <f ca="1" t="shared" si="19"/>
        <v>2.3765922521</v>
      </c>
      <c r="AK61">
        <f ca="1" t="shared" si="56"/>
        <v>221042.2125</v>
      </c>
      <c r="AL61">
        <f ca="1" t="shared" si="20"/>
        <v>1233587.2959815</v>
      </c>
      <c r="AM61" s="169">
        <f ca="1" t="shared" si="21"/>
        <v>0.7272</v>
      </c>
      <c r="AN61">
        <f ca="1">无穷技能数计算!$AJ53</f>
        <v>0</v>
      </c>
      <c r="AO61" s="170">
        <f ca="1" t="shared" si="22"/>
        <v>1252106.63343176</v>
      </c>
      <c r="AP61">
        <f ca="1" t="shared" si="23"/>
        <v>97084</v>
      </c>
      <c r="AQ61" s="170">
        <f ca="1" t="shared" si="57"/>
        <v>222598.05</v>
      </c>
      <c r="AR61">
        <f ca="1" t="shared" si="84"/>
        <v>1219929.96361464</v>
      </c>
      <c r="AS61">
        <f ca="1" t="shared" si="25"/>
        <v>0.7843</v>
      </c>
      <c r="AT61">
        <f ca="1">无穷技能数计算!$AJ53</f>
        <v>0</v>
      </c>
      <c r="AU61">
        <f ca="1" t="shared" si="26"/>
        <v>2.3238578771</v>
      </c>
      <c r="AV61">
        <f ca="1" t="shared" si="85"/>
        <v>1.7995442148</v>
      </c>
      <c r="AW61">
        <f ca="1" t="shared" si="58"/>
        <v>1237039.20953954</v>
      </c>
      <c r="AX61">
        <f ca="1" t="shared" si="28"/>
        <v>0.7743</v>
      </c>
      <c r="AY61">
        <f ca="1">无穷技能数计算!$AJ53</f>
        <v>0</v>
      </c>
      <c r="AZ61" s="170">
        <f ca="1" t="shared" si="59"/>
        <v>1229004.75578174</v>
      </c>
      <c r="BA61">
        <f ca="1" t="shared" si="29"/>
        <v>0.7643</v>
      </c>
      <c r="BB61">
        <f ca="1">无穷技能数计算!$AJ53</f>
        <v>0</v>
      </c>
      <c r="BC61" s="170">
        <f ca="1" t="shared" si="60"/>
        <v>1220970.30202394</v>
      </c>
      <c r="BE61">
        <f ca="1" t="shared" si="30"/>
        <v>91977</v>
      </c>
      <c r="BF61">
        <f ca="1" t="shared" si="31"/>
        <v>212958.5875</v>
      </c>
      <c r="BI61">
        <f ca="1" t="shared" si="32"/>
        <v>0.7543</v>
      </c>
      <c r="BJ61">
        <f ca="1">无穷技能数计算!$AJ53</f>
        <v>0</v>
      </c>
      <c r="BK61">
        <f ca="1" t="shared" si="33"/>
        <v>1214480.31854258</v>
      </c>
      <c r="BM61">
        <f ca="1" t="shared" si="34"/>
        <v>95358</v>
      </c>
      <c r="BN61">
        <f ca="1" t="shared" si="35"/>
        <v>219340.225</v>
      </c>
      <c r="BO61">
        <f ca="1" t="shared" si="86"/>
        <v>1226280.32481288</v>
      </c>
      <c r="BP61">
        <f ca="1" t="shared" si="87"/>
        <v>1169432.82819806</v>
      </c>
      <c r="BR61">
        <f ca="1" t="shared" si="38"/>
        <v>0.7543</v>
      </c>
      <c r="BS61">
        <f ca="1" t="shared" si="39"/>
        <v>1215548.2605727</v>
      </c>
      <c r="BT61">
        <f ca="1" t="shared" si="40"/>
        <v>0.318170800459405</v>
      </c>
      <c r="BU61">
        <f ca="1" t="shared" si="41"/>
        <v>2.3238578771</v>
      </c>
      <c r="BV61">
        <f ca="1" t="shared" si="61"/>
        <v>1224975.63058521</v>
      </c>
      <c r="BW61">
        <f ca="1" t="shared" si="42"/>
        <v>99155</v>
      </c>
      <c r="BX61">
        <f ca="1" t="shared" si="43"/>
        <v>226507.0625</v>
      </c>
      <c r="BY61">
        <f ca="1" t="shared" si="44"/>
        <v>0.7343</v>
      </c>
      <c r="BZ61">
        <f ca="1">无穷技能数计算!$AJ53</f>
        <v>0</v>
      </c>
      <c r="CA61">
        <f ca="1" t="shared" si="45"/>
        <v>2.3277641271</v>
      </c>
      <c r="CB61">
        <f ca="1" t="shared" si="62"/>
        <v>1265991.69544775</v>
      </c>
      <c r="CC61">
        <f ca="1" t="shared" si="46"/>
        <v>100975</v>
      </c>
      <c r="CD61">
        <f ca="1" t="shared" si="47"/>
        <v>229942.3125</v>
      </c>
      <c r="CE61">
        <f ca="1" t="shared" si="48"/>
        <v>1249631.36373302</v>
      </c>
      <c r="CF61">
        <f ca="1" t="shared" si="49"/>
        <v>2.2750297521</v>
      </c>
      <c r="CG61">
        <f ca="1" t="shared" si="50"/>
        <v>0.7343</v>
      </c>
      <c r="CH61">
        <f ca="1" t="shared" si="63"/>
        <v>1175106.95695827</v>
      </c>
      <c r="CJ61">
        <f ca="1" t="shared" si="51"/>
        <v>219340.225</v>
      </c>
      <c r="CK61">
        <f ca="1" t="shared" si="88"/>
        <v>1220725.34177575</v>
      </c>
      <c r="CL61">
        <f ca="1" t="shared" si="64"/>
        <v>2.2976860021</v>
      </c>
      <c r="CM61">
        <f ca="1">IF(G61="恒定伤害",0,(IF(D61="轻剑",$CM$8,$CM$9)+IFERROR(INDEX(技能数据库!$T$2:$W$27,MATCH(E61,技能数据库!$T$2:$T$27,0),4),0)+COUNTIF(G61,"*造化2*")*154+COUNTIF(G61,"*造化1*")*102+COUNTIF(G61,"*碧归*")*307)/1024)</f>
        <v>0.176868146929785</v>
      </c>
      <c r="CN61">
        <f ca="1" t="shared" si="65"/>
        <v>1249486.49381648</v>
      </c>
      <c r="CO61">
        <f ca="1" t="shared" si="66"/>
        <v>2.3262602208</v>
      </c>
      <c r="CP61">
        <f ca="1" t="shared" si="67"/>
        <v>1262911.09807838</v>
      </c>
      <c r="CQ61">
        <f ca="1" t="shared" si="89"/>
        <v>1.8815754648</v>
      </c>
      <c r="CR61">
        <f ca="1">IF(G61="恒定伤害",0,(IF(D61="轻剑",$CR$8,$CR$9)+IFERROR(INDEX(技能数据库!$T$2:$W$27,MATCH(E61,技能数据库!$T$2:$T$27,0),4),0)+COUNTIF(G61,"*造化2*")*154+COUNTIF(G61,"*造化1*")*102+COUNTIF(G61,"*碧归*")*307)/1024)</f>
        <v>0.167102521929785</v>
      </c>
      <c r="CS61">
        <f ca="1" t="shared" si="68"/>
        <v>1194660.1950392</v>
      </c>
    </row>
    <row r="62" spans="4:97">
      <c r="D62" t="s">
        <v>1825</v>
      </c>
      <c r="E62" t="s">
        <v>2801</v>
      </c>
      <c r="G62" t="s">
        <v>2750</v>
      </c>
      <c r="H62">
        <f ca="1">INDEX(技能数据库!$B$2:$I$100,MATCH(无穷阵眼收益计算!$E62,技能数据库!$B$2:$B$100,0),MATCH(H$9,技能数据库!$B$2:$I$2,0))</f>
        <v>291</v>
      </c>
      <c r="I62">
        <f ca="1">INDEX(技能数据库!$B$2:$I$100,MATCH(无穷阵眼收益计算!$E62,技能数据库!$B$2:$B$100,0),MATCH(I$9,技能数据库!$B$2:$I$2,0))</f>
        <v>1.8875</v>
      </c>
      <c r="J62">
        <f ca="1">INDEX(技能数据库!$B$2:$I$100,MATCH(无穷阵眼收益计算!$E62,技能数据库!$B$2:$B$100,0),MATCH(J$9,技能数据库!$B$2:$I$2,0))</f>
        <v>2</v>
      </c>
      <c r="K62">
        <f ca="1">INDEX(技能数据库!$B$2:$I$100,MATCH(无穷阵眼收益计算!$E62,技能数据库!$B$2:$B$100,0),MATCH(K$9,技能数据库!$B$2:$I$2,0))</f>
        <v>0</v>
      </c>
      <c r="L62">
        <f ca="1" t="shared" si="13"/>
        <v>105847</v>
      </c>
      <c r="M62">
        <f ca="1" t="shared" si="73"/>
        <v>19530.5</v>
      </c>
      <c r="N62">
        <f ca="1" t="shared" si="74"/>
        <v>92028</v>
      </c>
      <c r="O62">
        <f ca="1" t="shared" si="54"/>
        <v>239138.2125</v>
      </c>
      <c r="P62">
        <f ca="1">IF(G62="恒定伤害",0,(IF(D62="轻剑",$AZ$2,$AZ$3)+IFERROR(INDEX(技能数据库!$T$2:$W$27,MATCH(E62,技能数据库!$T$2:$T$27,0),4),0)+COUNTIF(G62,"*造化2*")*154+COUNTIF(G62,"*造化1*")*102+COUNTIF(G62,"*碧归*")*307)/1024)</f>
        <v>0.116321271929785</v>
      </c>
      <c r="Q62">
        <f ca="1" t="shared" si="82"/>
        <v>0.448284482196154</v>
      </c>
      <c r="R62">
        <f ca="1" t="shared" si="55"/>
        <v>0.21277697966198</v>
      </c>
      <c r="S62">
        <f ca="1" t="shared" si="75"/>
        <v>304361.588450856</v>
      </c>
      <c r="T62">
        <f t="shared" si="76"/>
        <v>0.8</v>
      </c>
      <c r="U62">
        <f ca="1" t="shared" si="83"/>
        <v>1.7800129648</v>
      </c>
      <c r="V62">
        <f ca="1" t="shared" si="77"/>
        <v>676903.329504402</v>
      </c>
      <c r="W62">
        <f ca="1">IF(G62="恒定伤害",0,MIN(1,IF(COUNTIF(F62,"*内会*")&gt;0,内会2,IF(D62="轻剑",$Y$2,$Y$3)+COUNTIF(G62,"*莺鸣*")*0.2+COUNTIF(G62,"*叠1*")*0.1+COUNTIF(G62,"*叠2*")*0.2+COUNTIF(G62,"*叠3*")*0.3)+IFERROR(INDEX(技能数据库!$T$2:$W$27,MATCH(E62,技能数据库!$T$2:$T$27,0),2),0)+IF((IF(D62="轻剑",$AO$2,$AO$3)+INT(COUNTIF(G62,"*大莺鸣*")*IF(D62="轻剑",$AM$2,$AM$3)*听晓无双率)/无双系数)&gt;0.9,特效裤子会心/会心系数,0)))</f>
        <v>0.7043</v>
      </c>
      <c r="X62">
        <f ca="1">IF(G62="恒定伤害",0,IF(COUNTIF(F62,"*内会*")&gt;0,内会效2,IF(D62="轻剑",$AB$2,$AB$3))+IFERROR(INDEX(技能数据库!$T$2:$W$27,MATCH(E62,技能数据库!$T$2:$T$27,0),3)/1024,0))+COUNTIF(G62,"*叠1*")*0.25+COUNTIF(G62,"*叠2*")*0.5+COUNTIF(G62,"*叠3*")*0.75</f>
        <v>2.1773735021</v>
      </c>
      <c r="Y62">
        <f ca="1" t="shared" si="78"/>
        <v>1.82922415752903</v>
      </c>
      <c r="Z62">
        <f t="shared" si="16"/>
        <v>0.150390625</v>
      </c>
      <c r="AA62">
        <f ca="1" t="shared" si="79"/>
        <v>0.0205078125</v>
      </c>
      <c r="AB62">
        <f ca="1" t="shared" si="80"/>
        <v>1453634.58142342</v>
      </c>
      <c r="AC62">
        <f ca="1">无穷技能数计算!$AJ54</f>
        <v>28</v>
      </c>
      <c r="AD62" s="164">
        <f ca="1" t="shared" si="81"/>
        <v>0.0159514618685639</v>
      </c>
      <c r="AE62" s="168"/>
      <c r="AF62" s="168">
        <f ca="1" t="shared" si="17"/>
        <v>0.7057</v>
      </c>
      <c r="AG62">
        <f ca="1">无穷技能数计算!$AJ54</f>
        <v>28</v>
      </c>
      <c r="AH62">
        <f ca="1" t="shared" si="18"/>
        <v>109879</v>
      </c>
      <c r="AJ62">
        <f ca="1" t="shared" si="19"/>
        <v>2.3765922521</v>
      </c>
      <c r="AK62">
        <f ca="1" t="shared" si="56"/>
        <v>247225.6125</v>
      </c>
      <c r="AL62">
        <f ca="1" t="shared" si="20"/>
        <v>1620094.87059251</v>
      </c>
      <c r="AM62" s="169">
        <f ca="1" t="shared" si="21"/>
        <v>0.7272</v>
      </c>
      <c r="AN62">
        <f ca="1">无穷技能数计算!$AJ54</f>
        <v>28</v>
      </c>
      <c r="AO62" s="170">
        <f ca="1" t="shared" si="22"/>
        <v>1644416.68689823</v>
      </c>
      <c r="AP62">
        <f ca="1" t="shared" si="23"/>
        <v>110956</v>
      </c>
      <c r="AQ62" s="170">
        <f ca="1" t="shared" si="57"/>
        <v>248781.45</v>
      </c>
      <c r="AR62">
        <f ca="1" t="shared" si="84"/>
        <v>1600972.4331194</v>
      </c>
      <c r="AS62">
        <f ca="1" t="shared" si="25"/>
        <v>0.7843</v>
      </c>
      <c r="AT62">
        <f ca="1">无穷技能数计算!$AJ54</f>
        <v>28</v>
      </c>
      <c r="AU62">
        <f ca="1" t="shared" si="26"/>
        <v>2.3238578771</v>
      </c>
      <c r="AV62">
        <f ca="1" t="shared" si="85"/>
        <v>1.7995442148</v>
      </c>
      <c r="AW62">
        <f ca="1" t="shared" si="58"/>
        <v>1631162.77309895</v>
      </c>
      <c r="AX62">
        <f ca="1" t="shared" si="28"/>
        <v>0.7743</v>
      </c>
      <c r="AY62">
        <f ca="1">无穷技能数计算!$AJ54</f>
        <v>28</v>
      </c>
      <c r="AZ62" s="170">
        <f ca="1" t="shared" si="59"/>
        <v>1620568.52372444</v>
      </c>
      <c r="BA62">
        <f ca="1" t="shared" si="29"/>
        <v>0.7643</v>
      </c>
      <c r="BB62">
        <f ca="1">无穷技能数计算!$AJ54</f>
        <v>28</v>
      </c>
      <c r="BC62" s="170">
        <f ca="1" t="shared" si="60"/>
        <v>1609974.27434993</v>
      </c>
      <c r="BE62">
        <f ca="1" t="shared" si="30"/>
        <v>105849</v>
      </c>
      <c r="BF62">
        <f ca="1" t="shared" si="31"/>
        <v>239141.9875</v>
      </c>
      <c r="BI62">
        <f ca="1" t="shared" si="32"/>
        <v>0.7543</v>
      </c>
      <c r="BJ62">
        <f ca="1">无穷技能数计算!$AJ54</f>
        <v>28</v>
      </c>
      <c r="BK62">
        <f ca="1" t="shared" si="33"/>
        <v>1601413.45890829</v>
      </c>
      <c r="BM62">
        <f ca="1" t="shared" si="34"/>
        <v>109230</v>
      </c>
      <c r="BN62">
        <f ca="1" t="shared" si="35"/>
        <v>245523.625</v>
      </c>
      <c r="BO62">
        <f ca="1" t="shared" si="86"/>
        <v>1611822.00063494</v>
      </c>
      <c r="BP62">
        <f ca="1" t="shared" si="87"/>
        <v>1537101.69087316</v>
      </c>
      <c r="BR62">
        <f ca="1" t="shared" si="38"/>
        <v>0.7543</v>
      </c>
      <c r="BS62">
        <f ca="1" t="shared" si="39"/>
        <v>1597715.78290924</v>
      </c>
      <c r="BT62">
        <f ca="1" t="shared" si="40"/>
        <v>0.196995876306796</v>
      </c>
      <c r="BU62">
        <f ca="1" t="shared" si="41"/>
        <v>2.3238578771</v>
      </c>
      <c r="BV62">
        <f ca="1" t="shared" si="61"/>
        <v>1620060.18245319</v>
      </c>
      <c r="BW62">
        <f ca="1" t="shared" si="42"/>
        <v>113027</v>
      </c>
      <c r="BX62">
        <f ca="1" t="shared" si="43"/>
        <v>252690.4625</v>
      </c>
      <c r="BY62">
        <f ca="1" t="shared" si="44"/>
        <v>0.7343</v>
      </c>
      <c r="BZ62">
        <f ca="1">无穷技能数计算!$AJ54</f>
        <v>28</v>
      </c>
      <c r="CA62">
        <f ca="1" t="shared" si="45"/>
        <v>2.3277641271</v>
      </c>
      <c r="CB62">
        <f ca="1" t="shared" si="62"/>
        <v>1658403.76676368</v>
      </c>
      <c r="CC62">
        <f ca="1" t="shared" si="46"/>
        <v>114847</v>
      </c>
      <c r="CD62">
        <f ca="1" t="shared" si="47"/>
        <v>256125.7125</v>
      </c>
      <c r="CE62">
        <f ca="1" t="shared" si="48"/>
        <v>1634438.25199395</v>
      </c>
      <c r="CF62">
        <f ca="1" t="shared" si="49"/>
        <v>2.2750297521</v>
      </c>
      <c r="CG62">
        <f ca="1" t="shared" si="50"/>
        <v>0.7343</v>
      </c>
      <c r="CH62">
        <f ca="1" t="shared" si="63"/>
        <v>1549498.7610889</v>
      </c>
      <c r="CJ62">
        <f ca="1" t="shared" si="51"/>
        <v>245523.625</v>
      </c>
      <c r="CK62">
        <f ca="1" t="shared" si="88"/>
        <v>1604520.53481899</v>
      </c>
      <c r="CL62">
        <f ca="1" t="shared" si="64"/>
        <v>2.2976860021</v>
      </c>
      <c r="CM62">
        <f ca="1">IF(G62="恒定伤害",0,(IF(D62="轻剑",$CM$8,$CM$9)+IFERROR(INDEX(技能数据库!$T$2:$W$27,MATCH(E62,技能数据库!$T$2:$T$27,0),4),0)+COUNTIF(G62,"*造化2*")*154+COUNTIF(G62,"*造化1*")*102+COUNTIF(G62,"*碧归*")*307)/1024)</f>
        <v>0.176868146929785</v>
      </c>
      <c r="CN62">
        <f ca="1" t="shared" si="65"/>
        <v>1647575.791039</v>
      </c>
      <c r="CO62">
        <f ca="1" t="shared" si="66"/>
        <v>2.3262602208</v>
      </c>
      <c r="CP62">
        <f ca="1" t="shared" si="67"/>
        <v>1665277.50537977</v>
      </c>
      <c r="CQ62">
        <f ca="1" t="shared" si="89"/>
        <v>1.8815754648</v>
      </c>
      <c r="CR62">
        <f ca="1">IF(G62="恒定伤害",0,(IF(D62="轻剑",$CR$8,$CR$9)+IFERROR(INDEX(技能数据库!$T$2:$W$27,MATCH(E62,技能数据库!$T$2:$T$27,0),4),0)+COUNTIF(G62,"*造化2*")*154+COUNTIF(G62,"*造化1*")*102+COUNTIF(G62,"*碧归*")*307)/1024)</f>
        <v>0.167102521929785</v>
      </c>
      <c r="CS62">
        <f ca="1" t="shared" si="68"/>
        <v>1575281.70620915</v>
      </c>
    </row>
    <row r="63" spans="4:97">
      <c r="D63" t="s">
        <v>1825</v>
      </c>
      <c r="E63" t="s">
        <v>2801</v>
      </c>
      <c r="G63" t="s">
        <v>2948</v>
      </c>
      <c r="H63">
        <f ca="1">INDEX(技能数据库!$B$2:$I$100,MATCH(无穷阵眼收益计算!$E63,技能数据库!$B$2:$B$100,0),MATCH(H$9,技能数据库!$B$2:$I$2,0))</f>
        <v>291</v>
      </c>
      <c r="I63">
        <f ca="1">INDEX(技能数据库!$B$2:$I$100,MATCH(无穷阵眼收益计算!$E63,技能数据库!$B$2:$B$100,0),MATCH(I$9,技能数据库!$B$2:$I$2,0))</f>
        <v>1.8875</v>
      </c>
      <c r="J63">
        <f ca="1">INDEX(技能数据库!$B$2:$I$100,MATCH(无穷阵眼收益计算!$E63,技能数据库!$B$2:$B$100,0),MATCH(J$9,技能数据库!$B$2:$I$2,0))</f>
        <v>2</v>
      </c>
      <c r="K63">
        <f ca="1">INDEX(技能数据库!$B$2:$I$100,MATCH(无穷阵眼收益计算!$E63,技能数据库!$B$2:$B$100,0),MATCH(K$9,技能数据库!$B$2:$I$2,0))</f>
        <v>0</v>
      </c>
      <c r="L63">
        <f ca="1" t="shared" si="13"/>
        <v>91975</v>
      </c>
      <c r="M63">
        <f ca="1" t="shared" si="73"/>
        <v>19530.5</v>
      </c>
      <c r="N63">
        <f ca="1" t="shared" si="74"/>
        <v>92028</v>
      </c>
      <c r="O63">
        <f ca="1" t="shared" si="54"/>
        <v>212954.8125</v>
      </c>
      <c r="P63">
        <f ca="1">IF(G63="恒定伤害",0,(IF(D63="轻剑",$AZ$2,$AZ$3)+IFERROR(INDEX(技能数据库!$T$2:$W$27,MATCH(E63,技能数据库!$T$2:$T$27,0),4),0)+COUNTIF(G63,"*造化2*")*154+COUNTIF(G63,"*造化1*")*102+COUNTIF(G63,"*碧归*")*307)/1024)</f>
        <v>0.116321271929785</v>
      </c>
      <c r="Q63">
        <f ca="1" t="shared" si="82"/>
        <v>0.448284482196154</v>
      </c>
      <c r="R63">
        <f ca="1" t="shared" si="55"/>
        <v>0.32958230397716</v>
      </c>
      <c r="S63">
        <f ca="1" t="shared" si="75"/>
        <v>230821.365593173</v>
      </c>
      <c r="T63">
        <f t="shared" si="76"/>
        <v>0.8</v>
      </c>
      <c r="U63">
        <f ca="1" t="shared" si="83"/>
        <v>2.67001635480339</v>
      </c>
      <c r="V63">
        <f ca="1" t="shared" si="77"/>
        <v>677694.549411999</v>
      </c>
      <c r="W63">
        <f ca="1">IF(G63="恒定伤害",0,MIN(1,IF(COUNTIF(F63,"*内会*")&gt;0,内会2,IF(D63="轻剑",$Y$2,$Y$3)+COUNTIF(G63,"*莺鸣*")*0.2+COUNTIF(G63,"*叠1*")*0.1+COUNTIF(G63,"*叠2*")*0.2+COUNTIF(G63,"*叠3*")*0.3)+IFERROR(INDEX(技能数据库!$T$2:$W$27,MATCH(E63,技能数据库!$T$2:$T$27,0),2),0)+IF((IF(D63="轻剑",$AO$2,$AO$3)+INT(COUNTIF(G63,"*大莺鸣*")*IF(D63="轻剑",$AM$2,$AM$3)*听晓无双率)/无双系数)&gt;0.9,特效裤子会心/会心系数,0)))</f>
        <v>0.9043</v>
      </c>
      <c r="X63">
        <f ca="1">IF(G63="恒定伤害",0,IF(COUNTIF(F63,"*内会*")&gt;0,内会效2,IF(D63="轻剑",$AB$2,$AB$3))+IFERROR(INDEX(技能数据库!$T$2:$W$27,MATCH(E63,技能数据库!$T$2:$T$27,0),3)/1024,0))+COUNTIF(G63,"*叠1*")*0.25+COUNTIF(G63,"*叠2*")*0.5+COUNTIF(G63,"*叠3*")*0.75</f>
        <v>2.1773735021</v>
      </c>
      <c r="Y63">
        <f ca="1" t="shared" si="78"/>
        <v>2.06469885794903</v>
      </c>
      <c r="Z63">
        <f t="shared" si="16"/>
        <v>0.150390625</v>
      </c>
      <c r="AA63">
        <f ca="1" t="shared" si="79"/>
        <v>0.0205078125</v>
      </c>
      <c r="AB63">
        <f ca="1" t="shared" si="80"/>
        <v>1642677.7620613</v>
      </c>
      <c r="AC63">
        <f ca="1">无穷技能数计算!$AJ55</f>
        <v>0</v>
      </c>
      <c r="AD63" s="164">
        <f ca="1" t="shared" si="81"/>
        <v>0</v>
      </c>
      <c r="AE63" s="168"/>
      <c r="AF63" s="168">
        <f ca="1" t="shared" si="17"/>
        <v>0.9057</v>
      </c>
      <c r="AG63">
        <f ca="1">无穷技能数计算!$AJ55</f>
        <v>0</v>
      </c>
      <c r="AH63">
        <f ca="1" t="shared" si="18"/>
        <v>96007</v>
      </c>
      <c r="AJ63">
        <f ca="1" t="shared" si="19"/>
        <v>2.3765922521</v>
      </c>
      <c r="AK63">
        <f ca="1" t="shared" si="56"/>
        <v>221042.2125</v>
      </c>
      <c r="AL63">
        <f ca="1" t="shared" si="20"/>
        <v>1855937.3647011</v>
      </c>
      <c r="AM63" s="169">
        <f ca="1" t="shared" si="21"/>
        <v>0.9272</v>
      </c>
      <c r="AN63">
        <f ca="1">无穷技能数计算!$AJ55</f>
        <v>0</v>
      </c>
      <c r="AO63" s="170">
        <f ca="1" t="shared" si="22"/>
        <v>1880385.54972151</v>
      </c>
      <c r="AP63">
        <f ca="1" t="shared" si="23"/>
        <v>97084</v>
      </c>
      <c r="AQ63" s="170">
        <f ca="1" t="shared" si="57"/>
        <v>222598.05</v>
      </c>
      <c r="AR63">
        <f ca="1" t="shared" si="84"/>
        <v>1817799.02491852</v>
      </c>
      <c r="AS63">
        <f ca="1" t="shared" si="25"/>
        <v>0.9843</v>
      </c>
      <c r="AT63">
        <f ca="1">无穷技能数计算!$AJ55</f>
        <v>0</v>
      </c>
      <c r="AU63">
        <f ca="1" t="shared" si="26"/>
        <v>2.3238578771</v>
      </c>
      <c r="AV63">
        <f ca="1" t="shared" si="85"/>
        <v>2.68954760480339</v>
      </c>
      <c r="AW63">
        <f ca="1" t="shared" si="58"/>
        <v>1842080.22781046</v>
      </c>
      <c r="AX63">
        <f ca="1" t="shared" si="28"/>
        <v>0.9743</v>
      </c>
      <c r="AY63">
        <f ca="1">无穷技能数计算!$AJ55</f>
        <v>0</v>
      </c>
      <c r="AZ63" s="170">
        <f ca="1" t="shared" si="59"/>
        <v>1831491.54003005</v>
      </c>
      <c r="BA63">
        <f ca="1" t="shared" si="29"/>
        <v>0.9643</v>
      </c>
      <c r="BB63">
        <f ca="1">无穷技能数计算!$AJ55</f>
        <v>0</v>
      </c>
      <c r="BC63" s="170">
        <f ca="1" t="shared" si="60"/>
        <v>1820902.85224963</v>
      </c>
      <c r="BE63">
        <f ca="1" t="shared" si="30"/>
        <v>91977</v>
      </c>
      <c r="BF63">
        <f ca="1" t="shared" si="31"/>
        <v>212958.5875</v>
      </c>
      <c r="BI63">
        <f ca="1" t="shared" si="32"/>
        <v>0.9543</v>
      </c>
      <c r="BJ63">
        <f ca="1">无穷技能数计算!$AJ55</f>
        <v>0</v>
      </c>
      <c r="BK63">
        <f ca="1" t="shared" si="33"/>
        <v>1800192.72258323</v>
      </c>
      <c r="BM63">
        <f ca="1" t="shared" si="34"/>
        <v>95358</v>
      </c>
      <c r="BN63">
        <f ca="1" t="shared" si="35"/>
        <v>219340.225</v>
      </c>
      <c r="BO63">
        <f ca="1" t="shared" si="86"/>
        <v>1827261.60124532</v>
      </c>
      <c r="BP63">
        <f ca="1" t="shared" si="87"/>
        <v>1742554.0139267</v>
      </c>
      <c r="BR63">
        <f ca="1" t="shared" si="38"/>
        <v>0.9543</v>
      </c>
      <c r="BS63">
        <f ca="1" t="shared" si="39"/>
        <v>1801775.70539606</v>
      </c>
      <c r="BT63">
        <f ca="1" t="shared" si="40"/>
        <v>0.318170800459405</v>
      </c>
      <c r="BU63">
        <f ca="1" t="shared" si="41"/>
        <v>2.3238578771</v>
      </c>
      <c r="BV63">
        <f ca="1" t="shared" si="61"/>
        <v>1831382.06909808</v>
      </c>
      <c r="BW63">
        <f ca="1" t="shared" si="42"/>
        <v>99155</v>
      </c>
      <c r="BX63">
        <f ca="1" t="shared" si="43"/>
        <v>226507.0625</v>
      </c>
      <c r="BY63">
        <f ca="1" t="shared" si="44"/>
        <v>0.9343</v>
      </c>
      <c r="BZ63">
        <f ca="1">无穷技能数计算!$AJ55</f>
        <v>0</v>
      </c>
      <c r="CA63">
        <f ca="1" t="shared" si="45"/>
        <v>2.3277641271</v>
      </c>
      <c r="CB63">
        <f ca="1" t="shared" si="62"/>
        <v>1896010.40865344</v>
      </c>
      <c r="CC63">
        <f ca="1" t="shared" si="46"/>
        <v>100975</v>
      </c>
      <c r="CD63">
        <f ca="1" t="shared" si="47"/>
        <v>229942.3125</v>
      </c>
      <c r="CE63">
        <f ca="1" t="shared" si="48"/>
        <v>1858033.69339288</v>
      </c>
      <c r="CF63">
        <f ca="1" t="shared" si="49"/>
        <v>2.2750297521</v>
      </c>
      <c r="CG63">
        <f ca="1" t="shared" si="50"/>
        <v>0.9343</v>
      </c>
      <c r="CH63">
        <f ca="1" t="shared" si="63"/>
        <v>1752648.19101881</v>
      </c>
      <c r="CJ63">
        <f ca="1" t="shared" si="51"/>
        <v>219340.225</v>
      </c>
      <c r="CK63">
        <f ca="1" t="shared" si="88"/>
        <v>1818984.2057804</v>
      </c>
      <c r="CL63">
        <f ca="1" t="shared" si="64"/>
        <v>2.2976860021</v>
      </c>
      <c r="CM63">
        <f ca="1">IF(G63="恒定伤害",0,(IF(D63="轻剑",$CM$8,$CM$9)+IFERROR(INDEX(技能数据库!$T$2:$W$27,MATCH(E63,技能数据库!$T$2:$T$27,0),4),0)+COUNTIF(G63,"*造化2*")*154+COUNTIF(G63,"*造化1*")*102+COUNTIF(G63,"*碧归*")*307)/1024)</f>
        <v>0.176868146929785</v>
      </c>
      <c r="CN63">
        <f ca="1" t="shared" si="65"/>
        <v>1865557.07014903</v>
      </c>
      <c r="CO63">
        <f ca="1" t="shared" si="66"/>
        <v>2.3262602208</v>
      </c>
      <c r="CP63">
        <f ca="1" t="shared" si="67"/>
        <v>1888068.34549809</v>
      </c>
      <c r="CQ63">
        <f ca="1" t="shared" si="89"/>
        <v>2.77157885480339</v>
      </c>
      <c r="CR63">
        <f ca="1">IF(G63="恒定伤害",0,(IF(D63="轻剑",$CR$8,$CR$9)+IFERROR(INDEX(技能数据库!$T$2:$W$27,MATCH(E63,技能数据库!$T$2:$T$27,0),4),0)+COUNTIF(G63,"*造化2*")*154+COUNTIF(G63,"*造化1*")*102+COUNTIF(G63,"*碧归*")*307)/1024)</f>
        <v>0.167102521929785</v>
      </c>
      <c r="CS63">
        <f ca="1" t="shared" si="68"/>
        <v>1764929.5621968</v>
      </c>
    </row>
    <row r="64" spans="4:97">
      <c r="D64" t="s">
        <v>1825</v>
      </c>
      <c r="E64" t="s">
        <v>2801</v>
      </c>
      <c r="G64" t="s">
        <v>3044</v>
      </c>
      <c r="H64">
        <f ca="1">INDEX(技能数据库!$B$2:$I$100,MATCH(无穷阵眼收益计算!$E64,技能数据库!$B$2:$B$100,0),MATCH(H$9,技能数据库!$B$2:$I$2,0))</f>
        <v>291</v>
      </c>
      <c r="I64">
        <f ca="1">INDEX(技能数据库!$B$2:$I$100,MATCH(无穷阵眼收益计算!$E64,技能数据库!$B$2:$B$100,0),MATCH(I$9,技能数据库!$B$2:$I$2,0))</f>
        <v>1.8875</v>
      </c>
      <c r="J64">
        <f ca="1">INDEX(技能数据库!$B$2:$I$100,MATCH(无穷阵眼收益计算!$E64,技能数据库!$B$2:$B$100,0),MATCH(J$9,技能数据库!$B$2:$I$2,0))</f>
        <v>2</v>
      </c>
      <c r="K64">
        <f ca="1">INDEX(技能数据库!$B$2:$I$100,MATCH(无穷阵眼收益计算!$E64,技能数据库!$B$2:$B$100,0),MATCH(K$9,技能数据库!$B$2:$I$2,0))</f>
        <v>0</v>
      </c>
      <c r="L64">
        <f ca="1" t="shared" si="13"/>
        <v>105847</v>
      </c>
      <c r="M64">
        <f ca="1" t="shared" si="73"/>
        <v>19530.5</v>
      </c>
      <c r="N64">
        <f ca="1" t="shared" si="74"/>
        <v>92028</v>
      </c>
      <c r="O64">
        <f ca="1" t="shared" si="54"/>
        <v>239138.2125</v>
      </c>
      <c r="P64">
        <f ca="1">IF(G64="恒定伤害",0,(IF(D64="轻剑",$AZ$2,$AZ$3)+IFERROR(INDEX(技能数据库!$T$2:$W$27,MATCH(E64,技能数据库!$T$2:$T$27,0),4),0)+COUNTIF(G64,"*造化2*")*154+COUNTIF(G64,"*造化1*")*102+COUNTIF(G64,"*碧归*")*307)/1024)</f>
        <v>0.116321271929785</v>
      </c>
      <c r="Q64">
        <f ca="1" t="shared" si="82"/>
        <v>0.448284482196154</v>
      </c>
      <c r="R64">
        <f ca="1" t="shared" si="55"/>
        <v>0.21277697966198</v>
      </c>
      <c r="S64">
        <f ca="1" t="shared" si="75"/>
        <v>304361.588450856</v>
      </c>
      <c r="T64">
        <f t="shared" si="76"/>
        <v>0.8</v>
      </c>
      <c r="U64">
        <f ca="1" t="shared" si="83"/>
        <v>2.67001635480339</v>
      </c>
      <c r="V64">
        <f ca="1" t="shared" si="77"/>
        <v>893609.605910865</v>
      </c>
      <c r="W64">
        <f ca="1">IF(G64="恒定伤害",0,MIN(1,IF(COUNTIF(F64,"*内会*")&gt;0,内会2,IF(D64="轻剑",$Y$2,$Y$3)+COUNTIF(G64,"*莺鸣*")*0.2+COUNTIF(G64,"*叠1*")*0.1+COUNTIF(G64,"*叠2*")*0.2+COUNTIF(G64,"*叠3*")*0.3)+IFERROR(INDEX(技能数据库!$T$2:$W$27,MATCH(E64,技能数据库!$T$2:$T$27,0),2),0)+IF((IF(D64="轻剑",$AO$2,$AO$3)+INT(COUNTIF(G64,"*大莺鸣*")*IF(D64="轻剑",$AM$2,$AM$3)*听晓无双率)/无双系数)&gt;0.9,特效裤子会心/会心系数,0)))</f>
        <v>0.9043</v>
      </c>
      <c r="X64">
        <f ca="1">IF(G64="恒定伤害",0,IF(COUNTIF(F64,"*内会*")&gt;0,内会效2,IF(D64="轻剑",$AB$2,$AB$3))+IFERROR(INDEX(技能数据库!$T$2:$W$27,MATCH(E64,技能数据库!$T$2:$T$27,0),3)/1024,0))+COUNTIF(G64,"*叠1*")*0.25+COUNTIF(G64,"*叠2*")*0.5+COUNTIF(G64,"*叠3*")*0.75</f>
        <v>2.1773735021</v>
      </c>
      <c r="Y64">
        <f ca="1" t="shared" si="78"/>
        <v>2.06469885794903</v>
      </c>
      <c r="Z64">
        <f t="shared" si="16"/>
        <v>0.150390625</v>
      </c>
      <c r="AA64">
        <f ca="1" t="shared" si="79"/>
        <v>0.0205078125</v>
      </c>
      <c r="AB64">
        <f ca="1" t="shared" si="80"/>
        <v>2166038.71001733</v>
      </c>
      <c r="AC64">
        <f ca="1">无穷技能数计算!$AJ56</f>
        <v>0</v>
      </c>
      <c r="AD64" s="164">
        <f ca="1" t="shared" si="81"/>
        <v>0</v>
      </c>
      <c r="AE64" s="168"/>
      <c r="AF64" s="168">
        <f ca="1" t="shared" si="17"/>
        <v>0.9057</v>
      </c>
      <c r="AG64">
        <f ca="1">无穷技能数计算!$AJ56</f>
        <v>0</v>
      </c>
      <c r="AH64">
        <f ca="1" t="shared" si="18"/>
        <v>109879</v>
      </c>
      <c r="AJ64">
        <f ca="1" t="shared" si="19"/>
        <v>2.3765922521</v>
      </c>
      <c r="AK64">
        <f ca="1" t="shared" si="56"/>
        <v>247225.6125</v>
      </c>
      <c r="AL64">
        <f ca="1" t="shared" si="20"/>
        <v>2437439.66437405</v>
      </c>
      <c r="AM64" s="169">
        <f ca="1" t="shared" si="21"/>
        <v>0.9272</v>
      </c>
      <c r="AN64">
        <f ca="1">无穷技能数计算!$AJ56</f>
        <v>0</v>
      </c>
      <c r="AO64" s="170">
        <f ca="1" t="shared" si="22"/>
        <v>2469547.95478518</v>
      </c>
      <c r="AP64">
        <f ca="1" t="shared" si="23"/>
        <v>110956</v>
      </c>
      <c r="AQ64" s="170">
        <f ca="1" t="shared" si="57"/>
        <v>248781.45</v>
      </c>
      <c r="AR64">
        <f ca="1" t="shared" si="84"/>
        <v>2385584.59472775</v>
      </c>
      <c r="AS64">
        <f ca="1" t="shared" si="25"/>
        <v>0.9843</v>
      </c>
      <c r="AT64">
        <f ca="1">无穷技能数计算!$AJ56</f>
        <v>0</v>
      </c>
      <c r="AU64">
        <f ca="1" t="shared" si="26"/>
        <v>2.3238578771</v>
      </c>
      <c r="AV64">
        <f ca="1" t="shared" si="85"/>
        <v>2.68954760480339</v>
      </c>
      <c r="AW64">
        <f ca="1" t="shared" si="58"/>
        <v>2428971.26420471</v>
      </c>
      <c r="AX64">
        <f ca="1" t="shared" si="28"/>
        <v>0.9743</v>
      </c>
      <c r="AY64">
        <f ca="1">无穷技能数计算!$AJ56</f>
        <v>0</v>
      </c>
      <c r="AZ64" s="170">
        <f ca="1" t="shared" si="59"/>
        <v>2415008.99591912</v>
      </c>
      <c r="BA64">
        <f ca="1" t="shared" si="29"/>
        <v>0.9643</v>
      </c>
      <c r="BB64">
        <f ca="1">无穷技能数计算!$AJ56</f>
        <v>0</v>
      </c>
      <c r="BC64" s="170">
        <f ca="1" t="shared" si="60"/>
        <v>2401046.72763353</v>
      </c>
      <c r="BE64">
        <f ca="1" t="shared" si="30"/>
        <v>105849</v>
      </c>
      <c r="BF64">
        <f ca="1" t="shared" si="31"/>
        <v>239141.9875</v>
      </c>
      <c r="BI64">
        <f ca="1" t="shared" si="32"/>
        <v>0.9543</v>
      </c>
      <c r="BJ64">
        <f ca="1">无穷技能数计算!$AJ56</f>
        <v>0</v>
      </c>
      <c r="BK64">
        <f ca="1" t="shared" si="33"/>
        <v>2373733.69544027</v>
      </c>
      <c r="BM64">
        <f ca="1" t="shared" si="34"/>
        <v>109230</v>
      </c>
      <c r="BN64">
        <f ca="1" t="shared" si="35"/>
        <v>245523.625</v>
      </c>
      <c r="BO64">
        <f ca="1" t="shared" si="86"/>
        <v>2401751.36973843</v>
      </c>
      <c r="BP64">
        <f ca="1" t="shared" si="87"/>
        <v>2290411.77625544</v>
      </c>
      <c r="BR64">
        <f ca="1" t="shared" si="38"/>
        <v>0.9543</v>
      </c>
      <c r="BS64">
        <f ca="1" t="shared" si="39"/>
        <v>2368252.72607227</v>
      </c>
      <c r="BT64">
        <f ca="1" t="shared" si="40"/>
        <v>0.196995876306796</v>
      </c>
      <c r="BU64">
        <f ca="1" t="shared" si="41"/>
        <v>2.3238578771</v>
      </c>
      <c r="BV64">
        <f ca="1" t="shared" si="61"/>
        <v>2422047.50439576</v>
      </c>
      <c r="BW64">
        <f ca="1" t="shared" si="42"/>
        <v>113027</v>
      </c>
      <c r="BX64">
        <f ca="1" t="shared" si="43"/>
        <v>252690.4625</v>
      </c>
      <c r="BY64">
        <f ca="1" t="shared" si="44"/>
        <v>0.9343</v>
      </c>
      <c r="BZ64">
        <f ca="1">无穷技能数计算!$AJ56</f>
        <v>0</v>
      </c>
      <c r="CA64">
        <f ca="1" t="shared" si="45"/>
        <v>2.3277641271</v>
      </c>
      <c r="CB64">
        <f ca="1" t="shared" si="62"/>
        <v>2483705.71058282</v>
      </c>
      <c r="CC64">
        <f ca="1" t="shared" si="46"/>
        <v>114847</v>
      </c>
      <c r="CD64">
        <f ca="1" t="shared" si="47"/>
        <v>256125.7125</v>
      </c>
      <c r="CE64">
        <f ca="1" t="shared" si="48"/>
        <v>2430189.75844442</v>
      </c>
      <c r="CF64">
        <f ca="1" t="shared" si="49"/>
        <v>2.2750297521</v>
      </c>
      <c r="CG64">
        <f ca="1" t="shared" si="50"/>
        <v>0.9343</v>
      </c>
      <c r="CH64">
        <f ca="1" t="shared" si="63"/>
        <v>2311045.9729027</v>
      </c>
      <c r="CJ64">
        <f ca="1" t="shared" si="51"/>
        <v>245523.625</v>
      </c>
      <c r="CK64">
        <f ca="1" t="shared" si="88"/>
        <v>2390871.56693288</v>
      </c>
      <c r="CL64">
        <f ca="1" t="shared" si="64"/>
        <v>2.2976860021</v>
      </c>
      <c r="CM64">
        <f ca="1">IF(G64="恒定伤害",0,(IF(D64="轻剑",$CM$8,$CM$9)+IFERROR(INDEX(技能数据库!$T$2:$W$27,MATCH(E64,技能数据库!$T$2:$T$27,0),4),0)+COUNTIF(G64,"*造化2*")*154+COUNTIF(G64,"*造化1*")*102+COUNTIF(G64,"*碧归*")*307)/1024)</f>
        <v>0.176868146929785</v>
      </c>
      <c r="CN64">
        <f ca="1" t="shared" si="65"/>
        <v>2459927.88300649</v>
      </c>
      <c r="CO64">
        <f ca="1" t="shared" si="66"/>
        <v>2.3262602208</v>
      </c>
      <c r="CP64">
        <f ca="1" t="shared" si="67"/>
        <v>2489611.30293466</v>
      </c>
      <c r="CQ64">
        <f ca="1" t="shared" si="89"/>
        <v>2.77157885480339</v>
      </c>
      <c r="CR64">
        <f ca="1">IF(G64="恒定伤害",0,(IF(D64="轻剑",$CR$8,$CR$9)+IFERROR(INDEX(技能数据库!$T$2:$W$27,MATCH(E64,技能数据库!$T$2:$T$27,0),4),0)+COUNTIF(G64,"*造化2*")*154+COUNTIF(G64,"*造化1*")*102+COUNTIF(G64,"*碧归*")*307)/1024)</f>
        <v>0.167102521929785</v>
      </c>
      <c r="CS64">
        <f ca="1" t="shared" si="68"/>
        <v>2327240.21744537</v>
      </c>
    </row>
    <row r="65" spans="4:97">
      <c r="D65" t="s">
        <v>1825</v>
      </c>
      <c r="E65" t="s">
        <v>2792</v>
      </c>
      <c r="H65">
        <f ca="1">INDEX(技能数据库!$B$2:$I$100,MATCH(无穷阵眼收益计算!$E65,技能数据库!$B$2:$B$100,0),MATCH(H$9,技能数据库!$B$2:$I$2,0))</f>
        <v>0</v>
      </c>
      <c r="I65">
        <f ca="1">INDEX(技能数据库!$B$2:$I$100,MATCH(无穷阵眼收益计算!$E65,技能数据库!$B$2:$B$100,0),MATCH(I$9,技能数据库!$B$2:$I$2,0))</f>
        <v>0.16875</v>
      </c>
      <c r="J65">
        <f ca="1">INDEX(技能数据库!$B$2:$I$100,MATCH(无穷阵眼收益计算!$E65,技能数据库!$B$2:$B$100,0),MATCH(J$9,技能数据库!$B$2:$I$2,0))</f>
        <v>1</v>
      </c>
      <c r="K65">
        <f ca="1">INDEX(技能数据库!$B$2:$I$100,MATCH(无穷阵眼收益计算!$E65,技能数据库!$B$2:$B$100,0),MATCH(K$9,技能数据库!$B$2:$I$2,0))</f>
        <v>0</v>
      </c>
      <c r="L65">
        <f ca="1" t="shared" si="13"/>
        <v>91975</v>
      </c>
      <c r="M65">
        <f ca="1" t="shared" si="73"/>
        <v>19530.5</v>
      </c>
      <c r="N65">
        <f ca="1" t="shared" si="74"/>
        <v>92028</v>
      </c>
      <c r="O65">
        <f ca="1" t="shared" si="54"/>
        <v>35051.28125</v>
      </c>
      <c r="P65">
        <f ca="1">IF(G65="恒定伤害",0,(IF(D65="轻剑",$AZ$2,$AZ$3)+IFERROR(INDEX(技能数据库!$T$2:$W$27,MATCH(E65,技能数据库!$T$2:$T$27,0),4),0)+COUNTIF(G65,"*造化2*")*154+COUNTIF(G65,"*造化1*")*102+COUNTIF(G65,"*碧归*")*307)/1024)</f>
        <v>0.316516584429785</v>
      </c>
      <c r="Q65">
        <f ca="1" t="shared" si="82"/>
        <v>0.448284482196154</v>
      </c>
      <c r="R65">
        <f ca="1" t="shared" si="55"/>
        <v>0.32958230397716</v>
      </c>
      <c r="S65">
        <f ca="1" t="shared" si="75"/>
        <v>44805.319503863</v>
      </c>
      <c r="T65">
        <f t="shared" si="76"/>
        <v>0.8</v>
      </c>
      <c r="U65">
        <f ca="1" t="shared" si="83"/>
        <v>1.7800129648</v>
      </c>
      <c r="V65">
        <f ca="1" t="shared" si="77"/>
        <v>99647.4952901964</v>
      </c>
      <c r="W65">
        <f ca="1">IF(G65="恒定伤害",0,MIN(1,IF(COUNTIF(F65,"*内会*")&gt;0,内会2,IF(D65="轻剑",$Y$2,$Y$3)+COUNTIF(G65,"*莺鸣*")*0.2+COUNTIF(G65,"*叠1*")*0.1+COUNTIF(G65,"*叠2*")*0.2+COUNTIF(G65,"*叠3*")*0.3)+IFERROR(INDEX(技能数据库!$T$2:$W$27,MATCH(E65,技能数据库!$T$2:$T$27,0),2),0)+IF((IF(D65="轻剑",$AO$2,$AO$3)+INT(COUNTIF(G65,"*大莺鸣*")*IF(D65="轻剑",$AM$2,$AM$3)*听晓无双率)/无双系数)&gt;0.9,特效裤子会心/会心系数,0)))</f>
        <v>0.7043</v>
      </c>
      <c r="X65">
        <f ca="1">IF(G65="恒定伤害",0,IF(COUNTIF(F65,"*内会*")&gt;0,内会效2,IF(D65="轻剑",$AB$2,$AB$3))+IFERROR(INDEX(技能数据库!$T$2:$W$27,MATCH(E65,技能数据库!$T$2:$T$27,0),3)/1024,0))+COUNTIF(G65,"*叠1*")*0.25+COUNTIF(G65,"*叠2*")*0.5+COUNTIF(G65,"*叠3*")*0.75</f>
        <v>2.1773735021</v>
      </c>
      <c r="Y65">
        <f ca="1" t="shared" si="78"/>
        <v>1.82922415752903</v>
      </c>
      <c r="Z65">
        <f t="shared" si="16"/>
        <v>0.150390625</v>
      </c>
      <c r="AA65">
        <f ca="1" t="shared" si="79"/>
        <v>0.0205078125</v>
      </c>
      <c r="AB65">
        <f ca="1" t="shared" si="80"/>
        <v>213990.741059156</v>
      </c>
      <c r="AC65">
        <f ca="1">无穷技能数计算!$AJ57</f>
        <v>0</v>
      </c>
      <c r="AD65" s="164">
        <f ca="1" t="shared" si="81"/>
        <v>0</v>
      </c>
      <c r="AE65" s="168"/>
      <c r="AF65" s="168">
        <f ca="1" t="shared" si="17"/>
        <v>0.7057</v>
      </c>
      <c r="AG65">
        <f ca="1">无穷技能数计算!$AJ57</f>
        <v>0</v>
      </c>
      <c r="AH65">
        <f ca="1" t="shared" si="18"/>
        <v>96007</v>
      </c>
      <c r="AJ65">
        <f ca="1" t="shared" si="19"/>
        <v>2.3765922521</v>
      </c>
      <c r="AK65">
        <f ca="1" t="shared" si="56"/>
        <v>35970.18125</v>
      </c>
      <c r="AL65">
        <f ca="1" t="shared" si="20"/>
        <v>236741.518712673</v>
      </c>
      <c r="AM65" s="169">
        <f ca="1" t="shared" si="21"/>
        <v>0.7272</v>
      </c>
      <c r="AN65">
        <f ca="1">无穷技能数计算!$AJ57</f>
        <v>0</v>
      </c>
      <c r="AO65" s="170">
        <f ca="1" t="shared" si="22"/>
        <v>240295.621521456</v>
      </c>
      <c r="AP65">
        <f ca="1" t="shared" si="23"/>
        <v>97084</v>
      </c>
      <c r="AQ65" s="170">
        <f ca="1" t="shared" si="57"/>
        <v>35913.425</v>
      </c>
      <c r="AR65">
        <f ca="1" t="shared" si="84"/>
        <v>232117.295549915</v>
      </c>
      <c r="AS65">
        <f ca="1" t="shared" si="25"/>
        <v>0.7843</v>
      </c>
      <c r="AT65">
        <f ca="1">无穷技能数计算!$AJ57</f>
        <v>0</v>
      </c>
      <c r="AU65">
        <f ca="1" t="shared" si="26"/>
        <v>2.3238578771</v>
      </c>
      <c r="AV65">
        <f ca="1" t="shared" si="85"/>
        <v>1.7995442148</v>
      </c>
      <c r="AW65">
        <f ca="1" t="shared" si="58"/>
        <v>240124.812015515</v>
      </c>
      <c r="AX65">
        <f ca="1" t="shared" si="28"/>
        <v>0.7743</v>
      </c>
      <c r="AY65">
        <f ca="1">无穷技能数计算!$AJ57</f>
        <v>0</v>
      </c>
      <c r="AZ65" s="170">
        <f ca="1" t="shared" si="59"/>
        <v>238565.223860701</v>
      </c>
      <c r="BA65">
        <f ca="1" t="shared" si="29"/>
        <v>0.7643</v>
      </c>
      <c r="BB65">
        <f ca="1">无穷技能数计算!$AJ57</f>
        <v>0</v>
      </c>
      <c r="BC65" s="170">
        <f ca="1" t="shared" si="60"/>
        <v>237005.635705887</v>
      </c>
      <c r="BE65">
        <f ca="1" t="shared" si="30"/>
        <v>91977</v>
      </c>
      <c r="BF65">
        <f ca="1" t="shared" si="31"/>
        <v>35051.61875</v>
      </c>
      <c r="BI65">
        <f ca="1" t="shared" si="32"/>
        <v>0.7543</v>
      </c>
      <c r="BJ65">
        <f ca="1">无穷技能数计算!$AJ57</f>
        <v>0</v>
      </c>
      <c r="BK65">
        <f ca="1" t="shared" si="33"/>
        <v>235743.939545784</v>
      </c>
      <c r="BM65">
        <f ca="1" t="shared" si="34"/>
        <v>95358</v>
      </c>
      <c r="BN65">
        <f ca="1" t="shared" si="35"/>
        <v>35622.1625</v>
      </c>
      <c r="BO65">
        <f ca="1" t="shared" si="86"/>
        <v>234870.725865414</v>
      </c>
      <c r="BP65">
        <f ca="1" t="shared" si="87"/>
        <v>223982.666648128</v>
      </c>
      <c r="BR65">
        <f ca="1" t="shared" si="38"/>
        <v>0.7543</v>
      </c>
      <c r="BS65">
        <f ca="1" t="shared" si="39"/>
        <v>232815.202615858</v>
      </c>
      <c r="BT65">
        <f ca="1" t="shared" si="40"/>
        <v>0.318170800459405</v>
      </c>
      <c r="BU65">
        <f ca="1" t="shared" si="41"/>
        <v>2.3238578771</v>
      </c>
      <c r="BV65">
        <f ca="1" t="shared" si="61"/>
        <v>237783.120170743</v>
      </c>
      <c r="BW65">
        <f ca="1" t="shared" si="42"/>
        <v>99155</v>
      </c>
      <c r="BX65">
        <f ca="1" t="shared" si="43"/>
        <v>36262.90625</v>
      </c>
      <c r="BY65">
        <f ca="1" t="shared" si="44"/>
        <v>0.7343</v>
      </c>
      <c r="BZ65">
        <f ca="1">无穷技能数计算!$AJ57</f>
        <v>0</v>
      </c>
      <c r="CA65">
        <f ca="1" t="shared" si="45"/>
        <v>2.3277641271</v>
      </c>
      <c r="CB65">
        <f ca="1" t="shared" si="62"/>
        <v>239028.039851902</v>
      </c>
      <c r="CC65">
        <f ca="1" t="shared" si="46"/>
        <v>100975</v>
      </c>
      <c r="CD65">
        <f ca="1" t="shared" si="47"/>
        <v>36570.03125</v>
      </c>
      <c r="CE65">
        <f ca="1" t="shared" si="48"/>
        <v>234382.664689256</v>
      </c>
      <c r="CF65">
        <f ca="1" t="shared" si="49"/>
        <v>2.2750297521</v>
      </c>
      <c r="CG65">
        <f ca="1" t="shared" si="50"/>
        <v>0.7343</v>
      </c>
      <c r="CH65">
        <f ca="1" t="shared" si="63"/>
        <v>228102.985711149</v>
      </c>
      <c r="CJ65">
        <f ca="1" t="shared" si="51"/>
        <v>35622.1625</v>
      </c>
      <c r="CK65">
        <f ca="1" t="shared" si="88"/>
        <v>233806.774278081</v>
      </c>
      <c r="CL65">
        <f ca="1" t="shared" si="64"/>
        <v>2.2976860021</v>
      </c>
      <c r="CM65">
        <f ca="1">IF(G65="恒定伤害",0,(IF(D65="轻剑",$CM$8,$CM$9)+IFERROR(INDEX(技能数据库!$T$2:$W$27,MATCH(E65,技能数据库!$T$2:$T$27,0),4),0)+COUNTIF(G65,"*造化2*")*154+COUNTIF(G65,"*造化1*")*102+COUNTIF(G65,"*碧归*")*307)/1024)</f>
        <v>0.377063459429785</v>
      </c>
      <c r="CN65">
        <f ca="1" t="shared" si="65"/>
        <v>240643.50837937</v>
      </c>
      <c r="CO65">
        <f ca="1" t="shared" si="66"/>
        <v>2.3262602208</v>
      </c>
      <c r="CP65">
        <f ca="1" t="shared" si="67"/>
        <v>243229.005608973</v>
      </c>
      <c r="CQ65">
        <f ca="1" t="shared" si="89"/>
        <v>1.8815754648</v>
      </c>
      <c r="CR65">
        <f ca="1">IF(G65="恒定伤害",0,(IF(D65="轻剑",$CR$8,$CR$9)+IFERROR(INDEX(技能数据库!$T$2:$W$27,MATCH(E65,技能数据库!$T$2:$T$27,0),4),0)+COUNTIF(G65,"*造化2*")*154+COUNTIF(G65,"*造化1*")*102+COUNTIF(G65,"*碧归*")*307)/1024)</f>
        <v>0.367297834429785</v>
      </c>
      <c r="CS65">
        <f ca="1" t="shared" si="68"/>
        <v>230364.180221867</v>
      </c>
    </row>
    <row r="66" spans="4:97">
      <c r="D66" t="s">
        <v>1825</v>
      </c>
      <c r="E66" t="s">
        <v>2792</v>
      </c>
      <c r="G66" t="s">
        <v>2750</v>
      </c>
      <c r="H66">
        <f ca="1">INDEX(技能数据库!$B$2:$I$100,MATCH(无穷阵眼收益计算!$E66,技能数据库!$B$2:$B$100,0),MATCH(H$9,技能数据库!$B$2:$I$2,0))</f>
        <v>0</v>
      </c>
      <c r="I66">
        <f ca="1">INDEX(技能数据库!$B$2:$I$100,MATCH(无穷阵眼收益计算!$E66,技能数据库!$B$2:$B$100,0),MATCH(I$9,技能数据库!$B$2:$I$2,0))</f>
        <v>0.16875</v>
      </c>
      <c r="J66">
        <f ca="1">INDEX(技能数据库!$B$2:$I$100,MATCH(无穷阵眼收益计算!$E66,技能数据库!$B$2:$B$100,0),MATCH(J$9,技能数据库!$B$2:$I$2,0))</f>
        <v>1</v>
      </c>
      <c r="K66">
        <f ca="1">INDEX(技能数据库!$B$2:$I$100,MATCH(无穷阵眼收益计算!$E66,技能数据库!$B$2:$B$100,0),MATCH(K$9,技能数据库!$B$2:$I$2,0))</f>
        <v>0</v>
      </c>
      <c r="L66">
        <f ca="1" t="shared" si="13"/>
        <v>105847</v>
      </c>
      <c r="M66">
        <f ca="1" t="shared" si="73"/>
        <v>19530.5</v>
      </c>
      <c r="N66">
        <f ca="1" t="shared" si="74"/>
        <v>92028</v>
      </c>
      <c r="O66">
        <f ca="1" t="shared" si="54"/>
        <v>37392.18125</v>
      </c>
      <c r="P66">
        <f ca="1">IF(G66="恒定伤害",0,(IF(D66="轻剑",$AZ$2,$AZ$3)+IFERROR(INDEX(技能数据库!$T$2:$W$27,MATCH(E66,技能数据库!$T$2:$T$27,0),4),0)+COUNTIF(G66,"*造化2*")*154+COUNTIF(G66,"*造化1*")*102+COUNTIF(G66,"*碧归*")*307)/1024)</f>
        <v>0.316516584429785</v>
      </c>
      <c r="Q66">
        <f ca="1" t="shared" si="82"/>
        <v>0.448284482196154</v>
      </c>
      <c r="R66">
        <f ca="1" t="shared" si="55"/>
        <v>0.21277697966198</v>
      </c>
      <c r="S66">
        <f ca="1" t="shared" si="75"/>
        <v>56125.3157697066</v>
      </c>
      <c r="T66">
        <f t="shared" si="76"/>
        <v>0.8</v>
      </c>
      <c r="U66">
        <f ca="1" t="shared" si="83"/>
        <v>1.7800129648</v>
      </c>
      <c r="V66">
        <f ca="1" t="shared" si="77"/>
        <v>124823.284394623</v>
      </c>
      <c r="W66">
        <f ca="1">IF(G66="恒定伤害",0,MIN(1,IF(COUNTIF(F66,"*内会*")&gt;0,内会2,IF(D66="轻剑",$Y$2,$Y$3)+COUNTIF(G66,"*莺鸣*")*0.2+COUNTIF(G66,"*叠1*")*0.1+COUNTIF(G66,"*叠2*")*0.2+COUNTIF(G66,"*叠3*")*0.3)+IFERROR(INDEX(技能数据库!$T$2:$W$27,MATCH(E66,技能数据库!$T$2:$T$27,0),2),0)+IF((IF(D66="轻剑",$AO$2,$AO$3)+INT(COUNTIF(G66,"*大莺鸣*")*IF(D66="轻剑",$AM$2,$AM$3)*听晓无双率)/无双系数)&gt;0.9,特效裤子会心/会心系数,0)))</f>
        <v>0.7043</v>
      </c>
      <c r="X66">
        <f ca="1">IF(G66="恒定伤害",0,IF(COUNTIF(F66,"*内会*")&gt;0,内会效2,IF(D66="轻剑",$AB$2,$AB$3))+IFERROR(INDEX(技能数据库!$T$2:$W$27,MATCH(E66,技能数据库!$T$2:$T$27,0),3)/1024,0))+COUNTIF(G66,"*叠1*")*0.25+COUNTIF(G66,"*叠2*")*0.5+COUNTIF(G66,"*叠3*")*0.75</f>
        <v>2.1773735021</v>
      </c>
      <c r="Y66">
        <f ca="1" t="shared" si="78"/>
        <v>1.82922415752903</v>
      </c>
      <c r="Z66">
        <f t="shared" si="16"/>
        <v>0.150390625</v>
      </c>
      <c r="AA66">
        <f ca="1" t="shared" si="79"/>
        <v>0.0205078125</v>
      </c>
      <c r="AB66">
        <f ca="1" t="shared" si="80"/>
        <v>268055.178419231</v>
      </c>
      <c r="AC66">
        <f ca="1">无穷技能数计算!$AJ58</f>
        <v>46</v>
      </c>
      <c r="AD66" s="164">
        <f ca="1" t="shared" si="81"/>
        <v>0.00483247088136259</v>
      </c>
      <c r="AE66" s="168"/>
      <c r="AF66" s="168">
        <f ca="1" t="shared" si="17"/>
        <v>0.7057</v>
      </c>
      <c r="AG66">
        <f ca="1">无穷技能数计算!$AJ58</f>
        <v>46</v>
      </c>
      <c r="AH66">
        <f ca="1" t="shared" si="18"/>
        <v>109879</v>
      </c>
      <c r="AJ66">
        <f ca="1" t="shared" si="19"/>
        <v>2.3765922521</v>
      </c>
      <c r="AK66">
        <f ca="1" t="shared" si="56"/>
        <v>38311.08125</v>
      </c>
      <c r="AL66">
        <f ca="1" t="shared" si="20"/>
        <v>296079.629463774</v>
      </c>
      <c r="AM66" s="169">
        <f ca="1" t="shared" si="21"/>
        <v>0.7272</v>
      </c>
      <c r="AN66">
        <f ca="1">无穷技能数计算!$AJ58</f>
        <v>46</v>
      </c>
      <c r="AO66" s="170">
        <f ca="1" t="shared" si="22"/>
        <v>300524.550863378</v>
      </c>
      <c r="AP66">
        <f ca="1" t="shared" si="23"/>
        <v>110956</v>
      </c>
      <c r="AQ66" s="170">
        <f ca="1" t="shared" si="57"/>
        <v>38254.325</v>
      </c>
      <c r="AR66">
        <f ca="1" t="shared" si="84"/>
        <v>290324.399428964</v>
      </c>
      <c r="AS66">
        <f ca="1" t="shared" si="25"/>
        <v>0.7843</v>
      </c>
      <c r="AT66">
        <f ca="1">无穷技能数计算!$AJ58</f>
        <v>46</v>
      </c>
      <c r="AU66">
        <f ca="1" t="shared" si="26"/>
        <v>2.3238578771</v>
      </c>
      <c r="AV66">
        <f ca="1" t="shared" si="85"/>
        <v>1.7995442148</v>
      </c>
      <c r="AW66">
        <f ca="1" t="shared" si="58"/>
        <v>300791.982910651</v>
      </c>
      <c r="AX66">
        <f ca="1" t="shared" si="28"/>
        <v>0.7743</v>
      </c>
      <c r="AY66">
        <f ca="1">无穷技能数计算!$AJ58</f>
        <v>46</v>
      </c>
      <c r="AZ66" s="170">
        <f ca="1" t="shared" si="59"/>
        <v>298838.367165269</v>
      </c>
      <c r="BA66">
        <f ca="1" t="shared" si="29"/>
        <v>0.7643</v>
      </c>
      <c r="BB66">
        <f ca="1">无穷技能数计算!$AJ58</f>
        <v>46</v>
      </c>
      <c r="BC66" s="170">
        <f ca="1" t="shared" si="60"/>
        <v>296884.751419886</v>
      </c>
      <c r="BE66">
        <f ca="1" t="shared" si="30"/>
        <v>105849</v>
      </c>
      <c r="BF66">
        <f ca="1" t="shared" si="31"/>
        <v>37392.51875</v>
      </c>
      <c r="BI66">
        <f ca="1" t="shared" si="32"/>
        <v>0.7543</v>
      </c>
      <c r="BJ66">
        <f ca="1">无穷技能数计算!$AJ58</f>
        <v>46</v>
      </c>
      <c r="BK66">
        <f ca="1" t="shared" si="33"/>
        <v>295304.111624347</v>
      </c>
      <c r="BM66">
        <f ca="1" t="shared" si="34"/>
        <v>109230</v>
      </c>
      <c r="BN66">
        <f ca="1" t="shared" si="35"/>
        <v>37963.0625</v>
      </c>
      <c r="BO66">
        <f ca="1" t="shared" si="86"/>
        <v>293915.280690298</v>
      </c>
      <c r="BP66">
        <f ca="1" t="shared" si="87"/>
        <v>280290.05358194</v>
      </c>
      <c r="BR66">
        <f ca="1" t="shared" si="38"/>
        <v>0.7543</v>
      </c>
      <c r="BS66">
        <f ca="1" t="shared" si="39"/>
        <v>291343.015923658</v>
      </c>
      <c r="BT66">
        <f ca="1" t="shared" si="40"/>
        <v>0.196995876306796</v>
      </c>
      <c r="BU66">
        <f ca="1" t="shared" si="41"/>
        <v>2.3238578771</v>
      </c>
      <c r="BV66">
        <f ca="1" t="shared" si="61"/>
        <v>298744.62729976</v>
      </c>
      <c r="BW66">
        <f ca="1" t="shared" si="42"/>
        <v>113027</v>
      </c>
      <c r="BX66">
        <f ca="1" t="shared" si="43"/>
        <v>38603.80625</v>
      </c>
      <c r="BY66">
        <f ca="1" t="shared" si="44"/>
        <v>0.7343</v>
      </c>
      <c r="BZ66">
        <f ca="1">无穷技能数计算!$AJ58</f>
        <v>46</v>
      </c>
      <c r="CA66">
        <f ca="1" t="shared" si="45"/>
        <v>2.3277641271</v>
      </c>
      <c r="CB66">
        <f ca="1" t="shared" si="62"/>
        <v>298791.808104677</v>
      </c>
      <c r="CC66">
        <f ca="1" t="shared" si="46"/>
        <v>114847</v>
      </c>
      <c r="CD66">
        <f ca="1" t="shared" si="47"/>
        <v>38910.93125</v>
      </c>
      <c r="CE66">
        <f ca="1" t="shared" si="48"/>
        <v>292835.751255225</v>
      </c>
      <c r="CF66">
        <f ca="1" t="shared" si="49"/>
        <v>2.2750297521</v>
      </c>
      <c r="CG66">
        <f ca="1" t="shared" si="50"/>
        <v>0.7343</v>
      </c>
      <c r="CH66">
        <f ca="1" t="shared" si="63"/>
        <v>285732.860357068</v>
      </c>
      <c r="CJ66">
        <f ca="1" t="shared" si="51"/>
        <v>37963.0625</v>
      </c>
      <c r="CK66">
        <f ca="1" t="shared" si="88"/>
        <v>292583.860487632</v>
      </c>
      <c r="CL66">
        <f ca="1" t="shared" si="64"/>
        <v>2.2976860021</v>
      </c>
      <c r="CM66">
        <f ca="1">IF(G66="恒定伤害",0,(IF(D66="轻剑",$CM$8,$CM$9)+IFERROR(INDEX(技能数据库!$T$2:$W$27,MATCH(E66,技能数据库!$T$2:$T$27,0),4),0)+COUNTIF(G66,"*造化2*")*154+COUNTIF(G66,"*造化1*")*102+COUNTIF(G66,"*碧归*")*307)/1024)</f>
        <v>0.377063459429785</v>
      </c>
      <c r="CN66">
        <f ca="1" t="shared" si="65"/>
        <v>301441.727127014</v>
      </c>
      <c r="CO66">
        <f ca="1" t="shared" si="66"/>
        <v>2.3262602208</v>
      </c>
      <c r="CP66">
        <f ca="1" t="shared" si="67"/>
        <v>304680.446324646</v>
      </c>
      <c r="CQ66">
        <f ca="1" t="shared" si="89"/>
        <v>1.8815754648</v>
      </c>
      <c r="CR66">
        <f ca="1">IF(G66="恒定伤害",0,(IF(D66="轻剑",$CR$8,$CR$9)+IFERROR(INDEX(技能数据库!$T$2:$W$27,MATCH(E66,技能数据库!$T$2:$T$27,0),4),0)+COUNTIF(G66,"*造化2*")*154+COUNTIF(G66,"*造化1*")*102+COUNTIF(G66,"*碧归*")*307)/1024)</f>
        <v>0.367297834429785</v>
      </c>
      <c r="CS66">
        <f ca="1" t="shared" si="68"/>
        <v>288565.342243952</v>
      </c>
    </row>
    <row r="67" spans="4:97">
      <c r="D67" t="s">
        <v>1825</v>
      </c>
      <c r="E67" t="s">
        <v>2792</v>
      </c>
      <c r="G67" t="s">
        <v>2948</v>
      </c>
      <c r="H67">
        <f ca="1">INDEX(技能数据库!$B$2:$I$100,MATCH(无穷阵眼收益计算!$E67,技能数据库!$B$2:$B$100,0),MATCH(H$9,技能数据库!$B$2:$I$2,0))</f>
        <v>0</v>
      </c>
      <c r="I67">
        <f ca="1">INDEX(技能数据库!$B$2:$I$100,MATCH(无穷阵眼收益计算!$E67,技能数据库!$B$2:$B$100,0),MATCH(I$9,技能数据库!$B$2:$I$2,0))</f>
        <v>0.16875</v>
      </c>
      <c r="J67">
        <f ca="1">INDEX(技能数据库!$B$2:$I$100,MATCH(无穷阵眼收益计算!$E67,技能数据库!$B$2:$B$100,0),MATCH(J$9,技能数据库!$B$2:$I$2,0))</f>
        <v>1</v>
      </c>
      <c r="K67">
        <f ca="1">INDEX(技能数据库!$B$2:$I$100,MATCH(无穷阵眼收益计算!$E67,技能数据库!$B$2:$B$100,0),MATCH(K$9,技能数据库!$B$2:$I$2,0))</f>
        <v>0</v>
      </c>
      <c r="L67">
        <f ca="1" t="shared" si="13"/>
        <v>91975</v>
      </c>
      <c r="M67">
        <f ca="1" t="shared" si="73"/>
        <v>19530.5</v>
      </c>
      <c r="N67">
        <f ca="1" t="shared" si="74"/>
        <v>92028</v>
      </c>
      <c r="O67">
        <f ca="1" t="shared" si="54"/>
        <v>35051.28125</v>
      </c>
      <c r="P67">
        <f ca="1">IF(G67="恒定伤害",0,(IF(D67="轻剑",$AZ$2,$AZ$3)+IFERROR(INDEX(技能数据库!$T$2:$W$27,MATCH(E67,技能数据库!$T$2:$T$27,0),4),0)+COUNTIF(G67,"*造化2*")*154+COUNTIF(G67,"*造化1*")*102+COUNTIF(G67,"*碧归*")*307)/1024)</f>
        <v>0.316516584429785</v>
      </c>
      <c r="Q67">
        <f ca="1" t="shared" si="82"/>
        <v>0.448284482196154</v>
      </c>
      <c r="R67">
        <f ca="1" t="shared" si="55"/>
        <v>0.32958230397716</v>
      </c>
      <c r="S67">
        <f ca="1" t="shared" si="75"/>
        <v>44805.319503863</v>
      </c>
      <c r="T67">
        <f t="shared" si="76"/>
        <v>0.8</v>
      </c>
      <c r="U67">
        <f ca="1" t="shared" si="83"/>
        <v>2.67001635480339</v>
      </c>
      <c r="V67">
        <f ca="1" t="shared" si="77"/>
        <v>131549.004289095</v>
      </c>
      <c r="W67">
        <f ca="1">IF(G67="恒定伤害",0,MIN(1,IF(COUNTIF(F67,"*内会*")&gt;0,内会2,IF(D67="轻剑",$Y$2,$Y$3)+COUNTIF(G67,"*莺鸣*")*0.2+COUNTIF(G67,"*叠1*")*0.1+COUNTIF(G67,"*叠2*")*0.2+COUNTIF(G67,"*叠3*")*0.3)+IFERROR(INDEX(技能数据库!$T$2:$W$27,MATCH(E67,技能数据库!$T$2:$T$27,0),2),0)+IF((IF(D67="轻剑",$AO$2,$AO$3)+INT(COUNTIF(G67,"*大莺鸣*")*IF(D67="轻剑",$AM$2,$AM$3)*听晓无双率)/无双系数)&gt;0.9,特效裤子会心/会心系数,0)))</f>
        <v>0.9043</v>
      </c>
      <c r="X67">
        <f ca="1">IF(G67="恒定伤害",0,IF(COUNTIF(F67,"*内会*")&gt;0,内会效2,IF(D67="轻剑",$AB$2,$AB$3))+IFERROR(INDEX(技能数据库!$T$2:$W$27,MATCH(E67,技能数据库!$T$2:$T$27,0),3)/1024,0))+COUNTIF(G67,"*叠1*")*0.25+COUNTIF(G67,"*叠2*")*0.5+COUNTIF(G67,"*叠3*")*0.75</f>
        <v>2.1773735021</v>
      </c>
      <c r="Y67">
        <f ca="1" t="shared" si="78"/>
        <v>2.06469885794903</v>
      </c>
      <c r="Z67">
        <f t="shared" si="16"/>
        <v>0.150390625</v>
      </c>
      <c r="AA67">
        <f ca="1" t="shared" si="79"/>
        <v>0.0205078125</v>
      </c>
      <c r="AB67">
        <f ca="1" t="shared" si="80"/>
        <v>318864.338151304</v>
      </c>
      <c r="AC67">
        <f ca="1">无穷技能数计算!$AJ59</f>
        <v>0</v>
      </c>
      <c r="AD67" s="164">
        <f ca="1" t="shared" si="81"/>
        <v>0</v>
      </c>
      <c r="AE67" s="168"/>
      <c r="AF67" s="168">
        <f ca="1" t="shared" si="17"/>
        <v>0.9057</v>
      </c>
      <c r="AG67">
        <f ca="1">无穷技能数计算!$AJ59</f>
        <v>0</v>
      </c>
      <c r="AH67">
        <f ca="1" t="shared" si="18"/>
        <v>96007</v>
      </c>
      <c r="AJ67">
        <f ca="1" t="shared" si="19"/>
        <v>2.3765922521</v>
      </c>
      <c r="AK67">
        <f ca="1" t="shared" si="56"/>
        <v>35970.18125</v>
      </c>
      <c r="AL67">
        <f ca="1" t="shared" si="20"/>
        <v>356178.627800594</v>
      </c>
      <c r="AM67" s="169">
        <f ca="1" t="shared" si="21"/>
        <v>0.9272</v>
      </c>
      <c r="AN67">
        <f ca="1">无穷技能数计算!$AJ59</f>
        <v>0</v>
      </c>
      <c r="AO67" s="170">
        <f ca="1" t="shared" si="22"/>
        <v>360870.553917501</v>
      </c>
      <c r="AP67">
        <f ca="1" t="shared" si="23"/>
        <v>97084</v>
      </c>
      <c r="AQ67" s="170">
        <f ca="1" t="shared" si="57"/>
        <v>35913.425</v>
      </c>
      <c r="AR67">
        <f ca="1" t="shared" si="84"/>
        <v>345874.440420456</v>
      </c>
      <c r="AS67">
        <f ca="1" t="shared" si="25"/>
        <v>0.9843</v>
      </c>
      <c r="AT67">
        <f ca="1">无穷技能数计算!$AJ59</f>
        <v>0</v>
      </c>
      <c r="AU67">
        <f ca="1" t="shared" si="26"/>
        <v>2.3238578771</v>
      </c>
      <c r="AV67">
        <f ca="1" t="shared" si="85"/>
        <v>2.68954760480339</v>
      </c>
      <c r="AW67">
        <f ca="1" t="shared" si="58"/>
        <v>357570.855482529</v>
      </c>
      <c r="AX67">
        <f ca="1" t="shared" si="28"/>
        <v>0.9743</v>
      </c>
      <c r="AY67">
        <f ca="1">无穷技能数计算!$AJ59</f>
        <v>0</v>
      </c>
      <c r="AZ67" s="170">
        <f ca="1" t="shared" si="59"/>
        <v>355515.4584966</v>
      </c>
      <c r="BA67">
        <f ca="1" t="shared" si="29"/>
        <v>0.9643</v>
      </c>
      <c r="BB67">
        <f ca="1">无穷技能数计算!$AJ59</f>
        <v>0</v>
      </c>
      <c r="BC67" s="170">
        <f ca="1" t="shared" si="60"/>
        <v>353460.061510671</v>
      </c>
      <c r="BE67">
        <f ca="1" t="shared" si="30"/>
        <v>91977</v>
      </c>
      <c r="BF67">
        <f ca="1" t="shared" si="31"/>
        <v>35051.61875</v>
      </c>
      <c r="BI67">
        <f ca="1" t="shared" si="32"/>
        <v>0.9543</v>
      </c>
      <c r="BJ67">
        <f ca="1">无穷技能数计算!$AJ59</f>
        <v>0</v>
      </c>
      <c r="BK67">
        <f ca="1" t="shared" si="33"/>
        <v>349437.136101719</v>
      </c>
      <c r="BM67">
        <f ca="1" t="shared" si="34"/>
        <v>95358</v>
      </c>
      <c r="BN67">
        <f ca="1" t="shared" si="35"/>
        <v>35622.1625</v>
      </c>
      <c r="BO67">
        <f ca="1" t="shared" si="86"/>
        <v>349977.284921352</v>
      </c>
      <c r="BP67">
        <f ca="1" t="shared" si="87"/>
        <v>333753.154013219</v>
      </c>
      <c r="BR67">
        <f ca="1" t="shared" si="38"/>
        <v>0.9543</v>
      </c>
      <c r="BS67">
        <f ca="1" t="shared" si="39"/>
        <v>345095.945201285</v>
      </c>
      <c r="BT67">
        <f ca="1" t="shared" si="40"/>
        <v>0.318170800459405</v>
      </c>
      <c r="BU67">
        <f ca="1" t="shared" si="41"/>
        <v>2.3238578771</v>
      </c>
      <c r="BV67">
        <f ca="1" t="shared" si="61"/>
        <v>355494.208816915</v>
      </c>
      <c r="BW67">
        <f ca="1" t="shared" si="42"/>
        <v>99155</v>
      </c>
      <c r="BX67">
        <f ca="1" t="shared" si="43"/>
        <v>36262.90625</v>
      </c>
      <c r="BY67">
        <f ca="1" t="shared" si="44"/>
        <v>0.9343</v>
      </c>
      <c r="BZ67">
        <f ca="1">无穷技能数计算!$AJ59</f>
        <v>0</v>
      </c>
      <c r="CA67">
        <f ca="1" t="shared" si="45"/>
        <v>2.3277641271</v>
      </c>
      <c r="CB67">
        <f ca="1" t="shared" si="62"/>
        <v>357979.956068311</v>
      </c>
      <c r="CC67">
        <f ca="1" t="shared" si="46"/>
        <v>100975</v>
      </c>
      <c r="CD67">
        <f ca="1" t="shared" si="47"/>
        <v>36570.03125</v>
      </c>
      <c r="CE67">
        <f ca="1" t="shared" si="48"/>
        <v>348495.484971586</v>
      </c>
      <c r="CF67">
        <f ca="1" t="shared" si="49"/>
        <v>2.2750297521</v>
      </c>
      <c r="CG67">
        <f ca="1" t="shared" si="50"/>
        <v>0.9343</v>
      </c>
      <c r="CH67">
        <f ca="1" t="shared" si="63"/>
        <v>340210.976460785</v>
      </c>
      <c r="CJ67">
        <f ca="1" t="shared" si="51"/>
        <v>35622.1625</v>
      </c>
      <c r="CK67">
        <f ca="1" t="shared" si="88"/>
        <v>348391.90689499</v>
      </c>
      <c r="CL67">
        <f ca="1" t="shared" si="64"/>
        <v>2.2976860021</v>
      </c>
      <c r="CM67">
        <f ca="1">IF(G67="恒定伤害",0,(IF(D67="轻剑",$CM$8,$CM$9)+IFERROR(INDEX(技能数据库!$T$2:$W$27,MATCH(E67,技能数据库!$T$2:$T$27,0),4),0)+COUNTIF(G67,"*造化2*")*154+COUNTIF(G67,"*造化1*")*102+COUNTIF(G67,"*碧归*")*307)/1024)</f>
        <v>0.377063459429785</v>
      </c>
      <c r="CN67">
        <f ca="1" t="shared" si="65"/>
        <v>359294.958900563</v>
      </c>
      <c r="CO67">
        <f ca="1" t="shared" si="66"/>
        <v>2.3262602208</v>
      </c>
      <c r="CP67">
        <f ca="1" t="shared" si="67"/>
        <v>363630.493782214</v>
      </c>
      <c r="CQ67">
        <f ca="1" t="shared" si="89"/>
        <v>2.77157885480339</v>
      </c>
      <c r="CR67">
        <f ca="1">IF(G67="恒定伤害",0,(IF(D67="轻剑",$CR$8,$CR$9)+IFERROR(INDEX(技能数据库!$T$2:$W$27,MATCH(E67,技能数据库!$T$2:$T$27,0),4),0)+COUNTIF(G67,"*造化2*")*154+COUNTIF(G67,"*造化1*")*102+COUNTIF(G67,"*碧归*")*307)/1024)</f>
        <v>0.367297834429785</v>
      </c>
      <c r="CS67">
        <f ca="1" t="shared" si="68"/>
        <v>340328.198288606</v>
      </c>
    </row>
    <row r="68" spans="4:97">
      <c r="D68" t="s">
        <v>1825</v>
      </c>
      <c r="E68" t="s">
        <v>2792</v>
      </c>
      <c r="G68" t="s">
        <v>3044</v>
      </c>
      <c r="H68">
        <f ca="1">INDEX(技能数据库!$B$2:$I$100,MATCH(无穷阵眼收益计算!$E68,技能数据库!$B$2:$B$100,0),MATCH(H$9,技能数据库!$B$2:$I$2,0))</f>
        <v>0</v>
      </c>
      <c r="I68">
        <f ca="1">INDEX(技能数据库!$B$2:$I$100,MATCH(无穷阵眼收益计算!$E68,技能数据库!$B$2:$B$100,0),MATCH(I$9,技能数据库!$B$2:$I$2,0))</f>
        <v>0.16875</v>
      </c>
      <c r="J68">
        <f ca="1">INDEX(技能数据库!$B$2:$I$100,MATCH(无穷阵眼收益计算!$E68,技能数据库!$B$2:$B$100,0),MATCH(J$9,技能数据库!$B$2:$I$2,0))</f>
        <v>1</v>
      </c>
      <c r="K68">
        <f ca="1">INDEX(技能数据库!$B$2:$I$100,MATCH(无穷阵眼收益计算!$E68,技能数据库!$B$2:$B$100,0),MATCH(K$9,技能数据库!$B$2:$I$2,0))</f>
        <v>0</v>
      </c>
      <c r="L68">
        <f ca="1" t="shared" si="13"/>
        <v>105847</v>
      </c>
      <c r="M68">
        <f ca="1" t="shared" si="73"/>
        <v>19530.5</v>
      </c>
      <c r="N68">
        <f ca="1" t="shared" si="74"/>
        <v>92028</v>
      </c>
      <c r="O68">
        <f ca="1" t="shared" si="54"/>
        <v>37392.18125</v>
      </c>
      <c r="P68">
        <f ca="1">IF(G68="恒定伤害",0,(IF(D68="轻剑",$AZ$2,$AZ$3)+IFERROR(INDEX(技能数据库!$T$2:$W$27,MATCH(E68,技能数据库!$T$2:$T$27,0),4),0)+COUNTIF(G68,"*造化2*")*154+COUNTIF(G68,"*造化1*")*102+COUNTIF(G68,"*碧归*")*307)/1024)</f>
        <v>0.316516584429785</v>
      </c>
      <c r="Q68">
        <f ca="1" t="shared" si="82"/>
        <v>0.448284482196154</v>
      </c>
      <c r="R68">
        <f ca="1" t="shared" si="55"/>
        <v>0.21277697966198</v>
      </c>
      <c r="S68">
        <f ca="1" t="shared" si="75"/>
        <v>56125.3157697066</v>
      </c>
      <c r="T68">
        <f t="shared" si="76"/>
        <v>0.8</v>
      </c>
      <c r="U68">
        <f ca="1" t="shared" si="83"/>
        <v>2.67001635480339</v>
      </c>
      <c r="V68">
        <f ca="1" t="shared" si="77"/>
        <v>164784.661434662</v>
      </c>
      <c r="W68">
        <f ca="1">IF(G68="恒定伤害",0,MIN(1,IF(COUNTIF(F68,"*内会*")&gt;0,内会2,IF(D68="轻剑",$Y$2,$Y$3)+COUNTIF(G68,"*莺鸣*")*0.2+COUNTIF(G68,"*叠1*")*0.1+COUNTIF(G68,"*叠2*")*0.2+COUNTIF(G68,"*叠3*")*0.3)+IFERROR(INDEX(技能数据库!$T$2:$W$27,MATCH(E68,技能数据库!$T$2:$T$27,0),2),0)+IF((IF(D68="轻剑",$AO$2,$AO$3)+INT(COUNTIF(G68,"*大莺鸣*")*IF(D68="轻剑",$AM$2,$AM$3)*听晓无双率)/无双系数)&gt;0.9,特效裤子会心/会心系数,0)))</f>
        <v>0.9043</v>
      </c>
      <c r="X68">
        <f ca="1">IF(G68="恒定伤害",0,IF(COUNTIF(F68,"*内会*")&gt;0,内会效2,IF(D68="轻剑",$AB$2,$AB$3))+IFERROR(INDEX(技能数据库!$T$2:$W$27,MATCH(E68,技能数据库!$T$2:$T$27,0),3)/1024,0))+COUNTIF(G68,"*叠1*")*0.25+COUNTIF(G68,"*叠2*")*0.5+COUNTIF(G68,"*叠3*")*0.75</f>
        <v>2.1773735021</v>
      </c>
      <c r="Y68">
        <f ca="1" t="shared" si="78"/>
        <v>2.06469885794903</v>
      </c>
      <c r="Z68">
        <f t="shared" si="16"/>
        <v>0.150390625</v>
      </c>
      <c r="AA68">
        <f ca="1" t="shared" si="79"/>
        <v>0.0205078125</v>
      </c>
      <c r="AB68">
        <f ca="1" t="shared" si="80"/>
        <v>399424.931338732</v>
      </c>
      <c r="AC68">
        <f ca="1">无穷技能数计算!$AJ60</f>
        <v>0</v>
      </c>
      <c r="AD68" s="164">
        <f ca="1" t="shared" si="81"/>
        <v>0</v>
      </c>
      <c r="AE68" s="168"/>
      <c r="AF68" s="168">
        <f ca="1" t="shared" si="17"/>
        <v>0.9057</v>
      </c>
      <c r="AG68">
        <f ca="1">无穷技能数计算!$AJ60</f>
        <v>0</v>
      </c>
      <c r="AH68">
        <f ca="1" t="shared" si="18"/>
        <v>109879</v>
      </c>
      <c r="AJ68">
        <f ca="1" t="shared" si="19"/>
        <v>2.3765922521</v>
      </c>
      <c r="AK68">
        <f ca="1" t="shared" si="56"/>
        <v>38311.08125</v>
      </c>
      <c r="AL68">
        <f ca="1" t="shared" si="20"/>
        <v>445453.069303428</v>
      </c>
      <c r="AM68" s="169">
        <f ca="1" t="shared" si="21"/>
        <v>0.9272</v>
      </c>
      <c r="AN68">
        <f ca="1">无穷技能数计算!$AJ60</f>
        <v>0</v>
      </c>
      <c r="AO68" s="170">
        <f ca="1" t="shared" si="22"/>
        <v>451321.003891832</v>
      </c>
      <c r="AP68">
        <f ca="1" t="shared" si="23"/>
        <v>110956</v>
      </c>
      <c r="AQ68" s="170">
        <f ca="1" t="shared" si="57"/>
        <v>38254.325</v>
      </c>
      <c r="AR68">
        <f ca="1" t="shared" si="84"/>
        <v>432607.957778416</v>
      </c>
      <c r="AS68">
        <f ca="1" t="shared" si="25"/>
        <v>0.9843</v>
      </c>
      <c r="AT68">
        <f ca="1">无穷技能数计算!$AJ60</f>
        <v>0</v>
      </c>
      <c r="AU68">
        <f ca="1" t="shared" si="26"/>
        <v>2.3238578771</v>
      </c>
      <c r="AV68">
        <f ca="1" t="shared" si="85"/>
        <v>2.68954760480339</v>
      </c>
      <c r="AW68">
        <f ca="1" t="shared" si="58"/>
        <v>447910.591782986</v>
      </c>
      <c r="AX68">
        <f ca="1" t="shared" si="28"/>
        <v>0.9743</v>
      </c>
      <c r="AY68">
        <f ca="1">无穷技能数计算!$AJ60</f>
        <v>0</v>
      </c>
      <c r="AZ68" s="170">
        <f ca="1" t="shared" si="59"/>
        <v>445335.901854541</v>
      </c>
      <c r="BA68">
        <f ca="1" t="shared" si="29"/>
        <v>0.9643</v>
      </c>
      <c r="BB68">
        <f ca="1">无穷技能数计算!$AJ60</f>
        <v>0</v>
      </c>
      <c r="BC68" s="170">
        <f ca="1" t="shared" si="60"/>
        <v>442761.211926096</v>
      </c>
      <c r="BE68">
        <f ca="1" t="shared" si="30"/>
        <v>105849</v>
      </c>
      <c r="BF68">
        <f ca="1" t="shared" si="31"/>
        <v>37392.51875</v>
      </c>
      <c r="BI68">
        <f ca="1" t="shared" si="32"/>
        <v>0.9543</v>
      </c>
      <c r="BJ68">
        <f ca="1">无穷技能数计算!$AJ60</f>
        <v>0</v>
      </c>
      <c r="BK68">
        <f ca="1" t="shared" si="33"/>
        <v>437721.636636318</v>
      </c>
      <c r="BM68">
        <f ca="1" t="shared" si="34"/>
        <v>109230</v>
      </c>
      <c r="BN68">
        <f ca="1" t="shared" si="35"/>
        <v>37963.0625</v>
      </c>
      <c r="BO68">
        <f ca="1" t="shared" si="86"/>
        <v>437958.675155756</v>
      </c>
      <c r="BP68">
        <f ca="1" t="shared" si="87"/>
        <v>417655.93213723</v>
      </c>
      <c r="BR68">
        <f ca="1" t="shared" si="38"/>
        <v>0.9543</v>
      </c>
      <c r="BS68">
        <f ca="1" t="shared" si="39"/>
        <v>431850.207066844</v>
      </c>
      <c r="BT68">
        <f ca="1" t="shared" si="40"/>
        <v>0.196995876306796</v>
      </c>
      <c r="BU68">
        <f ca="1" t="shared" si="41"/>
        <v>2.3238578771</v>
      </c>
      <c r="BV68">
        <f ca="1" t="shared" si="61"/>
        <v>446633.826841757</v>
      </c>
      <c r="BW68">
        <f ca="1" t="shared" si="42"/>
        <v>113027</v>
      </c>
      <c r="BX68">
        <f ca="1" t="shared" si="43"/>
        <v>38603.80625</v>
      </c>
      <c r="BY68">
        <f ca="1" t="shared" si="44"/>
        <v>0.9343</v>
      </c>
      <c r="BZ68">
        <f ca="1">无穷技能数计算!$AJ60</f>
        <v>0</v>
      </c>
      <c r="CA68">
        <f ca="1" t="shared" si="45"/>
        <v>2.3277641271</v>
      </c>
      <c r="CB68">
        <f ca="1" t="shared" si="62"/>
        <v>447485.066627143</v>
      </c>
      <c r="CC68">
        <f ca="1" t="shared" si="46"/>
        <v>114847</v>
      </c>
      <c r="CD68">
        <f ca="1" t="shared" si="47"/>
        <v>38910.93125</v>
      </c>
      <c r="CE68">
        <f ca="1" t="shared" si="48"/>
        <v>435407.359524682</v>
      </c>
      <c r="CF68">
        <f ca="1" t="shared" si="49"/>
        <v>2.2750297521</v>
      </c>
      <c r="CG68">
        <f ca="1" t="shared" si="50"/>
        <v>0.9343</v>
      </c>
      <c r="CH68">
        <f ca="1" t="shared" si="63"/>
        <v>426164.765559488</v>
      </c>
      <c r="CJ68">
        <f ca="1" t="shared" si="51"/>
        <v>37963.0625</v>
      </c>
      <c r="CK68">
        <f ca="1" t="shared" si="88"/>
        <v>435974.74622676</v>
      </c>
      <c r="CL68">
        <f ca="1" t="shared" si="64"/>
        <v>2.2976860021</v>
      </c>
      <c r="CM68">
        <f ca="1">IF(G68="恒定伤害",0,(IF(D68="轻剑",$CM$8,$CM$9)+IFERROR(INDEX(技能数据库!$T$2:$W$27,MATCH(E68,技能数据库!$T$2:$T$27,0),4),0)+COUNTIF(G68,"*造化2*")*154+COUNTIF(G68,"*造化1*")*102+COUNTIF(G68,"*碧归*")*307)/1024)</f>
        <v>0.377063459429785</v>
      </c>
      <c r="CN68">
        <f ca="1" t="shared" si="65"/>
        <v>450070.287324237</v>
      </c>
      <c r="CO68">
        <f ca="1" t="shared" si="66"/>
        <v>2.3262602208</v>
      </c>
      <c r="CP68">
        <f ca="1" t="shared" si="67"/>
        <v>455501.188542166</v>
      </c>
      <c r="CQ68">
        <f ca="1" t="shared" si="89"/>
        <v>2.77157885480339</v>
      </c>
      <c r="CR68">
        <f ca="1">IF(G68="恒定伤害",0,(IF(D68="轻剑",$CR$8,$CR$9)+IFERROR(INDEX(技能数据库!$T$2:$W$27,MATCH(E68,技能数据库!$T$2:$T$27,0),4),0)+COUNTIF(G68,"*造化2*")*154+COUNTIF(G68,"*造化1*")*102+COUNTIF(G68,"*碧归*")*307)/1024)</f>
        <v>0.367297834429785</v>
      </c>
      <c r="CS68">
        <f ca="1" t="shared" si="68"/>
        <v>426311.60330497</v>
      </c>
    </row>
    <row r="69" spans="4:97">
      <c r="D69" t="s">
        <v>1028</v>
      </c>
      <c r="E69" t="s">
        <v>2723</v>
      </c>
      <c r="H69">
        <f ca="1">INDEX(技能数据库!$B$2:$I$100,MATCH(无穷阵眼收益计算!$E69,技能数据库!$B$2:$B$100,0),MATCH(H$9,技能数据库!$B$2:$I$2,0))</f>
        <v>143</v>
      </c>
      <c r="I69">
        <f ca="1">INDEX(技能数据库!$B$2:$I$100,MATCH(无穷阵眼收益计算!$E69,技能数据库!$B$2:$B$100,0),MATCH(I$9,技能数据库!$B$2:$I$2,0))</f>
        <v>2.53125</v>
      </c>
      <c r="J69">
        <f ca="1">INDEX(技能数据库!$B$2:$I$100,MATCH(无穷阵眼收益计算!$E69,技能数据库!$B$2:$B$100,0),MATCH(J$9,技能数据库!$B$2:$I$2,0))</f>
        <v>2</v>
      </c>
      <c r="K69">
        <f ca="1">INDEX(技能数据库!$B$2:$I$100,MATCH(无穷阵眼收益计算!$E69,技能数据库!$B$2:$B$100,0),MATCH(K$9,技能数据库!$B$2:$I$2,0))</f>
        <v>0</v>
      </c>
      <c r="L69">
        <f ca="1" t="shared" si="13"/>
        <v>91975</v>
      </c>
      <c r="M69">
        <f ca="1" t="shared" si="73"/>
        <v>12694.5</v>
      </c>
      <c r="N69">
        <f ca="1" t="shared" si="74"/>
        <v>92028</v>
      </c>
      <c r="O69">
        <f ca="1" t="shared" si="54"/>
        <v>258343.71875</v>
      </c>
      <c r="P69">
        <f ca="1">IF(G69="恒定伤害",0,(IF(D69="轻剑",$AZ$2,$AZ$3)+IFERROR(INDEX(技能数据库!$T$2:$W$27,MATCH(E69,技能数据库!$T$2:$T$27,0),4),0)+COUNTIF(G69,"*造化2*")*154+COUNTIF(G69,"*造化1*")*102+COUNTIF(G69,"*碧归*")*307)/1024)</f>
        <v>0.0167118969297852</v>
      </c>
      <c r="Q69">
        <f ca="1" t="shared" si="82"/>
        <v>0.448284482196154</v>
      </c>
      <c r="R69">
        <f ca="1" t="shared" si="55"/>
        <v>0.32958230397716</v>
      </c>
      <c r="S69">
        <f ca="1" t="shared" si="75"/>
        <v>255032.283105671</v>
      </c>
      <c r="T69">
        <f t="shared" si="76"/>
        <v>0.8</v>
      </c>
      <c r="U69">
        <f ca="1" t="shared" si="83"/>
        <v>1.7800129648</v>
      </c>
      <c r="V69">
        <f ca="1" t="shared" si="77"/>
        <v>567194.442781048</v>
      </c>
      <c r="W69">
        <f ca="1">IF(G69="恒定伤害",0,MIN(1,IF(COUNTIF(F69,"*内会*")&gt;0,内会2,IF(D69="轻剑",$Y$2,$Y$3)+COUNTIF(G69,"*莺鸣*")*0.2+COUNTIF(G69,"*叠1*")*0.1+COUNTIF(G69,"*叠2*")*0.2+COUNTIF(G69,"*叠3*")*0.3)+IFERROR(INDEX(技能数据库!$T$2:$W$27,MATCH(E69,技能数据库!$T$2:$T$27,0),2),0)+IF((IF(D69="轻剑",$AO$2,$AO$3)+INT(COUNTIF(G69,"*大莺鸣*")*IF(D69="轻剑",$AM$2,$AM$3)*听晓无双率)/无双系数)&gt;0.9,特效裤子会心/会心系数,0)))</f>
        <v>0.7043</v>
      </c>
      <c r="X69">
        <f ca="1">IF(G69="恒定伤害",0,IF(COUNTIF(F69,"*内会*")&gt;0,内会效2,IF(D69="轻剑",$AB$2,$AB$3))+IFERROR(INDEX(技能数据库!$T$2:$W$27,MATCH(E69,技能数据库!$T$2:$T$27,0),3)/1024,0))+COUNTIF(G69,"*叠1*")*0.25+COUNTIF(G69,"*叠2*")*0.5+COUNTIF(G69,"*叠3*")*0.75</f>
        <v>2.1773735021</v>
      </c>
      <c r="Y69">
        <f ca="1" t="shared" si="78"/>
        <v>1.82922415752903</v>
      </c>
      <c r="Z69">
        <f t="shared" si="16"/>
        <v>0.150390625</v>
      </c>
      <c r="AA69">
        <f ca="1" t="shared" si="79"/>
        <v>0.0205078125</v>
      </c>
      <c r="AB69">
        <f ca="1" t="shared" si="80"/>
        <v>1218037.22995627</v>
      </c>
      <c r="AC69" s="171">
        <f ca="1">$AC$10*MIN(1,0.3+$Y$2)</f>
        <v>0</v>
      </c>
      <c r="AD69" s="164">
        <f ca="1" t="shared" si="81"/>
        <v>0</v>
      </c>
      <c r="AE69" s="168"/>
      <c r="AF69" s="168">
        <f ca="1" t="shared" si="17"/>
        <v>0.7057</v>
      </c>
      <c r="AG69" s="171">
        <f ca="1">$AC$10*MIN(1,0.3+$AF$8)</f>
        <v>0</v>
      </c>
      <c r="AH69">
        <f ca="1" t="shared" si="18"/>
        <v>96007</v>
      </c>
      <c r="AJ69">
        <f ca="1" t="shared" si="19"/>
        <v>2.3765922521</v>
      </c>
      <c r="AK69">
        <f ca="1" t="shared" si="56"/>
        <v>269026.71875</v>
      </c>
      <c r="AL69">
        <f ca="1" t="shared" si="20"/>
        <v>1367410.11729452</v>
      </c>
      <c r="AM69" s="169">
        <f ca="1" t="shared" si="21"/>
        <v>0.7272</v>
      </c>
      <c r="AN69" s="171">
        <f ca="1">$AC$10*MIN(1,0.3+$AN$8)</f>
        <v>0</v>
      </c>
      <c r="AO69" s="170">
        <f ca="1" t="shared" si="22"/>
        <v>1387938.48158424</v>
      </c>
      <c r="AP69">
        <f ca="1" t="shared" si="23"/>
        <v>97084</v>
      </c>
      <c r="AQ69" s="170">
        <f ca="1" t="shared" si="57"/>
        <v>271275.875</v>
      </c>
      <c r="AR69">
        <f ca="1" t="shared" si="84"/>
        <v>1354046.00725159</v>
      </c>
      <c r="AS69">
        <f ca="1" t="shared" si="25"/>
        <v>0.7843</v>
      </c>
      <c r="AT69" s="171">
        <f ca="1">$AC$10*MIN(1,0.3+AS$8)</f>
        <v>0</v>
      </c>
      <c r="AU69">
        <f ca="1" t="shared" si="26"/>
        <v>2.3238578771</v>
      </c>
      <c r="AV69">
        <f ca="1" t="shared" si="85"/>
        <v>1.7995442148</v>
      </c>
      <c r="AW69">
        <f ca="1" t="shared" si="58"/>
        <v>1366792.59777083</v>
      </c>
      <c r="AX69">
        <f ca="1" t="shared" si="28"/>
        <v>0.7743</v>
      </c>
      <c r="AY69" s="171">
        <f ca="1">$AC$10*MIN(1,0.3+AX$8)</f>
        <v>0</v>
      </c>
      <c r="AZ69" s="170">
        <f ca="1" t="shared" si="59"/>
        <v>1357915.40791411</v>
      </c>
      <c r="BA69">
        <f ca="1" t="shared" si="29"/>
        <v>0.7643</v>
      </c>
      <c r="BB69" s="171">
        <f ca="1">$AC$10*MIN(1,0.3+BA$8)</f>
        <v>0</v>
      </c>
      <c r="BC69" s="170">
        <f ca="1" t="shared" si="60"/>
        <v>1349038.21805739</v>
      </c>
      <c r="BE69">
        <f ca="1" t="shared" si="30"/>
        <v>91977</v>
      </c>
      <c r="BF69">
        <f ca="1" t="shared" si="31"/>
        <v>258348.78125</v>
      </c>
      <c r="BI69">
        <f ca="1" t="shared" si="32"/>
        <v>0.7543</v>
      </c>
      <c r="BJ69" s="171">
        <f ca="1">$AC$10*MIN(1,0.3+BI$8)</f>
        <v>0</v>
      </c>
      <c r="BK69">
        <f ca="1" t="shared" si="33"/>
        <v>1341870.00659827</v>
      </c>
      <c r="BM69">
        <f ca="1" t="shared" si="34"/>
        <v>95358</v>
      </c>
      <c r="BN69">
        <f ca="1" t="shared" si="35"/>
        <v>266906.9375</v>
      </c>
      <c r="BO69">
        <f ca="1" t="shared" si="86"/>
        <v>1359064.41961727</v>
      </c>
      <c r="BP69">
        <f ca="1" t="shared" si="87"/>
        <v>1296061.36197194</v>
      </c>
      <c r="BR69">
        <f ca="1" t="shared" si="38"/>
        <v>0.7543</v>
      </c>
      <c r="BS69">
        <f ca="1" t="shared" si="39"/>
        <v>1347170.26592113</v>
      </c>
      <c r="BT69">
        <f ca="1" t="shared" si="40"/>
        <v>0.318170800459405</v>
      </c>
      <c r="BU69">
        <f ca="1" t="shared" si="41"/>
        <v>2.3238578771</v>
      </c>
      <c r="BV69">
        <f ca="1" t="shared" si="61"/>
        <v>1353463.66665026</v>
      </c>
      <c r="BW69">
        <f ca="1" t="shared" si="42"/>
        <v>99155</v>
      </c>
      <c r="BX69">
        <f ca="1" t="shared" si="43"/>
        <v>276518.09375</v>
      </c>
      <c r="BY69">
        <f ca="1" t="shared" si="44"/>
        <v>0.7343</v>
      </c>
      <c r="BZ69" s="171">
        <f ca="1">$AC$10*MIN(1,0.3+BY$8)</f>
        <v>0</v>
      </c>
      <c r="CA69">
        <f ca="1" t="shared" si="45"/>
        <v>2.3277641271</v>
      </c>
      <c r="CB69">
        <f ca="1" t="shared" si="62"/>
        <v>1407606.83896078</v>
      </c>
      <c r="CC69">
        <f ca="1" t="shared" si="46"/>
        <v>100975</v>
      </c>
      <c r="CD69">
        <f ca="1" t="shared" si="47"/>
        <v>281124.96875</v>
      </c>
      <c r="CE69">
        <f ca="1" t="shared" si="48"/>
        <v>1391461.34861409</v>
      </c>
      <c r="CF69">
        <f ca="1" t="shared" si="49"/>
        <v>2.2750297521</v>
      </c>
      <c r="CG69">
        <f ca="1" t="shared" si="50"/>
        <v>0.7343</v>
      </c>
      <c r="CH69">
        <f ca="1" t="shared" si="63"/>
        <v>1298364.25391675</v>
      </c>
      <c r="CJ69">
        <f ca="1" t="shared" si="51"/>
        <v>266906.9375</v>
      </c>
      <c r="CK69">
        <f ca="1" t="shared" si="88"/>
        <v>1352907.93186763</v>
      </c>
      <c r="CL69">
        <f ca="1" t="shared" si="64"/>
        <v>2.2976860021</v>
      </c>
      <c r="CM69">
        <f ca="1">IF(G69="恒定伤害",0,(IF(D69="轻剑",$CM$8,$CM$9)+IFERROR(INDEX(技能数据库!$T$2:$W$27,MATCH(E69,技能数据库!$T$2:$T$27,0),4),0)+COUNTIF(G69,"*造化2*")*154+COUNTIF(G69,"*造化1*")*102+COUNTIF(G69,"*碧归*")*307)/1024)</f>
        <v>0.0772587719297852</v>
      </c>
      <c r="CN69">
        <f ca="1" t="shared" si="65"/>
        <v>1387504.00234351</v>
      </c>
      <c r="CO69">
        <f ca="1" t="shared" si="66"/>
        <v>2.3262602208</v>
      </c>
      <c r="CP69">
        <f ca="1" t="shared" si="67"/>
        <v>1402411.48012374</v>
      </c>
      <c r="CQ69">
        <f ca="1" t="shared" si="89"/>
        <v>1.8815754648</v>
      </c>
      <c r="CR69">
        <f ca="1">IF(G69="恒定伤害",0,(IF(D69="轻剑",$CR$8,$CR$9)+IFERROR(INDEX(技能数据库!$T$2:$W$27,MATCH(E69,技能数据库!$T$2:$T$27,0),4),0)+COUNTIF(G69,"*造化2*")*154+COUNTIF(G69,"*造化1*")*102+COUNTIF(G69,"*碧归*")*307)/1024)</f>
        <v>0.0674931469297852</v>
      </c>
      <c r="CS69">
        <f ca="1" t="shared" si="68"/>
        <v>1325595.22049434</v>
      </c>
    </row>
    <row r="70" spans="4:97">
      <c r="D70" t="s">
        <v>1028</v>
      </c>
      <c r="E70" t="s">
        <v>2723</v>
      </c>
      <c r="G70" t="s">
        <v>2949</v>
      </c>
      <c r="H70">
        <f ca="1">INDEX(技能数据库!$B$2:$I$100,MATCH(无穷阵眼收益计算!$E70,技能数据库!$B$2:$B$100,0),MATCH(H$9,技能数据库!$B$2:$I$2,0))</f>
        <v>143</v>
      </c>
      <c r="I70">
        <f ca="1">INDEX(技能数据库!$B$2:$I$100,MATCH(无穷阵眼收益计算!$E70,技能数据库!$B$2:$B$100,0),MATCH(I$9,技能数据库!$B$2:$I$2,0))</f>
        <v>2.53125</v>
      </c>
      <c r="J70">
        <f ca="1">INDEX(技能数据库!$B$2:$I$100,MATCH(无穷阵眼收益计算!$E70,技能数据库!$B$2:$B$100,0),MATCH(J$9,技能数据库!$B$2:$I$2,0))</f>
        <v>2</v>
      </c>
      <c r="K70">
        <f ca="1">INDEX(技能数据库!$B$2:$I$100,MATCH(无穷阵眼收益计算!$E70,技能数据库!$B$2:$B$100,0),MATCH(K$9,技能数据库!$B$2:$I$2,0))</f>
        <v>0</v>
      </c>
      <c r="L70">
        <f ca="1" t="shared" si="13"/>
        <v>91975</v>
      </c>
      <c r="M70">
        <f ca="1" t="shared" ref="M70:M82" si="90">IF(D70="轻剑",$AU$2+$AV$2,$AU$3+$AV$3)/2</f>
        <v>12694.5</v>
      </c>
      <c r="N70">
        <f ca="1" t="shared" ref="N70:N82" si="91">IF(D70="轻剑",$AJ$2,$AJ$3)</f>
        <v>92028</v>
      </c>
      <c r="O70">
        <f ca="1" t="shared" si="54"/>
        <v>258343.71875</v>
      </c>
      <c r="P70">
        <f ca="1">IF(G70="恒定伤害",0,(IF(D70="轻剑",$AZ$2,$AZ$3)+IFERROR(INDEX(技能数据库!$T$2:$W$27,MATCH(E70,技能数据库!$T$2:$T$27,0),4),0)+COUNTIF(G70,"*造化2*")*154+COUNTIF(G70,"*造化1*")*102+COUNTIF(G70,"*碧归*")*307)/1024)</f>
        <v>0.0167118969297852</v>
      </c>
      <c r="Q70">
        <f ca="1" t="shared" si="82"/>
        <v>0.448284482196154</v>
      </c>
      <c r="R70">
        <f ca="1" t="shared" si="55"/>
        <v>0.32958230397716</v>
      </c>
      <c r="S70">
        <f ca="1" t="shared" ref="S70:S82" si="92">O70*(1+P70)*(1+Q70)*(1-R70)</f>
        <v>255032.283105671</v>
      </c>
      <c r="T70">
        <f t="shared" si="76"/>
        <v>0.8</v>
      </c>
      <c r="U70">
        <f ca="1" t="shared" si="83"/>
        <v>1.7800129648</v>
      </c>
      <c r="V70">
        <f ca="1" t="shared" ref="V70:V82" si="93">S70*T70*(1+U70)</f>
        <v>567194.442781048</v>
      </c>
      <c r="W70">
        <f ca="1">IF(G70="恒定伤害",0,MIN(1,IF(COUNTIF(F70,"*内会*")&gt;0,内会2,IF(D70="轻剑",$Y$2,$Y$3)+COUNTIF(G70,"*莺鸣*")*0.2+COUNTIF(G70,"*叠1*")*0.1+COUNTIF(G70,"*叠2*")*0.2+COUNTIF(G70,"*叠3*")*0.3)+IFERROR(INDEX(技能数据库!$T$2:$W$27,MATCH(E70,技能数据库!$T$2:$T$27,0),2),0)+IF((IF(D70="轻剑",$AO$2,$AO$3)+INT(COUNTIF(G70,"*大莺鸣*")*IF(D70="轻剑",$AM$2,$AM$3)*听晓无双率)/无双系数)&gt;0.9,特效裤子会心/会心系数,0)))</f>
        <v>0.9043</v>
      </c>
      <c r="X70">
        <f ca="1">IF(G70="恒定伤害",0,IF(COUNTIF(F70,"*内会*")&gt;0,内会效2,IF(D70="轻剑",$AB$2,$AB$3))+IFERROR(INDEX(技能数据库!$T$2:$W$27,MATCH(E70,技能数据库!$T$2:$T$27,0),3)/1024,0))+COUNTIF(G70,"*叠1*")*0.25+COUNTIF(G70,"*叠2*")*0.5+COUNTIF(G70,"*叠3*")*0.75</f>
        <v>2.1773735021</v>
      </c>
      <c r="Y70">
        <f ca="1" t="shared" ref="Y70:Y82" si="94">1+W70*(X70-1)</f>
        <v>2.06469885794903</v>
      </c>
      <c r="Z70">
        <f t="shared" si="16"/>
        <v>0.150390625</v>
      </c>
      <c r="AA70">
        <f ca="1" t="shared" ref="AA70:AA82" si="95">IF(D70="轻剑",$BA$2,$BA$3)/1024</f>
        <v>0.0205078125</v>
      </c>
      <c r="AB70">
        <f ca="1" t="shared" ref="AB70:AB82" si="96">V70*Y70*(1+Z70)*(1+AA70)</f>
        <v>1374834.28003012</v>
      </c>
      <c r="AC70" s="171">
        <f ca="1">$AC$12*MIN(1,0.3+$Y$2+0.2)</f>
        <v>0</v>
      </c>
      <c r="AD70" s="164">
        <f ca="1" t="shared" si="81"/>
        <v>0</v>
      </c>
      <c r="AE70" s="168"/>
      <c r="AF70" s="168">
        <f ca="1" t="shared" si="17"/>
        <v>0.9057</v>
      </c>
      <c r="AG70" s="171">
        <f ca="1">$AC$12*MIN(1,0.3+$AF$8+0.2)</f>
        <v>0</v>
      </c>
      <c r="AH70">
        <f ca="1" t="shared" si="18"/>
        <v>96007</v>
      </c>
      <c r="AJ70">
        <f ca="1" t="shared" si="19"/>
        <v>2.3765922521</v>
      </c>
      <c r="AK70">
        <f ca="1" t="shared" si="56"/>
        <v>269026.71875</v>
      </c>
      <c r="AL70">
        <f ca="1" t="shared" si="20"/>
        <v>1558371.64557096</v>
      </c>
      <c r="AM70" s="169">
        <f ca="1" t="shared" si="21"/>
        <v>0.9272</v>
      </c>
      <c r="AN70" s="171">
        <f ca="1">$AC$12*MIN(1,0.3+$AN$8+0.2)</f>
        <v>0</v>
      </c>
      <c r="AO70" s="170">
        <f ca="1" t="shared" si="22"/>
        <v>1578900.00986067</v>
      </c>
      <c r="AP70">
        <f ca="1" t="shared" si="23"/>
        <v>97084</v>
      </c>
      <c r="AQ70" s="170">
        <f ca="1" t="shared" si="57"/>
        <v>271275.875</v>
      </c>
      <c r="AR70">
        <f ca="1" t="shared" si="84"/>
        <v>1528351.36868043</v>
      </c>
      <c r="AS70">
        <f ca="1" t="shared" si="25"/>
        <v>0.9843</v>
      </c>
      <c r="AT70" s="171">
        <f ca="1">$AC$12*MIN(1,0.3+AS$8+0.2)</f>
        <v>0</v>
      </c>
      <c r="AU70">
        <f ca="1" t="shared" si="26"/>
        <v>2.3238578771</v>
      </c>
      <c r="AV70">
        <f ca="1" t="shared" si="85"/>
        <v>1.7995442148</v>
      </c>
      <c r="AW70">
        <f ca="1" t="shared" si="58"/>
        <v>1544336.39490525</v>
      </c>
      <c r="AX70">
        <f ca="1" t="shared" si="28"/>
        <v>0.9743</v>
      </c>
      <c r="AY70" s="171">
        <f ca="1">$AC$12*MIN(1,0.3+AX$8+0.2)</f>
        <v>0</v>
      </c>
      <c r="AZ70" s="170">
        <f ca="1" t="shared" si="59"/>
        <v>1535459.20504853</v>
      </c>
      <c r="BA70">
        <f ca="1" t="shared" si="29"/>
        <v>0.9643</v>
      </c>
      <c r="BB70" s="171">
        <f ca="1">$AC$12*MIN(1,0.3+BA$8+0.2)</f>
        <v>0</v>
      </c>
      <c r="BC70" s="170">
        <f ca="1" t="shared" si="60"/>
        <v>1526582.01519181</v>
      </c>
      <c r="BE70">
        <f ca="1" t="shared" si="30"/>
        <v>91977</v>
      </c>
      <c r="BF70">
        <f ca="1" t="shared" si="31"/>
        <v>258348.78125</v>
      </c>
      <c r="BI70">
        <f ca="1" t="shared" si="32"/>
        <v>0.9543</v>
      </c>
      <c r="BJ70" s="171">
        <f ca="1">$AC$12*MIN(1,0.3+BI$8+0.2)</f>
        <v>0</v>
      </c>
      <c r="BK70">
        <f ca="1" t="shared" si="33"/>
        <v>1509222.1793013</v>
      </c>
      <c r="BM70">
        <f ca="1" t="shared" si="34"/>
        <v>95358</v>
      </c>
      <c r="BN70">
        <f ca="1" t="shared" si="35"/>
        <v>266906.9375</v>
      </c>
      <c r="BO70">
        <f ca="1" t="shared" si="86"/>
        <v>1534015.79763382</v>
      </c>
      <c r="BP70">
        <f ca="1" t="shared" si="87"/>
        <v>1462902.40202717</v>
      </c>
      <c r="BR70">
        <f ca="1" t="shared" si="38"/>
        <v>0.9543</v>
      </c>
      <c r="BS70">
        <f ca="1" t="shared" si="39"/>
        <v>1515183.46384211</v>
      </c>
      <c r="BT70">
        <f ca="1" t="shared" si="40"/>
        <v>0.318170800459405</v>
      </c>
      <c r="BU70">
        <f ca="1" t="shared" si="41"/>
        <v>2.3238578771</v>
      </c>
      <c r="BV70">
        <f ca="1" t="shared" si="61"/>
        <v>1532769.790022</v>
      </c>
      <c r="BW70">
        <f ca="1" t="shared" si="42"/>
        <v>99155</v>
      </c>
      <c r="BX70">
        <f ca="1" t="shared" si="43"/>
        <v>276518.09375</v>
      </c>
      <c r="BY70">
        <f ca="1" t="shared" si="44"/>
        <v>0.9343</v>
      </c>
      <c r="BZ70" s="171">
        <f ca="1">$AC$12*MIN(1,0.3+BY$8+0.2)</f>
        <v>0</v>
      </c>
      <c r="CA70">
        <f ca="1" t="shared" si="45"/>
        <v>2.3277641271</v>
      </c>
      <c r="CB70">
        <f ca="1" t="shared" si="62"/>
        <v>1596871.79525742</v>
      </c>
      <c r="CC70">
        <f ca="1" t="shared" si="46"/>
        <v>100975</v>
      </c>
      <c r="CD70">
        <f ca="1" t="shared" si="47"/>
        <v>281124.96875</v>
      </c>
      <c r="CE70">
        <f ca="1" t="shared" si="48"/>
        <v>1567189.94754472</v>
      </c>
      <c r="CF70">
        <f ca="1" t="shared" si="49"/>
        <v>2.2750297521</v>
      </c>
      <c r="CG70">
        <f ca="1" t="shared" si="50"/>
        <v>0.9343</v>
      </c>
      <c r="CH70">
        <f ca="1" t="shared" si="63"/>
        <v>1469359.66631183</v>
      </c>
      <c r="CJ70">
        <f ca="1" t="shared" si="51"/>
        <v>266906.9375</v>
      </c>
      <c r="CK70">
        <f ca="1" t="shared" si="88"/>
        <v>1527066.7896769</v>
      </c>
      <c r="CL70">
        <f ca="1" t="shared" si="64"/>
        <v>2.2976860021</v>
      </c>
      <c r="CM70">
        <f ca="1">IF(G70="恒定伤害",0,(IF(D70="轻剑",$CM$8,$CM$9)+IFERROR(INDEX(技能数据库!$T$2:$W$27,MATCH(E70,技能数据库!$T$2:$T$27,0),4),0)+COUNTIF(G70,"*造化2*")*154+COUNTIF(G70,"*造化1*")*102+COUNTIF(G70,"*碧归*")*307)/1024)</f>
        <v>0.0772587719297852</v>
      </c>
      <c r="CN70">
        <f ca="1" t="shared" si="65"/>
        <v>1571901.86962844</v>
      </c>
      <c r="CO70">
        <f ca="1" t="shared" si="66"/>
        <v>2.3262602208</v>
      </c>
      <c r="CP70">
        <f ca="1" t="shared" si="67"/>
        <v>1590869.67092229</v>
      </c>
      <c r="CQ70">
        <f ca="1" t="shared" si="89"/>
        <v>1.8815754648</v>
      </c>
      <c r="CR70">
        <f ca="1">IF(G70="恒定伤害",0,(IF(D70="轻剑",$CR$8,$CR$9)+IFERROR(INDEX(技能数据库!$T$2:$W$27,MATCH(E70,技能数据库!$T$2:$T$27,0),4),0)+COUNTIF(G70,"*造化2*")*154+COUNTIF(G70,"*造化1*")*102+COUNTIF(G70,"*碧归*")*307)/1024)</f>
        <v>0.0674931469297852</v>
      </c>
      <c r="CS70">
        <f ca="1" t="shared" si="68"/>
        <v>1496238.13275816</v>
      </c>
    </row>
    <row r="71" spans="4:97">
      <c r="D71" t="s">
        <v>1028</v>
      </c>
      <c r="E71" t="s">
        <v>2723</v>
      </c>
      <c r="G71" t="s">
        <v>3014</v>
      </c>
      <c r="H71">
        <f ca="1">INDEX(技能数据库!$B$2:$I$100,MATCH(无穷阵眼收益计算!$E71,技能数据库!$B$2:$B$100,0),MATCH(H$9,技能数据库!$B$2:$I$2,0))</f>
        <v>143</v>
      </c>
      <c r="I71">
        <f ca="1">INDEX(技能数据库!$B$2:$I$100,MATCH(无穷阵眼收益计算!$E71,技能数据库!$B$2:$B$100,0),MATCH(I$9,技能数据库!$B$2:$I$2,0))</f>
        <v>2.53125</v>
      </c>
      <c r="J71">
        <f ca="1">INDEX(技能数据库!$B$2:$I$100,MATCH(无穷阵眼收益计算!$E71,技能数据库!$B$2:$B$100,0),MATCH(J$9,技能数据库!$B$2:$I$2,0))</f>
        <v>2</v>
      </c>
      <c r="K71">
        <f ca="1">INDEX(技能数据库!$B$2:$I$100,MATCH(无穷阵眼收益计算!$E71,技能数据库!$B$2:$B$100,0),MATCH(K$9,技能数据库!$B$2:$I$2,0))</f>
        <v>0</v>
      </c>
      <c r="L71">
        <f ca="1" t="shared" si="13"/>
        <v>105847</v>
      </c>
      <c r="M71">
        <f ca="1" t="shared" si="90"/>
        <v>12694.5</v>
      </c>
      <c r="N71">
        <f ca="1" t="shared" si="91"/>
        <v>92028</v>
      </c>
      <c r="O71">
        <f ca="1" t="shared" si="54"/>
        <v>293457.21875</v>
      </c>
      <c r="P71">
        <f ca="1">IF(G71="恒定伤害",0,(IF(D71="轻剑",$AZ$2,$AZ$3)+IFERROR(INDEX(技能数据库!$T$2:$W$27,MATCH(E71,技能数据库!$T$2:$T$27,0),4),0)+COUNTIF(G71,"*造化2*")*154+COUNTIF(G71,"*造化1*")*102+COUNTIF(G71,"*碧归*")*307)/1024)</f>
        <v>0.0167118969297852</v>
      </c>
      <c r="Q71">
        <f ca="1" t="shared" si="82"/>
        <v>0.448284482196154</v>
      </c>
      <c r="R71">
        <f ca="1" t="shared" si="55"/>
        <v>0.21277697966198</v>
      </c>
      <c r="S71">
        <f ca="1" t="shared" si="92"/>
        <v>340168.711881267</v>
      </c>
      <c r="T71">
        <f t="shared" si="76"/>
        <v>0.8</v>
      </c>
      <c r="U71">
        <f ca="1" t="shared" si="83"/>
        <v>1.7800129648</v>
      </c>
      <c r="V71">
        <f ca="1" t="shared" si="93"/>
        <v>756538.743399391</v>
      </c>
      <c r="W71">
        <f ca="1">IF(G71="恒定伤害",0,MIN(1,IF(COUNTIF(F71,"*内会*")&gt;0,内会2,IF(D71="轻剑",$Y$2,$Y$3)+COUNTIF(G71,"*莺鸣*")*0.2+COUNTIF(G71,"*叠1*")*0.1+COUNTIF(G71,"*叠2*")*0.2+COUNTIF(G71,"*叠3*")*0.3)+IFERROR(INDEX(技能数据库!$T$2:$W$27,MATCH(E71,技能数据库!$T$2:$T$27,0),2),0)+IF((IF(D71="轻剑",$AO$2,$AO$3)+INT(COUNTIF(G71,"*大莺鸣*")*IF(D71="轻剑",$AM$2,$AM$3)*听晓无双率)/无双系数)&gt;0.9,特效裤子会心/会心系数,0)))</f>
        <v>0.9043</v>
      </c>
      <c r="X71">
        <f ca="1">IF(G71="恒定伤害",0,IF(COUNTIF(F71,"*内会*")&gt;0,内会效2,IF(D71="轻剑",$AB$2,$AB$3))+IFERROR(INDEX(技能数据库!$T$2:$W$27,MATCH(E71,技能数据库!$T$2:$T$27,0),3)/1024,0))+COUNTIF(G71,"*叠1*")*0.25+COUNTIF(G71,"*叠2*")*0.5+COUNTIF(G71,"*叠3*")*0.75</f>
        <v>2.1773735021</v>
      </c>
      <c r="Y71">
        <f ca="1" t="shared" si="94"/>
        <v>2.06469885794903</v>
      </c>
      <c r="Z71">
        <f t="shared" si="16"/>
        <v>0.150390625</v>
      </c>
      <c r="AA71">
        <f ca="1" t="shared" si="95"/>
        <v>0.0205078125</v>
      </c>
      <c r="AB71">
        <f ca="1" t="shared" si="96"/>
        <v>1833789.82610713</v>
      </c>
      <c r="AC71" s="171">
        <f ca="1">$AC$13*MIN(1,0.3+$Y$2+0.2)</f>
        <v>0</v>
      </c>
      <c r="AD71" s="164">
        <f ca="1" t="shared" si="81"/>
        <v>0</v>
      </c>
      <c r="AE71" s="168"/>
      <c r="AF71" s="168">
        <f ca="1" t="shared" si="17"/>
        <v>0.9057</v>
      </c>
      <c r="AG71" s="171">
        <f ca="1">$AC$13*MIN(1,0.3+$AF$8+0.2)</f>
        <v>0</v>
      </c>
      <c r="AH71">
        <f ca="1" t="shared" si="18"/>
        <v>109879</v>
      </c>
      <c r="AJ71">
        <f ca="1" t="shared" si="19"/>
        <v>2.3765922521</v>
      </c>
      <c r="AK71">
        <f ca="1" t="shared" si="56"/>
        <v>304140.21875</v>
      </c>
      <c r="AL71">
        <f ca="1" t="shared" si="20"/>
        <v>2068720.38127076</v>
      </c>
      <c r="AM71" s="169">
        <f ca="1" t="shared" si="21"/>
        <v>0.9272</v>
      </c>
      <c r="AN71" s="171">
        <f ca="1">$AC$13*MIN(1,0.3+$AN$8+0.2)</f>
        <v>0</v>
      </c>
      <c r="AO71" s="170">
        <f ca="1" t="shared" si="22"/>
        <v>2095971.54803896</v>
      </c>
      <c r="AP71">
        <f ca="1" t="shared" si="23"/>
        <v>110956</v>
      </c>
      <c r="AQ71" s="170">
        <f ca="1" t="shared" si="57"/>
        <v>306389.375</v>
      </c>
      <c r="AR71">
        <f ca="1" t="shared" si="84"/>
        <v>2026926.74983517</v>
      </c>
      <c r="AS71">
        <f ca="1" t="shared" si="25"/>
        <v>0.9843</v>
      </c>
      <c r="AT71" s="171">
        <f ca="1">$AC$13*MIN(1,0.3+AS$8+0.2)</f>
        <v>0</v>
      </c>
      <c r="AU71">
        <f ca="1" t="shared" si="26"/>
        <v>2.3238578771</v>
      </c>
      <c r="AV71">
        <f ca="1" t="shared" si="85"/>
        <v>1.7995442148</v>
      </c>
      <c r="AW71">
        <f ca="1" t="shared" si="58"/>
        <v>2059876.16849514</v>
      </c>
      <c r="AX71">
        <f ca="1" t="shared" si="28"/>
        <v>0.9743</v>
      </c>
      <c r="AY71" s="171">
        <f ca="1">$AC$13*MIN(1,0.3+AX$8+0.2)</f>
        <v>0</v>
      </c>
      <c r="AZ71" s="170">
        <f ca="1" t="shared" si="59"/>
        <v>2048035.54109726</v>
      </c>
      <c r="BA71">
        <f ca="1" t="shared" si="29"/>
        <v>0.9643</v>
      </c>
      <c r="BB71" s="171">
        <f ca="1">$AC$13*MIN(1,0.3+BA$8+0.2)</f>
        <v>0</v>
      </c>
      <c r="BC71" s="170">
        <f ca="1" t="shared" si="60"/>
        <v>2036194.91369937</v>
      </c>
      <c r="BE71">
        <f ca="1" t="shared" si="30"/>
        <v>105849</v>
      </c>
      <c r="BF71">
        <f ca="1" t="shared" si="31"/>
        <v>293462.28125</v>
      </c>
      <c r="BI71">
        <f ca="1" t="shared" si="32"/>
        <v>0.9543</v>
      </c>
      <c r="BJ71" s="171">
        <f ca="1">$AC$13*MIN(1,0.3+BI$8+0.2)</f>
        <v>0</v>
      </c>
      <c r="BK71">
        <f ca="1" t="shared" si="33"/>
        <v>2013035.19176471</v>
      </c>
      <c r="BM71">
        <f ca="1" t="shared" si="34"/>
        <v>109230</v>
      </c>
      <c r="BN71">
        <f ca="1" t="shared" si="35"/>
        <v>302020.4375</v>
      </c>
      <c r="BO71">
        <f ca="1" t="shared" si="86"/>
        <v>2038255.47927511</v>
      </c>
      <c r="BP71">
        <f ca="1" t="shared" si="87"/>
        <v>1943766.70773266</v>
      </c>
      <c r="BR71">
        <f ca="1" t="shared" si="38"/>
        <v>0.9543</v>
      </c>
      <c r="BS71">
        <f ca="1" t="shared" si="39"/>
        <v>2013232.85069611</v>
      </c>
      <c r="BT71">
        <f ca="1" t="shared" si="40"/>
        <v>0.196995876306796</v>
      </c>
      <c r="BU71">
        <f ca="1" t="shared" si="41"/>
        <v>2.3238578771</v>
      </c>
      <c r="BV71">
        <f ca="1" t="shared" si="61"/>
        <v>2050529.40714692</v>
      </c>
      <c r="BW71">
        <f ca="1" t="shared" si="42"/>
        <v>113027</v>
      </c>
      <c r="BX71">
        <f ca="1" t="shared" si="43"/>
        <v>311631.59375</v>
      </c>
      <c r="BY71">
        <f ca="1" t="shared" si="44"/>
        <v>0.9343</v>
      </c>
      <c r="BZ71" s="171">
        <f ca="1">$AC$13*MIN(1,0.3+BY$8+0.2)</f>
        <v>0</v>
      </c>
      <c r="CA71">
        <f ca="1" t="shared" si="45"/>
        <v>2.3277641271</v>
      </c>
      <c r="CB71">
        <f ca="1" t="shared" si="62"/>
        <v>2113198.49610872</v>
      </c>
      <c r="CC71">
        <f ca="1" t="shared" si="46"/>
        <v>114847</v>
      </c>
      <c r="CD71">
        <f ca="1" t="shared" si="47"/>
        <v>316238.46875</v>
      </c>
      <c r="CE71">
        <f ca="1" t="shared" si="48"/>
        <v>2070090.02102361</v>
      </c>
      <c r="CF71">
        <f ca="1" t="shared" si="49"/>
        <v>2.2750297521</v>
      </c>
      <c r="CG71">
        <f ca="1" t="shared" si="50"/>
        <v>0.9343</v>
      </c>
      <c r="CH71">
        <f ca="1" t="shared" si="63"/>
        <v>1959870.25208287</v>
      </c>
      <c r="CJ71">
        <f ca="1" t="shared" si="51"/>
        <v>302020.4375</v>
      </c>
      <c r="CK71">
        <f ca="1" t="shared" si="88"/>
        <v>2029022.29304223</v>
      </c>
      <c r="CL71">
        <f ca="1" t="shared" si="64"/>
        <v>2.2976860021</v>
      </c>
      <c r="CM71">
        <f ca="1">IF(G71="恒定伤害",0,(IF(D71="轻剑",$CM$8,$CM$9)+IFERROR(INDEX(技能数据库!$T$2:$W$27,MATCH(E71,技能数据库!$T$2:$T$27,0),4),0)+COUNTIF(G71,"*造化2*")*154+COUNTIF(G71,"*造化1*")*102+COUNTIF(G71,"*碧归*")*307)/1024)</f>
        <v>0.0772587719297852</v>
      </c>
      <c r="CN71">
        <f ca="1" t="shared" si="65"/>
        <v>2096643.71774341</v>
      </c>
      <c r="CO71">
        <f ca="1" t="shared" si="66"/>
        <v>2.3262602208</v>
      </c>
      <c r="CP71">
        <f ca="1" t="shared" si="67"/>
        <v>2121943.46589597</v>
      </c>
      <c r="CQ71">
        <f ca="1" t="shared" si="89"/>
        <v>1.8815754648</v>
      </c>
      <c r="CR71">
        <f ca="1">IF(G71="恒定伤害",0,(IF(D71="轻剑",$CR$8,$CR$9)+IFERROR(INDEX(技能数据库!$T$2:$W$27,MATCH(E71,技能数据库!$T$2:$T$27,0),4),0)+COUNTIF(G71,"*造化2*")*154+COUNTIF(G71,"*造化1*")*102+COUNTIF(G71,"*碧归*")*307)/1024)</f>
        <v>0.0674931469297852</v>
      </c>
      <c r="CS71">
        <f ca="1" t="shared" si="68"/>
        <v>1995721.45177043</v>
      </c>
    </row>
    <row r="72" spans="4:97">
      <c r="D72" t="s">
        <v>1825</v>
      </c>
      <c r="E72" t="s">
        <v>2768</v>
      </c>
      <c r="G72" t="s">
        <v>3090</v>
      </c>
      <c r="H72">
        <f ca="1">INDEX(技能数据库!$B$2:$I$100,MATCH(无穷阵眼收益计算!$E72,技能数据库!$B$2:$B$100,0),MATCH(H$9,技能数据库!$B$2:$I$2,0))</f>
        <v>210</v>
      </c>
      <c r="I72">
        <f ca="1">INDEX(技能数据库!$B$2:$I$100,MATCH(无穷阵眼收益计算!$E72,技能数据库!$B$2:$B$100,0),MATCH(I$9,技能数据库!$B$2:$I$2,0))</f>
        <v>5.7875</v>
      </c>
      <c r="J72">
        <f ca="1">INDEX(技能数据库!$B$2:$I$100,MATCH(无穷阵眼收益计算!$E72,技能数据库!$B$2:$B$100,0),MATCH(J$9,技能数据库!$B$2:$I$2,0))</f>
        <v>2</v>
      </c>
      <c r="K72">
        <f ca="1">INDEX(技能数据库!$B$2:$I$100,MATCH(无穷阵眼收益计算!$E72,技能数据库!$B$2:$B$100,0),MATCH(K$9,技能数据库!$B$2:$I$2,0))</f>
        <v>0</v>
      </c>
      <c r="L72">
        <f ca="1" t="shared" si="13"/>
        <v>105847</v>
      </c>
      <c r="M72">
        <f ca="1" t="shared" si="90"/>
        <v>19530.5</v>
      </c>
      <c r="N72">
        <f ca="1" t="shared" si="91"/>
        <v>92028</v>
      </c>
      <c r="O72">
        <f ca="1" t="shared" si="54"/>
        <v>651860.5125</v>
      </c>
      <c r="P72">
        <f ca="1">IF(G72="恒定伤害",0,(IF(D72="轻剑",$AZ$2,$AZ$3)+IFERROR(INDEX(技能数据库!$T$2:$W$27,MATCH(E72,技能数据库!$T$2:$T$27,0),4),0)+COUNTIF(G72,"*造化2*")*154+COUNTIF(G72,"*造化1*")*102+COUNTIF(G72,"*碧归*")*307)/1024)</f>
        <v>0.686633771929785</v>
      </c>
      <c r="Q72">
        <f ca="1" t="shared" si="82"/>
        <v>0.448284482196154</v>
      </c>
      <c r="R72">
        <f ca="1" t="shared" si="55"/>
        <v>0.21277697966198</v>
      </c>
      <c r="S72">
        <f ca="1" t="shared" si="92"/>
        <v>1253508.05389526</v>
      </c>
      <c r="T72">
        <f t="shared" si="76"/>
        <v>0.8</v>
      </c>
      <c r="U72">
        <f ca="1" t="shared" si="83"/>
        <v>2.67001635480339</v>
      </c>
      <c r="V72">
        <f ca="1" t="shared" si="93"/>
        <v>3680316.04693871</v>
      </c>
      <c r="W72">
        <f ca="1">IF(G72="恒定伤害",0,MIN(1,IF(COUNTIF(F72,"*内会*")&gt;0,内会2,IF(D72="轻剑",$Y$2,$Y$3)+COUNTIF(G72,"*莺鸣*")*0.2+COUNTIF(G72,"*叠1*")*0.1+COUNTIF(G72,"*叠2*")*0.2+COUNTIF(G72,"*叠3*")*0.3)+IFERROR(INDEX(技能数据库!$T$2:$W$27,MATCH(E72,技能数据库!$T$2:$T$27,0),2),0)+IF((IF(D72="轻剑",$AO$2,$AO$3)+INT(COUNTIF(G72,"*大莺鸣*")*IF(D72="轻剑",$AM$2,$AM$3)*听晓无双率)/无双系数)&gt;0.9,特效裤子会心/会心系数,0)))</f>
        <v>0.9043</v>
      </c>
      <c r="X72">
        <f ca="1">IF(G72="恒定伤害",0,IF(COUNTIF(F72,"*内会*")&gt;0,内会效2,IF(D72="轻剑",$AB$2,$AB$3))+IFERROR(INDEX(技能数据库!$T$2:$W$27,MATCH(E72,技能数据库!$T$2:$T$27,0),3)/1024,0))+COUNTIF(G72,"*叠1*")*0.25+COUNTIF(G72,"*叠2*")*0.5+COUNTIF(G72,"*叠3*")*0.75</f>
        <v>2.1773735021</v>
      </c>
      <c r="Y72">
        <f ca="1" t="shared" si="94"/>
        <v>2.06469885794903</v>
      </c>
      <c r="Z72">
        <f t="shared" si="16"/>
        <v>0.150390625</v>
      </c>
      <c r="AA72">
        <f ca="1" t="shared" si="95"/>
        <v>0.0205078125</v>
      </c>
      <c r="AB72">
        <f ca="1" t="shared" si="96"/>
        <v>8920793.7896343</v>
      </c>
      <c r="AC72">
        <f ca="1">无穷技能数计算!$AJ64</f>
        <v>0</v>
      </c>
      <c r="AD72" s="164">
        <f ca="1" t="shared" si="81"/>
        <v>0</v>
      </c>
      <c r="AE72" s="168"/>
      <c r="AF72" s="168">
        <f ca="1" t="shared" si="17"/>
        <v>0.9057</v>
      </c>
      <c r="AG72">
        <f ca="1">无穷技能数计算!$AJ64</f>
        <v>0</v>
      </c>
      <c r="AH72">
        <f ca="1" t="shared" si="18"/>
        <v>109879</v>
      </c>
      <c r="AJ72">
        <f ca="1" t="shared" si="19"/>
        <v>2.3765922521</v>
      </c>
      <c r="AK72">
        <f ca="1" t="shared" si="56"/>
        <v>675672.7125</v>
      </c>
      <c r="AL72">
        <f ca="1" t="shared" si="20"/>
        <v>10064874.9681821</v>
      </c>
      <c r="AM72" s="169">
        <f ca="1" t="shared" si="21"/>
        <v>0.9272</v>
      </c>
      <c r="AN72">
        <f ca="1">无穷技能数计算!$AJ64</f>
        <v>0</v>
      </c>
      <c r="AO72" s="170">
        <f ca="1" t="shared" si="22"/>
        <v>10197459.1437634</v>
      </c>
      <c r="AP72">
        <f ca="1" t="shared" si="23"/>
        <v>110956</v>
      </c>
      <c r="AQ72" s="170">
        <f ca="1" t="shared" si="57"/>
        <v>681428.85</v>
      </c>
      <c r="AR72">
        <f ca="1" t="shared" si="84"/>
        <v>9872540.75053883</v>
      </c>
      <c r="AS72">
        <f ca="1" t="shared" si="25"/>
        <v>0.9843</v>
      </c>
      <c r="AT72">
        <f ca="1">无穷技能数计算!$AJ64</f>
        <v>0</v>
      </c>
      <c r="AU72">
        <f ca="1" t="shared" si="26"/>
        <v>2.3238578771</v>
      </c>
      <c r="AV72">
        <f ca="1" t="shared" si="85"/>
        <v>2.68954760480339</v>
      </c>
      <c r="AW72">
        <f ca="1" t="shared" si="58"/>
        <v>10003677.0666689</v>
      </c>
      <c r="AX72">
        <f ca="1" t="shared" si="28"/>
        <v>0.9743</v>
      </c>
      <c r="AY72">
        <f ca="1">无穷技能数计算!$AJ64</f>
        <v>0</v>
      </c>
      <c r="AZ72" s="170">
        <f ca="1" t="shared" si="59"/>
        <v>9946173.70090024</v>
      </c>
      <c r="BA72">
        <f ca="1" t="shared" si="29"/>
        <v>0.9643</v>
      </c>
      <c r="BB72">
        <f ca="1">无穷技能数计算!$AJ64</f>
        <v>0</v>
      </c>
      <c r="BC72" s="170">
        <f ca="1" t="shared" si="60"/>
        <v>9888670.33513154</v>
      </c>
      <c r="BE72">
        <f ca="1" t="shared" si="30"/>
        <v>105849</v>
      </c>
      <c r="BF72">
        <f ca="1" t="shared" si="31"/>
        <v>651872.0875</v>
      </c>
      <c r="BI72">
        <f ca="1" t="shared" si="32"/>
        <v>0.9543</v>
      </c>
      <c r="BJ72">
        <f ca="1">无穷技能数计算!$AJ64</f>
        <v>0</v>
      </c>
      <c r="BK72">
        <f ca="1" t="shared" si="33"/>
        <v>9776201.34273982</v>
      </c>
      <c r="BM72">
        <f ca="1" t="shared" si="34"/>
        <v>109230</v>
      </c>
      <c r="BN72">
        <f ca="1" t="shared" si="35"/>
        <v>671439.625</v>
      </c>
      <c r="BO72">
        <f ca="1" t="shared" si="86"/>
        <v>9923692.95921856</v>
      </c>
      <c r="BP72">
        <f ca="1" t="shared" si="87"/>
        <v>9463653.69210252</v>
      </c>
      <c r="BR72">
        <f ca="1" t="shared" si="38"/>
        <v>0.9543</v>
      </c>
      <c r="BS72">
        <f ca="1" t="shared" si="39"/>
        <v>9785281.35738425</v>
      </c>
      <c r="BT72">
        <f ca="1" t="shared" si="40"/>
        <v>0.196995876306796</v>
      </c>
      <c r="BU72">
        <f ca="1" t="shared" si="41"/>
        <v>2.3238578771</v>
      </c>
      <c r="BV72">
        <f ca="1" t="shared" si="61"/>
        <v>9975161.67900808</v>
      </c>
      <c r="BW72">
        <f ca="1" t="shared" si="42"/>
        <v>113027</v>
      </c>
      <c r="BX72">
        <f ca="1" t="shared" si="43"/>
        <v>693414.7625</v>
      </c>
      <c r="BY72">
        <f ca="1" t="shared" si="44"/>
        <v>0.9343</v>
      </c>
      <c r="BZ72">
        <f ca="1">无穷技能数计算!$AJ64</f>
        <v>0</v>
      </c>
      <c r="CA72">
        <f ca="1" t="shared" si="45"/>
        <v>2.3277641271</v>
      </c>
      <c r="CB72">
        <f ca="1" t="shared" si="62"/>
        <v>10297598.6350568</v>
      </c>
      <c r="CC72">
        <f ca="1" t="shared" si="46"/>
        <v>114847</v>
      </c>
      <c r="CD72">
        <f ca="1" t="shared" si="47"/>
        <v>703948.0125</v>
      </c>
      <c r="CE72">
        <f ca="1" t="shared" si="48"/>
        <v>10091580.4196878</v>
      </c>
      <c r="CF72">
        <f ca="1" t="shared" si="49"/>
        <v>2.2750297521</v>
      </c>
      <c r="CG72">
        <f ca="1" t="shared" si="50"/>
        <v>0.9343</v>
      </c>
      <c r="CH72">
        <f ca="1" t="shared" si="63"/>
        <v>9518003.74909495</v>
      </c>
      <c r="CJ72">
        <f ca="1" t="shared" si="51"/>
        <v>671439.625</v>
      </c>
      <c r="CK72">
        <f ca="1" t="shared" si="88"/>
        <v>9878739.17097071</v>
      </c>
      <c r="CL72">
        <f ca="1" t="shared" si="64"/>
        <v>2.2976860021</v>
      </c>
      <c r="CM72">
        <f ca="1">IF(G72="恒定伤害",0,(IF(D72="轻剑",$CM$8,$CM$9)+IFERROR(INDEX(技能数据库!$T$2:$W$27,MATCH(E72,技能数据库!$T$2:$T$27,0),4),0)+COUNTIF(G72,"*造化2*")*154+COUNTIF(G72,"*造化1*")*102+COUNTIF(G72,"*碧归*")*307)/1024)</f>
        <v>0.747180646929785</v>
      </c>
      <c r="CN72">
        <f ca="1" t="shared" si="65"/>
        <v>9954926.83224377</v>
      </c>
      <c r="CO72">
        <f ca="1" t="shared" si="66"/>
        <v>2.3262602208</v>
      </c>
      <c r="CP72">
        <f ca="1" t="shared" si="67"/>
        <v>10075050.7901683</v>
      </c>
      <c r="CQ72">
        <f ca="1" t="shared" si="89"/>
        <v>2.77157885480339</v>
      </c>
      <c r="CR72">
        <f ca="1">IF(G72="恒定伤害",0,(IF(D72="轻剑",$CR$8,$CR$9)+IFERROR(INDEX(技能数据库!$T$2:$W$27,MATCH(E72,技能数据库!$T$2:$T$27,0),4),0)+COUNTIF(G72,"*造化2*")*154+COUNTIF(G72,"*造化1*")*102+COUNTIF(G72,"*碧归*")*307)/1024)</f>
        <v>0.737415021929785</v>
      </c>
      <c r="CS72">
        <f ca="1" t="shared" si="68"/>
        <v>9443684.57969254</v>
      </c>
    </row>
    <row r="73" spans="4:97">
      <c r="D73" t="s">
        <v>1825</v>
      </c>
      <c r="E73" t="s">
        <v>2794</v>
      </c>
      <c r="G73" t="s">
        <v>3092</v>
      </c>
      <c r="H73">
        <f ca="1">INDEX(技能数据库!$B$2:$I$100,MATCH(无穷阵眼收益计算!$E73,技能数据库!$B$2:$B$100,0),MATCH(H$9,技能数据库!$B$2:$I$2,0))</f>
        <v>231.5</v>
      </c>
      <c r="I73">
        <f ca="1">INDEX(技能数据库!$B$2:$I$100,MATCH(无穷阵眼收益计算!$E73,技能数据库!$B$2:$B$100,0),MATCH(I$9,技能数据库!$B$2:$I$2,0))</f>
        <v>2.71875</v>
      </c>
      <c r="J73">
        <f ca="1">INDEX(技能数据库!$B$2:$I$100,MATCH(无穷阵眼收益计算!$E73,技能数据库!$B$2:$B$100,0),MATCH(J$9,技能数据库!$B$2:$I$2,0))</f>
        <v>2</v>
      </c>
      <c r="K73">
        <f ca="1">INDEX(技能数据库!$B$2:$I$100,MATCH(无穷阵眼收益计算!$E73,技能数据库!$B$2:$B$100,0),MATCH(K$9,技能数据库!$B$2:$I$2,0))</f>
        <v>0</v>
      </c>
      <c r="L73">
        <f ca="1" t="shared" si="13"/>
        <v>105847</v>
      </c>
      <c r="M73">
        <f ca="1" t="shared" si="90"/>
        <v>19530.5</v>
      </c>
      <c r="N73">
        <f ca="1" t="shared" si="91"/>
        <v>92028</v>
      </c>
      <c r="O73">
        <f ca="1" t="shared" si="54"/>
        <v>327064.03125</v>
      </c>
      <c r="P73">
        <f ca="1">IF(G73="恒定伤害",0,(IF(D73="轻剑",$AZ$2,$AZ$3)+IFERROR(INDEX(技能数据库!$T$2:$W$27,MATCH(E73,技能数据库!$T$2:$T$27,0),4),0)+COUNTIF(G73,"*造化2*")*154+COUNTIF(G73,"*造化1*")*102+COUNTIF(G73,"*碧归*")*307)/1024)</f>
        <v>0.536243146929785</v>
      </c>
      <c r="Q73">
        <f ca="1" t="shared" si="82"/>
        <v>0.448284482196154</v>
      </c>
      <c r="R73">
        <f ca="1" t="shared" si="55"/>
        <v>0.21277697966198</v>
      </c>
      <c r="S73">
        <f ca="1" t="shared" si="92"/>
        <v>572854.602584295</v>
      </c>
      <c r="T73">
        <f t="shared" si="76"/>
        <v>0.8</v>
      </c>
      <c r="U73">
        <f ca="1" t="shared" si="83"/>
        <v>2.67001635480339</v>
      </c>
      <c r="V73">
        <f ca="1" t="shared" si="93"/>
        <v>1681908.60832701</v>
      </c>
      <c r="W73">
        <f ca="1">IF(G73="恒定伤害",0,MIN(1,IF(COUNTIF(F73,"*内会*")&gt;0,内会2,IF(D73="轻剑",$Y$2,$Y$3)+COUNTIF(G73,"*莺鸣*")*0.2+COUNTIF(G73,"*叠1*")*0.1+COUNTIF(G73,"*叠2*")*0.2+COUNTIF(G73,"*叠3*")*0.3)+IFERROR(INDEX(技能数据库!$T$2:$W$27,MATCH(E73,技能数据库!$T$2:$T$27,0),2),0)+IF((IF(D73="轻剑",$AO$2,$AO$3)+INT(COUNTIF(G73,"*大莺鸣*")*IF(D73="轻剑",$AM$2,$AM$3)*听晓无双率)/无双系数)&gt;0.9,特效裤子会心/会心系数,0)))</f>
        <v>0.9043</v>
      </c>
      <c r="X73">
        <f ca="1">IF(G73="恒定伤害",0,IF(COUNTIF(F73,"*内会*")&gt;0,内会效2,IF(D73="轻剑",$AB$2,$AB$3))+IFERROR(INDEX(技能数据库!$T$2:$W$27,MATCH(E73,技能数据库!$T$2:$T$27,0),3)/1024,0))+COUNTIF(G73,"*叠1*")*0.25+COUNTIF(G73,"*叠2*")*0.5+COUNTIF(G73,"*叠3*")*0.75</f>
        <v>2.1773735021</v>
      </c>
      <c r="Y73">
        <f ca="1" t="shared" si="94"/>
        <v>2.06469885794903</v>
      </c>
      <c r="Z73">
        <f t="shared" si="16"/>
        <v>0.150390625</v>
      </c>
      <c r="AA73">
        <f ca="1" t="shared" si="95"/>
        <v>0.0205078125</v>
      </c>
      <c r="AB73">
        <f ca="1" t="shared" si="96"/>
        <v>4076812.88143075</v>
      </c>
      <c r="AC73">
        <f ca="1">无穷技能数计算!$AJ65</f>
        <v>0</v>
      </c>
      <c r="AD73" s="164">
        <f ca="1" t="shared" si="81"/>
        <v>0</v>
      </c>
      <c r="AE73" s="168"/>
      <c r="AF73" s="168">
        <f ca="1" t="shared" si="17"/>
        <v>0.9057</v>
      </c>
      <c r="AG73">
        <f ca="1">无穷技能数计算!$AJ65</f>
        <v>0</v>
      </c>
      <c r="AH73">
        <f ca="1" t="shared" si="18"/>
        <v>109879</v>
      </c>
      <c r="AJ73">
        <f ca="1" t="shared" si="19"/>
        <v>2.3765922521</v>
      </c>
      <c r="AK73">
        <f ca="1" t="shared" si="56"/>
        <v>338503.03125</v>
      </c>
      <c r="AL73">
        <f ca="1" t="shared" si="20"/>
        <v>4592759.80223906</v>
      </c>
      <c r="AM73" s="169">
        <f ca="1" t="shared" si="21"/>
        <v>0.9272</v>
      </c>
      <c r="AN73">
        <f ca="1">无穷技能数计算!$AJ65</f>
        <v>0</v>
      </c>
      <c r="AO73" s="170">
        <f ca="1" t="shared" si="22"/>
        <v>4653260.03437784</v>
      </c>
      <c r="AP73">
        <f ca="1" t="shared" si="23"/>
        <v>110956</v>
      </c>
      <c r="AQ73" s="170">
        <f ca="1" t="shared" si="57"/>
        <v>340954.125</v>
      </c>
      <c r="AR73">
        <f ca="1" t="shared" si="84"/>
        <v>4499285.3138058</v>
      </c>
      <c r="AS73">
        <f ca="1" t="shared" si="25"/>
        <v>0.9843</v>
      </c>
      <c r="AT73">
        <f ca="1">无穷技能数计算!$AJ65</f>
        <v>0</v>
      </c>
      <c r="AU73">
        <f ca="1" t="shared" si="26"/>
        <v>2.3238578771</v>
      </c>
      <c r="AV73">
        <f ca="1" t="shared" si="85"/>
        <v>2.68954760480339</v>
      </c>
      <c r="AW73">
        <f ca="1" t="shared" si="58"/>
        <v>4571691.76743645</v>
      </c>
      <c r="AX73">
        <f ca="1" t="shared" si="28"/>
        <v>0.9743</v>
      </c>
      <c r="AY73">
        <f ca="1">无穷技能数计算!$AJ65</f>
        <v>0</v>
      </c>
      <c r="AZ73" s="170">
        <f ca="1" t="shared" si="59"/>
        <v>4545412.6640495</v>
      </c>
      <c r="BA73">
        <f ca="1" t="shared" si="29"/>
        <v>0.9643</v>
      </c>
      <c r="BB73">
        <f ca="1">无穷技能数计算!$AJ65</f>
        <v>0</v>
      </c>
      <c r="BC73" s="170">
        <f ca="1" t="shared" si="60"/>
        <v>4519133.56066255</v>
      </c>
      <c r="BE73">
        <f ca="1" t="shared" si="30"/>
        <v>105849</v>
      </c>
      <c r="BF73">
        <f ca="1" t="shared" si="31"/>
        <v>327069.46875</v>
      </c>
      <c r="BI73">
        <f ca="1" t="shared" si="32"/>
        <v>0.9543</v>
      </c>
      <c r="BJ73">
        <f ca="1">无穷技能数计算!$AJ65</f>
        <v>0</v>
      </c>
      <c r="BK73">
        <f ca="1" t="shared" si="33"/>
        <v>4467730.04759391</v>
      </c>
      <c r="BM73">
        <f ca="1" t="shared" si="34"/>
        <v>109230</v>
      </c>
      <c r="BN73">
        <f ca="1" t="shared" si="35"/>
        <v>336261.5625</v>
      </c>
      <c r="BO73">
        <f ca="1" t="shared" si="86"/>
        <v>4526710.74615017</v>
      </c>
      <c r="BP73">
        <f ca="1" t="shared" si="87"/>
        <v>4316862.9906157</v>
      </c>
      <c r="BR73">
        <f ca="1" t="shared" si="38"/>
        <v>0.9543</v>
      </c>
      <c r="BS73">
        <f ca="1" t="shared" si="39"/>
        <v>4463574.04008822</v>
      </c>
      <c r="BT73">
        <f ca="1" t="shared" si="40"/>
        <v>0.196995876306796</v>
      </c>
      <c r="BU73">
        <f ca="1" t="shared" si="41"/>
        <v>2.3238578771</v>
      </c>
      <c r="BV73">
        <f ca="1" t="shared" si="61"/>
        <v>4558660.20292816</v>
      </c>
      <c r="BW73">
        <f ca="1" t="shared" si="42"/>
        <v>113027</v>
      </c>
      <c r="BX73">
        <f ca="1" t="shared" si="43"/>
        <v>346584.65625</v>
      </c>
      <c r="BY73">
        <f ca="1" t="shared" si="44"/>
        <v>0.9343</v>
      </c>
      <c r="BZ73">
        <f ca="1">无穷技能数计算!$AJ65</f>
        <v>0</v>
      </c>
      <c r="CA73">
        <f ca="1" t="shared" si="45"/>
        <v>2.3277641271</v>
      </c>
      <c r="CB73">
        <f ca="1" t="shared" si="62"/>
        <v>4688040.72401379</v>
      </c>
      <c r="CC73">
        <f ca="1" t="shared" si="46"/>
        <v>114847</v>
      </c>
      <c r="CD73">
        <f ca="1" t="shared" si="47"/>
        <v>351532.78125</v>
      </c>
      <c r="CE73">
        <f ca="1" t="shared" si="48"/>
        <v>4590115.30238055</v>
      </c>
      <c r="CF73">
        <f ca="1" t="shared" si="49"/>
        <v>2.2750297521</v>
      </c>
      <c r="CG73">
        <f ca="1" t="shared" si="50"/>
        <v>0.9343</v>
      </c>
      <c r="CH73">
        <f ca="1" t="shared" si="63"/>
        <v>4349738.51036716</v>
      </c>
      <c r="CJ73">
        <f ca="1" t="shared" si="51"/>
        <v>336261.5625</v>
      </c>
      <c r="CK73">
        <f ca="1" t="shared" si="88"/>
        <v>4506204.99318321</v>
      </c>
      <c r="CL73">
        <f ca="1" t="shared" si="64"/>
        <v>2.2976860021</v>
      </c>
      <c r="CM73">
        <f ca="1">IF(G73="恒定伤害",0,(IF(D73="轻剑",$CM$8,$CM$9)+IFERROR(INDEX(技能数据库!$T$2:$W$27,MATCH(E73,技能数据库!$T$2:$T$27,0),4),0)+COUNTIF(G73,"*造化2*")*154+COUNTIF(G73,"*造化1*")*102+COUNTIF(G73,"*碧归*")*307)/1024)</f>
        <v>0.596790021929785</v>
      </c>
      <c r="CN73">
        <f ca="1" t="shared" si="65"/>
        <v>4564846.55586582</v>
      </c>
      <c r="CO73">
        <f ca="1" t="shared" si="66"/>
        <v>2.3262602208</v>
      </c>
      <c r="CP73">
        <f ca="1" t="shared" si="67"/>
        <v>4619929.57604761</v>
      </c>
      <c r="CQ73">
        <f ca="1" t="shared" si="89"/>
        <v>2.77157885480339</v>
      </c>
      <c r="CR73">
        <f ca="1">IF(G73="恒定伤害",0,(IF(D73="轻剑",$CR$8,$CR$9)+IFERROR(INDEX(技能数据库!$T$2:$W$27,MATCH(E73,技能数据库!$T$2:$T$27,0),4),0)+COUNTIF(G73,"*造化2*")*154+COUNTIF(G73,"*造化1*")*102+COUNTIF(G73,"*碧归*")*307)/1024)</f>
        <v>0.587024396929785</v>
      </c>
      <c r="CS73">
        <f ca="1" t="shared" si="68"/>
        <v>4328123.21252249</v>
      </c>
    </row>
    <row r="74" spans="4:97">
      <c r="D74" t="s">
        <v>1825</v>
      </c>
      <c r="E74" t="s">
        <v>2776</v>
      </c>
      <c r="G74" t="s">
        <v>3093</v>
      </c>
      <c r="H74">
        <f ca="1">INDEX(技能数据库!$B$2:$I$100,MATCH(无穷阵眼收益计算!$E74,技能数据库!$B$2:$B$100,0),MATCH(H$9,技能数据库!$B$2:$I$2,0))</f>
        <v>281.5</v>
      </c>
      <c r="I74">
        <f ca="1">INDEX(技能数据库!$B$2:$I$100,MATCH(无穷阵眼收益计算!$E74,技能数据库!$B$2:$B$100,0),MATCH(I$9,技能数据库!$B$2:$I$2,0))</f>
        <v>7.06875</v>
      </c>
      <c r="J74">
        <f ca="1">INDEX(技能数据库!$B$2:$I$100,MATCH(无穷阵眼收益计算!$E74,技能数据库!$B$2:$B$100,0),MATCH(J$9,技能数据库!$B$2:$I$2,0))</f>
        <v>2</v>
      </c>
      <c r="K74">
        <f ca="1">INDEX(技能数据库!$B$2:$I$100,MATCH(无穷阵眼收益计算!$E74,技能数据库!$B$2:$B$100,0),MATCH(K$9,技能数据库!$B$2:$I$2,0))</f>
        <v>0</v>
      </c>
      <c r="L74">
        <f ca="1" t="shared" ref="L74:L137" si="97">IF(D74="轻剑",$V$2,$V$3)+INT(残雪*(COUNTIF(G74,"*莺鸣*")+COUNTIF(G74,"*叠1*")+COUNTIF(G74,"*叠2*")*2+COUNTIF(G74,"*叠3*")*3)*IF(D74="轻剑",$U$2,$U$3)*154/1024+COUNTIF(G74,"*雾锁*")*205/1024*IF(D74="轻剑",$U$2,$U$3))</f>
        <v>105847</v>
      </c>
      <c r="M74">
        <f ca="1" t="shared" si="90"/>
        <v>19530.5</v>
      </c>
      <c r="N74">
        <f ca="1" t="shared" si="91"/>
        <v>92028</v>
      </c>
      <c r="O74">
        <f ca="1" t="shared" si="54"/>
        <v>787548.48125</v>
      </c>
      <c r="P74">
        <f ca="1">IF(G74="恒定伤害",0,(IF(D74="轻剑",$AZ$2,$AZ$3)+IFERROR(INDEX(技能数据库!$T$2:$W$27,MATCH(E74,技能数据库!$T$2:$T$27,0),4),0)+COUNTIF(G74,"*造化2*")*154+COUNTIF(G74,"*造化1*")*102+COUNTIF(G74,"*碧归*")*307)/1024)</f>
        <v>0.636829084429785</v>
      </c>
      <c r="Q74">
        <f ca="1" t="shared" ref="Q74:Q105" si="98">IF(G74="恒定伤害",0,(IF(COUNTIF(F74,"*内破*")&gt;0,内破,IF(D74="轻剑",$AF$2,$AF$3)/破防系数))+IF((IF(D74="轻剑",$AO$2,$AO$3)+INT(COUNTIF(G74,"*大莺鸣*")*IF(D74="轻剑",$AM$2,$AM$3)*听晓无双率)/无双系数)&gt;0.9,(特效裤子破防+特效裤子破防*IF(D74="轻剑",$AD$2,$AD$3)/1024)/破防系数,0))</f>
        <v>0.448284482196154</v>
      </c>
      <c r="R74">
        <f ca="1" t="shared" si="55"/>
        <v>0.21277697966198</v>
      </c>
      <c r="S74">
        <f ca="1" t="shared" si="92"/>
        <v>1469712.18391797</v>
      </c>
      <c r="T74">
        <f t="shared" si="76"/>
        <v>0.8</v>
      </c>
      <c r="U74">
        <f ca="1" t="shared" ref="U74:U105" si="99">IF(G74="恒定伤害",0,(IF(D74="轻剑",$AO$2,$AO$3)+INT(COUNTIF(G74,"*大莺鸣*")*IF(D74="轻剑",$AM$2,$AM$3)*听晓无双率)/无双系数)+IF((IF(D74="轻剑",$AO$2,$AO$3)+INT(COUNTIF(G74,"*大莺鸣*")*IF(D74="轻剑",$AM$2,$AM$3)*听晓无双率)/无双系数)&lt;=0.9,特效裤子无双,0))</f>
        <v>2.67001635480339</v>
      </c>
      <c r="V74">
        <f ca="1" t="shared" si="93"/>
        <v>4315094.20146622</v>
      </c>
      <c r="W74">
        <f ca="1">IF(G74="恒定伤害",0,MIN(1,IF(COUNTIF(F74,"*内会*")&gt;0,内会2,IF(D74="轻剑",$Y$2,$Y$3)+COUNTIF(G74,"*莺鸣*")*0.2+COUNTIF(G74,"*叠1*")*0.1+COUNTIF(G74,"*叠2*")*0.2+COUNTIF(G74,"*叠3*")*0.3)+IFERROR(INDEX(技能数据库!$T$2:$W$27,MATCH(E74,技能数据库!$T$2:$T$27,0),2),0)+IF((IF(D74="轻剑",$AO$2,$AO$3)+INT(COUNTIF(G74,"*大莺鸣*")*IF(D74="轻剑",$AM$2,$AM$3)*听晓无双率)/无双系数)&gt;0.9,特效裤子会心/会心系数,0)))</f>
        <v>0.9043</v>
      </c>
      <c r="X74">
        <f ca="1">IF(G74="恒定伤害",0,IF(COUNTIF(F74,"*内会*")&gt;0,内会效2,IF(D74="轻剑",$AB$2,$AB$3))+IFERROR(INDEX(技能数据库!$T$2:$W$27,MATCH(E74,技能数据库!$T$2:$T$27,0),3)/1024,0))+COUNTIF(G74,"*叠1*")*0.25+COUNTIF(G74,"*叠2*")*0.5+COUNTIF(G74,"*叠3*")*0.75</f>
        <v>2.1773735021</v>
      </c>
      <c r="Y74">
        <f ca="1" t="shared" si="94"/>
        <v>2.06469885794903</v>
      </c>
      <c r="Z74">
        <f t="shared" ref="Z74:Z137" si="100">IF(G74="恒定伤害",0,非侠士伤害/1024)</f>
        <v>0.150390625</v>
      </c>
      <c r="AA74">
        <f ca="1" t="shared" si="95"/>
        <v>0.0205078125</v>
      </c>
      <c r="AB74">
        <f ca="1" t="shared" si="96"/>
        <v>10459445.6191191</v>
      </c>
      <c r="AC74">
        <f ca="1">无穷技能数计算!$AJ66</f>
        <v>0</v>
      </c>
      <c r="AD74" s="164">
        <f ca="1" t="shared" si="81"/>
        <v>0</v>
      </c>
      <c r="AE74" s="168"/>
      <c r="AF74" s="168">
        <f ca="1" t="shared" ref="AF74:AF137" si="101">W74+IF(COUNTIF(F74,"*内会*")&gt;0,0,IF(D74="轻剑",$AF$8-$Y$2,$AF$9-$Y$3))</f>
        <v>0.9057</v>
      </c>
      <c r="AG74">
        <f ca="1">无穷技能数计算!$AJ66</f>
        <v>0</v>
      </c>
      <c r="AH74">
        <f ca="1" t="shared" ref="AH74:AH137" si="102">IF(D74="轻剑",$AH$8,$AH$9)+INT(残雪*(COUNTIF(G74,"*莺鸣*")+COUNTIF(G74,"*叠1*")+COUNTIF(G74,"*叠2*")*2+COUNTIF(G74,"*叠3*")*3)*IF(D74="轻剑",$U$2,$U$3)*154/1024+COUNTIF(G74,"*雾锁*")*205/1024*IF(D74="轻剑",$U$2,$U$3))</f>
        <v>109879</v>
      </c>
      <c r="AJ74">
        <f ca="1" t="shared" ref="AJ74:AJ137" si="103">X74+IF(COUNTIF(F74,"*内会*")&gt;0,0,IF(D74="轻剑",$AJ$8-$AB$2,$AJ$9-$AB$3))</f>
        <v>2.3765922521</v>
      </c>
      <c r="AK74">
        <f ca="1" t="shared" si="56"/>
        <v>816526.68125</v>
      </c>
      <c r="AL74">
        <f ca="1" t="shared" ref="AL74:AL137" si="104">IF(COUNTIF(G74,"*恒定伤害*")&gt;0,AB74,((AK74*(1+P74)*(1+IF(COUNTIF(F74,"*内破*")&gt;0,内破,IF(D74="轻剑",$AI$8,$AI$9)/破防系数)+IF((IF(D74="轻剑",$AO$2,$AO$3)+INT(COUNTIF(G74,"*大莺鸣*")*IF(D74="轻剑",$AM$2,$AM$3)*听晓无双率)/无双系数)&gt;0.9,(特效裤子破防+特效裤子破防*IF(D74="轻剑",$AD$2,$AD$3)/1024)/破防系数,0))*(1-R74))*T74*(1+U74))*(1+Z74)*(1+AA74)*(1+MIN(1,AF74)*(MIN(3+COUNTIF(G74,"*叠*")*0.75,AJ74)-1)))</f>
        <v>11803883.8110827</v>
      </c>
      <c r="AM74" s="169">
        <f ca="1" t="shared" ref="AM74:AM137" si="105">W74+IF(COUNTIF(F74,"*内会*")&gt;0,0,IF(D74="轻剑",$AN$8-$Y$2,$AN$9-$Y$3))</f>
        <v>0.9272</v>
      </c>
      <c r="AN74">
        <f ca="1">无穷技能数计算!$AJ66</f>
        <v>0</v>
      </c>
      <c r="AO74" s="170">
        <f ca="1" t="shared" ref="AO74:AO137" si="106">IF(COUNTIF(G74,"*恒定伤害*")&gt;0,AB74,((AK74*(1+P74)*(1+IF(COUNTIF(F74,"*内破*")&gt;0,内破,IF(D74="轻剑",$AI$8,$AI$9)/破防系数)+IF((IF(D74="轻剑",$AO$2,$AO$3)+INT(COUNTIF(G74,"*大莺鸣*")*IF(D74="轻剑",$AM$2,$AM$3)*听晓无双率)/无双系数)&gt;0.9,(特效裤子破防+特效裤子破防*IF(D74="轻剑",$AD$2,$AD$3)/1024)/破防系数,0))*(1-R74))*T74*(1+U74))*(1+Z74)*(1+AA74)*(1+MIN(1,AM74)*(MIN(3+COUNTIF(G74,"*叠*")*0.75,AJ74)-1)))</f>
        <v>11959375.8771737</v>
      </c>
      <c r="AP74">
        <f ca="1" t="shared" ref="AP74:AP137" si="107">IF(D74="轻剑",$AP$8,$AP$9)+INT(残雪*(COUNTIF(G74,"*莺鸣*")+COUNTIF(G74,"*叠1*")+COUNTIF(G74,"*叠2*")*2+COUNTIF(G74,"*叠3*")*3)*IF(D74="轻剑",$U$2,$U$3)*154/1024+COUNTIF(G74,"*雾锁*")*205/1024*IF(D74="轻剑",$U$2,$U$3))</f>
        <v>110956</v>
      </c>
      <c r="AQ74" s="170">
        <f ca="1" t="shared" si="57"/>
        <v>823662.725</v>
      </c>
      <c r="AR74">
        <f ca="1" t="shared" ref="AR74:AR105" si="108">IF(COUNTIF(G74,"*恒定伤害*")&gt;0,AB74,((AQ74*(1+P74)*(1+IF(COUNTIF(F74,"*内破*")&gt;0,内破,IF(D74="轻剑",$AQ$8,$AQ$9)/破防系数)+IF((IF(D74="轻剑",$AO$2,$AO$3)+INT(COUNTIF(G74,"*大莺鸣*")*IF(D74="轻剑",$AM$2,$AM$3)*听晓无双率)/无双系数)&gt;0.9,(特效裤子破防+特效裤子破防*IF(D74="轻剑",$AD$2+200,$AD$3+200)/1024)/破防系数,0))*(1-R74))*T74*(1+U74))*Y74*(1+Z74)*(1+AA74))</f>
        <v>11580848.2820107</v>
      </c>
      <c r="AS74">
        <f ca="1" t="shared" ref="AS74:AS137" si="109">W74+IF(COUNTIF(F74,"*内会*")&gt;0,0,IF(D74="轻剑",$AS$8-$Y$2,$AS$9-$Y$3))</f>
        <v>0.9843</v>
      </c>
      <c r="AT74">
        <f ca="1">无穷技能数计算!$AJ66</f>
        <v>0</v>
      </c>
      <c r="AU74">
        <f ca="1" t="shared" ref="AU74:AU137" si="110">X74+IF(COUNTIF(F74,"*内会*")&gt;0,0,IF(D74="轻剑",$AU$8-$AB$2,$AU$9-$AB$3))</f>
        <v>2.3238578771</v>
      </c>
      <c r="AV74">
        <f ca="1" t="shared" ref="AV74:AV105" si="111">IF(G74="恒定伤害",0,(IF(D74="轻剑",$AV$8,$AV$9)+INT(COUNTIF(G74,"*大莺鸣*")*IF(D74="轻剑",$AM$2,$AM$3)*听晓无双率)/无双系数))+IF((IF(G74="恒定伤害",0,(IF(D74="轻剑",$AV$8,$AV$9)+INT(COUNTIF(G74,"*大莺鸣*")*IF(D74="轻剑",$AM$2,$AM$3)*听晓无双率)/无双系数)))&lt;=0.9,特效裤子无双,0)</f>
        <v>2.68954760480339</v>
      </c>
      <c r="AW74">
        <f ca="1" t="shared" si="58"/>
        <v>11729103.7924936</v>
      </c>
      <c r="AX74">
        <f ca="1" t="shared" ref="AX74:AX137" si="112">$W74+IF(COUNTIF(F74,"*内会*")&gt;0,0,IF(I74="轻剑",AX$8-$Y$2,AX$9-$Y$3))</f>
        <v>0.9743</v>
      </c>
      <c r="AY74">
        <f ca="1">无穷技能数计算!$AJ66</f>
        <v>0</v>
      </c>
      <c r="AZ74" s="170">
        <f ca="1" t="shared" si="59"/>
        <v>11661682.2892779</v>
      </c>
      <c r="BA74">
        <f ca="1" t="shared" ref="BA74:BA137" si="113">$W74+IF(COUNTIF(F74,"*内会*")&gt;0,0,IF(L74="轻剑",BA$8-$Y$2,BA$9-$Y$3))</f>
        <v>0.9643</v>
      </c>
      <c r="BB74">
        <f ca="1">无穷技能数计算!$AJ66</f>
        <v>0</v>
      </c>
      <c r="BC74" s="170">
        <f ca="1" t="shared" si="60"/>
        <v>11594260.7860623</v>
      </c>
      <c r="BE74">
        <f ca="1" t="shared" ref="BE74:BE137" si="114">IF(D74="轻剑",$BF$8,$BF$9)+INT(残雪*(COUNTIF(G74,"*莺鸣*")+COUNTIF(G74,"*叠1*")+COUNTIF(G74,"*叠2*")*2+COUNTIF(G74,"*叠3*")*3)*IF(D74="轻剑",$BE$8,$BE$9)*154/1024+COUNTIF(G74,"*雾锁*")*205/1024*IF(D74="轻剑",$BE$8,$BE$9))</f>
        <v>105849</v>
      </c>
      <c r="BF74">
        <f ca="1" t="shared" ref="BF74:BF137" si="115">H74+BE74*I74+J74*M74+IF(K74&gt;0,MAX(1,K74*N74*破招全局系数),0)</f>
        <v>787562.61875</v>
      </c>
      <c r="BI74">
        <f ca="1" t="shared" ref="BI74:BI137" si="116">$W74+IF(COUNTIF(F74,"*内会*")&gt;0,0,IF(T74="轻剑",BI$8-$Y$2,BI$9-$Y$3))</f>
        <v>0.9543</v>
      </c>
      <c r="BJ74">
        <f ca="1">无穷技能数计算!$AJ66</f>
        <v>0</v>
      </c>
      <c r="BK74">
        <f ca="1" t="shared" ref="BK74:BK137" si="117">IF(COUNTIF(G74,"*恒定伤害*")&gt;0,AB74,((BF74*(1+P74)*(1+IF(COUNTIF(F74,"*内破*")&gt;0,内破,IF(D74="轻剑",$BH$8,$BH$9)/破防系数)+IF((IF(D74="轻剑",$AO$2,$AO$3)+INT(COUNTIF(G74,"*大莺鸣*")*IF(D74="轻剑",$AM$2,$AM$3)*听晓无双率)/无双系数)&gt;0.9,(特效裤子破防+特效裤子破防*IF(D74="轻剑",$AD$2+204,$AD$3+204)/1024)/破防系数,0))*(1-R74))*T74*(1+AV74))*(1+MIN(1,BI74)*(MIN(3+COUNTIF(G74,"*叠*")*0.75,X74)-1))*(1+Z74)*(1+AA74))</f>
        <v>11462395.4544813</v>
      </c>
      <c r="BM74">
        <f ca="1" t="shared" ref="BM74:BM137" si="118">IF(D74="轻剑",$BN$8,$BN$9)+INT(残雪*(COUNTIF(G74,"*莺鸣*")+COUNTIF(G74,"*叠1*")+COUNTIF(G74,"*叠2*")*2+COUNTIF(G74,"*叠3*")*3)*IF(D74="轻剑",$U$2,$U$3)*154/1024+COUNTIF(G74,"*雾锁*")*205/1024*IF(D74="轻剑",$U$2,$U$3))</f>
        <v>109230</v>
      </c>
      <c r="BN74">
        <f ca="1" t="shared" ref="BN74:BN137" si="119">H74+BM74*I74+J74*M74+IF(K74&gt;0,MAX(1,K74*N74*破招全局系数),0)</f>
        <v>811462.0625</v>
      </c>
      <c r="BO74">
        <f ca="1" t="shared" ref="BO74:BO105" si="120">IF(COUNTIF(G74,"*恒定伤害*")&gt;0,AB74,((BN74*(1+P74)*(1+IF(COUNTIF(F74,"*内破*")&gt;0,内破,IF(D74="轻剑",$BM$8,$BM$9)/破防系数)+IF((IF(D74="轻剑",$AO$2,$AO$3)+INT(COUNTIF(G74,"*大莺鸣*")*IF(D74="轻剑",$AM$2,$AM$3)*听晓无双率)/无双系数)&gt;0.9,(特效裤子破防+特效裤子破防*IF(D74="轻剑",$AD$2+102,$AD$3+102)/1024)/破防系数,0))*(1-R74))*T74*(1+U74))*Y74*(1+Z74)*(1+AA74))</f>
        <v>11639038.7162897</v>
      </c>
      <c r="BP74">
        <f ca="1" t="shared" ref="BP74:BP105" si="121">IF(COUNTIF(G74,"*恒定伤害*")&gt;0,AB74,((BN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U74))*Y74*(1+Z74)*(1+AA74))</f>
        <v>11099480.0194436</v>
      </c>
      <c r="BR74">
        <f ca="1" t="shared" ref="BR74:BR137" si="122">$W74+IF(T74="轻剑",BI$8-$Y$2,BI$9-$Y$3)</f>
        <v>0.9543</v>
      </c>
      <c r="BS74">
        <f ca="1" t="shared" ref="BS74:BS137" si="123">IF(COUNTIF(G74,"*恒定伤害*")&gt;0,AB74,((BN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AV74))*(1+MIN(1,BR74)*(MIN(3+COUNTIF(G74,"*叠*")*0.75,X74)-1))*(1+Z74)*(1+AA74))</f>
        <v>11476702.1749282</v>
      </c>
      <c r="BT74">
        <f ca="1" t="shared" ref="BT74:BT137" si="124">IF(G74="恒定伤害",0,(($F$5-IF(D74="轻剑",$BB$2,$BB$3))*(1024-IF(D74="轻剑",$BD$2,$BD$3))/1024*(1024-IF(D74="轻剑",$BT$8,$BT$9)-COUNTIF(G74,"*雾锁*")*461*雾锁)/1024/(($F$5-IF(D74="轻剑",$BB$2,$BB$3))*(1024-IF(D74="轻剑",$BD$2,$BD$3))/1024*(1024-IF(D74="轻剑",$BT$8,$BT$9)-COUNTIF(G74,"*雾锁*")*461*雾锁)/1024+$F$7)))</f>
        <v>0.196995876306796</v>
      </c>
      <c r="BU74">
        <f ca="1" t="shared" ref="BU74:BU137" si="125">X74+IF(D74="轻剑",$AU$8-$AB$2,$AU$9-$AB$3)</f>
        <v>2.3238578771</v>
      </c>
      <c r="BV74">
        <f ca="1" t="shared" si="61"/>
        <v>11695670.0921323</v>
      </c>
      <c r="BW74">
        <f ca="1" t="shared" ref="BW74:BW137" si="126">IF(D74="轻剑",$BW$8,$BW$9)+INT(残雪*(COUNTIF(G74,"*莺鸣*")+COUNTIF(G74,"*叠1*")+COUNTIF(G74,"*叠2*")*2+COUNTIF(G74,"*叠3*")*3)*IF(D74="轻剑",$U$2,$U$3)*154/1024+COUNTIF(G74,"*雾锁*")*205/1024*IF(D74="轻剑",$U$2,$U$3))</f>
        <v>113027</v>
      </c>
      <c r="BX74">
        <f ca="1" t="shared" ref="BX74:BX137" si="127">H74+BW74*I74+J74*M74+IF(K74&gt;0,MAX(1,K74*N74*破招全局系数),0)</f>
        <v>838302.10625</v>
      </c>
      <c r="BY74">
        <f ca="1" t="shared" ref="BY74:BY137" si="128">$W74+IF(COUNTIF(F74,"*内会*")&gt;0,0,IF(AI74="轻剑",BY$8-$Y$2,BY$9-$Y$3))</f>
        <v>0.9343</v>
      </c>
      <c r="BZ74">
        <f ca="1">无穷技能数计算!$AJ66</f>
        <v>0</v>
      </c>
      <c r="CA74">
        <f ca="1" t="shared" ref="CA74:CA137" si="129">X74+IF(COUNTIF(F74,"*内会*")&gt;0,0,IF(D74="轻剑",$CA$8-$AB$2,$CA$9-$AB$3))</f>
        <v>2.3277641271</v>
      </c>
      <c r="CB74">
        <f ca="1" t="shared" si="62"/>
        <v>12081642.3628177</v>
      </c>
      <c r="CC74">
        <f ca="1" t="shared" ref="CC74:CC137" si="130">IF(D74="轻剑",$CC$8,$CC$9)+INT(残雪*(COUNTIF(G74,"*莺鸣*")+COUNTIF(G74,"*叠1*")+COUNTIF(G74,"*叠2*")*2+COUNTIF(G74,"*叠3*")*3)*IF(D74="轻剑",$U$2,$U$3)*154/1024+COUNTIF(G74,"*雾锁*")*205/1024*IF(D74="轻剑",$U$2,$U$3))</f>
        <v>114847</v>
      </c>
      <c r="CD74">
        <f ca="1" t="shared" ref="CD74:CD137" si="131">H74+CC74*I74+J74*M74+IF(K74&gt;0,MAX(1,K74*N74*破招全局系数),0)</f>
        <v>851167.23125</v>
      </c>
      <c r="CE74">
        <f ca="1" t="shared" ref="CE74:CE137" si="132">IF(COUNTIF(G74,"*恒定伤害*")&gt;0,AB74,((CD74*(1+P74)*(1+IF(COUNTIF(F74,"*内破*")&gt;0,内破,IF(D74="轻剑",$BQ$8,$BQ$9)/破防系数)+IF((IF(D74="轻剑",$AO$2,$AO$3)+INT(COUNTIF(G74,"*大莺鸣*")*IF(D74="轻剑",$AM$2,$AM$3)*听晓无双率)/无双系数)&gt;0.9,(特效裤子破防+特效裤子破防*IF(D74="轻剑",$AD$2+102,$AD$3+102)/1024)/破防系数,0))*(1-R74))*T74*(1+U74))*(1+MIN(1,BY74)*(MIN(3+COUNTIF(G74,"*叠*")*0.75,X74)-1))*(1+Z74)*(1+AA74))</f>
        <v>11841754.0080632</v>
      </c>
      <c r="CF74">
        <f ca="1" t="shared" ref="CF74:CF137" si="133">X74+IF(COUNTIF(F74,"*内会*")&gt;0,0,IF(D74="轻剑",$CF$8-$AB$2,$CF$9-$AB$3))</f>
        <v>2.2750297521</v>
      </c>
      <c r="CG74">
        <f ca="1" t="shared" ref="CG74:CG137" si="134">$W74+IF(AI74="轻剑",BY$8-$Y$2,BY$9-$Y$3)</f>
        <v>0.9343</v>
      </c>
      <c r="CH74">
        <f ca="1" t="shared" si="63"/>
        <v>11159661.904965</v>
      </c>
      <c r="CJ74">
        <f ca="1" t="shared" ref="CJ74:CJ137" si="135">H74+BM74*I74+J74*M74+IF(K74&gt;0,MAX(1,K74*(N74+2667)*破招全局系数),0)</f>
        <v>811462.0625</v>
      </c>
      <c r="CK74">
        <f ca="1" t="shared" ref="CK74:CK105" si="136">IF(COUNTIF(G74,"*恒定伤害*")&gt;0,AB74,((CJ74*(1+P74)*(1+IF(COUNTIF(F74,"*内破*")&gt;0,内破,IF(D74="轻剑",$CI$8,$CI$9)/破防系数)+IF((IF(D74="轻剑",$AO$2,$AO$3)+INT(COUNTIF(G74,"*大莺鸣*")*IF(D74="轻剑",$AM$2,$AM$3)*听晓无双率)/无双系数)&gt;0.9,(特效裤子破防+特效裤子破防*IF(D74="轻剑",$AD$2+256,$AD$3+256)/1024)/破防系数,0))*(1-R74))*T74*(1+U74))*Y74*(1+Z74)*(1+AA74))</f>
        <v>11586314.5052515</v>
      </c>
      <c r="CL74">
        <f ca="1" t="shared" si="64"/>
        <v>2.2976860021</v>
      </c>
      <c r="CM74">
        <f ca="1">IF(G74="恒定伤害",0,(IF(D74="轻剑",$CM$8,$CM$9)+IFERROR(INDEX(技能数据库!$T$2:$W$27,MATCH(E74,技能数据库!$T$2:$T$27,0),4),0)+COUNTIF(G74,"*造化2*")*154+COUNTIF(G74,"*造化1*")*102+COUNTIF(G74,"*碧归*")*307)/1024)</f>
        <v>0.697375959429785</v>
      </c>
      <c r="CN74">
        <f ca="1" t="shared" si="65"/>
        <v>11684252.4898558</v>
      </c>
      <c r="CO74">
        <f ca="1" t="shared" si="66"/>
        <v>2.3262602208</v>
      </c>
      <c r="CP74">
        <f ca="1" t="shared" si="67"/>
        <v>11825243.8480168</v>
      </c>
      <c r="CQ74">
        <f ca="1" t="shared" ref="CQ74:CQ105" si="137">IF(G74="恒定伤害",0,(IF(D74="轻剑",$CQ$8,$CQ$9)+INT(COUNTIF(G74,"*大莺鸣*")*IF(D74="轻剑",$AM$2,$AM$3)*听晓无双率)/无双系数))+IF((IF(G74="恒定伤害",0,(IF(D74="轻剑",$CQ$8,$CQ$9)+INT(COUNTIF(G74,"*大莺鸣*")*IF(D74="轻剑",$AM$2,$AM$3)*听晓无双率)/无双系数)))&lt;=0.9,特效裤子无双,0)</f>
        <v>2.77157885480339</v>
      </c>
      <c r="CR74">
        <f ca="1">IF(G74="恒定伤害",0,(IF(D74="轻剑",$CR$8,$CR$9)+IFERROR(INDEX(技能数据库!$T$2:$W$27,MATCH(E74,技能数据库!$T$2:$T$27,0),4),0)+COUNTIF(G74,"*造化2*")*154+COUNTIF(G74,"*造化1*")*102+COUNTIF(G74,"*碧归*")*307)/1024)</f>
        <v>0.687610334429785</v>
      </c>
      <c r="CS74">
        <f ca="1" t="shared" si="68"/>
        <v>11082371.4340828</v>
      </c>
    </row>
    <row r="75" spans="4:97">
      <c r="D75" t="s">
        <v>1825</v>
      </c>
      <c r="E75" t="s">
        <v>2780</v>
      </c>
      <c r="G75" t="s">
        <v>3093</v>
      </c>
      <c r="H75">
        <f ca="1">INDEX(技能数据库!$B$2:$I$100,MATCH(无穷阵眼收益计算!$E75,技能数据库!$B$2:$B$100,0),MATCH(H$9,技能数据库!$B$2:$I$2,0))</f>
        <v>252.5</v>
      </c>
      <c r="I75">
        <f ca="1">INDEX(技能数据库!$B$2:$I$100,MATCH(无穷阵眼收益计算!$E75,技能数据库!$B$2:$B$100,0),MATCH(I$9,技能数据库!$B$2:$I$2,0))</f>
        <v>2.11875</v>
      </c>
      <c r="J75">
        <f ca="1">INDEX(技能数据库!$B$2:$I$100,MATCH(无穷阵眼收益计算!$E75,技能数据库!$B$2:$B$100,0),MATCH(J$9,技能数据库!$B$2:$I$2,0))</f>
        <v>2</v>
      </c>
      <c r="K75">
        <f ca="1">INDEX(技能数据库!$B$2:$I$100,MATCH(无穷阵眼收益计算!$E75,技能数据库!$B$2:$B$100,0),MATCH(K$9,技能数据库!$B$2:$I$2,0))</f>
        <v>0</v>
      </c>
      <c r="L75">
        <f ca="1" t="shared" si="97"/>
        <v>105847</v>
      </c>
      <c r="M75">
        <f ca="1" t="shared" si="90"/>
        <v>19530.5</v>
      </c>
      <c r="N75">
        <f ca="1" t="shared" si="91"/>
        <v>92028</v>
      </c>
      <c r="O75">
        <f ca="1" t="shared" ref="O75:O138" si="138">H75+I75*L75+J75*M75+IF(K75&gt;0,MAX(1,K75*N75*破招全局系数),0)</f>
        <v>263576.83125</v>
      </c>
      <c r="P75">
        <f ca="1">IF(G75="恒定伤害",0,(IF(D75="轻剑",$AZ$2,$AZ$3)+IFERROR(INDEX(技能数据库!$T$2:$W$27,MATCH(E75,技能数据库!$T$2:$T$27,0),4),0)+COUNTIF(G75,"*造化2*")*154+COUNTIF(G75,"*造化1*")*102+COUNTIF(G75,"*碧归*")*307)/1024)</f>
        <v>0.636829084429785</v>
      </c>
      <c r="Q75">
        <f ca="1" t="shared" si="98"/>
        <v>0.448284482196154</v>
      </c>
      <c r="R75">
        <f ca="1" t="shared" ref="R75:R138" si="139">IF(G75="恒定伤害",0,(($F$5-IF(D75="轻剑",$BB$2,$BB$3))*(1024-IF(D75="轻剑",$BD$2,$BD$3))/1024*(1024-IF(D75="轻剑",$BC$2,$BC$3)-COUNTIF(G75,"*雾锁*")*461*雾锁)/1024/(($F$5-IF(D75="轻剑",$BB$2,$BB$3))*(1024-IF(D75="轻剑",$BD$2,$BD$3))/1024*(1024-IF(D75="轻剑",$BC$2,$BC$3)-COUNTIF(G75,"*雾锁*")*461*雾锁)/1024+$F$7)))</f>
        <v>0.21277697966198</v>
      </c>
      <c r="S75">
        <f ca="1" t="shared" si="92"/>
        <v>491883.470680767</v>
      </c>
      <c r="T75">
        <f t="shared" si="76"/>
        <v>0.8</v>
      </c>
      <c r="U75">
        <f ca="1" t="shared" si="99"/>
        <v>2.67001635480339</v>
      </c>
      <c r="V75">
        <f ca="1" t="shared" si="93"/>
        <v>1444176.30564469</v>
      </c>
      <c r="W75">
        <f ca="1">IF(G75="恒定伤害",0,MIN(1,IF(COUNTIF(F75,"*内会*")&gt;0,内会2,IF(D75="轻剑",$Y$2,$Y$3)+COUNTIF(G75,"*莺鸣*")*0.2+COUNTIF(G75,"*叠1*")*0.1+COUNTIF(G75,"*叠2*")*0.2+COUNTIF(G75,"*叠3*")*0.3)+IFERROR(INDEX(技能数据库!$T$2:$W$27,MATCH(E75,技能数据库!$T$2:$T$27,0),2),0)+IF((IF(D75="轻剑",$AO$2,$AO$3)+INT(COUNTIF(G75,"*大莺鸣*")*IF(D75="轻剑",$AM$2,$AM$3)*听晓无双率)/无双系数)&gt;0.9,特效裤子会心/会心系数,0)))</f>
        <v>0.9043</v>
      </c>
      <c r="X75">
        <f ca="1">IF(G75="恒定伤害",0,IF(COUNTIF(F75,"*内会*")&gt;0,内会效2,IF(D75="轻剑",$AB$2,$AB$3))+IFERROR(INDEX(技能数据库!$T$2:$W$27,MATCH(E75,技能数据库!$T$2:$T$27,0),3)/1024,0))+COUNTIF(G75,"*叠1*")*0.25+COUNTIF(G75,"*叠2*")*0.5+COUNTIF(G75,"*叠3*")*0.75</f>
        <v>2.1773735021</v>
      </c>
      <c r="Y75">
        <f ca="1" t="shared" si="94"/>
        <v>2.06469885794903</v>
      </c>
      <c r="Z75">
        <f t="shared" si="100"/>
        <v>0.150390625</v>
      </c>
      <c r="AA75">
        <f ca="1" t="shared" si="95"/>
        <v>0.0205078125</v>
      </c>
      <c r="AB75">
        <f ca="1" t="shared" si="96"/>
        <v>3500568.66155516</v>
      </c>
      <c r="AC75">
        <f ca="1">无穷技能数计算!$AJ67</f>
        <v>0</v>
      </c>
      <c r="AD75" s="164">
        <f ca="1" t="shared" si="81"/>
        <v>0</v>
      </c>
      <c r="AE75" s="168"/>
      <c r="AF75" s="168">
        <f ca="1" t="shared" si="101"/>
        <v>0.9057</v>
      </c>
      <c r="AG75">
        <f ca="1">无穷技能数计算!$AJ67</f>
        <v>0</v>
      </c>
      <c r="AH75">
        <f ca="1" t="shared" si="102"/>
        <v>109879</v>
      </c>
      <c r="AJ75">
        <f ca="1" t="shared" si="103"/>
        <v>2.3765922521</v>
      </c>
      <c r="AK75">
        <f ca="1" t="shared" ref="AK75:AK138" si="140">H75+AH75*I75+J75*(238.5+M75)+IF(K75&gt;0,MAX(1,K75*N75*破招全局系数),0)</f>
        <v>272596.63125</v>
      </c>
      <c r="AL75">
        <f ca="1" t="shared" si="104"/>
        <v>3940715.02677863</v>
      </c>
      <c r="AM75" s="169">
        <f ca="1" t="shared" si="105"/>
        <v>0.9272</v>
      </c>
      <c r="AN75">
        <f ca="1">无穷技能数计算!$AJ67</f>
        <v>0</v>
      </c>
      <c r="AO75" s="170">
        <f ca="1" t="shared" si="106"/>
        <v>3992625.90045346</v>
      </c>
      <c r="AP75">
        <f ca="1" t="shared" si="107"/>
        <v>110956</v>
      </c>
      <c r="AQ75" s="170">
        <f ca="1" t="shared" ref="AQ75:AQ138" si="141">H75+AP75*I75+J75*M75+IF(K75&gt;0,MAX(1,K75*N75*破招全局系数),0)</f>
        <v>274401.525</v>
      </c>
      <c r="AR75">
        <f ca="1" t="shared" si="108"/>
        <v>3858135.53645683</v>
      </c>
      <c r="AS75">
        <f ca="1" t="shared" si="109"/>
        <v>0.9843</v>
      </c>
      <c r="AT75">
        <f ca="1">无穷技能数计算!$AJ67</f>
        <v>0</v>
      </c>
      <c r="AU75">
        <f ca="1" t="shared" si="110"/>
        <v>2.3238578771</v>
      </c>
      <c r="AV75">
        <f ca="1" t="shared" si="111"/>
        <v>2.68954760480339</v>
      </c>
      <c r="AW75">
        <f ca="1" t="shared" ref="AW75:AW138" si="142">IF(COUNTIF(G75,"*恒定伤害*")&gt;0,AB75,((O75*(1+P75)*(1+Q75)*(1-R75))*T75*(1+AV75))*(1+MIN(1,AS75)*(MIN(3+COUNTIF(G75,"*叠*")*0.75,AU75)-1))*(1+Z75)*(1+AA75))</f>
        <v>3925498.02917649</v>
      </c>
      <c r="AX75">
        <f ca="1" t="shared" si="112"/>
        <v>0.9743</v>
      </c>
      <c r="AY75">
        <f ca="1">无穷技能数计算!$AJ67</f>
        <v>0</v>
      </c>
      <c r="AZ75" s="170">
        <f ca="1" t="shared" ref="AZ75:AZ138" si="143">IF(COUNTIF(G75,"*恒定伤害*")&gt;0,AB75,((O75*(1+P75)*(1+Q75)*(1-R75))*T75*(1+AV75))*(1+MIN(1,AX75)*(MIN(3+COUNTIF(G75,"*叠*")*0.75,AU75)-1))*(1+Z75)*(1+AA75))</f>
        <v>3902933.39144461</v>
      </c>
      <c r="BA75">
        <f ca="1" t="shared" si="113"/>
        <v>0.9643</v>
      </c>
      <c r="BB75">
        <f ca="1">无穷技能数计算!$AJ67</f>
        <v>0</v>
      </c>
      <c r="BC75" s="170">
        <f ca="1" t="shared" ref="BC75:BC138" si="144">IF(COUNTIF(G75,"*恒定伤害*")&gt;0,AB75,((O75*(1+P75)*(1+Q75)*(1-R75))*T75*(1+AV75))*(1+MIN(1,BA75)*(MIN(3+COUNTIF(G75,"*叠*")*0.75,AU75)-1))*(1+Z75)*(1+AA75))</f>
        <v>3880368.75371274</v>
      </c>
      <c r="BE75">
        <f ca="1" t="shared" si="114"/>
        <v>105849</v>
      </c>
      <c r="BF75">
        <f ca="1" t="shared" si="115"/>
        <v>263581.06875</v>
      </c>
      <c r="BI75">
        <f ca="1" t="shared" si="116"/>
        <v>0.9543</v>
      </c>
      <c r="BJ75">
        <f ca="1">无穷技能数计算!$AJ67</f>
        <v>0</v>
      </c>
      <c r="BK75">
        <f ca="1" t="shared" si="117"/>
        <v>3836228.8564719</v>
      </c>
      <c r="BM75">
        <f ca="1" t="shared" si="118"/>
        <v>109230</v>
      </c>
      <c r="BN75">
        <f ca="1" t="shared" si="119"/>
        <v>270744.5625</v>
      </c>
      <c r="BO75">
        <f ca="1" t="shared" si="120"/>
        <v>3883368.78677237</v>
      </c>
      <c r="BP75">
        <f ca="1" t="shared" si="121"/>
        <v>3703344.8644332</v>
      </c>
      <c r="BR75">
        <f ca="1" t="shared" si="122"/>
        <v>0.9543</v>
      </c>
      <c r="BS75">
        <f ca="1" t="shared" si="123"/>
        <v>3829205.15066438</v>
      </c>
      <c r="BT75">
        <f ca="1" t="shared" si="124"/>
        <v>0.196995876306796</v>
      </c>
      <c r="BU75">
        <f ca="1" t="shared" si="125"/>
        <v>2.3238578771</v>
      </c>
      <c r="BV75">
        <f ca="1" t="shared" ref="BV75:BV138" si="145">IF(COUNTIF(G75,"*恒定伤害*")&gt;0,AB75,((O75*(1+P75)*(1+Q75)*(1-BT75))*T75*(1+U75))*(1+MIN(1,BR75)*(MIN(3+COUNTIF(G75,"*叠*")*0.75,BU75)-1))*(1+Z75)*(1+AA75))</f>
        <v>3914308.4338589</v>
      </c>
      <c r="BW75">
        <f ca="1" t="shared" si="126"/>
        <v>113027</v>
      </c>
      <c r="BX75">
        <f ca="1" t="shared" si="127"/>
        <v>278789.45625</v>
      </c>
      <c r="BY75">
        <f ca="1" t="shared" si="128"/>
        <v>0.9343</v>
      </c>
      <c r="BZ75">
        <f ca="1">无穷技能数计算!$AJ67</f>
        <v>0</v>
      </c>
      <c r="CA75">
        <f ca="1" t="shared" si="129"/>
        <v>2.3277641271</v>
      </c>
      <c r="CB75">
        <f ca="1" t="shared" ref="CB75:CB138" si="146">IF(COUNTIF(G75,"*恒定伤害*")&gt;0,AB75,((BX75*(1+P75)*(1+Q75)*(1-R75))*T75*(1+U75))*(1+MIN(1,BY75)*(MIN(3+COUNTIF(G75,"*叠*")*0.75,CA75)-1))*(1+Z75)*(1+AA75))</f>
        <v>4017924.42107073</v>
      </c>
      <c r="CC75">
        <f ca="1" t="shared" si="130"/>
        <v>114847</v>
      </c>
      <c r="CD75">
        <f ca="1" t="shared" si="131"/>
        <v>282645.58125</v>
      </c>
      <c r="CE75">
        <f ca="1" t="shared" si="132"/>
        <v>3932270.08952542</v>
      </c>
      <c r="CF75">
        <f ca="1" t="shared" si="133"/>
        <v>2.2750297521</v>
      </c>
      <c r="CG75">
        <f ca="1" t="shared" si="134"/>
        <v>0.9343</v>
      </c>
      <c r="CH75">
        <f ca="1" t="shared" ref="CH75:CH138" si="147">IF(COUNTIF(G75,"*恒定伤害*")&gt;0,AB75,((O75*(1+P75)*(1+Q75)*(1-R75))*T75*(1+AV75))*(1+MIN(1,BY75)*(MIN(3+COUNTIF(G75,"*叠*")*0.75,CF75)-1))*(1+Z75)*(1+AA75))</f>
        <v>3734917.14194328</v>
      </c>
      <c r="CJ75">
        <f ca="1" t="shared" si="135"/>
        <v>270744.5625</v>
      </c>
      <c r="CK75">
        <f ca="1" t="shared" si="136"/>
        <v>3865777.3378182</v>
      </c>
      <c r="CL75">
        <f ca="1" t="shared" ref="CL75:CL138" si="148">X75+IF(D75="轻剑",$CL$8-$AB$2,$CL$9-$AB$3)</f>
        <v>2.2976860021</v>
      </c>
      <c r="CM75">
        <f ca="1">IF(G75="恒定伤害",0,(IF(D75="轻剑",$CM$8,$CM$9)+IFERROR(INDEX(技能数据库!$T$2:$W$27,MATCH(E75,技能数据库!$T$2:$T$27,0),4),0)+COUNTIF(G75,"*造化2*")*154+COUNTIF(G75,"*造化1*")*102+COUNTIF(G75,"*碧归*")*307)/1024)</f>
        <v>0.697375959429785</v>
      </c>
      <c r="CN75">
        <f ca="1" t="shared" ref="CN75:CN138" si="149">IF(COUNTIF(G75,"*恒定伤害*")&gt;0,AB75,((O75*(1+CM75)*(1+Q75)*(1-R75))*T75*(1+AV75))*(1+MIN(1,CG75)*(MIN(3+COUNTIF(G75,"*叠*")*0.75,CL75)-1))*(1+Z75)*(1+AA75))</f>
        <v>3910487.18919883</v>
      </c>
      <c r="CO75">
        <f ca="1" t="shared" ref="CO75:CO138" si="150">X75+IF(D75="轻剑",$CO$8-$AB$2,$CO$9-$AB$3)</f>
        <v>2.3262602208</v>
      </c>
      <c r="CP75">
        <f ca="1" t="shared" ref="CP75:CP138" si="151">IF(COUNTIF(G75,"*恒定伤害*")&gt;0,AB75,((O75*(1+CM75)*(1+Q75)*(1-R75))*T75*(1+AV75))*(1+MIN(1,CG75)*(MIN(3+COUNTIF(G75,"*叠*")*0.75,CO75)-1))*(1+Z75)*(1+AA75))</f>
        <v>3957674.19584345</v>
      </c>
      <c r="CQ75">
        <f ca="1" t="shared" si="137"/>
        <v>2.77157885480339</v>
      </c>
      <c r="CR75">
        <f ca="1">IF(G75="恒定伤害",0,(IF(D75="轻剑",$CR$8,$CR$9)+IFERROR(INDEX(技能数据库!$T$2:$W$27,MATCH(E75,技能数据库!$T$2:$T$27,0),4),0)+COUNTIF(G75,"*造化2*")*154+COUNTIF(G75,"*造化1*")*102+COUNTIF(G75,"*碧归*")*307)/1024)</f>
        <v>0.687610334429785</v>
      </c>
      <c r="CS75">
        <f ca="1" t="shared" ref="CS75:CS138" si="152">IF(COUNTIF(G75,"*恒定伤害*")&gt;0,AB75,((O75*(1+CR75)*(1+Q75)*(1-R75))*T75*(1+CQ75))*Y75*(1+Z75)*(1+AA75))</f>
        <v>3709049.55679013</v>
      </c>
    </row>
    <row r="76" spans="4:97">
      <c r="D76" t="s">
        <v>1028</v>
      </c>
      <c r="E76" t="s">
        <v>2723</v>
      </c>
      <c r="G76" t="s">
        <v>2750</v>
      </c>
      <c r="H76">
        <f ca="1">INDEX(技能数据库!$B$2:$I$100,MATCH(无穷阵眼收益计算!$E76,技能数据库!$B$2:$B$100,0),MATCH(H$9,技能数据库!$B$2:$I$2,0))</f>
        <v>143</v>
      </c>
      <c r="I76">
        <f ca="1">INDEX(技能数据库!$B$2:$I$100,MATCH(无穷阵眼收益计算!$E76,技能数据库!$B$2:$B$100,0),MATCH(I$9,技能数据库!$B$2:$I$2,0))</f>
        <v>2.53125</v>
      </c>
      <c r="J76">
        <f ca="1">INDEX(技能数据库!$B$2:$I$100,MATCH(无穷阵眼收益计算!$E76,技能数据库!$B$2:$B$100,0),MATCH(J$9,技能数据库!$B$2:$I$2,0))</f>
        <v>2</v>
      </c>
      <c r="K76">
        <f ca="1">INDEX(技能数据库!$B$2:$I$100,MATCH(无穷阵眼收益计算!$E76,技能数据库!$B$2:$B$100,0),MATCH(K$9,技能数据库!$B$2:$I$2,0))</f>
        <v>0</v>
      </c>
      <c r="L76">
        <f ca="1" t="shared" si="97"/>
        <v>105847</v>
      </c>
      <c r="M76">
        <f ca="1" t="shared" si="90"/>
        <v>12694.5</v>
      </c>
      <c r="N76">
        <f ca="1" t="shared" si="91"/>
        <v>92028</v>
      </c>
      <c r="O76">
        <f ca="1" t="shared" si="138"/>
        <v>293457.21875</v>
      </c>
      <c r="P76">
        <f ca="1">IF(G76="恒定伤害",0,(IF(D76="轻剑",$AZ$2,$AZ$3)+IFERROR(INDEX(技能数据库!$T$2:$W$27,MATCH(E76,技能数据库!$T$2:$T$27,0),4),0)+COUNTIF(G76,"*造化2*")*154+COUNTIF(G76,"*造化1*")*102+COUNTIF(G76,"*碧归*")*307)/1024)</f>
        <v>0.0167118969297852</v>
      </c>
      <c r="Q76">
        <f ca="1" t="shared" si="98"/>
        <v>0.448284482196154</v>
      </c>
      <c r="R76">
        <f ca="1" t="shared" si="139"/>
        <v>0.21277697966198</v>
      </c>
      <c r="S76">
        <f ca="1" t="shared" si="92"/>
        <v>340168.711881267</v>
      </c>
      <c r="T76">
        <f t="shared" si="76"/>
        <v>0.8</v>
      </c>
      <c r="U76">
        <f ca="1" t="shared" si="99"/>
        <v>1.7800129648</v>
      </c>
      <c r="V76">
        <f ca="1" t="shared" si="93"/>
        <v>756538.743399391</v>
      </c>
      <c r="W76">
        <f ca="1">IF(G76="恒定伤害",0,MIN(1,IF(COUNTIF(F76,"*内会*")&gt;0,内会2,IF(D76="轻剑",$Y$2,$Y$3)+COUNTIF(G76,"*莺鸣*")*0.2+COUNTIF(G76,"*叠1*")*0.1+COUNTIF(G76,"*叠2*")*0.2+COUNTIF(G76,"*叠3*")*0.3)+IFERROR(INDEX(技能数据库!$T$2:$W$27,MATCH(E76,技能数据库!$T$2:$T$27,0),2),0)+IF((IF(D76="轻剑",$AO$2,$AO$3)+INT(COUNTIF(G76,"*大莺鸣*")*IF(D76="轻剑",$AM$2,$AM$3)*听晓无双率)/无双系数)&gt;0.9,特效裤子会心/会心系数,0)))</f>
        <v>0.7043</v>
      </c>
      <c r="X76">
        <f ca="1">IF(G76="恒定伤害",0,IF(COUNTIF(F76,"*内会*")&gt;0,内会效2,IF(D76="轻剑",$AB$2,$AB$3))+IFERROR(INDEX(技能数据库!$T$2:$W$27,MATCH(E76,技能数据库!$T$2:$T$27,0),3)/1024,0))+COUNTIF(G76,"*叠1*")*0.25+COUNTIF(G76,"*叠2*")*0.5+COUNTIF(G76,"*叠3*")*0.75</f>
        <v>2.1773735021</v>
      </c>
      <c r="Y76">
        <f ca="1" t="shared" si="94"/>
        <v>1.82922415752903</v>
      </c>
      <c r="Z76">
        <f t="shared" si="100"/>
        <v>0.150390625</v>
      </c>
      <c r="AA76">
        <f ca="1" t="shared" si="95"/>
        <v>0.0205078125</v>
      </c>
      <c r="AB76">
        <f ca="1" t="shared" si="96"/>
        <v>1624649.83057056</v>
      </c>
      <c r="AC76">
        <f ca="1">$AC$11*MIN(1,0.3+$Y$2)</f>
        <v>4</v>
      </c>
      <c r="AD76" s="164">
        <f ca="1" t="shared" ref="AD76:AD91" si="153">IFERROR(AB76*AC76/$AD$7,0)</f>
        <v>0.00254687114760478</v>
      </c>
      <c r="AE76" s="168"/>
      <c r="AF76" s="168">
        <f ca="1" t="shared" si="101"/>
        <v>0.7057</v>
      </c>
      <c r="AG76">
        <f ca="1">$AC$11*MIN(1,0.3+$AF$8)</f>
        <v>4</v>
      </c>
      <c r="AH76">
        <f ca="1" t="shared" si="102"/>
        <v>109879</v>
      </c>
      <c r="AJ76">
        <f ca="1" t="shared" si="103"/>
        <v>2.3765922521</v>
      </c>
      <c r="AK76">
        <f ca="1" t="shared" si="140"/>
        <v>304140.21875</v>
      </c>
      <c r="AL76">
        <f ca="1" t="shared" si="104"/>
        <v>1815221.15552007</v>
      </c>
      <c r="AM76" s="169">
        <f ca="1" t="shared" si="105"/>
        <v>0.7272</v>
      </c>
      <c r="AN76">
        <f ca="1">$AC$11*MIN(1,0.3+$AN$8)</f>
        <v>4</v>
      </c>
      <c r="AO76" s="170">
        <f ca="1" t="shared" si="106"/>
        <v>1842472.32228827</v>
      </c>
      <c r="AP76">
        <f ca="1" t="shared" si="107"/>
        <v>110956</v>
      </c>
      <c r="AQ76" s="170">
        <f ca="1" t="shared" si="141"/>
        <v>306389.375</v>
      </c>
      <c r="AR76">
        <f ca="1" t="shared" si="108"/>
        <v>1795759.88143052</v>
      </c>
      <c r="AS76">
        <f ca="1" t="shared" si="109"/>
        <v>0.7843</v>
      </c>
      <c r="AT76">
        <f ca="1">$AC$11*MIN(1,0.3+AS$8)</f>
        <v>4</v>
      </c>
      <c r="AU76">
        <f ca="1" t="shared" si="110"/>
        <v>2.3238578771</v>
      </c>
      <c r="AV76">
        <f ca="1" t="shared" si="111"/>
        <v>1.7995442148</v>
      </c>
      <c r="AW76">
        <f ca="1" t="shared" si="142"/>
        <v>1823063.62053744</v>
      </c>
      <c r="AX76">
        <f ca="1" t="shared" si="112"/>
        <v>0.7743</v>
      </c>
      <c r="AY76">
        <f ca="1">$AC$11*MIN(1,0.3+AX$8)</f>
        <v>4</v>
      </c>
      <c r="AZ76" s="170">
        <f ca="1" t="shared" si="143"/>
        <v>1811222.99313956</v>
      </c>
      <c r="BA76">
        <f ca="1" t="shared" si="113"/>
        <v>0.7643</v>
      </c>
      <c r="BB76">
        <f ca="1">$AC$11*MIN(1,0.3+BA$8)</f>
        <v>4</v>
      </c>
      <c r="BC76" s="170">
        <f ca="1" t="shared" si="144"/>
        <v>1799382.36574167</v>
      </c>
      <c r="BE76">
        <f ca="1" t="shared" si="114"/>
        <v>105849</v>
      </c>
      <c r="BF76">
        <f ca="1" t="shared" si="115"/>
        <v>293462.28125</v>
      </c>
      <c r="BI76">
        <f ca="1" t="shared" si="116"/>
        <v>0.7543</v>
      </c>
      <c r="BJ76">
        <f ca="1">$AC$11*MIN(1,0.3+BI$8)</f>
        <v>4</v>
      </c>
      <c r="BK76">
        <f ca="1" t="shared" si="117"/>
        <v>1789817.02171009</v>
      </c>
      <c r="BM76">
        <f ca="1" t="shared" si="118"/>
        <v>109230</v>
      </c>
      <c r="BN76">
        <f ca="1" t="shared" si="119"/>
        <v>302020.4375</v>
      </c>
      <c r="BO76">
        <f ca="1" t="shared" si="120"/>
        <v>1805796.59234644</v>
      </c>
      <c r="BP76">
        <f ca="1" t="shared" si="121"/>
        <v>1722084.07279171</v>
      </c>
      <c r="BR76">
        <f ca="1" t="shared" si="122"/>
        <v>0.7543</v>
      </c>
      <c r="BS76">
        <f ca="1" t="shared" si="123"/>
        <v>1789992.76295961</v>
      </c>
      <c r="BT76">
        <f ca="1" t="shared" si="124"/>
        <v>0.196995876306796</v>
      </c>
      <c r="BU76">
        <f ca="1" t="shared" si="125"/>
        <v>2.3238578771</v>
      </c>
      <c r="BV76">
        <f ca="1" t="shared" si="145"/>
        <v>1810654.84721708</v>
      </c>
      <c r="BW76">
        <f ca="1" t="shared" si="126"/>
        <v>113027</v>
      </c>
      <c r="BX76">
        <f ca="1" t="shared" si="127"/>
        <v>311631.59375</v>
      </c>
      <c r="BY76">
        <f ca="1" t="shared" si="128"/>
        <v>0.7343</v>
      </c>
      <c r="BZ76">
        <f ca="1">$AC$11*MIN(1,0.3+BY$8)</f>
        <v>4</v>
      </c>
      <c r="CA76">
        <f ca="1" t="shared" si="129"/>
        <v>2.3277641271</v>
      </c>
      <c r="CB76">
        <f ca="1" t="shared" si="146"/>
        <v>1862737.2992863</v>
      </c>
      <c r="CC76">
        <f ca="1" t="shared" si="130"/>
        <v>114847</v>
      </c>
      <c r="CD76">
        <f ca="1" t="shared" si="131"/>
        <v>316238.46875</v>
      </c>
      <c r="CE76">
        <f ca="1" t="shared" si="132"/>
        <v>1837971.36838378</v>
      </c>
      <c r="CF76">
        <f ca="1" t="shared" si="133"/>
        <v>2.2750297521</v>
      </c>
      <c r="CG76">
        <f ca="1" t="shared" si="134"/>
        <v>0.7343</v>
      </c>
      <c r="CH76">
        <f ca="1" t="shared" si="147"/>
        <v>1731792.11050917</v>
      </c>
      <c r="CJ76">
        <f ca="1" t="shared" si="135"/>
        <v>302020.4375</v>
      </c>
      <c r="CK76">
        <f ca="1" t="shared" si="136"/>
        <v>1797616.43220196</v>
      </c>
      <c r="CL76">
        <f ca="1" t="shared" si="148"/>
        <v>2.2976860021</v>
      </c>
      <c r="CM76">
        <f ca="1">IF(G76="恒定伤害",0,(IF(D76="轻剑",$CM$8,$CM$9)+IFERROR(INDEX(技能数据库!$T$2:$W$27,MATCH(E76,技能数据库!$T$2:$T$27,0),4),0)+COUNTIF(G76,"*造化2*")*154+COUNTIF(G76,"*造化1*")*102+COUNTIF(G76,"*碧归*")*307)/1024)</f>
        <v>0.0772587719297852</v>
      </c>
      <c r="CN76">
        <f ca="1" t="shared" si="149"/>
        <v>1850689.03222628</v>
      </c>
      <c r="CO76">
        <f ca="1" t="shared" si="150"/>
        <v>2.3262602208</v>
      </c>
      <c r="CP76">
        <f ca="1" t="shared" si="151"/>
        <v>1870573.01496034</v>
      </c>
      <c r="CQ76">
        <f ca="1" t="shared" si="137"/>
        <v>1.8815754648</v>
      </c>
      <c r="CR76">
        <f ca="1">IF(G76="恒定伤害",0,(IF(D76="轻剑",$CR$8,$CR$9)+IFERROR(INDEX(技能数据库!$T$2:$W$27,MATCH(E76,技能数据库!$T$2:$T$27,0),4),0)+COUNTIF(G76,"*造化2*")*154+COUNTIF(G76,"*造化1*")*102+COUNTIF(G76,"*碧归*")*307)/1024)</f>
        <v>0.0674931469297852</v>
      </c>
      <c r="CS76">
        <f ca="1" t="shared" si="152"/>
        <v>1768113.48406698</v>
      </c>
    </row>
    <row r="77" spans="4:97">
      <c r="D77" t="s">
        <v>1825</v>
      </c>
      <c r="E77" t="s">
        <v>2808</v>
      </c>
      <c r="G77" t="s">
        <v>3093</v>
      </c>
      <c r="H77">
        <f ca="1">INDEX(技能数据库!$B$2:$I$100,MATCH(无穷阵眼收益计算!$E77,技能数据库!$B$2:$B$100,0),MATCH(H$9,技能数据库!$B$2:$I$2,0))</f>
        <v>535</v>
      </c>
      <c r="I77">
        <f ca="1">INDEX(技能数据库!$B$2:$I$100,MATCH(无穷阵眼收益计算!$E77,技能数据库!$B$2:$B$100,0),MATCH(I$9,技能数据库!$B$2:$I$2,0))</f>
        <v>7.06875</v>
      </c>
      <c r="J77">
        <f ca="1">INDEX(技能数据库!$B$2:$I$100,MATCH(无穷阵眼收益计算!$E77,技能数据库!$B$2:$B$100,0),MATCH(J$9,技能数据库!$B$2:$I$2,0))</f>
        <v>2</v>
      </c>
      <c r="K77">
        <f ca="1">INDEX(技能数据库!$B$2:$I$100,MATCH(无穷阵眼收益计算!$E77,技能数据库!$B$2:$B$100,0),MATCH(K$9,技能数据库!$B$2:$I$2,0))</f>
        <v>0</v>
      </c>
      <c r="L77">
        <f ca="1" t="shared" si="97"/>
        <v>105847</v>
      </c>
      <c r="M77">
        <f ca="1" t="shared" si="90"/>
        <v>19530.5</v>
      </c>
      <c r="N77">
        <f ca="1" t="shared" si="91"/>
        <v>92028</v>
      </c>
      <c r="O77">
        <f ca="1" t="shared" si="138"/>
        <v>787801.98125</v>
      </c>
      <c r="P77">
        <f ca="1">IF(G77="恒定伤害",0,(IF(D77="轻剑",$AZ$2,$AZ$3)+IFERROR(INDEX(技能数据库!$T$2:$W$27,MATCH(E77,技能数据库!$T$2:$T$27,0),4),0)+COUNTIF(G77,"*造化2*")*154+COUNTIF(G77,"*造化1*")*102+COUNTIF(G77,"*碧归*")*307)/1024)</f>
        <v>0.636829084429785</v>
      </c>
      <c r="Q77">
        <f ca="1" t="shared" si="98"/>
        <v>0.448284482196154</v>
      </c>
      <c r="R77">
        <f ca="1" t="shared" si="139"/>
        <v>0.21277697966198</v>
      </c>
      <c r="S77">
        <f ca="1" t="shared" si="92"/>
        <v>1470185.26214426</v>
      </c>
      <c r="T77">
        <f t="shared" si="76"/>
        <v>0.8</v>
      </c>
      <c r="U77">
        <f ca="1" t="shared" si="99"/>
        <v>2.67001635480339</v>
      </c>
      <c r="V77">
        <f ca="1" t="shared" si="93"/>
        <v>4316483.16532827</v>
      </c>
      <c r="W77">
        <f ca="1">IF(G77="恒定伤害",0,MIN(1,IF(COUNTIF(F77,"*内会*")&gt;0,内会2,IF(D77="轻剑",$Y$2,$Y$3)+COUNTIF(G77,"*莺鸣*")*0.2+COUNTIF(G77,"*叠1*")*0.1+COUNTIF(G77,"*叠2*")*0.2+COUNTIF(G77,"*叠3*")*0.3)+IFERROR(INDEX(技能数据库!$T$2:$W$27,MATCH(E77,技能数据库!$T$2:$T$27,0),2),0)+IF((IF(D77="轻剑",$AO$2,$AO$3)+INT(COUNTIF(G77,"*大莺鸣*")*IF(D77="轻剑",$AM$2,$AM$3)*听晓无双率)/无双系数)&gt;0.9,特效裤子会心/会心系数,0)))</f>
        <v>0.9043</v>
      </c>
      <c r="X77">
        <f ca="1">IF(G77="恒定伤害",0,IF(COUNTIF(F77,"*内会*")&gt;0,内会效2,IF(D77="轻剑",$AB$2,$AB$3))+IFERROR(INDEX(技能数据库!$T$2:$W$27,MATCH(E77,技能数据库!$T$2:$T$27,0),3)/1024,0))+COUNTIF(G77,"*叠1*")*0.25+COUNTIF(G77,"*叠2*")*0.5+COUNTIF(G77,"*叠3*")*0.75</f>
        <v>2.1773735021</v>
      </c>
      <c r="Y77">
        <f ca="1" t="shared" si="94"/>
        <v>2.06469885794903</v>
      </c>
      <c r="Z77">
        <f t="shared" si="100"/>
        <v>0.150390625</v>
      </c>
      <c r="AA77">
        <f ca="1" t="shared" si="95"/>
        <v>0.0205078125</v>
      </c>
      <c r="AB77">
        <f ca="1" t="shared" si="96"/>
        <v>10462812.3572026</v>
      </c>
      <c r="AC77">
        <f ca="1">无穷技能数计算!$AJ69</f>
        <v>0</v>
      </c>
      <c r="AD77" s="164">
        <f ca="1" t="shared" si="153"/>
        <v>0</v>
      </c>
      <c r="AE77" s="168"/>
      <c r="AF77" s="168">
        <f ca="1" t="shared" si="101"/>
        <v>0.9057</v>
      </c>
      <c r="AG77">
        <f ca="1">无穷技能数计算!$AJ69</f>
        <v>0</v>
      </c>
      <c r="AH77">
        <f ca="1" t="shared" si="102"/>
        <v>109879</v>
      </c>
      <c r="AJ77">
        <f ca="1" t="shared" si="103"/>
        <v>2.3765922521</v>
      </c>
      <c r="AK77">
        <f ca="1" t="shared" si="140"/>
        <v>816780.18125</v>
      </c>
      <c r="AL77">
        <f ca="1" t="shared" si="104"/>
        <v>11807548.4611362</v>
      </c>
      <c r="AM77" s="169">
        <f ca="1" t="shared" si="105"/>
        <v>0.9272</v>
      </c>
      <c r="AN77">
        <f ca="1">无穷技能数计算!$AJ69</f>
        <v>0</v>
      </c>
      <c r="AO77" s="170">
        <f ca="1" t="shared" si="106"/>
        <v>11963088.8015085</v>
      </c>
      <c r="AP77">
        <f ca="1" t="shared" si="107"/>
        <v>110956</v>
      </c>
      <c r="AQ77" s="170">
        <f ca="1" t="shared" si="141"/>
        <v>823916.225</v>
      </c>
      <c r="AR77">
        <f ca="1" t="shared" si="108"/>
        <v>11584412.5382899</v>
      </c>
      <c r="AS77">
        <f ca="1" t="shared" si="109"/>
        <v>0.9843</v>
      </c>
      <c r="AT77">
        <f ca="1">无穷技能数计算!$AJ69</f>
        <v>0</v>
      </c>
      <c r="AU77">
        <f ca="1" t="shared" si="110"/>
        <v>2.3238578771</v>
      </c>
      <c r="AV77">
        <f ca="1" t="shared" si="111"/>
        <v>2.68954760480339</v>
      </c>
      <c r="AW77">
        <f ca="1" t="shared" si="142"/>
        <v>11732879.2144291</v>
      </c>
      <c r="AX77">
        <f ca="1" t="shared" si="112"/>
        <v>0.9743</v>
      </c>
      <c r="AY77">
        <f ca="1">无穷技能数计算!$AJ69</f>
        <v>0</v>
      </c>
      <c r="AZ77" s="170">
        <f ca="1" t="shared" si="143"/>
        <v>11665436.0092465</v>
      </c>
      <c r="BA77">
        <f ca="1" t="shared" si="113"/>
        <v>0.9643</v>
      </c>
      <c r="BB77">
        <f ca="1">无穷技能数计算!$AJ69</f>
        <v>0</v>
      </c>
      <c r="BC77" s="170">
        <f ca="1" t="shared" si="144"/>
        <v>11597992.804064</v>
      </c>
      <c r="BE77">
        <f ca="1" t="shared" si="114"/>
        <v>105849</v>
      </c>
      <c r="BF77">
        <f ca="1" t="shared" si="115"/>
        <v>787816.11875</v>
      </c>
      <c r="BI77">
        <f ca="1" t="shared" si="116"/>
        <v>0.9543</v>
      </c>
      <c r="BJ77">
        <f ca="1">无穷技能数计算!$AJ69</f>
        <v>0</v>
      </c>
      <c r="BK77">
        <f ca="1" t="shared" si="117"/>
        <v>11466084.9607866</v>
      </c>
      <c r="BM77">
        <f ca="1" t="shared" si="118"/>
        <v>109230</v>
      </c>
      <c r="BN77">
        <f ca="1" t="shared" si="119"/>
        <v>811715.5625</v>
      </c>
      <c r="BO77">
        <f ca="1" t="shared" si="120"/>
        <v>11642674.7412513</v>
      </c>
      <c r="BP77">
        <f ca="1" t="shared" si="121"/>
        <v>11102947.4867658</v>
      </c>
      <c r="BR77">
        <f ca="1" t="shared" si="122"/>
        <v>0.9543</v>
      </c>
      <c r="BS77">
        <f ca="1" t="shared" si="123"/>
        <v>11480287.4861039</v>
      </c>
      <c r="BT77">
        <f ca="1" t="shared" si="124"/>
        <v>0.196995876306796</v>
      </c>
      <c r="BU77">
        <f ca="1" t="shared" si="125"/>
        <v>2.3238578771</v>
      </c>
      <c r="BV77">
        <f ca="1" t="shared" si="145"/>
        <v>11699434.752263</v>
      </c>
      <c r="BW77">
        <f ca="1" t="shared" si="126"/>
        <v>113027</v>
      </c>
      <c r="BX77">
        <f ca="1" t="shared" si="127"/>
        <v>838555.60625</v>
      </c>
      <c r="BY77">
        <f ca="1" t="shared" si="128"/>
        <v>0.9343</v>
      </c>
      <c r="BZ77">
        <f ca="1">无穷技能数计算!$AJ69</f>
        <v>0</v>
      </c>
      <c r="CA77">
        <f ca="1" t="shared" si="129"/>
        <v>2.3277641271</v>
      </c>
      <c r="CB77">
        <f ca="1" t="shared" si="146"/>
        <v>12085295.8146176</v>
      </c>
      <c r="CC77">
        <f ca="1" t="shared" si="130"/>
        <v>114847</v>
      </c>
      <c r="CD77">
        <f ca="1" t="shared" si="131"/>
        <v>851420.73125</v>
      </c>
      <c r="CE77">
        <f ca="1" t="shared" si="132"/>
        <v>11845280.7940235</v>
      </c>
      <c r="CF77">
        <f ca="1" t="shared" si="133"/>
        <v>2.2750297521</v>
      </c>
      <c r="CG77">
        <f ca="1" t="shared" si="134"/>
        <v>0.9343</v>
      </c>
      <c r="CH77">
        <f ca="1" t="shared" si="147"/>
        <v>11163254.0321296</v>
      </c>
      <c r="CJ77">
        <f ca="1" t="shared" si="135"/>
        <v>811715.5625</v>
      </c>
      <c r="CK77">
        <f ca="1" t="shared" si="136"/>
        <v>11589934.0592181</v>
      </c>
      <c r="CL77">
        <f ca="1" t="shared" si="148"/>
        <v>2.2976860021</v>
      </c>
      <c r="CM77">
        <f ca="1">IF(G77="恒定伤害",0,(IF(D77="轻剑",$CM$8,$CM$9)+IFERROR(INDEX(技能数据库!$T$2:$W$27,MATCH(E77,技能数据库!$T$2:$T$27,0),4),0)+COUNTIF(G77,"*造化2*")*154+COUNTIF(G77,"*造化1*")*102+COUNTIF(G77,"*碧归*")*307)/1024)</f>
        <v>0.697375959429785</v>
      </c>
      <c r="CN77">
        <f ca="1" t="shared" si="149"/>
        <v>11688013.4748322</v>
      </c>
      <c r="CO77">
        <f ca="1" t="shared" si="150"/>
        <v>2.3262602208</v>
      </c>
      <c r="CP77">
        <f ca="1" t="shared" si="151"/>
        <v>11829050.2159889</v>
      </c>
      <c r="CQ77">
        <f ca="1" t="shared" si="137"/>
        <v>2.77157885480339</v>
      </c>
      <c r="CR77">
        <f ca="1">IF(G77="恒定伤害",0,(IF(D77="轻剑",$CR$8,$CR$9)+IFERROR(INDEX(技能数据库!$T$2:$W$27,MATCH(E77,技能数据库!$T$2:$T$27,0),4),0)+COUNTIF(G77,"*造化2*")*154+COUNTIF(G77,"*造化1*")*102+COUNTIF(G77,"*碧归*")*307)/1024)</f>
        <v>0.687610334429785</v>
      </c>
      <c r="CS77">
        <f ca="1" t="shared" si="152"/>
        <v>11085938.6826083</v>
      </c>
    </row>
    <row r="78" spans="4:97">
      <c r="D78" t="s">
        <v>1825</v>
      </c>
      <c r="E78" t="s">
        <v>2808</v>
      </c>
      <c r="G78" t="s">
        <v>3057</v>
      </c>
      <c r="H78">
        <f ca="1">INDEX(技能数据库!$B$2:$I$100,MATCH(无穷阵眼收益计算!$E78,技能数据库!$B$2:$B$100,0),MATCH(H$9,技能数据库!$B$2:$I$2,0))</f>
        <v>535</v>
      </c>
      <c r="I78">
        <f ca="1">INDEX(技能数据库!$B$2:$I$100,MATCH(无穷阵眼收益计算!$E78,技能数据库!$B$2:$B$100,0),MATCH(I$9,技能数据库!$B$2:$I$2,0))</f>
        <v>7.06875</v>
      </c>
      <c r="J78">
        <f ca="1">INDEX(技能数据库!$B$2:$I$100,MATCH(无穷阵眼收益计算!$E78,技能数据库!$B$2:$B$100,0),MATCH(J$9,技能数据库!$B$2:$I$2,0))</f>
        <v>2</v>
      </c>
      <c r="K78">
        <f ca="1">INDEX(技能数据库!$B$2:$I$100,MATCH(无穷阵眼收益计算!$E78,技能数据库!$B$2:$B$100,0),MATCH(K$9,技能数据库!$B$2:$I$2,0))</f>
        <v>0</v>
      </c>
      <c r="L78">
        <f ca="1" t="shared" si="97"/>
        <v>105847</v>
      </c>
      <c r="M78">
        <f ca="1" t="shared" si="90"/>
        <v>19530.5</v>
      </c>
      <c r="N78">
        <f ca="1" t="shared" si="91"/>
        <v>92028</v>
      </c>
      <c r="O78">
        <f ca="1" t="shared" si="138"/>
        <v>787801.98125</v>
      </c>
      <c r="P78">
        <f ca="1">IF(G78="恒定伤害",0,(IF(D78="轻剑",$AZ$2,$AZ$3)+IFERROR(INDEX(技能数据库!$T$2:$W$27,MATCH(E78,技能数据库!$T$2:$T$27,0),4),0)+COUNTIF(G78,"*造化2*")*154+COUNTIF(G78,"*造化1*")*102+COUNTIF(G78,"*碧归*")*307)/1024)</f>
        <v>0.286243146929785</v>
      </c>
      <c r="Q78">
        <f ca="1" t="shared" si="98"/>
        <v>0.448284482196154</v>
      </c>
      <c r="R78">
        <f ca="1" t="shared" si="139"/>
        <v>0.21277697966198</v>
      </c>
      <c r="S78">
        <f ca="1" t="shared" si="92"/>
        <v>1155292.1048009</v>
      </c>
      <c r="T78">
        <f t="shared" si="76"/>
        <v>0.8</v>
      </c>
      <c r="U78">
        <f ca="1" t="shared" si="99"/>
        <v>1.7800129648</v>
      </c>
      <c r="V78">
        <f ca="1" t="shared" si="93"/>
        <v>2569381.62358207</v>
      </c>
      <c r="W78">
        <f ca="1">IF(G78="恒定伤害",0,MIN(1,IF(COUNTIF(F78,"*内会*")&gt;0,内会2,IF(D78="轻剑",$Y$2,$Y$3)+COUNTIF(G78,"*莺鸣*")*0.2+COUNTIF(G78,"*叠1*")*0.1+COUNTIF(G78,"*叠2*")*0.2+COUNTIF(G78,"*叠3*")*0.3)+IFERROR(INDEX(技能数据库!$T$2:$W$27,MATCH(E78,技能数据库!$T$2:$T$27,0),2),0)+IF((IF(D78="轻剑",$AO$2,$AO$3)+INT(COUNTIF(G78,"*大莺鸣*")*IF(D78="轻剑",$AM$2,$AM$3)*听晓无双率)/无双系数)&gt;0.9,特效裤子会心/会心系数,0)))</f>
        <v>0.7043</v>
      </c>
      <c r="X78">
        <f ca="1">IF(G78="恒定伤害",0,IF(COUNTIF(F78,"*内会*")&gt;0,内会效2,IF(D78="轻剑",$AB$2,$AB$3))+IFERROR(INDEX(技能数据库!$T$2:$W$27,MATCH(E78,技能数据库!$T$2:$T$27,0),3)/1024,0))+COUNTIF(G78,"*叠1*")*0.25+COUNTIF(G78,"*叠2*")*0.5+COUNTIF(G78,"*叠3*")*0.75</f>
        <v>2.1773735021</v>
      </c>
      <c r="Y78">
        <f ca="1" t="shared" si="94"/>
        <v>1.82922415752903</v>
      </c>
      <c r="Z78">
        <f t="shared" si="100"/>
        <v>0.150390625</v>
      </c>
      <c r="AA78">
        <f ca="1" t="shared" si="95"/>
        <v>0.0205078125</v>
      </c>
      <c r="AB78">
        <f ca="1" t="shared" si="96"/>
        <v>5517688.89015116</v>
      </c>
      <c r="AC78">
        <f ca="1">无穷技能数计算!$AJ70</f>
        <v>0</v>
      </c>
      <c r="AD78" s="164">
        <f ca="1" t="shared" si="153"/>
        <v>0</v>
      </c>
      <c r="AE78" s="168"/>
      <c r="AF78" s="168">
        <f ca="1" t="shared" si="101"/>
        <v>0.7057</v>
      </c>
      <c r="AG78">
        <f ca="1">无穷技能数计算!$AJ70</f>
        <v>0</v>
      </c>
      <c r="AH78">
        <f ca="1" t="shared" si="102"/>
        <v>109879</v>
      </c>
      <c r="AJ78">
        <f ca="1" t="shared" si="103"/>
        <v>2.3765922521</v>
      </c>
      <c r="AK78">
        <f ca="1" t="shared" si="140"/>
        <v>816780.18125</v>
      </c>
      <c r="AL78">
        <f ca="1" t="shared" si="104"/>
        <v>6167171.84723229</v>
      </c>
      <c r="AM78" s="169">
        <f ca="1" t="shared" si="105"/>
        <v>0.7272</v>
      </c>
      <c r="AN78">
        <f ca="1">无穷技能数计算!$AJ70</f>
        <v>0</v>
      </c>
      <c r="AO78" s="170">
        <f ca="1" t="shared" si="106"/>
        <v>6259757.0553685</v>
      </c>
      <c r="AP78">
        <f ca="1" t="shared" si="107"/>
        <v>110956</v>
      </c>
      <c r="AQ78" s="170">
        <f ca="1" t="shared" si="141"/>
        <v>823916.225</v>
      </c>
      <c r="AR78">
        <f ca="1" t="shared" si="108"/>
        <v>6109178.12336064</v>
      </c>
      <c r="AS78">
        <f ca="1" t="shared" si="109"/>
        <v>0.7843</v>
      </c>
      <c r="AT78">
        <f ca="1">无穷技能数计算!$AJ70</f>
        <v>0</v>
      </c>
      <c r="AU78">
        <f ca="1" t="shared" si="110"/>
        <v>2.3238578771</v>
      </c>
      <c r="AV78">
        <f ca="1" t="shared" si="111"/>
        <v>1.7995442148</v>
      </c>
      <c r="AW78">
        <f ca="1" t="shared" si="142"/>
        <v>6191548.29292999</v>
      </c>
      <c r="AX78">
        <f ca="1" t="shared" si="112"/>
        <v>0.7743</v>
      </c>
      <c r="AY78">
        <f ca="1">无穷技能数计算!$AJ70</f>
        <v>0</v>
      </c>
      <c r="AZ78" s="170">
        <f ca="1" t="shared" si="143"/>
        <v>6151334.76690341</v>
      </c>
      <c r="BA78">
        <f ca="1" t="shared" si="113"/>
        <v>0.7643</v>
      </c>
      <c r="BB78">
        <f ca="1">无穷技能数计算!$AJ70</f>
        <v>0</v>
      </c>
      <c r="BC78" s="170">
        <f ca="1" t="shared" si="144"/>
        <v>6111121.24087683</v>
      </c>
      <c r="BE78">
        <f ca="1" t="shared" si="114"/>
        <v>105849</v>
      </c>
      <c r="BF78">
        <f ca="1" t="shared" si="115"/>
        <v>787816.11875</v>
      </c>
      <c r="BI78">
        <f ca="1" t="shared" si="116"/>
        <v>0.7543</v>
      </c>
      <c r="BJ78">
        <f ca="1">无穷技能数计算!$AJ70</f>
        <v>0</v>
      </c>
      <c r="BK78">
        <f ca="1" t="shared" si="117"/>
        <v>6078639.32672975</v>
      </c>
      <c r="BM78">
        <f ca="1" t="shared" si="118"/>
        <v>109230</v>
      </c>
      <c r="BN78">
        <f ca="1" t="shared" si="119"/>
        <v>811715.5625</v>
      </c>
      <c r="BO78">
        <f ca="1" t="shared" si="120"/>
        <v>6139903.39100578</v>
      </c>
      <c r="BP78">
        <f ca="1" t="shared" si="121"/>
        <v>5855271.78583931</v>
      </c>
      <c r="BR78">
        <f ca="1" t="shared" si="122"/>
        <v>0.7543</v>
      </c>
      <c r="BS78">
        <f ca="1" t="shared" si="123"/>
        <v>6086168.66470587</v>
      </c>
      <c r="BT78">
        <f ca="1" t="shared" si="124"/>
        <v>0.196995876306796</v>
      </c>
      <c r="BU78">
        <f ca="1" t="shared" si="125"/>
        <v>2.3238578771</v>
      </c>
      <c r="BV78">
        <f ca="1" t="shared" si="145"/>
        <v>6149405.2111398</v>
      </c>
      <c r="BW78">
        <f ca="1" t="shared" si="126"/>
        <v>113027</v>
      </c>
      <c r="BX78">
        <f ca="1" t="shared" si="127"/>
        <v>838555.60625</v>
      </c>
      <c r="BY78">
        <f ca="1" t="shared" si="128"/>
        <v>0.7343</v>
      </c>
      <c r="BZ78">
        <f ca="1">无穷技能数计算!$AJ70</f>
        <v>0</v>
      </c>
      <c r="CA78">
        <f ca="1" t="shared" si="129"/>
        <v>2.3277641271</v>
      </c>
      <c r="CB78">
        <f ca="1" t="shared" si="146"/>
        <v>6341137.42648939</v>
      </c>
      <c r="CC78">
        <f ca="1" t="shared" si="130"/>
        <v>114847</v>
      </c>
      <c r="CD78">
        <f ca="1" t="shared" si="131"/>
        <v>851420.73125</v>
      </c>
      <c r="CE78">
        <f ca="1" t="shared" si="132"/>
        <v>6260275.30420237</v>
      </c>
      <c r="CF78">
        <f ca="1" t="shared" si="133"/>
        <v>2.2750297521</v>
      </c>
      <c r="CG78">
        <f ca="1" t="shared" si="134"/>
        <v>0.7343</v>
      </c>
      <c r="CH78">
        <f ca="1" t="shared" si="147"/>
        <v>5881569.00545889</v>
      </c>
      <c r="CJ78">
        <f ca="1" t="shared" si="135"/>
        <v>811715.5625</v>
      </c>
      <c r="CK78">
        <f ca="1" t="shared" si="136"/>
        <v>6112089.96327924</v>
      </c>
      <c r="CL78">
        <f ca="1" t="shared" si="148"/>
        <v>2.2976860021</v>
      </c>
      <c r="CM78">
        <f ca="1">IF(G78="恒定伤害",0,(IF(D78="轻剑",$CM$8,$CM$9)+IFERROR(INDEX(技能数据库!$T$2:$W$27,MATCH(E78,技能数据库!$T$2:$T$27,0),4),0)+COUNTIF(G78,"*造化2*")*154+COUNTIF(G78,"*造化1*")*102+COUNTIF(G78,"*碧归*")*307)/1024)</f>
        <v>0.346790021929785</v>
      </c>
      <c r="CN78">
        <f ca="1" t="shared" si="149"/>
        <v>6211343.87755507</v>
      </c>
      <c r="CO78">
        <f ca="1" t="shared" si="150"/>
        <v>2.3262602208</v>
      </c>
      <c r="CP78">
        <f ca="1" t="shared" si="151"/>
        <v>6278079.15953165</v>
      </c>
      <c r="CQ78">
        <f ca="1" t="shared" si="137"/>
        <v>1.8815754648</v>
      </c>
      <c r="CR78">
        <f ca="1">IF(G78="恒定伤害",0,(IF(D78="轻剑",$CR$8,$CR$9)+IFERROR(INDEX(技能数据库!$T$2:$W$27,MATCH(E78,技能数据库!$T$2:$T$27,0),4),0)+COUNTIF(G78,"*造化2*")*154+COUNTIF(G78,"*造化1*")*102+COUNTIF(G78,"*碧归*")*307)/1024)</f>
        <v>0.337024396929785</v>
      </c>
      <c r="CS78">
        <f ca="1" t="shared" si="152"/>
        <v>5945065.50294784</v>
      </c>
    </row>
    <row r="79" spans="4:97">
      <c r="D79" t="s">
        <v>1825</v>
      </c>
      <c r="E79" t="s">
        <v>2808</v>
      </c>
      <c r="G79" t="s">
        <v>3070</v>
      </c>
      <c r="H79">
        <f ca="1">INDEX(技能数据库!$B$2:$I$100,MATCH(无穷阵眼收益计算!$E79,技能数据库!$B$2:$B$100,0),MATCH(H$9,技能数据库!$B$2:$I$2,0))</f>
        <v>535</v>
      </c>
      <c r="I79">
        <f ca="1">INDEX(技能数据库!$B$2:$I$100,MATCH(无穷阵眼收益计算!$E79,技能数据库!$B$2:$B$100,0),MATCH(I$9,技能数据库!$B$2:$I$2,0))</f>
        <v>7.06875</v>
      </c>
      <c r="J79">
        <f ca="1">INDEX(技能数据库!$B$2:$I$100,MATCH(无穷阵眼收益计算!$E79,技能数据库!$B$2:$B$100,0),MATCH(J$9,技能数据库!$B$2:$I$2,0))</f>
        <v>2</v>
      </c>
      <c r="K79">
        <f ca="1">INDEX(技能数据库!$B$2:$I$100,MATCH(无穷阵眼收益计算!$E79,技能数据库!$B$2:$B$100,0),MATCH(K$9,技能数据库!$B$2:$I$2,0))</f>
        <v>0</v>
      </c>
      <c r="L79">
        <f ca="1" t="shared" si="97"/>
        <v>105847</v>
      </c>
      <c r="M79">
        <f ca="1" t="shared" si="90"/>
        <v>19530.5</v>
      </c>
      <c r="N79">
        <f ca="1" t="shared" si="91"/>
        <v>92028</v>
      </c>
      <c r="O79">
        <f ca="1" t="shared" si="138"/>
        <v>787801.98125</v>
      </c>
      <c r="P79">
        <f ca="1">IF(G79="恒定伤害",0,(IF(D79="轻剑",$AZ$2,$AZ$3)+IFERROR(INDEX(技能数据库!$T$2:$W$27,MATCH(E79,技能数据库!$T$2:$T$27,0),4),0)+COUNTIF(G79,"*造化2*")*154+COUNTIF(G79,"*造化1*")*102+COUNTIF(G79,"*碧归*")*307)/1024)</f>
        <v>0.337024396929785</v>
      </c>
      <c r="Q79">
        <f ca="1" t="shared" si="98"/>
        <v>0.448284482196154</v>
      </c>
      <c r="R79">
        <f ca="1" t="shared" si="139"/>
        <v>0.21277697966198</v>
      </c>
      <c r="S79">
        <f ca="1" t="shared" si="92"/>
        <v>1200903.36993142</v>
      </c>
      <c r="T79">
        <f t="shared" si="76"/>
        <v>0.8</v>
      </c>
      <c r="U79">
        <f ca="1" t="shared" si="99"/>
        <v>2.67001635480339</v>
      </c>
      <c r="V79">
        <f ca="1" t="shared" si="93"/>
        <v>3525868.00654945</v>
      </c>
      <c r="W79">
        <f ca="1">IF(G79="恒定伤害",0,MIN(1,IF(COUNTIF(F79,"*内会*")&gt;0,内会2,IF(D79="轻剑",$Y$2,$Y$3)+COUNTIF(G79,"*莺鸣*")*0.2+COUNTIF(G79,"*叠1*")*0.1+COUNTIF(G79,"*叠2*")*0.2+COUNTIF(G79,"*叠3*")*0.3)+IFERROR(INDEX(技能数据库!$T$2:$W$27,MATCH(E79,技能数据库!$T$2:$T$27,0),2),0)+IF((IF(D79="轻剑",$AO$2,$AO$3)+INT(COUNTIF(G79,"*大莺鸣*")*IF(D79="轻剑",$AM$2,$AM$3)*听晓无双率)/无双系数)&gt;0.9,特效裤子会心/会心系数,0)))</f>
        <v>0.9043</v>
      </c>
      <c r="X79">
        <f ca="1">IF(G79="恒定伤害",0,IF(COUNTIF(F79,"*内会*")&gt;0,内会效2,IF(D79="轻剑",$AB$2,$AB$3))+IFERROR(INDEX(技能数据库!$T$2:$W$27,MATCH(E79,技能数据库!$T$2:$T$27,0),3)/1024,0))+COUNTIF(G79,"*叠1*")*0.25+COUNTIF(G79,"*叠2*")*0.5+COUNTIF(G79,"*叠3*")*0.75</f>
        <v>2.1773735021</v>
      </c>
      <c r="Y79">
        <f ca="1" t="shared" si="94"/>
        <v>2.06469885794903</v>
      </c>
      <c r="Z79">
        <f t="shared" si="100"/>
        <v>0.150390625</v>
      </c>
      <c r="AA79">
        <f ca="1" t="shared" si="95"/>
        <v>0.0205078125</v>
      </c>
      <c r="AB79">
        <f ca="1" t="shared" si="96"/>
        <v>8546424.00672618</v>
      </c>
      <c r="AC79">
        <f ca="1">无穷技能数计算!$AJ71</f>
        <v>0</v>
      </c>
      <c r="AD79" s="164">
        <f ca="1" t="shared" si="153"/>
        <v>0</v>
      </c>
      <c r="AE79" s="168"/>
      <c r="AF79" s="168">
        <f ca="1" t="shared" si="101"/>
        <v>0.9057</v>
      </c>
      <c r="AG79">
        <f ca="1">无穷技能数计算!$AJ71</f>
        <v>0</v>
      </c>
      <c r="AH79">
        <f ca="1" t="shared" si="102"/>
        <v>109879</v>
      </c>
      <c r="AJ79">
        <f ca="1" t="shared" si="103"/>
        <v>2.3765922521</v>
      </c>
      <c r="AK79">
        <f ca="1" t="shared" si="140"/>
        <v>816780.18125</v>
      </c>
      <c r="AL79">
        <f ca="1" t="shared" si="104"/>
        <v>9644855.72173803</v>
      </c>
      <c r="AM79" s="169">
        <f ca="1" t="shared" si="105"/>
        <v>0.9272</v>
      </c>
      <c r="AN79">
        <f ca="1">无穷技能数计算!$AJ71</f>
        <v>0</v>
      </c>
      <c r="AO79" s="170">
        <f ca="1" t="shared" si="106"/>
        <v>9771907.00141212</v>
      </c>
      <c r="AP79">
        <f ca="1" t="shared" si="107"/>
        <v>110956</v>
      </c>
      <c r="AQ79" s="170">
        <f ca="1" t="shared" si="141"/>
        <v>823916.225</v>
      </c>
      <c r="AR79">
        <f ca="1" t="shared" si="108"/>
        <v>9462589.79335557</v>
      </c>
      <c r="AS79">
        <f ca="1" t="shared" si="109"/>
        <v>0.9843</v>
      </c>
      <c r="AT79">
        <f ca="1">无穷技能数计算!$AJ71</f>
        <v>0</v>
      </c>
      <c r="AU79">
        <f ca="1" t="shared" si="110"/>
        <v>2.3238578771</v>
      </c>
      <c r="AV79">
        <f ca="1" t="shared" si="111"/>
        <v>2.68954760480339</v>
      </c>
      <c r="AW79">
        <f ca="1" t="shared" si="142"/>
        <v>9583863.03441506</v>
      </c>
      <c r="AX79">
        <f ca="1" t="shared" si="112"/>
        <v>0.9743</v>
      </c>
      <c r="AY79">
        <f ca="1">无穷技能数计算!$AJ71</f>
        <v>0</v>
      </c>
      <c r="AZ79" s="170">
        <f ca="1" t="shared" si="143"/>
        <v>9528772.85328743</v>
      </c>
      <c r="BA79">
        <f ca="1" t="shared" si="113"/>
        <v>0.9643</v>
      </c>
      <c r="BB79">
        <f ca="1">无穷技能数计算!$AJ71</f>
        <v>0</v>
      </c>
      <c r="BC79" s="170">
        <f ca="1" t="shared" si="144"/>
        <v>9473682.67215981</v>
      </c>
      <c r="BE79">
        <f ca="1" t="shared" si="114"/>
        <v>105849</v>
      </c>
      <c r="BF79">
        <f ca="1" t="shared" si="115"/>
        <v>787816.11875</v>
      </c>
      <c r="BI79">
        <f ca="1" t="shared" si="116"/>
        <v>0.9543</v>
      </c>
      <c r="BJ79">
        <f ca="1">无穷技能数计算!$AJ71</f>
        <v>0</v>
      </c>
      <c r="BK79">
        <f ca="1" t="shared" si="117"/>
        <v>9365935.31705359</v>
      </c>
      <c r="BM79">
        <f ca="1" t="shared" si="118"/>
        <v>109230</v>
      </c>
      <c r="BN79">
        <f ca="1" t="shared" si="119"/>
        <v>811715.5625</v>
      </c>
      <c r="BO79">
        <f ca="1" t="shared" si="120"/>
        <v>9510180.58186201</v>
      </c>
      <c r="BP79">
        <f ca="1" t="shared" si="121"/>
        <v>9069310.78439847</v>
      </c>
      <c r="BR79">
        <f ca="1" t="shared" si="122"/>
        <v>0.9543</v>
      </c>
      <c r="BS79">
        <f ca="1" t="shared" si="123"/>
        <v>9377536.48117505</v>
      </c>
      <c r="BT79">
        <f ca="1" t="shared" si="124"/>
        <v>0.196995876306796</v>
      </c>
      <c r="BU79">
        <f ca="1" t="shared" si="125"/>
        <v>2.3238578771</v>
      </c>
      <c r="BV79">
        <f ca="1" t="shared" si="145"/>
        <v>9556544.32271599</v>
      </c>
      <c r="BW79">
        <f ca="1" t="shared" si="126"/>
        <v>113027</v>
      </c>
      <c r="BX79">
        <f ca="1" t="shared" si="127"/>
        <v>838555.60625</v>
      </c>
      <c r="BY79">
        <f ca="1" t="shared" si="128"/>
        <v>0.9343</v>
      </c>
      <c r="BZ79">
        <f ca="1">无穷技能数计算!$AJ71</f>
        <v>0</v>
      </c>
      <c r="CA79">
        <f ca="1" t="shared" si="129"/>
        <v>2.3277641271</v>
      </c>
      <c r="CB79">
        <f ca="1" t="shared" si="146"/>
        <v>9871730.34861252</v>
      </c>
      <c r="CC79">
        <f ca="1" t="shared" si="130"/>
        <v>114847</v>
      </c>
      <c r="CD79">
        <f ca="1" t="shared" si="131"/>
        <v>851420.73125</v>
      </c>
      <c r="CE79">
        <f ca="1" t="shared" si="132"/>
        <v>9675676.92970856</v>
      </c>
      <c r="CF79">
        <f ca="1" t="shared" si="133"/>
        <v>2.2750297521</v>
      </c>
      <c r="CG79">
        <f ca="1" t="shared" si="134"/>
        <v>0.9343</v>
      </c>
      <c r="CH79">
        <f ca="1" t="shared" si="147"/>
        <v>9118571.46971554</v>
      </c>
      <c r="CJ79">
        <f ca="1" t="shared" si="135"/>
        <v>811715.5625</v>
      </c>
      <c r="CK79">
        <f ca="1" t="shared" si="136"/>
        <v>9467099.98214649</v>
      </c>
      <c r="CL79">
        <f ca="1" t="shared" si="148"/>
        <v>2.2976860021</v>
      </c>
      <c r="CM79">
        <f ca="1">IF(G79="恒定伤害",0,(IF(D79="轻剑",$CM$8,$CM$9)+IFERROR(INDEX(技能数据库!$T$2:$W$27,MATCH(E79,技能数据库!$T$2:$T$27,0),4),0)+COUNTIF(G79,"*造化2*")*154+COUNTIF(G79,"*造化1*")*102+COUNTIF(G79,"*碧归*")*307)/1024)</f>
        <v>0.397571271929785</v>
      </c>
      <c r="CN79">
        <f ca="1" t="shared" si="149"/>
        <v>9623579.1296592</v>
      </c>
      <c r="CO79">
        <f ca="1" t="shared" si="150"/>
        <v>2.3262602208</v>
      </c>
      <c r="CP79">
        <f ca="1" t="shared" si="151"/>
        <v>9739704.78622459</v>
      </c>
      <c r="CQ79">
        <f ca="1" t="shared" si="137"/>
        <v>2.77157885480339</v>
      </c>
      <c r="CR79">
        <f ca="1">IF(G79="恒定伤害",0,(IF(D79="轻剑",$CR$8,$CR$9)+IFERROR(INDEX(技能数据库!$T$2:$W$27,MATCH(E79,技能数据库!$T$2:$T$27,0),4),0)+COUNTIF(G79,"*造化2*")*154+COUNTIF(G79,"*造化1*")*102+COUNTIF(G79,"*碧归*")*307)/1024)</f>
        <v>0.387805646929785</v>
      </c>
      <c r="CS79">
        <f ca="1" t="shared" si="152"/>
        <v>9116517.00120663</v>
      </c>
    </row>
    <row r="80" spans="4:97">
      <c r="D80" t="s">
        <v>1825</v>
      </c>
      <c r="E80" t="s">
        <v>2810</v>
      </c>
      <c r="G80" t="s">
        <v>3098</v>
      </c>
      <c r="H80">
        <f ca="1">INDEX(技能数据库!$B$2:$I$100,MATCH(无穷阵眼收益计算!$E80,技能数据库!$B$2:$B$100,0),MATCH(H$9,技能数据库!$B$2:$I$2,0))</f>
        <v>2415000</v>
      </c>
      <c r="I80">
        <f ca="1">INDEX(技能数据库!$B$2:$I$100,MATCH(无穷阵眼收益计算!$E80,技能数据库!$B$2:$B$100,0),MATCH(I$9,技能数据库!$B$2:$I$2,0))</f>
        <v>0</v>
      </c>
      <c r="J80">
        <f ca="1">INDEX(技能数据库!$B$2:$I$100,MATCH(无穷阵眼收益计算!$E80,技能数据库!$B$2:$B$100,0),MATCH(J$9,技能数据库!$B$2:$I$2,0))</f>
        <v>0</v>
      </c>
      <c r="K80">
        <f ca="1">INDEX(技能数据库!$B$2:$I$100,MATCH(无穷阵眼收益计算!$E80,技能数据库!$B$2:$B$100,0),MATCH(K$9,技能数据库!$B$2:$I$2,0))</f>
        <v>0</v>
      </c>
      <c r="L80">
        <f ca="1" t="shared" si="97"/>
        <v>91975</v>
      </c>
      <c r="M80">
        <f ca="1" t="shared" si="90"/>
        <v>19530.5</v>
      </c>
      <c r="N80">
        <f ca="1" t="shared" si="91"/>
        <v>92028</v>
      </c>
      <c r="O80">
        <f ca="1" t="shared" si="138"/>
        <v>2415000</v>
      </c>
      <c r="P80">
        <f ca="1">IF(G80="恒定伤害",0,(IF(D80="轻剑",$AZ$2,$AZ$3)+IFERROR(INDEX(技能数据库!$T$2:$W$27,MATCH(E80,技能数据库!$T$2:$T$27,0),4),0)+COUNTIF(G80,"*造化2*")*154+COUNTIF(G80,"*造化1*")*102+COUNTIF(G80,"*碧归*")*307)/1024)</f>
        <v>0</v>
      </c>
      <c r="Q80">
        <f ca="1" t="shared" si="98"/>
        <v>0</v>
      </c>
      <c r="R80">
        <f ca="1" t="shared" si="139"/>
        <v>0</v>
      </c>
      <c r="S80">
        <f ca="1" t="shared" si="92"/>
        <v>2415000</v>
      </c>
      <c r="T80">
        <f>1-($F$6-130)*0.05</f>
        <v>0.8</v>
      </c>
      <c r="U80">
        <f ca="1" t="shared" si="99"/>
        <v>0</v>
      </c>
      <c r="V80">
        <f ca="1" t="shared" si="93"/>
        <v>1932000</v>
      </c>
      <c r="W80">
        <f ca="1">IF(G80="恒定伤害",0,MIN(1,IF(COUNTIF(F80,"*内会*")&gt;0,内会2,IF(D80="轻剑",$Y$2,$Y$3)+COUNTIF(G80,"*莺鸣*")*0.2+COUNTIF(G80,"*叠1*")*0.1+COUNTIF(G80,"*叠2*")*0.2+COUNTIF(G80,"*叠3*")*0.3)+IFERROR(INDEX(技能数据库!$T$2:$W$27,MATCH(E80,技能数据库!$T$2:$T$27,0),2),0)+IF((IF(D80="轻剑",$AO$2,$AO$3)+INT(COUNTIF(G80,"*大莺鸣*")*IF(D80="轻剑",$AM$2,$AM$3)*听晓无双率)/无双系数)&gt;0.9,特效裤子会心/会心系数,0)))</f>
        <v>0</v>
      </c>
      <c r="X80">
        <f ca="1">IF(G80="恒定伤害",0,IF(COUNTIF(F80,"*内会*")&gt;0,内会效2,IF(D80="轻剑",$AB$2,$AB$3))+IFERROR(INDEX(技能数据库!$T$2:$W$27,MATCH(E80,技能数据库!$T$2:$T$27,0),3)/1024,0))+COUNTIF(G80,"*叠1*")*0.25+COUNTIF(G80,"*叠2*")*0.5+COUNTIF(G80,"*叠3*")*0.75</f>
        <v>0</v>
      </c>
      <c r="Y80">
        <f ca="1" t="shared" si="94"/>
        <v>1</v>
      </c>
      <c r="Z80">
        <f t="shared" si="100"/>
        <v>0</v>
      </c>
      <c r="AA80">
        <f ca="1" t="shared" si="95"/>
        <v>0.0205078125</v>
      </c>
      <c r="AB80">
        <f ca="1" t="shared" si="96"/>
        <v>1971621.09375</v>
      </c>
      <c r="AC80" s="171">
        <f ca="1">无穷技能数计算!$AJ72</f>
        <v>12.5685625965997</v>
      </c>
      <c r="AD80" s="164">
        <f ca="1" t="shared" si="153"/>
        <v>0.00971172286701222</v>
      </c>
      <c r="AE80" s="168"/>
      <c r="AF80" s="168">
        <f ca="1" t="shared" si="101"/>
        <v>0.00139999999999996</v>
      </c>
      <c r="AG80" s="171">
        <f ca="1">无穷技能数计算!$AJ72</f>
        <v>12.5685625965997</v>
      </c>
      <c r="AH80">
        <f ca="1" t="shared" si="102"/>
        <v>96007</v>
      </c>
      <c r="AJ80">
        <f ca="1" t="shared" si="103"/>
        <v>0.19921875</v>
      </c>
      <c r="AK80">
        <f ca="1" t="shared" si="140"/>
        <v>2415000</v>
      </c>
      <c r="AL80">
        <f ca="1" t="shared" si="104"/>
        <v>1971621.09375</v>
      </c>
      <c r="AM80" s="169">
        <f ca="1" t="shared" si="105"/>
        <v>0.0228999999999999</v>
      </c>
      <c r="AN80" s="171">
        <f ca="1">无穷技能数计算!$AJ72</f>
        <v>12.5685625965997</v>
      </c>
      <c r="AO80" s="170">
        <f ca="1" t="shared" si="106"/>
        <v>1971621.09375</v>
      </c>
      <c r="AP80">
        <f ca="1" t="shared" si="107"/>
        <v>97084</v>
      </c>
      <c r="AQ80" s="170">
        <f ca="1" t="shared" si="141"/>
        <v>2415000</v>
      </c>
      <c r="AR80">
        <f ca="1" t="shared" si="108"/>
        <v>1971621.09375</v>
      </c>
      <c r="AS80">
        <f ca="1" t="shared" si="109"/>
        <v>0.08</v>
      </c>
      <c r="AT80" s="171">
        <f ca="1">无穷技能数计算!$AJ72</f>
        <v>12.5685625965997</v>
      </c>
      <c r="AU80">
        <f ca="1" t="shared" si="110"/>
        <v>0.146484375</v>
      </c>
      <c r="AV80">
        <f ca="1" t="shared" si="111"/>
        <v>0</v>
      </c>
      <c r="AW80">
        <f ca="1" t="shared" si="142"/>
        <v>1971621.09375</v>
      </c>
      <c r="AX80">
        <f ca="1" t="shared" si="112"/>
        <v>0.07</v>
      </c>
      <c r="AY80" s="171">
        <f ca="1">无穷技能数计算!$AJ72</f>
        <v>12.5685625965997</v>
      </c>
      <c r="AZ80" s="170">
        <f ca="1" t="shared" si="143"/>
        <v>1971621.09375</v>
      </c>
      <c r="BA80">
        <f ca="1" t="shared" si="113"/>
        <v>0.0599999999999999</v>
      </c>
      <c r="BB80" s="171">
        <f ca="1">无穷技能数计算!$AJ72</f>
        <v>12.5685625965997</v>
      </c>
      <c r="BC80" s="170">
        <f ca="1" t="shared" si="144"/>
        <v>1971621.09375</v>
      </c>
      <c r="BE80">
        <f ca="1" t="shared" si="114"/>
        <v>91977</v>
      </c>
      <c r="BF80">
        <f ca="1" t="shared" si="115"/>
        <v>2415000</v>
      </c>
      <c r="BI80">
        <f ca="1" t="shared" si="116"/>
        <v>0.05</v>
      </c>
      <c r="BJ80" s="171">
        <f ca="1">无穷技能数计算!$AJ72</f>
        <v>12.5685625965997</v>
      </c>
      <c r="BK80">
        <f ca="1" t="shared" si="117"/>
        <v>1971621.09375</v>
      </c>
      <c r="BM80">
        <f ca="1" t="shared" si="118"/>
        <v>95358</v>
      </c>
      <c r="BN80">
        <f ca="1" t="shared" si="119"/>
        <v>2415000</v>
      </c>
      <c r="BO80">
        <f ca="1" t="shared" si="120"/>
        <v>1971621.09375</v>
      </c>
      <c r="BP80">
        <f ca="1" t="shared" si="121"/>
        <v>1971621.09375</v>
      </c>
      <c r="BR80">
        <f ca="1" t="shared" si="122"/>
        <v>0.05</v>
      </c>
      <c r="BS80">
        <f ca="1" t="shared" si="123"/>
        <v>1971621.09375</v>
      </c>
      <c r="BT80">
        <f ca="1" t="shared" si="124"/>
        <v>0</v>
      </c>
      <c r="BU80">
        <f ca="1" t="shared" si="125"/>
        <v>0.146484375</v>
      </c>
      <c r="BV80">
        <f ca="1" t="shared" si="145"/>
        <v>1971621.09375</v>
      </c>
      <c r="BW80">
        <f ca="1" t="shared" si="126"/>
        <v>99155</v>
      </c>
      <c r="BX80">
        <f ca="1" t="shared" si="127"/>
        <v>2415000</v>
      </c>
      <c r="BY80">
        <f ca="1" t="shared" si="128"/>
        <v>0.03</v>
      </c>
      <c r="BZ80" s="171">
        <f ca="1">无穷技能数计算!$AJ72</f>
        <v>12.5685625965997</v>
      </c>
      <c r="CA80">
        <f ca="1" t="shared" si="129"/>
        <v>0.150390625</v>
      </c>
      <c r="CB80">
        <f ca="1" t="shared" si="146"/>
        <v>1971621.09375</v>
      </c>
      <c r="CC80">
        <f ca="1" t="shared" si="130"/>
        <v>100975</v>
      </c>
      <c r="CD80">
        <f ca="1" t="shared" si="131"/>
        <v>2415000</v>
      </c>
      <c r="CE80">
        <f ca="1" t="shared" si="132"/>
        <v>1971621.09375</v>
      </c>
      <c r="CF80">
        <f ca="1" t="shared" si="133"/>
        <v>0.09765625</v>
      </c>
      <c r="CG80">
        <f ca="1" t="shared" si="134"/>
        <v>0.03</v>
      </c>
      <c r="CH80">
        <f ca="1" t="shared" si="147"/>
        <v>1971621.09375</v>
      </c>
      <c r="CJ80">
        <f ca="1" t="shared" si="135"/>
        <v>2415000</v>
      </c>
      <c r="CK80">
        <f ca="1" t="shared" si="136"/>
        <v>1971621.09375</v>
      </c>
      <c r="CL80">
        <f ca="1" t="shared" si="148"/>
        <v>0.1203125</v>
      </c>
      <c r="CM80">
        <f ca="1">IF(G80="恒定伤害",0,(IF(D80="轻剑",$CM$8,$CM$9)+IFERROR(INDEX(技能数据库!$T$2:$W$27,MATCH(E80,技能数据库!$T$2:$T$27,0),4),0)+COUNTIF(G80,"*造化2*")*154+COUNTIF(G80,"*造化1*")*102+COUNTIF(G80,"*碧归*")*307)/1024)</f>
        <v>0</v>
      </c>
      <c r="CN80">
        <f ca="1" t="shared" si="149"/>
        <v>1971621.09375</v>
      </c>
      <c r="CO80">
        <f ca="1" t="shared" si="150"/>
        <v>0.1488867187</v>
      </c>
      <c r="CP80">
        <f ca="1" t="shared" si="151"/>
        <v>1971621.09375</v>
      </c>
      <c r="CQ80">
        <f ca="1" t="shared" si="137"/>
        <v>0</v>
      </c>
      <c r="CR80">
        <f ca="1">IF(G80="恒定伤害",0,(IF(D80="轻剑",$CR$8,$CR$9)+IFERROR(INDEX(技能数据库!$T$2:$W$27,MATCH(E80,技能数据库!$T$2:$T$27,0),4),0)+COUNTIF(G80,"*造化2*")*154+COUNTIF(G80,"*造化1*")*102+COUNTIF(G80,"*碧归*")*307)/1024)</f>
        <v>0</v>
      </c>
      <c r="CS80">
        <f ca="1" t="shared" si="152"/>
        <v>1971621.09375</v>
      </c>
    </row>
    <row r="81" spans="4:97">
      <c r="D81" t="s">
        <v>1825</v>
      </c>
      <c r="E81" t="s">
        <v>2815</v>
      </c>
      <c r="G81" t="s">
        <v>3098</v>
      </c>
      <c r="H81">
        <f ca="1">INDEX(技能数据库!$B$2:$I$100,MATCH(无穷阵眼收益计算!$E81,技能数据库!$B$2:$B$100,0),MATCH(H$9,技能数据库!$B$2:$I$2,0))</f>
        <v>1610000</v>
      </c>
      <c r="I81">
        <f ca="1">INDEX(技能数据库!$B$2:$I$100,MATCH(无穷阵眼收益计算!$E81,技能数据库!$B$2:$B$100,0),MATCH(I$9,技能数据库!$B$2:$I$2,0))</f>
        <v>0</v>
      </c>
      <c r="J81">
        <f ca="1">INDEX(技能数据库!$B$2:$I$100,MATCH(无穷阵眼收益计算!$E81,技能数据库!$B$2:$B$100,0),MATCH(J$9,技能数据库!$B$2:$I$2,0))</f>
        <v>0</v>
      </c>
      <c r="K81">
        <f ca="1">INDEX(技能数据库!$B$2:$I$100,MATCH(无穷阵眼收益计算!$E81,技能数据库!$B$2:$B$100,0),MATCH(K$9,技能数据库!$B$2:$I$2,0))</f>
        <v>0</v>
      </c>
      <c r="L81">
        <f ca="1" t="shared" si="97"/>
        <v>91975</v>
      </c>
      <c r="M81">
        <f ca="1" t="shared" si="90"/>
        <v>19530.5</v>
      </c>
      <c r="N81">
        <f ca="1" t="shared" si="91"/>
        <v>92028</v>
      </c>
      <c r="O81">
        <f ca="1" t="shared" si="138"/>
        <v>1610000</v>
      </c>
      <c r="P81">
        <f ca="1">IF(G81="恒定伤害",0,(IF(D81="轻剑",$AZ$2,$AZ$3)+IFERROR(INDEX(技能数据库!$T$2:$W$27,MATCH(E81,技能数据库!$T$2:$T$27,0),4),0)+COUNTIF(G81,"*造化2*")*154+COUNTIF(G81,"*造化1*")*102+COUNTIF(G81,"*碧归*")*307)/1024)</f>
        <v>0</v>
      </c>
      <c r="Q81">
        <f ca="1" t="shared" si="98"/>
        <v>0</v>
      </c>
      <c r="R81">
        <f ca="1" t="shared" si="139"/>
        <v>0</v>
      </c>
      <c r="S81">
        <f ca="1" t="shared" si="92"/>
        <v>1610000</v>
      </c>
      <c r="T81">
        <f>1-($F$6-130)*0.05</f>
        <v>0.8</v>
      </c>
      <c r="U81">
        <f ca="1" t="shared" si="99"/>
        <v>0</v>
      </c>
      <c r="V81">
        <f ca="1" t="shared" si="93"/>
        <v>1288000</v>
      </c>
      <c r="W81">
        <f ca="1">IF(G81="恒定伤害",0,MIN(1,IF(COUNTIF(F81,"*内会*")&gt;0,内会2,IF(D81="轻剑",$Y$2,$Y$3)+COUNTIF(G81,"*莺鸣*")*0.2+COUNTIF(G81,"*叠1*")*0.1+COUNTIF(G81,"*叠2*")*0.2+COUNTIF(G81,"*叠3*")*0.3)+IFERROR(INDEX(技能数据库!$T$2:$W$27,MATCH(E81,技能数据库!$T$2:$T$27,0),2),0)+IF((IF(D81="轻剑",$AO$2,$AO$3)+INT(COUNTIF(G81,"*大莺鸣*")*IF(D81="轻剑",$AM$2,$AM$3)*听晓无双率)/无双系数)&gt;0.9,特效裤子会心/会心系数,0)))</f>
        <v>0</v>
      </c>
      <c r="X81">
        <f ca="1">IF(G81="恒定伤害",0,IF(COUNTIF(F81,"*内会*")&gt;0,内会效2,IF(D81="轻剑",$AB$2,$AB$3))+IFERROR(INDEX(技能数据库!$T$2:$W$27,MATCH(E81,技能数据库!$T$2:$T$27,0),3)/1024,0))+COUNTIF(G81,"*叠1*")*0.25+COUNTIF(G81,"*叠2*")*0.5+COUNTIF(G81,"*叠3*")*0.75</f>
        <v>0</v>
      </c>
      <c r="Y81">
        <f ca="1" t="shared" si="94"/>
        <v>1</v>
      </c>
      <c r="Z81">
        <f t="shared" si="100"/>
        <v>0</v>
      </c>
      <c r="AA81">
        <f ca="1" t="shared" si="95"/>
        <v>0.0205078125</v>
      </c>
      <c r="AB81">
        <f ca="1" t="shared" si="96"/>
        <v>1314414.0625</v>
      </c>
      <c r="AC81" s="171">
        <f ca="1">无穷技能数计算!AS1/(1/(407/240*(Y3+0.13+0.2*23/51))+10)</f>
        <v>18.7820083566064</v>
      </c>
      <c r="AD81" s="164">
        <f ca="1" t="shared" si="153"/>
        <v>0.00967523314053521</v>
      </c>
      <c r="AE81" s="168"/>
      <c r="AF81" s="168">
        <f ca="1" t="shared" si="101"/>
        <v>0.00139999999999996</v>
      </c>
      <c r="AG81" s="171">
        <f ca="1">无穷技能数计算!$AS$1/(1/(407/240*($AF$9+0.13+0.2*23/51))+10)</f>
        <v>18.7837113207382</v>
      </c>
      <c r="AH81">
        <f ca="1" t="shared" si="102"/>
        <v>96007</v>
      </c>
      <c r="AJ81">
        <f ca="1" t="shared" si="103"/>
        <v>0.19921875</v>
      </c>
      <c r="AK81">
        <f ca="1" t="shared" si="140"/>
        <v>1610000</v>
      </c>
      <c r="AL81">
        <f ca="1" t="shared" si="104"/>
        <v>1314414.0625</v>
      </c>
      <c r="AM81" s="169">
        <f ca="1" t="shared" si="105"/>
        <v>0.0228999999999999</v>
      </c>
      <c r="AN81" s="171">
        <f ca="1">无穷技能数计算!$AS$1/(1/(407/240*($AN$9+0.13+0.2*23/51))+10)</f>
        <v>18.8092688755519</v>
      </c>
      <c r="AO81" s="170">
        <f ca="1" t="shared" si="106"/>
        <v>1314414.0625</v>
      </c>
      <c r="AP81">
        <f ca="1" t="shared" si="107"/>
        <v>97084</v>
      </c>
      <c r="AQ81" s="170">
        <f ca="1" t="shared" si="141"/>
        <v>1610000</v>
      </c>
      <c r="AR81">
        <f ca="1" t="shared" si="108"/>
        <v>1314414.0625</v>
      </c>
      <c r="AS81">
        <f ca="1" t="shared" si="109"/>
        <v>0.08</v>
      </c>
      <c r="AT81" s="171">
        <f ca="1">无穷技能数计算!$AS$1/(1/(407/240*(AS$9+0.13+0.2*23/51))+10)</f>
        <v>18.8721283033926</v>
      </c>
      <c r="AU81">
        <f ca="1" t="shared" si="110"/>
        <v>0.146484375</v>
      </c>
      <c r="AV81">
        <f ca="1" t="shared" si="111"/>
        <v>0</v>
      </c>
      <c r="AW81">
        <f ca="1" t="shared" si="142"/>
        <v>1314414.0625</v>
      </c>
      <c r="AX81">
        <f ca="1" t="shared" si="112"/>
        <v>0.07</v>
      </c>
      <c r="AY81" s="171">
        <f ca="1">无穷技能数计算!$AS$1/(1/(407/240*(AX$9+0.13+0.2*23/51))+10)</f>
        <v>18.8616118400667</v>
      </c>
      <c r="AZ81" s="170">
        <f ca="1" t="shared" si="143"/>
        <v>1314414.0625</v>
      </c>
      <c r="BA81">
        <f ca="1" t="shared" si="113"/>
        <v>0.0599999999999999</v>
      </c>
      <c r="BB81" s="171">
        <f ca="1">无穷技能数计算!$AS$1/(1/(407/240*(BA$9+0.13+0.2*23/51))+10)</f>
        <v>18.8508938084656</v>
      </c>
      <c r="BC81" s="170">
        <f ca="1" t="shared" si="144"/>
        <v>1314414.0625</v>
      </c>
      <c r="BE81">
        <f ca="1" t="shared" si="114"/>
        <v>91977</v>
      </c>
      <c r="BF81">
        <f ca="1" t="shared" si="115"/>
        <v>1610000</v>
      </c>
      <c r="BI81">
        <f ca="1" t="shared" si="116"/>
        <v>0.05</v>
      </c>
      <c r="BJ81" s="171">
        <f ca="1">无穷技能数计算!$AS$1/(1/(407/240*(BI$9+0.13+0.2*23/51))+10)</f>
        <v>18.8399683573476</v>
      </c>
      <c r="BK81">
        <f ca="1" t="shared" si="117"/>
        <v>1314414.0625</v>
      </c>
      <c r="BM81">
        <f ca="1" t="shared" si="118"/>
        <v>95358</v>
      </c>
      <c r="BN81">
        <f ca="1" t="shared" si="119"/>
        <v>1610000</v>
      </c>
      <c r="BO81">
        <f ca="1" t="shared" si="120"/>
        <v>1314414.0625</v>
      </c>
      <c r="BP81">
        <f ca="1" t="shared" si="121"/>
        <v>1314414.0625</v>
      </c>
      <c r="BR81">
        <f ca="1" t="shared" si="122"/>
        <v>0.05</v>
      </c>
      <c r="BS81">
        <f ca="1" t="shared" si="123"/>
        <v>1314414.0625</v>
      </c>
      <c r="BT81">
        <f ca="1" t="shared" si="124"/>
        <v>0</v>
      </c>
      <c r="BU81">
        <f ca="1" t="shared" si="125"/>
        <v>0.146484375</v>
      </c>
      <c r="BV81">
        <f ca="1" t="shared" si="145"/>
        <v>1314414.0625</v>
      </c>
      <c r="BW81">
        <f ca="1" t="shared" si="126"/>
        <v>99155</v>
      </c>
      <c r="BX81">
        <f ca="1" t="shared" si="127"/>
        <v>1610000</v>
      </c>
      <c r="BY81">
        <f ca="1" t="shared" si="128"/>
        <v>0.03</v>
      </c>
      <c r="BZ81" s="171">
        <f ca="1">无穷技能数计算!$AS$1/(1/(407/240*(BY$9+0.13+0.2*23/51))+10)</f>
        <v>18.8174706368939</v>
      </c>
      <c r="CA81">
        <f ca="1" t="shared" si="129"/>
        <v>0.150390625</v>
      </c>
      <c r="CB81">
        <f ca="1" t="shared" si="146"/>
        <v>1314414.0625</v>
      </c>
      <c r="CC81">
        <f ca="1" t="shared" si="130"/>
        <v>100975</v>
      </c>
      <c r="CD81">
        <f ca="1" t="shared" si="131"/>
        <v>1610000</v>
      </c>
      <c r="CE81">
        <f ca="1" t="shared" si="132"/>
        <v>1314414.0625</v>
      </c>
      <c r="CF81">
        <f ca="1" t="shared" si="133"/>
        <v>0.09765625</v>
      </c>
      <c r="CG81">
        <f ca="1" t="shared" si="134"/>
        <v>0.03</v>
      </c>
      <c r="CH81">
        <f ca="1" t="shared" si="147"/>
        <v>1314414.0625</v>
      </c>
      <c r="CJ81">
        <f ca="1" t="shared" si="135"/>
        <v>1610000</v>
      </c>
      <c r="CK81">
        <f ca="1" t="shared" si="136"/>
        <v>1314414.0625</v>
      </c>
      <c r="CL81">
        <f ca="1" t="shared" si="148"/>
        <v>0.1203125</v>
      </c>
      <c r="CM81">
        <f ca="1">IF(G81="恒定伤害",0,(IF(D81="轻剑",$CM$8,$CM$9)+IFERROR(INDEX(技能数据库!$T$2:$W$27,MATCH(E81,技能数据库!$T$2:$T$27,0),4),0)+COUNTIF(G81,"*造化2*")*154+COUNTIF(G81,"*造化1*")*102+COUNTIF(G81,"*碧归*")*307)/1024)</f>
        <v>0</v>
      </c>
      <c r="CN81">
        <f ca="1" t="shared" si="149"/>
        <v>1314414.0625</v>
      </c>
      <c r="CO81">
        <f ca="1" t="shared" si="150"/>
        <v>0.1488867187</v>
      </c>
      <c r="CP81">
        <f ca="1" t="shared" si="151"/>
        <v>1314414.0625</v>
      </c>
      <c r="CQ81">
        <f ca="1" t="shared" si="137"/>
        <v>0</v>
      </c>
      <c r="CR81">
        <f ca="1">IF(G81="恒定伤害",0,(IF(D81="轻剑",$CR$8,$CR$9)+IFERROR(INDEX(技能数据库!$T$2:$W$27,MATCH(E81,技能数据库!$T$2:$T$27,0),4),0)+COUNTIF(G81,"*造化2*")*154+COUNTIF(G81,"*造化1*")*102+COUNTIF(G81,"*碧归*")*307)/1024)</f>
        <v>0</v>
      </c>
      <c r="CS81">
        <f ca="1" t="shared" si="152"/>
        <v>1314414.0625</v>
      </c>
    </row>
    <row r="82" spans="4:97">
      <c r="D82" t="s">
        <v>1825</v>
      </c>
      <c r="E82" t="s">
        <v>2832</v>
      </c>
      <c r="G82" t="s">
        <v>3098</v>
      </c>
      <c r="H82">
        <f ca="1">INDEX(技能数据库!$B$2:$I$100,MATCH(无穷阵眼收益计算!$E82,技能数据库!$B$2:$B$100,0),MATCH(H$9,技能数据库!$B$2:$I$2,0))</f>
        <v>468495.625</v>
      </c>
      <c r="I82">
        <f ca="1">INDEX(技能数据库!$B$2:$I$100,MATCH(无穷阵眼收益计算!$E82,技能数据库!$B$2:$B$100,0),MATCH(I$9,技能数据库!$B$2:$I$2,0))</f>
        <v>0</v>
      </c>
      <c r="J82">
        <f ca="1">INDEX(技能数据库!$B$2:$I$100,MATCH(无穷阵眼收益计算!$E82,技能数据库!$B$2:$B$100,0),MATCH(J$9,技能数据库!$B$2:$I$2,0))</f>
        <v>0</v>
      </c>
      <c r="K82">
        <f ca="1">INDEX(技能数据库!$B$2:$I$100,MATCH(无穷阵眼收益计算!$E82,技能数据库!$B$2:$B$100,0),MATCH(K$9,技能数据库!$B$2:$I$2,0))</f>
        <v>0</v>
      </c>
      <c r="L82">
        <f ca="1" t="shared" si="97"/>
        <v>91975</v>
      </c>
      <c r="M82">
        <f ca="1" t="shared" si="90"/>
        <v>19530.5</v>
      </c>
      <c r="N82">
        <f ca="1" t="shared" si="91"/>
        <v>92028</v>
      </c>
      <c r="O82">
        <f ca="1" t="shared" si="138"/>
        <v>468495.625</v>
      </c>
      <c r="P82">
        <f ca="1">IF(G82="恒定伤害",0,(IF(D82="轻剑",$AZ$2,$AZ$3)+IFERROR(INDEX(技能数据库!$T$2:$W$27,MATCH(E82,技能数据库!$T$2:$T$27,0),4),0)+COUNTIF(G82,"*造化2*")*154+COUNTIF(G82,"*造化1*")*102+COUNTIF(G82,"*碧归*")*307)/1024)</f>
        <v>0</v>
      </c>
      <c r="Q82">
        <f ca="1" t="shared" si="98"/>
        <v>0</v>
      </c>
      <c r="R82">
        <f ca="1" t="shared" si="139"/>
        <v>0</v>
      </c>
      <c r="S82">
        <f ca="1" t="shared" si="92"/>
        <v>468495.625</v>
      </c>
      <c r="T82">
        <f>1-($F$6-130)*0.05</f>
        <v>0.8</v>
      </c>
      <c r="U82">
        <f ca="1" t="shared" si="99"/>
        <v>0</v>
      </c>
      <c r="V82">
        <f ca="1" t="shared" si="93"/>
        <v>374796.5</v>
      </c>
      <c r="W82">
        <f ca="1">IF(G82="恒定伤害",0,MIN(1,IF(COUNTIF(F82,"*内会*")&gt;0,内会2,IF(D82="轻剑",$Y$2,$Y$3)+COUNTIF(G82,"*莺鸣*")*0.2+COUNTIF(G82,"*叠1*")*0.1+COUNTIF(G82,"*叠2*")*0.2+COUNTIF(G82,"*叠3*")*0.3)+IFERROR(INDEX(技能数据库!$T$2:$W$27,MATCH(E82,技能数据库!$T$2:$T$27,0),2),0)+IF((IF(D82="轻剑",$AO$2,$AO$3)+INT(COUNTIF(G82,"*大莺鸣*")*IF(D82="轻剑",$AM$2,$AM$3)*听晓无双率)/无双系数)&gt;0.9,特效裤子会心/会心系数,0)))</f>
        <v>0</v>
      </c>
      <c r="X82">
        <f ca="1">IF(G82="恒定伤害",0,IF(COUNTIF(F82,"*内会*")&gt;0,内会效2,IF(D82="轻剑",$AB$2,$AB$3))+IFERROR(INDEX(技能数据库!$T$2:$W$27,MATCH(E82,技能数据库!$T$2:$T$27,0),3)/1024,0))+COUNTIF(G82,"*叠1*")*0.25+COUNTIF(G82,"*叠2*")*0.5+COUNTIF(G82,"*叠3*")*0.75</f>
        <v>0</v>
      </c>
      <c r="Y82">
        <f ca="1" t="shared" si="94"/>
        <v>1</v>
      </c>
      <c r="Z82">
        <f t="shared" si="100"/>
        <v>0</v>
      </c>
      <c r="AA82">
        <f ca="1" t="shared" si="95"/>
        <v>0.0205078125</v>
      </c>
      <c r="AB82">
        <f ca="1" t="shared" si="96"/>
        <v>382482.756347656</v>
      </c>
      <c r="AC82" s="171">
        <f ca="1">无穷技能数计算!$AJ74</f>
        <v>46.5553398058252</v>
      </c>
      <c r="AD82" s="164">
        <f ca="1" t="shared" si="153"/>
        <v>0.00697860430310552</v>
      </c>
      <c r="AE82" s="168"/>
      <c r="AF82" s="168">
        <f ca="1" t="shared" si="101"/>
        <v>0.00139999999999996</v>
      </c>
      <c r="AG82" s="171">
        <f ca="1">无穷技能数计算!$AJ74</f>
        <v>46.5553398058252</v>
      </c>
      <c r="AH82">
        <f ca="1" t="shared" si="102"/>
        <v>96007</v>
      </c>
      <c r="AJ82">
        <f ca="1" t="shared" si="103"/>
        <v>0.19921875</v>
      </c>
      <c r="AK82">
        <f ca="1" t="shared" si="140"/>
        <v>468495.625</v>
      </c>
      <c r="AL82">
        <f ca="1" t="shared" si="104"/>
        <v>382482.756347656</v>
      </c>
      <c r="AM82" s="169">
        <f ca="1" t="shared" si="105"/>
        <v>0.0228999999999999</v>
      </c>
      <c r="AN82" s="171">
        <f ca="1">无穷技能数计算!$AJ74</f>
        <v>46.5553398058252</v>
      </c>
      <c r="AO82" s="170">
        <f ca="1" t="shared" si="106"/>
        <v>382482.756347656</v>
      </c>
      <c r="AP82">
        <f ca="1" t="shared" si="107"/>
        <v>97084</v>
      </c>
      <c r="AQ82" s="170">
        <f ca="1" t="shared" si="141"/>
        <v>468495.625</v>
      </c>
      <c r="AR82">
        <f ca="1" t="shared" si="108"/>
        <v>382482.756347656</v>
      </c>
      <c r="AS82">
        <f ca="1" t="shared" si="109"/>
        <v>0.08</v>
      </c>
      <c r="AT82" s="171">
        <f ca="1">无穷技能数计算!$AJ74</f>
        <v>46.5553398058252</v>
      </c>
      <c r="AU82">
        <f ca="1" t="shared" si="110"/>
        <v>0.146484375</v>
      </c>
      <c r="AV82">
        <f ca="1" t="shared" si="111"/>
        <v>0</v>
      </c>
      <c r="AW82">
        <f ca="1" t="shared" si="142"/>
        <v>382482.756347656</v>
      </c>
      <c r="AX82">
        <f ca="1" t="shared" si="112"/>
        <v>0.07</v>
      </c>
      <c r="AY82" s="171">
        <f ca="1">无穷技能数计算!$AJ74</f>
        <v>46.5553398058252</v>
      </c>
      <c r="AZ82" s="170">
        <f ca="1" t="shared" si="143"/>
        <v>382482.756347656</v>
      </c>
      <c r="BA82">
        <f ca="1" t="shared" si="113"/>
        <v>0.0599999999999999</v>
      </c>
      <c r="BB82" s="171">
        <f ca="1">无穷技能数计算!$AJ74</f>
        <v>46.5553398058252</v>
      </c>
      <c r="BC82" s="170">
        <f ca="1" t="shared" si="144"/>
        <v>382482.756347656</v>
      </c>
      <c r="BE82">
        <f ca="1" t="shared" si="114"/>
        <v>91977</v>
      </c>
      <c r="BF82">
        <f ca="1" t="shared" si="115"/>
        <v>468495.625</v>
      </c>
      <c r="BI82">
        <f ca="1" t="shared" si="116"/>
        <v>0.05</v>
      </c>
      <c r="BJ82" s="171">
        <f ca="1">无穷技能数计算!$AJ74</f>
        <v>46.5553398058252</v>
      </c>
      <c r="BK82">
        <f ca="1" t="shared" si="117"/>
        <v>382482.756347656</v>
      </c>
      <c r="BM82">
        <f ca="1" t="shared" si="118"/>
        <v>95358</v>
      </c>
      <c r="BN82">
        <f ca="1" t="shared" si="119"/>
        <v>468495.625</v>
      </c>
      <c r="BO82">
        <f ca="1" t="shared" si="120"/>
        <v>382482.756347656</v>
      </c>
      <c r="BP82">
        <f ca="1" t="shared" si="121"/>
        <v>382482.756347656</v>
      </c>
      <c r="BR82">
        <f ca="1" t="shared" si="122"/>
        <v>0.05</v>
      </c>
      <c r="BS82">
        <f ca="1" t="shared" si="123"/>
        <v>382482.756347656</v>
      </c>
      <c r="BT82">
        <f ca="1" t="shared" si="124"/>
        <v>0</v>
      </c>
      <c r="BU82">
        <f ca="1" t="shared" si="125"/>
        <v>0.146484375</v>
      </c>
      <c r="BV82">
        <f ca="1" t="shared" si="145"/>
        <v>382482.756347656</v>
      </c>
      <c r="BW82">
        <f ca="1" t="shared" si="126"/>
        <v>99155</v>
      </c>
      <c r="BX82">
        <f ca="1" t="shared" si="127"/>
        <v>468495.625</v>
      </c>
      <c r="BY82">
        <f ca="1" t="shared" si="128"/>
        <v>0.03</v>
      </c>
      <c r="BZ82" s="171">
        <f ca="1">无穷技能数计算!$AJ74</f>
        <v>46.5553398058252</v>
      </c>
      <c r="CA82">
        <f ca="1" t="shared" si="129"/>
        <v>0.150390625</v>
      </c>
      <c r="CB82">
        <f ca="1" t="shared" si="146"/>
        <v>382482.756347656</v>
      </c>
      <c r="CC82">
        <f ca="1" t="shared" si="130"/>
        <v>100975</v>
      </c>
      <c r="CD82">
        <f ca="1" t="shared" si="131"/>
        <v>468495.625</v>
      </c>
      <c r="CE82">
        <f ca="1" t="shared" si="132"/>
        <v>382482.756347656</v>
      </c>
      <c r="CF82">
        <f ca="1" t="shared" si="133"/>
        <v>0.09765625</v>
      </c>
      <c r="CG82">
        <f ca="1" t="shared" si="134"/>
        <v>0.03</v>
      </c>
      <c r="CH82">
        <f ca="1" t="shared" si="147"/>
        <v>382482.756347656</v>
      </c>
      <c r="CJ82">
        <f ca="1" t="shared" si="135"/>
        <v>468495.625</v>
      </c>
      <c r="CK82">
        <f ca="1" t="shared" si="136"/>
        <v>382482.756347656</v>
      </c>
      <c r="CL82">
        <f ca="1" t="shared" si="148"/>
        <v>0.1203125</v>
      </c>
      <c r="CM82">
        <f ca="1">IF(G82="恒定伤害",0,(IF(D82="轻剑",$CM$8,$CM$9)+IFERROR(INDEX(技能数据库!$T$2:$W$27,MATCH(E82,技能数据库!$T$2:$T$27,0),4),0)+COUNTIF(G82,"*造化2*")*154+COUNTIF(G82,"*造化1*")*102+COUNTIF(G82,"*碧归*")*307)/1024)</f>
        <v>0</v>
      </c>
      <c r="CN82">
        <f ca="1" t="shared" si="149"/>
        <v>382482.756347656</v>
      </c>
      <c r="CO82">
        <f ca="1" t="shared" si="150"/>
        <v>0.1488867187</v>
      </c>
      <c r="CP82">
        <f ca="1" t="shared" si="151"/>
        <v>382482.756347656</v>
      </c>
      <c r="CQ82">
        <f ca="1" t="shared" si="137"/>
        <v>0</v>
      </c>
      <c r="CR82">
        <f ca="1">IF(G82="恒定伤害",0,(IF(D82="轻剑",$CR$8,$CR$9)+IFERROR(INDEX(技能数据库!$T$2:$W$27,MATCH(E82,技能数据库!$T$2:$T$27,0),4),0)+COUNTIF(G82,"*造化2*")*154+COUNTIF(G82,"*造化1*")*102+COUNTIF(G82,"*碧归*")*307)/1024)</f>
        <v>0</v>
      </c>
      <c r="CS82">
        <f ca="1" t="shared" si="152"/>
        <v>382482.756347656</v>
      </c>
    </row>
    <row r="83" spans="4:97">
      <c r="D83" t="s">
        <v>1825</v>
      </c>
      <c r="E83" t="s">
        <v>2902</v>
      </c>
      <c r="G83" t="s">
        <v>2750</v>
      </c>
      <c r="H83">
        <f ca="1">INDEX(技能数据库!$B$2:$I$100,MATCH(无穷阵眼收益计算!$E83,技能数据库!$B$2:$B$100,0),MATCH(H$9,技能数据库!$B$2:$I$2,0))</f>
        <v>317.5</v>
      </c>
      <c r="I83">
        <f ca="1">INDEX(技能数据库!$B$2:$I$100,MATCH(无穷阵眼收益计算!$E83,技能数据库!$B$2:$B$100,0),MATCH(I$9,技能数据库!$B$2:$I$2,0))</f>
        <v>2.25</v>
      </c>
      <c r="J83">
        <f ca="1">INDEX(技能数据库!$B$2:$I$100,MATCH(无穷阵眼收益计算!$E83,技能数据库!$B$2:$B$100,0),MATCH(J$9,技能数据库!$B$2:$I$2,0))</f>
        <v>1</v>
      </c>
      <c r="K83">
        <f ca="1">INDEX(技能数据库!$B$2:$I$100,MATCH(无穷阵眼收益计算!$E83,技能数据库!$B$2:$B$100,0),MATCH(K$9,技能数据库!$B$2:$I$2,0))</f>
        <v>0</v>
      </c>
      <c r="L83">
        <f ca="1" t="shared" si="97"/>
        <v>105847</v>
      </c>
      <c r="M83">
        <f ca="1" t="shared" ref="M83:M91" si="154">IF(D83="轻剑",$AU$2+$AV$2,$AU$3+$AV$3)/2</f>
        <v>19530.5</v>
      </c>
      <c r="N83">
        <f ca="1" t="shared" ref="N83:N91" si="155">IF(D83="轻剑",$AJ$2,$AJ$3)</f>
        <v>92028</v>
      </c>
      <c r="O83">
        <f ca="1" t="shared" si="138"/>
        <v>258003.75</v>
      </c>
      <c r="P83">
        <f ca="1">IF(G83="恒定伤害",0,(IF(D83="轻剑",$AZ$2,$AZ$3)+IFERROR(INDEX(技能数据库!$T$2:$W$27,MATCH(E83,技能数据库!$T$2:$T$27,0),4),0)+COUNTIF(G83,"*造化2*")*154+COUNTIF(G83,"*造化1*")*102+COUNTIF(G83,"*碧归*")*307)/1024)</f>
        <v>0.116321271929785</v>
      </c>
      <c r="Q83">
        <f ca="1" t="shared" si="98"/>
        <v>0.448284482196154</v>
      </c>
      <c r="R83">
        <f ca="1" t="shared" si="139"/>
        <v>0.21277697966198</v>
      </c>
      <c r="S83">
        <f ca="1" t="shared" ref="S83:S91" si="156">O83*(1+P83)*(1+Q83)*(1-R83)</f>
        <v>328372.577328174</v>
      </c>
      <c r="T83">
        <f t="shared" ref="T83:T91" si="157">1-($F$6-130)*0.05</f>
        <v>0.8</v>
      </c>
      <c r="U83">
        <f ca="1" t="shared" si="99"/>
        <v>1.7800129648</v>
      </c>
      <c r="V83">
        <f ca="1" t="shared" ref="V83:V91" si="158">S83*T83*(1+U83)</f>
        <v>730304.017805692</v>
      </c>
      <c r="W83">
        <f ca="1">IF(G83="恒定伤害",0,MIN(1,IF(COUNTIF(F83,"*内会*")&gt;0,内会2,IF(D83="轻剑",$Y$2,$Y$3)+COUNTIF(G83,"*莺鸣*")*0.2+COUNTIF(G83,"*叠1*")*0.1+COUNTIF(G83,"*叠2*")*0.2+COUNTIF(G83,"*叠3*")*0.3)+IFERROR(INDEX(技能数据库!$T$2:$W$27,MATCH(E83,技能数据库!$T$2:$T$27,0),2),0)+IF((IF(D83="轻剑",$AO$2,$AO$3)+INT(COUNTIF(G83,"*大莺鸣*")*IF(D83="轻剑",$AM$2,$AM$3)*听晓无双率)/无双系数)&gt;0.9,特效裤子会心/会心系数,0)))</f>
        <v>0.7043</v>
      </c>
      <c r="X83">
        <f ca="1">IF(G83="恒定伤害",0,IF(COUNTIF(F83,"*内会*")&gt;0,内会效2,IF(D83="轻剑",$AB$2,$AB$3))+IFERROR(INDEX(技能数据库!$T$2:$W$27,MATCH(E83,技能数据库!$T$2:$T$27,0),3)/1024,0))+COUNTIF(G83,"*叠1*")*0.25+COUNTIF(G83,"*叠2*")*0.5+COUNTIF(G83,"*叠3*")*0.75</f>
        <v>2.1773735021</v>
      </c>
      <c r="Y83">
        <f ca="1" t="shared" ref="Y83:Y91" si="159">1+W83*(X83-1)</f>
        <v>1.82922415752903</v>
      </c>
      <c r="Z83">
        <f t="shared" si="100"/>
        <v>0.150390625</v>
      </c>
      <c r="AA83">
        <f ca="1" t="shared" ref="AA83:AA91" si="160">IF(D83="轻剑",$BA$2,$BA$3)/1024</f>
        <v>0.0205078125</v>
      </c>
      <c r="AB83">
        <f ca="1" t="shared" ref="AB83:AB91" si="161">V83*Y83*(1+Z83)*(1+AA83)</f>
        <v>1568311.35106408</v>
      </c>
      <c r="AC83">
        <f ca="1">无穷技能数计算!$AJ75</f>
        <v>0</v>
      </c>
      <c r="AD83" s="164">
        <f ca="1" t="shared" si="153"/>
        <v>0</v>
      </c>
      <c r="AE83" s="168"/>
      <c r="AF83" s="168">
        <f ca="1" t="shared" si="101"/>
        <v>0.7057</v>
      </c>
      <c r="AG83">
        <f ca="1">无穷技能数计算!$AJ75</f>
        <v>0</v>
      </c>
      <c r="AH83">
        <f ca="1" t="shared" si="102"/>
        <v>109879</v>
      </c>
      <c r="AJ83">
        <f ca="1" t="shared" si="103"/>
        <v>2.3765922521</v>
      </c>
      <c r="AK83">
        <f ca="1" t="shared" si="140"/>
        <v>267314.25</v>
      </c>
      <c r="AL83">
        <f ca="1" t="shared" si="104"/>
        <v>1751737.77863037</v>
      </c>
      <c r="AM83" s="169">
        <f ca="1" t="shared" si="105"/>
        <v>0.7272</v>
      </c>
      <c r="AN83">
        <f ca="1">无穷技能数计算!$AJ75</f>
        <v>0</v>
      </c>
      <c r="AO83" s="170">
        <f ca="1" t="shared" si="106"/>
        <v>1778035.89563636</v>
      </c>
      <c r="AP83">
        <f ca="1" t="shared" si="107"/>
        <v>110956</v>
      </c>
      <c r="AQ83" s="170">
        <f ca="1" t="shared" si="141"/>
        <v>269499</v>
      </c>
      <c r="AR83">
        <f ca="1" t="shared" si="108"/>
        <v>1734295.18058217</v>
      </c>
      <c r="AS83">
        <f ca="1" t="shared" si="109"/>
        <v>0.7843</v>
      </c>
      <c r="AT83">
        <f ca="1">无穷技能数计算!$AJ75</f>
        <v>0</v>
      </c>
      <c r="AU83">
        <f ca="1" t="shared" si="110"/>
        <v>2.3238578771</v>
      </c>
      <c r="AV83">
        <f ca="1" t="shared" si="111"/>
        <v>1.7995442148</v>
      </c>
      <c r="AW83">
        <f ca="1" t="shared" si="142"/>
        <v>1759844.68529858</v>
      </c>
      <c r="AX83">
        <f ca="1" t="shared" si="112"/>
        <v>0.7743</v>
      </c>
      <c r="AY83">
        <f ca="1">无穷技能数计算!$AJ75</f>
        <v>0</v>
      </c>
      <c r="AZ83" s="170">
        <f ca="1" t="shared" si="143"/>
        <v>1748414.65896158</v>
      </c>
      <c r="BA83">
        <f ca="1" t="shared" si="113"/>
        <v>0.7643</v>
      </c>
      <c r="BB83">
        <f ca="1">无穷技能数计算!$AJ75</f>
        <v>0</v>
      </c>
      <c r="BC83" s="170">
        <f ca="1" t="shared" si="144"/>
        <v>1736984.63262458</v>
      </c>
      <c r="BE83">
        <f ca="1" t="shared" si="114"/>
        <v>105849</v>
      </c>
      <c r="BF83">
        <f ca="1" t="shared" si="115"/>
        <v>258008.25</v>
      </c>
      <c r="BI83">
        <f ca="1" t="shared" si="116"/>
        <v>0.7543</v>
      </c>
      <c r="BJ83">
        <f ca="1">无穷技能数计算!$AJ75</f>
        <v>0</v>
      </c>
      <c r="BK83">
        <f ca="1" t="shared" si="117"/>
        <v>1727751.31786247</v>
      </c>
      <c r="BM83">
        <f ca="1" t="shared" si="118"/>
        <v>109230</v>
      </c>
      <c r="BN83">
        <f ca="1" t="shared" si="119"/>
        <v>265615.5</v>
      </c>
      <c r="BO83">
        <f ca="1" t="shared" si="120"/>
        <v>1743721.83780543</v>
      </c>
      <c r="BP83">
        <f ca="1" t="shared" si="121"/>
        <v>1662886.95913528</v>
      </c>
      <c r="BR83">
        <f ca="1" t="shared" si="122"/>
        <v>0.7543</v>
      </c>
      <c r="BS83">
        <f ca="1" t="shared" si="123"/>
        <v>1728461.26940057</v>
      </c>
      <c r="BT83">
        <f ca="1" t="shared" si="124"/>
        <v>0.196995876306796</v>
      </c>
      <c r="BU83">
        <f ca="1" t="shared" si="125"/>
        <v>2.3238578771</v>
      </c>
      <c r="BV83">
        <f ca="1" t="shared" si="145"/>
        <v>1747866.21480918</v>
      </c>
      <c r="BW83">
        <f ca="1" t="shared" si="126"/>
        <v>113027</v>
      </c>
      <c r="BX83">
        <f ca="1" t="shared" si="127"/>
        <v>274158.75</v>
      </c>
      <c r="BY83">
        <f ca="1" t="shared" si="128"/>
        <v>0.7343</v>
      </c>
      <c r="BZ83">
        <f ca="1">无穷技能数计算!$AJ75</f>
        <v>0</v>
      </c>
      <c r="CA83">
        <f ca="1" t="shared" si="129"/>
        <v>2.3277641271</v>
      </c>
      <c r="CB83">
        <f ca="1" t="shared" si="146"/>
        <v>1799299.81999705</v>
      </c>
      <c r="CC83">
        <f ca="1" t="shared" si="130"/>
        <v>114847</v>
      </c>
      <c r="CD83">
        <f ca="1" t="shared" si="131"/>
        <v>278253.75</v>
      </c>
      <c r="CE83">
        <f ca="1" t="shared" si="132"/>
        <v>1775645.90576107</v>
      </c>
      <c r="CF83">
        <f ca="1" t="shared" si="133"/>
        <v>2.2750297521</v>
      </c>
      <c r="CG83">
        <f ca="1" t="shared" si="134"/>
        <v>0.7343</v>
      </c>
      <c r="CH83">
        <f ca="1" t="shared" si="147"/>
        <v>1671738.22536326</v>
      </c>
      <c r="CJ83">
        <f ca="1" t="shared" si="135"/>
        <v>265615.5</v>
      </c>
      <c r="CK83">
        <f ca="1" t="shared" si="136"/>
        <v>1735822.87291585</v>
      </c>
      <c r="CL83">
        <f ca="1" t="shared" si="148"/>
        <v>2.2976860021</v>
      </c>
      <c r="CM83">
        <f ca="1">IF(G83="恒定伤害",0,(IF(D83="轻剑",$CM$8,$CM$9)+IFERROR(INDEX(技能数据库!$T$2:$W$27,MATCH(E83,技能数据库!$T$2:$T$27,0),4),0)+COUNTIF(G83,"*造化2*")*154+COUNTIF(G83,"*造化1*")*102+COUNTIF(G83,"*碧归*")*307)/1024)</f>
        <v>0.176868146929785</v>
      </c>
      <c r="CN83">
        <f ca="1" t="shared" si="149"/>
        <v>1777552.52100196</v>
      </c>
      <c r="CO83">
        <f ca="1" t="shared" si="150"/>
        <v>2.3262602208</v>
      </c>
      <c r="CP83">
        <f ca="1" t="shared" si="151"/>
        <v>1796650.7179551</v>
      </c>
      <c r="CQ83">
        <f ca="1" t="shared" si="137"/>
        <v>1.8815754648</v>
      </c>
      <c r="CR83">
        <f ca="1">IF(G83="恒定伤害",0,(IF(D83="轻剑",$CR$8,$CR$9)+IFERROR(INDEX(技能数据库!$T$2:$W$27,MATCH(E83,技能数据库!$T$2:$T$27,0),4),0)+COUNTIF(G83,"*造化2*")*154+COUNTIF(G83,"*造化1*")*102+COUNTIF(G83,"*碧归*")*307)/1024)</f>
        <v>0.167102521929785</v>
      </c>
      <c r="CS83">
        <f ca="1" t="shared" si="152"/>
        <v>1699555.17882095</v>
      </c>
    </row>
    <row r="84" spans="4:97">
      <c r="D84" t="s">
        <v>1825</v>
      </c>
      <c r="E84" t="s">
        <v>2902</v>
      </c>
      <c r="G84" t="s">
        <v>3044</v>
      </c>
      <c r="H84">
        <f ca="1">INDEX(技能数据库!$B$2:$I$100,MATCH(无穷阵眼收益计算!$E84,技能数据库!$B$2:$B$100,0),MATCH(H$9,技能数据库!$B$2:$I$2,0))</f>
        <v>317.5</v>
      </c>
      <c r="I84">
        <f ca="1">INDEX(技能数据库!$B$2:$I$100,MATCH(无穷阵眼收益计算!$E84,技能数据库!$B$2:$B$100,0),MATCH(I$9,技能数据库!$B$2:$I$2,0))</f>
        <v>2.25</v>
      </c>
      <c r="J84">
        <f ca="1">INDEX(技能数据库!$B$2:$I$100,MATCH(无穷阵眼收益计算!$E84,技能数据库!$B$2:$B$100,0),MATCH(J$9,技能数据库!$B$2:$I$2,0))</f>
        <v>1</v>
      </c>
      <c r="K84">
        <f ca="1">INDEX(技能数据库!$B$2:$I$100,MATCH(无穷阵眼收益计算!$E84,技能数据库!$B$2:$B$100,0),MATCH(K$9,技能数据库!$B$2:$I$2,0))</f>
        <v>0</v>
      </c>
      <c r="L84">
        <f ca="1" t="shared" si="97"/>
        <v>105847</v>
      </c>
      <c r="M84">
        <f ca="1" t="shared" si="154"/>
        <v>19530.5</v>
      </c>
      <c r="N84">
        <f ca="1" t="shared" si="155"/>
        <v>92028</v>
      </c>
      <c r="O84">
        <f ca="1" t="shared" si="138"/>
        <v>258003.75</v>
      </c>
      <c r="P84">
        <f ca="1">IF(G84="恒定伤害",0,(IF(D84="轻剑",$AZ$2,$AZ$3)+IFERROR(INDEX(技能数据库!$T$2:$W$27,MATCH(E84,技能数据库!$T$2:$T$27,0),4),0)+COUNTIF(G84,"*造化2*")*154+COUNTIF(G84,"*造化1*")*102+COUNTIF(G84,"*碧归*")*307)/1024)</f>
        <v>0.116321271929785</v>
      </c>
      <c r="Q84">
        <f ca="1" t="shared" si="98"/>
        <v>0.448284482196154</v>
      </c>
      <c r="R84">
        <f ca="1" t="shared" si="139"/>
        <v>0.21277697966198</v>
      </c>
      <c r="S84">
        <f ca="1" t="shared" si="156"/>
        <v>328372.577328174</v>
      </c>
      <c r="T84">
        <f t="shared" si="157"/>
        <v>0.8</v>
      </c>
      <c r="U84">
        <f ca="1" t="shared" si="99"/>
        <v>2.67001635480339</v>
      </c>
      <c r="V84">
        <f ca="1" t="shared" si="158"/>
        <v>964106.183410673</v>
      </c>
      <c r="W84">
        <f ca="1">IF(G84="恒定伤害",0,MIN(1,IF(COUNTIF(F84,"*内会*")&gt;0,内会2,IF(D84="轻剑",$Y$2,$Y$3)+COUNTIF(G84,"*莺鸣*")*0.2+COUNTIF(G84,"*叠1*")*0.1+COUNTIF(G84,"*叠2*")*0.2+COUNTIF(G84,"*叠3*")*0.3)+IFERROR(INDEX(技能数据库!$T$2:$W$27,MATCH(E84,技能数据库!$T$2:$T$27,0),2),0)+IF((IF(D84="轻剑",$AO$2,$AO$3)+INT(COUNTIF(G84,"*大莺鸣*")*IF(D84="轻剑",$AM$2,$AM$3)*听晓无双率)/无双系数)&gt;0.9,特效裤子会心/会心系数,0)))</f>
        <v>0.9043</v>
      </c>
      <c r="X84">
        <f ca="1">IF(G84="恒定伤害",0,IF(COUNTIF(F84,"*内会*")&gt;0,内会效2,IF(D84="轻剑",$AB$2,$AB$3))+IFERROR(INDEX(技能数据库!$T$2:$W$27,MATCH(E84,技能数据库!$T$2:$T$27,0),3)/1024,0))+COUNTIF(G84,"*叠1*")*0.25+COUNTIF(G84,"*叠2*")*0.5+COUNTIF(G84,"*叠3*")*0.75</f>
        <v>2.1773735021</v>
      </c>
      <c r="Y84">
        <f ca="1" t="shared" si="159"/>
        <v>2.06469885794903</v>
      </c>
      <c r="Z84">
        <f t="shared" si="100"/>
        <v>0.150390625</v>
      </c>
      <c r="AA84">
        <f ca="1" t="shared" si="160"/>
        <v>0.0205078125</v>
      </c>
      <c r="AB84">
        <f ca="1" t="shared" si="161"/>
        <v>2336916.81470453</v>
      </c>
      <c r="AC84">
        <f ca="1">无穷技能数计算!$AJ76</f>
        <v>0</v>
      </c>
      <c r="AD84" s="164">
        <f ca="1" t="shared" si="153"/>
        <v>0</v>
      </c>
      <c r="AE84" s="168"/>
      <c r="AF84" s="168">
        <f ca="1" t="shared" si="101"/>
        <v>0.9057</v>
      </c>
      <c r="AG84">
        <f ca="1">无穷技能数计算!$AJ76</f>
        <v>0</v>
      </c>
      <c r="AH84">
        <f ca="1" t="shared" si="102"/>
        <v>109879</v>
      </c>
      <c r="AJ84">
        <f ca="1" t="shared" si="103"/>
        <v>2.3765922521</v>
      </c>
      <c r="AK84">
        <f ca="1" t="shared" si="140"/>
        <v>267314.25</v>
      </c>
      <c r="AL84">
        <f ca="1" t="shared" si="104"/>
        <v>2635496.98275052</v>
      </c>
      <c r="AM84" s="169">
        <f ca="1" t="shared" si="105"/>
        <v>0.9272</v>
      </c>
      <c r="AN84">
        <f ca="1">无穷技能数计算!$AJ76</f>
        <v>0</v>
      </c>
      <c r="AO84" s="170">
        <f ca="1" t="shared" si="106"/>
        <v>2670214.27390512</v>
      </c>
      <c r="AP84">
        <f ca="1" t="shared" si="107"/>
        <v>110956</v>
      </c>
      <c r="AQ84" s="170">
        <f ca="1" t="shared" si="141"/>
        <v>269499</v>
      </c>
      <c r="AR84">
        <f ca="1" t="shared" si="108"/>
        <v>2584246.78646472</v>
      </c>
      <c r="AS84">
        <f ca="1" t="shared" si="109"/>
        <v>0.9843</v>
      </c>
      <c r="AT84">
        <f ca="1">无穷技能数计算!$AJ76</f>
        <v>0</v>
      </c>
      <c r="AU84">
        <f ca="1" t="shared" si="110"/>
        <v>2.3238578771</v>
      </c>
      <c r="AV84">
        <f ca="1" t="shared" si="111"/>
        <v>2.68954760480339</v>
      </c>
      <c r="AW84">
        <f ca="1" t="shared" si="142"/>
        <v>2620592.03443722</v>
      </c>
      <c r="AX84">
        <f ca="1" t="shared" si="112"/>
        <v>0.9743</v>
      </c>
      <c r="AY84">
        <f ca="1">无穷技能数计算!$AJ76</f>
        <v>0</v>
      </c>
      <c r="AZ84" s="170">
        <f ca="1" t="shared" si="143"/>
        <v>2605528.28724881</v>
      </c>
      <c r="BA84">
        <f ca="1" t="shared" si="113"/>
        <v>0.9643</v>
      </c>
      <c r="BB84">
        <f ca="1">无穷技能数计算!$AJ76</f>
        <v>0</v>
      </c>
      <c r="BC84" s="170">
        <f ca="1" t="shared" si="144"/>
        <v>2590464.54006041</v>
      </c>
      <c r="BE84">
        <f ca="1" t="shared" si="114"/>
        <v>105849</v>
      </c>
      <c r="BF84">
        <f ca="1" t="shared" si="115"/>
        <v>258008.25</v>
      </c>
      <c r="BI84">
        <f ca="1" t="shared" si="116"/>
        <v>0.9543</v>
      </c>
      <c r="BJ84">
        <f ca="1">无穷技能数计算!$AJ76</f>
        <v>0</v>
      </c>
      <c r="BK84">
        <f ca="1" t="shared" si="117"/>
        <v>2561001.03176811</v>
      </c>
      <c r="BM84">
        <f ca="1" t="shared" si="118"/>
        <v>109230</v>
      </c>
      <c r="BN84">
        <f ca="1" t="shared" si="119"/>
        <v>265615.5</v>
      </c>
      <c r="BO84">
        <f ca="1" t="shared" si="120"/>
        <v>2598293.30455983</v>
      </c>
      <c r="BP84">
        <f ca="1" t="shared" si="121"/>
        <v>2477842.48524344</v>
      </c>
      <c r="BR84">
        <f ca="1" t="shared" si="122"/>
        <v>0.9543</v>
      </c>
      <c r="BS84">
        <f ca="1" t="shared" si="123"/>
        <v>2562053.37454613</v>
      </c>
      <c r="BT84">
        <f ca="1" t="shared" si="124"/>
        <v>0.196995876306796</v>
      </c>
      <c r="BU84">
        <f ca="1" t="shared" si="125"/>
        <v>2.3238578771</v>
      </c>
      <c r="BV84">
        <f ca="1" t="shared" si="145"/>
        <v>2613122.06141981</v>
      </c>
      <c r="BW84">
        <f ca="1" t="shared" si="126"/>
        <v>113027</v>
      </c>
      <c r="BX84">
        <f ca="1" t="shared" si="127"/>
        <v>274158.75</v>
      </c>
      <c r="BY84">
        <f ca="1" t="shared" si="128"/>
        <v>0.9343</v>
      </c>
      <c r="BZ84">
        <f ca="1">无穷技能数计算!$AJ76</f>
        <v>0</v>
      </c>
      <c r="CA84">
        <f ca="1" t="shared" si="129"/>
        <v>2.3277641271</v>
      </c>
      <c r="CB84">
        <f ca="1" t="shared" si="146"/>
        <v>2694718.45610812</v>
      </c>
      <c r="CC84">
        <f ca="1" t="shared" si="130"/>
        <v>114847</v>
      </c>
      <c r="CD84">
        <f ca="1" t="shared" si="131"/>
        <v>278253.75</v>
      </c>
      <c r="CE84">
        <f ca="1" t="shared" si="132"/>
        <v>2640146.53936299</v>
      </c>
      <c r="CF84">
        <f ca="1" t="shared" si="133"/>
        <v>2.2750297521</v>
      </c>
      <c r="CG84">
        <f ca="1" t="shared" si="134"/>
        <v>0.9343</v>
      </c>
      <c r="CH84">
        <f ca="1" t="shared" si="147"/>
        <v>2493363.65442346</v>
      </c>
      <c r="CJ84">
        <f ca="1" t="shared" si="135"/>
        <v>265615.5</v>
      </c>
      <c r="CK84">
        <f ca="1" t="shared" si="136"/>
        <v>2586523.17750139</v>
      </c>
      <c r="CL84">
        <f ca="1" t="shared" si="148"/>
        <v>2.2976860021</v>
      </c>
      <c r="CM84">
        <f ca="1">IF(G84="恒定伤害",0,(IF(D84="轻剑",$CM$8,$CM$9)+IFERROR(INDEX(技能数据库!$T$2:$W$27,MATCH(E84,技能数据库!$T$2:$T$27,0),4),0)+COUNTIF(G84,"*造化2*")*154+COUNTIF(G84,"*造化1*")*102+COUNTIF(G84,"*碧归*")*307)/1024)</f>
        <v>0.176868146929785</v>
      </c>
      <c r="CN84">
        <f ca="1" t="shared" si="149"/>
        <v>2653990.81104713</v>
      </c>
      <c r="CO84">
        <f ca="1" t="shared" si="150"/>
        <v>2.3262602208</v>
      </c>
      <c r="CP84">
        <f ca="1" t="shared" si="151"/>
        <v>2686015.94652937</v>
      </c>
      <c r="CQ84">
        <f ca="1" t="shared" si="137"/>
        <v>2.77157885480339</v>
      </c>
      <c r="CR84">
        <f ca="1">IF(G84="恒定伤害",0,(IF(D84="轻剑",$CR$8,$CR$9)+IFERROR(INDEX(技能数据库!$T$2:$W$27,MATCH(E84,技能数据库!$T$2:$T$27,0),4),0)+COUNTIF(G84,"*造化2*")*154+COUNTIF(G84,"*造化1*")*102+COUNTIF(G84,"*碧归*")*307)/1024)</f>
        <v>0.167102521929785</v>
      </c>
      <c r="CS84">
        <f ca="1" t="shared" si="152"/>
        <v>2510835.45776575</v>
      </c>
    </row>
    <row r="85" spans="4:97">
      <c r="D85" t="s">
        <v>1825</v>
      </c>
      <c r="E85" t="s">
        <v>2906</v>
      </c>
      <c r="G85" t="s">
        <v>2750</v>
      </c>
      <c r="H85">
        <f ca="1">INDEX(技能数据库!$B$2:$I$100,MATCH(无穷阵眼收益计算!$E85,技能数据库!$B$2:$B$100,0),MATCH(H$9,技能数据库!$B$2:$I$2,0))</f>
        <v>317.5</v>
      </c>
      <c r="I85">
        <f ca="1">INDEX(技能数据库!$B$2:$I$100,MATCH(无穷阵眼收益计算!$E85,技能数据库!$B$2:$B$100,0),MATCH(I$9,技能数据库!$B$2:$I$2,0))</f>
        <v>1.6875</v>
      </c>
      <c r="J85">
        <f ca="1">INDEX(技能数据库!$B$2:$I$100,MATCH(无穷阵眼收益计算!$E85,技能数据库!$B$2:$B$100,0),MATCH(J$9,技能数据库!$B$2:$I$2,0))</f>
        <v>1</v>
      </c>
      <c r="K85">
        <f ca="1">INDEX(技能数据库!$B$2:$I$100,MATCH(无穷阵眼收益计算!$E85,技能数据库!$B$2:$B$100,0),MATCH(K$9,技能数据库!$B$2:$I$2,0))</f>
        <v>0</v>
      </c>
      <c r="L85">
        <f ca="1" t="shared" si="97"/>
        <v>105847</v>
      </c>
      <c r="M85">
        <f ca="1" t="shared" si="154"/>
        <v>19530.5</v>
      </c>
      <c r="N85">
        <f ca="1" t="shared" si="155"/>
        <v>92028</v>
      </c>
      <c r="O85">
        <f ca="1" t="shared" si="138"/>
        <v>198464.8125</v>
      </c>
      <c r="P85">
        <f ca="1">IF(G85="恒定伤害",0,(IF(D85="轻剑",$AZ$2,$AZ$3)+IFERROR(INDEX(技能数据库!$T$2:$W$27,MATCH(E85,技能数据库!$T$2:$T$27,0),4),0)+COUNTIF(G85,"*造化2*")*154+COUNTIF(G85,"*造化1*")*102+COUNTIF(G85,"*碧归*")*307)/1024)</f>
        <v>0.116321271929785</v>
      </c>
      <c r="Q85">
        <f ca="1" t="shared" si="98"/>
        <v>0.448284482196154</v>
      </c>
      <c r="R85">
        <f ca="1" t="shared" si="139"/>
        <v>0.21277697966198</v>
      </c>
      <c r="S85">
        <f ca="1" t="shared" si="156"/>
        <v>252594.785888104</v>
      </c>
      <c r="T85">
        <f t="shared" si="157"/>
        <v>0.8</v>
      </c>
      <c r="U85">
        <f ca="1" t="shared" si="99"/>
        <v>1.7800129648</v>
      </c>
      <c r="V85">
        <f ca="1" t="shared" si="158"/>
        <v>561773.423687847</v>
      </c>
      <c r="W85">
        <f ca="1">IF(G85="恒定伤害",0,MIN(1,IF(COUNTIF(F85,"*内会*")&gt;0,内会2,IF(D85="轻剑",$Y$2,$Y$3)+COUNTIF(G85,"*莺鸣*")*0.2+COUNTIF(G85,"*叠1*")*0.1+COUNTIF(G85,"*叠2*")*0.2+COUNTIF(G85,"*叠3*")*0.3)+IFERROR(INDEX(技能数据库!$T$2:$W$27,MATCH(E85,技能数据库!$T$2:$T$27,0),2),0)+IF((IF(D85="轻剑",$AO$2,$AO$3)+INT(COUNTIF(G85,"*大莺鸣*")*IF(D85="轻剑",$AM$2,$AM$3)*听晓无双率)/无双系数)&gt;0.9,特效裤子会心/会心系数,0)))</f>
        <v>0.7043</v>
      </c>
      <c r="X85">
        <f ca="1">IF(G85="恒定伤害",0,IF(COUNTIF(F85,"*内会*")&gt;0,内会效2,IF(D85="轻剑",$AB$2,$AB$3))+IFERROR(INDEX(技能数据库!$T$2:$W$27,MATCH(E85,技能数据库!$T$2:$T$27,0),3)/1024,0))+COUNTIF(G85,"*叠1*")*0.25+COUNTIF(G85,"*叠2*")*0.5+COUNTIF(G85,"*叠3*")*0.75</f>
        <v>2.1773735021</v>
      </c>
      <c r="Y85">
        <f ca="1" t="shared" si="159"/>
        <v>1.82922415752903</v>
      </c>
      <c r="Z85">
        <f t="shared" si="100"/>
        <v>0.150390625</v>
      </c>
      <c r="AA85">
        <f ca="1" t="shared" si="160"/>
        <v>0.0205078125</v>
      </c>
      <c r="AB85">
        <f ca="1" t="shared" si="161"/>
        <v>1206395.71413421</v>
      </c>
      <c r="AC85">
        <f ca="1">无穷技能数计算!$AJ77</f>
        <v>0</v>
      </c>
      <c r="AD85" s="164">
        <f ca="1" t="shared" si="153"/>
        <v>0</v>
      </c>
      <c r="AE85" s="168"/>
      <c r="AF85" s="168">
        <f ca="1" t="shared" si="101"/>
        <v>0.7057</v>
      </c>
      <c r="AG85">
        <f ca="1">无穷技能数计算!$AJ77</f>
        <v>0</v>
      </c>
      <c r="AH85">
        <f ca="1" t="shared" si="102"/>
        <v>109879</v>
      </c>
      <c r="AJ85">
        <f ca="1" t="shared" si="103"/>
        <v>2.3765922521</v>
      </c>
      <c r="AK85">
        <f ca="1" t="shared" si="140"/>
        <v>205507.3125</v>
      </c>
      <c r="AL85">
        <f ca="1" t="shared" si="104"/>
        <v>1346710.5591679</v>
      </c>
      <c r="AM85" s="169">
        <f ca="1" t="shared" si="105"/>
        <v>0.7272</v>
      </c>
      <c r="AN85">
        <f ca="1">无穷技能数计算!$AJ77</f>
        <v>0</v>
      </c>
      <c r="AO85" s="170">
        <f ca="1" t="shared" si="106"/>
        <v>1366928.16952616</v>
      </c>
      <c r="AP85">
        <f ca="1" t="shared" si="107"/>
        <v>110956</v>
      </c>
      <c r="AQ85" s="170">
        <f ca="1" t="shared" si="141"/>
        <v>207086.25</v>
      </c>
      <c r="AR85">
        <f ca="1" t="shared" si="108"/>
        <v>1332653.12798873</v>
      </c>
      <c r="AS85">
        <f ca="1" t="shared" si="109"/>
        <v>0.7843</v>
      </c>
      <c r="AT85">
        <f ca="1">无穷技能数计算!$AJ77</f>
        <v>0</v>
      </c>
      <c r="AU85">
        <f ca="1" t="shared" si="110"/>
        <v>2.3238578771</v>
      </c>
      <c r="AV85">
        <f ca="1" t="shared" si="111"/>
        <v>1.7995442148</v>
      </c>
      <c r="AW85">
        <f ca="1" t="shared" si="142"/>
        <v>1353729.33725539</v>
      </c>
      <c r="AX85">
        <f ca="1" t="shared" si="112"/>
        <v>0.7743</v>
      </c>
      <c r="AY85">
        <f ca="1">无穷技能数计算!$AJ77</f>
        <v>0</v>
      </c>
      <c r="AZ85" s="170">
        <f ca="1" t="shared" si="143"/>
        <v>1344936.99205171</v>
      </c>
      <c r="BA85">
        <f ca="1" t="shared" si="113"/>
        <v>0.7643</v>
      </c>
      <c r="BB85">
        <f ca="1">无穷技能数计算!$AJ77</f>
        <v>0</v>
      </c>
      <c r="BC85" s="170">
        <f ca="1" t="shared" si="144"/>
        <v>1336144.64684804</v>
      </c>
      <c r="BE85">
        <f ca="1" t="shared" si="114"/>
        <v>105849</v>
      </c>
      <c r="BF85">
        <f ca="1" t="shared" si="115"/>
        <v>198468.1875</v>
      </c>
      <c r="BI85">
        <f ca="1" t="shared" si="116"/>
        <v>0.7543</v>
      </c>
      <c r="BJ85">
        <f ca="1">无穷技能数计算!$AJ77</f>
        <v>0</v>
      </c>
      <c r="BK85">
        <f ca="1" t="shared" si="117"/>
        <v>1329041.50354456</v>
      </c>
      <c r="BM85">
        <f ca="1" t="shared" si="118"/>
        <v>109230</v>
      </c>
      <c r="BN85">
        <f ca="1" t="shared" si="119"/>
        <v>204173.625</v>
      </c>
      <c r="BO85">
        <f ca="1" t="shared" si="120"/>
        <v>1340366.08788416</v>
      </c>
      <c r="BP85">
        <f ca="1" t="shared" si="121"/>
        <v>1278229.84130021</v>
      </c>
      <c r="BR85">
        <f ca="1" t="shared" si="122"/>
        <v>0.7543</v>
      </c>
      <c r="BS85">
        <f ca="1" t="shared" si="123"/>
        <v>1328635.5767853</v>
      </c>
      <c r="BT85">
        <f ca="1" t="shared" si="124"/>
        <v>0.196995876306796</v>
      </c>
      <c r="BU85">
        <f ca="1" t="shared" si="125"/>
        <v>2.3238578771</v>
      </c>
      <c r="BV85">
        <f ca="1" t="shared" si="145"/>
        <v>1344515.11110667</v>
      </c>
      <c r="BW85">
        <f ca="1" t="shared" si="126"/>
        <v>113027</v>
      </c>
      <c r="BX85">
        <f ca="1" t="shared" si="127"/>
        <v>210581.0625</v>
      </c>
      <c r="BY85">
        <f ca="1" t="shared" si="128"/>
        <v>0.7343</v>
      </c>
      <c r="BZ85">
        <f ca="1">无穷技能数计算!$AJ77</f>
        <v>0</v>
      </c>
      <c r="CA85">
        <f ca="1" t="shared" si="129"/>
        <v>2.3277641271</v>
      </c>
      <c r="CB85">
        <f ca="1" t="shared" si="146"/>
        <v>1382040.39758366</v>
      </c>
      <c r="CC85">
        <f ca="1" t="shared" si="130"/>
        <v>114847</v>
      </c>
      <c r="CD85">
        <f ca="1" t="shared" si="131"/>
        <v>213652.3125</v>
      </c>
      <c r="CE85">
        <f ca="1" t="shared" si="132"/>
        <v>1363398.89021086</v>
      </c>
      <c r="CF85">
        <f ca="1" t="shared" si="133"/>
        <v>2.2750297521</v>
      </c>
      <c r="CG85">
        <f ca="1" t="shared" si="134"/>
        <v>0.7343</v>
      </c>
      <c r="CH85">
        <f ca="1" t="shared" si="147"/>
        <v>1285955.0043199</v>
      </c>
      <c r="CJ85">
        <f ca="1" t="shared" si="135"/>
        <v>204173.625</v>
      </c>
      <c r="CK85">
        <f ca="1" t="shared" si="136"/>
        <v>1334294.30255818</v>
      </c>
      <c r="CL85">
        <f ca="1" t="shared" si="148"/>
        <v>2.2976860021</v>
      </c>
      <c r="CM85">
        <f ca="1">IF(G85="恒定伤害",0,(IF(D85="轻剑",$CM$8,$CM$9)+IFERROR(INDEX(技能数据库!$T$2:$W$27,MATCH(E85,技能数据库!$T$2:$T$27,0),4),0)+COUNTIF(G85,"*造化2*")*154+COUNTIF(G85,"*造化1*")*102+COUNTIF(G85,"*碧归*")*307)/1024)</f>
        <v>0.176868146929785</v>
      </c>
      <c r="CN85">
        <f ca="1" t="shared" si="149"/>
        <v>1367350.77606258</v>
      </c>
      <c r="CO85">
        <f ca="1" t="shared" si="150"/>
        <v>2.3262602208</v>
      </c>
      <c r="CP85">
        <f ca="1" t="shared" si="151"/>
        <v>1382041.72562201</v>
      </c>
      <c r="CQ85">
        <f ca="1" t="shared" si="137"/>
        <v>1.8815754648</v>
      </c>
      <c r="CR85">
        <f ca="1">IF(G85="恒定伤害",0,(IF(D85="轻剑",$CR$8,$CR$9)+IFERROR(INDEX(技能数据库!$T$2:$W$27,MATCH(E85,技能数据库!$T$2:$T$27,0),4),0)+COUNTIF(G85,"*造化2*")*154+COUNTIF(G85,"*造化1*")*102+COUNTIF(G85,"*碧归*")*307)/1024)</f>
        <v>0.167102521929785</v>
      </c>
      <c r="CS85">
        <f ca="1" t="shared" si="152"/>
        <v>1307352.70281189</v>
      </c>
    </row>
    <row r="86" spans="4:97">
      <c r="D86" t="s">
        <v>1825</v>
      </c>
      <c r="E86" t="s">
        <v>2906</v>
      </c>
      <c r="G86" t="s">
        <v>3044</v>
      </c>
      <c r="H86">
        <f ca="1">INDEX(技能数据库!$B$2:$I$100,MATCH(无穷阵眼收益计算!$E86,技能数据库!$B$2:$B$100,0),MATCH(H$9,技能数据库!$B$2:$I$2,0))</f>
        <v>317.5</v>
      </c>
      <c r="I86">
        <f ca="1">INDEX(技能数据库!$B$2:$I$100,MATCH(无穷阵眼收益计算!$E86,技能数据库!$B$2:$B$100,0),MATCH(I$9,技能数据库!$B$2:$I$2,0))</f>
        <v>1.6875</v>
      </c>
      <c r="J86">
        <f ca="1">INDEX(技能数据库!$B$2:$I$100,MATCH(无穷阵眼收益计算!$E86,技能数据库!$B$2:$B$100,0),MATCH(J$9,技能数据库!$B$2:$I$2,0))</f>
        <v>1</v>
      </c>
      <c r="K86">
        <f ca="1">INDEX(技能数据库!$B$2:$I$100,MATCH(无穷阵眼收益计算!$E86,技能数据库!$B$2:$B$100,0),MATCH(K$9,技能数据库!$B$2:$I$2,0))</f>
        <v>0</v>
      </c>
      <c r="L86">
        <f ca="1" t="shared" si="97"/>
        <v>105847</v>
      </c>
      <c r="M86">
        <f ca="1" t="shared" si="154"/>
        <v>19530.5</v>
      </c>
      <c r="N86">
        <f ca="1" t="shared" si="155"/>
        <v>92028</v>
      </c>
      <c r="O86">
        <f ca="1" t="shared" si="138"/>
        <v>198464.8125</v>
      </c>
      <c r="P86">
        <f ca="1">IF(G86="恒定伤害",0,(IF(D86="轻剑",$AZ$2,$AZ$3)+IFERROR(INDEX(技能数据库!$T$2:$W$27,MATCH(E86,技能数据库!$T$2:$T$27,0),4),0)+COUNTIF(G86,"*造化2*")*154+COUNTIF(G86,"*造化1*")*102+COUNTIF(G86,"*碧归*")*307)/1024)</f>
        <v>0.116321271929785</v>
      </c>
      <c r="Q86">
        <f ca="1" t="shared" si="98"/>
        <v>0.448284482196154</v>
      </c>
      <c r="R86">
        <f ca="1" t="shared" si="139"/>
        <v>0.21277697966198</v>
      </c>
      <c r="S86">
        <f ca="1" t="shared" si="156"/>
        <v>252594.785888104</v>
      </c>
      <c r="T86">
        <f t="shared" si="157"/>
        <v>0.8</v>
      </c>
      <c r="U86">
        <f ca="1" t="shared" si="99"/>
        <v>2.67001635480339</v>
      </c>
      <c r="V86">
        <f ca="1" t="shared" si="158"/>
        <v>741621.596277921</v>
      </c>
      <c r="W86">
        <f ca="1">IF(G86="恒定伤害",0,MIN(1,IF(COUNTIF(F86,"*内会*")&gt;0,内会2,IF(D86="轻剑",$Y$2,$Y$3)+COUNTIF(G86,"*莺鸣*")*0.2+COUNTIF(G86,"*叠1*")*0.1+COUNTIF(G86,"*叠2*")*0.2+COUNTIF(G86,"*叠3*")*0.3)+IFERROR(INDEX(技能数据库!$T$2:$W$27,MATCH(E86,技能数据库!$T$2:$T$27,0),2),0)+IF((IF(D86="轻剑",$AO$2,$AO$3)+INT(COUNTIF(G86,"*大莺鸣*")*IF(D86="轻剑",$AM$2,$AM$3)*听晓无双率)/无双系数)&gt;0.9,特效裤子会心/会心系数,0)))</f>
        <v>0.9043</v>
      </c>
      <c r="X86">
        <f ca="1">IF(G86="恒定伤害",0,IF(COUNTIF(F86,"*内会*")&gt;0,内会效2,IF(D86="轻剑",$AB$2,$AB$3))+IFERROR(INDEX(技能数据库!$T$2:$W$27,MATCH(E86,技能数据库!$T$2:$T$27,0),3)/1024,0))+COUNTIF(G86,"*叠1*")*0.25+COUNTIF(G86,"*叠2*")*0.5+COUNTIF(G86,"*叠3*")*0.75</f>
        <v>2.1773735021</v>
      </c>
      <c r="Y86">
        <f ca="1" t="shared" si="159"/>
        <v>2.06469885794903</v>
      </c>
      <c r="Z86">
        <f t="shared" si="100"/>
        <v>0.150390625</v>
      </c>
      <c r="AA86">
        <f ca="1" t="shared" si="160"/>
        <v>0.0205078125</v>
      </c>
      <c r="AB86">
        <f ca="1" t="shared" si="161"/>
        <v>1797631.84627522</v>
      </c>
      <c r="AC86">
        <f ca="1">无穷技能数计算!$AJ78</f>
        <v>0</v>
      </c>
      <c r="AD86" s="164">
        <f ca="1" t="shared" si="153"/>
        <v>0</v>
      </c>
      <c r="AE86" s="168"/>
      <c r="AF86" s="168">
        <f ca="1" t="shared" si="101"/>
        <v>0.9057</v>
      </c>
      <c r="AG86">
        <f ca="1">无穷技能数计算!$AJ78</f>
        <v>0</v>
      </c>
      <c r="AH86">
        <f ca="1" t="shared" si="102"/>
        <v>109879</v>
      </c>
      <c r="AJ86">
        <f ca="1" t="shared" si="103"/>
        <v>2.3765922521</v>
      </c>
      <c r="AK86">
        <f ca="1" t="shared" si="140"/>
        <v>205507.3125</v>
      </c>
      <c r="AL86">
        <f ca="1" t="shared" si="104"/>
        <v>2026131.79816234</v>
      </c>
      <c r="AM86" s="169">
        <f ca="1" t="shared" si="105"/>
        <v>0.9272</v>
      </c>
      <c r="AN86">
        <f ca="1">无穷技能数计算!$AJ78</f>
        <v>0</v>
      </c>
      <c r="AO86" s="170">
        <f ca="1" t="shared" si="106"/>
        <v>2052821.9473125</v>
      </c>
      <c r="AP86">
        <f ca="1" t="shared" si="107"/>
        <v>110956</v>
      </c>
      <c r="AQ86" s="170">
        <f ca="1" t="shared" si="141"/>
        <v>207086.25</v>
      </c>
      <c r="AR86">
        <f ca="1" t="shared" si="108"/>
        <v>1985766.09220639</v>
      </c>
      <c r="AS86">
        <f ca="1" t="shared" si="109"/>
        <v>0.9843</v>
      </c>
      <c r="AT86">
        <f ca="1">无穷技能数计算!$AJ78</f>
        <v>0</v>
      </c>
      <c r="AU86">
        <f ca="1" t="shared" si="110"/>
        <v>2.3238578771</v>
      </c>
      <c r="AV86">
        <f ca="1" t="shared" si="111"/>
        <v>2.68954760480339</v>
      </c>
      <c r="AW86">
        <f ca="1" t="shared" si="142"/>
        <v>2015843.98193273</v>
      </c>
      <c r="AX86">
        <f ca="1" t="shared" si="112"/>
        <v>0.9743</v>
      </c>
      <c r="AY86">
        <f ca="1">无穷技能数计算!$AJ78</f>
        <v>0</v>
      </c>
      <c r="AZ86" s="170">
        <f ca="1" t="shared" si="143"/>
        <v>2004256.46135873</v>
      </c>
      <c r="BA86">
        <f ca="1" t="shared" si="113"/>
        <v>0.9643</v>
      </c>
      <c r="BB86">
        <f ca="1">无穷技能数计算!$AJ78</f>
        <v>0</v>
      </c>
      <c r="BC86" s="170">
        <f ca="1" t="shared" si="144"/>
        <v>1992668.94078473</v>
      </c>
      <c r="BE86">
        <f ca="1" t="shared" si="114"/>
        <v>105849</v>
      </c>
      <c r="BF86">
        <f ca="1" t="shared" si="115"/>
        <v>198468.1875</v>
      </c>
      <c r="BI86">
        <f ca="1" t="shared" si="116"/>
        <v>0.9543</v>
      </c>
      <c r="BJ86">
        <f ca="1">无穷技能数计算!$AJ78</f>
        <v>0</v>
      </c>
      <c r="BK86">
        <f ca="1" t="shared" si="117"/>
        <v>1970003.80011355</v>
      </c>
      <c r="BM86">
        <f ca="1" t="shared" si="118"/>
        <v>109230</v>
      </c>
      <c r="BN86">
        <f ca="1" t="shared" si="119"/>
        <v>204173.625</v>
      </c>
      <c r="BO86">
        <f ca="1" t="shared" si="120"/>
        <v>1997259.05606115</v>
      </c>
      <c r="BP86">
        <f ca="1" t="shared" si="121"/>
        <v>1904670.78311003</v>
      </c>
      <c r="BR86">
        <f ca="1" t="shared" si="122"/>
        <v>0.9543</v>
      </c>
      <c r="BS86">
        <f ca="1" t="shared" si="123"/>
        <v>1969402.10539132</v>
      </c>
      <c r="BT86">
        <f ca="1" t="shared" si="124"/>
        <v>0.196995876306796</v>
      </c>
      <c r="BU86">
        <f ca="1" t="shared" si="125"/>
        <v>2.3238578771</v>
      </c>
      <c r="BV86">
        <f ca="1" t="shared" si="145"/>
        <v>2010097.83756746</v>
      </c>
      <c r="BW86">
        <f ca="1" t="shared" si="126"/>
        <v>113027</v>
      </c>
      <c r="BX86">
        <f ca="1" t="shared" si="127"/>
        <v>210581.0625</v>
      </c>
      <c r="BY86">
        <f ca="1" t="shared" si="128"/>
        <v>0.9343</v>
      </c>
      <c r="BZ86">
        <f ca="1">无穷技能数计算!$AJ78</f>
        <v>0</v>
      </c>
      <c r="CA86">
        <f ca="1" t="shared" si="129"/>
        <v>2.3277641271</v>
      </c>
      <c r="CB86">
        <f ca="1" t="shared" si="146"/>
        <v>2069810.5591217</v>
      </c>
      <c r="CC86">
        <f ca="1" t="shared" si="130"/>
        <v>114847</v>
      </c>
      <c r="CD86">
        <f ca="1" t="shared" si="131"/>
        <v>213652.3125</v>
      </c>
      <c r="CE86">
        <f ca="1" t="shared" si="132"/>
        <v>2027190.69724586</v>
      </c>
      <c r="CF86">
        <f ca="1" t="shared" si="133"/>
        <v>2.2750297521</v>
      </c>
      <c r="CG86">
        <f ca="1" t="shared" si="134"/>
        <v>0.9343</v>
      </c>
      <c r="CH86">
        <f ca="1" t="shared" si="147"/>
        <v>1917975.80527208</v>
      </c>
      <c r="CJ86">
        <f ca="1" t="shared" si="135"/>
        <v>204173.625</v>
      </c>
      <c r="CK86">
        <f ca="1" t="shared" si="136"/>
        <v>1988211.58139106</v>
      </c>
      <c r="CL86">
        <f ca="1" t="shared" si="148"/>
        <v>2.2976860021</v>
      </c>
      <c r="CM86">
        <f ca="1">IF(G86="恒定伤害",0,(IF(D86="轻剑",$CM$8,$CM$9)+IFERROR(INDEX(技能数据库!$T$2:$W$27,MATCH(E86,技能数据库!$T$2:$T$27,0),4),0)+COUNTIF(G86,"*造化2*")*154+COUNTIF(G86,"*造化1*")*102+COUNTIF(G86,"*碧归*")*307)/1024)</f>
        <v>0.176868146929785</v>
      </c>
      <c r="CN86">
        <f ca="1" t="shared" si="149"/>
        <v>2041535.39896685</v>
      </c>
      <c r="CO86">
        <f ca="1" t="shared" si="150"/>
        <v>2.3262602208</v>
      </c>
      <c r="CP86">
        <f ca="1" t="shared" si="151"/>
        <v>2066170.16690634</v>
      </c>
      <c r="CQ86">
        <f ca="1" t="shared" si="137"/>
        <v>2.77157885480339</v>
      </c>
      <c r="CR86">
        <f ca="1">IF(G86="恒定伤害",0,(IF(D86="轻剑",$CR$8,$CR$9)+IFERROR(INDEX(技能数据库!$T$2:$W$27,MATCH(E86,技能数据库!$T$2:$T$27,0),4),0)+COUNTIF(G86,"*造化2*")*154+COUNTIF(G86,"*造化1*")*102+COUNTIF(G86,"*碧归*")*307)/1024)</f>
        <v>0.167102521929785</v>
      </c>
      <c r="CS86">
        <f ca="1" t="shared" si="152"/>
        <v>1931415.68036833</v>
      </c>
    </row>
    <row r="87" spans="4:97">
      <c r="D87" t="s">
        <v>1825</v>
      </c>
      <c r="E87" t="s">
        <v>2827</v>
      </c>
      <c r="G87" t="s">
        <v>2750</v>
      </c>
      <c r="H87">
        <f ca="1">INDEX(技能数据库!$B$2:$I$100,MATCH(无穷阵眼收益计算!$E87,技能数据库!$B$2:$B$100,0),MATCH(H$9,技能数据库!$B$2:$I$2,0))</f>
        <v>1</v>
      </c>
      <c r="I87">
        <f ca="1">INDEX(技能数据库!$B$2:$I$100,MATCH(无穷阵眼收益计算!$E87,技能数据库!$B$2:$B$100,0),MATCH(I$9,技能数据库!$B$2:$I$2,0))</f>
        <v>0.375</v>
      </c>
      <c r="J87">
        <f ca="1">INDEX(技能数据库!$B$2:$I$100,MATCH(无穷阵眼收益计算!$E87,技能数据库!$B$2:$B$100,0),MATCH(J$9,技能数据库!$B$2:$I$2,0))</f>
        <v>0</v>
      </c>
      <c r="K87">
        <f ca="1">INDEX(技能数据库!$B$2:$I$100,MATCH(无穷阵眼收益计算!$E87,技能数据库!$B$2:$B$100,0),MATCH(K$9,技能数据库!$B$2:$I$2,0))</f>
        <v>0</v>
      </c>
      <c r="L87">
        <f ca="1" t="shared" si="97"/>
        <v>105847</v>
      </c>
      <c r="M87">
        <f ca="1" t="shared" si="154"/>
        <v>19530.5</v>
      </c>
      <c r="N87">
        <f ca="1" t="shared" si="155"/>
        <v>92028</v>
      </c>
      <c r="O87">
        <f ca="1" t="shared" si="138"/>
        <v>39693.625</v>
      </c>
      <c r="P87">
        <f ca="1">IF(G87="恒定伤害",0,(IF(D87="轻剑",$AZ$2,$AZ$3)+IFERROR(INDEX(技能数据库!$T$2:$W$27,MATCH(E87,技能数据库!$T$2:$T$27,0),4),0)+COUNTIF(G87,"*造化2*")*154+COUNTIF(G87,"*造化1*")*102+COUNTIF(G87,"*碧归*")*307)/1024)</f>
        <v>0.116321271929785</v>
      </c>
      <c r="Q87">
        <f ca="1" t="shared" si="98"/>
        <v>0.448284482196154</v>
      </c>
      <c r="R87">
        <f ca="1" t="shared" si="139"/>
        <v>0.21277697966198</v>
      </c>
      <c r="S87">
        <f ca="1" t="shared" si="156"/>
        <v>50519.8003701421</v>
      </c>
      <c r="T87">
        <f t="shared" si="157"/>
        <v>0.8</v>
      </c>
      <c r="U87">
        <f ca="1" t="shared" si="99"/>
        <v>1.7800129648</v>
      </c>
      <c r="V87">
        <f ca="1" t="shared" si="158"/>
        <v>112356.560006482</v>
      </c>
      <c r="W87">
        <f ca="1">IF(G87="恒定伤害",0,MIN(1,IF(COUNTIF(F87,"*内会*")&gt;0,内会2,IF(D87="轻剑",$Y$2,$Y$3)+COUNTIF(G87,"*莺鸣*")*0.2+COUNTIF(G87,"*叠1*")*0.1+COUNTIF(G87,"*叠2*")*0.2+COUNTIF(G87,"*叠3*")*0.3)+IFERROR(INDEX(技能数据库!$T$2:$W$27,MATCH(E87,技能数据库!$T$2:$T$27,0),2),0)+IF((IF(D87="轻剑",$AO$2,$AO$3)+INT(COUNTIF(G87,"*大莺鸣*")*IF(D87="轻剑",$AM$2,$AM$3)*听晓无双率)/无双系数)&gt;0.9,特效裤子会心/会心系数,0)))</f>
        <v>0.7043</v>
      </c>
      <c r="X87">
        <f ca="1">IF(G87="恒定伤害",0,IF(COUNTIF(F87,"*内会*")&gt;0,内会效2,IF(D87="轻剑",$AB$2,$AB$3))+IFERROR(INDEX(技能数据库!$T$2:$W$27,MATCH(E87,技能数据库!$T$2:$T$27,0),3)/1024,0))+COUNTIF(G87,"*叠1*")*0.25+COUNTIF(G87,"*叠2*")*0.5+COUNTIF(G87,"*叠3*")*0.75</f>
        <v>2.1773735021</v>
      </c>
      <c r="Y87">
        <f ca="1" t="shared" si="159"/>
        <v>1.82922415752903</v>
      </c>
      <c r="Z87">
        <f t="shared" si="100"/>
        <v>0.150390625</v>
      </c>
      <c r="AA87">
        <f ca="1" t="shared" si="160"/>
        <v>0.0205078125</v>
      </c>
      <c r="AB87">
        <f ca="1" t="shared" si="161"/>
        <v>241283.169924394</v>
      </c>
      <c r="AC87">
        <f ca="1">无穷技能数计算!$AJ79</f>
        <v>21.2861328125</v>
      </c>
      <c r="AD87" s="164">
        <f ca="1" t="shared" si="153"/>
        <v>0.00201284813719815</v>
      </c>
      <c r="AE87" s="168"/>
      <c r="AF87" s="168">
        <f ca="1" t="shared" si="101"/>
        <v>0.7057</v>
      </c>
      <c r="AG87">
        <f ca="1">无穷技能数计算!$AJ79</f>
        <v>21.2861328125</v>
      </c>
      <c r="AH87">
        <f ca="1" t="shared" si="102"/>
        <v>109879</v>
      </c>
      <c r="AJ87">
        <f ca="1" t="shared" si="103"/>
        <v>2.3765922521</v>
      </c>
      <c r="AK87">
        <f ca="1" t="shared" si="140"/>
        <v>41205.625</v>
      </c>
      <c r="AL87">
        <f ca="1" t="shared" si="104"/>
        <v>270024.699411184</v>
      </c>
      <c r="AM87" s="169">
        <f ca="1" t="shared" si="105"/>
        <v>0.7272</v>
      </c>
      <c r="AN87">
        <f ca="1">无穷技能数计算!$AJ79</f>
        <v>21.2861328125</v>
      </c>
      <c r="AO87" s="170">
        <f ca="1" t="shared" si="106"/>
        <v>274078.4688887</v>
      </c>
      <c r="AP87">
        <f ca="1" t="shared" si="107"/>
        <v>110956</v>
      </c>
      <c r="AQ87" s="170">
        <f ca="1" t="shared" si="141"/>
        <v>41609.5</v>
      </c>
      <c r="AR87">
        <f ca="1" t="shared" si="108"/>
        <v>267767.803652087</v>
      </c>
      <c r="AS87">
        <f ca="1" t="shared" si="109"/>
        <v>0.7843</v>
      </c>
      <c r="AT87">
        <f ca="1">无穷技能数计算!$AJ79</f>
        <v>21.2861328125</v>
      </c>
      <c r="AU87">
        <f ca="1" t="shared" si="110"/>
        <v>2.3238578771</v>
      </c>
      <c r="AV87">
        <f ca="1" t="shared" si="111"/>
        <v>1.7995442148</v>
      </c>
      <c r="AW87">
        <f ca="1" t="shared" si="142"/>
        <v>270750.386366419</v>
      </c>
      <c r="AX87">
        <f ca="1" t="shared" si="112"/>
        <v>0.7743</v>
      </c>
      <c r="AY87">
        <f ca="1">无穷技能数计算!$AJ79</f>
        <v>21.2861328125</v>
      </c>
      <c r="AZ87" s="170">
        <f ca="1" t="shared" si="143"/>
        <v>268991.887975752</v>
      </c>
      <c r="BA87">
        <f ca="1" t="shared" si="113"/>
        <v>0.7643</v>
      </c>
      <c r="BB87">
        <f ca="1">无穷技能数计算!$AJ79</f>
        <v>21.2861328125</v>
      </c>
      <c r="BC87" s="170">
        <f ca="1" t="shared" si="144"/>
        <v>267233.389585085</v>
      </c>
      <c r="BE87">
        <f ca="1" t="shared" si="114"/>
        <v>105849</v>
      </c>
      <c r="BF87">
        <f ca="1" t="shared" si="115"/>
        <v>39694.375</v>
      </c>
      <c r="BI87">
        <f ca="1" t="shared" si="116"/>
        <v>0.7543</v>
      </c>
      <c r="BJ87">
        <f ca="1">无穷技能数计算!$AJ79</f>
        <v>21.2861328125</v>
      </c>
      <c r="BK87">
        <f ca="1" t="shared" si="117"/>
        <v>265813.239375009</v>
      </c>
      <c r="BM87">
        <f ca="1" t="shared" si="118"/>
        <v>109230</v>
      </c>
      <c r="BN87">
        <f ca="1" t="shared" si="119"/>
        <v>40962.25</v>
      </c>
      <c r="BO87">
        <f ca="1" t="shared" si="120"/>
        <v>268910.398115492</v>
      </c>
      <c r="BP87">
        <f ca="1" t="shared" si="121"/>
        <v>256444.339060932</v>
      </c>
      <c r="BR87">
        <f ca="1" t="shared" si="122"/>
        <v>0.7543</v>
      </c>
      <c r="BS87">
        <f ca="1" t="shared" si="123"/>
        <v>266556.969124556</v>
      </c>
      <c r="BT87">
        <f ca="1" t="shared" si="124"/>
        <v>0.196995876306796</v>
      </c>
      <c r="BU87">
        <f ca="1" t="shared" si="125"/>
        <v>2.3238578771</v>
      </c>
      <c r="BV87">
        <f ca="1" t="shared" si="145"/>
        <v>268907.510378454</v>
      </c>
      <c r="BW87">
        <f ca="1" t="shared" si="126"/>
        <v>113027</v>
      </c>
      <c r="BX87">
        <f ca="1" t="shared" si="127"/>
        <v>42386.125</v>
      </c>
      <c r="BY87">
        <f ca="1" t="shared" si="128"/>
        <v>0.7343</v>
      </c>
      <c r="BZ87">
        <f ca="1">无穷技能数计算!$AJ79</f>
        <v>21.2861328125</v>
      </c>
      <c r="CA87">
        <f ca="1" t="shared" si="129"/>
        <v>2.3277641271</v>
      </c>
      <c r="CB87">
        <f ca="1" t="shared" si="146"/>
        <v>278179.511260803</v>
      </c>
      <c r="CC87">
        <f ca="1" t="shared" si="130"/>
        <v>114847</v>
      </c>
      <c r="CD87">
        <f ca="1" t="shared" si="131"/>
        <v>43068.625</v>
      </c>
      <c r="CE87">
        <f ca="1" t="shared" si="132"/>
        <v>274837.725090889</v>
      </c>
      <c r="CF87">
        <f ca="1" t="shared" si="133"/>
        <v>2.2750297521</v>
      </c>
      <c r="CG87">
        <f ca="1" t="shared" si="134"/>
        <v>0.7343</v>
      </c>
      <c r="CH87">
        <f ca="1" t="shared" si="147"/>
        <v>257195.293540247</v>
      </c>
      <c r="CJ87">
        <f ca="1" t="shared" si="135"/>
        <v>40962.25</v>
      </c>
      <c r="CK87">
        <f ca="1" t="shared" si="136"/>
        <v>267692.248668083</v>
      </c>
      <c r="CL87">
        <f ca="1" t="shared" si="148"/>
        <v>2.2976860021</v>
      </c>
      <c r="CM87">
        <f ca="1">IF(G87="恒定伤害",0,(IF(D87="轻剑",$CM$8,$CM$9)+IFERROR(INDEX(技能数据库!$T$2:$W$27,MATCH(E87,技能数据库!$T$2:$T$27,0),4),0)+COUNTIF(G87,"*造化2*")*154+COUNTIF(G87,"*造化1*")*102+COUNTIF(G87,"*碧归*")*307)/1024)</f>
        <v>0.176868146929785</v>
      </c>
      <c r="CN87">
        <f ca="1" t="shared" si="149"/>
        <v>273474.719597899</v>
      </c>
      <c r="CO87">
        <f ca="1" t="shared" si="150"/>
        <v>2.3262602208</v>
      </c>
      <c r="CP87">
        <f ca="1" t="shared" si="151"/>
        <v>276412.958549985</v>
      </c>
      <c r="CQ87">
        <f ca="1" t="shared" si="137"/>
        <v>1.8815754648</v>
      </c>
      <c r="CR87">
        <f ca="1">IF(G87="恒定伤害",0,(IF(D87="轻剑",$CR$8,$CR$9)+IFERROR(INDEX(技能数据库!$T$2:$W$27,MATCH(E87,技能数据库!$T$2:$T$27,0),4),0)+COUNTIF(G87,"*造化2*")*154+COUNTIF(G87,"*造化1*")*102+COUNTIF(G87,"*碧归*")*307)/1024)</f>
        <v>0.167102521929785</v>
      </c>
      <c r="CS87">
        <f ca="1" t="shared" si="152"/>
        <v>261474.904666799</v>
      </c>
    </row>
    <row r="88" spans="4:97">
      <c r="D88" t="s">
        <v>1825</v>
      </c>
      <c r="E88" t="s">
        <v>2827</v>
      </c>
      <c r="G88" t="s">
        <v>3044</v>
      </c>
      <c r="H88">
        <f ca="1">INDEX(技能数据库!$B$2:$I$100,MATCH(无穷阵眼收益计算!$E88,技能数据库!$B$2:$B$100,0),MATCH(H$9,技能数据库!$B$2:$I$2,0))</f>
        <v>1</v>
      </c>
      <c r="I88">
        <f ca="1">INDEX(技能数据库!$B$2:$I$100,MATCH(无穷阵眼收益计算!$E88,技能数据库!$B$2:$B$100,0),MATCH(I$9,技能数据库!$B$2:$I$2,0))</f>
        <v>0.375</v>
      </c>
      <c r="J88">
        <f ca="1">INDEX(技能数据库!$B$2:$I$100,MATCH(无穷阵眼收益计算!$E88,技能数据库!$B$2:$B$100,0),MATCH(J$9,技能数据库!$B$2:$I$2,0))</f>
        <v>0</v>
      </c>
      <c r="K88">
        <f ca="1">INDEX(技能数据库!$B$2:$I$100,MATCH(无穷阵眼收益计算!$E88,技能数据库!$B$2:$B$100,0),MATCH(K$9,技能数据库!$B$2:$I$2,0))</f>
        <v>0</v>
      </c>
      <c r="L88">
        <f ca="1" t="shared" si="97"/>
        <v>105847</v>
      </c>
      <c r="M88">
        <f ca="1" t="shared" si="154"/>
        <v>19530.5</v>
      </c>
      <c r="N88">
        <f ca="1" t="shared" si="155"/>
        <v>92028</v>
      </c>
      <c r="O88">
        <f ca="1" t="shared" si="138"/>
        <v>39693.625</v>
      </c>
      <c r="P88">
        <f ca="1">IF(G88="恒定伤害",0,(IF(D88="轻剑",$AZ$2,$AZ$3)+IFERROR(INDEX(技能数据库!$T$2:$W$27,MATCH(E88,技能数据库!$T$2:$T$27,0),4),0)+COUNTIF(G88,"*造化2*")*154+COUNTIF(G88,"*造化1*")*102+COUNTIF(G88,"*碧归*")*307)/1024)</f>
        <v>0.116321271929785</v>
      </c>
      <c r="Q88">
        <f ca="1" t="shared" si="98"/>
        <v>0.448284482196154</v>
      </c>
      <c r="R88">
        <f ca="1" t="shared" si="139"/>
        <v>0.21277697966198</v>
      </c>
      <c r="S88">
        <f ca="1" t="shared" si="156"/>
        <v>50519.8003701421</v>
      </c>
      <c r="T88">
        <f t="shared" si="157"/>
        <v>0.8</v>
      </c>
      <c r="U88">
        <f ca="1" t="shared" si="99"/>
        <v>2.67001635480339</v>
      </c>
      <c r="V88">
        <f ca="1" t="shared" si="158"/>
        <v>148326.794879859</v>
      </c>
      <c r="W88">
        <f ca="1">IF(G88="恒定伤害",0,MIN(1,IF(COUNTIF(F88,"*内会*")&gt;0,内会2,IF(D88="轻剑",$Y$2,$Y$3)+COUNTIF(G88,"*莺鸣*")*0.2+COUNTIF(G88,"*叠1*")*0.1+COUNTIF(G88,"*叠2*")*0.2+COUNTIF(G88,"*叠3*")*0.3)+IFERROR(INDEX(技能数据库!$T$2:$W$27,MATCH(E88,技能数据库!$T$2:$T$27,0),2),0)+IF((IF(D88="轻剑",$AO$2,$AO$3)+INT(COUNTIF(G88,"*大莺鸣*")*IF(D88="轻剑",$AM$2,$AM$3)*听晓无双率)/无双系数)&gt;0.9,特效裤子会心/会心系数,0)))</f>
        <v>0.9043</v>
      </c>
      <c r="X88">
        <f ca="1">IF(G88="恒定伤害",0,IF(COUNTIF(F88,"*内会*")&gt;0,内会效2,IF(D88="轻剑",$AB$2,$AB$3))+IFERROR(INDEX(技能数据库!$T$2:$W$27,MATCH(E88,技能数据库!$T$2:$T$27,0),3)/1024,0))+COUNTIF(G88,"*叠1*")*0.25+COUNTIF(G88,"*叠2*")*0.5+COUNTIF(G88,"*叠3*")*0.75</f>
        <v>2.1773735021</v>
      </c>
      <c r="Y88">
        <f ca="1" t="shared" si="159"/>
        <v>2.06469885794903</v>
      </c>
      <c r="Z88">
        <f t="shared" si="100"/>
        <v>0.150390625</v>
      </c>
      <c r="AA88">
        <f ca="1" t="shared" si="160"/>
        <v>0.0205078125</v>
      </c>
      <c r="AB88">
        <f ca="1" t="shared" si="161"/>
        <v>359532.369971661</v>
      </c>
      <c r="AC88">
        <f ca="1">无穷技能数计算!$AJ80</f>
        <v>0</v>
      </c>
      <c r="AD88" s="164">
        <f ca="1" t="shared" si="153"/>
        <v>0</v>
      </c>
      <c r="AE88" s="168"/>
      <c r="AF88" s="168">
        <f ca="1" t="shared" si="101"/>
        <v>0.9057</v>
      </c>
      <c r="AG88">
        <f ca="1">无穷技能数计算!$AJ80</f>
        <v>0</v>
      </c>
      <c r="AH88">
        <f ca="1" t="shared" si="102"/>
        <v>109879</v>
      </c>
      <c r="AJ88">
        <f ca="1" t="shared" si="103"/>
        <v>2.3765922521</v>
      </c>
      <c r="AK88">
        <f ca="1" t="shared" si="140"/>
        <v>41205.625</v>
      </c>
      <c r="AL88">
        <f ca="1" t="shared" si="104"/>
        <v>406253.315563422</v>
      </c>
      <c r="AM88" s="169">
        <f ca="1" t="shared" si="105"/>
        <v>0.9272</v>
      </c>
      <c r="AN88">
        <f ca="1">无穷技能数计算!$AJ80</f>
        <v>0</v>
      </c>
      <c r="AO88" s="170">
        <f ca="1" t="shared" si="106"/>
        <v>411604.873440834</v>
      </c>
      <c r="AP88">
        <f ca="1" t="shared" si="107"/>
        <v>110956</v>
      </c>
      <c r="AQ88" s="170">
        <f ca="1" t="shared" si="141"/>
        <v>41609.5</v>
      </c>
      <c r="AR88">
        <f ca="1" t="shared" si="108"/>
        <v>398996.718583015</v>
      </c>
      <c r="AS88">
        <f ca="1" t="shared" si="109"/>
        <v>0.9843</v>
      </c>
      <c r="AT88">
        <f ca="1">无穷技能数计算!$AJ80</f>
        <v>0</v>
      </c>
      <c r="AU88">
        <f ca="1" t="shared" si="110"/>
        <v>2.3238578771</v>
      </c>
      <c r="AV88">
        <f ca="1" t="shared" si="111"/>
        <v>2.68954760480339</v>
      </c>
      <c r="AW88">
        <f ca="1" t="shared" si="142"/>
        <v>403175.525522161</v>
      </c>
      <c r="AX88">
        <f ca="1" t="shared" si="112"/>
        <v>0.9743</v>
      </c>
      <c r="AY88">
        <f ca="1">无穷技能数计算!$AJ80</f>
        <v>0</v>
      </c>
      <c r="AZ88" s="170">
        <f ca="1" t="shared" si="143"/>
        <v>400857.982726789</v>
      </c>
      <c r="BA88">
        <f ca="1" t="shared" si="113"/>
        <v>0.9643</v>
      </c>
      <c r="BB88">
        <f ca="1">无穷技能数计算!$AJ80</f>
        <v>0</v>
      </c>
      <c r="BC88" s="170">
        <f ca="1" t="shared" si="144"/>
        <v>398540.439931417</v>
      </c>
      <c r="BE88">
        <f ca="1" t="shared" si="114"/>
        <v>105849</v>
      </c>
      <c r="BF88">
        <f ca="1" t="shared" si="115"/>
        <v>39694.375</v>
      </c>
      <c r="BI88">
        <f ca="1" t="shared" si="116"/>
        <v>0.9543</v>
      </c>
      <c r="BJ88">
        <f ca="1">无穷技能数计算!$AJ80</f>
        <v>0</v>
      </c>
      <c r="BK88">
        <f ca="1" t="shared" si="117"/>
        <v>394008.080479559</v>
      </c>
      <c r="BM88">
        <f ca="1" t="shared" si="118"/>
        <v>109230</v>
      </c>
      <c r="BN88">
        <f ca="1" t="shared" si="119"/>
        <v>40962.25</v>
      </c>
      <c r="BO88">
        <f ca="1" t="shared" si="120"/>
        <v>400699.281159066</v>
      </c>
      <c r="BP88">
        <f ca="1" t="shared" si="121"/>
        <v>382123.796770757</v>
      </c>
      <c r="BR88">
        <f ca="1" t="shared" si="122"/>
        <v>0.9543</v>
      </c>
      <c r="BS88">
        <f ca="1" t="shared" si="123"/>
        <v>395110.491825599</v>
      </c>
      <c r="BT88">
        <f ca="1" t="shared" si="124"/>
        <v>0.196995876306796</v>
      </c>
      <c r="BU88">
        <f ca="1" t="shared" si="125"/>
        <v>2.3238578771</v>
      </c>
      <c r="BV88">
        <f ca="1" t="shared" si="145"/>
        <v>402026.277467769</v>
      </c>
      <c r="BW88">
        <f ca="1" t="shared" si="126"/>
        <v>113027</v>
      </c>
      <c r="BX88">
        <f ca="1" t="shared" si="127"/>
        <v>42386.125</v>
      </c>
      <c r="BY88">
        <f ca="1" t="shared" si="128"/>
        <v>0.9343</v>
      </c>
      <c r="BZ88">
        <f ca="1">无穷技能数计算!$AJ80</f>
        <v>0</v>
      </c>
      <c r="CA88">
        <f ca="1" t="shared" si="129"/>
        <v>2.3277641271</v>
      </c>
      <c r="CB88">
        <f ca="1" t="shared" si="146"/>
        <v>416615.093701754</v>
      </c>
      <c r="CC88">
        <f ca="1" t="shared" si="130"/>
        <v>114847</v>
      </c>
      <c r="CD88">
        <f ca="1" t="shared" si="131"/>
        <v>43068.625</v>
      </c>
      <c r="CE88">
        <f ca="1" t="shared" si="132"/>
        <v>408646.716347479</v>
      </c>
      <c r="CF88">
        <f ca="1" t="shared" si="133"/>
        <v>2.2750297521</v>
      </c>
      <c r="CG88">
        <f ca="1" t="shared" si="134"/>
        <v>0.9343</v>
      </c>
      <c r="CH88">
        <f ca="1" t="shared" si="147"/>
        <v>383601.563493998</v>
      </c>
      <c r="CJ88">
        <f ca="1" t="shared" si="135"/>
        <v>40962.25</v>
      </c>
      <c r="CK88">
        <f ca="1" t="shared" si="136"/>
        <v>398884.135254178</v>
      </c>
      <c r="CL88">
        <f ca="1" t="shared" si="148"/>
        <v>2.2976860021</v>
      </c>
      <c r="CM88">
        <f ca="1">IF(G88="恒定伤害",0,(IF(D88="轻剑",$CM$8,$CM$9)+IFERROR(INDEX(技能数据库!$T$2:$W$27,MATCH(E88,技能数据库!$T$2:$T$27,0),4),0)+COUNTIF(G88,"*造化2*")*154+COUNTIF(G88,"*造化1*")*102+COUNTIF(G88,"*碧归*")*307)/1024)</f>
        <v>0.176868146929785</v>
      </c>
      <c r="CN88">
        <f ca="1" t="shared" si="149"/>
        <v>408313.8946901</v>
      </c>
      <c r="CO88">
        <f ca="1" t="shared" si="150"/>
        <v>2.3262602208</v>
      </c>
      <c r="CP88">
        <f ca="1" t="shared" si="151"/>
        <v>413240.930511889</v>
      </c>
      <c r="CQ88">
        <f ca="1" t="shared" si="137"/>
        <v>2.77157885480339</v>
      </c>
      <c r="CR88">
        <f ca="1">IF(G88="恒定伤害",0,(IF(D88="轻剑",$CR$8,$CR$9)+IFERROR(INDEX(技能数据库!$T$2:$W$27,MATCH(E88,技能数据库!$T$2:$T$27,0),4),0)+COUNTIF(G88,"*造化2*")*154+COUNTIF(G88,"*造化1*")*102+COUNTIF(G88,"*碧归*")*307)/1024)</f>
        <v>0.167102521929785</v>
      </c>
      <c r="CS88">
        <f ca="1" t="shared" si="152"/>
        <v>386289.583377207</v>
      </c>
    </row>
    <row r="89" spans="4:97">
      <c r="D89" t="s">
        <v>1028</v>
      </c>
      <c r="E89" t="s">
        <v>2915</v>
      </c>
      <c r="G89" t="s">
        <v>3014</v>
      </c>
      <c r="H89">
        <f ca="1">INDEX(技能数据库!$B$2:$I$100,MATCH(无穷阵眼收益计算!$E89,技能数据库!$B$2:$B$100,0),MATCH(H$9,技能数据库!$B$2:$I$2,0))</f>
        <v>115.5</v>
      </c>
      <c r="I89">
        <f ca="1">INDEX(技能数据库!$B$2:$I$100,MATCH(无穷阵眼收益计算!$E89,技能数据库!$B$2:$B$100,0),MATCH(I$9,技能数据库!$B$2:$I$2,0))</f>
        <v>0.49375</v>
      </c>
      <c r="J89">
        <f ca="1">INDEX(技能数据库!$B$2:$I$100,MATCH(无穷阵眼收益计算!$E89,技能数据库!$B$2:$B$100,0),MATCH(J$9,技能数据库!$B$2:$I$2,0))</f>
        <v>1</v>
      </c>
      <c r="K89">
        <f ca="1">INDEX(技能数据库!$B$2:$I$100,MATCH(无穷阵眼收益计算!$E89,技能数据库!$B$2:$B$100,0),MATCH(K$9,技能数据库!$B$2:$I$2,0))</f>
        <v>0</v>
      </c>
      <c r="L89">
        <f ca="1" t="shared" si="97"/>
        <v>105847</v>
      </c>
      <c r="M89">
        <f ca="1" t="shared" si="154"/>
        <v>12694.5</v>
      </c>
      <c r="N89">
        <f ca="1" t="shared" si="155"/>
        <v>92028</v>
      </c>
      <c r="O89">
        <f ca="1" t="shared" si="138"/>
        <v>65071.95625</v>
      </c>
      <c r="P89">
        <f ca="1">IF(G89="恒定伤害",0,(IF(D89="轻剑",$AZ$2,$AZ$3)+IFERROR(INDEX(技能数据库!$T$2:$W$27,MATCH(E89,技能数据库!$T$2:$T$27,0),4),0)+COUNTIF(G89,"*造化2*")*154+COUNTIF(G89,"*造化1*")*102+COUNTIF(G89,"*碧归*")*307)/1024)</f>
        <v>0.0167118969297852</v>
      </c>
      <c r="Q89">
        <f ca="1" t="shared" si="98"/>
        <v>0.448284482196154</v>
      </c>
      <c r="R89">
        <f ca="1" t="shared" si="139"/>
        <v>0.21277697966198</v>
      </c>
      <c r="S89">
        <f ca="1" t="shared" si="156"/>
        <v>75429.8825274908</v>
      </c>
      <c r="T89">
        <f t="shared" si="157"/>
        <v>0.8</v>
      </c>
      <c r="U89">
        <f ca="1" t="shared" si="99"/>
        <v>1.7800129648</v>
      </c>
      <c r="V89">
        <f ca="1" t="shared" si="158"/>
        <v>167756.841087812</v>
      </c>
      <c r="W89">
        <f ca="1">IF(G89="恒定伤害",0,MIN(1,IF(COUNTIF(F89,"*内会*")&gt;0,内会2,IF(D89="轻剑",$Y$2,$Y$3)+COUNTIF(G89,"*莺鸣*")*0.2+COUNTIF(G89,"*叠1*")*0.1+COUNTIF(G89,"*叠2*")*0.2+COUNTIF(G89,"*叠3*")*0.3)+IFERROR(INDEX(技能数据库!$T$2:$W$27,MATCH(E89,技能数据库!$T$2:$T$27,0),2),0)+IF((IF(D89="轻剑",$AO$2,$AO$3)+INT(COUNTIF(G89,"*大莺鸣*")*IF(D89="轻剑",$AM$2,$AM$3)*听晓无双率)/无双系数)&gt;0.9,特效裤子会心/会心系数,0)))</f>
        <v>0.9043</v>
      </c>
      <c r="X89">
        <f ca="1">IF(G89="恒定伤害",0,IF(COUNTIF(F89,"*内会*")&gt;0,内会效2,IF(D89="轻剑",$AB$2,$AB$3))+IFERROR(INDEX(技能数据库!$T$2:$W$27,MATCH(E89,技能数据库!$T$2:$T$27,0),3)/1024,0))+COUNTIF(G89,"*叠1*")*0.25+COUNTIF(G89,"*叠2*")*0.5+COUNTIF(G89,"*叠3*")*0.75</f>
        <v>2.1773735021</v>
      </c>
      <c r="Y89">
        <f ca="1" t="shared" si="159"/>
        <v>2.06469885794903</v>
      </c>
      <c r="Z89">
        <f t="shared" si="100"/>
        <v>0.150390625</v>
      </c>
      <c r="AA89">
        <f ca="1" t="shared" si="160"/>
        <v>0.0205078125</v>
      </c>
      <c r="AB89">
        <f ca="1" t="shared" si="161"/>
        <v>406629.258753372</v>
      </c>
      <c r="AC89">
        <f ca="1">无穷技能数计算!$AJ81</f>
        <v>0</v>
      </c>
      <c r="AD89" s="164">
        <f ca="1" t="shared" si="153"/>
        <v>0</v>
      </c>
      <c r="AE89" s="168"/>
      <c r="AF89" s="168">
        <f ca="1" t="shared" si="101"/>
        <v>0.9057</v>
      </c>
      <c r="AG89">
        <f ca="1">无穷技能数计算!$AJ81</f>
        <v>0</v>
      </c>
      <c r="AH89">
        <f ca="1" t="shared" si="102"/>
        <v>109879</v>
      </c>
      <c r="AJ89">
        <f ca="1" t="shared" si="103"/>
        <v>2.3765922521</v>
      </c>
      <c r="AK89">
        <f ca="1" t="shared" si="140"/>
        <v>67301.25625</v>
      </c>
      <c r="AL89">
        <f ca="1" t="shared" si="104"/>
        <v>457773.986820023</v>
      </c>
      <c r="AM89" s="169">
        <f ca="1" t="shared" si="105"/>
        <v>0.9272</v>
      </c>
      <c r="AN89">
        <f ca="1">无穷技能数计算!$AJ81</f>
        <v>0</v>
      </c>
      <c r="AO89" s="170">
        <f ca="1" t="shared" si="106"/>
        <v>463804.224337823</v>
      </c>
      <c r="AP89">
        <f ca="1" t="shared" si="107"/>
        <v>110956</v>
      </c>
      <c r="AQ89" s="170">
        <f ca="1" t="shared" si="141"/>
        <v>67594.525</v>
      </c>
      <c r="AR89">
        <f ca="1" t="shared" si="108"/>
        <v>447173.309664873</v>
      </c>
      <c r="AS89">
        <f ca="1" t="shared" si="109"/>
        <v>0.9843</v>
      </c>
      <c r="AT89">
        <f ca="1">无穷技能数计算!$AJ81</f>
        <v>0</v>
      </c>
      <c r="AU89">
        <f ca="1" t="shared" si="110"/>
        <v>2.3238578771</v>
      </c>
      <c r="AV89">
        <f ca="1" t="shared" si="111"/>
        <v>1.7995442148</v>
      </c>
      <c r="AW89">
        <f ca="1" t="shared" si="142"/>
        <v>456762.224107781</v>
      </c>
      <c r="AX89">
        <f ca="1" t="shared" si="112"/>
        <v>0.9743</v>
      </c>
      <c r="AY89">
        <f ca="1">无穷技能数计算!$AJ81</f>
        <v>0</v>
      </c>
      <c r="AZ89" s="170">
        <f ca="1" t="shared" si="143"/>
        <v>454136.653023554</v>
      </c>
      <c r="BA89">
        <f ca="1" t="shared" si="113"/>
        <v>0.9643</v>
      </c>
      <c r="BB89">
        <f ca="1">无穷技能数计算!$AJ81</f>
        <v>0</v>
      </c>
      <c r="BC89" s="170">
        <f ca="1" t="shared" si="144"/>
        <v>451511.081939327</v>
      </c>
      <c r="BE89">
        <f ca="1" t="shared" si="114"/>
        <v>105849</v>
      </c>
      <c r="BF89">
        <f ca="1" t="shared" si="115"/>
        <v>65072.94375</v>
      </c>
      <c r="BI89">
        <f ca="1" t="shared" si="116"/>
        <v>0.9543</v>
      </c>
      <c r="BJ89">
        <f ca="1">无穷技能数计算!$AJ81</f>
        <v>0</v>
      </c>
      <c r="BK89">
        <f ca="1" t="shared" si="117"/>
        <v>446374.659266284</v>
      </c>
      <c r="BM89">
        <f ca="1" t="shared" si="118"/>
        <v>109230</v>
      </c>
      <c r="BN89">
        <f ca="1" t="shared" si="119"/>
        <v>66742.3125</v>
      </c>
      <c r="BO89">
        <f ca="1" t="shared" si="120"/>
        <v>450426.087978289</v>
      </c>
      <c r="BP89">
        <f ca="1" t="shared" si="121"/>
        <v>429545.384770822</v>
      </c>
      <c r="BR89">
        <f ca="1" t="shared" si="122"/>
        <v>0.9543</v>
      </c>
      <c r="BS89">
        <f ca="1" t="shared" si="123"/>
        <v>444896.435382542</v>
      </c>
      <c r="BT89">
        <f ca="1" t="shared" si="124"/>
        <v>0.196995876306796</v>
      </c>
      <c r="BU89">
        <f ca="1" t="shared" si="125"/>
        <v>2.3238578771</v>
      </c>
      <c r="BV89">
        <f ca="1" t="shared" si="145"/>
        <v>454689.649276869</v>
      </c>
      <c r="BW89">
        <f ca="1" t="shared" si="126"/>
        <v>113027</v>
      </c>
      <c r="BX89">
        <f ca="1" t="shared" si="127"/>
        <v>68617.08125</v>
      </c>
      <c r="BY89">
        <f ca="1" t="shared" si="128"/>
        <v>0.9343</v>
      </c>
      <c r="BZ89">
        <f ca="1">无穷技能数计算!$AJ81</f>
        <v>0</v>
      </c>
      <c r="CA89">
        <f ca="1" t="shared" si="129"/>
        <v>2.3277641271</v>
      </c>
      <c r="CB89">
        <f ca="1" t="shared" si="146"/>
        <v>465297.857511824</v>
      </c>
      <c r="CC89">
        <f ca="1" t="shared" si="130"/>
        <v>114847</v>
      </c>
      <c r="CD89">
        <f ca="1" t="shared" si="131"/>
        <v>69515.70625</v>
      </c>
      <c r="CE89">
        <f ca="1" t="shared" si="132"/>
        <v>455048.275376946</v>
      </c>
      <c r="CF89">
        <f ca="1" t="shared" si="133"/>
        <v>2.2750297521</v>
      </c>
      <c r="CG89">
        <f ca="1" t="shared" si="134"/>
        <v>0.9343</v>
      </c>
      <c r="CH89">
        <f ca="1" t="shared" si="147"/>
        <v>434586.655739622</v>
      </c>
      <c r="CJ89">
        <f ca="1" t="shared" si="135"/>
        <v>66742.3125</v>
      </c>
      <c r="CK89">
        <f ca="1" t="shared" si="136"/>
        <v>448385.682348702</v>
      </c>
      <c r="CL89">
        <f ca="1" t="shared" si="148"/>
        <v>2.2976860021</v>
      </c>
      <c r="CM89">
        <f ca="1">IF(G89="恒定伤害",0,(IF(D89="轻剑",$CM$8,$CM$9)+IFERROR(INDEX(技能数据库!$T$2:$W$27,MATCH(E89,技能数据库!$T$2:$T$27,0),4),0)+COUNTIF(G89,"*造化2*")*154+COUNTIF(G89,"*造化1*")*102+COUNTIF(G89,"*碧归*")*307)/1024)</f>
        <v>0.0772587719297852</v>
      </c>
      <c r="CN89">
        <f ca="1" t="shared" si="149"/>
        <v>464915.154767636</v>
      </c>
      <c r="CO89">
        <f ca="1" t="shared" si="150"/>
        <v>2.3262602208</v>
      </c>
      <c r="CP89">
        <f ca="1" t="shared" si="151"/>
        <v>470525.185803616</v>
      </c>
      <c r="CQ89">
        <f ca="1" t="shared" si="137"/>
        <v>1.8815754648</v>
      </c>
      <c r="CR89">
        <f ca="1">IF(G89="恒定伤害",0,(IF(D89="轻剑",$CR$8,$CR$9)+IFERROR(INDEX(技能数据库!$T$2:$W$27,MATCH(E89,技能数据库!$T$2:$T$27,0),4),0)+COUNTIF(G89,"*造化2*")*154+COUNTIF(G89,"*造化1*")*102+COUNTIF(G89,"*碧归*")*307)/1024)</f>
        <v>0.0674931469297852</v>
      </c>
      <c r="CS89">
        <f ca="1" t="shared" si="152"/>
        <v>442536.392697929</v>
      </c>
    </row>
    <row r="90" spans="4:97">
      <c r="D90" t="s">
        <v>1825</v>
      </c>
      <c r="E90" t="s">
        <v>2917</v>
      </c>
      <c r="G90" t="s">
        <v>3098</v>
      </c>
      <c r="H90">
        <f ca="1">INDEX(技能数据库!$B$2:$I$100,MATCH(无穷阵眼收益计算!$E90,技能数据库!$B$2:$B$100,0),MATCH(H$9,技能数据库!$B$2:$I$2,0))</f>
        <v>898344</v>
      </c>
      <c r="I90">
        <f ca="1">INDEX(技能数据库!$B$2:$I$100,MATCH(无穷阵眼收益计算!$E90,技能数据库!$B$2:$B$100,0),MATCH(I$9,技能数据库!$B$2:$I$2,0))</f>
        <v>0</v>
      </c>
      <c r="J90">
        <f ca="1">INDEX(技能数据库!$B$2:$I$100,MATCH(无穷阵眼收益计算!$E90,技能数据库!$B$2:$B$100,0),MATCH(J$9,技能数据库!$B$2:$I$2,0))</f>
        <v>0</v>
      </c>
      <c r="K90">
        <f ca="1">INDEX(技能数据库!$B$2:$I$100,MATCH(无穷阵眼收益计算!$E90,技能数据库!$B$2:$B$100,0),MATCH(K$9,技能数据库!$B$2:$I$2,0))</f>
        <v>0</v>
      </c>
      <c r="L90">
        <f ca="1" t="shared" si="97"/>
        <v>91975</v>
      </c>
      <c r="M90">
        <f ca="1" t="shared" si="154"/>
        <v>19530.5</v>
      </c>
      <c r="N90">
        <f ca="1" t="shared" si="155"/>
        <v>92028</v>
      </c>
      <c r="O90">
        <f ca="1" t="shared" si="138"/>
        <v>898344</v>
      </c>
      <c r="P90">
        <f ca="1">IF(G90="恒定伤害",0,(IF(D90="轻剑",$AZ$2,$AZ$3)+IFERROR(INDEX(技能数据库!$T$2:$W$27,MATCH(E90,技能数据库!$T$2:$T$27,0),4),0)+COUNTIF(G90,"*造化2*")*154+COUNTIF(G90,"*造化1*")*102+COUNTIF(G90,"*碧归*")*307)/1024)</f>
        <v>0</v>
      </c>
      <c r="Q90">
        <f ca="1" t="shared" si="98"/>
        <v>0</v>
      </c>
      <c r="R90">
        <f ca="1" t="shared" si="139"/>
        <v>0</v>
      </c>
      <c r="S90">
        <f ca="1" t="shared" si="156"/>
        <v>898344</v>
      </c>
      <c r="T90">
        <f t="shared" si="157"/>
        <v>0.8</v>
      </c>
      <c r="U90">
        <f ca="1" t="shared" si="99"/>
        <v>0</v>
      </c>
      <c r="V90">
        <f ca="1" t="shared" si="158"/>
        <v>718675.2</v>
      </c>
      <c r="W90">
        <f ca="1">IF(G90="恒定伤害",0,MIN(1,IF(COUNTIF(F90,"*内会*")&gt;0,内会2,IF(D90="轻剑",$Y$2,$Y$3)+COUNTIF(G90,"*莺鸣*")*0.2+COUNTIF(G90,"*叠1*")*0.1+COUNTIF(G90,"*叠2*")*0.2+COUNTIF(G90,"*叠3*")*0.3)+IFERROR(INDEX(技能数据库!$T$2:$W$27,MATCH(E90,技能数据库!$T$2:$T$27,0),2),0)+IF((IF(D90="轻剑",$AO$2,$AO$3)+INT(COUNTIF(G90,"*大莺鸣*")*IF(D90="轻剑",$AM$2,$AM$3)*听晓无双率)/无双系数)&gt;0.9,特效裤子会心/会心系数,0)))</f>
        <v>0</v>
      </c>
      <c r="X90">
        <f ca="1">IF(G90="恒定伤害",0,IF(COUNTIF(F90,"*内会*")&gt;0,内会效2,IF(D90="轻剑",$AB$2,$AB$3))+IFERROR(INDEX(技能数据库!$T$2:$W$27,MATCH(E90,技能数据库!$T$2:$T$27,0),3)/1024,0))+COUNTIF(G90,"*叠1*")*0.25+COUNTIF(G90,"*叠2*")*0.5+COUNTIF(G90,"*叠3*")*0.75</f>
        <v>0</v>
      </c>
      <c r="Y90">
        <f ca="1" t="shared" si="159"/>
        <v>1</v>
      </c>
      <c r="Z90">
        <f t="shared" si="100"/>
        <v>0</v>
      </c>
      <c r="AA90">
        <f ca="1" t="shared" si="160"/>
        <v>0.0205078125</v>
      </c>
      <c r="AB90">
        <f ca="1" t="shared" si="161"/>
        <v>733413.65625</v>
      </c>
      <c r="AC90" s="171">
        <f ca="1">无穷技能数计算!$AJ82</f>
        <v>18.8674245939675</v>
      </c>
      <c r="AD90" s="164">
        <f ca="1" t="shared" si="153"/>
        <v>0.00542311517325145</v>
      </c>
      <c r="AE90" s="168"/>
      <c r="AF90" s="168">
        <f ca="1" t="shared" si="101"/>
        <v>0.00139999999999996</v>
      </c>
      <c r="AG90" s="171">
        <f ca="1">无穷技能数计算!$AJ82</f>
        <v>18.8674245939675</v>
      </c>
      <c r="AH90">
        <f ca="1" t="shared" si="102"/>
        <v>96007</v>
      </c>
      <c r="AJ90">
        <f ca="1" t="shared" si="103"/>
        <v>0.19921875</v>
      </c>
      <c r="AK90">
        <f ca="1" t="shared" si="140"/>
        <v>898344</v>
      </c>
      <c r="AL90">
        <f ca="1" t="shared" si="104"/>
        <v>733413.65625</v>
      </c>
      <c r="AM90" s="169">
        <f ca="1" t="shared" si="105"/>
        <v>0.0228999999999999</v>
      </c>
      <c r="AN90" s="171">
        <f ca="1">无穷技能数计算!$AJ82</f>
        <v>18.8674245939675</v>
      </c>
      <c r="AO90" s="170">
        <f ca="1" t="shared" si="106"/>
        <v>733413.65625</v>
      </c>
      <c r="AP90">
        <f ca="1" t="shared" si="107"/>
        <v>97084</v>
      </c>
      <c r="AQ90" s="170">
        <f ca="1" t="shared" si="141"/>
        <v>898344</v>
      </c>
      <c r="AR90">
        <f ca="1" t="shared" si="108"/>
        <v>733413.65625</v>
      </c>
      <c r="AS90">
        <f ca="1" t="shared" si="109"/>
        <v>0.08</v>
      </c>
      <c r="AT90" s="171">
        <f ca="1">无穷技能数计算!$AJ82</f>
        <v>18.8674245939675</v>
      </c>
      <c r="AU90">
        <f ca="1" t="shared" si="110"/>
        <v>0.146484375</v>
      </c>
      <c r="AV90">
        <f ca="1" t="shared" si="111"/>
        <v>0</v>
      </c>
      <c r="AW90">
        <f ca="1" t="shared" si="142"/>
        <v>733413.65625</v>
      </c>
      <c r="AX90">
        <f ca="1" t="shared" si="112"/>
        <v>0.07</v>
      </c>
      <c r="AY90" s="171">
        <f ca="1">无穷技能数计算!$AJ82</f>
        <v>18.8674245939675</v>
      </c>
      <c r="AZ90" s="170">
        <f ca="1" t="shared" si="143"/>
        <v>733413.65625</v>
      </c>
      <c r="BA90">
        <f ca="1" t="shared" si="113"/>
        <v>0.0599999999999999</v>
      </c>
      <c r="BB90" s="171">
        <f ca="1">无穷技能数计算!$AJ82</f>
        <v>18.8674245939675</v>
      </c>
      <c r="BC90" s="170">
        <f ca="1" t="shared" si="144"/>
        <v>733413.65625</v>
      </c>
      <c r="BE90">
        <f ca="1" t="shared" si="114"/>
        <v>91977</v>
      </c>
      <c r="BF90">
        <f ca="1" t="shared" si="115"/>
        <v>898344</v>
      </c>
      <c r="BI90">
        <f ca="1" t="shared" si="116"/>
        <v>0.05</v>
      </c>
      <c r="BJ90" s="171">
        <f ca="1">无穷技能数计算!$AJ82</f>
        <v>18.8674245939675</v>
      </c>
      <c r="BK90">
        <f ca="1" t="shared" si="117"/>
        <v>733413.65625</v>
      </c>
      <c r="BM90">
        <f ca="1" t="shared" si="118"/>
        <v>95358</v>
      </c>
      <c r="BN90">
        <f ca="1" t="shared" si="119"/>
        <v>898344</v>
      </c>
      <c r="BO90">
        <f ca="1" t="shared" si="120"/>
        <v>733413.65625</v>
      </c>
      <c r="BP90">
        <f ca="1" t="shared" si="121"/>
        <v>733413.65625</v>
      </c>
      <c r="BR90">
        <f ca="1" t="shared" si="122"/>
        <v>0.05</v>
      </c>
      <c r="BS90">
        <f ca="1" t="shared" si="123"/>
        <v>733413.65625</v>
      </c>
      <c r="BT90">
        <f ca="1" t="shared" si="124"/>
        <v>0</v>
      </c>
      <c r="BU90">
        <f ca="1" t="shared" si="125"/>
        <v>0.146484375</v>
      </c>
      <c r="BV90">
        <f ca="1" t="shared" si="145"/>
        <v>733413.65625</v>
      </c>
      <c r="BW90">
        <f ca="1" t="shared" si="126"/>
        <v>99155</v>
      </c>
      <c r="BX90">
        <f ca="1" t="shared" si="127"/>
        <v>898344</v>
      </c>
      <c r="BY90">
        <f ca="1" t="shared" si="128"/>
        <v>0.03</v>
      </c>
      <c r="BZ90" s="171">
        <f ca="1">无穷技能数计算!$AJ82</f>
        <v>18.8674245939675</v>
      </c>
      <c r="CA90">
        <f ca="1" t="shared" si="129"/>
        <v>0.150390625</v>
      </c>
      <c r="CB90">
        <f ca="1" t="shared" si="146"/>
        <v>733413.65625</v>
      </c>
      <c r="CC90">
        <f ca="1" t="shared" si="130"/>
        <v>100975</v>
      </c>
      <c r="CD90">
        <f ca="1" t="shared" si="131"/>
        <v>898344</v>
      </c>
      <c r="CE90">
        <f ca="1" t="shared" si="132"/>
        <v>733413.65625</v>
      </c>
      <c r="CF90">
        <f ca="1" t="shared" si="133"/>
        <v>0.09765625</v>
      </c>
      <c r="CG90">
        <f ca="1" t="shared" si="134"/>
        <v>0.03</v>
      </c>
      <c r="CH90">
        <f ca="1" t="shared" si="147"/>
        <v>733413.65625</v>
      </c>
      <c r="CJ90">
        <f ca="1" t="shared" si="135"/>
        <v>898344</v>
      </c>
      <c r="CK90">
        <f ca="1" t="shared" si="136"/>
        <v>733413.65625</v>
      </c>
      <c r="CL90">
        <f ca="1" t="shared" si="148"/>
        <v>0.1203125</v>
      </c>
      <c r="CM90">
        <f ca="1">IF(G90="恒定伤害",0,(IF(D90="轻剑",$CM$8,$CM$9)+IFERROR(INDEX(技能数据库!$T$2:$W$27,MATCH(E90,技能数据库!$T$2:$T$27,0),4),0)+COUNTIF(G90,"*造化2*")*154+COUNTIF(G90,"*造化1*")*102+COUNTIF(G90,"*碧归*")*307)/1024)</f>
        <v>0</v>
      </c>
      <c r="CN90">
        <f ca="1" t="shared" si="149"/>
        <v>733413.65625</v>
      </c>
      <c r="CO90">
        <f ca="1" t="shared" si="150"/>
        <v>0.1488867187</v>
      </c>
      <c r="CP90">
        <f ca="1" t="shared" si="151"/>
        <v>733413.65625</v>
      </c>
      <c r="CQ90">
        <f ca="1" t="shared" si="137"/>
        <v>0</v>
      </c>
      <c r="CR90">
        <f ca="1">IF(G90="恒定伤害",0,(IF(D90="轻剑",$CR$8,$CR$9)+IFERROR(INDEX(技能数据库!$T$2:$W$27,MATCH(E90,技能数据库!$T$2:$T$27,0),4),0)+COUNTIF(G90,"*造化2*")*154+COUNTIF(G90,"*造化1*")*102+COUNTIF(G90,"*碧归*")*307)/1024)</f>
        <v>0</v>
      </c>
      <c r="CS90">
        <f ca="1" t="shared" si="152"/>
        <v>733413.65625</v>
      </c>
    </row>
    <row r="91" spans="4:97">
      <c r="D91" t="s">
        <v>1028</v>
      </c>
      <c r="E91" t="s">
        <v>2773</v>
      </c>
      <c r="H91">
        <f ca="1">INDEX(技能数据库!$B$2:$I$100,MATCH(无穷阵眼收益计算!$E91,技能数据库!$B$2:$B$100,0),MATCH(H$9,技能数据库!$B$2:$I$2,0))</f>
        <v>138.5</v>
      </c>
      <c r="I91">
        <f ca="1">INDEX(技能数据库!$B$2:$I$100,MATCH(无穷阵眼收益计算!$E91,技能数据库!$B$2:$B$100,0),MATCH(I$9,技能数据库!$B$2:$I$2,0))</f>
        <v>2.01875</v>
      </c>
      <c r="J91">
        <f ca="1">INDEX(技能数据库!$B$2:$I$100,MATCH(无穷阵眼收益计算!$E91,技能数据库!$B$2:$B$100,0),MATCH(J$9,技能数据库!$B$2:$I$2,0))</f>
        <v>0</v>
      </c>
      <c r="K91">
        <f ca="1">INDEX(技能数据库!$B$2:$I$100,MATCH(无穷阵眼收益计算!$E91,技能数据库!$B$2:$B$100,0),MATCH(K$9,技能数据库!$B$2:$I$2,0))</f>
        <v>0</v>
      </c>
      <c r="L91">
        <f ca="1" t="shared" si="97"/>
        <v>91975</v>
      </c>
      <c r="M91">
        <f ca="1" t="shared" si="154"/>
        <v>12694.5</v>
      </c>
      <c r="N91">
        <f ca="1" t="shared" si="155"/>
        <v>92028</v>
      </c>
      <c r="O91">
        <f ca="1" t="shared" si="138"/>
        <v>185813.03125</v>
      </c>
      <c r="P91">
        <f ca="1">IF(G91="恒定伤害",0,(IF(D91="轻剑",$AZ$2,$AZ$3)+IFERROR(INDEX(技能数据库!$T$2:$W$27,MATCH(E91,技能数据库!$T$2:$T$27,0),4),0)+COUNTIF(G91,"*造化2*")*154+COUNTIF(G91,"*造化1*")*102+COUNTIF(G91,"*碧归*")*307)/1024)</f>
        <v>0.186633771929785</v>
      </c>
      <c r="Q91">
        <f ca="1" t="shared" si="98"/>
        <v>0.448284482196154</v>
      </c>
      <c r="R91">
        <f ca="1" t="shared" si="139"/>
        <v>0.32958230397716</v>
      </c>
      <c r="S91">
        <f ca="1" t="shared" si="156"/>
        <v>214087.947810068</v>
      </c>
      <c r="T91">
        <f t="shared" si="157"/>
        <v>0.8</v>
      </c>
      <c r="U91">
        <f ca="1" t="shared" si="99"/>
        <v>1.7800129648</v>
      </c>
      <c r="V91">
        <f ca="1" t="shared" si="158"/>
        <v>476133.816415531</v>
      </c>
      <c r="W91">
        <f ca="1">IF(G91="恒定伤害",0,MIN(1,IF(COUNTIF(F91,"*内会*")&gt;0,内会2,IF(D91="轻剑",$Y$2,$Y$3)+COUNTIF(G91,"*莺鸣*")*0.2+COUNTIF(G91,"*叠1*")*0.1+COUNTIF(G91,"*叠2*")*0.2+COUNTIF(G91,"*叠3*")*0.3)+IFERROR(INDEX(技能数据库!$T$2:$W$27,MATCH(E91,技能数据库!$T$2:$T$27,0),2),0)+IF((IF(D91="轻剑",$AO$2,$AO$3)+INT(COUNTIF(G91,"*大莺鸣*")*IF(D91="轻剑",$AM$2,$AM$3)*听晓无双率)/无双系数)&gt;0.9,特效裤子会心/会心系数,0)))</f>
        <v>0.7043</v>
      </c>
      <c r="X91">
        <f ca="1">IF(G91="恒定伤害",0,IF(COUNTIF(F91,"*内会*")&gt;0,内会效2,IF(D91="轻剑",$AB$2,$AB$3))+IFERROR(INDEX(技能数据库!$T$2:$W$27,MATCH(E91,技能数据库!$T$2:$T$27,0),3)/1024,0))+COUNTIF(G91,"*叠1*")*0.25+COUNTIF(G91,"*叠2*")*0.5+COUNTIF(G91,"*叠3*")*0.75</f>
        <v>2.1773735021</v>
      </c>
      <c r="Y91">
        <f ca="1" t="shared" si="159"/>
        <v>1.82922415752903</v>
      </c>
      <c r="Z91">
        <f t="shared" si="100"/>
        <v>0.150390625</v>
      </c>
      <c r="AA91">
        <f ca="1" t="shared" si="160"/>
        <v>0.0205078125</v>
      </c>
      <c r="AB91">
        <f ca="1" t="shared" si="161"/>
        <v>1022486.59558739</v>
      </c>
      <c r="AC91">
        <f ca="1">无穷技能数计算!$AJ83</f>
        <v>0</v>
      </c>
      <c r="AD91" s="164">
        <f ca="1" t="shared" si="153"/>
        <v>0</v>
      </c>
      <c r="AE91" s="168"/>
      <c r="AF91" s="168">
        <f ca="1" t="shared" si="101"/>
        <v>0.7057</v>
      </c>
      <c r="AG91">
        <f ca="1">无穷技能数计算!$AJ83</f>
        <v>0</v>
      </c>
      <c r="AH91">
        <f ca="1" t="shared" si="102"/>
        <v>96007</v>
      </c>
      <c r="AJ91">
        <f ca="1" t="shared" si="103"/>
        <v>2.3765922521</v>
      </c>
      <c r="AK91">
        <f ca="1" t="shared" si="140"/>
        <v>193952.63125</v>
      </c>
      <c r="AL91">
        <f ca="1" t="shared" si="104"/>
        <v>1150582.72420605</v>
      </c>
      <c r="AM91" s="169">
        <f ca="1" t="shared" si="105"/>
        <v>0.7272</v>
      </c>
      <c r="AN91">
        <f ca="1">无穷技能数计算!$AJ83</f>
        <v>0</v>
      </c>
      <c r="AO91" s="170">
        <f ca="1" t="shared" si="106"/>
        <v>1167855.94824412</v>
      </c>
      <c r="AP91">
        <f ca="1" t="shared" si="107"/>
        <v>97084</v>
      </c>
      <c r="AQ91" s="170">
        <f ca="1" t="shared" si="141"/>
        <v>196126.825</v>
      </c>
      <c r="AR91">
        <f ca="1" t="shared" si="108"/>
        <v>1142557.44516366</v>
      </c>
      <c r="AS91">
        <f ca="1" t="shared" si="109"/>
        <v>0.7843</v>
      </c>
      <c r="AT91">
        <f ca="1">无穷技能数计算!$AJ83</f>
        <v>0</v>
      </c>
      <c r="AU91">
        <f ca="1" t="shared" si="110"/>
        <v>2.3238578771</v>
      </c>
      <c r="AV91">
        <f ca="1" t="shared" si="111"/>
        <v>1.7995442148</v>
      </c>
      <c r="AW91">
        <f ca="1" t="shared" si="142"/>
        <v>1147359.92939963</v>
      </c>
      <c r="AX91">
        <f ca="1" t="shared" si="112"/>
        <v>0.7743</v>
      </c>
      <c r="AY91">
        <f ca="1">无穷技能数计算!$AJ83</f>
        <v>0</v>
      </c>
      <c r="AZ91" s="170">
        <f ca="1" t="shared" si="143"/>
        <v>1139907.93416356</v>
      </c>
      <c r="BA91">
        <f ca="1" t="shared" si="113"/>
        <v>0.7643</v>
      </c>
      <c r="BB91">
        <f ca="1">无穷技能数计算!$AJ83</f>
        <v>0</v>
      </c>
      <c r="BC91" s="170">
        <f ca="1" t="shared" si="144"/>
        <v>1132455.9389275</v>
      </c>
      <c r="BE91">
        <f ca="1" t="shared" si="114"/>
        <v>91977</v>
      </c>
      <c r="BF91">
        <f ca="1" t="shared" si="115"/>
        <v>185817.06875</v>
      </c>
      <c r="BI91">
        <f ca="1" t="shared" si="116"/>
        <v>0.7543</v>
      </c>
      <c r="BJ91">
        <f ca="1">无穷技能数计算!$AJ83</f>
        <v>0</v>
      </c>
      <c r="BK91">
        <f ca="1" t="shared" si="117"/>
        <v>1126440.95543499</v>
      </c>
      <c r="BM91">
        <f ca="1" t="shared" si="118"/>
        <v>95358</v>
      </c>
      <c r="BN91">
        <f ca="1" t="shared" si="119"/>
        <v>192642.4625</v>
      </c>
      <c r="BO91">
        <f ca="1" t="shared" si="120"/>
        <v>1144856.35849957</v>
      </c>
      <c r="BP91">
        <f ca="1" t="shared" si="121"/>
        <v>1091783.4871117</v>
      </c>
      <c r="BR91">
        <f ca="1" t="shared" si="122"/>
        <v>0.7543</v>
      </c>
      <c r="BS91">
        <f ca="1" t="shared" si="123"/>
        <v>1134836.89415966</v>
      </c>
      <c r="BT91">
        <f ca="1" t="shared" si="124"/>
        <v>0.318170800459405</v>
      </c>
      <c r="BU91">
        <f ca="1" t="shared" si="125"/>
        <v>2.3238578771</v>
      </c>
      <c r="BV91">
        <f ca="1" t="shared" si="145"/>
        <v>1136170.90079762</v>
      </c>
      <c r="BW91">
        <f ca="1" t="shared" si="126"/>
        <v>99155</v>
      </c>
      <c r="BX91">
        <f ca="1" t="shared" si="127"/>
        <v>200307.65625</v>
      </c>
      <c r="BY91">
        <f ca="1" t="shared" si="128"/>
        <v>0.7343</v>
      </c>
      <c r="BZ91">
        <f ca="1">无穷技能数计算!$AJ83</f>
        <v>0</v>
      </c>
      <c r="CA91">
        <f ca="1" t="shared" si="129"/>
        <v>2.3277641271</v>
      </c>
      <c r="CB91">
        <f ca="1" t="shared" si="146"/>
        <v>1190074.53468346</v>
      </c>
      <c r="CC91">
        <f ca="1" t="shared" si="130"/>
        <v>100975</v>
      </c>
      <c r="CD91">
        <f ca="1" t="shared" si="131"/>
        <v>203981.78125</v>
      </c>
      <c r="CE91">
        <f ca="1" t="shared" si="132"/>
        <v>1178370.61999782</v>
      </c>
      <c r="CF91">
        <f ca="1" t="shared" si="133"/>
        <v>2.2750297521</v>
      </c>
      <c r="CG91">
        <f ca="1" t="shared" si="134"/>
        <v>0.7343</v>
      </c>
      <c r="CH91">
        <f ca="1" t="shared" si="147"/>
        <v>1089917.46160941</v>
      </c>
      <c r="CJ91">
        <f ca="1" t="shared" si="135"/>
        <v>192642.4625</v>
      </c>
      <c r="CK91">
        <f ca="1" t="shared" si="136"/>
        <v>1139670.2215921</v>
      </c>
      <c r="CL91">
        <f ca="1" t="shared" si="148"/>
        <v>2.2976860021</v>
      </c>
      <c r="CM91">
        <f ca="1">IF(G91="恒定伤害",0,(IF(D91="轻剑",$CM$8,$CM$9)+IFERROR(INDEX(技能数据库!$T$2:$W$27,MATCH(E91,技能数据库!$T$2:$T$27,0),4),0)+COUNTIF(G91,"*造化2*")*154+COUNTIF(G91,"*造化1*")*102+COUNTIF(G91,"*碧归*")*307)/1024)</f>
        <v>0.247180646929785</v>
      </c>
      <c r="CN91">
        <f ca="1" t="shared" si="149"/>
        <v>1155371.97752756</v>
      </c>
      <c r="CO91">
        <f ca="1" t="shared" si="150"/>
        <v>2.3262602208</v>
      </c>
      <c r="CP91">
        <f ca="1" t="shared" si="151"/>
        <v>1167785.40628438</v>
      </c>
      <c r="CQ91">
        <f ca="1" t="shared" si="137"/>
        <v>1.8815754648</v>
      </c>
      <c r="CR91">
        <f ca="1">IF(G91="恒定伤害",0,(IF(D91="轻剑",$CR$8,$CR$9)+IFERROR(INDEX(技能数据库!$T$2:$W$27,MATCH(E91,技能数据库!$T$2:$T$27,0),4),0)+COUNTIF(G91,"*造化2*")*154+COUNTIF(G91,"*造化1*")*102+COUNTIF(G91,"*碧归*")*307)/1024)</f>
        <v>0.237415021929785</v>
      </c>
      <c r="CS91">
        <f ca="1" t="shared" si="152"/>
        <v>1105196.4450607</v>
      </c>
    </row>
    <row r="92" spans="4:97">
      <c r="D92" t="s">
        <v>1825</v>
      </c>
      <c r="E92" t="s">
        <v>2808</v>
      </c>
      <c r="G92" t="s">
        <v>2750</v>
      </c>
      <c r="H92">
        <f ca="1">INDEX(技能数据库!$B$2:$I$100,MATCH(无穷阵眼收益计算!$E92,技能数据库!$B$2:$B$100,0),MATCH(H$9,技能数据库!$B$2:$I$2,0))</f>
        <v>535</v>
      </c>
      <c r="I92">
        <f ca="1">INDEX(技能数据库!$B$2:$I$100,MATCH(无穷阵眼收益计算!$E92,技能数据库!$B$2:$B$100,0),MATCH(I$9,技能数据库!$B$2:$I$2,0))</f>
        <v>7.06875</v>
      </c>
      <c r="J92">
        <f ca="1">INDEX(技能数据库!$B$2:$I$100,MATCH(无穷阵眼收益计算!$E92,技能数据库!$B$2:$B$100,0),MATCH(J$9,技能数据库!$B$2:$I$2,0))</f>
        <v>2</v>
      </c>
      <c r="K92">
        <f ca="1">INDEX(技能数据库!$B$2:$I$100,MATCH(无穷阵眼收益计算!$E92,技能数据库!$B$2:$B$100,0),MATCH(K$9,技能数据库!$B$2:$I$2,0))</f>
        <v>0</v>
      </c>
      <c r="L92">
        <f ca="1" t="shared" si="97"/>
        <v>105847</v>
      </c>
      <c r="M92">
        <f ca="1" t="shared" ref="M92:M114" si="162">IF(D92="轻剑",$AU$2+$AV$2,$AU$3+$AV$3)/2</f>
        <v>19530.5</v>
      </c>
      <c r="N92">
        <f ca="1" t="shared" ref="N92:N114" si="163">IF(D92="轻剑",$AJ$2,$AJ$3)</f>
        <v>92028</v>
      </c>
      <c r="O92">
        <f ca="1" t="shared" si="138"/>
        <v>787801.98125</v>
      </c>
      <c r="P92">
        <f ca="1">IF(G92="恒定伤害",0,(IF(D92="轻剑",$AZ$2,$AZ$3)+IFERROR(INDEX(技能数据库!$T$2:$W$27,MATCH(E92,技能数据库!$T$2:$T$27,0),4),0)+COUNTIF(G92,"*造化2*")*154+COUNTIF(G92,"*造化1*")*102+COUNTIF(G92,"*碧归*")*307)/1024)</f>
        <v>0.186633771929785</v>
      </c>
      <c r="Q92">
        <f ca="1" t="shared" si="98"/>
        <v>0.448284482196154</v>
      </c>
      <c r="R92">
        <f ca="1" t="shared" si="139"/>
        <v>0.21277697966198</v>
      </c>
      <c r="S92">
        <f ca="1" t="shared" ref="S92:S114" si="164">O92*(1+P92)*(1+Q92)*(1-R92)</f>
        <v>1065823.85396797</v>
      </c>
      <c r="T92">
        <f t="shared" ref="T92:T155" si="165">1-($F$6-130)*0.05</f>
        <v>0.8</v>
      </c>
      <c r="U92">
        <f ca="1" t="shared" si="99"/>
        <v>1.7800129648</v>
      </c>
      <c r="V92">
        <f ca="1" t="shared" ref="V92:V114" si="166">S92*T92*(1+U92)</f>
        <v>2370403.30577925</v>
      </c>
      <c r="W92">
        <f ca="1">IF(G92="恒定伤害",0,MIN(1,IF(COUNTIF(F92,"*内会*")&gt;0,内会2,IF(D92="轻剑",$Y$2,$Y$3)+COUNTIF(G92,"*莺鸣*")*0.2+COUNTIF(G92,"*叠1*")*0.1+COUNTIF(G92,"*叠2*")*0.2+COUNTIF(G92,"*叠3*")*0.3)+IFERROR(INDEX(技能数据库!$T$2:$W$27,MATCH(E92,技能数据库!$T$2:$T$27,0),2),0)+IF((IF(D92="轻剑",$AO$2,$AO$3)+INT(COUNTIF(G92,"*大莺鸣*")*IF(D92="轻剑",$AM$2,$AM$3)*听晓无双率)/无双系数)&gt;0.9,特效裤子会心/会心系数,0)))</f>
        <v>0.7043</v>
      </c>
      <c r="X92">
        <f ca="1">IF(G92="恒定伤害",0,IF(COUNTIF(F92,"*内会*")&gt;0,内会效2,IF(D92="轻剑",$AB$2,$AB$3))+IFERROR(INDEX(技能数据库!$T$2:$W$27,MATCH(E92,技能数据库!$T$2:$T$27,0),3)/1024,0))+COUNTIF(G92,"*叠1*")*0.25+COUNTIF(G92,"*叠2*")*0.5+COUNTIF(G92,"*叠3*")*0.75</f>
        <v>2.1773735021</v>
      </c>
      <c r="Y92">
        <f ca="1" t="shared" ref="Y92:Y114" si="167">1+W92*(X92-1)</f>
        <v>1.82922415752903</v>
      </c>
      <c r="Z92">
        <f t="shared" si="100"/>
        <v>0.150390625</v>
      </c>
      <c r="AA92">
        <f ca="1" t="shared" ref="AA92:AA114" si="168">IF(D92="轻剑",$BA$2,$BA$3)/1024</f>
        <v>0.0205078125</v>
      </c>
      <c r="AB92">
        <f ca="1" t="shared" ref="AB92:AB114" si="169">V92*Y92*(1+Z92)*(1+AA92)</f>
        <v>5090387.4556562</v>
      </c>
      <c r="AC92">
        <f ca="1">无穷技能数计算!$AJ84</f>
        <v>0</v>
      </c>
      <c r="AD92" s="164">
        <f ca="1" t="shared" ref="AD92:AD140" si="170">IFERROR(AB92*AC92/$AD$7,0)</f>
        <v>0</v>
      </c>
      <c r="AE92" s="168"/>
      <c r="AF92" s="168">
        <f ca="1" t="shared" si="101"/>
        <v>0.7057</v>
      </c>
      <c r="AG92">
        <f ca="1">无穷技能数计算!$AJ84</f>
        <v>0</v>
      </c>
      <c r="AH92">
        <f ca="1" t="shared" si="102"/>
        <v>109879</v>
      </c>
      <c r="AJ92">
        <f ca="1" t="shared" si="103"/>
        <v>2.3765922521</v>
      </c>
      <c r="AK92">
        <f ca="1" t="shared" si="140"/>
        <v>816780.18125</v>
      </c>
      <c r="AL92">
        <f ca="1" t="shared" si="104"/>
        <v>5689573.08630848</v>
      </c>
      <c r="AM92" s="169">
        <f ca="1" t="shared" si="105"/>
        <v>0.7272</v>
      </c>
      <c r="AN92">
        <f ca="1">无穷技能数计算!$AJ84</f>
        <v>0</v>
      </c>
      <c r="AO92" s="170">
        <f ca="1" t="shared" si="106"/>
        <v>5774988.30116721</v>
      </c>
      <c r="AP92">
        <f ca="1" t="shared" si="107"/>
        <v>110956</v>
      </c>
      <c r="AQ92" s="170">
        <f ca="1" t="shared" si="141"/>
        <v>823916.225</v>
      </c>
      <c r="AR92">
        <f ca="1" t="shared" si="108"/>
        <v>5636070.51840728</v>
      </c>
      <c r="AS92">
        <f ca="1" t="shared" si="109"/>
        <v>0.7843</v>
      </c>
      <c r="AT92">
        <f ca="1">无穷技能数计算!$AJ84</f>
        <v>0</v>
      </c>
      <c r="AU92">
        <f ca="1" t="shared" si="110"/>
        <v>2.3238578771</v>
      </c>
      <c r="AV92">
        <f ca="1" t="shared" si="111"/>
        <v>1.7995442148</v>
      </c>
      <c r="AW92">
        <f ca="1" t="shared" si="142"/>
        <v>5712061.76877381</v>
      </c>
      <c r="AX92">
        <f ca="1" t="shared" si="112"/>
        <v>0.7743</v>
      </c>
      <c r="AY92">
        <f ca="1">无穷技能数计算!$AJ84</f>
        <v>0</v>
      </c>
      <c r="AZ92" s="170">
        <f ca="1" t="shared" si="143"/>
        <v>5674962.46279467</v>
      </c>
      <c r="BA92">
        <f ca="1" t="shared" si="113"/>
        <v>0.7643</v>
      </c>
      <c r="BB92">
        <f ca="1">无穷技能数计算!$AJ84</f>
        <v>0</v>
      </c>
      <c r="BC92" s="170">
        <f ca="1" t="shared" si="144"/>
        <v>5637863.15681553</v>
      </c>
      <c r="BE92">
        <f ca="1" t="shared" si="114"/>
        <v>105849</v>
      </c>
      <c r="BF92">
        <f ca="1" t="shared" si="115"/>
        <v>787816.11875</v>
      </c>
      <c r="BI92">
        <f ca="1" t="shared" si="116"/>
        <v>0.7543</v>
      </c>
      <c r="BJ92">
        <f ca="1">无穷技能数计算!$AJ84</f>
        <v>0</v>
      </c>
      <c r="BK92">
        <f ca="1" t="shared" si="117"/>
        <v>5607896.71042797</v>
      </c>
      <c r="BM92">
        <f ca="1" t="shared" si="118"/>
        <v>109230</v>
      </c>
      <c r="BN92">
        <f ca="1" t="shared" si="119"/>
        <v>811715.5625</v>
      </c>
      <c r="BO92">
        <f ca="1" t="shared" si="120"/>
        <v>5664416.35669324</v>
      </c>
      <c r="BP92">
        <f ca="1" t="shared" si="121"/>
        <v>5401827.2217732</v>
      </c>
      <c r="BR92">
        <f ca="1" t="shared" si="122"/>
        <v>0.7543</v>
      </c>
      <c r="BS92">
        <f ca="1" t="shared" si="123"/>
        <v>5614842.96063272</v>
      </c>
      <c r="BT92">
        <f ca="1" t="shared" si="124"/>
        <v>0.196995876306796</v>
      </c>
      <c r="BU92">
        <f ca="1" t="shared" si="125"/>
        <v>2.3238578771</v>
      </c>
      <c r="BV92">
        <f ca="1" t="shared" si="145"/>
        <v>5673182.33588835</v>
      </c>
      <c r="BW92">
        <f ca="1" t="shared" si="126"/>
        <v>113027</v>
      </c>
      <c r="BX92">
        <f ca="1" t="shared" si="127"/>
        <v>838555.60625</v>
      </c>
      <c r="BY92">
        <f ca="1" t="shared" si="128"/>
        <v>0.7343</v>
      </c>
      <c r="BZ92">
        <f ca="1">无穷技能数计算!$AJ84</f>
        <v>0</v>
      </c>
      <c r="CA92">
        <f ca="1" t="shared" si="129"/>
        <v>2.3277641271</v>
      </c>
      <c r="CB92">
        <f ca="1" t="shared" si="146"/>
        <v>5850066.40515923</v>
      </c>
      <c r="CC92">
        <f ca="1" t="shared" si="130"/>
        <v>114847</v>
      </c>
      <c r="CD92">
        <f ca="1" t="shared" si="131"/>
        <v>851420.73125</v>
      </c>
      <c r="CE92">
        <f ca="1" t="shared" si="132"/>
        <v>5775466.41572122</v>
      </c>
      <c r="CF92">
        <f ca="1" t="shared" si="133"/>
        <v>2.2750297521</v>
      </c>
      <c r="CG92">
        <f ca="1" t="shared" si="134"/>
        <v>0.7343</v>
      </c>
      <c r="CH92">
        <f ca="1" t="shared" si="147"/>
        <v>5426087.92938742</v>
      </c>
      <c r="CJ92">
        <f ca="1" t="shared" si="135"/>
        <v>811715.5625</v>
      </c>
      <c r="CK92">
        <f ca="1" t="shared" si="136"/>
        <v>5638756.85931733</v>
      </c>
      <c r="CL92">
        <f ca="1" t="shared" si="148"/>
        <v>2.2976860021</v>
      </c>
      <c r="CM92">
        <f ca="1">IF(G92="恒定伤害",0,(IF(D92="轻剑",$CM$8,$CM$9)+IFERROR(INDEX(技能数据库!$T$2:$W$27,MATCH(E92,技能数据库!$T$2:$T$27,0),4),0)+COUNTIF(G92,"*造化2*")*154+COUNTIF(G92,"*造化1*")*102+COUNTIF(G92,"*碧归*")*307)/1024)</f>
        <v>0.247180646929785</v>
      </c>
      <c r="CN92">
        <f ca="1" t="shared" si="149"/>
        <v>5751949.26408236</v>
      </c>
      <c r="CO92">
        <f ca="1" t="shared" si="150"/>
        <v>2.3262602208</v>
      </c>
      <c r="CP92">
        <f ca="1" t="shared" si="151"/>
        <v>5813748.76570722</v>
      </c>
      <c r="CQ92">
        <f ca="1" t="shared" si="137"/>
        <v>1.8815754648</v>
      </c>
      <c r="CR92">
        <f ca="1">IF(G92="恒定伤害",0,(IF(D92="轻剑",$CR$8,$CR$9)+IFERROR(INDEX(技能数据库!$T$2:$W$27,MATCH(E92,技能数据库!$T$2:$T$27,0),4),0)+COUNTIF(G92,"*造化2*")*154+COUNTIF(G92,"*造化1*")*102+COUNTIF(G92,"*碧归*")*307)/1024)</f>
        <v>0.237415021929785</v>
      </c>
      <c r="CS92">
        <f ca="1" t="shared" si="152"/>
        <v>5502153.42113204</v>
      </c>
    </row>
    <row r="93" spans="4:97">
      <c r="D93" t="s">
        <v>1028</v>
      </c>
      <c r="E93" t="s">
        <v>2920</v>
      </c>
      <c r="G93" t="s">
        <v>2750</v>
      </c>
      <c r="H93">
        <f ca="1">INDEX(技能数据库!$B$2:$I$100,MATCH(无穷阵眼收益计算!$E93,技能数据库!$B$2:$B$100,0),MATCH(H$9,技能数据库!$B$2:$I$2,0))</f>
        <v>1</v>
      </c>
      <c r="I93">
        <f ca="1">INDEX(技能数据库!$B$2:$I$100,MATCH(无穷阵眼收益计算!$E93,技能数据库!$B$2:$B$100,0),MATCH(I$9,技能数据库!$B$2:$I$2,0))</f>
        <v>0.3125</v>
      </c>
      <c r="J93">
        <f ca="1">INDEX(技能数据库!$B$2:$I$100,MATCH(无穷阵眼收益计算!$E93,技能数据库!$B$2:$B$100,0),MATCH(J$9,技能数据库!$B$2:$I$2,0))</f>
        <v>0</v>
      </c>
      <c r="K93">
        <f ca="1">INDEX(技能数据库!$B$2:$I$100,MATCH(无穷阵眼收益计算!$E93,技能数据库!$B$2:$B$100,0),MATCH(K$9,技能数据库!$B$2:$I$2,0))</f>
        <v>0</v>
      </c>
      <c r="L93">
        <f ca="1" t="shared" si="97"/>
        <v>105847</v>
      </c>
      <c r="M93">
        <f ca="1" t="shared" si="162"/>
        <v>12694.5</v>
      </c>
      <c r="N93">
        <f ca="1" t="shared" si="163"/>
        <v>92028</v>
      </c>
      <c r="O93">
        <f ca="1" t="shared" si="138"/>
        <v>33078.1875</v>
      </c>
      <c r="P93">
        <f ca="1">IF(G93="恒定伤害",0,(IF(D93="轻剑",$AZ$2,$AZ$3)+IFERROR(INDEX(技能数据库!$T$2:$W$27,MATCH(E93,技能数据库!$T$2:$T$27,0),4),0)+COUNTIF(G93,"*造化2*")*154+COUNTIF(G93,"*造化1*")*102+COUNTIF(G93,"*碧归*")*307)/1024)</f>
        <v>0.0167118969297852</v>
      </c>
      <c r="Q93">
        <f ca="1" t="shared" si="98"/>
        <v>0.448284482196154</v>
      </c>
      <c r="R93">
        <f ca="1" t="shared" si="139"/>
        <v>0.21277697966198</v>
      </c>
      <c r="S93">
        <f ca="1" t="shared" si="164"/>
        <v>38343.4576296039</v>
      </c>
      <c r="T93">
        <f t="shared" si="165"/>
        <v>0.8</v>
      </c>
      <c r="U93">
        <f ca="1" t="shared" si="99"/>
        <v>1.7800129648</v>
      </c>
      <c r="V93">
        <f ca="1" t="shared" si="166"/>
        <v>85276.2474604467</v>
      </c>
      <c r="W93">
        <f ca="1">IF(G93="恒定伤害",0,MIN(1,IF(COUNTIF(F93,"*内会*")&gt;0,内会2,IF(D93="轻剑",$Y$2,$Y$3)+COUNTIF(G93,"*莺鸣*")*0.2+COUNTIF(G93,"*叠1*")*0.1+COUNTIF(G93,"*叠2*")*0.2+COUNTIF(G93,"*叠3*")*0.3)+IFERROR(INDEX(技能数据库!$T$2:$W$27,MATCH(E93,技能数据库!$T$2:$T$27,0),2),0)+IF((IF(D93="轻剑",$AO$2,$AO$3)+INT(COUNTIF(G93,"*大莺鸣*")*IF(D93="轻剑",$AM$2,$AM$3)*听晓无双率)/无双系数)&gt;0.9,特效裤子会心/会心系数,0)))</f>
        <v>0.7043</v>
      </c>
      <c r="X93">
        <f ca="1">IF(G93="恒定伤害",0,IF(COUNTIF(F93,"*内会*")&gt;0,内会效2,IF(D93="轻剑",$AB$2,$AB$3))+IFERROR(INDEX(技能数据库!$T$2:$W$27,MATCH(E93,技能数据库!$T$2:$T$27,0),3)/1024,0))+COUNTIF(G93,"*叠1*")*0.25+COUNTIF(G93,"*叠2*")*0.5+COUNTIF(G93,"*叠3*")*0.75</f>
        <v>2.1773735021</v>
      </c>
      <c r="Y93">
        <f ca="1" t="shared" si="167"/>
        <v>1.82922415752903</v>
      </c>
      <c r="Z93">
        <f t="shared" si="100"/>
        <v>0.150390625</v>
      </c>
      <c r="AA93">
        <f ca="1" t="shared" si="168"/>
        <v>0.0205078125</v>
      </c>
      <c r="AB93">
        <f ca="1" t="shared" si="169"/>
        <v>183128.811573855</v>
      </c>
      <c r="AC93">
        <f ca="1">无穷技能数计算!$AJ85</f>
        <v>0.80078125</v>
      </c>
      <c r="AD93" s="164">
        <f ca="1" t="shared" si="170"/>
        <v>5.74721951543921e-5</v>
      </c>
      <c r="AE93" s="168"/>
      <c r="AF93" s="168">
        <f ca="1" t="shared" si="101"/>
        <v>0.7057</v>
      </c>
      <c r="AG93">
        <f ca="1">无穷技能数计算!$AJ85</f>
        <v>0.80078125</v>
      </c>
      <c r="AH93">
        <f ca="1" t="shared" si="102"/>
        <v>109879</v>
      </c>
      <c r="AJ93">
        <f ca="1" t="shared" si="103"/>
        <v>2.3765922521</v>
      </c>
      <c r="AK93">
        <f ca="1" t="shared" si="140"/>
        <v>34338.1875</v>
      </c>
      <c r="AL93">
        <f ca="1" t="shared" si="104"/>
        <v>204942.985338781</v>
      </c>
      <c r="AM93" s="169">
        <f ca="1" t="shared" si="105"/>
        <v>0.7272</v>
      </c>
      <c r="AN93">
        <f ca="1">无穷技能数计算!$AJ85</f>
        <v>0.80078125</v>
      </c>
      <c r="AO93" s="170">
        <f ca="1" t="shared" si="106"/>
        <v>208019.709876976</v>
      </c>
      <c r="AP93">
        <f ca="1" t="shared" si="107"/>
        <v>110956</v>
      </c>
      <c r="AQ93" s="170">
        <f ca="1" t="shared" si="141"/>
        <v>34674.75</v>
      </c>
      <c r="AR93">
        <f ca="1" t="shared" si="108"/>
        <v>203230.040038539</v>
      </c>
      <c r="AS93">
        <f ca="1" t="shared" si="109"/>
        <v>0.7843</v>
      </c>
      <c r="AT93">
        <f ca="1">无穷技能数计算!$AJ85</f>
        <v>0.80078125</v>
      </c>
      <c r="AU93">
        <f ca="1" t="shared" si="110"/>
        <v>2.3238578771</v>
      </c>
      <c r="AV93">
        <f ca="1" t="shared" si="111"/>
        <v>1.7995442148</v>
      </c>
      <c r="AW93">
        <f ca="1" t="shared" si="142"/>
        <v>205493.804246607</v>
      </c>
      <c r="AX93">
        <f ca="1" t="shared" si="112"/>
        <v>0.7743</v>
      </c>
      <c r="AY93">
        <f ca="1">无穷技能数计算!$AJ85</f>
        <v>0.80078125</v>
      </c>
      <c r="AZ93" s="170">
        <f ca="1" t="shared" si="143"/>
        <v>204159.141242394</v>
      </c>
      <c r="BA93">
        <f ca="1" t="shared" si="113"/>
        <v>0.7643</v>
      </c>
      <c r="BB93">
        <f ca="1">无穷技能数计算!$AJ85</f>
        <v>0.80078125</v>
      </c>
      <c r="BC93" s="170">
        <f ca="1" t="shared" si="144"/>
        <v>202824.478238181</v>
      </c>
      <c r="BE93">
        <f ca="1" t="shared" si="114"/>
        <v>105849</v>
      </c>
      <c r="BF93">
        <f ca="1" t="shared" si="115"/>
        <v>33078.8125</v>
      </c>
      <c r="BI93">
        <f ca="1" t="shared" si="116"/>
        <v>0.7543</v>
      </c>
      <c r="BJ93">
        <f ca="1">无穷技能数计算!$AJ85</f>
        <v>0.80078125</v>
      </c>
      <c r="BK93">
        <f ca="1" t="shared" si="117"/>
        <v>201746.614311977</v>
      </c>
      <c r="BM93">
        <f ca="1" t="shared" si="118"/>
        <v>109230</v>
      </c>
      <c r="BN93">
        <f ca="1" t="shared" si="119"/>
        <v>34135.375</v>
      </c>
      <c r="BO93">
        <f ca="1" t="shared" si="120"/>
        <v>204097.260316921</v>
      </c>
      <c r="BP93">
        <f ca="1" t="shared" si="121"/>
        <v>194635.787209838</v>
      </c>
      <c r="BR93">
        <f ca="1" t="shared" si="122"/>
        <v>0.7543</v>
      </c>
      <c r="BS93">
        <f ca="1" t="shared" si="123"/>
        <v>202311.057876381</v>
      </c>
      <c r="BT93">
        <f ca="1" t="shared" si="124"/>
        <v>0.196995876306796</v>
      </c>
      <c r="BU93">
        <f ca="1" t="shared" si="125"/>
        <v>2.3238578771</v>
      </c>
      <c r="BV93">
        <f ca="1" t="shared" si="145"/>
        <v>204095.100434569</v>
      </c>
      <c r="BW93">
        <f ca="1" t="shared" si="126"/>
        <v>113027</v>
      </c>
      <c r="BX93">
        <f ca="1" t="shared" si="127"/>
        <v>35321.9375</v>
      </c>
      <c r="BY93">
        <f ca="1" t="shared" si="128"/>
        <v>0.7343</v>
      </c>
      <c r="BZ93">
        <f ca="1">无穷技能数计算!$AJ85</f>
        <v>0.80078125</v>
      </c>
      <c r="CA93">
        <f ca="1" t="shared" si="129"/>
        <v>2.3277641271</v>
      </c>
      <c r="CB93">
        <f ca="1" t="shared" si="146"/>
        <v>211132.284992556</v>
      </c>
      <c r="CC93">
        <f ca="1" t="shared" si="130"/>
        <v>114847</v>
      </c>
      <c r="CD93">
        <f ca="1" t="shared" si="131"/>
        <v>35890.6875</v>
      </c>
      <c r="CE93">
        <f ca="1" t="shared" si="132"/>
        <v>208595.925338731</v>
      </c>
      <c r="CF93">
        <f ca="1" t="shared" si="133"/>
        <v>2.2750297521</v>
      </c>
      <c r="CG93">
        <f ca="1" t="shared" si="134"/>
        <v>0.7343</v>
      </c>
      <c r="CH93">
        <f ca="1" t="shared" si="147"/>
        <v>195205.776114318</v>
      </c>
      <c r="CJ93">
        <f ca="1" t="shared" si="135"/>
        <v>34135.375</v>
      </c>
      <c r="CK93">
        <f ca="1" t="shared" si="136"/>
        <v>203172.710851318</v>
      </c>
      <c r="CL93">
        <f ca="1" t="shared" si="148"/>
        <v>2.2976860021</v>
      </c>
      <c r="CM93">
        <f ca="1">IF(G93="恒定伤害",0,(IF(D93="轻剑",$CM$8,$CM$9)+IFERROR(INDEX(技能数据库!$T$2:$W$27,MATCH(E93,技能数据库!$T$2:$T$27,0),4),0)+COUNTIF(G93,"*造化2*")*154+COUNTIF(G93,"*造化1*")*102+COUNTIF(G93,"*碧归*")*307)/1024)</f>
        <v>0.0772587719297852</v>
      </c>
      <c r="CN93">
        <f ca="1" t="shared" si="149"/>
        <v>208607.711450869</v>
      </c>
      <c r="CO93">
        <f ca="1" t="shared" si="150"/>
        <v>2.3262602208</v>
      </c>
      <c r="CP93">
        <f ca="1" t="shared" si="151"/>
        <v>210849.012966386</v>
      </c>
      <c r="CQ93">
        <f ca="1" t="shared" si="137"/>
        <v>1.8815754648</v>
      </c>
      <c r="CR93">
        <f ca="1">IF(G93="恒定伤害",0,(IF(D93="轻剑",$CR$8,$CR$9)+IFERROR(INDEX(技能数据库!$T$2:$W$27,MATCH(E93,技能数据库!$T$2:$T$27,0),4),0)+COUNTIF(G93,"*造化2*")*154+COUNTIF(G93,"*造化1*")*102+COUNTIF(G93,"*碧归*")*307)/1024)</f>
        <v>0.0674931469297852</v>
      </c>
      <c r="CS93">
        <f ca="1" t="shared" si="152"/>
        <v>199299.882948427</v>
      </c>
    </row>
    <row r="94" spans="4:97">
      <c r="D94" t="s">
        <v>1028</v>
      </c>
      <c r="E94" t="s">
        <v>2920</v>
      </c>
      <c r="G94" t="s">
        <v>3014</v>
      </c>
      <c r="H94">
        <f ca="1">INDEX(技能数据库!$B$2:$I$100,MATCH(无穷阵眼收益计算!$E94,技能数据库!$B$2:$B$100,0),MATCH(H$9,技能数据库!$B$2:$I$2,0))</f>
        <v>1</v>
      </c>
      <c r="I94">
        <f ca="1">INDEX(技能数据库!$B$2:$I$100,MATCH(无穷阵眼收益计算!$E94,技能数据库!$B$2:$B$100,0),MATCH(I$9,技能数据库!$B$2:$I$2,0))</f>
        <v>0.3125</v>
      </c>
      <c r="J94">
        <f ca="1">INDEX(技能数据库!$B$2:$I$100,MATCH(无穷阵眼收益计算!$E94,技能数据库!$B$2:$B$100,0),MATCH(J$9,技能数据库!$B$2:$I$2,0))</f>
        <v>0</v>
      </c>
      <c r="K94">
        <f ca="1">INDEX(技能数据库!$B$2:$I$100,MATCH(无穷阵眼收益计算!$E94,技能数据库!$B$2:$B$100,0),MATCH(K$9,技能数据库!$B$2:$I$2,0))</f>
        <v>0</v>
      </c>
      <c r="L94">
        <f ca="1" t="shared" si="97"/>
        <v>105847</v>
      </c>
      <c r="M94">
        <f ca="1" t="shared" si="162"/>
        <v>12694.5</v>
      </c>
      <c r="N94">
        <f ca="1" t="shared" si="163"/>
        <v>92028</v>
      </c>
      <c r="O94">
        <f ca="1" t="shared" si="138"/>
        <v>33078.1875</v>
      </c>
      <c r="P94">
        <f ca="1">IF(G94="恒定伤害",0,(IF(D94="轻剑",$AZ$2,$AZ$3)+IFERROR(INDEX(技能数据库!$T$2:$W$27,MATCH(E94,技能数据库!$T$2:$T$27,0),4),0)+COUNTIF(G94,"*造化2*")*154+COUNTIF(G94,"*造化1*")*102+COUNTIF(G94,"*碧归*")*307)/1024)</f>
        <v>0.0167118969297852</v>
      </c>
      <c r="Q94">
        <f ca="1" t="shared" si="98"/>
        <v>0.448284482196154</v>
      </c>
      <c r="R94">
        <f ca="1" t="shared" si="139"/>
        <v>0.21277697966198</v>
      </c>
      <c r="S94">
        <f ca="1" t="shared" si="164"/>
        <v>38343.4576296039</v>
      </c>
      <c r="T94">
        <f t="shared" si="165"/>
        <v>0.8</v>
      </c>
      <c r="U94">
        <f ca="1" t="shared" si="99"/>
        <v>1.7800129648</v>
      </c>
      <c r="V94">
        <f ca="1" t="shared" si="166"/>
        <v>85276.2474604467</v>
      </c>
      <c r="W94">
        <f ca="1">IF(G94="恒定伤害",0,MIN(1,IF(COUNTIF(F94,"*内会*")&gt;0,内会2,IF(D94="轻剑",$Y$2,$Y$3)+COUNTIF(G94,"*莺鸣*")*0.2+COUNTIF(G94,"*叠1*")*0.1+COUNTIF(G94,"*叠2*")*0.2+COUNTIF(G94,"*叠3*")*0.3)+IFERROR(INDEX(技能数据库!$T$2:$W$27,MATCH(E94,技能数据库!$T$2:$T$27,0),2),0)+IF((IF(D94="轻剑",$AO$2,$AO$3)+INT(COUNTIF(G94,"*大莺鸣*")*IF(D94="轻剑",$AM$2,$AM$3)*听晓无双率)/无双系数)&gt;0.9,特效裤子会心/会心系数,0)))</f>
        <v>0.9043</v>
      </c>
      <c r="X94">
        <f ca="1">IF(G94="恒定伤害",0,IF(COUNTIF(F94,"*内会*")&gt;0,内会效2,IF(D94="轻剑",$AB$2,$AB$3))+IFERROR(INDEX(技能数据库!$T$2:$W$27,MATCH(E94,技能数据库!$T$2:$T$27,0),3)/1024,0))+COUNTIF(G94,"*叠1*")*0.25+COUNTIF(G94,"*叠2*")*0.5+COUNTIF(G94,"*叠3*")*0.75</f>
        <v>2.1773735021</v>
      </c>
      <c r="Y94">
        <f ca="1" t="shared" si="167"/>
        <v>2.06469885794903</v>
      </c>
      <c r="Z94">
        <f t="shared" si="100"/>
        <v>0.150390625</v>
      </c>
      <c r="AA94">
        <f ca="1" t="shared" si="168"/>
        <v>0.0205078125</v>
      </c>
      <c r="AB94">
        <f ca="1" t="shared" si="169"/>
        <v>206702.850800341</v>
      </c>
      <c r="AC94">
        <f ca="1">无穷技能数计算!$AJ86</f>
        <v>0</v>
      </c>
      <c r="AD94" s="164">
        <f ca="1" t="shared" si="170"/>
        <v>0</v>
      </c>
      <c r="AE94" s="168"/>
      <c r="AF94" s="168">
        <f ca="1" t="shared" si="101"/>
        <v>0.9057</v>
      </c>
      <c r="AG94">
        <f ca="1">无穷技能数计算!$AJ86</f>
        <v>0</v>
      </c>
      <c r="AH94">
        <f ca="1" t="shared" si="102"/>
        <v>109879</v>
      </c>
      <c r="AJ94">
        <f ca="1" t="shared" si="103"/>
        <v>2.3765922521</v>
      </c>
      <c r="AK94">
        <f ca="1" t="shared" si="140"/>
        <v>34338.1875</v>
      </c>
      <c r="AL94">
        <f ca="1" t="shared" si="104"/>
        <v>233563.678717342</v>
      </c>
      <c r="AM94" s="169">
        <f ca="1" t="shared" si="105"/>
        <v>0.9272</v>
      </c>
      <c r="AN94">
        <f ca="1">无穷技能数计算!$AJ86</f>
        <v>0</v>
      </c>
      <c r="AO94" s="170">
        <f ca="1" t="shared" si="106"/>
        <v>236640.403255537</v>
      </c>
      <c r="AP94">
        <f ca="1" t="shared" si="107"/>
        <v>110956</v>
      </c>
      <c r="AQ94" s="170">
        <f ca="1" t="shared" si="141"/>
        <v>34674.75</v>
      </c>
      <c r="AR94">
        <f ca="1" t="shared" si="108"/>
        <v>229391.695840781</v>
      </c>
      <c r="AS94">
        <f ca="1" t="shared" si="109"/>
        <v>0.9843</v>
      </c>
      <c r="AT94">
        <f ca="1">无穷技能数计算!$AJ86</f>
        <v>0</v>
      </c>
      <c r="AU94">
        <f ca="1" t="shared" si="110"/>
        <v>2.3238578771</v>
      </c>
      <c r="AV94">
        <f ca="1" t="shared" si="111"/>
        <v>1.7995442148</v>
      </c>
      <c r="AW94">
        <f ca="1" t="shared" si="142"/>
        <v>232187.064330868</v>
      </c>
      <c r="AX94">
        <f ca="1" t="shared" si="112"/>
        <v>0.9743</v>
      </c>
      <c r="AY94">
        <f ca="1">无穷技能数计算!$AJ86</f>
        <v>0</v>
      </c>
      <c r="AZ94" s="170">
        <f ca="1" t="shared" si="143"/>
        <v>230852.401326655</v>
      </c>
      <c r="BA94">
        <f ca="1" t="shared" si="113"/>
        <v>0.9643</v>
      </c>
      <c r="BB94">
        <f ca="1">无穷技能数计算!$AJ86</f>
        <v>0</v>
      </c>
      <c r="BC94" s="170">
        <f ca="1" t="shared" si="144"/>
        <v>229517.738322442</v>
      </c>
      <c r="BE94">
        <f ca="1" t="shared" si="114"/>
        <v>105849</v>
      </c>
      <c r="BF94">
        <f ca="1" t="shared" si="115"/>
        <v>33078.8125</v>
      </c>
      <c r="BI94">
        <f ca="1" t="shared" si="116"/>
        <v>0.9543</v>
      </c>
      <c r="BJ94">
        <f ca="1">无穷技能数计算!$AJ86</f>
        <v>0</v>
      </c>
      <c r="BK94">
        <f ca="1" t="shared" si="117"/>
        <v>226907.571837348</v>
      </c>
      <c r="BM94">
        <f ca="1" t="shared" si="118"/>
        <v>109230</v>
      </c>
      <c r="BN94">
        <f ca="1" t="shared" si="119"/>
        <v>34135.375</v>
      </c>
      <c r="BO94">
        <f ca="1" t="shared" si="120"/>
        <v>230370.552757247</v>
      </c>
      <c r="BP94">
        <f ca="1" t="shared" si="121"/>
        <v>219691.111072474</v>
      </c>
      <c r="BR94">
        <f ca="1" t="shared" si="122"/>
        <v>0.9543</v>
      </c>
      <c r="BS94">
        <f ca="1" t="shared" si="123"/>
        <v>227542.410340462</v>
      </c>
      <c r="BT94">
        <f ca="1" t="shared" si="124"/>
        <v>0.196995876306796</v>
      </c>
      <c r="BU94">
        <f ca="1" t="shared" si="125"/>
        <v>2.3238578771</v>
      </c>
      <c r="BV94">
        <f ca="1" t="shared" si="145"/>
        <v>231133.507271645</v>
      </c>
      <c r="BW94">
        <f ca="1" t="shared" si="126"/>
        <v>113027</v>
      </c>
      <c r="BX94">
        <f ca="1" t="shared" si="127"/>
        <v>35321.9375</v>
      </c>
      <c r="BY94">
        <f ca="1" t="shared" si="128"/>
        <v>0.9343</v>
      </c>
      <c r="BZ94">
        <f ca="1">无穷技能数计算!$AJ86</f>
        <v>0</v>
      </c>
      <c r="CA94">
        <f ca="1" t="shared" si="129"/>
        <v>2.3277641271</v>
      </c>
      <c r="CB94">
        <f ca="1" t="shared" si="146"/>
        <v>239520.853153697</v>
      </c>
      <c r="CC94">
        <f ca="1" t="shared" si="130"/>
        <v>114847</v>
      </c>
      <c r="CD94">
        <f ca="1" t="shared" si="131"/>
        <v>35890.6875</v>
      </c>
      <c r="CE94">
        <f ca="1" t="shared" si="132"/>
        <v>234939.646448142</v>
      </c>
      <c r="CF94">
        <f ca="1" t="shared" si="133"/>
        <v>2.2750297521</v>
      </c>
      <c r="CG94">
        <f ca="1" t="shared" si="134"/>
        <v>0.9343</v>
      </c>
      <c r="CH94">
        <f ca="1" t="shared" si="147"/>
        <v>220914.503143636</v>
      </c>
      <c r="CJ94">
        <f ca="1" t="shared" si="135"/>
        <v>34135.375</v>
      </c>
      <c r="CK94">
        <f ca="1" t="shared" si="136"/>
        <v>229326.986708826</v>
      </c>
      <c r="CL94">
        <f ca="1" t="shared" si="148"/>
        <v>2.2976860021</v>
      </c>
      <c r="CM94">
        <f ca="1">IF(G94="恒定伤害",0,(IF(D94="轻剑",$CM$8,$CM$9)+IFERROR(INDEX(技能数据库!$T$2:$W$27,MATCH(E94,技能数据库!$T$2:$T$27,0),4),0)+COUNTIF(G94,"*造化2*")*154+COUNTIF(G94,"*造化1*")*102+COUNTIF(G94,"*碧归*")*307)/1024)</f>
        <v>0.0772587719297852</v>
      </c>
      <c r="CN94">
        <f ca="1" t="shared" si="149"/>
        <v>236331.463617177</v>
      </c>
      <c r="CO94">
        <f ca="1" t="shared" si="150"/>
        <v>2.3262602208</v>
      </c>
      <c r="CP94">
        <f ca="1" t="shared" si="151"/>
        <v>239183.22448596</v>
      </c>
      <c r="CQ94">
        <f ca="1" t="shared" si="137"/>
        <v>1.8815754648</v>
      </c>
      <c r="CR94">
        <f ca="1">IF(G94="恒定伤害",0,(IF(D94="轻剑",$CR$8,$CR$9)+IFERROR(INDEX(技能数据库!$T$2:$W$27,MATCH(E94,技能数据库!$T$2:$T$27,0),4),0)+COUNTIF(G94,"*造化2*")*154+COUNTIF(G94,"*造化1*")*102+COUNTIF(G94,"*碧归*")*307)/1024)</f>
        <v>0.0674931469297852</v>
      </c>
      <c r="CS94">
        <f ca="1" t="shared" si="152"/>
        <v>224955.612476084</v>
      </c>
    </row>
    <row r="95" spans="4:97">
      <c r="D95" t="s">
        <v>1825</v>
      </c>
      <c r="E95" t="s">
        <v>2808</v>
      </c>
      <c r="G95" t="s">
        <v>3069</v>
      </c>
      <c r="H95">
        <f ca="1">INDEX(技能数据库!$B$2:$I$100,MATCH(无穷阵眼收益计算!$E95,技能数据库!$B$2:$B$100,0),MATCH(H$9,技能数据库!$B$2:$I$2,0))</f>
        <v>535</v>
      </c>
      <c r="I95">
        <f ca="1">INDEX(技能数据库!$B$2:$I$100,MATCH(无穷阵眼收益计算!$E95,技能数据库!$B$2:$B$100,0),MATCH(I$9,技能数据库!$B$2:$I$2,0))</f>
        <v>7.06875</v>
      </c>
      <c r="J95">
        <f ca="1">INDEX(技能数据库!$B$2:$I$100,MATCH(无穷阵眼收益计算!$E95,技能数据库!$B$2:$B$100,0),MATCH(J$9,技能数据库!$B$2:$I$2,0))</f>
        <v>2</v>
      </c>
      <c r="K95">
        <f ca="1">INDEX(技能数据库!$B$2:$I$100,MATCH(无穷阵眼收益计算!$E95,技能数据库!$B$2:$B$100,0),MATCH(K$9,技能数据库!$B$2:$I$2,0))</f>
        <v>0</v>
      </c>
      <c r="L95">
        <f ca="1" t="shared" si="97"/>
        <v>105847</v>
      </c>
      <c r="M95">
        <f ca="1" t="shared" si="162"/>
        <v>19530.5</v>
      </c>
      <c r="N95">
        <f ca="1" t="shared" si="163"/>
        <v>92028</v>
      </c>
      <c r="O95">
        <f ca="1" t="shared" si="138"/>
        <v>787801.98125</v>
      </c>
      <c r="P95">
        <f ca="1">IF(G95="恒定伤害",0,(IF(D95="轻剑",$AZ$2,$AZ$3)+IFERROR(INDEX(技能数据库!$T$2:$W$27,MATCH(E95,技能数据库!$T$2:$T$27,0),4),0)+COUNTIF(G95,"*造化2*")*154+COUNTIF(G95,"*造化1*")*102+COUNTIF(G95,"*碧归*")*307)/1024)</f>
        <v>0.337024396929785</v>
      </c>
      <c r="Q95">
        <f ca="1" t="shared" si="98"/>
        <v>0.448284482196154</v>
      </c>
      <c r="R95">
        <f ca="1" t="shared" si="139"/>
        <v>0.21277697966198</v>
      </c>
      <c r="S95">
        <f ca="1" t="shared" si="164"/>
        <v>1200903.36993142</v>
      </c>
      <c r="T95">
        <f t="shared" si="165"/>
        <v>0.8</v>
      </c>
      <c r="U95">
        <f ca="1" t="shared" si="99"/>
        <v>1.7800129648</v>
      </c>
      <c r="V95">
        <f ca="1" t="shared" si="166"/>
        <v>2670821.55030508</v>
      </c>
      <c r="W95">
        <f ca="1">IF(G95="恒定伤害",0,MIN(1,IF(COUNTIF(F95,"*内会*")&gt;0,内会2,IF(D95="轻剑",$Y$2,$Y$3)+COUNTIF(G95,"*莺鸣*")*0.2+COUNTIF(G95,"*叠1*")*0.1+COUNTIF(G95,"*叠2*")*0.2+COUNTIF(G95,"*叠3*")*0.3)+IFERROR(INDEX(技能数据库!$T$2:$W$27,MATCH(E95,技能数据库!$T$2:$T$27,0),2),0)+IF((IF(D95="轻剑",$AO$2,$AO$3)+INT(COUNTIF(G95,"*大莺鸣*")*IF(D95="轻剑",$AM$2,$AM$3)*听晓无双率)/无双系数)&gt;0.9,特效裤子会心/会心系数,0)))</f>
        <v>0.7043</v>
      </c>
      <c r="X95">
        <f ca="1">IF(G95="恒定伤害",0,IF(COUNTIF(F95,"*内会*")&gt;0,内会效2,IF(D95="轻剑",$AB$2,$AB$3))+IFERROR(INDEX(技能数据库!$T$2:$W$27,MATCH(E95,技能数据库!$T$2:$T$27,0),3)/1024,0))+COUNTIF(G95,"*叠1*")*0.25+COUNTIF(G95,"*叠2*")*0.5+COUNTIF(G95,"*叠3*")*0.75</f>
        <v>2.1773735021</v>
      </c>
      <c r="Y95">
        <f ca="1" t="shared" si="167"/>
        <v>1.82922415752903</v>
      </c>
      <c r="Z95">
        <f t="shared" si="100"/>
        <v>0.150390625</v>
      </c>
      <c r="AA95">
        <f ca="1" t="shared" si="168"/>
        <v>0.0205078125</v>
      </c>
      <c r="AB95">
        <f ca="1" t="shared" si="169"/>
        <v>5735528.83714859</v>
      </c>
      <c r="AC95">
        <f ca="1">无穷技能数计算!$AJ87</f>
        <v>0</v>
      </c>
      <c r="AD95" s="164">
        <f ca="1" t="shared" si="170"/>
        <v>0</v>
      </c>
      <c r="AE95" s="168"/>
      <c r="AF95" s="168">
        <f ca="1" t="shared" si="101"/>
        <v>0.7057</v>
      </c>
      <c r="AG95">
        <f ca="1">无穷技能数计算!$AJ87</f>
        <v>0</v>
      </c>
      <c r="AH95">
        <f ca="1" t="shared" si="102"/>
        <v>109879</v>
      </c>
      <c r="AJ95">
        <f ca="1" t="shared" si="103"/>
        <v>2.3765922521</v>
      </c>
      <c r="AK95">
        <f ca="1" t="shared" si="140"/>
        <v>816780.18125</v>
      </c>
      <c r="AL95">
        <f ca="1" t="shared" si="104"/>
        <v>6410653.56848756</v>
      </c>
      <c r="AM95" s="169">
        <f ca="1" t="shared" si="105"/>
        <v>0.7272</v>
      </c>
      <c r="AN95">
        <f ca="1">无穷技能数计算!$AJ87</f>
        <v>0</v>
      </c>
      <c r="AO95" s="170">
        <f ca="1" t="shared" si="106"/>
        <v>6506894.06731425</v>
      </c>
      <c r="AP95">
        <f ca="1" t="shared" si="107"/>
        <v>110956</v>
      </c>
      <c r="AQ95" s="170">
        <f ca="1" t="shared" si="141"/>
        <v>823916.225</v>
      </c>
      <c r="AR95">
        <f ca="1" t="shared" si="108"/>
        <v>6350370.23568981</v>
      </c>
      <c r="AS95">
        <f ca="1" t="shared" si="109"/>
        <v>0.7843</v>
      </c>
      <c r="AT95">
        <f ca="1">无穷技能数计算!$AJ87</f>
        <v>0</v>
      </c>
      <c r="AU95">
        <f ca="1" t="shared" si="110"/>
        <v>2.3238578771</v>
      </c>
      <c r="AV95">
        <f ca="1" t="shared" si="111"/>
        <v>1.7995442148</v>
      </c>
      <c r="AW95">
        <f ca="1" t="shared" si="142"/>
        <v>6435992.40328413</v>
      </c>
      <c r="AX95">
        <f ca="1" t="shared" si="112"/>
        <v>0.7743</v>
      </c>
      <c r="AY95">
        <f ca="1">无穷技能数计算!$AJ87</f>
        <v>0</v>
      </c>
      <c r="AZ95" s="170">
        <f ca="1" t="shared" si="143"/>
        <v>6394191.23566473</v>
      </c>
      <c r="BA95">
        <f ca="1" t="shared" si="113"/>
        <v>0.7643</v>
      </c>
      <c r="BB95">
        <f ca="1">无穷技能数计算!$AJ87</f>
        <v>0</v>
      </c>
      <c r="BC95" s="170">
        <f ca="1" t="shared" si="144"/>
        <v>6352390.06804534</v>
      </c>
      <c r="BE95">
        <f ca="1" t="shared" si="114"/>
        <v>105849</v>
      </c>
      <c r="BF95">
        <f ca="1" t="shared" si="115"/>
        <v>787816.11875</v>
      </c>
      <c r="BI95">
        <f ca="1" t="shared" si="116"/>
        <v>0.7543</v>
      </c>
      <c r="BJ95">
        <f ca="1">无穷技能数计算!$AJ87</f>
        <v>0</v>
      </c>
      <c r="BK95">
        <f ca="1" t="shared" si="117"/>
        <v>6318625.75856988</v>
      </c>
      <c r="BM95">
        <f ca="1" t="shared" si="118"/>
        <v>109230</v>
      </c>
      <c r="BN95">
        <f ca="1" t="shared" si="119"/>
        <v>811715.5625</v>
      </c>
      <c r="BO95">
        <f ca="1" t="shared" si="120"/>
        <v>6382308.54575335</v>
      </c>
      <c r="BP95">
        <f ca="1" t="shared" si="121"/>
        <v>6086439.60281418</v>
      </c>
      <c r="BR95">
        <f ca="1" t="shared" si="122"/>
        <v>0.7543</v>
      </c>
      <c r="BS95">
        <f ca="1" t="shared" si="123"/>
        <v>6326452.35697845</v>
      </c>
      <c r="BT95">
        <f ca="1" t="shared" si="124"/>
        <v>0.196995876306796</v>
      </c>
      <c r="BU95">
        <f ca="1" t="shared" si="125"/>
        <v>2.3238578771</v>
      </c>
      <c r="BV95">
        <f ca="1" t="shared" si="145"/>
        <v>6392185.50048368</v>
      </c>
      <c r="BW95">
        <f ca="1" t="shared" si="126"/>
        <v>113027</v>
      </c>
      <c r="BX95">
        <f ca="1" t="shared" si="127"/>
        <v>838555.60625</v>
      </c>
      <c r="BY95">
        <f ca="1" t="shared" si="128"/>
        <v>0.7343</v>
      </c>
      <c r="BZ95">
        <f ca="1">无穷技能数计算!$AJ87</f>
        <v>0</v>
      </c>
      <c r="CA95">
        <f ca="1" t="shared" si="129"/>
        <v>2.3277641271</v>
      </c>
      <c r="CB95">
        <f ca="1" t="shared" si="146"/>
        <v>6591487.35893221</v>
      </c>
      <c r="CC95">
        <f ca="1" t="shared" si="130"/>
        <v>114847</v>
      </c>
      <c r="CD95">
        <f ca="1" t="shared" si="131"/>
        <v>851420.73125</v>
      </c>
      <c r="CE95">
        <f ca="1" t="shared" si="132"/>
        <v>6507432.77676139</v>
      </c>
      <c r="CF95">
        <f ca="1" t="shared" si="133"/>
        <v>2.2750297521</v>
      </c>
      <c r="CG95">
        <f ca="1" t="shared" si="134"/>
        <v>0.7343</v>
      </c>
      <c r="CH95">
        <f ca="1" t="shared" si="147"/>
        <v>6113775.04424043</v>
      </c>
      <c r="CJ95">
        <f ca="1" t="shared" si="135"/>
        <v>811715.5625</v>
      </c>
      <c r="CK95">
        <f ca="1" t="shared" si="136"/>
        <v>6353397.03588728</v>
      </c>
      <c r="CL95">
        <f ca="1" t="shared" si="148"/>
        <v>2.2976860021</v>
      </c>
      <c r="CM95">
        <f ca="1">IF(G95="恒定伤害",0,(IF(D95="轻剑",$CM$8,$CM$9)+IFERROR(INDEX(技能数据库!$T$2:$W$27,MATCH(E95,技能数据库!$T$2:$T$27,0),4),0)+COUNTIF(G95,"*造化2*")*154+COUNTIF(G95,"*造化1*")*102+COUNTIF(G95,"*碧归*")*307)/1024)</f>
        <v>0.397571271929785</v>
      </c>
      <c r="CN95">
        <f ca="1" t="shared" si="149"/>
        <v>6445545.05305096</v>
      </c>
      <c r="CO95">
        <f ca="1" t="shared" si="150"/>
        <v>2.3262602208</v>
      </c>
      <c r="CP95">
        <f ca="1" t="shared" si="151"/>
        <v>6514796.61520685</v>
      </c>
      <c r="CQ95">
        <f ca="1" t="shared" si="137"/>
        <v>1.8815754648</v>
      </c>
      <c r="CR95">
        <f ca="1">IF(G95="恒定伤害",0,(IF(D95="轻剑",$CR$8,$CR$9)+IFERROR(INDEX(技能数据库!$T$2:$W$27,MATCH(E95,技能数据库!$T$2:$T$27,0),4),0)+COUNTIF(G95,"*造化2*")*154+COUNTIF(G95,"*造化1*")*102+COUNTIF(G95,"*碧归*")*307)/1024)</f>
        <v>0.387805646929785</v>
      </c>
      <c r="CS95">
        <f ca="1" t="shared" si="152"/>
        <v>6170863.81916767</v>
      </c>
    </row>
    <row r="96" spans="4:97">
      <c r="D96" t="s">
        <v>1825</v>
      </c>
      <c r="E96" t="s">
        <v>2820</v>
      </c>
      <c r="G96" t="s">
        <v>2750</v>
      </c>
      <c r="H96">
        <f ca="1">INDEX(技能数据库!$B$2:$I$100,MATCH(无穷阵眼收益计算!$E96,技能数据库!$B$2:$B$100,0),MATCH(H$9,技能数据库!$B$2:$I$2,0))</f>
        <v>31590</v>
      </c>
      <c r="I96">
        <f ca="1">INDEX(技能数据库!$B$2:$I$100,MATCH(无穷阵眼收益计算!$E96,技能数据库!$B$2:$B$100,0),MATCH(I$9,技能数据库!$B$2:$I$2,0))</f>
        <v>0</v>
      </c>
      <c r="J96">
        <f ca="1">INDEX(技能数据库!$B$2:$I$100,MATCH(无穷阵眼收益计算!$E96,技能数据库!$B$2:$B$100,0),MATCH(J$9,技能数据库!$B$2:$I$2,0))</f>
        <v>0</v>
      </c>
      <c r="K96">
        <f ca="1">INDEX(技能数据库!$B$2:$I$100,MATCH(无穷阵眼收益计算!$E96,技能数据库!$B$2:$B$100,0),MATCH(K$9,技能数据库!$B$2:$I$2,0))</f>
        <v>0</v>
      </c>
      <c r="L96">
        <f ca="1" t="shared" si="97"/>
        <v>105847</v>
      </c>
      <c r="M96">
        <f ca="1" t="shared" si="162"/>
        <v>19530.5</v>
      </c>
      <c r="N96">
        <f ca="1" t="shared" si="163"/>
        <v>92028</v>
      </c>
      <c r="O96">
        <f ca="1" t="shared" si="138"/>
        <v>31590</v>
      </c>
      <c r="P96">
        <f ca="1">IF(G96="恒定伤害",0,(IF(D96="轻剑",$AZ$2,$AZ$3)+IFERROR(INDEX(技能数据库!$T$2:$W$27,MATCH(E96,技能数据库!$T$2:$T$27,0),4),0)+COUNTIF(G96,"*造化2*")*154+COUNTIF(G96,"*造化1*")*102+COUNTIF(G96,"*碧归*")*307)/1024)</f>
        <v>0.116321271929785</v>
      </c>
      <c r="Q96">
        <f ca="1" t="shared" si="98"/>
        <v>0.448284482196154</v>
      </c>
      <c r="R96">
        <f ca="1" t="shared" si="139"/>
        <v>0.21277697966198</v>
      </c>
      <c r="S96">
        <f ca="1" t="shared" si="164"/>
        <v>40205.9649047621</v>
      </c>
      <c r="T96">
        <f t="shared" si="165"/>
        <v>0.8</v>
      </c>
      <c r="U96">
        <f ca="1" t="shared" si="99"/>
        <v>1.7800129648</v>
      </c>
      <c r="V96">
        <f ca="1" t="shared" si="166"/>
        <v>89418.4829580261</v>
      </c>
      <c r="W96">
        <f ca="1">IF(G96="恒定伤害",0,MIN(1,IF(COUNTIF(F96,"*内会*")&gt;0,内会2,IF(D96="轻剑",$Y$2,$Y$3)+COUNTIF(G96,"*莺鸣*")*0.2+COUNTIF(G96,"*叠1*")*0.1+COUNTIF(G96,"*叠2*")*0.2+COUNTIF(G96,"*叠3*")*0.3)+IFERROR(INDEX(技能数据库!$T$2:$W$27,MATCH(E96,技能数据库!$T$2:$T$27,0),2),0)+IF((IF(D96="轻剑",$AO$2,$AO$3)+INT(COUNTIF(G96,"*大莺鸣*")*IF(D96="轻剑",$AM$2,$AM$3)*听晓无双率)/无双系数)&gt;0.9,特效裤子会心/会心系数,0)))</f>
        <v>0.7043</v>
      </c>
      <c r="X96">
        <f ca="1">IF(G96="恒定伤害",0,IF(COUNTIF(F96,"*内会*")&gt;0,内会效2,IF(D96="轻剑",$AB$2,$AB$3))+IFERROR(INDEX(技能数据库!$T$2:$W$27,MATCH(E96,技能数据库!$T$2:$T$27,0),3)/1024,0))+COUNTIF(G96,"*叠1*")*0.25+COUNTIF(G96,"*叠2*")*0.5+COUNTIF(G96,"*叠3*")*0.75</f>
        <v>2.1773735021</v>
      </c>
      <c r="Y96">
        <f ca="1" t="shared" si="167"/>
        <v>1.82922415752903</v>
      </c>
      <c r="Z96">
        <f t="shared" si="100"/>
        <v>0.150390625</v>
      </c>
      <c r="AA96">
        <f ca="1" t="shared" si="168"/>
        <v>0.0205078125</v>
      </c>
      <c r="AB96">
        <f ca="1" t="shared" si="169"/>
        <v>192024.168563884</v>
      </c>
      <c r="AC96">
        <f ca="1">无穷技能数计算!$AJ88</f>
        <v>0</v>
      </c>
      <c r="AD96" s="164">
        <f ca="1" t="shared" si="170"/>
        <v>0</v>
      </c>
      <c r="AE96" s="168"/>
      <c r="AF96" s="168">
        <f ca="1" t="shared" si="101"/>
        <v>0.7057</v>
      </c>
      <c r="AG96">
        <f ca="1">无穷技能数计算!$AJ88</f>
        <v>0</v>
      </c>
      <c r="AH96">
        <f ca="1" t="shared" si="102"/>
        <v>109879</v>
      </c>
      <c r="AJ96">
        <f ca="1" t="shared" si="103"/>
        <v>2.3765922521</v>
      </c>
      <c r="AK96">
        <f ca="1" t="shared" si="140"/>
        <v>31590</v>
      </c>
      <c r="AL96">
        <f ca="1" t="shared" si="104"/>
        <v>207012.519635349</v>
      </c>
      <c r="AM96" s="169">
        <f ca="1" t="shared" si="105"/>
        <v>0.7272</v>
      </c>
      <c r="AN96">
        <f ca="1">无穷技能数计算!$AJ88</f>
        <v>0</v>
      </c>
      <c r="AO96" s="170">
        <f ca="1" t="shared" si="106"/>
        <v>210120.313238642</v>
      </c>
      <c r="AP96">
        <f ca="1" t="shared" si="107"/>
        <v>110956</v>
      </c>
      <c r="AQ96" s="170">
        <f ca="1" t="shared" si="141"/>
        <v>31590</v>
      </c>
      <c r="AR96">
        <f ca="1" t="shared" si="108"/>
        <v>203289.751556001</v>
      </c>
      <c r="AS96">
        <f ca="1" t="shared" si="109"/>
        <v>0.7843</v>
      </c>
      <c r="AT96">
        <f ca="1">无穷技能数计算!$AJ88</f>
        <v>0</v>
      </c>
      <c r="AU96">
        <f ca="1" t="shared" si="110"/>
        <v>2.3238578771</v>
      </c>
      <c r="AV96">
        <f ca="1" t="shared" si="111"/>
        <v>1.7995442148</v>
      </c>
      <c r="AW96">
        <f ca="1" t="shared" si="142"/>
        <v>215475.525485898</v>
      </c>
      <c r="AX96">
        <f ca="1" t="shared" si="112"/>
        <v>0.7743</v>
      </c>
      <c r="AY96">
        <f ca="1">无穷技能数计算!$AJ88</f>
        <v>0</v>
      </c>
      <c r="AZ96" s="170">
        <f ca="1" t="shared" si="143"/>
        <v>214076.032137503</v>
      </c>
      <c r="BA96">
        <f ca="1" t="shared" si="113"/>
        <v>0.7643</v>
      </c>
      <c r="BB96">
        <f ca="1">无穷技能数计算!$AJ88</f>
        <v>0</v>
      </c>
      <c r="BC96" s="170">
        <f ca="1" t="shared" si="144"/>
        <v>212676.538789109</v>
      </c>
      <c r="BE96">
        <f ca="1" t="shared" si="114"/>
        <v>105849</v>
      </c>
      <c r="BF96">
        <f ca="1" t="shared" si="115"/>
        <v>31590</v>
      </c>
      <c r="BI96">
        <f ca="1" t="shared" si="116"/>
        <v>0.7543</v>
      </c>
      <c r="BJ96">
        <f ca="1">无穷技能数计算!$AJ88</f>
        <v>0</v>
      </c>
      <c r="BK96">
        <f ca="1" t="shared" si="117"/>
        <v>211542.321345443</v>
      </c>
      <c r="BM96">
        <f ca="1" t="shared" si="118"/>
        <v>109230</v>
      </c>
      <c r="BN96">
        <f ca="1" t="shared" si="119"/>
        <v>31590</v>
      </c>
      <c r="BO96">
        <f ca="1" t="shared" si="120"/>
        <v>207383.126573086</v>
      </c>
      <c r="BP96">
        <f ca="1" t="shared" si="121"/>
        <v>197769.328367823</v>
      </c>
      <c r="BR96">
        <f ca="1" t="shared" si="122"/>
        <v>0.7543</v>
      </c>
      <c r="BS96">
        <f ca="1" t="shared" si="123"/>
        <v>205568.167145231</v>
      </c>
      <c r="BT96">
        <f ca="1" t="shared" si="124"/>
        <v>0.196995876306796</v>
      </c>
      <c r="BU96">
        <f ca="1" t="shared" si="125"/>
        <v>2.3238578771</v>
      </c>
      <c r="BV96">
        <f ca="1" t="shared" si="145"/>
        <v>214008.880591162</v>
      </c>
      <c r="BW96">
        <f ca="1" t="shared" si="126"/>
        <v>113027</v>
      </c>
      <c r="BX96">
        <f ca="1" t="shared" si="127"/>
        <v>31590</v>
      </c>
      <c r="BY96">
        <f ca="1" t="shared" si="128"/>
        <v>0.7343</v>
      </c>
      <c r="BZ96">
        <f ca="1">无穷技能数计算!$AJ88</f>
        <v>0</v>
      </c>
      <c r="CA96">
        <f ca="1" t="shared" si="129"/>
        <v>2.3277641271</v>
      </c>
      <c r="CB96">
        <f ca="1" t="shared" si="146"/>
        <v>207324.702617396</v>
      </c>
      <c r="CC96">
        <f ca="1" t="shared" si="130"/>
        <v>114847</v>
      </c>
      <c r="CD96">
        <f ca="1" t="shared" si="131"/>
        <v>31590</v>
      </c>
      <c r="CE96">
        <f ca="1" t="shared" si="132"/>
        <v>201588.133719644</v>
      </c>
      <c r="CF96">
        <f ca="1" t="shared" si="133"/>
        <v>2.2750297521</v>
      </c>
      <c r="CG96">
        <f ca="1" t="shared" si="134"/>
        <v>0.7343</v>
      </c>
      <c r="CH96">
        <f ca="1" t="shared" si="147"/>
        <v>204687.763411289</v>
      </c>
      <c r="CJ96">
        <f ca="1" t="shared" si="135"/>
        <v>31590</v>
      </c>
      <c r="CK96">
        <f ca="1" t="shared" si="136"/>
        <v>206443.692312427</v>
      </c>
      <c r="CL96">
        <f ca="1" t="shared" si="148"/>
        <v>2.2976860021</v>
      </c>
      <c r="CM96">
        <f ca="1">IF(G96="恒定伤害",0,(IF(D96="轻剑",$CM$8,$CM$9)+IFERROR(INDEX(技能数据库!$T$2:$W$27,MATCH(E96,技能数据库!$T$2:$T$27,0),4),0)+COUNTIF(G96,"*造化2*")*154+COUNTIF(G96,"*造化1*")*102+COUNTIF(G96,"*碧归*")*307)/1024)</f>
        <v>0.176868146929785</v>
      </c>
      <c r="CN96">
        <f ca="1" t="shared" si="149"/>
        <v>217643.674320439</v>
      </c>
      <c r="CO96">
        <f ca="1" t="shared" si="150"/>
        <v>2.3262602208</v>
      </c>
      <c r="CP96">
        <f ca="1" t="shared" si="151"/>
        <v>219982.05909876</v>
      </c>
      <c r="CQ96">
        <f ca="1" t="shared" si="137"/>
        <v>1.8815754648</v>
      </c>
      <c r="CR96">
        <f ca="1">IF(G96="恒定伤害",0,(IF(D96="轻剑",$CR$8,$CR$9)+IFERROR(INDEX(技能数据库!$T$2:$W$27,MATCH(E96,技能数据库!$T$2:$T$27,0),4),0)+COUNTIF(G96,"*造化2*")*154+COUNTIF(G96,"*造化1*")*102+COUNTIF(G96,"*碧归*")*307)/1024)</f>
        <v>0.167102521929785</v>
      </c>
      <c r="CS96">
        <f ca="1" t="shared" si="152"/>
        <v>208093.673440614</v>
      </c>
    </row>
    <row r="97" spans="4:97">
      <c r="D97" t="s">
        <v>1825</v>
      </c>
      <c r="E97" t="s">
        <v>2820</v>
      </c>
      <c r="G97" t="s">
        <v>3044</v>
      </c>
      <c r="H97">
        <f ca="1">INDEX(技能数据库!$B$2:$I$100,MATCH(无穷阵眼收益计算!$E97,技能数据库!$B$2:$B$100,0),MATCH(H$9,技能数据库!$B$2:$I$2,0))</f>
        <v>31590</v>
      </c>
      <c r="I97">
        <f ca="1">INDEX(技能数据库!$B$2:$I$100,MATCH(无穷阵眼收益计算!$E97,技能数据库!$B$2:$B$100,0),MATCH(I$9,技能数据库!$B$2:$I$2,0))</f>
        <v>0</v>
      </c>
      <c r="J97">
        <f ca="1">INDEX(技能数据库!$B$2:$I$100,MATCH(无穷阵眼收益计算!$E97,技能数据库!$B$2:$B$100,0),MATCH(J$9,技能数据库!$B$2:$I$2,0))</f>
        <v>0</v>
      </c>
      <c r="K97">
        <f ca="1">INDEX(技能数据库!$B$2:$I$100,MATCH(无穷阵眼收益计算!$E97,技能数据库!$B$2:$B$100,0),MATCH(K$9,技能数据库!$B$2:$I$2,0))</f>
        <v>0</v>
      </c>
      <c r="L97">
        <f ca="1" t="shared" si="97"/>
        <v>105847</v>
      </c>
      <c r="M97">
        <f ca="1" t="shared" si="162"/>
        <v>19530.5</v>
      </c>
      <c r="N97">
        <f ca="1" t="shared" si="163"/>
        <v>92028</v>
      </c>
      <c r="O97">
        <f ca="1" t="shared" si="138"/>
        <v>31590</v>
      </c>
      <c r="P97">
        <f ca="1">IF(G97="恒定伤害",0,(IF(D97="轻剑",$AZ$2,$AZ$3)+IFERROR(INDEX(技能数据库!$T$2:$W$27,MATCH(E97,技能数据库!$T$2:$T$27,0),4),0)+COUNTIF(G97,"*造化2*")*154+COUNTIF(G97,"*造化1*")*102+COUNTIF(G97,"*碧归*")*307)/1024)</f>
        <v>0.116321271929785</v>
      </c>
      <c r="Q97">
        <f ca="1" t="shared" si="98"/>
        <v>0.448284482196154</v>
      </c>
      <c r="R97">
        <f ca="1" t="shared" si="139"/>
        <v>0.21277697966198</v>
      </c>
      <c r="S97">
        <f ca="1" t="shared" si="164"/>
        <v>40205.9649047621</v>
      </c>
      <c r="T97">
        <f t="shared" si="165"/>
        <v>0.8</v>
      </c>
      <c r="U97">
        <f ca="1" t="shared" si="99"/>
        <v>2.67001635480339</v>
      </c>
      <c r="V97">
        <f ca="1" t="shared" si="166"/>
        <v>118045.239008903</v>
      </c>
      <c r="W97">
        <f ca="1">IF(G97="恒定伤害",0,MIN(1,IF(COUNTIF(F97,"*内会*")&gt;0,内会2,IF(D97="轻剑",$Y$2,$Y$3)+COUNTIF(G97,"*莺鸣*")*0.2+COUNTIF(G97,"*叠1*")*0.1+COUNTIF(G97,"*叠2*")*0.2+COUNTIF(G97,"*叠3*")*0.3)+IFERROR(INDEX(技能数据库!$T$2:$W$27,MATCH(E97,技能数据库!$T$2:$T$27,0),2),0)+IF((IF(D97="轻剑",$AO$2,$AO$3)+INT(COUNTIF(G97,"*大莺鸣*")*IF(D97="轻剑",$AM$2,$AM$3)*听晓无双率)/无双系数)&gt;0.9,特效裤子会心/会心系数,0)))</f>
        <v>0.9043</v>
      </c>
      <c r="X97">
        <f ca="1">IF(G97="恒定伤害",0,IF(COUNTIF(F97,"*内会*")&gt;0,内会效2,IF(D97="轻剑",$AB$2,$AB$3))+IFERROR(INDEX(技能数据库!$T$2:$W$27,MATCH(E97,技能数据库!$T$2:$T$27,0),3)/1024,0))+COUNTIF(G97,"*叠1*")*0.25+COUNTIF(G97,"*叠2*")*0.5+COUNTIF(G97,"*叠3*")*0.75</f>
        <v>2.1773735021</v>
      </c>
      <c r="Y97">
        <f ca="1" t="shared" si="167"/>
        <v>2.06469885794903</v>
      </c>
      <c r="Z97">
        <f t="shared" si="100"/>
        <v>0.150390625</v>
      </c>
      <c r="AA97">
        <f ca="1" t="shared" si="168"/>
        <v>0.0205078125</v>
      </c>
      <c r="AB97">
        <f ca="1" t="shared" si="169"/>
        <v>286132.283645164</v>
      </c>
      <c r="AC97">
        <f ca="1">无穷技能数计算!$AJ89</f>
        <v>0</v>
      </c>
      <c r="AD97" s="164">
        <f ca="1" t="shared" si="170"/>
        <v>0</v>
      </c>
      <c r="AE97" s="168"/>
      <c r="AF97" s="168">
        <f ca="1" t="shared" si="101"/>
        <v>0.9057</v>
      </c>
      <c r="AG97">
        <f ca="1">无穷技能数计算!$AJ89</f>
        <v>0</v>
      </c>
      <c r="AH97">
        <f ca="1" t="shared" si="102"/>
        <v>109879</v>
      </c>
      <c r="AJ97">
        <f ca="1" t="shared" si="103"/>
        <v>2.3765922521</v>
      </c>
      <c r="AK97">
        <f ca="1" t="shared" si="140"/>
        <v>31590</v>
      </c>
      <c r="AL97">
        <f ca="1" t="shared" si="104"/>
        <v>311451.221493388</v>
      </c>
      <c r="AM97" s="169">
        <f ca="1" t="shared" si="105"/>
        <v>0.9272</v>
      </c>
      <c r="AN97">
        <f ca="1">无穷技能数计算!$AJ89</f>
        <v>0</v>
      </c>
      <c r="AO97" s="170">
        <f ca="1" t="shared" si="106"/>
        <v>315553.955364005</v>
      </c>
      <c r="AP97">
        <f ca="1" t="shared" si="107"/>
        <v>110956</v>
      </c>
      <c r="AQ97" s="170">
        <f ca="1" t="shared" si="141"/>
        <v>31590</v>
      </c>
      <c r="AR97">
        <f ca="1" t="shared" si="108"/>
        <v>302918.956969861</v>
      </c>
      <c r="AS97">
        <f ca="1" t="shared" si="109"/>
        <v>0.9843</v>
      </c>
      <c r="AT97">
        <f ca="1">无穷技能数计算!$AJ89</f>
        <v>0</v>
      </c>
      <c r="AU97">
        <f ca="1" t="shared" si="110"/>
        <v>2.3238578771</v>
      </c>
      <c r="AV97">
        <f ca="1" t="shared" si="111"/>
        <v>2.68954760480339</v>
      </c>
      <c r="AW97">
        <f ca="1" t="shared" si="142"/>
        <v>320865.500473818</v>
      </c>
      <c r="AX97">
        <f ca="1" t="shared" si="112"/>
        <v>0.9743</v>
      </c>
      <c r="AY97">
        <f ca="1">无穷技能数计算!$AJ89</f>
        <v>0</v>
      </c>
      <c r="AZ97" s="170">
        <f ca="1" t="shared" si="143"/>
        <v>319021.094050726</v>
      </c>
      <c r="BA97">
        <f ca="1" t="shared" si="113"/>
        <v>0.9643</v>
      </c>
      <c r="BB97">
        <f ca="1">无穷技能数计算!$AJ89</f>
        <v>0</v>
      </c>
      <c r="BC97" s="170">
        <f ca="1" t="shared" si="144"/>
        <v>317176.687627634</v>
      </c>
      <c r="BE97">
        <f ca="1" t="shared" si="114"/>
        <v>105849</v>
      </c>
      <c r="BF97">
        <f ca="1" t="shared" si="115"/>
        <v>31590</v>
      </c>
      <c r="BI97">
        <f ca="1" t="shared" si="116"/>
        <v>0.9543</v>
      </c>
      <c r="BJ97">
        <f ca="1">无穷技能数计算!$AJ89</f>
        <v>0</v>
      </c>
      <c r="BK97">
        <f ca="1" t="shared" si="117"/>
        <v>313563.704236413</v>
      </c>
      <c r="BM97">
        <f ca="1" t="shared" si="118"/>
        <v>109230</v>
      </c>
      <c r="BN97">
        <f ca="1" t="shared" si="119"/>
        <v>31590</v>
      </c>
      <c r="BO97">
        <f ca="1" t="shared" si="120"/>
        <v>309018.432625525</v>
      </c>
      <c r="BP97">
        <f ca="1" t="shared" si="121"/>
        <v>294693.058608553</v>
      </c>
      <c r="BR97">
        <f ca="1" t="shared" si="122"/>
        <v>0.9543</v>
      </c>
      <c r="BS97">
        <f ca="1" t="shared" si="123"/>
        <v>304708.37018891</v>
      </c>
      <c r="BT97">
        <f ca="1" t="shared" si="124"/>
        <v>0.196995876306796</v>
      </c>
      <c r="BU97">
        <f ca="1" t="shared" si="125"/>
        <v>2.3238578771</v>
      </c>
      <c r="BV97">
        <f ca="1" t="shared" si="145"/>
        <v>319950.876373897</v>
      </c>
      <c r="BW97">
        <f ca="1" t="shared" si="126"/>
        <v>113027</v>
      </c>
      <c r="BX97">
        <f ca="1" t="shared" si="127"/>
        <v>31590</v>
      </c>
      <c r="BY97">
        <f ca="1" t="shared" si="128"/>
        <v>0.9343</v>
      </c>
      <c r="BZ97">
        <f ca="1">无穷技能数计算!$AJ89</f>
        <v>0</v>
      </c>
      <c r="CA97">
        <f ca="1" t="shared" si="129"/>
        <v>2.3277641271</v>
      </c>
      <c r="CB97">
        <f ca="1" t="shared" si="146"/>
        <v>310499.504496776</v>
      </c>
      <c r="CC97">
        <f ca="1" t="shared" si="130"/>
        <v>114847</v>
      </c>
      <c r="CD97">
        <f ca="1" t="shared" si="131"/>
        <v>31590</v>
      </c>
      <c r="CE97">
        <f ca="1" t="shared" si="132"/>
        <v>299734.430096546</v>
      </c>
      <c r="CF97">
        <f ca="1" t="shared" si="133"/>
        <v>2.2750297521</v>
      </c>
      <c r="CG97">
        <f ca="1" t="shared" si="134"/>
        <v>0.9343</v>
      </c>
      <c r="CH97">
        <f ca="1" t="shared" si="147"/>
        <v>305287.647343254</v>
      </c>
      <c r="CJ97">
        <f ca="1" t="shared" si="135"/>
        <v>31590</v>
      </c>
      <c r="CK97">
        <f ca="1" t="shared" si="136"/>
        <v>307618.595967738</v>
      </c>
      <c r="CL97">
        <f ca="1" t="shared" si="148"/>
        <v>2.2976860021</v>
      </c>
      <c r="CM97">
        <f ca="1">IF(G97="恒定伤害",0,(IF(D97="轻剑",$CM$8,$CM$9)+IFERROR(INDEX(技能数据库!$T$2:$W$27,MATCH(E97,技能数据库!$T$2:$T$27,0),4),0)+COUNTIF(G97,"*造化2*")*154+COUNTIF(G97,"*造化1*")*102+COUNTIF(G97,"*碧归*")*307)/1024)</f>
        <v>0.176868146929785</v>
      </c>
      <c r="CN97">
        <f ca="1" t="shared" si="149"/>
        <v>324954.849380984</v>
      </c>
      <c r="CO97">
        <f ca="1" t="shared" si="150"/>
        <v>2.3262602208</v>
      </c>
      <c r="CP97">
        <f ca="1" t="shared" si="151"/>
        <v>328876.009557469</v>
      </c>
      <c r="CQ97">
        <f ca="1" t="shared" si="137"/>
        <v>2.77157885480339</v>
      </c>
      <c r="CR97">
        <f ca="1">IF(G97="恒定伤害",0,(IF(D97="轻剑",$CR$8,$CR$9)+IFERROR(INDEX(技能数据库!$T$2:$W$27,MATCH(E97,技能数据库!$T$2:$T$27,0),4),0)+COUNTIF(G97,"*造化2*")*154+COUNTIF(G97,"*造化1*")*102+COUNTIF(G97,"*碧归*")*307)/1024)</f>
        <v>0.167102521929785</v>
      </c>
      <c r="CS97">
        <f ca="1" t="shared" si="152"/>
        <v>307426.896356429</v>
      </c>
    </row>
    <row r="98" spans="4:97">
      <c r="D98" t="s">
        <v>1825</v>
      </c>
      <c r="E98" t="s">
        <v>2768</v>
      </c>
      <c r="G98" t="s">
        <v>3100</v>
      </c>
      <c r="H98">
        <f ca="1">INDEX(技能数据库!$B$2:$I$100,MATCH(无穷阵眼收益计算!$E98,技能数据库!$B$2:$B$100,0),MATCH(H$9,技能数据库!$B$2:$I$2,0))</f>
        <v>210</v>
      </c>
      <c r="I98">
        <f ca="1">INDEX(技能数据库!$B$2:$I$100,MATCH(无穷阵眼收益计算!$E98,技能数据库!$B$2:$B$100,0),MATCH(I$9,技能数据库!$B$2:$I$2,0))</f>
        <v>5.7875</v>
      </c>
      <c r="J98">
        <f ca="1">INDEX(技能数据库!$B$2:$I$100,MATCH(无穷阵眼收益计算!$E98,技能数据库!$B$2:$B$100,0),MATCH(J$9,技能数据库!$B$2:$I$2,0))</f>
        <v>2</v>
      </c>
      <c r="K98">
        <f ca="1">INDEX(技能数据库!$B$2:$I$100,MATCH(无穷阵眼收益计算!$E98,技能数据库!$B$2:$B$100,0),MATCH(K$9,技能数据库!$B$2:$I$2,0))</f>
        <v>0</v>
      </c>
      <c r="L98">
        <f ca="1" t="shared" si="97"/>
        <v>105847</v>
      </c>
      <c r="M98">
        <f ca="1" t="shared" si="162"/>
        <v>19530.5</v>
      </c>
      <c r="N98">
        <f ca="1" t="shared" si="163"/>
        <v>92028</v>
      </c>
      <c r="O98">
        <f ca="1" t="shared" si="138"/>
        <v>651860.5125</v>
      </c>
      <c r="P98">
        <f ca="1">IF(G98="恒定伤害",0,(IF(D98="轻剑",$AZ$2,$AZ$3)+IFERROR(INDEX(技能数据库!$T$2:$W$27,MATCH(E98,技能数据库!$T$2:$T$27,0),4),0)+COUNTIF(G98,"*造化2*")*154+COUNTIF(G98,"*造化1*")*102+COUNTIF(G98,"*碧归*")*307)/1024)</f>
        <v>0.686633771929785</v>
      </c>
      <c r="Q98">
        <f ca="1" t="shared" si="98"/>
        <v>0.448284482196154</v>
      </c>
      <c r="R98">
        <f ca="1" t="shared" si="139"/>
        <v>0.21277697966198</v>
      </c>
      <c r="S98">
        <f ca="1" t="shared" si="164"/>
        <v>1253508.05389526</v>
      </c>
      <c r="T98">
        <f t="shared" si="165"/>
        <v>0.8</v>
      </c>
      <c r="U98">
        <f ca="1" t="shared" si="99"/>
        <v>1.7800129648</v>
      </c>
      <c r="V98">
        <f ca="1" t="shared" si="166"/>
        <v>2787814.91304804</v>
      </c>
      <c r="W98">
        <f ca="1">IF(G98="恒定伤害",0,MIN(1,IF(COUNTIF(F98,"*内会*")&gt;0,内会2,IF(D98="轻剑",$Y$2,$Y$3)+COUNTIF(G98,"*莺鸣*")*0.2+COUNTIF(G98,"*叠1*")*0.1+COUNTIF(G98,"*叠2*")*0.2+COUNTIF(G98,"*叠3*")*0.3)+IFERROR(INDEX(技能数据库!$T$2:$W$27,MATCH(E98,技能数据库!$T$2:$T$27,0),2),0)+IF((IF(D98="轻剑",$AO$2,$AO$3)+INT(COUNTIF(G98,"*大莺鸣*")*IF(D98="轻剑",$AM$2,$AM$3)*听晓无双率)/无双系数)&gt;0.9,特效裤子会心/会心系数,0)))</f>
        <v>0.7043</v>
      </c>
      <c r="X98">
        <f ca="1">IF(G98="恒定伤害",0,IF(COUNTIF(F98,"*内会*")&gt;0,内会效2,IF(D98="轻剑",$AB$2,$AB$3))+IFERROR(INDEX(技能数据库!$T$2:$W$27,MATCH(E98,技能数据库!$T$2:$T$27,0),3)/1024,0))+COUNTIF(G98,"*叠1*")*0.25+COUNTIF(G98,"*叠2*")*0.5+COUNTIF(G98,"*叠3*")*0.75</f>
        <v>2.1773735021</v>
      </c>
      <c r="Y98">
        <f ca="1" t="shared" si="167"/>
        <v>1.82922415752903</v>
      </c>
      <c r="Z98">
        <f t="shared" si="100"/>
        <v>0.150390625</v>
      </c>
      <c r="AA98">
        <f ca="1" t="shared" si="168"/>
        <v>0.0205078125</v>
      </c>
      <c r="AB98">
        <f ca="1" t="shared" si="169"/>
        <v>5986769.43601621</v>
      </c>
      <c r="AC98">
        <f ca="1">无穷技能数计算!$AJ90</f>
        <v>0</v>
      </c>
      <c r="AD98" s="164">
        <f ca="1" t="shared" si="170"/>
        <v>0</v>
      </c>
      <c r="AE98" s="168"/>
      <c r="AF98" s="168">
        <f ca="1" t="shared" si="101"/>
        <v>0.7057</v>
      </c>
      <c r="AG98">
        <f ca="1">无穷技能数计算!$AJ90</f>
        <v>0</v>
      </c>
      <c r="AH98">
        <f ca="1" t="shared" si="102"/>
        <v>109879</v>
      </c>
      <c r="AJ98">
        <f ca="1" t="shared" si="103"/>
        <v>2.3765922521</v>
      </c>
      <c r="AK98">
        <f ca="1" t="shared" si="140"/>
        <v>675672.7125</v>
      </c>
      <c r="AL98">
        <f ca="1" t="shared" si="104"/>
        <v>6689828.07961907</v>
      </c>
      <c r="AM98" s="169">
        <f ca="1" t="shared" si="105"/>
        <v>0.7272</v>
      </c>
      <c r="AN98">
        <f ca="1">无穷技能数计算!$AJ90</f>
        <v>0</v>
      </c>
      <c r="AO98" s="170">
        <f ca="1" t="shared" si="106"/>
        <v>6790259.71027404</v>
      </c>
      <c r="AP98">
        <f ca="1" t="shared" si="107"/>
        <v>110956</v>
      </c>
      <c r="AQ98" s="170">
        <f ca="1" t="shared" si="141"/>
        <v>681428.85</v>
      </c>
      <c r="AR98">
        <f ca="1" t="shared" si="108"/>
        <v>6625489.45922595</v>
      </c>
      <c r="AS98">
        <f ca="1" t="shared" si="109"/>
        <v>0.7843</v>
      </c>
      <c r="AT98">
        <f ca="1">无穷技能数计算!$AJ90</f>
        <v>0</v>
      </c>
      <c r="AU98">
        <f ca="1" t="shared" si="110"/>
        <v>2.3238578771</v>
      </c>
      <c r="AV98">
        <f ca="1" t="shared" si="111"/>
        <v>1.7995442148</v>
      </c>
      <c r="AW98">
        <f ca="1" t="shared" si="142"/>
        <v>6717916.29062221</v>
      </c>
      <c r="AX98">
        <f ca="1" t="shared" si="112"/>
        <v>0.7743</v>
      </c>
      <c r="AY98">
        <f ca="1">无穷技能数计算!$AJ90</f>
        <v>0</v>
      </c>
      <c r="AZ98" s="170">
        <f ca="1" t="shared" si="143"/>
        <v>6674284.05377027</v>
      </c>
      <c r="BA98">
        <f ca="1" t="shared" si="113"/>
        <v>0.7643</v>
      </c>
      <c r="BB98">
        <f ca="1">无穷技能数计算!$AJ90</f>
        <v>0</v>
      </c>
      <c r="BC98" s="170">
        <f ca="1" t="shared" si="144"/>
        <v>6630651.81691834</v>
      </c>
      <c r="BE98">
        <f ca="1" t="shared" si="114"/>
        <v>105849</v>
      </c>
      <c r="BF98">
        <f ca="1" t="shared" si="115"/>
        <v>651872.0875</v>
      </c>
      <c r="BI98">
        <f ca="1" t="shared" si="116"/>
        <v>0.7543</v>
      </c>
      <c r="BJ98">
        <f ca="1">无穷技能数计算!$AJ90</f>
        <v>0</v>
      </c>
      <c r="BK98">
        <f ca="1" t="shared" si="117"/>
        <v>6595407.24274765</v>
      </c>
      <c r="BM98">
        <f ca="1" t="shared" si="118"/>
        <v>109230</v>
      </c>
      <c r="BN98">
        <f ca="1" t="shared" si="119"/>
        <v>671439.625</v>
      </c>
      <c r="BO98">
        <f ca="1" t="shared" si="120"/>
        <v>6659817.8482382</v>
      </c>
      <c r="BP98">
        <f ca="1" t="shared" si="121"/>
        <v>6351084.22108745</v>
      </c>
      <c r="BR98">
        <f ca="1" t="shared" si="122"/>
        <v>0.7543</v>
      </c>
      <c r="BS98">
        <f ca="1" t="shared" si="123"/>
        <v>6601532.97525362</v>
      </c>
      <c r="BT98">
        <f ca="1" t="shared" si="124"/>
        <v>0.196995876306796</v>
      </c>
      <c r="BU98">
        <f ca="1" t="shared" si="125"/>
        <v>2.3238578771</v>
      </c>
      <c r="BV98">
        <f ca="1" t="shared" si="145"/>
        <v>6672190.458843</v>
      </c>
      <c r="BW98">
        <f ca="1" t="shared" si="126"/>
        <v>113027</v>
      </c>
      <c r="BX98">
        <f ca="1" t="shared" si="127"/>
        <v>693414.7625</v>
      </c>
      <c r="BY98">
        <f ca="1" t="shared" si="128"/>
        <v>0.7343</v>
      </c>
      <c r="BZ98">
        <f ca="1">无穷技能数计算!$AJ90</f>
        <v>0</v>
      </c>
      <c r="CA98">
        <f ca="1" t="shared" si="129"/>
        <v>2.3277641271</v>
      </c>
      <c r="CB98">
        <f ca="1" t="shared" si="146"/>
        <v>6875845.35165857</v>
      </c>
      <c r="CC98">
        <f ca="1" t="shared" si="130"/>
        <v>114847</v>
      </c>
      <c r="CD98">
        <f ca="1" t="shared" si="131"/>
        <v>703948.0125</v>
      </c>
      <c r="CE98">
        <f ca="1" t="shared" si="132"/>
        <v>6787151.08715168</v>
      </c>
      <c r="CF98">
        <f ca="1" t="shared" si="133"/>
        <v>2.2750297521</v>
      </c>
      <c r="CG98">
        <f ca="1" t="shared" si="134"/>
        <v>0.7343</v>
      </c>
      <c r="CH98">
        <f ca="1" t="shared" si="147"/>
        <v>6381584.43846894</v>
      </c>
      <c r="CJ98">
        <f ca="1" t="shared" si="135"/>
        <v>671439.625</v>
      </c>
      <c r="CK98">
        <f ca="1" t="shared" si="136"/>
        <v>6629649.23635658</v>
      </c>
      <c r="CL98">
        <f ca="1" t="shared" si="148"/>
        <v>2.2976860021</v>
      </c>
      <c r="CM98">
        <f ca="1">IF(G98="恒定伤害",0,(IF(D98="轻剑",$CM$8,$CM$9)+IFERROR(INDEX(技能数据库!$T$2:$W$27,MATCH(E98,技能数据库!$T$2:$T$27,0),4),0)+COUNTIF(G98,"*造化2*")*154+COUNTIF(G98,"*造化1*")*102+COUNTIF(G98,"*碧归*")*307)/1024)</f>
        <v>0.747180646929785</v>
      </c>
      <c r="CN98">
        <f ca="1" t="shared" si="149"/>
        <v>6667470.4423951</v>
      </c>
      <c r="CO98">
        <f ca="1" t="shared" si="150"/>
        <v>2.3262602208</v>
      </c>
      <c r="CP98">
        <f ca="1" t="shared" si="151"/>
        <v>6739106.39249144</v>
      </c>
      <c r="CQ98">
        <f ca="1" t="shared" si="137"/>
        <v>1.8815754648</v>
      </c>
      <c r="CR98">
        <f ca="1">IF(G98="恒定伤害",0,(IF(D98="轻剑",$CR$8,$CR$9)+IFERROR(INDEX(技能数据库!$T$2:$W$27,MATCH(E98,技能数据库!$T$2:$T$27,0),4),0)+COUNTIF(G98,"*造化2*")*154+COUNTIF(G98,"*造化1*")*102+COUNTIF(G98,"*碧归*")*307)/1024)</f>
        <v>0.737415021929785</v>
      </c>
      <c r="CS98">
        <f ca="1" t="shared" si="152"/>
        <v>6392319.7296449</v>
      </c>
    </row>
    <row r="99" spans="4:97">
      <c r="D99" t="s">
        <v>1825</v>
      </c>
      <c r="E99" t="s">
        <v>2776</v>
      </c>
      <c r="G99" t="s">
        <v>3100</v>
      </c>
      <c r="H99">
        <f ca="1">INDEX(技能数据库!$B$2:$I$100,MATCH(无穷阵眼收益计算!$E99,技能数据库!$B$2:$B$100,0),MATCH(H$9,技能数据库!$B$2:$I$2,0))</f>
        <v>281.5</v>
      </c>
      <c r="I99">
        <f ca="1">INDEX(技能数据库!$B$2:$I$100,MATCH(无穷阵眼收益计算!$E99,技能数据库!$B$2:$B$100,0),MATCH(I$9,技能数据库!$B$2:$I$2,0))</f>
        <v>7.06875</v>
      </c>
      <c r="J99">
        <f ca="1">INDEX(技能数据库!$B$2:$I$100,MATCH(无穷阵眼收益计算!$E99,技能数据库!$B$2:$B$100,0),MATCH(J$9,技能数据库!$B$2:$I$2,0))</f>
        <v>2</v>
      </c>
      <c r="K99">
        <f ca="1">INDEX(技能数据库!$B$2:$I$100,MATCH(无穷阵眼收益计算!$E99,技能数据库!$B$2:$B$100,0),MATCH(K$9,技能数据库!$B$2:$I$2,0))</f>
        <v>0</v>
      </c>
      <c r="L99">
        <f ca="1" t="shared" si="97"/>
        <v>105847</v>
      </c>
      <c r="M99">
        <f ca="1" t="shared" si="162"/>
        <v>19530.5</v>
      </c>
      <c r="N99">
        <f ca="1" t="shared" si="163"/>
        <v>92028</v>
      </c>
      <c r="O99">
        <f ca="1" t="shared" si="138"/>
        <v>787548.48125</v>
      </c>
      <c r="P99">
        <f ca="1">IF(G99="恒定伤害",0,(IF(D99="轻剑",$AZ$2,$AZ$3)+IFERROR(INDEX(技能数据库!$T$2:$W$27,MATCH(E99,技能数据库!$T$2:$T$27,0),4),0)+COUNTIF(G99,"*造化2*")*154+COUNTIF(G99,"*造化1*")*102+COUNTIF(G99,"*碧归*")*307)/1024)</f>
        <v>0.636829084429785</v>
      </c>
      <c r="Q99">
        <f ca="1" t="shared" si="98"/>
        <v>0.448284482196154</v>
      </c>
      <c r="R99">
        <f ca="1" t="shared" si="139"/>
        <v>0.21277697966198</v>
      </c>
      <c r="S99">
        <f ca="1" t="shared" si="164"/>
        <v>1469712.18391797</v>
      </c>
      <c r="T99">
        <f t="shared" si="165"/>
        <v>0.8</v>
      </c>
      <c r="U99">
        <f ca="1" t="shared" si="99"/>
        <v>1.7800129648</v>
      </c>
      <c r="V99">
        <f ca="1" t="shared" si="166"/>
        <v>3268655.14065319</v>
      </c>
      <c r="W99">
        <f ca="1">IF(G99="恒定伤害",0,MIN(1,IF(COUNTIF(F99,"*内会*")&gt;0,内会2,IF(D99="轻剑",$Y$2,$Y$3)+COUNTIF(G99,"*莺鸣*")*0.2+COUNTIF(G99,"*叠1*")*0.1+COUNTIF(G99,"*叠2*")*0.2+COUNTIF(G99,"*叠3*")*0.3)+IFERROR(INDEX(技能数据库!$T$2:$W$27,MATCH(E99,技能数据库!$T$2:$T$27,0),2),0)+IF((IF(D99="轻剑",$AO$2,$AO$3)+INT(COUNTIF(G99,"*大莺鸣*")*IF(D99="轻剑",$AM$2,$AM$3)*听晓无双率)/无双系数)&gt;0.9,特效裤子会心/会心系数,0)))</f>
        <v>0.7043</v>
      </c>
      <c r="X99">
        <f ca="1">IF(G99="恒定伤害",0,IF(COUNTIF(F99,"*内会*")&gt;0,内会效2,IF(D99="轻剑",$AB$2,$AB$3))+IFERROR(INDEX(技能数据库!$T$2:$W$27,MATCH(E99,技能数据库!$T$2:$T$27,0),3)/1024,0))+COUNTIF(G99,"*叠1*")*0.25+COUNTIF(G99,"*叠2*")*0.5+COUNTIF(G99,"*叠3*")*0.75</f>
        <v>2.1773735021</v>
      </c>
      <c r="Y99">
        <f ca="1" t="shared" si="167"/>
        <v>1.82922415752903</v>
      </c>
      <c r="Z99">
        <f t="shared" si="100"/>
        <v>0.150390625</v>
      </c>
      <c r="AA99">
        <f ca="1" t="shared" si="168"/>
        <v>0.0205078125</v>
      </c>
      <c r="AB99">
        <f ca="1" t="shared" si="169"/>
        <v>7019362.9431247</v>
      </c>
      <c r="AC99">
        <f ca="1">无穷技能数计算!$AJ91</f>
        <v>0</v>
      </c>
      <c r="AD99" s="164">
        <f ca="1" t="shared" si="170"/>
        <v>0</v>
      </c>
      <c r="AE99" s="168"/>
      <c r="AF99" s="168">
        <f ca="1" t="shared" si="101"/>
        <v>0.7057</v>
      </c>
      <c r="AG99">
        <f ca="1">无穷技能数计算!$AJ91</f>
        <v>0</v>
      </c>
      <c r="AH99">
        <f ca="1" t="shared" si="102"/>
        <v>109879</v>
      </c>
      <c r="AJ99">
        <f ca="1" t="shared" si="103"/>
        <v>2.3765922521</v>
      </c>
      <c r="AK99">
        <f ca="1" t="shared" si="140"/>
        <v>816526.68125</v>
      </c>
      <c r="AL99">
        <f ca="1" t="shared" si="104"/>
        <v>7845696.40632156</v>
      </c>
      <c r="AM99" s="169">
        <f ca="1" t="shared" si="105"/>
        <v>0.7272</v>
      </c>
      <c r="AN99">
        <f ca="1">无穷技能数计算!$AJ91</f>
        <v>0</v>
      </c>
      <c r="AO99" s="170">
        <f ca="1" t="shared" si="106"/>
        <v>7963480.61158556</v>
      </c>
      <c r="AP99">
        <f ca="1" t="shared" si="107"/>
        <v>110956</v>
      </c>
      <c r="AQ99" s="170">
        <f ca="1" t="shared" si="141"/>
        <v>823662.725</v>
      </c>
      <c r="AR99">
        <f ca="1" t="shared" si="108"/>
        <v>7771939.37813517</v>
      </c>
      <c r="AS99">
        <f ca="1" t="shared" si="109"/>
        <v>0.7843</v>
      </c>
      <c r="AT99">
        <f ca="1">无穷技能数计算!$AJ91</f>
        <v>0</v>
      </c>
      <c r="AU99">
        <f ca="1" t="shared" si="110"/>
        <v>2.3238578771</v>
      </c>
      <c r="AV99">
        <f ca="1" t="shared" si="111"/>
        <v>1.7995442148</v>
      </c>
      <c r="AW99">
        <f ca="1" t="shared" si="142"/>
        <v>7876617.45944672</v>
      </c>
      <c r="AX99">
        <f ca="1" t="shared" si="112"/>
        <v>0.7743</v>
      </c>
      <c r="AY99">
        <f ca="1">无穷技能数计算!$AJ91</f>
        <v>0</v>
      </c>
      <c r="AZ99" s="170">
        <f ca="1" t="shared" si="143"/>
        <v>7825459.5670713</v>
      </c>
      <c r="BA99">
        <f ca="1" t="shared" si="113"/>
        <v>0.7643</v>
      </c>
      <c r="BB99">
        <f ca="1">无穷技能数计算!$AJ91</f>
        <v>0</v>
      </c>
      <c r="BC99" s="170">
        <f ca="1" t="shared" si="144"/>
        <v>7774301.67469589</v>
      </c>
      <c r="BE99">
        <f ca="1" t="shared" si="114"/>
        <v>105849</v>
      </c>
      <c r="BF99">
        <f ca="1" t="shared" si="115"/>
        <v>787562.61875</v>
      </c>
      <c r="BI99">
        <f ca="1" t="shared" si="116"/>
        <v>0.7543</v>
      </c>
      <c r="BJ99">
        <f ca="1">无穷技能数计算!$AJ91</f>
        <v>0</v>
      </c>
      <c r="BK99">
        <f ca="1" t="shared" si="117"/>
        <v>7732979.64611445</v>
      </c>
      <c r="BM99">
        <f ca="1" t="shared" si="118"/>
        <v>109230</v>
      </c>
      <c r="BN99">
        <f ca="1" t="shared" si="119"/>
        <v>811462.0625</v>
      </c>
      <c r="BO99">
        <f ca="1" t="shared" si="120"/>
        <v>7810991.1398534</v>
      </c>
      <c r="BP99">
        <f ca="1" t="shared" si="121"/>
        <v>7448891.80302437</v>
      </c>
      <c r="BR99">
        <f ca="1" t="shared" si="122"/>
        <v>0.7543</v>
      </c>
      <c r="BS99">
        <f ca="1" t="shared" si="123"/>
        <v>7742631.51848772</v>
      </c>
      <c r="BT99">
        <f ca="1" t="shared" si="124"/>
        <v>0.196995876306796</v>
      </c>
      <c r="BU99">
        <f ca="1" t="shared" si="125"/>
        <v>2.3238578771</v>
      </c>
      <c r="BV99">
        <f ca="1" t="shared" si="145"/>
        <v>7823004.87045948</v>
      </c>
      <c r="BW99">
        <f ca="1" t="shared" si="126"/>
        <v>113027</v>
      </c>
      <c r="BX99">
        <f ca="1" t="shared" si="127"/>
        <v>838302.10625</v>
      </c>
      <c r="BY99">
        <f ca="1" t="shared" si="128"/>
        <v>0.7343</v>
      </c>
      <c r="BZ99">
        <f ca="1">无穷技能数计算!$AJ91</f>
        <v>0</v>
      </c>
      <c r="CA99">
        <f ca="1" t="shared" si="129"/>
        <v>2.3277641271</v>
      </c>
      <c r="CB99">
        <f ca="1" t="shared" si="146"/>
        <v>8067075.38570939</v>
      </c>
      <c r="CC99">
        <f ca="1" t="shared" si="130"/>
        <v>114847</v>
      </c>
      <c r="CD99">
        <f ca="1" t="shared" si="131"/>
        <v>851167.23125</v>
      </c>
      <c r="CE99">
        <f ca="1" t="shared" si="132"/>
        <v>7964240.51011976</v>
      </c>
      <c r="CF99">
        <f ca="1" t="shared" si="133"/>
        <v>2.2750297521</v>
      </c>
      <c r="CG99">
        <f ca="1" t="shared" si="134"/>
        <v>0.7343</v>
      </c>
      <c r="CH99">
        <f ca="1" t="shared" si="147"/>
        <v>7482275.34140982</v>
      </c>
      <c r="CJ99">
        <f ca="1" t="shared" si="135"/>
        <v>811462.0625</v>
      </c>
      <c r="CK99">
        <f ca="1" t="shared" si="136"/>
        <v>7775607.77570159</v>
      </c>
      <c r="CL99">
        <f ca="1" t="shared" si="148"/>
        <v>2.2976860021</v>
      </c>
      <c r="CM99">
        <f ca="1">IF(G99="恒定伤害",0,(IF(D99="轻剑",$CM$8,$CM$9)+IFERROR(INDEX(技能数据库!$T$2:$W$27,MATCH(E99,技能数据库!$T$2:$T$27,0),4),0)+COUNTIF(G99,"*造化2*")*154+COUNTIF(G99,"*造化1*")*102+COUNTIF(G99,"*碧归*")*307)/1024)</f>
        <v>0.697375959429785</v>
      </c>
      <c r="CN99">
        <f ca="1" t="shared" si="149"/>
        <v>7825713.78277382</v>
      </c>
      <c r="CO99">
        <f ca="1" t="shared" si="150"/>
        <v>2.3262602208</v>
      </c>
      <c r="CP99">
        <f ca="1" t="shared" si="151"/>
        <v>7909794.01182837</v>
      </c>
      <c r="CQ99">
        <f ca="1" t="shared" si="137"/>
        <v>1.8815754648</v>
      </c>
      <c r="CR99">
        <f ca="1">IF(G99="恒定伤害",0,(IF(D99="轻剑",$CR$8,$CR$9)+IFERROR(INDEX(技能数据库!$T$2:$W$27,MATCH(E99,技能数据库!$T$2:$T$27,0),4),0)+COUNTIF(G99,"*造化2*")*154+COUNTIF(G99,"*造化1*")*102+COUNTIF(G99,"*碧归*")*307)/1024)</f>
        <v>0.687610334429785</v>
      </c>
      <c r="CS99">
        <f ca="1" t="shared" si="152"/>
        <v>7501527.71108823</v>
      </c>
    </row>
    <row r="100" spans="4:97">
      <c r="D100" t="s">
        <v>1825</v>
      </c>
      <c r="E100" t="s">
        <v>2780</v>
      </c>
      <c r="G100" t="s">
        <v>3100</v>
      </c>
      <c r="H100">
        <f ca="1">INDEX(技能数据库!$B$2:$I$100,MATCH(无穷阵眼收益计算!$E100,技能数据库!$B$2:$B$100,0),MATCH(H$9,技能数据库!$B$2:$I$2,0))</f>
        <v>252.5</v>
      </c>
      <c r="I100">
        <f ca="1">INDEX(技能数据库!$B$2:$I$100,MATCH(无穷阵眼收益计算!$E100,技能数据库!$B$2:$B$100,0),MATCH(I$9,技能数据库!$B$2:$I$2,0))</f>
        <v>2.11875</v>
      </c>
      <c r="J100">
        <f ca="1">INDEX(技能数据库!$B$2:$I$100,MATCH(无穷阵眼收益计算!$E100,技能数据库!$B$2:$B$100,0),MATCH(J$9,技能数据库!$B$2:$I$2,0))</f>
        <v>2</v>
      </c>
      <c r="K100">
        <f ca="1">INDEX(技能数据库!$B$2:$I$100,MATCH(无穷阵眼收益计算!$E100,技能数据库!$B$2:$B$100,0),MATCH(K$9,技能数据库!$B$2:$I$2,0))</f>
        <v>0</v>
      </c>
      <c r="L100">
        <f ca="1" t="shared" si="97"/>
        <v>105847</v>
      </c>
      <c r="M100">
        <f ca="1" t="shared" si="162"/>
        <v>19530.5</v>
      </c>
      <c r="N100">
        <f ca="1" t="shared" si="163"/>
        <v>92028</v>
      </c>
      <c r="O100">
        <f ca="1" t="shared" si="138"/>
        <v>263576.83125</v>
      </c>
      <c r="P100">
        <f ca="1">IF(G100="恒定伤害",0,(IF(D100="轻剑",$AZ$2,$AZ$3)+IFERROR(INDEX(技能数据库!$T$2:$W$27,MATCH(E100,技能数据库!$T$2:$T$27,0),4),0)+COUNTIF(G100,"*造化2*")*154+COUNTIF(G100,"*造化1*")*102+COUNTIF(G100,"*碧归*")*307)/1024)</f>
        <v>0.636829084429785</v>
      </c>
      <c r="Q100">
        <f ca="1" t="shared" si="98"/>
        <v>0.448284482196154</v>
      </c>
      <c r="R100">
        <f ca="1" t="shared" si="139"/>
        <v>0.21277697966198</v>
      </c>
      <c r="S100">
        <f ca="1" t="shared" si="164"/>
        <v>491883.470680767</v>
      </c>
      <c r="T100">
        <f t="shared" si="165"/>
        <v>0.8</v>
      </c>
      <c r="U100">
        <f ca="1" t="shared" si="99"/>
        <v>1.7800129648</v>
      </c>
      <c r="V100">
        <f ca="1" t="shared" si="166"/>
        <v>1093953.94053068</v>
      </c>
      <c r="W100">
        <f ca="1">IF(G100="恒定伤害",0,MIN(1,IF(COUNTIF(F100,"*内会*")&gt;0,内会2,IF(D100="轻剑",$Y$2,$Y$3)+COUNTIF(G100,"*莺鸣*")*0.2+COUNTIF(G100,"*叠1*")*0.1+COUNTIF(G100,"*叠2*")*0.2+COUNTIF(G100,"*叠3*")*0.3)+IFERROR(INDEX(技能数据库!$T$2:$W$27,MATCH(E100,技能数据库!$T$2:$T$27,0),2),0)+IF((IF(D100="轻剑",$AO$2,$AO$3)+INT(COUNTIF(G100,"*大莺鸣*")*IF(D100="轻剑",$AM$2,$AM$3)*听晓无双率)/无双系数)&gt;0.9,特效裤子会心/会心系数,0)))</f>
        <v>0.7043</v>
      </c>
      <c r="X100">
        <f ca="1">IF(G100="恒定伤害",0,IF(COUNTIF(F100,"*内会*")&gt;0,内会效2,IF(D100="轻剑",$AB$2,$AB$3))+IFERROR(INDEX(技能数据库!$T$2:$W$27,MATCH(E100,技能数据库!$T$2:$T$27,0),3)/1024,0))+COUNTIF(G100,"*叠1*")*0.25+COUNTIF(G100,"*叠2*")*0.5+COUNTIF(G100,"*叠3*")*0.75</f>
        <v>2.1773735021</v>
      </c>
      <c r="Y100">
        <f ca="1" t="shared" si="167"/>
        <v>1.82922415752903</v>
      </c>
      <c r="Z100">
        <f t="shared" si="100"/>
        <v>0.150390625</v>
      </c>
      <c r="AA100">
        <f ca="1" t="shared" si="168"/>
        <v>0.0205078125</v>
      </c>
      <c r="AB100">
        <f ca="1" t="shared" si="169"/>
        <v>2349241.33052219</v>
      </c>
      <c r="AC100">
        <f ca="1">无穷技能数计算!$AJ92</f>
        <v>0</v>
      </c>
      <c r="AD100" s="164">
        <f ca="1" t="shared" si="170"/>
        <v>0</v>
      </c>
      <c r="AE100" s="168"/>
      <c r="AF100" s="168">
        <f ca="1" t="shared" si="101"/>
        <v>0.7057</v>
      </c>
      <c r="AG100">
        <f ca="1">无穷技能数计算!$AJ92</f>
        <v>0</v>
      </c>
      <c r="AH100">
        <f ca="1" t="shared" si="102"/>
        <v>109879</v>
      </c>
      <c r="AJ100">
        <f ca="1" t="shared" si="103"/>
        <v>2.3765922521</v>
      </c>
      <c r="AK100">
        <f ca="1" t="shared" si="140"/>
        <v>272596.63125</v>
      </c>
      <c r="AL100">
        <f ca="1" t="shared" si="104"/>
        <v>2619278.0460026</v>
      </c>
      <c r="AM100" s="169">
        <f ca="1" t="shared" si="105"/>
        <v>0.7272</v>
      </c>
      <c r="AN100">
        <f ca="1">无穷技能数计算!$AJ92</f>
        <v>0</v>
      </c>
      <c r="AO100" s="170">
        <f ca="1" t="shared" si="106"/>
        <v>2658600.18734435</v>
      </c>
      <c r="AP100">
        <f ca="1" t="shared" si="107"/>
        <v>110956</v>
      </c>
      <c r="AQ100" s="170">
        <f ca="1" t="shared" si="141"/>
        <v>274401.525</v>
      </c>
      <c r="AR100">
        <f ca="1" t="shared" si="108"/>
        <v>2589205.45125779</v>
      </c>
      <c r="AS100">
        <f ca="1" t="shared" si="109"/>
        <v>0.7843</v>
      </c>
      <c r="AT100">
        <f ca="1">无穷技能数计算!$AJ92</f>
        <v>0</v>
      </c>
      <c r="AU100">
        <f ca="1" t="shared" si="110"/>
        <v>2.3238578771</v>
      </c>
      <c r="AV100">
        <f ca="1" t="shared" si="111"/>
        <v>1.7995442148</v>
      </c>
      <c r="AW100">
        <f ca="1" t="shared" si="142"/>
        <v>2636147.38693192</v>
      </c>
      <c r="AX100">
        <f ca="1" t="shared" si="112"/>
        <v>0.7743</v>
      </c>
      <c r="AY100">
        <f ca="1">无穷技能数计算!$AJ92</f>
        <v>0</v>
      </c>
      <c r="AZ100" s="170">
        <f ca="1" t="shared" si="143"/>
        <v>2619025.85665567</v>
      </c>
      <c r="BA100">
        <f ca="1" t="shared" si="113"/>
        <v>0.7643</v>
      </c>
      <c r="BB100">
        <f ca="1">无穷技能数计算!$AJ92</f>
        <v>0</v>
      </c>
      <c r="BC100" s="170">
        <f ca="1" t="shared" si="144"/>
        <v>2601904.32637941</v>
      </c>
      <c r="BE100">
        <f ca="1" t="shared" si="114"/>
        <v>105849</v>
      </c>
      <c r="BF100">
        <f ca="1" t="shared" si="115"/>
        <v>263581.06875</v>
      </c>
      <c r="BI100">
        <f ca="1" t="shared" si="116"/>
        <v>0.7543</v>
      </c>
      <c r="BJ100">
        <f ca="1">无穷技能数计算!$AJ92</f>
        <v>0</v>
      </c>
      <c r="BK100">
        <f ca="1" t="shared" si="117"/>
        <v>2588069.81339456</v>
      </c>
      <c r="BM100">
        <f ca="1" t="shared" si="118"/>
        <v>109230</v>
      </c>
      <c r="BN100">
        <f ca="1" t="shared" si="119"/>
        <v>270744.5625</v>
      </c>
      <c r="BO100">
        <f ca="1" t="shared" si="120"/>
        <v>2606139.55547797</v>
      </c>
      <c r="BP100">
        <f ca="1" t="shared" si="121"/>
        <v>2485325.00226364</v>
      </c>
      <c r="BR100">
        <f ca="1" t="shared" si="122"/>
        <v>0.7543</v>
      </c>
      <c r="BS100">
        <f ca="1" t="shared" si="123"/>
        <v>2583331.34714067</v>
      </c>
      <c r="BT100">
        <f ca="1" t="shared" si="124"/>
        <v>0.196995876306796</v>
      </c>
      <c r="BU100">
        <f ca="1" t="shared" si="125"/>
        <v>2.3238578771</v>
      </c>
      <c r="BV100">
        <f ca="1" t="shared" si="145"/>
        <v>2618204.31846465</v>
      </c>
      <c r="BW100">
        <f ca="1" t="shared" si="126"/>
        <v>113027</v>
      </c>
      <c r="BX100">
        <f ca="1" t="shared" si="127"/>
        <v>278789.45625</v>
      </c>
      <c r="BY100">
        <f ca="1" t="shared" si="128"/>
        <v>0.7343</v>
      </c>
      <c r="BZ100">
        <f ca="1">无穷技能数计算!$AJ92</f>
        <v>0</v>
      </c>
      <c r="CA100">
        <f ca="1" t="shared" si="129"/>
        <v>2.3277641271</v>
      </c>
      <c r="CB100">
        <f ca="1" t="shared" si="146"/>
        <v>2682822.27080433</v>
      </c>
      <c r="CC100">
        <f ca="1" t="shared" si="130"/>
        <v>114847</v>
      </c>
      <c r="CD100">
        <f ca="1" t="shared" si="131"/>
        <v>282645.58125</v>
      </c>
      <c r="CE100">
        <f ca="1" t="shared" si="132"/>
        <v>2644671.11226986</v>
      </c>
      <c r="CF100">
        <f ca="1" t="shared" si="133"/>
        <v>2.2750297521</v>
      </c>
      <c r="CG100">
        <f ca="1" t="shared" si="134"/>
        <v>0.7343</v>
      </c>
      <c r="CH100">
        <f ca="1" t="shared" si="147"/>
        <v>2504168.9140186</v>
      </c>
      <c r="CJ100">
        <f ca="1" t="shared" si="135"/>
        <v>270744.5625</v>
      </c>
      <c r="CK100">
        <f ca="1" t="shared" si="136"/>
        <v>2594333.8853305</v>
      </c>
      <c r="CL100">
        <f ca="1" t="shared" si="148"/>
        <v>2.2976860021</v>
      </c>
      <c r="CM100">
        <f ca="1">IF(G100="恒定伤害",0,(IF(D100="轻剑",$CM$8,$CM$9)+IFERROR(INDEX(技能数据库!$T$2:$W$27,MATCH(E100,技能数据库!$T$2:$T$27,0),4),0)+COUNTIF(G100,"*造化2*")*154+COUNTIF(G100,"*造化1*")*102+COUNTIF(G100,"*碧归*")*307)/1024)</f>
        <v>0.697375959429785</v>
      </c>
      <c r="CN100">
        <f ca="1" t="shared" si="149"/>
        <v>2619110.93760106</v>
      </c>
      <c r="CO100">
        <f ca="1" t="shared" si="150"/>
        <v>2.3262602208</v>
      </c>
      <c r="CP100">
        <f ca="1" t="shared" si="151"/>
        <v>2647250.91992925</v>
      </c>
      <c r="CQ100">
        <f ca="1" t="shared" si="137"/>
        <v>1.8815754648</v>
      </c>
      <c r="CR100">
        <f ca="1">IF(G100="恒定伤害",0,(IF(D100="轻剑",$CR$8,$CR$9)+IFERROR(INDEX(技能数据库!$T$2:$W$27,MATCH(E100,技能数据库!$T$2:$T$27,0),4),0)+COUNTIF(G100,"*造化2*")*154+COUNTIF(G100,"*造化1*")*102+COUNTIF(G100,"*碧归*")*307)/1024)</f>
        <v>0.687610334429785</v>
      </c>
      <c r="CS100">
        <f ca="1" t="shared" si="152"/>
        <v>2510612.29968273</v>
      </c>
    </row>
    <row r="101" spans="4:97">
      <c r="D101" t="s">
        <v>1825</v>
      </c>
      <c r="E101" t="s">
        <v>2794</v>
      </c>
      <c r="G101" t="s">
        <v>2948</v>
      </c>
      <c r="H101">
        <f ca="1">INDEX(技能数据库!$B$2:$I$100,MATCH(无穷阵眼收益计算!$E101,技能数据库!$B$2:$B$100,0),MATCH(H$9,技能数据库!$B$2:$I$2,0))</f>
        <v>231.5</v>
      </c>
      <c r="I101">
        <f ca="1">INDEX(技能数据库!$B$2:$I$100,MATCH(无穷阵眼收益计算!$E101,技能数据库!$B$2:$B$100,0),MATCH(I$9,技能数据库!$B$2:$I$2,0))</f>
        <v>2.71875</v>
      </c>
      <c r="J101">
        <f ca="1">INDEX(技能数据库!$B$2:$I$100,MATCH(无穷阵眼收益计算!$E101,技能数据库!$B$2:$B$100,0),MATCH(J$9,技能数据库!$B$2:$I$2,0))</f>
        <v>2</v>
      </c>
      <c r="K101">
        <f ca="1">INDEX(技能数据库!$B$2:$I$100,MATCH(无穷阵眼收益计算!$E101,技能数据库!$B$2:$B$100,0),MATCH(K$9,技能数据库!$B$2:$I$2,0))</f>
        <v>0</v>
      </c>
      <c r="L101">
        <f ca="1" t="shared" si="97"/>
        <v>91975</v>
      </c>
      <c r="M101">
        <f ca="1" t="shared" si="162"/>
        <v>19530.5</v>
      </c>
      <c r="N101">
        <f ca="1" t="shared" si="163"/>
        <v>92028</v>
      </c>
      <c r="O101">
        <f ca="1" t="shared" si="138"/>
        <v>289349.53125</v>
      </c>
      <c r="P101">
        <f ca="1">IF(G101="恒定伤害",0,(IF(D101="轻剑",$AZ$2,$AZ$3)+IFERROR(INDEX(技能数据库!$T$2:$W$27,MATCH(E101,技能数据库!$T$2:$T$27,0),4),0)+COUNTIF(G101,"*造化2*")*154+COUNTIF(G101,"*造化1*")*102+COUNTIF(G101,"*碧归*")*307)/1024)</f>
        <v>0.236438459429785</v>
      </c>
      <c r="Q101">
        <f ca="1" t="shared" si="98"/>
        <v>0.448284482196154</v>
      </c>
      <c r="R101">
        <f ca="1" t="shared" si="139"/>
        <v>0.32958230397716</v>
      </c>
      <c r="S101">
        <f ca="1" t="shared" si="164"/>
        <v>347371.86079985</v>
      </c>
      <c r="T101">
        <f t="shared" si="165"/>
        <v>0.8</v>
      </c>
      <c r="U101">
        <f ca="1" t="shared" si="99"/>
        <v>2.67001635480339</v>
      </c>
      <c r="V101">
        <f ca="1" t="shared" si="166"/>
        <v>1019888.32826715</v>
      </c>
      <c r="W101">
        <f ca="1">IF(G101="恒定伤害",0,MIN(1,IF(COUNTIF(F101,"*内会*")&gt;0,内会2,IF(D101="轻剑",$Y$2,$Y$3)+COUNTIF(G101,"*莺鸣*")*0.2+COUNTIF(G101,"*叠1*")*0.1+COUNTIF(G101,"*叠2*")*0.2+COUNTIF(G101,"*叠3*")*0.3)+IFERROR(INDEX(技能数据库!$T$2:$W$27,MATCH(E101,技能数据库!$T$2:$T$27,0),2),0)+IF((IF(D101="轻剑",$AO$2,$AO$3)+INT(COUNTIF(G101,"*大莺鸣*")*IF(D101="轻剑",$AM$2,$AM$3)*听晓无双率)/无双系数)&gt;0.9,特效裤子会心/会心系数,0)))</f>
        <v>0.9043</v>
      </c>
      <c r="X101">
        <f ca="1">IF(G101="恒定伤害",0,IF(COUNTIF(F101,"*内会*")&gt;0,内会效2,IF(D101="轻剑",$AB$2,$AB$3))+IFERROR(INDEX(技能数据库!$T$2:$W$27,MATCH(E101,技能数据库!$T$2:$T$27,0),3)/1024,0))+COUNTIF(G101,"*叠1*")*0.25+COUNTIF(G101,"*叠2*")*0.5+COUNTIF(G101,"*叠3*")*0.75</f>
        <v>2.1773735021</v>
      </c>
      <c r="Y101">
        <f ca="1" t="shared" si="167"/>
        <v>2.06469885794903</v>
      </c>
      <c r="Z101">
        <f t="shared" si="100"/>
        <v>0.150390625</v>
      </c>
      <c r="AA101">
        <f ca="1" t="shared" si="168"/>
        <v>0.0205078125</v>
      </c>
      <c r="AB101">
        <f ca="1" t="shared" si="169"/>
        <v>2472128.30335427</v>
      </c>
      <c r="AC101">
        <f ca="1">无穷技能数计算!$AJ93</f>
        <v>0</v>
      </c>
      <c r="AD101" s="164">
        <f ca="1" t="shared" si="170"/>
        <v>0</v>
      </c>
      <c r="AE101" s="168"/>
      <c r="AF101" s="168">
        <f ca="1" t="shared" si="101"/>
        <v>0.9057</v>
      </c>
      <c r="AG101">
        <f ca="1">无穷技能数计算!$AJ93</f>
        <v>0</v>
      </c>
      <c r="AH101">
        <f ca="1" t="shared" si="102"/>
        <v>96007</v>
      </c>
      <c r="AJ101">
        <f ca="1" t="shared" si="103"/>
        <v>2.3765922521</v>
      </c>
      <c r="AK101">
        <f ca="1" t="shared" si="140"/>
        <v>300788.53125</v>
      </c>
      <c r="AL101">
        <f ca="1" t="shared" si="104"/>
        <v>2797258.96401757</v>
      </c>
      <c r="AM101" s="169">
        <f ca="1" t="shared" si="105"/>
        <v>0.9272</v>
      </c>
      <c r="AN101">
        <f ca="1">无穷技能数计算!$AJ93</f>
        <v>0</v>
      </c>
      <c r="AO101" s="170">
        <f ca="1" t="shared" si="106"/>
        <v>2834107.13896302</v>
      </c>
      <c r="AP101">
        <f ca="1" t="shared" si="107"/>
        <v>97084</v>
      </c>
      <c r="AQ101" s="170">
        <f ca="1" t="shared" si="141"/>
        <v>303239.625</v>
      </c>
      <c r="AR101">
        <f ca="1" t="shared" si="108"/>
        <v>2742797.63537865</v>
      </c>
      <c r="AS101">
        <f ca="1" t="shared" si="109"/>
        <v>0.9843</v>
      </c>
      <c r="AT101">
        <f ca="1">无穷技能数计算!$AJ93</f>
        <v>0</v>
      </c>
      <c r="AU101">
        <f ca="1" t="shared" si="110"/>
        <v>2.3238578771</v>
      </c>
      <c r="AV101">
        <f ca="1" t="shared" si="111"/>
        <v>2.68954760480339</v>
      </c>
      <c r="AW101">
        <f ca="1" t="shared" si="142"/>
        <v>2772216.6656138</v>
      </c>
      <c r="AX101">
        <f ca="1" t="shared" si="112"/>
        <v>0.9743</v>
      </c>
      <c r="AY101">
        <f ca="1">无穷技能数计算!$AJ93</f>
        <v>0</v>
      </c>
      <c r="AZ101" s="170">
        <f ca="1" t="shared" si="143"/>
        <v>2756281.34624569</v>
      </c>
      <c r="BA101">
        <f ca="1" t="shared" si="113"/>
        <v>0.9643</v>
      </c>
      <c r="BB101">
        <f ca="1">无穷技能数计算!$AJ93</f>
        <v>0</v>
      </c>
      <c r="BC101" s="170">
        <f ca="1" t="shared" si="144"/>
        <v>2740346.02687757</v>
      </c>
      <c r="BE101">
        <f ca="1" t="shared" si="114"/>
        <v>91977</v>
      </c>
      <c r="BF101">
        <f ca="1" t="shared" si="115"/>
        <v>289354.96875</v>
      </c>
      <c r="BI101">
        <f ca="1" t="shared" si="116"/>
        <v>0.9543</v>
      </c>
      <c r="BJ101">
        <f ca="1">无穷技能数计算!$AJ93</f>
        <v>0</v>
      </c>
      <c r="BK101">
        <f ca="1" t="shared" si="117"/>
        <v>2709181.45054454</v>
      </c>
      <c r="BM101">
        <f ca="1" t="shared" si="118"/>
        <v>95358</v>
      </c>
      <c r="BN101">
        <f ca="1" t="shared" si="119"/>
        <v>298547.0625</v>
      </c>
      <c r="BO101">
        <f ca="1" t="shared" si="120"/>
        <v>2754726.90356361</v>
      </c>
      <c r="BP101">
        <f ca="1" t="shared" si="121"/>
        <v>2627024.18734414</v>
      </c>
      <c r="BR101">
        <f ca="1" t="shared" si="122"/>
        <v>0.9543</v>
      </c>
      <c r="BS101">
        <f ca="1" t="shared" si="123"/>
        <v>2716305.10183061</v>
      </c>
      <c r="BT101">
        <f ca="1" t="shared" si="124"/>
        <v>0.318170800459405</v>
      </c>
      <c r="BU101">
        <f ca="1" t="shared" si="125"/>
        <v>2.3238578771</v>
      </c>
      <c r="BV101">
        <f ca="1" t="shared" si="145"/>
        <v>2756116.59927244</v>
      </c>
      <c r="BW101">
        <f ca="1" t="shared" si="126"/>
        <v>99155</v>
      </c>
      <c r="BX101">
        <f ca="1" t="shared" si="127"/>
        <v>308870.15625</v>
      </c>
      <c r="BY101">
        <f ca="1" t="shared" si="128"/>
        <v>0.9343</v>
      </c>
      <c r="BZ101">
        <f ca="1">无穷技能数计算!$AJ93</f>
        <v>0</v>
      </c>
      <c r="CA101">
        <f ca="1" t="shared" si="129"/>
        <v>2.3277641271</v>
      </c>
      <c r="CB101">
        <f ca="1" t="shared" si="146"/>
        <v>2863638.69340403</v>
      </c>
      <c r="CC101">
        <f ca="1" t="shared" si="130"/>
        <v>100975</v>
      </c>
      <c r="CD101">
        <f ca="1" t="shared" si="131"/>
        <v>313818.28125</v>
      </c>
      <c r="CE101">
        <f ca="1" t="shared" si="132"/>
        <v>2808641.02291071</v>
      </c>
      <c r="CF101">
        <f ca="1" t="shared" si="133"/>
        <v>2.2750297521</v>
      </c>
      <c r="CG101">
        <f ca="1" t="shared" si="134"/>
        <v>0.9343</v>
      </c>
      <c r="CH101">
        <f ca="1" t="shared" si="147"/>
        <v>2637626.98863307</v>
      </c>
      <c r="CJ101">
        <f ca="1" t="shared" si="135"/>
        <v>298547.0625</v>
      </c>
      <c r="CK101">
        <f ca="1" t="shared" si="136"/>
        <v>2742248.14082757</v>
      </c>
      <c r="CL101">
        <f ca="1" t="shared" si="148"/>
        <v>2.2976860021</v>
      </c>
      <c r="CM101">
        <f ca="1">IF(G101="恒定伤害",0,(IF(D101="轻剑",$CM$8,$CM$9)+IFERROR(INDEX(技能数据库!$T$2:$W$27,MATCH(E101,技能数据库!$T$2:$T$27,0),4),0)+COUNTIF(G101,"*造化2*")*154+COUNTIF(G101,"*造化1*")*102+COUNTIF(G101,"*碧归*")*307)/1024)</f>
        <v>0.296985334429785</v>
      </c>
      <c r="CN101">
        <f ca="1" t="shared" si="149"/>
        <v>2793515.72483866</v>
      </c>
      <c r="CO101">
        <f ca="1" t="shared" si="150"/>
        <v>2.3262602208</v>
      </c>
      <c r="CP101">
        <f ca="1" t="shared" si="151"/>
        <v>2827224.47740379</v>
      </c>
      <c r="CQ101">
        <f ca="1" t="shared" si="137"/>
        <v>2.77157885480339</v>
      </c>
      <c r="CR101">
        <f ca="1">IF(G101="恒定伤害",0,(IF(D101="轻剑",$CR$8,$CR$9)+IFERROR(INDEX(技能数据库!$T$2:$W$27,MATCH(E101,技能数据库!$T$2:$T$27,0),4),0)+COUNTIF(G101,"*造化2*")*154+COUNTIF(G101,"*造化1*")*102+COUNTIF(G101,"*碧归*")*307)/1024)</f>
        <v>0.287219709429785</v>
      </c>
      <c r="CS101">
        <f ca="1" t="shared" si="152"/>
        <v>2644882.45093991</v>
      </c>
    </row>
    <row r="102" spans="4:97">
      <c r="D102" t="s">
        <v>1825</v>
      </c>
      <c r="E102" t="s">
        <v>2798</v>
      </c>
      <c r="G102" t="s">
        <v>2948</v>
      </c>
      <c r="H102">
        <f ca="1">INDEX(技能数据库!$B$2:$I$100,MATCH(无穷阵眼收益计算!$E102,技能数据库!$B$2:$B$100,0),MATCH(H$9,技能数据库!$B$2:$I$2,0))</f>
        <v>1504.5</v>
      </c>
      <c r="I102">
        <f ca="1">INDEX(技能数据库!$B$2:$I$100,MATCH(无穷阵眼收益计算!$E102,技能数据库!$B$2:$B$100,0),MATCH(I$9,技能数据库!$B$2:$I$2,0))</f>
        <v>2.85625</v>
      </c>
      <c r="J102">
        <f ca="1">INDEX(技能数据库!$B$2:$I$100,MATCH(无穷阵眼收益计算!$E102,技能数据库!$B$2:$B$100,0),MATCH(J$9,技能数据库!$B$2:$I$2,0))</f>
        <v>0</v>
      </c>
      <c r="K102">
        <f ca="1">INDEX(技能数据库!$B$2:$I$100,MATCH(无穷阵眼收益计算!$E102,技能数据库!$B$2:$B$100,0),MATCH(K$9,技能数据库!$B$2:$I$2,0))</f>
        <v>0</v>
      </c>
      <c r="L102">
        <f ca="1" t="shared" si="97"/>
        <v>91975</v>
      </c>
      <c r="M102">
        <f ca="1" t="shared" si="162"/>
        <v>19530.5</v>
      </c>
      <c r="N102">
        <f ca="1" t="shared" si="163"/>
        <v>92028</v>
      </c>
      <c r="O102">
        <f ca="1" t="shared" si="138"/>
        <v>264208.09375</v>
      </c>
      <c r="P102">
        <f ca="1">IF(G102="恒定伤害",0,(IF(D102="轻剑",$AZ$2,$AZ$3)+IFERROR(INDEX(技能数据库!$T$2:$W$27,MATCH(E102,技能数据库!$T$2:$T$27,0),4),0)+COUNTIF(G102,"*造化2*")*154+COUNTIF(G102,"*造化1*")*102+COUNTIF(G102,"*碧归*")*307)/1024)</f>
        <v>0.116321271929785</v>
      </c>
      <c r="Q102">
        <f ca="1" t="shared" si="98"/>
        <v>0.448284482196154</v>
      </c>
      <c r="R102">
        <f ca="1" t="shared" si="139"/>
        <v>0.32958230397716</v>
      </c>
      <c r="S102">
        <f ca="1" t="shared" si="164"/>
        <v>286374.711537191</v>
      </c>
      <c r="T102">
        <f t="shared" si="165"/>
        <v>0.8</v>
      </c>
      <c r="U102">
        <f ca="1" t="shared" si="99"/>
        <v>2.67001635480339</v>
      </c>
      <c r="V102">
        <f ca="1" t="shared" si="166"/>
        <v>840799.899954876</v>
      </c>
      <c r="W102">
        <f ca="1">IF(G102="恒定伤害",0,MIN(1,IF(COUNTIF(F102,"*内会*")&gt;0,内会2,IF(D102="轻剑",$Y$2,$Y$3)+COUNTIF(G102,"*莺鸣*")*0.2+COUNTIF(G102,"*叠1*")*0.1+COUNTIF(G102,"*叠2*")*0.2+COUNTIF(G102,"*叠3*")*0.3)+IFERROR(INDEX(技能数据库!$T$2:$W$27,MATCH(E102,技能数据库!$T$2:$T$27,0),2),0)+IF((IF(D102="轻剑",$AO$2,$AO$3)+INT(COUNTIF(G102,"*大莺鸣*")*IF(D102="轻剑",$AM$2,$AM$3)*听晓无双率)/无双系数)&gt;0.9,特效裤子会心/会心系数,0)))</f>
        <v>0.9043</v>
      </c>
      <c r="X102">
        <f ca="1">IF(G102="恒定伤害",0,IF(COUNTIF(F102,"*内会*")&gt;0,内会效2,IF(D102="轻剑",$AB$2,$AB$3))+IFERROR(INDEX(技能数据库!$T$2:$W$27,MATCH(E102,技能数据库!$T$2:$T$27,0),3)/1024,0))+COUNTIF(G102,"*叠1*")*0.25+COUNTIF(G102,"*叠2*")*0.5+COUNTIF(G102,"*叠3*")*0.75</f>
        <v>2.1773735021</v>
      </c>
      <c r="Y102">
        <f ca="1" t="shared" si="167"/>
        <v>2.06469885794903</v>
      </c>
      <c r="Z102">
        <f t="shared" si="100"/>
        <v>0.150390625</v>
      </c>
      <c r="AA102">
        <f ca="1" t="shared" si="168"/>
        <v>0.0205078125</v>
      </c>
      <c r="AB102">
        <f ca="1" t="shared" si="169"/>
        <v>2038032.17717718</v>
      </c>
      <c r="AC102">
        <f ca="1">无穷技能数计算!$AJ94</f>
        <v>0</v>
      </c>
      <c r="AD102" s="164">
        <f ca="1" t="shared" si="170"/>
        <v>0</v>
      </c>
      <c r="AE102" s="168"/>
      <c r="AF102" s="168">
        <f ca="1" t="shared" si="101"/>
        <v>0.9057</v>
      </c>
      <c r="AG102">
        <f ca="1">无穷技能数计算!$AJ94</f>
        <v>0</v>
      </c>
      <c r="AH102">
        <f ca="1" t="shared" si="102"/>
        <v>96007</v>
      </c>
      <c r="AJ102">
        <f ca="1" t="shared" si="103"/>
        <v>2.3765922521</v>
      </c>
      <c r="AK102">
        <f ca="1" t="shared" si="140"/>
        <v>275724.49375</v>
      </c>
      <c r="AL102">
        <f ca="1" t="shared" si="104"/>
        <v>2315066.36006876</v>
      </c>
      <c r="AM102" s="169">
        <f ca="1" t="shared" si="105"/>
        <v>0.9272</v>
      </c>
      <c r="AN102">
        <f ca="1">无穷技能数计算!$AJ94</f>
        <v>0</v>
      </c>
      <c r="AO102" s="170">
        <f ca="1" t="shared" si="106"/>
        <v>2345562.63207771</v>
      </c>
      <c r="AP102">
        <f ca="1" t="shared" si="107"/>
        <v>97084</v>
      </c>
      <c r="AQ102" s="170">
        <f ca="1" t="shared" si="141"/>
        <v>278800.675</v>
      </c>
      <c r="AR102">
        <f ca="1" t="shared" si="108"/>
        <v>2276765.65523205</v>
      </c>
      <c r="AS102">
        <f ca="1" t="shared" si="109"/>
        <v>0.9843</v>
      </c>
      <c r="AT102">
        <f ca="1">无穷技能数计算!$AJ94</f>
        <v>0</v>
      </c>
      <c r="AU102">
        <f ca="1" t="shared" si="110"/>
        <v>2.3238578771</v>
      </c>
      <c r="AV102">
        <f ca="1" t="shared" si="111"/>
        <v>2.68954760480339</v>
      </c>
      <c r="AW102">
        <f ca="1" t="shared" si="142"/>
        <v>2285426.18882758</v>
      </c>
      <c r="AX102">
        <f ca="1" t="shared" si="112"/>
        <v>0.9743</v>
      </c>
      <c r="AY102">
        <f ca="1">无穷技能数计算!$AJ94</f>
        <v>0</v>
      </c>
      <c r="AZ102" s="170">
        <f ca="1" t="shared" si="143"/>
        <v>2272289.0496339</v>
      </c>
      <c r="BA102">
        <f ca="1" t="shared" si="113"/>
        <v>0.9643</v>
      </c>
      <c r="BB102">
        <f ca="1">无穷技能数计算!$AJ94</f>
        <v>0</v>
      </c>
      <c r="BC102" s="170">
        <f ca="1" t="shared" si="144"/>
        <v>2259151.91044021</v>
      </c>
      <c r="BE102">
        <f ca="1" t="shared" si="114"/>
        <v>91977</v>
      </c>
      <c r="BF102">
        <f ca="1" t="shared" si="115"/>
        <v>264213.80625</v>
      </c>
      <c r="BI102">
        <f ca="1" t="shared" si="116"/>
        <v>0.9543</v>
      </c>
      <c r="BJ102">
        <f ca="1">无穷技能数计算!$AJ94</f>
        <v>0</v>
      </c>
      <c r="BK102">
        <f ca="1" t="shared" si="117"/>
        <v>2233466.03112338</v>
      </c>
      <c r="BM102">
        <f ca="1" t="shared" si="118"/>
        <v>95358</v>
      </c>
      <c r="BN102">
        <f ca="1" t="shared" si="119"/>
        <v>273870.7875</v>
      </c>
      <c r="BO102">
        <f ca="1" t="shared" si="120"/>
        <v>2281540.34993611</v>
      </c>
      <c r="BP102">
        <f ca="1" t="shared" si="121"/>
        <v>2175773.45904241</v>
      </c>
      <c r="BR102">
        <f ca="1" t="shared" si="122"/>
        <v>0.9543</v>
      </c>
      <c r="BS102">
        <f ca="1" t="shared" si="123"/>
        <v>2249718.36030161</v>
      </c>
      <c r="BT102">
        <f ca="1" t="shared" si="124"/>
        <v>0.318170800459405</v>
      </c>
      <c r="BU102">
        <f ca="1" t="shared" si="125"/>
        <v>2.3238578771</v>
      </c>
      <c r="BV102">
        <f ca="1" t="shared" si="145"/>
        <v>2272153.23158914</v>
      </c>
      <c r="BW102">
        <f ca="1" t="shared" si="126"/>
        <v>99155</v>
      </c>
      <c r="BX102">
        <f ca="1" t="shared" si="127"/>
        <v>284715.96875</v>
      </c>
      <c r="BY102">
        <f ca="1" t="shared" si="128"/>
        <v>0.9343</v>
      </c>
      <c r="BZ102">
        <f ca="1">无穷技能数计算!$AJ94</f>
        <v>0</v>
      </c>
      <c r="CA102">
        <f ca="1" t="shared" si="129"/>
        <v>2.3277641271</v>
      </c>
      <c r="CB102">
        <f ca="1" t="shared" si="146"/>
        <v>2383256.54971507</v>
      </c>
      <c r="CC102">
        <f ca="1" t="shared" si="130"/>
        <v>100975</v>
      </c>
      <c r="CD102">
        <f ca="1" t="shared" si="131"/>
        <v>289914.34375</v>
      </c>
      <c r="CE102">
        <f ca="1" t="shared" si="132"/>
        <v>2342633.73725697</v>
      </c>
      <c r="CF102">
        <f ca="1" t="shared" si="133"/>
        <v>2.2750297521</v>
      </c>
      <c r="CG102">
        <f ca="1" t="shared" si="134"/>
        <v>0.9343</v>
      </c>
      <c r="CH102">
        <f ca="1" t="shared" si="147"/>
        <v>2174469.93626155</v>
      </c>
      <c r="CJ102">
        <f ca="1" t="shared" si="135"/>
        <v>273870.7875</v>
      </c>
      <c r="CK102">
        <f ca="1" t="shared" si="136"/>
        <v>2271205.09649856</v>
      </c>
      <c r="CL102">
        <f ca="1" t="shared" si="148"/>
        <v>2.2976860021</v>
      </c>
      <c r="CM102">
        <f ca="1">IF(G102="恒定伤害",0,(IF(D102="轻剑",$CM$8,$CM$9)+IFERROR(INDEX(技能数据库!$T$2:$W$27,MATCH(E102,技能数据库!$T$2:$T$27,0),4),0)+COUNTIF(G102,"*造化2*")*154+COUNTIF(G102,"*造化1*")*102+COUNTIF(G102,"*碧归*")*307)/1024)</f>
        <v>0.176868146929785</v>
      </c>
      <c r="CN102">
        <f ca="1" t="shared" si="149"/>
        <v>2314553.36228154</v>
      </c>
      <c r="CO102">
        <f ca="1" t="shared" si="150"/>
        <v>2.3262602208</v>
      </c>
      <c r="CP102">
        <f ca="1" t="shared" si="151"/>
        <v>2342482.57917987</v>
      </c>
      <c r="CQ102">
        <f ca="1" t="shared" si="137"/>
        <v>2.77157885480339</v>
      </c>
      <c r="CR102">
        <f ca="1">IF(G102="恒定伤害",0,(IF(D102="轻剑",$CR$8,$CR$9)+IFERROR(INDEX(技能数据库!$T$2:$W$27,MATCH(E102,技能数据库!$T$2:$T$27,0),4),0)+COUNTIF(G102,"*造化2*")*154+COUNTIF(G102,"*造化1*")*102+COUNTIF(G102,"*碧归*")*307)/1024)</f>
        <v>0.167102521929785</v>
      </c>
      <c r="CS102">
        <f ca="1" t="shared" si="152"/>
        <v>2189707.1484639</v>
      </c>
    </row>
    <row r="103" spans="4:97">
      <c r="D103" t="s">
        <v>1825</v>
      </c>
      <c r="E103" t="s">
        <v>2776</v>
      </c>
      <c r="G103" t="s">
        <v>3101</v>
      </c>
      <c r="H103">
        <f ca="1">INDEX(技能数据库!$B$2:$I$100,MATCH(无穷阵眼收益计算!$E103,技能数据库!$B$2:$B$100,0),MATCH(H$9,技能数据库!$B$2:$I$2,0))</f>
        <v>281.5</v>
      </c>
      <c r="I103">
        <f ca="1">INDEX(技能数据库!$B$2:$I$100,MATCH(无穷阵眼收益计算!$E103,技能数据库!$B$2:$B$100,0),MATCH(I$9,技能数据库!$B$2:$I$2,0))</f>
        <v>7.06875</v>
      </c>
      <c r="J103">
        <f ca="1">INDEX(技能数据库!$B$2:$I$100,MATCH(无穷阵眼收益计算!$E103,技能数据库!$B$2:$B$100,0),MATCH(J$9,技能数据库!$B$2:$I$2,0))</f>
        <v>2</v>
      </c>
      <c r="K103">
        <f ca="1">INDEX(技能数据库!$B$2:$I$100,MATCH(无穷阵眼收益计算!$E103,技能数据库!$B$2:$B$100,0),MATCH(K$9,技能数据库!$B$2:$I$2,0))</f>
        <v>0</v>
      </c>
      <c r="L103">
        <f ca="1" t="shared" si="97"/>
        <v>91975</v>
      </c>
      <c r="M103">
        <f ca="1" t="shared" si="162"/>
        <v>19530.5</v>
      </c>
      <c r="N103">
        <f ca="1" t="shared" si="163"/>
        <v>92028</v>
      </c>
      <c r="O103">
        <f ca="1" t="shared" si="138"/>
        <v>689490.78125</v>
      </c>
      <c r="P103">
        <f ca="1">IF(G103="恒定伤害",0,(IF(D103="轻剑",$AZ$2,$AZ$3)+IFERROR(INDEX(技能数据库!$T$2:$W$27,MATCH(E103,技能数据库!$T$2:$T$27,0),4),0)+COUNTIF(G103,"*造化2*")*154+COUNTIF(G103,"*造化1*")*102+COUNTIF(G103,"*碧归*")*307)/1024)</f>
        <v>0.337024396929785</v>
      </c>
      <c r="Q103">
        <f ca="1" t="shared" si="98"/>
        <v>0.448284482196154</v>
      </c>
      <c r="R103">
        <f ca="1" t="shared" si="139"/>
        <v>0.32958230397716</v>
      </c>
      <c r="S103">
        <f ca="1" t="shared" si="164"/>
        <v>895090.901234674</v>
      </c>
      <c r="T103">
        <f t="shared" si="165"/>
        <v>0.8</v>
      </c>
      <c r="U103">
        <f ca="1" t="shared" si="99"/>
        <v>2.67001635480339</v>
      </c>
      <c r="V103">
        <f ca="1" t="shared" si="166"/>
        <v>2627998.59725357</v>
      </c>
      <c r="W103">
        <f ca="1">IF(G103="恒定伤害",0,MIN(1,IF(COUNTIF(F103,"*内会*")&gt;0,内会2,IF(D103="轻剑",$Y$2,$Y$3)+COUNTIF(G103,"*莺鸣*")*0.2+COUNTIF(G103,"*叠1*")*0.1+COUNTIF(G103,"*叠2*")*0.2+COUNTIF(G103,"*叠3*")*0.3)+IFERROR(INDEX(技能数据库!$T$2:$W$27,MATCH(E103,技能数据库!$T$2:$T$27,0),2),0)+IF((IF(D103="轻剑",$AO$2,$AO$3)+INT(COUNTIF(G103,"*大莺鸣*")*IF(D103="轻剑",$AM$2,$AM$3)*听晓无双率)/无双系数)&gt;0.9,特效裤子会心/会心系数,0)))</f>
        <v>0.9043</v>
      </c>
      <c r="X103">
        <f ca="1">IF(G103="恒定伤害",0,IF(COUNTIF(F103,"*内会*")&gt;0,内会效2,IF(D103="轻剑",$AB$2,$AB$3))+IFERROR(INDEX(技能数据库!$T$2:$W$27,MATCH(E103,技能数据库!$T$2:$T$27,0),3)/1024,0))+COUNTIF(G103,"*叠1*")*0.25+COUNTIF(G103,"*叠2*")*0.5+COUNTIF(G103,"*叠3*")*0.75</f>
        <v>2.1773735021</v>
      </c>
      <c r="Y103">
        <f ca="1" t="shared" si="167"/>
        <v>2.06469885794903</v>
      </c>
      <c r="Z103">
        <f t="shared" si="100"/>
        <v>0.150390625</v>
      </c>
      <c r="AA103">
        <f ca="1" t="shared" si="168"/>
        <v>0.0205078125</v>
      </c>
      <c r="AB103">
        <f ca="1" t="shared" si="169"/>
        <v>6370059.87163735</v>
      </c>
      <c r="AC103">
        <f ca="1">无穷技能数计算!$AJ95</f>
        <v>0</v>
      </c>
      <c r="AD103" s="164">
        <f ca="1" t="shared" si="170"/>
        <v>0</v>
      </c>
      <c r="AE103" s="168"/>
      <c r="AF103" s="168">
        <f ca="1" t="shared" si="101"/>
        <v>0.9057</v>
      </c>
      <c r="AG103">
        <f ca="1">无穷技能数计算!$AJ95</f>
        <v>0</v>
      </c>
      <c r="AH103">
        <f ca="1" t="shared" si="102"/>
        <v>96007</v>
      </c>
      <c r="AJ103">
        <f ca="1" t="shared" si="103"/>
        <v>2.3765922521</v>
      </c>
      <c r="AK103">
        <f ca="1" t="shared" si="140"/>
        <v>718468.98125</v>
      </c>
      <c r="AL103">
        <f ca="1" t="shared" si="104"/>
        <v>7225139.73414545</v>
      </c>
      <c r="AM103" s="169">
        <f ca="1" t="shared" si="105"/>
        <v>0.9272</v>
      </c>
      <c r="AN103">
        <f ca="1">无穷技能数计算!$AJ95</f>
        <v>0</v>
      </c>
      <c r="AO103" s="170">
        <f ca="1" t="shared" si="106"/>
        <v>7320316.19665886</v>
      </c>
      <c r="AP103">
        <f ca="1" t="shared" si="107"/>
        <v>97084</v>
      </c>
      <c r="AQ103" s="170">
        <f ca="1" t="shared" si="141"/>
        <v>725605.025</v>
      </c>
      <c r="AR103">
        <f ca="1" t="shared" si="108"/>
        <v>7097001.93750611</v>
      </c>
      <c r="AS103">
        <f ca="1" t="shared" si="109"/>
        <v>0.9843</v>
      </c>
      <c r="AT103">
        <f ca="1">无穷技能数计算!$AJ95</f>
        <v>0</v>
      </c>
      <c r="AU103">
        <f ca="1" t="shared" si="110"/>
        <v>2.3238578771</v>
      </c>
      <c r="AV103">
        <f ca="1" t="shared" si="111"/>
        <v>2.68954760480339</v>
      </c>
      <c r="AW103">
        <f ca="1" t="shared" si="142"/>
        <v>7143312.95554125</v>
      </c>
      <c r="AX103">
        <f ca="1" t="shared" si="112"/>
        <v>0.9743</v>
      </c>
      <c r="AY103">
        <f ca="1">无穷技能数计算!$AJ95</f>
        <v>0</v>
      </c>
      <c r="AZ103" s="170">
        <f ca="1" t="shared" si="143"/>
        <v>7102251.60030705</v>
      </c>
      <c r="BA103">
        <f ca="1" t="shared" si="113"/>
        <v>0.9643</v>
      </c>
      <c r="BB103">
        <f ca="1">无穷技能数计算!$AJ95</f>
        <v>0</v>
      </c>
      <c r="BC103" s="170">
        <f ca="1" t="shared" si="144"/>
        <v>7061190.24507285</v>
      </c>
      <c r="BE103">
        <f ca="1" t="shared" si="114"/>
        <v>91977</v>
      </c>
      <c r="BF103">
        <f ca="1" t="shared" si="115"/>
        <v>689504.91875</v>
      </c>
      <c r="BI103">
        <f ca="1" t="shared" si="116"/>
        <v>0.9543</v>
      </c>
      <c r="BJ103">
        <f ca="1">无穷技能数计算!$AJ95</f>
        <v>0</v>
      </c>
      <c r="BK103">
        <f ca="1" t="shared" si="117"/>
        <v>6980898.8336691</v>
      </c>
      <c r="BM103">
        <f ca="1" t="shared" si="118"/>
        <v>95358</v>
      </c>
      <c r="BN103">
        <f ca="1" t="shared" si="119"/>
        <v>713404.3625</v>
      </c>
      <c r="BO103">
        <f ca="1" t="shared" si="120"/>
        <v>7118169.66673059</v>
      </c>
      <c r="BP103">
        <f ca="1" t="shared" si="121"/>
        <v>6788187.91798569</v>
      </c>
      <c r="BR103">
        <f ca="1" t="shared" si="122"/>
        <v>0.9543</v>
      </c>
      <c r="BS103">
        <f ca="1" t="shared" si="123"/>
        <v>7018888.35384138</v>
      </c>
      <c r="BT103">
        <f ca="1" t="shared" si="124"/>
        <v>0.318170800459405</v>
      </c>
      <c r="BU103">
        <f ca="1" t="shared" si="125"/>
        <v>2.3238578771</v>
      </c>
      <c r="BV103">
        <f ca="1" t="shared" si="145"/>
        <v>7101827.0883261</v>
      </c>
      <c r="BW103">
        <f ca="1" t="shared" si="126"/>
        <v>99155</v>
      </c>
      <c r="BX103">
        <f ca="1" t="shared" si="127"/>
        <v>740244.40625</v>
      </c>
      <c r="BY103">
        <f ca="1" t="shared" si="128"/>
        <v>0.9343</v>
      </c>
      <c r="BZ103">
        <f ca="1">无穷技能数计算!$AJ95</f>
        <v>0</v>
      </c>
      <c r="CA103">
        <f ca="1" t="shared" si="129"/>
        <v>2.3277641271</v>
      </c>
      <c r="CB103">
        <f ca="1" t="shared" si="146"/>
        <v>7421372.57638595</v>
      </c>
      <c r="CC103">
        <f ca="1" t="shared" si="130"/>
        <v>100975</v>
      </c>
      <c r="CD103">
        <f ca="1" t="shared" si="131"/>
        <v>753109.53125</v>
      </c>
      <c r="CE103">
        <f ca="1" t="shared" si="132"/>
        <v>7288580.68844865</v>
      </c>
      <c r="CF103">
        <f ca="1" t="shared" si="133"/>
        <v>2.2750297521</v>
      </c>
      <c r="CG103">
        <f ca="1" t="shared" si="134"/>
        <v>0.9343</v>
      </c>
      <c r="CH103">
        <f ca="1" t="shared" si="147"/>
        <v>6796508.82757252</v>
      </c>
      <c r="CJ103">
        <f ca="1" t="shared" si="135"/>
        <v>713404.3625</v>
      </c>
      <c r="CK103">
        <f ca="1" t="shared" si="136"/>
        <v>7085924.74609212</v>
      </c>
      <c r="CL103">
        <f ca="1" t="shared" si="148"/>
        <v>2.2976860021</v>
      </c>
      <c r="CM103">
        <f ca="1">IF(G103="恒定伤害",0,(IF(D103="轻剑",$CM$8,$CM$9)+IFERROR(INDEX(技能数据库!$T$2:$W$27,MATCH(E103,技能数据库!$T$2:$T$27,0),4),0)+COUNTIF(G103,"*造化2*")*154+COUNTIF(G103,"*造化1*")*102+COUNTIF(G103,"*碧归*")*307)/1024)</f>
        <v>0.397571271929785</v>
      </c>
      <c r="CN103">
        <f ca="1" t="shared" si="149"/>
        <v>7172915.26691427</v>
      </c>
      <c r="CO103">
        <f ca="1" t="shared" si="150"/>
        <v>2.3262602208</v>
      </c>
      <c r="CP103">
        <f ca="1" t="shared" si="151"/>
        <v>7259469.29048863</v>
      </c>
      <c r="CQ103">
        <f ca="1" t="shared" si="137"/>
        <v>2.77157885480339</v>
      </c>
      <c r="CR103">
        <f ca="1">IF(G103="恒定伤害",0,(IF(D103="轻剑",$CR$8,$CR$9)+IFERROR(INDEX(技能数据库!$T$2:$W$27,MATCH(E103,技能数据库!$T$2:$T$27,0),4),0)+COUNTIF(G103,"*造化2*")*154+COUNTIF(G103,"*造化1*")*102+COUNTIF(G103,"*碧归*")*307)/1024)</f>
        <v>0.387805646929785</v>
      </c>
      <c r="CS103">
        <f ca="1" t="shared" si="152"/>
        <v>6794977.53361895</v>
      </c>
    </row>
    <row r="104" spans="4:97">
      <c r="D104" t="s">
        <v>1825</v>
      </c>
      <c r="E104" t="s">
        <v>2780</v>
      </c>
      <c r="G104" t="s">
        <v>3101</v>
      </c>
      <c r="H104">
        <f ca="1">INDEX(技能数据库!$B$2:$I$100,MATCH(无穷阵眼收益计算!$E104,技能数据库!$B$2:$B$100,0),MATCH(H$9,技能数据库!$B$2:$I$2,0))</f>
        <v>252.5</v>
      </c>
      <c r="I104">
        <f ca="1">INDEX(技能数据库!$B$2:$I$100,MATCH(无穷阵眼收益计算!$E104,技能数据库!$B$2:$B$100,0),MATCH(I$9,技能数据库!$B$2:$I$2,0))</f>
        <v>2.11875</v>
      </c>
      <c r="J104">
        <f ca="1">INDEX(技能数据库!$B$2:$I$100,MATCH(无穷阵眼收益计算!$E104,技能数据库!$B$2:$B$100,0),MATCH(J$9,技能数据库!$B$2:$I$2,0))</f>
        <v>2</v>
      </c>
      <c r="K104">
        <f ca="1">INDEX(技能数据库!$B$2:$I$100,MATCH(无穷阵眼收益计算!$E104,技能数据库!$B$2:$B$100,0),MATCH(K$9,技能数据库!$B$2:$I$2,0))</f>
        <v>0</v>
      </c>
      <c r="L104">
        <f ca="1" t="shared" si="97"/>
        <v>91975</v>
      </c>
      <c r="M104">
        <f ca="1" t="shared" si="162"/>
        <v>19530.5</v>
      </c>
      <c r="N104">
        <f ca="1" t="shared" si="163"/>
        <v>92028</v>
      </c>
      <c r="O104">
        <f ca="1" t="shared" si="138"/>
        <v>234185.53125</v>
      </c>
      <c r="P104">
        <f ca="1">IF(G104="恒定伤害",0,(IF(D104="轻剑",$AZ$2,$AZ$3)+IFERROR(INDEX(技能数据库!$T$2:$W$27,MATCH(E104,技能数据库!$T$2:$T$27,0),4),0)+COUNTIF(G104,"*造化2*")*154+COUNTIF(G104,"*造化1*")*102+COUNTIF(G104,"*碧归*")*307)/1024)</f>
        <v>0.337024396929785</v>
      </c>
      <c r="Q104">
        <f ca="1" t="shared" si="98"/>
        <v>0.448284482196154</v>
      </c>
      <c r="R104">
        <f ca="1" t="shared" si="139"/>
        <v>0.32958230397716</v>
      </c>
      <c r="S104">
        <f ca="1" t="shared" si="164"/>
        <v>304017.608245119</v>
      </c>
      <c r="T104">
        <f t="shared" si="165"/>
        <v>0.8</v>
      </c>
      <c r="U104">
        <f ca="1" t="shared" si="99"/>
        <v>2.67001635480339</v>
      </c>
      <c r="V104">
        <f ca="1" t="shared" si="166"/>
        <v>892599.675526237</v>
      </c>
      <c r="W104">
        <f ca="1">IF(G104="恒定伤害",0,MIN(1,IF(COUNTIF(F104,"*内会*")&gt;0,内会2,IF(D104="轻剑",$Y$2,$Y$3)+COUNTIF(G104,"*莺鸣*")*0.2+COUNTIF(G104,"*叠1*")*0.1+COUNTIF(G104,"*叠2*")*0.2+COUNTIF(G104,"*叠3*")*0.3)+IFERROR(INDEX(技能数据库!$T$2:$W$27,MATCH(E104,技能数据库!$T$2:$T$27,0),2),0)+IF((IF(D104="轻剑",$AO$2,$AO$3)+INT(COUNTIF(G104,"*大莺鸣*")*IF(D104="轻剑",$AM$2,$AM$3)*听晓无双率)/无双系数)&gt;0.9,特效裤子会心/会心系数,0)))</f>
        <v>0.9043</v>
      </c>
      <c r="X104">
        <f ca="1">IF(G104="恒定伤害",0,IF(COUNTIF(F104,"*内会*")&gt;0,内会效2,IF(D104="轻剑",$AB$2,$AB$3))+IFERROR(INDEX(技能数据库!$T$2:$W$27,MATCH(E104,技能数据库!$T$2:$T$27,0),3)/1024,0))+COUNTIF(G104,"*叠1*")*0.25+COUNTIF(G104,"*叠2*")*0.5+COUNTIF(G104,"*叠3*")*0.75</f>
        <v>2.1773735021</v>
      </c>
      <c r="Y104">
        <f ca="1" t="shared" si="167"/>
        <v>2.06469885794903</v>
      </c>
      <c r="Z104">
        <f t="shared" si="100"/>
        <v>0.150390625</v>
      </c>
      <c r="AA104">
        <f ca="1" t="shared" si="168"/>
        <v>0.0205078125</v>
      </c>
      <c r="AB104">
        <f ca="1" t="shared" si="169"/>
        <v>2163590.71897845</v>
      </c>
      <c r="AC104">
        <f ca="1">无穷技能数计算!$AJ96</f>
        <v>0</v>
      </c>
      <c r="AD104" s="164">
        <f ca="1" t="shared" si="170"/>
        <v>0</v>
      </c>
      <c r="AE104" s="168"/>
      <c r="AF104" s="168">
        <f ca="1" t="shared" si="101"/>
        <v>0.9057</v>
      </c>
      <c r="AG104">
        <f ca="1">无穷技能数计算!$AJ96</f>
        <v>0</v>
      </c>
      <c r="AH104">
        <f ca="1" t="shared" si="102"/>
        <v>96007</v>
      </c>
      <c r="AJ104">
        <f ca="1" t="shared" si="103"/>
        <v>2.3765922521</v>
      </c>
      <c r="AK104">
        <f ca="1" t="shared" si="140"/>
        <v>243205.33125</v>
      </c>
      <c r="AL104">
        <f ca="1" t="shared" si="104"/>
        <v>2445745.81259333</v>
      </c>
      <c r="AM104" s="169">
        <f ca="1" t="shared" si="105"/>
        <v>0.9272</v>
      </c>
      <c r="AN104">
        <f ca="1">无穷技能数计算!$AJ96</f>
        <v>0</v>
      </c>
      <c r="AO104" s="170">
        <f ca="1" t="shared" si="106"/>
        <v>2477963.51954639</v>
      </c>
      <c r="AP104">
        <f ca="1" t="shared" si="107"/>
        <v>97084</v>
      </c>
      <c r="AQ104" s="170">
        <f ca="1" t="shared" si="141"/>
        <v>245010.225</v>
      </c>
      <c r="AR104">
        <f ca="1" t="shared" si="108"/>
        <v>2396397.46366669</v>
      </c>
      <c r="AS104">
        <f ca="1" t="shared" si="109"/>
        <v>0.9843</v>
      </c>
      <c r="AT104">
        <f ca="1">无穷技能数计算!$AJ96</f>
        <v>0</v>
      </c>
      <c r="AU104">
        <f ca="1" t="shared" si="110"/>
        <v>2.3238578771</v>
      </c>
      <c r="AV104">
        <f ca="1" t="shared" si="111"/>
        <v>2.68954760480339</v>
      </c>
      <c r="AW104">
        <f ca="1" t="shared" si="142"/>
        <v>2426226.11479395</v>
      </c>
      <c r="AX104">
        <f ca="1" t="shared" si="112"/>
        <v>0.9743</v>
      </c>
      <c r="AY104">
        <f ca="1">无穷技能数计算!$AJ96</f>
        <v>0</v>
      </c>
      <c r="AZ104" s="170">
        <f ca="1" t="shared" si="143"/>
        <v>2412279.62623912</v>
      </c>
      <c r="BA104">
        <f ca="1" t="shared" si="113"/>
        <v>0.9643</v>
      </c>
      <c r="BB104">
        <f ca="1">无穷技能数计算!$AJ96</f>
        <v>0</v>
      </c>
      <c r="BC104" s="170">
        <f ca="1" t="shared" si="144"/>
        <v>2398333.13768429</v>
      </c>
      <c r="BE104">
        <f ca="1" t="shared" si="114"/>
        <v>91977</v>
      </c>
      <c r="BF104">
        <f ca="1" t="shared" si="115"/>
        <v>234189.76875</v>
      </c>
      <c r="BI104">
        <f ca="1" t="shared" si="116"/>
        <v>0.9543</v>
      </c>
      <c r="BJ104">
        <f ca="1">无穷技能数计算!$AJ96</f>
        <v>0</v>
      </c>
      <c r="BK104">
        <f ca="1" t="shared" si="117"/>
        <v>2371056.4479916</v>
      </c>
      <c r="BM104">
        <f ca="1" t="shared" si="118"/>
        <v>95358</v>
      </c>
      <c r="BN104">
        <f ca="1" t="shared" si="119"/>
        <v>241353.2625</v>
      </c>
      <c r="BO104">
        <f ca="1" t="shared" si="120"/>
        <v>2408162.27430059</v>
      </c>
      <c r="BP104">
        <f ca="1" t="shared" si="121"/>
        <v>2296525.48623002</v>
      </c>
      <c r="BR104">
        <f ca="1" t="shared" si="122"/>
        <v>0.9543</v>
      </c>
      <c r="BS104">
        <f ca="1" t="shared" si="123"/>
        <v>2374574.21396533</v>
      </c>
      <c r="BT104">
        <f ca="1" t="shared" si="124"/>
        <v>0.318170800459405</v>
      </c>
      <c r="BU104">
        <f ca="1" t="shared" si="125"/>
        <v>2.3238578771</v>
      </c>
      <c r="BV104">
        <f ca="1" t="shared" si="145"/>
        <v>2412135.44075255</v>
      </c>
      <c r="BW104">
        <f ca="1" t="shared" si="126"/>
        <v>99155</v>
      </c>
      <c r="BX104">
        <f ca="1" t="shared" si="127"/>
        <v>249398.15625</v>
      </c>
      <c r="BY104">
        <f ca="1" t="shared" si="128"/>
        <v>0.9343</v>
      </c>
      <c r="BZ104">
        <f ca="1">无穷技能数计算!$AJ96</f>
        <v>0</v>
      </c>
      <c r="CA104">
        <f ca="1" t="shared" si="129"/>
        <v>2.3277641271</v>
      </c>
      <c r="CB104">
        <f ca="1" t="shared" si="146"/>
        <v>2500358.82982394</v>
      </c>
      <c r="CC104">
        <f ca="1" t="shared" si="130"/>
        <v>100975</v>
      </c>
      <c r="CD104">
        <f ca="1" t="shared" si="131"/>
        <v>253254.28125</v>
      </c>
      <c r="CE104">
        <f ca="1" t="shared" si="132"/>
        <v>2450990.44294653</v>
      </c>
      <c r="CF104">
        <f ca="1" t="shared" si="133"/>
        <v>2.2750297521</v>
      </c>
      <c r="CG104">
        <f ca="1" t="shared" si="134"/>
        <v>0.9343</v>
      </c>
      <c r="CH104">
        <f ca="1" t="shared" si="147"/>
        <v>2308434.09906778</v>
      </c>
      <c r="CJ104">
        <f ca="1" t="shared" si="135"/>
        <v>241353.2625</v>
      </c>
      <c r="CK104">
        <f ca="1" t="shared" si="136"/>
        <v>2397253.43044677</v>
      </c>
      <c r="CL104">
        <f ca="1" t="shared" si="148"/>
        <v>2.2976860021</v>
      </c>
      <c r="CM104">
        <f ca="1">IF(G104="恒定伤害",0,(IF(D104="轻剑",$CM$8,$CM$9)+IFERROR(INDEX(技能数据库!$T$2:$W$27,MATCH(E104,技能数据库!$T$2:$T$27,0),4),0)+COUNTIF(G104,"*造化2*")*154+COUNTIF(G104,"*造化1*")*102+COUNTIF(G104,"*碧归*")*307)/1024)</f>
        <v>0.397571271929785</v>
      </c>
      <c r="CN104">
        <f ca="1" t="shared" si="149"/>
        <v>2436280.53931077</v>
      </c>
      <c r="CO104">
        <f ca="1" t="shared" si="150"/>
        <v>2.3262602208</v>
      </c>
      <c r="CP104">
        <f ca="1" t="shared" si="151"/>
        <v>2465678.61183589</v>
      </c>
      <c r="CQ104">
        <f ca="1" t="shared" si="137"/>
        <v>2.77157885480339</v>
      </c>
      <c r="CR104">
        <f ca="1">IF(G104="恒定伤害",0,(IF(D104="轻剑",$CR$8,$CR$9)+IFERROR(INDEX(技能数据库!$T$2:$W$27,MATCH(E104,技能数据库!$T$2:$T$27,0),4),0)+COUNTIF(G104,"*造化2*")*154+COUNTIF(G104,"*造化1*")*102+COUNTIF(G104,"*碧归*")*307)/1024)</f>
        <v>0.387805646929785</v>
      </c>
      <c r="CS104">
        <f ca="1" t="shared" si="152"/>
        <v>2307913.99510444</v>
      </c>
    </row>
    <row r="105" spans="4:97">
      <c r="D105" t="s">
        <v>1825</v>
      </c>
      <c r="E105" s="161" t="s">
        <v>2783</v>
      </c>
      <c r="G105" t="s">
        <v>2948</v>
      </c>
      <c r="H105">
        <f ca="1">INDEX(技能数据库!$B$2:$I$100,MATCH(无穷阵眼收益计算!$E105,技能数据库!$B$2:$B$100,0),MATCH(H$9,技能数据库!$B$2:$I$2,0))</f>
        <v>0</v>
      </c>
      <c r="I105">
        <f ca="1">INDEX(技能数据库!$B$2:$I$100,MATCH(无穷阵眼收益计算!$E105,技能数据库!$B$2:$B$100,0),MATCH(I$9,技能数据库!$B$2:$I$2,0))</f>
        <v>0</v>
      </c>
      <c r="J105">
        <f ca="1">INDEX(技能数据库!$B$2:$I$100,MATCH(无穷阵眼收益计算!$E105,技能数据库!$B$2:$B$100,0),MATCH(J$9,技能数据库!$B$2:$I$2,0))</f>
        <v>0</v>
      </c>
      <c r="K105">
        <f ca="1">INDEX(技能数据库!$B$2:$I$100,MATCH(无穷阵眼收益计算!$E105,技能数据库!$B$2:$B$100,0),MATCH(K$9,技能数据库!$B$2:$I$2,0))</f>
        <v>1.28127956390381</v>
      </c>
      <c r="L105">
        <f ca="1" t="shared" si="97"/>
        <v>91975</v>
      </c>
      <c r="M105">
        <f ca="1" t="shared" si="162"/>
        <v>19530.5</v>
      </c>
      <c r="N105">
        <f ca="1" t="shared" si="163"/>
        <v>92028</v>
      </c>
      <c r="O105">
        <f ca="1" t="shared" si="138"/>
        <v>1006274.62576302</v>
      </c>
      <c r="P105">
        <f ca="1">IF(G105="恒定伤害",0,(IF(D105="轻剑",$AZ$2,$AZ$3)+IFERROR(INDEX(技能数据库!$T$2:$W$27,MATCH(E105,技能数据库!$T$2:$T$27,0),4),0)+COUNTIF(G105,"*造化2*")*154+COUNTIF(G105,"*造化1*")*102+COUNTIF(G105,"*碧归*")*307)/1024)</f>
        <v>0.116321271929785</v>
      </c>
      <c r="Q105">
        <f ca="1" t="shared" si="98"/>
        <v>0.448284482196154</v>
      </c>
      <c r="R105">
        <f ca="1" t="shared" si="139"/>
        <v>0.32958230397716</v>
      </c>
      <c r="S105">
        <f ca="1" t="shared" si="164"/>
        <v>1090699.38619199</v>
      </c>
      <c r="T105">
        <f t="shared" si="165"/>
        <v>0.8</v>
      </c>
      <c r="U105">
        <f ca="1" t="shared" si="99"/>
        <v>2.67001635480339</v>
      </c>
      <c r="V105">
        <f ca="1" t="shared" si="166"/>
        <v>3202307.6683989</v>
      </c>
      <c r="W105">
        <f ca="1">IF(G105="恒定伤害",0,MIN(1,IF(COUNTIF(F105,"*内会*")&gt;0,内会2,IF(D105="轻剑",$Y$2,$Y$3)+COUNTIF(G105,"*莺鸣*")*0.2+COUNTIF(G105,"*叠1*")*0.1+COUNTIF(G105,"*叠2*")*0.2+COUNTIF(G105,"*叠3*")*0.3)+IFERROR(INDEX(技能数据库!$T$2:$W$27,MATCH(E105,技能数据库!$T$2:$T$27,0),2),0)+IF((IF(D105="轻剑",$AO$2,$AO$3)+INT(COUNTIF(G105,"*大莺鸣*")*IF(D105="轻剑",$AM$2,$AM$3)*听晓无双率)/无双系数)&gt;0.9,特效裤子会心/会心系数,0)))</f>
        <v>0.9043</v>
      </c>
      <c r="X105">
        <f ca="1">IF(G105="恒定伤害",0,IF(COUNTIF(F105,"*内会*")&gt;0,内会效2,IF(D105="轻剑",$AB$2,$AB$3))+IFERROR(INDEX(技能数据库!$T$2:$W$27,MATCH(E105,技能数据库!$T$2:$T$27,0),3)/1024,0))+COUNTIF(G105,"*叠1*")*0.25+COUNTIF(G105,"*叠2*")*0.5+COUNTIF(G105,"*叠3*")*0.75</f>
        <v>2.1773735021</v>
      </c>
      <c r="Y105">
        <f ca="1" t="shared" si="167"/>
        <v>2.06469885794903</v>
      </c>
      <c r="Z105">
        <f t="shared" si="100"/>
        <v>0.150390625</v>
      </c>
      <c r="AA105">
        <f ca="1" t="shared" si="168"/>
        <v>0.0205078125</v>
      </c>
      <c r="AB105">
        <f ca="1" t="shared" si="169"/>
        <v>7762139.44574499</v>
      </c>
      <c r="AC105">
        <f ca="1">无穷技能数计算!$AJ97</f>
        <v>0</v>
      </c>
      <c r="AD105" s="164">
        <f ca="1" t="shared" si="170"/>
        <v>0</v>
      </c>
      <c r="AE105" s="168"/>
      <c r="AF105" s="168">
        <f ca="1" t="shared" si="101"/>
        <v>0.9057</v>
      </c>
      <c r="AG105">
        <f ca="1">无穷技能数计算!$AJ97</f>
        <v>0</v>
      </c>
      <c r="AH105">
        <f ca="1" t="shared" si="102"/>
        <v>96007</v>
      </c>
      <c r="AJ105">
        <f ca="1" t="shared" si="103"/>
        <v>2.3765922521</v>
      </c>
      <c r="AK105">
        <f ca="1" t="shared" si="140"/>
        <v>1006274.62576302</v>
      </c>
      <c r="AL105">
        <f ca="1" t="shared" si="104"/>
        <v>8448986.53511358</v>
      </c>
      <c r="AM105" s="169">
        <f ca="1" t="shared" si="105"/>
        <v>0.9272</v>
      </c>
      <c r="AN105">
        <f ca="1">无穷技能数计算!$AJ97</f>
        <v>0</v>
      </c>
      <c r="AO105" s="170">
        <f ca="1" t="shared" si="106"/>
        <v>8560284.68017715</v>
      </c>
      <c r="AP105">
        <f ca="1" t="shared" si="107"/>
        <v>97084</v>
      </c>
      <c r="AQ105" s="170">
        <f ca="1" t="shared" si="141"/>
        <v>1006274.62576302</v>
      </c>
      <c r="AR105">
        <f ca="1" t="shared" si="108"/>
        <v>8217524.96714268</v>
      </c>
      <c r="AS105">
        <f ca="1" t="shared" si="109"/>
        <v>0.9843</v>
      </c>
      <c r="AT105">
        <f ca="1">无穷技能数计算!$AJ97</f>
        <v>0</v>
      </c>
      <c r="AU105">
        <f ca="1" t="shared" si="110"/>
        <v>2.3238578771</v>
      </c>
      <c r="AV105">
        <f ca="1" t="shared" si="111"/>
        <v>2.68954760480339</v>
      </c>
      <c r="AW105">
        <f ca="1" t="shared" si="142"/>
        <v>8704375.21511958</v>
      </c>
      <c r="AX105">
        <f ca="1" t="shared" si="112"/>
        <v>0.9743</v>
      </c>
      <c r="AY105">
        <f ca="1">无穷技能数计算!$AJ97</f>
        <v>0</v>
      </c>
      <c r="AZ105" s="170">
        <f ca="1" t="shared" si="143"/>
        <v>8654340.52603003</v>
      </c>
      <c r="BA105">
        <f ca="1" t="shared" si="113"/>
        <v>0.9643</v>
      </c>
      <c r="BB105">
        <f ca="1">无穷技能数计算!$AJ97</f>
        <v>0</v>
      </c>
      <c r="BC105" s="170">
        <f ca="1" t="shared" si="144"/>
        <v>8604305.83694049</v>
      </c>
      <c r="BE105">
        <f ca="1" t="shared" si="114"/>
        <v>91977</v>
      </c>
      <c r="BF105">
        <f ca="1" t="shared" si="115"/>
        <v>1006274.62576302</v>
      </c>
      <c r="BI105">
        <f ca="1" t="shared" si="116"/>
        <v>0.9543</v>
      </c>
      <c r="BJ105">
        <f ca="1">无穷技能数计算!$AJ97</f>
        <v>0</v>
      </c>
      <c r="BK105">
        <f ca="1" t="shared" si="117"/>
        <v>8506293.54507133</v>
      </c>
      <c r="BM105">
        <f ca="1" t="shared" si="118"/>
        <v>95358</v>
      </c>
      <c r="BN105">
        <f ca="1" t="shared" si="119"/>
        <v>1006274.62576302</v>
      </c>
      <c r="BO105">
        <f ca="1" t="shared" si="120"/>
        <v>8382990.32457121</v>
      </c>
      <c r="BP105">
        <f ca="1" t="shared" si="121"/>
        <v>7994374.43923448</v>
      </c>
      <c r="BR105">
        <f ca="1" t="shared" si="122"/>
        <v>0.9543</v>
      </c>
      <c r="BS105">
        <f ca="1" t="shared" si="123"/>
        <v>8266067.81157593</v>
      </c>
      <c r="BT105">
        <f ca="1" t="shared" si="124"/>
        <v>0.318170800459405</v>
      </c>
      <c r="BU105">
        <f ca="1" t="shared" si="125"/>
        <v>2.3238578771</v>
      </c>
      <c r="BV105">
        <f ca="1" t="shared" si="145"/>
        <v>8653823.24342062</v>
      </c>
      <c r="BW105">
        <f ca="1" t="shared" si="126"/>
        <v>99155</v>
      </c>
      <c r="BX105">
        <f ca="1" t="shared" si="127"/>
        <v>1006274.62576302</v>
      </c>
      <c r="BY105">
        <f ca="1" t="shared" si="128"/>
        <v>0.9343</v>
      </c>
      <c r="BZ105">
        <f ca="1">无穷技能数计算!$AJ97</f>
        <v>0</v>
      </c>
      <c r="CA105">
        <f ca="1" t="shared" si="129"/>
        <v>2.3277641271</v>
      </c>
      <c r="CB105">
        <f ca="1" t="shared" si="146"/>
        <v>8423168.54650187</v>
      </c>
      <c r="CC105">
        <f ca="1" t="shared" si="130"/>
        <v>100975</v>
      </c>
      <c r="CD105">
        <f ca="1" t="shared" si="131"/>
        <v>1006274.62576302</v>
      </c>
      <c r="CE105">
        <f ca="1" t="shared" si="132"/>
        <v>8131135.75812198</v>
      </c>
      <c r="CF105">
        <f ca="1" t="shared" si="133"/>
        <v>2.2750297521</v>
      </c>
      <c r="CG105">
        <f ca="1" t="shared" si="134"/>
        <v>0.9343</v>
      </c>
      <c r="CH105">
        <f ca="1" t="shared" si="147"/>
        <v>8281782.32652851</v>
      </c>
      <c r="CJ105">
        <f ca="1" t="shared" si="135"/>
        <v>1035436.77670524</v>
      </c>
      <c r="CK105">
        <f ca="1" t="shared" si="136"/>
        <v>8586856.98398913</v>
      </c>
      <c r="CL105">
        <f ca="1" t="shared" si="148"/>
        <v>2.2976860021</v>
      </c>
      <c r="CM105">
        <f ca="1">IF(G105="恒定伤害",0,(IF(D105="轻剑",$CM$8,$CM$9)+IFERROR(INDEX(技能数据库!$T$2:$W$27,MATCH(E105,技能数据库!$T$2:$T$27,0),4),0)+COUNTIF(G105,"*造化2*")*154+COUNTIF(G105,"*造化1*")*102+COUNTIF(G105,"*碧归*")*307)/1024)</f>
        <v>0.176868146929785</v>
      </c>
      <c r="CN105">
        <f ca="1" t="shared" si="149"/>
        <v>8815310.25556782</v>
      </c>
      <c r="CO105">
        <f ca="1" t="shared" si="150"/>
        <v>2.3262602208</v>
      </c>
      <c r="CP105">
        <f ca="1" t="shared" si="151"/>
        <v>8921682.70572002</v>
      </c>
      <c r="CQ105">
        <f ca="1" t="shared" si="137"/>
        <v>2.77157885480339</v>
      </c>
      <c r="CR105">
        <f ca="1">IF(G105="恒定伤害",0,(IF(D105="轻剑",$CR$8,$CR$9)+IFERROR(INDEX(技能数据库!$T$2:$W$27,MATCH(E105,技能数据库!$T$2:$T$27,0),4),0)+COUNTIF(G105,"*造化2*")*154+COUNTIF(G105,"*造化1*")*102+COUNTIF(G105,"*碧归*")*307)/1024)</f>
        <v>0.167102521929785</v>
      </c>
      <c r="CS105">
        <f ca="1" t="shared" si="152"/>
        <v>8339815.44651725</v>
      </c>
    </row>
    <row r="106" spans="4:97">
      <c r="D106" t="s">
        <v>1825</v>
      </c>
      <c r="E106" t="s">
        <v>2786</v>
      </c>
      <c r="G106" t="s">
        <v>2948</v>
      </c>
      <c r="H106">
        <f ca="1">INDEX(技能数据库!$B$2:$I$100,MATCH(无穷阵眼收益计算!$E106,技能数据库!$B$2:$B$100,0),MATCH(H$9,技能数据库!$B$2:$I$2,0))</f>
        <v>0</v>
      </c>
      <c r="I106">
        <f ca="1">INDEX(技能数据库!$B$2:$I$100,MATCH(无穷阵眼收益计算!$E106,技能数据库!$B$2:$B$100,0),MATCH(I$9,技能数据库!$B$2:$I$2,0))</f>
        <v>0</v>
      </c>
      <c r="J106">
        <f ca="1">INDEX(技能数据库!$B$2:$I$100,MATCH(无穷阵眼收益计算!$E106,技能数据库!$B$2:$B$100,0),MATCH(J$9,技能数据库!$B$2:$I$2,0))</f>
        <v>0</v>
      </c>
      <c r="K106">
        <f ca="1">INDEX(技能数据库!$B$2:$I$100,MATCH(无穷阵眼收益计算!$E106,技能数据库!$B$2:$B$100,0),MATCH(K$9,技能数据库!$B$2:$I$2,0))</f>
        <v>0</v>
      </c>
      <c r="L106">
        <f ca="1" t="shared" si="97"/>
        <v>91975</v>
      </c>
      <c r="M106">
        <f ca="1" t="shared" si="162"/>
        <v>19530.5</v>
      </c>
      <c r="N106">
        <f ca="1" t="shared" si="163"/>
        <v>92028</v>
      </c>
      <c r="O106">
        <f ca="1" t="shared" si="138"/>
        <v>0</v>
      </c>
      <c r="P106">
        <f ca="1">IF(G106="恒定伤害",0,(IF(D106="轻剑",$AZ$2,$AZ$3)+IFERROR(INDEX(技能数据库!$T$2:$W$27,MATCH(E106,技能数据库!$T$2:$T$27,0),4),0)+COUNTIF(G106,"*造化2*")*154+COUNTIF(G106,"*造化1*")*102+COUNTIF(G106,"*碧归*")*307)/1024)</f>
        <v>0.116321271929785</v>
      </c>
      <c r="Q106">
        <f ca="1" t="shared" ref="Q106:Q140" si="171">IF(G106="恒定伤害",0,(IF(COUNTIF(F106,"*内破*")&gt;0,内破,IF(D106="轻剑",$AF$2,$AF$3)/破防系数))+IF((IF(D106="轻剑",$AO$2,$AO$3)+INT(COUNTIF(G106,"*大莺鸣*")*IF(D106="轻剑",$AM$2,$AM$3)*听晓无双率)/无双系数)&gt;0.9,(特效裤子破防+特效裤子破防*IF(D106="轻剑",$AD$2,$AD$3)/1024)/破防系数,0))</f>
        <v>0.448284482196154</v>
      </c>
      <c r="R106">
        <f ca="1" t="shared" si="139"/>
        <v>0.32958230397716</v>
      </c>
      <c r="S106">
        <f ca="1" t="shared" si="164"/>
        <v>0</v>
      </c>
      <c r="T106">
        <f t="shared" si="165"/>
        <v>0.8</v>
      </c>
      <c r="U106">
        <f ca="1" t="shared" ref="U106:U140" si="172">IF(G106="恒定伤害",0,(IF(D106="轻剑",$AO$2,$AO$3)+INT(COUNTIF(G106,"*大莺鸣*")*IF(D106="轻剑",$AM$2,$AM$3)*听晓无双率)/无双系数)+IF((IF(D106="轻剑",$AO$2,$AO$3)+INT(COUNTIF(G106,"*大莺鸣*")*IF(D106="轻剑",$AM$2,$AM$3)*听晓无双率)/无双系数)&lt;=0.9,特效裤子无双,0))</f>
        <v>2.67001635480339</v>
      </c>
      <c r="V106">
        <f ca="1" t="shared" si="166"/>
        <v>0</v>
      </c>
      <c r="W106">
        <f ca="1">IF(G106="恒定伤害",0,MIN(1,IF(COUNTIF(F106,"*内会*")&gt;0,内会2,IF(D106="轻剑",$Y$2,$Y$3)+COUNTIF(G106,"*莺鸣*")*0.2+COUNTIF(G106,"*叠1*")*0.1+COUNTIF(G106,"*叠2*")*0.2+COUNTIF(G106,"*叠3*")*0.3)+IFERROR(INDEX(技能数据库!$T$2:$W$27,MATCH(E106,技能数据库!$T$2:$T$27,0),2),0)+IF((IF(D106="轻剑",$AO$2,$AO$3)+INT(COUNTIF(G106,"*大莺鸣*")*IF(D106="轻剑",$AM$2,$AM$3)*听晓无双率)/无双系数)&gt;0.9,特效裤子会心/会心系数,0)))</f>
        <v>0.9043</v>
      </c>
      <c r="X106">
        <f ca="1">IF(G106="恒定伤害",0,IF(COUNTIF(F106,"*内会*")&gt;0,内会效2,IF(D106="轻剑",$AB$2,$AB$3))+IFERROR(INDEX(技能数据库!$T$2:$W$27,MATCH(E106,技能数据库!$T$2:$T$27,0),3)/1024,0))+COUNTIF(G106,"*叠1*")*0.25+COUNTIF(G106,"*叠2*")*0.5+COUNTIF(G106,"*叠3*")*0.75</f>
        <v>2.1773735021</v>
      </c>
      <c r="Y106">
        <f ca="1" t="shared" si="167"/>
        <v>2.06469885794903</v>
      </c>
      <c r="Z106">
        <f t="shared" si="100"/>
        <v>0.150390625</v>
      </c>
      <c r="AA106">
        <f ca="1" t="shared" si="168"/>
        <v>0.0205078125</v>
      </c>
      <c r="AB106">
        <f ca="1" t="shared" si="169"/>
        <v>0</v>
      </c>
      <c r="AC106">
        <f ca="1">无穷技能数计算!$AJ98</f>
        <v>0</v>
      </c>
      <c r="AD106" s="164">
        <f ca="1" t="shared" si="170"/>
        <v>0</v>
      </c>
      <c r="AE106" s="168"/>
      <c r="AF106" s="168">
        <f ca="1" t="shared" si="101"/>
        <v>0.9057</v>
      </c>
      <c r="AG106">
        <f ca="1">无穷技能数计算!$AJ98</f>
        <v>0</v>
      </c>
      <c r="AH106">
        <f ca="1" t="shared" si="102"/>
        <v>96007</v>
      </c>
      <c r="AJ106">
        <f ca="1" t="shared" si="103"/>
        <v>2.3765922521</v>
      </c>
      <c r="AK106">
        <f ca="1" t="shared" si="140"/>
        <v>0</v>
      </c>
      <c r="AL106">
        <f ca="1" t="shared" si="104"/>
        <v>0</v>
      </c>
      <c r="AM106" s="169">
        <f ca="1" t="shared" si="105"/>
        <v>0.9272</v>
      </c>
      <c r="AN106">
        <f ca="1">无穷技能数计算!$AJ98</f>
        <v>0</v>
      </c>
      <c r="AO106" s="170">
        <f ca="1" t="shared" si="106"/>
        <v>0</v>
      </c>
      <c r="AP106">
        <f ca="1" t="shared" si="107"/>
        <v>97084</v>
      </c>
      <c r="AQ106" s="170">
        <f ca="1" t="shared" si="141"/>
        <v>0</v>
      </c>
      <c r="AR106">
        <f ca="1" t="shared" ref="AR106:AR137" si="173">IF(COUNTIF(G106,"*恒定伤害*")&gt;0,AB106,((AQ106*(1+P106)*(1+IF(COUNTIF(F106,"*内破*")&gt;0,内破,IF(D106="轻剑",$AQ$8,$AQ$9)/破防系数)+IF((IF(D106="轻剑",$AO$2,$AO$3)+INT(COUNTIF(G106,"*大莺鸣*")*IF(D106="轻剑",$AM$2,$AM$3)*听晓无双率)/无双系数)&gt;0.9,(特效裤子破防+特效裤子破防*IF(D106="轻剑",$AD$2+200,$AD$3+200)/1024)/破防系数,0))*(1-R106))*T106*(1+U106))*Y106*(1+Z106)*(1+AA106))</f>
        <v>0</v>
      </c>
      <c r="AS106">
        <f ca="1" t="shared" si="109"/>
        <v>0.9843</v>
      </c>
      <c r="AT106">
        <f ca="1">无穷技能数计算!$AJ98</f>
        <v>0</v>
      </c>
      <c r="AU106">
        <f ca="1" t="shared" si="110"/>
        <v>2.3238578771</v>
      </c>
      <c r="AV106">
        <f ca="1" t="shared" ref="AV106:AV140" si="174">IF(G106="恒定伤害",0,(IF(D106="轻剑",$AV$8,$AV$9)+INT(COUNTIF(G106,"*大莺鸣*")*IF(D106="轻剑",$AM$2,$AM$3)*听晓无双率)/无双系数))+IF((IF(G106="恒定伤害",0,(IF(D106="轻剑",$AV$8,$AV$9)+INT(COUNTIF(G106,"*大莺鸣*")*IF(D106="轻剑",$AM$2,$AM$3)*听晓无双率)/无双系数)))&lt;=0.9,特效裤子无双,0)</f>
        <v>2.68954760480339</v>
      </c>
      <c r="AW106">
        <f ca="1" t="shared" si="142"/>
        <v>0</v>
      </c>
      <c r="AX106">
        <f ca="1" t="shared" si="112"/>
        <v>0.9743</v>
      </c>
      <c r="AY106">
        <f ca="1">无穷技能数计算!$AJ98</f>
        <v>0</v>
      </c>
      <c r="AZ106" s="170">
        <f ca="1" t="shared" si="143"/>
        <v>0</v>
      </c>
      <c r="BA106">
        <f ca="1" t="shared" si="113"/>
        <v>0.9643</v>
      </c>
      <c r="BB106">
        <f ca="1">无穷技能数计算!$AJ98</f>
        <v>0</v>
      </c>
      <c r="BC106" s="170">
        <f ca="1" t="shared" si="144"/>
        <v>0</v>
      </c>
      <c r="BE106">
        <f ca="1" t="shared" si="114"/>
        <v>91977</v>
      </c>
      <c r="BF106">
        <f ca="1" t="shared" si="115"/>
        <v>0</v>
      </c>
      <c r="BI106">
        <f ca="1" t="shared" si="116"/>
        <v>0.9543</v>
      </c>
      <c r="BJ106">
        <f ca="1">无穷技能数计算!$AJ98</f>
        <v>0</v>
      </c>
      <c r="BK106">
        <f ca="1" t="shared" si="117"/>
        <v>0</v>
      </c>
      <c r="BM106">
        <f ca="1" t="shared" si="118"/>
        <v>95358</v>
      </c>
      <c r="BN106">
        <f ca="1" t="shared" si="119"/>
        <v>0</v>
      </c>
      <c r="BO106">
        <f ca="1" t="shared" ref="BO106:BO137" si="175">IF(COUNTIF(G106,"*恒定伤害*")&gt;0,AB106,((BN106*(1+P106)*(1+IF(COUNTIF(F106,"*内破*")&gt;0,内破,IF(D106="轻剑",$BM$8,$BM$9)/破防系数)+IF((IF(D106="轻剑",$AO$2,$AO$3)+INT(COUNTIF(G106,"*大莺鸣*")*IF(D106="轻剑",$AM$2,$AM$3)*听晓无双率)/无双系数)&gt;0.9,(特效裤子破防+特效裤子破防*IF(D106="轻剑",$AD$2+102,$AD$3+102)/1024)/破防系数,0))*(1-R106))*T106*(1+U106))*Y106*(1+Z106)*(1+AA106))</f>
        <v>0</v>
      </c>
      <c r="BP106">
        <f ca="1" t="shared" ref="BP106:BP140" si="176">IF(COUNTIF(G106,"*恒定伤害*")&gt;0,AB106,((BN106*(1+P106)*(1+IF(COUNTIF(F106,"*内破*")&gt;0,内破,IF(D106="轻剑",$BQ$8,$BQ$9)/破防系数)+IF((IF(D106="轻剑",$AO$2,$AO$3)+INT(COUNTIF(G106,"*大莺鸣*")*IF(D106="轻剑",$AM$2,$AM$3)*听晓无双率)/无双系数)&gt;0.9,(特效裤子破防+特效裤子破防*IF(D106="轻剑",$AD$2+102,$AD$3+102)/1024)/破防系数,0))*(1-R106))*T106*(1+U106))*Y106*(1+Z106)*(1+AA106))</f>
        <v>0</v>
      </c>
      <c r="BR106">
        <f ca="1" t="shared" si="122"/>
        <v>0.9543</v>
      </c>
      <c r="BS106">
        <f ca="1" t="shared" si="123"/>
        <v>0</v>
      </c>
      <c r="BT106">
        <f ca="1" t="shared" si="124"/>
        <v>0.318170800459405</v>
      </c>
      <c r="BU106">
        <f ca="1" t="shared" si="125"/>
        <v>2.3238578771</v>
      </c>
      <c r="BV106">
        <f ca="1" t="shared" si="145"/>
        <v>0</v>
      </c>
      <c r="BW106">
        <f ca="1" t="shared" si="126"/>
        <v>99155</v>
      </c>
      <c r="BX106">
        <f ca="1" t="shared" si="127"/>
        <v>0</v>
      </c>
      <c r="BY106">
        <f ca="1" t="shared" si="128"/>
        <v>0.9343</v>
      </c>
      <c r="BZ106">
        <f ca="1">无穷技能数计算!$AJ98</f>
        <v>0</v>
      </c>
      <c r="CA106">
        <f ca="1" t="shared" si="129"/>
        <v>2.3277641271</v>
      </c>
      <c r="CB106">
        <f ca="1" t="shared" si="146"/>
        <v>0</v>
      </c>
      <c r="CC106">
        <f ca="1" t="shared" si="130"/>
        <v>100975</v>
      </c>
      <c r="CD106">
        <f ca="1" t="shared" si="131"/>
        <v>0</v>
      </c>
      <c r="CE106">
        <f ca="1" t="shared" si="132"/>
        <v>0</v>
      </c>
      <c r="CF106">
        <f ca="1" t="shared" si="133"/>
        <v>2.2750297521</v>
      </c>
      <c r="CG106">
        <f ca="1" t="shared" si="134"/>
        <v>0.9343</v>
      </c>
      <c r="CH106">
        <f ca="1" t="shared" si="147"/>
        <v>0</v>
      </c>
      <c r="CJ106">
        <f ca="1" t="shared" si="135"/>
        <v>0</v>
      </c>
      <c r="CK106">
        <f ca="1" t="shared" ref="CK106:CK137" si="177">IF(COUNTIF(G106,"*恒定伤害*")&gt;0,AB106,((CJ106*(1+P106)*(1+IF(COUNTIF(F106,"*内破*")&gt;0,内破,IF(D106="轻剑",$CI$8,$CI$9)/破防系数)+IF((IF(D106="轻剑",$AO$2,$AO$3)+INT(COUNTIF(G106,"*大莺鸣*")*IF(D106="轻剑",$AM$2,$AM$3)*听晓无双率)/无双系数)&gt;0.9,(特效裤子破防+特效裤子破防*IF(D106="轻剑",$AD$2+256,$AD$3+256)/1024)/破防系数,0))*(1-R106))*T106*(1+U106))*Y106*(1+Z106)*(1+AA106))</f>
        <v>0</v>
      </c>
      <c r="CL106">
        <f ca="1" t="shared" si="148"/>
        <v>2.2976860021</v>
      </c>
      <c r="CM106">
        <f ca="1">IF(G106="恒定伤害",0,(IF(D106="轻剑",$CM$8,$CM$9)+IFERROR(INDEX(技能数据库!$T$2:$W$27,MATCH(E106,技能数据库!$T$2:$T$27,0),4),0)+COUNTIF(G106,"*造化2*")*154+COUNTIF(G106,"*造化1*")*102+COUNTIF(G106,"*碧归*")*307)/1024)</f>
        <v>0.176868146929785</v>
      </c>
      <c r="CN106">
        <f ca="1" t="shared" si="149"/>
        <v>0</v>
      </c>
      <c r="CO106">
        <f ca="1" t="shared" si="150"/>
        <v>2.3262602208</v>
      </c>
      <c r="CP106">
        <f ca="1" t="shared" si="151"/>
        <v>0</v>
      </c>
      <c r="CQ106">
        <f ca="1" t="shared" ref="CQ106:CQ140" si="178">IF(G106="恒定伤害",0,(IF(D106="轻剑",$CQ$8,$CQ$9)+INT(COUNTIF(G106,"*大莺鸣*")*IF(D106="轻剑",$AM$2,$AM$3)*听晓无双率)/无双系数))+IF((IF(G106="恒定伤害",0,(IF(D106="轻剑",$CQ$8,$CQ$9)+INT(COUNTIF(G106,"*大莺鸣*")*IF(D106="轻剑",$AM$2,$AM$3)*听晓无双率)/无双系数)))&lt;=0.9,特效裤子无双,0)</f>
        <v>2.77157885480339</v>
      </c>
      <c r="CR106">
        <f ca="1">IF(G106="恒定伤害",0,(IF(D106="轻剑",$CR$8,$CR$9)+IFERROR(INDEX(技能数据库!$T$2:$W$27,MATCH(E106,技能数据库!$T$2:$T$27,0),4),0)+COUNTIF(G106,"*造化2*")*154+COUNTIF(G106,"*造化1*")*102+COUNTIF(G106,"*碧归*")*307)/1024)</f>
        <v>0.167102521929785</v>
      </c>
      <c r="CS106">
        <f ca="1" t="shared" si="152"/>
        <v>0</v>
      </c>
    </row>
    <row r="107" spans="4:97">
      <c r="D107" t="s">
        <v>1825</v>
      </c>
      <c r="E107" t="s">
        <v>2718</v>
      </c>
      <c r="G107" t="s">
        <v>2750</v>
      </c>
      <c r="H107">
        <f ca="1">INDEX(技能数据库!$B$2:$I$100,MATCH(无穷阵眼收益计算!$E107,技能数据库!$B$2:$B$100,0),MATCH(H$9,技能数据库!$B$2:$I$2,0))</f>
        <v>145.5</v>
      </c>
      <c r="I107">
        <f ca="1">INDEX(技能数据库!$B$2:$I$100,MATCH(无穷阵眼收益计算!$E107,技能数据库!$B$2:$B$100,0),MATCH(I$9,技能数据库!$B$2:$I$2,0))</f>
        <v>5.1625</v>
      </c>
      <c r="J107">
        <f ca="1">INDEX(技能数据库!$B$2:$I$100,MATCH(无穷阵眼收益计算!$E107,技能数据库!$B$2:$B$100,0),MATCH(J$9,技能数据库!$B$2:$I$2,0))</f>
        <v>1</v>
      </c>
      <c r="K107">
        <f ca="1">INDEX(技能数据库!$B$2:$I$100,MATCH(无穷阵眼收益计算!$E107,技能数据库!$B$2:$B$100,0),MATCH(K$9,技能数据库!$B$2:$I$2,0))</f>
        <v>0</v>
      </c>
      <c r="L107">
        <f ca="1" t="shared" si="97"/>
        <v>105847</v>
      </c>
      <c r="M107">
        <f ca="1" t="shared" si="162"/>
        <v>19530.5</v>
      </c>
      <c r="N107">
        <f ca="1" t="shared" si="163"/>
        <v>92028</v>
      </c>
      <c r="O107">
        <f ca="1" t="shared" si="138"/>
        <v>566111.1375</v>
      </c>
      <c r="P107">
        <f ca="1">IF(G107="恒定伤害",0,(IF(D107="轻剑",$AZ$2,$AZ$3)+IFERROR(INDEX(技能数据库!$T$2:$W$27,MATCH(E107,技能数据库!$T$2:$T$27,0),4),0)+COUNTIF(G107,"*造化2*")*154+COUNTIF(G107,"*造化1*")*102+COUNTIF(G107,"*碧归*")*307)/1024)</f>
        <v>0.116321271929785</v>
      </c>
      <c r="Q107">
        <f ca="1" t="shared" si="171"/>
        <v>0.448284482196154</v>
      </c>
      <c r="R107">
        <f ca="1" t="shared" si="139"/>
        <v>0.21277697966198</v>
      </c>
      <c r="S107">
        <f ca="1" t="shared" si="164"/>
        <v>720514.230025957</v>
      </c>
      <c r="T107">
        <f t="shared" si="165"/>
        <v>0.8</v>
      </c>
      <c r="U107">
        <f ca="1" t="shared" si="172"/>
        <v>1.7800129648</v>
      </c>
      <c r="V107">
        <f ca="1" t="shared" si="166"/>
        <v>1602431.12063604</v>
      </c>
      <c r="W107">
        <f ca="1">IF(G107="恒定伤害",0,MIN(1,IF(COUNTIF(F107,"*内会*")&gt;0,内会2,IF(D107="轻剑",$Y$2,$Y$3)+COUNTIF(G107,"*莺鸣*")*0.2+COUNTIF(G107,"*叠1*")*0.1+COUNTIF(G107,"*叠2*")*0.2+COUNTIF(G107,"*叠3*")*0.3)+IFERROR(INDEX(技能数据库!$T$2:$W$27,MATCH(E107,技能数据库!$T$2:$T$27,0),2),0)+IF((IF(D107="轻剑",$AO$2,$AO$3)+INT(COUNTIF(G107,"*大莺鸣*")*IF(D107="轻剑",$AM$2,$AM$3)*听晓无双率)/无双系数)&gt;0.9,特效裤子会心/会心系数,0)))</f>
        <v>0.7043</v>
      </c>
      <c r="X107">
        <f ca="1">IF(G107="恒定伤害",0,IF(COUNTIF(F107,"*内会*")&gt;0,内会效2,IF(D107="轻剑",$AB$2,$AB$3))+IFERROR(INDEX(技能数据库!$T$2:$W$27,MATCH(E107,技能数据库!$T$2:$T$27,0),3)/1024,0))+COUNTIF(G107,"*叠1*")*0.25+COUNTIF(G107,"*叠2*")*0.5+COUNTIF(G107,"*叠3*")*0.75</f>
        <v>2.1773735021</v>
      </c>
      <c r="Y107">
        <f ca="1" t="shared" si="167"/>
        <v>1.82922415752903</v>
      </c>
      <c r="Z107">
        <f t="shared" si="100"/>
        <v>0.150390625</v>
      </c>
      <c r="AA107">
        <f ca="1" t="shared" si="168"/>
        <v>0.0205078125</v>
      </c>
      <c r="AB107">
        <f ca="1" t="shared" si="169"/>
        <v>3441184.56768573</v>
      </c>
      <c r="AC107">
        <f ca="1">无穷技能数计算!$AJ99</f>
        <v>0</v>
      </c>
      <c r="AD107" s="164">
        <f ca="1" t="shared" si="170"/>
        <v>0</v>
      </c>
      <c r="AE107" s="168"/>
      <c r="AF107" s="168">
        <f ca="1" t="shared" si="101"/>
        <v>0.7057</v>
      </c>
      <c r="AG107">
        <f ca="1">无穷技能数计算!$AJ99</f>
        <v>0</v>
      </c>
      <c r="AH107">
        <f ca="1" t="shared" si="102"/>
        <v>109879</v>
      </c>
      <c r="AJ107">
        <f ca="1" t="shared" si="103"/>
        <v>2.3765922521</v>
      </c>
      <c r="AK107">
        <f ca="1" t="shared" si="140"/>
        <v>587164.8375</v>
      </c>
      <c r="AL107">
        <f ca="1" t="shared" si="104"/>
        <v>3847751.5812648</v>
      </c>
      <c r="AM107" s="169">
        <f ca="1" t="shared" si="105"/>
        <v>0.7272</v>
      </c>
      <c r="AN107">
        <f ca="1">无穷技能数计算!$AJ99</f>
        <v>0</v>
      </c>
      <c r="AO107" s="170">
        <f ca="1" t="shared" si="106"/>
        <v>3905516.2892756</v>
      </c>
      <c r="AP107">
        <f ca="1" t="shared" si="107"/>
        <v>110956</v>
      </c>
      <c r="AQ107" s="170">
        <f ca="1" t="shared" si="141"/>
        <v>592486.35</v>
      </c>
      <c r="AR107">
        <f ca="1" t="shared" si="173"/>
        <v>3812801.61101051</v>
      </c>
      <c r="AS107">
        <f ca="1" t="shared" si="109"/>
        <v>0.7843</v>
      </c>
      <c r="AT107">
        <f ca="1">无穷技能数计算!$AJ99</f>
        <v>0</v>
      </c>
      <c r="AU107">
        <f ca="1" t="shared" si="110"/>
        <v>2.3238578771</v>
      </c>
      <c r="AV107">
        <f ca="1" t="shared" si="174"/>
        <v>1.7995442148</v>
      </c>
      <c r="AW107">
        <f ca="1" t="shared" si="142"/>
        <v>3861446.49687343</v>
      </c>
      <c r="AX107">
        <f ca="1" t="shared" si="112"/>
        <v>0.7743</v>
      </c>
      <c r="AY107">
        <f ca="1">无穷技能数计算!$AJ99</f>
        <v>0</v>
      </c>
      <c r="AZ107" s="170">
        <f ca="1" t="shared" si="143"/>
        <v>3836366.76368624</v>
      </c>
      <c r="BA107">
        <f ca="1" t="shared" si="113"/>
        <v>0.7643</v>
      </c>
      <c r="BB107">
        <f ca="1">无穷技能数计算!$AJ99</f>
        <v>0</v>
      </c>
      <c r="BC107" s="170">
        <f ca="1" t="shared" si="144"/>
        <v>3811287.03049906</v>
      </c>
      <c r="BE107">
        <f ca="1" t="shared" si="114"/>
        <v>105849</v>
      </c>
      <c r="BF107">
        <f ca="1" t="shared" si="115"/>
        <v>566121.4625</v>
      </c>
      <c r="BI107">
        <f ca="1" t="shared" si="116"/>
        <v>0.7543</v>
      </c>
      <c r="BJ107">
        <f ca="1">无穷技能数计算!$AJ99</f>
        <v>0</v>
      </c>
      <c r="BK107">
        <f ca="1" t="shared" si="117"/>
        <v>3791030.33683847</v>
      </c>
      <c r="BM107">
        <f ca="1" t="shared" si="118"/>
        <v>109230</v>
      </c>
      <c r="BN107">
        <f ca="1" t="shared" si="119"/>
        <v>583575.875</v>
      </c>
      <c r="BO107">
        <f ca="1" t="shared" si="175"/>
        <v>3831079.12472695</v>
      </c>
      <c r="BP107">
        <f ca="1" t="shared" si="176"/>
        <v>3653479.22919957</v>
      </c>
      <c r="BR107">
        <f ca="1" t="shared" si="122"/>
        <v>0.7543</v>
      </c>
      <c r="BS107">
        <f ca="1" t="shared" si="123"/>
        <v>3797550.58606915</v>
      </c>
      <c r="BT107">
        <f ca="1" t="shared" si="124"/>
        <v>0.196995876306796</v>
      </c>
      <c r="BU107">
        <f ca="1" t="shared" si="125"/>
        <v>2.3238578771</v>
      </c>
      <c r="BV107">
        <f ca="1" t="shared" si="145"/>
        <v>3835163.36899538</v>
      </c>
      <c r="BW107">
        <f ca="1" t="shared" si="126"/>
        <v>113027</v>
      </c>
      <c r="BX107">
        <f ca="1" t="shared" si="127"/>
        <v>603177.8875</v>
      </c>
      <c r="BY107">
        <f ca="1" t="shared" si="128"/>
        <v>0.7343</v>
      </c>
      <c r="BZ107">
        <f ca="1">无穷技能数计算!$AJ99</f>
        <v>0</v>
      </c>
      <c r="CA107">
        <f ca="1" t="shared" si="129"/>
        <v>2.3277641271</v>
      </c>
      <c r="CB107">
        <f ca="1" t="shared" si="146"/>
        <v>3958647.55148232</v>
      </c>
      <c r="CC107">
        <f ca="1" t="shared" si="130"/>
        <v>114847</v>
      </c>
      <c r="CD107">
        <f ca="1" t="shared" si="131"/>
        <v>612573.6375</v>
      </c>
      <c r="CE107">
        <f ca="1" t="shared" si="132"/>
        <v>3909071.74262357</v>
      </c>
      <c r="CF107">
        <f ca="1" t="shared" si="133"/>
        <v>2.2750297521</v>
      </c>
      <c r="CG107">
        <f ca="1" t="shared" si="134"/>
        <v>0.7343</v>
      </c>
      <c r="CH107">
        <f ca="1" t="shared" si="147"/>
        <v>3668123.53836959</v>
      </c>
      <c r="CJ107">
        <f ca="1" t="shared" si="135"/>
        <v>583575.875</v>
      </c>
      <c r="CK107">
        <f ca="1" t="shared" si="177"/>
        <v>3813724.54509198</v>
      </c>
      <c r="CL107">
        <f ca="1" t="shared" si="148"/>
        <v>2.2976860021</v>
      </c>
      <c r="CM107">
        <f ca="1">IF(G107="恒定伤害",0,(IF(D107="轻剑",$CM$8,$CM$9)+IFERROR(INDEX(技能数据库!$T$2:$W$27,MATCH(E107,技能数据库!$T$2:$T$27,0),4),0)+COUNTIF(G107,"*造化2*")*154+COUNTIF(G107,"*造化1*")*102+COUNTIF(G107,"*碧归*")*307)/1024)</f>
        <v>0.176868146929785</v>
      </c>
      <c r="CN107">
        <f ca="1" t="shared" si="149"/>
        <v>3900300.98256484</v>
      </c>
      <c r="CO107">
        <f ca="1" t="shared" si="150"/>
        <v>2.3262602208</v>
      </c>
      <c r="CP107">
        <f ca="1" t="shared" si="151"/>
        <v>3942206.19518807</v>
      </c>
      <c r="CQ107">
        <f ca="1" t="shared" si="178"/>
        <v>1.8815754648</v>
      </c>
      <c r="CR107">
        <f ca="1">IF(G107="恒定伤害",0,(IF(D107="轻剑",$CR$8,$CR$9)+IFERROR(INDEX(技能数据库!$T$2:$W$27,MATCH(E107,技能数据库!$T$2:$T$27,0),4),0)+COUNTIF(G107,"*造化2*")*154+COUNTIF(G107,"*造化1*")*102+COUNTIF(G107,"*碧归*")*307)/1024)</f>
        <v>0.167102521929785</v>
      </c>
      <c r="CS107">
        <f ca="1" t="shared" si="152"/>
        <v>3729159.4231725</v>
      </c>
    </row>
    <row r="108" spans="4:97">
      <c r="D108" t="s">
        <v>1825</v>
      </c>
      <c r="E108" t="s">
        <v>2776</v>
      </c>
      <c r="G108" t="s">
        <v>3102</v>
      </c>
      <c r="H108">
        <f ca="1">INDEX(技能数据库!$B$2:$I$100,MATCH(无穷阵眼收益计算!$E108,技能数据库!$B$2:$B$100,0),MATCH(H$9,技能数据库!$B$2:$I$2,0))</f>
        <v>281.5</v>
      </c>
      <c r="I108">
        <f ca="1">INDEX(技能数据库!$B$2:$I$100,MATCH(无穷阵眼收益计算!$E108,技能数据库!$B$2:$B$100,0),MATCH(I$9,技能数据库!$B$2:$I$2,0))</f>
        <v>7.06875</v>
      </c>
      <c r="J108">
        <f ca="1">INDEX(技能数据库!$B$2:$I$100,MATCH(无穷阵眼收益计算!$E108,技能数据库!$B$2:$B$100,0),MATCH(J$9,技能数据库!$B$2:$I$2,0))</f>
        <v>2</v>
      </c>
      <c r="K108">
        <f ca="1">INDEX(技能数据库!$B$2:$I$100,MATCH(无穷阵眼收益计算!$E108,技能数据库!$B$2:$B$100,0),MATCH(K$9,技能数据库!$B$2:$I$2,0))</f>
        <v>0</v>
      </c>
      <c r="L108">
        <f ca="1" t="shared" si="97"/>
        <v>91975</v>
      </c>
      <c r="M108">
        <f ca="1" t="shared" si="162"/>
        <v>19530.5</v>
      </c>
      <c r="N108">
        <f ca="1" t="shared" si="163"/>
        <v>92028</v>
      </c>
      <c r="O108">
        <f ca="1" t="shared" si="138"/>
        <v>689490.78125</v>
      </c>
      <c r="P108">
        <f ca="1">IF(G108="恒定伤害",0,(IF(D108="轻剑",$AZ$2,$AZ$3)+IFERROR(INDEX(技能数据库!$T$2:$W$27,MATCH(E108,技能数据库!$T$2:$T$27,0),4),0)+COUNTIF(G108,"*造化2*")*154+COUNTIF(G108,"*造化1*")*102+COUNTIF(G108,"*碧归*")*307)/1024)</f>
        <v>0.636829084429785</v>
      </c>
      <c r="Q108">
        <f ca="1" t="shared" si="171"/>
        <v>0.448284482196154</v>
      </c>
      <c r="R108">
        <f ca="1" t="shared" si="139"/>
        <v>0.32958230397716</v>
      </c>
      <c r="S108">
        <f ca="1" t="shared" si="164"/>
        <v>1095799.61570912</v>
      </c>
      <c r="T108">
        <f t="shared" si="165"/>
        <v>0.8</v>
      </c>
      <c r="U108">
        <f ca="1" t="shared" si="172"/>
        <v>2.67001635480339</v>
      </c>
      <c r="V108">
        <f ca="1" t="shared" si="166"/>
        <v>3217282.00899181</v>
      </c>
      <c r="W108">
        <f ca="1">IF(G108="恒定伤害",0,MIN(1,IF(COUNTIF(F108,"*内会*")&gt;0,内会2,IF(D108="轻剑",$Y$2,$Y$3)+COUNTIF(G108,"*莺鸣*")*0.2+COUNTIF(G108,"*叠1*")*0.1+COUNTIF(G108,"*叠2*")*0.2+COUNTIF(G108,"*叠3*")*0.3)+IFERROR(INDEX(技能数据库!$T$2:$W$27,MATCH(E108,技能数据库!$T$2:$T$27,0),2),0)+IF((IF(D108="轻剑",$AO$2,$AO$3)+INT(COUNTIF(G108,"*大莺鸣*")*IF(D108="轻剑",$AM$2,$AM$3)*听晓无双率)/无双系数)&gt;0.9,特效裤子会心/会心系数,0)))</f>
        <v>0.9043</v>
      </c>
      <c r="X108">
        <f ca="1">IF(G108="恒定伤害",0,IF(COUNTIF(F108,"*内会*")&gt;0,内会效2,IF(D108="轻剑",$AB$2,$AB$3))+IFERROR(INDEX(技能数据库!$T$2:$W$27,MATCH(E108,技能数据库!$T$2:$T$27,0),3)/1024,0))+COUNTIF(G108,"*叠1*")*0.25+COUNTIF(G108,"*叠2*")*0.5+COUNTIF(G108,"*叠3*")*0.75</f>
        <v>2.1773735021</v>
      </c>
      <c r="Y108">
        <f ca="1" t="shared" si="167"/>
        <v>2.06469885794903</v>
      </c>
      <c r="Z108">
        <f t="shared" si="100"/>
        <v>0.150390625</v>
      </c>
      <c r="AA108">
        <f ca="1" t="shared" si="168"/>
        <v>0.0205078125</v>
      </c>
      <c r="AB108">
        <f ca="1" t="shared" si="169"/>
        <v>7798436.05800908</v>
      </c>
      <c r="AC108">
        <f ca="1">无穷技能数计算!$AJ100</f>
        <v>0</v>
      </c>
      <c r="AD108" s="164">
        <f ca="1" t="shared" si="170"/>
        <v>0</v>
      </c>
      <c r="AE108" s="168"/>
      <c r="AF108" s="168">
        <f ca="1" t="shared" si="101"/>
        <v>0.9057</v>
      </c>
      <c r="AG108">
        <f ca="1">无穷技能数计算!$AJ100</f>
        <v>0</v>
      </c>
      <c r="AH108">
        <f ca="1" t="shared" si="102"/>
        <v>96007</v>
      </c>
      <c r="AJ108">
        <f ca="1" t="shared" si="103"/>
        <v>2.3765922521</v>
      </c>
      <c r="AK108">
        <f ca="1" t="shared" si="140"/>
        <v>718468.98125</v>
      </c>
      <c r="AL108">
        <f ca="1" t="shared" si="104"/>
        <v>8845252.84884509</v>
      </c>
      <c r="AM108" s="169">
        <f ca="1" t="shared" si="105"/>
        <v>0.9272</v>
      </c>
      <c r="AN108">
        <f ca="1">无穷技能数计算!$AJ100</f>
        <v>0</v>
      </c>
      <c r="AO108" s="170">
        <f ca="1" t="shared" si="106"/>
        <v>8961770.99343005</v>
      </c>
      <c r="AP108">
        <f ca="1" t="shared" si="107"/>
        <v>97084</v>
      </c>
      <c r="AQ108" s="170">
        <f ca="1" t="shared" si="141"/>
        <v>725605.025</v>
      </c>
      <c r="AR108">
        <f ca="1" t="shared" si="173"/>
        <v>8688382.35879594</v>
      </c>
      <c r="AS108">
        <f ca="1" t="shared" si="109"/>
        <v>0.9843</v>
      </c>
      <c r="AT108">
        <f ca="1">无穷技能数计算!$AJ100</f>
        <v>0</v>
      </c>
      <c r="AU108">
        <f ca="1" t="shared" si="110"/>
        <v>2.3238578771</v>
      </c>
      <c r="AV108">
        <f ca="1" t="shared" si="174"/>
        <v>2.68954760480339</v>
      </c>
      <c r="AW108">
        <f ca="1" t="shared" si="142"/>
        <v>8745077.82480505</v>
      </c>
      <c r="AX108">
        <f ca="1" t="shared" si="112"/>
        <v>0.9743</v>
      </c>
      <c r="AY108">
        <f ca="1">无穷技能数计算!$AJ100</f>
        <v>0</v>
      </c>
      <c r="AZ108" s="170">
        <f ca="1" t="shared" si="143"/>
        <v>8694809.16804173</v>
      </c>
      <c r="BA108">
        <f ca="1" t="shared" si="113"/>
        <v>0.9643</v>
      </c>
      <c r="BB108">
        <f ca="1">无穷技能数计算!$AJ100</f>
        <v>0</v>
      </c>
      <c r="BC108" s="170">
        <f ca="1" t="shared" si="144"/>
        <v>8644540.51127841</v>
      </c>
      <c r="BE108">
        <f ca="1" t="shared" si="114"/>
        <v>91977</v>
      </c>
      <c r="BF108">
        <f ca="1" t="shared" si="115"/>
        <v>689504.91875</v>
      </c>
      <c r="BI108">
        <f ca="1" t="shared" si="116"/>
        <v>0.9543</v>
      </c>
      <c r="BJ108">
        <f ca="1">无穷技能数计算!$AJ100</f>
        <v>0</v>
      </c>
      <c r="BK108">
        <f ca="1" t="shared" si="117"/>
        <v>8546245.13408309</v>
      </c>
      <c r="BM108">
        <f ca="1" t="shared" si="118"/>
        <v>95358</v>
      </c>
      <c r="BN108">
        <f ca="1" t="shared" si="119"/>
        <v>713404.3625</v>
      </c>
      <c r="BO108">
        <f ca="1" t="shared" si="175"/>
        <v>8714296.58663316</v>
      </c>
      <c r="BP108">
        <f ca="1" t="shared" si="176"/>
        <v>8310322.11547397</v>
      </c>
      <c r="BR108">
        <f ca="1" t="shared" si="122"/>
        <v>0.9543</v>
      </c>
      <c r="BS108">
        <f ca="1" t="shared" si="123"/>
        <v>8592753.14969171</v>
      </c>
      <c r="BT108">
        <f ca="1" t="shared" si="124"/>
        <v>0.318170800459405</v>
      </c>
      <c r="BU108">
        <f ca="1" t="shared" si="125"/>
        <v>2.3238578771</v>
      </c>
      <c r="BV108">
        <f ca="1" t="shared" si="145"/>
        <v>8694289.46656231</v>
      </c>
      <c r="BW108">
        <f ca="1" t="shared" si="126"/>
        <v>99155</v>
      </c>
      <c r="BX108">
        <f ca="1" t="shared" si="127"/>
        <v>740244.40625</v>
      </c>
      <c r="BY108">
        <f ca="1" t="shared" si="128"/>
        <v>0.9343</v>
      </c>
      <c r="BZ108">
        <f ca="1">无穷技能数计算!$AJ100</f>
        <v>0</v>
      </c>
      <c r="CA108">
        <f ca="1" t="shared" si="129"/>
        <v>2.3277641271</v>
      </c>
      <c r="CB108">
        <f ca="1" t="shared" si="146"/>
        <v>9085487.52536792</v>
      </c>
      <c r="CC108">
        <f ca="1" t="shared" si="130"/>
        <v>100975</v>
      </c>
      <c r="CD108">
        <f ca="1" t="shared" si="131"/>
        <v>753109.53125</v>
      </c>
      <c r="CE108">
        <f ca="1" t="shared" si="132"/>
        <v>8922919.34422536</v>
      </c>
      <c r="CF108">
        <f ca="1" t="shared" si="133"/>
        <v>2.2750297521</v>
      </c>
      <c r="CG108">
        <f ca="1" t="shared" si="134"/>
        <v>0.9343</v>
      </c>
      <c r="CH108">
        <f ca="1" t="shared" si="147"/>
        <v>8320508.84568766</v>
      </c>
      <c r="CJ108">
        <f ca="1" t="shared" si="135"/>
        <v>713404.3625</v>
      </c>
      <c r="CK108">
        <f ca="1" t="shared" si="177"/>
        <v>8674821.29803906</v>
      </c>
      <c r="CL108">
        <f ca="1" t="shared" si="148"/>
        <v>2.2976860021</v>
      </c>
      <c r="CM108">
        <f ca="1">IF(G108="恒定伤害",0,(IF(D108="轻剑",$CM$8,$CM$9)+IFERROR(INDEX(技能数据库!$T$2:$W$27,MATCH(E108,技能数据库!$T$2:$T$27,0),4),0)+COUNTIF(G108,"*造化2*")*154+COUNTIF(G108,"*造化1*")*102+COUNTIF(G108,"*碧归*")*307)/1024)</f>
        <v>0.697375959429785</v>
      </c>
      <c r="CN108">
        <f ca="1" t="shared" si="149"/>
        <v>8711637.23641483</v>
      </c>
      <c r="CO108">
        <f ca="1" t="shared" si="150"/>
        <v>2.3262602208</v>
      </c>
      <c r="CP108">
        <f ca="1" t="shared" si="151"/>
        <v>8816758.68657471</v>
      </c>
      <c r="CQ108">
        <f ca="1" t="shared" si="178"/>
        <v>2.77157885480339</v>
      </c>
      <c r="CR108">
        <f ca="1">IF(G108="恒定伤害",0,(IF(D108="轻剑",$CR$8,$CR$9)+IFERROR(INDEX(技能数据库!$T$2:$W$27,MATCH(E108,技能数据库!$T$2:$T$27,0),4),0)+COUNTIF(G108,"*造化2*")*154+COUNTIF(G108,"*造化1*")*102+COUNTIF(G108,"*碧归*")*307)/1024)</f>
        <v>0.687610334429785</v>
      </c>
      <c r="CS108">
        <f ca="1" t="shared" si="152"/>
        <v>8262882.00608088</v>
      </c>
    </row>
    <row r="109" spans="4:97">
      <c r="D109" t="s">
        <v>1825</v>
      </c>
      <c r="E109" t="s">
        <v>2780</v>
      </c>
      <c r="G109" t="s">
        <v>3102</v>
      </c>
      <c r="H109">
        <f ca="1">INDEX(技能数据库!$B$2:$I$100,MATCH(无穷阵眼收益计算!$E109,技能数据库!$B$2:$B$100,0),MATCH(H$9,技能数据库!$B$2:$I$2,0))</f>
        <v>252.5</v>
      </c>
      <c r="I109">
        <f ca="1">INDEX(技能数据库!$B$2:$I$100,MATCH(无穷阵眼收益计算!$E109,技能数据库!$B$2:$B$100,0),MATCH(I$9,技能数据库!$B$2:$I$2,0))</f>
        <v>2.11875</v>
      </c>
      <c r="J109">
        <f ca="1">INDEX(技能数据库!$B$2:$I$100,MATCH(无穷阵眼收益计算!$E109,技能数据库!$B$2:$B$100,0),MATCH(J$9,技能数据库!$B$2:$I$2,0))</f>
        <v>2</v>
      </c>
      <c r="K109">
        <f ca="1">INDEX(技能数据库!$B$2:$I$100,MATCH(无穷阵眼收益计算!$E109,技能数据库!$B$2:$B$100,0),MATCH(K$9,技能数据库!$B$2:$I$2,0))</f>
        <v>0</v>
      </c>
      <c r="L109">
        <f ca="1" t="shared" si="97"/>
        <v>91975</v>
      </c>
      <c r="M109">
        <f ca="1" t="shared" si="162"/>
        <v>19530.5</v>
      </c>
      <c r="N109">
        <f ca="1" t="shared" si="163"/>
        <v>92028</v>
      </c>
      <c r="O109">
        <f ca="1" t="shared" si="138"/>
        <v>234185.53125</v>
      </c>
      <c r="P109">
        <f ca="1">IF(G109="恒定伤害",0,(IF(D109="轻剑",$AZ$2,$AZ$3)+IFERROR(INDEX(技能数据库!$T$2:$W$27,MATCH(E109,技能数据库!$T$2:$T$27,0),4),0)+COUNTIF(G109,"*造化2*")*154+COUNTIF(G109,"*造化1*")*102+COUNTIF(G109,"*碧归*")*307)/1024)</f>
        <v>0.636829084429785</v>
      </c>
      <c r="Q109">
        <f ca="1" t="shared" si="171"/>
        <v>0.448284482196154</v>
      </c>
      <c r="R109">
        <f ca="1" t="shared" si="139"/>
        <v>0.32958230397716</v>
      </c>
      <c r="S109">
        <f ca="1" t="shared" si="164"/>
        <v>372188.319448089</v>
      </c>
      <c r="T109">
        <f t="shared" si="165"/>
        <v>0.8</v>
      </c>
      <c r="U109">
        <f ca="1" t="shared" si="172"/>
        <v>2.67001635480339</v>
      </c>
      <c r="V109">
        <f ca="1" t="shared" si="166"/>
        <v>1092749.77555302</v>
      </c>
      <c r="W109">
        <f ca="1">IF(G109="恒定伤害",0,MIN(1,IF(COUNTIF(F109,"*内会*")&gt;0,内会2,IF(D109="轻剑",$Y$2,$Y$3)+COUNTIF(G109,"*莺鸣*")*0.2+COUNTIF(G109,"*叠1*")*0.1+COUNTIF(G109,"*叠2*")*0.2+COUNTIF(G109,"*叠3*")*0.3)+IFERROR(INDEX(技能数据库!$T$2:$W$27,MATCH(E109,技能数据库!$T$2:$T$27,0),2),0)+IF((IF(D109="轻剑",$AO$2,$AO$3)+INT(COUNTIF(G109,"*大莺鸣*")*IF(D109="轻剑",$AM$2,$AM$3)*听晓无双率)/无双系数)&gt;0.9,特效裤子会心/会心系数,0)))</f>
        <v>0.9043</v>
      </c>
      <c r="X109">
        <f ca="1">IF(G109="恒定伤害",0,IF(COUNTIF(F109,"*内会*")&gt;0,内会效2,IF(D109="轻剑",$AB$2,$AB$3))+IFERROR(INDEX(技能数据库!$T$2:$W$27,MATCH(E109,技能数据库!$T$2:$T$27,0),3)/1024,0))+COUNTIF(G109,"*叠1*")*0.25+COUNTIF(G109,"*叠2*")*0.5+COUNTIF(G109,"*叠3*")*0.75</f>
        <v>2.1773735021</v>
      </c>
      <c r="Y109">
        <f ca="1" t="shared" si="167"/>
        <v>2.06469885794903</v>
      </c>
      <c r="Z109">
        <f t="shared" si="100"/>
        <v>0.150390625</v>
      </c>
      <c r="AA109">
        <f ca="1" t="shared" si="168"/>
        <v>0.0205078125</v>
      </c>
      <c r="AB109">
        <f ca="1" t="shared" si="169"/>
        <v>2648738.66457372</v>
      </c>
      <c r="AC109">
        <f ca="1">无穷技能数计算!$AJ101</f>
        <v>0</v>
      </c>
      <c r="AD109" s="164">
        <f ca="1" t="shared" si="170"/>
        <v>0</v>
      </c>
      <c r="AE109" s="168"/>
      <c r="AF109" s="168">
        <f ca="1" t="shared" si="101"/>
        <v>0.9057</v>
      </c>
      <c r="AG109">
        <f ca="1">无穷技能数计算!$AJ101</f>
        <v>0</v>
      </c>
      <c r="AH109">
        <f ca="1" t="shared" si="102"/>
        <v>96007</v>
      </c>
      <c r="AJ109">
        <f ca="1" t="shared" si="103"/>
        <v>2.3765922521</v>
      </c>
      <c r="AK109">
        <f ca="1" t="shared" si="140"/>
        <v>243205.33125</v>
      </c>
      <c r="AL109">
        <f ca="1" t="shared" si="104"/>
        <v>2994162.17712096</v>
      </c>
      <c r="AM109" s="169">
        <f ca="1" t="shared" si="105"/>
        <v>0.9272</v>
      </c>
      <c r="AN109">
        <f ca="1">无穷技能数计算!$AJ101</f>
        <v>0</v>
      </c>
      <c r="AO109" s="170">
        <f ca="1" t="shared" si="106"/>
        <v>3033604.14982953</v>
      </c>
      <c r="AP109">
        <f ca="1" t="shared" si="107"/>
        <v>97084</v>
      </c>
      <c r="AQ109" s="170">
        <f ca="1" t="shared" si="141"/>
        <v>245010.225</v>
      </c>
      <c r="AR109">
        <f ca="1" t="shared" si="173"/>
        <v>2933748.31109339</v>
      </c>
      <c r="AS109">
        <f ca="1" t="shared" si="109"/>
        <v>0.9843</v>
      </c>
      <c r="AT109">
        <f ca="1">无穷技能数计算!$AJ101</f>
        <v>0</v>
      </c>
      <c r="AU109">
        <f ca="1" t="shared" si="110"/>
        <v>2.3238578771</v>
      </c>
      <c r="AV109">
        <f ca="1" t="shared" si="174"/>
        <v>2.68954760480339</v>
      </c>
      <c r="AW109">
        <f ca="1" t="shared" si="142"/>
        <v>2970265.52336455</v>
      </c>
      <c r="AX109">
        <f ca="1" t="shared" si="112"/>
        <v>0.9743</v>
      </c>
      <c r="AY109">
        <f ca="1">无穷技能数计算!$AJ101</f>
        <v>0</v>
      </c>
      <c r="AZ109" s="170">
        <f ca="1" t="shared" si="143"/>
        <v>2953191.77501363</v>
      </c>
      <c r="BA109">
        <f ca="1" t="shared" si="113"/>
        <v>0.9643</v>
      </c>
      <c r="BB109">
        <f ca="1">无穷技能数计算!$AJ101</f>
        <v>0</v>
      </c>
      <c r="BC109" s="170">
        <f ca="1" t="shared" si="144"/>
        <v>2936118.02666271</v>
      </c>
      <c r="BE109">
        <f ca="1" t="shared" si="114"/>
        <v>91977</v>
      </c>
      <c r="BF109">
        <f ca="1" t="shared" si="115"/>
        <v>234189.76875</v>
      </c>
      <c r="BI109">
        <f ca="1" t="shared" si="116"/>
        <v>0.9543</v>
      </c>
      <c r="BJ109">
        <f ca="1">无穷技能数计算!$AJ101</f>
        <v>0</v>
      </c>
      <c r="BK109">
        <f ca="1" t="shared" si="117"/>
        <v>2902725.00921406</v>
      </c>
      <c r="BM109">
        <f ca="1" t="shared" si="118"/>
        <v>95358</v>
      </c>
      <c r="BN109">
        <f ca="1" t="shared" si="119"/>
        <v>241353.2625</v>
      </c>
      <c r="BO109">
        <f ca="1" t="shared" si="175"/>
        <v>2948151.17783434</v>
      </c>
      <c r="BP109">
        <f ca="1" t="shared" si="176"/>
        <v>2811481.76325533</v>
      </c>
      <c r="BR109">
        <f ca="1" t="shared" si="122"/>
        <v>0.9543</v>
      </c>
      <c r="BS109">
        <f ca="1" t="shared" si="123"/>
        <v>2907031.57360528</v>
      </c>
      <c r="BT109">
        <f ca="1" t="shared" si="124"/>
        <v>0.318170800459405</v>
      </c>
      <c r="BU109">
        <f ca="1" t="shared" si="125"/>
        <v>2.3238578771</v>
      </c>
      <c r="BV109">
        <f ca="1" t="shared" si="145"/>
        <v>2953015.25841564</v>
      </c>
      <c r="BW109">
        <f ca="1" t="shared" si="126"/>
        <v>99155</v>
      </c>
      <c r="BX109">
        <f ca="1" t="shared" si="127"/>
        <v>249398.15625</v>
      </c>
      <c r="BY109">
        <f ca="1" t="shared" si="128"/>
        <v>0.9343</v>
      </c>
      <c r="BZ109">
        <f ca="1">无穷技能数计算!$AJ101</f>
        <v>0</v>
      </c>
      <c r="CA109">
        <f ca="1" t="shared" si="129"/>
        <v>2.3277641271</v>
      </c>
      <c r="CB109">
        <f ca="1" t="shared" si="146"/>
        <v>3061021.2226229</v>
      </c>
      <c r="CC109">
        <f ca="1" t="shared" si="130"/>
        <v>100975</v>
      </c>
      <c r="CD109">
        <f ca="1" t="shared" si="131"/>
        <v>253254.28125</v>
      </c>
      <c r="CE109">
        <f ca="1" t="shared" si="132"/>
        <v>3000582.8254793</v>
      </c>
      <c r="CF109">
        <f ca="1" t="shared" si="133"/>
        <v>2.2750297521</v>
      </c>
      <c r="CG109">
        <f ca="1" t="shared" si="134"/>
        <v>0.9343</v>
      </c>
      <c r="CH109">
        <f ca="1" t="shared" si="147"/>
        <v>2826060.67736702</v>
      </c>
      <c r="CJ109">
        <f ca="1" t="shared" si="135"/>
        <v>241353.2625</v>
      </c>
      <c r="CK109">
        <f ca="1" t="shared" si="177"/>
        <v>2934796.21367778</v>
      </c>
      <c r="CL109">
        <f ca="1" t="shared" si="148"/>
        <v>2.2976860021</v>
      </c>
      <c r="CM109">
        <f ca="1">IF(G109="恒定伤害",0,(IF(D109="轻剑",$CM$8,$CM$9)+IFERROR(INDEX(技能数据库!$T$2:$W$27,MATCH(E109,技能数据库!$T$2:$T$27,0),4),0)+COUNTIF(G109,"*造化2*")*154+COUNTIF(G109,"*造化1*")*102+COUNTIF(G109,"*碧归*")*307)/1024)</f>
        <v>0.697375959429785</v>
      </c>
      <c r="CN109">
        <f ca="1" t="shared" si="149"/>
        <v>2958907.428129</v>
      </c>
      <c r="CO109">
        <f ca="1" t="shared" si="150"/>
        <v>2.3262602208</v>
      </c>
      <c r="CP109">
        <f ca="1" t="shared" si="151"/>
        <v>2994611.92675453</v>
      </c>
      <c r="CQ109">
        <f ca="1" t="shared" si="178"/>
        <v>2.77157885480339</v>
      </c>
      <c r="CR109">
        <f ca="1">IF(G109="恒定伤害",0,(IF(D109="轻剑",$CR$8,$CR$9)+IFERROR(INDEX(技能数据库!$T$2:$W$27,MATCH(E109,技能数据库!$T$2:$T$27,0),4),0)+COUNTIF(G109,"*造化2*")*154+COUNTIF(G109,"*造化1*")*102+COUNTIF(G109,"*碧归*")*307)/1024)</f>
        <v>0.687610334429785</v>
      </c>
      <c r="CS109">
        <f ca="1" t="shared" si="152"/>
        <v>2806487.7223478</v>
      </c>
    </row>
    <row r="110" spans="4:97">
      <c r="D110" t="s">
        <v>1825</v>
      </c>
      <c r="E110" t="s">
        <v>2794</v>
      </c>
      <c r="G110" t="s">
        <v>3103</v>
      </c>
      <c r="H110">
        <f ca="1">INDEX(技能数据库!$B$2:$I$100,MATCH(无穷阵眼收益计算!$E110,技能数据库!$B$2:$B$100,0),MATCH(H$9,技能数据库!$B$2:$I$2,0))</f>
        <v>231.5</v>
      </c>
      <c r="I110">
        <f ca="1">INDEX(技能数据库!$B$2:$I$100,MATCH(无穷阵眼收益计算!$E110,技能数据库!$B$2:$B$100,0),MATCH(I$9,技能数据库!$B$2:$I$2,0))</f>
        <v>2.71875</v>
      </c>
      <c r="J110">
        <f ca="1">INDEX(技能数据库!$B$2:$I$100,MATCH(无穷阵眼收益计算!$E110,技能数据库!$B$2:$B$100,0),MATCH(J$9,技能数据库!$B$2:$I$2,0))</f>
        <v>2</v>
      </c>
      <c r="K110">
        <f ca="1">INDEX(技能数据库!$B$2:$I$100,MATCH(无穷阵眼收益计算!$E110,技能数据库!$B$2:$B$100,0),MATCH(K$9,技能数据库!$B$2:$I$2,0))</f>
        <v>0</v>
      </c>
      <c r="L110">
        <f ca="1" t="shared" si="97"/>
        <v>91975</v>
      </c>
      <c r="M110">
        <f ca="1" t="shared" si="162"/>
        <v>19530.5</v>
      </c>
      <c r="N110">
        <f ca="1" t="shared" si="163"/>
        <v>92028</v>
      </c>
      <c r="O110">
        <f ca="1" t="shared" si="138"/>
        <v>289349.53125</v>
      </c>
      <c r="P110">
        <f ca="1">IF(G110="恒定伤害",0,(IF(D110="轻剑",$AZ$2,$AZ$3)+IFERROR(INDEX(技能数据库!$T$2:$W$27,MATCH(E110,技能数据库!$T$2:$T$27,0),4),0)+COUNTIF(G110,"*造化2*")*154+COUNTIF(G110,"*造化1*")*102+COUNTIF(G110,"*碧归*")*307)/1024)</f>
        <v>0.536243146929785</v>
      </c>
      <c r="Q110">
        <f ca="1" t="shared" si="171"/>
        <v>0.448284482196154</v>
      </c>
      <c r="R110">
        <f ca="1" t="shared" si="139"/>
        <v>0.32958230397716</v>
      </c>
      <c r="S110">
        <f ca="1" t="shared" si="164"/>
        <v>431600.648232927</v>
      </c>
      <c r="T110">
        <f t="shared" si="165"/>
        <v>0.8</v>
      </c>
      <c r="U110">
        <f ca="1" t="shared" si="172"/>
        <v>2.67001635480339</v>
      </c>
      <c r="V110">
        <f ca="1" t="shared" si="166"/>
        <v>1267185.15020687</v>
      </c>
      <c r="W110">
        <f ca="1">IF(G110="恒定伤害",0,MIN(1,IF(COUNTIF(F110,"*内会*")&gt;0,内会2,IF(D110="轻剑",$Y$2,$Y$3)+COUNTIF(G110,"*莺鸣*")*0.2+COUNTIF(G110,"*叠1*")*0.1+COUNTIF(G110,"*叠2*")*0.2+COUNTIF(G110,"*叠3*")*0.3)+IFERROR(INDEX(技能数据库!$T$2:$W$27,MATCH(E110,技能数据库!$T$2:$T$27,0),2),0)+IF((IF(D110="轻剑",$AO$2,$AO$3)+INT(COUNTIF(G110,"*大莺鸣*")*IF(D110="轻剑",$AM$2,$AM$3)*听晓无双率)/无双系数)&gt;0.9,特效裤子会心/会心系数,0)))</f>
        <v>0.9043</v>
      </c>
      <c r="X110">
        <f ca="1">IF(G110="恒定伤害",0,IF(COUNTIF(F110,"*内会*")&gt;0,内会效2,IF(D110="轻剑",$AB$2,$AB$3))+IFERROR(INDEX(技能数据库!$T$2:$W$27,MATCH(E110,技能数据库!$T$2:$T$27,0),3)/1024,0))+COUNTIF(G110,"*叠1*")*0.25+COUNTIF(G110,"*叠2*")*0.5+COUNTIF(G110,"*叠3*")*0.75</f>
        <v>2.1773735021</v>
      </c>
      <c r="Y110">
        <f ca="1" t="shared" si="167"/>
        <v>2.06469885794903</v>
      </c>
      <c r="Z110">
        <f t="shared" si="100"/>
        <v>0.150390625</v>
      </c>
      <c r="AA110">
        <f ca="1" t="shared" si="168"/>
        <v>0.0205078125</v>
      </c>
      <c r="AB110">
        <f ca="1" t="shared" si="169"/>
        <v>3071556.15825037</v>
      </c>
      <c r="AC110">
        <f ca="1">无穷技能数计算!$AJ102</f>
        <v>0</v>
      </c>
      <c r="AD110" s="164">
        <f ca="1" t="shared" si="170"/>
        <v>0</v>
      </c>
      <c r="AE110" s="168"/>
      <c r="AF110" s="168">
        <f ca="1" t="shared" si="101"/>
        <v>0.9057</v>
      </c>
      <c r="AG110">
        <f ca="1">无穷技能数计算!$AJ102</f>
        <v>0</v>
      </c>
      <c r="AH110">
        <f ca="1" t="shared" si="102"/>
        <v>96007</v>
      </c>
      <c r="AJ110">
        <f ca="1" t="shared" si="103"/>
        <v>2.3765922521</v>
      </c>
      <c r="AK110">
        <f ca="1" t="shared" si="140"/>
        <v>300788.53125</v>
      </c>
      <c r="AL110">
        <f ca="1" t="shared" si="104"/>
        <v>3475522.68443809</v>
      </c>
      <c r="AM110" s="169">
        <f ca="1" t="shared" si="105"/>
        <v>0.9272</v>
      </c>
      <c r="AN110">
        <f ca="1">无穷技能数计算!$AJ102</f>
        <v>0</v>
      </c>
      <c r="AO110" s="170">
        <f ca="1" t="shared" si="106"/>
        <v>3521305.59890916</v>
      </c>
      <c r="AP110">
        <f ca="1" t="shared" si="107"/>
        <v>97084</v>
      </c>
      <c r="AQ110" s="170">
        <f ca="1" t="shared" si="141"/>
        <v>303239.625</v>
      </c>
      <c r="AR110">
        <f ca="1" t="shared" si="173"/>
        <v>3407855.87720143</v>
      </c>
      <c r="AS110">
        <f ca="1" t="shared" si="109"/>
        <v>0.9843</v>
      </c>
      <c r="AT110">
        <f ca="1">无穷技能数计算!$AJ102</f>
        <v>0</v>
      </c>
      <c r="AU110">
        <f ca="1" t="shared" si="110"/>
        <v>2.3238578771</v>
      </c>
      <c r="AV110">
        <f ca="1" t="shared" si="174"/>
        <v>2.68954760480339</v>
      </c>
      <c r="AW110">
        <f ca="1" t="shared" si="142"/>
        <v>3444408.26947246</v>
      </c>
      <c r="AX110">
        <f ca="1" t="shared" si="112"/>
        <v>0.9743</v>
      </c>
      <c r="AY110">
        <f ca="1">无穷技能数计算!$AJ102</f>
        <v>0</v>
      </c>
      <c r="AZ110" s="170">
        <f ca="1" t="shared" si="143"/>
        <v>3424609.04292244</v>
      </c>
      <c r="BA110">
        <f ca="1" t="shared" si="113"/>
        <v>0.9643</v>
      </c>
      <c r="BB110">
        <f ca="1">无穷技能数计算!$AJ102</f>
        <v>0</v>
      </c>
      <c r="BC110" s="170">
        <f ca="1" t="shared" si="144"/>
        <v>3404809.81637243</v>
      </c>
      <c r="BE110">
        <f ca="1" t="shared" si="114"/>
        <v>91977</v>
      </c>
      <c r="BF110">
        <f ca="1" t="shared" si="115"/>
        <v>289354.96875</v>
      </c>
      <c r="BI110">
        <f ca="1" t="shared" si="116"/>
        <v>0.9543</v>
      </c>
      <c r="BJ110">
        <f ca="1">无穷技能数计算!$AJ102</f>
        <v>0</v>
      </c>
      <c r="BK110">
        <f ca="1" t="shared" si="117"/>
        <v>3366088.62774112</v>
      </c>
      <c r="BM110">
        <f ca="1" t="shared" si="118"/>
        <v>95358</v>
      </c>
      <c r="BN110">
        <f ca="1" t="shared" si="119"/>
        <v>298547.0625</v>
      </c>
      <c r="BO110">
        <f ca="1" t="shared" si="175"/>
        <v>3422677.68766621</v>
      </c>
      <c r="BP110">
        <f ca="1" t="shared" si="176"/>
        <v>3264010.3305161</v>
      </c>
      <c r="BR110">
        <f ca="1" t="shared" si="122"/>
        <v>0.9543</v>
      </c>
      <c r="BS110">
        <f ca="1" t="shared" si="123"/>
        <v>3374939.58217874</v>
      </c>
      <c r="BT110">
        <f ca="1" t="shared" si="124"/>
        <v>0.318170800459405</v>
      </c>
      <c r="BU110">
        <f ca="1" t="shared" si="125"/>
        <v>2.3238578771</v>
      </c>
      <c r="BV110">
        <f ca="1" t="shared" si="145"/>
        <v>3424404.34902386</v>
      </c>
      <c r="BW110">
        <f ca="1" t="shared" si="126"/>
        <v>99155</v>
      </c>
      <c r="BX110">
        <f ca="1" t="shared" si="127"/>
        <v>308870.15625</v>
      </c>
      <c r="BY110">
        <f ca="1" t="shared" si="128"/>
        <v>0.9343</v>
      </c>
      <c r="BZ110">
        <f ca="1">无穷技能数计算!$AJ102</f>
        <v>0</v>
      </c>
      <c r="CA110">
        <f ca="1" t="shared" si="129"/>
        <v>2.3277641271</v>
      </c>
      <c r="CB110">
        <f ca="1" t="shared" si="146"/>
        <v>3557997.79962662</v>
      </c>
      <c r="CC110">
        <f ca="1" t="shared" si="130"/>
        <v>100975</v>
      </c>
      <c r="CD110">
        <f ca="1" t="shared" si="131"/>
        <v>313818.28125</v>
      </c>
      <c r="CE110">
        <f ca="1" t="shared" si="132"/>
        <v>3489664.60136019</v>
      </c>
      <c r="CF110">
        <f ca="1" t="shared" si="133"/>
        <v>2.2750297521</v>
      </c>
      <c r="CG110">
        <f ca="1" t="shared" si="134"/>
        <v>0.9343</v>
      </c>
      <c r="CH110">
        <f ca="1" t="shared" si="147"/>
        <v>3277184.03980518</v>
      </c>
      <c r="CJ110">
        <f ca="1" t="shared" si="135"/>
        <v>298547.0625</v>
      </c>
      <c r="CK110">
        <f ca="1" t="shared" si="177"/>
        <v>3407173.14428258</v>
      </c>
      <c r="CL110">
        <f ca="1" t="shared" si="148"/>
        <v>2.2976860021</v>
      </c>
      <c r="CM110">
        <f ca="1">IF(G110="恒定伤害",0,(IF(D110="轻剑",$CM$8,$CM$9)+IFERROR(INDEX(技能数据库!$T$2:$W$27,MATCH(E110,技能数据库!$T$2:$T$27,0),4),0)+COUNTIF(G110,"*造化2*")*154+COUNTIF(G110,"*造化1*")*102+COUNTIF(G110,"*碧归*")*307)/1024)</f>
        <v>0.596790021929785</v>
      </c>
      <c r="CN110">
        <f ca="1" t="shared" si="149"/>
        <v>3439250.94379532</v>
      </c>
      <c r="CO110">
        <f ca="1" t="shared" si="150"/>
        <v>2.3262602208</v>
      </c>
      <c r="CP110">
        <f ca="1" t="shared" si="151"/>
        <v>3480751.64416474</v>
      </c>
      <c r="CQ110">
        <f ca="1" t="shared" si="178"/>
        <v>2.77157885480339</v>
      </c>
      <c r="CR110">
        <f ca="1">IF(G110="恒定伤害",0,(IF(D110="轻剑",$CR$8,$CR$9)+IFERROR(INDEX(技能数据库!$T$2:$W$27,MATCH(E110,技能数据库!$T$2:$T$27,0),4),0)+COUNTIF(G110,"*造化2*")*154+COUNTIF(G110,"*造化1*")*102+COUNTIF(G110,"*碧归*")*307)/1024)</f>
        <v>0.587024396929785</v>
      </c>
      <c r="CS110">
        <f ca="1" t="shared" si="152"/>
        <v>3260898.62197068</v>
      </c>
    </row>
    <row r="111" spans="4:97">
      <c r="D111" t="s">
        <v>1825</v>
      </c>
      <c r="E111" t="s">
        <v>2798</v>
      </c>
      <c r="G111" t="s">
        <v>3103</v>
      </c>
      <c r="H111">
        <f ca="1">INDEX(技能数据库!$B$2:$I$100,MATCH(无穷阵眼收益计算!$E111,技能数据库!$B$2:$B$100,0),MATCH(H$9,技能数据库!$B$2:$I$2,0))</f>
        <v>1504.5</v>
      </c>
      <c r="I111">
        <f ca="1">INDEX(技能数据库!$B$2:$I$100,MATCH(无穷阵眼收益计算!$E111,技能数据库!$B$2:$B$100,0),MATCH(I$9,技能数据库!$B$2:$I$2,0))</f>
        <v>2.85625</v>
      </c>
      <c r="J111">
        <f ca="1">INDEX(技能数据库!$B$2:$I$100,MATCH(无穷阵眼收益计算!$E111,技能数据库!$B$2:$B$100,0),MATCH(J$9,技能数据库!$B$2:$I$2,0))</f>
        <v>0</v>
      </c>
      <c r="K111">
        <f ca="1">INDEX(技能数据库!$B$2:$I$100,MATCH(无穷阵眼收益计算!$E111,技能数据库!$B$2:$B$100,0),MATCH(K$9,技能数据库!$B$2:$I$2,0))</f>
        <v>0</v>
      </c>
      <c r="L111">
        <f ca="1" t="shared" si="97"/>
        <v>91975</v>
      </c>
      <c r="M111">
        <f ca="1" t="shared" si="162"/>
        <v>19530.5</v>
      </c>
      <c r="N111">
        <f ca="1" t="shared" si="163"/>
        <v>92028</v>
      </c>
      <c r="O111">
        <f ca="1" t="shared" si="138"/>
        <v>264208.09375</v>
      </c>
      <c r="P111">
        <f ca="1">IF(G111="恒定伤害",0,(IF(D111="轻剑",$AZ$2,$AZ$3)+IFERROR(INDEX(技能数据库!$T$2:$W$27,MATCH(E111,技能数据库!$T$2:$T$27,0),4),0)+COUNTIF(G111,"*造化2*")*154+COUNTIF(G111,"*造化1*")*102+COUNTIF(G111,"*碧归*")*307)/1024)</f>
        <v>0.416125959429785</v>
      </c>
      <c r="Q111">
        <f ca="1" t="shared" si="171"/>
        <v>0.448284482196154</v>
      </c>
      <c r="R111">
        <f ca="1" t="shared" si="139"/>
        <v>0.32958230397716</v>
      </c>
      <c r="S111">
        <f ca="1" t="shared" si="164"/>
        <v>363284.90133577</v>
      </c>
      <c r="T111">
        <f t="shared" si="165"/>
        <v>0.8</v>
      </c>
      <c r="U111">
        <f ca="1" t="shared" si="172"/>
        <v>2.67001635480339</v>
      </c>
      <c r="V111">
        <f ca="1" t="shared" si="166"/>
        <v>1066609.22348433</v>
      </c>
      <c r="W111">
        <f ca="1">IF(G111="恒定伤害",0,MIN(1,IF(COUNTIF(F111,"*内会*")&gt;0,内会2,IF(D111="轻剑",$Y$2,$Y$3)+COUNTIF(G111,"*莺鸣*")*0.2+COUNTIF(G111,"*叠1*")*0.1+COUNTIF(G111,"*叠2*")*0.2+COUNTIF(G111,"*叠3*")*0.3)+IFERROR(INDEX(技能数据库!$T$2:$W$27,MATCH(E111,技能数据库!$T$2:$T$27,0),2),0)+IF((IF(D111="轻剑",$AO$2,$AO$3)+INT(COUNTIF(G111,"*大莺鸣*")*IF(D111="轻剑",$AM$2,$AM$3)*听晓无双率)/无双系数)&gt;0.9,特效裤子会心/会心系数,0)))</f>
        <v>0.9043</v>
      </c>
      <c r="X111">
        <f ca="1">IF(G111="恒定伤害",0,IF(COUNTIF(F111,"*内会*")&gt;0,内会效2,IF(D111="轻剑",$AB$2,$AB$3))+IFERROR(INDEX(技能数据库!$T$2:$W$27,MATCH(E111,技能数据库!$T$2:$T$27,0),3)/1024,0))+COUNTIF(G111,"*叠1*")*0.25+COUNTIF(G111,"*叠2*")*0.5+COUNTIF(G111,"*叠3*")*0.75</f>
        <v>2.1773735021</v>
      </c>
      <c r="Y111">
        <f ca="1" t="shared" si="167"/>
        <v>2.06469885794903</v>
      </c>
      <c r="Z111">
        <f t="shared" si="100"/>
        <v>0.150390625</v>
      </c>
      <c r="AA111">
        <f ca="1" t="shared" si="168"/>
        <v>0.0205078125</v>
      </c>
      <c r="AB111">
        <f ca="1" t="shared" si="169"/>
        <v>2585376.04256576</v>
      </c>
      <c r="AC111">
        <f ca="1">无穷技能数计算!$AJ103</f>
        <v>0</v>
      </c>
      <c r="AD111" s="164">
        <f ca="1" t="shared" si="170"/>
        <v>0</v>
      </c>
      <c r="AE111" s="168"/>
      <c r="AF111" s="168">
        <f ca="1" t="shared" si="101"/>
        <v>0.9057</v>
      </c>
      <c r="AG111">
        <f ca="1">无穷技能数计算!$AJ103</f>
        <v>0</v>
      </c>
      <c r="AH111">
        <f ca="1" t="shared" si="102"/>
        <v>96007</v>
      </c>
      <c r="AJ111">
        <f ca="1" t="shared" si="103"/>
        <v>2.3765922521</v>
      </c>
      <c r="AK111">
        <f ca="1" t="shared" si="140"/>
        <v>275724.49375</v>
      </c>
      <c r="AL111">
        <f ca="1" t="shared" si="104"/>
        <v>2936811.87730892</v>
      </c>
      <c r="AM111" s="169">
        <f ca="1" t="shared" si="105"/>
        <v>0.9272</v>
      </c>
      <c r="AN111">
        <f ca="1">无穷技能数计算!$AJ103</f>
        <v>0</v>
      </c>
      <c r="AO111" s="170">
        <f ca="1" t="shared" si="106"/>
        <v>2975498.37692479</v>
      </c>
      <c r="AP111">
        <f ca="1" t="shared" si="107"/>
        <v>97084</v>
      </c>
      <c r="AQ111" s="170">
        <f ca="1" t="shared" si="141"/>
        <v>278800.675</v>
      </c>
      <c r="AR111">
        <f ca="1" t="shared" si="173"/>
        <v>2888224.94830598</v>
      </c>
      <c r="AS111">
        <f ca="1" t="shared" si="109"/>
        <v>0.9843</v>
      </c>
      <c r="AT111">
        <f ca="1">无穷技能数计算!$AJ103</f>
        <v>0</v>
      </c>
      <c r="AU111">
        <f ca="1" t="shared" si="110"/>
        <v>2.3238578771</v>
      </c>
      <c r="AV111">
        <f ca="1" t="shared" si="174"/>
        <v>2.68954760480339</v>
      </c>
      <c r="AW111">
        <f ca="1" t="shared" si="142"/>
        <v>2899211.39706006</v>
      </c>
      <c r="AX111">
        <f ca="1" t="shared" si="112"/>
        <v>0.9743</v>
      </c>
      <c r="AY111">
        <f ca="1">无穷技能数计算!$AJ103</f>
        <v>0</v>
      </c>
      <c r="AZ111" s="170">
        <f ca="1" t="shared" si="143"/>
        <v>2882546.08366631</v>
      </c>
      <c r="BA111">
        <f ca="1" t="shared" si="113"/>
        <v>0.9643</v>
      </c>
      <c r="BB111">
        <f ca="1">无穷技能数计算!$AJ103</f>
        <v>0</v>
      </c>
      <c r="BC111" s="170">
        <f ca="1" t="shared" si="144"/>
        <v>2865880.77027256</v>
      </c>
      <c r="BE111">
        <f ca="1" t="shared" si="114"/>
        <v>91977</v>
      </c>
      <c r="BF111">
        <f ca="1" t="shared" si="115"/>
        <v>264213.80625</v>
      </c>
      <c r="BI111">
        <f ca="1" t="shared" si="116"/>
        <v>0.9543</v>
      </c>
      <c r="BJ111">
        <f ca="1">无穷技能数计算!$AJ103</f>
        <v>0</v>
      </c>
      <c r="BK111">
        <f ca="1" t="shared" si="117"/>
        <v>2833296.56588087</v>
      </c>
      <c r="BM111">
        <f ca="1" t="shared" si="118"/>
        <v>95358</v>
      </c>
      <c r="BN111">
        <f ca="1" t="shared" si="119"/>
        <v>273870.7875</v>
      </c>
      <c r="BO111">
        <f ca="1" t="shared" si="175"/>
        <v>2894281.95831627</v>
      </c>
      <c r="BP111">
        <f ca="1" t="shared" si="176"/>
        <v>2760109.79515053</v>
      </c>
      <c r="BR111">
        <f ca="1" t="shared" si="122"/>
        <v>0.9543</v>
      </c>
      <c r="BS111">
        <f ca="1" t="shared" si="123"/>
        <v>2853913.69988093</v>
      </c>
      <c r="BT111">
        <f ca="1" t="shared" si="124"/>
        <v>0.318170800459405</v>
      </c>
      <c r="BU111">
        <f ca="1" t="shared" si="125"/>
        <v>2.3238578771</v>
      </c>
      <c r="BV111">
        <f ca="1" t="shared" si="145"/>
        <v>2882373.78966477</v>
      </c>
      <c r="BW111">
        <f ca="1" t="shared" si="126"/>
        <v>99155</v>
      </c>
      <c r="BX111">
        <f ca="1" t="shared" si="127"/>
        <v>284715.96875</v>
      </c>
      <c r="BY111">
        <f ca="1" t="shared" si="128"/>
        <v>0.9343</v>
      </c>
      <c r="BZ111">
        <f ca="1">无穷技能数计算!$AJ103</f>
        <v>0</v>
      </c>
      <c r="CA111">
        <f ca="1" t="shared" si="129"/>
        <v>2.3277641271</v>
      </c>
      <c r="CB111">
        <f ca="1" t="shared" si="146"/>
        <v>3023315.55699752</v>
      </c>
      <c r="CC111">
        <f ca="1" t="shared" si="130"/>
        <v>100975</v>
      </c>
      <c r="CD111">
        <f ca="1" t="shared" si="131"/>
        <v>289914.34375</v>
      </c>
      <c r="CE111">
        <f ca="1" t="shared" si="132"/>
        <v>2971782.88382045</v>
      </c>
      <c r="CF111">
        <f ca="1" t="shared" si="133"/>
        <v>2.2750297521</v>
      </c>
      <c r="CG111">
        <f ca="1" t="shared" si="134"/>
        <v>0.9343</v>
      </c>
      <c r="CH111">
        <f ca="1" t="shared" si="147"/>
        <v>2758456.19193154</v>
      </c>
      <c r="CJ111">
        <f ca="1" t="shared" si="135"/>
        <v>273870.7875</v>
      </c>
      <c r="CK111">
        <f ca="1" t="shared" si="177"/>
        <v>2881171.01878817</v>
      </c>
      <c r="CL111">
        <f ca="1" t="shared" si="148"/>
        <v>2.2976860021</v>
      </c>
      <c r="CM111">
        <f ca="1">IF(G111="恒定伤害",0,(IF(D111="轻剑",$CM$8,$CM$9)+IFERROR(INDEX(技能数据库!$T$2:$W$27,MATCH(E111,技能数据库!$T$2:$T$27,0),4),0)+COUNTIF(G111,"*造化2*")*154+COUNTIF(G111,"*造化1*")*102+COUNTIF(G111,"*碧归*")*307)/1024)</f>
        <v>0.476672834429785</v>
      </c>
      <c r="CN111">
        <f ca="1" t="shared" si="149"/>
        <v>2904180.96779637</v>
      </c>
      <c r="CO111">
        <f ca="1" t="shared" si="150"/>
        <v>2.3262602208</v>
      </c>
      <c r="CP111">
        <f ca="1" t="shared" si="151"/>
        <v>2939225.09401243</v>
      </c>
      <c r="CQ111">
        <f ca="1" t="shared" si="178"/>
        <v>2.77157885480339</v>
      </c>
      <c r="CR111">
        <f ca="1">IF(G111="恒定伤害",0,(IF(D111="轻剑",$CR$8,$CR$9)+IFERROR(INDEX(技能数据库!$T$2:$W$27,MATCH(E111,技能数据库!$T$2:$T$27,0),4),0)+COUNTIF(G111,"*造化2*")*154+COUNTIF(G111,"*造化1*")*102+COUNTIF(G111,"*碧归*")*307)/1024)</f>
        <v>0.466907209429785</v>
      </c>
      <c r="CS111">
        <f ca="1" t="shared" si="152"/>
        <v>2752197.97941185</v>
      </c>
    </row>
    <row r="112" spans="4:97">
      <c r="D112" t="s">
        <v>1825</v>
      </c>
      <c r="E112" t="s">
        <v>2768</v>
      </c>
      <c r="G112" t="s">
        <v>3102</v>
      </c>
      <c r="H112">
        <f ca="1">INDEX(技能数据库!$B$2:$I$100,MATCH(无穷阵眼收益计算!$E112,技能数据库!$B$2:$B$100,0),MATCH(H$9,技能数据库!$B$2:$I$2,0))</f>
        <v>210</v>
      </c>
      <c r="I112">
        <f ca="1">INDEX(技能数据库!$B$2:$I$100,MATCH(无穷阵眼收益计算!$E112,技能数据库!$B$2:$B$100,0),MATCH(I$9,技能数据库!$B$2:$I$2,0))</f>
        <v>5.7875</v>
      </c>
      <c r="J112">
        <f ca="1">INDEX(技能数据库!$B$2:$I$100,MATCH(无穷阵眼收益计算!$E112,技能数据库!$B$2:$B$100,0),MATCH(J$9,技能数据库!$B$2:$I$2,0))</f>
        <v>2</v>
      </c>
      <c r="K112">
        <f ca="1">INDEX(技能数据库!$B$2:$I$100,MATCH(无穷阵眼收益计算!$E112,技能数据库!$B$2:$B$100,0),MATCH(K$9,技能数据库!$B$2:$I$2,0))</f>
        <v>0</v>
      </c>
      <c r="L112">
        <f ca="1" t="shared" si="97"/>
        <v>91975</v>
      </c>
      <c r="M112">
        <f ca="1" t="shared" si="162"/>
        <v>19530.5</v>
      </c>
      <c r="N112">
        <f ca="1" t="shared" si="163"/>
        <v>92028</v>
      </c>
      <c r="O112">
        <f ca="1" t="shared" si="138"/>
        <v>571576.3125</v>
      </c>
      <c r="P112">
        <f ca="1">IF(G112="恒定伤害",0,(IF(D112="轻剑",$AZ$2,$AZ$3)+IFERROR(INDEX(技能数据库!$T$2:$W$27,MATCH(E112,技能数据库!$T$2:$T$27,0),4),0)+COUNTIF(G112,"*造化2*")*154+COUNTIF(G112,"*造化1*")*102+COUNTIF(G112,"*碧归*")*307)/1024)</f>
        <v>0.686633771929785</v>
      </c>
      <c r="Q112">
        <f ca="1" t="shared" si="171"/>
        <v>0.448284482196154</v>
      </c>
      <c r="R112">
        <f ca="1" t="shared" si="139"/>
        <v>0.32958230397716</v>
      </c>
      <c r="S112">
        <f ca="1" t="shared" si="164"/>
        <v>936039.898771261</v>
      </c>
      <c r="T112">
        <f t="shared" si="165"/>
        <v>0.8</v>
      </c>
      <c r="U112">
        <f ca="1" t="shared" si="172"/>
        <v>2.67001635480339</v>
      </c>
      <c r="V112">
        <f ca="1" t="shared" si="166"/>
        <v>2748225.38979123</v>
      </c>
      <c r="W112">
        <f ca="1">IF(G112="恒定伤害",0,MIN(1,IF(COUNTIF(F112,"*内会*")&gt;0,内会2,IF(D112="轻剑",$Y$2,$Y$3)+COUNTIF(G112,"*莺鸣*")*0.2+COUNTIF(G112,"*叠1*")*0.1+COUNTIF(G112,"*叠2*")*0.2+COUNTIF(G112,"*叠3*")*0.3)+IFERROR(INDEX(技能数据库!$T$2:$W$27,MATCH(E112,技能数据库!$T$2:$T$27,0),2),0)+IF((IF(D112="轻剑",$AO$2,$AO$3)+INT(COUNTIF(G112,"*大莺鸣*")*IF(D112="轻剑",$AM$2,$AM$3)*听晓无双率)/无双系数)&gt;0.9,特效裤子会心/会心系数,0)))</f>
        <v>0.9043</v>
      </c>
      <c r="X112">
        <f ca="1">IF(G112="恒定伤害",0,IF(COUNTIF(F112,"*内会*")&gt;0,内会效2,IF(D112="轻剑",$AB$2,$AB$3))+IFERROR(INDEX(技能数据库!$T$2:$W$27,MATCH(E112,技能数据库!$T$2:$T$27,0),3)/1024,0))+COUNTIF(G112,"*叠1*")*0.25+COUNTIF(G112,"*叠2*")*0.5+COUNTIF(G112,"*叠3*")*0.75</f>
        <v>2.1773735021</v>
      </c>
      <c r="Y112">
        <f ca="1" t="shared" si="167"/>
        <v>2.06469885794903</v>
      </c>
      <c r="Z112">
        <f t="shared" si="100"/>
        <v>0.150390625</v>
      </c>
      <c r="AA112">
        <f ca="1" t="shared" si="168"/>
        <v>0.0205078125</v>
      </c>
      <c r="AB112">
        <f ca="1" t="shared" si="169"/>
        <v>6661480.06776691</v>
      </c>
      <c r="AC112">
        <f ca="1">无穷技能数计算!$AJ104</f>
        <v>0</v>
      </c>
      <c r="AD112" s="164">
        <f ca="1" t="shared" si="170"/>
        <v>0</v>
      </c>
      <c r="AE112" s="168"/>
      <c r="AF112" s="168">
        <f ca="1" t="shared" si="101"/>
        <v>0.9057</v>
      </c>
      <c r="AG112">
        <f ca="1">无穷技能数计算!$AJ104</f>
        <v>0</v>
      </c>
      <c r="AH112">
        <f ca="1" t="shared" si="102"/>
        <v>96007</v>
      </c>
      <c r="AJ112">
        <f ca="1" t="shared" si="103"/>
        <v>2.3765922521</v>
      </c>
      <c r="AK112">
        <f ca="1" t="shared" si="140"/>
        <v>595388.5125</v>
      </c>
      <c r="AL112">
        <f ca="1" t="shared" si="104"/>
        <v>7553011.3793825</v>
      </c>
      <c r="AM112" s="169">
        <f ca="1" t="shared" si="105"/>
        <v>0.9272</v>
      </c>
      <c r="AN112">
        <f ca="1">无穷技能数计算!$AJ104</f>
        <v>0</v>
      </c>
      <c r="AO112" s="170">
        <f ca="1" t="shared" si="106"/>
        <v>7652506.88131941</v>
      </c>
      <c r="AP112">
        <f ca="1" t="shared" si="107"/>
        <v>97084</v>
      </c>
      <c r="AQ112" s="170">
        <f ca="1" t="shared" si="141"/>
        <v>601144.65</v>
      </c>
      <c r="AR112">
        <f ca="1" t="shared" si="173"/>
        <v>7417116.29685116</v>
      </c>
      <c r="AS112">
        <f ca="1" t="shared" si="109"/>
        <v>0.9843</v>
      </c>
      <c r="AT112">
        <f ca="1">无穷技能数计算!$AJ104</f>
        <v>0</v>
      </c>
      <c r="AU112">
        <f ca="1" t="shared" si="110"/>
        <v>2.3238578771</v>
      </c>
      <c r="AV112">
        <f ca="1" t="shared" si="174"/>
        <v>2.68954760480339</v>
      </c>
      <c r="AW112">
        <f ca="1" t="shared" si="142"/>
        <v>7470108.26115328</v>
      </c>
      <c r="AX112">
        <f ca="1" t="shared" si="112"/>
        <v>0.9743</v>
      </c>
      <c r="AY112">
        <f ca="1">无穷技能数计算!$AJ104</f>
        <v>0</v>
      </c>
      <c r="AZ112" s="170">
        <f ca="1" t="shared" si="143"/>
        <v>7427168.4136542</v>
      </c>
      <c r="BA112">
        <f ca="1" t="shared" si="113"/>
        <v>0.9643</v>
      </c>
      <c r="BB112">
        <f ca="1">无穷技能数计算!$AJ104</f>
        <v>0</v>
      </c>
      <c r="BC112" s="170">
        <f ca="1" t="shared" si="144"/>
        <v>7384228.56615511</v>
      </c>
      <c r="BE112">
        <f ca="1" t="shared" si="114"/>
        <v>91977</v>
      </c>
      <c r="BF112">
        <f ca="1" t="shared" si="115"/>
        <v>571587.8875</v>
      </c>
      <c r="BI112">
        <f ca="1" t="shared" si="116"/>
        <v>0.9543</v>
      </c>
      <c r="BJ112">
        <f ca="1">无穷技能数计算!$AJ104</f>
        <v>0</v>
      </c>
      <c r="BK112">
        <f ca="1" t="shared" si="117"/>
        <v>7300262.10052449</v>
      </c>
      <c r="BM112">
        <f ca="1" t="shared" si="118"/>
        <v>95358</v>
      </c>
      <c r="BN112">
        <f ca="1" t="shared" si="119"/>
        <v>591155.425</v>
      </c>
      <c r="BO112">
        <f ca="1" t="shared" si="175"/>
        <v>7440732.88889317</v>
      </c>
      <c r="BP112">
        <f ca="1" t="shared" si="176"/>
        <v>7095797.86126993</v>
      </c>
      <c r="BR112">
        <f ca="1" t="shared" si="122"/>
        <v>0.9543</v>
      </c>
      <c r="BS112">
        <f ca="1" t="shared" si="123"/>
        <v>7336952.59639468</v>
      </c>
      <c r="BT112">
        <f ca="1" t="shared" si="124"/>
        <v>0.318170800459405</v>
      </c>
      <c r="BU112">
        <f ca="1" t="shared" si="125"/>
        <v>2.3238578771</v>
      </c>
      <c r="BV112">
        <f ca="1" t="shared" si="145"/>
        <v>7426724.4809194</v>
      </c>
      <c r="BW112">
        <f ca="1" t="shared" si="126"/>
        <v>99155</v>
      </c>
      <c r="BX112">
        <f ca="1" t="shared" si="127"/>
        <v>613130.5625</v>
      </c>
      <c r="BY112">
        <f ca="1" t="shared" si="128"/>
        <v>0.9343</v>
      </c>
      <c r="BZ112">
        <f ca="1">无穷技能数计算!$AJ104</f>
        <v>0</v>
      </c>
      <c r="CA112">
        <f ca="1" t="shared" si="129"/>
        <v>2.3277641271</v>
      </c>
      <c r="CB112">
        <f ca="1" t="shared" si="146"/>
        <v>7754316.54486664</v>
      </c>
      <c r="CC112">
        <f ca="1" t="shared" si="130"/>
        <v>100975</v>
      </c>
      <c r="CD112">
        <f ca="1" t="shared" si="131"/>
        <v>623663.8125</v>
      </c>
      <c r="CE112">
        <f ca="1" t="shared" si="132"/>
        <v>7614069.33676523</v>
      </c>
      <c r="CF112">
        <f ca="1" t="shared" si="133"/>
        <v>2.2750297521</v>
      </c>
      <c r="CG112">
        <f ca="1" t="shared" si="134"/>
        <v>0.9343</v>
      </c>
      <c r="CH112">
        <f ca="1" t="shared" si="147"/>
        <v>7107438.39109927</v>
      </c>
      <c r="CJ112">
        <f ca="1" t="shared" si="135"/>
        <v>591155.425</v>
      </c>
      <c r="CK112">
        <f ca="1" t="shared" si="177"/>
        <v>7407026.77443853</v>
      </c>
      <c r="CL112">
        <f ca="1" t="shared" si="148"/>
        <v>2.2976860021</v>
      </c>
      <c r="CM112">
        <f ca="1">IF(G112="恒定伤害",0,(IF(D112="轻剑",$CM$8,$CM$9)+IFERROR(INDEX(技能数据库!$T$2:$W$27,MATCH(E112,技能数据库!$T$2:$T$27,0),4),0)+COUNTIF(G112,"*造化2*")*154+COUNTIF(G112,"*造化1*")*102+COUNTIF(G112,"*碧归*")*307)/1024)</f>
        <v>0.747180646929785</v>
      </c>
      <c r="CN112">
        <f ca="1" t="shared" si="149"/>
        <v>7433704.69409633</v>
      </c>
      <c r="CO112">
        <f ca="1" t="shared" si="150"/>
        <v>2.3262602208</v>
      </c>
      <c r="CP112">
        <f ca="1" t="shared" si="151"/>
        <v>7523405.6075179</v>
      </c>
      <c r="CQ112">
        <f ca="1" t="shared" si="178"/>
        <v>2.77157885480339</v>
      </c>
      <c r="CR112">
        <f ca="1">IF(G112="恒定伤害",0,(IF(D112="轻剑",$CR$8,$CR$9)+IFERROR(INDEX(技能数据库!$T$2:$W$27,MATCH(E112,技能数据库!$T$2:$T$27,0),4),0)+COUNTIF(G112,"*造化2*")*154+COUNTIF(G112,"*造化1*")*102+COUNTIF(G112,"*碧归*")*307)/1024)</f>
        <v>0.737415021929785</v>
      </c>
      <c r="CS112">
        <f ca="1" t="shared" si="152"/>
        <v>7051941.57351759</v>
      </c>
    </row>
    <row r="113" spans="4:97">
      <c r="D113" t="s">
        <v>1825</v>
      </c>
      <c r="E113" t="s">
        <v>2902</v>
      </c>
      <c r="G113" t="s">
        <v>2948</v>
      </c>
      <c r="H113">
        <f ca="1">INDEX(技能数据库!$B$2:$I$100,MATCH(无穷阵眼收益计算!$E113,技能数据库!$B$2:$B$100,0),MATCH(H$9,技能数据库!$B$2:$I$2,0))</f>
        <v>317.5</v>
      </c>
      <c r="I113">
        <f ca="1">INDEX(技能数据库!$B$2:$I$100,MATCH(无穷阵眼收益计算!$E113,技能数据库!$B$2:$B$100,0),MATCH(I$9,技能数据库!$B$2:$I$2,0))</f>
        <v>2.25</v>
      </c>
      <c r="J113">
        <f ca="1">INDEX(技能数据库!$B$2:$I$100,MATCH(无穷阵眼收益计算!$E113,技能数据库!$B$2:$B$100,0),MATCH(J$9,技能数据库!$B$2:$I$2,0))</f>
        <v>1</v>
      </c>
      <c r="K113">
        <f ca="1">INDEX(技能数据库!$B$2:$I$100,MATCH(无穷阵眼收益计算!$E113,技能数据库!$B$2:$B$100,0),MATCH(K$9,技能数据库!$B$2:$I$2,0))</f>
        <v>0</v>
      </c>
      <c r="L113">
        <f ca="1" t="shared" si="97"/>
        <v>91975</v>
      </c>
      <c r="M113">
        <f ca="1" t="shared" si="162"/>
        <v>19530.5</v>
      </c>
      <c r="N113">
        <f ca="1" t="shared" si="163"/>
        <v>92028</v>
      </c>
      <c r="O113">
        <f ca="1" t="shared" si="138"/>
        <v>226791.75</v>
      </c>
      <c r="P113">
        <f ca="1">IF(G113="恒定伤害",0,(IF(D113="轻剑",$AZ$2,$AZ$3)+IFERROR(INDEX(技能数据库!$T$2:$W$27,MATCH(E113,技能数据库!$T$2:$T$27,0),4),0)+COUNTIF(G113,"*造化2*")*154+COUNTIF(G113,"*造化1*")*102+COUNTIF(G113,"*碧归*")*307)/1024)</f>
        <v>0.116321271929785</v>
      </c>
      <c r="Q113">
        <f ca="1" t="shared" si="171"/>
        <v>0.448284482196154</v>
      </c>
      <c r="R113">
        <f ca="1" t="shared" si="139"/>
        <v>0.32958230397716</v>
      </c>
      <c r="S113">
        <f ca="1" t="shared" si="164"/>
        <v>245819.199039071</v>
      </c>
      <c r="T113">
        <f t="shared" si="165"/>
        <v>0.8</v>
      </c>
      <c r="U113">
        <f ca="1" t="shared" si="172"/>
        <v>2.67001635480339</v>
      </c>
      <c r="V113">
        <f ca="1" t="shared" si="166"/>
        <v>721728.384638448</v>
      </c>
      <c r="W113">
        <f ca="1">IF(G113="恒定伤害",0,MIN(1,IF(COUNTIF(F113,"*内会*")&gt;0,内会2,IF(D113="轻剑",$Y$2,$Y$3)+COUNTIF(G113,"*莺鸣*")*0.2+COUNTIF(G113,"*叠1*")*0.1+COUNTIF(G113,"*叠2*")*0.2+COUNTIF(G113,"*叠3*")*0.3)+IFERROR(INDEX(技能数据库!$T$2:$W$27,MATCH(E113,技能数据库!$T$2:$T$27,0),2),0)+IF((IF(D113="轻剑",$AO$2,$AO$3)+INT(COUNTIF(G113,"*大莺鸣*")*IF(D113="轻剑",$AM$2,$AM$3)*听晓无双率)/无双系数)&gt;0.9,特效裤子会心/会心系数,0)))</f>
        <v>0.9043</v>
      </c>
      <c r="X113">
        <f ca="1">IF(G113="恒定伤害",0,IF(COUNTIF(F113,"*内会*")&gt;0,内会效2,IF(D113="轻剑",$AB$2,$AB$3))+IFERROR(INDEX(技能数据库!$T$2:$W$27,MATCH(E113,技能数据库!$T$2:$T$27,0),3)/1024,0))+COUNTIF(G113,"*叠1*")*0.25+COUNTIF(G113,"*叠2*")*0.5+COUNTIF(G113,"*叠3*")*0.75</f>
        <v>2.1773735021</v>
      </c>
      <c r="Y113">
        <f ca="1" t="shared" si="167"/>
        <v>2.06469885794903</v>
      </c>
      <c r="Z113">
        <f t="shared" si="100"/>
        <v>0.150390625</v>
      </c>
      <c r="AA113">
        <f ca="1" t="shared" si="168"/>
        <v>0.0205078125</v>
      </c>
      <c r="AB113">
        <f ca="1" t="shared" si="169"/>
        <v>1749412.2812743</v>
      </c>
      <c r="AC113">
        <f ca="1">无穷技能数计算!$AJ105</f>
        <v>0</v>
      </c>
      <c r="AD113" s="164">
        <f ca="1" t="shared" si="170"/>
        <v>0</v>
      </c>
      <c r="AE113" s="168"/>
      <c r="AF113" s="168">
        <f ca="1" t="shared" si="101"/>
        <v>0.9057</v>
      </c>
      <c r="AG113">
        <f ca="1">无穷技能数计算!$AJ105</f>
        <v>0</v>
      </c>
      <c r="AH113">
        <f ca="1" t="shared" si="102"/>
        <v>96007</v>
      </c>
      <c r="AJ113">
        <f ca="1" t="shared" si="103"/>
        <v>2.3765922521</v>
      </c>
      <c r="AK113">
        <f ca="1" t="shared" si="140"/>
        <v>236102.25</v>
      </c>
      <c r="AL113">
        <f ca="1" t="shared" si="104"/>
        <v>1982386.0008866</v>
      </c>
      <c r="AM113" s="169">
        <f ca="1" t="shared" si="105"/>
        <v>0.9272</v>
      </c>
      <c r="AN113">
        <f ca="1">无穷技能数计算!$AJ105</f>
        <v>0</v>
      </c>
      <c r="AO113" s="170">
        <f ca="1" t="shared" si="106"/>
        <v>2008499.88848504</v>
      </c>
      <c r="AP113">
        <f ca="1" t="shared" si="107"/>
        <v>97084</v>
      </c>
      <c r="AQ113" s="170">
        <f ca="1" t="shared" si="141"/>
        <v>238287</v>
      </c>
      <c r="AR113">
        <f ca="1" t="shared" si="173"/>
        <v>1945919.4554973</v>
      </c>
      <c r="AS113">
        <f ca="1" t="shared" si="109"/>
        <v>0.9843</v>
      </c>
      <c r="AT113">
        <f ca="1">无穷技能数计算!$AJ105</f>
        <v>0</v>
      </c>
      <c r="AU113">
        <f ca="1" t="shared" si="110"/>
        <v>2.3238578771</v>
      </c>
      <c r="AV113">
        <f ca="1" t="shared" si="174"/>
        <v>2.68954760480339</v>
      </c>
      <c r="AW113">
        <f ca="1" t="shared" si="142"/>
        <v>1961771.1081572</v>
      </c>
      <c r="AX113">
        <f ca="1" t="shared" si="112"/>
        <v>0.9743</v>
      </c>
      <c r="AY113">
        <f ca="1">无穷技能数计算!$AJ105</f>
        <v>0</v>
      </c>
      <c r="AZ113" s="170">
        <f ca="1" t="shared" si="143"/>
        <v>1950494.41051542</v>
      </c>
      <c r="BA113">
        <f ca="1" t="shared" si="113"/>
        <v>0.9643</v>
      </c>
      <c r="BB113">
        <f ca="1">无穷技能数计算!$AJ105</f>
        <v>0</v>
      </c>
      <c r="BC113" s="170">
        <f ca="1" t="shared" si="144"/>
        <v>1939217.71287364</v>
      </c>
      <c r="BE113">
        <f ca="1" t="shared" si="114"/>
        <v>91977</v>
      </c>
      <c r="BF113">
        <f ca="1" t="shared" si="115"/>
        <v>226796.25</v>
      </c>
      <c r="BI113">
        <f ca="1" t="shared" si="116"/>
        <v>0.9543</v>
      </c>
      <c r="BJ113">
        <f ca="1">无穷技能数计算!$AJ105</f>
        <v>0</v>
      </c>
      <c r="BK113">
        <f ca="1" t="shared" si="117"/>
        <v>1917165.97838144</v>
      </c>
      <c r="BM113">
        <f ca="1" t="shared" si="118"/>
        <v>95358</v>
      </c>
      <c r="BN113">
        <f ca="1" t="shared" si="119"/>
        <v>234403.5</v>
      </c>
      <c r="BO113">
        <f ca="1" t="shared" si="175"/>
        <v>1952749.5002228</v>
      </c>
      <c r="BP113">
        <f ca="1" t="shared" si="176"/>
        <v>1862224.58650011</v>
      </c>
      <c r="BR113">
        <f ca="1" t="shared" si="122"/>
        <v>0.9543</v>
      </c>
      <c r="BS113">
        <f ca="1" t="shared" si="123"/>
        <v>1925513.35059406</v>
      </c>
      <c r="BT113">
        <f ca="1" t="shared" si="124"/>
        <v>0.318170800459405</v>
      </c>
      <c r="BU113">
        <f ca="1" t="shared" si="125"/>
        <v>2.3238578771</v>
      </c>
      <c r="BV113">
        <f ca="1" t="shared" si="145"/>
        <v>1950377.82660758</v>
      </c>
      <c r="BW113">
        <f ca="1" t="shared" si="126"/>
        <v>99155</v>
      </c>
      <c r="BX113">
        <f ca="1" t="shared" si="127"/>
        <v>242946.75</v>
      </c>
      <c r="BY113">
        <f ca="1" t="shared" si="128"/>
        <v>0.9343</v>
      </c>
      <c r="BZ113">
        <f ca="1">无穷技能数计算!$AJ105</f>
        <v>0</v>
      </c>
      <c r="CA113">
        <f ca="1" t="shared" si="129"/>
        <v>2.3277641271</v>
      </c>
      <c r="CB113">
        <f ca="1" t="shared" si="146"/>
        <v>2033621.21103188</v>
      </c>
      <c r="CC113">
        <f ca="1" t="shared" si="130"/>
        <v>100975</v>
      </c>
      <c r="CD113">
        <f ca="1" t="shared" si="131"/>
        <v>247041.75</v>
      </c>
      <c r="CE113">
        <f ca="1" t="shared" si="132"/>
        <v>1996204.57054741</v>
      </c>
      <c r="CF113">
        <f ca="1" t="shared" si="133"/>
        <v>2.2750297521</v>
      </c>
      <c r="CG113">
        <f ca="1" t="shared" si="134"/>
        <v>0.9343</v>
      </c>
      <c r="CH113">
        <f ca="1" t="shared" si="147"/>
        <v>1866528.1413891</v>
      </c>
      <c r="CJ113">
        <f ca="1" t="shared" si="135"/>
        <v>234403.5</v>
      </c>
      <c r="CK113">
        <f ca="1" t="shared" si="177"/>
        <v>1943903.65141481</v>
      </c>
      <c r="CL113">
        <f ca="1" t="shared" si="148"/>
        <v>2.2976860021</v>
      </c>
      <c r="CM113">
        <f ca="1">IF(G113="恒定伤害",0,(IF(D113="轻剑",$CM$8,$CM$9)+IFERROR(INDEX(技能数据库!$T$2:$W$27,MATCH(E113,技能数据库!$T$2:$T$27,0),4),0)+COUNTIF(G113,"*造化2*")*154+COUNTIF(G113,"*造化1*")*102+COUNTIF(G113,"*碧归*")*307)/1024)</f>
        <v>0.176868146929785</v>
      </c>
      <c r="CN113">
        <f ca="1" t="shared" si="149"/>
        <v>1986773.38021638</v>
      </c>
      <c r="CO113">
        <f ca="1" t="shared" si="150"/>
        <v>2.3262602208</v>
      </c>
      <c r="CP113">
        <f ca="1" t="shared" si="151"/>
        <v>2010747.34667063</v>
      </c>
      <c r="CQ113">
        <f ca="1" t="shared" si="178"/>
        <v>2.77157885480339</v>
      </c>
      <c r="CR113">
        <f ca="1">IF(G113="恒定伤害",0,(IF(D113="轻剑",$CR$8,$CR$9)+IFERROR(INDEX(技能数据库!$T$2:$W$27,MATCH(E113,技能数据库!$T$2:$T$27,0),4),0)+COUNTIF(G113,"*造化2*")*154+COUNTIF(G113,"*造化1*")*102+COUNTIF(G113,"*碧归*")*307)/1024)</f>
        <v>0.167102521929785</v>
      </c>
      <c r="CS113">
        <f ca="1" t="shared" si="152"/>
        <v>1879607.50611047</v>
      </c>
    </row>
    <row r="114" spans="4:97">
      <c r="D114" t="s">
        <v>1825</v>
      </c>
      <c r="E114" t="s">
        <v>2922</v>
      </c>
      <c r="G114" t="s">
        <v>3098</v>
      </c>
      <c r="H114">
        <f ca="1">INDEX(技能数据库!$B$2:$I$100,MATCH(无穷阵眼收益计算!$E114,技能数据库!$B$2:$B$100,0),MATCH(H$9,技能数据库!$B$2:$I$2,0))</f>
        <v>0</v>
      </c>
      <c r="I114">
        <f ca="1">INDEX(技能数据库!$B$2:$I$100,MATCH(无穷阵眼收益计算!$E114,技能数据库!$B$2:$B$100,0),MATCH(I$9,技能数据库!$B$2:$I$2,0))</f>
        <v>0</v>
      </c>
      <c r="J114">
        <f ca="1">INDEX(技能数据库!$B$2:$I$100,MATCH(无穷阵眼收益计算!$E114,技能数据库!$B$2:$B$100,0),MATCH(J$9,技能数据库!$B$2:$I$2,0))</f>
        <v>0</v>
      </c>
      <c r="K114">
        <f ca="1">INDEX(技能数据库!$B$2:$I$100,MATCH(无穷阵眼收益计算!$E114,技能数据库!$B$2:$B$100,0),MATCH(K$9,技能数据库!$B$2:$I$2,0))</f>
        <v>0</v>
      </c>
      <c r="L114">
        <f ca="1" t="shared" si="97"/>
        <v>91975</v>
      </c>
      <c r="M114">
        <f ca="1" t="shared" si="162"/>
        <v>19530.5</v>
      </c>
      <c r="N114">
        <f ca="1" t="shared" si="163"/>
        <v>92028</v>
      </c>
      <c r="O114">
        <f ca="1" t="shared" si="138"/>
        <v>0</v>
      </c>
      <c r="P114">
        <f ca="1">IF(G114="恒定伤害",0,(IF(D114="轻剑",$AZ$2,$AZ$3)+IFERROR(INDEX(技能数据库!$T$2:$W$27,MATCH(E114,技能数据库!$T$2:$T$27,0),4),0)+COUNTIF(G114,"*造化2*")*154+COUNTIF(G114,"*造化1*")*102+COUNTIF(G114,"*碧归*")*307)/1024)</f>
        <v>0</v>
      </c>
      <c r="Q114">
        <f ca="1" t="shared" si="171"/>
        <v>0</v>
      </c>
      <c r="R114">
        <f ca="1" t="shared" si="139"/>
        <v>0</v>
      </c>
      <c r="S114">
        <f ca="1" t="shared" si="164"/>
        <v>0</v>
      </c>
      <c r="T114">
        <f t="shared" si="165"/>
        <v>0.8</v>
      </c>
      <c r="U114">
        <f ca="1" t="shared" si="172"/>
        <v>0</v>
      </c>
      <c r="V114">
        <f ca="1" t="shared" si="166"/>
        <v>0</v>
      </c>
      <c r="W114">
        <f ca="1">IF(G114="恒定伤害",0,MIN(1,IF(COUNTIF(F114,"*内会*")&gt;0,内会2,IF(D114="轻剑",$Y$2,$Y$3)+COUNTIF(G114,"*莺鸣*")*0.2+COUNTIF(G114,"*叠1*")*0.1+COUNTIF(G114,"*叠2*")*0.2+COUNTIF(G114,"*叠3*")*0.3)+IFERROR(INDEX(技能数据库!$T$2:$W$27,MATCH(E114,技能数据库!$T$2:$T$27,0),2),0)+IF((IF(D114="轻剑",$AO$2,$AO$3)+INT(COUNTIF(G114,"*大莺鸣*")*IF(D114="轻剑",$AM$2,$AM$3)*听晓无双率)/无双系数)&gt;0.9,特效裤子会心/会心系数,0)))</f>
        <v>0</v>
      </c>
      <c r="X114">
        <f ca="1">IF(G114="恒定伤害",0,IF(COUNTIF(F114,"*内会*")&gt;0,内会效2,IF(D114="轻剑",$AB$2,$AB$3))+IFERROR(INDEX(技能数据库!$T$2:$W$27,MATCH(E114,技能数据库!$T$2:$T$27,0),3)/1024,0))+COUNTIF(G114,"*叠1*")*0.25+COUNTIF(G114,"*叠2*")*0.5+COUNTIF(G114,"*叠3*")*0.75</f>
        <v>0</v>
      </c>
      <c r="Y114">
        <f ca="1" t="shared" si="167"/>
        <v>1</v>
      </c>
      <c r="Z114">
        <f t="shared" si="100"/>
        <v>0</v>
      </c>
      <c r="AA114">
        <f ca="1" t="shared" si="168"/>
        <v>0.0205078125</v>
      </c>
      <c r="AB114">
        <f ca="1" t="shared" si="169"/>
        <v>0</v>
      </c>
      <c r="AC114" s="171">
        <f ca="1">无穷技能数计算!$AJ106</f>
        <v>18.8674245939675</v>
      </c>
      <c r="AD114" s="164">
        <f ca="1" t="shared" si="170"/>
        <v>0</v>
      </c>
      <c r="AE114" s="168"/>
      <c r="AF114" s="168">
        <f ca="1" t="shared" si="101"/>
        <v>0.00139999999999996</v>
      </c>
      <c r="AG114" s="171">
        <f ca="1">无穷技能数计算!$AJ106</f>
        <v>18.8674245939675</v>
      </c>
      <c r="AH114">
        <f ca="1" t="shared" si="102"/>
        <v>96007</v>
      </c>
      <c r="AJ114">
        <f ca="1" t="shared" si="103"/>
        <v>0.19921875</v>
      </c>
      <c r="AK114">
        <f ca="1" t="shared" si="140"/>
        <v>0</v>
      </c>
      <c r="AL114">
        <f ca="1" t="shared" si="104"/>
        <v>0</v>
      </c>
      <c r="AM114" s="169">
        <f ca="1" t="shared" si="105"/>
        <v>0.0228999999999999</v>
      </c>
      <c r="AN114" s="171">
        <f ca="1">无穷技能数计算!$AJ106</f>
        <v>18.8674245939675</v>
      </c>
      <c r="AO114" s="170">
        <f ca="1" t="shared" si="106"/>
        <v>0</v>
      </c>
      <c r="AP114">
        <f ca="1" t="shared" si="107"/>
        <v>97084</v>
      </c>
      <c r="AQ114" s="170">
        <f ca="1" t="shared" si="141"/>
        <v>0</v>
      </c>
      <c r="AR114">
        <f ca="1" t="shared" si="173"/>
        <v>0</v>
      </c>
      <c r="AS114">
        <f ca="1" t="shared" si="109"/>
        <v>0.08</v>
      </c>
      <c r="AT114" s="171">
        <f ca="1">无穷技能数计算!$AJ106</f>
        <v>18.8674245939675</v>
      </c>
      <c r="AU114">
        <f ca="1" t="shared" si="110"/>
        <v>0.146484375</v>
      </c>
      <c r="AV114">
        <f ca="1" t="shared" si="174"/>
        <v>0</v>
      </c>
      <c r="AW114">
        <f ca="1" t="shared" si="142"/>
        <v>0</v>
      </c>
      <c r="AX114">
        <f ca="1" t="shared" si="112"/>
        <v>0.07</v>
      </c>
      <c r="AY114" s="171">
        <f ca="1">无穷技能数计算!$AJ106</f>
        <v>18.8674245939675</v>
      </c>
      <c r="AZ114" s="170">
        <f ca="1" t="shared" si="143"/>
        <v>0</v>
      </c>
      <c r="BA114">
        <f ca="1" t="shared" si="113"/>
        <v>0.0599999999999999</v>
      </c>
      <c r="BB114" s="171">
        <f ca="1">无穷技能数计算!$AJ106</f>
        <v>18.8674245939675</v>
      </c>
      <c r="BC114" s="170">
        <f ca="1" t="shared" si="144"/>
        <v>0</v>
      </c>
      <c r="BE114">
        <f ca="1" t="shared" si="114"/>
        <v>91977</v>
      </c>
      <c r="BF114">
        <f ca="1" t="shared" si="115"/>
        <v>0</v>
      </c>
      <c r="BI114">
        <f ca="1" t="shared" si="116"/>
        <v>0.05</v>
      </c>
      <c r="BJ114" s="171">
        <f ca="1">无穷技能数计算!$AJ106</f>
        <v>18.8674245939675</v>
      </c>
      <c r="BK114">
        <f ca="1" t="shared" si="117"/>
        <v>0</v>
      </c>
      <c r="BM114">
        <f ca="1" t="shared" si="118"/>
        <v>95358</v>
      </c>
      <c r="BN114">
        <f ca="1" t="shared" si="119"/>
        <v>0</v>
      </c>
      <c r="BO114">
        <f ca="1" t="shared" si="175"/>
        <v>0</v>
      </c>
      <c r="BP114">
        <f ca="1" t="shared" si="176"/>
        <v>0</v>
      </c>
      <c r="BR114">
        <f ca="1" t="shared" si="122"/>
        <v>0.05</v>
      </c>
      <c r="BS114">
        <f ca="1" t="shared" si="123"/>
        <v>0</v>
      </c>
      <c r="BT114">
        <f ca="1" t="shared" si="124"/>
        <v>0</v>
      </c>
      <c r="BU114">
        <f ca="1" t="shared" si="125"/>
        <v>0.146484375</v>
      </c>
      <c r="BV114">
        <f ca="1" t="shared" si="145"/>
        <v>0</v>
      </c>
      <c r="BW114">
        <f ca="1" t="shared" si="126"/>
        <v>99155</v>
      </c>
      <c r="BX114">
        <f ca="1" t="shared" si="127"/>
        <v>0</v>
      </c>
      <c r="BY114">
        <f ca="1" t="shared" si="128"/>
        <v>0.03</v>
      </c>
      <c r="BZ114" s="171">
        <f ca="1">无穷技能数计算!$AJ106</f>
        <v>18.8674245939675</v>
      </c>
      <c r="CA114">
        <f ca="1" t="shared" si="129"/>
        <v>0.150390625</v>
      </c>
      <c r="CB114">
        <f ca="1" t="shared" si="146"/>
        <v>0</v>
      </c>
      <c r="CC114">
        <f ca="1" t="shared" si="130"/>
        <v>100975</v>
      </c>
      <c r="CD114">
        <f ca="1" t="shared" si="131"/>
        <v>0</v>
      </c>
      <c r="CE114">
        <f ca="1" t="shared" si="132"/>
        <v>0</v>
      </c>
      <c r="CF114">
        <f ca="1" t="shared" si="133"/>
        <v>0.09765625</v>
      </c>
      <c r="CG114">
        <f ca="1" t="shared" si="134"/>
        <v>0.03</v>
      </c>
      <c r="CH114">
        <f ca="1" t="shared" si="147"/>
        <v>0</v>
      </c>
      <c r="CJ114">
        <f ca="1" t="shared" si="135"/>
        <v>0</v>
      </c>
      <c r="CK114">
        <f ca="1" t="shared" si="177"/>
        <v>0</v>
      </c>
      <c r="CL114">
        <f ca="1" t="shared" si="148"/>
        <v>0.1203125</v>
      </c>
      <c r="CM114">
        <f ca="1">IF(G114="恒定伤害",0,(IF(D114="轻剑",$CM$8,$CM$9)+IFERROR(INDEX(技能数据库!$T$2:$W$27,MATCH(E114,技能数据库!$T$2:$T$27,0),4),0)+COUNTIF(G114,"*造化2*")*154+COUNTIF(G114,"*造化1*")*102+COUNTIF(G114,"*碧归*")*307)/1024)</f>
        <v>0</v>
      </c>
      <c r="CN114">
        <f ca="1" t="shared" si="149"/>
        <v>0</v>
      </c>
      <c r="CO114">
        <f ca="1" t="shared" si="150"/>
        <v>0.1488867187</v>
      </c>
      <c r="CP114">
        <f ca="1" t="shared" si="151"/>
        <v>0</v>
      </c>
      <c r="CQ114">
        <f ca="1" t="shared" si="178"/>
        <v>0</v>
      </c>
      <c r="CR114">
        <f ca="1">IF(G114="恒定伤害",0,(IF(D114="轻剑",$CR$8,$CR$9)+IFERROR(INDEX(技能数据库!$T$2:$W$27,MATCH(E114,技能数据库!$T$2:$T$27,0),4),0)+COUNTIF(G114,"*造化2*")*154+COUNTIF(G114,"*造化1*")*102+COUNTIF(G114,"*碧归*")*307)/1024)</f>
        <v>0</v>
      </c>
      <c r="CS114">
        <f ca="1" t="shared" si="152"/>
        <v>0</v>
      </c>
    </row>
    <row r="115" spans="4:97">
      <c r="D115" t="s">
        <v>1825</v>
      </c>
      <c r="E115" s="161" t="s">
        <v>2844</v>
      </c>
      <c r="H115">
        <f ca="1">INDEX(技能数据库!$B$2:$I$100,MATCH(无穷阵眼收益计算!$E115,技能数据库!$B$2:$B$100,0),MATCH(H$9,技能数据库!$B$2:$I$2,0))</f>
        <v>5241589</v>
      </c>
      <c r="I115">
        <f ca="1">INDEX(技能数据库!$B$2:$I$100,MATCH(无穷阵眼收益计算!$E115,技能数据库!$B$2:$B$100,0),MATCH(I$9,技能数据库!$B$2:$I$2,0))</f>
        <v>0</v>
      </c>
      <c r="J115">
        <f ca="1">INDEX(技能数据库!$B$2:$I$100,MATCH(无穷阵眼收益计算!$E115,技能数据库!$B$2:$B$100,0),MATCH(J$9,技能数据库!$B$2:$I$2,0))</f>
        <v>0</v>
      </c>
      <c r="K115">
        <f ca="1">INDEX(技能数据库!$B$2:$I$100,MATCH(无穷阵眼收益计算!$E115,技能数据库!$B$2:$B$100,0),MATCH(K$9,技能数据库!$B$2:$I$2,0))</f>
        <v>0</v>
      </c>
      <c r="L115">
        <f ca="1" t="shared" si="97"/>
        <v>91975</v>
      </c>
      <c r="M115">
        <f ca="1" t="shared" ref="M115:M143" si="179">IF(D115="轻剑",$AU$2+$AV$2,$AU$3+$AV$3)/2</f>
        <v>19530.5</v>
      </c>
      <c r="N115">
        <f ca="1" t="shared" ref="N115:N143" si="180">IF(D115="轻剑",$AJ$2,$AJ$3)</f>
        <v>92028</v>
      </c>
      <c r="O115">
        <f ca="1" t="shared" si="138"/>
        <v>5241589</v>
      </c>
      <c r="P115">
        <f ca="1">IF(G115="恒定伤害",0,(IF(D115="轻剑",$AZ$2,$AZ$3)+IFERROR(INDEX(技能数据库!$T$2:$W$27,MATCH(E115,技能数据库!$T$2:$T$27,0),4),0)+COUNTIF(G115,"*造化2*")*154+COUNTIF(G115,"*造化1*")*102+COUNTIF(G115,"*碧归*")*307)/1024)</f>
        <v>0.116321271929785</v>
      </c>
      <c r="Q115">
        <f ca="1" t="shared" si="171"/>
        <v>0.448284482196154</v>
      </c>
      <c r="R115">
        <f ca="1" t="shared" si="139"/>
        <v>0.32958230397716</v>
      </c>
      <c r="S115">
        <f ca="1" t="shared" ref="S115:S143" si="181">O115*(1+P115)*(1+Q115)*(1-R115)</f>
        <v>5681349.56263623</v>
      </c>
      <c r="T115">
        <f t="shared" si="165"/>
        <v>0.8</v>
      </c>
      <c r="U115">
        <f ca="1" t="shared" si="172"/>
        <v>1.7800129648</v>
      </c>
      <c r="V115">
        <f ca="1" t="shared" ref="V115:V143" si="182">S115*T115*(1+U115)</f>
        <v>12635380.3533516</v>
      </c>
      <c r="W115">
        <f ca="1">IF(G115="恒定伤害",0,MIN(1,IF(COUNTIF(F115,"*内会*")&gt;0,内会2,IF(D115="轻剑",$Y$2,$Y$3)+COUNTIF(G115,"*莺鸣*")*0.2+COUNTIF(G115,"*叠1*")*0.1+COUNTIF(G115,"*叠2*")*0.2+COUNTIF(G115,"*叠3*")*0.3)+IFERROR(INDEX(技能数据库!$T$2:$W$27,MATCH(E115,技能数据库!$T$2:$T$27,0),2),0)+IF((IF(D115="轻剑",$AO$2,$AO$3)+INT(COUNTIF(G115,"*大莺鸣*")*IF(D115="轻剑",$AM$2,$AM$3)*听晓无双率)/无双系数)&gt;0.9,特效裤子会心/会心系数,0)))</f>
        <v>0.7043</v>
      </c>
      <c r="X115">
        <f ca="1">IF(G115="恒定伤害",0,IF(COUNTIF(F115,"*内会*")&gt;0,内会效2,IF(D115="轻剑",$AB$2,$AB$3))+IFERROR(INDEX(技能数据库!$T$2:$W$27,MATCH(E115,技能数据库!$T$2:$T$27,0),3)/1024,0))+COUNTIF(G115,"*叠1*")*0.25+COUNTIF(G115,"*叠2*")*0.5+COUNTIF(G115,"*叠3*")*0.75</f>
        <v>2.1773735021</v>
      </c>
      <c r="Y115">
        <f ca="1" t="shared" ref="Y115:Y143" si="183">1+W115*(X115-1)</f>
        <v>1.82922415752903</v>
      </c>
      <c r="Z115">
        <f t="shared" si="100"/>
        <v>0.150390625</v>
      </c>
      <c r="AA115">
        <f ca="1" t="shared" ref="AA115:AA143" si="184">IF(D115="轻剑",$BA$2,$BA$3)/1024</f>
        <v>0.0205078125</v>
      </c>
      <c r="AB115">
        <f ca="1" t="shared" ref="AB115:AB143" si="185">V115*Y115*(1+Z115)*(1+AA115)</f>
        <v>27134193.3633532</v>
      </c>
      <c r="AC115">
        <f ca="1">无穷技能数计算!$AJ107</f>
        <v>0</v>
      </c>
      <c r="AD115" s="164">
        <f ca="1" t="shared" si="170"/>
        <v>0</v>
      </c>
      <c r="AE115" s="168"/>
      <c r="AF115" s="168">
        <f ca="1" t="shared" si="101"/>
        <v>0.7057</v>
      </c>
      <c r="AG115">
        <f ca="1">无穷技能数计算!$AJ107</f>
        <v>0</v>
      </c>
      <c r="AH115">
        <f ca="1" t="shared" si="102"/>
        <v>96007</v>
      </c>
      <c r="AJ115">
        <f ca="1" t="shared" si="103"/>
        <v>2.3765922521</v>
      </c>
      <c r="AK115">
        <f ca="1" t="shared" si="140"/>
        <v>5241589</v>
      </c>
      <c r="AL115">
        <f ca="1" t="shared" si="104"/>
        <v>29252139.3449063</v>
      </c>
      <c r="AM115" s="169">
        <f ca="1" t="shared" si="105"/>
        <v>0.7272</v>
      </c>
      <c r="AN115">
        <f ca="1">无穷技能数计算!$AJ107</f>
        <v>0</v>
      </c>
      <c r="AO115" s="170">
        <f ca="1" t="shared" si="106"/>
        <v>29691289.6518485</v>
      </c>
      <c r="AP115">
        <f ca="1" t="shared" si="107"/>
        <v>97084</v>
      </c>
      <c r="AQ115" s="170">
        <f ca="1" t="shared" si="141"/>
        <v>5241589</v>
      </c>
      <c r="AR115">
        <f ca="1" t="shared" si="173"/>
        <v>28726089.370742</v>
      </c>
      <c r="AS115">
        <f ca="1" t="shared" si="109"/>
        <v>0.7843</v>
      </c>
      <c r="AT115">
        <f ca="1">无穷技能数计算!$AJ107</f>
        <v>0</v>
      </c>
      <c r="AU115">
        <f ca="1" t="shared" si="110"/>
        <v>2.3238578771</v>
      </c>
      <c r="AV115">
        <f ca="1" t="shared" si="174"/>
        <v>1.7995442148</v>
      </c>
      <c r="AW115">
        <f ca="1" t="shared" si="142"/>
        <v>30448014.0043379</v>
      </c>
      <c r="AX115">
        <f ca="1" t="shared" si="112"/>
        <v>0.7743</v>
      </c>
      <c r="AY115">
        <f ca="1">无穷技能数计算!$AJ107</f>
        <v>0</v>
      </c>
      <c r="AZ115" s="170">
        <f ca="1" t="shared" si="143"/>
        <v>30250257.0062993</v>
      </c>
      <c r="BA115">
        <f ca="1" t="shared" si="113"/>
        <v>0.7643</v>
      </c>
      <c r="BB115">
        <f ca="1">无穷技能数计算!$AJ107</f>
        <v>0</v>
      </c>
      <c r="BC115" s="170">
        <f ca="1" t="shared" si="144"/>
        <v>30052500.0082606</v>
      </c>
      <c r="BE115">
        <f ca="1" t="shared" si="114"/>
        <v>91977</v>
      </c>
      <c r="BF115">
        <f ca="1" t="shared" si="115"/>
        <v>5241589</v>
      </c>
      <c r="BI115">
        <f ca="1" t="shared" si="116"/>
        <v>0.7543</v>
      </c>
      <c r="BJ115">
        <f ca="1">无穷技能数计算!$AJ107</f>
        <v>0</v>
      </c>
      <c r="BK115">
        <f ca="1" t="shared" si="117"/>
        <v>29892228.1234105</v>
      </c>
      <c r="BM115">
        <f ca="1" t="shared" si="118"/>
        <v>95358</v>
      </c>
      <c r="BN115">
        <f ca="1" t="shared" si="119"/>
        <v>5241589</v>
      </c>
      <c r="BO115">
        <f ca="1" t="shared" si="175"/>
        <v>29304508.3794167</v>
      </c>
      <c r="BP115">
        <f ca="1" t="shared" si="176"/>
        <v>27946019.6984928</v>
      </c>
      <c r="BR115">
        <f ca="1" t="shared" si="122"/>
        <v>0.7543</v>
      </c>
      <c r="BS115">
        <f ca="1" t="shared" si="123"/>
        <v>29048043.4748665</v>
      </c>
      <c r="BT115">
        <f ca="1" t="shared" si="124"/>
        <v>0.318170800459405</v>
      </c>
      <c r="BU115">
        <f ca="1" t="shared" si="125"/>
        <v>2.3238578771</v>
      </c>
      <c r="BV115">
        <f ca="1" t="shared" si="145"/>
        <v>30151085.6466017</v>
      </c>
      <c r="BW115">
        <f ca="1" t="shared" si="126"/>
        <v>99155</v>
      </c>
      <c r="BX115">
        <f ca="1" t="shared" si="127"/>
        <v>5241589</v>
      </c>
      <c r="BY115">
        <f ca="1" t="shared" si="128"/>
        <v>0.7343</v>
      </c>
      <c r="BZ115">
        <f ca="1">无穷技能数计算!$AJ107</f>
        <v>0</v>
      </c>
      <c r="CA115">
        <f ca="1" t="shared" si="129"/>
        <v>2.3277641271</v>
      </c>
      <c r="CB115">
        <f ca="1" t="shared" si="146"/>
        <v>29296252.7159624</v>
      </c>
      <c r="CC115">
        <f ca="1" t="shared" si="130"/>
        <v>100975</v>
      </c>
      <c r="CD115">
        <f ca="1" t="shared" si="131"/>
        <v>5241589</v>
      </c>
      <c r="CE115">
        <f ca="1" t="shared" si="132"/>
        <v>28485640.3285846</v>
      </c>
      <c r="CF115">
        <f ca="1" t="shared" si="133"/>
        <v>2.2750297521</v>
      </c>
      <c r="CG115">
        <f ca="1" t="shared" si="134"/>
        <v>0.7343</v>
      </c>
      <c r="CH115">
        <f ca="1" t="shared" si="147"/>
        <v>28923637.0247136</v>
      </c>
      <c r="CJ115">
        <f ca="1" t="shared" si="135"/>
        <v>5241589</v>
      </c>
      <c r="CK115">
        <f ca="1" t="shared" si="177"/>
        <v>29171760.5536013</v>
      </c>
      <c r="CL115">
        <f ca="1" t="shared" si="148"/>
        <v>2.2976860021</v>
      </c>
      <c r="CM115">
        <f ca="1">IF(G115="恒定伤害",0,(IF(D115="轻剑",$CM$8,$CM$9)+IFERROR(INDEX(技能数据库!$T$2:$W$27,MATCH(E115,技能数据库!$T$2:$T$27,0),4),0)+COUNTIF(G115,"*造化2*")*154+COUNTIF(G115,"*造化1*")*102+COUNTIF(G115,"*碧归*")*307)/1024)</f>
        <v>0.176868146929785</v>
      </c>
      <c r="CN115">
        <f ca="1" t="shared" si="149"/>
        <v>30754386.7393793</v>
      </c>
      <c r="CO115">
        <f ca="1" t="shared" si="150"/>
        <v>2.3262602208</v>
      </c>
      <c r="CP115">
        <f ca="1" t="shared" si="151"/>
        <v>31084814.8579199</v>
      </c>
      <c r="CQ115">
        <f ca="1" t="shared" si="178"/>
        <v>1.8815754648</v>
      </c>
      <c r="CR115">
        <f ca="1">IF(G115="恒定伤害",0,(IF(D115="轻剑",$CR$8,$CR$9)+IFERROR(INDEX(技能数据库!$T$2:$W$27,MATCH(E115,技能数据库!$T$2:$T$27,0),4),0)+COUNTIF(G115,"*造化2*")*154+COUNTIF(G115,"*造化1*")*102+COUNTIF(G115,"*碧归*")*307)/1024)</f>
        <v>0.167102521929785</v>
      </c>
      <c r="CS115">
        <f ca="1" t="shared" si="152"/>
        <v>29404913.0120284</v>
      </c>
    </row>
    <row r="116" spans="4:97">
      <c r="D116" t="s">
        <v>1825</v>
      </c>
      <c r="E116" s="161" t="s">
        <v>2847</v>
      </c>
      <c r="H116">
        <f ca="1">INDEX(技能数据库!$B$2:$I$100,MATCH(无穷阵眼收益计算!$E116,技能数据库!$B$2:$B$100,0),MATCH(H$9,技能数据库!$B$2:$I$2,0))</f>
        <v>4717430</v>
      </c>
      <c r="I116">
        <f ca="1">INDEX(技能数据库!$B$2:$I$100,MATCH(无穷阵眼收益计算!$E116,技能数据库!$B$2:$B$100,0),MATCH(I$9,技能数据库!$B$2:$I$2,0))</f>
        <v>0</v>
      </c>
      <c r="J116">
        <f ca="1">INDEX(技能数据库!$B$2:$I$100,MATCH(无穷阵眼收益计算!$E116,技能数据库!$B$2:$B$100,0),MATCH(J$9,技能数据库!$B$2:$I$2,0))</f>
        <v>0</v>
      </c>
      <c r="K116">
        <f ca="1">INDEX(技能数据库!$B$2:$I$100,MATCH(无穷阵眼收益计算!$E116,技能数据库!$B$2:$B$100,0),MATCH(K$9,技能数据库!$B$2:$I$2,0))</f>
        <v>0</v>
      </c>
      <c r="L116">
        <f ca="1" t="shared" si="97"/>
        <v>91975</v>
      </c>
      <c r="M116">
        <f ca="1" t="shared" si="179"/>
        <v>19530.5</v>
      </c>
      <c r="N116">
        <f ca="1" t="shared" si="180"/>
        <v>92028</v>
      </c>
      <c r="O116">
        <f ca="1" t="shared" si="138"/>
        <v>4717430</v>
      </c>
      <c r="P116">
        <f ca="1">IF(G116="恒定伤害",0,(IF(D116="轻剑",$AZ$2,$AZ$3)+IFERROR(INDEX(技能数据库!$T$2:$W$27,MATCH(E116,技能数据库!$T$2:$T$27,0),4),0)+COUNTIF(G116,"*造化2*")*154+COUNTIF(G116,"*造化1*")*102+COUNTIF(G116,"*碧归*")*307)/1024)</f>
        <v>0.116321271929785</v>
      </c>
      <c r="Q116">
        <f ca="1" t="shared" si="171"/>
        <v>0.448284482196154</v>
      </c>
      <c r="R116">
        <f ca="1" t="shared" si="139"/>
        <v>0.32958230397716</v>
      </c>
      <c r="S116">
        <f ca="1" t="shared" si="181"/>
        <v>5113214.49798277</v>
      </c>
      <c r="T116">
        <f t="shared" si="165"/>
        <v>0.8</v>
      </c>
      <c r="U116">
        <f ca="1" t="shared" si="172"/>
        <v>1.7800129648</v>
      </c>
      <c r="V116">
        <f ca="1" t="shared" si="182"/>
        <v>11371842.0769564</v>
      </c>
      <c r="W116">
        <f ca="1">IF(G116="恒定伤害",0,MIN(1,IF(COUNTIF(F116,"*内会*")&gt;0,内会2,IF(D116="轻剑",$Y$2,$Y$3)+COUNTIF(G116,"*莺鸣*")*0.2+COUNTIF(G116,"*叠1*")*0.1+COUNTIF(G116,"*叠2*")*0.2+COUNTIF(G116,"*叠3*")*0.3)+IFERROR(INDEX(技能数据库!$T$2:$W$27,MATCH(E116,技能数据库!$T$2:$T$27,0),2),0)+IF((IF(D116="轻剑",$AO$2,$AO$3)+INT(COUNTIF(G116,"*大莺鸣*")*IF(D116="轻剑",$AM$2,$AM$3)*听晓无双率)/无双系数)&gt;0.9,特效裤子会心/会心系数,0)))</f>
        <v>0.7043</v>
      </c>
      <c r="X116">
        <f ca="1">IF(G116="恒定伤害",0,IF(COUNTIF(F116,"*内会*")&gt;0,内会效2,IF(D116="轻剑",$AB$2,$AB$3))+IFERROR(INDEX(技能数据库!$T$2:$W$27,MATCH(E116,技能数据库!$T$2:$T$27,0),3)/1024,0))+COUNTIF(G116,"*叠1*")*0.25+COUNTIF(G116,"*叠2*")*0.5+COUNTIF(G116,"*叠3*")*0.75</f>
        <v>2.1773735021</v>
      </c>
      <c r="Y116">
        <f ca="1" t="shared" si="183"/>
        <v>1.82922415752903</v>
      </c>
      <c r="Z116">
        <f t="shared" si="100"/>
        <v>0.150390625</v>
      </c>
      <c r="AA116">
        <f ca="1" t="shared" si="184"/>
        <v>0.0205078125</v>
      </c>
      <c r="AB116">
        <f ca="1" t="shared" si="185"/>
        <v>24420773.5093468</v>
      </c>
      <c r="AC116">
        <f ca="1">无穷技能数计算!$AJ108</f>
        <v>0</v>
      </c>
      <c r="AD116" s="164">
        <f ca="1" t="shared" si="170"/>
        <v>0</v>
      </c>
      <c r="AE116" s="168"/>
      <c r="AF116" s="168">
        <f ca="1" t="shared" si="101"/>
        <v>0.7057</v>
      </c>
      <c r="AG116">
        <f ca="1">无穷技能数计算!$AJ108</f>
        <v>0</v>
      </c>
      <c r="AH116">
        <f ca="1" t="shared" si="102"/>
        <v>96007</v>
      </c>
      <c r="AJ116">
        <f ca="1" t="shared" si="103"/>
        <v>2.3765922521</v>
      </c>
      <c r="AK116">
        <f ca="1" t="shared" si="140"/>
        <v>4717430</v>
      </c>
      <c r="AL116">
        <f ca="1" t="shared" si="104"/>
        <v>26326924.8523379</v>
      </c>
      <c r="AM116" s="169">
        <f ca="1" t="shared" si="105"/>
        <v>0.7272</v>
      </c>
      <c r="AN116">
        <f ca="1">无穷技能数计算!$AJ108</f>
        <v>0</v>
      </c>
      <c r="AO116" s="170">
        <f ca="1" t="shared" si="106"/>
        <v>26722160.1202077</v>
      </c>
      <c r="AP116">
        <f ca="1" t="shared" si="107"/>
        <v>97084</v>
      </c>
      <c r="AQ116" s="170">
        <f ca="1" t="shared" si="141"/>
        <v>4717430</v>
      </c>
      <c r="AR116">
        <f ca="1" t="shared" si="173"/>
        <v>25853479.8856262</v>
      </c>
      <c r="AS116">
        <f ca="1" t="shared" si="109"/>
        <v>0.7843</v>
      </c>
      <c r="AT116">
        <f ca="1">无穷技能数计算!$AJ108</f>
        <v>0</v>
      </c>
      <c r="AU116">
        <f ca="1" t="shared" si="110"/>
        <v>2.3238578771</v>
      </c>
      <c r="AV116">
        <f ca="1" t="shared" si="174"/>
        <v>1.7995442148</v>
      </c>
      <c r="AW116">
        <f ca="1" t="shared" si="142"/>
        <v>27403212.0230113</v>
      </c>
      <c r="AX116">
        <f ca="1" t="shared" si="112"/>
        <v>0.7743</v>
      </c>
      <c r="AY116">
        <f ca="1">无穷技能数计算!$AJ108</f>
        <v>0</v>
      </c>
      <c r="AZ116" s="170">
        <f ca="1" t="shared" si="143"/>
        <v>27225230.7285494</v>
      </c>
      <c r="BA116">
        <f ca="1" t="shared" si="113"/>
        <v>0.7643</v>
      </c>
      <c r="BB116">
        <f ca="1">无穷技能数计算!$AJ108</f>
        <v>0</v>
      </c>
      <c r="BC116" s="170">
        <f ca="1" t="shared" si="144"/>
        <v>27047249.4340874</v>
      </c>
      <c r="BE116">
        <f ca="1" t="shared" si="114"/>
        <v>91977</v>
      </c>
      <c r="BF116">
        <f ca="1" t="shared" si="115"/>
        <v>4717430</v>
      </c>
      <c r="BI116">
        <f ca="1" t="shared" si="116"/>
        <v>0.7543</v>
      </c>
      <c r="BJ116">
        <f ca="1">无穷技能数计算!$AJ108</f>
        <v>0</v>
      </c>
      <c r="BK116">
        <f ca="1" t="shared" si="117"/>
        <v>26903004.74078</v>
      </c>
      <c r="BM116">
        <f ca="1" t="shared" si="118"/>
        <v>95358</v>
      </c>
      <c r="BN116">
        <f ca="1" t="shared" si="119"/>
        <v>4717430</v>
      </c>
      <c r="BO116">
        <f ca="1" t="shared" si="175"/>
        <v>26374056.9823982</v>
      </c>
      <c r="BP116">
        <f ca="1" t="shared" si="176"/>
        <v>25151417.1954842</v>
      </c>
      <c r="BR116">
        <f ca="1" t="shared" si="122"/>
        <v>0.7543</v>
      </c>
      <c r="BS116">
        <f ca="1" t="shared" si="123"/>
        <v>26143238.573196</v>
      </c>
      <c r="BT116">
        <f ca="1" t="shared" si="124"/>
        <v>0.318170800459405</v>
      </c>
      <c r="BU116">
        <f ca="1" t="shared" si="125"/>
        <v>2.3238578771</v>
      </c>
      <c r="BV116">
        <f ca="1" t="shared" si="145"/>
        <v>27135976.5067136</v>
      </c>
      <c r="BW116">
        <f ca="1" t="shared" si="126"/>
        <v>99155</v>
      </c>
      <c r="BX116">
        <f ca="1" t="shared" si="127"/>
        <v>4717430</v>
      </c>
      <c r="BY116">
        <f ca="1" t="shared" si="128"/>
        <v>0.7343</v>
      </c>
      <c r="BZ116">
        <f ca="1">无穷技能数计算!$AJ108</f>
        <v>0</v>
      </c>
      <c r="CA116">
        <f ca="1" t="shared" si="129"/>
        <v>2.3277641271</v>
      </c>
      <c r="CB116">
        <f ca="1" t="shared" si="146"/>
        <v>26366626.8854469</v>
      </c>
      <c r="CC116">
        <f ca="1" t="shared" si="130"/>
        <v>100975</v>
      </c>
      <c r="CD116">
        <f ca="1" t="shared" si="131"/>
        <v>4717430</v>
      </c>
      <c r="CE116">
        <f ca="1" t="shared" si="132"/>
        <v>25637075.7522719</v>
      </c>
      <c r="CF116">
        <f ca="1" t="shared" si="133"/>
        <v>2.2750297521</v>
      </c>
      <c r="CG116">
        <f ca="1" t="shared" si="134"/>
        <v>0.7343</v>
      </c>
      <c r="CH116">
        <f ca="1" t="shared" si="147"/>
        <v>26031272.7704317</v>
      </c>
      <c r="CJ116">
        <f ca="1" t="shared" si="135"/>
        <v>4717430</v>
      </c>
      <c r="CK116">
        <f ca="1" t="shared" si="177"/>
        <v>26254583.9416969</v>
      </c>
      <c r="CL116">
        <f ca="1" t="shared" si="148"/>
        <v>2.2976860021</v>
      </c>
      <c r="CM116">
        <f ca="1">IF(G116="恒定伤害",0,(IF(D116="轻剑",$CM$8,$CM$9)+IFERROR(INDEX(技能数据库!$T$2:$W$27,MATCH(E116,技能数据库!$T$2:$T$27,0),4),0)+COUNTIF(G116,"*造化2*")*154+COUNTIF(G116,"*造化1*")*102+COUNTIF(G116,"*碧归*")*307)/1024)</f>
        <v>0.176868146929785</v>
      </c>
      <c r="CN116">
        <f ca="1" t="shared" si="149"/>
        <v>27678947.4787035</v>
      </c>
      <c r="CO116">
        <f ca="1" t="shared" si="150"/>
        <v>2.3262602208</v>
      </c>
      <c r="CP116">
        <f ca="1" t="shared" si="151"/>
        <v>27976332.7790861</v>
      </c>
      <c r="CQ116">
        <f ca="1" t="shared" si="178"/>
        <v>1.8815754648</v>
      </c>
      <c r="CR116">
        <f ca="1">IF(G116="恒定伤害",0,(IF(D116="轻剑",$CR$8,$CR$9)+IFERROR(INDEX(技能数据库!$T$2:$W$27,MATCH(E116,技能数据库!$T$2:$T$27,0),4),0)+COUNTIF(G116,"*造化2*")*154+COUNTIF(G116,"*造化1*")*102+COUNTIF(G116,"*碧归*")*307)/1024)</f>
        <v>0.167102521929785</v>
      </c>
      <c r="CS116">
        <f ca="1" t="shared" si="152"/>
        <v>26464421.1498332</v>
      </c>
    </row>
    <row r="117" spans="4:97">
      <c r="D117" t="s">
        <v>1825</v>
      </c>
      <c r="E117" s="161" t="s">
        <v>2850</v>
      </c>
      <c r="F117" t="s">
        <v>3160</v>
      </c>
      <c r="H117">
        <f ca="1">INDEX(技能数据库!$B$2:$I$100,MATCH(无穷阵眼收益计算!$E117,技能数据库!$B$2:$B$100,0),MATCH(H$9,技能数据库!$B$2:$I$2,0))</f>
        <v>3667380</v>
      </c>
      <c r="I117">
        <f ca="1">INDEX(技能数据库!$B$2:$I$100,MATCH(无穷阵眼收益计算!$E117,技能数据库!$B$2:$B$100,0),MATCH(I$9,技能数据库!$B$2:$I$2,0))</f>
        <v>0</v>
      </c>
      <c r="J117">
        <f ca="1">INDEX(技能数据库!$B$2:$I$100,MATCH(无穷阵眼收益计算!$E117,技能数据库!$B$2:$B$100,0),MATCH(J$9,技能数据库!$B$2:$I$2,0))</f>
        <v>0</v>
      </c>
      <c r="K117">
        <f ca="1">INDEX(技能数据库!$B$2:$I$100,MATCH(无穷阵眼收益计算!$E117,技能数据库!$B$2:$B$100,0),MATCH(K$9,技能数据库!$B$2:$I$2,0))</f>
        <v>0</v>
      </c>
      <c r="L117">
        <f ca="1" t="shared" si="97"/>
        <v>91975</v>
      </c>
      <c r="M117">
        <f ca="1" t="shared" si="179"/>
        <v>19530.5</v>
      </c>
      <c r="N117">
        <f ca="1" t="shared" si="180"/>
        <v>92028</v>
      </c>
      <c r="O117">
        <f ca="1" t="shared" si="138"/>
        <v>3667380</v>
      </c>
      <c r="P117">
        <f ca="1">IF(G117="恒定伤害",0,(IF(D117="轻剑",$AZ$2,$AZ$3)+IFERROR(INDEX(技能数据库!$T$2:$W$27,MATCH(E117,技能数据库!$T$2:$T$27,0),4),0)+COUNTIF(G117,"*造化2*")*154+COUNTIF(G117,"*造化1*")*102+COUNTIF(G117,"*碧归*")*307)/1024)</f>
        <v>0.116321271929785</v>
      </c>
      <c r="Q117">
        <f ca="1" t="shared" si="171"/>
        <v>0.0415122129107408</v>
      </c>
      <c r="R117">
        <f ca="1" t="shared" si="139"/>
        <v>0.32958230397716</v>
      </c>
      <c r="S117">
        <f ca="1" t="shared" si="181"/>
        <v>2858610.26452879</v>
      </c>
      <c r="T117">
        <f t="shared" si="165"/>
        <v>0.8</v>
      </c>
      <c r="U117">
        <f ca="1" t="shared" si="172"/>
        <v>1.7800129648</v>
      </c>
      <c r="V117">
        <f ca="1" t="shared" si="182"/>
        <v>6357578.87736031</v>
      </c>
      <c r="W117">
        <f ca="1">IF(G117="恒定伤害",0,MIN(1,IF(COUNTIF(F117,"*内会*")&gt;0,内会2,IF(D117="轻剑",$Y$2,$Y$3)+COUNTIF(G117,"*莺鸣*")*0.2+COUNTIF(G117,"*叠1*")*0.1+COUNTIF(G117,"*叠2*")*0.2+COUNTIF(G117,"*叠3*")*0.3)+IFERROR(INDEX(技能数据库!$T$2:$W$27,MATCH(E117,技能数据库!$T$2:$T$27,0),2),0)+IF((IF(D117="轻剑",$AO$2,$AO$3)+INT(COUNTIF(G117,"*大莺鸣*")*IF(D117="轻剑",$AM$2,$AM$3)*听晓无双率)/无双系数)&gt;0.9,特效裤子会心/会心系数,0)))</f>
        <v>0.0826138197194782</v>
      </c>
      <c r="X117">
        <f ca="1">IF(G117="恒定伤害",0,IF(COUNTIF(F117,"*内会*")&gt;0,内会效2,IF(D117="轻剑",$AB$2,$AB$3))+IFERROR(INDEX(技能数据库!$T$2:$W$27,MATCH(E117,技能数据库!$T$2:$T$27,0),3)/1024,0))+COUNTIF(G117,"*叠1*")*0.25+COUNTIF(G117,"*叠2*")*0.5+COUNTIF(G117,"*叠3*")*0.75</f>
        <v>1.79000318487951</v>
      </c>
      <c r="Y117">
        <f ca="1" t="shared" si="183"/>
        <v>1.06526518069345</v>
      </c>
      <c r="Z117">
        <f t="shared" si="100"/>
        <v>0.150390625</v>
      </c>
      <c r="AA117">
        <f ca="1" t="shared" si="184"/>
        <v>0.0205078125</v>
      </c>
      <c r="AB117">
        <f ca="1" t="shared" si="185"/>
        <v>7950805.99661781</v>
      </c>
      <c r="AC117">
        <f ca="1">无穷技能数计算!$AJ109</f>
        <v>0</v>
      </c>
      <c r="AD117" s="164">
        <f ca="1" t="shared" si="170"/>
        <v>0</v>
      </c>
      <c r="AE117" s="168"/>
      <c r="AF117" s="168">
        <f ca="1" t="shared" si="101"/>
        <v>0.0826138197194782</v>
      </c>
      <c r="AG117">
        <f ca="1">无穷技能数计算!$AJ109</f>
        <v>0</v>
      </c>
      <c r="AH117">
        <f ca="1" t="shared" si="102"/>
        <v>96007</v>
      </c>
      <c r="AJ117">
        <f ca="1" t="shared" si="103"/>
        <v>1.79000318487951</v>
      </c>
      <c r="AK117">
        <f ca="1" t="shared" si="140"/>
        <v>3667380</v>
      </c>
      <c r="AL117">
        <f ca="1" t="shared" si="104"/>
        <v>7950805.99661781</v>
      </c>
      <c r="AM117" s="169">
        <f ca="1" t="shared" si="105"/>
        <v>0.0826138197194782</v>
      </c>
      <c r="AN117">
        <f ca="1">无穷技能数计算!$AJ109</f>
        <v>0</v>
      </c>
      <c r="AO117" s="170">
        <f ca="1" t="shared" si="106"/>
        <v>7950805.99661781</v>
      </c>
      <c r="AP117">
        <f ca="1" t="shared" si="107"/>
        <v>97084</v>
      </c>
      <c r="AQ117" s="170">
        <f ca="1" t="shared" si="141"/>
        <v>3667380</v>
      </c>
      <c r="AR117">
        <f ca="1" t="shared" si="173"/>
        <v>7950805.99661781</v>
      </c>
      <c r="AS117">
        <f ca="1" t="shared" si="109"/>
        <v>0.0826138197194782</v>
      </c>
      <c r="AT117">
        <f ca="1">无穷技能数计算!$AJ109</f>
        <v>0</v>
      </c>
      <c r="AU117">
        <f ca="1" t="shared" si="110"/>
        <v>1.79000318487951</v>
      </c>
      <c r="AV117">
        <f ca="1" t="shared" si="174"/>
        <v>1.7995442148</v>
      </c>
      <c r="AW117">
        <f ca="1" t="shared" si="142"/>
        <v>8006665.15324322</v>
      </c>
      <c r="AX117">
        <f ca="1" t="shared" si="112"/>
        <v>0.0826138197194782</v>
      </c>
      <c r="AY117">
        <f ca="1">无穷技能数计算!$AJ109</f>
        <v>0</v>
      </c>
      <c r="AZ117" s="170">
        <f ca="1" t="shared" si="143"/>
        <v>8006665.15324322</v>
      </c>
      <c r="BA117">
        <f ca="1" t="shared" si="113"/>
        <v>0.0826138197194782</v>
      </c>
      <c r="BB117">
        <f ca="1">无穷技能数计算!$AJ109</f>
        <v>0</v>
      </c>
      <c r="BC117" s="170">
        <f ca="1" t="shared" si="144"/>
        <v>8006665.15324322</v>
      </c>
      <c r="BE117">
        <f ca="1" t="shared" si="114"/>
        <v>91977</v>
      </c>
      <c r="BF117">
        <f ca="1" t="shared" si="115"/>
        <v>3667380</v>
      </c>
      <c r="BI117">
        <f ca="1" t="shared" si="116"/>
        <v>0.0826138197194782</v>
      </c>
      <c r="BJ117">
        <f ca="1">无穷技能数计算!$AJ109</f>
        <v>0</v>
      </c>
      <c r="BK117">
        <f ca="1" t="shared" si="117"/>
        <v>8006665.15324322</v>
      </c>
      <c r="BM117">
        <f ca="1" t="shared" si="118"/>
        <v>95358</v>
      </c>
      <c r="BN117">
        <f ca="1" t="shared" si="119"/>
        <v>3667380</v>
      </c>
      <c r="BO117">
        <f ca="1" t="shared" si="175"/>
        <v>7950805.99661781</v>
      </c>
      <c r="BP117">
        <f ca="1" t="shared" si="176"/>
        <v>7950805.99661781</v>
      </c>
      <c r="BR117">
        <f ca="1" t="shared" si="122"/>
        <v>0.132613819719478</v>
      </c>
      <c r="BS117">
        <f ca="1" t="shared" si="123"/>
        <v>8303553.24674161</v>
      </c>
      <c r="BT117">
        <f ca="1" t="shared" si="124"/>
        <v>0.318170800459405</v>
      </c>
      <c r="BU117">
        <f ca="1" t="shared" si="125"/>
        <v>1.93648755987951</v>
      </c>
      <c r="BV117">
        <f ca="1" t="shared" si="145"/>
        <v>8533431.95989395</v>
      </c>
      <c r="BW117">
        <f ca="1" t="shared" si="126"/>
        <v>99155</v>
      </c>
      <c r="BX117">
        <f ca="1" t="shared" si="127"/>
        <v>3667380</v>
      </c>
      <c r="BY117">
        <f ca="1" t="shared" si="128"/>
        <v>0.0826138197194782</v>
      </c>
      <c r="BZ117">
        <f ca="1">无穷技能数计算!$AJ109</f>
        <v>0</v>
      </c>
      <c r="CA117">
        <f ca="1" t="shared" si="129"/>
        <v>1.79000318487951</v>
      </c>
      <c r="CB117">
        <f ca="1" t="shared" si="146"/>
        <v>7950805.99661781</v>
      </c>
      <c r="CC117">
        <f ca="1" t="shared" si="130"/>
        <v>100975</v>
      </c>
      <c r="CD117">
        <f ca="1" t="shared" si="131"/>
        <v>3667380</v>
      </c>
      <c r="CE117">
        <f ca="1" t="shared" si="132"/>
        <v>7950805.99661781</v>
      </c>
      <c r="CF117">
        <f ca="1" t="shared" si="133"/>
        <v>1.79000318487951</v>
      </c>
      <c r="CG117">
        <f ca="1" t="shared" si="134"/>
        <v>0.112613819719478</v>
      </c>
      <c r="CH117">
        <f ca="1" t="shared" si="147"/>
        <v>8006665.15324322</v>
      </c>
      <c r="CJ117">
        <f ca="1" t="shared" si="135"/>
        <v>3667380</v>
      </c>
      <c r="CK117">
        <f ca="1" t="shared" si="177"/>
        <v>7950805.99661781</v>
      </c>
      <c r="CL117">
        <f ca="1" t="shared" si="148"/>
        <v>1.91031568487951</v>
      </c>
      <c r="CM117">
        <f ca="1">IF(G117="恒定伤害",0,(IF(D117="轻剑",$CM$8,$CM$9)+IFERROR(INDEX(技能数据库!$T$2:$W$27,MATCH(E117,技能数据库!$T$2:$T$27,0),4),0)+COUNTIF(G117,"*造化2*")*154+COUNTIF(G117,"*造化1*")*102+COUNTIF(G117,"*碧归*")*307)/1024)</f>
        <v>0.176868146929785</v>
      </c>
      <c r="CN117">
        <f ca="1" t="shared" si="149"/>
        <v>8736082.06531081</v>
      </c>
      <c r="CO117">
        <f ca="1" t="shared" si="150"/>
        <v>1.93888990357951</v>
      </c>
      <c r="CP117">
        <f ca="1" t="shared" si="151"/>
        <v>8761579.62376824</v>
      </c>
      <c r="CQ117">
        <f ca="1" t="shared" si="178"/>
        <v>1.8815754648</v>
      </c>
      <c r="CR117">
        <f ca="1">IF(G117="恒定伤害",0,(IF(D117="轻剑",$CR$8,$CR$9)+IFERROR(INDEX(技能数据库!$T$2:$W$27,MATCH(E117,技能数据库!$T$2:$T$27,0),4),0)+COUNTIF(G117,"*造化2*")*154+COUNTIF(G117,"*造化1*")*102+COUNTIF(G117,"*碧归*")*307)/1024)</f>
        <v>0.167102521929785</v>
      </c>
      <c r="CS117">
        <f ca="1" t="shared" si="152"/>
        <v>8616167.63672861</v>
      </c>
    </row>
    <row r="118" spans="4:97">
      <c r="D118" t="s">
        <v>1825</v>
      </c>
      <c r="E118" s="161" t="s">
        <v>2853</v>
      </c>
      <c r="F118" t="s">
        <v>3160</v>
      </c>
      <c r="H118">
        <f ca="1">INDEX(技能数据库!$B$2:$I$100,MATCH(无穷阵眼收益计算!$E118,技能数据库!$B$2:$B$100,0),MATCH(H$9,技能数据库!$B$2:$I$2,0))</f>
        <v>2444920</v>
      </c>
      <c r="I118">
        <f ca="1">INDEX(技能数据库!$B$2:$I$100,MATCH(无穷阵眼收益计算!$E118,技能数据库!$B$2:$B$100,0),MATCH(I$9,技能数据库!$B$2:$I$2,0))</f>
        <v>0</v>
      </c>
      <c r="J118">
        <f ca="1">INDEX(技能数据库!$B$2:$I$100,MATCH(无穷阵眼收益计算!$E118,技能数据库!$B$2:$B$100,0),MATCH(J$9,技能数据库!$B$2:$I$2,0))</f>
        <v>0</v>
      </c>
      <c r="K118">
        <f ca="1">INDEX(技能数据库!$B$2:$I$100,MATCH(无穷阵眼收益计算!$E118,技能数据库!$B$2:$B$100,0),MATCH(K$9,技能数据库!$B$2:$I$2,0))</f>
        <v>0</v>
      </c>
      <c r="L118">
        <f ca="1" t="shared" si="97"/>
        <v>91975</v>
      </c>
      <c r="M118">
        <f ca="1" t="shared" si="179"/>
        <v>19530.5</v>
      </c>
      <c r="N118">
        <f ca="1" t="shared" si="180"/>
        <v>92028</v>
      </c>
      <c r="O118">
        <f ca="1" t="shared" si="138"/>
        <v>2444920</v>
      </c>
      <c r="P118">
        <f ca="1">IF(G118="恒定伤害",0,(IF(D118="轻剑",$AZ$2,$AZ$3)+IFERROR(INDEX(技能数据库!$T$2:$W$27,MATCH(E118,技能数据库!$T$2:$T$27,0),4),0)+COUNTIF(G118,"*造化2*")*154+COUNTIF(G118,"*造化1*")*102+COUNTIF(G118,"*碧归*")*307)/1024)</f>
        <v>0.116321271929785</v>
      </c>
      <c r="Q118">
        <f ca="1" t="shared" si="171"/>
        <v>0.0415122129107408</v>
      </c>
      <c r="R118">
        <f ca="1" t="shared" si="139"/>
        <v>0.32958230397716</v>
      </c>
      <c r="S118">
        <f ca="1" t="shared" si="181"/>
        <v>1905740.17635253</v>
      </c>
      <c r="T118">
        <f t="shared" si="165"/>
        <v>0.8</v>
      </c>
      <c r="U118">
        <f ca="1" t="shared" si="172"/>
        <v>1.7800129648</v>
      </c>
      <c r="V118">
        <f ca="1" t="shared" si="182"/>
        <v>4238385.91824021</v>
      </c>
      <c r="W118">
        <f ca="1">IF(G118="恒定伤害",0,MIN(1,IF(COUNTIF(F118,"*内会*")&gt;0,内会2,IF(D118="轻剑",$Y$2,$Y$3)+COUNTIF(G118,"*莺鸣*")*0.2+COUNTIF(G118,"*叠1*")*0.1+COUNTIF(G118,"*叠2*")*0.2+COUNTIF(G118,"*叠3*")*0.3)+IFERROR(INDEX(技能数据库!$T$2:$W$27,MATCH(E118,技能数据库!$T$2:$T$27,0),2),0)+IF((IF(D118="轻剑",$AO$2,$AO$3)+INT(COUNTIF(G118,"*大莺鸣*")*IF(D118="轻剑",$AM$2,$AM$3)*听晓无双率)/无双系数)&gt;0.9,特效裤子会心/会心系数,0)))</f>
        <v>0.0826138197194782</v>
      </c>
      <c r="X118">
        <f ca="1">IF(G118="恒定伤害",0,IF(COUNTIF(F118,"*内会*")&gt;0,内会效2,IF(D118="轻剑",$AB$2,$AB$3))+IFERROR(INDEX(技能数据库!$T$2:$W$27,MATCH(E118,技能数据库!$T$2:$T$27,0),3)/1024,0))+COUNTIF(G118,"*叠1*")*0.25+COUNTIF(G118,"*叠2*")*0.5+COUNTIF(G118,"*叠3*")*0.75</f>
        <v>1.79000318487951</v>
      </c>
      <c r="Y118">
        <f ca="1" t="shared" si="183"/>
        <v>1.06526518069345</v>
      </c>
      <c r="Z118">
        <f t="shared" si="100"/>
        <v>0.150390625</v>
      </c>
      <c r="AA118">
        <f ca="1" t="shared" si="184"/>
        <v>0.0205078125</v>
      </c>
      <c r="AB118">
        <f ca="1" t="shared" si="185"/>
        <v>5300537.33107854</v>
      </c>
      <c r="AC118">
        <f ca="1">无穷技能数计算!$AJ110</f>
        <v>0</v>
      </c>
      <c r="AD118" s="164">
        <f ca="1" t="shared" si="170"/>
        <v>0</v>
      </c>
      <c r="AE118" s="168"/>
      <c r="AF118" s="168">
        <f ca="1" t="shared" si="101"/>
        <v>0.0826138197194782</v>
      </c>
      <c r="AG118">
        <f ca="1">无穷技能数计算!$AJ110</f>
        <v>0</v>
      </c>
      <c r="AH118">
        <f ca="1" t="shared" si="102"/>
        <v>96007</v>
      </c>
      <c r="AJ118">
        <f ca="1" t="shared" si="103"/>
        <v>1.79000318487951</v>
      </c>
      <c r="AK118">
        <f ca="1" t="shared" si="140"/>
        <v>2444920</v>
      </c>
      <c r="AL118">
        <f ca="1" t="shared" si="104"/>
        <v>5300537.33107854</v>
      </c>
      <c r="AM118" s="169">
        <f ca="1" t="shared" si="105"/>
        <v>0.0826138197194782</v>
      </c>
      <c r="AN118">
        <f ca="1">无穷技能数计算!$AJ110</f>
        <v>0</v>
      </c>
      <c r="AO118" s="170">
        <f ca="1" t="shared" si="106"/>
        <v>5300537.33107854</v>
      </c>
      <c r="AP118">
        <f ca="1" t="shared" si="107"/>
        <v>97084</v>
      </c>
      <c r="AQ118" s="170">
        <f ca="1" t="shared" si="141"/>
        <v>2444920</v>
      </c>
      <c r="AR118">
        <f ca="1" t="shared" si="173"/>
        <v>5300537.33107854</v>
      </c>
      <c r="AS118">
        <f ca="1" t="shared" si="109"/>
        <v>0.0826138197194782</v>
      </c>
      <c r="AT118">
        <f ca="1">无穷技能数计算!$AJ110</f>
        <v>0</v>
      </c>
      <c r="AU118">
        <f ca="1" t="shared" si="110"/>
        <v>1.79000318487951</v>
      </c>
      <c r="AV118">
        <f ca="1" t="shared" si="174"/>
        <v>1.7995442148</v>
      </c>
      <c r="AW118">
        <f ca="1" t="shared" si="142"/>
        <v>5337776.76882881</v>
      </c>
      <c r="AX118">
        <f ca="1" t="shared" si="112"/>
        <v>0.0826138197194782</v>
      </c>
      <c r="AY118">
        <f ca="1">无穷技能数计算!$AJ110</f>
        <v>0</v>
      </c>
      <c r="AZ118" s="170">
        <f ca="1" t="shared" si="143"/>
        <v>5337776.76882881</v>
      </c>
      <c r="BA118">
        <f ca="1" t="shared" si="113"/>
        <v>0.0826138197194782</v>
      </c>
      <c r="BB118">
        <f ca="1">无穷技能数计算!$AJ110</f>
        <v>0</v>
      </c>
      <c r="BC118" s="170">
        <f ca="1" t="shared" si="144"/>
        <v>5337776.76882881</v>
      </c>
      <c r="BE118">
        <f ca="1" t="shared" si="114"/>
        <v>91977</v>
      </c>
      <c r="BF118">
        <f ca="1" t="shared" si="115"/>
        <v>2444920</v>
      </c>
      <c r="BI118">
        <f ca="1" t="shared" si="116"/>
        <v>0.0826138197194782</v>
      </c>
      <c r="BJ118">
        <f ca="1">无穷技能数计算!$AJ110</f>
        <v>0</v>
      </c>
      <c r="BK118">
        <f ca="1" t="shared" si="117"/>
        <v>5337776.76882881</v>
      </c>
      <c r="BM118">
        <f ca="1" t="shared" si="118"/>
        <v>95358</v>
      </c>
      <c r="BN118">
        <f ca="1" t="shared" si="119"/>
        <v>2444920</v>
      </c>
      <c r="BO118">
        <f ca="1" t="shared" si="175"/>
        <v>5300537.33107854</v>
      </c>
      <c r="BP118">
        <f ca="1" t="shared" si="176"/>
        <v>5300537.33107854</v>
      </c>
      <c r="BR118">
        <f ca="1" t="shared" si="122"/>
        <v>0.132613819719478</v>
      </c>
      <c r="BS118">
        <f ca="1" t="shared" si="123"/>
        <v>5535702.16449441</v>
      </c>
      <c r="BT118">
        <f ca="1" t="shared" si="124"/>
        <v>0.318170800459405</v>
      </c>
      <c r="BU118">
        <f ca="1" t="shared" si="125"/>
        <v>1.93648755987951</v>
      </c>
      <c r="BV118">
        <f ca="1" t="shared" si="145"/>
        <v>5688954.6399293</v>
      </c>
      <c r="BW118">
        <f ca="1" t="shared" si="126"/>
        <v>99155</v>
      </c>
      <c r="BX118">
        <f ca="1" t="shared" si="127"/>
        <v>2444920</v>
      </c>
      <c r="BY118">
        <f ca="1" t="shared" si="128"/>
        <v>0.0826138197194782</v>
      </c>
      <c r="BZ118">
        <f ca="1">无穷技能数计算!$AJ110</f>
        <v>0</v>
      </c>
      <c r="CA118">
        <f ca="1" t="shared" si="129"/>
        <v>1.79000318487951</v>
      </c>
      <c r="CB118">
        <f ca="1" t="shared" si="146"/>
        <v>5300537.33107854</v>
      </c>
      <c r="CC118">
        <f ca="1" t="shared" si="130"/>
        <v>100975</v>
      </c>
      <c r="CD118">
        <f ca="1" t="shared" si="131"/>
        <v>2444920</v>
      </c>
      <c r="CE118">
        <f ca="1" t="shared" si="132"/>
        <v>5300537.33107854</v>
      </c>
      <c r="CF118">
        <f ca="1" t="shared" si="133"/>
        <v>1.79000318487951</v>
      </c>
      <c r="CG118">
        <f ca="1" t="shared" si="134"/>
        <v>0.112613819719478</v>
      </c>
      <c r="CH118">
        <f ca="1" t="shared" si="147"/>
        <v>5337776.76882881</v>
      </c>
      <c r="CJ118">
        <f ca="1" t="shared" si="135"/>
        <v>2444920</v>
      </c>
      <c r="CK118">
        <f ca="1" t="shared" si="177"/>
        <v>5300537.33107854</v>
      </c>
      <c r="CL118">
        <f ca="1" t="shared" si="148"/>
        <v>1.91031568487951</v>
      </c>
      <c r="CM118">
        <f ca="1">IF(G118="恒定伤害",0,(IF(D118="轻剑",$CM$8,$CM$9)+IFERROR(INDEX(技能数据库!$T$2:$W$27,MATCH(E118,技能数据库!$T$2:$T$27,0),4),0)+COUNTIF(G118,"*造化2*")*154+COUNTIF(G118,"*造化1*")*102+COUNTIF(G118,"*碧归*")*307)/1024)</f>
        <v>0.176868146929785</v>
      </c>
      <c r="CN118">
        <f ca="1" t="shared" si="149"/>
        <v>5824054.7102072</v>
      </c>
      <c r="CO118">
        <f ca="1" t="shared" si="150"/>
        <v>1.93888990357951</v>
      </c>
      <c r="CP118">
        <f ca="1" t="shared" si="151"/>
        <v>5841053.08251216</v>
      </c>
      <c r="CQ118">
        <f ca="1" t="shared" si="178"/>
        <v>1.8815754648</v>
      </c>
      <c r="CR118">
        <f ca="1">IF(G118="恒定伤害",0,(IF(D118="轻剑",$CR$8,$CR$9)+IFERROR(INDEX(技能数据库!$T$2:$W$27,MATCH(E118,技能数据库!$T$2:$T$27,0),4),0)+COUNTIF(G118,"*造化2*")*154+COUNTIF(G118,"*造化1*")*102+COUNTIF(G118,"*碧归*")*307)/1024)</f>
        <v>0.167102521929785</v>
      </c>
      <c r="CS118">
        <f ca="1" t="shared" si="152"/>
        <v>5744111.75781907</v>
      </c>
    </row>
    <row r="119" spans="4:97">
      <c r="D119" t="s">
        <v>1825</v>
      </c>
      <c r="E119" s="161" t="s">
        <v>2855</v>
      </c>
      <c r="F119" t="s">
        <v>3160</v>
      </c>
      <c r="H119">
        <f ca="1">INDEX(技能数据库!$B$2:$I$100,MATCH(无穷阵眼收益计算!$E119,技能数据库!$B$2:$B$100,0),MATCH(H$9,技能数据库!$B$2:$I$2,0))</f>
        <v>815</v>
      </c>
      <c r="I119">
        <f ca="1">INDEX(技能数据库!$B$2:$I$100,MATCH(无穷阵眼收益计算!$E119,技能数据库!$B$2:$B$100,0),MATCH(I$9,技能数据库!$B$2:$I$2,0))</f>
        <v>0</v>
      </c>
      <c r="J119">
        <f ca="1">INDEX(技能数据库!$B$2:$I$100,MATCH(无穷阵眼收益计算!$E119,技能数据库!$B$2:$B$100,0),MATCH(J$9,技能数据库!$B$2:$I$2,0))</f>
        <v>0</v>
      </c>
      <c r="K119">
        <f ca="1">INDEX(技能数据库!$B$2:$I$100,MATCH(无穷阵眼收益计算!$E119,技能数据库!$B$2:$B$100,0),MATCH(K$9,技能数据库!$B$2:$I$2,0))</f>
        <v>0</v>
      </c>
      <c r="L119">
        <f ca="1" t="shared" si="97"/>
        <v>91975</v>
      </c>
      <c r="M119">
        <f ca="1" t="shared" si="179"/>
        <v>19530.5</v>
      </c>
      <c r="N119">
        <f ca="1" t="shared" si="180"/>
        <v>92028</v>
      </c>
      <c r="O119">
        <f ca="1" t="shared" si="138"/>
        <v>815</v>
      </c>
      <c r="P119">
        <f ca="1">IF(G119="恒定伤害",0,(IF(D119="轻剑",$AZ$2,$AZ$3)+IFERROR(INDEX(技能数据库!$T$2:$W$27,MATCH(E119,技能数据库!$T$2:$T$27,0),4),0)+COUNTIF(G119,"*造化2*")*154+COUNTIF(G119,"*造化1*")*102+COUNTIF(G119,"*碧归*")*307)/1024)</f>
        <v>0.116321271929785</v>
      </c>
      <c r="Q119">
        <f ca="1" t="shared" si="171"/>
        <v>0.0415122129107408</v>
      </c>
      <c r="R119">
        <f ca="1" t="shared" si="139"/>
        <v>0.32958230397716</v>
      </c>
      <c r="S119">
        <f ca="1" t="shared" si="181"/>
        <v>635.267511299883</v>
      </c>
      <c r="T119">
        <f t="shared" si="165"/>
        <v>0.8</v>
      </c>
      <c r="U119">
        <f ca="1" t="shared" si="172"/>
        <v>1.7800129648</v>
      </c>
      <c r="V119">
        <f ca="1" t="shared" si="182"/>
        <v>1412.84153402392</v>
      </c>
      <c r="W119">
        <f ca="1">IF(G119="恒定伤害",0,MIN(1,IF(COUNTIF(F119,"*内会*")&gt;0,内会2,IF(D119="轻剑",$Y$2,$Y$3)+COUNTIF(G119,"*莺鸣*")*0.2+COUNTIF(G119,"*叠1*")*0.1+COUNTIF(G119,"*叠2*")*0.2+COUNTIF(G119,"*叠3*")*0.3)+IFERROR(INDEX(技能数据库!$T$2:$W$27,MATCH(E119,技能数据库!$T$2:$T$27,0),2),0)+IF((IF(D119="轻剑",$AO$2,$AO$3)+INT(COUNTIF(G119,"*大莺鸣*")*IF(D119="轻剑",$AM$2,$AM$3)*听晓无双率)/无双系数)&gt;0.9,特效裤子会心/会心系数,0)))</f>
        <v>0.0826138197194782</v>
      </c>
      <c r="X119">
        <f ca="1">IF(G119="恒定伤害",0,IF(COUNTIF(F119,"*内会*")&gt;0,内会效2,IF(D119="轻剑",$AB$2,$AB$3))+IFERROR(INDEX(技能数据库!$T$2:$W$27,MATCH(E119,技能数据库!$T$2:$T$27,0),3)/1024,0))+COUNTIF(G119,"*叠1*")*0.25+COUNTIF(G119,"*叠2*")*0.5+COUNTIF(G119,"*叠3*")*0.75</f>
        <v>1.79000318487951</v>
      </c>
      <c r="Y119">
        <f ca="1" t="shared" si="183"/>
        <v>1.06526518069345</v>
      </c>
      <c r="Z119">
        <f t="shared" si="100"/>
        <v>0.150390625</v>
      </c>
      <c r="AA119">
        <f ca="1" t="shared" si="184"/>
        <v>0.0205078125</v>
      </c>
      <c r="AB119">
        <f ca="1" t="shared" si="185"/>
        <v>1766.90358982257</v>
      </c>
      <c r="AC119">
        <f ca="1">无穷技能数计算!$AJ111</f>
        <v>0</v>
      </c>
      <c r="AD119" s="164">
        <f ca="1" t="shared" si="170"/>
        <v>0</v>
      </c>
      <c r="AE119" s="168"/>
      <c r="AF119" s="168">
        <f ca="1" t="shared" si="101"/>
        <v>0.0826138197194782</v>
      </c>
      <c r="AG119">
        <f ca="1">无穷技能数计算!$AJ111</f>
        <v>0</v>
      </c>
      <c r="AH119">
        <f ca="1" t="shared" si="102"/>
        <v>96007</v>
      </c>
      <c r="AJ119">
        <f ca="1" t="shared" si="103"/>
        <v>1.79000318487951</v>
      </c>
      <c r="AK119">
        <f ca="1" t="shared" si="140"/>
        <v>815</v>
      </c>
      <c r="AL119">
        <f ca="1" t="shared" si="104"/>
        <v>1766.90358982257</v>
      </c>
      <c r="AM119" s="169">
        <f ca="1" t="shared" si="105"/>
        <v>0.0826138197194782</v>
      </c>
      <c r="AN119">
        <f ca="1">无穷技能数计算!$AJ111</f>
        <v>0</v>
      </c>
      <c r="AO119" s="170">
        <f ca="1" t="shared" si="106"/>
        <v>1766.90358982257</v>
      </c>
      <c r="AP119">
        <f ca="1" t="shared" si="107"/>
        <v>97084</v>
      </c>
      <c r="AQ119" s="170">
        <f ca="1" t="shared" si="141"/>
        <v>815</v>
      </c>
      <c r="AR119">
        <f ca="1" t="shared" si="173"/>
        <v>1766.90358982257</v>
      </c>
      <c r="AS119">
        <f ca="1" t="shared" si="109"/>
        <v>0.0826138197194782</v>
      </c>
      <c r="AT119">
        <f ca="1">无穷技能数计算!$AJ111</f>
        <v>0</v>
      </c>
      <c r="AU119">
        <f ca="1" t="shared" si="110"/>
        <v>1.79000318487951</v>
      </c>
      <c r="AV119">
        <f ca="1" t="shared" si="174"/>
        <v>1.7995442148</v>
      </c>
      <c r="AW119">
        <f ca="1" t="shared" si="142"/>
        <v>1779.31714190873</v>
      </c>
      <c r="AX119">
        <f ca="1" t="shared" si="112"/>
        <v>0.0826138197194782</v>
      </c>
      <c r="AY119">
        <f ca="1">无穷技能数计算!$AJ111</f>
        <v>0</v>
      </c>
      <c r="AZ119" s="170">
        <f ca="1" t="shared" si="143"/>
        <v>1779.31714190873</v>
      </c>
      <c r="BA119">
        <f ca="1" t="shared" si="113"/>
        <v>0.0826138197194782</v>
      </c>
      <c r="BB119">
        <f ca="1">无穷技能数计算!$AJ111</f>
        <v>0</v>
      </c>
      <c r="BC119" s="170">
        <f ca="1" t="shared" si="144"/>
        <v>1779.31714190873</v>
      </c>
      <c r="BE119">
        <f ca="1" t="shared" si="114"/>
        <v>91977</v>
      </c>
      <c r="BF119">
        <f ca="1" t="shared" si="115"/>
        <v>815</v>
      </c>
      <c r="BI119">
        <f ca="1" t="shared" si="116"/>
        <v>0.0826138197194782</v>
      </c>
      <c r="BJ119">
        <f ca="1">无穷技能数计算!$AJ111</f>
        <v>0</v>
      </c>
      <c r="BK119">
        <f ca="1" t="shared" si="117"/>
        <v>1779.31714190873</v>
      </c>
      <c r="BM119">
        <f ca="1" t="shared" si="118"/>
        <v>95358</v>
      </c>
      <c r="BN119">
        <f ca="1" t="shared" si="119"/>
        <v>815</v>
      </c>
      <c r="BO119">
        <f ca="1" t="shared" si="175"/>
        <v>1766.90358982257</v>
      </c>
      <c r="BP119">
        <f ca="1" t="shared" si="176"/>
        <v>1766.90358982257</v>
      </c>
      <c r="BR119">
        <f ca="1" t="shared" si="122"/>
        <v>0.132613819719478</v>
      </c>
      <c r="BS119">
        <f ca="1" t="shared" si="123"/>
        <v>1845.29443256341</v>
      </c>
      <c r="BT119">
        <f ca="1" t="shared" si="124"/>
        <v>0.318170800459405</v>
      </c>
      <c r="BU119">
        <f ca="1" t="shared" si="125"/>
        <v>1.93648755987951</v>
      </c>
      <c r="BV119">
        <f ca="1" t="shared" si="145"/>
        <v>1896.38026256171</v>
      </c>
      <c r="BW119">
        <f ca="1" t="shared" si="126"/>
        <v>99155</v>
      </c>
      <c r="BX119">
        <f ca="1" t="shared" si="127"/>
        <v>815</v>
      </c>
      <c r="BY119">
        <f ca="1" t="shared" si="128"/>
        <v>0.0826138197194782</v>
      </c>
      <c r="BZ119">
        <f ca="1">无穷技能数计算!$AJ111</f>
        <v>0</v>
      </c>
      <c r="CA119">
        <f ca="1" t="shared" si="129"/>
        <v>1.79000318487951</v>
      </c>
      <c r="CB119">
        <f ca="1" t="shared" si="146"/>
        <v>1766.90358982257</v>
      </c>
      <c r="CC119">
        <f ca="1" t="shared" si="130"/>
        <v>100975</v>
      </c>
      <c r="CD119">
        <f ca="1" t="shared" si="131"/>
        <v>815</v>
      </c>
      <c r="CE119">
        <f ca="1" t="shared" si="132"/>
        <v>1766.90358982257</v>
      </c>
      <c r="CF119">
        <f ca="1" t="shared" si="133"/>
        <v>1.79000318487951</v>
      </c>
      <c r="CG119">
        <f ca="1" t="shared" si="134"/>
        <v>0.112613819719478</v>
      </c>
      <c r="CH119">
        <f ca="1" t="shared" si="147"/>
        <v>1779.31714190873</v>
      </c>
      <c r="CJ119">
        <f ca="1" t="shared" si="135"/>
        <v>815</v>
      </c>
      <c r="CK119">
        <f ca="1" t="shared" si="177"/>
        <v>1766.90358982257</v>
      </c>
      <c r="CL119">
        <f ca="1" t="shared" si="148"/>
        <v>1.91031568487951</v>
      </c>
      <c r="CM119">
        <f ca="1">IF(G119="恒定伤害",0,(IF(D119="轻剑",$CM$8,$CM$9)+IFERROR(INDEX(技能数据库!$T$2:$W$27,MATCH(E119,技能数据库!$T$2:$T$27,0),4),0)+COUNTIF(G119,"*造化2*")*154+COUNTIF(G119,"*造化1*")*102+COUNTIF(G119,"*碧归*")*307)/1024)</f>
        <v>0.176868146929785</v>
      </c>
      <c r="CN119">
        <f ca="1" t="shared" si="149"/>
        <v>1941.41509285329</v>
      </c>
      <c r="CO119">
        <f ca="1" t="shared" si="150"/>
        <v>1.93888990357951</v>
      </c>
      <c r="CP119">
        <f ca="1" t="shared" si="151"/>
        <v>1947.08140235566</v>
      </c>
      <c r="CQ119">
        <f ca="1" t="shared" si="178"/>
        <v>1.8815754648</v>
      </c>
      <c r="CR119">
        <f ca="1">IF(G119="恒定伤害",0,(IF(D119="轻剑",$CR$8,$CR$9)+IFERROR(INDEX(技能数据库!$T$2:$W$27,MATCH(E119,技能数据库!$T$2:$T$27,0),4),0)+COUNTIF(G119,"*造化2*")*154+COUNTIF(G119,"*造化1*")*102+COUNTIF(G119,"*碧归*")*307)/1024)</f>
        <v>0.167102521929785</v>
      </c>
      <c r="CS119">
        <f ca="1" t="shared" si="152"/>
        <v>1914.76657012194</v>
      </c>
    </row>
    <row r="120" spans="4:97">
      <c r="D120" t="s">
        <v>1825</v>
      </c>
      <c r="E120" s="161" t="s">
        <v>2857</v>
      </c>
      <c r="F120" t="s">
        <v>3160</v>
      </c>
      <c r="H120">
        <f ca="1">INDEX(技能数据库!$B$2:$I$100,MATCH(无穷阵眼收益计算!$E120,技能数据库!$B$2:$B$100,0),MATCH(H$9,技能数据库!$B$2:$I$2,0))</f>
        <v>469999</v>
      </c>
      <c r="I120">
        <f ca="1">INDEX(技能数据库!$B$2:$I$100,MATCH(无穷阵眼收益计算!$E120,技能数据库!$B$2:$B$100,0),MATCH(I$9,技能数据库!$B$2:$I$2,0))</f>
        <v>0</v>
      </c>
      <c r="J120">
        <f ca="1">INDEX(技能数据库!$B$2:$I$100,MATCH(无穷阵眼收益计算!$E120,技能数据库!$B$2:$B$100,0),MATCH(J$9,技能数据库!$B$2:$I$2,0))</f>
        <v>0</v>
      </c>
      <c r="K120">
        <f ca="1">INDEX(技能数据库!$B$2:$I$100,MATCH(无穷阵眼收益计算!$E120,技能数据库!$B$2:$B$100,0),MATCH(K$9,技能数据库!$B$2:$I$2,0))</f>
        <v>0</v>
      </c>
      <c r="L120">
        <f ca="1" t="shared" si="97"/>
        <v>91975</v>
      </c>
      <c r="M120">
        <f ca="1" t="shared" si="179"/>
        <v>19530.5</v>
      </c>
      <c r="N120">
        <f ca="1" t="shared" si="180"/>
        <v>92028</v>
      </c>
      <c r="O120">
        <f ca="1" t="shared" si="138"/>
        <v>469999</v>
      </c>
      <c r="P120">
        <f ca="1">IF(G120="恒定伤害",0,(IF(D120="轻剑",$AZ$2,$AZ$3)+IFERROR(INDEX(技能数据库!$T$2:$W$27,MATCH(E120,技能数据库!$T$2:$T$27,0),4),0)+COUNTIF(G120,"*造化2*")*154+COUNTIF(G120,"*造化1*")*102+COUNTIF(G120,"*碧归*")*307)/1024)</f>
        <v>0.116321271929785</v>
      </c>
      <c r="Q120">
        <f ca="1" t="shared" si="171"/>
        <v>0.0415122129107408</v>
      </c>
      <c r="R120">
        <f ca="1" t="shared" si="139"/>
        <v>0.32958230397716</v>
      </c>
      <c r="S120">
        <f ca="1" t="shared" si="181"/>
        <v>366349.809869244</v>
      </c>
      <c r="T120">
        <f t="shared" si="165"/>
        <v>0.8</v>
      </c>
      <c r="U120">
        <f ca="1" t="shared" si="172"/>
        <v>1.7800129648</v>
      </c>
      <c r="V120">
        <f ca="1" t="shared" si="182"/>
        <v>814765.77687081</v>
      </c>
      <c r="W120">
        <f ca="1">IF(G120="恒定伤害",0,MIN(1,IF(COUNTIF(F120,"*内会*")&gt;0,内会2,IF(D120="轻剑",$Y$2,$Y$3)+COUNTIF(G120,"*莺鸣*")*0.2+COUNTIF(G120,"*叠1*")*0.1+COUNTIF(G120,"*叠2*")*0.2+COUNTIF(G120,"*叠3*")*0.3)+IFERROR(INDEX(技能数据库!$T$2:$W$27,MATCH(E120,技能数据库!$T$2:$T$27,0),2),0)+IF((IF(D120="轻剑",$AO$2,$AO$3)+INT(COUNTIF(G120,"*大莺鸣*")*IF(D120="轻剑",$AM$2,$AM$3)*听晓无双率)/无双系数)&gt;0.9,特效裤子会心/会心系数,0)))</f>
        <v>0.0826138197194782</v>
      </c>
      <c r="X120">
        <f ca="1">IF(G120="恒定伤害",0,IF(COUNTIF(F120,"*内会*")&gt;0,内会效2,IF(D120="轻剑",$AB$2,$AB$3))+IFERROR(INDEX(技能数据库!$T$2:$W$27,MATCH(E120,技能数据库!$T$2:$T$27,0),3)/1024,0))+COUNTIF(G120,"*叠1*")*0.25+COUNTIF(G120,"*叠2*")*0.5+COUNTIF(G120,"*叠3*")*0.75</f>
        <v>1.79000318487951</v>
      </c>
      <c r="Y120">
        <f ca="1" t="shared" si="183"/>
        <v>1.06526518069345</v>
      </c>
      <c r="Z120">
        <f t="shared" si="100"/>
        <v>0.150390625</v>
      </c>
      <c r="AA120">
        <f ca="1" t="shared" si="184"/>
        <v>0.0205078125</v>
      </c>
      <c r="AB120">
        <f ca="1" t="shared" si="185"/>
        <v>1018948.36848223</v>
      </c>
      <c r="AC120">
        <f>无穷技能数计算!$AJ112</f>
        <v>0</v>
      </c>
      <c r="AD120" s="164">
        <f ca="1" t="shared" si="170"/>
        <v>0</v>
      </c>
      <c r="AE120" s="168"/>
      <c r="AF120" s="168">
        <f ca="1" t="shared" si="101"/>
        <v>0.0826138197194782</v>
      </c>
      <c r="AG120">
        <f>无穷技能数计算!$AJ112</f>
        <v>0</v>
      </c>
      <c r="AH120">
        <f ca="1" t="shared" si="102"/>
        <v>96007</v>
      </c>
      <c r="AJ120">
        <f ca="1" t="shared" si="103"/>
        <v>1.79000318487951</v>
      </c>
      <c r="AK120">
        <f ca="1" t="shared" si="140"/>
        <v>469999</v>
      </c>
      <c r="AL120">
        <f ca="1" t="shared" si="104"/>
        <v>1018948.36848223</v>
      </c>
      <c r="AM120" s="169">
        <f ca="1" t="shared" si="105"/>
        <v>0.0826138197194782</v>
      </c>
      <c r="AN120">
        <f>无穷技能数计算!$AJ112</f>
        <v>0</v>
      </c>
      <c r="AO120" s="170">
        <f ca="1" t="shared" si="106"/>
        <v>1018948.36848223</v>
      </c>
      <c r="AP120">
        <f ca="1" t="shared" si="107"/>
        <v>97084</v>
      </c>
      <c r="AQ120" s="170">
        <f ca="1" t="shared" si="141"/>
        <v>469999</v>
      </c>
      <c r="AR120">
        <f ca="1" t="shared" si="173"/>
        <v>1018948.36848223</v>
      </c>
      <c r="AS120">
        <f ca="1" t="shared" si="109"/>
        <v>0.0826138197194782</v>
      </c>
      <c r="AT120">
        <f>无穷技能数计算!$AJ112</f>
        <v>0</v>
      </c>
      <c r="AU120">
        <f ca="1" t="shared" si="110"/>
        <v>1.79000318487951</v>
      </c>
      <c r="AV120">
        <f ca="1" t="shared" si="174"/>
        <v>1.7995442148</v>
      </c>
      <c r="AW120">
        <f ca="1" t="shared" si="142"/>
        <v>1026107.08880977</v>
      </c>
      <c r="AX120">
        <f ca="1" t="shared" si="112"/>
        <v>0.0826138197194782</v>
      </c>
      <c r="AY120">
        <f>无穷技能数计算!$AJ112</f>
        <v>0</v>
      </c>
      <c r="AZ120" s="170">
        <f ca="1" t="shared" si="143"/>
        <v>1026107.08880977</v>
      </c>
      <c r="BA120">
        <f ca="1" t="shared" si="113"/>
        <v>0.0826138197194782</v>
      </c>
      <c r="BB120">
        <f>无穷技能数计算!$AJ112</f>
        <v>0</v>
      </c>
      <c r="BC120" s="170">
        <f ca="1" t="shared" si="144"/>
        <v>1026107.08880977</v>
      </c>
      <c r="BE120">
        <f ca="1" t="shared" si="114"/>
        <v>91977</v>
      </c>
      <c r="BF120">
        <f ca="1" t="shared" si="115"/>
        <v>469999</v>
      </c>
      <c r="BI120">
        <f ca="1" t="shared" si="116"/>
        <v>0.0826138197194782</v>
      </c>
      <c r="BJ120">
        <f>无穷技能数计算!$AJ112</f>
        <v>0</v>
      </c>
      <c r="BK120">
        <f ca="1" t="shared" si="117"/>
        <v>1026107.08880977</v>
      </c>
      <c r="BM120">
        <f ca="1" t="shared" si="118"/>
        <v>95358</v>
      </c>
      <c r="BN120">
        <f ca="1" t="shared" si="119"/>
        <v>469999</v>
      </c>
      <c r="BO120">
        <f ca="1" t="shared" si="175"/>
        <v>1018948.36848223</v>
      </c>
      <c r="BP120">
        <f ca="1" t="shared" si="176"/>
        <v>1018948.36848223</v>
      </c>
      <c r="BR120">
        <f ca="1" t="shared" si="122"/>
        <v>0.132613819719478</v>
      </c>
      <c r="BS120">
        <f ca="1" t="shared" si="123"/>
        <v>1064155.26136242</v>
      </c>
      <c r="BT120">
        <f ca="1" t="shared" si="124"/>
        <v>0.318170800459405</v>
      </c>
      <c r="BU120">
        <f ca="1" t="shared" si="125"/>
        <v>1.93648755987951</v>
      </c>
      <c r="BV120">
        <f ca="1" t="shared" si="145"/>
        <v>1093615.73867944</v>
      </c>
      <c r="BW120">
        <f ca="1" t="shared" si="126"/>
        <v>99155</v>
      </c>
      <c r="BX120">
        <f ca="1" t="shared" si="127"/>
        <v>469999</v>
      </c>
      <c r="BY120">
        <f ca="1" t="shared" si="128"/>
        <v>0.0826138197194782</v>
      </c>
      <c r="BZ120">
        <f>无穷技能数计算!$AJ112</f>
        <v>0</v>
      </c>
      <c r="CA120">
        <f ca="1" t="shared" si="129"/>
        <v>1.79000318487951</v>
      </c>
      <c r="CB120">
        <f ca="1" t="shared" si="146"/>
        <v>1018948.36848223</v>
      </c>
      <c r="CC120">
        <f ca="1" t="shared" si="130"/>
        <v>100975</v>
      </c>
      <c r="CD120">
        <f ca="1" t="shared" si="131"/>
        <v>469999</v>
      </c>
      <c r="CE120">
        <f ca="1" t="shared" si="132"/>
        <v>1018948.36848223</v>
      </c>
      <c r="CF120">
        <f ca="1" t="shared" si="133"/>
        <v>1.79000318487951</v>
      </c>
      <c r="CG120">
        <f ca="1" t="shared" si="134"/>
        <v>0.112613819719478</v>
      </c>
      <c r="CH120">
        <f ca="1" t="shared" si="147"/>
        <v>1026107.08880977</v>
      </c>
      <c r="CJ120">
        <f ca="1" t="shared" si="135"/>
        <v>469999</v>
      </c>
      <c r="CK120">
        <f ca="1" t="shared" si="177"/>
        <v>1018948.36848223</v>
      </c>
      <c r="CL120">
        <f ca="1" t="shared" si="148"/>
        <v>1.91031568487951</v>
      </c>
      <c r="CM120">
        <f ca="1">IF(G120="恒定伤害",0,(IF(D120="轻剑",$CM$8,$CM$9)+IFERROR(INDEX(技能数据库!$T$2:$W$27,MATCH(E120,技能数据库!$T$2:$T$27,0),4),0)+COUNTIF(G120,"*造化2*")*154+COUNTIF(G120,"*造化1*")*102+COUNTIF(G120,"*碧归*")*307)/1024)</f>
        <v>0.176868146929785</v>
      </c>
      <c r="CN120">
        <f ca="1" t="shared" si="149"/>
        <v>1119586.6898478</v>
      </c>
      <c r="CO120">
        <f ca="1" t="shared" si="150"/>
        <v>1.93888990357951</v>
      </c>
      <c r="CP120">
        <f ca="1" t="shared" si="151"/>
        <v>1122854.37058375</v>
      </c>
      <c r="CQ120">
        <f ca="1" t="shared" si="178"/>
        <v>1.8815754648</v>
      </c>
      <c r="CR120">
        <f ca="1">IF(G120="恒定伤害",0,(IF(D120="轻剑",$CR$8,$CR$9)+IFERROR(INDEX(技能数据库!$T$2:$W$27,MATCH(E120,技能数据库!$T$2:$T$27,0),4),0)+COUNTIF(G120,"*造化2*")*154+COUNTIF(G120,"*造化1*")*102+COUNTIF(G120,"*碧归*")*307)/1024)</f>
        <v>0.167102521929785</v>
      </c>
      <c r="CS120">
        <f ca="1" t="shared" si="152"/>
        <v>1104218.86281073</v>
      </c>
    </row>
    <row r="121" spans="4:97">
      <c r="D121" t="s">
        <v>1825</v>
      </c>
      <c r="E121" s="161" t="s">
        <v>2844</v>
      </c>
      <c r="G121" t="s">
        <v>2750</v>
      </c>
      <c r="H121">
        <f ca="1">INDEX(技能数据库!$B$2:$I$100,MATCH(无穷阵眼收益计算!$E121,技能数据库!$B$2:$B$100,0),MATCH(H$9,技能数据库!$B$2:$I$2,0))</f>
        <v>5241589</v>
      </c>
      <c r="I121">
        <f ca="1">INDEX(技能数据库!$B$2:$I$100,MATCH(无穷阵眼收益计算!$E121,技能数据库!$B$2:$B$100,0),MATCH(I$9,技能数据库!$B$2:$I$2,0))</f>
        <v>0</v>
      </c>
      <c r="J121">
        <f ca="1">INDEX(技能数据库!$B$2:$I$100,MATCH(无穷阵眼收益计算!$E121,技能数据库!$B$2:$B$100,0),MATCH(J$9,技能数据库!$B$2:$I$2,0))</f>
        <v>0</v>
      </c>
      <c r="K121">
        <f ca="1">INDEX(技能数据库!$B$2:$I$100,MATCH(无穷阵眼收益计算!$E121,技能数据库!$B$2:$B$100,0),MATCH(K$9,技能数据库!$B$2:$I$2,0))</f>
        <v>0</v>
      </c>
      <c r="L121">
        <f ca="1" t="shared" si="97"/>
        <v>105847</v>
      </c>
      <c r="M121">
        <f ca="1" t="shared" si="179"/>
        <v>19530.5</v>
      </c>
      <c r="N121">
        <f ca="1" t="shared" si="180"/>
        <v>92028</v>
      </c>
      <c r="O121">
        <f ca="1" t="shared" si="138"/>
        <v>5241589</v>
      </c>
      <c r="P121">
        <f ca="1">IF(G121="恒定伤害",0,(IF(D121="轻剑",$AZ$2,$AZ$3)+IFERROR(INDEX(技能数据库!$T$2:$W$27,MATCH(E121,技能数据库!$T$2:$T$27,0),4),0)+COUNTIF(G121,"*造化2*")*154+COUNTIF(G121,"*造化1*")*102+COUNTIF(G121,"*碧归*")*307)/1024)</f>
        <v>0.116321271929785</v>
      </c>
      <c r="Q121">
        <f ca="1" t="shared" si="171"/>
        <v>0.448284482196154</v>
      </c>
      <c r="R121">
        <f ca="1" t="shared" si="139"/>
        <v>0.21277697966198</v>
      </c>
      <c r="S121">
        <f ca="1" t="shared" si="181"/>
        <v>6671197.95439023</v>
      </c>
      <c r="T121">
        <f t="shared" si="165"/>
        <v>0.8</v>
      </c>
      <c r="U121">
        <f ca="1" t="shared" si="172"/>
        <v>1.7800129648</v>
      </c>
      <c r="V121">
        <f ca="1" t="shared" si="182"/>
        <v>14836813.4431617</v>
      </c>
      <c r="W121">
        <f ca="1">IF(G121="恒定伤害",0,MIN(1,IF(COUNTIF(F121,"*内会*")&gt;0,内会2,IF(D121="轻剑",$Y$2,$Y$3)+COUNTIF(G121,"*莺鸣*")*0.2+COUNTIF(G121,"*叠1*")*0.1+COUNTIF(G121,"*叠2*")*0.2+COUNTIF(G121,"*叠3*")*0.3)+IFERROR(INDEX(技能数据库!$T$2:$W$27,MATCH(E121,技能数据库!$T$2:$T$27,0),2),0)+IF((IF(D121="轻剑",$AO$2,$AO$3)+INT(COUNTIF(G121,"*大莺鸣*")*IF(D121="轻剑",$AM$2,$AM$3)*听晓无双率)/无双系数)&gt;0.9,特效裤子会心/会心系数,0)))</f>
        <v>0.7043</v>
      </c>
      <c r="X121">
        <f ca="1">IF(G121="恒定伤害",0,IF(COUNTIF(F121,"*内会*")&gt;0,内会效2,IF(D121="轻剑",$AB$2,$AB$3))+IFERROR(INDEX(技能数据库!$T$2:$W$27,MATCH(E121,技能数据库!$T$2:$T$27,0),3)/1024,0))+COUNTIF(G121,"*叠1*")*0.25+COUNTIF(G121,"*叠2*")*0.5+COUNTIF(G121,"*叠3*")*0.75</f>
        <v>2.1773735021</v>
      </c>
      <c r="Y121">
        <f ca="1" t="shared" si="183"/>
        <v>1.82922415752903</v>
      </c>
      <c r="Z121">
        <f t="shared" si="100"/>
        <v>0.150390625</v>
      </c>
      <c r="AA121">
        <f ca="1" t="shared" si="184"/>
        <v>0.0205078125</v>
      </c>
      <c r="AB121">
        <f ca="1" t="shared" si="185"/>
        <v>31861721.1041026</v>
      </c>
      <c r="AC121">
        <f ca="1">无穷技能数计算!$AJ113</f>
        <v>0</v>
      </c>
      <c r="AD121" s="164">
        <f ca="1" t="shared" si="170"/>
        <v>0</v>
      </c>
      <c r="AE121" s="168"/>
      <c r="AF121" s="168">
        <f ca="1" t="shared" si="101"/>
        <v>0.7057</v>
      </c>
      <c r="AG121">
        <f ca="1">无穷技能数计算!$AJ113</f>
        <v>0</v>
      </c>
      <c r="AH121">
        <f ca="1" t="shared" si="102"/>
        <v>109879</v>
      </c>
      <c r="AJ121">
        <f ca="1" t="shared" si="103"/>
        <v>2.3765922521</v>
      </c>
      <c r="AK121">
        <f ca="1" t="shared" si="140"/>
        <v>5241589</v>
      </c>
      <c r="AL121">
        <f ca="1" t="shared" si="104"/>
        <v>34348671.9146226</v>
      </c>
      <c r="AM121" s="169">
        <f ca="1" t="shared" si="105"/>
        <v>0.7272</v>
      </c>
      <c r="AN121">
        <f ca="1">无穷技能数计算!$AJ113</f>
        <v>0</v>
      </c>
      <c r="AO121" s="170">
        <f ca="1" t="shared" si="106"/>
        <v>34864334.3636664</v>
      </c>
      <c r="AP121">
        <f ca="1" t="shared" si="107"/>
        <v>110956</v>
      </c>
      <c r="AQ121" s="170">
        <f ca="1" t="shared" si="141"/>
        <v>5241589</v>
      </c>
      <c r="AR121">
        <f ca="1" t="shared" si="173"/>
        <v>33730969.4703599</v>
      </c>
      <c r="AS121">
        <f ca="1" t="shared" si="109"/>
        <v>0.7843</v>
      </c>
      <c r="AT121">
        <f ca="1">无穷技能数计算!$AJ113</f>
        <v>0</v>
      </c>
      <c r="AU121">
        <f ca="1" t="shared" si="110"/>
        <v>2.3238578771</v>
      </c>
      <c r="AV121">
        <f ca="1" t="shared" si="174"/>
        <v>1.7995442148</v>
      </c>
      <c r="AW121">
        <f ca="1" t="shared" si="142"/>
        <v>35752901.0495758</v>
      </c>
      <c r="AX121">
        <f ca="1" t="shared" si="112"/>
        <v>0.7743</v>
      </c>
      <c r="AY121">
        <f ca="1">无穷技能数计算!$AJ113</f>
        <v>0</v>
      </c>
      <c r="AZ121" s="170">
        <f ca="1" t="shared" si="143"/>
        <v>35520689.3072359</v>
      </c>
      <c r="BA121">
        <f ca="1" t="shared" si="113"/>
        <v>0.7643</v>
      </c>
      <c r="BB121">
        <f ca="1">无穷技能数计算!$AJ113</f>
        <v>0</v>
      </c>
      <c r="BC121" s="170">
        <f ca="1" t="shared" si="144"/>
        <v>35288477.564896</v>
      </c>
      <c r="BE121">
        <f ca="1" t="shared" si="114"/>
        <v>105849</v>
      </c>
      <c r="BF121">
        <f ca="1" t="shared" si="115"/>
        <v>5241589</v>
      </c>
      <c r="BI121">
        <f ca="1" t="shared" si="116"/>
        <v>0.7543</v>
      </c>
      <c r="BJ121">
        <f ca="1">无穷技能数计算!$AJ113</f>
        <v>0</v>
      </c>
      <c r="BK121">
        <f ca="1" t="shared" si="117"/>
        <v>35100281.880302</v>
      </c>
      <c r="BM121">
        <f ca="1" t="shared" si="118"/>
        <v>109230</v>
      </c>
      <c r="BN121">
        <f ca="1" t="shared" si="119"/>
        <v>5241589</v>
      </c>
      <c r="BO121">
        <f ca="1" t="shared" si="175"/>
        <v>34410165.0848716</v>
      </c>
      <c r="BP121">
        <f ca="1" t="shared" si="176"/>
        <v>32814990.0636331</v>
      </c>
      <c r="BR121">
        <f ca="1" t="shared" si="122"/>
        <v>0.7543</v>
      </c>
      <c r="BS121">
        <f ca="1" t="shared" si="123"/>
        <v>34109016.8932765</v>
      </c>
      <c r="BT121">
        <f ca="1" t="shared" si="124"/>
        <v>0.196995876306796</v>
      </c>
      <c r="BU121">
        <f ca="1" t="shared" si="125"/>
        <v>2.3238578771</v>
      </c>
      <c r="BV121">
        <f ca="1" t="shared" si="145"/>
        <v>35509547.1481148</v>
      </c>
      <c r="BW121">
        <f ca="1" t="shared" si="126"/>
        <v>113027</v>
      </c>
      <c r="BX121">
        <f ca="1" t="shared" si="127"/>
        <v>5241589</v>
      </c>
      <c r="BY121">
        <f ca="1" t="shared" si="128"/>
        <v>0.7343</v>
      </c>
      <c r="BZ121">
        <f ca="1">无穷技能数计算!$AJ113</f>
        <v>0</v>
      </c>
      <c r="CA121">
        <f ca="1" t="shared" si="129"/>
        <v>2.3277641271</v>
      </c>
      <c r="CB121">
        <f ca="1" t="shared" si="146"/>
        <v>34400471.0562714</v>
      </c>
      <c r="CC121">
        <f ca="1" t="shared" si="130"/>
        <v>114847</v>
      </c>
      <c r="CD121">
        <f ca="1" t="shared" si="131"/>
        <v>5241589</v>
      </c>
      <c r="CE121">
        <f ca="1" t="shared" si="132"/>
        <v>33448627.547813</v>
      </c>
      <c r="CF121">
        <f ca="1" t="shared" si="133"/>
        <v>2.2750297521</v>
      </c>
      <c r="CG121">
        <f ca="1" t="shared" si="134"/>
        <v>0.7343</v>
      </c>
      <c r="CH121">
        <f ca="1" t="shared" si="147"/>
        <v>33962935.3951001</v>
      </c>
      <c r="CJ121">
        <f ca="1" t="shared" si="135"/>
        <v>5241589</v>
      </c>
      <c r="CK121">
        <f ca="1" t="shared" si="177"/>
        <v>34254288.9124471</v>
      </c>
      <c r="CL121">
        <f ca="1" t="shared" si="148"/>
        <v>2.2976860021</v>
      </c>
      <c r="CM121">
        <f ca="1">IF(G121="恒定伤害",0,(IF(D121="轻剑",$CM$8,$CM$9)+IFERROR(INDEX(技能数据库!$T$2:$W$27,MATCH(E121,技能数据库!$T$2:$T$27,0),4),0)+COUNTIF(G121,"*造化2*")*154+COUNTIF(G121,"*造化1*")*102+COUNTIF(G121,"*碧归*")*307)/1024)</f>
        <v>0.176868146929785</v>
      </c>
      <c r="CN121">
        <f ca="1" t="shared" si="149"/>
        <v>36112652.397518</v>
      </c>
      <c r="CO121">
        <f ca="1" t="shared" si="150"/>
        <v>2.3262602208</v>
      </c>
      <c r="CP121">
        <f ca="1" t="shared" si="151"/>
        <v>36500650.2427797</v>
      </c>
      <c r="CQ121">
        <f ca="1" t="shared" si="178"/>
        <v>1.8815754648</v>
      </c>
      <c r="CR121">
        <f ca="1">IF(G121="恒定伤害",0,(IF(D121="轻剑",$CR$8,$CR$9)+IFERROR(INDEX(技能数据库!$T$2:$W$27,MATCH(E121,技能数据库!$T$2:$T$27,0),4),0)+COUNTIF(G121,"*造化2*")*154+COUNTIF(G121,"*造化1*")*102+COUNTIF(G121,"*碧归*")*307)/1024)</f>
        <v>0.167102521929785</v>
      </c>
      <c r="CS121">
        <f ca="1" t="shared" si="152"/>
        <v>34528062.9843594</v>
      </c>
    </row>
    <row r="122" spans="4:97">
      <c r="D122" t="s">
        <v>1825</v>
      </c>
      <c r="E122" s="161" t="s">
        <v>2847</v>
      </c>
      <c r="G122" t="s">
        <v>2750</v>
      </c>
      <c r="H122">
        <f ca="1">INDEX(技能数据库!$B$2:$I$100,MATCH(无穷阵眼收益计算!$E122,技能数据库!$B$2:$B$100,0),MATCH(H$9,技能数据库!$B$2:$I$2,0))</f>
        <v>4717430</v>
      </c>
      <c r="I122">
        <f ca="1">INDEX(技能数据库!$B$2:$I$100,MATCH(无穷阵眼收益计算!$E122,技能数据库!$B$2:$B$100,0),MATCH(I$9,技能数据库!$B$2:$I$2,0))</f>
        <v>0</v>
      </c>
      <c r="J122">
        <f ca="1">INDEX(技能数据库!$B$2:$I$100,MATCH(无穷阵眼收益计算!$E122,技能数据库!$B$2:$B$100,0),MATCH(J$9,技能数据库!$B$2:$I$2,0))</f>
        <v>0</v>
      </c>
      <c r="K122">
        <f ca="1">INDEX(技能数据库!$B$2:$I$100,MATCH(无穷阵眼收益计算!$E122,技能数据库!$B$2:$B$100,0),MATCH(K$9,技能数据库!$B$2:$I$2,0))</f>
        <v>0</v>
      </c>
      <c r="L122">
        <f ca="1" t="shared" si="97"/>
        <v>105847</v>
      </c>
      <c r="M122">
        <f ca="1" t="shared" si="179"/>
        <v>19530.5</v>
      </c>
      <c r="N122">
        <f ca="1" t="shared" si="180"/>
        <v>92028</v>
      </c>
      <c r="O122">
        <f ca="1" t="shared" si="138"/>
        <v>4717430</v>
      </c>
      <c r="P122">
        <f ca="1">IF(G122="恒定伤害",0,(IF(D122="轻剑",$AZ$2,$AZ$3)+IFERROR(INDEX(技能数据库!$T$2:$W$27,MATCH(E122,技能数据库!$T$2:$T$27,0),4),0)+COUNTIF(G122,"*造化2*")*154+COUNTIF(G122,"*造化1*")*102+COUNTIF(G122,"*碧归*")*307)/1024)</f>
        <v>0.116321271929785</v>
      </c>
      <c r="Q122">
        <f ca="1" t="shared" si="171"/>
        <v>0.448284482196154</v>
      </c>
      <c r="R122">
        <f ca="1" t="shared" si="139"/>
        <v>0.21277697966198</v>
      </c>
      <c r="S122">
        <f ca="1" t="shared" si="181"/>
        <v>6004078.03167686</v>
      </c>
      <c r="T122">
        <f t="shared" si="165"/>
        <v>0.8</v>
      </c>
      <c r="U122">
        <f ca="1" t="shared" si="172"/>
        <v>1.7800129648</v>
      </c>
      <c r="V122">
        <f ca="1" t="shared" si="182"/>
        <v>13353131.815786</v>
      </c>
      <c r="W122">
        <f ca="1">IF(G122="恒定伤害",0,MIN(1,IF(COUNTIF(F122,"*内会*")&gt;0,内会2,IF(D122="轻剑",$Y$2,$Y$3)+COUNTIF(G122,"*莺鸣*")*0.2+COUNTIF(G122,"*叠1*")*0.1+COUNTIF(G122,"*叠2*")*0.2+COUNTIF(G122,"*叠3*")*0.3)+IFERROR(INDEX(技能数据库!$T$2:$W$27,MATCH(E122,技能数据库!$T$2:$T$27,0),2),0)+IF((IF(D122="轻剑",$AO$2,$AO$3)+INT(COUNTIF(G122,"*大莺鸣*")*IF(D122="轻剑",$AM$2,$AM$3)*听晓无双率)/无双系数)&gt;0.9,特效裤子会心/会心系数,0)))</f>
        <v>0.7043</v>
      </c>
      <c r="X122">
        <f ca="1">IF(G122="恒定伤害",0,IF(COUNTIF(F122,"*内会*")&gt;0,内会效2,IF(D122="轻剑",$AB$2,$AB$3))+IFERROR(INDEX(技能数据库!$T$2:$W$27,MATCH(E122,技能数据库!$T$2:$T$27,0),3)/1024,0))+COUNTIF(G122,"*叠1*")*0.25+COUNTIF(G122,"*叠2*")*0.5+COUNTIF(G122,"*叠3*")*0.75</f>
        <v>2.1773735021</v>
      </c>
      <c r="Y122">
        <f ca="1" t="shared" si="183"/>
        <v>1.82922415752903</v>
      </c>
      <c r="Z122">
        <f t="shared" si="100"/>
        <v>0.150390625</v>
      </c>
      <c r="AA122">
        <f ca="1" t="shared" si="184"/>
        <v>0.0205078125</v>
      </c>
      <c r="AB122">
        <f ca="1" t="shared" si="185"/>
        <v>28675548.3858286</v>
      </c>
      <c r="AC122">
        <f ca="1">无穷技能数计算!$AJ114</f>
        <v>0</v>
      </c>
      <c r="AD122" s="164">
        <f ca="1" t="shared" si="170"/>
        <v>0</v>
      </c>
      <c r="AE122" s="168"/>
      <c r="AF122" s="168">
        <f ca="1" t="shared" si="101"/>
        <v>0.7057</v>
      </c>
      <c r="AG122">
        <f ca="1">无穷技能数计算!$AJ114</f>
        <v>0</v>
      </c>
      <c r="AH122">
        <f ca="1" t="shared" si="102"/>
        <v>109879</v>
      </c>
      <c r="AJ122">
        <f ca="1" t="shared" si="103"/>
        <v>2.3765922521</v>
      </c>
      <c r="AK122">
        <f ca="1" t="shared" si="140"/>
        <v>4717430</v>
      </c>
      <c r="AL122">
        <f ca="1" t="shared" si="104"/>
        <v>30913804.06785</v>
      </c>
      <c r="AM122" s="169">
        <f ca="1" t="shared" si="105"/>
        <v>0.7272</v>
      </c>
      <c r="AN122">
        <f ca="1">无穷技能数计算!$AJ114</f>
        <v>0</v>
      </c>
      <c r="AO122" s="170">
        <f ca="1" t="shared" si="106"/>
        <v>31377900.2621515</v>
      </c>
      <c r="AP122">
        <f ca="1" t="shared" si="107"/>
        <v>110956</v>
      </c>
      <c r="AQ122" s="170">
        <f ca="1" t="shared" si="141"/>
        <v>4717430</v>
      </c>
      <c r="AR122">
        <f ca="1" t="shared" si="173"/>
        <v>30357871.8797982</v>
      </c>
      <c r="AS122">
        <f ca="1" t="shared" si="109"/>
        <v>0.7843</v>
      </c>
      <c r="AT122">
        <f ca="1">无穷技能数计算!$AJ114</f>
        <v>0</v>
      </c>
      <c r="AU122">
        <f ca="1" t="shared" si="110"/>
        <v>2.3238578771</v>
      </c>
      <c r="AV122">
        <f ca="1" t="shared" si="174"/>
        <v>1.7995442148</v>
      </c>
      <c r="AW122">
        <f ca="1" t="shared" si="142"/>
        <v>32177610.2625178</v>
      </c>
      <c r="AX122">
        <f ca="1" t="shared" si="112"/>
        <v>0.7743</v>
      </c>
      <c r="AY122">
        <f ca="1">无穷技能数计算!$AJ114</f>
        <v>0</v>
      </c>
      <c r="AZ122" s="170">
        <f ca="1" t="shared" si="143"/>
        <v>31968619.6988421</v>
      </c>
      <c r="BA122">
        <f ca="1" t="shared" si="113"/>
        <v>0.7643</v>
      </c>
      <c r="BB122">
        <f ca="1">无穷技能数计算!$AJ114</f>
        <v>0</v>
      </c>
      <c r="BC122" s="170">
        <f ca="1" t="shared" si="144"/>
        <v>31759629.1351663</v>
      </c>
      <c r="BE122">
        <f ca="1" t="shared" si="114"/>
        <v>105849</v>
      </c>
      <c r="BF122">
        <f ca="1" t="shared" si="115"/>
        <v>4717430</v>
      </c>
      <c r="BI122">
        <f ca="1" t="shared" si="116"/>
        <v>0.7543</v>
      </c>
      <c r="BJ122">
        <f ca="1">无穷技能数计算!$AJ114</f>
        <v>0</v>
      </c>
      <c r="BK122">
        <f ca="1" t="shared" si="117"/>
        <v>31590253.0226222</v>
      </c>
      <c r="BM122">
        <f ca="1" t="shared" si="118"/>
        <v>109230</v>
      </c>
      <c r="BN122">
        <f ca="1" t="shared" si="119"/>
        <v>4717430</v>
      </c>
      <c r="BO122">
        <f ca="1" t="shared" si="175"/>
        <v>30969147.919901</v>
      </c>
      <c r="BP122">
        <f ca="1" t="shared" si="176"/>
        <v>29533490.4312193</v>
      </c>
      <c r="BR122">
        <f ca="1" t="shared" si="122"/>
        <v>0.7543</v>
      </c>
      <c r="BS122">
        <f ca="1" t="shared" si="123"/>
        <v>30698114.5532107</v>
      </c>
      <c r="BT122">
        <f ca="1" t="shared" si="124"/>
        <v>0.196995876306796</v>
      </c>
      <c r="BU122">
        <f ca="1" t="shared" si="125"/>
        <v>2.3238578771</v>
      </c>
      <c r="BV122">
        <f ca="1" t="shared" si="145"/>
        <v>31958591.7558456</v>
      </c>
      <c r="BW122">
        <f ca="1" t="shared" si="126"/>
        <v>113027</v>
      </c>
      <c r="BX122">
        <f ca="1" t="shared" si="127"/>
        <v>4717430</v>
      </c>
      <c r="BY122">
        <f ca="1" t="shared" si="128"/>
        <v>0.7343</v>
      </c>
      <c r="BZ122">
        <f ca="1">无穷技能数计算!$AJ114</f>
        <v>0</v>
      </c>
      <c r="CA122">
        <f ca="1" t="shared" si="129"/>
        <v>2.3277641271</v>
      </c>
      <c r="CB122">
        <f ca="1" t="shared" si="146"/>
        <v>30960423.2943457</v>
      </c>
      <c r="CC122">
        <f ca="1" t="shared" si="130"/>
        <v>114847</v>
      </c>
      <c r="CD122">
        <f ca="1" t="shared" si="131"/>
        <v>4717430</v>
      </c>
      <c r="CE122">
        <f ca="1" t="shared" si="132"/>
        <v>30103764.1548926</v>
      </c>
      <c r="CF122">
        <f ca="1" t="shared" si="133"/>
        <v>2.2750297521</v>
      </c>
      <c r="CG122">
        <f ca="1" t="shared" si="134"/>
        <v>0.7343</v>
      </c>
      <c r="CH122">
        <f ca="1" t="shared" si="147"/>
        <v>30566641.207639</v>
      </c>
      <c r="CJ122">
        <f ca="1" t="shared" si="135"/>
        <v>4717430</v>
      </c>
      <c r="CK122">
        <f ca="1" t="shared" si="177"/>
        <v>30828859.3676928</v>
      </c>
      <c r="CL122">
        <f ca="1" t="shared" si="148"/>
        <v>2.2976860021</v>
      </c>
      <c r="CM122">
        <f ca="1">IF(G122="恒定伤害",0,(IF(D122="轻剑",$CM$8,$CM$9)+IFERROR(INDEX(技能数据库!$T$2:$W$27,MATCH(E122,技能数据库!$T$2:$T$27,0),4),0)+COUNTIF(G122,"*造化2*")*154+COUNTIF(G122,"*造化1*")*102+COUNTIF(G122,"*碧归*")*307)/1024)</f>
        <v>0.176868146929785</v>
      </c>
      <c r="CN122">
        <f ca="1" t="shared" si="149"/>
        <v>32501386.4688024</v>
      </c>
      <c r="CO122">
        <f ca="1" t="shared" si="150"/>
        <v>2.3262602208</v>
      </c>
      <c r="CP122">
        <f ca="1" t="shared" si="151"/>
        <v>32850584.5221356</v>
      </c>
      <c r="CQ122">
        <f ca="1" t="shared" si="178"/>
        <v>1.8815754648</v>
      </c>
      <c r="CR122">
        <f ca="1">IF(G122="恒定伤害",0,(IF(D122="轻剑",$CR$8,$CR$9)+IFERROR(INDEX(技能数据库!$T$2:$W$27,MATCH(E122,技能数据库!$T$2:$T$27,0),4),0)+COUNTIF(G122,"*造化2*")*154+COUNTIF(G122,"*造化1*")*102+COUNTIF(G122,"*碧归*")*307)/1024)</f>
        <v>0.167102521929785</v>
      </c>
      <c r="CS122">
        <f ca="1" t="shared" si="152"/>
        <v>31075256.0271907</v>
      </c>
    </row>
    <row r="123" spans="4:97">
      <c r="D123" t="s">
        <v>1825</v>
      </c>
      <c r="E123" s="161" t="s">
        <v>2850</v>
      </c>
      <c r="F123" t="s">
        <v>3160</v>
      </c>
      <c r="G123" t="s">
        <v>2750</v>
      </c>
      <c r="H123">
        <f ca="1">INDEX(技能数据库!$B$2:$I$100,MATCH(无穷阵眼收益计算!$E123,技能数据库!$B$2:$B$100,0),MATCH(H$9,技能数据库!$B$2:$I$2,0))</f>
        <v>3667380</v>
      </c>
      <c r="I123">
        <f ca="1">INDEX(技能数据库!$B$2:$I$100,MATCH(无穷阵眼收益计算!$E123,技能数据库!$B$2:$B$100,0),MATCH(I$9,技能数据库!$B$2:$I$2,0))</f>
        <v>0</v>
      </c>
      <c r="J123">
        <f ca="1">INDEX(技能数据库!$B$2:$I$100,MATCH(无穷阵眼收益计算!$E123,技能数据库!$B$2:$B$100,0),MATCH(J$9,技能数据库!$B$2:$I$2,0))</f>
        <v>0</v>
      </c>
      <c r="K123">
        <f ca="1">INDEX(技能数据库!$B$2:$I$100,MATCH(无穷阵眼收益计算!$E123,技能数据库!$B$2:$B$100,0),MATCH(K$9,技能数据库!$B$2:$I$2,0))</f>
        <v>0</v>
      </c>
      <c r="L123">
        <f ca="1" t="shared" si="97"/>
        <v>105847</v>
      </c>
      <c r="M123">
        <f ca="1" t="shared" si="179"/>
        <v>19530.5</v>
      </c>
      <c r="N123">
        <f ca="1" t="shared" si="180"/>
        <v>92028</v>
      </c>
      <c r="O123">
        <f ca="1" t="shared" si="138"/>
        <v>3667380</v>
      </c>
      <c r="P123">
        <f ca="1">IF(G123="恒定伤害",0,(IF(D123="轻剑",$AZ$2,$AZ$3)+IFERROR(INDEX(技能数据库!$T$2:$W$27,MATCH(E123,技能数据库!$T$2:$T$27,0),4),0)+COUNTIF(G123,"*造化2*")*154+COUNTIF(G123,"*造化1*")*102+COUNTIF(G123,"*碧归*")*307)/1024)</f>
        <v>0.116321271929785</v>
      </c>
      <c r="Q123">
        <f ca="1" t="shared" si="171"/>
        <v>0.0415122129107408</v>
      </c>
      <c r="R123">
        <f ca="1" t="shared" si="139"/>
        <v>0.21277697966198</v>
      </c>
      <c r="S123">
        <f ca="1" t="shared" si="181"/>
        <v>3356659.31815582</v>
      </c>
      <c r="T123">
        <f t="shared" si="165"/>
        <v>0.8</v>
      </c>
      <c r="U123">
        <f ca="1" t="shared" si="172"/>
        <v>1.7800129648</v>
      </c>
      <c r="V123">
        <f ca="1" t="shared" si="182"/>
        <v>7465245.13831192</v>
      </c>
      <c r="W123">
        <f ca="1">IF(G123="恒定伤害",0,MIN(1,IF(COUNTIF(F123,"*内会*")&gt;0,内会2,IF(D123="轻剑",$Y$2,$Y$3)+COUNTIF(G123,"*莺鸣*")*0.2+COUNTIF(G123,"*叠1*")*0.1+COUNTIF(G123,"*叠2*")*0.2+COUNTIF(G123,"*叠3*")*0.3)+IFERROR(INDEX(技能数据库!$T$2:$W$27,MATCH(E123,技能数据库!$T$2:$T$27,0),2),0)+IF((IF(D123="轻剑",$AO$2,$AO$3)+INT(COUNTIF(G123,"*大莺鸣*")*IF(D123="轻剑",$AM$2,$AM$3)*听晓无双率)/无双系数)&gt;0.9,特效裤子会心/会心系数,0)))</f>
        <v>0.0826138197194782</v>
      </c>
      <c r="X123">
        <f ca="1">IF(G123="恒定伤害",0,IF(COUNTIF(F123,"*内会*")&gt;0,内会效2,IF(D123="轻剑",$AB$2,$AB$3))+IFERROR(INDEX(技能数据库!$T$2:$W$27,MATCH(E123,技能数据库!$T$2:$T$27,0),3)/1024,0))+COUNTIF(G123,"*叠1*")*0.25+COUNTIF(G123,"*叠2*")*0.5+COUNTIF(G123,"*叠3*")*0.75</f>
        <v>1.79000318487951</v>
      </c>
      <c r="Y123">
        <f ca="1" t="shared" si="183"/>
        <v>1.06526518069345</v>
      </c>
      <c r="Z123">
        <f t="shared" si="100"/>
        <v>0.150390625</v>
      </c>
      <c r="AA123">
        <f ca="1" t="shared" si="184"/>
        <v>0.0205078125</v>
      </c>
      <c r="AB123">
        <f ca="1" t="shared" si="185"/>
        <v>9336056.53297951</v>
      </c>
      <c r="AC123">
        <f ca="1">无穷技能数计算!$AJ115</f>
        <v>0</v>
      </c>
      <c r="AD123" s="164">
        <f ca="1" t="shared" si="170"/>
        <v>0</v>
      </c>
      <c r="AE123" s="168"/>
      <c r="AF123" s="168">
        <f ca="1" t="shared" si="101"/>
        <v>0.0826138197194782</v>
      </c>
      <c r="AG123">
        <f ca="1">无穷技能数计算!$AJ115</f>
        <v>0</v>
      </c>
      <c r="AH123">
        <f ca="1" t="shared" si="102"/>
        <v>109879</v>
      </c>
      <c r="AJ123">
        <f ca="1" t="shared" si="103"/>
        <v>1.79000318487951</v>
      </c>
      <c r="AK123">
        <f ca="1" t="shared" si="140"/>
        <v>3667380</v>
      </c>
      <c r="AL123">
        <f ca="1" t="shared" si="104"/>
        <v>9336056.53297951</v>
      </c>
      <c r="AM123" s="169">
        <f ca="1" t="shared" si="105"/>
        <v>0.0826138197194782</v>
      </c>
      <c r="AN123">
        <f ca="1">无穷技能数计算!$AJ115</f>
        <v>0</v>
      </c>
      <c r="AO123" s="170">
        <f ca="1" t="shared" si="106"/>
        <v>9336056.53297951</v>
      </c>
      <c r="AP123">
        <f ca="1" t="shared" si="107"/>
        <v>110956</v>
      </c>
      <c r="AQ123" s="170">
        <f ca="1" t="shared" si="141"/>
        <v>3667380</v>
      </c>
      <c r="AR123">
        <f ca="1" t="shared" si="173"/>
        <v>9336056.53297951</v>
      </c>
      <c r="AS123">
        <f ca="1" t="shared" si="109"/>
        <v>0.0826138197194782</v>
      </c>
      <c r="AT123">
        <f ca="1">无穷技能数计算!$AJ115</f>
        <v>0</v>
      </c>
      <c r="AU123">
        <f ca="1" t="shared" si="110"/>
        <v>1.79000318487951</v>
      </c>
      <c r="AV123">
        <f ca="1" t="shared" si="174"/>
        <v>1.7995442148</v>
      </c>
      <c r="AW123">
        <f ca="1" t="shared" si="142"/>
        <v>9401647.90124598</v>
      </c>
      <c r="AX123">
        <f ca="1" t="shared" si="112"/>
        <v>0.0826138197194782</v>
      </c>
      <c r="AY123">
        <f ca="1">无穷技能数计算!$AJ115</f>
        <v>0</v>
      </c>
      <c r="AZ123" s="170">
        <f ca="1" t="shared" si="143"/>
        <v>9401647.90124598</v>
      </c>
      <c r="BA123">
        <f ca="1" t="shared" si="113"/>
        <v>0.0826138197194782</v>
      </c>
      <c r="BB123">
        <f ca="1">无穷技能数计算!$AJ115</f>
        <v>0</v>
      </c>
      <c r="BC123" s="170">
        <f ca="1" t="shared" si="144"/>
        <v>9401647.90124598</v>
      </c>
      <c r="BE123">
        <f ca="1" t="shared" si="114"/>
        <v>105849</v>
      </c>
      <c r="BF123">
        <f ca="1" t="shared" si="115"/>
        <v>3667380</v>
      </c>
      <c r="BI123">
        <f ca="1" t="shared" si="116"/>
        <v>0.0826138197194782</v>
      </c>
      <c r="BJ123">
        <f ca="1">无穷技能数计算!$AJ115</f>
        <v>0</v>
      </c>
      <c r="BK123">
        <f ca="1" t="shared" si="117"/>
        <v>9401647.90124598</v>
      </c>
      <c r="BM123">
        <f ca="1" t="shared" si="118"/>
        <v>109230</v>
      </c>
      <c r="BN123">
        <f ca="1" t="shared" si="119"/>
        <v>3667380</v>
      </c>
      <c r="BO123">
        <f ca="1" t="shared" si="175"/>
        <v>9336056.53297951</v>
      </c>
      <c r="BP123">
        <f ca="1" t="shared" si="176"/>
        <v>9336056.53297951</v>
      </c>
      <c r="BR123">
        <f ca="1" t="shared" si="122"/>
        <v>0.132613819719478</v>
      </c>
      <c r="BS123">
        <f ca="1" t="shared" si="123"/>
        <v>9750262.12048974</v>
      </c>
      <c r="BT123">
        <f ca="1" t="shared" si="124"/>
        <v>0.196995876306796</v>
      </c>
      <c r="BU123">
        <f ca="1" t="shared" si="125"/>
        <v>1.93648755987951</v>
      </c>
      <c r="BV123">
        <f ca="1" t="shared" si="145"/>
        <v>10049996.4766356</v>
      </c>
      <c r="BW123">
        <f ca="1" t="shared" si="126"/>
        <v>113027</v>
      </c>
      <c r="BX123">
        <f ca="1" t="shared" si="127"/>
        <v>3667380</v>
      </c>
      <c r="BY123">
        <f ca="1" t="shared" si="128"/>
        <v>0.0826138197194782</v>
      </c>
      <c r="BZ123">
        <f ca="1">无穷技能数计算!$AJ115</f>
        <v>0</v>
      </c>
      <c r="CA123">
        <f ca="1" t="shared" si="129"/>
        <v>1.79000318487951</v>
      </c>
      <c r="CB123">
        <f ca="1" t="shared" si="146"/>
        <v>9336056.53297951</v>
      </c>
      <c r="CC123">
        <f ca="1" t="shared" si="130"/>
        <v>114847</v>
      </c>
      <c r="CD123">
        <f ca="1" t="shared" si="131"/>
        <v>3667380</v>
      </c>
      <c r="CE123">
        <f ca="1" t="shared" si="132"/>
        <v>9336056.53297951</v>
      </c>
      <c r="CF123">
        <f ca="1" t="shared" si="133"/>
        <v>1.79000318487951</v>
      </c>
      <c r="CG123">
        <f ca="1" t="shared" si="134"/>
        <v>0.112613819719478</v>
      </c>
      <c r="CH123">
        <f ca="1" t="shared" si="147"/>
        <v>9401647.90124598</v>
      </c>
      <c r="CJ123">
        <f ca="1" t="shared" si="135"/>
        <v>3667380</v>
      </c>
      <c r="CK123">
        <f ca="1" t="shared" si="177"/>
        <v>9336056.53297951</v>
      </c>
      <c r="CL123">
        <f ca="1" t="shared" si="148"/>
        <v>1.91031568487951</v>
      </c>
      <c r="CM123">
        <f ca="1">IF(G123="恒定伤害",0,(IF(D123="轻剑",$CM$8,$CM$9)+IFERROR(INDEX(技能数据库!$T$2:$W$27,MATCH(E123,技能数据库!$T$2:$T$27,0),4),0)+COUNTIF(G123,"*造化2*")*154+COUNTIF(G123,"*造化1*")*102+COUNTIF(G123,"*碧归*")*307)/1024)</f>
        <v>0.176868146929785</v>
      </c>
      <c r="CN123">
        <f ca="1" t="shared" si="149"/>
        <v>10258149.4345586</v>
      </c>
      <c r="CO123">
        <f ca="1" t="shared" si="150"/>
        <v>1.93888990357951</v>
      </c>
      <c r="CP123">
        <f ca="1" t="shared" si="151"/>
        <v>10288089.3736431</v>
      </c>
      <c r="CQ123">
        <f ca="1" t="shared" si="178"/>
        <v>1.8815754648</v>
      </c>
      <c r="CR123">
        <f ca="1">IF(G123="恒定伤害",0,(IF(D123="轻剑",$CR$8,$CR$9)+IFERROR(INDEX(技能数据库!$T$2:$W$27,MATCH(E123,技能数据库!$T$2:$T$27,0),4),0)+COUNTIF(G123,"*造化2*")*154+COUNTIF(G123,"*造化1*")*102+COUNTIF(G123,"*碧归*")*307)/1024)</f>
        <v>0.167102521929785</v>
      </c>
      <c r="CS123">
        <f ca="1" t="shared" si="152"/>
        <v>10117342.59248</v>
      </c>
    </row>
    <row r="124" spans="4:97">
      <c r="D124" t="s">
        <v>1825</v>
      </c>
      <c r="E124" s="161" t="s">
        <v>2853</v>
      </c>
      <c r="F124" t="s">
        <v>3160</v>
      </c>
      <c r="G124" t="s">
        <v>2750</v>
      </c>
      <c r="H124">
        <f ca="1">INDEX(技能数据库!$B$2:$I$100,MATCH(无穷阵眼收益计算!$E124,技能数据库!$B$2:$B$100,0),MATCH(H$9,技能数据库!$B$2:$I$2,0))</f>
        <v>2444920</v>
      </c>
      <c r="I124">
        <f ca="1">INDEX(技能数据库!$B$2:$I$100,MATCH(无穷阵眼收益计算!$E124,技能数据库!$B$2:$B$100,0),MATCH(I$9,技能数据库!$B$2:$I$2,0))</f>
        <v>0</v>
      </c>
      <c r="J124">
        <f ca="1">INDEX(技能数据库!$B$2:$I$100,MATCH(无穷阵眼收益计算!$E124,技能数据库!$B$2:$B$100,0),MATCH(J$9,技能数据库!$B$2:$I$2,0))</f>
        <v>0</v>
      </c>
      <c r="K124">
        <f ca="1">INDEX(技能数据库!$B$2:$I$100,MATCH(无穷阵眼收益计算!$E124,技能数据库!$B$2:$B$100,0),MATCH(K$9,技能数据库!$B$2:$I$2,0))</f>
        <v>0</v>
      </c>
      <c r="L124">
        <f ca="1" t="shared" si="97"/>
        <v>105847</v>
      </c>
      <c r="M124">
        <f ca="1" t="shared" si="179"/>
        <v>19530.5</v>
      </c>
      <c r="N124">
        <f ca="1" t="shared" si="180"/>
        <v>92028</v>
      </c>
      <c r="O124">
        <f ca="1" t="shared" si="138"/>
        <v>2444920</v>
      </c>
      <c r="P124">
        <f ca="1">IF(G124="恒定伤害",0,(IF(D124="轻剑",$AZ$2,$AZ$3)+IFERROR(INDEX(技能数据库!$T$2:$W$27,MATCH(E124,技能数据库!$T$2:$T$27,0),4),0)+COUNTIF(G124,"*造化2*")*154+COUNTIF(G124,"*造化1*")*102+COUNTIF(G124,"*碧归*")*307)/1024)</f>
        <v>0.116321271929785</v>
      </c>
      <c r="Q124">
        <f ca="1" t="shared" si="171"/>
        <v>0.0415122129107408</v>
      </c>
      <c r="R124">
        <f ca="1" t="shared" si="139"/>
        <v>0.21277697966198</v>
      </c>
      <c r="S124">
        <f ca="1" t="shared" si="181"/>
        <v>2237772.87877054</v>
      </c>
      <c r="T124">
        <f t="shared" si="165"/>
        <v>0.8</v>
      </c>
      <c r="U124">
        <f ca="1" t="shared" si="172"/>
        <v>1.7800129648</v>
      </c>
      <c r="V124">
        <f ca="1" t="shared" si="182"/>
        <v>4976830.09220794</v>
      </c>
      <c r="W124">
        <f ca="1">IF(G124="恒定伤害",0,MIN(1,IF(COUNTIF(F124,"*内会*")&gt;0,内会2,IF(D124="轻剑",$Y$2,$Y$3)+COUNTIF(G124,"*莺鸣*")*0.2+COUNTIF(G124,"*叠1*")*0.1+COUNTIF(G124,"*叠2*")*0.2+COUNTIF(G124,"*叠3*")*0.3)+IFERROR(INDEX(技能数据库!$T$2:$W$27,MATCH(E124,技能数据库!$T$2:$T$27,0),2),0)+IF((IF(D124="轻剑",$AO$2,$AO$3)+INT(COUNTIF(G124,"*大莺鸣*")*IF(D124="轻剑",$AM$2,$AM$3)*听晓无双率)/无双系数)&gt;0.9,特效裤子会心/会心系数,0)))</f>
        <v>0.0826138197194782</v>
      </c>
      <c r="X124">
        <f ca="1">IF(G124="恒定伤害",0,IF(COUNTIF(F124,"*内会*")&gt;0,内会效2,IF(D124="轻剑",$AB$2,$AB$3))+IFERROR(INDEX(技能数据库!$T$2:$W$27,MATCH(E124,技能数据库!$T$2:$T$27,0),3)/1024,0))+COUNTIF(G124,"*叠1*")*0.25+COUNTIF(G124,"*叠2*")*0.5+COUNTIF(G124,"*叠3*")*0.75</f>
        <v>1.79000318487951</v>
      </c>
      <c r="Y124">
        <f ca="1" t="shared" si="183"/>
        <v>1.06526518069345</v>
      </c>
      <c r="Z124">
        <f t="shared" si="100"/>
        <v>0.150390625</v>
      </c>
      <c r="AA124">
        <f ca="1" t="shared" si="184"/>
        <v>0.0205078125</v>
      </c>
      <c r="AB124">
        <f ca="1" t="shared" si="185"/>
        <v>6224037.68865301</v>
      </c>
      <c r="AC124">
        <f ca="1">无穷技能数计算!$AJ116</f>
        <v>0</v>
      </c>
      <c r="AD124" s="164">
        <f ca="1" t="shared" si="170"/>
        <v>0</v>
      </c>
      <c r="AE124" s="168"/>
      <c r="AF124" s="168">
        <f ca="1" t="shared" si="101"/>
        <v>0.0826138197194782</v>
      </c>
      <c r="AG124">
        <f ca="1">无穷技能数计算!$AJ116</f>
        <v>0</v>
      </c>
      <c r="AH124">
        <f ca="1" t="shared" si="102"/>
        <v>109879</v>
      </c>
      <c r="AJ124">
        <f ca="1" t="shared" si="103"/>
        <v>1.79000318487951</v>
      </c>
      <c r="AK124">
        <f ca="1" t="shared" si="140"/>
        <v>2444920</v>
      </c>
      <c r="AL124">
        <f ca="1" t="shared" si="104"/>
        <v>6224037.68865301</v>
      </c>
      <c r="AM124" s="169">
        <f ca="1" t="shared" si="105"/>
        <v>0.0826138197194782</v>
      </c>
      <c r="AN124">
        <f ca="1">无穷技能数计算!$AJ116</f>
        <v>0</v>
      </c>
      <c r="AO124" s="170">
        <f ca="1" t="shared" si="106"/>
        <v>6224037.68865301</v>
      </c>
      <c r="AP124">
        <f ca="1" t="shared" si="107"/>
        <v>110956</v>
      </c>
      <c r="AQ124" s="170">
        <f ca="1" t="shared" si="141"/>
        <v>2444920</v>
      </c>
      <c r="AR124">
        <f ca="1" t="shared" si="173"/>
        <v>6224037.68865301</v>
      </c>
      <c r="AS124">
        <f ca="1" t="shared" si="109"/>
        <v>0.0826138197194782</v>
      </c>
      <c r="AT124">
        <f ca="1">无穷技能数计算!$AJ116</f>
        <v>0</v>
      </c>
      <c r="AU124">
        <f ca="1" t="shared" si="110"/>
        <v>1.79000318487951</v>
      </c>
      <c r="AV124">
        <f ca="1" t="shared" si="174"/>
        <v>1.7995442148</v>
      </c>
      <c r="AW124">
        <f ca="1" t="shared" si="142"/>
        <v>6267765.26749732</v>
      </c>
      <c r="AX124">
        <f ca="1" t="shared" si="112"/>
        <v>0.0826138197194782</v>
      </c>
      <c r="AY124">
        <f ca="1">无穷技能数计算!$AJ116</f>
        <v>0</v>
      </c>
      <c r="AZ124" s="170">
        <f ca="1" t="shared" si="143"/>
        <v>6267765.26749732</v>
      </c>
      <c r="BA124">
        <f ca="1" t="shared" si="113"/>
        <v>0.0826138197194782</v>
      </c>
      <c r="BB124">
        <f ca="1">无穷技能数计算!$AJ116</f>
        <v>0</v>
      </c>
      <c r="BC124" s="170">
        <f ca="1" t="shared" si="144"/>
        <v>6267765.26749732</v>
      </c>
      <c r="BE124">
        <f ca="1" t="shared" si="114"/>
        <v>105849</v>
      </c>
      <c r="BF124">
        <f ca="1" t="shared" si="115"/>
        <v>2444920</v>
      </c>
      <c r="BI124">
        <f ca="1" t="shared" si="116"/>
        <v>0.0826138197194782</v>
      </c>
      <c r="BJ124">
        <f ca="1">无穷技能数计算!$AJ116</f>
        <v>0</v>
      </c>
      <c r="BK124">
        <f ca="1" t="shared" si="117"/>
        <v>6267765.26749732</v>
      </c>
      <c r="BM124">
        <f ca="1" t="shared" si="118"/>
        <v>109230</v>
      </c>
      <c r="BN124">
        <f ca="1" t="shared" si="119"/>
        <v>2444920</v>
      </c>
      <c r="BO124">
        <f ca="1" t="shared" si="175"/>
        <v>6224037.68865301</v>
      </c>
      <c r="BP124">
        <f ca="1" t="shared" si="176"/>
        <v>6224037.68865301</v>
      </c>
      <c r="BR124">
        <f ca="1" t="shared" si="122"/>
        <v>0.132613819719478</v>
      </c>
      <c r="BS124">
        <f ca="1" t="shared" si="123"/>
        <v>6500174.74699316</v>
      </c>
      <c r="BT124">
        <f ca="1" t="shared" si="124"/>
        <v>0.196995876306796</v>
      </c>
      <c r="BU124">
        <f ca="1" t="shared" si="125"/>
        <v>1.93648755987951</v>
      </c>
      <c r="BV124">
        <f ca="1" t="shared" si="145"/>
        <v>6699997.65109037</v>
      </c>
      <c r="BW124">
        <f ca="1" t="shared" si="126"/>
        <v>113027</v>
      </c>
      <c r="BX124">
        <f ca="1" t="shared" si="127"/>
        <v>2444920</v>
      </c>
      <c r="BY124">
        <f ca="1" t="shared" si="128"/>
        <v>0.0826138197194782</v>
      </c>
      <c r="BZ124">
        <f ca="1">无穷技能数计算!$AJ116</f>
        <v>0</v>
      </c>
      <c r="CA124">
        <f ca="1" t="shared" si="129"/>
        <v>1.79000318487951</v>
      </c>
      <c r="CB124">
        <f ca="1" t="shared" si="146"/>
        <v>6224037.68865301</v>
      </c>
      <c r="CC124">
        <f ca="1" t="shared" si="130"/>
        <v>114847</v>
      </c>
      <c r="CD124">
        <f ca="1" t="shared" si="131"/>
        <v>2444920</v>
      </c>
      <c r="CE124">
        <f ca="1" t="shared" si="132"/>
        <v>6224037.68865301</v>
      </c>
      <c r="CF124">
        <f ca="1" t="shared" si="133"/>
        <v>1.79000318487951</v>
      </c>
      <c r="CG124">
        <f ca="1" t="shared" si="134"/>
        <v>0.112613819719478</v>
      </c>
      <c r="CH124">
        <f ca="1" t="shared" si="147"/>
        <v>6267765.26749732</v>
      </c>
      <c r="CJ124">
        <f ca="1" t="shared" si="135"/>
        <v>2444920</v>
      </c>
      <c r="CK124">
        <f ca="1" t="shared" si="177"/>
        <v>6224037.68865301</v>
      </c>
      <c r="CL124">
        <f ca="1" t="shared" si="148"/>
        <v>1.91031568487951</v>
      </c>
      <c r="CM124">
        <f ca="1">IF(G124="恒定伤害",0,(IF(D124="轻剑",$CM$8,$CM$9)+IFERROR(INDEX(技能数据库!$T$2:$W$27,MATCH(E124,技能数据库!$T$2:$T$27,0),4),0)+COUNTIF(G124,"*造化2*")*154+COUNTIF(G124,"*造化1*")*102+COUNTIF(G124,"*碧归*")*307)/1024)</f>
        <v>0.176868146929785</v>
      </c>
      <c r="CN124">
        <f ca="1" t="shared" si="149"/>
        <v>6838766.28970574</v>
      </c>
      <c r="CO124">
        <f ca="1" t="shared" si="150"/>
        <v>1.93888990357951</v>
      </c>
      <c r="CP124">
        <f ca="1" t="shared" si="151"/>
        <v>6858726.24909541</v>
      </c>
      <c r="CQ124">
        <f ca="1" t="shared" si="178"/>
        <v>1.8815754648</v>
      </c>
      <c r="CR124">
        <f ca="1">IF(G124="恒定伤害",0,(IF(D124="轻剑",$CR$8,$CR$9)+IFERROR(INDEX(技能数据库!$T$2:$W$27,MATCH(E124,技能数据库!$T$2:$T$27,0),4),0)+COUNTIF(G124,"*造化2*")*154+COUNTIF(G124,"*造化1*")*102+COUNTIF(G124,"*碧归*")*307)/1024)</f>
        <v>0.167102521929785</v>
      </c>
      <c r="CS124">
        <f ca="1" t="shared" si="152"/>
        <v>6744895.06165334</v>
      </c>
    </row>
    <row r="125" spans="4:97">
      <c r="D125" t="s">
        <v>1825</v>
      </c>
      <c r="E125" s="161" t="s">
        <v>2855</v>
      </c>
      <c r="F125" t="s">
        <v>3160</v>
      </c>
      <c r="G125" t="s">
        <v>2750</v>
      </c>
      <c r="H125">
        <f ca="1">INDEX(技能数据库!$B$2:$I$100,MATCH(无穷阵眼收益计算!$E125,技能数据库!$B$2:$B$100,0),MATCH(H$9,技能数据库!$B$2:$I$2,0))</f>
        <v>815</v>
      </c>
      <c r="I125">
        <f ca="1">INDEX(技能数据库!$B$2:$I$100,MATCH(无穷阵眼收益计算!$E125,技能数据库!$B$2:$B$100,0),MATCH(I$9,技能数据库!$B$2:$I$2,0))</f>
        <v>0</v>
      </c>
      <c r="J125">
        <f ca="1">INDEX(技能数据库!$B$2:$I$100,MATCH(无穷阵眼收益计算!$E125,技能数据库!$B$2:$B$100,0),MATCH(J$9,技能数据库!$B$2:$I$2,0))</f>
        <v>0</v>
      </c>
      <c r="K125">
        <f ca="1">INDEX(技能数据库!$B$2:$I$100,MATCH(无穷阵眼收益计算!$E125,技能数据库!$B$2:$B$100,0),MATCH(K$9,技能数据库!$B$2:$I$2,0))</f>
        <v>0</v>
      </c>
      <c r="L125">
        <f ca="1" t="shared" si="97"/>
        <v>105847</v>
      </c>
      <c r="M125">
        <f ca="1" t="shared" si="179"/>
        <v>19530.5</v>
      </c>
      <c r="N125">
        <f ca="1" t="shared" si="180"/>
        <v>92028</v>
      </c>
      <c r="O125">
        <f ca="1" t="shared" si="138"/>
        <v>815</v>
      </c>
      <c r="P125">
        <f ca="1">IF(G125="恒定伤害",0,(IF(D125="轻剑",$AZ$2,$AZ$3)+IFERROR(INDEX(技能数据库!$T$2:$W$27,MATCH(E125,技能数据库!$T$2:$T$27,0),4),0)+COUNTIF(G125,"*造化2*")*154+COUNTIF(G125,"*造化1*")*102+COUNTIF(G125,"*碧归*")*307)/1024)</f>
        <v>0.116321271929785</v>
      </c>
      <c r="Q125">
        <f ca="1" t="shared" si="171"/>
        <v>0.0415122129107408</v>
      </c>
      <c r="R125">
        <f ca="1" t="shared" si="139"/>
        <v>0.21277697966198</v>
      </c>
      <c r="S125">
        <f ca="1" t="shared" si="181"/>
        <v>745.94870024295</v>
      </c>
      <c r="T125">
        <f t="shared" si="165"/>
        <v>0.8</v>
      </c>
      <c r="U125">
        <f ca="1" t="shared" si="172"/>
        <v>1.7800129648</v>
      </c>
      <c r="V125">
        <f ca="1" t="shared" si="182"/>
        <v>1658.99764620089</v>
      </c>
      <c r="W125">
        <f ca="1">IF(G125="恒定伤害",0,MIN(1,IF(COUNTIF(F125,"*内会*")&gt;0,内会2,IF(D125="轻剑",$Y$2,$Y$3)+COUNTIF(G125,"*莺鸣*")*0.2+COUNTIF(G125,"*叠1*")*0.1+COUNTIF(G125,"*叠2*")*0.2+COUNTIF(G125,"*叠3*")*0.3)+IFERROR(INDEX(技能数据库!$T$2:$W$27,MATCH(E125,技能数据库!$T$2:$T$27,0),2),0)+IF((IF(D125="轻剑",$AO$2,$AO$3)+INT(COUNTIF(G125,"*大莺鸣*")*IF(D125="轻剑",$AM$2,$AM$3)*听晓无双率)/无双系数)&gt;0.9,特效裤子会心/会心系数,0)))</f>
        <v>0.0826138197194782</v>
      </c>
      <c r="X125">
        <f ca="1">IF(G125="恒定伤害",0,IF(COUNTIF(F125,"*内会*")&gt;0,内会效2,IF(D125="轻剑",$AB$2,$AB$3))+IFERROR(INDEX(技能数据库!$T$2:$W$27,MATCH(E125,技能数据库!$T$2:$T$27,0),3)/1024,0))+COUNTIF(G125,"*叠1*")*0.25+COUNTIF(G125,"*叠2*")*0.5+COUNTIF(G125,"*叠3*")*0.75</f>
        <v>1.79000318487951</v>
      </c>
      <c r="Y125">
        <f ca="1" t="shared" si="183"/>
        <v>1.06526518069345</v>
      </c>
      <c r="Z125">
        <f t="shared" si="100"/>
        <v>0.150390625</v>
      </c>
      <c r="AA125">
        <f ca="1" t="shared" si="184"/>
        <v>0.0205078125</v>
      </c>
      <c r="AB125">
        <f ca="1" t="shared" si="185"/>
        <v>2074.74711493718</v>
      </c>
      <c r="AC125">
        <f ca="1">无穷技能数计算!$AJ117</f>
        <v>0</v>
      </c>
      <c r="AD125" s="164">
        <f ca="1" t="shared" si="170"/>
        <v>0</v>
      </c>
      <c r="AE125" s="168"/>
      <c r="AF125" s="168">
        <f ca="1" t="shared" si="101"/>
        <v>0.0826138197194782</v>
      </c>
      <c r="AG125">
        <f ca="1">无穷技能数计算!$AJ117</f>
        <v>0</v>
      </c>
      <c r="AH125">
        <f ca="1" t="shared" si="102"/>
        <v>109879</v>
      </c>
      <c r="AJ125">
        <f ca="1" t="shared" si="103"/>
        <v>1.79000318487951</v>
      </c>
      <c r="AK125">
        <f ca="1" t="shared" si="140"/>
        <v>815</v>
      </c>
      <c r="AL125">
        <f ca="1" t="shared" si="104"/>
        <v>2074.74711493718</v>
      </c>
      <c r="AM125" s="169">
        <f ca="1" t="shared" si="105"/>
        <v>0.0826138197194782</v>
      </c>
      <c r="AN125">
        <f ca="1">无穷技能数计算!$AJ117</f>
        <v>0</v>
      </c>
      <c r="AO125" s="170">
        <f ca="1" t="shared" si="106"/>
        <v>2074.74711493718</v>
      </c>
      <c r="AP125">
        <f ca="1" t="shared" si="107"/>
        <v>110956</v>
      </c>
      <c r="AQ125" s="170">
        <f ca="1" t="shared" si="141"/>
        <v>815</v>
      </c>
      <c r="AR125">
        <f ca="1" t="shared" si="173"/>
        <v>2074.74711493718</v>
      </c>
      <c r="AS125">
        <f ca="1" t="shared" si="109"/>
        <v>0.0826138197194782</v>
      </c>
      <c r="AT125">
        <f ca="1">无穷技能数计算!$AJ117</f>
        <v>0</v>
      </c>
      <c r="AU125">
        <f ca="1" t="shared" si="110"/>
        <v>1.79000318487951</v>
      </c>
      <c r="AV125">
        <f ca="1" t="shared" si="174"/>
        <v>1.7995442148</v>
      </c>
      <c r="AW125">
        <f ca="1" t="shared" si="142"/>
        <v>2089.32345148729</v>
      </c>
      <c r="AX125">
        <f ca="1" t="shared" si="112"/>
        <v>0.0826138197194782</v>
      </c>
      <c r="AY125">
        <f ca="1">无穷技能数计算!$AJ117</f>
        <v>0</v>
      </c>
      <c r="AZ125" s="170">
        <f ca="1" t="shared" si="143"/>
        <v>2089.32345148729</v>
      </c>
      <c r="BA125">
        <f ca="1" t="shared" si="113"/>
        <v>0.0826138197194782</v>
      </c>
      <c r="BB125">
        <f ca="1">无穷技能数计算!$AJ117</f>
        <v>0</v>
      </c>
      <c r="BC125" s="170">
        <f ca="1" t="shared" si="144"/>
        <v>2089.32345148729</v>
      </c>
      <c r="BE125">
        <f ca="1" t="shared" si="114"/>
        <v>105849</v>
      </c>
      <c r="BF125">
        <f ca="1" t="shared" si="115"/>
        <v>815</v>
      </c>
      <c r="BI125">
        <f ca="1" t="shared" si="116"/>
        <v>0.0826138197194782</v>
      </c>
      <c r="BJ125">
        <f ca="1">无穷技能数计算!$AJ117</f>
        <v>0</v>
      </c>
      <c r="BK125">
        <f ca="1" t="shared" si="117"/>
        <v>2089.32345148729</v>
      </c>
      <c r="BM125">
        <f ca="1" t="shared" si="118"/>
        <v>109230</v>
      </c>
      <c r="BN125">
        <f ca="1" t="shared" si="119"/>
        <v>815</v>
      </c>
      <c r="BO125">
        <f ca="1" t="shared" si="175"/>
        <v>2074.74711493718</v>
      </c>
      <c r="BP125">
        <f ca="1" t="shared" si="176"/>
        <v>2074.74711493718</v>
      </c>
      <c r="BR125">
        <f ca="1" t="shared" si="122"/>
        <v>0.132613819719478</v>
      </c>
      <c r="BS125">
        <f ca="1" t="shared" si="123"/>
        <v>2166.7958128689</v>
      </c>
      <c r="BT125">
        <f ca="1" t="shared" si="124"/>
        <v>0.196995876306796</v>
      </c>
      <c r="BU125">
        <f ca="1" t="shared" si="125"/>
        <v>1.93648755987951</v>
      </c>
      <c r="BV125">
        <f ca="1" t="shared" si="145"/>
        <v>2233.40562703019</v>
      </c>
      <c r="BW125">
        <f ca="1" t="shared" si="126"/>
        <v>113027</v>
      </c>
      <c r="BX125">
        <f ca="1" t="shared" si="127"/>
        <v>815</v>
      </c>
      <c r="BY125">
        <f ca="1" t="shared" si="128"/>
        <v>0.0826138197194782</v>
      </c>
      <c r="BZ125">
        <f ca="1">无穷技能数计算!$AJ117</f>
        <v>0</v>
      </c>
      <c r="CA125">
        <f ca="1" t="shared" si="129"/>
        <v>1.79000318487951</v>
      </c>
      <c r="CB125">
        <f ca="1" t="shared" si="146"/>
        <v>2074.74711493718</v>
      </c>
      <c r="CC125">
        <f ca="1" t="shared" si="130"/>
        <v>114847</v>
      </c>
      <c r="CD125">
        <f ca="1" t="shared" si="131"/>
        <v>815</v>
      </c>
      <c r="CE125">
        <f ca="1" t="shared" si="132"/>
        <v>2074.74711493718</v>
      </c>
      <c r="CF125">
        <f ca="1" t="shared" si="133"/>
        <v>1.79000318487951</v>
      </c>
      <c r="CG125">
        <f ca="1" t="shared" si="134"/>
        <v>0.112613819719478</v>
      </c>
      <c r="CH125">
        <f ca="1" t="shared" si="147"/>
        <v>2089.32345148729</v>
      </c>
      <c r="CJ125">
        <f ca="1" t="shared" si="135"/>
        <v>815</v>
      </c>
      <c r="CK125">
        <f ca="1" t="shared" si="177"/>
        <v>2074.74711493718</v>
      </c>
      <c r="CL125">
        <f ca="1" t="shared" si="148"/>
        <v>1.91031568487951</v>
      </c>
      <c r="CM125">
        <f ca="1">IF(G125="恒定伤害",0,(IF(D125="轻剑",$CM$8,$CM$9)+IFERROR(INDEX(技能数据库!$T$2:$W$27,MATCH(E125,技能数据库!$T$2:$T$27,0),4),0)+COUNTIF(G125,"*造化2*")*154+COUNTIF(G125,"*造化1*")*102+COUNTIF(G125,"*碧归*")*307)/1024)</f>
        <v>0.176868146929785</v>
      </c>
      <c r="CN125">
        <f ca="1" t="shared" si="149"/>
        <v>2279.66335344722</v>
      </c>
      <c r="CO125">
        <f ca="1" t="shared" si="150"/>
        <v>1.93888990357951</v>
      </c>
      <c r="CP125">
        <f ca="1" t="shared" si="151"/>
        <v>2286.31689094644</v>
      </c>
      <c r="CQ125">
        <f ca="1" t="shared" si="178"/>
        <v>1.8815754648</v>
      </c>
      <c r="CR125">
        <f ca="1">IF(G125="恒定伤害",0,(IF(D125="轻剑",$CR$8,$CR$9)+IFERROR(INDEX(技能数据库!$T$2:$W$27,MATCH(E125,技能数据库!$T$2:$T$27,0),4),0)+COUNTIF(G125,"*造化2*")*154+COUNTIF(G125,"*造化1*")*102+COUNTIF(G125,"*碧归*")*307)/1024)</f>
        <v>0.167102521929785</v>
      </c>
      <c r="CS125">
        <f ca="1" t="shared" si="152"/>
        <v>2248.37192024584</v>
      </c>
    </row>
    <row r="126" spans="4:97">
      <c r="D126" t="s">
        <v>1825</v>
      </c>
      <c r="E126" s="161" t="s">
        <v>2857</v>
      </c>
      <c r="F126" t="s">
        <v>3160</v>
      </c>
      <c r="G126" t="s">
        <v>2750</v>
      </c>
      <c r="H126">
        <f ca="1">INDEX(技能数据库!$B$2:$I$100,MATCH(无穷阵眼收益计算!$E126,技能数据库!$B$2:$B$100,0),MATCH(H$9,技能数据库!$B$2:$I$2,0))</f>
        <v>469999</v>
      </c>
      <c r="I126">
        <f ca="1">INDEX(技能数据库!$B$2:$I$100,MATCH(无穷阵眼收益计算!$E126,技能数据库!$B$2:$B$100,0),MATCH(I$9,技能数据库!$B$2:$I$2,0))</f>
        <v>0</v>
      </c>
      <c r="J126">
        <f ca="1">INDEX(技能数据库!$B$2:$I$100,MATCH(无穷阵眼收益计算!$E126,技能数据库!$B$2:$B$100,0),MATCH(J$9,技能数据库!$B$2:$I$2,0))</f>
        <v>0</v>
      </c>
      <c r="K126">
        <f ca="1">INDEX(技能数据库!$B$2:$I$100,MATCH(无穷阵眼收益计算!$E126,技能数据库!$B$2:$B$100,0),MATCH(K$9,技能数据库!$B$2:$I$2,0))</f>
        <v>0</v>
      </c>
      <c r="L126">
        <f ca="1" t="shared" si="97"/>
        <v>105847</v>
      </c>
      <c r="M126">
        <f ca="1" t="shared" si="179"/>
        <v>19530.5</v>
      </c>
      <c r="N126">
        <f ca="1" t="shared" si="180"/>
        <v>92028</v>
      </c>
      <c r="O126">
        <f ca="1" t="shared" si="138"/>
        <v>469999</v>
      </c>
      <c r="P126">
        <f ca="1">IF(G126="恒定伤害",0,(IF(D126="轻剑",$AZ$2,$AZ$3)+IFERROR(INDEX(技能数据库!$T$2:$W$27,MATCH(E126,技能数据库!$T$2:$T$27,0),4),0)+COUNTIF(G126,"*造化2*")*154+COUNTIF(G126,"*造化1*")*102+COUNTIF(G126,"*碧归*")*307)/1024)</f>
        <v>0.116321271929785</v>
      </c>
      <c r="Q126">
        <f ca="1" t="shared" si="171"/>
        <v>0.0415122129107408</v>
      </c>
      <c r="R126">
        <f ca="1" t="shared" si="139"/>
        <v>0.21277697966198</v>
      </c>
      <c r="S126">
        <f ca="1" t="shared" si="181"/>
        <v>430178.089773603</v>
      </c>
      <c r="T126">
        <f t="shared" si="165"/>
        <v>0.8</v>
      </c>
      <c r="U126">
        <f ca="1" t="shared" si="172"/>
        <v>1.7800129648</v>
      </c>
      <c r="V126">
        <f ca="1" t="shared" si="182"/>
        <v>956720.533394811</v>
      </c>
      <c r="W126">
        <f ca="1">IF(G126="恒定伤害",0,MIN(1,IF(COUNTIF(F126,"*内会*")&gt;0,内会2,IF(D126="轻剑",$Y$2,$Y$3)+COUNTIF(G126,"*莺鸣*")*0.2+COUNTIF(G126,"*叠1*")*0.1+COUNTIF(G126,"*叠2*")*0.2+COUNTIF(G126,"*叠3*")*0.3)+IFERROR(INDEX(技能数据库!$T$2:$W$27,MATCH(E126,技能数据库!$T$2:$T$27,0),2),0)+IF((IF(D126="轻剑",$AO$2,$AO$3)+INT(COUNTIF(G126,"*大莺鸣*")*IF(D126="轻剑",$AM$2,$AM$3)*听晓无双率)/无双系数)&gt;0.9,特效裤子会心/会心系数,0)))</f>
        <v>0.0826138197194782</v>
      </c>
      <c r="X126">
        <f ca="1">IF(G126="恒定伤害",0,IF(COUNTIF(F126,"*内会*")&gt;0,内会效2,IF(D126="轻剑",$AB$2,$AB$3))+IFERROR(INDEX(技能数据库!$T$2:$W$27,MATCH(E126,技能数据库!$T$2:$T$27,0),3)/1024,0))+COUNTIF(G126,"*叠1*")*0.25+COUNTIF(G126,"*叠2*")*0.5+COUNTIF(G126,"*叠3*")*0.75</f>
        <v>1.79000318487951</v>
      </c>
      <c r="Y126">
        <f ca="1" t="shared" si="183"/>
        <v>1.06526518069345</v>
      </c>
      <c r="Z126">
        <f t="shared" si="100"/>
        <v>0.150390625</v>
      </c>
      <c r="AA126">
        <f ca="1" t="shared" si="184"/>
        <v>0.0205078125</v>
      </c>
      <c r="AB126">
        <f ca="1" t="shared" si="185"/>
        <v>1196477.38561148</v>
      </c>
      <c r="AC126">
        <f ca="1">无穷技能数计算!$AJ118</f>
        <v>0</v>
      </c>
      <c r="AD126" s="164">
        <f ca="1" t="shared" si="170"/>
        <v>0</v>
      </c>
      <c r="AE126" s="168"/>
      <c r="AF126" s="168">
        <f ca="1" t="shared" si="101"/>
        <v>0.0826138197194782</v>
      </c>
      <c r="AG126">
        <f ca="1">无穷技能数计算!$AJ118</f>
        <v>0</v>
      </c>
      <c r="AH126">
        <f ca="1" t="shared" si="102"/>
        <v>109879</v>
      </c>
      <c r="AJ126">
        <f ca="1" t="shared" si="103"/>
        <v>1.79000318487951</v>
      </c>
      <c r="AK126">
        <f ca="1" t="shared" si="140"/>
        <v>469999</v>
      </c>
      <c r="AL126">
        <f ca="1" t="shared" si="104"/>
        <v>1196477.38561148</v>
      </c>
      <c r="AM126" s="169">
        <f ca="1" t="shared" si="105"/>
        <v>0.0826138197194782</v>
      </c>
      <c r="AN126">
        <f ca="1">无穷技能数计算!$AJ118</f>
        <v>0</v>
      </c>
      <c r="AO126" s="170">
        <f ca="1" t="shared" si="106"/>
        <v>1196477.38561148</v>
      </c>
      <c r="AP126">
        <f ca="1" t="shared" si="107"/>
        <v>110956</v>
      </c>
      <c r="AQ126" s="170">
        <f ca="1" t="shared" si="141"/>
        <v>469999</v>
      </c>
      <c r="AR126">
        <f ca="1" t="shared" si="173"/>
        <v>1196477.38561148</v>
      </c>
      <c r="AS126">
        <f ca="1" t="shared" si="109"/>
        <v>0.0826138197194782</v>
      </c>
      <c r="AT126">
        <f ca="1">无穷技能数计算!$AJ118</f>
        <v>0</v>
      </c>
      <c r="AU126">
        <f ca="1" t="shared" si="110"/>
        <v>1.79000318487951</v>
      </c>
      <c r="AV126">
        <f ca="1" t="shared" si="174"/>
        <v>1.7995442148</v>
      </c>
      <c r="AW126">
        <f ca="1" t="shared" si="142"/>
        <v>1204883.35322157</v>
      </c>
      <c r="AX126">
        <f ca="1" t="shared" si="112"/>
        <v>0.0826138197194782</v>
      </c>
      <c r="AY126">
        <f ca="1">无穷技能数计算!$AJ118</f>
        <v>0</v>
      </c>
      <c r="AZ126" s="170">
        <f ca="1" t="shared" si="143"/>
        <v>1204883.35322157</v>
      </c>
      <c r="BA126">
        <f ca="1" t="shared" si="113"/>
        <v>0.0826138197194782</v>
      </c>
      <c r="BB126">
        <f ca="1">无穷技能数计算!$AJ118</f>
        <v>0</v>
      </c>
      <c r="BC126" s="170">
        <f ca="1" t="shared" si="144"/>
        <v>1204883.35322157</v>
      </c>
      <c r="BE126">
        <f ca="1" t="shared" si="114"/>
        <v>105849</v>
      </c>
      <c r="BF126">
        <f ca="1" t="shared" si="115"/>
        <v>469999</v>
      </c>
      <c r="BI126">
        <f ca="1" t="shared" si="116"/>
        <v>0.0826138197194782</v>
      </c>
      <c r="BJ126">
        <f ca="1">无穷技能数计算!$AJ118</f>
        <v>0</v>
      </c>
      <c r="BK126">
        <f ca="1" t="shared" si="117"/>
        <v>1204883.35322157</v>
      </c>
      <c r="BM126">
        <f ca="1" t="shared" si="118"/>
        <v>109230</v>
      </c>
      <c r="BN126">
        <f ca="1" t="shared" si="119"/>
        <v>469999</v>
      </c>
      <c r="BO126">
        <f ca="1" t="shared" si="175"/>
        <v>1196477.38561148</v>
      </c>
      <c r="BP126">
        <f ca="1" t="shared" si="176"/>
        <v>1196477.38561148</v>
      </c>
      <c r="BR126">
        <f ca="1" t="shared" si="122"/>
        <v>0.132613819719478</v>
      </c>
      <c r="BS126">
        <f ca="1" t="shared" si="123"/>
        <v>1249560.57086205</v>
      </c>
      <c r="BT126">
        <f ca="1" t="shared" si="124"/>
        <v>0.196995876306796</v>
      </c>
      <c r="BU126">
        <f ca="1" t="shared" si="125"/>
        <v>1.93648755987951</v>
      </c>
      <c r="BV126">
        <f ca="1" t="shared" si="145"/>
        <v>1287973.51079578</v>
      </c>
      <c r="BW126">
        <f ca="1" t="shared" si="126"/>
        <v>113027</v>
      </c>
      <c r="BX126">
        <f ca="1" t="shared" si="127"/>
        <v>469999</v>
      </c>
      <c r="BY126">
        <f ca="1" t="shared" si="128"/>
        <v>0.0826138197194782</v>
      </c>
      <c r="BZ126">
        <f ca="1">无穷技能数计算!$AJ118</f>
        <v>0</v>
      </c>
      <c r="CA126">
        <f ca="1" t="shared" si="129"/>
        <v>1.79000318487951</v>
      </c>
      <c r="CB126">
        <f ca="1" t="shared" si="146"/>
        <v>1196477.38561148</v>
      </c>
      <c r="CC126">
        <f ca="1" t="shared" si="130"/>
        <v>114847</v>
      </c>
      <c r="CD126">
        <f ca="1" t="shared" si="131"/>
        <v>469999</v>
      </c>
      <c r="CE126">
        <f ca="1" t="shared" si="132"/>
        <v>1196477.38561148</v>
      </c>
      <c r="CF126">
        <f ca="1" t="shared" si="133"/>
        <v>1.79000318487951</v>
      </c>
      <c r="CG126">
        <f ca="1" t="shared" si="134"/>
        <v>0.112613819719478</v>
      </c>
      <c r="CH126">
        <f ca="1" t="shared" si="147"/>
        <v>1204883.35322157</v>
      </c>
      <c r="CJ126">
        <f ca="1" t="shared" si="135"/>
        <v>469999</v>
      </c>
      <c r="CK126">
        <f ca="1" t="shared" si="177"/>
        <v>1196477.38561148</v>
      </c>
      <c r="CL126">
        <f ca="1" t="shared" si="148"/>
        <v>1.91031568487951</v>
      </c>
      <c r="CM126">
        <f ca="1">IF(G126="恒定伤害",0,(IF(D126="轻剑",$CM$8,$CM$9)+IFERROR(INDEX(技能数据库!$T$2:$W$27,MATCH(E126,技能数据库!$T$2:$T$27,0),4),0)+COUNTIF(G126,"*造化2*")*154+COUNTIF(G126,"*造化1*")*102+COUNTIF(G126,"*碧归*")*307)/1024)</f>
        <v>0.176868146929785</v>
      </c>
      <c r="CN126">
        <f ca="1" t="shared" si="149"/>
        <v>1314649.6889041</v>
      </c>
      <c r="CO126">
        <f ca="1" t="shared" si="150"/>
        <v>1.93888990357951</v>
      </c>
      <c r="CP126">
        <f ca="1" t="shared" si="151"/>
        <v>1318486.69009562</v>
      </c>
      <c r="CQ126">
        <f ca="1" t="shared" si="178"/>
        <v>1.8815754648</v>
      </c>
      <c r="CR126">
        <f ca="1">IF(G126="恒定伤害",0,(IF(D126="轻剑",$CR$8,$CR$9)+IFERROR(INDEX(技能数据库!$T$2:$W$27,MATCH(E126,技能数据库!$T$2:$T$27,0),4),0)+COUNTIF(G126,"*造化2*")*154+COUNTIF(G126,"*造化1*")*102+COUNTIF(G126,"*碧归*")*307)/1024)</f>
        <v>0.167102521929785</v>
      </c>
      <c r="CS126">
        <f ca="1" t="shared" si="152"/>
        <v>1296604.36091242</v>
      </c>
    </row>
    <row r="127" spans="4:97">
      <c r="D127" t="s">
        <v>1028</v>
      </c>
      <c r="E127" s="161" t="s">
        <v>2859</v>
      </c>
      <c r="F127" t="s">
        <v>3160</v>
      </c>
      <c r="G127" t="s">
        <v>2750</v>
      </c>
      <c r="H127">
        <f ca="1">INDEX(技能数据库!$B$2:$I$100,MATCH(无穷阵眼收益计算!$E127,技能数据库!$B$2:$B$100,0),MATCH(H$9,技能数据库!$B$2:$I$2,0))</f>
        <v>1955936</v>
      </c>
      <c r="I127">
        <f ca="1">INDEX(技能数据库!$B$2:$I$100,MATCH(无穷阵眼收益计算!$E127,技能数据库!$B$2:$B$100,0),MATCH(I$9,技能数据库!$B$2:$I$2,0))</f>
        <v>0</v>
      </c>
      <c r="J127">
        <f ca="1">INDEX(技能数据库!$B$2:$I$100,MATCH(无穷阵眼收益计算!$E127,技能数据库!$B$2:$B$100,0),MATCH(J$9,技能数据库!$B$2:$I$2,0))</f>
        <v>0</v>
      </c>
      <c r="K127">
        <f ca="1">INDEX(技能数据库!$B$2:$I$100,MATCH(无穷阵眼收益计算!$E127,技能数据库!$B$2:$B$100,0),MATCH(K$9,技能数据库!$B$2:$I$2,0))</f>
        <v>0</v>
      </c>
      <c r="L127">
        <f ca="1" t="shared" si="97"/>
        <v>105847</v>
      </c>
      <c r="M127">
        <f ca="1" t="shared" si="179"/>
        <v>12694.5</v>
      </c>
      <c r="N127">
        <f ca="1" t="shared" si="180"/>
        <v>92028</v>
      </c>
      <c r="O127">
        <f ca="1" t="shared" si="138"/>
        <v>1955936</v>
      </c>
      <c r="P127">
        <f ca="1">IF(G127="恒定伤害",0,(IF(D127="轻剑",$AZ$2,$AZ$3)+IFERROR(INDEX(技能数据库!$T$2:$W$27,MATCH(E127,技能数据库!$T$2:$T$27,0),4),0)+COUNTIF(G127,"*造化2*")*154+COUNTIF(G127,"*造化1*")*102+COUNTIF(G127,"*碧归*")*307)/1024)</f>
        <v>0.0167118969297852</v>
      </c>
      <c r="Q127">
        <f ca="1" t="shared" si="171"/>
        <v>0.0415122129107408</v>
      </c>
      <c r="R127">
        <f ca="1" t="shared" si="139"/>
        <v>0.21277697966198</v>
      </c>
      <c r="S127">
        <f ca="1" t="shared" si="181"/>
        <v>1630477.07908655</v>
      </c>
      <c r="T127">
        <f t="shared" si="165"/>
        <v>0.8</v>
      </c>
      <c r="U127">
        <f ca="1" t="shared" si="172"/>
        <v>1.7800129648</v>
      </c>
      <c r="V127">
        <f ca="1" t="shared" si="182"/>
        <v>3626197.93493588</v>
      </c>
      <c r="W127">
        <f ca="1">IF(G127="恒定伤害",0,MIN(1,IF(COUNTIF(F127,"*内会*")&gt;0,内会2,IF(D127="轻剑",$Y$2,$Y$3)+COUNTIF(G127,"*莺鸣*")*0.2+COUNTIF(G127,"*叠1*")*0.1+COUNTIF(G127,"*叠2*")*0.2+COUNTIF(G127,"*叠3*")*0.3)+IFERROR(INDEX(技能数据库!$T$2:$W$27,MATCH(E127,技能数据库!$T$2:$T$27,0),2),0)+IF((IF(D127="轻剑",$AO$2,$AO$3)+INT(COUNTIF(G127,"*大莺鸣*")*IF(D127="轻剑",$AM$2,$AM$3)*听晓无双率)/无双系数)&gt;0.9,特效裤子会心/会心系数,0)))</f>
        <v>0.0826138197194782</v>
      </c>
      <c r="X127">
        <f ca="1">IF(G127="恒定伤害",0,IF(COUNTIF(F127,"*内会*")&gt;0,内会效2,IF(D127="轻剑",$AB$2,$AB$3))+IFERROR(INDEX(技能数据库!$T$2:$W$27,MATCH(E127,技能数据库!$T$2:$T$27,0),3)/1024,0))+COUNTIF(G127,"*叠1*")*0.25+COUNTIF(G127,"*叠2*")*0.5+COUNTIF(G127,"*叠3*")*0.75</f>
        <v>1.79000318487951</v>
      </c>
      <c r="Y127">
        <f ca="1" t="shared" si="183"/>
        <v>1.06526518069345</v>
      </c>
      <c r="Z127">
        <f t="shared" si="100"/>
        <v>0.150390625</v>
      </c>
      <c r="AA127">
        <f ca="1" t="shared" si="184"/>
        <v>0.0205078125</v>
      </c>
      <c r="AB127">
        <f ca="1" t="shared" si="185"/>
        <v>4534933.32008522</v>
      </c>
      <c r="AC127">
        <f ca="1">无穷技能数计算!$AJ119</f>
        <v>0</v>
      </c>
      <c r="AD127" s="164">
        <f ca="1" t="shared" si="170"/>
        <v>0</v>
      </c>
      <c r="AE127" s="168"/>
      <c r="AF127" s="168">
        <f ca="1" t="shared" si="101"/>
        <v>0.0826138197194782</v>
      </c>
      <c r="AG127">
        <f ca="1">无穷技能数计算!$AJ119</f>
        <v>0</v>
      </c>
      <c r="AH127">
        <f ca="1" t="shared" si="102"/>
        <v>109879</v>
      </c>
      <c r="AJ127">
        <f ca="1" t="shared" si="103"/>
        <v>1.79000318487951</v>
      </c>
      <c r="AK127">
        <f ca="1" t="shared" si="140"/>
        <v>1955936</v>
      </c>
      <c r="AL127">
        <f ca="1" t="shared" si="104"/>
        <v>4534933.32008522</v>
      </c>
      <c r="AM127" s="169">
        <f ca="1" t="shared" si="105"/>
        <v>0.0826138197194782</v>
      </c>
      <c r="AN127">
        <f ca="1">无穷技能数计算!$AJ119</f>
        <v>0</v>
      </c>
      <c r="AO127" s="170">
        <f ca="1" t="shared" si="106"/>
        <v>4534933.32008522</v>
      </c>
      <c r="AP127">
        <f ca="1" t="shared" si="107"/>
        <v>110956</v>
      </c>
      <c r="AQ127" s="170">
        <f ca="1" t="shared" si="141"/>
        <v>1955936</v>
      </c>
      <c r="AR127">
        <f ca="1" t="shared" si="173"/>
        <v>4534933.32008522</v>
      </c>
      <c r="AS127">
        <f ca="1" t="shared" si="109"/>
        <v>0.0826138197194782</v>
      </c>
      <c r="AT127">
        <f ca="1">无穷技能数计算!$AJ119</f>
        <v>0</v>
      </c>
      <c r="AU127">
        <f ca="1" t="shared" si="110"/>
        <v>1.79000318487951</v>
      </c>
      <c r="AV127">
        <f ca="1" t="shared" si="174"/>
        <v>1.7995442148</v>
      </c>
      <c r="AW127">
        <f ca="1" t="shared" si="142"/>
        <v>4566793.93279797</v>
      </c>
      <c r="AX127">
        <f ca="1" t="shared" si="112"/>
        <v>0.0826138197194782</v>
      </c>
      <c r="AY127">
        <f ca="1">无穷技能数计算!$AJ119</f>
        <v>0</v>
      </c>
      <c r="AZ127" s="170">
        <f ca="1" t="shared" si="143"/>
        <v>4566793.93279797</v>
      </c>
      <c r="BA127">
        <f ca="1" t="shared" si="113"/>
        <v>0.0826138197194782</v>
      </c>
      <c r="BB127">
        <f ca="1">无穷技能数计算!$AJ119</f>
        <v>0</v>
      </c>
      <c r="BC127" s="170">
        <f ca="1" t="shared" si="144"/>
        <v>4566793.93279797</v>
      </c>
      <c r="BE127">
        <f ca="1" t="shared" si="114"/>
        <v>105849</v>
      </c>
      <c r="BF127">
        <f ca="1" t="shared" si="115"/>
        <v>1955936</v>
      </c>
      <c r="BI127">
        <f ca="1" t="shared" si="116"/>
        <v>0.0826138197194782</v>
      </c>
      <c r="BJ127">
        <f ca="1">无穷技能数计算!$AJ119</f>
        <v>0</v>
      </c>
      <c r="BK127">
        <f ca="1" t="shared" si="117"/>
        <v>4566793.93279797</v>
      </c>
      <c r="BM127">
        <f ca="1" t="shared" si="118"/>
        <v>109230</v>
      </c>
      <c r="BN127">
        <f ca="1" t="shared" si="119"/>
        <v>1955936</v>
      </c>
      <c r="BO127">
        <f ca="1" t="shared" si="175"/>
        <v>4534933.32008522</v>
      </c>
      <c r="BP127">
        <f ca="1" t="shared" si="176"/>
        <v>4534933.32008522</v>
      </c>
      <c r="BR127">
        <f ca="1" t="shared" si="122"/>
        <v>0.132613819719478</v>
      </c>
      <c r="BS127">
        <f ca="1" t="shared" si="123"/>
        <v>4736131.19346251</v>
      </c>
      <c r="BT127">
        <f ca="1" t="shared" si="124"/>
        <v>0.196995876306796</v>
      </c>
      <c r="BU127">
        <f ca="1" t="shared" si="125"/>
        <v>1.93648755987951</v>
      </c>
      <c r="BV127">
        <f ca="1" t="shared" si="145"/>
        <v>4881725.35455808</v>
      </c>
      <c r="BW127">
        <f ca="1" t="shared" si="126"/>
        <v>113027</v>
      </c>
      <c r="BX127">
        <f ca="1" t="shared" si="127"/>
        <v>1955936</v>
      </c>
      <c r="BY127">
        <f ca="1" t="shared" si="128"/>
        <v>0.0826138197194782</v>
      </c>
      <c r="BZ127">
        <f ca="1">无穷技能数计算!$AJ119</f>
        <v>0</v>
      </c>
      <c r="CA127">
        <f ca="1" t="shared" si="129"/>
        <v>1.79000318487951</v>
      </c>
      <c r="CB127">
        <f ca="1" t="shared" si="146"/>
        <v>4534933.32008522</v>
      </c>
      <c r="CC127">
        <f ca="1" t="shared" si="130"/>
        <v>114847</v>
      </c>
      <c r="CD127">
        <f ca="1" t="shared" si="131"/>
        <v>1955936</v>
      </c>
      <c r="CE127">
        <f ca="1" t="shared" si="132"/>
        <v>4534933.32008522</v>
      </c>
      <c r="CF127">
        <f ca="1" t="shared" si="133"/>
        <v>1.79000318487951</v>
      </c>
      <c r="CG127">
        <f ca="1" t="shared" si="134"/>
        <v>0.112613819719478</v>
      </c>
      <c r="CH127">
        <f ca="1" t="shared" si="147"/>
        <v>4566793.93279797</v>
      </c>
      <c r="CJ127">
        <f ca="1" t="shared" si="135"/>
        <v>1955936</v>
      </c>
      <c r="CK127">
        <f ca="1" t="shared" si="177"/>
        <v>4534933.32008522</v>
      </c>
      <c r="CL127">
        <f ca="1" t="shared" si="148"/>
        <v>1.91031568487951</v>
      </c>
      <c r="CM127">
        <f ca="1">IF(G127="恒定伤害",0,(IF(D127="轻剑",$CM$8,$CM$9)+IFERROR(INDEX(技能数据库!$T$2:$W$27,MATCH(E127,技能数据库!$T$2:$T$27,0),4),0)+COUNTIF(G127,"*造化2*")*154+COUNTIF(G127,"*造化1*")*102+COUNTIF(G127,"*碧归*")*307)/1024)</f>
        <v>0.0772587719297852</v>
      </c>
      <c r="CN127">
        <f ca="1" t="shared" si="149"/>
        <v>5007949.95190077</v>
      </c>
      <c r="CO127">
        <f ca="1" t="shared" si="150"/>
        <v>1.93888990357951</v>
      </c>
      <c r="CP127">
        <f ca="1" t="shared" si="151"/>
        <v>5022566.40075003</v>
      </c>
      <c r="CQ127">
        <f ca="1" t="shared" si="178"/>
        <v>1.8815754648</v>
      </c>
      <c r="CR127">
        <f ca="1">IF(G127="恒定伤害",0,(IF(D127="轻剑",$CR$8,$CR$9)+IFERROR(INDEX(技能数据库!$T$2:$W$27,MATCH(E127,技能数据库!$T$2:$T$27,0),4),0)+COUNTIF(G127,"*造化2*")*154+COUNTIF(G127,"*造化1*")*102+COUNTIF(G127,"*碧归*")*307)/1024)</f>
        <v>0.0674931469297852</v>
      </c>
      <c r="CS127">
        <f ca="1" t="shared" si="152"/>
        <v>4935387.67659944</v>
      </c>
    </row>
    <row r="128" spans="4:97">
      <c r="D128" t="s">
        <v>1028</v>
      </c>
      <c r="E128" s="161" t="s">
        <v>2859</v>
      </c>
      <c r="F128" t="s">
        <v>2503</v>
      </c>
      <c r="G128" t="s">
        <v>2750</v>
      </c>
      <c r="H128">
        <f ca="1">INDEX(技能数据库!$B$2:$I$100,MATCH(无穷阵眼收益计算!$E128,技能数据库!$B$2:$B$100,0),MATCH(H$9,技能数据库!$B$2:$I$2,0))</f>
        <v>1955936</v>
      </c>
      <c r="I128">
        <f ca="1">INDEX(技能数据库!$B$2:$I$100,MATCH(无穷阵眼收益计算!$E128,技能数据库!$B$2:$B$100,0),MATCH(I$9,技能数据库!$B$2:$I$2,0))</f>
        <v>0</v>
      </c>
      <c r="J128">
        <f ca="1">INDEX(技能数据库!$B$2:$I$100,MATCH(无穷阵眼收益计算!$E128,技能数据库!$B$2:$B$100,0),MATCH(J$9,技能数据库!$B$2:$I$2,0))</f>
        <v>0</v>
      </c>
      <c r="K128">
        <f ca="1">INDEX(技能数据库!$B$2:$I$100,MATCH(无穷阵眼收益计算!$E128,技能数据库!$B$2:$B$100,0),MATCH(K$9,技能数据库!$B$2:$I$2,0))</f>
        <v>0</v>
      </c>
      <c r="L128">
        <f ca="1" t="shared" si="97"/>
        <v>105847</v>
      </c>
      <c r="M128">
        <f ca="1" t="shared" si="179"/>
        <v>12694.5</v>
      </c>
      <c r="N128">
        <f ca="1" t="shared" si="180"/>
        <v>92028</v>
      </c>
      <c r="O128">
        <f ca="1" t="shared" si="138"/>
        <v>1955936</v>
      </c>
      <c r="P128">
        <f ca="1">IF(G128="恒定伤害",0,(IF(D128="轻剑",$AZ$2,$AZ$3)+IFERROR(INDEX(技能数据库!$T$2:$W$27,MATCH(E128,技能数据库!$T$2:$T$27,0),4),0)+COUNTIF(G128,"*造化2*")*154+COUNTIF(G128,"*造化1*")*102+COUNTIF(G128,"*碧归*")*307)/1024)</f>
        <v>0.0167118969297852</v>
      </c>
      <c r="Q128">
        <f ca="1" t="shared" si="171"/>
        <v>0.0415122129107408</v>
      </c>
      <c r="R128">
        <f ca="1" t="shared" si="139"/>
        <v>0.21277697966198</v>
      </c>
      <c r="S128">
        <f ca="1" t="shared" si="181"/>
        <v>1630477.07908655</v>
      </c>
      <c r="T128">
        <f t="shared" si="165"/>
        <v>0.8</v>
      </c>
      <c r="U128">
        <f ca="1" t="shared" si="172"/>
        <v>1.7800129648</v>
      </c>
      <c r="V128">
        <f ca="1" t="shared" si="182"/>
        <v>3626197.93493588</v>
      </c>
      <c r="W128">
        <f ca="1">IF(G128="恒定伤害",0,MIN(1,IF(COUNTIF(F128,"*内会*")&gt;0,内会2,IF(D128="轻剑",$Y$2,$Y$3)+COUNTIF(G128,"*莺鸣*")*0.2+COUNTIF(G128,"*叠1*")*0.1+COUNTIF(G128,"*叠2*")*0.2+COUNTIF(G128,"*叠3*")*0.3)+IFERROR(INDEX(技能数据库!$T$2:$W$27,MATCH(E128,技能数据库!$T$2:$T$27,0),2),0)+IF((IF(D128="轻剑",$AO$2,$AO$3)+INT(COUNTIF(G128,"*大莺鸣*")*IF(D128="轻剑",$AM$2,$AM$3)*听晓无双率)/无双系数)&gt;0.9,特效裤子会心/会心系数,0)))</f>
        <v>0.7043</v>
      </c>
      <c r="X128">
        <f ca="1">IF(G128="恒定伤害",0,IF(COUNTIF(F128,"*内会*")&gt;0,内会效2,IF(D128="轻剑",$AB$2,$AB$3))+IFERROR(INDEX(技能数据库!$T$2:$W$27,MATCH(E128,技能数据库!$T$2:$T$27,0),3)/1024,0))+COUNTIF(G128,"*叠1*")*0.25+COUNTIF(G128,"*叠2*")*0.5+COUNTIF(G128,"*叠3*")*0.75</f>
        <v>2.1773735021</v>
      </c>
      <c r="Y128">
        <f ca="1" t="shared" si="183"/>
        <v>1.82922415752903</v>
      </c>
      <c r="Z128">
        <f t="shared" si="100"/>
        <v>0.150390625</v>
      </c>
      <c r="AA128">
        <f ca="1" t="shared" si="184"/>
        <v>0.0205078125</v>
      </c>
      <c r="AB128">
        <f ca="1" t="shared" si="185"/>
        <v>7787178.00246058</v>
      </c>
      <c r="AC128">
        <f ca="1">无穷技能数计算!$AJ120</f>
        <v>0</v>
      </c>
      <c r="AD128" s="164">
        <f ca="1" t="shared" si="170"/>
        <v>0</v>
      </c>
      <c r="AE128" s="168"/>
      <c r="AF128" s="168">
        <f ca="1" t="shared" si="101"/>
        <v>0.7057</v>
      </c>
      <c r="AG128">
        <f ca="1">无穷技能数计算!$AJ120</f>
        <v>0</v>
      </c>
      <c r="AH128">
        <f ca="1" t="shared" si="102"/>
        <v>109879</v>
      </c>
      <c r="AJ128">
        <f ca="1" t="shared" si="103"/>
        <v>2.3765922521</v>
      </c>
      <c r="AK128">
        <f ca="1" t="shared" si="140"/>
        <v>1955936</v>
      </c>
      <c r="AL128">
        <f ca="1" t="shared" si="104"/>
        <v>8392694.16750351</v>
      </c>
      <c r="AM128" s="169">
        <f ca="1" t="shared" si="105"/>
        <v>0.7272</v>
      </c>
      <c r="AN128">
        <f ca="1">无穷技能数计算!$AJ120</f>
        <v>0</v>
      </c>
      <c r="AO128" s="170">
        <f ca="1" t="shared" si="106"/>
        <v>8518690.22462174</v>
      </c>
      <c r="AP128">
        <f ca="1" t="shared" si="107"/>
        <v>110956</v>
      </c>
      <c r="AQ128" s="170">
        <f ca="1" t="shared" si="141"/>
        <v>1955936</v>
      </c>
      <c r="AR128">
        <f ca="1" t="shared" si="173"/>
        <v>7787178.00246058</v>
      </c>
      <c r="AS128">
        <f ca="1" t="shared" si="109"/>
        <v>0.7843</v>
      </c>
      <c r="AT128">
        <f ca="1">无穷技能数计算!$AJ120</f>
        <v>0</v>
      </c>
      <c r="AU128">
        <f ca="1" t="shared" si="110"/>
        <v>2.3238578771</v>
      </c>
      <c r="AV128">
        <f ca="1" t="shared" si="174"/>
        <v>1.7995442148</v>
      </c>
      <c r="AW128">
        <f ca="1" t="shared" si="142"/>
        <v>8738203.55365413</v>
      </c>
      <c r="AX128">
        <f ca="1" t="shared" si="112"/>
        <v>0.7743</v>
      </c>
      <c r="AY128">
        <f ca="1">无穷技能数计算!$AJ120</f>
        <v>0</v>
      </c>
      <c r="AZ128" s="170">
        <f ca="1" t="shared" si="143"/>
        <v>8681449.74032578</v>
      </c>
      <c r="BA128">
        <f ca="1" t="shared" si="113"/>
        <v>0.7643</v>
      </c>
      <c r="BB128">
        <f ca="1">无穷技能数计算!$AJ120</f>
        <v>0</v>
      </c>
      <c r="BC128" s="170">
        <f ca="1" t="shared" si="144"/>
        <v>8624695.92699743</v>
      </c>
      <c r="BE128">
        <f ca="1" t="shared" si="114"/>
        <v>105849</v>
      </c>
      <c r="BF128">
        <f ca="1" t="shared" si="115"/>
        <v>1955936</v>
      </c>
      <c r="BI128">
        <f ca="1" t="shared" si="116"/>
        <v>0.7543</v>
      </c>
      <c r="BJ128">
        <f ca="1">无穷技能数计算!$AJ120</f>
        <v>0</v>
      </c>
      <c r="BK128">
        <f ca="1" t="shared" si="117"/>
        <v>8094257.70118523</v>
      </c>
      <c r="BM128">
        <f ca="1" t="shared" si="118"/>
        <v>109230</v>
      </c>
      <c r="BN128">
        <f ca="1" t="shared" si="119"/>
        <v>1955936</v>
      </c>
      <c r="BO128">
        <f ca="1" t="shared" si="175"/>
        <v>7787178.00246058</v>
      </c>
      <c r="BP128">
        <f ca="1" t="shared" si="176"/>
        <v>7787178.00246058</v>
      </c>
      <c r="BR128">
        <f ca="1" t="shared" si="122"/>
        <v>0.7543</v>
      </c>
      <c r="BS128">
        <f ca="1" t="shared" si="123"/>
        <v>8094257.70118523</v>
      </c>
      <c r="BT128">
        <f ca="1" t="shared" si="124"/>
        <v>0.196995876306796</v>
      </c>
      <c r="BU128">
        <f ca="1" t="shared" si="125"/>
        <v>2.3238578771</v>
      </c>
      <c r="BV128">
        <f ca="1" t="shared" si="145"/>
        <v>8678726.53601034</v>
      </c>
      <c r="BW128">
        <f ca="1" t="shared" si="126"/>
        <v>113027</v>
      </c>
      <c r="BX128">
        <f ca="1" t="shared" si="127"/>
        <v>1955936</v>
      </c>
      <c r="BY128">
        <f ca="1" t="shared" si="128"/>
        <v>0.7343</v>
      </c>
      <c r="BZ128">
        <f ca="1">无穷技能数计算!$AJ120</f>
        <v>0</v>
      </c>
      <c r="CA128">
        <f ca="1" t="shared" si="129"/>
        <v>2.3277641271</v>
      </c>
      <c r="CB128">
        <f ca="1" t="shared" si="146"/>
        <v>8407662.30450698</v>
      </c>
      <c r="CC128">
        <f ca="1" t="shared" si="130"/>
        <v>114847</v>
      </c>
      <c r="CD128">
        <f ca="1" t="shared" si="131"/>
        <v>1955936</v>
      </c>
      <c r="CE128">
        <f ca="1" t="shared" si="132"/>
        <v>7937543.66975995</v>
      </c>
      <c r="CF128">
        <f ca="1" t="shared" si="133"/>
        <v>2.2750297521</v>
      </c>
      <c r="CG128">
        <f ca="1" t="shared" si="134"/>
        <v>0.7343</v>
      </c>
      <c r="CH128">
        <f ca="1" t="shared" si="147"/>
        <v>8300726.20821662</v>
      </c>
      <c r="CJ128">
        <f ca="1" t="shared" si="135"/>
        <v>1955936</v>
      </c>
      <c r="CK128">
        <f ca="1" t="shared" si="177"/>
        <v>7787178.00246058</v>
      </c>
      <c r="CL128">
        <f ca="1" t="shared" si="148"/>
        <v>2.2976860021</v>
      </c>
      <c r="CM128">
        <f ca="1">IF(G128="恒定伤害",0,(IF(D128="轻剑",$CM$8,$CM$9)+IFERROR(INDEX(技能数据库!$T$2:$W$27,MATCH(E128,技能数据库!$T$2:$T$27,0),4),0)+COUNTIF(G128,"*造化2*")*154+COUNTIF(G128,"*造化1*")*102+COUNTIF(G128,"*碧归*")*307)/1024)</f>
        <v>0.0772587719297852</v>
      </c>
      <c r="CN128">
        <f ca="1" t="shared" si="149"/>
        <v>8870616.08598223</v>
      </c>
      <c r="CO128">
        <f ca="1" t="shared" si="150"/>
        <v>2.3262602208</v>
      </c>
      <c r="CP128">
        <f ca="1" t="shared" si="151"/>
        <v>8965922.84688194</v>
      </c>
      <c r="CQ128">
        <f ca="1" t="shared" si="178"/>
        <v>1.8815754648</v>
      </c>
      <c r="CR128">
        <f ca="1">IF(G128="恒定伤害",0,(IF(D128="轻剑",$CR$8,$CR$9)+IFERROR(INDEX(技能数据库!$T$2:$W$27,MATCH(E128,技能数据库!$T$2:$T$27,0),4),0)+COUNTIF(G128,"*造化2*")*154+COUNTIF(G128,"*造化1*")*102+COUNTIF(G128,"*碧归*")*307)/1024)</f>
        <v>0.0674931469297852</v>
      </c>
      <c r="CS128">
        <f ca="1" t="shared" si="152"/>
        <v>8474819.72416474</v>
      </c>
    </row>
    <row r="129" spans="4:97">
      <c r="D129" t="s">
        <v>1825</v>
      </c>
      <c r="E129" s="161" t="s">
        <v>2859</v>
      </c>
      <c r="F129" t="s">
        <v>3160</v>
      </c>
      <c r="G129" t="s">
        <v>3044</v>
      </c>
      <c r="H129">
        <f ca="1">INDEX(技能数据库!$B$2:$I$100,MATCH(无穷阵眼收益计算!$E129,技能数据库!$B$2:$B$100,0),MATCH(H$9,技能数据库!$B$2:$I$2,0))</f>
        <v>1955936</v>
      </c>
      <c r="I129">
        <f ca="1">INDEX(技能数据库!$B$2:$I$100,MATCH(无穷阵眼收益计算!$E129,技能数据库!$B$2:$B$100,0),MATCH(I$9,技能数据库!$B$2:$I$2,0))</f>
        <v>0</v>
      </c>
      <c r="J129">
        <f ca="1">INDEX(技能数据库!$B$2:$I$100,MATCH(无穷阵眼收益计算!$E129,技能数据库!$B$2:$B$100,0),MATCH(J$9,技能数据库!$B$2:$I$2,0))</f>
        <v>0</v>
      </c>
      <c r="K129">
        <f ca="1">INDEX(技能数据库!$B$2:$I$100,MATCH(无穷阵眼收益计算!$E129,技能数据库!$B$2:$B$100,0),MATCH(K$9,技能数据库!$B$2:$I$2,0))</f>
        <v>0</v>
      </c>
      <c r="L129">
        <f ca="1" t="shared" si="97"/>
        <v>105847</v>
      </c>
      <c r="M129">
        <f ca="1" t="shared" si="179"/>
        <v>19530.5</v>
      </c>
      <c r="N129">
        <f ca="1" t="shared" si="180"/>
        <v>92028</v>
      </c>
      <c r="O129">
        <f ca="1" t="shared" si="138"/>
        <v>1955936</v>
      </c>
      <c r="P129">
        <f ca="1">IF(G129="恒定伤害",0,(IF(D129="轻剑",$AZ$2,$AZ$3)+IFERROR(INDEX(技能数据库!$T$2:$W$27,MATCH(E129,技能数据库!$T$2:$T$27,0),4),0)+COUNTIF(G129,"*造化2*")*154+COUNTIF(G129,"*造化1*")*102+COUNTIF(G129,"*碧归*")*307)/1024)</f>
        <v>0.116321271929785</v>
      </c>
      <c r="Q129">
        <f ca="1" t="shared" si="171"/>
        <v>0.0415122129107408</v>
      </c>
      <c r="R129">
        <f ca="1" t="shared" si="139"/>
        <v>0.21277697966198</v>
      </c>
      <c r="S129">
        <f ca="1" t="shared" si="181"/>
        <v>1790218.30301643</v>
      </c>
      <c r="T129">
        <f t="shared" si="165"/>
        <v>0.8</v>
      </c>
      <c r="U129">
        <f ca="1" t="shared" si="172"/>
        <v>2.67001635480339</v>
      </c>
      <c r="V129">
        <f ca="1" t="shared" si="182"/>
        <v>5256104.36059095</v>
      </c>
      <c r="W129">
        <f ca="1">IF(G129="恒定伤害",0,MIN(1,IF(COUNTIF(F129,"*内会*")&gt;0,内会2,IF(D129="轻剑",$Y$2,$Y$3)+COUNTIF(G129,"*莺鸣*")*0.2+COUNTIF(G129,"*叠1*")*0.1+COUNTIF(G129,"*叠2*")*0.2+COUNTIF(G129,"*叠3*")*0.3)+IFERROR(INDEX(技能数据库!$T$2:$W$27,MATCH(E129,技能数据库!$T$2:$T$27,0),2),0)+IF((IF(D129="轻剑",$AO$2,$AO$3)+INT(COUNTIF(G129,"*大莺鸣*")*IF(D129="轻剑",$AM$2,$AM$3)*听晓无双率)/无双系数)&gt;0.9,特效裤子会心/会心系数,0)))</f>
        <v>0.0826138197194782</v>
      </c>
      <c r="X129">
        <f ca="1">IF(G129="恒定伤害",0,IF(COUNTIF(F129,"*内会*")&gt;0,内会效2,IF(D129="轻剑",$AB$2,$AB$3))+IFERROR(INDEX(技能数据库!$T$2:$W$27,MATCH(E129,技能数据库!$T$2:$T$27,0),3)/1024,0))+COUNTIF(G129,"*叠1*")*0.25+COUNTIF(G129,"*叠2*")*0.5+COUNTIF(G129,"*叠3*")*0.75</f>
        <v>1.79000318487951</v>
      </c>
      <c r="Y129">
        <f ca="1" t="shared" si="183"/>
        <v>1.06526518069345</v>
      </c>
      <c r="Z129">
        <f t="shared" si="100"/>
        <v>0.150390625</v>
      </c>
      <c r="AA129">
        <f ca="1" t="shared" si="184"/>
        <v>0.0205078125</v>
      </c>
      <c r="AB129">
        <f ca="1" t="shared" si="185"/>
        <v>6573298.87291732</v>
      </c>
      <c r="AC129">
        <f ca="1">无穷技能数计算!$AJ121</f>
        <v>0</v>
      </c>
      <c r="AD129" s="164">
        <f ca="1" t="shared" si="170"/>
        <v>0</v>
      </c>
      <c r="AE129" s="168"/>
      <c r="AF129" s="168">
        <f ca="1" t="shared" si="101"/>
        <v>0.0826138197194782</v>
      </c>
      <c r="AG129">
        <f ca="1">无穷技能数计算!$AJ121</f>
        <v>0</v>
      </c>
      <c r="AH129">
        <f ca="1" t="shared" si="102"/>
        <v>109879</v>
      </c>
      <c r="AJ129">
        <f ca="1" t="shared" si="103"/>
        <v>1.79000318487951</v>
      </c>
      <c r="AK129">
        <f ca="1" t="shared" si="140"/>
        <v>1955936</v>
      </c>
      <c r="AL129">
        <f ca="1" t="shared" si="104"/>
        <v>6573298.87291732</v>
      </c>
      <c r="AM129" s="169">
        <f ca="1" t="shared" si="105"/>
        <v>0.0826138197194782</v>
      </c>
      <c r="AN129">
        <f ca="1">无穷技能数计算!$AJ121</f>
        <v>0</v>
      </c>
      <c r="AO129" s="170">
        <f ca="1" t="shared" si="106"/>
        <v>6573298.87291732</v>
      </c>
      <c r="AP129">
        <f ca="1" t="shared" si="107"/>
        <v>110956</v>
      </c>
      <c r="AQ129" s="170">
        <f ca="1" t="shared" si="141"/>
        <v>1955936</v>
      </c>
      <c r="AR129">
        <f ca="1" t="shared" si="173"/>
        <v>6573298.87291732</v>
      </c>
      <c r="AS129">
        <f ca="1" t="shared" si="109"/>
        <v>0.0826138197194782</v>
      </c>
      <c r="AT129">
        <f ca="1">无穷技能数计算!$AJ121</f>
        <v>0</v>
      </c>
      <c r="AU129">
        <f ca="1" t="shared" si="110"/>
        <v>1.79000318487951</v>
      </c>
      <c r="AV129">
        <f ca="1" t="shared" si="174"/>
        <v>2.68954760480339</v>
      </c>
      <c r="AW129">
        <f ca="1" t="shared" si="142"/>
        <v>6608280.93599277</v>
      </c>
      <c r="AX129">
        <f ca="1" t="shared" si="112"/>
        <v>0.0826138197194782</v>
      </c>
      <c r="AY129">
        <f ca="1">无穷技能数计算!$AJ121</f>
        <v>0</v>
      </c>
      <c r="AZ129" s="170">
        <f ca="1" t="shared" si="143"/>
        <v>6608280.93599277</v>
      </c>
      <c r="BA129">
        <f ca="1" t="shared" si="113"/>
        <v>0.0826138197194782</v>
      </c>
      <c r="BB129">
        <f ca="1">无穷技能数计算!$AJ121</f>
        <v>0</v>
      </c>
      <c r="BC129" s="170">
        <f ca="1" t="shared" si="144"/>
        <v>6608280.93599277</v>
      </c>
      <c r="BE129">
        <f ca="1" t="shared" si="114"/>
        <v>105849</v>
      </c>
      <c r="BF129">
        <f ca="1" t="shared" si="115"/>
        <v>1955936</v>
      </c>
      <c r="BI129">
        <f ca="1" t="shared" si="116"/>
        <v>0.0826138197194782</v>
      </c>
      <c r="BJ129">
        <f ca="1">无穷技能数计算!$AJ121</f>
        <v>0</v>
      </c>
      <c r="BK129">
        <f ca="1" t="shared" si="117"/>
        <v>6608280.93599277</v>
      </c>
      <c r="BM129">
        <f ca="1" t="shared" si="118"/>
        <v>109230</v>
      </c>
      <c r="BN129">
        <f ca="1" t="shared" si="119"/>
        <v>1955936</v>
      </c>
      <c r="BO129">
        <f ca="1" t="shared" si="175"/>
        <v>6573298.87291732</v>
      </c>
      <c r="BP129">
        <f ca="1" t="shared" si="176"/>
        <v>6573298.87291732</v>
      </c>
      <c r="BR129">
        <f ca="1" t="shared" si="122"/>
        <v>0.132613819719478</v>
      </c>
      <c r="BS129">
        <f ca="1" t="shared" si="123"/>
        <v>6853316.77686267</v>
      </c>
      <c r="BT129">
        <f ca="1" t="shared" si="124"/>
        <v>0.196995876306796</v>
      </c>
      <c r="BU129">
        <f ca="1" t="shared" si="125"/>
        <v>1.93648755987951</v>
      </c>
      <c r="BV129">
        <f ca="1" t="shared" si="145"/>
        <v>7075967.27583317</v>
      </c>
      <c r="BW129">
        <f ca="1" t="shared" si="126"/>
        <v>113027</v>
      </c>
      <c r="BX129">
        <f ca="1" t="shared" si="127"/>
        <v>1955936</v>
      </c>
      <c r="BY129">
        <f ca="1" t="shared" si="128"/>
        <v>0.0826138197194782</v>
      </c>
      <c r="BZ129">
        <f ca="1">无穷技能数计算!$AJ121</f>
        <v>0</v>
      </c>
      <c r="CA129">
        <f ca="1" t="shared" si="129"/>
        <v>1.79000318487951</v>
      </c>
      <c r="CB129">
        <f ca="1" t="shared" si="146"/>
        <v>6573298.87291732</v>
      </c>
      <c r="CC129">
        <f ca="1" t="shared" si="130"/>
        <v>114847</v>
      </c>
      <c r="CD129">
        <f ca="1" t="shared" si="131"/>
        <v>1955936</v>
      </c>
      <c r="CE129">
        <f ca="1" t="shared" si="132"/>
        <v>6573298.87291732</v>
      </c>
      <c r="CF129">
        <f ca="1" t="shared" si="133"/>
        <v>1.79000318487951</v>
      </c>
      <c r="CG129">
        <f ca="1" t="shared" si="134"/>
        <v>0.112613819719478</v>
      </c>
      <c r="CH129">
        <f ca="1" t="shared" si="147"/>
        <v>6608280.93599277</v>
      </c>
      <c r="CJ129">
        <f ca="1" t="shared" si="135"/>
        <v>1955936</v>
      </c>
      <c r="CK129">
        <f ca="1" t="shared" si="177"/>
        <v>6573298.87291732</v>
      </c>
      <c r="CL129">
        <f ca="1" t="shared" si="148"/>
        <v>1.91031568487951</v>
      </c>
      <c r="CM129">
        <f ca="1">IF(G129="恒定伤害",0,(IF(D129="轻剑",$CM$8,$CM$9)+IFERROR(INDEX(技能数据库!$T$2:$W$27,MATCH(E129,技能数据库!$T$2:$T$27,0),4),0)+COUNTIF(G129,"*造化2*")*154+COUNTIF(G129,"*造化1*")*102+COUNTIF(G129,"*碧归*")*307)/1024)</f>
        <v>0.176868146929785</v>
      </c>
      <c r="CN129">
        <f ca="1" t="shared" si="149"/>
        <v>7210303.34883896</v>
      </c>
      <c r="CO129">
        <f ca="1" t="shared" si="150"/>
        <v>1.93888990357951</v>
      </c>
      <c r="CP129">
        <f ca="1" t="shared" si="151"/>
        <v>7231347.6945489</v>
      </c>
      <c r="CQ129">
        <f ca="1" t="shared" si="178"/>
        <v>2.77157885480339</v>
      </c>
      <c r="CR129">
        <f ca="1">IF(G129="恒定伤害",0,(IF(D129="轻剑",$CR$8,$CR$9)+IFERROR(INDEX(技能数据库!$T$2:$W$27,MATCH(E129,技能数据库!$T$2:$T$27,0),4),0)+COUNTIF(G129,"*造化2*")*154+COUNTIF(G129,"*造化1*")*102+COUNTIF(G129,"*碧归*")*307)/1024)</f>
        <v>0.167102521929785</v>
      </c>
      <c r="CS129">
        <f ca="1" t="shared" si="152"/>
        <v>7062498.66523351</v>
      </c>
    </row>
    <row r="130" spans="4:97">
      <c r="D130" t="s">
        <v>1825</v>
      </c>
      <c r="E130" s="161" t="s">
        <v>2859</v>
      </c>
      <c r="F130" t="s">
        <v>2503</v>
      </c>
      <c r="G130" t="s">
        <v>3044</v>
      </c>
      <c r="H130">
        <f ca="1">INDEX(技能数据库!$B$2:$I$100,MATCH(无穷阵眼收益计算!$E130,技能数据库!$B$2:$B$100,0),MATCH(H$9,技能数据库!$B$2:$I$2,0))</f>
        <v>1955936</v>
      </c>
      <c r="I130">
        <f ca="1">INDEX(技能数据库!$B$2:$I$100,MATCH(无穷阵眼收益计算!$E130,技能数据库!$B$2:$B$100,0),MATCH(I$9,技能数据库!$B$2:$I$2,0))</f>
        <v>0</v>
      </c>
      <c r="J130">
        <f ca="1">INDEX(技能数据库!$B$2:$I$100,MATCH(无穷阵眼收益计算!$E130,技能数据库!$B$2:$B$100,0),MATCH(J$9,技能数据库!$B$2:$I$2,0))</f>
        <v>0</v>
      </c>
      <c r="K130">
        <f ca="1">INDEX(技能数据库!$B$2:$I$100,MATCH(无穷阵眼收益计算!$E130,技能数据库!$B$2:$B$100,0),MATCH(K$9,技能数据库!$B$2:$I$2,0))</f>
        <v>0</v>
      </c>
      <c r="L130">
        <f ca="1" t="shared" si="97"/>
        <v>105847</v>
      </c>
      <c r="M130">
        <f ca="1" t="shared" si="179"/>
        <v>19530.5</v>
      </c>
      <c r="N130">
        <f ca="1" t="shared" si="180"/>
        <v>92028</v>
      </c>
      <c r="O130">
        <f ca="1" t="shared" si="138"/>
        <v>1955936</v>
      </c>
      <c r="P130">
        <f ca="1">IF(G130="恒定伤害",0,(IF(D130="轻剑",$AZ$2,$AZ$3)+IFERROR(INDEX(技能数据库!$T$2:$W$27,MATCH(E130,技能数据库!$T$2:$T$27,0),4),0)+COUNTIF(G130,"*造化2*")*154+COUNTIF(G130,"*造化1*")*102+COUNTIF(G130,"*碧归*")*307)/1024)</f>
        <v>0.116321271929785</v>
      </c>
      <c r="Q130">
        <f ca="1" t="shared" si="171"/>
        <v>0.0415122129107408</v>
      </c>
      <c r="R130">
        <f ca="1" t="shared" si="139"/>
        <v>0.21277697966198</v>
      </c>
      <c r="S130">
        <f ca="1" t="shared" si="181"/>
        <v>1790218.30301643</v>
      </c>
      <c r="T130">
        <f t="shared" si="165"/>
        <v>0.8</v>
      </c>
      <c r="U130">
        <f ca="1" t="shared" si="172"/>
        <v>2.67001635480339</v>
      </c>
      <c r="V130">
        <f ca="1" t="shared" si="182"/>
        <v>5256104.36059095</v>
      </c>
      <c r="W130">
        <f ca="1">IF(G130="恒定伤害",0,MIN(1,IF(COUNTIF(F130,"*内会*")&gt;0,内会2,IF(D130="轻剑",$Y$2,$Y$3)+COUNTIF(G130,"*莺鸣*")*0.2+COUNTIF(G130,"*叠1*")*0.1+COUNTIF(G130,"*叠2*")*0.2+COUNTIF(G130,"*叠3*")*0.3)+IFERROR(INDEX(技能数据库!$T$2:$W$27,MATCH(E130,技能数据库!$T$2:$T$27,0),2),0)+IF((IF(D130="轻剑",$AO$2,$AO$3)+INT(COUNTIF(G130,"*大莺鸣*")*IF(D130="轻剑",$AM$2,$AM$3)*听晓无双率)/无双系数)&gt;0.9,特效裤子会心/会心系数,0)))</f>
        <v>0.9043</v>
      </c>
      <c r="X130">
        <f ca="1">IF(G130="恒定伤害",0,IF(COUNTIF(F130,"*内会*")&gt;0,内会效2,IF(D130="轻剑",$AB$2,$AB$3))+IFERROR(INDEX(技能数据库!$T$2:$W$27,MATCH(E130,技能数据库!$T$2:$T$27,0),3)/1024,0))+COUNTIF(G130,"*叠1*")*0.25+COUNTIF(G130,"*叠2*")*0.5+COUNTIF(G130,"*叠3*")*0.75</f>
        <v>2.1773735021</v>
      </c>
      <c r="Y130">
        <f ca="1" t="shared" si="183"/>
        <v>2.06469885794903</v>
      </c>
      <c r="Z130">
        <f t="shared" si="100"/>
        <v>0.150390625</v>
      </c>
      <c r="AA130">
        <f ca="1" t="shared" si="184"/>
        <v>0.0205078125</v>
      </c>
      <c r="AB130">
        <f ca="1" t="shared" si="185"/>
        <v>12740379.5053502</v>
      </c>
      <c r="AC130">
        <f ca="1">无穷技能数计算!$AJ122</f>
        <v>0</v>
      </c>
      <c r="AD130" s="164">
        <f ca="1" t="shared" si="170"/>
        <v>0</v>
      </c>
      <c r="AE130" s="168"/>
      <c r="AF130" s="168">
        <f ca="1" t="shared" si="101"/>
        <v>0.9057</v>
      </c>
      <c r="AG130">
        <f ca="1">无穷技能数计算!$AJ122</f>
        <v>0</v>
      </c>
      <c r="AH130">
        <f ca="1" t="shared" si="102"/>
        <v>109879</v>
      </c>
      <c r="AJ130">
        <f ca="1" t="shared" si="103"/>
        <v>2.3765922521</v>
      </c>
      <c r="AK130">
        <f ca="1" t="shared" si="140"/>
        <v>1955936</v>
      </c>
      <c r="AL130">
        <f ca="1" t="shared" si="104"/>
        <v>13863922.4279206</v>
      </c>
      <c r="AM130" s="169">
        <f ca="1" t="shared" si="105"/>
        <v>0.9272</v>
      </c>
      <c r="AN130">
        <f ca="1">无穷技能数计算!$AJ122</f>
        <v>0</v>
      </c>
      <c r="AO130" s="170">
        <f ca="1" t="shared" si="106"/>
        <v>14046551.2962612</v>
      </c>
      <c r="AP130">
        <f ca="1" t="shared" si="107"/>
        <v>110956</v>
      </c>
      <c r="AQ130" s="170">
        <f ca="1" t="shared" si="141"/>
        <v>1955936</v>
      </c>
      <c r="AR130">
        <f ca="1" t="shared" si="173"/>
        <v>12740379.5053502</v>
      </c>
      <c r="AS130">
        <f ca="1" t="shared" si="109"/>
        <v>0.9843</v>
      </c>
      <c r="AT130">
        <f ca="1">无穷技能数计算!$AJ122</f>
        <v>0</v>
      </c>
      <c r="AU130">
        <f ca="1" t="shared" si="110"/>
        <v>2.3238578771</v>
      </c>
      <c r="AV130">
        <f ca="1" t="shared" si="174"/>
        <v>2.68954760480339</v>
      </c>
      <c r="AW130">
        <f ca="1" t="shared" si="142"/>
        <v>14286917.2053304</v>
      </c>
      <c r="AX130">
        <f ca="1" t="shared" si="112"/>
        <v>0.9743</v>
      </c>
      <c r="AY130">
        <f ca="1">无穷技能数计算!$AJ122</f>
        <v>0</v>
      </c>
      <c r="AZ130" s="170">
        <f ca="1" t="shared" si="143"/>
        <v>14204792.8204377</v>
      </c>
      <c r="BA130">
        <f ca="1" t="shared" si="113"/>
        <v>0.9643</v>
      </c>
      <c r="BB130">
        <f ca="1">无穷技能数计算!$AJ122</f>
        <v>0</v>
      </c>
      <c r="BC130" s="170">
        <f ca="1" t="shared" si="144"/>
        <v>14122668.4355451</v>
      </c>
      <c r="BE130">
        <f ca="1" t="shared" si="114"/>
        <v>105849</v>
      </c>
      <c r="BF130">
        <f ca="1" t="shared" si="115"/>
        <v>1955936</v>
      </c>
      <c r="BI130">
        <f ca="1" t="shared" si="116"/>
        <v>0.9543</v>
      </c>
      <c r="BJ130">
        <f ca="1">无穷技能数计算!$AJ122</f>
        <v>0</v>
      </c>
      <c r="BK130">
        <f ca="1" t="shared" si="117"/>
        <v>13173368.5652234</v>
      </c>
      <c r="BM130">
        <f ca="1" t="shared" si="118"/>
        <v>109230</v>
      </c>
      <c r="BN130">
        <f ca="1" t="shared" si="119"/>
        <v>1955936</v>
      </c>
      <c r="BO130">
        <f ca="1" t="shared" si="175"/>
        <v>12740379.5053502</v>
      </c>
      <c r="BP130">
        <f ca="1" t="shared" si="176"/>
        <v>12740379.5053502</v>
      </c>
      <c r="BR130">
        <f ca="1" t="shared" si="122"/>
        <v>0.9543</v>
      </c>
      <c r="BS130">
        <f ca="1" t="shared" si="123"/>
        <v>13173368.5652234</v>
      </c>
      <c r="BT130">
        <f ca="1" t="shared" si="124"/>
        <v>0.196995876306796</v>
      </c>
      <c r="BU130">
        <f ca="1" t="shared" si="125"/>
        <v>2.3238578771</v>
      </c>
      <c r="BV130">
        <f ca="1" t="shared" si="145"/>
        <v>14246192.4818239</v>
      </c>
      <c r="BW130">
        <f ca="1" t="shared" si="126"/>
        <v>113027</v>
      </c>
      <c r="BX130">
        <f ca="1" t="shared" si="127"/>
        <v>1955936</v>
      </c>
      <c r="BY130">
        <f ca="1" t="shared" si="128"/>
        <v>0.9343</v>
      </c>
      <c r="BZ130">
        <f ca="1">无穷技能数计算!$AJ122</f>
        <v>0</v>
      </c>
      <c r="CA130">
        <f ca="1" t="shared" si="129"/>
        <v>2.3277641271</v>
      </c>
      <c r="CB130">
        <f ca="1" t="shared" si="146"/>
        <v>13825358.9322967</v>
      </c>
      <c r="CC130">
        <f ca="1" t="shared" si="130"/>
        <v>114847</v>
      </c>
      <c r="CD130">
        <f ca="1" t="shared" si="131"/>
        <v>1955936</v>
      </c>
      <c r="CE130">
        <f ca="1" t="shared" si="132"/>
        <v>12958331.6562687</v>
      </c>
      <c r="CF130">
        <f ca="1" t="shared" si="133"/>
        <v>2.2750297521</v>
      </c>
      <c r="CG130">
        <f ca="1" t="shared" si="134"/>
        <v>0.9343</v>
      </c>
      <c r="CH130">
        <f ca="1" t="shared" si="147"/>
        <v>13593294.8072088</v>
      </c>
      <c r="CJ130">
        <f ca="1" t="shared" si="135"/>
        <v>1955936</v>
      </c>
      <c r="CK130">
        <f ca="1" t="shared" si="177"/>
        <v>12740379.5053502</v>
      </c>
      <c r="CL130">
        <f ca="1" t="shared" si="148"/>
        <v>2.2976860021</v>
      </c>
      <c r="CM130">
        <f ca="1">IF(G130="恒定伤害",0,(IF(D130="轻剑",$CM$8,$CM$9)+IFERROR(INDEX(技能数据库!$T$2:$W$27,MATCH(E130,技能数据库!$T$2:$T$27,0),4),0)+COUNTIF(G130,"*造化2*")*154+COUNTIF(G130,"*造化1*")*102+COUNTIF(G130,"*碧归*")*307)/1024)</f>
        <v>0.176868146929785</v>
      </c>
      <c r="CN130">
        <f ca="1" t="shared" si="149"/>
        <v>14469000.3185792</v>
      </c>
      <c r="CO130">
        <f ca="1" t="shared" si="150"/>
        <v>2.3262602208</v>
      </c>
      <c r="CP130">
        <f ca="1" t="shared" si="151"/>
        <v>14643594.6289913</v>
      </c>
      <c r="CQ130">
        <f ca="1" t="shared" si="178"/>
        <v>2.77157885480339</v>
      </c>
      <c r="CR130">
        <f ca="1">IF(G130="恒定伤害",0,(IF(D130="轻剑",$CR$8,$CR$9)+IFERROR(INDEX(技能数据库!$T$2:$W$27,MATCH(E130,技能数据库!$T$2:$T$27,0),4),0)+COUNTIF(G130,"*造化2*")*154+COUNTIF(G130,"*造化1*")*102+COUNTIF(G130,"*碧归*")*307)/1024)</f>
        <v>0.167102521929785</v>
      </c>
      <c r="CS130">
        <f ca="1" t="shared" si="152"/>
        <v>13688547.4083381</v>
      </c>
    </row>
    <row r="131" spans="4:97">
      <c r="D131" t="s">
        <v>1028</v>
      </c>
      <c r="E131" s="161" t="s">
        <v>2861</v>
      </c>
      <c r="F131" t="s">
        <v>3160</v>
      </c>
      <c r="G131" t="s">
        <v>2750</v>
      </c>
      <c r="H131">
        <f ca="1">INDEX(技能数据库!$B$2:$I$100,MATCH(无穷阵眼收益计算!$E131,技能数据库!$B$2:$B$100,0),MATCH(H$9,技能数据库!$B$2:$I$2,0))</f>
        <v>1344706</v>
      </c>
      <c r="I131">
        <f ca="1">INDEX(技能数据库!$B$2:$I$100,MATCH(无穷阵眼收益计算!$E131,技能数据库!$B$2:$B$100,0),MATCH(I$9,技能数据库!$B$2:$I$2,0))</f>
        <v>0</v>
      </c>
      <c r="J131">
        <f ca="1">INDEX(技能数据库!$B$2:$I$100,MATCH(无穷阵眼收益计算!$E131,技能数据库!$B$2:$B$100,0),MATCH(J$9,技能数据库!$B$2:$I$2,0))</f>
        <v>0</v>
      </c>
      <c r="K131">
        <f ca="1">INDEX(技能数据库!$B$2:$I$100,MATCH(无穷阵眼收益计算!$E131,技能数据库!$B$2:$B$100,0),MATCH(K$9,技能数据库!$B$2:$I$2,0))</f>
        <v>0</v>
      </c>
      <c r="L131">
        <f ca="1" t="shared" si="97"/>
        <v>105847</v>
      </c>
      <c r="M131">
        <f ca="1" t="shared" si="179"/>
        <v>12694.5</v>
      </c>
      <c r="N131">
        <f ca="1" t="shared" si="180"/>
        <v>92028</v>
      </c>
      <c r="O131">
        <f ca="1" t="shared" si="138"/>
        <v>1344706</v>
      </c>
      <c r="P131">
        <f ca="1">IF(G131="恒定伤害",0,(IF(D131="轻剑",$AZ$2,$AZ$3)+IFERROR(INDEX(技能数据库!$T$2:$W$27,MATCH(E131,技能数据库!$T$2:$T$27,0),4),0)+COUNTIF(G131,"*造化2*")*154+COUNTIF(G131,"*造化1*")*102+COUNTIF(G131,"*碧归*")*307)/1024)</f>
        <v>0.0167118969297852</v>
      </c>
      <c r="Q131">
        <f ca="1" t="shared" si="171"/>
        <v>0.0415122129107408</v>
      </c>
      <c r="R131">
        <f ca="1" t="shared" si="139"/>
        <v>0.21277697966198</v>
      </c>
      <c r="S131">
        <f ca="1" t="shared" si="181"/>
        <v>1120952.991872</v>
      </c>
      <c r="T131">
        <f t="shared" si="165"/>
        <v>0.8</v>
      </c>
      <c r="U131">
        <f ca="1" t="shared" si="172"/>
        <v>1.7800129648</v>
      </c>
      <c r="V131">
        <f ca="1" t="shared" si="182"/>
        <v>2493011.08026842</v>
      </c>
      <c r="W131">
        <f ca="1">IF(G131="恒定伤害",0,MIN(1,IF(COUNTIF(F131,"*内会*")&gt;0,内会2,IF(D131="轻剑",$Y$2,$Y$3)+COUNTIF(G131,"*莺鸣*")*0.2+COUNTIF(G131,"*叠1*")*0.1+COUNTIF(G131,"*叠2*")*0.2+COUNTIF(G131,"*叠3*")*0.3)+IFERROR(INDEX(技能数据库!$T$2:$W$27,MATCH(E131,技能数据库!$T$2:$T$27,0),2),0)+IF((IF(D131="轻剑",$AO$2,$AO$3)+INT(COUNTIF(G131,"*大莺鸣*")*IF(D131="轻剑",$AM$2,$AM$3)*听晓无双率)/无双系数)&gt;0.9,特效裤子会心/会心系数,0)))</f>
        <v>0.0826138197194782</v>
      </c>
      <c r="X131">
        <f ca="1">IF(G131="恒定伤害",0,IF(COUNTIF(F131,"*内会*")&gt;0,内会效2,IF(D131="轻剑",$AB$2,$AB$3))+IFERROR(INDEX(技能数据库!$T$2:$W$27,MATCH(E131,技能数据库!$T$2:$T$27,0),3)/1024,0))+COUNTIF(G131,"*叠1*")*0.25+COUNTIF(G131,"*叠2*")*0.5+COUNTIF(G131,"*叠3*")*0.75</f>
        <v>1.79000318487951</v>
      </c>
      <c r="Y131">
        <f ca="1" t="shared" si="183"/>
        <v>1.06526518069345</v>
      </c>
      <c r="Z131">
        <f t="shared" si="100"/>
        <v>0.150390625</v>
      </c>
      <c r="AA131">
        <f ca="1" t="shared" si="184"/>
        <v>0.0205078125</v>
      </c>
      <c r="AB131">
        <f ca="1" t="shared" si="185"/>
        <v>3117766.65755859</v>
      </c>
      <c r="AC131">
        <f ca="1">无穷技能数计算!$AJ123</f>
        <v>0</v>
      </c>
      <c r="AD131" s="164">
        <f ca="1" t="shared" si="170"/>
        <v>0</v>
      </c>
      <c r="AE131" s="168"/>
      <c r="AF131" s="168">
        <f ca="1" t="shared" si="101"/>
        <v>0.0826138197194782</v>
      </c>
      <c r="AG131">
        <f ca="1">无穷技能数计算!$AJ123</f>
        <v>0</v>
      </c>
      <c r="AH131">
        <f ca="1" t="shared" si="102"/>
        <v>109879</v>
      </c>
      <c r="AJ131">
        <f ca="1" t="shared" si="103"/>
        <v>1.79000318487951</v>
      </c>
      <c r="AK131">
        <f ca="1" t="shared" si="140"/>
        <v>1344706</v>
      </c>
      <c r="AL131">
        <f ca="1" t="shared" si="104"/>
        <v>3117766.65755859</v>
      </c>
      <c r="AM131" s="169">
        <f ca="1" t="shared" si="105"/>
        <v>0.0826138197194782</v>
      </c>
      <c r="AN131">
        <f ca="1">无穷技能数计算!$AJ123</f>
        <v>0</v>
      </c>
      <c r="AO131" s="170">
        <f ca="1" t="shared" si="106"/>
        <v>3117766.65755859</v>
      </c>
      <c r="AP131">
        <f ca="1" t="shared" si="107"/>
        <v>110956</v>
      </c>
      <c r="AQ131" s="170">
        <f ca="1" t="shared" si="141"/>
        <v>1344706</v>
      </c>
      <c r="AR131">
        <f ca="1" t="shared" si="173"/>
        <v>3117766.65755859</v>
      </c>
      <c r="AS131">
        <f ca="1" t="shared" si="109"/>
        <v>0.0826138197194782</v>
      </c>
      <c r="AT131">
        <f ca="1">无穷技能数计算!$AJ123</f>
        <v>0</v>
      </c>
      <c r="AU131">
        <f ca="1" t="shared" si="110"/>
        <v>1.79000318487951</v>
      </c>
      <c r="AV131">
        <f ca="1" t="shared" si="174"/>
        <v>1.7995442148</v>
      </c>
      <c r="AW131">
        <f ca="1" t="shared" si="142"/>
        <v>3139670.82879861</v>
      </c>
      <c r="AX131">
        <f ca="1" t="shared" si="112"/>
        <v>0.0826138197194782</v>
      </c>
      <c r="AY131">
        <f ca="1">无穷技能数计算!$AJ123</f>
        <v>0</v>
      </c>
      <c r="AZ131" s="170">
        <f ca="1" t="shared" si="143"/>
        <v>3139670.82879861</v>
      </c>
      <c r="BA131">
        <f ca="1" t="shared" si="113"/>
        <v>0.0826138197194782</v>
      </c>
      <c r="BB131">
        <f ca="1">无穷技能数计算!$AJ123</f>
        <v>0</v>
      </c>
      <c r="BC131" s="170">
        <f ca="1" t="shared" si="144"/>
        <v>3139670.82879861</v>
      </c>
      <c r="BE131">
        <f ca="1" t="shared" si="114"/>
        <v>105849</v>
      </c>
      <c r="BF131">
        <f ca="1" t="shared" si="115"/>
        <v>1344706</v>
      </c>
      <c r="BI131">
        <f ca="1" t="shared" si="116"/>
        <v>0.0826138197194782</v>
      </c>
      <c r="BJ131">
        <f ca="1">无穷技能数计算!$AJ123</f>
        <v>0</v>
      </c>
      <c r="BK131">
        <f ca="1" t="shared" si="117"/>
        <v>3139670.82879861</v>
      </c>
      <c r="BM131">
        <f ca="1" t="shared" si="118"/>
        <v>109230</v>
      </c>
      <c r="BN131">
        <f ca="1" t="shared" si="119"/>
        <v>1344706</v>
      </c>
      <c r="BO131">
        <f ca="1" t="shared" si="175"/>
        <v>3117766.65755859</v>
      </c>
      <c r="BP131">
        <f ca="1" t="shared" si="176"/>
        <v>3117766.65755859</v>
      </c>
      <c r="BR131">
        <f ca="1" t="shared" si="122"/>
        <v>0.132613819719478</v>
      </c>
      <c r="BS131">
        <f ca="1" t="shared" si="123"/>
        <v>3256090.19550547</v>
      </c>
      <c r="BT131">
        <f ca="1" t="shared" si="124"/>
        <v>0.196995876306796</v>
      </c>
      <c r="BU131">
        <f ca="1" t="shared" si="125"/>
        <v>1.93648755987951</v>
      </c>
      <c r="BV131">
        <f ca="1" t="shared" si="145"/>
        <v>3356186.18125868</v>
      </c>
      <c r="BW131">
        <f ca="1" t="shared" si="126"/>
        <v>113027</v>
      </c>
      <c r="BX131">
        <f ca="1" t="shared" si="127"/>
        <v>1344706</v>
      </c>
      <c r="BY131">
        <f ca="1" t="shared" si="128"/>
        <v>0.0826138197194782</v>
      </c>
      <c r="BZ131">
        <f ca="1">无穷技能数计算!$AJ123</f>
        <v>0</v>
      </c>
      <c r="CA131">
        <f ca="1" t="shared" si="129"/>
        <v>1.79000318487951</v>
      </c>
      <c r="CB131">
        <f ca="1" t="shared" si="146"/>
        <v>3117766.65755859</v>
      </c>
      <c r="CC131">
        <f ca="1" t="shared" si="130"/>
        <v>114847</v>
      </c>
      <c r="CD131">
        <f ca="1" t="shared" si="131"/>
        <v>1344706</v>
      </c>
      <c r="CE131">
        <f ca="1" t="shared" si="132"/>
        <v>3117766.65755859</v>
      </c>
      <c r="CF131">
        <f ca="1" t="shared" si="133"/>
        <v>1.79000318487951</v>
      </c>
      <c r="CG131">
        <f ca="1" t="shared" si="134"/>
        <v>0.112613819719478</v>
      </c>
      <c r="CH131">
        <f ca="1" t="shared" si="147"/>
        <v>3139670.82879861</v>
      </c>
      <c r="CJ131">
        <f ca="1" t="shared" si="135"/>
        <v>1344706</v>
      </c>
      <c r="CK131">
        <f ca="1" t="shared" si="177"/>
        <v>3117766.65755859</v>
      </c>
      <c r="CL131">
        <f ca="1" t="shared" si="148"/>
        <v>1.91031568487951</v>
      </c>
      <c r="CM131">
        <f ca="1">IF(G131="恒定伤害",0,(IF(D131="轻剑",$CM$8,$CM$9)+IFERROR(INDEX(技能数据库!$T$2:$W$27,MATCH(E131,技能数据库!$T$2:$T$27,0),4),0)+COUNTIF(G131,"*造化2*")*154+COUNTIF(G131,"*造化1*")*102+COUNTIF(G131,"*碧归*")*307)/1024)</f>
        <v>0.0772587719297852</v>
      </c>
      <c r="CN131">
        <f ca="1" t="shared" si="149"/>
        <v>3442965.59193178</v>
      </c>
      <c r="CO131">
        <f ca="1" t="shared" si="150"/>
        <v>1.93888990357951</v>
      </c>
      <c r="CP131">
        <f ca="1" t="shared" si="151"/>
        <v>3453014.40051564</v>
      </c>
      <c r="CQ131">
        <f ca="1" t="shared" si="178"/>
        <v>1.8815754648</v>
      </c>
      <c r="CR131">
        <f ca="1">IF(G131="恒定伤害",0,(IF(D131="轻剑",$CR$8,$CR$9)+IFERROR(INDEX(技能数据库!$T$2:$W$27,MATCH(E131,技能数据库!$T$2:$T$27,0),4),0)+COUNTIF(G131,"*造化2*")*154+COUNTIF(G131,"*造化1*")*102+COUNTIF(G131,"*碧归*")*307)/1024)</f>
        <v>0.0674931469297852</v>
      </c>
      <c r="CS131">
        <f ca="1" t="shared" si="152"/>
        <v>3393079.02766212</v>
      </c>
    </row>
    <row r="132" spans="4:97">
      <c r="D132" t="s">
        <v>1825</v>
      </c>
      <c r="E132" s="161" t="s">
        <v>2861</v>
      </c>
      <c r="F132" t="s">
        <v>3160</v>
      </c>
      <c r="G132" t="s">
        <v>3044</v>
      </c>
      <c r="H132">
        <f ca="1">INDEX(技能数据库!$B$2:$I$100,MATCH(无穷阵眼收益计算!$E132,技能数据库!$B$2:$B$100,0),MATCH(H$9,技能数据库!$B$2:$I$2,0))</f>
        <v>1344706</v>
      </c>
      <c r="I132">
        <f ca="1">INDEX(技能数据库!$B$2:$I$100,MATCH(无穷阵眼收益计算!$E132,技能数据库!$B$2:$B$100,0),MATCH(I$9,技能数据库!$B$2:$I$2,0))</f>
        <v>0</v>
      </c>
      <c r="J132">
        <f ca="1">INDEX(技能数据库!$B$2:$I$100,MATCH(无穷阵眼收益计算!$E132,技能数据库!$B$2:$B$100,0),MATCH(J$9,技能数据库!$B$2:$I$2,0))</f>
        <v>0</v>
      </c>
      <c r="K132">
        <f ca="1">INDEX(技能数据库!$B$2:$I$100,MATCH(无穷阵眼收益计算!$E132,技能数据库!$B$2:$B$100,0),MATCH(K$9,技能数据库!$B$2:$I$2,0))</f>
        <v>0</v>
      </c>
      <c r="L132">
        <f ca="1" t="shared" si="97"/>
        <v>105847</v>
      </c>
      <c r="M132">
        <f ca="1" t="shared" si="179"/>
        <v>19530.5</v>
      </c>
      <c r="N132">
        <f ca="1" t="shared" si="180"/>
        <v>92028</v>
      </c>
      <c r="O132">
        <f ca="1" t="shared" si="138"/>
        <v>1344706</v>
      </c>
      <c r="P132">
        <f ca="1">IF(G132="恒定伤害",0,(IF(D132="轻剑",$AZ$2,$AZ$3)+IFERROR(INDEX(技能数据库!$T$2:$W$27,MATCH(E132,技能数据库!$T$2:$T$27,0),4),0)+COUNTIF(G132,"*造化2*")*154+COUNTIF(G132,"*造化1*")*102+COUNTIF(G132,"*碧归*")*307)/1024)</f>
        <v>0.116321271929785</v>
      </c>
      <c r="Q132">
        <f ca="1" t="shared" si="171"/>
        <v>0.0415122129107408</v>
      </c>
      <c r="R132">
        <f ca="1" t="shared" si="139"/>
        <v>0.21277697966198</v>
      </c>
      <c r="S132">
        <f ca="1" t="shared" si="181"/>
        <v>1230775.0833238</v>
      </c>
      <c r="T132">
        <f t="shared" si="165"/>
        <v>0.8</v>
      </c>
      <c r="U132">
        <f ca="1" t="shared" si="172"/>
        <v>2.67001635480339</v>
      </c>
      <c r="V132">
        <f ca="1" t="shared" si="182"/>
        <v>3613571.74790628</v>
      </c>
      <c r="W132">
        <f ca="1">IF(G132="恒定伤害",0,MIN(1,IF(COUNTIF(F132,"*内会*")&gt;0,内会2,IF(D132="轻剑",$Y$2,$Y$3)+COUNTIF(G132,"*莺鸣*")*0.2+COUNTIF(G132,"*叠1*")*0.1+COUNTIF(G132,"*叠2*")*0.2+COUNTIF(G132,"*叠3*")*0.3)+IFERROR(INDEX(技能数据库!$T$2:$W$27,MATCH(E132,技能数据库!$T$2:$T$27,0),2),0)+IF((IF(D132="轻剑",$AO$2,$AO$3)+INT(COUNTIF(G132,"*大莺鸣*")*IF(D132="轻剑",$AM$2,$AM$3)*听晓无双率)/无双系数)&gt;0.9,特效裤子会心/会心系数,0)))</f>
        <v>0.0826138197194782</v>
      </c>
      <c r="X132">
        <f ca="1">IF(G132="恒定伤害",0,IF(COUNTIF(F132,"*内会*")&gt;0,内会效2,IF(D132="轻剑",$AB$2,$AB$3))+IFERROR(INDEX(技能数据库!$T$2:$W$27,MATCH(E132,技能数据库!$T$2:$T$27,0),3)/1024,0))+COUNTIF(G132,"*叠1*")*0.25+COUNTIF(G132,"*叠2*")*0.5+COUNTIF(G132,"*叠3*")*0.75</f>
        <v>1.79000318487951</v>
      </c>
      <c r="Y132">
        <f ca="1" t="shared" si="183"/>
        <v>1.06526518069345</v>
      </c>
      <c r="Z132">
        <f t="shared" si="100"/>
        <v>0.150390625</v>
      </c>
      <c r="AA132">
        <f ca="1" t="shared" si="184"/>
        <v>0.0205078125</v>
      </c>
      <c r="AB132">
        <f ca="1" t="shared" si="185"/>
        <v>4519142.97513066</v>
      </c>
      <c r="AC132">
        <f ca="1">无穷技能数计算!$AJ124</f>
        <v>0</v>
      </c>
      <c r="AD132" s="164">
        <f ca="1" t="shared" si="170"/>
        <v>0</v>
      </c>
      <c r="AE132" s="168"/>
      <c r="AF132" s="168">
        <f ca="1" t="shared" si="101"/>
        <v>0.0826138197194782</v>
      </c>
      <c r="AG132">
        <f ca="1">无穷技能数计算!$AJ124</f>
        <v>0</v>
      </c>
      <c r="AH132">
        <f ca="1" t="shared" si="102"/>
        <v>109879</v>
      </c>
      <c r="AJ132">
        <f ca="1" t="shared" si="103"/>
        <v>1.79000318487951</v>
      </c>
      <c r="AK132">
        <f ca="1" t="shared" si="140"/>
        <v>1344706</v>
      </c>
      <c r="AL132">
        <f ca="1" t="shared" si="104"/>
        <v>4519142.97513066</v>
      </c>
      <c r="AM132" s="169">
        <f ca="1" t="shared" si="105"/>
        <v>0.0826138197194782</v>
      </c>
      <c r="AN132">
        <f ca="1">无穷技能数计算!$AJ124</f>
        <v>0</v>
      </c>
      <c r="AO132" s="170">
        <f ca="1" t="shared" si="106"/>
        <v>4519142.97513066</v>
      </c>
      <c r="AP132">
        <f ca="1" t="shared" si="107"/>
        <v>110956</v>
      </c>
      <c r="AQ132" s="170">
        <f ca="1" t="shared" si="141"/>
        <v>1344706</v>
      </c>
      <c r="AR132">
        <f ca="1" t="shared" si="173"/>
        <v>4519142.97513066</v>
      </c>
      <c r="AS132">
        <f ca="1" t="shared" si="109"/>
        <v>0.0826138197194782</v>
      </c>
      <c r="AT132">
        <f ca="1">无穷技能数计算!$AJ124</f>
        <v>0</v>
      </c>
      <c r="AU132">
        <f ca="1" t="shared" si="110"/>
        <v>1.79000318487951</v>
      </c>
      <c r="AV132">
        <f ca="1" t="shared" si="174"/>
        <v>2.68954760480339</v>
      </c>
      <c r="AW132">
        <f ca="1" t="shared" si="142"/>
        <v>4543193.14349503</v>
      </c>
      <c r="AX132">
        <f ca="1" t="shared" si="112"/>
        <v>0.0826138197194782</v>
      </c>
      <c r="AY132">
        <f ca="1">无穷技能数计算!$AJ124</f>
        <v>0</v>
      </c>
      <c r="AZ132" s="170">
        <f ca="1" t="shared" si="143"/>
        <v>4543193.14349503</v>
      </c>
      <c r="BA132">
        <f ca="1" t="shared" si="113"/>
        <v>0.0826138197194782</v>
      </c>
      <c r="BB132">
        <f ca="1">无穷技能数计算!$AJ124</f>
        <v>0</v>
      </c>
      <c r="BC132" s="170">
        <f ca="1" t="shared" si="144"/>
        <v>4543193.14349503</v>
      </c>
      <c r="BE132">
        <f ca="1" t="shared" si="114"/>
        <v>105849</v>
      </c>
      <c r="BF132">
        <f ca="1" t="shared" si="115"/>
        <v>1344706</v>
      </c>
      <c r="BI132">
        <f ca="1" t="shared" si="116"/>
        <v>0.0826138197194782</v>
      </c>
      <c r="BJ132">
        <f ca="1">无穷技能数计算!$AJ124</f>
        <v>0</v>
      </c>
      <c r="BK132">
        <f ca="1" t="shared" si="117"/>
        <v>4543193.14349503</v>
      </c>
      <c r="BM132">
        <f ca="1" t="shared" si="118"/>
        <v>109230</v>
      </c>
      <c r="BN132">
        <f ca="1" t="shared" si="119"/>
        <v>1344706</v>
      </c>
      <c r="BO132">
        <f ca="1" t="shared" si="175"/>
        <v>4519142.97513066</v>
      </c>
      <c r="BP132">
        <f ca="1" t="shared" si="176"/>
        <v>4519142.97513066</v>
      </c>
      <c r="BR132">
        <f ca="1" t="shared" si="122"/>
        <v>0.132613819719478</v>
      </c>
      <c r="BS132">
        <f ca="1" t="shared" si="123"/>
        <v>4711655.28409308</v>
      </c>
      <c r="BT132">
        <f ca="1" t="shared" si="124"/>
        <v>0.196995876306796</v>
      </c>
      <c r="BU132">
        <f ca="1" t="shared" si="125"/>
        <v>1.93648755987951</v>
      </c>
      <c r="BV132">
        <f ca="1" t="shared" si="145"/>
        <v>4864727.5021353</v>
      </c>
      <c r="BW132">
        <f ca="1" t="shared" si="126"/>
        <v>113027</v>
      </c>
      <c r="BX132">
        <f ca="1" t="shared" si="127"/>
        <v>1344706</v>
      </c>
      <c r="BY132">
        <f ca="1" t="shared" si="128"/>
        <v>0.0826138197194782</v>
      </c>
      <c r="BZ132">
        <f ca="1">无穷技能数计算!$AJ124</f>
        <v>0</v>
      </c>
      <c r="CA132">
        <f ca="1" t="shared" si="129"/>
        <v>1.79000318487951</v>
      </c>
      <c r="CB132">
        <f ca="1" t="shared" si="146"/>
        <v>4519142.97513066</v>
      </c>
      <c r="CC132">
        <f ca="1" t="shared" si="130"/>
        <v>114847</v>
      </c>
      <c r="CD132">
        <f ca="1" t="shared" si="131"/>
        <v>1344706</v>
      </c>
      <c r="CE132">
        <f ca="1" t="shared" si="132"/>
        <v>4519142.97513066</v>
      </c>
      <c r="CF132">
        <f ca="1" t="shared" si="133"/>
        <v>1.79000318487951</v>
      </c>
      <c r="CG132">
        <f ca="1" t="shared" si="134"/>
        <v>0.112613819719478</v>
      </c>
      <c r="CH132">
        <f ca="1" t="shared" si="147"/>
        <v>4543193.14349503</v>
      </c>
      <c r="CJ132">
        <f ca="1" t="shared" si="135"/>
        <v>1344706</v>
      </c>
      <c r="CK132">
        <f ca="1" t="shared" si="177"/>
        <v>4519142.97513066</v>
      </c>
      <c r="CL132">
        <f ca="1" t="shared" si="148"/>
        <v>1.91031568487951</v>
      </c>
      <c r="CM132">
        <f ca="1">IF(G132="恒定伤害",0,(IF(D132="轻剑",$CM$8,$CM$9)+IFERROR(INDEX(技能数据库!$T$2:$W$27,MATCH(E132,技能数据库!$T$2:$T$27,0),4),0)+COUNTIF(G132,"*造化2*")*154+COUNTIF(G132,"*造化1*")*102+COUNTIF(G132,"*碧归*")*307)/1024)</f>
        <v>0.176868146929785</v>
      </c>
      <c r="CN132">
        <f ca="1" t="shared" si="149"/>
        <v>4957083.55232678</v>
      </c>
      <c r="CO132">
        <f ca="1" t="shared" si="150"/>
        <v>1.93888990357951</v>
      </c>
      <c r="CP132">
        <f ca="1" t="shared" si="151"/>
        <v>4971551.54000237</v>
      </c>
      <c r="CQ132">
        <f ca="1" t="shared" si="178"/>
        <v>2.77157885480339</v>
      </c>
      <c r="CR132">
        <f ca="1">IF(G132="恒定伤害",0,(IF(D132="轻剑",$CR$8,$CR$9)+IFERROR(INDEX(技能数据库!$T$2:$W$27,MATCH(E132,技能数据库!$T$2:$T$27,0),4),0)+COUNTIF(G132,"*造化2*")*154+COUNTIF(G132,"*造化1*")*102+COUNTIF(G132,"*碧归*")*307)/1024)</f>
        <v>0.167102521929785</v>
      </c>
      <c r="CS132">
        <f ca="1" t="shared" si="152"/>
        <v>4855467.83234804</v>
      </c>
    </row>
    <row r="133" spans="4:97">
      <c r="D133" t="s">
        <v>1825</v>
      </c>
      <c r="E133" s="161" t="s">
        <v>2869</v>
      </c>
      <c r="G133" t="s">
        <v>3044</v>
      </c>
      <c r="H133">
        <f ca="1">INDEX(技能数据库!$B$2:$I$100,MATCH(无穷阵眼收益计算!$E133,技能数据库!$B$2:$B$100,0),MATCH(H$9,技能数据库!$B$2:$I$2,0))</f>
        <v>1544889</v>
      </c>
      <c r="I133">
        <f ca="1">INDEX(技能数据库!$B$2:$I$100,MATCH(无穷阵眼收益计算!$E133,技能数据库!$B$2:$B$100,0),MATCH(I$9,技能数据库!$B$2:$I$2,0))</f>
        <v>0</v>
      </c>
      <c r="J133">
        <f ca="1">INDEX(技能数据库!$B$2:$I$100,MATCH(无穷阵眼收益计算!$E133,技能数据库!$B$2:$B$100,0),MATCH(J$9,技能数据库!$B$2:$I$2,0))</f>
        <v>0</v>
      </c>
      <c r="K133">
        <f ca="1">INDEX(技能数据库!$B$2:$I$100,MATCH(无穷阵眼收益计算!$E133,技能数据库!$B$2:$B$100,0),MATCH(K$9,技能数据库!$B$2:$I$2,0))</f>
        <v>0</v>
      </c>
      <c r="L133">
        <f ca="1" t="shared" si="97"/>
        <v>105847</v>
      </c>
      <c r="M133">
        <f ca="1" t="shared" si="179"/>
        <v>19530.5</v>
      </c>
      <c r="N133">
        <f ca="1" t="shared" si="180"/>
        <v>92028</v>
      </c>
      <c r="O133">
        <f ca="1" t="shared" si="138"/>
        <v>1544889</v>
      </c>
      <c r="P133">
        <f ca="1">IF(G133="恒定伤害",0,(IF(D133="轻剑",$AZ$2,$AZ$3)+IFERROR(INDEX(技能数据库!$T$2:$W$27,MATCH(E133,技能数据库!$T$2:$T$27,0),4),0)+COUNTIF(G133,"*造化2*")*154+COUNTIF(G133,"*造化1*")*102+COUNTIF(G133,"*碧归*")*307)/1024)</f>
        <v>0.116321271929785</v>
      </c>
      <c r="Q133">
        <f ca="1" t="shared" si="171"/>
        <v>0.448284482196154</v>
      </c>
      <c r="R133">
        <f ca="1" t="shared" si="139"/>
        <v>0.21277697966198</v>
      </c>
      <c r="S133">
        <f ca="1" t="shared" si="181"/>
        <v>1966247.322436</v>
      </c>
      <c r="T133">
        <f t="shared" si="165"/>
        <v>0.8</v>
      </c>
      <c r="U133">
        <f ca="1" t="shared" si="172"/>
        <v>2.67001635480339</v>
      </c>
      <c r="V133">
        <f ca="1" t="shared" si="182"/>
        <v>5772927.86474278</v>
      </c>
      <c r="W133">
        <f ca="1">IF(G133="恒定伤害",0,MIN(1,IF(COUNTIF(F133,"*内会*")&gt;0,内会2,IF(D133="轻剑",$Y$2,$Y$3)+COUNTIF(G133,"*莺鸣*")*0.2+COUNTIF(G133,"*叠1*")*0.1+COUNTIF(G133,"*叠2*")*0.2+COUNTIF(G133,"*叠3*")*0.3)+IFERROR(INDEX(技能数据库!$T$2:$W$27,MATCH(E133,技能数据库!$T$2:$T$27,0),2),0)+IF((IF(D133="轻剑",$AO$2,$AO$3)+INT(COUNTIF(G133,"*大莺鸣*")*IF(D133="轻剑",$AM$2,$AM$3)*听晓无双率)/无双系数)&gt;0.9,特效裤子会心/会心系数,0)))</f>
        <v>0.9043</v>
      </c>
      <c r="X133">
        <f ca="1">IF(G133="恒定伤害",0,IF(COUNTIF(F133,"*内会*")&gt;0,内会效2,IF(D133="轻剑",$AB$2,$AB$3))+IFERROR(INDEX(技能数据库!$T$2:$W$27,MATCH(E133,技能数据库!$T$2:$T$27,0),3)/1024,0))+COUNTIF(G133,"*叠1*")*0.25+COUNTIF(G133,"*叠2*")*0.5+COUNTIF(G133,"*叠3*")*0.75</f>
        <v>2.1773735021</v>
      </c>
      <c r="Y133">
        <f ca="1" t="shared" si="183"/>
        <v>2.06469885794903</v>
      </c>
      <c r="Z133">
        <f t="shared" si="100"/>
        <v>0.150390625</v>
      </c>
      <c r="AA133">
        <f ca="1" t="shared" si="184"/>
        <v>0.0205078125</v>
      </c>
      <c r="AB133">
        <f ca="1" t="shared" si="185"/>
        <v>13993118.6308418</v>
      </c>
      <c r="AC133">
        <f ca="1">无穷技能数计算!$AJ125</f>
        <v>0</v>
      </c>
      <c r="AD133" s="164">
        <f ca="1" t="shared" si="170"/>
        <v>0</v>
      </c>
      <c r="AE133" s="168"/>
      <c r="AF133" s="168">
        <f ca="1" t="shared" si="101"/>
        <v>0.9057</v>
      </c>
      <c r="AG133">
        <f ca="1">无穷技能数计算!$AJ125</f>
        <v>0</v>
      </c>
      <c r="AH133">
        <f ca="1" t="shared" si="102"/>
        <v>109879</v>
      </c>
      <c r="AJ133">
        <f ca="1" t="shared" si="103"/>
        <v>2.3765922521</v>
      </c>
      <c r="AK133">
        <f ca="1" t="shared" si="140"/>
        <v>1544889</v>
      </c>
      <c r="AL133">
        <f ca="1" t="shared" si="104"/>
        <v>15231325.2966666</v>
      </c>
      <c r="AM133" s="169">
        <f ca="1" t="shared" si="105"/>
        <v>0.9272</v>
      </c>
      <c r="AN133">
        <f ca="1">无穷技能数计算!$AJ125</f>
        <v>0</v>
      </c>
      <c r="AO133" s="170">
        <f ca="1" t="shared" si="106"/>
        <v>15431966.9056139</v>
      </c>
      <c r="AP133">
        <f ca="1" t="shared" si="107"/>
        <v>110956</v>
      </c>
      <c r="AQ133" s="170">
        <f ca="1" t="shared" si="141"/>
        <v>1544889</v>
      </c>
      <c r="AR133">
        <f ca="1" t="shared" si="173"/>
        <v>14814060.2885157</v>
      </c>
      <c r="AS133">
        <f ca="1" t="shared" si="109"/>
        <v>0.9843</v>
      </c>
      <c r="AT133">
        <f ca="1">无穷技能数计算!$AJ125</f>
        <v>0</v>
      </c>
      <c r="AU133">
        <f ca="1" t="shared" si="110"/>
        <v>2.3238578771</v>
      </c>
      <c r="AV133">
        <f ca="1" t="shared" si="174"/>
        <v>2.68954760480339</v>
      </c>
      <c r="AW133">
        <f ca="1" t="shared" si="142"/>
        <v>15691724.6648147</v>
      </c>
      <c r="AX133">
        <f ca="1" t="shared" si="112"/>
        <v>0.9743</v>
      </c>
      <c r="AY133">
        <f ca="1">无穷技能数计算!$AJ125</f>
        <v>0</v>
      </c>
      <c r="AZ133" s="170">
        <f ca="1" t="shared" si="143"/>
        <v>15601525.1334895</v>
      </c>
      <c r="BA133">
        <f ca="1" t="shared" si="113"/>
        <v>0.9643</v>
      </c>
      <c r="BB133">
        <f ca="1">无穷技能数计算!$AJ125</f>
        <v>0</v>
      </c>
      <c r="BC133" s="170">
        <f ca="1" t="shared" si="144"/>
        <v>15511325.6021642</v>
      </c>
      <c r="BE133">
        <f ca="1" t="shared" si="114"/>
        <v>105849</v>
      </c>
      <c r="BF133">
        <f ca="1" t="shared" si="115"/>
        <v>1544889</v>
      </c>
      <c r="BI133">
        <f ca="1" t="shared" si="116"/>
        <v>0.9543</v>
      </c>
      <c r="BJ133">
        <f ca="1">无穷技能数计算!$AJ125</f>
        <v>0</v>
      </c>
      <c r="BK133">
        <f ca="1" t="shared" si="117"/>
        <v>15334634.9311202</v>
      </c>
      <c r="BM133">
        <f ca="1" t="shared" si="118"/>
        <v>109230</v>
      </c>
      <c r="BN133">
        <f ca="1" t="shared" si="119"/>
        <v>1544889</v>
      </c>
      <c r="BO133">
        <f ca="1" t="shared" si="175"/>
        <v>15112351.2934604</v>
      </c>
      <c r="BP133">
        <f ca="1" t="shared" si="176"/>
        <v>14411777.924049</v>
      </c>
      <c r="BR133">
        <f ca="1" t="shared" si="122"/>
        <v>0.9543</v>
      </c>
      <c r="BS133">
        <f ca="1" t="shared" si="123"/>
        <v>14901570.411927</v>
      </c>
      <c r="BT133">
        <f ca="1" t="shared" si="124"/>
        <v>0.196995876306796</v>
      </c>
      <c r="BU133">
        <f ca="1" t="shared" si="125"/>
        <v>2.3238578771</v>
      </c>
      <c r="BV133">
        <f ca="1" t="shared" si="145"/>
        <v>15646995.5508197</v>
      </c>
      <c r="BW133">
        <f ca="1" t="shared" si="126"/>
        <v>113027</v>
      </c>
      <c r="BX133">
        <f ca="1" t="shared" si="127"/>
        <v>1544889</v>
      </c>
      <c r="BY133">
        <f ca="1" t="shared" si="128"/>
        <v>0.9343</v>
      </c>
      <c r="BZ133">
        <f ca="1">无穷技能数计算!$AJ125</f>
        <v>0</v>
      </c>
      <c r="CA133">
        <f ca="1" t="shared" si="129"/>
        <v>2.3277641271</v>
      </c>
      <c r="CB133">
        <f ca="1" t="shared" si="146"/>
        <v>15184782.1779842</v>
      </c>
      <c r="CC133">
        <f ca="1" t="shared" si="130"/>
        <v>114847</v>
      </c>
      <c r="CD133">
        <f ca="1" t="shared" si="131"/>
        <v>1544889</v>
      </c>
      <c r="CE133">
        <f ca="1" t="shared" si="132"/>
        <v>14658323.0128972</v>
      </c>
      <c r="CF133">
        <f ca="1" t="shared" si="133"/>
        <v>2.2750297521</v>
      </c>
      <c r="CG133">
        <f ca="1" t="shared" si="134"/>
        <v>0.9343</v>
      </c>
      <c r="CH133">
        <f ca="1" t="shared" si="147"/>
        <v>14929899.5953299</v>
      </c>
      <c r="CJ133">
        <f ca="1" t="shared" si="135"/>
        <v>1544889</v>
      </c>
      <c r="CK133">
        <f ca="1" t="shared" si="177"/>
        <v>15043893.1657488</v>
      </c>
      <c r="CL133">
        <f ca="1" t="shared" si="148"/>
        <v>2.2976860021</v>
      </c>
      <c r="CM133">
        <f ca="1">IF(G133="恒定伤害",0,(IF(D133="轻剑",$CM$8,$CM$9)+IFERROR(INDEX(技能数据库!$T$2:$W$27,MATCH(E133,技能数据库!$T$2:$T$27,0),4),0)+COUNTIF(G133,"*造化2*")*154+COUNTIF(G133,"*造化1*")*102+COUNTIF(G133,"*碧归*")*307)/1024)</f>
        <v>0.176868146929785</v>
      </c>
      <c r="CN133">
        <f ca="1" t="shared" si="149"/>
        <v>15891711.6905774</v>
      </c>
      <c r="CO133">
        <f ca="1" t="shared" si="150"/>
        <v>2.3262602208</v>
      </c>
      <c r="CP133">
        <f ca="1" t="shared" si="151"/>
        <v>16083473.5526821</v>
      </c>
      <c r="CQ133">
        <f ca="1" t="shared" si="178"/>
        <v>2.77157885480339</v>
      </c>
      <c r="CR133">
        <f ca="1">IF(G133="恒定伤害",0,(IF(D133="轻剑",$CR$8,$CR$9)+IFERROR(INDEX(技能数据库!$T$2:$W$27,MATCH(E133,技能数据库!$T$2:$T$27,0),4),0)+COUNTIF(G133,"*造化2*")*154+COUNTIF(G133,"*造化1*")*102+COUNTIF(G133,"*碧归*")*307)/1024)</f>
        <v>0.167102521929785</v>
      </c>
      <c r="CS133">
        <f ca="1" t="shared" si="152"/>
        <v>15034518.2173215</v>
      </c>
    </row>
    <row r="134" spans="4:97">
      <c r="D134" t="s">
        <v>1825</v>
      </c>
      <c r="E134" s="161" t="s">
        <v>2871</v>
      </c>
      <c r="F134" t="s">
        <v>2503</v>
      </c>
      <c r="G134" t="s">
        <v>3044</v>
      </c>
      <c r="H134">
        <f ca="1">INDEX(技能数据库!$B$2:$I$100,MATCH(无穷阵眼收益计算!$E134,技能数据库!$B$2:$B$100,0),MATCH(H$9,技能数据库!$B$2:$I$2,0))</f>
        <v>2607915</v>
      </c>
      <c r="I134">
        <f ca="1">INDEX(技能数据库!$B$2:$I$100,MATCH(无穷阵眼收益计算!$E134,技能数据库!$B$2:$B$100,0),MATCH(I$9,技能数据库!$B$2:$I$2,0))</f>
        <v>0</v>
      </c>
      <c r="J134">
        <f ca="1">INDEX(技能数据库!$B$2:$I$100,MATCH(无穷阵眼收益计算!$E134,技能数据库!$B$2:$B$100,0),MATCH(J$9,技能数据库!$B$2:$I$2,0))</f>
        <v>0</v>
      </c>
      <c r="K134">
        <f ca="1">INDEX(技能数据库!$B$2:$I$100,MATCH(无穷阵眼收益计算!$E134,技能数据库!$B$2:$B$100,0),MATCH(K$9,技能数据库!$B$2:$I$2,0))</f>
        <v>0</v>
      </c>
      <c r="L134">
        <f ca="1" t="shared" si="97"/>
        <v>105847</v>
      </c>
      <c r="M134">
        <f ca="1" t="shared" si="179"/>
        <v>19530.5</v>
      </c>
      <c r="N134">
        <f ca="1" t="shared" si="180"/>
        <v>92028</v>
      </c>
      <c r="O134">
        <f ca="1" t="shared" si="138"/>
        <v>2607915</v>
      </c>
      <c r="P134">
        <f ca="1">IF(G134="恒定伤害",0,(IF(D134="轻剑",$AZ$2,$AZ$3)+IFERROR(INDEX(技能数据库!$T$2:$W$27,MATCH(E134,技能数据库!$T$2:$T$27,0),4),0)+COUNTIF(G134,"*造化2*")*154+COUNTIF(G134,"*造化1*")*102+COUNTIF(G134,"*碧归*")*307)/1024)</f>
        <v>0.116321271929785</v>
      </c>
      <c r="Q134">
        <f ca="1" t="shared" si="171"/>
        <v>0.0415122129107408</v>
      </c>
      <c r="R134">
        <f ca="1" t="shared" si="139"/>
        <v>0.21277697966198</v>
      </c>
      <c r="S134">
        <f ca="1" t="shared" si="181"/>
        <v>2386958.04244674</v>
      </c>
      <c r="T134">
        <f t="shared" si="165"/>
        <v>0.8</v>
      </c>
      <c r="U134">
        <f ca="1" t="shared" si="172"/>
        <v>2.67001635480339</v>
      </c>
      <c r="V134">
        <f ca="1" t="shared" si="182"/>
        <v>7008140.04320721</v>
      </c>
      <c r="W134">
        <f ca="1">IF(G134="恒定伤害",0,MIN(1,IF(COUNTIF(F134,"*内会*")&gt;0,内会2,IF(D134="轻剑",$Y$2,$Y$3)+COUNTIF(G134,"*莺鸣*")*0.2+COUNTIF(G134,"*叠1*")*0.1+COUNTIF(G134,"*叠2*")*0.2+COUNTIF(G134,"*叠3*")*0.3)+IFERROR(INDEX(技能数据库!$T$2:$W$27,MATCH(E134,技能数据库!$T$2:$T$27,0),2),0)+IF((IF(D134="轻剑",$AO$2,$AO$3)+INT(COUNTIF(G134,"*大莺鸣*")*IF(D134="轻剑",$AM$2,$AM$3)*听晓无双率)/无双系数)&gt;0.9,特效裤子会心/会心系数,0)))</f>
        <v>0.9043</v>
      </c>
      <c r="X134">
        <f ca="1">IF(G134="恒定伤害",0,IF(COUNTIF(F134,"*内会*")&gt;0,内会效2,IF(D134="轻剑",$AB$2,$AB$3))+IFERROR(INDEX(技能数据库!$T$2:$W$27,MATCH(E134,技能数据库!$T$2:$T$27,0),3)/1024,0))+COUNTIF(G134,"*叠1*")*0.25+COUNTIF(G134,"*叠2*")*0.5+COUNTIF(G134,"*叠3*")*0.75</f>
        <v>2.1773735021</v>
      </c>
      <c r="Y134">
        <f ca="1" t="shared" si="183"/>
        <v>2.06469885794903</v>
      </c>
      <c r="Z134">
        <f t="shared" si="100"/>
        <v>0.150390625</v>
      </c>
      <c r="AA134">
        <f ca="1" t="shared" si="184"/>
        <v>0.0205078125</v>
      </c>
      <c r="AB134">
        <f ca="1" t="shared" si="185"/>
        <v>16987174.8450335</v>
      </c>
      <c r="AC134">
        <f ca="1">无穷技能数计算!$AJ126</f>
        <v>0</v>
      </c>
      <c r="AD134" s="164">
        <f ca="1" t="shared" si="170"/>
        <v>0</v>
      </c>
      <c r="AE134" s="168"/>
      <c r="AF134" s="168">
        <f ca="1" t="shared" si="101"/>
        <v>0.9057</v>
      </c>
      <c r="AG134">
        <f ca="1">无穷技能数计算!$AJ126</f>
        <v>0</v>
      </c>
      <c r="AH134">
        <f ca="1" t="shared" si="102"/>
        <v>109879</v>
      </c>
      <c r="AJ134">
        <f ca="1" t="shared" si="103"/>
        <v>2.3765922521</v>
      </c>
      <c r="AK134">
        <f ca="1" t="shared" si="140"/>
        <v>2607915</v>
      </c>
      <c r="AL134">
        <f ca="1" t="shared" si="104"/>
        <v>18485232.2666031</v>
      </c>
      <c r="AM134" s="169">
        <f ca="1" t="shared" si="105"/>
        <v>0.9272</v>
      </c>
      <c r="AN134">
        <f ca="1">无穷技能数计算!$AJ126</f>
        <v>0</v>
      </c>
      <c r="AO134" s="170">
        <f ca="1" t="shared" si="106"/>
        <v>18728737.4555144</v>
      </c>
      <c r="AP134">
        <f ca="1" t="shared" si="107"/>
        <v>110956</v>
      </c>
      <c r="AQ134" s="170">
        <f ca="1" t="shared" si="141"/>
        <v>2607915</v>
      </c>
      <c r="AR134">
        <f ca="1" t="shared" si="173"/>
        <v>16987174.8450335</v>
      </c>
      <c r="AS134">
        <f ca="1" t="shared" si="109"/>
        <v>0.9843</v>
      </c>
      <c r="AT134">
        <f ca="1">无穷技能数计算!$AJ126</f>
        <v>0</v>
      </c>
      <c r="AU134">
        <f ca="1" t="shared" si="110"/>
        <v>2.3238578771</v>
      </c>
      <c r="AV134">
        <f ca="1" t="shared" si="174"/>
        <v>2.68954760480339</v>
      </c>
      <c r="AW134">
        <f ca="1" t="shared" si="142"/>
        <v>19049225.3752369</v>
      </c>
      <c r="AX134">
        <f ca="1" t="shared" si="112"/>
        <v>0.9743</v>
      </c>
      <c r="AY134">
        <f ca="1">无穷技能数计算!$AJ126</f>
        <v>0</v>
      </c>
      <c r="AZ134" s="170">
        <f ca="1" t="shared" si="143"/>
        <v>18939726.1813842</v>
      </c>
      <c r="BA134">
        <f ca="1" t="shared" si="113"/>
        <v>0.9643</v>
      </c>
      <c r="BB134">
        <f ca="1">无穷技能数计算!$AJ126</f>
        <v>0</v>
      </c>
      <c r="BC134" s="170">
        <f ca="1" t="shared" si="144"/>
        <v>18830226.9875315</v>
      </c>
      <c r="BE134">
        <f ca="1" t="shared" si="114"/>
        <v>105849</v>
      </c>
      <c r="BF134">
        <f ca="1" t="shared" si="115"/>
        <v>2607915</v>
      </c>
      <c r="BI134">
        <f ca="1" t="shared" si="116"/>
        <v>0.9543</v>
      </c>
      <c r="BJ134">
        <f ca="1">无穷技能数计算!$AJ126</f>
        <v>0</v>
      </c>
      <c r="BK134">
        <f ca="1" t="shared" si="117"/>
        <v>17564493.6653217</v>
      </c>
      <c r="BM134">
        <f ca="1" t="shared" si="118"/>
        <v>109230</v>
      </c>
      <c r="BN134">
        <f ca="1" t="shared" si="119"/>
        <v>2607915</v>
      </c>
      <c r="BO134">
        <f ca="1" t="shared" si="175"/>
        <v>16987174.8450335</v>
      </c>
      <c r="BP134">
        <f ca="1" t="shared" si="176"/>
        <v>16987174.8450335</v>
      </c>
      <c r="BR134">
        <f ca="1" t="shared" si="122"/>
        <v>0.9543</v>
      </c>
      <c r="BS134">
        <f ca="1" t="shared" si="123"/>
        <v>17564493.6653217</v>
      </c>
      <c r="BT134">
        <f ca="1" t="shared" si="124"/>
        <v>0.196995876306796</v>
      </c>
      <c r="BU134">
        <f ca="1" t="shared" si="125"/>
        <v>2.3238578771</v>
      </c>
      <c r="BV134">
        <f ca="1" t="shared" si="145"/>
        <v>18994925.7369545</v>
      </c>
      <c r="BW134">
        <f ca="1" t="shared" si="126"/>
        <v>113027</v>
      </c>
      <c r="BX134">
        <f ca="1" t="shared" si="127"/>
        <v>2607915</v>
      </c>
      <c r="BY134">
        <f ca="1" t="shared" si="128"/>
        <v>0.9343</v>
      </c>
      <c r="BZ134">
        <f ca="1">无穷技能数计算!$AJ126</f>
        <v>0</v>
      </c>
      <c r="CA134">
        <f ca="1" t="shared" si="129"/>
        <v>2.3277641271</v>
      </c>
      <c r="CB134">
        <f ca="1" t="shared" si="146"/>
        <v>18433814.2658659</v>
      </c>
      <c r="CC134">
        <f ca="1" t="shared" si="130"/>
        <v>114847</v>
      </c>
      <c r="CD134">
        <f ca="1" t="shared" si="131"/>
        <v>2607915</v>
      </c>
      <c r="CE134">
        <f ca="1" t="shared" si="132"/>
        <v>17277777.7500685</v>
      </c>
      <c r="CF134">
        <f ca="1" t="shared" si="133"/>
        <v>2.2750297521</v>
      </c>
      <c r="CG134">
        <f ca="1" t="shared" si="134"/>
        <v>0.9343</v>
      </c>
      <c r="CH134">
        <f ca="1" t="shared" si="147"/>
        <v>18124395.3928665</v>
      </c>
      <c r="CJ134">
        <f ca="1" t="shared" si="135"/>
        <v>2607915</v>
      </c>
      <c r="CK134">
        <f ca="1" t="shared" si="177"/>
        <v>16987174.8450335</v>
      </c>
      <c r="CL134">
        <f ca="1" t="shared" si="148"/>
        <v>2.2976860021</v>
      </c>
      <c r="CM134">
        <f ca="1">IF(G134="恒定伤害",0,(IF(D134="轻剑",$CM$8,$CM$9)+IFERROR(INDEX(技能数据库!$T$2:$W$27,MATCH(E134,技能数据库!$T$2:$T$27,0),4),0)+COUNTIF(G134,"*造化2*")*154+COUNTIF(G134,"*造化1*")*102+COUNTIF(G134,"*碧归*")*307)/1024)</f>
        <v>0.176868146929785</v>
      </c>
      <c r="CN134">
        <f ca="1" t="shared" si="149"/>
        <v>19292002.8905994</v>
      </c>
      <c r="CO134">
        <f ca="1" t="shared" si="150"/>
        <v>2.3262602208</v>
      </c>
      <c r="CP134">
        <f ca="1" t="shared" si="151"/>
        <v>19524795.3342369</v>
      </c>
      <c r="CQ134">
        <f ca="1" t="shared" si="178"/>
        <v>2.77157885480339</v>
      </c>
      <c r="CR134">
        <f ca="1">IF(G134="恒定伤害",0,(IF(D134="轻剑",$CR$8,$CR$9)+IFERROR(INDEX(技能数据库!$T$2:$W$27,MATCH(E134,技能数据库!$T$2:$T$27,0),4),0)+COUNTIF(G134,"*造化2*")*154+COUNTIF(G134,"*造化1*")*102+COUNTIF(G134,"*碧归*")*307)/1024)</f>
        <v>0.167102521929785</v>
      </c>
      <c r="CS134">
        <f ca="1" t="shared" si="152"/>
        <v>18251398.8772721</v>
      </c>
    </row>
    <row r="135" spans="4:97">
      <c r="D135" t="s">
        <v>1825</v>
      </c>
      <c r="E135" s="161" t="s">
        <v>2885</v>
      </c>
      <c r="F135" t="s">
        <v>2503</v>
      </c>
      <c r="G135" t="s">
        <v>3044</v>
      </c>
      <c r="H135">
        <f ca="1">INDEX(技能数据库!$B$2:$I$100,MATCH(无穷阵眼收益计算!$E135,技能数据库!$B$2:$B$100,0),MATCH(H$9,技能数据库!$B$2:$I$2,0))</f>
        <v>2133748</v>
      </c>
      <c r="I135">
        <f ca="1">INDEX(技能数据库!$B$2:$I$100,MATCH(无穷阵眼收益计算!$E135,技能数据库!$B$2:$B$100,0),MATCH(I$9,技能数据库!$B$2:$I$2,0))</f>
        <v>0</v>
      </c>
      <c r="J135">
        <f ca="1">INDEX(技能数据库!$B$2:$I$100,MATCH(无穷阵眼收益计算!$E135,技能数据库!$B$2:$B$100,0),MATCH(J$9,技能数据库!$B$2:$I$2,0))</f>
        <v>0</v>
      </c>
      <c r="K135">
        <f ca="1">INDEX(技能数据库!$B$2:$I$100,MATCH(无穷阵眼收益计算!$E135,技能数据库!$B$2:$B$100,0),MATCH(K$9,技能数据库!$B$2:$I$2,0))</f>
        <v>0</v>
      </c>
      <c r="L135">
        <f ca="1" t="shared" si="97"/>
        <v>105847</v>
      </c>
      <c r="M135">
        <f ca="1" t="shared" si="179"/>
        <v>19530.5</v>
      </c>
      <c r="N135">
        <f ca="1" t="shared" si="180"/>
        <v>92028</v>
      </c>
      <c r="O135">
        <f ca="1" t="shared" si="138"/>
        <v>2133748</v>
      </c>
      <c r="P135">
        <f ca="1">IF(G135="恒定伤害",0,(IF(D135="轻剑",$AZ$2,$AZ$3)+IFERROR(INDEX(技能数据库!$T$2:$W$27,MATCH(E135,技能数据库!$T$2:$T$27,0),4),0)+COUNTIF(G135,"*造化2*")*154+COUNTIF(G135,"*造化1*")*102+COUNTIF(G135,"*碧归*")*307)/1024)</f>
        <v>0.116321271929785</v>
      </c>
      <c r="Q135">
        <f ca="1" t="shared" si="171"/>
        <v>0.0415122129107408</v>
      </c>
      <c r="R135">
        <f ca="1" t="shared" si="139"/>
        <v>0.21277697966198</v>
      </c>
      <c r="S135">
        <f ca="1" t="shared" si="181"/>
        <v>1952965.08864539</v>
      </c>
      <c r="T135">
        <f t="shared" si="165"/>
        <v>0.8</v>
      </c>
      <c r="U135">
        <f ca="1" t="shared" si="172"/>
        <v>2.67001635480339</v>
      </c>
      <c r="V135">
        <f ca="1" t="shared" si="182"/>
        <v>5733931.05255091</v>
      </c>
      <c r="W135">
        <f ca="1">IF(G135="恒定伤害",0,MIN(1,IF(COUNTIF(F135,"*内会*")&gt;0,内会2,IF(D135="轻剑",$Y$2,$Y$3)+COUNTIF(G135,"*莺鸣*")*0.2+COUNTIF(G135,"*叠1*")*0.1+COUNTIF(G135,"*叠2*")*0.2+COUNTIF(G135,"*叠3*")*0.3)+IFERROR(INDEX(技能数据库!$T$2:$W$27,MATCH(E135,技能数据库!$T$2:$T$27,0),2),0)+IF((IF(D135="轻剑",$AO$2,$AO$3)+INT(COUNTIF(G135,"*大莺鸣*")*IF(D135="轻剑",$AM$2,$AM$3)*听晓无双率)/无双系数)&gt;0.9,特效裤子会心/会心系数,0)))</f>
        <v>0.9043</v>
      </c>
      <c r="X135">
        <f ca="1">IF(G135="恒定伤害",0,IF(COUNTIF(F135,"*内会*")&gt;0,内会效2,IF(D135="轻剑",$AB$2,$AB$3))+IFERROR(INDEX(技能数据库!$T$2:$W$27,MATCH(E135,技能数据库!$T$2:$T$27,0),3)/1024,0))+COUNTIF(G135,"*叠1*")*0.25+COUNTIF(G135,"*叠2*")*0.5+COUNTIF(G135,"*叠3*")*0.75</f>
        <v>2.1773735021</v>
      </c>
      <c r="Y135">
        <f ca="1" t="shared" si="183"/>
        <v>2.06469885794903</v>
      </c>
      <c r="Z135">
        <f t="shared" si="100"/>
        <v>0.150390625</v>
      </c>
      <c r="AA135">
        <f ca="1" t="shared" si="184"/>
        <v>0.0205078125</v>
      </c>
      <c r="AB135">
        <f ca="1" t="shared" si="185"/>
        <v>13898593.4554004</v>
      </c>
      <c r="AC135">
        <f ca="1">无穷技能数计算!$AJ127</f>
        <v>0</v>
      </c>
      <c r="AD135" s="164">
        <f ca="1" t="shared" si="170"/>
        <v>0</v>
      </c>
      <c r="AE135" s="168"/>
      <c r="AF135" s="168">
        <f ca="1" t="shared" si="101"/>
        <v>0.9057</v>
      </c>
      <c r="AG135">
        <f ca="1">无穷技能数计算!$AJ127</f>
        <v>0</v>
      </c>
      <c r="AH135">
        <f ca="1" t="shared" si="102"/>
        <v>109879</v>
      </c>
      <c r="AJ135">
        <f ca="1" t="shared" si="103"/>
        <v>2.3765922521</v>
      </c>
      <c r="AK135">
        <f ca="1" t="shared" si="140"/>
        <v>2133748</v>
      </c>
      <c r="AL135">
        <f ca="1" t="shared" si="104"/>
        <v>15124276.4347764</v>
      </c>
      <c r="AM135" s="169">
        <f ca="1" t="shared" si="105"/>
        <v>0.9272</v>
      </c>
      <c r="AN135">
        <f ca="1">无穷技能数计算!$AJ127</f>
        <v>0</v>
      </c>
      <c r="AO135" s="170">
        <f ca="1" t="shared" si="106"/>
        <v>15323507.8935583</v>
      </c>
      <c r="AP135">
        <f ca="1" t="shared" si="107"/>
        <v>110956</v>
      </c>
      <c r="AQ135" s="170">
        <f ca="1" t="shared" si="141"/>
        <v>2133748</v>
      </c>
      <c r="AR135">
        <f ca="1" t="shared" si="173"/>
        <v>13898593.4554004</v>
      </c>
      <c r="AS135">
        <f ca="1" t="shared" si="109"/>
        <v>0.9843</v>
      </c>
      <c r="AT135">
        <f ca="1">无穷技能数计算!$AJ127</f>
        <v>0</v>
      </c>
      <c r="AU135">
        <f ca="1" t="shared" si="110"/>
        <v>2.3238578771</v>
      </c>
      <c r="AV135">
        <f ca="1" t="shared" si="174"/>
        <v>2.68954760480339</v>
      </c>
      <c r="AW135">
        <f ca="1" t="shared" si="142"/>
        <v>15585725.204219</v>
      </c>
      <c r="AX135">
        <f ca="1" t="shared" si="112"/>
        <v>0.9743</v>
      </c>
      <c r="AY135">
        <f ca="1">无穷技能数计算!$AJ127</f>
        <v>0</v>
      </c>
      <c r="AZ135" s="170">
        <f ca="1" t="shared" si="143"/>
        <v>15496134.9814224</v>
      </c>
      <c r="BA135">
        <f ca="1" t="shared" si="113"/>
        <v>0.9643</v>
      </c>
      <c r="BB135">
        <f ca="1">无穷技能数计算!$AJ127</f>
        <v>0</v>
      </c>
      <c r="BC135" s="170">
        <f ca="1" t="shared" si="144"/>
        <v>15406544.7586257</v>
      </c>
      <c r="BE135">
        <f ca="1" t="shared" si="114"/>
        <v>105849</v>
      </c>
      <c r="BF135">
        <f ca="1" t="shared" si="115"/>
        <v>2133748</v>
      </c>
      <c r="BI135">
        <f ca="1" t="shared" si="116"/>
        <v>0.9543</v>
      </c>
      <c r="BJ135">
        <f ca="1">无穷技能数计算!$AJ127</f>
        <v>0</v>
      </c>
      <c r="BK135">
        <f ca="1" t="shared" si="117"/>
        <v>14370945.0765814</v>
      </c>
      <c r="BM135">
        <f ca="1" t="shared" si="118"/>
        <v>109230</v>
      </c>
      <c r="BN135">
        <f ca="1" t="shared" si="119"/>
        <v>2133748</v>
      </c>
      <c r="BO135">
        <f ca="1" t="shared" si="175"/>
        <v>13898593.4554004</v>
      </c>
      <c r="BP135">
        <f ca="1" t="shared" si="176"/>
        <v>13898593.4554004</v>
      </c>
      <c r="BR135">
        <f ca="1" t="shared" si="122"/>
        <v>0.9543</v>
      </c>
      <c r="BS135">
        <f ca="1" t="shared" si="123"/>
        <v>14370945.0765814</v>
      </c>
      <c r="BT135">
        <f ca="1" t="shared" si="124"/>
        <v>0.196995876306796</v>
      </c>
      <c r="BU135">
        <f ca="1" t="shared" si="125"/>
        <v>2.3238578771</v>
      </c>
      <c r="BV135">
        <f ca="1" t="shared" si="145"/>
        <v>15541298.2406923</v>
      </c>
      <c r="BW135">
        <f ca="1" t="shared" si="126"/>
        <v>113027</v>
      </c>
      <c r="BX135">
        <f ca="1" t="shared" si="127"/>
        <v>2133748</v>
      </c>
      <c r="BY135">
        <f ca="1" t="shared" si="128"/>
        <v>0.9343</v>
      </c>
      <c r="BZ135">
        <f ca="1">无穷技能数计算!$AJ127</f>
        <v>0</v>
      </c>
      <c r="CA135">
        <f ca="1" t="shared" si="129"/>
        <v>2.3277641271</v>
      </c>
      <c r="CB135">
        <f ca="1" t="shared" si="146"/>
        <v>15082207.1739925</v>
      </c>
      <c r="CC135">
        <f ca="1" t="shared" si="130"/>
        <v>114847</v>
      </c>
      <c r="CD135">
        <f ca="1" t="shared" si="131"/>
        <v>2133748</v>
      </c>
      <c r="CE135">
        <f ca="1" t="shared" si="132"/>
        <v>14136359.3977002</v>
      </c>
      <c r="CF135">
        <f ca="1" t="shared" si="133"/>
        <v>2.2750297521</v>
      </c>
      <c r="CG135">
        <f ca="1" t="shared" si="134"/>
        <v>0.9343</v>
      </c>
      <c r="CH135">
        <f ca="1" t="shared" si="147"/>
        <v>14829046.3534042</v>
      </c>
      <c r="CJ135">
        <f ca="1" t="shared" si="135"/>
        <v>2133748</v>
      </c>
      <c r="CK135">
        <f ca="1" t="shared" si="177"/>
        <v>13898593.4554004</v>
      </c>
      <c r="CL135">
        <f ca="1" t="shared" si="148"/>
        <v>2.2976860021</v>
      </c>
      <c r="CM135">
        <f ca="1">IF(G135="恒定伤害",0,(IF(D135="轻剑",$CM$8,$CM$9)+IFERROR(INDEX(技能数据库!$T$2:$W$27,MATCH(E135,技能数据库!$T$2:$T$27,0),4),0)+COUNTIF(G135,"*造化2*")*154+COUNTIF(G135,"*造化1*")*102+COUNTIF(G135,"*碧归*")*307)/1024)</f>
        <v>0.176868146929785</v>
      </c>
      <c r="CN135">
        <f ca="1" t="shared" si="149"/>
        <v>15784361.2939113</v>
      </c>
      <c r="CO135">
        <f ca="1" t="shared" si="150"/>
        <v>2.3262602208</v>
      </c>
      <c r="CP135">
        <f ca="1" t="shared" si="151"/>
        <v>15974827.7819013</v>
      </c>
      <c r="CQ135">
        <f ca="1" t="shared" si="178"/>
        <v>2.77157885480339</v>
      </c>
      <c r="CR135">
        <f ca="1">IF(G135="恒定伤害",0,(IF(D135="轻剑",$CR$8,$CR$9)+IFERROR(INDEX(技能数据库!$T$2:$W$27,MATCH(E135,技能数据库!$T$2:$T$27,0),4),0)+COUNTIF(G135,"*造化2*")*154+COUNTIF(G135,"*造化1*")*102+COUNTIF(G135,"*碧归*")*307)/1024)</f>
        <v>0.167102521929785</v>
      </c>
      <c r="CS135">
        <f ca="1" t="shared" si="152"/>
        <v>14932958.2642002</v>
      </c>
    </row>
    <row r="136" spans="4:97">
      <c r="D136" t="s">
        <v>1825</v>
      </c>
      <c r="E136" s="161" t="s">
        <v>2897</v>
      </c>
      <c r="F136" t="s">
        <v>3160</v>
      </c>
      <c r="G136" t="s">
        <v>3044</v>
      </c>
      <c r="H136">
        <f ca="1">INDEX(技能数据库!$B$2:$I$100,MATCH(无穷阵眼收益计算!$E136,技能数据库!$B$2:$B$100,0),MATCH(H$9,技能数据库!$B$2:$I$2,0))</f>
        <v>4978746</v>
      </c>
      <c r="I136">
        <f ca="1">INDEX(技能数据库!$B$2:$I$100,MATCH(无穷阵眼收益计算!$E136,技能数据库!$B$2:$B$100,0),MATCH(I$9,技能数据库!$B$2:$I$2,0))</f>
        <v>0</v>
      </c>
      <c r="J136">
        <f ca="1">INDEX(技能数据库!$B$2:$I$100,MATCH(无穷阵眼收益计算!$E136,技能数据库!$B$2:$B$100,0),MATCH(J$9,技能数据库!$B$2:$I$2,0))</f>
        <v>0</v>
      </c>
      <c r="K136">
        <f ca="1">INDEX(技能数据库!$B$2:$I$100,MATCH(无穷阵眼收益计算!$E136,技能数据库!$B$2:$B$100,0),MATCH(K$9,技能数据库!$B$2:$I$2,0))</f>
        <v>0</v>
      </c>
      <c r="L136">
        <f ca="1" t="shared" si="97"/>
        <v>105847</v>
      </c>
      <c r="M136">
        <f ca="1" t="shared" si="179"/>
        <v>19530.5</v>
      </c>
      <c r="N136">
        <f ca="1" t="shared" si="180"/>
        <v>92028</v>
      </c>
      <c r="O136">
        <f ca="1" t="shared" si="138"/>
        <v>4978746</v>
      </c>
      <c r="P136">
        <f ca="1">IF(G136="恒定伤害",0,(IF(D136="轻剑",$AZ$2,$AZ$3)+IFERROR(INDEX(技能数据库!$T$2:$W$27,MATCH(E136,技能数据库!$T$2:$T$27,0),4),0)+COUNTIF(G136,"*造化2*")*154+COUNTIF(G136,"*造化1*")*102+COUNTIF(G136,"*碧归*")*307)/1024)</f>
        <v>0.116321271929785</v>
      </c>
      <c r="Q136">
        <f ca="1" t="shared" si="171"/>
        <v>0.0415122129107408</v>
      </c>
      <c r="R136">
        <f ca="1" t="shared" si="139"/>
        <v>0.21277697966198</v>
      </c>
      <c r="S136">
        <f ca="1" t="shared" si="181"/>
        <v>4556919.15035556</v>
      </c>
      <c r="T136">
        <f t="shared" si="165"/>
        <v>0.8</v>
      </c>
      <c r="U136">
        <f ca="1" t="shared" si="172"/>
        <v>2.67001635480339</v>
      </c>
      <c r="V136">
        <f ca="1" t="shared" si="182"/>
        <v>13379174.2474574</v>
      </c>
      <c r="W136">
        <f ca="1">IF(G136="恒定伤害",0,MIN(1,IF(COUNTIF(F136,"*内会*")&gt;0,内会2,IF(D136="轻剑",$Y$2,$Y$3)+COUNTIF(G136,"*莺鸣*")*0.2+COUNTIF(G136,"*叠1*")*0.1+COUNTIF(G136,"*叠2*")*0.2+COUNTIF(G136,"*叠3*")*0.3)+IFERROR(INDEX(技能数据库!$T$2:$W$27,MATCH(E136,技能数据库!$T$2:$T$27,0),2),0)+IF((IF(D136="轻剑",$AO$2,$AO$3)+INT(COUNTIF(G136,"*大莺鸣*")*IF(D136="轻剑",$AM$2,$AM$3)*听晓无双率)/无双系数)&gt;0.9,特效裤子会心/会心系数,0)))</f>
        <v>0.0826138197194782</v>
      </c>
      <c r="X136">
        <f ca="1">IF(G136="恒定伤害",0,IF(COUNTIF(F136,"*内会*")&gt;0,内会效2,IF(D136="轻剑",$AB$2,$AB$3))+IFERROR(INDEX(技能数据库!$T$2:$W$27,MATCH(E136,技能数据库!$T$2:$T$27,0),3)/1024,0))+COUNTIF(G136,"*叠1*")*0.25+COUNTIF(G136,"*叠2*")*0.5+COUNTIF(G136,"*叠3*")*0.75</f>
        <v>1.79000318487951</v>
      </c>
      <c r="Y136">
        <f ca="1" t="shared" si="183"/>
        <v>1.06526518069345</v>
      </c>
      <c r="Z136">
        <f t="shared" si="100"/>
        <v>0.150390625</v>
      </c>
      <c r="AA136">
        <f ca="1" t="shared" si="184"/>
        <v>0.0205078125</v>
      </c>
      <c r="AB136">
        <f ca="1" t="shared" si="185"/>
        <v>16732032.8836637</v>
      </c>
      <c r="AC136">
        <f ca="1">无穷技能数计算!$AJ128</f>
        <v>0</v>
      </c>
      <c r="AD136" s="164">
        <f ca="1" t="shared" si="170"/>
        <v>0</v>
      </c>
      <c r="AE136" s="168"/>
      <c r="AF136" s="168">
        <f ca="1" t="shared" si="101"/>
        <v>0.0826138197194782</v>
      </c>
      <c r="AG136">
        <f ca="1">无穷技能数计算!$AJ128</f>
        <v>0</v>
      </c>
      <c r="AH136">
        <f ca="1" t="shared" si="102"/>
        <v>109879</v>
      </c>
      <c r="AJ136">
        <f ca="1" t="shared" si="103"/>
        <v>1.79000318487951</v>
      </c>
      <c r="AK136">
        <f ca="1" t="shared" si="140"/>
        <v>4978746</v>
      </c>
      <c r="AL136">
        <f ca="1" t="shared" si="104"/>
        <v>16732032.8836637</v>
      </c>
      <c r="AM136" s="169">
        <f ca="1" t="shared" si="105"/>
        <v>0.0826138197194782</v>
      </c>
      <c r="AN136">
        <f ca="1">无穷技能数计算!$AJ128</f>
        <v>0</v>
      </c>
      <c r="AO136" s="170">
        <f ca="1" t="shared" si="106"/>
        <v>16732032.8836637</v>
      </c>
      <c r="AP136">
        <f ca="1" t="shared" si="107"/>
        <v>110956</v>
      </c>
      <c r="AQ136" s="170">
        <f ca="1" t="shared" si="141"/>
        <v>4978746</v>
      </c>
      <c r="AR136">
        <f ca="1" t="shared" si="173"/>
        <v>16732032.8836637</v>
      </c>
      <c r="AS136">
        <f ca="1" t="shared" si="109"/>
        <v>0.0826138197194782</v>
      </c>
      <c r="AT136">
        <f ca="1">无穷技能数计算!$AJ128</f>
        <v>0</v>
      </c>
      <c r="AU136">
        <f ca="1" t="shared" si="110"/>
        <v>1.79000318487951</v>
      </c>
      <c r="AV136">
        <f ca="1" t="shared" si="174"/>
        <v>2.68954760480339</v>
      </c>
      <c r="AW136">
        <f ca="1" t="shared" si="142"/>
        <v>16821078.1318766</v>
      </c>
      <c r="AX136">
        <f ca="1" t="shared" si="112"/>
        <v>0.0826138197194782</v>
      </c>
      <c r="AY136">
        <f ca="1">无穷技能数计算!$AJ128</f>
        <v>0</v>
      </c>
      <c r="AZ136" s="170">
        <f ca="1" t="shared" si="143"/>
        <v>16821078.1318766</v>
      </c>
      <c r="BA136">
        <f ca="1" t="shared" si="113"/>
        <v>0.0826138197194782</v>
      </c>
      <c r="BB136">
        <f ca="1">无穷技能数计算!$AJ128</f>
        <v>0</v>
      </c>
      <c r="BC136" s="170">
        <f ca="1" t="shared" si="144"/>
        <v>16821078.1318766</v>
      </c>
      <c r="BE136">
        <f ca="1" t="shared" si="114"/>
        <v>105849</v>
      </c>
      <c r="BF136">
        <f ca="1" t="shared" si="115"/>
        <v>4978746</v>
      </c>
      <c r="BI136">
        <f ca="1" t="shared" si="116"/>
        <v>0.0826138197194782</v>
      </c>
      <c r="BJ136">
        <f ca="1">无穷技能数计算!$AJ128</f>
        <v>0</v>
      </c>
      <c r="BK136">
        <f ca="1" t="shared" si="117"/>
        <v>16821078.1318766</v>
      </c>
      <c r="BM136">
        <f ca="1" t="shared" si="118"/>
        <v>109230</v>
      </c>
      <c r="BN136">
        <f ca="1" t="shared" si="119"/>
        <v>4978746</v>
      </c>
      <c r="BO136">
        <f ca="1" t="shared" si="175"/>
        <v>16732032.8836637</v>
      </c>
      <c r="BP136">
        <f ca="1" t="shared" si="176"/>
        <v>16732032.8836637</v>
      </c>
      <c r="BR136">
        <f ca="1" t="shared" si="122"/>
        <v>0.132613819719478</v>
      </c>
      <c r="BS136">
        <f ca="1" t="shared" si="123"/>
        <v>17444805.7040404</v>
      </c>
      <c r="BT136">
        <f ca="1" t="shared" si="124"/>
        <v>0.196995876306796</v>
      </c>
      <c r="BU136">
        <f ca="1" t="shared" si="125"/>
        <v>1.93648755987951</v>
      </c>
      <c r="BV136">
        <f ca="1" t="shared" si="145"/>
        <v>18011552.4079956</v>
      </c>
      <c r="BW136">
        <f ca="1" t="shared" si="126"/>
        <v>113027</v>
      </c>
      <c r="BX136">
        <f ca="1" t="shared" si="127"/>
        <v>4978746</v>
      </c>
      <c r="BY136">
        <f ca="1" t="shared" si="128"/>
        <v>0.0826138197194782</v>
      </c>
      <c r="BZ136">
        <f ca="1">无穷技能数计算!$AJ128</f>
        <v>0</v>
      </c>
      <c r="CA136">
        <f ca="1" t="shared" si="129"/>
        <v>1.79000318487951</v>
      </c>
      <c r="CB136">
        <f ca="1" t="shared" si="146"/>
        <v>16732032.8836637</v>
      </c>
      <c r="CC136">
        <f ca="1" t="shared" si="130"/>
        <v>114847</v>
      </c>
      <c r="CD136">
        <f ca="1" t="shared" si="131"/>
        <v>4978746</v>
      </c>
      <c r="CE136">
        <f ca="1" t="shared" si="132"/>
        <v>16732032.8836637</v>
      </c>
      <c r="CF136">
        <f ca="1" t="shared" si="133"/>
        <v>1.79000318487951</v>
      </c>
      <c r="CG136">
        <f ca="1" t="shared" si="134"/>
        <v>0.112613819719478</v>
      </c>
      <c r="CH136">
        <f ca="1" t="shared" si="147"/>
        <v>16821078.1318766</v>
      </c>
      <c r="CJ136">
        <f ca="1" t="shared" si="135"/>
        <v>4978746</v>
      </c>
      <c r="CK136">
        <f ca="1" t="shared" si="177"/>
        <v>16732032.8836637</v>
      </c>
      <c r="CL136">
        <f ca="1" t="shared" si="148"/>
        <v>1.91031568487951</v>
      </c>
      <c r="CM136">
        <f ca="1">IF(G136="恒定伤害",0,(IF(D136="轻剑",$CM$8,$CM$9)+IFERROR(INDEX(技能数据库!$T$2:$W$27,MATCH(E136,技能数据库!$T$2:$T$27,0),4),0)+COUNTIF(G136,"*造化2*")*154+COUNTIF(G136,"*造化1*")*102+COUNTIF(G136,"*碧归*")*307)/1024)</f>
        <v>0.176868146929785</v>
      </c>
      <c r="CN136">
        <f ca="1" t="shared" si="149"/>
        <v>18353498.7631592</v>
      </c>
      <c r="CO136">
        <f ca="1" t="shared" si="150"/>
        <v>1.93888990357951</v>
      </c>
      <c r="CP136">
        <f ca="1" t="shared" si="151"/>
        <v>18407066.1866465</v>
      </c>
      <c r="CQ136">
        <f ca="1" t="shared" si="178"/>
        <v>2.77157885480339</v>
      </c>
      <c r="CR136">
        <f ca="1">IF(G136="恒定伤害",0,(IF(D136="轻剑",$CR$8,$CR$9)+IFERROR(INDEX(技能数据库!$T$2:$W$27,MATCH(E136,技能数据库!$T$2:$T$27,0),4),0)+COUNTIF(G136,"*造化2*")*154+COUNTIF(G136,"*造化1*")*102+COUNTIF(G136,"*碧归*")*307)/1024)</f>
        <v>0.167102521929785</v>
      </c>
      <c r="CS136">
        <f ca="1" t="shared" si="152"/>
        <v>17977268.6731757</v>
      </c>
    </row>
    <row r="137" spans="4:97">
      <c r="D137" t="s">
        <v>1825</v>
      </c>
      <c r="E137" t="s">
        <v>2776</v>
      </c>
      <c r="G137" t="s">
        <v>3046</v>
      </c>
      <c r="H137">
        <f ca="1">INDEX(技能数据库!$B$2:$I$100,MATCH(无穷阵眼收益计算!$E137,技能数据库!$B$2:$B$100,0),MATCH(H$9,技能数据库!$B$2:$I$2,0))</f>
        <v>281.5</v>
      </c>
      <c r="I137">
        <f ca="1">INDEX(技能数据库!$B$2:$I$100,MATCH(无穷阵眼收益计算!$E137,技能数据库!$B$2:$B$100,0),MATCH(I$9,技能数据库!$B$2:$I$2,0))</f>
        <v>7.06875</v>
      </c>
      <c r="J137">
        <f ca="1">INDEX(技能数据库!$B$2:$I$100,MATCH(无穷阵眼收益计算!$E137,技能数据库!$B$2:$B$100,0),MATCH(J$9,技能数据库!$B$2:$I$2,0))</f>
        <v>2</v>
      </c>
      <c r="K137">
        <f ca="1">INDEX(技能数据库!$B$2:$I$100,MATCH(无穷阵眼收益计算!$E137,技能数据库!$B$2:$B$100,0),MATCH(K$9,技能数据库!$B$2:$I$2,0))</f>
        <v>0</v>
      </c>
      <c r="L137">
        <f ca="1" t="shared" si="97"/>
        <v>91975</v>
      </c>
      <c r="M137">
        <f ca="1" t="shared" si="179"/>
        <v>19530.5</v>
      </c>
      <c r="N137">
        <f ca="1" t="shared" si="180"/>
        <v>92028</v>
      </c>
      <c r="O137">
        <f ca="1" t="shared" si="138"/>
        <v>689490.78125</v>
      </c>
      <c r="P137">
        <f ca="1">IF(G137="恒定伤害",0,(IF(D137="轻剑",$AZ$2,$AZ$3)+IFERROR(INDEX(技能数据库!$T$2:$W$27,MATCH(E137,技能数据库!$T$2:$T$27,0),4),0)+COUNTIF(G137,"*造化2*")*154+COUNTIF(G137,"*造化1*")*102+COUNTIF(G137,"*碧归*")*307)/1024)</f>
        <v>0.337024396929785</v>
      </c>
      <c r="Q137">
        <f ca="1" t="shared" si="171"/>
        <v>0.448284482196154</v>
      </c>
      <c r="R137">
        <f ca="1" t="shared" si="139"/>
        <v>0.32958230397716</v>
      </c>
      <c r="S137">
        <f ca="1" t="shared" si="181"/>
        <v>895090.901234674</v>
      </c>
      <c r="T137">
        <f t="shared" si="165"/>
        <v>0.8</v>
      </c>
      <c r="U137">
        <f ca="1" t="shared" si="172"/>
        <v>1.7800129648</v>
      </c>
      <c r="V137">
        <f ca="1" t="shared" si="182"/>
        <v>1990691.44808553</v>
      </c>
      <c r="W137">
        <f ca="1">IF(G137="恒定伤害",0,MIN(1,IF(COUNTIF(F137,"*内会*")&gt;0,内会2,IF(D137="轻剑",$Y$2,$Y$3)+COUNTIF(G137,"*莺鸣*")*0.2+COUNTIF(G137,"*叠1*")*0.1+COUNTIF(G137,"*叠2*")*0.2+COUNTIF(G137,"*叠3*")*0.3)+IFERROR(INDEX(技能数据库!$T$2:$W$27,MATCH(E137,技能数据库!$T$2:$T$27,0),2),0)+IF((IF(D137="轻剑",$AO$2,$AO$3)+INT(COUNTIF(G137,"*大莺鸣*")*IF(D137="轻剑",$AM$2,$AM$3)*听晓无双率)/无双系数)&gt;0.9,特效裤子会心/会心系数,0)))</f>
        <v>0.7043</v>
      </c>
      <c r="X137">
        <f ca="1">IF(G137="恒定伤害",0,IF(COUNTIF(F137,"*内会*")&gt;0,内会效2,IF(D137="轻剑",$AB$2,$AB$3))+IFERROR(INDEX(技能数据库!$T$2:$W$27,MATCH(E137,技能数据库!$T$2:$T$27,0),3)/1024,0))+COUNTIF(G137,"*叠1*")*0.25+COUNTIF(G137,"*叠2*")*0.5+COUNTIF(G137,"*叠3*")*0.75</f>
        <v>2.1773735021</v>
      </c>
      <c r="Y137">
        <f ca="1" t="shared" si="183"/>
        <v>1.82922415752903</v>
      </c>
      <c r="Z137">
        <f t="shared" si="100"/>
        <v>0.150390625</v>
      </c>
      <c r="AA137">
        <f ca="1" t="shared" si="184"/>
        <v>0.0205078125</v>
      </c>
      <c r="AB137">
        <f ca="1" t="shared" si="185"/>
        <v>4274964.83434298</v>
      </c>
      <c r="AC137">
        <f ca="1">无穷技能数计算!$AJ129</f>
        <v>0</v>
      </c>
      <c r="AD137" s="164">
        <f ca="1" t="shared" si="170"/>
        <v>0</v>
      </c>
      <c r="AE137" s="168"/>
      <c r="AF137" s="168">
        <f ca="1" t="shared" si="101"/>
        <v>0.7057</v>
      </c>
      <c r="AG137">
        <f ca="1">无穷技能数计算!$AJ129</f>
        <v>0</v>
      </c>
      <c r="AH137">
        <f ca="1" t="shared" si="102"/>
        <v>96007</v>
      </c>
      <c r="AJ137">
        <f ca="1" t="shared" si="103"/>
        <v>2.3765922521</v>
      </c>
      <c r="AK137">
        <f ca="1" t="shared" si="140"/>
        <v>718468.98125</v>
      </c>
      <c r="AL137">
        <f ca="1" t="shared" si="104"/>
        <v>4802339.10758535</v>
      </c>
      <c r="AM137" s="169">
        <f ca="1" t="shared" si="105"/>
        <v>0.7272</v>
      </c>
      <c r="AN137">
        <f ca="1">无穷技能数计算!$AJ129</f>
        <v>0</v>
      </c>
      <c r="AO137" s="170">
        <f ca="1" t="shared" si="106"/>
        <v>4874434.64453977</v>
      </c>
      <c r="AP137">
        <f ca="1" t="shared" si="107"/>
        <v>97084</v>
      </c>
      <c r="AQ137" s="170">
        <f ca="1" t="shared" si="141"/>
        <v>725605.025</v>
      </c>
      <c r="AR137">
        <f ca="1" t="shared" si="173"/>
        <v>4762817.66945217</v>
      </c>
      <c r="AS137">
        <f ca="1" t="shared" si="109"/>
        <v>0.7843</v>
      </c>
      <c r="AT137">
        <f ca="1">无穷技能数计算!$AJ129</f>
        <v>0</v>
      </c>
      <c r="AU137">
        <f ca="1" t="shared" si="110"/>
        <v>2.3238578771</v>
      </c>
      <c r="AV137">
        <f ca="1" t="shared" si="174"/>
        <v>1.7995442148</v>
      </c>
      <c r="AW137">
        <f ca="1" t="shared" si="142"/>
        <v>4797053.93858966</v>
      </c>
      <c r="AX137">
        <f ca="1" t="shared" si="112"/>
        <v>0.7743</v>
      </c>
      <c r="AY137">
        <f ca="1">无穷技能数计算!$AJ129</f>
        <v>0</v>
      </c>
      <c r="AZ137" s="170">
        <f ca="1" t="shared" si="143"/>
        <v>4765897.52273312</v>
      </c>
      <c r="BA137">
        <f ca="1" t="shared" si="113"/>
        <v>0.7643</v>
      </c>
      <c r="BB137">
        <f ca="1">无穷技能数计算!$AJ129</f>
        <v>0</v>
      </c>
      <c r="BC137" s="170">
        <f ca="1" t="shared" si="144"/>
        <v>4734741.10687658</v>
      </c>
      <c r="BE137">
        <f ca="1" t="shared" si="114"/>
        <v>91977</v>
      </c>
      <c r="BF137">
        <f ca="1" t="shared" si="115"/>
        <v>689504.91875</v>
      </c>
      <c r="BI137">
        <f ca="1" t="shared" si="116"/>
        <v>0.7543</v>
      </c>
      <c r="BJ137">
        <f ca="1">无穷技能数计算!$AJ129</f>
        <v>0</v>
      </c>
      <c r="BK137">
        <f ca="1" t="shared" si="117"/>
        <v>4709586.99747548</v>
      </c>
      <c r="BM137">
        <f ca="1" t="shared" si="118"/>
        <v>95358</v>
      </c>
      <c r="BN137">
        <f ca="1" t="shared" si="119"/>
        <v>713404.3625</v>
      </c>
      <c r="BO137">
        <f ca="1" t="shared" si="175"/>
        <v>4777023.39120063</v>
      </c>
      <c r="BP137">
        <f ca="1" t="shared" si="176"/>
        <v>4555571.72508045</v>
      </c>
      <c r="BR137">
        <f ca="1" t="shared" si="122"/>
        <v>0.7543</v>
      </c>
      <c r="BS137">
        <f ca="1" t="shared" si="123"/>
        <v>4735216.21149314</v>
      </c>
      <c r="BT137">
        <f ca="1" t="shared" si="124"/>
        <v>0.318170800459405</v>
      </c>
      <c r="BU137">
        <f ca="1" t="shared" si="125"/>
        <v>2.3238578771</v>
      </c>
      <c r="BV137">
        <f ca="1" t="shared" si="145"/>
        <v>4750273.17489997</v>
      </c>
      <c r="BW137">
        <f ca="1" t="shared" si="126"/>
        <v>99155</v>
      </c>
      <c r="BX137">
        <f ca="1" t="shared" si="127"/>
        <v>740244.40625</v>
      </c>
      <c r="BY137">
        <f ca="1" t="shared" si="128"/>
        <v>0.7343</v>
      </c>
      <c r="BZ137">
        <f ca="1">无穷技能数计算!$AJ129</f>
        <v>0</v>
      </c>
      <c r="CA137">
        <f ca="1" t="shared" si="129"/>
        <v>2.3277641271</v>
      </c>
      <c r="CB137">
        <f ca="1" t="shared" si="146"/>
        <v>4955350.45991705</v>
      </c>
      <c r="CC137">
        <f ca="1" t="shared" si="130"/>
        <v>100975</v>
      </c>
      <c r="CD137">
        <f ca="1" t="shared" si="131"/>
        <v>753109.53125</v>
      </c>
      <c r="CE137">
        <f ca="1" t="shared" si="132"/>
        <v>4901977.32031029</v>
      </c>
      <c r="CF137">
        <f ca="1" t="shared" si="133"/>
        <v>2.2750297521</v>
      </c>
      <c r="CG137">
        <f ca="1" t="shared" si="134"/>
        <v>0.7343</v>
      </c>
      <c r="CH137">
        <f ca="1" t="shared" si="147"/>
        <v>4556889.88083008</v>
      </c>
      <c r="CJ137">
        <f ca="1" t="shared" si="135"/>
        <v>713404.3625</v>
      </c>
      <c r="CK137">
        <f ca="1" t="shared" si="177"/>
        <v>4755383.73559404</v>
      </c>
      <c r="CL137">
        <f ca="1" t="shared" si="148"/>
        <v>2.2976860021</v>
      </c>
      <c r="CM137">
        <f ca="1">IF(G137="恒定伤害",0,(IF(D137="轻剑",$CM$8,$CM$9)+IFERROR(INDEX(技能数据库!$T$2:$W$27,MATCH(E137,技能数据库!$T$2:$T$27,0),4),0)+COUNTIF(G137,"*造化2*")*154+COUNTIF(G137,"*造化1*")*102+COUNTIF(G137,"*碧归*")*307)/1024)</f>
        <v>0.397571271929785</v>
      </c>
      <c r="CN137">
        <f ca="1" t="shared" si="149"/>
        <v>4804173.98679926</v>
      </c>
      <c r="CO137">
        <f ca="1" t="shared" si="150"/>
        <v>2.3262602208</v>
      </c>
      <c r="CP137">
        <f ca="1" t="shared" si="151"/>
        <v>4855790.4987802</v>
      </c>
      <c r="CQ137">
        <f ca="1" t="shared" si="178"/>
        <v>1.8815754648</v>
      </c>
      <c r="CR137">
        <f ca="1">IF(G137="恒定伤害",0,(IF(D137="轻剑",$CR$8,$CR$9)+IFERROR(INDEX(技能数据库!$T$2:$W$27,MATCH(E137,技能数据库!$T$2:$T$27,0),4),0)+COUNTIF(G137,"*造化2*")*154+COUNTIF(G137,"*造化1*")*102+COUNTIF(G137,"*碧归*")*307)/1024)</f>
        <v>0.387805646929785</v>
      </c>
      <c r="CS137">
        <f ca="1" t="shared" si="152"/>
        <v>4599440.88391614</v>
      </c>
    </row>
    <row r="138" spans="4:97">
      <c r="D138" t="s">
        <v>1825</v>
      </c>
      <c r="E138" t="s">
        <v>2780</v>
      </c>
      <c r="G138" t="s">
        <v>3046</v>
      </c>
      <c r="H138">
        <f ca="1">INDEX(技能数据库!$B$2:$I$100,MATCH(无穷阵眼收益计算!$E138,技能数据库!$B$2:$B$100,0),MATCH(H$9,技能数据库!$B$2:$I$2,0))</f>
        <v>252.5</v>
      </c>
      <c r="I138">
        <f ca="1">INDEX(技能数据库!$B$2:$I$100,MATCH(无穷阵眼收益计算!$E138,技能数据库!$B$2:$B$100,0),MATCH(I$9,技能数据库!$B$2:$I$2,0))</f>
        <v>2.11875</v>
      </c>
      <c r="J138">
        <f ca="1">INDEX(技能数据库!$B$2:$I$100,MATCH(无穷阵眼收益计算!$E138,技能数据库!$B$2:$B$100,0),MATCH(J$9,技能数据库!$B$2:$I$2,0))</f>
        <v>2</v>
      </c>
      <c r="K138">
        <f ca="1">INDEX(技能数据库!$B$2:$I$100,MATCH(无穷阵眼收益计算!$E138,技能数据库!$B$2:$B$100,0),MATCH(K$9,技能数据库!$B$2:$I$2,0))</f>
        <v>0</v>
      </c>
      <c r="L138">
        <f ca="1" t="shared" ref="L138:L201" si="186">IF(D138="轻剑",$V$2,$V$3)+INT(残雪*(COUNTIF(G138,"*莺鸣*")+COUNTIF(G138,"*叠1*")+COUNTIF(G138,"*叠2*")*2+COUNTIF(G138,"*叠3*")*3)*IF(D138="轻剑",$U$2,$U$3)*154/1024+COUNTIF(G138,"*雾锁*")*205/1024*IF(D138="轻剑",$U$2,$U$3))</f>
        <v>91975</v>
      </c>
      <c r="M138">
        <f ca="1" t="shared" si="179"/>
        <v>19530.5</v>
      </c>
      <c r="N138">
        <f ca="1" t="shared" si="180"/>
        <v>92028</v>
      </c>
      <c r="O138">
        <f ca="1" t="shared" si="138"/>
        <v>234185.53125</v>
      </c>
      <c r="P138">
        <f ca="1">IF(G138="恒定伤害",0,(IF(D138="轻剑",$AZ$2,$AZ$3)+IFERROR(INDEX(技能数据库!$T$2:$W$27,MATCH(E138,技能数据库!$T$2:$T$27,0),4),0)+COUNTIF(G138,"*造化2*")*154+COUNTIF(G138,"*造化1*")*102+COUNTIF(G138,"*碧归*")*307)/1024)</f>
        <v>0.337024396929785</v>
      </c>
      <c r="Q138">
        <f ca="1" t="shared" si="171"/>
        <v>0.448284482196154</v>
      </c>
      <c r="R138">
        <f ca="1" t="shared" si="139"/>
        <v>0.32958230397716</v>
      </c>
      <c r="S138">
        <f ca="1" t="shared" si="181"/>
        <v>304017.608245119</v>
      </c>
      <c r="T138">
        <f t="shared" si="165"/>
        <v>0.8</v>
      </c>
      <c r="U138">
        <f ca="1" t="shared" si="172"/>
        <v>1.7800129648</v>
      </c>
      <c r="V138">
        <f ca="1" t="shared" si="182"/>
        <v>676138.313959134</v>
      </c>
      <c r="W138">
        <f ca="1">IF(G138="恒定伤害",0,MIN(1,IF(COUNTIF(F138,"*内会*")&gt;0,内会2,IF(D138="轻剑",$Y$2,$Y$3)+COUNTIF(G138,"*莺鸣*")*0.2+COUNTIF(G138,"*叠1*")*0.1+COUNTIF(G138,"*叠2*")*0.2+COUNTIF(G138,"*叠3*")*0.3)+IFERROR(INDEX(技能数据库!$T$2:$W$27,MATCH(E138,技能数据库!$T$2:$T$27,0),2),0)+IF((IF(D138="轻剑",$AO$2,$AO$3)+INT(COUNTIF(G138,"*大莺鸣*")*IF(D138="轻剑",$AM$2,$AM$3)*听晓无双率)/无双系数)&gt;0.9,特效裤子会心/会心系数,0)))</f>
        <v>0.7043</v>
      </c>
      <c r="X138">
        <f ca="1">IF(G138="恒定伤害",0,IF(COUNTIF(F138,"*内会*")&gt;0,内会效2,IF(D138="轻剑",$AB$2,$AB$3))+IFERROR(INDEX(技能数据库!$T$2:$W$27,MATCH(E138,技能数据库!$T$2:$T$27,0),3)/1024,0))+COUNTIF(G138,"*叠1*")*0.25+COUNTIF(G138,"*叠2*")*0.5+COUNTIF(G138,"*叠3*")*0.75</f>
        <v>2.1773735021</v>
      </c>
      <c r="Y138">
        <f ca="1" t="shared" si="183"/>
        <v>1.82922415752903</v>
      </c>
      <c r="Z138">
        <f t="shared" ref="Z138:Z153" si="187">IF(G138="恒定伤害",0,非侠士伤害/1024)</f>
        <v>0.150390625</v>
      </c>
      <c r="AA138">
        <f ca="1" t="shared" si="184"/>
        <v>0.0205078125</v>
      </c>
      <c r="AB138">
        <f ca="1" t="shared" si="185"/>
        <v>1451991.72785268</v>
      </c>
      <c r="AC138">
        <f ca="1">无穷技能数计算!$AJ130</f>
        <v>0</v>
      </c>
      <c r="AD138" s="164">
        <f ca="1" t="shared" si="170"/>
        <v>0</v>
      </c>
      <c r="AE138" s="168"/>
      <c r="AF138" s="168">
        <f ca="1" t="shared" ref="AF138:AF140" si="188">W138+IF(COUNTIF(F138,"*内会*")&gt;0,0,IF(D138="轻剑",$AF$8-$Y$2,$AF$9-$Y$3))</f>
        <v>0.7057</v>
      </c>
      <c r="AG138">
        <f ca="1">无穷技能数计算!$AJ130</f>
        <v>0</v>
      </c>
      <c r="AH138">
        <f ca="1" t="shared" ref="AH138:AH201" si="189">IF(D138="轻剑",$AH$8,$AH$9)+INT(残雪*(COUNTIF(G138,"*莺鸣*")+COUNTIF(G138,"*叠1*")+COUNTIF(G138,"*叠2*")*2+COUNTIF(G138,"*叠3*")*3)*IF(D138="轻剑",$U$2,$U$3)*154/1024+COUNTIF(G138,"*雾锁*")*205/1024*IF(D138="轻剑",$U$2,$U$3))</f>
        <v>96007</v>
      </c>
      <c r="AJ138">
        <f ca="1" t="shared" ref="AJ138:AJ140" si="190">X138+IF(COUNTIF(F138,"*内会*")&gt;0,0,IF(D138="轻剑",$AJ$8-$AB$2,$AJ$9-$AB$3))</f>
        <v>2.3765922521</v>
      </c>
      <c r="AK138">
        <f ca="1" t="shared" si="140"/>
        <v>243205.33125</v>
      </c>
      <c r="AL138">
        <f ca="1" t="shared" ref="AL138:AL201" si="191">IF(COUNTIF(G138,"*恒定伤害*")&gt;0,AB138,((AK138*(1+P138)*(1+IF(COUNTIF(F138,"*内破*")&gt;0,内破,IF(D138="轻剑",$AI$8,$AI$9)/破防系数)+IF((IF(D138="轻剑",$AO$2,$AO$3)+INT(COUNTIF(G138,"*大莺鸣*")*IF(D138="轻剑",$AM$2,$AM$3)*听晓无双率)/无双系数)&gt;0.9,(特效裤子破防+特效裤子破防*IF(D138="轻剑",$AD$2,$AD$3)/1024)/破防系数,0))*(1-R138))*T138*(1+U138))*(1+Z138)*(1+AA138)*(1+MIN(1,AF138)*(MIN(3+COUNTIF(G138,"*叠*")*0.75,AJ138)-1)))</f>
        <v>1625615.72442989</v>
      </c>
      <c r="AM138" s="169">
        <f ca="1" t="shared" ref="AM138:AM140" si="192">W138+IF(COUNTIF(F138,"*内会*")&gt;0,0,IF(D138="轻剑",$AN$8-$Y$2,$AN$9-$Y$3))</f>
        <v>0.7272</v>
      </c>
      <c r="AN138">
        <f ca="1">无穷技能数计算!$AJ130</f>
        <v>0</v>
      </c>
      <c r="AO138" s="170">
        <f ca="1" t="shared" ref="AO138:AO201" si="193">IF(COUNTIF(G138,"*恒定伤害*")&gt;0,AB138,((AK138*(1+P138)*(1+IF(COUNTIF(F138,"*内破*")&gt;0,内破,IF(D138="轻剑",$AI$8,$AI$9)/破防系数)+IF((IF(D138="轻剑",$AO$2,$AO$3)+INT(COUNTIF(G138,"*大莺鸣*")*IF(D138="轻剑",$AM$2,$AM$3)*听晓无双率)/无双系数)&gt;0.9,(特效裤子破防+特效裤子破防*IF(D138="轻剑",$AD$2,$AD$3)/1024)/破防系数,0))*(1-R138))*T138*(1+U138))*(1+Z138)*(1+AA138)*(1+MIN(1,AM138)*(MIN(3+COUNTIF(G138,"*叠*")*0.75,AJ138)-1)))</f>
        <v>1650020.42303795</v>
      </c>
      <c r="AP138">
        <f ca="1" t="shared" ref="AP138:AP201" si="194">IF(D138="轻剑",$AP$8,$AP$9)+INT(残雪*(COUNTIF(G138,"*莺鸣*")+COUNTIF(G138,"*叠1*")+COUNTIF(G138,"*叠2*")*2+COUNTIF(G138,"*叠3*")*3)*IF(D138="轻剑",$U$2,$U$3)*154/1024+COUNTIF(G138,"*雾锁*")*205/1024*IF(D138="轻剑",$U$2,$U$3))</f>
        <v>97084</v>
      </c>
      <c r="AQ138" s="170">
        <f ca="1" t="shared" si="141"/>
        <v>245010.225</v>
      </c>
      <c r="AR138">
        <f ca="1" t="shared" ref="AR138:AR153" si="195">IF(COUNTIF(G138,"*恒定伤害*")&gt;0,AB138,((AQ138*(1+P138)*(1+IF(COUNTIF(F138,"*内破*")&gt;0,内破,IF(D138="轻剑",$AQ$8,$AQ$9)/破防系数)+IF((IF(D138="轻剑",$AO$2,$AO$3)+INT(COUNTIF(G138,"*大莺鸣*")*IF(D138="轻剑",$AM$2,$AM$3)*听晓无双率)/无双系数)&gt;0.9,(特效裤子破防+特效裤子破防*IF(D138="轻剑",$AD$2+200,$AD$3+200)/1024)/破防系数,0))*(1-R138))*T138*(1+U138))*Y138*(1+Z138)*(1+AA138))</f>
        <v>1608228.97943196</v>
      </c>
      <c r="AS138">
        <f ca="1" t="shared" ref="AS138:AS140" si="196">W138+IF(COUNTIF(F138,"*内会*")&gt;0,0,IF(D138="轻剑",$AS$8-$Y$2,$AS$9-$Y$3))</f>
        <v>0.7843</v>
      </c>
      <c r="AT138">
        <f ca="1">无穷技能数计算!$AJ130</f>
        <v>0</v>
      </c>
      <c r="AU138">
        <f ca="1" t="shared" ref="AU138:AU140" si="197">X138+IF(COUNTIF(F138,"*内会*")&gt;0,0,IF(D138="轻剑",$AU$8-$AB$2,$AU$9-$AB$3))</f>
        <v>2.3238578771</v>
      </c>
      <c r="AV138">
        <f ca="1" t="shared" si="174"/>
        <v>1.7995442148</v>
      </c>
      <c r="AW138">
        <f ca="1" t="shared" si="142"/>
        <v>1629319.28256804</v>
      </c>
      <c r="AX138">
        <f ca="1" t="shared" ref="AX138:AX140" si="198">$W138+IF(COUNTIF(F138,"*内会*")&gt;0,0,IF(I138="轻剑",AX$8-$Y$2,AX$9-$Y$3))</f>
        <v>0.7743</v>
      </c>
      <c r="AY138">
        <f ca="1">无穷技能数计算!$AJ130</f>
        <v>0</v>
      </c>
      <c r="AZ138" s="170">
        <f ca="1" t="shared" si="143"/>
        <v>1618737.0064918</v>
      </c>
      <c r="BA138">
        <f ca="1" t="shared" ref="BA138:BA140" si="199">$W138+IF(COUNTIF(F138,"*内会*")&gt;0,0,IF(L138="轻剑",BA$8-$Y$2,BA$9-$Y$3))</f>
        <v>0.7643</v>
      </c>
      <c r="BB138">
        <f ca="1">无穷技能数计算!$AJ130</f>
        <v>0</v>
      </c>
      <c r="BC138" s="170">
        <f ca="1" t="shared" si="144"/>
        <v>1608154.73041555</v>
      </c>
      <c r="BE138">
        <f ca="1" t="shared" ref="BE138:BE201" si="200">IF(D138="轻剑",$BF$8,$BF$9)+INT(残雪*(COUNTIF(G138,"*莺鸣*")+COUNTIF(G138,"*叠1*")+COUNTIF(G138,"*叠2*")*2+COUNTIF(G138,"*叠3*")*3)*IF(D138="轻剑",$BE$8,$BE$9)*154/1024+COUNTIF(G138,"*雾锁*")*205/1024*IF(D138="轻剑",$BE$8,$BE$9))</f>
        <v>91977</v>
      </c>
      <c r="BF138">
        <f ca="1" t="shared" ref="BF138:BF153" si="201">H138+BE138*I138+J138*M138+IF(K138&gt;0,MAX(1,K138*N138*破招全局系数),0)</f>
        <v>234189.76875</v>
      </c>
      <c r="BI138">
        <f ca="1" t="shared" ref="BI138:BI140" si="202">$W138+IF(COUNTIF(F138,"*内会*")&gt;0,0,IF(T138="轻剑",BI$8-$Y$2,BI$9-$Y$3))</f>
        <v>0.7543</v>
      </c>
      <c r="BJ138">
        <f ca="1">无穷技能数计算!$AJ130</f>
        <v>0</v>
      </c>
      <c r="BK138">
        <f ca="1" t="shared" ref="BK138:BK201" si="203">IF(COUNTIF(G138,"*恒定伤害*")&gt;0,AB138,((BF138*(1+P138)*(1+IF(COUNTIF(F138,"*内破*")&gt;0,内破,IF(D138="轻剑",$BH$8,$BH$9)/破防系数)+IF((IF(D138="轻剑",$AO$2,$AO$3)+INT(COUNTIF(G138,"*大莺鸣*")*IF(D138="轻剑",$AM$2,$AM$3)*听晓无双率)/无双系数)&gt;0.9,(特效裤子破防+特效裤子破防*IF(D138="轻剑",$AD$2+204,$AD$3+204)/1024)/破防系数,0))*(1-R138))*T138*(1+AV138))*(1+MIN(1,BI138)*(MIN(3+COUNTIF(G138,"*叠*")*0.75,X138)-1))*(1+Z138)*(1+AA138))</f>
        <v>1599607.2832175</v>
      </c>
      <c r="BM138">
        <f ca="1" t="shared" ref="BM138:BM201" si="204">IF(D138="轻剑",$BN$8,$BN$9)+INT(残雪*(COUNTIF(G138,"*莺鸣*")+COUNTIF(G138,"*叠1*")+COUNTIF(G138,"*叠2*")*2+COUNTIF(G138,"*叠3*")*3)*IF(D138="轻剑",$U$2,$U$3)*154/1024+COUNTIF(G138,"*雾锁*")*205/1024*IF(D138="轻剑",$U$2,$U$3))</f>
        <v>95358</v>
      </c>
      <c r="BN138">
        <f ca="1" t="shared" ref="BN138:BN153" si="205">H138+BM138*I138+J138*M138+IF(K138&gt;0,MAX(1,K138*N138*破招全局系数),0)</f>
        <v>241353.2625</v>
      </c>
      <c r="BO138">
        <f ca="1" t="shared" ref="BO138:BO153" si="206">IF(COUNTIF(G138,"*恒定伤害*")&gt;0,AB138,((BN138*(1+P138)*(1+IF(COUNTIF(F138,"*内破*")&gt;0,内破,IF(D138="轻剑",$BM$8,$BM$9)/破防系数)+IF((IF(D138="轻剑",$AO$2,$AO$3)+INT(COUNTIF(G138,"*大莺鸣*")*IF(D138="轻剑",$AM$2,$AM$3)*听晓无双率)/无双系数)&gt;0.9,(特效裤子破防+特效裤子破防*IF(D138="轻剑",$AD$2+102,$AD$3+102)/1024)/破防系数,0))*(1-R138))*T138*(1+U138))*Y138*(1+Z138)*(1+AA138))</f>
        <v>1616124.3764543</v>
      </c>
      <c r="BP138">
        <f ca="1" t="shared" si="176"/>
        <v>1541204.61858112</v>
      </c>
      <c r="BR138">
        <f ca="1" t="shared" ref="BR138:BR140" si="207">$W138+IF(T138="轻剑",BI$8-$Y$2,BI$9-$Y$3)</f>
        <v>0.7543</v>
      </c>
      <c r="BS138">
        <f ca="1" t="shared" ref="BS138:BS201" si="208">IF(COUNTIF(G138,"*恒定伤害*")&gt;0,AB138,((BN138*(1+P138)*(1+IF(COUNTIF(F138,"*内破*")&gt;0,内破,IF(D138="轻剑",$BQ$8,$BQ$9)/破防系数)+IF((IF(D138="轻剑",$AO$2,$AO$3)+INT(COUNTIF(G138,"*大莺鸣*")*IF(D138="轻剑",$AM$2,$AM$3)*听晓无双率)/无双系数)&gt;0.9,(特效裤子破防+特效裤子破防*IF(D138="轻剑",$AD$2+102,$AD$3+102)/1024)/破防系数,0))*(1-R138))*T138*(1+AV138))*(1+MIN(1,BR138)*(MIN(3+COUNTIF(G138,"*叠*")*0.75,X138)-1))*(1+Z138)*(1+AA138))</f>
        <v>1601980.50553239</v>
      </c>
      <c r="BT138">
        <f ca="1" t="shared" ref="BT138:BT153" si="209">IF(G138="恒定伤害",0,(($F$5-IF(D138="轻剑",$BB$2,$BB$3))*(1024-IF(D138="轻剑",$BD$2,$BD$3))/1024*(1024-IF(D138="轻剑",$BT$8,$BT$9)-COUNTIF(G138,"*雾锁*")*461*雾锁)/1024/(($F$5-IF(D138="轻剑",$BB$2,$BB$3))*(1024-IF(D138="轻剑",$BD$2,$BD$3))/1024*(1024-IF(D138="轻剑",$BT$8,$BT$9)-COUNTIF(G138,"*雾锁*")*461*雾锁)/1024+$F$7)))</f>
        <v>0.318170800459405</v>
      </c>
      <c r="BU138">
        <f ca="1" t="shared" ref="BU138:BU140" si="210">X138+IF(D138="轻剑",$AU$8-$AB$2,$AU$9-$AB$3)</f>
        <v>2.3238578771</v>
      </c>
      <c r="BV138">
        <f ca="1" t="shared" si="145"/>
        <v>1613430.19703583</v>
      </c>
      <c r="BW138">
        <f ca="1" t="shared" ref="BW138:BW201" si="211">IF(D138="轻剑",$BW$8,$BW$9)+INT(残雪*(COUNTIF(G138,"*莺鸣*")+COUNTIF(G138,"*叠1*")+COUNTIF(G138,"*叠2*")*2+COUNTIF(G138,"*叠3*")*3)*IF(D138="轻剑",$U$2,$U$3)*154/1024+COUNTIF(G138,"*雾锁*")*205/1024*IF(D138="轻剑",$U$2,$U$3))</f>
        <v>99155</v>
      </c>
      <c r="BX138">
        <f ca="1" t="shared" ref="BX138:BX153" si="212">H138+BW138*I138+J138*M138+IF(K138&gt;0,MAX(1,K138*N138*破招全局系数),0)</f>
        <v>249398.15625</v>
      </c>
      <c r="BY138">
        <f ca="1" t="shared" ref="BY138:BY140" si="213">$W138+IF(COUNTIF(F138,"*内会*")&gt;0,0,IF(AI138="轻剑",BY$8-$Y$2,BY$9-$Y$3))</f>
        <v>0.7343</v>
      </c>
      <c r="BZ138">
        <f ca="1">无穷技能数计算!$AJ130</f>
        <v>0</v>
      </c>
      <c r="CA138">
        <f ca="1" t="shared" ref="CA138:CA140" si="214">X138+IF(COUNTIF(F138,"*内会*")&gt;0,0,IF(D138="轻剑",$CA$8-$AB$2,$CA$9-$AB$3))</f>
        <v>2.3277641271</v>
      </c>
      <c r="CB138">
        <f ca="1" t="shared" si="146"/>
        <v>1669523.27885409</v>
      </c>
      <c r="CC138">
        <f ca="1" t="shared" ref="CC138:CC201" si="215">IF(D138="轻剑",$CC$8,$CC$9)+INT(残雪*(COUNTIF(G138,"*莺鸣*")+COUNTIF(G138,"*叠1*")+COUNTIF(G138,"*叠2*")*2+COUNTIF(G138,"*叠3*")*3)*IF(D138="轻剑",$U$2,$U$3)*154/1024+COUNTIF(G138,"*雾锁*")*205/1024*IF(D138="轻剑",$U$2,$U$3))</f>
        <v>100975</v>
      </c>
      <c r="CD138">
        <f ca="1" t="shared" ref="CD138:CD153" si="216">H138+CC138*I138+J138*M138+IF(K138&gt;0,MAX(1,K138*N138*破招全局系数),0)</f>
        <v>253254.28125</v>
      </c>
      <c r="CE138">
        <f ca="1" t="shared" ref="CE138:CE201" si="217">IF(COUNTIF(G138,"*恒定伤害*")&gt;0,AB138,((CD138*(1+P138)*(1+IF(COUNTIF(F138,"*内破*")&gt;0,内破,IF(D138="轻剑",$BQ$8,$BQ$9)/破防系数)+IF((IF(D138="轻剑",$AO$2,$AO$3)+INT(COUNTIF(G138,"*大莺鸣*")*IF(D138="轻剑",$AM$2,$AM$3)*听晓无双率)/无双系数)&gt;0.9,(特效裤子破防+特效裤子破防*IF(D138="轻剑",$AD$2+102,$AD$3+102)/1024)/破防系数,0))*(1-R138))*T138*(1+U138))*(1+MIN(1,BY138)*(MIN(3+COUNTIF(G138,"*叠*")*0.75,X138)-1))*(1+Z138)*(1+AA138))</f>
        <v>1648427.87329812</v>
      </c>
      <c r="CF138">
        <f ca="1" t="shared" ref="CF138:CF140" si="218">X138+IF(COUNTIF(F138,"*内会*")&gt;0,0,IF(D138="轻剑",$CF$8-$AB$2,$CF$9-$AB$3))</f>
        <v>2.2750297521</v>
      </c>
      <c r="CG138">
        <f ca="1" t="shared" ref="CG138:CG140" si="219">$W138+IF(AI138="轻剑",BY$8-$Y$2,BY$9-$Y$3)</f>
        <v>0.7343</v>
      </c>
      <c r="CH138">
        <f ca="1" t="shared" si="147"/>
        <v>1547747.56473938</v>
      </c>
      <c r="CJ138">
        <f ca="1" t="shared" ref="CJ138:CJ153" si="220">H138+BM138*I138+J138*M138+IF(K138&gt;0,MAX(1,K138*(N138+2667)*破招全局系数),0)</f>
        <v>241353.2625</v>
      </c>
      <c r="CK138">
        <f ca="1" t="shared" ref="CK138:CK153" si="221">IF(COUNTIF(G138,"*恒定伤害*")&gt;0,AB138,((CJ138*(1+P138)*(1+IF(COUNTIF(F138,"*内破*")&gt;0,内破,IF(D138="轻剑",$CI$8,$CI$9)/破防系数)+IF((IF(D138="轻剑",$AO$2,$AO$3)+INT(COUNTIF(G138,"*大莺鸣*")*IF(D138="轻剑",$AM$2,$AM$3)*听晓无双率)/无双系数)&gt;0.9,(特效裤子破防+特效裤子破防*IF(D138="轻剑",$AD$2+256,$AD$3+256)/1024)/破防系数,0))*(1-R138))*T138*(1+U138))*Y138*(1+Z138)*(1+AA138))</f>
        <v>1608803.42111036</v>
      </c>
      <c r="CL138">
        <f ca="1" t="shared" si="148"/>
        <v>2.2976860021</v>
      </c>
      <c r="CM138">
        <f ca="1">IF(G138="恒定伤害",0,(IF(D138="轻剑",$CM$8,$CM$9)+IFERROR(INDEX(技能数据库!$T$2:$W$27,MATCH(E138,技能数据库!$T$2:$T$27,0),4),0)+COUNTIF(G138,"*造化2*")*154+COUNTIF(G138,"*造化1*")*102+COUNTIF(G138,"*碧归*")*307)/1024)</f>
        <v>0.397571271929785</v>
      </c>
      <c r="CN138">
        <f ca="1" t="shared" si="149"/>
        <v>1631737.60681229</v>
      </c>
      <c r="CO138">
        <f ca="1" t="shared" si="150"/>
        <v>2.3262602208</v>
      </c>
      <c r="CP138">
        <f ca="1" t="shared" si="151"/>
        <v>1649269.15416325</v>
      </c>
      <c r="CQ138">
        <f ca="1" t="shared" si="178"/>
        <v>1.8815754648</v>
      </c>
      <c r="CR138">
        <f ca="1">IF(G138="恒定伤害",0,(IF(D138="轻剑",$CR$8,$CR$9)+IFERROR(INDEX(技能数据库!$T$2:$W$27,MATCH(E138,技能数据库!$T$2:$T$27,0),4),0)+COUNTIF(G138,"*造化2*")*154+COUNTIF(G138,"*造化1*")*102+COUNTIF(G138,"*碧归*")*307)/1024)</f>
        <v>0.387805646929785</v>
      </c>
      <c r="CS138">
        <f ca="1" t="shared" si="152"/>
        <v>1562200.01215987</v>
      </c>
    </row>
    <row r="139" spans="4:97">
      <c r="D139" t="s">
        <v>1825</v>
      </c>
      <c r="E139" s="161" t="s">
        <v>2783</v>
      </c>
      <c r="H139">
        <f ca="1">INDEX(技能数据库!$B$2:$I$100,MATCH(无穷阵眼收益计算!$E139,技能数据库!$B$2:$B$100,0),MATCH(H$9,技能数据库!$B$2:$I$2,0))</f>
        <v>0</v>
      </c>
      <c r="I139">
        <f ca="1">INDEX(技能数据库!$B$2:$I$100,MATCH(无穷阵眼收益计算!$E139,技能数据库!$B$2:$B$100,0),MATCH(I$9,技能数据库!$B$2:$I$2,0))</f>
        <v>0</v>
      </c>
      <c r="J139">
        <f ca="1">INDEX(技能数据库!$B$2:$I$100,MATCH(无穷阵眼收益计算!$E139,技能数据库!$B$2:$B$100,0),MATCH(J$9,技能数据库!$B$2:$I$2,0))</f>
        <v>0</v>
      </c>
      <c r="K139">
        <f ca="1">INDEX(技能数据库!$B$2:$I$100,MATCH(无穷阵眼收益计算!$E139,技能数据库!$B$2:$B$100,0),MATCH(K$9,技能数据库!$B$2:$I$2,0))</f>
        <v>1.28127956390381</v>
      </c>
      <c r="L139">
        <f ca="1" t="shared" si="186"/>
        <v>91975</v>
      </c>
      <c r="M139">
        <f ca="1" t="shared" si="179"/>
        <v>19530.5</v>
      </c>
      <c r="N139">
        <f ca="1" t="shared" si="180"/>
        <v>92028</v>
      </c>
      <c r="O139">
        <f ca="1" t="shared" ref="O139:O154" si="222">H139+I139*L139+J139*M139+IF(K139&gt;0,MAX(1,K139*N139*破招全局系数),0)</f>
        <v>1006274.62576302</v>
      </c>
      <c r="P139">
        <f ca="1">IF(G139="恒定伤害",0,(IF(D139="轻剑",$AZ$2,$AZ$3)+IFERROR(INDEX(技能数据库!$T$2:$W$27,MATCH(E139,技能数据库!$T$2:$T$27,0),4),0)+COUNTIF(G139,"*造化2*")*154+COUNTIF(G139,"*造化1*")*102+COUNTIF(G139,"*碧归*")*307)/1024)</f>
        <v>0.116321271929785</v>
      </c>
      <c r="Q139">
        <f ca="1" t="shared" si="171"/>
        <v>0.448284482196154</v>
      </c>
      <c r="R139">
        <f ca="1" t="shared" ref="R139:R154" si="223">IF(G139="恒定伤害",0,(($F$5-IF(D139="轻剑",$BB$2,$BB$3))*(1024-IF(D139="轻剑",$BD$2,$BD$3))/1024*(1024-IF(D139="轻剑",$BC$2,$BC$3)-COUNTIF(G139,"*雾锁*")*461*雾锁)/1024/(($F$5-IF(D139="轻剑",$BB$2,$BB$3))*(1024-IF(D139="轻剑",$BD$2,$BD$3))/1024*(1024-IF(D139="轻剑",$BC$2,$BC$3)-COUNTIF(G139,"*雾锁*")*461*雾锁)/1024+$F$7)))</f>
        <v>0.32958230397716</v>
      </c>
      <c r="S139">
        <f ca="1" t="shared" si="181"/>
        <v>1090699.38619199</v>
      </c>
      <c r="T139">
        <f t="shared" si="165"/>
        <v>0.8</v>
      </c>
      <c r="U139">
        <f ca="1" t="shared" si="172"/>
        <v>1.7800129648</v>
      </c>
      <c r="V139">
        <f ca="1" t="shared" si="182"/>
        <v>2425726.74745051</v>
      </c>
      <c r="W139">
        <f ca="1">IF(G139="恒定伤害",0,MIN(1,IF(COUNTIF(F139,"*内会*")&gt;0,内会2,IF(D139="轻剑",$Y$2,$Y$3)+COUNTIF(G139,"*莺鸣*")*0.2+COUNTIF(G139,"*叠1*")*0.1+COUNTIF(G139,"*叠2*")*0.2+COUNTIF(G139,"*叠3*")*0.3)+IFERROR(INDEX(技能数据库!$T$2:$W$27,MATCH(E139,技能数据库!$T$2:$T$27,0),2),0)+IF((IF(D139="轻剑",$AO$2,$AO$3)+INT(COUNTIF(G139,"*大莺鸣*")*IF(D139="轻剑",$AM$2,$AM$3)*听晓无双率)/无双系数)&gt;0.9,特效裤子会心/会心系数,0)))</f>
        <v>0.7043</v>
      </c>
      <c r="X139">
        <f ca="1">IF(G139="恒定伤害",0,IF(COUNTIF(F139,"*内会*")&gt;0,内会效2,IF(D139="轻剑",$AB$2,$AB$3))+IFERROR(INDEX(技能数据库!$T$2:$W$27,MATCH(E139,技能数据库!$T$2:$T$27,0),3)/1024,0))+COUNTIF(G139,"*叠1*")*0.25+COUNTIF(G139,"*叠2*")*0.5+COUNTIF(G139,"*叠3*")*0.75</f>
        <v>2.1773735021</v>
      </c>
      <c r="Y139">
        <f ca="1" t="shared" si="183"/>
        <v>1.82922415752903</v>
      </c>
      <c r="Z139">
        <f t="shared" si="187"/>
        <v>0.150390625</v>
      </c>
      <c r="AA139">
        <f ca="1" t="shared" si="184"/>
        <v>0.0205078125</v>
      </c>
      <c r="AB139">
        <f ca="1" t="shared" si="185"/>
        <v>5209193.29464592</v>
      </c>
      <c r="AC139">
        <f ca="1">无穷技能数计算!$AJ131</f>
        <v>0</v>
      </c>
      <c r="AD139" s="164">
        <f ca="1" t="shared" si="170"/>
        <v>0</v>
      </c>
      <c r="AE139" s="168"/>
      <c r="AF139" s="168">
        <f ca="1" t="shared" si="188"/>
        <v>0.7057</v>
      </c>
      <c r="AG139">
        <f ca="1">无穷技能数计算!$AJ131</f>
        <v>0</v>
      </c>
      <c r="AH139">
        <f ca="1" t="shared" si="189"/>
        <v>96007</v>
      </c>
      <c r="AJ139">
        <f ca="1" t="shared" si="190"/>
        <v>2.3765922521</v>
      </c>
      <c r="AK139">
        <f ca="1" t="shared" ref="AK139:AK154" si="224">H139+AH139*I139+J139*(238.5+M139)+IF(K139&gt;0,MAX(1,K139*N139*破招全局系数),0)</f>
        <v>1006274.62576302</v>
      </c>
      <c r="AL139">
        <f ca="1" t="shared" si="191"/>
        <v>5615794.2891103</v>
      </c>
      <c r="AM139" s="169">
        <f ca="1" t="shared" si="192"/>
        <v>0.7272</v>
      </c>
      <c r="AN139">
        <f ca="1">无穷技能数计算!$AJ131</f>
        <v>0</v>
      </c>
      <c r="AO139" s="170">
        <f ca="1" t="shared" si="193"/>
        <v>5700101.89330666</v>
      </c>
      <c r="AP139">
        <f ca="1" t="shared" si="194"/>
        <v>97084</v>
      </c>
      <c r="AQ139" s="170">
        <f ca="1" t="shared" ref="AQ139:AQ154" si="225">H139+AP139*I139+J139*M139+IF(K139&gt;0,MAX(1,K139*N139*破招全局系数),0)</f>
        <v>1006274.62576302</v>
      </c>
      <c r="AR139">
        <f ca="1" t="shared" si="195"/>
        <v>5514803.78014732</v>
      </c>
      <c r="AS139">
        <f ca="1" t="shared" si="196"/>
        <v>0.7843</v>
      </c>
      <c r="AT139">
        <f ca="1">无穷技能数计算!$AJ131</f>
        <v>0</v>
      </c>
      <c r="AU139">
        <f ca="1" t="shared" si="197"/>
        <v>2.3238578771</v>
      </c>
      <c r="AV139">
        <f ca="1" t="shared" si="174"/>
        <v>1.7995442148</v>
      </c>
      <c r="AW139">
        <f ca="1" t="shared" ref="AW139:AW202" si="226">IF(COUNTIF(G139,"*恒定伤害*")&gt;0,AB139,((O139*(1+P139)*(1+Q139)*(1-R139))*T139*(1+AV139))*(1+MIN(1,AS139)*(MIN(3+COUNTIF(G139,"*叠*")*0.75,AU139)-1))*(1+Z139)*(1+AA139))</f>
        <v>5845377.02163264</v>
      </c>
      <c r="AX139">
        <f ca="1" t="shared" si="198"/>
        <v>0.7743</v>
      </c>
      <c r="AY139">
        <f ca="1">无穷技能数计算!$AJ131</f>
        <v>0</v>
      </c>
      <c r="AZ139" s="170">
        <f ca="1" t="shared" ref="AZ139:AZ202" si="227">IF(COUNTIF(G139,"*恒定伤害*")&gt;0,AB139,((O139*(1+P139)*(1+Q139)*(1-R139))*T139*(1+AV139))*(1+MIN(1,AX139)*(MIN(3+COUNTIF(G139,"*叠*")*0.75,AU139)-1))*(1+Z139)*(1+AA139))</f>
        <v>5807411.84557757</v>
      </c>
      <c r="BA139">
        <f ca="1" t="shared" si="199"/>
        <v>0.7643</v>
      </c>
      <c r="BB139">
        <f ca="1">无穷技能数计算!$AJ131</f>
        <v>0</v>
      </c>
      <c r="BC139" s="170">
        <f ca="1" t="shared" ref="BC139:BC202" si="228">IF(COUNTIF(G139,"*恒定伤害*")&gt;0,AB139,((O139*(1+P139)*(1+Q139)*(1-R139))*T139*(1+AV139))*(1+MIN(1,BA139)*(MIN(3+COUNTIF(G139,"*叠*")*0.75,AU139)-1))*(1+Z139)*(1+AA139))</f>
        <v>5769446.66952249</v>
      </c>
      <c r="BE139">
        <f ca="1" t="shared" si="200"/>
        <v>91977</v>
      </c>
      <c r="BF139">
        <f ca="1" t="shared" si="201"/>
        <v>1006274.62576302</v>
      </c>
      <c r="BI139">
        <f ca="1" t="shared" si="202"/>
        <v>0.7543</v>
      </c>
      <c r="BJ139">
        <f ca="1">无穷技能数计算!$AJ131</f>
        <v>0</v>
      </c>
      <c r="BK139">
        <f ca="1" t="shared" si="203"/>
        <v>5738677.84523125</v>
      </c>
      <c r="BM139">
        <f ca="1" t="shared" si="204"/>
        <v>95358</v>
      </c>
      <c r="BN139">
        <f ca="1" t="shared" si="205"/>
        <v>1006274.62576302</v>
      </c>
      <c r="BO139">
        <f ca="1" t="shared" si="206"/>
        <v>5625848.04010137</v>
      </c>
      <c r="BP139">
        <f ca="1" t="shared" si="176"/>
        <v>5365046.84241112</v>
      </c>
      <c r="BR139">
        <f ca="1" t="shared" si="207"/>
        <v>0.7543</v>
      </c>
      <c r="BS139">
        <f ca="1" t="shared" si="208"/>
        <v>5576612.1832176</v>
      </c>
      <c r="BT139">
        <f ca="1" t="shared" si="209"/>
        <v>0.318170800459405</v>
      </c>
      <c r="BU139">
        <f ca="1" t="shared" si="210"/>
        <v>2.3238578771</v>
      </c>
      <c r="BV139">
        <f ca="1" t="shared" ref="BV139:BV202" si="229">IF(COUNTIF(G139,"*恒定伤害*")&gt;0,AB139,((O139*(1+P139)*(1+Q139)*(1-BT139))*T139*(1+U139))*(1+MIN(1,BR139)*(MIN(3+COUNTIF(G139,"*叠*")*0.75,BU139)-1))*(1+Z139)*(1+AA139))</f>
        <v>5788373.0344716</v>
      </c>
      <c r="BW139">
        <f ca="1" t="shared" si="211"/>
        <v>99155</v>
      </c>
      <c r="BX139">
        <f ca="1" t="shared" si="212"/>
        <v>1006274.62576302</v>
      </c>
      <c r="BY139">
        <f ca="1" t="shared" si="213"/>
        <v>0.7343</v>
      </c>
      <c r="BZ139">
        <f ca="1">无穷技能数计算!$AJ131</f>
        <v>0</v>
      </c>
      <c r="CA139">
        <f ca="1" t="shared" si="214"/>
        <v>2.3277641271</v>
      </c>
      <c r="CB139">
        <f ca="1" t="shared" ref="CB139:CB202" si="230">IF(COUNTIF(G139,"*恒定伤害*")&gt;0,AB139,((BX139*(1+P139)*(1+Q139)*(1-R139))*T139*(1+U139))*(1+MIN(1,BY139)*(MIN(3+COUNTIF(G139,"*叠*")*0.75,CA139)-1))*(1+Z139)*(1+AA139))</f>
        <v>5624263.12669957</v>
      </c>
      <c r="CC139">
        <f ca="1" t="shared" si="215"/>
        <v>100975</v>
      </c>
      <c r="CD139">
        <f ca="1" t="shared" si="216"/>
        <v>1006274.62576302</v>
      </c>
      <c r="CE139">
        <f ca="1" t="shared" si="217"/>
        <v>5468642.63132164</v>
      </c>
      <c r="CF139">
        <f ca="1" t="shared" si="218"/>
        <v>2.2750297521</v>
      </c>
      <c r="CG139">
        <f ca="1" t="shared" si="219"/>
        <v>0.7343</v>
      </c>
      <c r="CH139">
        <f ca="1" t="shared" ref="CH139:CH202" si="231">IF(COUNTIF(G139,"*恒定伤害*")&gt;0,AB139,((O139*(1+P139)*(1+Q139)*(1-R139))*T139*(1+AV139))*(1+MIN(1,BY139)*(MIN(3+COUNTIF(G139,"*叠*")*0.75,CF139)-1))*(1+Z139)*(1+AA139))</f>
        <v>5552728.76655327</v>
      </c>
      <c r="CJ139">
        <f ca="1" t="shared" si="220"/>
        <v>1035436.77670524</v>
      </c>
      <c r="CK139">
        <f ca="1" t="shared" si="221"/>
        <v>5762663.52024889</v>
      </c>
      <c r="CL139">
        <f ca="1" t="shared" ref="CL139:CL154" si="232">X139+IF(D139="轻剑",$CL$8-$AB$2,$CL$9-$AB$3)</f>
        <v>2.2976860021</v>
      </c>
      <c r="CM139">
        <f ca="1">IF(G139="恒定伤害",0,(IF(D139="轻剑",$CM$8,$CM$9)+IFERROR(INDEX(技能数据库!$T$2:$W$27,MATCH(E139,技能数据库!$T$2:$T$27,0),4),0)+COUNTIF(G139,"*造化2*")*154+COUNTIF(G139,"*造化1*")*102+COUNTIF(G139,"*碧归*")*307)/1024)</f>
        <v>0.176868146929785</v>
      </c>
      <c r="CN139">
        <f ca="1" t="shared" ref="CN139:CN202" si="233">IF(COUNTIF(G139,"*恒定伤害*")&gt;0,AB139,((O139*(1+CM139)*(1+Q139)*(1-R139))*T139*(1+AV139))*(1+MIN(1,CG139)*(MIN(3+COUNTIF(G139,"*叠*")*0.75,CL139)-1))*(1+Z139)*(1+AA139))</f>
        <v>5904194.13020369</v>
      </c>
      <c r="CO139">
        <f ca="1" t="shared" ref="CO139:CO154" si="234">X139+IF(D139="轻剑",$CO$8-$AB$2,$CO$9-$AB$3)</f>
        <v>2.3262602208</v>
      </c>
      <c r="CP139">
        <f ca="1" t="shared" ref="CP139:CP202" si="235">IF(COUNTIF(G139,"*恒定伤害*")&gt;0,AB139,((O139*(1+CM139)*(1+Q139)*(1-R139))*T139*(1+AV139))*(1+MIN(1,CG139)*(MIN(3+COUNTIF(G139,"*叠*")*0.75,CO139)-1))*(1+Z139)*(1+AA139))</f>
        <v>5967629.36545888</v>
      </c>
      <c r="CQ139">
        <f ca="1" t="shared" si="178"/>
        <v>1.8815754648</v>
      </c>
      <c r="CR139">
        <f ca="1">IF(G139="恒定伤害",0,(IF(D139="轻剑",$CR$8,$CR$9)+IFERROR(INDEX(技能数据库!$T$2:$W$27,MATCH(E139,技能数据库!$T$2:$T$27,0),4),0)+COUNTIF(G139,"*造化2*")*154+COUNTIF(G139,"*造化1*")*102+COUNTIF(G139,"*碧归*")*307)/1024)</f>
        <v>0.167102521929785</v>
      </c>
      <c r="CS139">
        <f ca="1" t="shared" ref="CS139:CS154" si="236">IF(COUNTIF(G139,"*恒定伤害*")&gt;0,AB139,((O139*(1+CR139)*(1+Q139)*(1-R139))*T139*(1+CQ139))*Y139*(1+Z139)*(1+AA139))</f>
        <v>5645123.61361662</v>
      </c>
    </row>
    <row r="140" spans="4:97">
      <c r="D140" t="s">
        <v>1825</v>
      </c>
      <c r="E140" t="s">
        <v>2786</v>
      </c>
      <c r="H140">
        <f ca="1">INDEX(技能数据库!$B$2:$I$100,MATCH(无穷阵眼收益计算!$E140,技能数据库!$B$2:$B$100,0),MATCH(H$9,技能数据库!$B$2:$I$2,0))</f>
        <v>0</v>
      </c>
      <c r="I140">
        <f ca="1">INDEX(技能数据库!$B$2:$I$100,MATCH(无穷阵眼收益计算!$E140,技能数据库!$B$2:$B$100,0),MATCH(I$9,技能数据库!$B$2:$I$2,0))</f>
        <v>0</v>
      </c>
      <c r="J140">
        <f ca="1">INDEX(技能数据库!$B$2:$I$100,MATCH(无穷阵眼收益计算!$E140,技能数据库!$B$2:$B$100,0),MATCH(J$9,技能数据库!$B$2:$I$2,0))</f>
        <v>0</v>
      </c>
      <c r="K140">
        <f ca="1">INDEX(技能数据库!$B$2:$I$100,MATCH(无穷阵眼收益计算!$E140,技能数据库!$B$2:$B$100,0),MATCH(K$9,技能数据库!$B$2:$I$2,0))</f>
        <v>0</v>
      </c>
      <c r="L140">
        <f ca="1" t="shared" si="186"/>
        <v>91975</v>
      </c>
      <c r="M140">
        <f ca="1" t="shared" si="179"/>
        <v>19530.5</v>
      </c>
      <c r="N140">
        <f ca="1" t="shared" si="180"/>
        <v>92028</v>
      </c>
      <c r="O140">
        <f ca="1" t="shared" si="222"/>
        <v>0</v>
      </c>
      <c r="P140">
        <f ca="1">IF(G140="恒定伤害",0,(IF(D140="轻剑",$AZ$2,$AZ$3)+IFERROR(INDEX(技能数据库!$T$2:$W$27,MATCH(E140,技能数据库!$T$2:$T$27,0),4),0)+COUNTIF(G140,"*造化2*")*154+COUNTIF(G140,"*造化1*")*102+COUNTIF(G140,"*碧归*")*307)/1024)</f>
        <v>0.116321271929785</v>
      </c>
      <c r="Q140">
        <f ca="1" t="shared" si="171"/>
        <v>0.448284482196154</v>
      </c>
      <c r="R140">
        <f ca="1" t="shared" si="223"/>
        <v>0.32958230397716</v>
      </c>
      <c r="S140">
        <f ca="1" t="shared" si="181"/>
        <v>0</v>
      </c>
      <c r="T140">
        <f t="shared" si="165"/>
        <v>0.8</v>
      </c>
      <c r="U140">
        <f ca="1" t="shared" si="172"/>
        <v>1.7800129648</v>
      </c>
      <c r="V140">
        <f ca="1" t="shared" si="182"/>
        <v>0</v>
      </c>
      <c r="W140">
        <f ca="1">IF(G140="恒定伤害",0,MIN(1,IF(COUNTIF(F140,"*内会*")&gt;0,内会2,IF(D140="轻剑",$Y$2,$Y$3)+COUNTIF(G140,"*莺鸣*")*0.2+COUNTIF(G140,"*叠1*")*0.1+COUNTIF(G140,"*叠2*")*0.2+COUNTIF(G140,"*叠3*")*0.3)+IFERROR(INDEX(技能数据库!$T$2:$W$27,MATCH(E140,技能数据库!$T$2:$T$27,0),2),0)+IF((IF(D140="轻剑",$AO$2,$AO$3)+INT(COUNTIF(G140,"*大莺鸣*")*IF(D140="轻剑",$AM$2,$AM$3)*听晓无双率)/无双系数)&gt;0.9,特效裤子会心/会心系数,0)))</f>
        <v>0.7043</v>
      </c>
      <c r="X140">
        <f ca="1">IF(G140="恒定伤害",0,IF(COUNTIF(F140,"*内会*")&gt;0,内会效2,IF(D140="轻剑",$AB$2,$AB$3))+IFERROR(INDEX(技能数据库!$T$2:$W$27,MATCH(E140,技能数据库!$T$2:$T$27,0),3)/1024,0))+COUNTIF(G140,"*叠1*")*0.25+COUNTIF(G140,"*叠2*")*0.5+COUNTIF(G140,"*叠3*")*0.75</f>
        <v>2.1773735021</v>
      </c>
      <c r="Y140">
        <f ca="1" t="shared" si="183"/>
        <v>1.82922415752903</v>
      </c>
      <c r="Z140">
        <f t="shared" si="187"/>
        <v>0.150390625</v>
      </c>
      <c r="AA140">
        <f ca="1" t="shared" si="184"/>
        <v>0.0205078125</v>
      </c>
      <c r="AB140">
        <f ca="1" t="shared" si="185"/>
        <v>0</v>
      </c>
      <c r="AC140">
        <f ca="1">无穷技能数计算!$AJ132</f>
        <v>0</v>
      </c>
      <c r="AD140" s="164">
        <f ca="1" t="shared" si="170"/>
        <v>0</v>
      </c>
      <c r="AE140" s="168"/>
      <c r="AF140" s="168">
        <f ca="1" t="shared" si="188"/>
        <v>0.7057</v>
      </c>
      <c r="AG140">
        <f ca="1">无穷技能数计算!$AJ132</f>
        <v>0</v>
      </c>
      <c r="AH140">
        <f ca="1" t="shared" si="189"/>
        <v>96007</v>
      </c>
      <c r="AJ140">
        <f ca="1" t="shared" si="190"/>
        <v>2.3765922521</v>
      </c>
      <c r="AK140">
        <f ca="1" t="shared" si="224"/>
        <v>0</v>
      </c>
      <c r="AL140">
        <f ca="1" t="shared" si="191"/>
        <v>0</v>
      </c>
      <c r="AM140" s="169">
        <f ca="1" t="shared" si="192"/>
        <v>0.7272</v>
      </c>
      <c r="AN140">
        <f ca="1">无穷技能数计算!$AJ132</f>
        <v>0</v>
      </c>
      <c r="AO140" s="170">
        <f ca="1" t="shared" si="193"/>
        <v>0</v>
      </c>
      <c r="AP140">
        <f ca="1" t="shared" si="194"/>
        <v>97084</v>
      </c>
      <c r="AQ140" s="170">
        <f ca="1" t="shared" si="225"/>
        <v>0</v>
      </c>
      <c r="AR140">
        <f ca="1" t="shared" si="195"/>
        <v>0</v>
      </c>
      <c r="AS140">
        <f ca="1" t="shared" si="196"/>
        <v>0.7843</v>
      </c>
      <c r="AT140">
        <f ca="1">无穷技能数计算!$AJ132</f>
        <v>0</v>
      </c>
      <c r="AU140">
        <f ca="1" t="shared" si="197"/>
        <v>2.3238578771</v>
      </c>
      <c r="AV140">
        <f ca="1" t="shared" si="174"/>
        <v>1.7995442148</v>
      </c>
      <c r="AW140">
        <f ca="1" t="shared" si="226"/>
        <v>0</v>
      </c>
      <c r="AX140">
        <f ca="1" t="shared" si="198"/>
        <v>0.7743</v>
      </c>
      <c r="AY140">
        <f ca="1">无穷技能数计算!$AJ132</f>
        <v>0</v>
      </c>
      <c r="AZ140" s="170">
        <f ca="1" t="shared" si="227"/>
        <v>0</v>
      </c>
      <c r="BA140">
        <f ca="1" t="shared" si="199"/>
        <v>0.7643</v>
      </c>
      <c r="BB140">
        <f ca="1">无穷技能数计算!$AJ132</f>
        <v>0</v>
      </c>
      <c r="BC140" s="170">
        <f ca="1" t="shared" si="228"/>
        <v>0</v>
      </c>
      <c r="BE140">
        <f ca="1" t="shared" si="200"/>
        <v>91977</v>
      </c>
      <c r="BF140">
        <f ca="1" t="shared" si="201"/>
        <v>0</v>
      </c>
      <c r="BI140">
        <f ca="1" t="shared" si="202"/>
        <v>0.7543</v>
      </c>
      <c r="BJ140">
        <f ca="1">无穷技能数计算!$AJ132</f>
        <v>0</v>
      </c>
      <c r="BK140">
        <f ca="1" t="shared" si="203"/>
        <v>0</v>
      </c>
      <c r="BM140">
        <f ca="1" t="shared" si="204"/>
        <v>95358</v>
      </c>
      <c r="BN140">
        <f ca="1" t="shared" si="205"/>
        <v>0</v>
      </c>
      <c r="BO140">
        <f ca="1" t="shared" si="206"/>
        <v>0</v>
      </c>
      <c r="BP140">
        <f ca="1" t="shared" si="176"/>
        <v>0</v>
      </c>
      <c r="BR140">
        <f ca="1" t="shared" si="207"/>
        <v>0.7543</v>
      </c>
      <c r="BS140">
        <f ca="1" t="shared" si="208"/>
        <v>0</v>
      </c>
      <c r="BT140">
        <f ca="1" t="shared" si="209"/>
        <v>0.318170800459405</v>
      </c>
      <c r="BU140">
        <f ca="1" t="shared" si="210"/>
        <v>2.3238578771</v>
      </c>
      <c r="BV140">
        <f ca="1" t="shared" si="229"/>
        <v>0</v>
      </c>
      <c r="BW140">
        <f ca="1" t="shared" si="211"/>
        <v>99155</v>
      </c>
      <c r="BX140">
        <f ca="1" t="shared" si="212"/>
        <v>0</v>
      </c>
      <c r="BY140">
        <f ca="1" t="shared" si="213"/>
        <v>0.7343</v>
      </c>
      <c r="BZ140">
        <f ca="1">无穷技能数计算!$AJ132</f>
        <v>0</v>
      </c>
      <c r="CA140">
        <f ca="1" t="shared" si="214"/>
        <v>2.3277641271</v>
      </c>
      <c r="CB140">
        <f ca="1" t="shared" si="230"/>
        <v>0</v>
      </c>
      <c r="CC140">
        <f ca="1" t="shared" si="215"/>
        <v>100975</v>
      </c>
      <c r="CD140">
        <f ca="1" t="shared" si="216"/>
        <v>0</v>
      </c>
      <c r="CE140">
        <f ca="1" t="shared" si="217"/>
        <v>0</v>
      </c>
      <c r="CF140">
        <f ca="1" t="shared" si="218"/>
        <v>2.2750297521</v>
      </c>
      <c r="CG140">
        <f ca="1" t="shared" si="219"/>
        <v>0.7343</v>
      </c>
      <c r="CH140">
        <f ca="1" t="shared" si="231"/>
        <v>0</v>
      </c>
      <c r="CJ140">
        <f ca="1" t="shared" si="220"/>
        <v>0</v>
      </c>
      <c r="CK140">
        <f ca="1" t="shared" si="221"/>
        <v>0</v>
      </c>
      <c r="CL140">
        <f ca="1" t="shared" si="232"/>
        <v>2.2976860021</v>
      </c>
      <c r="CM140">
        <f ca="1">IF(G140="恒定伤害",0,(IF(D140="轻剑",$CM$8,$CM$9)+IFERROR(INDEX(技能数据库!$T$2:$W$27,MATCH(E140,技能数据库!$T$2:$T$27,0),4),0)+COUNTIF(G140,"*造化2*")*154+COUNTIF(G140,"*造化1*")*102+COUNTIF(G140,"*碧归*")*307)/1024)</f>
        <v>0.176868146929785</v>
      </c>
      <c r="CN140">
        <f ca="1" t="shared" si="233"/>
        <v>0</v>
      </c>
      <c r="CO140">
        <f ca="1" t="shared" si="234"/>
        <v>2.3262602208</v>
      </c>
      <c r="CP140">
        <f ca="1" t="shared" si="235"/>
        <v>0</v>
      </c>
      <c r="CQ140">
        <f ca="1" t="shared" si="178"/>
        <v>1.8815754648</v>
      </c>
      <c r="CR140">
        <f ca="1">IF(G140="恒定伤害",0,(IF(D140="轻剑",$CR$8,$CR$9)+IFERROR(INDEX(技能数据库!$T$2:$W$27,MATCH(E140,技能数据库!$T$2:$T$27,0),4),0)+COUNTIF(G140,"*造化2*")*154+COUNTIF(G140,"*造化1*")*102+COUNTIF(G140,"*碧归*")*307)/1024)</f>
        <v>0.167102521929785</v>
      </c>
      <c r="CS140">
        <f ca="1" t="shared" si="236"/>
        <v>0</v>
      </c>
    </row>
    <row r="141" spans="4:97">
      <c r="D141" t="s">
        <v>1825</v>
      </c>
      <c r="E141" t="s">
        <v>2794</v>
      </c>
      <c r="G141" t="s">
        <v>3104</v>
      </c>
      <c r="H141">
        <f ca="1">INDEX(技能数据库!$B$2:$I$100,MATCH(无穷阵眼收益计算!$E141,技能数据库!$B$2:$B$100,0),MATCH(H$9,技能数据库!$B$2:$I$2,0))</f>
        <v>231.5</v>
      </c>
      <c r="I141">
        <f ca="1">INDEX(技能数据库!$B$2:$I$100,MATCH(无穷阵眼收益计算!$E141,技能数据库!$B$2:$B$100,0),MATCH(I$9,技能数据库!$B$2:$I$2,0))</f>
        <v>2.71875</v>
      </c>
      <c r="J141">
        <f ca="1">INDEX(技能数据库!$B$2:$I$100,MATCH(无穷阵眼收益计算!$E141,技能数据库!$B$2:$B$100,0),MATCH(J$9,技能数据库!$B$2:$I$2,0))</f>
        <v>2</v>
      </c>
      <c r="K141">
        <f ca="1">INDEX(技能数据库!$B$2:$I$100,MATCH(无穷阵眼收益计算!$E141,技能数据库!$B$2:$B$100,0),MATCH(K$9,技能数据库!$B$2:$I$2,0))</f>
        <v>0</v>
      </c>
      <c r="L141">
        <f ca="1" t="shared" si="186"/>
        <v>105847</v>
      </c>
      <c r="M141">
        <f ca="1" t="shared" si="179"/>
        <v>19530.5</v>
      </c>
      <c r="N141">
        <f ca="1" t="shared" si="180"/>
        <v>92028</v>
      </c>
      <c r="O141">
        <f ca="1" t="shared" si="222"/>
        <v>327064.03125</v>
      </c>
      <c r="P141">
        <f ca="1">IF(G141="恒定伤害",0,(IF(D141="轻剑",$AZ$2,$AZ$3)+IFERROR(INDEX(技能数据库!$T$2:$W$27,MATCH(E141,技能数据库!$T$2:$T$27,0),4),0)+COUNTIF(G141,"*造化2*")*154+COUNTIF(G141,"*造化1*")*102+COUNTIF(G141,"*碧归*")*307)/1024)</f>
        <v>0.536243146929785</v>
      </c>
      <c r="Q141">
        <f ca="1" t="shared" ref="Q141:Q158" si="237">IF(G141="恒定伤害",0,(IF(COUNTIF(F141,"*内破*")&gt;0,内破,IF(D141="轻剑",$AF$2,$AF$3)/破防系数))+IF((IF(D141="轻剑",$AO$2,$AO$3)+INT(COUNTIF(G141,"*大莺鸣*")*IF(D141="轻剑",$AM$2,$AM$3)*听晓无双率)/无双系数)&gt;0.9,(特效裤子破防+特效裤子破防*IF(D141="轻剑",$AD$2,$AD$3)/1024)/破防系数,0))</f>
        <v>0.448284482196154</v>
      </c>
      <c r="R141">
        <f ca="1" t="shared" si="223"/>
        <v>0.21277697966198</v>
      </c>
      <c r="S141">
        <f ca="1" t="shared" si="181"/>
        <v>572854.602584295</v>
      </c>
      <c r="T141">
        <f t="shared" si="165"/>
        <v>0.8</v>
      </c>
      <c r="U141">
        <f ca="1" t="shared" ref="U141:U158" si="238">IF(G141="恒定伤害",0,(IF(D141="轻剑",$AO$2,$AO$3)+INT(COUNTIF(G141,"*大莺鸣*")*IF(D141="轻剑",$AM$2,$AM$3)*听晓无双率)/无双系数)+IF((IF(D141="轻剑",$AO$2,$AO$3)+INT(COUNTIF(G141,"*大莺鸣*")*IF(D141="轻剑",$AM$2,$AM$3)*听晓无双率)/无双系数)&lt;=0.9,特效裤子无双,0))</f>
        <v>1.7800129648</v>
      </c>
      <c r="V141">
        <f ca="1" t="shared" si="182"/>
        <v>1274034.57770375</v>
      </c>
      <c r="W141">
        <f ca="1">IF(G141="恒定伤害",0,MIN(1,IF(COUNTIF(F141,"*内会*")&gt;0,内会2,IF(D141="轻剑",$Y$2,$Y$3)+COUNTIF(G141,"*莺鸣*")*0.2+COUNTIF(G141,"*叠1*")*0.1+COUNTIF(G141,"*叠2*")*0.2+COUNTIF(G141,"*叠3*")*0.3)+IFERROR(INDEX(技能数据库!$T$2:$W$27,MATCH(E141,技能数据库!$T$2:$T$27,0),2),0)+IF((IF(D141="轻剑",$AO$2,$AO$3)+INT(COUNTIF(G141,"*大莺鸣*")*IF(D141="轻剑",$AM$2,$AM$3)*听晓无双率)/无双系数)&gt;0.9,特效裤子会心/会心系数,0)))</f>
        <v>0.7043</v>
      </c>
      <c r="X141">
        <f ca="1">IF(G141="恒定伤害",0,IF(COUNTIF(F141,"*内会*")&gt;0,内会效2,IF(D141="轻剑",$AB$2,$AB$3))+IFERROR(INDEX(技能数据库!$T$2:$W$27,MATCH(E141,技能数据库!$T$2:$T$27,0),3)/1024,0))+COUNTIF(G141,"*叠1*")*0.25+COUNTIF(G141,"*叠2*")*0.5+COUNTIF(G141,"*叠3*")*0.75</f>
        <v>2.1773735021</v>
      </c>
      <c r="Y141">
        <f ca="1" t="shared" si="183"/>
        <v>1.82922415752903</v>
      </c>
      <c r="Z141">
        <f t="shared" si="187"/>
        <v>0.150390625</v>
      </c>
      <c r="AA141">
        <f ca="1" t="shared" si="184"/>
        <v>0.0205078125</v>
      </c>
      <c r="AB141">
        <f ca="1" t="shared" si="185"/>
        <v>2735960.42352946</v>
      </c>
      <c r="AC141">
        <f ca="1">无穷技能数计算!$AJ133</f>
        <v>0</v>
      </c>
      <c r="AD141" s="164">
        <f ca="1" t="shared" ref="AD141:AD158" si="239">IFERROR(AB141*AC141/$AD$7,0)</f>
        <v>0</v>
      </c>
      <c r="AE141" s="168"/>
      <c r="AF141" s="168">
        <f ca="1" t="shared" ref="AF141:AF158" si="240">W141+IF(COUNTIF(F141,"*内会*")&gt;0,0,IF(D141="轻剑",$AF$8-$Y$2,$AF$9-$Y$3))</f>
        <v>0.7057</v>
      </c>
      <c r="AG141">
        <f ca="1">无穷技能数计算!$AJ133</f>
        <v>0</v>
      </c>
      <c r="AH141">
        <f ca="1" t="shared" si="189"/>
        <v>109879</v>
      </c>
      <c r="AJ141">
        <f ca="1" t="shared" ref="AJ141:AJ158" si="241">X141+IF(COUNTIF(F141,"*内会*")&gt;0,0,IF(D141="轻剑",$AJ$8-$AB$2,$AJ$9-$AB$3))</f>
        <v>2.3765922521</v>
      </c>
      <c r="AK141">
        <f ca="1" t="shared" si="224"/>
        <v>338503.03125</v>
      </c>
      <c r="AL141">
        <f ca="1" t="shared" si="191"/>
        <v>3052673.14150392</v>
      </c>
      <c r="AM141" s="169">
        <f ca="1" t="shared" ref="AM141:AM158" si="242">W141+IF(COUNTIF(F141,"*内会*")&gt;0,0,IF(D141="轻剑",$AN$8-$Y$2,$AN$9-$Y$3))</f>
        <v>0.7272</v>
      </c>
      <c r="AN141">
        <f ca="1">无穷技能数计算!$AJ133</f>
        <v>0</v>
      </c>
      <c r="AO141" s="170">
        <f ca="1" t="shared" si="193"/>
        <v>3098501.66471992</v>
      </c>
      <c r="AP141">
        <f ca="1" t="shared" si="194"/>
        <v>110956</v>
      </c>
      <c r="AQ141" s="170">
        <f ca="1" t="shared" si="225"/>
        <v>340954.125</v>
      </c>
      <c r="AR141">
        <f ca="1" t="shared" si="195"/>
        <v>3019482.84376983</v>
      </c>
      <c r="AS141">
        <f ca="1" t="shared" ref="AS141:AS158" si="243">W141+IF(COUNTIF(F141,"*内会*")&gt;0,0,IF(D141="轻剑",$AS$8-$Y$2,$AS$9-$Y$3))</f>
        <v>0.7843</v>
      </c>
      <c r="AT141">
        <f ca="1">无穷技能数计算!$AJ133</f>
        <v>0</v>
      </c>
      <c r="AU141">
        <f ca="1" t="shared" ref="AU141:AU158" si="244">X141+IF(COUNTIF(F141,"*内会*")&gt;0,0,IF(D141="轻剑",$AU$8-$AB$2,$AU$9-$AB$3))</f>
        <v>2.3238578771</v>
      </c>
      <c r="AV141">
        <f ca="1" t="shared" ref="AV141:AV158" si="245">IF(G141="恒定伤害",0,(IF(D141="轻剑",$AV$8,$AV$9)+INT(COUNTIF(G141,"*大莺鸣*")*IF(D141="轻剑",$AM$2,$AM$3)*听晓无双率)/无双系数))+IF((IF(G141="恒定伤害",0,(IF(D141="轻剑",$AV$8,$AV$9)+INT(COUNTIF(G141,"*大莺鸣*")*IF(D141="轻剑",$AM$2,$AM$3)*听晓无双率)/无双系数)))&lt;=0.9,特效裤子无双,0)</f>
        <v>1.7995442148</v>
      </c>
      <c r="AW141">
        <f ca="1" t="shared" si="226"/>
        <v>3070095.36548259</v>
      </c>
      <c r="AX141">
        <f ca="1" t="shared" ref="AX141:AX158" si="246">$W141+IF(COUNTIF(F141,"*内会*")&gt;0,0,IF(I141="轻剑",AX$8-$Y$2,AX$9-$Y$3))</f>
        <v>0.7743</v>
      </c>
      <c r="AY141">
        <f ca="1">无穷技能数计算!$AJ133</f>
        <v>0</v>
      </c>
      <c r="AZ141" s="170">
        <f ca="1" t="shared" si="227"/>
        <v>3050155.38374573</v>
      </c>
      <c r="BA141">
        <f ca="1" t="shared" ref="BA141:BA158" si="247">$W141+IF(COUNTIF(F141,"*内会*")&gt;0,0,IF(L141="轻剑",BA$8-$Y$2,BA$9-$Y$3))</f>
        <v>0.7643</v>
      </c>
      <c r="BB141">
        <f ca="1">无穷技能数计算!$AJ133</f>
        <v>0</v>
      </c>
      <c r="BC141" s="170">
        <f ca="1" t="shared" si="228"/>
        <v>3030215.40200887</v>
      </c>
      <c r="BE141">
        <f ca="1" t="shared" si="200"/>
        <v>105849</v>
      </c>
      <c r="BF141">
        <f ca="1" t="shared" si="201"/>
        <v>327069.46875</v>
      </c>
      <c r="BI141">
        <f ca="1" t="shared" ref="BI141:BI158" si="248">$W141+IF(COUNTIF(F141,"*内会*")&gt;0,0,IF(T141="轻剑",BI$8-$Y$2,BI$9-$Y$3))</f>
        <v>0.7543</v>
      </c>
      <c r="BJ141">
        <f ca="1">无穷技能数计算!$AJ133</f>
        <v>0</v>
      </c>
      <c r="BK141">
        <f ca="1" t="shared" si="203"/>
        <v>3014105.18068197</v>
      </c>
      <c r="BM141">
        <f ca="1" t="shared" si="204"/>
        <v>109230</v>
      </c>
      <c r="BN141">
        <f ca="1" t="shared" si="205"/>
        <v>336261.5625</v>
      </c>
      <c r="BO141">
        <f ca="1" t="shared" si="206"/>
        <v>3037888.12742514</v>
      </c>
      <c r="BP141">
        <f ca="1" t="shared" ref="BP141:BP158" si="249">IF(COUNTIF(G141,"*恒定伤害*")&gt;0,AB141,((BN141*(1+P141)*(1+IF(COUNTIF(F141,"*内破*")&gt;0,内破,IF(D141="轻剑",$BQ$8,$BQ$9)/破防系数)+IF((IF(D141="轻剑",$AO$2,$AO$3)+INT(COUNTIF(G141,"*大莺鸣*")*IF(D141="轻剑",$AM$2,$AM$3)*听晓无双率)/无双系数)&gt;0.9,(特效裤子破防+特效裤子破防*IF(D141="轻剑",$AD$2+102,$AD$3+102)/1024)/破防系数,0))*(1-R141))*T141*(1+U141))*Y141*(1+Z141)*(1+AA141))</f>
        <v>2897058.71709731</v>
      </c>
      <c r="BR141">
        <f ca="1" t="shared" ref="BR141:BR158" si="250">$W141+IF(T141="轻剑",BI$8-$Y$2,BI$9-$Y$3)</f>
        <v>0.7543</v>
      </c>
      <c r="BS141">
        <f ca="1" t="shared" si="208"/>
        <v>3011301.37570262</v>
      </c>
      <c r="BT141">
        <f ca="1" t="shared" si="209"/>
        <v>0.196995876306796</v>
      </c>
      <c r="BU141">
        <f ca="1" t="shared" ref="BU141:BU158" si="251">X141+IF(D141="轻剑",$AU$8-$AB$2,$AU$9-$AB$3)</f>
        <v>2.3238578771</v>
      </c>
      <c r="BV141">
        <f ca="1" t="shared" si="229"/>
        <v>3049198.60848903</v>
      </c>
      <c r="BW141">
        <f ca="1" t="shared" si="211"/>
        <v>113027</v>
      </c>
      <c r="BX141">
        <f ca="1" t="shared" si="212"/>
        <v>346584.65625</v>
      </c>
      <c r="BY141">
        <f ca="1" t="shared" ref="BY141:BY158" si="252">$W141+IF(COUNTIF(F141,"*内会*")&gt;0,0,IF(AI141="轻剑",BY$8-$Y$2,BY$9-$Y$3))</f>
        <v>0.7343</v>
      </c>
      <c r="BZ141">
        <f ca="1">无穷技能数计算!$AJ133</f>
        <v>0</v>
      </c>
      <c r="CA141">
        <f ca="1" t="shared" ref="CA141:CA158" si="253">X141+IF(COUNTIF(F141,"*内会*")&gt;0,0,IF(D141="轻剑",$CA$8-$AB$2,$CA$9-$AB$3))</f>
        <v>2.3277641271</v>
      </c>
      <c r="CB141">
        <f ca="1" t="shared" si="230"/>
        <v>3130267.95498314</v>
      </c>
      <c r="CC141">
        <f ca="1" t="shared" si="215"/>
        <v>114847</v>
      </c>
      <c r="CD141">
        <f ca="1" t="shared" si="216"/>
        <v>351532.78125</v>
      </c>
      <c r="CE141">
        <f ca="1" t="shared" si="217"/>
        <v>3087108.73511203</v>
      </c>
      <c r="CF141">
        <f ca="1" t="shared" ref="CF141:CF158" si="254">X141+IF(COUNTIF(F141,"*内会*")&gt;0,0,IF(D141="轻剑",$CF$8-$AB$2,$CF$9-$AB$3))</f>
        <v>2.2750297521</v>
      </c>
      <c r="CG141">
        <f ca="1" t="shared" ref="CG141:CG158" si="255">$W141+IF(AI141="轻剑",BY$8-$Y$2,BY$9-$Y$3)</f>
        <v>0.7343</v>
      </c>
      <c r="CH141">
        <f ca="1" t="shared" si="231"/>
        <v>2916391.3275205</v>
      </c>
      <c r="CJ141">
        <f ca="1" t="shared" si="220"/>
        <v>336261.5625</v>
      </c>
      <c r="CK141">
        <f ca="1" t="shared" si="221"/>
        <v>3024126.65977775</v>
      </c>
      <c r="CL141">
        <f ca="1" t="shared" si="232"/>
        <v>2.2976860021</v>
      </c>
      <c r="CM141">
        <f ca="1">IF(G141="恒定伤害",0,(IF(D141="轻剑",$CM$8,$CM$9)+IFERROR(INDEX(技能数据库!$T$2:$W$27,MATCH(E141,技能数据库!$T$2:$T$27,0),4),0)+COUNTIF(G141,"*造化2*")*154+COUNTIF(G141,"*造化1*")*102+COUNTIF(G141,"*碧归*")*307)/1024)</f>
        <v>0.596790021929785</v>
      </c>
      <c r="CN141">
        <f ca="1" t="shared" si="233"/>
        <v>3057378.52203222</v>
      </c>
      <c r="CO141">
        <f ca="1" t="shared" si="234"/>
        <v>2.3262602208</v>
      </c>
      <c r="CP141">
        <f ca="1" t="shared" si="235"/>
        <v>3090227.29385989</v>
      </c>
      <c r="CQ141">
        <f ca="1" t="shared" ref="CQ141:CQ158" si="256">IF(G141="恒定伤害",0,(IF(D141="轻剑",$CQ$8,$CQ$9)+INT(COUNTIF(G141,"*大莺鸣*")*IF(D141="轻剑",$AM$2,$AM$3)*听晓无双率)/无双系数))+IF((IF(G141="恒定伤害",0,(IF(D141="轻剑",$CQ$8,$CQ$9)+INT(COUNTIF(G141,"*大莺鸣*")*IF(D141="轻剑",$AM$2,$AM$3)*听晓无双率)/无双系数)))&lt;=0.9,特效裤子无双,0)</f>
        <v>1.8815754648</v>
      </c>
      <c r="CR141">
        <f ca="1">IF(G141="恒定伤害",0,(IF(D141="轻剑",$CR$8,$CR$9)+IFERROR(INDEX(技能数据库!$T$2:$W$27,MATCH(E141,技能数据库!$T$2:$T$27,0),4),0)+COUNTIF(G141,"*造化2*")*154+COUNTIF(G141,"*造化1*")*102+COUNTIF(G141,"*碧归*")*307)/1024)</f>
        <v>0.587024396929785</v>
      </c>
      <c r="CS141">
        <f ca="1" t="shared" si="236"/>
        <v>2929656.022527</v>
      </c>
    </row>
    <row r="142" spans="4:97">
      <c r="D142" t="s">
        <v>1825</v>
      </c>
      <c r="E142" t="s">
        <v>2798</v>
      </c>
      <c r="G142" t="s">
        <v>3104</v>
      </c>
      <c r="H142">
        <f ca="1">INDEX(技能数据库!$B$2:$I$100,MATCH(无穷阵眼收益计算!$E142,技能数据库!$B$2:$B$100,0),MATCH(H$9,技能数据库!$B$2:$I$2,0))</f>
        <v>1504.5</v>
      </c>
      <c r="I142">
        <f ca="1">INDEX(技能数据库!$B$2:$I$100,MATCH(无穷阵眼收益计算!$E142,技能数据库!$B$2:$B$100,0),MATCH(I$9,技能数据库!$B$2:$I$2,0))</f>
        <v>2.85625</v>
      </c>
      <c r="J142">
        <f ca="1">INDEX(技能数据库!$B$2:$I$100,MATCH(无穷阵眼收益计算!$E142,技能数据库!$B$2:$B$100,0),MATCH(J$9,技能数据库!$B$2:$I$2,0))</f>
        <v>0</v>
      </c>
      <c r="K142">
        <f ca="1">INDEX(技能数据库!$B$2:$I$100,MATCH(无穷阵眼收益计算!$E142,技能数据库!$B$2:$B$100,0),MATCH(K$9,技能数据库!$B$2:$I$2,0))</f>
        <v>0</v>
      </c>
      <c r="L142">
        <f ca="1" t="shared" si="186"/>
        <v>105847</v>
      </c>
      <c r="M142">
        <f ca="1" t="shared" si="179"/>
        <v>19530.5</v>
      </c>
      <c r="N142">
        <f ca="1" t="shared" si="180"/>
        <v>92028</v>
      </c>
      <c r="O142">
        <f ca="1" t="shared" si="222"/>
        <v>303829.99375</v>
      </c>
      <c r="P142">
        <f ca="1">IF(G142="恒定伤害",0,(IF(D142="轻剑",$AZ$2,$AZ$3)+IFERROR(INDEX(技能数据库!$T$2:$W$27,MATCH(E142,技能数据库!$T$2:$T$27,0),4),0)+COUNTIF(G142,"*造化2*")*154+COUNTIF(G142,"*造化1*")*102+COUNTIF(G142,"*碧归*")*307)/1024)</f>
        <v>0.416125959429785</v>
      </c>
      <c r="Q142">
        <f ca="1" t="shared" si="237"/>
        <v>0.448284482196154</v>
      </c>
      <c r="R142">
        <f ca="1" t="shared" si="223"/>
        <v>0.21277697966198</v>
      </c>
      <c r="S142">
        <f ca="1" t="shared" si="181"/>
        <v>490551.029623256</v>
      </c>
      <c r="T142">
        <f t="shared" si="165"/>
        <v>0.8</v>
      </c>
      <c r="U142">
        <f ca="1" t="shared" si="238"/>
        <v>1.7800129648</v>
      </c>
      <c r="V142">
        <f ca="1" t="shared" si="182"/>
        <v>1090990.57779891</v>
      </c>
      <c r="W142">
        <f ca="1">IF(G142="恒定伤害",0,MIN(1,IF(COUNTIF(F142,"*内会*")&gt;0,内会2,IF(D142="轻剑",$Y$2,$Y$3)+COUNTIF(G142,"*莺鸣*")*0.2+COUNTIF(G142,"*叠1*")*0.1+COUNTIF(G142,"*叠2*")*0.2+COUNTIF(G142,"*叠3*")*0.3)+IFERROR(INDEX(技能数据库!$T$2:$W$27,MATCH(E142,技能数据库!$T$2:$T$27,0),2),0)+IF((IF(D142="轻剑",$AO$2,$AO$3)+INT(COUNTIF(G142,"*大莺鸣*")*IF(D142="轻剑",$AM$2,$AM$3)*听晓无双率)/无双系数)&gt;0.9,特效裤子会心/会心系数,0)))</f>
        <v>0.7043</v>
      </c>
      <c r="X142">
        <f ca="1">IF(G142="恒定伤害",0,IF(COUNTIF(F142,"*内会*")&gt;0,内会效2,IF(D142="轻剑",$AB$2,$AB$3))+IFERROR(INDEX(技能数据库!$T$2:$W$27,MATCH(E142,技能数据库!$T$2:$T$27,0),3)/1024,0))+COUNTIF(G142,"*叠1*")*0.25+COUNTIF(G142,"*叠2*")*0.5+COUNTIF(G142,"*叠3*")*0.75</f>
        <v>2.1773735021</v>
      </c>
      <c r="Y142">
        <f ca="1" t="shared" si="183"/>
        <v>1.82922415752903</v>
      </c>
      <c r="Z142">
        <f t="shared" si="187"/>
        <v>0.150390625</v>
      </c>
      <c r="AA142">
        <f ca="1" t="shared" si="184"/>
        <v>0.0205078125</v>
      </c>
      <c r="AB142">
        <f ca="1" t="shared" si="185"/>
        <v>2342877.57611821</v>
      </c>
      <c r="AC142">
        <f ca="1">无穷技能数计算!$AJ134</f>
        <v>0</v>
      </c>
      <c r="AD142" s="164">
        <f ca="1" t="shared" si="239"/>
        <v>0</v>
      </c>
      <c r="AE142" s="168"/>
      <c r="AF142" s="168">
        <f ca="1" t="shared" si="240"/>
        <v>0.7057</v>
      </c>
      <c r="AG142">
        <f ca="1">无穷技能数计算!$AJ134</f>
        <v>0</v>
      </c>
      <c r="AH142">
        <f ca="1" t="shared" si="189"/>
        <v>109879</v>
      </c>
      <c r="AJ142">
        <f ca="1" t="shared" si="241"/>
        <v>2.3765922521</v>
      </c>
      <c r="AK142">
        <f ca="1" t="shared" si="224"/>
        <v>315346.39375</v>
      </c>
      <c r="AL142">
        <f ca="1" t="shared" si="191"/>
        <v>2621485.97079033</v>
      </c>
      <c r="AM142" s="169">
        <f ca="1" t="shared" si="242"/>
        <v>0.7272</v>
      </c>
      <c r="AN142">
        <f ca="1">无穷技能数计算!$AJ134</f>
        <v>0</v>
      </c>
      <c r="AO142" s="170">
        <f ca="1" t="shared" si="193"/>
        <v>2660841.25879656</v>
      </c>
      <c r="AP142">
        <f ca="1" t="shared" si="194"/>
        <v>110956</v>
      </c>
      <c r="AQ142" s="170">
        <f ca="1" t="shared" si="225"/>
        <v>318422.575</v>
      </c>
      <c r="AR142">
        <f ca="1" t="shared" si="195"/>
        <v>2599455.53392719</v>
      </c>
      <c r="AS142">
        <f ca="1" t="shared" si="243"/>
        <v>0.7843</v>
      </c>
      <c r="AT142">
        <f ca="1">无穷技能数计算!$AJ134</f>
        <v>0</v>
      </c>
      <c r="AU142">
        <f ca="1" t="shared" si="244"/>
        <v>2.3238578771</v>
      </c>
      <c r="AV142">
        <f ca="1" t="shared" si="245"/>
        <v>1.7995442148</v>
      </c>
      <c r="AW142">
        <f ca="1" t="shared" si="226"/>
        <v>2629006.44558836</v>
      </c>
      <c r="AX142">
        <f ca="1" t="shared" si="246"/>
        <v>0.7743</v>
      </c>
      <c r="AY142">
        <f ca="1">无穷技能数计算!$AJ134</f>
        <v>0</v>
      </c>
      <c r="AZ142" s="170">
        <f ca="1" t="shared" si="227"/>
        <v>2611931.29505704</v>
      </c>
      <c r="BA142">
        <f ca="1" t="shared" si="247"/>
        <v>0.7643</v>
      </c>
      <c r="BB142">
        <f ca="1">无穷技能数计算!$AJ134</f>
        <v>0</v>
      </c>
      <c r="BC142" s="170">
        <f ca="1" t="shared" si="228"/>
        <v>2594856.14452572</v>
      </c>
      <c r="BE142">
        <f ca="1" t="shared" si="200"/>
        <v>105849</v>
      </c>
      <c r="BF142">
        <f ca="1" t="shared" si="201"/>
        <v>303835.70625</v>
      </c>
      <c r="BI142">
        <f ca="1" t="shared" si="248"/>
        <v>0.7543</v>
      </c>
      <c r="BJ142">
        <f ca="1">无穷技能数计算!$AJ134</f>
        <v>0</v>
      </c>
      <c r="BK142">
        <f ca="1" t="shared" si="203"/>
        <v>2581066.13979966</v>
      </c>
      <c r="BM142">
        <f ca="1" t="shared" si="204"/>
        <v>109230</v>
      </c>
      <c r="BN142">
        <f ca="1" t="shared" si="205"/>
        <v>313492.6875</v>
      </c>
      <c r="BO142">
        <f ca="1" t="shared" si="206"/>
        <v>2610741.60628881</v>
      </c>
      <c r="BP142">
        <f ca="1" t="shared" si="249"/>
        <v>2489713.71272921</v>
      </c>
      <c r="BR142">
        <f ca="1" t="shared" si="250"/>
        <v>0.7543</v>
      </c>
      <c r="BS142">
        <f ca="1" t="shared" si="208"/>
        <v>2587893.12208315</v>
      </c>
      <c r="BT142">
        <f ca="1" t="shared" si="209"/>
        <v>0.196995876306796</v>
      </c>
      <c r="BU142">
        <f ca="1" t="shared" si="251"/>
        <v>2.3238578771</v>
      </c>
      <c r="BV142">
        <f ca="1" t="shared" si="229"/>
        <v>2611111.98229396</v>
      </c>
      <c r="BW142">
        <f ca="1" t="shared" si="211"/>
        <v>113027</v>
      </c>
      <c r="BX142">
        <f ca="1" t="shared" si="212"/>
        <v>324337.86875</v>
      </c>
      <c r="BY142">
        <f ca="1" t="shared" si="252"/>
        <v>0.7343</v>
      </c>
      <c r="BZ142">
        <f ca="1">无穷技能数计算!$AJ134</f>
        <v>0</v>
      </c>
      <c r="CA142">
        <f ca="1" t="shared" si="253"/>
        <v>2.3277641271</v>
      </c>
      <c r="CB142">
        <f ca="1" t="shared" si="230"/>
        <v>2700298.4515315</v>
      </c>
      <c r="CC142">
        <f ca="1" t="shared" si="215"/>
        <v>114847</v>
      </c>
      <c r="CD142">
        <f ca="1" t="shared" si="216"/>
        <v>329536.24375</v>
      </c>
      <c r="CE142">
        <f ca="1" t="shared" si="217"/>
        <v>2667664.4969089</v>
      </c>
      <c r="CF142">
        <f ca="1" t="shared" si="254"/>
        <v>2.2750297521</v>
      </c>
      <c r="CG142">
        <f ca="1" t="shared" si="255"/>
        <v>0.7343</v>
      </c>
      <c r="CH142">
        <f ca="1" t="shared" si="231"/>
        <v>2497385.483237</v>
      </c>
      <c r="CJ142">
        <f ca="1" t="shared" si="220"/>
        <v>313492.6875</v>
      </c>
      <c r="CK142">
        <f ca="1" t="shared" si="221"/>
        <v>2598915.08910199</v>
      </c>
      <c r="CL142">
        <f ca="1" t="shared" si="232"/>
        <v>2.2976860021</v>
      </c>
      <c r="CM142">
        <f ca="1">IF(G142="恒定伤害",0,(IF(D142="轻剑",$CM$8,$CM$9)+IFERROR(INDEX(技能数据库!$T$2:$W$27,MATCH(E142,技能数据库!$T$2:$T$27,0),4),0)+COUNTIF(G142,"*造化2*")*154+COUNTIF(G142,"*造化1*")*102+COUNTIF(G142,"*碧归*")*307)/1024)</f>
        <v>0.476672834429785</v>
      </c>
      <c r="CN142">
        <f ca="1" t="shared" si="233"/>
        <v>2626537.13269744</v>
      </c>
      <c r="CO142">
        <f ca="1" t="shared" si="234"/>
        <v>2.3262602208</v>
      </c>
      <c r="CP142">
        <f ca="1" t="shared" si="235"/>
        <v>2654756.90278712</v>
      </c>
      <c r="CQ142">
        <f ca="1" t="shared" si="256"/>
        <v>1.8815754648</v>
      </c>
      <c r="CR142">
        <f ca="1">IF(G142="恒定伤害",0,(IF(D142="轻剑",$CR$8,$CR$9)+IFERROR(INDEX(技能数据库!$T$2:$W$27,MATCH(E142,技能数据库!$T$2:$T$27,0),4),0)+COUNTIF(G142,"*造化2*")*154+COUNTIF(G142,"*造化1*")*102+COUNTIF(G142,"*碧归*")*307)/1024)</f>
        <v>0.466907209429785</v>
      </c>
      <c r="CS142">
        <f ca="1" t="shared" si="236"/>
        <v>2515553.34300729</v>
      </c>
    </row>
    <row r="143" spans="4:97">
      <c r="D143" t="s">
        <v>1825</v>
      </c>
      <c r="E143" t="s">
        <v>2924</v>
      </c>
      <c r="G143" t="s">
        <v>3098</v>
      </c>
      <c r="H143">
        <f ca="1">INDEX(技能数据库!$B$2:$I$100,MATCH(无穷阵眼收益计算!$E143,技能数据库!$B$2:$B$100,0),MATCH(H$9,技能数据库!$B$2:$I$2,0))</f>
        <v>0</v>
      </c>
      <c r="I143">
        <f ca="1">INDEX(技能数据库!$B$2:$I$100,MATCH(无穷阵眼收益计算!$E143,技能数据库!$B$2:$B$100,0),MATCH(I$9,技能数据库!$B$2:$I$2,0))</f>
        <v>0</v>
      </c>
      <c r="J143">
        <f ca="1">INDEX(技能数据库!$B$2:$I$100,MATCH(无穷阵眼收益计算!$E143,技能数据库!$B$2:$B$100,0),MATCH(J$9,技能数据库!$B$2:$I$2,0))</f>
        <v>0</v>
      </c>
      <c r="K143">
        <f ca="1">INDEX(技能数据库!$B$2:$I$100,MATCH(无穷阵眼收益计算!$E143,技能数据库!$B$2:$B$100,0),MATCH(K$9,技能数据库!$B$2:$I$2,0))</f>
        <v>0</v>
      </c>
      <c r="L143">
        <f ca="1" t="shared" si="186"/>
        <v>91975</v>
      </c>
      <c r="M143">
        <f ca="1" t="shared" si="179"/>
        <v>19530.5</v>
      </c>
      <c r="N143">
        <f ca="1" t="shared" si="180"/>
        <v>92028</v>
      </c>
      <c r="O143">
        <f ca="1" t="shared" si="222"/>
        <v>0</v>
      </c>
      <c r="P143">
        <f ca="1">IF(G143="恒定伤害",0,(IF(D143="轻剑",$AZ$2,$AZ$3)+IFERROR(INDEX(技能数据库!$T$2:$W$27,MATCH(E143,技能数据库!$T$2:$T$27,0),4),0)+COUNTIF(G143,"*造化2*")*154+COUNTIF(G143,"*造化1*")*102+COUNTIF(G143,"*碧归*")*307)/1024)</f>
        <v>0</v>
      </c>
      <c r="Q143">
        <f ca="1" t="shared" si="237"/>
        <v>0</v>
      </c>
      <c r="R143">
        <f ca="1" t="shared" si="223"/>
        <v>0</v>
      </c>
      <c r="S143">
        <f ca="1" t="shared" si="181"/>
        <v>0</v>
      </c>
      <c r="T143">
        <f t="shared" si="165"/>
        <v>0.8</v>
      </c>
      <c r="U143">
        <f ca="1" t="shared" si="238"/>
        <v>0</v>
      </c>
      <c r="V143">
        <f ca="1" t="shared" si="182"/>
        <v>0</v>
      </c>
      <c r="W143">
        <f ca="1">IF(G143="恒定伤害",0,MIN(1,IF(COUNTIF(F143,"*内会*")&gt;0,内会2,IF(D143="轻剑",$Y$2,$Y$3)+COUNTIF(G143,"*莺鸣*")*0.2+COUNTIF(G143,"*叠1*")*0.1+COUNTIF(G143,"*叠2*")*0.2+COUNTIF(G143,"*叠3*")*0.3)+IFERROR(INDEX(技能数据库!$T$2:$W$27,MATCH(E143,技能数据库!$T$2:$T$27,0),2),0)+IF((IF(D143="轻剑",$AO$2,$AO$3)+INT(COUNTIF(G143,"*大莺鸣*")*IF(D143="轻剑",$AM$2,$AM$3)*听晓无双率)/无双系数)&gt;0.9,特效裤子会心/会心系数,0)))</f>
        <v>0</v>
      </c>
      <c r="X143">
        <f ca="1">IF(G143="恒定伤害",0,IF(COUNTIF(F143,"*内会*")&gt;0,内会效2,IF(D143="轻剑",$AB$2,$AB$3))+IFERROR(INDEX(技能数据库!$T$2:$W$27,MATCH(E143,技能数据库!$T$2:$T$27,0),3)/1024,0))+COUNTIF(G143,"*叠1*")*0.25+COUNTIF(G143,"*叠2*")*0.5+COUNTIF(G143,"*叠3*")*0.75</f>
        <v>0</v>
      </c>
      <c r="Y143">
        <f ca="1" t="shared" si="183"/>
        <v>1</v>
      </c>
      <c r="Z143">
        <f t="shared" si="187"/>
        <v>0</v>
      </c>
      <c r="AA143">
        <f ca="1" t="shared" si="184"/>
        <v>0.0205078125</v>
      </c>
      <c r="AB143">
        <f ca="1" t="shared" si="185"/>
        <v>0</v>
      </c>
      <c r="AC143" s="171">
        <f ca="1">无穷技能数计算!$AJ135</f>
        <v>0</v>
      </c>
      <c r="AD143" s="164">
        <f ca="1" t="shared" si="239"/>
        <v>0</v>
      </c>
      <c r="AE143" s="168"/>
      <c r="AF143" s="168">
        <f ca="1" t="shared" si="240"/>
        <v>0.00139999999999996</v>
      </c>
      <c r="AG143" s="171">
        <f ca="1">无穷技能数计算!$AJ135</f>
        <v>0</v>
      </c>
      <c r="AH143">
        <f ca="1" t="shared" si="189"/>
        <v>96007</v>
      </c>
      <c r="AJ143">
        <f ca="1" t="shared" si="241"/>
        <v>0.19921875</v>
      </c>
      <c r="AK143">
        <f ca="1" t="shared" si="224"/>
        <v>0</v>
      </c>
      <c r="AL143">
        <f ca="1" t="shared" si="191"/>
        <v>0</v>
      </c>
      <c r="AM143" s="169">
        <f ca="1" t="shared" si="242"/>
        <v>0.0228999999999999</v>
      </c>
      <c r="AN143" s="171">
        <f ca="1">无穷技能数计算!$AJ135</f>
        <v>0</v>
      </c>
      <c r="AO143" s="170">
        <f ca="1" t="shared" si="193"/>
        <v>0</v>
      </c>
      <c r="AP143">
        <f ca="1" t="shared" si="194"/>
        <v>97084</v>
      </c>
      <c r="AQ143" s="170">
        <f ca="1" t="shared" si="225"/>
        <v>0</v>
      </c>
      <c r="AR143">
        <f ca="1" t="shared" si="195"/>
        <v>0</v>
      </c>
      <c r="AS143">
        <f ca="1" t="shared" si="243"/>
        <v>0.08</v>
      </c>
      <c r="AT143" s="171">
        <f ca="1">无穷技能数计算!$AJ135</f>
        <v>0</v>
      </c>
      <c r="AU143">
        <f ca="1" t="shared" si="244"/>
        <v>0.146484375</v>
      </c>
      <c r="AV143">
        <f ca="1" t="shared" si="245"/>
        <v>0</v>
      </c>
      <c r="AW143">
        <f ca="1" t="shared" si="226"/>
        <v>0</v>
      </c>
      <c r="AX143">
        <f ca="1" t="shared" si="246"/>
        <v>0.07</v>
      </c>
      <c r="AY143" s="171">
        <f ca="1">无穷技能数计算!$AJ135</f>
        <v>0</v>
      </c>
      <c r="AZ143" s="170">
        <f ca="1" t="shared" si="227"/>
        <v>0</v>
      </c>
      <c r="BA143">
        <f ca="1" t="shared" si="247"/>
        <v>0.0599999999999999</v>
      </c>
      <c r="BB143" s="171">
        <f ca="1">无穷技能数计算!$AJ135</f>
        <v>0</v>
      </c>
      <c r="BC143" s="170">
        <f ca="1" t="shared" si="228"/>
        <v>0</v>
      </c>
      <c r="BE143">
        <f ca="1" t="shared" si="200"/>
        <v>91977</v>
      </c>
      <c r="BF143">
        <f ca="1" t="shared" si="201"/>
        <v>0</v>
      </c>
      <c r="BI143">
        <f ca="1" t="shared" si="248"/>
        <v>0.05</v>
      </c>
      <c r="BJ143" s="171">
        <f ca="1">无穷技能数计算!$AJ135</f>
        <v>0</v>
      </c>
      <c r="BK143">
        <f ca="1" t="shared" si="203"/>
        <v>0</v>
      </c>
      <c r="BM143">
        <f ca="1" t="shared" si="204"/>
        <v>95358</v>
      </c>
      <c r="BN143">
        <f ca="1" t="shared" si="205"/>
        <v>0</v>
      </c>
      <c r="BO143">
        <f ca="1" t="shared" si="206"/>
        <v>0</v>
      </c>
      <c r="BP143">
        <f ca="1" t="shared" si="249"/>
        <v>0</v>
      </c>
      <c r="BR143">
        <f ca="1" t="shared" si="250"/>
        <v>0.05</v>
      </c>
      <c r="BS143">
        <f ca="1" t="shared" si="208"/>
        <v>0</v>
      </c>
      <c r="BT143">
        <f ca="1" t="shared" si="209"/>
        <v>0</v>
      </c>
      <c r="BU143">
        <f ca="1" t="shared" si="251"/>
        <v>0.146484375</v>
      </c>
      <c r="BV143">
        <f ca="1" t="shared" si="229"/>
        <v>0</v>
      </c>
      <c r="BW143">
        <f ca="1" t="shared" si="211"/>
        <v>99155</v>
      </c>
      <c r="BX143">
        <f ca="1" t="shared" si="212"/>
        <v>0</v>
      </c>
      <c r="BY143">
        <f ca="1" t="shared" si="252"/>
        <v>0.03</v>
      </c>
      <c r="BZ143" s="171">
        <f ca="1">无穷技能数计算!$AJ135</f>
        <v>0</v>
      </c>
      <c r="CA143">
        <f ca="1" t="shared" si="253"/>
        <v>0.150390625</v>
      </c>
      <c r="CB143">
        <f ca="1" t="shared" si="230"/>
        <v>0</v>
      </c>
      <c r="CC143">
        <f ca="1" t="shared" si="215"/>
        <v>100975</v>
      </c>
      <c r="CD143">
        <f ca="1" t="shared" si="216"/>
        <v>0</v>
      </c>
      <c r="CE143">
        <f ca="1" t="shared" si="217"/>
        <v>0</v>
      </c>
      <c r="CF143">
        <f ca="1" t="shared" si="254"/>
        <v>0.09765625</v>
      </c>
      <c r="CG143">
        <f ca="1" t="shared" si="255"/>
        <v>0.03</v>
      </c>
      <c r="CH143">
        <f ca="1" t="shared" si="231"/>
        <v>0</v>
      </c>
      <c r="CJ143">
        <f ca="1" t="shared" si="220"/>
        <v>0</v>
      </c>
      <c r="CK143">
        <f ca="1" t="shared" si="221"/>
        <v>0</v>
      </c>
      <c r="CL143">
        <f ca="1" t="shared" si="232"/>
        <v>0.1203125</v>
      </c>
      <c r="CM143">
        <f ca="1">IF(G143="恒定伤害",0,(IF(D143="轻剑",$CM$8,$CM$9)+IFERROR(INDEX(技能数据库!$T$2:$W$27,MATCH(E143,技能数据库!$T$2:$T$27,0),4),0)+COUNTIF(G143,"*造化2*")*154+COUNTIF(G143,"*造化1*")*102+COUNTIF(G143,"*碧归*")*307)/1024)</f>
        <v>0</v>
      </c>
      <c r="CN143">
        <f ca="1" t="shared" si="233"/>
        <v>0</v>
      </c>
      <c r="CO143">
        <f ca="1" t="shared" si="234"/>
        <v>0.1488867187</v>
      </c>
      <c r="CP143">
        <f ca="1" t="shared" si="235"/>
        <v>0</v>
      </c>
      <c r="CQ143">
        <f ca="1" t="shared" si="256"/>
        <v>0</v>
      </c>
      <c r="CR143">
        <f ca="1">IF(G143="恒定伤害",0,(IF(D143="轻剑",$CR$8,$CR$9)+IFERROR(INDEX(技能数据库!$T$2:$W$27,MATCH(E143,技能数据库!$T$2:$T$27,0),4),0)+COUNTIF(G143,"*造化2*")*154+COUNTIF(G143,"*造化1*")*102+COUNTIF(G143,"*碧归*")*307)/1024)</f>
        <v>0</v>
      </c>
      <c r="CS143">
        <f ca="1" t="shared" si="236"/>
        <v>0</v>
      </c>
    </row>
    <row r="144" spans="4:97">
      <c r="D144" t="s">
        <v>1825</v>
      </c>
      <c r="E144" t="s">
        <v>2776</v>
      </c>
      <c r="G144" t="s">
        <v>3105</v>
      </c>
      <c r="H144">
        <f ca="1">INDEX(技能数据库!$B$2:$I$100,MATCH(无穷阵眼收益计算!$E144,技能数据库!$B$2:$B$100,0),MATCH(H$9,技能数据库!$B$2:$I$2,0))</f>
        <v>281.5</v>
      </c>
      <c r="I144">
        <f ca="1">INDEX(技能数据库!$B$2:$I$100,MATCH(无穷阵眼收益计算!$E144,技能数据库!$B$2:$B$100,0),MATCH(I$9,技能数据库!$B$2:$I$2,0))</f>
        <v>7.06875</v>
      </c>
      <c r="J144">
        <f ca="1">INDEX(技能数据库!$B$2:$I$100,MATCH(无穷阵眼收益计算!$E144,技能数据库!$B$2:$B$100,0),MATCH(J$9,技能数据库!$B$2:$I$2,0))</f>
        <v>2</v>
      </c>
      <c r="K144">
        <f ca="1">INDEX(技能数据库!$B$2:$I$100,MATCH(无穷阵眼收益计算!$E144,技能数据库!$B$2:$B$100,0),MATCH(K$9,技能数据库!$B$2:$I$2,0))</f>
        <v>0</v>
      </c>
      <c r="L144">
        <f ca="1" t="shared" si="186"/>
        <v>105847</v>
      </c>
      <c r="M144">
        <f ca="1" t="shared" ref="M144:M156" si="257">IF(D144="轻剑",$AU$2+$AV$2,$AU$3+$AV$3)/2</f>
        <v>19530.5</v>
      </c>
      <c r="N144">
        <f ca="1" t="shared" ref="N144:N156" si="258">IF(D144="轻剑",$AJ$2,$AJ$3)</f>
        <v>92028</v>
      </c>
      <c r="O144">
        <f ca="1" t="shared" si="222"/>
        <v>787548.48125</v>
      </c>
      <c r="P144">
        <f ca="1">IF(G144="恒定伤害",0,(IF(D144="轻剑",$AZ$2,$AZ$3)+IFERROR(INDEX(技能数据库!$T$2:$W$27,MATCH(E144,技能数据库!$T$2:$T$27,0),4),0)+COUNTIF(G144,"*造化2*")*154+COUNTIF(G144,"*造化1*")*102+COUNTIF(G144,"*碧归*")*307)/1024)</f>
        <v>0.337024396929785</v>
      </c>
      <c r="Q144">
        <f ca="1" t="shared" si="237"/>
        <v>0.448284482196154</v>
      </c>
      <c r="R144">
        <f ca="1" t="shared" si="223"/>
        <v>0.21277697966198</v>
      </c>
      <c r="S144">
        <f ca="1" t="shared" ref="S144:S156" si="259">O144*(1+P144)*(1+Q144)*(1-R144)</f>
        <v>1200516.94160105</v>
      </c>
      <c r="T144">
        <f t="shared" si="165"/>
        <v>0.8</v>
      </c>
      <c r="U144">
        <f ca="1" t="shared" si="238"/>
        <v>1.7800129648</v>
      </c>
      <c r="V144">
        <f ca="1" t="shared" ref="V144:V156" si="260">S144*T144*(1+U144)</f>
        <v>2669962.12969036</v>
      </c>
      <c r="W144">
        <f ca="1">IF(G144="恒定伤害",0,MIN(1,IF(COUNTIF(F144,"*内会*")&gt;0,内会2,IF(D144="轻剑",$Y$2,$Y$3)+COUNTIF(G144,"*莺鸣*")*0.2+COUNTIF(G144,"*叠1*")*0.1+COUNTIF(G144,"*叠2*")*0.2+COUNTIF(G144,"*叠3*")*0.3)+IFERROR(INDEX(技能数据库!$T$2:$W$27,MATCH(E144,技能数据库!$T$2:$T$27,0),2),0)+IF((IF(D144="轻剑",$AO$2,$AO$3)+INT(COUNTIF(G144,"*大莺鸣*")*IF(D144="轻剑",$AM$2,$AM$3)*听晓无双率)/无双系数)&gt;0.9,特效裤子会心/会心系数,0)))</f>
        <v>0.8043</v>
      </c>
      <c r="X144">
        <f ca="1">IF(G144="恒定伤害",0,IF(COUNTIF(F144,"*内会*")&gt;0,内会效2,IF(D144="轻剑",$AB$2,$AB$3))+IFERROR(INDEX(技能数据库!$T$2:$W$27,MATCH(E144,技能数据库!$T$2:$T$27,0),3)/1024,0))+COUNTIF(G144,"*叠1*")*0.25+COUNTIF(G144,"*叠2*")*0.5+COUNTIF(G144,"*叠3*")*0.75</f>
        <v>2.4273735021</v>
      </c>
      <c r="Y144">
        <f ca="1" t="shared" ref="Y144:Y156" si="261">1+W144*(X144-1)</f>
        <v>2.14803650773903</v>
      </c>
      <c r="Z144">
        <f t="shared" si="187"/>
        <v>0.150390625</v>
      </c>
      <c r="AA144">
        <f ca="1" t="shared" ref="AA144:AA156" si="262">IF(D144="轻剑",$BA$2,$BA$3)/1024</f>
        <v>0.0205078125</v>
      </c>
      <c r="AB144">
        <f ca="1" t="shared" ref="AB144:AB156" si="263">V144*Y144*(1+Z144)*(1+AA144)</f>
        <v>6732997.09928748</v>
      </c>
      <c r="AC144">
        <f ca="1">无穷技能数计算!$AJ136</f>
        <v>4</v>
      </c>
      <c r="AD144" s="164">
        <f ca="1" t="shared" si="239"/>
        <v>0.0105549366555252</v>
      </c>
      <c r="AE144" s="168"/>
      <c r="AF144" s="168">
        <f ca="1" t="shared" si="240"/>
        <v>0.8057</v>
      </c>
      <c r="AG144">
        <f ca="1">无穷技能数计算!$AJ136</f>
        <v>4</v>
      </c>
      <c r="AH144">
        <f ca="1" t="shared" si="189"/>
        <v>109879</v>
      </c>
      <c r="AJ144">
        <f ca="1" t="shared" si="241"/>
        <v>2.6265922521</v>
      </c>
      <c r="AK144">
        <f ca="1" t="shared" si="224"/>
        <v>816526.68125</v>
      </c>
      <c r="AL144">
        <f ca="1" t="shared" si="191"/>
        <v>7510931.06378966</v>
      </c>
      <c r="AM144" s="169">
        <f ca="1" t="shared" si="242"/>
        <v>0.8272</v>
      </c>
      <c r="AN144">
        <f ca="1">无穷技能数计算!$AJ136</f>
        <v>4</v>
      </c>
      <c r="AO144" s="170">
        <f ca="1" t="shared" si="193"/>
        <v>7624614.30128671</v>
      </c>
      <c r="AP144">
        <f ca="1" t="shared" si="194"/>
        <v>110956</v>
      </c>
      <c r="AQ144" s="170">
        <f ca="1" t="shared" si="225"/>
        <v>823662.725</v>
      </c>
      <c r="AR144">
        <f ca="1" t="shared" si="195"/>
        <v>7454871.00650306</v>
      </c>
      <c r="AS144">
        <f ca="1" t="shared" si="243"/>
        <v>0.8843</v>
      </c>
      <c r="AT144">
        <f ca="1">无穷技能数计算!$AJ136</f>
        <v>4</v>
      </c>
      <c r="AU144">
        <f ca="1" t="shared" si="244"/>
        <v>2.5738578771</v>
      </c>
      <c r="AV144">
        <f ca="1" t="shared" si="245"/>
        <v>1.7995442148</v>
      </c>
      <c r="AW144">
        <f ca="1" t="shared" si="226"/>
        <v>7549624.21235542</v>
      </c>
      <c r="AX144">
        <f ca="1" t="shared" si="246"/>
        <v>0.8743</v>
      </c>
      <c r="AY144">
        <f ca="1">无穷技能数计算!$AJ136</f>
        <v>4</v>
      </c>
      <c r="AZ144" s="170">
        <f ca="1" t="shared" si="227"/>
        <v>7499945.21858899</v>
      </c>
      <c r="BA144">
        <f ca="1" t="shared" si="247"/>
        <v>0.8643</v>
      </c>
      <c r="BB144">
        <f ca="1">无穷技能数计算!$AJ136</f>
        <v>4</v>
      </c>
      <c r="BC144" s="170">
        <f ca="1" t="shared" si="228"/>
        <v>7450266.22482256</v>
      </c>
      <c r="BE144">
        <f ca="1" t="shared" si="200"/>
        <v>105849</v>
      </c>
      <c r="BF144">
        <f ca="1" t="shared" si="201"/>
        <v>787562.61875</v>
      </c>
      <c r="BI144">
        <f ca="1" t="shared" si="248"/>
        <v>0.8543</v>
      </c>
      <c r="BJ144">
        <f ca="1">无穷技能数计算!$AJ136</f>
        <v>4</v>
      </c>
      <c r="BK144">
        <f ca="1" t="shared" si="203"/>
        <v>7424994.18750014</v>
      </c>
      <c r="BM144">
        <f ca="1" t="shared" si="204"/>
        <v>109230</v>
      </c>
      <c r="BN144">
        <f ca="1" t="shared" si="205"/>
        <v>811462.0625</v>
      </c>
      <c r="BO144">
        <f ca="1" t="shared" si="206"/>
        <v>7492329.59077935</v>
      </c>
      <c r="BP144">
        <f ca="1" t="shared" si="249"/>
        <v>7145002.66036156</v>
      </c>
      <c r="BR144">
        <f ca="1" t="shared" si="250"/>
        <v>0.8543</v>
      </c>
      <c r="BS144">
        <f ca="1" t="shared" si="208"/>
        <v>7434261.64966215</v>
      </c>
      <c r="BT144">
        <f ca="1" t="shared" si="209"/>
        <v>0.196995876306796</v>
      </c>
      <c r="BU144">
        <f ca="1" t="shared" si="251"/>
        <v>2.5738578771</v>
      </c>
      <c r="BV144">
        <f ca="1" t="shared" si="229"/>
        <v>7496277.6279451</v>
      </c>
      <c r="BW144">
        <f ca="1" t="shared" si="211"/>
        <v>113027</v>
      </c>
      <c r="BX144">
        <f ca="1" t="shared" si="212"/>
        <v>838302.10625</v>
      </c>
      <c r="BY144">
        <f ca="1" t="shared" si="252"/>
        <v>0.8343</v>
      </c>
      <c r="BZ144">
        <f ca="1">无穷技能数计算!$AJ136</f>
        <v>4</v>
      </c>
      <c r="CA144">
        <f ca="1" t="shared" si="253"/>
        <v>2.5777641271</v>
      </c>
      <c r="CB144">
        <f ca="1" t="shared" si="230"/>
        <v>7728410.81671763</v>
      </c>
      <c r="CC144">
        <f ca="1" t="shared" si="215"/>
        <v>114847</v>
      </c>
      <c r="CD144">
        <f ca="1" t="shared" si="216"/>
        <v>851167.23125</v>
      </c>
      <c r="CE144">
        <f ca="1" t="shared" si="217"/>
        <v>7644015.94715954</v>
      </c>
      <c r="CF144">
        <f ca="1" t="shared" si="254"/>
        <v>2.5250297521</v>
      </c>
      <c r="CG144">
        <f ca="1" t="shared" si="255"/>
        <v>0.8343</v>
      </c>
      <c r="CH144">
        <f ca="1" t="shared" si="231"/>
        <v>7172641.50157541</v>
      </c>
      <c r="CJ144">
        <f ca="1" t="shared" si="220"/>
        <v>811462.0625</v>
      </c>
      <c r="CK144">
        <f ca="1" t="shared" si="221"/>
        <v>7458389.74607727</v>
      </c>
      <c r="CL144">
        <f ca="1" t="shared" si="232"/>
        <v>2.5476860021</v>
      </c>
      <c r="CM144">
        <f ca="1">IF(G144="恒定伤害",0,(IF(D144="轻剑",$CM$8,$CM$9)+IFERROR(INDEX(技能数据库!$T$2:$W$27,MATCH(E144,技能数据库!$T$2:$T$27,0),4),0)+COUNTIF(G144,"*造化2*")*154+COUNTIF(G144,"*造化1*")*102+COUNTIF(G144,"*碧归*")*307)/1024)</f>
        <v>0.397571271929785</v>
      </c>
      <c r="CN144">
        <f ca="1" t="shared" si="233"/>
        <v>7559819.71418864</v>
      </c>
      <c r="CO144">
        <f ca="1" t="shared" si="234"/>
        <v>2.5762602208</v>
      </c>
      <c r="CP144">
        <f ca="1" t="shared" si="235"/>
        <v>7638476.92088916</v>
      </c>
      <c r="CQ144">
        <f ca="1" t="shared" si="256"/>
        <v>1.8815754648</v>
      </c>
      <c r="CR144">
        <f ca="1">IF(G144="恒定伤害",0,(IF(D144="轻剑",$CR$8,$CR$9)+IFERROR(INDEX(技能数据库!$T$2:$W$27,MATCH(E144,技能数据库!$T$2:$T$27,0),4),0)+COUNTIF(G144,"*造化2*")*154+COUNTIF(G144,"*造化1*")*102+COUNTIF(G144,"*碧归*")*307)/1024)</f>
        <v>0.387805646929785</v>
      </c>
      <c r="CS144">
        <f ca="1" t="shared" si="236"/>
        <v>7244041.3733862</v>
      </c>
    </row>
    <row r="145" spans="4:97">
      <c r="D145" t="s">
        <v>1825</v>
      </c>
      <c r="E145" t="s">
        <v>2776</v>
      </c>
      <c r="G145" t="s">
        <v>3106</v>
      </c>
      <c r="H145">
        <f ca="1">INDEX(技能数据库!$B$2:$I$100,MATCH(无穷阵眼收益计算!$E145,技能数据库!$B$2:$B$100,0),MATCH(H$9,技能数据库!$B$2:$I$2,0))</f>
        <v>281.5</v>
      </c>
      <c r="I145">
        <f ca="1">INDEX(技能数据库!$B$2:$I$100,MATCH(无穷阵眼收益计算!$E145,技能数据库!$B$2:$B$100,0),MATCH(I$9,技能数据库!$B$2:$I$2,0))</f>
        <v>7.06875</v>
      </c>
      <c r="J145">
        <f ca="1">INDEX(技能数据库!$B$2:$I$100,MATCH(无穷阵眼收益计算!$E145,技能数据库!$B$2:$B$100,0),MATCH(J$9,技能数据库!$B$2:$I$2,0))</f>
        <v>2</v>
      </c>
      <c r="K145">
        <f ca="1">INDEX(技能数据库!$B$2:$I$100,MATCH(无穷阵眼收益计算!$E145,技能数据库!$B$2:$B$100,0),MATCH(K$9,技能数据库!$B$2:$I$2,0))</f>
        <v>0</v>
      </c>
      <c r="L145">
        <f ca="1" t="shared" si="186"/>
        <v>105847</v>
      </c>
      <c r="M145">
        <f ca="1" t="shared" si="257"/>
        <v>19530.5</v>
      </c>
      <c r="N145">
        <f ca="1" t="shared" si="258"/>
        <v>92028</v>
      </c>
      <c r="O145">
        <f ca="1" t="shared" si="222"/>
        <v>787548.48125</v>
      </c>
      <c r="P145">
        <f ca="1">IF(G145="恒定伤害",0,(IF(D145="轻剑",$AZ$2,$AZ$3)+IFERROR(INDEX(技能数据库!$T$2:$W$27,MATCH(E145,技能数据库!$T$2:$T$27,0),4),0)+COUNTIF(G145,"*造化2*")*154+COUNTIF(G145,"*造化1*")*102+COUNTIF(G145,"*碧归*")*307)/1024)</f>
        <v>0.337024396929785</v>
      </c>
      <c r="Q145">
        <f ca="1" t="shared" si="237"/>
        <v>0.448284482196154</v>
      </c>
      <c r="R145">
        <f ca="1" t="shared" si="223"/>
        <v>0.21277697966198</v>
      </c>
      <c r="S145">
        <f ca="1" t="shared" si="259"/>
        <v>1200516.94160105</v>
      </c>
      <c r="T145">
        <f t="shared" si="165"/>
        <v>0.8</v>
      </c>
      <c r="U145">
        <f ca="1" t="shared" si="238"/>
        <v>1.7800129648</v>
      </c>
      <c r="V145">
        <f ca="1" t="shared" si="260"/>
        <v>2669962.12969036</v>
      </c>
      <c r="W145">
        <f ca="1">IF(G145="恒定伤害",0,MIN(1,IF(COUNTIF(F145,"*内会*")&gt;0,内会2,IF(D145="轻剑",$Y$2,$Y$3)+COUNTIF(G145,"*莺鸣*")*0.2+COUNTIF(G145,"*叠1*")*0.1+COUNTIF(G145,"*叠2*")*0.2+COUNTIF(G145,"*叠3*")*0.3)+IFERROR(INDEX(技能数据库!$T$2:$W$27,MATCH(E145,技能数据库!$T$2:$T$27,0),2),0)+IF((IF(D145="轻剑",$AO$2,$AO$3)+INT(COUNTIF(G145,"*大莺鸣*")*IF(D145="轻剑",$AM$2,$AM$3)*听晓无双率)/无双系数)&gt;0.9,特效裤子会心/会心系数,0)))</f>
        <v>0.9043</v>
      </c>
      <c r="X145">
        <f ca="1">IF(G145="恒定伤害",0,IF(COUNTIF(F145,"*内会*")&gt;0,内会效2,IF(D145="轻剑",$AB$2,$AB$3))+IFERROR(INDEX(技能数据库!$T$2:$W$27,MATCH(E145,技能数据库!$T$2:$T$27,0),3)/1024,0))+COUNTIF(G145,"*叠1*")*0.25+COUNTIF(G145,"*叠2*")*0.5+COUNTIF(G145,"*叠3*")*0.75</f>
        <v>2.6773735021</v>
      </c>
      <c r="Y145">
        <f ca="1" t="shared" si="261"/>
        <v>2.51684885794903</v>
      </c>
      <c r="Z145">
        <f t="shared" si="187"/>
        <v>0.150390625</v>
      </c>
      <c r="AA145">
        <f ca="1" t="shared" si="262"/>
        <v>0.0205078125</v>
      </c>
      <c r="AB145">
        <f ca="1" t="shared" si="263"/>
        <v>7889035.40459501</v>
      </c>
      <c r="AC145">
        <f ca="1">无穷技能数计算!$AJ137</f>
        <v>0</v>
      </c>
      <c r="AD145" s="164">
        <f ca="1" t="shared" si="239"/>
        <v>0</v>
      </c>
      <c r="AE145" s="168"/>
      <c r="AF145" s="168">
        <f ca="1" t="shared" si="240"/>
        <v>0.9057</v>
      </c>
      <c r="AG145">
        <f ca="1">无穷技能数计算!$AJ137</f>
        <v>0</v>
      </c>
      <c r="AH145">
        <f ca="1" t="shared" si="189"/>
        <v>109879</v>
      </c>
      <c r="AJ145">
        <f ca="1" t="shared" si="241"/>
        <v>2.8765922521</v>
      </c>
      <c r="AK145">
        <f ca="1" t="shared" si="224"/>
        <v>816526.68125</v>
      </c>
      <c r="AL145">
        <f ca="1" t="shared" si="191"/>
        <v>8775734.09341068</v>
      </c>
      <c r="AM145" s="169">
        <f ca="1" t="shared" si="242"/>
        <v>0.9272</v>
      </c>
      <c r="AN145">
        <f ca="1">无穷技能数计算!$AJ137</f>
        <v>0</v>
      </c>
      <c r="AO145" s="170">
        <f ca="1" t="shared" si="193"/>
        <v>8906889.93926276</v>
      </c>
      <c r="AP145">
        <f ca="1" t="shared" si="194"/>
        <v>110956</v>
      </c>
      <c r="AQ145" s="170">
        <f ca="1" t="shared" si="225"/>
        <v>823662.725</v>
      </c>
      <c r="AR145">
        <f ca="1" t="shared" si="195"/>
        <v>8734853.20723147</v>
      </c>
      <c r="AS145">
        <f ca="1" t="shared" si="243"/>
        <v>0.9843</v>
      </c>
      <c r="AT145">
        <f ca="1">无穷技能数计算!$AJ137</f>
        <v>0</v>
      </c>
      <c r="AU145">
        <f ca="1" t="shared" si="244"/>
        <v>2.8238578771</v>
      </c>
      <c r="AV145">
        <f ca="1" t="shared" si="245"/>
        <v>1.7995442148</v>
      </c>
      <c r="AW145">
        <f ca="1" t="shared" si="226"/>
        <v>8823152.54355239</v>
      </c>
      <c r="AX145">
        <f ca="1" t="shared" si="246"/>
        <v>0.9743</v>
      </c>
      <c r="AY145">
        <f ca="1">无穷技能数计算!$AJ137</f>
        <v>0</v>
      </c>
      <c r="AZ145" s="170">
        <f ca="1" t="shared" si="227"/>
        <v>8765582.27280199</v>
      </c>
      <c r="BA145">
        <f ca="1" t="shared" si="247"/>
        <v>0.9643</v>
      </c>
      <c r="BB145">
        <f ca="1">无穷技能数计算!$AJ137</f>
        <v>0</v>
      </c>
      <c r="BC145" s="170">
        <f ca="1" t="shared" si="228"/>
        <v>8708012.00205158</v>
      </c>
      <c r="BE145">
        <f ca="1" t="shared" si="200"/>
        <v>105849</v>
      </c>
      <c r="BF145">
        <f ca="1" t="shared" si="201"/>
        <v>787562.61875</v>
      </c>
      <c r="BI145">
        <f ca="1" t="shared" si="248"/>
        <v>0.9543</v>
      </c>
      <c r="BJ145">
        <f ca="1">无穷技能数计算!$AJ137</f>
        <v>0</v>
      </c>
      <c r="BK145">
        <f ca="1" t="shared" si="203"/>
        <v>8700670.2135889</v>
      </c>
      <c r="BM145">
        <f ca="1" t="shared" si="204"/>
        <v>109230</v>
      </c>
      <c r="BN145">
        <f ca="1" t="shared" si="205"/>
        <v>811462.0625</v>
      </c>
      <c r="BO145">
        <f ca="1" t="shared" si="206"/>
        <v>8778743.33419929</v>
      </c>
      <c r="BP145">
        <f ca="1" t="shared" si="249"/>
        <v>8371781.2620895</v>
      </c>
      <c r="BR145">
        <f ca="1" t="shared" si="250"/>
        <v>0.9543</v>
      </c>
      <c r="BS145">
        <f ca="1" t="shared" si="208"/>
        <v>8711529.90316607</v>
      </c>
      <c r="BT145">
        <f ca="1" t="shared" si="209"/>
        <v>0.196995876306796</v>
      </c>
      <c r="BU145">
        <f ca="1" t="shared" si="251"/>
        <v>2.8238578771</v>
      </c>
      <c r="BV145">
        <f ca="1" t="shared" si="229"/>
        <v>8762292.88266109</v>
      </c>
      <c r="BW145">
        <f ca="1" t="shared" si="211"/>
        <v>113027</v>
      </c>
      <c r="BX145">
        <f ca="1" t="shared" si="212"/>
        <v>838302.10625</v>
      </c>
      <c r="BY145">
        <f ca="1" t="shared" si="252"/>
        <v>0.9343</v>
      </c>
      <c r="BZ145">
        <f ca="1">无穷技能数计算!$AJ137</f>
        <v>0</v>
      </c>
      <c r="CA145">
        <f ca="1" t="shared" si="253"/>
        <v>2.8277641271</v>
      </c>
      <c r="CB145">
        <f ca="1" t="shared" si="230"/>
        <v>9034151.49463776</v>
      </c>
      <c r="CC145">
        <f ca="1" t="shared" si="215"/>
        <v>114847</v>
      </c>
      <c r="CD145">
        <f ca="1" t="shared" si="216"/>
        <v>851167.23125</v>
      </c>
      <c r="CE145">
        <f ca="1" t="shared" si="217"/>
        <v>8956989.21297667</v>
      </c>
      <c r="CF145">
        <f ca="1" t="shared" si="254"/>
        <v>2.7750297521</v>
      </c>
      <c r="CG145">
        <f ca="1" t="shared" si="255"/>
        <v>0.9343</v>
      </c>
      <c r="CH145">
        <f ca="1" t="shared" si="231"/>
        <v>8391300.79749318</v>
      </c>
      <c r="CJ145">
        <f ca="1" t="shared" si="220"/>
        <v>811462.0625</v>
      </c>
      <c r="CK145">
        <f ca="1" t="shared" si="221"/>
        <v>8738976.10535116</v>
      </c>
      <c r="CL145">
        <f ca="1" t="shared" si="232"/>
        <v>2.7976860021</v>
      </c>
      <c r="CM145">
        <f ca="1">IF(G145="恒定伤害",0,(IF(D145="轻剑",$CM$8,$CM$9)+IFERROR(INDEX(技能数据库!$T$2:$W$27,MATCH(E145,技能数据库!$T$2:$T$27,0),4),0)+COUNTIF(G145,"*造化2*")*154+COUNTIF(G145,"*造化1*")*102+COUNTIF(G145,"*碧归*")*307)/1024)</f>
        <v>0.397571271929785</v>
      </c>
      <c r="CN145">
        <f ca="1" t="shared" si="233"/>
        <v>8841141.06844129</v>
      </c>
      <c r="CO145">
        <f ca="1" t="shared" si="234"/>
        <v>2.8262602208</v>
      </c>
      <c r="CP145">
        <f ca="1" t="shared" si="235"/>
        <v>8929226.20354893</v>
      </c>
      <c r="CQ145">
        <f ca="1" t="shared" si="256"/>
        <v>1.8815754648</v>
      </c>
      <c r="CR145">
        <f ca="1">IF(G145="恒定伤害",0,(IF(D145="轻剑",$CR$8,$CR$9)+IFERROR(INDEX(技能数据库!$T$2:$W$27,MATCH(E145,技能数据库!$T$2:$T$27,0),4),0)+COUNTIF(G145,"*造化2*")*154+COUNTIF(G145,"*造化1*")*102+COUNTIF(G145,"*碧归*")*307)/1024)</f>
        <v>0.387805646929785</v>
      </c>
      <c r="CS145">
        <f ca="1" t="shared" si="236"/>
        <v>8487824.66771633</v>
      </c>
    </row>
    <row r="146" spans="4:97">
      <c r="D146" t="s">
        <v>1825</v>
      </c>
      <c r="E146" t="s">
        <v>2776</v>
      </c>
      <c r="G146" t="s">
        <v>3107</v>
      </c>
      <c r="H146">
        <f ca="1">INDEX(技能数据库!$B$2:$I$100,MATCH(无穷阵眼收益计算!$E146,技能数据库!$B$2:$B$100,0),MATCH(H$9,技能数据库!$B$2:$I$2,0))</f>
        <v>281.5</v>
      </c>
      <c r="I146">
        <f ca="1">INDEX(技能数据库!$B$2:$I$100,MATCH(无穷阵眼收益计算!$E146,技能数据库!$B$2:$B$100,0),MATCH(I$9,技能数据库!$B$2:$I$2,0))</f>
        <v>7.06875</v>
      </c>
      <c r="J146">
        <f ca="1">INDEX(技能数据库!$B$2:$I$100,MATCH(无穷阵眼收益计算!$E146,技能数据库!$B$2:$B$100,0),MATCH(J$9,技能数据库!$B$2:$I$2,0))</f>
        <v>2</v>
      </c>
      <c r="K146">
        <f ca="1">INDEX(技能数据库!$B$2:$I$100,MATCH(无穷阵眼收益计算!$E146,技能数据库!$B$2:$B$100,0),MATCH(K$9,技能数据库!$B$2:$I$2,0))</f>
        <v>0</v>
      </c>
      <c r="L146">
        <f ca="1" t="shared" si="186"/>
        <v>105847</v>
      </c>
      <c r="M146">
        <f ca="1" t="shared" si="257"/>
        <v>19530.5</v>
      </c>
      <c r="N146">
        <f ca="1" t="shared" si="258"/>
        <v>92028</v>
      </c>
      <c r="O146">
        <f ca="1" t="shared" si="222"/>
        <v>787548.48125</v>
      </c>
      <c r="P146">
        <f ca="1">IF(G146="恒定伤害",0,(IF(D146="轻剑",$AZ$2,$AZ$3)+IFERROR(INDEX(技能数据库!$T$2:$W$27,MATCH(E146,技能数据库!$T$2:$T$27,0),4),0)+COUNTIF(G146,"*造化2*")*154+COUNTIF(G146,"*造化1*")*102+COUNTIF(G146,"*碧归*")*307)/1024)</f>
        <v>0.337024396929785</v>
      </c>
      <c r="Q146">
        <f ca="1" t="shared" si="237"/>
        <v>0.448284482196154</v>
      </c>
      <c r="R146">
        <f ca="1" t="shared" si="223"/>
        <v>0.21277697966198</v>
      </c>
      <c r="S146">
        <f ca="1" t="shared" si="259"/>
        <v>1200516.94160105</v>
      </c>
      <c r="T146">
        <f t="shared" si="165"/>
        <v>0.8</v>
      </c>
      <c r="U146">
        <f ca="1" t="shared" si="238"/>
        <v>1.7800129648</v>
      </c>
      <c r="V146">
        <f ca="1" t="shared" si="260"/>
        <v>2669962.12969036</v>
      </c>
      <c r="W146">
        <f ca="1">IF(G146="恒定伤害",0,MIN(1,IF(COUNTIF(F146,"*内会*")&gt;0,内会2,IF(D146="轻剑",$Y$2,$Y$3)+COUNTIF(G146,"*莺鸣*")*0.2+COUNTIF(G146,"*叠1*")*0.1+COUNTIF(G146,"*叠2*")*0.2+COUNTIF(G146,"*叠3*")*0.3)+IFERROR(INDEX(技能数据库!$T$2:$W$27,MATCH(E146,技能数据库!$T$2:$T$27,0),2),0)+IF((IF(D146="轻剑",$AO$2,$AO$3)+INT(COUNTIF(G146,"*大莺鸣*")*IF(D146="轻剑",$AM$2,$AM$3)*听晓无双率)/无双系数)&gt;0.9,特效裤子会心/会心系数,0)))</f>
        <v>1</v>
      </c>
      <c r="X146">
        <f ca="1">IF(G146="恒定伤害",0,IF(COUNTIF(F146,"*内会*")&gt;0,内会效2,IF(D146="轻剑",$AB$2,$AB$3))+IFERROR(INDEX(技能数据库!$T$2:$W$27,MATCH(E146,技能数据库!$T$2:$T$27,0),3)/1024,0))+COUNTIF(G146,"*叠1*")*0.25+COUNTIF(G146,"*叠2*")*0.5+COUNTIF(G146,"*叠3*")*0.75</f>
        <v>2.9273735021</v>
      </c>
      <c r="Y146">
        <f ca="1" t="shared" si="261"/>
        <v>2.9273735021</v>
      </c>
      <c r="Z146">
        <f t="shared" si="187"/>
        <v>0.150390625</v>
      </c>
      <c r="AA146">
        <f ca="1" t="shared" si="262"/>
        <v>0.0205078125</v>
      </c>
      <c r="AB146">
        <f ca="1" t="shared" si="263"/>
        <v>9175820.44213792</v>
      </c>
      <c r="AC146">
        <f ca="1">无穷技能数计算!$AJ138</f>
        <v>18</v>
      </c>
      <c r="AD146" s="164">
        <f ca="1" t="shared" si="239"/>
        <v>0.064729853504273</v>
      </c>
      <c r="AE146" s="168"/>
      <c r="AF146" s="168">
        <f ca="1" t="shared" si="240"/>
        <v>1.0014</v>
      </c>
      <c r="AG146">
        <f ca="1">无穷技能数计算!$AJ138</f>
        <v>18</v>
      </c>
      <c r="AH146">
        <f ca="1" t="shared" si="189"/>
        <v>109879</v>
      </c>
      <c r="AJ146">
        <f ca="1" t="shared" si="241"/>
        <v>3.1265922521</v>
      </c>
      <c r="AK146">
        <f ca="1" t="shared" si="224"/>
        <v>816526.68125</v>
      </c>
      <c r="AL146">
        <f ca="1" t="shared" si="191"/>
        <v>10163669.1919631</v>
      </c>
      <c r="AM146" s="169">
        <f ca="1" t="shared" si="242"/>
        <v>1.0229</v>
      </c>
      <c r="AN146">
        <f ca="1">无穷技能数计算!$AJ138</f>
        <v>18</v>
      </c>
      <c r="AO146" s="170">
        <f ca="1" t="shared" si="193"/>
        <v>10163669.1919631</v>
      </c>
      <c r="AP146">
        <f ca="1" t="shared" si="194"/>
        <v>110956</v>
      </c>
      <c r="AQ146" s="170">
        <f ca="1" t="shared" si="225"/>
        <v>823662.725</v>
      </c>
      <c r="AR146">
        <f ca="1" t="shared" si="195"/>
        <v>10159600.0661</v>
      </c>
      <c r="AS146">
        <f ca="1" t="shared" si="243"/>
        <v>1.08</v>
      </c>
      <c r="AT146">
        <f ca="1">无穷技能数计算!$AJ138</f>
        <v>18</v>
      </c>
      <c r="AU146">
        <f ca="1" t="shared" si="244"/>
        <v>3.0738578771</v>
      </c>
      <c r="AV146">
        <f ca="1" t="shared" si="245"/>
        <v>1.7995442148</v>
      </c>
      <c r="AW146">
        <f ca="1" t="shared" si="226"/>
        <v>9702665.56702804</v>
      </c>
      <c r="AX146">
        <f ca="1" t="shared" si="246"/>
        <v>1.07</v>
      </c>
      <c r="AY146">
        <f ca="1">无穷技能数计算!$AJ138</f>
        <v>18</v>
      </c>
      <c r="AZ146" s="170">
        <f ca="1" t="shared" si="227"/>
        <v>9702665.56702804</v>
      </c>
      <c r="BA146">
        <f ca="1" t="shared" si="247"/>
        <v>1.06</v>
      </c>
      <c r="BB146">
        <f ca="1">无穷技能数计算!$AJ138</f>
        <v>18</v>
      </c>
      <c r="BC146" s="170">
        <f ca="1" t="shared" si="228"/>
        <v>9702665.56702804</v>
      </c>
      <c r="BE146">
        <f ca="1" t="shared" si="200"/>
        <v>105849</v>
      </c>
      <c r="BF146">
        <f ca="1" t="shared" si="201"/>
        <v>787562.61875</v>
      </c>
      <c r="BI146">
        <f ca="1" t="shared" si="248"/>
        <v>1.05</v>
      </c>
      <c r="BJ146">
        <f ca="1">无穷技能数计算!$AJ138</f>
        <v>18</v>
      </c>
      <c r="BK146">
        <f ca="1" t="shared" si="203"/>
        <v>9793493.95313272</v>
      </c>
      <c r="BM146">
        <f ca="1" t="shared" si="204"/>
        <v>109230</v>
      </c>
      <c r="BN146">
        <f ca="1" t="shared" si="205"/>
        <v>811462.0625</v>
      </c>
      <c r="BO146">
        <f ca="1" t="shared" si="206"/>
        <v>10210649.1365611</v>
      </c>
      <c r="BP146">
        <f ca="1" t="shared" si="249"/>
        <v>9737307.25014176</v>
      </c>
      <c r="BR146">
        <f ca="1" t="shared" si="250"/>
        <v>1.05</v>
      </c>
      <c r="BS146">
        <f ca="1" t="shared" si="208"/>
        <v>9805717.64413538</v>
      </c>
      <c r="BT146">
        <f ca="1" t="shared" si="209"/>
        <v>0.196995876306796</v>
      </c>
      <c r="BU146">
        <f ca="1" t="shared" si="251"/>
        <v>3.0738578771</v>
      </c>
      <c r="BV146">
        <f ca="1" t="shared" si="229"/>
        <v>9828122.08689631</v>
      </c>
      <c r="BW146">
        <f ca="1" t="shared" si="211"/>
        <v>113027</v>
      </c>
      <c r="BX146">
        <f ca="1" t="shared" si="212"/>
        <v>838302.10625</v>
      </c>
      <c r="BY146">
        <f ca="1" t="shared" si="252"/>
        <v>1.03</v>
      </c>
      <c r="BZ146">
        <f ca="1">无穷技能数计算!$AJ138</f>
        <v>18</v>
      </c>
      <c r="CA146">
        <f ca="1" t="shared" si="253"/>
        <v>3.0777641271</v>
      </c>
      <c r="CB146">
        <f ca="1" t="shared" si="230"/>
        <v>10268933.9741206</v>
      </c>
      <c r="CC146">
        <f ca="1" t="shared" si="215"/>
        <v>114847</v>
      </c>
      <c r="CD146">
        <f ca="1" t="shared" si="216"/>
        <v>851167.23125</v>
      </c>
      <c r="CE146">
        <f ca="1" t="shared" si="217"/>
        <v>10213757.6541771</v>
      </c>
      <c r="CF146">
        <f ca="1" t="shared" si="254"/>
        <v>3.0250297521</v>
      </c>
      <c r="CG146">
        <f ca="1" t="shared" si="255"/>
        <v>1.03</v>
      </c>
      <c r="CH146">
        <f ca="1" t="shared" si="231"/>
        <v>9548539.06343478</v>
      </c>
      <c r="CJ146">
        <f ca="1" t="shared" si="220"/>
        <v>811462.0625</v>
      </c>
      <c r="CK146">
        <f ca="1" t="shared" si="221"/>
        <v>10164395.4524694</v>
      </c>
      <c r="CL146">
        <f ca="1" t="shared" si="232"/>
        <v>3.0476860021</v>
      </c>
      <c r="CM146">
        <f ca="1">IF(G146="恒定伤害",0,(IF(D146="轻剑",$CM$8,$CM$9)+IFERROR(INDEX(技能数据库!$T$2:$W$27,MATCH(E146,技能数据库!$T$2:$T$27,0),4),0)+COUNTIF(G146,"*造化2*")*154+COUNTIF(G146,"*造化1*")*102+COUNTIF(G146,"*碧归*")*307)/1024)</f>
        <v>0.397571271929785</v>
      </c>
      <c r="CN146">
        <f ca="1" t="shared" si="233"/>
        <v>10055695.9183463</v>
      </c>
      <c r="CO146">
        <f ca="1" t="shared" si="234"/>
        <v>3.0762602208</v>
      </c>
      <c r="CP146">
        <f ca="1" t="shared" si="235"/>
        <v>10149975.2024174</v>
      </c>
      <c r="CQ146">
        <f ca="1" t="shared" si="256"/>
        <v>1.8815754648</v>
      </c>
      <c r="CR146">
        <f ca="1">IF(G146="恒定伤害",0,(IF(D146="轻剑",$CR$8,$CR$9)+IFERROR(INDEX(技能数据库!$T$2:$W$27,MATCH(E146,技能数据库!$T$2:$T$27,0),4),0)+COUNTIF(G146,"*造化2*")*154+COUNTIF(G146,"*造化1*")*102+COUNTIF(G146,"*碧归*")*307)/1024)</f>
        <v>0.387805646929785</v>
      </c>
      <c r="CS146">
        <f ca="1" t="shared" si="236"/>
        <v>9872278.56145135</v>
      </c>
    </row>
    <row r="147" spans="4:97">
      <c r="D147" t="s">
        <v>1825</v>
      </c>
      <c r="E147" t="s">
        <v>2780</v>
      </c>
      <c r="G147" t="s">
        <v>3105</v>
      </c>
      <c r="H147">
        <f ca="1">INDEX(技能数据库!$B$2:$I$100,MATCH(无穷阵眼收益计算!$E147,技能数据库!$B$2:$B$100,0),MATCH(H$9,技能数据库!$B$2:$I$2,0))</f>
        <v>252.5</v>
      </c>
      <c r="I147">
        <f ca="1">INDEX(技能数据库!$B$2:$I$100,MATCH(无穷阵眼收益计算!$E147,技能数据库!$B$2:$B$100,0),MATCH(I$9,技能数据库!$B$2:$I$2,0))</f>
        <v>2.11875</v>
      </c>
      <c r="J147">
        <f ca="1">INDEX(技能数据库!$B$2:$I$100,MATCH(无穷阵眼收益计算!$E147,技能数据库!$B$2:$B$100,0),MATCH(J$9,技能数据库!$B$2:$I$2,0))</f>
        <v>2</v>
      </c>
      <c r="K147">
        <f ca="1">INDEX(技能数据库!$B$2:$I$100,MATCH(无穷阵眼收益计算!$E147,技能数据库!$B$2:$B$100,0),MATCH(K$9,技能数据库!$B$2:$I$2,0))</f>
        <v>0</v>
      </c>
      <c r="L147">
        <f ca="1" t="shared" si="186"/>
        <v>105847</v>
      </c>
      <c r="M147">
        <f ca="1" t="shared" si="257"/>
        <v>19530.5</v>
      </c>
      <c r="N147">
        <f ca="1" t="shared" si="258"/>
        <v>92028</v>
      </c>
      <c r="O147">
        <f ca="1" t="shared" si="222"/>
        <v>263576.83125</v>
      </c>
      <c r="P147">
        <f ca="1">IF(G147="恒定伤害",0,(IF(D147="轻剑",$AZ$2,$AZ$3)+IFERROR(INDEX(技能数据库!$T$2:$W$27,MATCH(E147,技能数据库!$T$2:$T$27,0),4),0)+COUNTIF(G147,"*造化2*")*154+COUNTIF(G147,"*造化1*")*102+COUNTIF(G147,"*碧归*")*307)/1024)</f>
        <v>0.337024396929785</v>
      </c>
      <c r="Q147">
        <f ca="1" t="shared" si="237"/>
        <v>0.448284482196154</v>
      </c>
      <c r="R147">
        <f ca="1" t="shared" si="223"/>
        <v>0.21277697966198</v>
      </c>
      <c r="S147">
        <f ca="1" t="shared" si="259"/>
        <v>401789.170905274</v>
      </c>
      <c r="T147">
        <f t="shared" si="165"/>
        <v>0.8</v>
      </c>
      <c r="U147">
        <f ca="1" t="shared" si="238"/>
        <v>1.7800129648</v>
      </c>
      <c r="V147">
        <f ca="1" t="shared" si="260"/>
        <v>893583.283386323</v>
      </c>
      <c r="W147">
        <f ca="1">IF(G147="恒定伤害",0,MIN(1,IF(COUNTIF(F147,"*内会*")&gt;0,内会2,IF(D147="轻剑",$Y$2,$Y$3)+COUNTIF(G147,"*莺鸣*")*0.2+COUNTIF(G147,"*叠1*")*0.1+COUNTIF(G147,"*叠2*")*0.2+COUNTIF(G147,"*叠3*")*0.3)+IFERROR(INDEX(技能数据库!$T$2:$W$27,MATCH(E147,技能数据库!$T$2:$T$27,0),2),0)+IF((IF(D147="轻剑",$AO$2,$AO$3)+INT(COUNTIF(G147,"*大莺鸣*")*IF(D147="轻剑",$AM$2,$AM$3)*听晓无双率)/无双系数)&gt;0.9,特效裤子会心/会心系数,0)))</f>
        <v>0.8043</v>
      </c>
      <c r="X147">
        <f ca="1">IF(G147="恒定伤害",0,IF(COUNTIF(F147,"*内会*")&gt;0,内会效2,IF(D147="轻剑",$AB$2,$AB$3))+IFERROR(INDEX(技能数据库!$T$2:$W$27,MATCH(E147,技能数据库!$T$2:$T$27,0),3)/1024,0))+COUNTIF(G147,"*叠1*")*0.25+COUNTIF(G147,"*叠2*")*0.5+COUNTIF(G147,"*叠3*")*0.75</f>
        <v>2.4273735021</v>
      </c>
      <c r="Y147">
        <f ca="1" t="shared" si="261"/>
        <v>2.14803650773903</v>
      </c>
      <c r="Z147">
        <f t="shared" si="187"/>
        <v>0.150390625</v>
      </c>
      <c r="AA147">
        <f ca="1" t="shared" si="262"/>
        <v>0.0205078125</v>
      </c>
      <c r="AB147">
        <f ca="1" t="shared" si="263"/>
        <v>2253400.37152873</v>
      </c>
      <c r="AC147">
        <f ca="1">无穷技能数计算!$AJ139</f>
        <v>4</v>
      </c>
      <c r="AD147" s="164">
        <f ca="1" t="shared" si="239"/>
        <v>0.003532527614417</v>
      </c>
      <c r="AE147" s="168"/>
      <c r="AF147" s="168">
        <f ca="1" t="shared" si="240"/>
        <v>0.8057</v>
      </c>
      <c r="AG147">
        <f ca="1">无穷技能数计算!$AJ139</f>
        <v>4</v>
      </c>
      <c r="AH147">
        <f ca="1" t="shared" si="189"/>
        <v>109879</v>
      </c>
      <c r="AJ147">
        <f ca="1" t="shared" si="241"/>
        <v>2.6265922521</v>
      </c>
      <c r="AK147">
        <f ca="1" t="shared" si="224"/>
        <v>272596.63125</v>
      </c>
      <c r="AL147">
        <f ca="1" t="shared" si="191"/>
        <v>2507516.9649149</v>
      </c>
      <c r="AM147" s="169">
        <f ca="1" t="shared" si="242"/>
        <v>0.8272</v>
      </c>
      <c r="AN147">
        <f ca="1">无穷技能数计算!$AJ139</f>
        <v>4</v>
      </c>
      <c r="AO147" s="170">
        <f ca="1" t="shared" si="193"/>
        <v>2545470.00219208</v>
      </c>
      <c r="AP147">
        <f ca="1" t="shared" si="194"/>
        <v>110956</v>
      </c>
      <c r="AQ147" s="170">
        <f ca="1" t="shared" si="225"/>
        <v>274401.525</v>
      </c>
      <c r="AR147">
        <f ca="1" t="shared" si="195"/>
        <v>2483574.78221771</v>
      </c>
      <c r="AS147">
        <f ca="1" t="shared" si="243"/>
        <v>0.8843</v>
      </c>
      <c r="AT147">
        <f ca="1">无穷技能数计算!$AJ139</f>
        <v>4</v>
      </c>
      <c r="AU147">
        <f ca="1" t="shared" si="244"/>
        <v>2.5738578771</v>
      </c>
      <c r="AV147">
        <f ca="1" t="shared" si="245"/>
        <v>1.7995442148</v>
      </c>
      <c r="AW147">
        <f ca="1" t="shared" si="226"/>
        <v>2526709.2431726</v>
      </c>
      <c r="AX147">
        <f ca="1" t="shared" si="246"/>
        <v>0.8743</v>
      </c>
      <c r="AY147">
        <f ca="1">无穷技能数计算!$AJ139</f>
        <v>4</v>
      </c>
      <c r="AZ147" s="170">
        <f ca="1" t="shared" si="227"/>
        <v>2510082.670881</v>
      </c>
      <c r="BA147">
        <f ca="1" t="shared" si="247"/>
        <v>0.8643</v>
      </c>
      <c r="BB147">
        <f ca="1">无穷技能数计算!$AJ139</f>
        <v>4</v>
      </c>
      <c r="BC147" s="170">
        <f ca="1" t="shared" si="228"/>
        <v>2493456.0985894</v>
      </c>
      <c r="BE147">
        <f ca="1" t="shared" si="200"/>
        <v>105849</v>
      </c>
      <c r="BF147">
        <f ca="1" t="shared" si="201"/>
        <v>263581.06875</v>
      </c>
      <c r="BI147">
        <f ca="1" t="shared" si="248"/>
        <v>0.8543</v>
      </c>
      <c r="BJ147">
        <f ca="1">无穷技能数计算!$AJ139</f>
        <v>4</v>
      </c>
      <c r="BK147">
        <f ca="1" t="shared" si="203"/>
        <v>2484993.39203029</v>
      </c>
      <c r="BM147">
        <f ca="1" t="shared" si="204"/>
        <v>109230</v>
      </c>
      <c r="BN147">
        <f ca="1" t="shared" si="205"/>
        <v>270744.5625</v>
      </c>
      <c r="BO147">
        <f ca="1" t="shared" si="206"/>
        <v>2499818.03328157</v>
      </c>
      <c r="BP147">
        <f ca="1" t="shared" si="249"/>
        <v>2383932.29793282</v>
      </c>
      <c r="BR147">
        <f ca="1" t="shared" si="250"/>
        <v>0.8543</v>
      </c>
      <c r="BS147">
        <f ca="1" t="shared" si="208"/>
        <v>2480443.64717088</v>
      </c>
      <c r="BT147">
        <f ca="1" t="shared" si="209"/>
        <v>0.196995876306796</v>
      </c>
      <c r="BU147">
        <f ca="1" t="shared" si="251"/>
        <v>2.5738578771</v>
      </c>
      <c r="BV147">
        <f ca="1" t="shared" si="229"/>
        <v>2508855.20115278</v>
      </c>
      <c r="BW147">
        <f ca="1" t="shared" si="211"/>
        <v>113027</v>
      </c>
      <c r="BX147">
        <f ca="1" t="shared" si="212"/>
        <v>278789.45625</v>
      </c>
      <c r="BY147">
        <f ca="1" t="shared" si="252"/>
        <v>0.8343</v>
      </c>
      <c r="BZ147">
        <f ca="1">无穷技能数计算!$AJ139</f>
        <v>4</v>
      </c>
      <c r="CA147">
        <f ca="1" t="shared" si="253"/>
        <v>2.5777641271</v>
      </c>
      <c r="CB147">
        <f ca="1" t="shared" si="230"/>
        <v>2570194.48383299</v>
      </c>
      <c r="CC147">
        <f ca="1" t="shared" si="215"/>
        <v>114847</v>
      </c>
      <c r="CD147">
        <f ca="1" t="shared" si="216"/>
        <v>282645.58125</v>
      </c>
      <c r="CE147">
        <f ca="1" t="shared" si="217"/>
        <v>2538334.71396245</v>
      </c>
      <c r="CF147">
        <f ca="1" t="shared" si="254"/>
        <v>2.5250297521</v>
      </c>
      <c r="CG147">
        <f ca="1" t="shared" si="255"/>
        <v>0.8343</v>
      </c>
      <c r="CH147">
        <f ca="1" t="shared" si="231"/>
        <v>2400540.61900648</v>
      </c>
      <c r="CJ147">
        <f ca="1" t="shared" si="220"/>
        <v>270744.5625</v>
      </c>
      <c r="CK147">
        <f ca="1" t="shared" si="221"/>
        <v>2488493.99383496</v>
      </c>
      <c r="CL147">
        <f ca="1" t="shared" si="232"/>
        <v>2.5476860021</v>
      </c>
      <c r="CM147">
        <f ca="1">IF(G147="恒定伤害",0,(IF(D147="轻剑",$CM$8,$CM$9)+IFERROR(INDEX(技能数据库!$T$2:$W$27,MATCH(E147,技能数据库!$T$2:$T$27,0),4),0)+COUNTIF(G147,"*造化2*")*154+COUNTIF(G147,"*造化1*")*102+COUNTIF(G147,"*碧归*")*307)/1024)</f>
        <v>0.397571271929785</v>
      </c>
      <c r="CN147">
        <f ca="1" t="shared" si="233"/>
        <v>2530121.47509252</v>
      </c>
      <c r="CO147">
        <f ca="1" t="shared" si="234"/>
        <v>2.5762602208</v>
      </c>
      <c r="CP147">
        <f ca="1" t="shared" si="235"/>
        <v>2556446.47957249</v>
      </c>
      <c r="CQ147">
        <f ca="1" t="shared" si="256"/>
        <v>1.8815754648</v>
      </c>
      <c r="CR147">
        <f ca="1">IF(G147="恒定伤害",0,(IF(D147="轻剑",$CR$8,$CR$9)+IFERROR(INDEX(技能数据库!$T$2:$W$27,MATCH(E147,技能数据库!$T$2:$T$27,0),4),0)+COUNTIF(G147,"*造化2*")*154+COUNTIF(G147,"*造化1*")*102+COUNTIF(G147,"*碧归*")*307)/1024)</f>
        <v>0.387805646929785</v>
      </c>
      <c r="CS147">
        <f ca="1" t="shared" si="236"/>
        <v>2424436.73767294</v>
      </c>
    </row>
    <row r="148" spans="4:97">
      <c r="D148" t="s">
        <v>1825</v>
      </c>
      <c r="E148" t="s">
        <v>2780</v>
      </c>
      <c r="G148" t="s">
        <v>3106</v>
      </c>
      <c r="H148">
        <f ca="1">INDEX(技能数据库!$B$2:$I$100,MATCH(无穷阵眼收益计算!$E148,技能数据库!$B$2:$B$100,0),MATCH(H$9,技能数据库!$B$2:$I$2,0))</f>
        <v>252.5</v>
      </c>
      <c r="I148">
        <f ca="1">INDEX(技能数据库!$B$2:$I$100,MATCH(无穷阵眼收益计算!$E148,技能数据库!$B$2:$B$100,0),MATCH(I$9,技能数据库!$B$2:$I$2,0))</f>
        <v>2.11875</v>
      </c>
      <c r="J148">
        <f ca="1">INDEX(技能数据库!$B$2:$I$100,MATCH(无穷阵眼收益计算!$E148,技能数据库!$B$2:$B$100,0),MATCH(J$9,技能数据库!$B$2:$I$2,0))</f>
        <v>2</v>
      </c>
      <c r="K148">
        <f ca="1">INDEX(技能数据库!$B$2:$I$100,MATCH(无穷阵眼收益计算!$E148,技能数据库!$B$2:$B$100,0),MATCH(K$9,技能数据库!$B$2:$I$2,0))</f>
        <v>0</v>
      </c>
      <c r="L148">
        <f ca="1" t="shared" si="186"/>
        <v>105847</v>
      </c>
      <c r="M148">
        <f ca="1" t="shared" si="257"/>
        <v>19530.5</v>
      </c>
      <c r="N148">
        <f ca="1" t="shared" si="258"/>
        <v>92028</v>
      </c>
      <c r="O148">
        <f ca="1" t="shared" si="222"/>
        <v>263576.83125</v>
      </c>
      <c r="P148">
        <f ca="1">IF(G148="恒定伤害",0,(IF(D148="轻剑",$AZ$2,$AZ$3)+IFERROR(INDEX(技能数据库!$T$2:$W$27,MATCH(E148,技能数据库!$T$2:$T$27,0),4),0)+COUNTIF(G148,"*造化2*")*154+COUNTIF(G148,"*造化1*")*102+COUNTIF(G148,"*碧归*")*307)/1024)</f>
        <v>0.337024396929785</v>
      </c>
      <c r="Q148">
        <f ca="1" t="shared" si="237"/>
        <v>0.448284482196154</v>
      </c>
      <c r="R148">
        <f ca="1" t="shared" si="223"/>
        <v>0.21277697966198</v>
      </c>
      <c r="S148">
        <f ca="1" t="shared" si="259"/>
        <v>401789.170905274</v>
      </c>
      <c r="T148">
        <f t="shared" si="165"/>
        <v>0.8</v>
      </c>
      <c r="U148">
        <f ca="1" t="shared" si="238"/>
        <v>1.7800129648</v>
      </c>
      <c r="V148">
        <f ca="1" t="shared" si="260"/>
        <v>893583.283386323</v>
      </c>
      <c r="W148">
        <f ca="1">IF(G148="恒定伤害",0,MIN(1,IF(COUNTIF(F148,"*内会*")&gt;0,内会2,IF(D148="轻剑",$Y$2,$Y$3)+COUNTIF(G148,"*莺鸣*")*0.2+COUNTIF(G148,"*叠1*")*0.1+COUNTIF(G148,"*叠2*")*0.2+COUNTIF(G148,"*叠3*")*0.3)+IFERROR(INDEX(技能数据库!$T$2:$W$27,MATCH(E148,技能数据库!$T$2:$T$27,0),2),0)+IF((IF(D148="轻剑",$AO$2,$AO$3)+INT(COUNTIF(G148,"*大莺鸣*")*IF(D148="轻剑",$AM$2,$AM$3)*听晓无双率)/无双系数)&gt;0.9,特效裤子会心/会心系数,0)))</f>
        <v>0.9043</v>
      </c>
      <c r="X148">
        <f ca="1">IF(G148="恒定伤害",0,IF(COUNTIF(F148,"*内会*")&gt;0,内会效2,IF(D148="轻剑",$AB$2,$AB$3))+IFERROR(INDEX(技能数据库!$T$2:$W$27,MATCH(E148,技能数据库!$T$2:$T$27,0),3)/1024,0))+COUNTIF(G148,"*叠1*")*0.25+COUNTIF(G148,"*叠2*")*0.5+COUNTIF(G148,"*叠3*")*0.75</f>
        <v>2.6773735021</v>
      </c>
      <c r="Y148">
        <f ca="1" t="shared" si="261"/>
        <v>2.51684885794903</v>
      </c>
      <c r="Z148">
        <f t="shared" si="187"/>
        <v>0.150390625</v>
      </c>
      <c r="AA148">
        <f ca="1" t="shared" si="262"/>
        <v>0.0205078125</v>
      </c>
      <c r="AB148">
        <f ca="1" t="shared" si="263"/>
        <v>2640303.42647837</v>
      </c>
      <c r="AC148">
        <f ca="1">无穷技能数计算!$AJ140</f>
        <v>3</v>
      </c>
      <c r="AD148" s="164">
        <f ca="1" t="shared" si="239"/>
        <v>0.00310429014823069</v>
      </c>
      <c r="AE148" s="168"/>
      <c r="AF148" s="168">
        <f ca="1" t="shared" si="240"/>
        <v>0.9057</v>
      </c>
      <c r="AG148">
        <f ca="1">无穷技能数计算!$AJ140</f>
        <v>3</v>
      </c>
      <c r="AH148">
        <f ca="1" t="shared" si="189"/>
        <v>109879</v>
      </c>
      <c r="AJ148">
        <f ca="1" t="shared" si="241"/>
        <v>2.8765922521</v>
      </c>
      <c r="AK148">
        <f ca="1" t="shared" si="224"/>
        <v>272596.63125</v>
      </c>
      <c r="AL148">
        <f ca="1" t="shared" si="191"/>
        <v>2929770.2151598</v>
      </c>
      <c r="AM148" s="169">
        <f ca="1" t="shared" si="242"/>
        <v>0.9272</v>
      </c>
      <c r="AN148">
        <f ca="1">无穷技能数计算!$AJ140</f>
        <v>3</v>
      </c>
      <c r="AO148" s="170">
        <f ca="1" t="shared" si="193"/>
        <v>2973556.46558983</v>
      </c>
      <c r="AP148">
        <f ca="1" t="shared" si="194"/>
        <v>110956</v>
      </c>
      <c r="AQ148" s="170">
        <f ca="1" t="shared" si="225"/>
        <v>274401.525</v>
      </c>
      <c r="AR148">
        <f ca="1" t="shared" si="195"/>
        <v>2909998.19217928</v>
      </c>
      <c r="AS148">
        <f ca="1" t="shared" si="243"/>
        <v>0.9843</v>
      </c>
      <c r="AT148">
        <f ca="1">无穷技能数计算!$AJ140</f>
        <v>3</v>
      </c>
      <c r="AU148">
        <f ca="1" t="shared" si="244"/>
        <v>2.8238578771</v>
      </c>
      <c r="AV148">
        <f ca="1" t="shared" si="245"/>
        <v>1.7995442148</v>
      </c>
      <c r="AW148">
        <f ca="1" t="shared" si="226"/>
        <v>2952933.87573264</v>
      </c>
      <c r="AX148">
        <f ca="1" t="shared" si="246"/>
        <v>0.9743</v>
      </c>
      <c r="AY148">
        <f ca="1">无穷技能数计算!$AJ140</f>
        <v>3</v>
      </c>
      <c r="AZ148" s="170">
        <f ca="1" t="shared" si="227"/>
        <v>2933666.24980247</v>
      </c>
      <c r="BA148">
        <f ca="1" t="shared" si="247"/>
        <v>0.9643</v>
      </c>
      <c r="BB148">
        <f ca="1">无穷技能数计算!$AJ140</f>
        <v>3</v>
      </c>
      <c r="BC148" s="170">
        <f ca="1" t="shared" si="228"/>
        <v>2914398.62387231</v>
      </c>
      <c r="BE148">
        <f ca="1" t="shared" si="200"/>
        <v>105849</v>
      </c>
      <c r="BF148">
        <f ca="1" t="shared" si="201"/>
        <v>263581.06875</v>
      </c>
      <c r="BI148">
        <f ca="1" t="shared" si="248"/>
        <v>0.9543</v>
      </c>
      <c r="BJ148">
        <f ca="1">无穷技能数计算!$AJ140</f>
        <v>3</v>
      </c>
      <c r="BK148">
        <f ca="1" t="shared" si="203"/>
        <v>2911936.01516915</v>
      </c>
      <c r="BM148">
        <f ca="1" t="shared" si="204"/>
        <v>109230</v>
      </c>
      <c r="BN148">
        <f ca="1" t="shared" si="205"/>
        <v>270744.5625</v>
      </c>
      <c r="BO148">
        <f ca="1" t="shared" si="206"/>
        <v>2929030.36772292</v>
      </c>
      <c r="BP148">
        <f ca="1" t="shared" si="249"/>
        <v>2793247.34931785</v>
      </c>
      <c r="BR148">
        <f ca="1" t="shared" si="250"/>
        <v>0.9543</v>
      </c>
      <c r="BS148">
        <f ca="1" t="shared" si="208"/>
        <v>2906604.5861366</v>
      </c>
      <c r="BT148">
        <f ca="1" t="shared" si="209"/>
        <v>0.196995876306796</v>
      </c>
      <c r="BU148">
        <f ca="1" t="shared" si="251"/>
        <v>2.8238578771</v>
      </c>
      <c r="BV148">
        <f ca="1" t="shared" si="229"/>
        <v>2932565.35626928</v>
      </c>
      <c r="BW148">
        <f ca="1" t="shared" si="211"/>
        <v>113027</v>
      </c>
      <c r="BX148">
        <f ca="1" t="shared" si="212"/>
        <v>278789.45625</v>
      </c>
      <c r="BY148">
        <f ca="1" t="shared" si="252"/>
        <v>0.9343</v>
      </c>
      <c r="BZ148">
        <f ca="1">无穷技能数计算!$AJ140</f>
        <v>3</v>
      </c>
      <c r="CA148">
        <f ca="1" t="shared" si="253"/>
        <v>2.8277641271</v>
      </c>
      <c r="CB148">
        <f ca="1" t="shared" si="230"/>
        <v>3004437.3789502</v>
      </c>
      <c r="CC148">
        <f ca="1" t="shared" si="215"/>
        <v>114847</v>
      </c>
      <c r="CD148">
        <f ca="1" t="shared" si="216"/>
        <v>282645.58125</v>
      </c>
      <c r="CE148">
        <f ca="1" t="shared" si="217"/>
        <v>2974331.39975779</v>
      </c>
      <c r="CF148">
        <f ca="1" t="shared" si="254"/>
        <v>2.7750297521</v>
      </c>
      <c r="CG148">
        <f ca="1" t="shared" si="255"/>
        <v>0.9343</v>
      </c>
      <c r="CH148">
        <f ca="1" t="shared" si="231"/>
        <v>2808401.67548587</v>
      </c>
      <c r="CJ148">
        <f ca="1" t="shared" si="220"/>
        <v>270744.5625</v>
      </c>
      <c r="CK148">
        <f ca="1" t="shared" si="221"/>
        <v>2915762.01979406</v>
      </c>
      <c r="CL148">
        <f ca="1" t="shared" si="232"/>
        <v>2.7976860021</v>
      </c>
      <c r="CM148">
        <f ca="1">IF(G148="恒定伤害",0,(IF(D148="轻剑",$CM$8,$CM$9)+IFERROR(INDEX(技能数据库!$T$2:$W$27,MATCH(E148,技能数据库!$T$2:$T$27,0),4),0)+COUNTIF(G148,"*造化2*")*154+COUNTIF(G148,"*造化1*")*102+COUNTIF(G148,"*碧归*")*307)/1024)</f>
        <v>0.397571271929785</v>
      </c>
      <c r="CN148">
        <f ca="1" t="shared" si="233"/>
        <v>2958954.27765323</v>
      </c>
      <c r="CO148">
        <f ca="1" t="shared" si="234"/>
        <v>2.8262602208</v>
      </c>
      <c r="CP148">
        <f ca="1" t="shared" si="235"/>
        <v>2988434.622476</v>
      </c>
      <c r="CQ148">
        <f ca="1" t="shared" si="256"/>
        <v>1.8815754648</v>
      </c>
      <c r="CR148">
        <f ca="1">IF(G148="恒定伤害",0,(IF(D148="轻剑",$CR$8,$CR$9)+IFERROR(INDEX(技能数据库!$T$2:$W$27,MATCH(E148,技能数据库!$T$2:$T$27,0),4),0)+COUNTIF(G148,"*造化2*")*154+COUNTIF(G148,"*造化1*")*102+COUNTIF(G148,"*碧归*")*307)/1024)</f>
        <v>0.387805646929785</v>
      </c>
      <c r="CS148">
        <f ca="1" t="shared" si="236"/>
        <v>2840706.29730804</v>
      </c>
    </row>
    <row r="149" spans="4:97">
      <c r="D149" t="s">
        <v>1825</v>
      </c>
      <c r="E149" t="s">
        <v>2780</v>
      </c>
      <c r="G149" t="s">
        <v>3107</v>
      </c>
      <c r="H149">
        <f ca="1">INDEX(技能数据库!$B$2:$I$100,MATCH(无穷阵眼收益计算!$E149,技能数据库!$B$2:$B$100,0),MATCH(H$9,技能数据库!$B$2:$I$2,0))</f>
        <v>252.5</v>
      </c>
      <c r="I149">
        <f ca="1">INDEX(技能数据库!$B$2:$I$100,MATCH(无穷阵眼收益计算!$E149,技能数据库!$B$2:$B$100,0),MATCH(I$9,技能数据库!$B$2:$I$2,0))</f>
        <v>2.11875</v>
      </c>
      <c r="J149">
        <f ca="1">INDEX(技能数据库!$B$2:$I$100,MATCH(无穷阵眼收益计算!$E149,技能数据库!$B$2:$B$100,0),MATCH(J$9,技能数据库!$B$2:$I$2,0))</f>
        <v>2</v>
      </c>
      <c r="K149">
        <f ca="1">INDEX(技能数据库!$B$2:$I$100,MATCH(无穷阵眼收益计算!$E149,技能数据库!$B$2:$B$100,0),MATCH(K$9,技能数据库!$B$2:$I$2,0))</f>
        <v>0</v>
      </c>
      <c r="L149">
        <f ca="1" t="shared" si="186"/>
        <v>105847</v>
      </c>
      <c r="M149">
        <f ca="1" t="shared" si="257"/>
        <v>19530.5</v>
      </c>
      <c r="N149">
        <f ca="1" t="shared" si="258"/>
        <v>92028</v>
      </c>
      <c r="O149">
        <f ca="1" t="shared" si="222"/>
        <v>263576.83125</v>
      </c>
      <c r="P149">
        <f ca="1">IF(G149="恒定伤害",0,(IF(D149="轻剑",$AZ$2,$AZ$3)+IFERROR(INDEX(技能数据库!$T$2:$W$27,MATCH(E149,技能数据库!$T$2:$T$27,0),4),0)+COUNTIF(G149,"*造化2*")*154+COUNTIF(G149,"*造化1*")*102+COUNTIF(G149,"*碧归*")*307)/1024)</f>
        <v>0.337024396929785</v>
      </c>
      <c r="Q149">
        <f ca="1" t="shared" si="237"/>
        <v>0.448284482196154</v>
      </c>
      <c r="R149">
        <f ca="1" t="shared" si="223"/>
        <v>0.21277697966198</v>
      </c>
      <c r="S149">
        <f ca="1" t="shared" si="259"/>
        <v>401789.170905274</v>
      </c>
      <c r="T149">
        <f t="shared" si="165"/>
        <v>0.8</v>
      </c>
      <c r="U149">
        <f ca="1" t="shared" si="238"/>
        <v>1.7800129648</v>
      </c>
      <c r="V149">
        <f ca="1" t="shared" si="260"/>
        <v>893583.283386323</v>
      </c>
      <c r="W149">
        <f ca="1">IF(G149="恒定伤害",0,MIN(1,IF(COUNTIF(F149,"*内会*")&gt;0,内会2,IF(D149="轻剑",$Y$2,$Y$3)+COUNTIF(G149,"*莺鸣*")*0.2+COUNTIF(G149,"*叠1*")*0.1+COUNTIF(G149,"*叠2*")*0.2+COUNTIF(G149,"*叠3*")*0.3)+IFERROR(INDEX(技能数据库!$T$2:$W$27,MATCH(E149,技能数据库!$T$2:$T$27,0),2),0)+IF((IF(D149="轻剑",$AO$2,$AO$3)+INT(COUNTIF(G149,"*大莺鸣*")*IF(D149="轻剑",$AM$2,$AM$3)*听晓无双率)/无双系数)&gt;0.9,特效裤子会心/会心系数,0)))</f>
        <v>1</v>
      </c>
      <c r="X149">
        <f ca="1">IF(G149="恒定伤害",0,IF(COUNTIF(F149,"*内会*")&gt;0,内会效2,IF(D149="轻剑",$AB$2,$AB$3))+IFERROR(INDEX(技能数据库!$T$2:$W$27,MATCH(E149,技能数据库!$T$2:$T$27,0),3)/1024,0))+COUNTIF(G149,"*叠1*")*0.25+COUNTIF(G149,"*叠2*")*0.5+COUNTIF(G149,"*叠3*")*0.75</f>
        <v>2.9273735021</v>
      </c>
      <c r="Y149">
        <f ca="1" t="shared" si="261"/>
        <v>2.9273735021</v>
      </c>
      <c r="Z149">
        <f t="shared" si="187"/>
        <v>0.150390625</v>
      </c>
      <c r="AA149">
        <f ca="1" t="shared" si="262"/>
        <v>0.0205078125</v>
      </c>
      <c r="AB149">
        <f ca="1" t="shared" si="263"/>
        <v>3070964.8152949</v>
      </c>
      <c r="AC149">
        <f ca="1">无穷技能数计算!$AJ141</f>
        <v>22</v>
      </c>
      <c r="AD149" s="164">
        <f ca="1" t="shared" si="239"/>
        <v>0.0264779729447944</v>
      </c>
      <c r="AE149" s="168"/>
      <c r="AF149" s="168">
        <f ca="1" t="shared" si="240"/>
        <v>1.0014</v>
      </c>
      <c r="AG149">
        <f ca="1">无穷技能数计算!$AJ141</f>
        <v>22</v>
      </c>
      <c r="AH149">
        <f ca="1" t="shared" si="189"/>
        <v>109879</v>
      </c>
      <c r="AJ149">
        <f ca="1" t="shared" si="241"/>
        <v>3.1265922521</v>
      </c>
      <c r="AK149">
        <f ca="1" t="shared" si="224"/>
        <v>272596.63125</v>
      </c>
      <c r="AL149">
        <f ca="1" t="shared" si="191"/>
        <v>3393130.98578375</v>
      </c>
      <c r="AM149" s="169">
        <f ca="1" t="shared" si="242"/>
        <v>1.0229</v>
      </c>
      <c r="AN149">
        <f ca="1">无穷技能数计算!$AJ141</f>
        <v>22</v>
      </c>
      <c r="AO149" s="170">
        <f ca="1" t="shared" si="193"/>
        <v>3393130.98578375</v>
      </c>
      <c r="AP149">
        <f ca="1" t="shared" si="194"/>
        <v>110956</v>
      </c>
      <c r="AQ149" s="170">
        <f ca="1" t="shared" si="225"/>
        <v>274401.525</v>
      </c>
      <c r="AR149">
        <f ca="1" t="shared" si="195"/>
        <v>3384649.6471331</v>
      </c>
      <c r="AS149">
        <f ca="1" t="shared" si="243"/>
        <v>1.08</v>
      </c>
      <c r="AT149">
        <f ca="1">无穷技能数计算!$AJ141</f>
        <v>22</v>
      </c>
      <c r="AU149">
        <f ca="1" t="shared" si="244"/>
        <v>3.0738578771</v>
      </c>
      <c r="AV149">
        <f ca="1" t="shared" si="245"/>
        <v>1.7995442148</v>
      </c>
      <c r="AW149">
        <f ca="1" t="shared" si="226"/>
        <v>3247289.41229958</v>
      </c>
      <c r="AX149">
        <f ca="1" t="shared" si="246"/>
        <v>1.07</v>
      </c>
      <c r="AY149">
        <f ca="1">无穷技能数计算!$AJ141</f>
        <v>22</v>
      </c>
      <c r="AZ149" s="170">
        <f ca="1" t="shared" si="227"/>
        <v>3247289.41229958</v>
      </c>
      <c r="BA149">
        <f ca="1" t="shared" si="247"/>
        <v>1.06</v>
      </c>
      <c r="BB149">
        <f ca="1">无穷技能数计算!$AJ141</f>
        <v>22</v>
      </c>
      <c r="BC149" s="170">
        <f ca="1" t="shared" si="228"/>
        <v>3247289.41229958</v>
      </c>
      <c r="BE149">
        <f ca="1" t="shared" si="200"/>
        <v>105849</v>
      </c>
      <c r="BF149">
        <f ca="1" t="shared" si="201"/>
        <v>263581.06875</v>
      </c>
      <c r="BI149">
        <f ca="1" t="shared" si="248"/>
        <v>1.05</v>
      </c>
      <c r="BJ149">
        <f ca="1">无穷技能数计算!$AJ141</f>
        <v>22</v>
      </c>
      <c r="BK149">
        <f ca="1" t="shared" si="203"/>
        <v>3277681.72524553</v>
      </c>
      <c r="BM149">
        <f ca="1" t="shared" si="204"/>
        <v>109230</v>
      </c>
      <c r="BN149">
        <f ca="1" t="shared" si="205"/>
        <v>270744.5625</v>
      </c>
      <c r="BO149">
        <f ca="1" t="shared" si="206"/>
        <v>3406786.17161998</v>
      </c>
      <c r="BP149">
        <f ca="1" t="shared" si="249"/>
        <v>3248855.50810049</v>
      </c>
      <c r="BR149">
        <f ca="1" t="shared" si="250"/>
        <v>1.05</v>
      </c>
      <c r="BS149">
        <f ca="1" t="shared" si="208"/>
        <v>3271680.65674046</v>
      </c>
      <c r="BT149">
        <f ca="1" t="shared" si="209"/>
        <v>0.196995876306796</v>
      </c>
      <c r="BU149">
        <f ca="1" t="shared" si="251"/>
        <v>3.0738578771</v>
      </c>
      <c r="BV149">
        <f ca="1" t="shared" si="229"/>
        <v>3289277.21718245</v>
      </c>
      <c r="BW149">
        <f ca="1" t="shared" si="211"/>
        <v>113027</v>
      </c>
      <c r="BX149">
        <f ca="1" t="shared" si="212"/>
        <v>278789.45625</v>
      </c>
      <c r="BY149">
        <f ca="1" t="shared" si="252"/>
        <v>1.03</v>
      </c>
      <c r="BZ149">
        <f ca="1">无穷技能数计算!$AJ141</f>
        <v>22</v>
      </c>
      <c r="CA149">
        <f ca="1" t="shared" si="253"/>
        <v>3.0777641271</v>
      </c>
      <c r="CB149">
        <f ca="1" t="shared" si="230"/>
        <v>3415082.10174824</v>
      </c>
      <c r="CC149">
        <f ca="1" t="shared" si="215"/>
        <v>114847</v>
      </c>
      <c r="CD149">
        <f ca="1" t="shared" si="216"/>
        <v>282645.58125</v>
      </c>
      <c r="CE149">
        <f ca="1" t="shared" si="217"/>
        <v>3391664.24989358</v>
      </c>
      <c r="CF149">
        <f ca="1" t="shared" si="254"/>
        <v>3.0250297521</v>
      </c>
      <c r="CG149">
        <f ca="1" t="shared" si="255"/>
        <v>1.03</v>
      </c>
      <c r="CH149">
        <f ca="1" t="shared" si="231"/>
        <v>3195706.33342134</v>
      </c>
      <c r="CJ149">
        <f ca="1" t="shared" si="220"/>
        <v>270744.5625</v>
      </c>
      <c r="CK149">
        <f ca="1" t="shared" si="221"/>
        <v>3391353.61593793</v>
      </c>
      <c r="CL149">
        <f ca="1" t="shared" si="232"/>
        <v>3.0476860021</v>
      </c>
      <c r="CM149">
        <f ca="1">IF(G149="恒定伤害",0,(IF(D149="轻剑",$CM$8,$CM$9)+IFERROR(INDEX(技能数据库!$T$2:$W$27,MATCH(E149,技能数据库!$T$2:$T$27,0),4),0)+COUNTIF(G149,"*造化2*")*154+COUNTIF(G149,"*造化1*")*102+COUNTIF(G149,"*碧归*")*307)/1024)</f>
        <v>0.397571271929785</v>
      </c>
      <c r="CN149">
        <f ca="1" t="shared" si="233"/>
        <v>3365441.65759101</v>
      </c>
      <c r="CO149">
        <f ca="1" t="shared" si="234"/>
        <v>3.0762602208</v>
      </c>
      <c r="CP149">
        <f ca="1" t="shared" si="235"/>
        <v>3396995.061019</v>
      </c>
      <c r="CQ149">
        <f ca="1" t="shared" si="256"/>
        <v>1.8815754648</v>
      </c>
      <c r="CR149">
        <f ca="1">IF(G149="恒定伤害",0,(IF(D149="轻剑",$CR$8,$CR$9)+IFERROR(INDEX(技能数据库!$T$2:$W$27,MATCH(E149,技能数据库!$T$2:$T$27,0),4),0)+COUNTIF(G149,"*造化2*")*154+COUNTIF(G149,"*造化1*")*102+COUNTIF(G149,"*碧归*")*307)/1024)</f>
        <v>0.387805646929785</v>
      </c>
      <c r="CS149">
        <f ca="1" t="shared" si="236"/>
        <v>3304055.51200427</v>
      </c>
    </row>
    <row r="150" spans="4:97">
      <c r="D150" t="s">
        <v>1825</v>
      </c>
      <c r="E150" t="s">
        <v>2808</v>
      </c>
      <c r="G150" t="s">
        <v>3105</v>
      </c>
      <c r="H150">
        <f ca="1">INDEX(技能数据库!$B$2:$I$100,MATCH(无穷阵眼收益计算!$E150,技能数据库!$B$2:$B$100,0),MATCH(H$9,技能数据库!$B$2:$I$2,0))</f>
        <v>535</v>
      </c>
      <c r="I150">
        <f ca="1">INDEX(技能数据库!$B$2:$I$100,MATCH(无穷阵眼收益计算!$E150,技能数据库!$B$2:$B$100,0),MATCH(I$9,技能数据库!$B$2:$I$2,0))</f>
        <v>7.06875</v>
      </c>
      <c r="J150">
        <f ca="1">INDEX(技能数据库!$B$2:$I$100,MATCH(无穷阵眼收益计算!$E150,技能数据库!$B$2:$B$100,0),MATCH(J$9,技能数据库!$B$2:$I$2,0))</f>
        <v>2</v>
      </c>
      <c r="K150">
        <f ca="1">INDEX(技能数据库!$B$2:$I$100,MATCH(无穷阵眼收益计算!$E150,技能数据库!$B$2:$B$100,0),MATCH(K$9,技能数据库!$B$2:$I$2,0))</f>
        <v>0</v>
      </c>
      <c r="L150">
        <f ca="1" t="shared" si="186"/>
        <v>105847</v>
      </c>
      <c r="M150">
        <f ca="1" t="shared" si="257"/>
        <v>19530.5</v>
      </c>
      <c r="N150">
        <f ca="1" t="shared" si="258"/>
        <v>92028</v>
      </c>
      <c r="O150">
        <f ca="1" t="shared" si="222"/>
        <v>787801.98125</v>
      </c>
      <c r="P150">
        <f ca="1">IF(G150="恒定伤害",0,(IF(D150="轻剑",$AZ$2,$AZ$3)+IFERROR(INDEX(技能数据库!$T$2:$W$27,MATCH(E150,技能数据库!$T$2:$T$27,0),4),0)+COUNTIF(G150,"*造化2*")*154+COUNTIF(G150,"*造化1*")*102+COUNTIF(G150,"*碧归*")*307)/1024)</f>
        <v>0.337024396929785</v>
      </c>
      <c r="Q150">
        <f ca="1" t="shared" si="237"/>
        <v>0.448284482196154</v>
      </c>
      <c r="R150">
        <f ca="1" t="shared" si="223"/>
        <v>0.21277697966198</v>
      </c>
      <c r="S150">
        <f ca="1" t="shared" si="259"/>
        <v>1200903.36993142</v>
      </c>
      <c r="T150">
        <f t="shared" si="165"/>
        <v>0.8</v>
      </c>
      <c r="U150">
        <f ca="1" t="shared" si="238"/>
        <v>1.7800129648</v>
      </c>
      <c r="V150">
        <f ca="1" t="shared" si="260"/>
        <v>2670821.55030508</v>
      </c>
      <c r="W150">
        <f ca="1">IF(G150="恒定伤害",0,MIN(1,IF(COUNTIF(F150,"*内会*")&gt;0,内会2,IF(D150="轻剑",$Y$2,$Y$3)+COUNTIF(G150,"*莺鸣*")*0.2+COUNTIF(G150,"*叠1*")*0.1+COUNTIF(G150,"*叠2*")*0.2+COUNTIF(G150,"*叠3*")*0.3)+IFERROR(INDEX(技能数据库!$T$2:$W$27,MATCH(E150,技能数据库!$T$2:$T$27,0),2),0)+IF((IF(D150="轻剑",$AO$2,$AO$3)+INT(COUNTIF(G150,"*大莺鸣*")*IF(D150="轻剑",$AM$2,$AM$3)*听晓无双率)/无双系数)&gt;0.9,特效裤子会心/会心系数,0)))</f>
        <v>0.8043</v>
      </c>
      <c r="X150">
        <f ca="1">IF(G150="恒定伤害",0,IF(COUNTIF(F150,"*内会*")&gt;0,内会效2,IF(D150="轻剑",$AB$2,$AB$3))+IFERROR(INDEX(技能数据库!$T$2:$W$27,MATCH(E150,技能数据库!$T$2:$T$27,0),3)/1024,0))+COUNTIF(G150,"*叠1*")*0.25+COUNTIF(G150,"*叠2*")*0.5+COUNTIF(G150,"*叠3*")*0.75</f>
        <v>2.4273735021</v>
      </c>
      <c r="Y150">
        <f ca="1" t="shared" si="261"/>
        <v>2.14803650773903</v>
      </c>
      <c r="Z150">
        <f t="shared" si="187"/>
        <v>0.150390625</v>
      </c>
      <c r="AA150">
        <f ca="1" t="shared" si="262"/>
        <v>0.0205078125</v>
      </c>
      <c r="AB150">
        <f ca="1" t="shared" si="263"/>
        <v>6735164.34969213</v>
      </c>
      <c r="AC150">
        <f ca="1">无穷技能数计算!$AJ142</f>
        <v>0</v>
      </c>
      <c r="AD150" s="164">
        <f ca="1" t="shared" si="239"/>
        <v>0</v>
      </c>
      <c r="AE150" s="168"/>
      <c r="AF150" s="168">
        <f ca="1" t="shared" si="240"/>
        <v>0.8057</v>
      </c>
      <c r="AG150">
        <f ca="1">无穷技能数计算!$AJ142</f>
        <v>0</v>
      </c>
      <c r="AH150">
        <f ca="1" t="shared" si="189"/>
        <v>109879</v>
      </c>
      <c r="AJ150">
        <f ca="1" t="shared" si="241"/>
        <v>2.6265922521</v>
      </c>
      <c r="AK150">
        <f ca="1" t="shared" si="224"/>
        <v>816780.18125</v>
      </c>
      <c r="AL150">
        <f ca="1" t="shared" si="191"/>
        <v>7513262.91781034</v>
      </c>
      <c r="AM150" s="169">
        <f ca="1" t="shared" si="242"/>
        <v>0.8272</v>
      </c>
      <c r="AN150">
        <f ca="1">无穷技能数计算!$AJ142</f>
        <v>0</v>
      </c>
      <c r="AO150" s="170">
        <f ca="1" t="shared" si="193"/>
        <v>7626981.44956215</v>
      </c>
      <c r="AP150">
        <f ca="1" t="shared" si="194"/>
        <v>110956</v>
      </c>
      <c r="AQ150" s="170">
        <f ca="1" t="shared" si="225"/>
        <v>823916.225</v>
      </c>
      <c r="AR150">
        <f ca="1" t="shared" si="195"/>
        <v>7457165.40412819</v>
      </c>
      <c r="AS150">
        <f ca="1" t="shared" si="243"/>
        <v>0.8843</v>
      </c>
      <c r="AT150">
        <f ca="1">无穷技能数计算!$AJ142</f>
        <v>0</v>
      </c>
      <c r="AU150">
        <f ca="1" t="shared" si="244"/>
        <v>2.5738578771</v>
      </c>
      <c r="AV150">
        <f ca="1" t="shared" si="245"/>
        <v>1.7995442148</v>
      </c>
      <c r="AW150">
        <f ca="1" t="shared" si="226"/>
        <v>7552054.32273389</v>
      </c>
      <c r="AX150">
        <f ca="1" t="shared" si="246"/>
        <v>0.8743</v>
      </c>
      <c r="AY150">
        <f ca="1">无穷技能数计算!$AJ142</f>
        <v>0</v>
      </c>
      <c r="AZ150" s="170">
        <f ca="1" t="shared" si="227"/>
        <v>7502359.33804725</v>
      </c>
      <c r="BA150">
        <f ca="1" t="shared" si="247"/>
        <v>0.8643</v>
      </c>
      <c r="BB150">
        <f ca="1">无穷技能数计算!$AJ142</f>
        <v>0</v>
      </c>
      <c r="BC150" s="170">
        <f ca="1" t="shared" si="228"/>
        <v>7452664.35336062</v>
      </c>
      <c r="BE150">
        <f ca="1" t="shared" si="200"/>
        <v>105849</v>
      </c>
      <c r="BF150">
        <f ca="1" t="shared" si="201"/>
        <v>787816.11875</v>
      </c>
      <c r="BI150">
        <f ca="1" t="shared" si="248"/>
        <v>0.8543</v>
      </c>
      <c r="BJ150">
        <f ca="1">无穷技能数计算!$AJ142</f>
        <v>0</v>
      </c>
      <c r="BK150">
        <f ca="1" t="shared" si="203"/>
        <v>7427384.13844717</v>
      </c>
      <c r="BM150">
        <f ca="1" t="shared" si="204"/>
        <v>109230</v>
      </c>
      <c r="BN150">
        <f ca="1" t="shared" si="205"/>
        <v>811715.5625</v>
      </c>
      <c r="BO150">
        <f ca="1" t="shared" si="206"/>
        <v>7494670.18763413</v>
      </c>
      <c r="BP150">
        <f ca="1" t="shared" si="249"/>
        <v>7147234.75260359</v>
      </c>
      <c r="BR150">
        <f ca="1" t="shared" si="250"/>
        <v>0.8543</v>
      </c>
      <c r="BS150">
        <f ca="1" t="shared" si="208"/>
        <v>7436584.10614568</v>
      </c>
      <c r="BT150">
        <f ca="1" t="shared" si="209"/>
        <v>0.196995876306796</v>
      </c>
      <c r="BU150">
        <f ca="1" t="shared" si="251"/>
        <v>2.5738578771</v>
      </c>
      <c r="BV150">
        <f ca="1" t="shared" si="229"/>
        <v>7498690.56686115</v>
      </c>
      <c r="BW150">
        <f ca="1" t="shared" si="211"/>
        <v>113027</v>
      </c>
      <c r="BX150">
        <f ca="1" t="shared" si="212"/>
        <v>838555.60625</v>
      </c>
      <c r="BY150">
        <f ca="1" t="shared" si="252"/>
        <v>0.8343</v>
      </c>
      <c r="BZ150">
        <f ca="1">无穷技能数计算!$AJ142</f>
        <v>0</v>
      </c>
      <c r="CA150">
        <f ca="1" t="shared" si="253"/>
        <v>2.5777641271</v>
      </c>
      <c r="CB150">
        <f ca="1" t="shared" si="230"/>
        <v>7730747.86457595</v>
      </c>
      <c r="CC150">
        <f ca="1" t="shared" si="215"/>
        <v>114847</v>
      </c>
      <c r="CD150">
        <f ca="1" t="shared" si="216"/>
        <v>851420.73125</v>
      </c>
      <c r="CE150">
        <f ca="1" t="shared" si="217"/>
        <v>7646292.5362615</v>
      </c>
      <c r="CF150">
        <f ca="1" t="shared" si="254"/>
        <v>2.5250297521</v>
      </c>
      <c r="CG150">
        <f ca="1" t="shared" si="255"/>
        <v>0.8343</v>
      </c>
      <c r="CH150">
        <f ca="1" t="shared" si="231"/>
        <v>7174950.26689455</v>
      </c>
      <c r="CJ150">
        <f ca="1" t="shared" si="220"/>
        <v>811715.5625</v>
      </c>
      <c r="CK150">
        <f ca="1" t="shared" si="221"/>
        <v>7460719.74015587</v>
      </c>
      <c r="CL150">
        <f ca="1" t="shared" si="232"/>
        <v>2.5476860021</v>
      </c>
      <c r="CM150">
        <f ca="1">IF(G150="恒定伤害",0,(IF(D150="轻剑",$CM$8,$CM$9)+IFERROR(INDEX(技能数据库!$T$2:$W$27,MATCH(E150,技能数据库!$T$2:$T$27,0),4),0)+COUNTIF(G150,"*造化2*")*154+COUNTIF(G150,"*造化1*")*102+COUNTIF(G150,"*碧归*")*307)/1024)</f>
        <v>0.397571271929785</v>
      </c>
      <c r="CN150">
        <f ca="1" t="shared" si="233"/>
        <v>7562253.10634566</v>
      </c>
      <c r="CO150">
        <f ca="1" t="shared" si="234"/>
        <v>2.5762602208</v>
      </c>
      <c r="CP150">
        <f ca="1" t="shared" si="235"/>
        <v>7640935.63161688</v>
      </c>
      <c r="CQ150">
        <f ca="1" t="shared" si="256"/>
        <v>1.8815754648</v>
      </c>
      <c r="CR150">
        <f ca="1">IF(G150="恒定伤害",0,(IF(D150="轻剑",$CR$8,$CR$9)+IFERROR(INDEX(技能数据库!$T$2:$W$27,MATCH(E150,技能数据库!$T$2:$T$27,0),4),0)+COUNTIF(G150,"*造化2*")*154+COUNTIF(G150,"*造化1*")*102+COUNTIF(G150,"*碧归*")*307)/1024)</f>
        <v>0.387805646929785</v>
      </c>
      <c r="CS150">
        <f ca="1" t="shared" si="236"/>
        <v>7246373.12124918</v>
      </c>
    </row>
    <row r="151" spans="4:97">
      <c r="D151" t="s">
        <v>1825</v>
      </c>
      <c r="E151" t="s">
        <v>2808</v>
      </c>
      <c r="G151" t="s">
        <v>3106</v>
      </c>
      <c r="H151">
        <f ca="1">INDEX(技能数据库!$B$2:$I$100,MATCH(无穷阵眼收益计算!$E151,技能数据库!$B$2:$B$100,0),MATCH(H$9,技能数据库!$B$2:$I$2,0))</f>
        <v>535</v>
      </c>
      <c r="I151">
        <f ca="1">INDEX(技能数据库!$B$2:$I$100,MATCH(无穷阵眼收益计算!$E151,技能数据库!$B$2:$B$100,0),MATCH(I$9,技能数据库!$B$2:$I$2,0))</f>
        <v>7.06875</v>
      </c>
      <c r="J151">
        <f ca="1">INDEX(技能数据库!$B$2:$I$100,MATCH(无穷阵眼收益计算!$E151,技能数据库!$B$2:$B$100,0),MATCH(J$9,技能数据库!$B$2:$I$2,0))</f>
        <v>2</v>
      </c>
      <c r="K151">
        <f ca="1">INDEX(技能数据库!$B$2:$I$100,MATCH(无穷阵眼收益计算!$E151,技能数据库!$B$2:$B$100,0),MATCH(K$9,技能数据库!$B$2:$I$2,0))</f>
        <v>0</v>
      </c>
      <c r="L151">
        <f ca="1" t="shared" si="186"/>
        <v>105847</v>
      </c>
      <c r="M151">
        <f ca="1" t="shared" si="257"/>
        <v>19530.5</v>
      </c>
      <c r="N151">
        <f ca="1" t="shared" si="258"/>
        <v>92028</v>
      </c>
      <c r="O151">
        <f ca="1" t="shared" si="222"/>
        <v>787801.98125</v>
      </c>
      <c r="P151">
        <f ca="1">IF(G151="恒定伤害",0,(IF(D151="轻剑",$AZ$2,$AZ$3)+IFERROR(INDEX(技能数据库!$T$2:$W$27,MATCH(E151,技能数据库!$T$2:$T$27,0),4),0)+COUNTIF(G151,"*造化2*")*154+COUNTIF(G151,"*造化1*")*102+COUNTIF(G151,"*碧归*")*307)/1024)</f>
        <v>0.337024396929785</v>
      </c>
      <c r="Q151">
        <f ca="1" t="shared" si="237"/>
        <v>0.448284482196154</v>
      </c>
      <c r="R151">
        <f ca="1" t="shared" si="223"/>
        <v>0.21277697966198</v>
      </c>
      <c r="S151">
        <f ca="1" t="shared" si="259"/>
        <v>1200903.36993142</v>
      </c>
      <c r="T151">
        <f t="shared" si="165"/>
        <v>0.8</v>
      </c>
      <c r="U151">
        <f ca="1" t="shared" si="238"/>
        <v>1.7800129648</v>
      </c>
      <c r="V151">
        <f ca="1" t="shared" si="260"/>
        <v>2670821.55030508</v>
      </c>
      <c r="W151">
        <f ca="1">IF(G151="恒定伤害",0,MIN(1,IF(COUNTIF(F151,"*内会*")&gt;0,内会2,IF(D151="轻剑",$Y$2,$Y$3)+COUNTIF(G151,"*莺鸣*")*0.2+COUNTIF(G151,"*叠1*")*0.1+COUNTIF(G151,"*叠2*")*0.2+COUNTIF(G151,"*叠3*")*0.3)+IFERROR(INDEX(技能数据库!$T$2:$W$27,MATCH(E151,技能数据库!$T$2:$T$27,0),2),0)+IF((IF(D151="轻剑",$AO$2,$AO$3)+INT(COUNTIF(G151,"*大莺鸣*")*IF(D151="轻剑",$AM$2,$AM$3)*听晓无双率)/无双系数)&gt;0.9,特效裤子会心/会心系数,0)))</f>
        <v>0.9043</v>
      </c>
      <c r="X151">
        <f ca="1">IF(G151="恒定伤害",0,IF(COUNTIF(F151,"*内会*")&gt;0,内会效2,IF(D151="轻剑",$AB$2,$AB$3))+IFERROR(INDEX(技能数据库!$T$2:$W$27,MATCH(E151,技能数据库!$T$2:$T$27,0),3)/1024,0))+COUNTIF(G151,"*叠1*")*0.25+COUNTIF(G151,"*叠2*")*0.5+COUNTIF(G151,"*叠3*")*0.75</f>
        <v>2.6773735021</v>
      </c>
      <c r="Y151">
        <f ca="1" t="shared" si="261"/>
        <v>2.51684885794903</v>
      </c>
      <c r="Z151">
        <f t="shared" si="187"/>
        <v>0.150390625</v>
      </c>
      <c r="AA151">
        <f ca="1" t="shared" si="262"/>
        <v>0.0205078125</v>
      </c>
      <c r="AB151">
        <f ca="1" t="shared" si="263"/>
        <v>7891574.76632661</v>
      </c>
      <c r="AC151">
        <f ca="1">无穷技能数计算!$AJ143</f>
        <v>3</v>
      </c>
      <c r="AD151" s="164">
        <f ca="1" t="shared" si="239"/>
        <v>0.00927837973297206</v>
      </c>
      <c r="AE151" s="168"/>
      <c r="AF151" s="168">
        <f ca="1" t="shared" si="240"/>
        <v>0.9057</v>
      </c>
      <c r="AG151">
        <f ca="1">无穷技能数计算!$AJ143</f>
        <v>3</v>
      </c>
      <c r="AH151">
        <f ca="1" t="shared" si="189"/>
        <v>109879</v>
      </c>
      <c r="AJ151">
        <f ca="1" t="shared" si="241"/>
        <v>2.8765922521</v>
      </c>
      <c r="AK151">
        <f ca="1" t="shared" si="224"/>
        <v>816780.18125</v>
      </c>
      <c r="AL151">
        <f ca="1" t="shared" si="191"/>
        <v>8778458.61992496</v>
      </c>
      <c r="AM151" s="169">
        <f ca="1" t="shared" si="242"/>
        <v>0.9272</v>
      </c>
      <c r="AN151">
        <f ca="1">无穷技能数计算!$AJ143</f>
        <v>3</v>
      </c>
      <c r="AO151" s="170">
        <f ca="1" t="shared" si="193"/>
        <v>8909655.18460189</v>
      </c>
      <c r="AP151">
        <f ca="1" t="shared" si="194"/>
        <v>110956</v>
      </c>
      <c r="AQ151" s="170">
        <f ca="1" t="shared" si="225"/>
        <v>823916.225</v>
      </c>
      <c r="AR151">
        <f ca="1" t="shared" si="195"/>
        <v>8737541.54703467</v>
      </c>
      <c r="AS151">
        <f ca="1" t="shared" si="243"/>
        <v>0.9843</v>
      </c>
      <c r="AT151">
        <f ca="1">无穷技能数计算!$AJ143</f>
        <v>3</v>
      </c>
      <c r="AU151">
        <f ca="1" t="shared" si="244"/>
        <v>2.8238578771</v>
      </c>
      <c r="AV151">
        <f ca="1" t="shared" si="245"/>
        <v>1.7995442148</v>
      </c>
      <c r="AW151">
        <f ca="1" t="shared" si="226"/>
        <v>8825992.58352839</v>
      </c>
      <c r="AX151">
        <f ca="1" t="shared" si="246"/>
        <v>0.9743</v>
      </c>
      <c r="AY151">
        <f ca="1">无穷技能数计算!$AJ143</f>
        <v>3</v>
      </c>
      <c r="AZ151" s="170">
        <f ca="1" t="shared" si="227"/>
        <v>8768403.78177452</v>
      </c>
      <c r="BA151">
        <f ca="1" t="shared" si="247"/>
        <v>0.9643</v>
      </c>
      <c r="BB151">
        <f ca="1">无穷技能数计算!$AJ143</f>
        <v>3</v>
      </c>
      <c r="BC151" s="170">
        <f ca="1" t="shared" si="228"/>
        <v>8710814.98002066</v>
      </c>
      <c r="BE151">
        <f ca="1" t="shared" si="200"/>
        <v>105849</v>
      </c>
      <c r="BF151">
        <f ca="1" t="shared" si="201"/>
        <v>787816.11875</v>
      </c>
      <c r="BI151">
        <f ca="1" t="shared" si="248"/>
        <v>0.9543</v>
      </c>
      <c r="BJ151">
        <f ca="1">无穷技能数计算!$AJ143</f>
        <v>3</v>
      </c>
      <c r="BK151">
        <f ca="1" t="shared" si="203"/>
        <v>8703470.77807308</v>
      </c>
      <c r="BM151">
        <f ca="1" t="shared" si="204"/>
        <v>109230</v>
      </c>
      <c r="BN151">
        <f ca="1" t="shared" si="205"/>
        <v>811715.5625</v>
      </c>
      <c r="BO151">
        <f ca="1" t="shared" si="206"/>
        <v>8781485.80552119</v>
      </c>
      <c r="BP151">
        <f ca="1" t="shared" si="249"/>
        <v>8374396.59883538</v>
      </c>
      <c r="BR151">
        <f ca="1" t="shared" si="250"/>
        <v>0.9543</v>
      </c>
      <c r="BS151">
        <f ca="1" t="shared" si="208"/>
        <v>8714251.37707411</v>
      </c>
      <c r="BT151">
        <f ca="1" t="shared" si="209"/>
        <v>0.196995876306796</v>
      </c>
      <c r="BU151">
        <f ca="1" t="shared" si="251"/>
        <v>2.8238578771</v>
      </c>
      <c r="BV151">
        <f ca="1" t="shared" si="229"/>
        <v>8765113.33282846</v>
      </c>
      <c r="BW151">
        <f ca="1" t="shared" si="211"/>
        <v>113027</v>
      </c>
      <c r="BX151">
        <f ca="1" t="shared" si="212"/>
        <v>838555.60625</v>
      </c>
      <c r="BY151">
        <f ca="1" t="shared" si="252"/>
        <v>0.9343</v>
      </c>
      <c r="BZ151">
        <f ca="1">无穷技能数计算!$AJ143</f>
        <v>3</v>
      </c>
      <c r="CA151">
        <f ca="1" t="shared" si="253"/>
        <v>2.8277641271</v>
      </c>
      <c r="CB151">
        <f ca="1" t="shared" si="230"/>
        <v>9036883.3944944</v>
      </c>
      <c r="CC151">
        <f ca="1" t="shared" si="215"/>
        <v>114847</v>
      </c>
      <c r="CD151">
        <f ca="1" t="shared" si="216"/>
        <v>851420.73125</v>
      </c>
      <c r="CE151">
        <f ca="1" t="shared" si="217"/>
        <v>8959656.84006818</v>
      </c>
      <c r="CF151">
        <f ca="1" t="shared" si="254"/>
        <v>2.7750297521</v>
      </c>
      <c r="CG151">
        <f ca="1" t="shared" si="255"/>
        <v>0.9343</v>
      </c>
      <c r="CH151">
        <f ca="1" t="shared" si="231"/>
        <v>8394001.83089342</v>
      </c>
      <c r="CJ151">
        <f ca="1" t="shared" si="220"/>
        <v>811715.5625</v>
      </c>
      <c r="CK151">
        <f ca="1" t="shared" si="221"/>
        <v>8741706.15342745</v>
      </c>
      <c r="CL151">
        <f ca="1" t="shared" si="232"/>
        <v>2.7976860021</v>
      </c>
      <c r="CM151">
        <f ca="1">IF(G151="恒定伤害",0,(IF(D151="轻剑",$CM$8,$CM$9)+IFERROR(INDEX(技能数据库!$T$2:$W$27,MATCH(E151,技能数据库!$T$2:$T$27,0),4),0)+COUNTIF(G151,"*造化2*")*154+COUNTIF(G151,"*造化1*")*102+COUNTIF(G151,"*碧归*")*307)/1024)</f>
        <v>0.397571271929785</v>
      </c>
      <c r="CN151">
        <f ca="1" t="shared" si="233"/>
        <v>8843986.89865264</v>
      </c>
      <c r="CO151">
        <f ca="1" t="shared" si="234"/>
        <v>2.8262602208</v>
      </c>
      <c r="CP151">
        <f ca="1" t="shared" si="235"/>
        <v>8932100.3870392</v>
      </c>
      <c r="CQ151">
        <f ca="1" t="shared" si="256"/>
        <v>1.8815754648</v>
      </c>
      <c r="CR151">
        <f ca="1">IF(G151="恒定伤害",0,(IF(D151="轻剑",$CR$8,$CR$9)+IFERROR(INDEX(技能数据库!$T$2:$W$27,MATCH(E151,技能数据库!$T$2:$T$27,0),4),0)+COUNTIF(G151,"*造化2*")*154+COUNTIF(G151,"*造化1*")*102+COUNTIF(G151,"*碧归*")*307)/1024)</f>
        <v>0.387805646929785</v>
      </c>
      <c r="CS151">
        <f ca="1" t="shared" si="236"/>
        <v>8490556.77069728</v>
      </c>
    </row>
    <row r="152" spans="4:97">
      <c r="D152" t="s">
        <v>1825</v>
      </c>
      <c r="E152" t="s">
        <v>2808</v>
      </c>
      <c r="G152" t="s">
        <v>3107</v>
      </c>
      <c r="H152">
        <f ca="1">INDEX(技能数据库!$B$2:$I$100,MATCH(无穷阵眼收益计算!$E152,技能数据库!$B$2:$B$100,0),MATCH(H$9,技能数据库!$B$2:$I$2,0))</f>
        <v>535</v>
      </c>
      <c r="I152">
        <f ca="1">INDEX(技能数据库!$B$2:$I$100,MATCH(无穷阵眼收益计算!$E152,技能数据库!$B$2:$B$100,0),MATCH(I$9,技能数据库!$B$2:$I$2,0))</f>
        <v>7.06875</v>
      </c>
      <c r="J152">
        <f ca="1">INDEX(技能数据库!$B$2:$I$100,MATCH(无穷阵眼收益计算!$E152,技能数据库!$B$2:$B$100,0),MATCH(J$9,技能数据库!$B$2:$I$2,0))</f>
        <v>2</v>
      </c>
      <c r="K152">
        <f ca="1">INDEX(技能数据库!$B$2:$I$100,MATCH(无穷阵眼收益计算!$E152,技能数据库!$B$2:$B$100,0),MATCH(K$9,技能数据库!$B$2:$I$2,0))</f>
        <v>0</v>
      </c>
      <c r="L152">
        <f ca="1" t="shared" si="186"/>
        <v>105847</v>
      </c>
      <c r="M152">
        <f ca="1" t="shared" si="257"/>
        <v>19530.5</v>
      </c>
      <c r="N152">
        <f ca="1" t="shared" si="258"/>
        <v>92028</v>
      </c>
      <c r="O152">
        <f ca="1" t="shared" si="222"/>
        <v>787801.98125</v>
      </c>
      <c r="P152">
        <f ca="1">IF(G152="恒定伤害",0,(IF(D152="轻剑",$AZ$2,$AZ$3)+IFERROR(INDEX(技能数据库!$T$2:$W$27,MATCH(E152,技能数据库!$T$2:$T$27,0),4),0)+COUNTIF(G152,"*造化2*")*154+COUNTIF(G152,"*造化1*")*102+COUNTIF(G152,"*碧归*")*307)/1024)</f>
        <v>0.337024396929785</v>
      </c>
      <c r="Q152">
        <f ca="1" t="shared" si="237"/>
        <v>0.448284482196154</v>
      </c>
      <c r="R152">
        <f ca="1" t="shared" si="223"/>
        <v>0.21277697966198</v>
      </c>
      <c r="S152">
        <f ca="1" t="shared" si="259"/>
        <v>1200903.36993142</v>
      </c>
      <c r="T152">
        <f t="shared" si="165"/>
        <v>0.8</v>
      </c>
      <c r="U152">
        <f ca="1" t="shared" si="238"/>
        <v>1.7800129648</v>
      </c>
      <c r="V152">
        <f ca="1" t="shared" si="260"/>
        <v>2670821.55030508</v>
      </c>
      <c r="W152">
        <f ca="1">IF(G152="恒定伤害",0,MIN(1,IF(COUNTIF(F152,"*内会*")&gt;0,内会2,IF(D152="轻剑",$Y$2,$Y$3)+COUNTIF(G152,"*莺鸣*")*0.2+COUNTIF(G152,"*叠1*")*0.1+COUNTIF(G152,"*叠2*")*0.2+COUNTIF(G152,"*叠3*")*0.3)+IFERROR(INDEX(技能数据库!$T$2:$W$27,MATCH(E152,技能数据库!$T$2:$T$27,0),2),0)+IF((IF(D152="轻剑",$AO$2,$AO$3)+INT(COUNTIF(G152,"*大莺鸣*")*IF(D152="轻剑",$AM$2,$AM$3)*听晓无双率)/无双系数)&gt;0.9,特效裤子会心/会心系数,0)))</f>
        <v>1</v>
      </c>
      <c r="X152">
        <f ca="1">IF(G152="恒定伤害",0,IF(COUNTIF(F152,"*内会*")&gt;0,内会效2,IF(D152="轻剑",$AB$2,$AB$3))+IFERROR(INDEX(技能数据库!$T$2:$W$27,MATCH(E152,技能数据库!$T$2:$T$27,0),3)/1024,0))+COUNTIF(G152,"*叠1*")*0.25+COUNTIF(G152,"*叠2*")*0.5+COUNTIF(G152,"*叠3*")*0.75</f>
        <v>2.9273735021</v>
      </c>
      <c r="Y152">
        <f ca="1" t="shared" si="261"/>
        <v>2.9273735021</v>
      </c>
      <c r="Z152">
        <f t="shared" si="187"/>
        <v>0.150390625</v>
      </c>
      <c r="AA152">
        <f ca="1" t="shared" si="262"/>
        <v>0.0205078125</v>
      </c>
      <c r="AB152">
        <f ca="1" t="shared" si="263"/>
        <v>9178774.00060125</v>
      </c>
      <c r="AC152">
        <f ca="1">无穷技能数计算!$AJ144</f>
        <v>4</v>
      </c>
      <c r="AD152" s="164">
        <f ca="1" t="shared" si="239"/>
        <v>0.0143890420154763</v>
      </c>
      <c r="AE152" s="168"/>
      <c r="AF152" s="168">
        <f ca="1" t="shared" si="240"/>
        <v>1.0014</v>
      </c>
      <c r="AG152">
        <f ca="1">无穷技能数计算!$AJ144</f>
        <v>4</v>
      </c>
      <c r="AH152">
        <f ca="1" t="shared" si="189"/>
        <v>109879</v>
      </c>
      <c r="AJ152">
        <f ca="1" t="shared" si="241"/>
        <v>3.1265922521</v>
      </c>
      <c r="AK152">
        <f ca="1" t="shared" si="224"/>
        <v>816780.18125</v>
      </c>
      <c r="AL152">
        <f ca="1" t="shared" si="191"/>
        <v>10166824.618723</v>
      </c>
      <c r="AM152" s="169">
        <f ca="1" t="shared" si="242"/>
        <v>1.0229</v>
      </c>
      <c r="AN152">
        <f ca="1">无穷技能数计算!$AJ144</f>
        <v>4</v>
      </c>
      <c r="AO152" s="170">
        <f ca="1" t="shared" si="193"/>
        <v>10166824.618723</v>
      </c>
      <c r="AP152">
        <f ca="1" t="shared" si="194"/>
        <v>110956</v>
      </c>
      <c r="AQ152" s="170">
        <f ca="1" t="shared" si="225"/>
        <v>823916.225</v>
      </c>
      <c r="AR152">
        <f ca="1" t="shared" si="195"/>
        <v>10162726.9025326</v>
      </c>
      <c r="AS152">
        <f ca="1" t="shared" si="243"/>
        <v>1.08</v>
      </c>
      <c r="AT152">
        <f ca="1">无穷技能数计算!$AJ144</f>
        <v>4</v>
      </c>
      <c r="AU152">
        <f ca="1" t="shared" si="244"/>
        <v>3.0738578771</v>
      </c>
      <c r="AV152">
        <f ca="1" t="shared" si="245"/>
        <v>1.7995442148</v>
      </c>
      <c r="AW152">
        <f ca="1" t="shared" si="226"/>
        <v>9705788.70900571</v>
      </c>
      <c r="AX152">
        <f ca="1" t="shared" si="246"/>
        <v>1.07</v>
      </c>
      <c r="AY152">
        <f ca="1">无穷技能数计算!$AJ144</f>
        <v>4</v>
      </c>
      <c r="AZ152" s="170">
        <f ca="1" t="shared" si="227"/>
        <v>9705788.70900571</v>
      </c>
      <c r="BA152">
        <f ca="1" t="shared" si="247"/>
        <v>1.06</v>
      </c>
      <c r="BB152">
        <f ca="1">无穷技能数计算!$AJ144</f>
        <v>4</v>
      </c>
      <c r="BC152" s="170">
        <f ca="1" t="shared" si="228"/>
        <v>9705788.70900571</v>
      </c>
      <c r="BE152">
        <f ca="1" t="shared" si="200"/>
        <v>105849</v>
      </c>
      <c r="BF152">
        <f ca="1" t="shared" si="201"/>
        <v>787816.11875</v>
      </c>
      <c r="BI152">
        <f ca="1" t="shared" si="248"/>
        <v>1.05</v>
      </c>
      <c r="BJ152">
        <f ca="1">无穷技能数计算!$AJ144</f>
        <v>4</v>
      </c>
      <c r="BK152">
        <f ca="1" t="shared" si="203"/>
        <v>9796646.27481231</v>
      </c>
      <c r="BM152">
        <f ca="1" t="shared" si="204"/>
        <v>109230</v>
      </c>
      <c r="BN152">
        <f ca="1" t="shared" si="205"/>
        <v>811715.5625</v>
      </c>
      <c r="BO152">
        <f ca="1" t="shared" si="206"/>
        <v>10213838.9339351</v>
      </c>
      <c r="BP152">
        <f ca="1" t="shared" si="249"/>
        <v>9740349.17594703</v>
      </c>
      <c r="BR152">
        <f ca="1" t="shared" si="250"/>
        <v>1.05</v>
      </c>
      <c r="BS152">
        <f ca="1" t="shared" si="208"/>
        <v>9808780.94128464</v>
      </c>
      <c r="BT152">
        <f ca="1" t="shared" si="209"/>
        <v>0.196995876306796</v>
      </c>
      <c r="BU152">
        <f ca="1" t="shared" si="251"/>
        <v>3.0738578771</v>
      </c>
      <c r="BV152">
        <f ca="1" t="shared" si="229"/>
        <v>9831285.61143905</v>
      </c>
      <c r="BW152">
        <f ca="1" t="shared" si="211"/>
        <v>113027</v>
      </c>
      <c r="BX152">
        <f ca="1" t="shared" si="212"/>
        <v>838555.60625</v>
      </c>
      <c r="BY152">
        <f ca="1" t="shared" si="252"/>
        <v>1.03</v>
      </c>
      <c r="BZ152">
        <f ca="1">无穷技能数计算!$AJ144</f>
        <v>4</v>
      </c>
      <c r="CA152">
        <f ca="1" t="shared" si="253"/>
        <v>3.0777641271</v>
      </c>
      <c r="CB152">
        <f ca="1" t="shared" si="230"/>
        <v>10272039.2684328</v>
      </c>
      <c r="CC152">
        <f ca="1" t="shared" si="215"/>
        <v>114847</v>
      </c>
      <c r="CD152">
        <f ca="1" t="shared" si="216"/>
        <v>851420.73125</v>
      </c>
      <c r="CE152">
        <f ca="1" t="shared" si="217"/>
        <v>10216799.5799824</v>
      </c>
      <c r="CF152">
        <f ca="1" t="shared" si="254"/>
        <v>3.0250297521</v>
      </c>
      <c r="CG152">
        <f ca="1" t="shared" si="255"/>
        <v>1.03</v>
      </c>
      <c r="CH152">
        <f ca="1" t="shared" si="231"/>
        <v>9551612.59441123</v>
      </c>
      <c r="CJ152">
        <f ca="1" t="shared" si="220"/>
        <v>811715.5625</v>
      </c>
      <c r="CK152">
        <f ca="1" t="shared" si="221"/>
        <v>10167570.8002353</v>
      </c>
      <c r="CL152">
        <f ca="1" t="shared" si="232"/>
        <v>3.0476860021</v>
      </c>
      <c r="CM152">
        <f ca="1">IF(G152="恒定伤害",0,(IF(D152="轻剑",$CM$8,$CM$9)+IFERROR(INDEX(技能数据库!$T$2:$W$27,MATCH(E152,技能数据库!$T$2:$T$27,0),4),0)+COUNTIF(G152,"*造化2*")*154+COUNTIF(G152,"*造化1*")*102+COUNTIF(G152,"*碧归*")*307)/1024)</f>
        <v>0.397571271929785</v>
      </c>
      <c r="CN152">
        <f ca="1" t="shared" si="233"/>
        <v>10058932.6954794</v>
      </c>
      <c r="CO152">
        <f ca="1" t="shared" si="234"/>
        <v>3.0762602208</v>
      </c>
      <c r="CP152">
        <f ca="1" t="shared" si="235"/>
        <v>10153242.3266327</v>
      </c>
      <c r="CQ152">
        <f ca="1" t="shared" si="256"/>
        <v>1.8815754648</v>
      </c>
      <c r="CR152">
        <f ca="1">IF(G152="恒定伤害",0,(IF(D152="轻剑",$CR$8,$CR$9)+IFERROR(INDEX(技能数据库!$T$2:$W$27,MATCH(E152,技能数据库!$T$2:$T$27,0),4),0)+COUNTIF(G152,"*造化2*")*154+COUNTIF(G152,"*造化1*")*102+COUNTIF(G152,"*碧归*")*307)/1024)</f>
        <v>0.387805646929785</v>
      </c>
      <c r="CS152">
        <f ca="1" t="shared" si="236"/>
        <v>9875456.29929849</v>
      </c>
    </row>
    <row r="153" spans="4:97">
      <c r="D153" t="s">
        <v>1825</v>
      </c>
      <c r="E153" t="s">
        <v>2768</v>
      </c>
      <c r="G153" t="s">
        <v>3105</v>
      </c>
      <c r="H153">
        <f ca="1">INDEX(技能数据库!$B$2:$I$100,MATCH(无穷阵眼收益计算!$E153,技能数据库!$B$2:$B$100,0),MATCH(H$9,技能数据库!$B$2:$I$2,0))</f>
        <v>210</v>
      </c>
      <c r="I153">
        <f ca="1">INDEX(技能数据库!$B$2:$I$100,MATCH(无穷阵眼收益计算!$E153,技能数据库!$B$2:$B$100,0),MATCH(I$9,技能数据库!$B$2:$I$2,0))</f>
        <v>5.7875</v>
      </c>
      <c r="J153">
        <f ca="1">INDEX(技能数据库!$B$2:$I$100,MATCH(无穷阵眼收益计算!$E153,技能数据库!$B$2:$B$100,0),MATCH(J$9,技能数据库!$B$2:$I$2,0))</f>
        <v>2</v>
      </c>
      <c r="K153">
        <f ca="1">INDEX(技能数据库!$B$2:$I$100,MATCH(无穷阵眼收益计算!$E153,技能数据库!$B$2:$B$100,0),MATCH(K$9,技能数据库!$B$2:$I$2,0))</f>
        <v>0</v>
      </c>
      <c r="L153">
        <f ca="1" t="shared" si="186"/>
        <v>105847</v>
      </c>
      <c r="M153">
        <f ca="1" t="shared" si="257"/>
        <v>19530.5</v>
      </c>
      <c r="N153">
        <f ca="1" t="shared" si="258"/>
        <v>92028</v>
      </c>
      <c r="O153">
        <f ca="1" t="shared" si="222"/>
        <v>651860.5125</v>
      </c>
      <c r="P153">
        <f ca="1">IF(G153="恒定伤害",0,(IF(D153="轻剑",$AZ$2,$AZ$3)+IFERROR(INDEX(技能数据库!$T$2:$W$27,MATCH(E153,技能数据库!$T$2:$T$27,0),4),0)+COUNTIF(G153,"*造化2*")*154+COUNTIF(G153,"*造化1*")*102+COUNTIF(G153,"*碧归*")*307)/1024)</f>
        <v>0.386829084429785</v>
      </c>
      <c r="Q153">
        <f ca="1" t="shared" si="237"/>
        <v>0.448284482196154</v>
      </c>
      <c r="R153">
        <f ca="1" t="shared" si="223"/>
        <v>0.21277697966198</v>
      </c>
      <c r="S153">
        <f ca="1" t="shared" si="259"/>
        <v>1030692.88403962</v>
      </c>
      <c r="T153">
        <f t="shared" si="165"/>
        <v>0.8</v>
      </c>
      <c r="U153">
        <f ca="1" t="shared" si="238"/>
        <v>1.7800129648</v>
      </c>
      <c r="V153">
        <f ca="1" t="shared" si="260"/>
        <v>2292271.66428579</v>
      </c>
      <c r="W153">
        <f ca="1">IF(G153="恒定伤害",0,MIN(1,IF(COUNTIF(F153,"*内会*")&gt;0,内会2,IF(D153="轻剑",$Y$2,$Y$3)+COUNTIF(G153,"*莺鸣*")*0.2+COUNTIF(G153,"*叠1*")*0.1+COUNTIF(G153,"*叠2*")*0.2+COUNTIF(G153,"*叠3*")*0.3)+IFERROR(INDEX(技能数据库!$T$2:$W$27,MATCH(E153,技能数据库!$T$2:$T$27,0),2),0)+IF((IF(D153="轻剑",$AO$2,$AO$3)+INT(COUNTIF(G153,"*大莺鸣*")*IF(D153="轻剑",$AM$2,$AM$3)*听晓无双率)/无双系数)&gt;0.9,特效裤子会心/会心系数,0)))</f>
        <v>0.8043</v>
      </c>
      <c r="X153">
        <f ca="1">IF(G153="恒定伤害",0,IF(COUNTIF(F153,"*内会*")&gt;0,内会效2,IF(D153="轻剑",$AB$2,$AB$3))+IFERROR(INDEX(技能数据库!$T$2:$W$27,MATCH(E153,技能数据库!$T$2:$T$27,0),3)/1024,0))+COUNTIF(G153,"*叠1*")*0.25+COUNTIF(G153,"*叠2*")*0.5+COUNTIF(G153,"*叠3*")*0.75</f>
        <v>2.4273735021</v>
      </c>
      <c r="Y153">
        <f ca="1" t="shared" si="261"/>
        <v>2.14803650773903</v>
      </c>
      <c r="Z153">
        <f t="shared" si="187"/>
        <v>0.150390625</v>
      </c>
      <c r="AA153">
        <f ca="1" t="shared" si="262"/>
        <v>0.0205078125</v>
      </c>
      <c r="AB153">
        <f ca="1" t="shared" si="263"/>
        <v>5780553.32500353</v>
      </c>
      <c r="AC153">
        <f ca="1">无穷技能数计算!$AJ145</f>
        <v>4</v>
      </c>
      <c r="AD153" s="164">
        <f ca="1" t="shared" si="239"/>
        <v>0.00906184471485282</v>
      </c>
      <c r="AE153" s="168"/>
      <c r="AF153" s="168">
        <f ca="1" t="shared" si="240"/>
        <v>0.8057</v>
      </c>
      <c r="AG153">
        <f ca="1">无穷技能数计算!$AJ145</f>
        <v>4</v>
      </c>
      <c r="AH153">
        <f ca="1" t="shared" si="189"/>
        <v>109879</v>
      </c>
      <c r="AJ153">
        <f ca="1" t="shared" si="241"/>
        <v>2.6265922521</v>
      </c>
      <c r="AK153">
        <f ca="1" t="shared" si="224"/>
        <v>675672.7125</v>
      </c>
      <c r="AL153">
        <f ca="1" t="shared" si="191"/>
        <v>6446787.93588885</v>
      </c>
      <c r="AM153" s="169">
        <f ca="1" t="shared" si="242"/>
        <v>0.8272</v>
      </c>
      <c r="AN153">
        <f ca="1">无穷技能数计算!$AJ145</f>
        <v>4</v>
      </c>
      <c r="AO153" s="170">
        <f ca="1" t="shared" si="193"/>
        <v>6544364.61683352</v>
      </c>
      <c r="AP153">
        <f ca="1" t="shared" si="194"/>
        <v>110956</v>
      </c>
      <c r="AQ153" s="170">
        <f ca="1" t="shared" si="225"/>
        <v>681428.85</v>
      </c>
      <c r="AR153">
        <f ca="1" t="shared" si="195"/>
        <v>6397272.44094267</v>
      </c>
      <c r="AS153">
        <f ca="1" t="shared" si="243"/>
        <v>0.8843</v>
      </c>
      <c r="AT153">
        <f ca="1">无穷技能数计算!$AJ145</f>
        <v>4</v>
      </c>
      <c r="AU153">
        <f ca="1" t="shared" si="244"/>
        <v>2.5738578771</v>
      </c>
      <c r="AV153">
        <f ca="1" t="shared" si="245"/>
        <v>1.7995442148</v>
      </c>
      <c r="AW153">
        <f ca="1" t="shared" si="226"/>
        <v>6481661.09382054</v>
      </c>
      <c r="AX153">
        <f ca="1" t="shared" si="246"/>
        <v>0.8743</v>
      </c>
      <c r="AY153">
        <f ca="1">无穷技能数计算!$AJ145</f>
        <v>4</v>
      </c>
      <c r="AZ153" s="170">
        <f ca="1" t="shared" si="227"/>
        <v>6439009.64627577</v>
      </c>
      <c r="BA153">
        <f ca="1" t="shared" si="247"/>
        <v>0.8643</v>
      </c>
      <c r="BB153">
        <f ca="1">无穷技能数计算!$AJ145</f>
        <v>4</v>
      </c>
      <c r="BC153" s="170">
        <f ca="1" t="shared" si="228"/>
        <v>6396358.198731</v>
      </c>
      <c r="BE153">
        <f ca="1" t="shared" si="200"/>
        <v>105849</v>
      </c>
      <c r="BF153">
        <f ca="1" t="shared" si="201"/>
        <v>651872.0875</v>
      </c>
      <c r="BI153">
        <f ca="1" t="shared" si="248"/>
        <v>0.8543</v>
      </c>
      <c r="BJ153">
        <f ca="1">无穷技能数计算!$AJ145</f>
        <v>4</v>
      </c>
      <c r="BK153">
        <f ca="1" t="shared" si="203"/>
        <v>6374659.88203262</v>
      </c>
      <c r="BM153">
        <f ca="1" t="shared" si="204"/>
        <v>109230</v>
      </c>
      <c r="BN153">
        <f ca="1" t="shared" si="205"/>
        <v>671439.625</v>
      </c>
      <c r="BO153">
        <f ca="1" t="shared" si="206"/>
        <v>6430418.37805742</v>
      </c>
      <c r="BP153">
        <f ca="1" t="shared" si="249"/>
        <v>6132319.17546743</v>
      </c>
      <c r="BR153">
        <f ca="1" t="shared" si="250"/>
        <v>0.8543</v>
      </c>
      <c r="BS153">
        <f ca="1" t="shared" si="208"/>
        <v>6380580.58712582</v>
      </c>
      <c r="BT153">
        <f ca="1" t="shared" si="209"/>
        <v>0.196995876306796</v>
      </c>
      <c r="BU153">
        <f ca="1" t="shared" si="251"/>
        <v>2.5738578771</v>
      </c>
      <c r="BV153">
        <f ca="1" t="shared" si="229"/>
        <v>6435860.86973857</v>
      </c>
      <c r="BW153">
        <f ca="1" t="shared" si="211"/>
        <v>113027</v>
      </c>
      <c r="BX153">
        <f ca="1" t="shared" si="212"/>
        <v>693414.7625</v>
      </c>
      <c r="BY153">
        <f ca="1" t="shared" si="252"/>
        <v>0.8343</v>
      </c>
      <c r="BZ153">
        <f ca="1">无穷技能数计算!$AJ145</f>
        <v>4</v>
      </c>
      <c r="CA153">
        <f ca="1" t="shared" si="253"/>
        <v>2.5777641271</v>
      </c>
      <c r="CB153">
        <f ca="1" t="shared" si="230"/>
        <v>6630806.19841515</v>
      </c>
      <c r="CC153">
        <f ca="1" t="shared" si="215"/>
        <v>114847</v>
      </c>
      <c r="CD153">
        <f ca="1" t="shared" si="216"/>
        <v>703948.0125</v>
      </c>
      <c r="CE153">
        <f ca="1" t="shared" si="217"/>
        <v>6557388.05227218</v>
      </c>
      <c r="CF153">
        <f ca="1" t="shared" si="254"/>
        <v>2.5250297521</v>
      </c>
      <c r="CG153">
        <f ca="1" t="shared" si="255"/>
        <v>0.8343</v>
      </c>
      <c r="CH153">
        <f ca="1" t="shared" si="231"/>
        <v>6158006.02162412</v>
      </c>
      <c r="CJ153">
        <f ca="1" t="shared" si="220"/>
        <v>671439.625</v>
      </c>
      <c r="CK153">
        <f ca="1" t="shared" si="221"/>
        <v>6401288.93327309</v>
      </c>
      <c r="CL153">
        <f ca="1" t="shared" si="232"/>
        <v>2.5476860021</v>
      </c>
      <c r="CM153">
        <f ca="1">IF(G153="恒定伤害",0,(IF(D153="轻剑",$CM$8,$CM$9)+IFERROR(INDEX(技能数据库!$T$2:$W$27,MATCH(E153,技能数据库!$T$2:$T$27,0),4),0)+COUNTIF(G153,"*造化2*")*154+COUNTIF(G153,"*造化1*")*102+COUNTIF(G153,"*碧归*")*307)/1024)</f>
        <v>0.447375959429785</v>
      </c>
      <c r="CN153">
        <f ca="1" t="shared" si="233"/>
        <v>6480316.30014086</v>
      </c>
      <c r="CO153">
        <f ca="1" t="shared" si="234"/>
        <v>2.5762602208</v>
      </c>
      <c r="CP153">
        <f ca="1" t="shared" si="235"/>
        <v>6547741.66185263</v>
      </c>
      <c r="CQ153">
        <f ca="1" t="shared" si="256"/>
        <v>1.8815754648</v>
      </c>
      <c r="CR153">
        <f ca="1">IF(G153="恒定伤害",0,(IF(D153="轻剑",$CR$8,$CR$9)+IFERROR(INDEX(技能数据库!$T$2:$W$27,MATCH(E153,技能数据库!$T$2:$T$27,0),4),0)+COUNTIF(G153,"*造化2*")*154+COUNTIF(G153,"*造化1*")*102+COUNTIF(G153,"*碧归*")*307)/1024)</f>
        <v>0.437610334429785</v>
      </c>
      <c r="CS153">
        <f ca="1" t="shared" si="236"/>
        <v>6211133.0619264</v>
      </c>
    </row>
    <row r="154" spans="4:97">
      <c r="D154" t="s">
        <v>1825</v>
      </c>
      <c r="E154" t="s">
        <v>2768</v>
      </c>
      <c r="G154" t="s">
        <v>3106</v>
      </c>
      <c r="H154">
        <f ca="1">INDEX(技能数据库!$B$2:$I$100,MATCH(无穷阵眼收益计算!$E154,技能数据库!$B$2:$B$100,0),MATCH(H$9,技能数据库!$B$2:$I$2,0))</f>
        <v>210</v>
      </c>
      <c r="I154">
        <f ca="1">INDEX(技能数据库!$B$2:$I$100,MATCH(无穷阵眼收益计算!$E154,技能数据库!$B$2:$B$100,0),MATCH(I$9,技能数据库!$B$2:$I$2,0))</f>
        <v>5.7875</v>
      </c>
      <c r="J154">
        <f ca="1">INDEX(技能数据库!$B$2:$I$100,MATCH(无穷阵眼收益计算!$E154,技能数据库!$B$2:$B$100,0),MATCH(J$9,技能数据库!$B$2:$I$2,0))</f>
        <v>2</v>
      </c>
      <c r="K154">
        <f ca="1">INDEX(技能数据库!$B$2:$I$100,MATCH(无穷阵眼收益计算!$E154,技能数据库!$B$2:$B$100,0),MATCH(K$9,技能数据库!$B$2:$I$2,0))</f>
        <v>0</v>
      </c>
      <c r="L154">
        <f ca="1" t="shared" si="186"/>
        <v>105847</v>
      </c>
      <c r="M154">
        <f ca="1" t="shared" si="257"/>
        <v>19530.5</v>
      </c>
      <c r="N154">
        <f ca="1" t="shared" si="258"/>
        <v>92028</v>
      </c>
      <c r="O154">
        <f ca="1" t="shared" si="222"/>
        <v>651860.5125</v>
      </c>
      <c r="P154">
        <f ca="1">IF(G154="恒定伤害",0,(IF(D154="轻剑",$AZ$2,$AZ$3)+IFERROR(INDEX(技能数据库!$T$2:$W$27,MATCH(E154,技能数据库!$T$2:$T$27,0),4),0)+COUNTIF(G154,"*造化2*")*154+COUNTIF(G154,"*造化1*")*102+COUNTIF(G154,"*碧归*")*307)/1024)</f>
        <v>0.386829084429785</v>
      </c>
      <c r="Q154">
        <f ca="1" t="shared" si="237"/>
        <v>0.448284482196154</v>
      </c>
      <c r="R154">
        <f ca="1" t="shared" si="223"/>
        <v>0.21277697966198</v>
      </c>
      <c r="S154">
        <f ca="1" t="shared" si="259"/>
        <v>1030692.88403962</v>
      </c>
      <c r="T154">
        <f t="shared" si="165"/>
        <v>0.8</v>
      </c>
      <c r="U154">
        <f ca="1" t="shared" si="238"/>
        <v>1.7800129648</v>
      </c>
      <c r="V154">
        <f ca="1" t="shared" si="260"/>
        <v>2292271.66428579</v>
      </c>
      <c r="W154">
        <f ca="1">IF(G154="恒定伤害",0,MIN(1,IF(COUNTIF(F154,"*内会*")&gt;0,内会2,IF(D154="轻剑",$Y$2,$Y$3)+COUNTIF(G154,"*莺鸣*")*0.2+COUNTIF(G154,"*叠1*")*0.1+COUNTIF(G154,"*叠2*")*0.2+COUNTIF(G154,"*叠3*")*0.3)+IFERROR(INDEX(技能数据库!$T$2:$W$27,MATCH(E154,技能数据库!$T$2:$T$27,0),2),0)+IF((IF(D154="轻剑",$AO$2,$AO$3)+INT(COUNTIF(G154,"*大莺鸣*")*IF(D154="轻剑",$AM$2,$AM$3)*听晓无双率)/无双系数)&gt;0.9,特效裤子会心/会心系数,0)))</f>
        <v>0.9043</v>
      </c>
      <c r="X154">
        <f ca="1">IF(G154="恒定伤害",0,IF(COUNTIF(F154,"*内会*")&gt;0,内会效2,IF(D154="轻剑",$AB$2,$AB$3))+IFERROR(INDEX(技能数据库!$T$2:$W$27,MATCH(E154,技能数据库!$T$2:$T$27,0),3)/1024,0))+COUNTIF(G154,"*叠1*")*0.25+COUNTIF(G154,"*叠2*")*0.5+COUNTIF(G154,"*叠3*")*0.75</f>
        <v>2.6773735021</v>
      </c>
      <c r="Y154">
        <f ca="1" t="shared" si="261"/>
        <v>2.51684885794903</v>
      </c>
      <c r="Z154">
        <f t="shared" ref="Z154:Z169" si="264">IF(G154="恒定伤害",0,非侠士伤害/1024)</f>
        <v>0.150390625</v>
      </c>
      <c r="AA154">
        <f ca="1" t="shared" si="262"/>
        <v>0.0205078125</v>
      </c>
      <c r="AB154">
        <f ca="1" t="shared" si="263"/>
        <v>6773059.48103381</v>
      </c>
      <c r="AC154">
        <f ca="1">无穷技能数计算!$AJ146</f>
        <v>3</v>
      </c>
      <c r="AD154" s="164">
        <f ca="1" t="shared" si="239"/>
        <v>0.00796330512981894</v>
      </c>
      <c r="AE154" s="168"/>
      <c r="AF154" s="168">
        <f ca="1" t="shared" si="240"/>
        <v>0.9057</v>
      </c>
      <c r="AG154">
        <f ca="1">无穷技能数计算!$AJ146</f>
        <v>3</v>
      </c>
      <c r="AH154">
        <f ca="1" t="shared" si="189"/>
        <v>109879</v>
      </c>
      <c r="AJ154">
        <f ca="1" t="shared" si="241"/>
        <v>2.8765922521</v>
      </c>
      <c r="AK154">
        <f ca="1" t="shared" si="224"/>
        <v>675672.7125</v>
      </c>
      <c r="AL154">
        <f ca="1" t="shared" si="191"/>
        <v>7532394.61279562</v>
      </c>
      <c r="AM154" s="169">
        <f ca="1" t="shared" si="242"/>
        <v>0.9272</v>
      </c>
      <c r="AN154">
        <f ca="1">无穷技能数计算!$AJ146</f>
        <v>3</v>
      </c>
      <c r="AO154" s="170">
        <f ca="1" t="shared" si="193"/>
        <v>7644968.39593641</v>
      </c>
      <c r="AP154">
        <f ca="1" t="shared" si="194"/>
        <v>110956</v>
      </c>
      <c r="AQ154" s="170">
        <f ca="1" t="shared" si="225"/>
        <v>681428.85</v>
      </c>
      <c r="AR154">
        <f ca="1" t="shared" ref="AR154:AR169" si="265">IF(COUNTIF(G154,"*恒定伤害*")&gt;0,AB154,((AQ154*(1+P154)*(1+IF(COUNTIF(F154,"*内破*")&gt;0,内破,IF(D154="轻剑",$AQ$8,$AQ$9)/破防系数)+IF((IF(D154="轻剑",$AO$2,$AO$3)+INT(COUNTIF(G154,"*大莺鸣*")*IF(D154="轻剑",$AM$2,$AM$3)*听晓无双率)/无双系数)&gt;0.9,(特效裤子破防+特效裤子破防*IF(D154="轻剑",$AD$2+200,$AD$3+200)/1024)/破防系数,0))*(1-R154))*T154*(1+U154))*Y154*(1+Z154)*(1+AA154))</f>
        <v>7495667.68486763</v>
      </c>
      <c r="AS154">
        <f ca="1" t="shared" si="243"/>
        <v>0.9843</v>
      </c>
      <c r="AT154">
        <f ca="1">无穷技能数计算!$AJ146</f>
        <v>3</v>
      </c>
      <c r="AU154">
        <f ca="1" t="shared" si="244"/>
        <v>2.8238578771</v>
      </c>
      <c r="AV154">
        <f ca="1" t="shared" si="245"/>
        <v>1.7995442148</v>
      </c>
      <c r="AW154">
        <f ca="1" t="shared" si="226"/>
        <v>7575037.24129667</v>
      </c>
      <c r="AX154">
        <f ca="1" t="shared" si="246"/>
        <v>0.9743</v>
      </c>
      <c r="AY154">
        <f ca="1">无穷技能数计算!$AJ146</f>
        <v>3</v>
      </c>
      <c r="AZ154" s="170">
        <f ca="1" t="shared" si="227"/>
        <v>7525610.8097833</v>
      </c>
      <c r="BA154">
        <f ca="1" t="shared" si="247"/>
        <v>0.9643</v>
      </c>
      <c r="BB154">
        <f ca="1">无穷技能数计算!$AJ146</f>
        <v>3</v>
      </c>
      <c r="BC154" s="170">
        <f ca="1" t="shared" si="228"/>
        <v>7476184.37826994</v>
      </c>
      <c r="BE154">
        <f ca="1" t="shared" si="200"/>
        <v>105849</v>
      </c>
      <c r="BF154">
        <f ca="1" t="shared" ref="BF154:BF169" si="266">H154+BE154*I154+J154*M154+IF(K154&gt;0,MAX(1,K154*N154*破招全局系数),0)</f>
        <v>651872.0875</v>
      </c>
      <c r="BI154">
        <f ca="1" t="shared" si="248"/>
        <v>0.9543</v>
      </c>
      <c r="BJ154">
        <f ca="1">无穷技能数计算!$AJ146</f>
        <v>3</v>
      </c>
      <c r="BK154">
        <f ca="1" t="shared" si="203"/>
        <v>7469879.70047623</v>
      </c>
      <c r="BM154">
        <f ca="1" t="shared" si="204"/>
        <v>109230</v>
      </c>
      <c r="BN154">
        <f ca="1" t="shared" ref="BN154:BN169" si="267">H154+BM154*I154+J154*M154+IF(K154&gt;0,MAX(1,K154*N154*破招全局系数),0)</f>
        <v>671439.625</v>
      </c>
      <c r="BO154">
        <f ca="1" t="shared" ref="BO154:BO169" si="268">IF(COUNTIF(G154,"*恒定伤害*")&gt;0,AB154,((BN154*(1+P154)*(1+IF(COUNTIF(F154,"*内破*")&gt;0,内破,IF(D154="轻剑",$BM$8,$BM$9)/破防系数)+IF((IF(D154="轻剑",$AO$2,$AO$3)+INT(COUNTIF(G154,"*大莺鸣*")*IF(D154="轻剑",$AM$2,$AM$3)*听晓无双率)/无双系数)&gt;0.9,(特效裤子破防+特效裤子破防*IF(D154="轻剑",$AD$2+102,$AD$3+102)/1024)/破防系数,0))*(1-R154))*T154*(1+U154))*Y154*(1+Z154)*(1+AA154))</f>
        <v>7534504.69423519</v>
      </c>
      <c r="BP154">
        <f ca="1" t="shared" si="249"/>
        <v>7185222.62435833</v>
      </c>
      <c r="BR154">
        <f ca="1" t="shared" si="250"/>
        <v>0.9543</v>
      </c>
      <c r="BS154">
        <f ca="1" t="shared" si="208"/>
        <v>7476817.63216304</v>
      </c>
      <c r="BT154">
        <f ca="1" t="shared" ref="BT154:BT169" si="269">IF(G154="恒定伤害",0,(($F$5-IF(D154="轻剑",$BB$2,$BB$3))*(1024-IF(D154="轻剑",$BD$2,$BD$3))/1024*(1024-IF(D154="轻剑",$BT$8,$BT$9)-COUNTIF(G154,"*雾锁*")*461*雾锁)/1024/(($F$5-IF(D154="轻剑",$BB$2,$BB$3))*(1024-IF(D154="轻剑",$BD$2,$BD$3))/1024*(1024-IF(D154="轻剑",$BT$8,$BT$9)-COUNTIF(G154,"*雾锁*")*461*雾锁)/1024+$F$7)))</f>
        <v>0.196995876306796</v>
      </c>
      <c r="BU154">
        <f ca="1" t="shared" si="251"/>
        <v>2.8238578771</v>
      </c>
      <c r="BV154">
        <f ca="1" t="shared" si="229"/>
        <v>7522786.73384271</v>
      </c>
      <c r="BW154">
        <f ca="1" t="shared" si="211"/>
        <v>113027</v>
      </c>
      <c r="BX154">
        <f ca="1" t="shared" ref="BX154:BX169" si="270">H154+BW154*I154+J154*M154+IF(K154&gt;0,MAX(1,K154*N154*破招全局系数),0)</f>
        <v>693414.7625</v>
      </c>
      <c r="BY154">
        <f ca="1" t="shared" si="252"/>
        <v>0.9343</v>
      </c>
      <c r="BZ154">
        <f ca="1">无穷技能数计算!$AJ146</f>
        <v>3</v>
      </c>
      <c r="CA154">
        <f ca="1" t="shared" si="253"/>
        <v>2.8277641271</v>
      </c>
      <c r="CB154">
        <f ca="1" t="shared" si="230"/>
        <v>7751102.9303056</v>
      </c>
      <c r="CC154">
        <f ca="1" t="shared" si="215"/>
        <v>114847</v>
      </c>
      <c r="CD154">
        <f ca="1" t="shared" ref="CD154:CD169" si="271">H154+CC154*I154+J154*M154+IF(K154&gt;0,MAX(1,K154*N154*破招全局系数),0)</f>
        <v>703948.0125</v>
      </c>
      <c r="CE154">
        <f ca="1" t="shared" si="217"/>
        <v>7683716.83883382</v>
      </c>
      <c r="CF154">
        <f ca="1" t="shared" si="254"/>
        <v>2.7750297521</v>
      </c>
      <c r="CG154">
        <f ca="1" t="shared" si="255"/>
        <v>0.9343</v>
      </c>
      <c r="CH154">
        <f ca="1" t="shared" si="231"/>
        <v>7204274.85869363</v>
      </c>
      <c r="CJ154">
        <f ca="1" t="shared" ref="CJ154:CJ169" si="272">H154+BM154*I154+J154*M154+IF(K154&gt;0,MAX(1,K154*(N154+2667)*破招全局系数),0)</f>
        <v>671439.625</v>
      </c>
      <c r="CK154">
        <f ca="1" t="shared" ref="CK154:CK169" si="273">IF(COUNTIF(G154,"*恒定伤害*")&gt;0,AB154,((CJ154*(1+P154)*(1+IF(COUNTIF(F154,"*内破*")&gt;0,内破,IF(D154="轻剑",$CI$8,$CI$9)/破防系数)+IF((IF(D154="轻剑",$AO$2,$AO$3)+INT(COUNTIF(G154,"*大莺鸣*")*IF(D154="轻剑",$AM$2,$AM$3)*听晓无双率)/无双系数)&gt;0.9,(特效裤子破防+特效裤子破防*IF(D154="轻剑",$AD$2+256,$AD$3+256)/1024)/破防系数,0))*(1-R154))*T154*(1+U154))*Y154*(1+Z154)*(1+AA154))</f>
        <v>7500373.79861307</v>
      </c>
      <c r="CL154">
        <f ca="1" t="shared" si="232"/>
        <v>2.7976860021</v>
      </c>
      <c r="CM154">
        <f ca="1">IF(G154="恒定伤害",0,(IF(D154="轻剑",$CM$8,$CM$9)+IFERROR(INDEX(技能数据库!$T$2:$W$27,MATCH(E154,技能数据库!$T$2:$T$27,0),4),0)+COUNTIF(G154,"*造化2*")*154+COUNTIF(G154,"*造化1*")*102+COUNTIF(G154,"*碧归*")*307)/1024)</f>
        <v>0.447375959429785</v>
      </c>
      <c r="CN154">
        <f ca="1" t="shared" si="233"/>
        <v>7578671.54822936</v>
      </c>
      <c r="CO154">
        <f ca="1" t="shared" si="234"/>
        <v>2.8262602208</v>
      </c>
      <c r="CP154">
        <f ca="1" t="shared" si="235"/>
        <v>7654178.57861089</v>
      </c>
      <c r="CQ154">
        <f ca="1" t="shared" si="256"/>
        <v>1.8815754648</v>
      </c>
      <c r="CR154">
        <f ca="1">IF(G154="恒定伤害",0,(IF(D154="轻剑",$CR$8,$CR$9)+IFERROR(INDEX(技能数据库!$T$2:$W$27,MATCH(E154,技能数据库!$T$2:$T$27,0),4),0)+COUNTIF(G154,"*造化2*")*154+COUNTIF(G154,"*造化1*")*102+COUNTIF(G154,"*碧归*")*307)/1024)</f>
        <v>0.437610334429785</v>
      </c>
      <c r="CS154">
        <f ca="1" t="shared" si="236"/>
        <v>7277568.65265446</v>
      </c>
    </row>
    <row r="155" spans="4:97">
      <c r="D155" t="s">
        <v>1825</v>
      </c>
      <c r="E155" t="s">
        <v>2768</v>
      </c>
      <c r="G155" t="s">
        <v>3107</v>
      </c>
      <c r="H155">
        <f ca="1">INDEX(技能数据库!$B$2:$I$100,MATCH(无穷阵眼收益计算!$E155,技能数据库!$B$2:$B$100,0),MATCH(H$9,技能数据库!$B$2:$I$2,0))</f>
        <v>210</v>
      </c>
      <c r="I155">
        <f ca="1">INDEX(技能数据库!$B$2:$I$100,MATCH(无穷阵眼收益计算!$E155,技能数据库!$B$2:$B$100,0),MATCH(I$9,技能数据库!$B$2:$I$2,0))</f>
        <v>5.7875</v>
      </c>
      <c r="J155">
        <f ca="1">INDEX(技能数据库!$B$2:$I$100,MATCH(无穷阵眼收益计算!$E155,技能数据库!$B$2:$B$100,0),MATCH(J$9,技能数据库!$B$2:$I$2,0))</f>
        <v>2</v>
      </c>
      <c r="K155">
        <f ca="1">INDEX(技能数据库!$B$2:$I$100,MATCH(无穷阵眼收益计算!$E155,技能数据库!$B$2:$B$100,0),MATCH(K$9,技能数据库!$B$2:$I$2,0))</f>
        <v>0</v>
      </c>
      <c r="L155">
        <f ca="1" t="shared" si="186"/>
        <v>105847</v>
      </c>
      <c r="M155">
        <f ca="1" t="shared" si="257"/>
        <v>19530.5</v>
      </c>
      <c r="N155">
        <f ca="1" t="shared" si="258"/>
        <v>92028</v>
      </c>
      <c r="O155">
        <f ca="1" t="shared" ref="O155:O170" si="274">H155+I155*L155+J155*M155+IF(K155&gt;0,MAX(1,K155*N155*破招全局系数),0)</f>
        <v>651860.5125</v>
      </c>
      <c r="P155">
        <f ca="1">IF(G155="恒定伤害",0,(IF(D155="轻剑",$AZ$2,$AZ$3)+IFERROR(INDEX(技能数据库!$T$2:$W$27,MATCH(E155,技能数据库!$T$2:$T$27,0),4),0)+COUNTIF(G155,"*造化2*")*154+COUNTIF(G155,"*造化1*")*102+COUNTIF(G155,"*碧归*")*307)/1024)</f>
        <v>0.386829084429785</v>
      </c>
      <c r="Q155">
        <f ca="1" t="shared" si="237"/>
        <v>0.448284482196154</v>
      </c>
      <c r="R155">
        <f ca="1" t="shared" ref="R155:R170" si="275">IF(G155="恒定伤害",0,(($F$5-IF(D155="轻剑",$BB$2,$BB$3))*(1024-IF(D155="轻剑",$BD$2,$BD$3))/1024*(1024-IF(D155="轻剑",$BC$2,$BC$3)-COUNTIF(G155,"*雾锁*")*461*雾锁)/1024/(($F$5-IF(D155="轻剑",$BB$2,$BB$3))*(1024-IF(D155="轻剑",$BD$2,$BD$3))/1024*(1024-IF(D155="轻剑",$BC$2,$BC$3)-COUNTIF(G155,"*雾锁*")*461*雾锁)/1024+$F$7)))</f>
        <v>0.21277697966198</v>
      </c>
      <c r="S155">
        <f ca="1" t="shared" si="259"/>
        <v>1030692.88403962</v>
      </c>
      <c r="T155">
        <f t="shared" si="165"/>
        <v>0.8</v>
      </c>
      <c r="U155">
        <f ca="1" t="shared" si="238"/>
        <v>1.7800129648</v>
      </c>
      <c r="V155">
        <f ca="1" t="shared" si="260"/>
        <v>2292271.66428579</v>
      </c>
      <c r="W155">
        <f ca="1">IF(G155="恒定伤害",0,MIN(1,IF(COUNTIF(F155,"*内会*")&gt;0,内会2,IF(D155="轻剑",$Y$2,$Y$3)+COUNTIF(G155,"*莺鸣*")*0.2+COUNTIF(G155,"*叠1*")*0.1+COUNTIF(G155,"*叠2*")*0.2+COUNTIF(G155,"*叠3*")*0.3)+IFERROR(INDEX(技能数据库!$T$2:$W$27,MATCH(E155,技能数据库!$T$2:$T$27,0),2),0)+IF((IF(D155="轻剑",$AO$2,$AO$3)+INT(COUNTIF(G155,"*大莺鸣*")*IF(D155="轻剑",$AM$2,$AM$3)*听晓无双率)/无双系数)&gt;0.9,特效裤子会心/会心系数,0)))</f>
        <v>1</v>
      </c>
      <c r="X155">
        <f ca="1">IF(G155="恒定伤害",0,IF(COUNTIF(F155,"*内会*")&gt;0,内会效2,IF(D155="轻剑",$AB$2,$AB$3))+IFERROR(INDEX(技能数据库!$T$2:$W$27,MATCH(E155,技能数据库!$T$2:$T$27,0),3)/1024,0))+COUNTIF(G155,"*叠1*")*0.25+COUNTIF(G155,"*叠2*")*0.5+COUNTIF(G155,"*叠3*")*0.75</f>
        <v>2.9273735021</v>
      </c>
      <c r="Y155">
        <f ca="1" t="shared" si="261"/>
        <v>2.9273735021</v>
      </c>
      <c r="Z155">
        <f t="shared" si="264"/>
        <v>0.150390625</v>
      </c>
      <c r="AA155">
        <f ca="1" t="shared" si="262"/>
        <v>0.0205078125</v>
      </c>
      <c r="AB155">
        <f ca="1" t="shared" si="263"/>
        <v>7877817.05298058</v>
      </c>
      <c r="AC155">
        <f ca="1">无穷技能数计算!$AJ147</f>
        <v>8</v>
      </c>
      <c r="AD155" s="164">
        <f ca="1" t="shared" si="239"/>
        <v>0.0246992115849345</v>
      </c>
      <c r="AE155" s="168"/>
      <c r="AF155" s="168">
        <f ca="1" t="shared" si="240"/>
        <v>1.0014</v>
      </c>
      <c r="AG155">
        <f ca="1">无穷技能数计算!$AJ147</f>
        <v>8</v>
      </c>
      <c r="AH155">
        <f ca="1" t="shared" si="189"/>
        <v>109879</v>
      </c>
      <c r="AJ155">
        <f ca="1" t="shared" si="241"/>
        <v>3.1265922521</v>
      </c>
      <c r="AK155">
        <f ca="1" t="shared" ref="AK155:AK170" si="276">H155+AH155*I155+J155*(238.5+M155)+IF(K155&gt;0,MAX(1,K155*N155*破招全局系数),0)</f>
        <v>675672.7125</v>
      </c>
      <c r="AL155">
        <f ca="1" t="shared" si="191"/>
        <v>8723688.09867002</v>
      </c>
      <c r="AM155" s="169">
        <f ca="1" t="shared" si="242"/>
        <v>1.0229</v>
      </c>
      <c r="AN155">
        <f ca="1">无穷技能数计算!$AJ147</f>
        <v>8</v>
      </c>
      <c r="AO155" s="170">
        <f ca="1" t="shared" si="193"/>
        <v>8723688.09867002</v>
      </c>
      <c r="AP155">
        <f ca="1" t="shared" si="194"/>
        <v>110956</v>
      </c>
      <c r="AQ155" s="170">
        <f ca="1" t="shared" ref="AQ155:AQ170" si="277">H155+AP155*I155+J155*M155+IF(K155&gt;0,MAX(1,K155*N155*破招全局系数),0)</f>
        <v>681428.85</v>
      </c>
      <c r="AR155">
        <f ca="1" t="shared" si="265"/>
        <v>8718290.29062544</v>
      </c>
      <c r="AS155">
        <f ca="1" t="shared" si="243"/>
        <v>1.08</v>
      </c>
      <c r="AT155">
        <f ca="1">无穷技能数计算!$AJ147</f>
        <v>8</v>
      </c>
      <c r="AU155">
        <f ca="1" t="shared" si="244"/>
        <v>3.0738578771</v>
      </c>
      <c r="AV155">
        <f ca="1" t="shared" si="245"/>
        <v>1.7995442148</v>
      </c>
      <c r="AW155">
        <f ca="1" t="shared" si="226"/>
        <v>8330135.13563174</v>
      </c>
      <c r="AX155">
        <f ca="1" t="shared" si="246"/>
        <v>1.07</v>
      </c>
      <c r="AY155">
        <f ca="1">无穷技能数计算!$AJ147</f>
        <v>8</v>
      </c>
      <c r="AZ155" s="170">
        <f ca="1" t="shared" si="227"/>
        <v>8330135.13563174</v>
      </c>
      <c r="BA155">
        <f ca="1" t="shared" si="247"/>
        <v>1.06</v>
      </c>
      <c r="BB155">
        <f ca="1">无穷技能数计算!$AJ147</f>
        <v>8</v>
      </c>
      <c r="BC155" s="170">
        <f ca="1" t="shared" si="228"/>
        <v>8330135.13563174</v>
      </c>
      <c r="BE155">
        <f ca="1" t="shared" si="200"/>
        <v>105849</v>
      </c>
      <c r="BF155">
        <f ca="1" t="shared" si="266"/>
        <v>651872.0875</v>
      </c>
      <c r="BI155">
        <f ca="1" t="shared" si="248"/>
        <v>1.05</v>
      </c>
      <c r="BJ155">
        <f ca="1">无穷技能数计算!$AJ147</f>
        <v>8</v>
      </c>
      <c r="BK155">
        <f ca="1" t="shared" si="203"/>
        <v>8408113.38452822</v>
      </c>
      <c r="BM155">
        <f ca="1" t="shared" si="204"/>
        <v>109230</v>
      </c>
      <c r="BN155">
        <f ca="1" t="shared" si="267"/>
        <v>671439.625</v>
      </c>
      <c r="BO155">
        <f ca="1" t="shared" si="268"/>
        <v>8763462.02660964</v>
      </c>
      <c r="BP155">
        <f ca="1" t="shared" si="249"/>
        <v>8357208.36028921</v>
      </c>
      <c r="BR155">
        <f ca="1" t="shared" si="250"/>
        <v>1.05</v>
      </c>
      <c r="BS155">
        <f ca="1" t="shared" si="208"/>
        <v>8415922.73603265</v>
      </c>
      <c r="BT155">
        <f ca="1" t="shared" si="269"/>
        <v>0.196995876306796</v>
      </c>
      <c r="BU155">
        <f ca="1" t="shared" si="251"/>
        <v>3.0738578771</v>
      </c>
      <c r="BV155">
        <f ca="1" t="shared" si="229"/>
        <v>8437844.6879119</v>
      </c>
      <c r="BW155">
        <f ca="1" t="shared" si="211"/>
        <v>113027</v>
      </c>
      <c r="BX155">
        <f ca="1" t="shared" si="270"/>
        <v>693414.7625</v>
      </c>
      <c r="BY155">
        <f ca="1" t="shared" si="252"/>
        <v>1.03</v>
      </c>
      <c r="BZ155">
        <f ca="1">无穷技能数计算!$AJ147</f>
        <v>8</v>
      </c>
      <c r="CA155">
        <f ca="1" t="shared" si="253"/>
        <v>3.0777641271</v>
      </c>
      <c r="CB155">
        <f ca="1" t="shared" si="230"/>
        <v>8810519.09137952</v>
      </c>
      <c r="CC155">
        <f ca="1" t="shared" si="215"/>
        <v>114847</v>
      </c>
      <c r="CD155">
        <f ca="1" t="shared" si="271"/>
        <v>703948.0125</v>
      </c>
      <c r="CE155">
        <f ca="1" t="shared" si="217"/>
        <v>8761830.5447403</v>
      </c>
      <c r="CF155">
        <f ca="1" t="shared" si="254"/>
        <v>3.0250297521</v>
      </c>
      <c r="CG155">
        <f ca="1" t="shared" si="255"/>
        <v>1.03</v>
      </c>
      <c r="CH155">
        <f ca="1" t="shared" si="231"/>
        <v>8197811.22999519</v>
      </c>
      <c r="CJ155">
        <f ca="1" t="shared" si="272"/>
        <v>671439.625</v>
      </c>
      <c r="CK155">
        <f ca="1" t="shared" si="273"/>
        <v>8723764.02125203</v>
      </c>
      <c r="CL155">
        <f ca="1" t="shared" ref="CL155:CL170" si="278">X155+IF(D155="轻剑",$CL$8-$AB$2,$CL$9-$AB$3)</f>
        <v>3.0476860021</v>
      </c>
      <c r="CM155">
        <f ca="1">IF(G155="恒定伤害",0,(IF(D155="轻剑",$CM$8,$CM$9)+IFERROR(INDEX(技能数据库!$T$2:$W$27,MATCH(E155,技能数据库!$T$2:$T$27,0),4),0)+COUNTIF(G155,"*造化2*")*154+COUNTIF(G155,"*造化1*")*102+COUNTIF(G155,"*碧归*")*307)/1024)</f>
        <v>0.447375959429785</v>
      </c>
      <c r="CN155">
        <f ca="1" t="shared" si="233"/>
        <v>8619794.20575553</v>
      </c>
      <c r="CO155">
        <f ca="1" t="shared" ref="CO155:CO170" si="279">X155+IF(D155="轻剑",$CO$8-$AB$2,$CO$9-$AB$3)</f>
        <v>3.0762602208</v>
      </c>
      <c r="CP155">
        <f ca="1" t="shared" si="235"/>
        <v>8700610.89245309</v>
      </c>
      <c r="CQ155">
        <f ca="1" t="shared" si="256"/>
        <v>1.8815754648</v>
      </c>
      <c r="CR155">
        <f ca="1">IF(G155="恒定伤害",0,(IF(D155="轻剑",$CR$8,$CR$9)+IFERROR(INDEX(技能数据库!$T$2:$W$27,MATCH(E155,技能数据库!$T$2:$T$27,0),4),0)+COUNTIF(G155,"*造化2*")*154+COUNTIF(G155,"*造化1*")*102+COUNTIF(G155,"*碧归*")*307)/1024)</f>
        <v>0.437610334429785</v>
      </c>
      <c r="CS155">
        <f ca="1" t="shared" ref="CS155:CS170" si="280">IF(COUNTIF(G155,"*恒定伤害*")&gt;0,AB155,((O155*(1+CR155)*(1+Q155)*(1-R155))*T155*(1+CQ155))*Y155*(1+Z155)*(1+AA155))</f>
        <v>8464617.00161643</v>
      </c>
    </row>
    <row r="156" spans="4:97">
      <c r="D156" t="s">
        <v>1825</v>
      </c>
      <c r="E156" t="s">
        <v>2723</v>
      </c>
      <c r="G156" t="s">
        <v>3108</v>
      </c>
      <c r="H156">
        <f ca="1">INDEX(技能数据库!$B$2:$I$100,MATCH(无穷阵眼收益计算!$E156,技能数据库!$B$2:$B$100,0),MATCH(H$9,技能数据库!$B$2:$I$2,0))</f>
        <v>143</v>
      </c>
      <c r="I156">
        <f ca="1">INDEX(技能数据库!$B$2:$I$100,MATCH(无穷阵眼收益计算!$E156,技能数据库!$B$2:$B$100,0),MATCH(I$9,技能数据库!$B$2:$I$2,0))</f>
        <v>2.53125</v>
      </c>
      <c r="J156">
        <f ca="1">INDEX(技能数据库!$B$2:$I$100,MATCH(无穷阵眼收益计算!$E156,技能数据库!$B$2:$B$100,0),MATCH(J$9,技能数据库!$B$2:$I$2,0))</f>
        <v>2</v>
      </c>
      <c r="K156">
        <f ca="1">INDEX(技能数据库!$B$2:$I$100,MATCH(无穷阵眼收益计算!$E156,技能数据库!$B$2:$B$100,0),MATCH(K$9,技能数据库!$B$2:$I$2,0))</f>
        <v>0</v>
      </c>
      <c r="L156">
        <f ca="1" t="shared" si="186"/>
        <v>105847</v>
      </c>
      <c r="M156">
        <f ca="1" t="shared" si="257"/>
        <v>19530.5</v>
      </c>
      <c r="N156">
        <f ca="1" t="shared" si="258"/>
        <v>92028</v>
      </c>
      <c r="O156">
        <f ca="1" t="shared" si="274"/>
        <v>307129.21875</v>
      </c>
      <c r="P156">
        <f ca="1">IF(G156="恒定伤害",0,(IF(D156="轻剑",$AZ$2,$AZ$3)+IFERROR(INDEX(技能数据库!$T$2:$W$27,MATCH(E156,技能数据库!$T$2:$T$27,0),4),0)+COUNTIF(G156,"*造化2*")*154+COUNTIF(G156,"*造化1*")*102+COUNTIF(G156,"*碧归*")*307)/1024)</f>
        <v>0.116321271929785</v>
      </c>
      <c r="Q156">
        <f ca="1" t="shared" si="237"/>
        <v>0.448284482196154</v>
      </c>
      <c r="R156">
        <f ca="1" t="shared" si="275"/>
        <v>0.21277697966198</v>
      </c>
      <c r="S156">
        <f ca="1" t="shared" si="259"/>
        <v>390896.694849304</v>
      </c>
      <c r="T156">
        <f>1-($F$6-130)*0.05</f>
        <v>0.8</v>
      </c>
      <c r="U156">
        <f ca="1" t="shared" si="238"/>
        <v>1.7800129648</v>
      </c>
      <c r="V156">
        <f ca="1" t="shared" si="260"/>
        <v>869358.303662828</v>
      </c>
      <c r="W156">
        <f ca="1">IF(G156="恒定伤害",0,MIN(1,IF(COUNTIF(F156,"*内会*")&gt;0,内会2,IF(D156="轻剑",$Y$2,$Y$3)+COUNTIF(G156,"*莺鸣*")*0.2+COUNTIF(G156,"*叠1*")*0.1+COUNTIF(G156,"*叠2*")*0.2+COUNTIF(G156,"*叠3*")*0.3)+IFERROR(INDEX(技能数据库!$T$2:$W$27,MATCH(E156,技能数据库!$T$2:$T$27,0),2),0)+IF((IF(D156="轻剑",$AO$2,$AO$3)+INT(COUNTIF(G156,"*大莺鸣*")*IF(D156="轻剑",$AM$2,$AM$3)*听晓无双率)/无双系数)&gt;0.9,特效裤子会心/会心系数,0)))</f>
        <v>0.8043</v>
      </c>
      <c r="X156">
        <f ca="1">IF(G156="恒定伤害",0,IF(COUNTIF(F156,"*内会*")&gt;0,内会效2,IF(D156="轻剑",$AB$2,$AB$3))+IFERROR(INDEX(技能数据库!$T$2:$W$27,MATCH(E156,技能数据库!$T$2:$T$27,0),3)/1024,0))+COUNTIF(G156,"*叠1*")*0.25+COUNTIF(G156,"*叠2*")*0.5+COUNTIF(G156,"*叠3*")*0.75</f>
        <v>2.4273735021</v>
      </c>
      <c r="Y156">
        <f ca="1" t="shared" si="261"/>
        <v>2.14803650773903</v>
      </c>
      <c r="Z156">
        <f t="shared" si="264"/>
        <v>0.150390625</v>
      </c>
      <c r="AA156">
        <f ca="1" t="shared" si="262"/>
        <v>0.0205078125</v>
      </c>
      <c r="AB156">
        <f ca="1" t="shared" si="263"/>
        <v>2192310.84655202</v>
      </c>
      <c r="AC156" s="171">
        <f ca="1">($AC$144+$AC$150+$AC$153+$AC$194+$AC$200+$AC$203)*MIN(1,0.1+$Y$3+0.3)</f>
        <v>8</v>
      </c>
      <c r="AD156" s="164">
        <f ca="1" t="shared" si="239"/>
        <v>0.00687352208039004</v>
      </c>
      <c r="AE156" s="168"/>
      <c r="AF156" s="168">
        <f ca="1" t="shared" si="240"/>
        <v>0.8057</v>
      </c>
      <c r="AG156" s="171">
        <f ca="1">($AC$144+$AC$150+$AC$153+$AC$194+$AC$200+$AC$203)*MIN(1,0.3+0.1+$AF$8)</f>
        <v>8</v>
      </c>
      <c r="AH156">
        <f ca="1" t="shared" si="189"/>
        <v>109879</v>
      </c>
      <c r="AJ156">
        <f ca="1" t="shared" si="241"/>
        <v>2.6265922521</v>
      </c>
      <c r="AK156">
        <f ca="1" t="shared" si="276"/>
        <v>317812.21875</v>
      </c>
      <c r="AL156">
        <f ca="1" t="shared" si="191"/>
        <v>2440865.52943792</v>
      </c>
      <c r="AM156" s="169">
        <f ca="1" t="shared" si="242"/>
        <v>0.8272</v>
      </c>
      <c r="AN156" s="171">
        <f ca="1">($AC$144+$AC$150+$AC$153+$AC$194+$AC$200+$AC$203)*MIN(1,0.3+0.1+$AN$8)</f>
        <v>8</v>
      </c>
      <c r="AO156" s="170">
        <f ca="1" t="shared" si="193"/>
        <v>2477809.75024421</v>
      </c>
      <c r="AP156">
        <f ca="1" t="shared" si="194"/>
        <v>110956</v>
      </c>
      <c r="AQ156" s="170">
        <f ca="1" t="shared" si="277"/>
        <v>320061.375</v>
      </c>
      <c r="AR156">
        <f ca="1" t="shared" si="265"/>
        <v>2418654.61831695</v>
      </c>
      <c r="AS156">
        <f ca="1" t="shared" si="243"/>
        <v>0.8843</v>
      </c>
      <c r="AT156" s="171">
        <f ca="1">($AC$144+$AC$150+$AC$153+$AC$194+$AC$200+$AC$203)*MIN(1,0.3+0.1+AS$8)</f>
        <v>8</v>
      </c>
      <c r="AU156">
        <f ca="1" t="shared" si="244"/>
        <v>2.5738578771</v>
      </c>
      <c r="AV156">
        <f ca="1" t="shared" si="245"/>
        <v>1.7995442148</v>
      </c>
      <c r="AW156">
        <f ca="1" t="shared" si="226"/>
        <v>2458210.33398188</v>
      </c>
      <c r="AX156">
        <f ca="1" t="shared" si="246"/>
        <v>0.8743</v>
      </c>
      <c r="AY156" s="171">
        <f ca="1">($AC$144+$AC$150+$AC$153+$AC$194+$AC$200+$AC$203)*MIN(1,0.3+0.1+AX$8)</f>
        <v>8</v>
      </c>
      <c r="AZ156" s="170">
        <f ca="1" t="shared" si="227"/>
        <v>2442034.50689123</v>
      </c>
      <c r="BA156">
        <f ca="1" t="shared" si="247"/>
        <v>0.8643</v>
      </c>
      <c r="BB156" s="171">
        <f ca="1">($AC$144+$AC$150+$AC$153+$AC$194+$AC$200+$AC$203)*MIN(1,0.3+0.1+BA$8)</f>
        <v>8</v>
      </c>
      <c r="BC156" s="170">
        <f ca="1" t="shared" si="228"/>
        <v>2425858.67980058</v>
      </c>
      <c r="BE156">
        <f ca="1" t="shared" si="200"/>
        <v>105849</v>
      </c>
      <c r="BF156">
        <f ca="1" t="shared" si="266"/>
        <v>307134.28125</v>
      </c>
      <c r="BI156">
        <f ca="1" t="shared" si="248"/>
        <v>0.8543</v>
      </c>
      <c r="BJ156" s="171">
        <f ca="1">($AC$144+$AC$150+$AC$153+$AC$194+$AC$200+$AC$203)*MIN(1,0.3+0.1+BI$8)</f>
        <v>8</v>
      </c>
      <c r="BK156">
        <f ca="1" t="shared" si="203"/>
        <v>2417626.37908689</v>
      </c>
      <c r="BM156">
        <f ca="1" t="shared" si="204"/>
        <v>109230</v>
      </c>
      <c r="BN156">
        <f ca="1" t="shared" si="267"/>
        <v>315692.4375</v>
      </c>
      <c r="BO156">
        <f ca="1" t="shared" si="268"/>
        <v>2433675.66945295</v>
      </c>
      <c r="BP156">
        <f ca="1" t="shared" si="249"/>
        <v>2320856.13987115</v>
      </c>
      <c r="BR156">
        <f ca="1" t="shared" si="250"/>
        <v>0.8543</v>
      </c>
      <c r="BS156">
        <f ca="1" t="shared" si="208"/>
        <v>2414813.90773253</v>
      </c>
      <c r="BT156">
        <f ca="1" t="shared" si="269"/>
        <v>0.196995876306796</v>
      </c>
      <c r="BU156">
        <f ca="1" t="shared" si="251"/>
        <v>2.5738578771</v>
      </c>
      <c r="BV156">
        <f ca="1" t="shared" si="229"/>
        <v>2440840.31378068</v>
      </c>
      <c r="BW156">
        <f ca="1" t="shared" si="211"/>
        <v>113027</v>
      </c>
      <c r="BX156">
        <f ca="1" t="shared" si="270"/>
        <v>325303.59375</v>
      </c>
      <c r="BY156">
        <f ca="1" t="shared" si="252"/>
        <v>0.8343</v>
      </c>
      <c r="BZ156" s="171">
        <f ca="1">($AC$144+$AC$150+$AC$153+$AC$194+$AC$200+$AC$203)*MIN(1,0.3+0.1+BY$8)</f>
        <v>8</v>
      </c>
      <c r="CA156">
        <f ca="1" t="shared" si="253"/>
        <v>2.5777641271</v>
      </c>
      <c r="CB156">
        <f ca="1" t="shared" si="230"/>
        <v>2503965.67954224</v>
      </c>
      <c r="CC156">
        <f ca="1" t="shared" si="215"/>
        <v>114847</v>
      </c>
      <c r="CD156">
        <f ca="1" t="shared" si="271"/>
        <v>329910.46875</v>
      </c>
      <c r="CE156">
        <f ca="1" t="shared" si="217"/>
        <v>2473732.04042824</v>
      </c>
      <c r="CF156">
        <f ca="1" t="shared" si="254"/>
        <v>2.5250297521</v>
      </c>
      <c r="CG156">
        <f ca="1" t="shared" si="255"/>
        <v>0.8343</v>
      </c>
      <c r="CH156">
        <f ca="1" t="shared" si="231"/>
        <v>2335462.1323091</v>
      </c>
      <c r="CJ156">
        <f ca="1" t="shared" si="272"/>
        <v>315692.4375</v>
      </c>
      <c r="CK156">
        <f ca="1" t="shared" si="273"/>
        <v>2422651.25130961</v>
      </c>
      <c r="CL156">
        <f ca="1" t="shared" si="278"/>
        <v>2.5476860021</v>
      </c>
      <c r="CM156">
        <f ca="1">IF(G156="恒定伤害",0,(IF(D156="轻剑",$CM$8,$CM$9)+IFERROR(INDEX(技能数据库!$T$2:$W$27,MATCH(E156,技能数据库!$T$2:$T$27,0),4),0)+COUNTIF(G156,"*造化2*")*154+COUNTIF(G156,"*造化1*")*102+COUNTIF(G156,"*碧归*")*307)/1024)</f>
        <v>0.176868146929785</v>
      </c>
      <c r="CN156">
        <f ca="1" t="shared" si="233"/>
        <v>2482613.53556274</v>
      </c>
      <c r="CO156">
        <f ca="1" t="shared" si="279"/>
        <v>2.5762602208</v>
      </c>
      <c r="CP156">
        <f ca="1" t="shared" si="235"/>
        <v>2508444.23700894</v>
      </c>
      <c r="CQ156">
        <f ca="1" t="shared" si="256"/>
        <v>1.8815754648</v>
      </c>
      <c r="CR156">
        <f ca="1">IF(G156="恒定伤害",0,(IF(D156="轻剑",$CR$8,$CR$9)+IFERROR(INDEX(技能数据库!$T$2:$W$27,MATCH(E156,技能数据库!$T$2:$T$27,0),4),0)+COUNTIF(G156,"*造化2*")*154+COUNTIF(G156,"*造化1*")*102+COUNTIF(G156,"*碧归*")*307)/1024)</f>
        <v>0.167102521929785</v>
      </c>
      <c r="CS156">
        <f ca="1" t="shared" si="280"/>
        <v>2375773.9496783</v>
      </c>
    </row>
    <row r="157" spans="4:97">
      <c r="D157" t="s">
        <v>1825</v>
      </c>
      <c r="E157" t="s">
        <v>2723</v>
      </c>
      <c r="G157" t="s">
        <v>3109</v>
      </c>
      <c r="H157">
        <f ca="1">INDEX(技能数据库!$B$2:$I$100,MATCH(无穷阵眼收益计算!$E157,技能数据库!$B$2:$B$100,0),MATCH(H$9,技能数据库!$B$2:$I$2,0))</f>
        <v>143</v>
      </c>
      <c r="I157">
        <f ca="1">INDEX(技能数据库!$B$2:$I$100,MATCH(无穷阵眼收益计算!$E157,技能数据库!$B$2:$B$100,0),MATCH(I$9,技能数据库!$B$2:$I$2,0))</f>
        <v>2.53125</v>
      </c>
      <c r="J157">
        <f ca="1">INDEX(技能数据库!$B$2:$I$100,MATCH(无穷阵眼收益计算!$E157,技能数据库!$B$2:$B$100,0),MATCH(J$9,技能数据库!$B$2:$I$2,0))</f>
        <v>2</v>
      </c>
      <c r="K157">
        <f ca="1">INDEX(技能数据库!$B$2:$I$100,MATCH(无穷阵眼收益计算!$E157,技能数据库!$B$2:$B$100,0),MATCH(K$9,技能数据库!$B$2:$I$2,0))</f>
        <v>0</v>
      </c>
      <c r="L157">
        <f ca="1" t="shared" si="186"/>
        <v>105847</v>
      </c>
      <c r="M157">
        <f ca="1" t="shared" ref="M157:M159" si="281">IF(D157="轻剑",$AU$2+$AV$2,$AU$3+$AV$3)/2</f>
        <v>19530.5</v>
      </c>
      <c r="N157">
        <f ca="1" t="shared" ref="N157:N159" si="282">IF(D157="轻剑",$AJ$2,$AJ$3)</f>
        <v>92028</v>
      </c>
      <c r="O157">
        <f ca="1" t="shared" si="274"/>
        <v>307129.21875</v>
      </c>
      <c r="P157">
        <f ca="1">IF(G157="恒定伤害",0,(IF(D157="轻剑",$AZ$2,$AZ$3)+IFERROR(INDEX(技能数据库!$T$2:$W$27,MATCH(E157,技能数据库!$T$2:$T$27,0),4),0)+COUNTIF(G157,"*造化2*")*154+COUNTIF(G157,"*造化1*")*102+COUNTIF(G157,"*碧归*")*307)/1024)</f>
        <v>0.116321271929785</v>
      </c>
      <c r="Q157">
        <f ca="1" t="shared" si="237"/>
        <v>0.448284482196154</v>
      </c>
      <c r="R157">
        <f ca="1" t="shared" si="275"/>
        <v>0.21277697966198</v>
      </c>
      <c r="S157">
        <f ca="1" t="shared" ref="S157:S159" si="283">O157*(1+P157)*(1+Q157)*(1-R157)</f>
        <v>390896.694849304</v>
      </c>
      <c r="T157">
        <f t="shared" ref="T157:T159" si="284">1-($F$6-130)*0.05</f>
        <v>0.8</v>
      </c>
      <c r="U157">
        <f ca="1" t="shared" si="238"/>
        <v>1.7800129648</v>
      </c>
      <c r="V157">
        <f ca="1" t="shared" ref="V157:V159" si="285">S157*T157*(1+U157)</f>
        <v>869358.303662828</v>
      </c>
      <c r="W157">
        <f ca="1">IF(G157="恒定伤害",0,MIN(1,IF(COUNTIF(F157,"*内会*")&gt;0,内会2,IF(D157="轻剑",$Y$2,$Y$3)+COUNTIF(G157,"*莺鸣*")*0.2+COUNTIF(G157,"*叠1*")*0.1+COUNTIF(G157,"*叠2*")*0.2+COUNTIF(G157,"*叠3*")*0.3)+IFERROR(INDEX(技能数据库!$T$2:$W$27,MATCH(E157,技能数据库!$T$2:$T$27,0),2),0)+IF((IF(D157="轻剑",$AO$2,$AO$3)+INT(COUNTIF(G157,"*大莺鸣*")*IF(D157="轻剑",$AM$2,$AM$3)*听晓无双率)/无双系数)&gt;0.9,特效裤子会心/会心系数,0)))</f>
        <v>0.9043</v>
      </c>
      <c r="X157">
        <f ca="1">IF(G157="恒定伤害",0,IF(COUNTIF(F157,"*内会*")&gt;0,内会效2,IF(D157="轻剑",$AB$2,$AB$3))+IFERROR(INDEX(技能数据库!$T$2:$W$27,MATCH(E157,技能数据库!$T$2:$T$27,0),3)/1024,0))+COUNTIF(G157,"*叠1*")*0.25+COUNTIF(G157,"*叠2*")*0.5+COUNTIF(G157,"*叠3*")*0.75</f>
        <v>2.6773735021</v>
      </c>
      <c r="Y157">
        <f ca="1" t="shared" ref="Y157:Y159" si="286">1+W157*(X157-1)</f>
        <v>2.51684885794903</v>
      </c>
      <c r="Z157">
        <f t="shared" si="264"/>
        <v>0.150390625</v>
      </c>
      <c r="AA157">
        <f ca="1" t="shared" ref="AA157:AA159" si="287">IF(D157="轻剑",$BA$2,$BA$3)/1024</f>
        <v>0.0205078125</v>
      </c>
      <c r="AB157">
        <f ca="1" t="shared" ref="AB157:AB159" si="288">V157*Y157*(1+Z157)*(1+AA157)</f>
        <v>2568724.98699825</v>
      </c>
      <c r="AC157" s="171">
        <f ca="1">($AC$145+$AC$151+$AC$154+$AC$195+$AC$201+$AC$204)*MIN(1,0.2+$Y$3+0.3)</f>
        <v>6</v>
      </c>
      <c r="AD157" s="164">
        <f ca="1" t="shared" si="239"/>
        <v>0.00604026612296487</v>
      </c>
      <c r="AE157" s="168"/>
      <c r="AF157" s="168">
        <f ca="1" t="shared" si="240"/>
        <v>0.9057</v>
      </c>
      <c r="AG157" s="171">
        <f ca="1">($AC$145+$AC$151+$AC$154+$AC$195+$AC$201+$AC$204)*MIN(1,0.3+$AF$8+0.2)</f>
        <v>6</v>
      </c>
      <c r="AH157">
        <f ca="1" t="shared" si="189"/>
        <v>109879</v>
      </c>
      <c r="AJ157">
        <f ca="1" t="shared" si="241"/>
        <v>2.8765922521</v>
      </c>
      <c r="AK157">
        <f ca="1" t="shared" si="276"/>
        <v>317812.21875</v>
      </c>
      <c r="AL157">
        <f ca="1" t="shared" si="191"/>
        <v>2851895.01304138</v>
      </c>
      <c r="AM157" s="169">
        <f ca="1" t="shared" si="242"/>
        <v>0.9272</v>
      </c>
      <c r="AN157" s="171">
        <f ca="1">($AC$145+$AC$151+$AC$154+$AC$195+$AC$201+$AC$204)*MIN(1,0.3+$AN$8+0.2)</f>
        <v>6</v>
      </c>
      <c r="AO157" s="170">
        <f ca="1" t="shared" si="193"/>
        <v>2894517.39639249</v>
      </c>
      <c r="AP157">
        <f ca="1" t="shared" si="194"/>
        <v>110956</v>
      </c>
      <c r="AQ157" s="170">
        <f ca="1" t="shared" si="277"/>
        <v>320061.375</v>
      </c>
      <c r="AR157">
        <f ca="1" t="shared" si="265"/>
        <v>2833931.40291252</v>
      </c>
      <c r="AS157">
        <f ca="1" t="shared" si="243"/>
        <v>0.9843</v>
      </c>
      <c r="AT157" s="171">
        <f ca="1">($AC$145+$AC$151+$AC$154+$AC$195+$AC$201+$AC$204)*MIN(1,0.3+AS$8+0.2)</f>
        <v>6</v>
      </c>
      <c r="AU157">
        <f ca="1" t="shared" si="244"/>
        <v>2.8238578771</v>
      </c>
      <c r="AV157">
        <f ca="1" t="shared" si="245"/>
        <v>1.7995442148</v>
      </c>
      <c r="AW157">
        <f ca="1" t="shared" si="226"/>
        <v>2872880.04684569</v>
      </c>
      <c r="AX157">
        <f ca="1" t="shared" si="246"/>
        <v>0.9743</v>
      </c>
      <c r="AY157" s="171">
        <f ca="1">($AC$145+$AC$151+$AC$154+$AC$195+$AC$201+$AC$204)*MIN(1,0.3+AX$8+0.2)</f>
        <v>6</v>
      </c>
      <c r="AZ157" s="170">
        <f ca="1" t="shared" si="227"/>
        <v>2854134.76489415</v>
      </c>
      <c r="BA157">
        <f ca="1" t="shared" si="247"/>
        <v>0.9643</v>
      </c>
      <c r="BB157" s="171">
        <f ca="1">($AC$145+$AC$151+$AC$154+$AC$195+$AC$201+$AC$204)*MIN(1,0.3+BA$8+0.2)</f>
        <v>6</v>
      </c>
      <c r="BC157" s="170">
        <f ca="1" t="shared" si="228"/>
        <v>2835389.48294261</v>
      </c>
      <c r="BE157">
        <f ca="1" t="shared" si="200"/>
        <v>105849</v>
      </c>
      <c r="BF157">
        <f ca="1" t="shared" si="266"/>
        <v>307134.28125</v>
      </c>
      <c r="BI157">
        <f ca="1" t="shared" si="248"/>
        <v>0.9543</v>
      </c>
      <c r="BJ157" s="171">
        <f ca="1">($AC$145+$AC$151+$AC$154+$AC$195+$AC$201+$AC$204)*MIN(1,0.3+BI$8+0.2)</f>
        <v>6</v>
      </c>
      <c r="BK157">
        <f ca="1" t="shared" si="203"/>
        <v>2832994.78665184</v>
      </c>
      <c r="BM157">
        <f ca="1" t="shared" si="204"/>
        <v>109230</v>
      </c>
      <c r="BN157">
        <f ca="1" t="shared" si="267"/>
        <v>315692.4375</v>
      </c>
      <c r="BO157">
        <f ca="1" t="shared" si="268"/>
        <v>2851531.52994044</v>
      </c>
      <c r="BP157">
        <f ca="1" t="shared" si="249"/>
        <v>2719341.17695562</v>
      </c>
      <c r="BR157">
        <f ca="1" t="shared" si="250"/>
        <v>0.9543</v>
      </c>
      <c r="BS157">
        <f ca="1" t="shared" si="208"/>
        <v>2829699.10922482</v>
      </c>
      <c r="BT157">
        <f ca="1" t="shared" si="269"/>
        <v>0.196995876306796</v>
      </c>
      <c r="BU157">
        <f ca="1" t="shared" si="251"/>
        <v>2.8238578771</v>
      </c>
      <c r="BV157">
        <f ca="1" t="shared" si="229"/>
        <v>2853063.71650692</v>
      </c>
      <c r="BW157">
        <f ca="1" t="shared" si="211"/>
        <v>113027</v>
      </c>
      <c r="BX157">
        <f ca="1" t="shared" si="270"/>
        <v>325303.59375</v>
      </c>
      <c r="BY157">
        <f ca="1" t="shared" si="252"/>
        <v>0.9343</v>
      </c>
      <c r="BZ157" s="171">
        <f ca="1">($AC$145+$AC$151+$AC$154+$AC$195+$AC$201+$AC$204)*MIN(1,0.3+BY$8+0.2)</f>
        <v>6</v>
      </c>
      <c r="CA157">
        <f ca="1" t="shared" si="253"/>
        <v>2.8277641271</v>
      </c>
      <c r="CB157">
        <f ca="1" t="shared" si="230"/>
        <v>2927018.99819111</v>
      </c>
      <c r="CC157">
        <f ca="1" t="shared" si="215"/>
        <v>114847</v>
      </c>
      <c r="CD157">
        <f ca="1" t="shared" si="271"/>
        <v>329910.46875</v>
      </c>
      <c r="CE157">
        <f ca="1" t="shared" si="217"/>
        <v>2898632.25758234</v>
      </c>
      <c r="CF157">
        <f ca="1" t="shared" si="254"/>
        <v>2.7750297521</v>
      </c>
      <c r="CG157">
        <f ca="1" t="shared" si="255"/>
        <v>0.9343</v>
      </c>
      <c r="CH157">
        <f ca="1" t="shared" si="231"/>
        <v>2732266.10434329</v>
      </c>
      <c r="CJ157">
        <f ca="1" t="shared" si="272"/>
        <v>315692.4375</v>
      </c>
      <c r="CK157">
        <f ca="1" t="shared" si="273"/>
        <v>2838614.24752292</v>
      </c>
      <c r="CL157">
        <f ca="1" t="shared" si="278"/>
        <v>2.7976860021</v>
      </c>
      <c r="CM157">
        <f ca="1">IF(G157="恒定伤害",0,(IF(D157="轻剑",$CM$8,$CM$9)+IFERROR(INDEX(技能数据库!$T$2:$W$27,MATCH(E157,技能数据库!$T$2:$T$27,0),4),0)+COUNTIF(G157,"*造化2*")*154+COUNTIF(G157,"*造化1*")*102+COUNTIF(G157,"*碧归*")*307)/1024)</f>
        <v>0.176868146929785</v>
      </c>
      <c r="CN157">
        <f ca="1" t="shared" si="233"/>
        <v>2903394.17025207</v>
      </c>
      <c r="CO157">
        <f ca="1" t="shared" si="279"/>
        <v>2.8262602208</v>
      </c>
      <c r="CP157">
        <f ca="1" t="shared" si="235"/>
        <v>2932320.96440428</v>
      </c>
      <c r="CQ157">
        <f ca="1" t="shared" si="256"/>
        <v>1.8815754648</v>
      </c>
      <c r="CR157">
        <f ca="1">IF(G157="恒定伤害",0,(IF(D157="轻剑",$CR$8,$CR$9)+IFERROR(INDEX(技能数据库!$T$2:$W$27,MATCH(E157,技能数据库!$T$2:$T$27,0),4),0)+COUNTIF(G157,"*造化2*")*154+COUNTIF(G157,"*造化1*")*102+COUNTIF(G157,"*碧归*")*307)/1024)</f>
        <v>0.167102521929785</v>
      </c>
      <c r="CS157">
        <f ca="1" t="shared" si="280"/>
        <v>2783688.23362631</v>
      </c>
    </row>
    <row r="158" spans="4:97">
      <c r="D158" t="s">
        <v>1825</v>
      </c>
      <c r="E158" t="s">
        <v>2723</v>
      </c>
      <c r="G158" t="s">
        <v>3110</v>
      </c>
      <c r="H158">
        <f ca="1">INDEX(技能数据库!$B$2:$I$100,MATCH(无穷阵眼收益计算!$E158,技能数据库!$B$2:$B$100,0),MATCH(H$9,技能数据库!$B$2:$I$2,0))</f>
        <v>143</v>
      </c>
      <c r="I158">
        <f ca="1">INDEX(技能数据库!$B$2:$I$100,MATCH(无穷阵眼收益计算!$E158,技能数据库!$B$2:$B$100,0),MATCH(I$9,技能数据库!$B$2:$I$2,0))</f>
        <v>2.53125</v>
      </c>
      <c r="J158">
        <f ca="1">INDEX(技能数据库!$B$2:$I$100,MATCH(无穷阵眼收益计算!$E158,技能数据库!$B$2:$B$100,0),MATCH(J$9,技能数据库!$B$2:$I$2,0))</f>
        <v>2</v>
      </c>
      <c r="K158">
        <f ca="1">INDEX(技能数据库!$B$2:$I$100,MATCH(无穷阵眼收益计算!$E158,技能数据库!$B$2:$B$100,0),MATCH(K$9,技能数据库!$B$2:$I$2,0))</f>
        <v>0</v>
      </c>
      <c r="L158">
        <f ca="1" t="shared" si="186"/>
        <v>105847</v>
      </c>
      <c r="M158">
        <f ca="1" t="shared" si="281"/>
        <v>19530.5</v>
      </c>
      <c r="N158">
        <f ca="1" t="shared" si="282"/>
        <v>92028</v>
      </c>
      <c r="O158">
        <f ca="1" t="shared" si="274"/>
        <v>307129.21875</v>
      </c>
      <c r="P158">
        <f ca="1">IF(G158="恒定伤害",0,(IF(D158="轻剑",$AZ$2,$AZ$3)+IFERROR(INDEX(技能数据库!$T$2:$W$27,MATCH(E158,技能数据库!$T$2:$T$27,0),4),0)+COUNTIF(G158,"*造化2*")*154+COUNTIF(G158,"*造化1*")*102+COUNTIF(G158,"*碧归*")*307)/1024)</f>
        <v>0.116321271929785</v>
      </c>
      <c r="Q158">
        <f ca="1" t="shared" si="237"/>
        <v>0.448284482196154</v>
      </c>
      <c r="R158">
        <f ca="1" t="shared" si="275"/>
        <v>0.21277697966198</v>
      </c>
      <c r="S158">
        <f ca="1" t="shared" si="283"/>
        <v>390896.694849304</v>
      </c>
      <c r="T158">
        <f t="shared" si="284"/>
        <v>0.8</v>
      </c>
      <c r="U158">
        <f ca="1" t="shared" si="238"/>
        <v>1.7800129648</v>
      </c>
      <c r="V158">
        <f ca="1" t="shared" si="285"/>
        <v>869358.303662828</v>
      </c>
      <c r="W158">
        <f ca="1">IF(G158="恒定伤害",0,MIN(1,IF(COUNTIF(F158,"*内会*")&gt;0,内会2,IF(D158="轻剑",$Y$2,$Y$3)+COUNTIF(G158,"*莺鸣*")*0.2+COUNTIF(G158,"*叠1*")*0.1+COUNTIF(G158,"*叠2*")*0.2+COUNTIF(G158,"*叠3*")*0.3)+IFERROR(INDEX(技能数据库!$T$2:$W$27,MATCH(E158,技能数据库!$T$2:$T$27,0),2),0)+IF((IF(D158="轻剑",$AO$2,$AO$3)+INT(COUNTIF(G158,"*大莺鸣*")*IF(D158="轻剑",$AM$2,$AM$3)*听晓无双率)/无双系数)&gt;0.9,特效裤子会心/会心系数,0)))</f>
        <v>1</v>
      </c>
      <c r="X158">
        <f ca="1">IF(G158="恒定伤害",0,IF(COUNTIF(F158,"*内会*")&gt;0,内会效2,IF(D158="轻剑",$AB$2,$AB$3))+IFERROR(INDEX(技能数据库!$T$2:$W$27,MATCH(E158,技能数据库!$T$2:$T$27,0),3)/1024,0))+COUNTIF(G158,"*叠1*")*0.25+COUNTIF(G158,"*叠2*")*0.5+COUNTIF(G158,"*叠3*")*0.75</f>
        <v>2.9273735021</v>
      </c>
      <c r="Y158">
        <f ca="1" t="shared" si="286"/>
        <v>2.9273735021</v>
      </c>
      <c r="Z158">
        <f t="shared" si="264"/>
        <v>0.150390625</v>
      </c>
      <c r="AA158">
        <f ca="1" t="shared" si="287"/>
        <v>0.0205078125</v>
      </c>
      <c r="AB158">
        <f ca="1" t="shared" si="288"/>
        <v>2987711.17596969</v>
      </c>
      <c r="AC158" s="171">
        <f ca="1">($AC$146+$AC$152+$AC$155+$AC$196+$AC$202+$AC$205)*MIN(1,0.3+0.3+$Y$3)</f>
        <v>44</v>
      </c>
      <c r="AD158" s="164">
        <f ca="1" t="shared" si="239"/>
        <v>0.051520313935338</v>
      </c>
      <c r="AE158" s="168"/>
      <c r="AF158" s="168">
        <f ca="1" t="shared" si="240"/>
        <v>1.0014</v>
      </c>
      <c r="AG158" s="171">
        <f ca="1">($AC$146+$AC$152+$AC$155+$AC$196+$AC$202+$AC$205)*MIN(1,0.3+0.3+$AF$8)</f>
        <v>44</v>
      </c>
      <c r="AH158">
        <f ca="1" t="shared" si="189"/>
        <v>109879</v>
      </c>
      <c r="AJ158">
        <f ca="1" t="shared" si="241"/>
        <v>3.1265922521</v>
      </c>
      <c r="AK158">
        <f ca="1" t="shared" si="276"/>
        <v>317812.21875</v>
      </c>
      <c r="AL158">
        <f ca="1" t="shared" si="191"/>
        <v>3302939.35233589</v>
      </c>
      <c r="AM158" s="169">
        <f ca="1" t="shared" si="242"/>
        <v>1.0229</v>
      </c>
      <c r="AN158" s="171">
        <f ca="1">($AC$146+$AC$152+$AC$155+$AC$196+$AC$202+$AC$205)*MIN(1,0.3+0.3+$AN$8)</f>
        <v>44</v>
      </c>
      <c r="AO158" s="170">
        <f ca="1" t="shared" si="193"/>
        <v>3302939.35233589</v>
      </c>
      <c r="AP158">
        <f ca="1" t="shared" si="194"/>
        <v>110956</v>
      </c>
      <c r="AQ158" s="170">
        <f ca="1" t="shared" si="277"/>
        <v>320061.375</v>
      </c>
      <c r="AR158">
        <f ca="1" t="shared" si="265"/>
        <v>3296175.56074286</v>
      </c>
      <c r="AS158">
        <f ca="1" t="shared" si="243"/>
        <v>1.08</v>
      </c>
      <c r="AT158" s="171">
        <f ca="1">($AC$146+$AC$152+$AC$155+$AC$196+$AC$202+$AC$205)*MIN(1,0.3+0.3+AS$8)</f>
        <v>44</v>
      </c>
      <c r="AU158">
        <f ca="1" t="shared" si="244"/>
        <v>3.0738578771</v>
      </c>
      <c r="AV158">
        <f ca="1" t="shared" si="245"/>
        <v>1.7995442148</v>
      </c>
      <c r="AW158">
        <f ca="1" t="shared" si="226"/>
        <v>3159255.6255985</v>
      </c>
      <c r="AX158">
        <f ca="1" t="shared" si="246"/>
        <v>1.07</v>
      </c>
      <c r="AY158" s="171">
        <f ca="1">($AC$146+$AC$152+$AC$155+$AC$196+$AC$202+$AC$205)*MIN(1,0.3+0.3+AX$8)</f>
        <v>44</v>
      </c>
      <c r="AZ158" s="170">
        <f ca="1" t="shared" si="227"/>
        <v>3159255.6255985</v>
      </c>
      <c r="BA158">
        <f ca="1" t="shared" si="247"/>
        <v>1.06</v>
      </c>
      <c r="BB158" s="171">
        <f ca="1">($AC$146+$AC$152+$AC$155+$AC$196+$AC$202+$AC$205)*MIN(1,0.3+0.3+BA$8)</f>
        <v>44</v>
      </c>
      <c r="BC158" s="170">
        <f ca="1" t="shared" si="228"/>
        <v>3159255.6255985</v>
      </c>
      <c r="BE158">
        <f ca="1" t="shared" si="200"/>
        <v>105849</v>
      </c>
      <c r="BF158">
        <f ca="1" t="shared" si="266"/>
        <v>307134.28125</v>
      </c>
      <c r="BI158">
        <f ca="1" t="shared" si="248"/>
        <v>1.05</v>
      </c>
      <c r="BJ158" s="171">
        <f ca="1">($AC$146+$AC$152+$AC$155+$AC$196+$AC$202+$AC$205)*MIN(1,0.3+0.3+BI$8)</f>
        <v>44</v>
      </c>
      <c r="BK158">
        <f ca="1" t="shared" si="203"/>
        <v>3188825.30095195</v>
      </c>
      <c r="BM158">
        <f ca="1" t="shared" si="204"/>
        <v>109230</v>
      </c>
      <c r="BN158">
        <f ca="1" t="shared" si="267"/>
        <v>315692.4375</v>
      </c>
      <c r="BO158">
        <f ca="1" t="shared" si="268"/>
        <v>3316646.45446873</v>
      </c>
      <c r="BP158">
        <f ca="1" t="shared" si="249"/>
        <v>3162894.45806305</v>
      </c>
      <c r="BR158">
        <f ca="1" t="shared" si="250"/>
        <v>1.05</v>
      </c>
      <c r="BS158">
        <f ca="1" t="shared" si="208"/>
        <v>3185115.67903081</v>
      </c>
      <c r="BT158">
        <f ca="1" t="shared" si="269"/>
        <v>0.196995876306796</v>
      </c>
      <c r="BU158">
        <f ca="1" t="shared" si="251"/>
        <v>3.0738578771</v>
      </c>
      <c r="BV158">
        <f ca="1" t="shared" si="229"/>
        <v>3200105.14405544</v>
      </c>
      <c r="BW158">
        <f ca="1" t="shared" si="211"/>
        <v>113027</v>
      </c>
      <c r="BX158">
        <f ca="1" t="shared" si="270"/>
        <v>325303.59375</v>
      </c>
      <c r="BY158">
        <f ca="1" t="shared" si="252"/>
        <v>1.03</v>
      </c>
      <c r="BZ158" s="171">
        <f ca="1">($AC$146+$AC$152+$AC$155+$AC$196+$AC$202+$AC$205)*MIN(1,0.3+0.3+BY$8)</f>
        <v>44</v>
      </c>
      <c r="CA158">
        <f ca="1" t="shared" si="253"/>
        <v>3.0777641271</v>
      </c>
      <c r="CB158">
        <f ca="1" t="shared" si="230"/>
        <v>3327082.22252656</v>
      </c>
      <c r="CC158">
        <f ca="1" t="shared" si="215"/>
        <v>114847</v>
      </c>
      <c r="CD158">
        <f ca="1" t="shared" si="271"/>
        <v>329910.46875</v>
      </c>
      <c r="CE158">
        <f ca="1" t="shared" si="217"/>
        <v>3305343.64880489</v>
      </c>
      <c r="CF158">
        <f ca="1" t="shared" si="254"/>
        <v>3.0250297521</v>
      </c>
      <c r="CG158">
        <f ca="1" t="shared" si="255"/>
        <v>1.03</v>
      </c>
      <c r="CH158">
        <f ca="1" t="shared" si="231"/>
        <v>3109070.96034676</v>
      </c>
      <c r="CJ158">
        <f ca="1" t="shared" si="272"/>
        <v>315692.4375</v>
      </c>
      <c r="CK158">
        <f ca="1" t="shared" si="273"/>
        <v>3301622.22679261</v>
      </c>
      <c r="CL158">
        <f ca="1" t="shared" si="278"/>
        <v>3.0476860021</v>
      </c>
      <c r="CM158">
        <f ca="1">IF(G158="恒定伤害",0,(IF(D158="轻剑",$CM$8,$CM$9)+IFERROR(INDEX(技能数据库!$T$2:$W$27,MATCH(E158,技能数据库!$T$2:$T$27,0),4),0)+COUNTIF(G158,"*造化2*")*154+COUNTIF(G158,"*造化1*")*102+COUNTIF(G158,"*碧归*")*307)/1024)</f>
        <v>0.176868146929785</v>
      </c>
      <c r="CN158">
        <f ca="1" t="shared" si="233"/>
        <v>3302248.96098186</v>
      </c>
      <c r="CO158">
        <f ca="1" t="shared" si="279"/>
        <v>3.0762602208</v>
      </c>
      <c r="CP158">
        <f ca="1" t="shared" si="235"/>
        <v>3333209.88804191</v>
      </c>
      <c r="CQ158">
        <f ca="1" t="shared" si="256"/>
        <v>1.8815754648</v>
      </c>
      <c r="CR158">
        <f ca="1">IF(G158="恒定伤害",0,(IF(D158="轻剑",$CR$8,$CR$9)+IFERROR(INDEX(技能数据库!$T$2:$W$27,MATCH(E158,技能数据库!$T$2:$T$27,0),4),0)+COUNTIF(G158,"*造化2*")*154+COUNTIF(G158,"*造化1*")*102+COUNTIF(G158,"*碧归*")*307)/1024)</f>
        <v>0.167102521929785</v>
      </c>
      <c r="CS158">
        <f ca="1" t="shared" si="280"/>
        <v>3237737.19962895</v>
      </c>
    </row>
    <row r="159" spans="4:97">
      <c r="D159" t="s">
        <v>1825</v>
      </c>
      <c r="E159" t="s">
        <v>2792</v>
      </c>
      <c r="G159" t="s">
        <v>3108</v>
      </c>
      <c r="H159">
        <f ca="1">INDEX(技能数据库!$B$2:$I$100,MATCH(无穷阵眼收益计算!$E159,技能数据库!$B$2:$B$100,0),MATCH(H$9,技能数据库!$B$2:$I$2,0))</f>
        <v>0</v>
      </c>
      <c r="I159">
        <f ca="1">INDEX(技能数据库!$B$2:$I$100,MATCH(无穷阵眼收益计算!$E159,技能数据库!$B$2:$B$100,0),MATCH(I$9,技能数据库!$B$2:$I$2,0))</f>
        <v>0.16875</v>
      </c>
      <c r="J159">
        <f ca="1">INDEX(技能数据库!$B$2:$I$100,MATCH(无穷阵眼收益计算!$E159,技能数据库!$B$2:$B$100,0),MATCH(J$9,技能数据库!$B$2:$I$2,0))</f>
        <v>1</v>
      </c>
      <c r="K159">
        <f ca="1">INDEX(技能数据库!$B$2:$I$100,MATCH(无穷阵眼收益计算!$E159,技能数据库!$B$2:$B$100,0),MATCH(K$9,技能数据库!$B$2:$I$2,0))</f>
        <v>0</v>
      </c>
      <c r="L159">
        <f ca="1" t="shared" si="186"/>
        <v>105847</v>
      </c>
      <c r="M159">
        <f ca="1" t="shared" si="281"/>
        <v>19530.5</v>
      </c>
      <c r="N159">
        <f ca="1" t="shared" si="282"/>
        <v>92028</v>
      </c>
      <c r="O159">
        <f ca="1" t="shared" si="274"/>
        <v>37392.18125</v>
      </c>
      <c r="P159">
        <f ca="1">IF(G159="恒定伤害",0,(IF(D159="轻剑",$AZ$2,$AZ$3)+IFERROR(INDEX(技能数据库!$T$2:$W$27,MATCH(E159,技能数据库!$T$2:$T$27,0),4),0)+COUNTIF(G159,"*造化2*")*154+COUNTIF(G159,"*造化1*")*102+COUNTIF(G159,"*碧归*")*307)/1024)</f>
        <v>0.316516584429785</v>
      </c>
      <c r="Q159">
        <f ca="1" t="shared" ref="Q159:Q172" si="289">IF(G159="恒定伤害",0,(IF(COUNTIF(F159,"*内破*")&gt;0,内破,IF(D159="轻剑",$AF$2,$AF$3)/破防系数))+IF((IF(D159="轻剑",$AO$2,$AO$3)+INT(COUNTIF(G159,"*大莺鸣*")*IF(D159="轻剑",$AM$2,$AM$3)*听晓无双率)/无双系数)&gt;0.9,(特效裤子破防+特效裤子破防*IF(D159="轻剑",$AD$2,$AD$3)/1024)/破防系数,0))</f>
        <v>0.448284482196154</v>
      </c>
      <c r="R159">
        <f ca="1" t="shared" si="275"/>
        <v>0.21277697966198</v>
      </c>
      <c r="S159">
        <f ca="1" t="shared" si="283"/>
        <v>56125.3157697066</v>
      </c>
      <c r="T159">
        <f t="shared" si="284"/>
        <v>0.8</v>
      </c>
      <c r="U159">
        <f ca="1" t="shared" ref="U159:U172" si="290">IF(G159="恒定伤害",0,(IF(D159="轻剑",$AO$2,$AO$3)+INT(COUNTIF(G159,"*大莺鸣*")*IF(D159="轻剑",$AM$2,$AM$3)*听晓无双率)/无双系数)+IF((IF(D159="轻剑",$AO$2,$AO$3)+INT(COUNTIF(G159,"*大莺鸣*")*IF(D159="轻剑",$AM$2,$AM$3)*听晓无双率)/无双系数)&lt;=0.9,特效裤子无双,0))</f>
        <v>1.7800129648</v>
      </c>
      <c r="V159">
        <f ca="1" t="shared" si="285"/>
        <v>124823.284394623</v>
      </c>
      <c r="W159">
        <f ca="1">IF(G159="恒定伤害",0,MIN(1,IF(COUNTIF(F159,"*内会*")&gt;0,内会2,IF(D159="轻剑",$Y$2,$Y$3)+COUNTIF(G159,"*莺鸣*")*0.2+COUNTIF(G159,"*叠1*")*0.1+COUNTIF(G159,"*叠2*")*0.2+COUNTIF(G159,"*叠3*")*0.3)+IFERROR(INDEX(技能数据库!$T$2:$W$27,MATCH(E159,技能数据库!$T$2:$T$27,0),2),0)+IF((IF(D159="轻剑",$AO$2,$AO$3)+INT(COUNTIF(G159,"*大莺鸣*")*IF(D159="轻剑",$AM$2,$AM$3)*听晓无双率)/无双系数)&gt;0.9,特效裤子会心/会心系数,0)))</f>
        <v>0.8043</v>
      </c>
      <c r="X159">
        <f ca="1">IF(G159="恒定伤害",0,IF(COUNTIF(F159,"*内会*")&gt;0,内会效2,IF(D159="轻剑",$AB$2,$AB$3))+IFERROR(INDEX(技能数据库!$T$2:$W$27,MATCH(E159,技能数据库!$T$2:$T$27,0),3)/1024,0))+COUNTIF(G159,"*叠1*")*0.25+COUNTIF(G159,"*叠2*")*0.5+COUNTIF(G159,"*叠3*")*0.75</f>
        <v>2.4273735021</v>
      </c>
      <c r="Y159">
        <f ca="1" t="shared" si="286"/>
        <v>2.14803650773903</v>
      </c>
      <c r="Z159">
        <f t="shared" si="264"/>
        <v>0.150390625</v>
      </c>
      <c r="AA159">
        <f ca="1" t="shared" si="287"/>
        <v>0.0205078125</v>
      </c>
      <c r="AB159">
        <f ca="1" t="shared" si="288"/>
        <v>314774.057057504</v>
      </c>
      <c r="AC159" s="171">
        <f ca="1">无穷技能数计算!$AJ151</f>
        <v>4</v>
      </c>
      <c r="AD159" s="164">
        <f ca="1" t="shared" ref="AD159:AD172" si="291">IFERROR(AB159*AC159/$AD$7,0)</f>
        <v>0.000493453388446613</v>
      </c>
      <c r="AE159" s="168"/>
      <c r="AF159" s="168">
        <f ca="1" t="shared" ref="AF159:AF172" si="292">W159+IF(COUNTIF(F159,"*内会*")&gt;0,0,IF(D159="轻剑",$AF$8-$Y$2,$AF$9-$Y$3))</f>
        <v>0.8057</v>
      </c>
      <c r="AG159" s="171">
        <f ca="1">无穷技能数计算!$AJ151</f>
        <v>4</v>
      </c>
      <c r="AH159">
        <f ca="1" t="shared" si="189"/>
        <v>109879</v>
      </c>
      <c r="AJ159">
        <f ca="1" t="shared" ref="AJ159:AJ172" si="293">X159+IF(COUNTIF(F159,"*内会*")&gt;0,0,IF(D159="轻剑",$AJ$8-$AB$2,$AJ$9-$AB$3))</f>
        <v>2.6265922521</v>
      </c>
      <c r="AK159">
        <f ca="1" t="shared" si="276"/>
        <v>38311.08125</v>
      </c>
      <c r="AL159">
        <f ca="1" t="shared" si="191"/>
        <v>347004.260486661</v>
      </c>
      <c r="AM159" s="169">
        <f ca="1" t="shared" ref="AM159:AM172" si="294">W159+IF(COUNTIF(F159,"*内会*")&gt;0,0,IF(D159="轻剑",$AN$8-$Y$2,$AN$9-$Y$3))</f>
        <v>0.8272</v>
      </c>
      <c r="AN159" s="171">
        <f ca="1">无穷技能数计算!$AJ151</f>
        <v>4</v>
      </c>
      <c r="AO159" s="170">
        <f ca="1" t="shared" si="193"/>
        <v>352256.414636707</v>
      </c>
      <c r="AP159">
        <f ca="1" t="shared" si="194"/>
        <v>110956</v>
      </c>
      <c r="AQ159" s="170">
        <f ca="1" t="shared" si="277"/>
        <v>38254.325</v>
      </c>
      <c r="AR159">
        <f ca="1" t="shared" si="265"/>
        <v>340924.542513826</v>
      </c>
      <c r="AS159">
        <f ca="1" t="shared" ref="AS159:AS172" si="295">W159+IF(COUNTIF(F159,"*内会*")&gt;0,0,IF(D159="轻剑",$AS$8-$Y$2,$AS$9-$Y$3))</f>
        <v>0.8843</v>
      </c>
      <c r="AT159" s="171">
        <f ca="1">无穷技能数计算!$AJ151</f>
        <v>4</v>
      </c>
      <c r="AU159">
        <f ca="1" t="shared" ref="AU159:AU172" si="296">X159+IF(COUNTIF(F159,"*内会*")&gt;0,0,IF(D159="轻剑",$AU$8-$AB$2,$AU$9-$AB$3))</f>
        <v>2.5738578771</v>
      </c>
      <c r="AV159">
        <f ca="1" t="shared" ref="AV159:AV172" si="297">IF(G159="恒定伤害",0,(IF(D159="轻剑",$AV$8,$AV$9)+INT(COUNTIF(G159,"*大莺鸣*")*IF(D159="轻剑",$AM$2,$AM$3)*听晓无双率)/无双系数))+IF((IF(G159="恒定伤害",0,(IF(D159="轻剑",$AV$8,$AV$9)+INT(COUNTIF(G159,"*大莺鸣*")*IF(D159="轻剑",$AM$2,$AM$3)*听晓无双率)/无双系数)))&lt;=0.9,特效裤子无双,0)</f>
        <v>1.7995442148</v>
      </c>
      <c r="AW159">
        <f ca="1" t="shared" si="226"/>
        <v>352952.156007043</v>
      </c>
      <c r="AX159">
        <f ca="1" t="shared" ref="AX159:AX172" si="298">$W159+IF(COUNTIF(F159,"*内会*")&gt;0,0,IF(I159="轻剑",AX$8-$Y$2,AX$9-$Y$3))</f>
        <v>0.8743</v>
      </c>
      <c r="AY159" s="171">
        <f ca="1">无穷技能数计算!$AJ151</f>
        <v>4</v>
      </c>
      <c r="AZ159" s="170">
        <f ca="1" t="shared" si="227"/>
        <v>350629.615511659</v>
      </c>
      <c r="BA159">
        <f ca="1" t="shared" ref="BA159:BA172" si="299">$W159+IF(COUNTIF(F159,"*内会*")&gt;0,0,IF(L159="轻剑",BA$8-$Y$2,BA$9-$Y$3))</f>
        <v>0.8643</v>
      </c>
      <c r="BB159" s="171">
        <f ca="1">无穷技能数计算!$AJ151</f>
        <v>4</v>
      </c>
      <c r="BC159" s="170">
        <f ca="1" t="shared" si="228"/>
        <v>348307.075016276</v>
      </c>
      <c r="BE159">
        <f ca="1" t="shared" si="200"/>
        <v>105849</v>
      </c>
      <c r="BF159">
        <f ca="1" t="shared" si="266"/>
        <v>37392.51875</v>
      </c>
      <c r="BI159">
        <f ca="1" t="shared" ref="BI159:BI172" si="300">$W159+IF(COUNTIF(F159,"*内会*")&gt;0,0,IF(T159="轻剑",BI$8-$Y$2,BI$9-$Y$3))</f>
        <v>0.8543</v>
      </c>
      <c r="BJ159" s="171">
        <f ca="1">无穷技能数计算!$AJ151</f>
        <v>4</v>
      </c>
      <c r="BK159">
        <f ca="1" t="shared" si="203"/>
        <v>347122.484936239</v>
      </c>
      <c r="BM159">
        <f ca="1" t="shared" si="204"/>
        <v>109230</v>
      </c>
      <c r="BN159">
        <f ca="1" t="shared" si="267"/>
        <v>37963.0625</v>
      </c>
      <c r="BO159">
        <f ca="1" t="shared" si="268"/>
        <v>345141.272329334</v>
      </c>
      <c r="BP159">
        <f ca="1" t="shared" ref="BP159:BP172" si="301">IF(COUNTIF(G159,"*恒定伤害*")&gt;0,AB159,((BN159*(1+P159)*(1+IF(COUNTIF(F159,"*内破*")&gt;0,内破,IF(D159="轻剑",$BQ$8,$BQ$9)/破防系数)+IF((IF(D159="轻剑",$AO$2,$AO$3)+INT(COUNTIF(G159,"*大莺鸣*")*IF(D159="轻剑",$AM$2,$AM$3)*听晓无双率)/无双系数)&gt;0.9,(特效裤子破防+特效裤子破防*IF(D159="轻剑",$AD$2+102,$AD$3+102)/1024)/破防系数,0))*(1-R159))*T159*(1+U159))*Y159*(1+Z159)*(1+AA159))</f>
        <v>329141.32768913</v>
      </c>
      <c r="BR159">
        <f ca="1" t="shared" ref="BR159:BR172" si="302">$W159+IF(T159="轻剑",BI$8-$Y$2,BI$9-$Y$3)</f>
        <v>0.8543</v>
      </c>
      <c r="BS159">
        <f ca="1" t="shared" si="208"/>
        <v>342466.317519098</v>
      </c>
      <c r="BT159">
        <f ca="1" t="shared" si="269"/>
        <v>0.196995876306796</v>
      </c>
      <c r="BU159">
        <f ca="1" t="shared" ref="BU159:BU172" si="303">X159+IF(D159="轻剑",$AU$8-$AB$2,$AU$9-$AB$3)</f>
        <v>2.5738578771</v>
      </c>
      <c r="BV159">
        <f ca="1" t="shared" si="229"/>
        <v>350458.152139616</v>
      </c>
      <c r="BW159">
        <f ca="1" t="shared" si="211"/>
        <v>113027</v>
      </c>
      <c r="BX159">
        <f ca="1" t="shared" si="270"/>
        <v>38603.80625</v>
      </c>
      <c r="BY159">
        <f ca="1" t="shared" ref="BY159:BY172" si="304">$W159+IF(COUNTIF(F159,"*内会*")&gt;0,0,IF(AI159="轻剑",BY$8-$Y$2,BY$9-$Y$3))</f>
        <v>0.8343</v>
      </c>
      <c r="BZ159" s="171">
        <f ca="1">无穷技能数计算!$AJ151</f>
        <v>4</v>
      </c>
      <c r="CA159">
        <f ca="1" t="shared" ref="CA159:CA172" si="305">X159+IF(COUNTIF(F159,"*内会*")&gt;0,0,IF(D159="轻剑",$CA$8-$AB$2,$CA$9-$AB$3))</f>
        <v>2.5777641271</v>
      </c>
      <c r="CB159">
        <f ca="1" t="shared" si="230"/>
        <v>350434.432575808</v>
      </c>
      <c r="CC159">
        <f ca="1" t="shared" si="215"/>
        <v>114847</v>
      </c>
      <c r="CD159">
        <f ca="1" t="shared" si="271"/>
        <v>38910.93125</v>
      </c>
      <c r="CE159">
        <f ca="1" t="shared" si="217"/>
        <v>344084.663796974</v>
      </c>
      <c r="CF159">
        <f ca="1" t="shared" ref="CF159:CF172" si="306">X159+IF(COUNTIF(F159,"*内会*")&gt;0,0,IF(D159="轻剑",$CF$8-$AB$2,$CF$9-$AB$3))</f>
        <v>2.5250297521</v>
      </c>
      <c r="CG159">
        <f ca="1" t="shared" ref="CG159:CG172" si="307">$W159+IF(AI159="轻剑",BY$8-$Y$2,BY$9-$Y$3)</f>
        <v>0.8343</v>
      </c>
      <c r="CH159">
        <f ca="1" t="shared" si="231"/>
        <v>335327.85355111</v>
      </c>
      <c r="CJ159">
        <f ca="1" t="shared" si="272"/>
        <v>37963.0625</v>
      </c>
      <c r="CK159">
        <f ca="1" t="shared" si="273"/>
        <v>343577.801176443</v>
      </c>
      <c r="CL159">
        <f ca="1" t="shared" si="278"/>
        <v>2.5476860021</v>
      </c>
      <c r="CM159">
        <f ca="1">IF(G159="恒定伤害",0,(IF(D159="轻剑",$CM$8,$CM$9)+IFERROR(INDEX(技能数据库!$T$2:$W$27,MATCH(E159,技能数据库!$T$2:$T$27,0),4),0)+COUNTIF(G159,"*造化2*")*154+COUNTIF(G159,"*造化1*")*102+COUNTIF(G159,"*碧归*")*307)/1024)</f>
        <v>0.377063459429785</v>
      </c>
      <c r="CN159">
        <f ca="1" t="shared" si="233"/>
        <v>353667.318835889</v>
      </c>
      <c r="CO159">
        <f ca="1" t="shared" si="279"/>
        <v>2.5762602208</v>
      </c>
      <c r="CP159">
        <f ca="1" t="shared" si="235"/>
        <v>357347.100160394</v>
      </c>
      <c r="CQ159">
        <f ca="1" t="shared" ref="CQ159:CQ172" si="308">IF(G159="恒定伤害",0,(IF(D159="轻剑",$CQ$8,$CQ$9)+INT(COUNTIF(G159,"*大莺鸣*")*IF(D159="轻剑",$AM$2,$AM$3)*听晓无双率)/无双系数))+IF((IF(G159="恒定伤害",0,(IF(D159="轻剑",$CQ$8,$CQ$9)+INT(COUNTIF(G159,"*大莺鸣*")*IF(D159="轻剑",$AM$2,$AM$3)*听晓无双率)/无双系数)))&lt;=0.9,特效裤子无双,0)</f>
        <v>1.8815754648</v>
      </c>
      <c r="CR159">
        <f ca="1">IF(G159="恒定伤害",0,(IF(D159="轻剑",$CR$8,$CR$9)+IFERROR(INDEX(技能数据库!$T$2:$W$27,MATCH(E159,技能数据库!$T$2:$T$27,0),4),0)+COUNTIF(G159,"*造化2*")*154+COUNTIF(G159,"*造化1*")*102+COUNTIF(G159,"*碧归*")*307)/1024)</f>
        <v>0.367297834429785</v>
      </c>
      <c r="CS159">
        <f ca="1" t="shared" si="280"/>
        <v>338858.90226025</v>
      </c>
    </row>
    <row r="160" spans="4:97">
      <c r="D160" t="s">
        <v>1825</v>
      </c>
      <c r="E160" t="s">
        <v>2792</v>
      </c>
      <c r="G160" t="s">
        <v>3109</v>
      </c>
      <c r="H160">
        <f ca="1">INDEX(技能数据库!$B$2:$I$100,MATCH(无穷阵眼收益计算!$E160,技能数据库!$B$2:$B$100,0),MATCH(H$9,技能数据库!$B$2:$I$2,0))</f>
        <v>0</v>
      </c>
      <c r="I160">
        <f ca="1">INDEX(技能数据库!$B$2:$I$100,MATCH(无穷阵眼收益计算!$E160,技能数据库!$B$2:$B$100,0),MATCH(I$9,技能数据库!$B$2:$I$2,0))</f>
        <v>0.16875</v>
      </c>
      <c r="J160">
        <f ca="1">INDEX(技能数据库!$B$2:$I$100,MATCH(无穷阵眼收益计算!$E160,技能数据库!$B$2:$B$100,0),MATCH(J$9,技能数据库!$B$2:$I$2,0))</f>
        <v>1</v>
      </c>
      <c r="K160">
        <f ca="1">INDEX(技能数据库!$B$2:$I$100,MATCH(无穷阵眼收益计算!$E160,技能数据库!$B$2:$B$100,0),MATCH(K$9,技能数据库!$B$2:$I$2,0))</f>
        <v>0</v>
      </c>
      <c r="L160">
        <f ca="1" t="shared" si="186"/>
        <v>105847</v>
      </c>
      <c r="M160">
        <f ca="1" t="shared" ref="M160:M175" si="309">IF(D160="轻剑",$AU$2+$AV$2,$AU$3+$AV$3)/2</f>
        <v>19530.5</v>
      </c>
      <c r="N160">
        <f ca="1" t="shared" ref="N160:N175" si="310">IF(D160="轻剑",$AJ$2,$AJ$3)</f>
        <v>92028</v>
      </c>
      <c r="O160">
        <f ca="1" t="shared" si="274"/>
        <v>37392.18125</v>
      </c>
      <c r="P160">
        <f ca="1">IF(G160="恒定伤害",0,(IF(D160="轻剑",$AZ$2,$AZ$3)+IFERROR(INDEX(技能数据库!$T$2:$W$27,MATCH(E160,技能数据库!$T$2:$T$27,0),4),0)+COUNTIF(G160,"*造化2*")*154+COUNTIF(G160,"*造化1*")*102+COUNTIF(G160,"*碧归*")*307)/1024)</f>
        <v>0.316516584429785</v>
      </c>
      <c r="Q160">
        <f ca="1" t="shared" si="289"/>
        <v>0.448284482196154</v>
      </c>
      <c r="R160">
        <f ca="1" t="shared" si="275"/>
        <v>0.21277697966198</v>
      </c>
      <c r="S160">
        <f ca="1" t="shared" ref="S160:S175" si="311">O160*(1+P160)*(1+Q160)*(1-R160)</f>
        <v>56125.3157697066</v>
      </c>
      <c r="T160">
        <f t="shared" ref="T160:T175" si="312">1-($F$6-130)*0.05</f>
        <v>0.8</v>
      </c>
      <c r="U160">
        <f ca="1" t="shared" si="290"/>
        <v>1.7800129648</v>
      </c>
      <c r="V160">
        <f ca="1" t="shared" ref="V160:V175" si="313">S160*T160*(1+U160)</f>
        <v>124823.284394623</v>
      </c>
      <c r="W160">
        <f ca="1">IF(G160="恒定伤害",0,MIN(1,IF(COUNTIF(F160,"*内会*")&gt;0,内会2,IF(D160="轻剑",$Y$2,$Y$3)+COUNTIF(G160,"*莺鸣*")*0.2+COUNTIF(G160,"*叠1*")*0.1+COUNTIF(G160,"*叠2*")*0.2+COUNTIF(G160,"*叠3*")*0.3)+IFERROR(INDEX(技能数据库!$T$2:$W$27,MATCH(E160,技能数据库!$T$2:$T$27,0),2),0)+IF((IF(D160="轻剑",$AO$2,$AO$3)+INT(COUNTIF(G160,"*大莺鸣*")*IF(D160="轻剑",$AM$2,$AM$3)*听晓无双率)/无双系数)&gt;0.9,特效裤子会心/会心系数,0)))</f>
        <v>0.9043</v>
      </c>
      <c r="X160">
        <f ca="1">IF(G160="恒定伤害",0,IF(COUNTIF(F160,"*内会*")&gt;0,内会效2,IF(D160="轻剑",$AB$2,$AB$3))+IFERROR(INDEX(技能数据库!$T$2:$W$27,MATCH(E160,技能数据库!$T$2:$T$27,0),3)/1024,0))+COUNTIF(G160,"*叠1*")*0.25+COUNTIF(G160,"*叠2*")*0.5+COUNTIF(G160,"*叠3*")*0.75</f>
        <v>2.6773735021</v>
      </c>
      <c r="Y160">
        <f ca="1" t="shared" ref="Y160:Y175" si="314">1+W160*(X160-1)</f>
        <v>2.51684885794903</v>
      </c>
      <c r="Z160">
        <f t="shared" si="264"/>
        <v>0.150390625</v>
      </c>
      <c r="AA160">
        <f ca="1" t="shared" ref="AA160:AA175" si="315">IF(D160="轻剑",$BA$2,$BA$3)/1024</f>
        <v>0.0205078125</v>
      </c>
      <c r="AB160">
        <f ca="1" t="shared" ref="AB160:AB175" si="316">V160*Y160*(1+Z160)*(1+AA160)</f>
        <v>368819.954019801</v>
      </c>
      <c r="AC160">
        <f ca="1">无穷技能数计算!$AJ152</f>
        <v>3.125</v>
      </c>
      <c r="AD160" s="164">
        <f ca="1" t="shared" si="291"/>
        <v>0.000451701615306729</v>
      </c>
      <c r="AE160" s="168"/>
      <c r="AF160" s="168">
        <f ca="1" t="shared" si="292"/>
        <v>0.9057</v>
      </c>
      <c r="AG160">
        <f ca="1">无穷技能数计算!$AJ152</f>
        <v>3.125</v>
      </c>
      <c r="AH160">
        <f ca="1" t="shared" si="189"/>
        <v>109879</v>
      </c>
      <c r="AJ160">
        <f ca="1" t="shared" si="293"/>
        <v>2.8765922521</v>
      </c>
      <c r="AK160">
        <f ca="1" t="shared" si="276"/>
        <v>38311.08125</v>
      </c>
      <c r="AL160">
        <f ca="1" t="shared" si="191"/>
        <v>405438.033374132</v>
      </c>
      <c r="AM160" s="169">
        <f ca="1" t="shared" si="294"/>
        <v>0.9272</v>
      </c>
      <c r="AN160">
        <f ca="1">无穷技能数计算!$AJ152</f>
        <v>3.125</v>
      </c>
      <c r="AO160" s="170">
        <f ca="1" t="shared" si="193"/>
        <v>411497.42027462</v>
      </c>
      <c r="AP160">
        <f ca="1" t="shared" si="194"/>
        <v>110956</v>
      </c>
      <c r="AQ160" s="170">
        <f ca="1" t="shared" si="277"/>
        <v>38254.325</v>
      </c>
      <c r="AR160">
        <f ca="1" t="shared" si="265"/>
        <v>399460.410650044</v>
      </c>
      <c r="AS160">
        <f ca="1" t="shared" si="295"/>
        <v>0.9843</v>
      </c>
      <c r="AT160">
        <f ca="1">无穷技能数计算!$AJ152</f>
        <v>3.125</v>
      </c>
      <c r="AU160">
        <f ca="1" t="shared" si="296"/>
        <v>2.8238578771</v>
      </c>
      <c r="AV160">
        <f ca="1" t="shared" si="297"/>
        <v>1.7995442148</v>
      </c>
      <c r="AW160">
        <f ca="1" t="shared" si="226"/>
        <v>412490.824103449</v>
      </c>
      <c r="AX160">
        <f ca="1" t="shared" si="298"/>
        <v>0.9743</v>
      </c>
      <c r="AY160">
        <f ca="1">无穷技能数计算!$AJ152</f>
        <v>3.125</v>
      </c>
      <c r="AZ160" s="170">
        <f ca="1" t="shared" si="227"/>
        <v>409799.358858065</v>
      </c>
      <c r="BA160">
        <f ca="1" t="shared" si="299"/>
        <v>0.9643</v>
      </c>
      <c r="BB160">
        <f ca="1">无穷技能数计算!$AJ152</f>
        <v>3.125</v>
      </c>
      <c r="BC160" s="170">
        <f ca="1" t="shared" si="228"/>
        <v>407107.893612681</v>
      </c>
      <c r="BE160">
        <f ca="1" t="shared" si="200"/>
        <v>105849</v>
      </c>
      <c r="BF160">
        <f ca="1" t="shared" si="266"/>
        <v>37392.51875</v>
      </c>
      <c r="BI160">
        <f ca="1" t="shared" si="300"/>
        <v>0.9543</v>
      </c>
      <c r="BJ160">
        <f ca="1">无穷技能数计算!$AJ152</f>
        <v>3.125</v>
      </c>
      <c r="BK160">
        <f ca="1" t="shared" si="203"/>
        <v>406761.027535369</v>
      </c>
      <c r="BM160">
        <f ca="1" t="shared" si="204"/>
        <v>109230</v>
      </c>
      <c r="BN160">
        <f ca="1" t="shared" si="267"/>
        <v>37963.0625</v>
      </c>
      <c r="BO160">
        <f ca="1" t="shared" si="268"/>
        <v>404401.142142365</v>
      </c>
      <c r="BP160">
        <f ca="1" t="shared" si="301"/>
        <v>385654.048110275</v>
      </c>
      <c r="BR160">
        <f ca="1" t="shared" si="302"/>
        <v>0.9543</v>
      </c>
      <c r="BS160">
        <f ca="1" t="shared" si="208"/>
        <v>401304.891660676</v>
      </c>
      <c r="BT160">
        <f ca="1" t="shared" si="269"/>
        <v>0.196995876306796</v>
      </c>
      <c r="BU160">
        <f ca="1" t="shared" si="303"/>
        <v>2.8238578771</v>
      </c>
      <c r="BV160">
        <f ca="1" t="shared" si="229"/>
        <v>409645.576721429</v>
      </c>
      <c r="BW160">
        <f ca="1" t="shared" si="211"/>
        <v>113027</v>
      </c>
      <c r="BX160">
        <f ca="1" t="shared" si="270"/>
        <v>38603.80625</v>
      </c>
      <c r="BY160">
        <f ca="1" t="shared" si="304"/>
        <v>0.9343</v>
      </c>
      <c r="BZ160">
        <f ca="1">无穷技能数计算!$AJ152</f>
        <v>3.125</v>
      </c>
      <c r="CA160">
        <f ca="1" t="shared" si="305"/>
        <v>2.8277641271</v>
      </c>
      <c r="CB160">
        <f ca="1" t="shared" si="230"/>
        <v>409641.493950999</v>
      </c>
      <c r="CC160">
        <f ca="1" t="shared" si="215"/>
        <v>114847</v>
      </c>
      <c r="CD160">
        <f ca="1" t="shared" si="271"/>
        <v>38910.93125</v>
      </c>
      <c r="CE160">
        <f ca="1" t="shared" si="217"/>
        <v>403186.315058047</v>
      </c>
      <c r="CF160">
        <f ca="1" t="shared" si="306"/>
        <v>2.7750297521</v>
      </c>
      <c r="CG160">
        <f ca="1" t="shared" si="307"/>
        <v>0.9343</v>
      </c>
      <c r="CH160">
        <f ca="1" t="shared" si="231"/>
        <v>392301.341745168</v>
      </c>
      <c r="CJ160">
        <f ca="1" t="shared" si="272"/>
        <v>37963.0625</v>
      </c>
      <c r="CK160">
        <f ca="1" t="shared" si="273"/>
        <v>402569.22700898</v>
      </c>
      <c r="CL160">
        <f ca="1" t="shared" si="278"/>
        <v>2.7976860021</v>
      </c>
      <c r="CM160">
        <f ca="1">IF(G160="恒定伤害",0,(IF(D160="轻剑",$CM$8,$CM$9)+IFERROR(INDEX(技能数据库!$T$2:$W$27,MATCH(E160,技能数据库!$T$2:$T$27,0),4),0)+COUNTIF(G160,"*造化2*")*154+COUNTIF(G160,"*造化1*")*102+COUNTIF(G160,"*碧归*")*307)/1024)</f>
        <v>0.377063459429785</v>
      </c>
      <c r="CN160">
        <f ca="1" t="shared" si="233"/>
        <v>413610.744083874</v>
      </c>
      <c r="CO160">
        <f ca="1" t="shared" si="279"/>
        <v>2.8262602208</v>
      </c>
      <c r="CP160">
        <f ca="1" t="shared" si="235"/>
        <v>417731.587535252</v>
      </c>
      <c r="CQ160">
        <f ca="1" t="shared" si="308"/>
        <v>1.8815754648</v>
      </c>
      <c r="CR160">
        <f ca="1">IF(G160="恒定伤害",0,(IF(D160="轻剑",$CR$8,$CR$9)+IFERROR(INDEX(技能数据库!$T$2:$W$27,MATCH(E160,技能数据库!$T$2:$T$27,0),4),0)+COUNTIF(G160,"*造化2*")*154+COUNTIF(G160,"*造化1*")*102+COUNTIF(G160,"*碧归*")*307)/1024)</f>
        <v>0.367297834429785</v>
      </c>
      <c r="CS160">
        <f ca="1" t="shared" si="280"/>
        <v>397040.105271426</v>
      </c>
    </row>
    <row r="161" spans="4:97">
      <c r="D161" t="s">
        <v>1825</v>
      </c>
      <c r="E161" t="s">
        <v>2792</v>
      </c>
      <c r="G161" t="s">
        <v>3110</v>
      </c>
      <c r="H161">
        <f ca="1">INDEX(技能数据库!$B$2:$I$100,MATCH(无穷阵眼收益计算!$E161,技能数据库!$B$2:$B$100,0),MATCH(H$9,技能数据库!$B$2:$I$2,0))</f>
        <v>0</v>
      </c>
      <c r="I161">
        <f ca="1">INDEX(技能数据库!$B$2:$I$100,MATCH(无穷阵眼收益计算!$E161,技能数据库!$B$2:$B$100,0),MATCH(I$9,技能数据库!$B$2:$I$2,0))</f>
        <v>0.16875</v>
      </c>
      <c r="J161">
        <f ca="1">INDEX(技能数据库!$B$2:$I$100,MATCH(无穷阵眼收益计算!$E161,技能数据库!$B$2:$B$100,0),MATCH(J$9,技能数据库!$B$2:$I$2,0))</f>
        <v>1</v>
      </c>
      <c r="K161">
        <f ca="1">INDEX(技能数据库!$B$2:$I$100,MATCH(无穷阵眼收益计算!$E161,技能数据库!$B$2:$B$100,0),MATCH(K$9,技能数据库!$B$2:$I$2,0))</f>
        <v>0</v>
      </c>
      <c r="L161">
        <f ca="1" t="shared" si="186"/>
        <v>105847</v>
      </c>
      <c r="M161">
        <f ca="1" t="shared" si="309"/>
        <v>19530.5</v>
      </c>
      <c r="N161">
        <f ca="1" t="shared" si="310"/>
        <v>92028</v>
      </c>
      <c r="O161">
        <f ca="1" t="shared" si="274"/>
        <v>37392.18125</v>
      </c>
      <c r="P161">
        <f ca="1">IF(G161="恒定伤害",0,(IF(D161="轻剑",$AZ$2,$AZ$3)+IFERROR(INDEX(技能数据库!$T$2:$W$27,MATCH(E161,技能数据库!$T$2:$T$27,0),4),0)+COUNTIF(G161,"*造化2*")*154+COUNTIF(G161,"*造化1*")*102+COUNTIF(G161,"*碧归*")*307)/1024)</f>
        <v>0.316516584429785</v>
      </c>
      <c r="Q161">
        <f ca="1" t="shared" si="289"/>
        <v>0.448284482196154</v>
      </c>
      <c r="R161">
        <f ca="1" t="shared" si="275"/>
        <v>0.21277697966198</v>
      </c>
      <c r="S161">
        <f ca="1" t="shared" si="311"/>
        <v>56125.3157697066</v>
      </c>
      <c r="T161">
        <f t="shared" si="312"/>
        <v>0.8</v>
      </c>
      <c r="U161">
        <f ca="1" t="shared" si="290"/>
        <v>1.7800129648</v>
      </c>
      <c r="V161">
        <f ca="1" t="shared" si="313"/>
        <v>124823.284394623</v>
      </c>
      <c r="W161">
        <f ca="1">IF(G161="恒定伤害",0,MIN(1,IF(COUNTIF(F161,"*内会*")&gt;0,内会2,IF(D161="轻剑",$Y$2,$Y$3)+COUNTIF(G161,"*莺鸣*")*0.2+COUNTIF(G161,"*叠1*")*0.1+COUNTIF(G161,"*叠2*")*0.2+COUNTIF(G161,"*叠3*")*0.3)+IFERROR(INDEX(技能数据库!$T$2:$W$27,MATCH(E161,技能数据库!$T$2:$T$27,0),2),0)+IF((IF(D161="轻剑",$AO$2,$AO$3)+INT(COUNTIF(G161,"*大莺鸣*")*IF(D161="轻剑",$AM$2,$AM$3)*听晓无双率)/无双系数)&gt;0.9,特效裤子会心/会心系数,0)))</f>
        <v>1</v>
      </c>
      <c r="X161">
        <f ca="1">IF(G161="恒定伤害",0,IF(COUNTIF(F161,"*内会*")&gt;0,内会效2,IF(D161="轻剑",$AB$2,$AB$3))+IFERROR(INDEX(技能数据库!$T$2:$W$27,MATCH(E161,技能数据库!$T$2:$T$27,0),3)/1024,0))+COUNTIF(G161,"*叠1*")*0.25+COUNTIF(G161,"*叠2*")*0.5+COUNTIF(G161,"*叠3*")*0.75</f>
        <v>2.9273735021</v>
      </c>
      <c r="Y161">
        <f ca="1" t="shared" si="314"/>
        <v>2.9273735021</v>
      </c>
      <c r="Z161">
        <f t="shared" si="264"/>
        <v>0.150390625</v>
      </c>
      <c r="AA161">
        <f ca="1" t="shared" si="315"/>
        <v>0.0205078125</v>
      </c>
      <c r="AB161">
        <f ca="1" t="shared" si="316"/>
        <v>428978.385822948</v>
      </c>
      <c r="AC161">
        <f ca="1">无穷技能数计算!$AJ153</f>
        <v>27.875</v>
      </c>
      <c r="AD161" s="164">
        <f ca="1" t="shared" si="291"/>
        <v>0.00468637998310054</v>
      </c>
      <c r="AE161" s="168"/>
      <c r="AF161" s="168">
        <f ca="1" t="shared" si="292"/>
        <v>1.0014</v>
      </c>
      <c r="AG161">
        <f ca="1">无穷技能数计算!$AJ153</f>
        <v>27.875</v>
      </c>
      <c r="AH161">
        <f ca="1" t="shared" si="189"/>
        <v>109879</v>
      </c>
      <c r="AJ161">
        <f ca="1" t="shared" si="293"/>
        <v>3.1265922521</v>
      </c>
      <c r="AK161">
        <f ca="1" t="shared" si="276"/>
        <v>38311.08125</v>
      </c>
      <c r="AL161">
        <f ca="1" t="shared" si="191"/>
        <v>469560.495474543</v>
      </c>
      <c r="AM161" s="169">
        <f ca="1" t="shared" si="294"/>
        <v>1.0229</v>
      </c>
      <c r="AN161">
        <f ca="1">无穷技能数计算!$AJ153</f>
        <v>27.875</v>
      </c>
      <c r="AO161" s="170">
        <f ca="1" t="shared" si="193"/>
        <v>469560.495474543</v>
      </c>
      <c r="AP161">
        <f ca="1" t="shared" si="194"/>
        <v>110956</v>
      </c>
      <c r="AQ161" s="170">
        <f ca="1" t="shared" si="277"/>
        <v>38254.325</v>
      </c>
      <c r="AR161">
        <f ca="1" t="shared" si="265"/>
        <v>464616.624705799</v>
      </c>
      <c r="AS161">
        <f ca="1" t="shared" si="295"/>
        <v>1.08</v>
      </c>
      <c r="AT161">
        <f ca="1">无穷技能数计算!$AJ153</f>
        <v>27.875</v>
      </c>
      <c r="AU161">
        <f ca="1" t="shared" si="296"/>
        <v>3.0738578771</v>
      </c>
      <c r="AV161">
        <f ca="1" t="shared" si="297"/>
        <v>1.7995442148</v>
      </c>
      <c r="AW161">
        <f ca="1" t="shared" si="226"/>
        <v>453608.899538776</v>
      </c>
      <c r="AX161">
        <f ca="1" t="shared" si="298"/>
        <v>1.07</v>
      </c>
      <c r="AY161">
        <f ca="1">无穷技能数计算!$AJ153</f>
        <v>27.875</v>
      </c>
      <c r="AZ161" s="170">
        <f ca="1" t="shared" si="227"/>
        <v>453608.899538776</v>
      </c>
      <c r="BA161">
        <f ca="1" t="shared" si="299"/>
        <v>1.06</v>
      </c>
      <c r="BB161">
        <f ca="1">无穷技能数计算!$AJ153</f>
        <v>27.875</v>
      </c>
      <c r="BC161" s="170">
        <f ca="1" t="shared" si="228"/>
        <v>453608.899538776</v>
      </c>
      <c r="BE161">
        <f ca="1" t="shared" si="200"/>
        <v>105849</v>
      </c>
      <c r="BF161">
        <f ca="1" t="shared" si="266"/>
        <v>37392.51875</v>
      </c>
      <c r="BI161">
        <f ca="1" t="shared" si="300"/>
        <v>1.05</v>
      </c>
      <c r="BJ161">
        <f ca="1">无穷技能数计算!$AJ153</f>
        <v>27.875</v>
      </c>
      <c r="BK161">
        <f ca="1" t="shared" si="203"/>
        <v>457851.127067889</v>
      </c>
      <c r="BM161">
        <f ca="1" t="shared" si="204"/>
        <v>109230</v>
      </c>
      <c r="BN161">
        <f ca="1" t="shared" si="267"/>
        <v>37963.0625</v>
      </c>
      <c r="BO161">
        <f ca="1" t="shared" si="268"/>
        <v>470363.241712987</v>
      </c>
      <c r="BP161">
        <f ca="1" t="shared" si="301"/>
        <v>448558.298544632</v>
      </c>
      <c r="BR161">
        <f ca="1" t="shared" si="302"/>
        <v>1.05</v>
      </c>
      <c r="BS161">
        <f ca="1" t="shared" si="208"/>
        <v>451709.688260931</v>
      </c>
      <c r="BT161">
        <f ca="1" t="shared" si="269"/>
        <v>0.196995876306796</v>
      </c>
      <c r="BU161">
        <f ca="1" t="shared" si="303"/>
        <v>3.0738578771</v>
      </c>
      <c r="BV161">
        <f ca="1" t="shared" si="229"/>
        <v>459474.11188937</v>
      </c>
      <c r="BW161">
        <f ca="1" t="shared" si="211"/>
        <v>113027</v>
      </c>
      <c r="BX161">
        <f ca="1" t="shared" si="270"/>
        <v>38603.80625</v>
      </c>
      <c r="BY161">
        <f ca="1" t="shared" si="304"/>
        <v>1.03</v>
      </c>
      <c r="BZ161">
        <f ca="1">无穷技能数计算!$AJ153</f>
        <v>27.875</v>
      </c>
      <c r="CA161">
        <f ca="1" t="shared" si="305"/>
        <v>3.0777641271</v>
      </c>
      <c r="CB161">
        <f ca="1" t="shared" si="230"/>
        <v>465631.050900546</v>
      </c>
      <c r="CC161">
        <f ca="1" t="shared" si="215"/>
        <v>114847</v>
      </c>
      <c r="CD161">
        <f ca="1" t="shared" si="271"/>
        <v>38910.93125</v>
      </c>
      <c r="CE161">
        <f ca="1" t="shared" si="217"/>
        <v>459757.984917237</v>
      </c>
      <c r="CF161">
        <f ca="1" t="shared" si="306"/>
        <v>3.0250297521</v>
      </c>
      <c r="CG161">
        <f ca="1" t="shared" si="307"/>
        <v>1.03</v>
      </c>
      <c r="CH161">
        <f ca="1" t="shared" si="231"/>
        <v>446403.338015324</v>
      </c>
      <c r="CJ161">
        <f ca="1" t="shared" si="272"/>
        <v>37963.0625</v>
      </c>
      <c r="CK161">
        <f ca="1" t="shared" si="273"/>
        <v>468232.521863589</v>
      </c>
      <c r="CL161">
        <f ca="1" t="shared" si="278"/>
        <v>3.0476860021</v>
      </c>
      <c r="CM161">
        <f ca="1">IF(G161="恒定伤害",0,(IF(D161="轻剑",$CM$8,$CM$9)+IFERROR(INDEX(技能数据库!$T$2:$W$27,MATCH(E161,技能数据库!$T$2:$T$27,0),4),0)+COUNTIF(G161,"*造化2*")*154+COUNTIF(G161,"*造化1*")*102+COUNTIF(G161,"*碧归*")*307)/1024)</f>
        <v>0.377063459429785</v>
      </c>
      <c r="CN161">
        <f ca="1" t="shared" si="233"/>
        <v>470430.664873631</v>
      </c>
      <c r="CO161">
        <f ca="1" t="shared" si="279"/>
        <v>3.0762602208</v>
      </c>
      <c r="CP161">
        <f ca="1" t="shared" si="235"/>
        <v>474841.286142365</v>
      </c>
      <c r="CQ161">
        <f ca="1" t="shared" si="308"/>
        <v>1.8815754648</v>
      </c>
      <c r="CR161">
        <f ca="1">IF(G161="恒定伤害",0,(IF(D161="轻剑",$CR$8,$CR$9)+IFERROR(INDEX(技能数据库!$T$2:$W$27,MATCH(E161,技能数据库!$T$2:$T$27,0),4),0)+COUNTIF(G161,"*造化2*")*154+COUNTIF(G161,"*造化1*")*102+COUNTIF(G161,"*碧归*")*307)/1024)</f>
        <v>0.367297834429785</v>
      </c>
      <c r="CS161">
        <f ca="1" t="shared" si="280"/>
        <v>461801.54194468</v>
      </c>
    </row>
    <row r="162" spans="4:97">
      <c r="D162" t="s">
        <v>1825</v>
      </c>
      <c r="E162" t="s">
        <v>2794</v>
      </c>
      <c r="G162" t="s">
        <v>3108</v>
      </c>
      <c r="H162">
        <f ca="1">INDEX(技能数据库!$B$2:$I$100,MATCH(无穷阵眼收益计算!$E162,技能数据库!$B$2:$B$100,0),MATCH(H$9,技能数据库!$B$2:$I$2,0))</f>
        <v>231.5</v>
      </c>
      <c r="I162">
        <f ca="1">INDEX(技能数据库!$B$2:$I$100,MATCH(无穷阵眼收益计算!$E162,技能数据库!$B$2:$B$100,0),MATCH(I$9,技能数据库!$B$2:$I$2,0))</f>
        <v>2.71875</v>
      </c>
      <c r="J162">
        <f ca="1">INDEX(技能数据库!$B$2:$I$100,MATCH(无穷阵眼收益计算!$E162,技能数据库!$B$2:$B$100,0),MATCH(J$9,技能数据库!$B$2:$I$2,0))</f>
        <v>2</v>
      </c>
      <c r="K162">
        <f ca="1">INDEX(技能数据库!$B$2:$I$100,MATCH(无穷阵眼收益计算!$E162,技能数据库!$B$2:$B$100,0),MATCH(K$9,技能数据库!$B$2:$I$2,0))</f>
        <v>0</v>
      </c>
      <c r="L162">
        <f ca="1" t="shared" si="186"/>
        <v>105847</v>
      </c>
      <c r="M162">
        <f ca="1" t="shared" si="309"/>
        <v>19530.5</v>
      </c>
      <c r="N162">
        <f ca="1" t="shared" si="310"/>
        <v>92028</v>
      </c>
      <c r="O162">
        <f ca="1" t="shared" si="274"/>
        <v>327064.03125</v>
      </c>
      <c r="P162">
        <f ca="1">IF(G162="恒定伤害",0,(IF(D162="轻剑",$AZ$2,$AZ$3)+IFERROR(INDEX(技能数据库!$T$2:$W$27,MATCH(E162,技能数据库!$T$2:$T$27,0),4),0)+COUNTIF(G162,"*造化2*")*154+COUNTIF(G162,"*造化1*")*102+COUNTIF(G162,"*碧归*")*307)/1024)</f>
        <v>0.236438459429785</v>
      </c>
      <c r="Q162">
        <f ca="1" t="shared" si="289"/>
        <v>0.448284482196154</v>
      </c>
      <c r="R162">
        <f ca="1" t="shared" si="275"/>
        <v>0.21277697966198</v>
      </c>
      <c r="S162">
        <f ca="1" t="shared" si="311"/>
        <v>461059.477278801</v>
      </c>
      <c r="T162">
        <f t="shared" si="312"/>
        <v>0.8</v>
      </c>
      <c r="U162">
        <f ca="1" t="shared" si="290"/>
        <v>1.7800129648</v>
      </c>
      <c r="V162">
        <f ca="1" t="shared" si="313"/>
        <v>1025401.05950318</v>
      </c>
      <c r="W162">
        <f ca="1">IF(G162="恒定伤害",0,MIN(1,IF(COUNTIF(F162,"*内会*")&gt;0,内会2,IF(D162="轻剑",$Y$2,$Y$3)+COUNTIF(G162,"*莺鸣*")*0.2+COUNTIF(G162,"*叠1*")*0.1+COUNTIF(G162,"*叠2*")*0.2+COUNTIF(G162,"*叠3*")*0.3)+IFERROR(INDEX(技能数据库!$T$2:$W$27,MATCH(E162,技能数据库!$T$2:$T$27,0),2),0)+IF((IF(D162="轻剑",$AO$2,$AO$3)+INT(COUNTIF(G162,"*大莺鸣*")*IF(D162="轻剑",$AM$2,$AM$3)*听晓无双率)/无双系数)&gt;0.9,特效裤子会心/会心系数,0)))</f>
        <v>0.8043</v>
      </c>
      <c r="X162">
        <f ca="1">IF(G162="恒定伤害",0,IF(COUNTIF(F162,"*内会*")&gt;0,内会效2,IF(D162="轻剑",$AB$2,$AB$3))+IFERROR(INDEX(技能数据库!$T$2:$W$27,MATCH(E162,技能数据库!$T$2:$T$27,0),3)/1024,0))+COUNTIF(G162,"*叠1*")*0.25+COUNTIF(G162,"*叠2*")*0.5+COUNTIF(G162,"*叠3*")*0.75</f>
        <v>2.4273735021</v>
      </c>
      <c r="Y162">
        <f ca="1" t="shared" si="314"/>
        <v>2.14803650773903</v>
      </c>
      <c r="Z162">
        <f t="shared" si="264"/>
        <v>0.150390625</v>
      </c>
      <c r="AA162">
        <f ca="1" t="shared" si="315"/>
        <v>0.0205078125</v>
      </c>
      <c r="AB162">
        <f ca="1" t="shared" si="316"/>
        <v>2585812.84073939</v>
      </c>
      <c r="AC162">
        <f ca="1">无穷技能数计算!$AJ154</f>
        <v>0</v>
      </c>
      <c r="AD162" s="164">
        <f ca="1" t="shared" si="291"/>
        <v>0</v>
      </c>
      <c r="AE162" s="168"/>
      <c r="AF162" s="168">
        <f ca="1" t="shared" si="292"/>
        <v>0.8057</v>
      </c>
      <c r="AG162">
        <f ca="1">无穷技能数计算!$AJ154</f>
        <v>0</v>
      </c>
      <c r="AH162">
        <f ca="1" t="shared" si="189"/>
        <v>109879</v>
      </c>
      <c r="AJ162">
        <f ca="1" t="shared" si="293"/>
        <v>2.6265922521</v>
      </c>
      <c r="AK162">
        <f ca="1" t="shared" si="276"/>
        <v>338503.03125</v>
      </c>
      <c r="AL162">
        <f ca="1" t="shared" si="191"/>
        <v>2879513.57906044</v>
      </c>
      <c r="AM162" s="169">
        <f ca="1" t="shared" si="294"/>
        <v>0.8272</v>
      </c>
      <c r="AN162">
        <f ca="1">无穷技能数计算!$AJ154</f>
        <v>0</v>
      </c>
      <c r="AO162" s="170">
        <f ca="1" t="shared" si="193"/>
        <v>2923097.04738203</v>
      </c>
      <c r="AP162">
        <f ca="1" t="shared" si="194"/>
        <v>110956</v>
      </c>
      <c r="AQ162" s="170">
        <f ca="1" t="shared" si="277"/>
        <v>340954.125</v>
      </c>
      <c r="AR162">
        <f ca="1" t="shared" si="265"/>
        <v>2853775.75006733</v>
      </c>
      <c r="AS162">
        <f ca="1" t="shared" si="295"/>
        <v>0.8843</v>
      </c>
      <c r="AT162">
        <f ca="1">无穷技能数计算!$AJ154</f>
        <v>0</v>
      </c>
      <c r="AU162">
        <f ca="1" t="shared" si="296"/>
        <v>2.5738578771</v>
      </c>
      <c r="AV162">
        <f ca="1" t="shared" si="297"/>
        <v>1.7995442148</v>
      </c>
      <c r="AW162">
        <f ca="1" t="shared" si="226"/>
        <v>2899439.12691297</v>
      </c>
      <c r="AX162">
        <f ca="1" t="shared" si="298"/>
        <v>0.8743</v>
      </c>
      <c r="AY162">
        <f ca="1">无穷技能数计算!$AJ154</f>
        <v>0</v>
      </c>
      <c r="AZ162" s="170">
        <f ca="1" t="shared" si="227"/>
        <v>2880359.87021615</v>
      </c>
      <c r="BA162">
        <f ca="1" t="shared" si="299"/>
        <v>0.8643</v>
      </c>
      <c r="BB162">
        <f ca="1">无穷技能数计算!$AJ154</f>
        <v>0</v>
      </c>
      <c r="BC162" s="170">
        <f ca="1" t="shared" si="228"/>
        <v>2861280.61351933</v>
      </c>
      <c r="BE162">
        <f ca="1" t="shared" si="200"/>
        <v>105849</v>
      </c>
      <c r="BF162">
        <f ca="1" t="shared" si="266"/>
        <v>327069.46875</v>
      </c>
      <c r="BI162">
        <f ca="1" t="shared" si="300"/>
        <v>0.8543</v>
      </c>
      <c r="BJ162">
        <f ca="1">无穷技能数计算!$AJ154</f>
        <v>0</v>
      </c>
      <c r="BK162">
        <f ca="1" t="shared" si="203"/>
        <v>2851571.08629489</v>
      </c>
      <c r="BM162">
        <f ca="1" t="shared" si="204"/>
        <v>109230</v>
      </c>
      <c r="BN162">
        <f ca="1" t="shared" si="267"/>
        <v>336261.5625</v>
      </c>
      <c r="BO162">
        <f ca="1" t="shared" si="268"/>
        <v>2871170.96470716</v>
      </c>
      <c r="BP162">
        <f ca="1" t="shared" si="301"/>
        <v>2738070.17331863</v>
      </c>
      <c r="BR162">
        <f ca="1" t="shared" si="302"/>
        <v>0.8543</v>
      </c>
      <c r="BS162">
        <f ca="1" t="shared" si="208"/>
        <v>2848918.47507814</v>
      </c>
      <c r="BT162">
        <f ca="1" t="shared" si="269"/>
        <v>0.196995876306796</v>
      </c>
      <c r="BU162">
        <f ca="1" t="shared" si="303"/>
        <v>2.5738578771</v>
      </c>
      <c r="BV162">
        <f ca="1" t="shared" si="229"/>
        <v>2878951.32913977</v>
      </c>
      <c r="BW162">
        <f ca="1" t="shared" si="211"/>
        <v>113027</v>
      </c>
      <c r="BX162">
        <f ca="1" t="shared" si="270"/>
        <v>346584.65625</v>
      </c>
      <c r="BY162">
        <f ca="1" t="shared" si="304"/>
        <v>0.8343</v>
      </c>
      <c r="BZ162">
        <f ca="1">无穷技能数计算!$AJ154</f>
        <v>0</v>
      </c>
      <c r="CA162">
        <f ca="1" t="shared" si="305"/>
        <v>2.5777641271</v>
      </c>
      <c r="CB162">
        <f ca="1" t="shared" si="230"/>
        <v>2954827.60517616</v>
      </c>
      <c r="CC162">
        <f ca="1" t="shared" si="215"/>
        <v>114847</v>
      </c>
      <c r="CD162">
        <f ca="1" t="shared" si="271"/>
        <v>351532.78125</v>
      </c>
      <c r="CE162">
        <f ca="1" t="shared" si="217"/>
        <v>2919481.26378148</v>
      </c>
      <c r="CF162">
        <f ca="1" t="shared" si="306"/>
        <v>2.5250297521</v>
      </c>
      <c r="CG162">
        <f ca="1" t="shared" si="307"/>
        <v>0.8343</v>
      </c>
      <c r="CH162">
        <f ca="1" t="shared" si="231"/>
        <v>2754658.61982277</v>
      </c>
      <c r="CJ162">
        <f ca="1" t="shared" si="272"/>
        <v>336261.5625</v>
      </c>
      <c r="CK162">
        <f ca="1" t="shared" si="273"/>
        <v>2858164.71672052</v>
      </c>
      <c r="CL162">
        <f ca="1" t="shared" si="278"/>
        <v>2.5476860021</v>
      </c>
      <c r="CM162">
        <f ca="1">IF(G162="恒定伤害",0,(IF(D162="轻剑",$CM$8,$CM$9)+IFERROR(INDEX(技能数据库!$T$2:$W$27,MATCH(E162,技能数据库!$T$2:$T$27,0),4),0)+COUNTIF(G162,"*造化2*")*154+COUNTIF(G162,"*造化1*")*102+COUNTIF(G162,"*碧归*")*307)/1024)</f>
        <v>0.296985334429785</v>
      </c>
      <c r="CN162">
        <f ca="1" t="shared" si="233"/>
        <v>2913587.23807496</v>
      </c>
      <c r="CO162">
        <f ca="1" t="shared" si="279"/>
        <v>2.5762602208</v>
      </c>
      <c r="CP162">
        <f ca="1" t="shared" si="235"/>
        <v>2943902.06597954</v>
      </c>
      <c r="CQ162">
        <f ca="1" t="shared" si="308"/>
        <v>1.8815754648</v>
      </c>
      <c r="CR162">
        <f ca="1">IF(G162="恒定伤害",0,(IF(D162="轻剑",$CR$8,$CR$9)+IFERROR(INDEX(技能数据库!$T$2:$W$27,MATCH(E162,技能数据库!$T$2:$T$27,0),4),0)+COUNTIF(G162,"*造化2*")*154+COUNTIF(G162,"*造化1*")*102+COUNTIF(G162,"*碧归*")*307)/1024)</f>
        <v>0.287219709429785</v>
      </c>
      <c r="CS162">
        <f ca="1" t="shared" si="280"/>
        <v>2790361.29828946</v>
      </c>
    </row>
    <row r="163" spans="4:97">
      <c r="D163" t="s">
        <v>1825</v>
      </c>
      <c r="E163" t="s">
        <v>2794</v>
      </c>
      <c r="G163" t="s">
        <v>3109</v>
      </c>
      <c r="H163">
        <f ca="1">INDEX(技能数据库!$B$2:$I$100,MATCH(无穷阵眼收益计算!$E163,技能数据库!$B$2:$B$100,0),MATCH(H$9,技能数据库!$B$2:$I$2,0))</f>
        <v>231.5</v>
      </c>
      <c r="I163">
        <f ca="1">INDEX(技能数据库!$B$2:$I$100,MATCH(无穷阵眼收益计算!$E163,技能数据库!$B$2:$B$100,0),MATCH(I$9,技能数据库!$B$2:$I$2,0))</f>
        <v>2.71875</v>
      </c>
      <c r="J163">
        <f ca="1">INDEX(技能数据库!$B$2:$I$100,MATCH(无穷阵眼收益计算!$E163,技能数据库!$B$2:$B$100,0),MATCH(J$9,技能数据库!$B$2:$I$2,0))</f>
        <v>2</v>
      </c>
      <c r="K163">
        <f ca="1">INDEX(技能数据库!$B$2:$I$100,MATCH(无穷阵眼收益计算!$E163,技能数据库!$B$2:$B$100,0),MATCH(K$9,技能数据库!$B$2:$I$2,0))</f>
        <v>0</v>
      </c>
      <c r="L163">
        <f ca="1" t="shared" si="186"/>
        <v>105847</v>
      </c>
      <c r="M163">
        <f ca="1" t="shared" si="309"/>
        <v>19530.5</v>
      </c>
      <c r="N163">
        <f ca="1" t="shared" si="310"/>
        <v>92028</v>
      </c>
      <c r="O163">
        <f ca="1" t="shared" si="274"/>
        <v>327064.03125</v>
      </c>
      <c r="P163">
        <f ca="1">IF(G163="恒定伤害",0,(IF(D163="轻剑",$AZ$2,$AZ$3)+IFERROR(INDEX(技能数据库!$T$2:$W$27,MATCH(E163,技能数据库!$T$2:$T$27,0),4),0)+COUNTIF(G163,"*造化2*")*154+COUNTIF(G163,"*造化1*")*102+COUNTIF(G163,"*碧归*")*307)/1024)</f>
        <v>0.236438459429785</v>
      </c>
      <c r="Q163">
        <f ca="1" t="shared" si="289"/>
        <v>0.448284482196154</v>
      </c>
      <c r="R163">
        <f ca="1" t="shared" si="275"/>
        <v>0.21277697966198</v>
      </c>
      <c r="S163">
        <f ca="1" t="shared" si="311"/>
        <v>461059.477278801</v>
      </c>
      <c r="T163">
        <f t="shared" si="312"/>
        <v>0.8</v>
      </c>
      <c r="U163">
        <f ca="1" t="shared" si="290"/>
        <v>1.7800129648</v>
      </c>
      <c r="V163">
        <f ca="1" t="shared" si="313"/>
        <v>1025401.05950318</v>
      </c>
      <c r="W163">
        <f ca="1">IF(G163="恒定伤害",0,MIN(1,IF(COUNTIF(F163,"*内会*")&gt;0,内会2,IF(D163="轻剑",$Y$2,$Y$3)+COUNTIF(G163,"*莺鸣*")*0.2+COUNTIF(G163,"*叠1*")*0.1+COUNTIF(G163,"*叠2*")*0.2+COUNTIF(G163,"*叠3*")*0.3)+IFERROR(INDEX(技能数据库!$T$2:$W$27,MATCH(E163,技能数据库!$T$2:$T$27,0),2),0)+IF((IF(D163="轻剑",$AO$2,$AO$3)+INT(COUNTIF(G163,"*大莺鸣*")*IF(D163="轻剑",$AM$2,$AM$3)*听晓无双率)/无双系数)&gt;0.9,特效裤子会心/会心系数,0)))</f>
        <v>0.9043</v>
      </c>
      <c r="X163">
        <f ca="1">IF(G163="恒定伤害",0,IF(COUNTIF(F163,"*内会*")&gt;0,内会效2,IF(D163="轻剑",$AB$2,$AB$3))+IFERROR(INDEX(技能数据库!$T$2:$W$27,MATCH(E163,技能数据库!$T$2:$T$27,0),3)/1024,0))+COUNTIF(G163,"*叠1*")*0.25+COUNTIF(G163,"*叠2*")*0.5+COUNTIF(G163,"*叠3*")*0.75</f>
        <v>2.6773735021</v>
      </c>
      <c r="Y163">
        <f ca="1" t="shared" si="314"/>
        <v>2.51684885794903</v>
      </c>
      <c r="Z163">
        <f t="shared" si="264"/>
        <v>0.150390625</v>
      </c>
      <c r="AA163">
        <f ca="1" t="shared" si="315"/>
        <v>0.0205078125</v>
      </c>
      <c r="AB163">
        <f ca="1" t="shared" si="316"/>
        <v>3029790.26270608</v>
      </c>
      <c r="AC163">
        <f ca="1">无穷技能数计算!$AJ155</f>
        <v>0</v>
      </c>
      <c r="AD163" s="164">
        <f ca="1" t="shared" si="291"/>
        <v>0</v>
      </c>
      <c r="AE163" s="168"/>
      <c r="AF163" s="168">
        <f ca="1" t="shared" si="292"/>
        <v>0.9057</v>
      </c>
      <c r="AG163">
        <f ca="1">无穷技能数计算!$AJ155</f>
        <v>0</v>
      </c>
      <c r="AH163">
        <f ca="1" t="shared" si="189"/>
        <v>109879</v>
      </c>
      <c r="AJ163">
        <f ca="1" t="shared" si="293"/>
        <v>2.8765922521</v>
      </c>
      <c r="AK163">
        <f ca="1" t="shared" si="276"/>
        <v>338503.03125</v>
      </c>
      <c r="AL163">
        <f ca="1" t="shared" si="191"/>
        <v>3364409.18889885</v>
      </c>
      <c r="AM163" s="169">
        <f ca="1" t="shared" si="294"/>
        <v>0.9272</v>
      </c>
      <c r="AN163">
        <f ca="1">无穷技能数计算!$AJ155</f>
        <v>0</v>
      </c>
      <c r="AO163" s="170">
        <f ca="1" t="shared" si="193"/>
        <v>3414691.24260121</v>
      </c>
      <c r="AP163">
        <f ca="1" t="shared" si="194"/>
        <v>110956</v>
      </c>
      <c r="AQ163" s="170">
        <f ca="1" t="shared" si="277"/>
        <v>340954.125</v>
      </c>
      <c r="AR163">
        <f ca="1" t="shared" si="265"/>
        <v>3343761.715186</v>
      </c>
      <c r="AS163">
        <f ca="1" t="shared" si="295"/>
        <v>0.9843</v>
      </c>
      <c r="AT163">
        <f ca="1">无穷技能数计算!$AJ155</f>
        <v>0</v>
      </c>
      <c r="AU163">
        <f ca="1" t="shared" si="296"/>
        <v>2.8238578771</v>
      </c>
      <c r="AV163">
        <f ca="1" t="shared" si="297"/>
        <v>1.7995442148</v>
      </c>
      <c r="AW163">
        <f ca="1" t="shared" si="226"/>
        <v>3388538.68588991</v>
      </c>
      <c r="AX163">
        <f ca="1" t="shared" si="298"/>
        <v>0.9743</v>
      </c>
      <c r="AY163">
        <f ca="1">无穷技能数计算!$AJ155</f>
        <v>0</v>
      </c>
      <c r="AZ163" s="170">
        <f ca="1" t="shared" si="227"/>
        <v>3366428.77805006</v>
      </c>
      <c r="BA163">
        <f ca="1" t="shared" si="299"/>
        <v>0.9643</v>
      </c>
      <c r="BB163">
        <f ca="1">无穷技能数计算!$AJ155</f>
        <v>0</v>
      </c>
      <c r="BC163" s="170">
        <f ca="1" t="shared" si="228"/>
        <v>3344318.87021021</v>
      </c>
      <c r="BE163">
        <f ca="1" t="shared" si="200"/>
        <v>105849</v>
      </c>
      <c r="BF163">
        <f ca="1" t="shared" si="266"/>
        <v>327069.46875</v>
      </c>
      <c r="BI163">
        <f ca="1" t="shared" si="300"/>
        <v>0.9543</v>
      </c>
      <c r="BJ163">
        <f ca="1">无穷技能数计算!$AJ155</f>
        <v>0</v>
      </c>
      <c r="BK163">
        <f ca="1" t="shared" si="203"/>
        <v>3341494.81951453</v>
      </c>
      <c r="BM163">
        <f ca="1" t="shared" si="204"/>
        <v>109230</v>
      </c>
      <c r="BN163">
        <f ca="1" t="shared" si="267"/>
        <v>336261.5625</v>
      </c>
      <c r="BO163">
        <f ca="1" t="shared" si="268"/>
        <v>3364143.64349229</v>
      </c>
      <c r="BP163">
        <f ca="1" t="shared" si="301"/>
        <v>3208189.7881498</v>
      </c>
      <c r="BR163">
        <f ca="1" t="shared" si="302"/>
        <v>0.9543</v>
      </c>
      <c r="BS163">
        <f ca="1" t="shared" si="208"/>
        <v>3338386.46753217</v>
      </c>
      <c r="BT163">
        <f ca="1" t="shared" si="269"/>
        <v>0.196995876306796</v>
      </c>
      <c r="BU163">
        <f ca="1" t="shared" si="303"/>
        <v>2.8238578771</v>
      </c>
      <c r="BV163">
        <f ca="1" t="shared" si="229"/>
        <v>3365165.48517483</v>
      </c>
      <c r="BW163">
        <f ca="1" t="shared" si="211"/>
        <v>113027</v>
      </c>
      <c r="BX163">
        <f ca="1" t="shared" si="270"/>
        <v>346584.65625</v>
      </c>
      <c r="BY163">
        <f ca="1" t="shared" si="304"/>
        <v>0.9343</v>
      </c>
      <c r="BZ163">
        <f ca="1">无穷技能数计算!$AJ155</f>
        <v>0</v>
      </c>
      <c r="CA163">
        <f ca="1" t="shared" si="305"/>
        <v>2.8277641271</v>
      </c>
      <c r="CB163">
        <f ca="1" t="shared" si="230"/>
        <v>3454055.54372905</v>
      </c>
      <c r="CC163">
        <f ca="1" t="shared" si="215"/>
        <v>114847</v>
      </c>
      <c r="CD163">
        <f ca="1" t="shared" si="271"/>
        <v>351532.78125</v>
      </c>
      <c r="CE163">
        <f ca="1" t="shared" si="217"/>
        <v>3420945.53019546</v>
      </c>
      <c r="CF163">
        <f ca="1" t="shared" si="306"/>
        <v>2.7750297521</v>
      </c>
      <c r="CG163">
        <f ca="1" t="shared" si="307"/>
        <v>0.9343</v>
      </c>
      <c r="CH163">
        <f ca="1" t="shared" si="231"/>
        <v>3222685.68257081</v>
      </c>
      <c r="CJ163">
        <f ca="1" t="shared" si="272"/>
        <v>336261.5625</v>
      </c>
      <c r="CK163">
        <f ca="1" t="shared" si="273"/>
        <v>3348904.25613857</v>
      </c>
      <c r="CL163">
        <f ca="1" t="shared" si="278"/>
        <v>2.7976860021</v>
      </c>
      <c r="CM163">
        <f ca="1">IF(G163="恒定伤害",0,(IF(D163="轻剑",$CM$8,$CM$9)+IFERROR(INDEX(技能数据库!$T$2:$W$27,MATCH(E163,技能数据库!$T$2:$T$27,0),4),0)+COUNTIF(G163,"*造化2*")*154+COUNTIF(G163,"*造化1*")*102+COUNTIF(G163,"*碧归*")*307)/1024)</f>
        <v>0.296985334429785</v>
      </c>
      <c r="CN163">
        <f ca="1" t="shared" si="233"/>
        <v>3407414.03378766</v>
      </c>
      <c r="CO163">
        <f ca="1" t="shared" si="279"/>
        <v>2.8262602208</v>
      </c>
      <c r="CP163">
        <f ca="1" t="shared" si="235"/>
        <v>3441362.42610607</v>
      </c>
      <c r="CQ163">
        <f ca="1" t="shared" si="308"/>
        <v>1.8815754648</v>
      </c>
      <c r="CR163">
        <f ca="1">IF(G163="恒定伤害",0,(IF(D163="轻剑",$CR$8,$CR$9)+IFERROR(INDEX(技能数据库!$T$2:$W$27,MATCH(E163,技能数据库!$T$2:$T$27,0),4),0)+COUNTIF(G163,"*造化2*")*154+COUNTIF(G163,"*造化1*")*102+COUNTIF(G163,"*碧归*")*307)/1024)</f>
        <v>0.287219709429785</v>
      </c>
      <c r="CS163">
        <f ca="1" t="shared" si="280"/>
        <v>3269459.16494555</v>
      </c>
    </row>
    <row r="164" spans="4:97">
      <c r="D164" t="s">
        <v>1825</v>
      </c>
      <c r="E164" t="s">
        <v>2794</v>
      </c>
      <c r="G164" t="s">
        <v>3110</v>
      </c>
      <c r="H164">
        <f ca="1">INDEX(技能数据库!$B$2:$I$100,MATCH(无穷阵眼收益计算!$E164,技能数据库!$B$2:$B$100,0),MATCH(H$9,技能数据库!$B$2:$I$2,0))</f>
        <v>231.5</v>
      </c>
      <c r="I164">
        <f ca="1">INDEX(技能数据库!$B$2:$I$100,MATCH(无穷阵眼收益计算!$E164,技能数据库!$B$2:$B$100,0),MATCH(I$9,技能数据库!$B$2:$I$2,0))</f>
        <v>2.71875</v>
      </c>
      <c r="J164">
        <f ca="1">INDEX(技能数据库!$B$2:$I$100,MATCH(无穷阵眼收益计算!$E164,技能数据库!$B$2:$B$100,0),MATCH(J$9,技能数据库!$B$2:$I$2,0))</f>
        <v>2</v>
      </c>
      <c r="K164">
        <f ca="1">INDEX(技能数据库!$B$2:$I$100,MATCH(无穷阵眼收益计算!$E164,技能数据库!$B$2:$B$100,0),MATCH(K$9,技能数据库!$B$2:$I$2,0))</f>
        <v>0</v>
      </c>
      <c r="L164">
        <f ca="1" t="shared" si="186"/>
        <v>105847</v>
      </c>
      <c r="M164">
        <f ca="1" t="shared" si="309"/>
        <v>19530.5</v>
      </c>
      <c r="N164">
        <f ca="1" t="shared" si="310"/>
        <v>92028</v>
      </c>
      <c r="O164">
        <f ca="1" t="shared" si="274"/>
        <v>327064.03125</v>
      </c>
      <c r="P164">
        <f ca="1">IF(G164="恒定伤害",0,(IF(D164="轻剑",$AZ$2,$AZ$3)+IFERROR(INDEX(技能数据库!$T$2:$W$27,MATCH(E164,技能数据库!$T$2:$T$27,0),4),0)+COUNTIF(G164,"*造化2*")*154+COUNTIF(G164,"*造化1*")*102+COUNTIF(G164,"*碧归*")*307)/1024)</f>
        <v>0.236438459429785</v>
      </c>
      <c r="Q164">
        <f ca="1" t="shared" si="289"/>
        <v>0.448284482196154</v>
      </c>
      <c r="R164">
        <f ca="1" t="shared" si="275"/>
        <v>0.21277697966198</v>
      </c>
      <c r="S164">
        <f ca="1" t="shared" si="311"/>
        <v>461059.477278801</v>
      </c>
      <c r="T164">
        <f t="shared" si="312"/>
        <v>0.8</v>
      </c>
      <c r="U164">
        <f ca="1" t="shared" si="290"/>
        <v>1.7800129648</v>
      </c>
      <c r="V164">
        <f ca="1" t="shared" si="313"/>
        <v>1025401.05950318</v>
      </c>
      <c r="W164">
        <f ca="1">IF(G164="恒定伤害",0,MIN(1,IF(COUNTIF(F164,"*内会*")&gt;0,内会2,IF(D164="轻剑",$Y$2,$Y$3)+COUNTIF(G164,"*莺鸣*")*0.2+COUNTIF(G164,"*叠1*")*0.1+COUNTIF(G164,"*叠2*")*0.2+COUNTIF(G164,"*叠3*")*0.3)+IFERROR(INDEX(技能数据库!$T$2:$W$27,MATCH(E164,技能数据库!$T$2:$T$27,0),2),0)+IF((IF(D164="轻剑",$AO$2,$AO$3)+INT(COUNTIF(G164,"*大莺鸣*")*IF(D164="轻剑",$AM$2,$AM$3)*听晓无双率)/无双系数)&gt;0.9,特效裤子会心/会心系数,0)))</f>
        <v>1</v>
      </c>
      <c r="X164">
        <f ca="1">IF(G164="恒定伤害",0,IF(COUNTIF(F164,"*内会*")&gt;0,内会效2,IF(D164="轻剑",$AB$2,$AB$3))+IFERROR(INDEX(技能数据库!$T$2:$W$27,MATCH(E164,技能数据库!$T$2:$T$27,0),3)/1024,0))+COUNTIF(G164,"*叠1*")*0.25+COUNTIF(G164,"*叠2*")*0.5+COUNTIF(G164,"*叠3*")*0.75</f>
        <v>2.9273735021</v>
      </c>
      <c r="Y164">
        <f ca="1" t="shared" si="314"/>
        <v>2.9273735021</v>
      </c>
      <c r="Z164">
        <f t="shared" si="264"/>
        <v>0.150390625</v>
      </c>
      <c r="AA164">
        <f ca="1" t="shared" si="315"/>
        <v>0.0205078125</v>
      </c>
      <c r="AB164">
        <f ca="1" t="shared" si="316"/>
        <v>3523981.0701998</v>
      </c>
      <c r="AC164">
        <f ca="1">无穷技能数计算!$AJ156</f>
        <v>2</v>
      </c>
      <c r="AD164" s="164">
        <f ca="1" t="shared" si="291"/>
        <v>0.00276217235970329</v>
      </c>
      <c r="AE164" s="168"/>
      <c r="AF164" s="168">
        <f ca="1" t="shared" si="292"/>
        <v>1.0014</v>
      </c>
      <c r="AG164">
        <f ca="1">无穷技能数计算!$AJ156</f>
        <v>2</v>
      </c>
      <c r="AH164">
        <f ca="1" t="shared" si="189"/>
        <v>109879</v>
      </c>
      <c r="AJ164">
        <f ca="1" t="shared" si="293"/>
        <v>3.1265922521</v>
      </c>
      <c r="AK164">
        <f ca="1" t="shared" si="276"/>
        <v>338503.03125</v>
      </c>
      <c r="AL164">
        <f ca="1" t="shared" si="191"/>
        <v>3896510.72587125</v>
      </c>
      <c r="AM164" s="169">
        <f ca="1" t="shared" si="294"/>
        <v>1.0229</v>
      </c>
      <c r="AN164">
        <f ca="1">无穷技能数计算!$AJ156</f>
        <v>2</v>
      </c>
      <c r="AO164" s="170">
        <f ca="1" t="shared" si="193"/>
        <v>3896510.72587125</v>
      </c>
      <c r="AP164">
        <f ca="1" t="shared" si="194"/>
        <v>110956</v>
      </c>
      <c r="AQ164" s="170">
        <f ca="1" t="shared" si="277"/>
        <v>340954.125</v>
      </c>
      <c r="AR164">
        <f ca="1" t="shared" si="265"/>
        <v>3889164.58430027</v>
      </c>
      <c r="AS164">
        <f ca="1" t="shared" si="295"/>
        <v>1.08</v>
      </c>
      <c r="AT164">
        <f ca="1">无穷技能数计算!$AJ156</f>
        <v>2</v>
      </c>
      <c r="AU164">
        <f ca="1" t="shared" si="296"/>
        <v>3.0738578771</v>
      </c>
      <c r="AV164">
        <f ca="1" t="shared" si="297"/>
        <v>1.7995442148</v>
      </c>
      <c r="AW164">
        <f ca="1" t="shared" si="226"/>
        <v>3726316.35550179</v>
      </c>
      <c r="AX164">
        <f ca="1" t="shared" si="298"/>
        <v>1.07</v>
      </c>
      <c r="AY164">
        <f ca="1">无穷技能数计算!$AJ156</f>
        <v>2</v>
      </c>
      <c r="AZ164" s="170">
        <f ca="1" t="shared" si="227"/>
        <v>3726316.35550179</v>
      </c>
      <c r="BA164">
        <f ca="1" t="shared" si="299"/>
        <v>1.06</v>
      </c>
      <c r="BB164">
        <f ca="1">无穷技能数计算!$AJ156</f>
        <v>2</v>
      </c>
      <c r="BC164" s="170">
        <f ca="1" t="shared" si="228"/>
        <v>3726316.35550179</v>
      </c>
      <c r="BE164">
        <f ca="1" t="shared" si="200"/>
        <v>105849</v>
      </c>
      <c r="BF164">
        <f ca="1" t="shared" si="266"/>
        <v>327069.46875</v>
      </c>
      <c r="BI164">
        <f ca="1" t="shared" si="300"/>
        <v>1.05</v>
      </c>
      <c r="BJ164">
        <f ca="1">无穷技能数计算!$AJ156</f>
        <v>2</v>
      </c>
      <c r="BK164">
        <f ca="1" t="shared" si="203"/>
        <v>3761194.0811444</v>
      </c>
      <c r="BM164">
        <f ca="1" t="shared" si="204"/>
        <v>109230</v>
      </c>
      <c r="BN164">
        <f ca="1" t="shared" si="267"/>
        <v>336261.5625</v>
      </c>
      <c r="BO164">
        <f ca="1" t="shared" si="268"/>
        <v>3912871.02048816</v>
      </c>
      <c r="BP164">
        <f ca="1" t="shared" si="301"/>
        <v>3731479.4433825</v>
      </c>
      <c r="BR164">
        <f ca="1" t="shared" si="302"/>
        <v>1.05</v>
      </c>
      <c r="BS164">
        <f ca="1" t="shared" si="208"/>
        <v>3757695.31316489</v>
      </c>
      <c r="BT164">
        <f ca="1" t="shared" si="269"/>
        <v>0.196995876306796</v>
      </c>
      <c r="BU164">
        <f ca="1" t="shared" si="303"/>
        <v>3.0738578771</v>
      </c>
      <c r="BV164">
        <f ca="1" t="shared" si="229"/>
        <v>3774498.03080122</v>
      </c>
      <c r="BW164">
        <f ca="1" t="shared" si="211"/>
        <v>113027</v>
      </c>
      <c r="BX164">
        <f ca="1" t="shared" si="270"/>
        <v>346584.65625</v>
      </c>
      <c r="BY164">
        <f ca="1" t="shared" si="304"/>
        <v>1.03</v>
      </c>
      <c r="BZ164">
        <f ca="1">无穷技能数计算!$AJ156</f>
        <v>2</v>
      </c>
      <c r="CA164">
        <f ca="1" t="shared" si="305"/>
        <v>3.0777641271</v>
      </c>
      <c r="CB164">
        <f ca="1" t="shared" si="230"/>
        <v>3926153.81118545</v>
      </c>
      <c r="CC164">
        <f ca="1" t="shared" si="215"/>
        <v>114847</v>
      </c>
      <c r="CD164">
        <f ca="1" t="shared" si="271"/>
        <v>351532.78125</v>
      </c>
      <c r="CE164">
        <f ca="1" t="shared" si="217"/>
        <v>3900943.47137714</v>
      </c>
      <c r="CF164">
        <f ca="1" t="shared" si="306"/>
        <v>3.0250297521</v>
      </c>
      <c r="CG164">
        <f ca="1" t="shared" si="307"/>
        <v>1.03</v>
      </c>
      <c r="CH164">
        <f ca="1" t="shared" si="231"/>
        <v>3667123.95036443</v>
      </c>
      <c r="CJ164">
        <f ca="1" t="shared" si="272"/>
        <v>336261.5625</v>
      </c>
      <c r="CK164">
        <f ca="1" t="shared" si="273"/>
        <v>3895145.92802318</v>
      </c>
      <c r="CL164">
        <f ca="1" t="shared" si="278"/>
        <v>3.0476860021</v>
      </c>
      <c r="CM164">
        <f ca="1">IF(G164="恒定伤害",0,(IF(D164="轻剑",$CM$8,$CM$9)+IFERROR(INDEX(技能数据库!$T$2:$W$27,MATCH(E164,技能数据库!$T$2:$T$27,0),4),0)+COUNTIF(G164,"*造化2*")*154+COUNTIF(G164,"*造化1*")*102+COUNTIF(G164,"*碧归*")*307)/1024)</f>
        <v>0.296985334429785</v>
      </c>
      <c r="CN164">
        <f ca="1" t="shared" si="233"/>
        <v>3875508.72974764</v>
      </c>
      <c r="CO164">
        <f ca="1" t="shared" si="279"/>
        <v>3.0762602208</v>
      </c>
      <c r="CP164">
        <f ca="1" t="shared" si="235"/>
        <v>3911844.37388594</v>
      </c>
      <c r="CQ164">
        <f ca="1" t="shared" si="308"/>
        <v>1.8815754648</v>
      </c>
      <c r="CR164">
        <f ca="1">IF(G164="恒定伤害",0,(IF(D164="轻剑",$CR$8,$CR$9)+IFERROR(INDEX(技能数据库!$T$2:$W$27,MATCH(E164,技能数据库!$T$2:$T$27,0),4),0)+COUNTIF(G164,"*造化2*")*154+COUNTIF(G164,"*造化1*")*102+COUNTIF(G164,"*碧归*")*307)/1024)</f>
        <v>0.287219709429785</v>
      </c>
      <c r="CS164">
        <f ca="1" t="shared" si="280"/>
        <v>3802742.50296416</v>
      </c>
    </row>
    <row r="165" spans="4:97">
      <c r="D165" t="s">
        <v>1825</v>
      </c>
      <c r="E165" t="s">
        <v>2798</v>
      </c>
      <c r="G165" t="s">
        <v>3108</v>
      </c>
      <c r="H165">
        <f ca="1">INDEX(技能数据库!$B$2:$I$100,MATCH(无穷阵眼收益计算!$E165,技能数据库!$B$2:$B$100,0),MATCH(H$9,技能数据库!$B$2:$I$2,0))</f>
        <v>1504.5</v>
      </c>
      <c r="I165">
        <f ca="1">INDEX(技能数据库!$B$2:$I$100,MATCH(无穷阵眼收益计算!$E165,技能数据库!$B$2:$B$100,0),MATCH(I$9,技能数据库!$B$2:$I$2,0))</f>
        <v>2.85625</v>
      </c>
      <c r="J165">
        <f ca="1">INDEX(技能数据库!$B$2:$I$100,MATCH(无穷阵眼收益计算!$E165,技能数据库!$B$2:$B$100,0),MATCH(J$9,技能数据库!$B$2:$I$2,0))</f>
        <v>0</v>
      </c>
      <c r="K165">
        <f ca="1">INDEX(技能数据库!$B$2:$I$100,MATCH(无穷阵眼收益计算!$E165,技能数据库!$B$2:$B$100,0),MATCH(K$9,技能数据库!$B$2:$I$2,0))</f>
        <v>0</v>
      </c>
      <c r="L165">
        <f ca="1" t="shared" si="186"/>
        <v>105847</v>
      </c>
      <c r="M165">
        <f ca="1" t="shared" si="309"/>
        <v>19530.5</v>
      </c>
      <c r="N165">
        <f ca="1" t="shared" si="310"/>
        <v>92028</v>
      </c>
      <c r="O165">
        <f ca="1" t="shared" si="274"/>
        <v>303829.99375</v>
      </c>
      <c r="P165">
        <f ca="1">IF(G165="恒定伤害",0,(IF(D165="轻剑",$AZ$2,$AZ$3)+IFERROR(INDEX(技能数据库!$T$2:$W$27,MATCH(E165,技能数据库!$T$2:$T$27,0),4),0)+COUNTIF(G165,"*造化2*")*154+COUNTIF(G165,"*造化1*")*102+COUNTIF(G165,"*碧归*")*307)/1024)</f>
        <v>0.116321271929785</v>
      </c>
      <c r="Q165">
        <f ca="1" t="shared" si="289"/>
        <v>0.448284482196154</v>
      </c>
      <c r="R165">
        <f ca="1" t="shared" si="275"/>
        <v>0.21277697966198</v>
      </c>
      <c r="S165">
        <f ca="1" t="shared" si="311"/>
        <v>386697.627911573</v>
      </c>
      <c r="T165">
        <f t="shared" si="312"/>
        <v>0.8</v>
      </c>
      <c r="U165">
        <f ca="1" t="shared" si="290"/>
        <v>1.7800129648</v>
      </c>
      <c r="V165">
        <f ca="1" t="shared" si="313"/>
        <v>860019.535241264</v>
      </c>
      <c r="W165">
        <f ca="1">IF(G165="恒定伤害",0,MIN(1,IF(COUNTIF(F165,"*内会*")&gt;0,内会2,IF(D165="轻剑",$Y$2,$Y$3)+COUNTIF(G165,"*莺鸣*")*0.2+COUNTIF(G165,"*叠1*")*0.1+COUNTIF(G165,"*叠2*")*0.2+COUNTIF(G165,"*叠3*")*0.3)+IFERROR(INDEX(技能数据库!$T$2:$W$27,MATCH(E165,技能数据库!$T$2:$T$27,0),2),0)+IF((IF(D165="轻剑",$AO$2,$AO$3)+INT(COUNTIF(G165,"*大莺鸣*")*IF(D165="轻剑",$AM$2,$AM$3)*听晓无双率)/无双系数)&gt;0.9,特效裤子会心/会心系数,0)))</f>
        <v>0.8043</v>
      </c>
      <c r="X165">
        <f ca="1">IF(G165="恒定伤害",0,IF(COUNTIF(F165,"*内会*")&gt;0,内会效2,IF(D165="轻剑",$AB$2,$AB$3))+IFERROR(INDEX(技能数据库!$T$2:$W$27,MATCH(E165,技能数据库!$T$2:$T$27,0),3)/1024,0))+COUNTIF(G165,"*叠1*")*0.25+COUNTIF(G165,"*叠2*")*0.5+COUNTIF(G165,"*叠3*")*0.75</f>
        <v>2.4273735021</v>
      </c>
      <c r="Y165">
        <f ca="1" t="shared" si="314"/>
        <v>2.14803650773903</v>
      </c>
      <c r="Z165">
        <f t="shared" si="264"/>
        <v>0.150390625</v>
      </c>
      <c r="AA165">
        <f ca="1" t="shared" si="315"/>
        <v>0.0205078125</v>
      </c>
      <c r="AB165">
        <f ca="1" t="shared" si="316"/>
        <v>2168760.73698526</v>
      </c>
      <c r="AC165">
        <f ca="1">无穷技能数计算!$AJ157</f>
        <v>0</v>
      </c>
      <c r="AD165" s="164">
        <f ca="1" t="shared" si="291"/>
        <v>0</v>
      </c>
      <c r="AE165" s="168"/>
      <c r="AF165" s="168">
        <f ca="1" t="shared" si="292"/>
        <v>0.8057</v>
      </c>
      <c r="AG165">
        <f ca="1">无穷技能数计算!$AJ157</f>
        <v>0</v>
      </c>
      <c r="AH165">
        <f ca="1" t="shared" si="189"/>
        <v>109879</v>
      </c>
      <c r="AJ165">
        <f ca="1" t="shared" si="293"/>
        <v>2.6265922521</v>
      </c>
      <c r="AK165">
        <f ca="1" t="shared" si="276"/>
        <v>315346.39375</v>
      </c>
      <c r="AL165">
        <f ca="1" t="shared" si="191"/>
        <v>2421927.46825262</v>
      </c>
      <c r="AM165" s="169">
        <f ca="1" t="shared" si="294"/>
        <v>0.8272</v>
      </c>
      <c r="AN165">
        <f ca="1">无穷技能数计算!$AJ157</f>
        <v>0</v>
      </c>
      <c r="AO165" s="170">
        <f ca="1" t="shared" si="193"/>
        <v>2458585.04814992</v>
      </c>
      <c r="AP165">
        <f ca="1" t="shared" si="194"/>
        <v>110956</v>
      </c>
      <c r="AQ165" s="170">
        <f ca="1" t="shared" si="277"/>
        <v>318422.575</v>
      </c>
      <c r="AR165">
        <f ca="1" t="shared" si="265"/>
        <v>2406270.45859603</v>
      </c>
      <c r="AS165">
        <f ca="1" t="shared" si="295"/>
        <v>0.8843</v>
      </c>
      <c r="AT165">
        <f ca="1">无穷技能数计算!$AJ157</f>
        <v>0</v>
      </c>
      <c r="AU165">
        <f ca="1" t="shared" si="296"/>
        <v>2.5738578771</v>
      </c>
      <c r="AV165">
        <f ca="1" t="shared" si="297"/>
        <v>1.7995442148</v>
      </c>
      <c r="AW165">
        <f ca="1" t="shared" si="226"/>
        <v>2431803.89495228</v>
      </c>
      <c r="AX165">
        <f ca="1" t="shared" si="298"/>
        <v>0.8743</v>
      </c>
      <c r="AY165">
        <f ca="1">无穷技能数计算!$AJ157</f>
        <v>0</v>
      </c>
      <c r="AZ165" s="170">
        <f ca="1" t="shared" si="227"/>
        <v>2415801.83085738</v>
      </c>
      <c r="BA165">
        <f ca="1" t="shared" si="299"/>
        <v>0.8643</v>
      </c>
      <c r="BB165">
        <f ca="1">无穷技能数计算!$AJ157</f>
        <v>0</v>
      </c>
      <c r="BC165" s="170">
        <f ca="1" t="shared" si="228"/>
        <v>2399799.76676248</v>
      </c>
      <c r="BE165">
        <f ca="1" t="shared" si="200"/>
        <v>105849</v>
      </c>
      <c r="BF165">
        <f ca="1" t="shared" si="266"/>
        <v>303835.70625</v>
      </c>
      <c r="BI165">
        <f ca="1" t="shared" si="300"/>
        <v>0.8543</v>
      </c>
      <c r="BJ165">
        <f ca="1">无穷技能数计算!$AJ157</f>
        <v>0</v>
      </c>
      <c r="BK165">
        <f ca="1" t="shared" si="203"/>
        <v>2391661.44316069</v>
      </c>
      <c r="BM165">
        <f ca="1" t="shared" si="204"/>
        <v>109230</v>
      </c>
      <c r="BN165">
        <f ca="1" t="shared" si="267"/>
        <v>313492.6875</v>
      </c>
      <c r="BO165">
        <f ca="1" t="shared" si="268"/>
        <v>2416717.77810695</v>
      </c>
      <c r="BP165">
        <f ca="1" t="shared" si="301"/>
        <v>2304684.37682826</v>
      </c>
      <c r="BR165">
        <f ca="1" t="shared" si="302"/>
        <v>0.8543</v>
      </c>
      <c r="BS165">
        <f ca="1" t="shared" si="208"/>
        <v>2397987.44544664</v>
      </c>
      <c r="BT165">
        <f ca="1" t="shared" si="269"/>
        <v>0.196995876306796</v>
      </c>
      <c r="BU165">
        <f ca="1" t="shared" si="303"/>
        <v>2.5738578771</v>
      </c>
      <c r="BV165">
        <f ca="1" t="shared" si="229"/>
        <v>2414620.46593616</v>
      </c>
      <c r="BW165">
        <f ca="1" t="shared" si="211"/>
        <v>113027</v>
      </c>
      <c r="BX165">
        <f ca="1" t="shared" si="270"/>
        <v>324337.86875</v>
      </c>
      <c r="BY165">
        <f ca="1" t="shared" si="304"/>
        <v>0.8343</v>
      </c>
      <c r="BZ165">
        <f ca="1">无穷技能数计算!$AJ157</f>
        <v>0</v>
      </c>
      <c r="CA165">
        <f ca="1" t="shared" si="305"/>
        <v>2.5777641271</v>
      </c>
      <c r="CB165">
        <f ca="1" t="shared" si="230"/>
        <v>2496532.18571575</v>
      </c>
      <c r="CC165">
        <f ca="1" t="shared" si="215"/>
        <v>114847</v>
      </c>
      <c r="CD165">
        <f ca="1" t="shared" si="271"/>
        <v>329536.24375</v>
      </c>
      <c r="CE165">
        <f ca="1" t="shared" si="217"/>
        <v>2470926.02952371</v>
      </c>
      <c r="CF165">
        <f ca="1" t="shared" si="306"/>
        <v>2.5250297521</v>
      </c>
      <c r="CG165">
        <f ca="1" t="shared" si="307"/>
        <v>0.8343</v>
      </c>
      <c r="CH165">
        <f ca="1" t="shared" si="231"/>
        <v>2310374.27162027</v>
      </c>
      <c r="CJ165">
        <f ca="1" t="shared" si="272"/>
        <v>313492.6875</v>
      </c>
      <c r="CK165">
        <f ca="1" t="shared" si="273"/>
        <v>2405770.17828717</v>
      </c>
      <c r="CL165">
        <f ca="1" t="shared" si="278"/>
        <v>2.5476860021</v>
      </c>
      <c r="CM165">
        <f ca="1">IF(G165="恒定伤害",0,(IF(D165="轻剑",$CM$8,$CM$9)+IFERROR(INDEX(技能数据库!$T$2:$W$27,MATCH(E165,技能数据库!$T$2:$T$27,0),4),0)+COUNTIF(G165,"*造化2*")*154+COUNTIF(G165,"*造化1*")*102+COUNTIF(G165,"*碧归*")*307)/1024)</f>
        <v>0.176868146929785</v>
      </c>
      <c r="CN165">
        <f ca="1" t="shared" si="233"/>
        <v>2455944.95393055</v>
      </c>
      <c r="CO165">
        <f ca="1" t="shared" si="279"/>
        <v>2.5762602208</v>
      </c>
      <c r="CP165">
        <f ca="1" t="shared" si="235"/>
        <v>2481498.17837105</v>
      </c>
      <c r="CQ165">
        <f ca="1" t="shared" si="308"/>
        <v>1.8815754648</v>
      </c>
      <c r="CR165">
        <f ca="1">IF(G165="恒定伤害",0,(IF(D165="轻剑",$CR$8,$CR$9)+IFERROR(INDEX(技能数据库!$T$2:$W$27,MATCH(E165,技能数据库!$T$2:$T$27,0),4),0)+COUNTIF(G165,"*造化2*")*154+COUNTIF(G165,"*造化1*")*102+COUNTIF(G165,"*碧归*")*307)/1024)</f>
        <v>0.167102521929785</v>
      </c>
      <c r="CS165">
        <f ca="1" t="shared" si="280"/>
        <v>2350253.05381229</v>
      </c>
    </row>
    <row r="166" spans="4:97">
      <c r="D166" t="s">
        <v>1825</v>
      </c>
      <c r="E166" t="s">
        <v>2798</v>
      </c>
      <c r="G166" t="s">
        <v>3109</v>
      </c>
      <c r="H166">
        <f ca="1">INDEX(技能数据库!$B$2:$I$100,MATCH(无穷阵眼收益计算!$E166,技能数据库!$B$2:$B$100,0),MATCH(H$9,技能数据库!$B$2:$I$2,0))</f>
        <v>1504.5</v>
      </c>
      <c r="I166">
        <f ca="1">INDEX(技能数据库!$B$2:$I$100,MATCH(无穷阵眼收益计算!$E166,技能数据库!$B$2:$B$100,0),MATCH(I$9,技能数据库!$B$2:$I$2,0))</f>
        <v>2.85625</v>
      </c>
      <c r="J166">
        <f ca="1">INDEX(技能数据库!$B$2:$I$100,MATCH(无穷阵眼收益计算!$E166,技能数据库!$B$2:$B$100,0),MATCH(J$9,技能数据库!$B$2:$I$2,0))</f>
        <v>0</v>
      </c>
      <c r="K166">
        <f ca="1">INDEX(技能数据库!$B$2:$I$100,MATCH(无穷阵眼收益计算!$E166,技能数据库!$B$2:$B$100,0),MATCH(K$9,技能数据库!$B$2:$I$2,0))</f>
        <v>0</v>
      </c>
      <c r="L166">
        <f ca="1" t="shared" si="186"/>
        <v>105847</v>
      </c>
      <c r="M166">
        <f ca="1" t="shared" si="309"/>
        <v>19530.5</v>
      </c>
      <c r="N166">
        <f ca="1" t="shared" si="310"/>
        <v>92028</v>
      </c>
      <c r="O166">
        <f ca="1" t="shared" si="274"/>
        <v>303829.99375</v>
      </c>
      <c r="P166">
        <f ca="1">IF(G166="恒定伤害",0,(IF(D166="轻剑",$AZ$2,$AZ$3)+IFERROR(INDEX(技能数据库!$T$2:$W$27,MATCH(E166,技能数据库!$T$2:$T$27,0),4),0)+COUNTIF(G166,"*造化2*")*154+COUNTIF(G166,"*造化1*")*102+COUNTIF(G166,"*碧归*")*307)/1024)</f>
        <v>0.116321271929785</v>
      </c>
      <c r="Q166">
        <f ca="1" t="shared" si="289"/>
        <v>0.448284482196154</v>
      </c>
      <c r="R166">
        <f ca="1" t="shared" si="275"/>
        <v>0.21277697966198</v>
      </c>
      <c r="S166">
        <f ca="1" t="shared" si="311"/>
        <v>386697.627911573</v>
      </c>
      <c r="T166">
        <f t="shared" si="312"/>
        <v>0.8</v>
      </c>
      <c r="U166">
        <f ca="1" t="shared" si="290"/>
        <v>1.7800129648</v>
      </c>
      <c r="V166">
        <f ca="1" t="shared" si="313"/>
        <v>860019.535241264</v>
      </c>
      <c r="W166">
        <f ca="1">IF(G166="恒定伤害",0,MIN(1,IF(COUNTIF(F166,"*内会*")&gt;0,内会2,IF(D166="轻剑",$Y$2,$Y$3)+COUNTIF(G166,"*莺鸣*")*0.2+COUNTIF(G166,"*叠1*")*0.1+COUNTIF(G166,"*叠2*")*0.2+COUNTIF(G166,"*叠3*")*0.3)+IFERROR(INDEX(技能数据库!$T$2:$W$27,MATCH(E166,技能数据库!$T$2:$T$27,0),2),0)+IF((IF(D166="轻剑",$AO$2,$AO$3)+INT(COUNTIF(G166,"*大莺鸣*")*IF(D166="轻剑",$AM$2,$AM$3)*听晓无双率)/无双系数)&gt;0.9,特效裤子会心/会心系数,0)))</f>
        <v>0.9043</v>
      </c>
      <c r="X166">
        <f ca="1">IF(G166="恒定伤害",0,IF(COUNTIF(F166,"*内会*")&gt;0,内会效2,IF(D166="轻剑",$AB$2,$AB$3))+IFERROR(INDEX(技能数据库!$T$2:$W$27,MATCH(E166,技能数据库!$T$2:$T$27,0),3)/1024,0))+COUNTIF(G166,"*叠1*")*0.25+COUNTIF(G166,"*叠2*")*0.5+COUNTIF(G166,"*叠3*")*0.75</f>
        <v>2.6773735021</v>
      </c>
      <c r="Y166">
        <f ca="1" t="shared" si="314"/>
        <v>2.51684885794903</v>
      </c>
      <c r="Z166">
        <f t="shared" si="264"/>
        <v>0.150390625</v>
      </c>
      <c r="AA166">
        <f ca="1" t="shared" si="315"/>
        <v>0.0205078125</v>
      </c>
      <c r="AB166">
        <f ca="1" t="shared" si="316"/>
        <v>2541131.38411761</v>
      </c>
      <c r="AC166">
        <f ca="1">无穷技能数计算!$AJ158</f>
        <v>0</v>
      </c>
      <c r="AD166" s="164">
        <f ca="1" t="shared" si="291"/>
        <v>0</v>
      </c>
      <c r="AE166" s="168"/>
      <c r="AF166" s="168">
        <f ca="1" t="shared" si="292"/>
        <v>0.9057</v>
      </c>
      <c r="AG166">
        <f ca="1">无穷技能数计算!$AJ158</f>
        <v>0</v>
      </c>
      <c r="AH166">
        <f ca="1" t="shared" si="189"/>
        <v>109879</v>
      </c>
      <c r="AJ166">
        <f ca="1" t="shared" si="293"/>
        <v>2.8765922521</v>
      </c>
      <c r="AK166">
        <f ca="1" t="shared" si="276"/>
        <v>315346.39375</v>
      </c>
      <c r="AL166">
        <f ca="1" t="shared" si="191"/>
        <v>2829767.87756436</v>
      </c>
      <c r="AM166" s="169">
        <f ca="1" t="shared" si="294"/>
        <v>0.9272</v>
      </c>
      <c r="AN166">
        <f ca="1">无穷技能数计算!$AJ158</f>
        <v>0</v>
      </c>
      <c r="AO166" s="170">
        <f ca="1" t="shared" si="193"/>
        <v>2872059.56457271</v>
      </c>
      <c r="AP166">
        <f ca="1" t="shared" si="194"/>
        <v>110956</v>
      </c>
      <c r="AQ166" s="170">
        <f ca="1" t="shared" si="277"/>
        <v>318422.575</v>
      </c>
      <c r="AR166">
        <f ca="1" t="shared" si="265"/>
        <v>2819420.91478163</v>
      </c>
      <c r="AS166">
        <f ca="1" t="shared" si="295"/>
        <v>0.9843</v>
      </c>
      <c r="AT166">
        <f ca="1">无穷技能数计算!$AJ158</f>
        <v>0</v>
      </c>
      <c r="AU166">
        <f ca="1" t="shared" si="296"/>
        <v>2.8238578771</v>
      </c>
      <c r="AV166">
        <f ca="1" t="shared" si="297"/>
        <v>1.7995442148</v>
      </c>
      <c r="AW166">
        <f ca="1" t="shared" si="226"/>
        <v>2842019.16779572</v>
      </c>
      <c r="AX166">
        <f ca="1" t="shared" si="298"/>
        <v>0.9743</v>
      </c>
      <c r="AY166">
        <f ca="1">无穷技能数计算!$AJ158</f>
        <v>0</v>
      </c>
      <c r="AZ166" s="170">
        <f ca="1" t="shared" si="227"/>
        <v>2823475.25028322</v>
      </c>
      <c r="BA166">
        <f ca="1" t="shared" si="299"/>
        <v>0.9643</v>
      </c>
      <c r="BB166">
        <f ca="1">无穷技能数计算!$AJ158</f>
        <v>0</v>
      </c>
      <c r="BC166" s="170">
        <f ca="1" t="shared" si="228"/>
        <v>2804931.33277072</v>
      </c>
      <c r="BE166">
        <f ca="1" t="shared" si="200"/>
        <v>105849</v>
      </c>
      <c r="BF166">
        <f ca="1" t="shared" si="266"/>
        <v>303835.70625</v>
      </c>
      <c r="BI166">
        <f ca="1" t="shared" si="300"/>
        <v>0.9543</v>
      </c>
      <c r="BJ166">
        <f ca="1">无穷技能数计算!$AJ158</f>
        <v>0</v>
      </c>
      <c r="BK166">
        <f ca="1" t="shared" si="203"/>
        <v>2802568.85783547</v>
      </c>
      <c r="BM166">
        <f ca="1" t="shared" si="204"/>
        <v>109230</v>
      </c>
      <c r="BN166">
        <f ca="1" t="shared" si="267"/>
        <v>313492.6875</v>
      </c>
      <c r="BO166">
        <f ca="1" t="shared" si="268"/>
        <v>2831662.01221407</v>
      </c>
      <c r="BP166">
        <f ca="1" t="shared" si="301"/>
        <v>2700392.7637425</v>
      </c>
      <c r="BR166">
        <f ca="1" t="shared" si="302"/>
        <v>0.9543</v>
      </c>
      <c r="BS166">
        <f ca="1" t="shared" si="208"/>
        <v>2809981.72015839</v>
      </c>
      <c r="BT166">
        <f ca="1" t="shared" si="269"/>
        <v>0.196995876306796</v>
      </c>
      <c r="BU166">
        <f ca="1" t="shared" si="303"/>
        <v>2.8238578771</v>
      </c>
      <c r="BV166">
        <f ca="1" t="shared" si="229"/>
        <v>2822415.70724749</v>
      </c>
      <c r="BW166">
        <f ca="1" t="shared" si="211"/>
        <v>113027</v>
      </c>
      <c r="BX166">
        <f ca="1" t="shared" si="270"/>
        <v>324337.86875</v>
      </c>
      <c r="BY166">
        <f ca="1" t="shared" si="304"/>
        <v>0.9343</v>
      </c>
      <c r="BZ166">
        <f ca="1">无穷技能数计算!$AJ158</f>
        <v>0</v>
      </c>
      <c r="CA166">
        <f ca="1" t="shared" si="305"/>
        <v>2.8277641271</v>
      </c>
      <c r="CB166">
        <f ca="1" t="shared" si="230"/>
        <v>2918329.59089178</v>
      </c>
      <c r="CC166">
        <f ca="1" t="shared" si="215"/>
        <v>114847</v>
      </c>
      <c r="CD166">
        <f ca="1" t="shared" si="271"/>
        <v>329536.24375</v>
      </c>
      <c r="CE166">
        <f ca="1" t="shared" si="217"/>
        <v>2895344.27263084</v>
      </c>
      <c r="CF166">
        <f ca="1" t="shared" si="306"/>
        <v>2.7750297521</v>
      </c>
      <c r="CG166">
        <f ca="1" t="shared" si="307"/>
        <v>0.9343</v>
      </c>
      <c r="CH166">
        <f ca="1" t="shared" si="231"/>
        <v>2702915.71991947</v>
      </c>
      <c r="CJ166">
        <f ca="1" t="shared" si="272"/>
        <v>313492.6875</v>
      </c>
      <c r="CK166">
        <f ca="1" t="shared" si="273"/>
        <v>2818834.73762893</v>
      </c>
      <c r="CL166">
        <f ca="1" t="shared" si="278"/>
        <v>2.7976860021</v>
      </c>
      <c r="CM166">
        <f ca="1">IF(G166="恒定伤害",0,(IF(D166="轻剑",$CM$8,$CM$9)+IFERROR(INDEX(技能数据库!$T$2:$W$27,MATCH(E166,技能数据库!$T$2:$T$27,0),4),0)+COUNTIF(G166,"*造化2*")*154+COUNTIF(G166,"*造化1*")*102+COUNTIF(G166,"*碧归*")*307)/1024)</f>
        <v>0.176868146929785</v>
      </c>
      <c r="CN166">
        <f ca="1" t="shared" si="233"/>
        <v>2872205.50422305</v>
      </c>
      <c r="CO166">
        <f ca="1" t="shared" si="279"/>
        <v>2.8262602208</v>
      </c>
      <c r="CP166">
        <f ca="1" t="shared" si="235"/>
        <v>2900821.56270892</v>
      </c>
      <c r="CQ166">
        <f ca="1" t="shared" si="308"/>
        <v>1.8815754648</v>
      </c>
      <c r="CR166">
        <f ca="1">IF(G166="恒定伤害",0,(IF(D166="轻剑",$CR$8,$CR$9)+IFERROR(INDEX(技能数据库!$T$2:$W$27,MATCH(E166,技能数据库!$T$2:$T$27,0),4),0)+COUNTIF(G166,"*造化2*")*154+COUNTIF(G166,"*造化1*")*102+COUNTIF(G166,"*碧归*")*307)/1024)</f>
        <v>0.167102521929785</v>
      </c>
      <c r="CS166">
        <f ca="1" t="shared" si="280"/>
        <v>2753785.46550166</v>
      </c>
    </row>
    <row r="167" spans="4:97">
      <c r="D167" t="s">
        <v>1825</v>
      </c>
      <c r="E167" t="s">
        <v>2798</v>
      </c>
      <c r="G167" t="s">
        <v>3110</v>
      </c>
      <c r="H167">
        <f ca="1">INDEX(技能数据库!$B$2:$I$100,MATCH(无穷阵眼收益计算!$E167,技能数据库!$B$2:$B$100,0),MATCH(H$9,技能数据库!$B$2:$I$2,0))</f>
        <v>1504.5</v>
      </c>
      <c r="I167">
        <f ca="1">INDEX(技能数据库!$B$2:$I$100,MATCH(无穷阵眼收益计算!$E167,技能数据库!$B$2:$B$100,0),MATCH(I$9,技能数据库!$B$2:$I$2,0))</f>
        <v>2.85625</v>
      </c>
      <c r="J167">
        <f ca="1">INDEX(技能数据库!$B$2:$I$100,MATCH(无穷阵眼收益计算!$E167,技能数据库!$B$2:$B$100,0),MATCH(J$9,技能数据库!$B$2:$I$2,0))</f>
        <v>0</v>
      </c>
      <c r="K167">
        <f ca="1">INDEX(技能数据库!$B$2:$I$100,MATCH(无穷阵眼收益计算!$E167,技能数据库!$B$2:$B$100,0),MATCH(K$9,技能数据库!$B$2:$I$2,0))</f>
        <v>0</v>
      </c>
      <c r="L167">
        <f ca="1" t="shared" si="186"/>
        <v>105847</v>
      </c>
      <c r="M167">
        <f ca="1" t="shared" si="309"/>
        <v>19530.5</v>
      </c>
      <c r="N167">
        <f ca="1" t="shared" si="310"/>
        <v>92028</v>
      </c>
      <c r="O167">
        <f ca="1" t="shared" si="274"/>
        <v>303829.99375</v>
      </c>
      <c r="P167">
        <f ca="1">IF(G167="恒定伤害",0,(IF(D167="轻剑",$AZ$2,$AZ$3)+IFERROR(INDEX(技能数据库!$T$2:$W$27,MATCH(E167,技能数据库!$T$2:$T$27,0),4),0)+COUNTIF(G167,"*造化2*")*154+COUNTIF(G167,"*造化1*")*102+COUNTIF(G167,"*碧归*")*307)/1024)</f>
        <v>0.116321271929785</v>
      </c>
      <c r="Q167">
        <f ca="1" t="shared" si="289"/>
        <v>0.448284482196154</v>
      </c>
      <c r="R167">
        <f ca="1" t="shared" si="275"/>
        <v>0.21277697966198</v>
      </c>
      <c r="S167">
        <f ca="1" t="shared" si="311"/>
        <v>386697.627911573</v>
      </c>
      <c r="T167">
        <f t="shared" si="312"/>
        <v>0.8</v>
      </c>
      <c r="U167">
        <f ca="1" t="shared" si="290"/>
        <v>1.7800129648</v>
      </c>
      <c r="V167">
        <f ca="1" t="shared" si="313"/>
        <v>860019.535241264</v>
      </c>
      <c r="W167">
        <f ca="1">IF(G167="恒定伤害",0,MIN(1,IF(COUNTIF(F167,"*内会*")&gt;0,内会2,IF(D167="轻剑",$Y$2,$Y$3)+COUNTIF(G167,"*莺鸣*")*0.2+COUNTIF(G167,"*叠1*")*0.1+COUNTIF(G167,"*叠2*")*0.2+COUNTIF(G167,"*叠3*")*0.3)+IFERROR(INDEX(技能数据库!$T$2:$W$27,MATCH(E167,技能数据库!$T$2:$T$27,0),2),0)+IF((IF(D167="轻剑",$AO$2,$AO$3)+INT(COUNTIF(G167,"*大莺鸣*")*IF(D167="轻剑",$AM$2,$AM$3)*听晓无双率)/无双系数)&gt;0.9,特效裤子会心/会心系数,0)))</f>
        <v>1</v>
      </c>
      <c r="X167">
        <f ca="1">IF(G167="恒定伤害",0,IF(COUNTIF(F167,"*内会*")&gt;0,内会效2,IF(D167="轻剑",$AB$2,$AB$3))+IFERROR(INDEX(技能数据库!$T$2:$W$27,MATCH(E167,技能数据库!$T$2:$T$27,0),3)/1024,0))+COUNTIF(G167,"*叠1*")*0.25+COUNTIF(G167,"*叠2*")*0.5+COUNTIF(G167,"*叠3*")*0.75</f>
        <v>2.9273735021</v>
      </c>
      <c r="Y167">
        <f ca="1" t="shared" si="314"/>
        <v>2.9273735021</v>
      </c>
      <c r="Z167">
        <f t="shared" si="264"/>
        <v>0.150390625</v>
      </c>
      <c r="AA167">
        <f ca="1" t="shared" si="315"/>
        <v>0.0205078125</v>
      </c>
      <c r="AB167">
        <f ca="1" t="shared" si="316"/>
        <v>2955616.76487895</v>
      </c>
      <c r="AC167">
        <f ca="1">无穷技能数计算!$AJ159</f>
        <v>2</v>
      </c>
      <c r="AD167" s="164">
        <f ca="1" t="shared" si="291"/>
        <v>0.00231667616005708</v>
      </c>
      <c r="AE167" s="168"/>
      <c r="AF167" s="168">
        <f ca="1" t="shared" si="292"/>
        <v>1.0014</v>
      </c>
      <c r="AG167">
        <f ca="1">无穷技能数计算!$AJ159</f>
        <v>2</v>
      </c>
      <c r="AH167">
        <f ca="1" t="shared" si="189"/>
        <v>109879</v>
      </c>
      <c r="AJ167">
        <f ca="1" t="shared" si="293"/>
        <v>3.1265922521</v>
      </c>
      <c r="AK167">
        <f ca="1" t="shared" si="276"/>
        <v>315346.39375</v>
      </c>
      <c r="AL167">
        <f ca="1" t="shared" si="191"/>
        <v>3277312.6773751</v>
      </c>
      <c r="AM167" s="169">
        <f ca="1" t="shared" si="294"/>
        <v>1.0229</v>
      </c>
      <c r="AN167">
        <f ca="1">无穷技能数计算!$AJ159</f>
        <v>2</v>
      </c>
      <c r="AO167" s="170">
        <f ca="1" t="shared" si="193"/>
        <v>3277312.6773751</v>
      </c>
      <c r="AP167">
        <f ca="1" t="shared" si="194"/>
        <v>110956</v>
      </c>
      <c r="AQ167" s="170">
        <f ca="1" t="shared" si="277"/>
        <v>318422.575</v>
      </c>
      <c r="AR167">
        <f ca="1" t="shared" si="265"/>
        <v>3279298.2586662</v>
      </c>
      <c r="AS167">
        <f ca="1" t="shared" si="295"/>
        <v>1.08</v>
      </c>
      <c r="AT167">
        <f ca="1">无穷技能数计算!$AJ159</f>
        <v>2</v>
      </c>
      <c r="AU167">
        <f ca="1" t="shared" si="296"/>
        <v>3.0738578771</v>
      </c>
      <c r="AV167">
        <f ca="1" t="shared" si="297"/>
        <v>1.7995442148</v>
      </c>
      <c r="AW167">
        <f ca="1" t="shared" si="226"/>
        <v>3125318.46005044</v>
      </c>
      <c r="AX167">
        <f ca="1" t="shared" si="298"/>
        <v>1.07</v>
      </c>
      <c r="AY167">
        <f ca="1">无穷技能数计算!$AJ159</f>
        <v>2</v>
      </c>
      <c r="AZ167" s="170">
        <f ca="1" t="shared" si="227"/>
        <v>3125318.46005044</v>
      </c>
      <c r="BA167">
        <f ca="1" t="shared" si="299"/>
        <v>1.06</v>
      </c>
      <c r="BB167">
        <f ca="1">无穷技能数计算!$AJ159</f>
        <v>2</v>
      </c>
      <c r="BC167" s="170">
        <f ca="1" t="shared" si="228"/>
        <v>3125318.46005044</v>
      </c>
      <c r="BE167">
        <f ca="1" t="shared" si="200"/>
        <v>105849</v>
      </c>
      <c r="BF167">
        <f ca="1" t="shared" si="266"/>
        <v>303835.70625</v>
      </c>
      <c r="BI167">
        <f ca="1" t="shared" si="300"/>
        <v>1.05</v>
      </c>
      <c r="BJ167">
        <f ca="1">无穷技能数计算!$AJ159</f>
        <v>2</v>
      </c>
      <c r="BK167">
        <f ca="1" t="shared" si="203"/>
        <v>3154577.80707313</v>
      </c>
      <c r="BM167">
        <f ca="1" t="shared" si="204"/>
        <v>109230</v>
      </c>
      <c r="BN167">
        <f ca="1" t="shared" si="267"/>
        <v>313492.6875</v>
      </c>
      <c r="BO167">
        <f ca="1" t="shared" si="268"/>
        <v>3293536.00844096</v>
      </c>
      <c r="BP167">
        <f ca="1" t="shared" si="301"/>
        <v>3140855.35842791</v>
      </c>
      <c r="BR167">
        <f ca="1" t="shared" si="302"/>
        <v>1.05</v>
      </c>
      <c r="BS167">
        <f ca="1" t="shared" si="208"/>
        <v>3162921.74156929</v>
      </c>
      <c r="BT167">
        <f ca="1" t="shared" si="269"/>
        <v>0.196995876306796</v>
      </c>
      <c r="BU167">
        <f ca="1" t="shared" si="303"/>
        <v>3.0738578771</v>
      </c>
      <c r="BV167">
        <f ca="1" t="shared" si="229"/>
        <v>3165729.16726995</v>
      </c>
      <c r="BW167">
        <f ca="1" t="shared" si="211"/>
        <v>113027</v>
      </c>
      <c r="BX167">
        <f ca="1" t="shared" si="270"/>
        <v>324337.86875</v>
      </c>
      <c r="BY167">
        <f ca="1" t="shared" si="304"/>
        <v>1.03</v>
      </c>
      <c r="BZ167">
        <f ca="1">无穷技能数计算!$AJ159</f>
        <v>2</v>
      </c>
      <c r="CA167">
        <f ca="1" t="shared" si="305"/>
        <v>3.0777641271</v>
      </c>
      <c r="CB167">
        <f ca="1" t="shared" si="230"/>
        <v>3317205.15218033</v>
      </c>
      <c r="CC167">
        <f ca="1" t="shared" si="215"/>
        <v>114847</v>
      </c>
      <c r="CD167">
        <f ca="1" t="shared" si="271"/>
        <v>329536.24375</v>
      </c>
      <c r="CE167">
        <f ca="1" t="shared" si="217"/>
        <v>3301594.3218082</v>
      </c>
      <c r="CF167">
        <f ca="1" t="shared" si="306"/>
        <v>3.0250297521</v>
      </c>
      <c r="CG167">
        <f ca="1" t="shared" si="307"/>
        <v>1.03</v>
      </c>
      <c r="CH167">
        <f ca="1" t="shared" si="231"/>
        <v>3075672.88548792</v>
      </c>
      <c r="CJ167">
        <f ca="1" t="shared" si="272"/>
        <v>313492.6875</v>
      </c>
      <c r="CK167">
        <f ca="1" t="shared" si="273"/>
        <v>3278616.46982579</v>
      </c>
      <c r="CL167">
        <f ca="1" t="shared" si="278"/>
        <v>3.0476860021</v>
      </c>
      <c r="CM167">
        <f ca="1">IF(G167="恒定伤害",0,(IF(D167="轻剑",$CM$8,$CM$9)+IFERROR(INDEX(技能数据库!$T$2:$W$27,MATCH(E167,技能数据库!$T$2:$T$27,0),4),0)+COUNTIF(G167,"*造化2*")*154+COUNTIF(G167,"*造化1*")*102+COUNTIF(G167,"*碧归*")*307)/1024)</f>
        <v>0.176868146929785</v>
      </c>
      <c r="CN167">
        <f ca="1" t="shared" si="233"/>
        <v>3266775.74103673</v>
      </c>
      <c r="CO167">
        <f ca="1" t="shared" si="279"/>
        <v>3.0762602208</v>
      </c>
      <c r="CP167">
        <f ca="1" t="shared" si="235"/>
        <v>3297404.08149042</v>
      </c>
      <c r="CQ167">
        <f ca="1" t="shared" si="308"/>
        <v>1.8815754648</v>
      </c>
      <c r="CR167">
        <f ca="1">IF(G167="恒定伤害",0,(IF(D167="轻剑",$CR$8,$CR$9)+IFERROR(INDEX(技能数据库!$T$2:$W$27,MATCH(E167,技能数据库!$T$2:$T$27,0),4),0)+COUNTIF(G167,"*造化2*")*154+COUNTIF(G167,"*造化1*")*102+COUNTIF(G167,"*碧归*")*307)/1024)</f>
        <v>0.167102521929785</v>
      </c>
      <c r="CS167">
        <f ca="1" t="shared" si="280"/>
        <v>3202956.97404207</v>
      </c>
    </row>
    <row r="168" spans="4:97">
      <c r="D168" t="s">
        <v>1825</v>
      </c>
      <c r="E168" t="s">
        <v>2801</v>
      </c>
      <c r="G168" t="s">
        <v>3108</v>
      </c>
      <c r="H168">
        <f ca="1">INDEX(技能数据库!$B$2:$I$100,MATCH(无穷阵眼收益计算!$E168,技能数据库!$B$2:$B$100,0),MATCH(H$9,技能数据库!$B$2:$I$2,0))</f>
        <v>291</v>
      </c>
      <c r="I168">
        <f ca="1">INDEX(技能数据库!$B$2:$I$100,MATCH(无穷阵眼收益计算!$E168,技能数据库!$B$2:$B$100,0),MATCH(I$9,技能数据库!$B$2:$I$2,0))</f>
        <v>1.8875</v>
      </c>
      <c r="J168">
        <f ca="1">INDEX(技能数据库!$B$2:$I$100,MATCH(无穷阵眼收益计算!$E168,技能数据库!$B$2:$B$100,0),MATCH(J$9,技能数据库!$B$2:$I$2,0))</f>
        <v>2</v>
      </c>
      <c r="K168">
        <f ca="1">INDEX(技能数据库!$B$2:$I$100,MATCH(无穷阵眼收益计算!$E168,技能数据库!$B$2:$B$100,0),MATCH(K$9,技能数据库!$B$2:$I$2,0))</f>
        <v>0</v>
      </c>
      <c r="L168">
        <f ca="1" t="shared" si="186"/>
        <v>105847</v>
      </c>
      <c r="M168">
        <f ca="1" t="shared" si="309"/>
        <v>19530.5</v>
      </c>
      <c r="N168">
        <f ca="1" t="shared" si="310"/>
        <v>92028</v>
      </c>
      <c r="O168">
        <f ca="1" t="shared" si="274"/>
        <v>239138.2125</v>
      </c>
      <c r="P168">
        <f ca="1">IF(G168="恒定伤害",0,(IF(D168="轻剑",$AZ$2,$AZ$3)+IFERROR(INDEX(技能数据库!$T$2:$W$27,MATCH(E168,技能数据库!$T$2:$T$27,0),4),0)+COUNTIF(G168,"*造化2*")*154+COUNTIF(G168,"*造化1*")*102+COUNTIF(G168,"*碧归*")*307)/1024)</f>
        <v>0.116321271929785</v>
      </c>
      <c r="Q168">
        <f ca="1" t="shared" si="289"/>
        <v>0.448284482196154</v>
      </c>
      <c r="R168">
        <f ca="1" t="shared" si="275"/>
        <v>0.21277697966198</v>
      </c>
      <c r="S168">
        <f ca="1" t="shared" si="311"/>
        <v>304361.588450856</v>
      </c>
      <c r="T168">
        <f t="shared" si="312"/>
        <v>0.8</v>
      </c>
      <c r="U168">
        <f ca="1" t="shared" si="290"/>
        <v>1.7800129648</v>
      </c>
      <c r="V168">
        <f ca="1" t="shared" si="313"/>
        <v>676903.329504402</v>
      </c>
      <c r="W168">
        <f ca="1">IF(G168="恒定伤害",0,MIN(1,IF(COUNTIF(F168,"*内会*")&gt;0,内会2,IF(D168="轻剑",$Y$2,$Y$3)+COUNTIF(G168,"*莺鸣*")*0.2+COUNTIF(G168,"*叠1*")*0.1+COUNTIF(G168,"*叠2*")*0.2+COUNTIF(G168,"*叠3*")*0.3)+IFERROR(INDEX(技能数据库!$T$2:$W$27,MATCH(E168,技能数据库!$T$2:$T$27,0),2),0)+IF((IF(D168="轻剑",$AO$2,$AO$3)+INT(COUNTIF(G168,"*大莺鸣*")*IF(D168="轻剑",$AM$2,$AM$3)*听晓无双率)/无双系数)&gt;0.9,特效裤子会心/会心系数,0)))</f>
        <v>0.8043</v>
      </c>
      <c r="X168">
        <f ca="1">IF(G168="恒定伤害",0,IF(COUNTIF(F168,"*内会*")&gt;0,内会效2,IF(D168="轻剑",$AB$2,$AB$3))+IFERROR(INDEX(技能数据库!$T$2:$W$27,MATCH(E168,技能数据库!$T$2:$T$27,0),3)/1024,0))+COUNTIF(G168,"*叠1*")*0.25+COUNTIF(G168,"*叠2*")*0.5+COUNTIF(G168,"*叠3*")*0.75</f>
        <v>2.4273735021</v>
      </c>
      <c r="Y168">
        <f ca="1" t="shared" si="314"/>
        <v>2.14803650773903</v>
      </c>
      <c r="Z168">
        <f t="shared" si="264"/>
        <v>0.150390625</v>
      </c>
      <c r="AA168">
        <f ca="1" t="shared" si="315"/>
        <v>0.0205078125</v>
      </c>
      <c r="AB168">
        <f ca="1" t="shared" si="316"/>
        <v>1706986.06671988</v>
      </c>
      <c r="AC168">
        <f ca="1">无穷技能数计算!$AJ160</f>
        <v>6</v>
      </c>
      <c r="AD168" s="164">
        <f ca="1" t="shared" si="291"/>
        <v>0.0040139174739877</v>
      </c>
      <c r="AE168" s="168"/>
      <c r="AF168" s="168">
        <f ca="1" t="shared" si="292"/>
        <v>0.8057</v>
      </c>
      <c r="AG168">
        <f ca="1">无穷技能数计算!$AJ160</f>
        <v>6</v>
      </c>
      <c r="AH168">
        <f ca="1" t="shared" si="189"/>
        <v>109879</v>
      </c>
      <c r="AJ168">
        <f ca="1" t="shared" si="293"/>
        <v>2.6265922521</v>
      </c>
      <c r="AK168">
        <f ca="1" t="shared" si="276"/>
        <v>247225.6125</v>
      </c>
      <c r="AL168">
        <f ca="1" t="shared" si="191"/>
        <v>1898745.35950461</v>
      </c>
      <c r="AM168" s="169">
        <f ca="1" t="shared" si="294"/>
        <v>0.8272</v>
      </c>
      <c r="AN168">
        <f ca="1">无穷技能数计算!$AJ160</f>
        <v>6</v>
      </c>
      <c r="AO168" s="170">
        <f ca="1" t="shared" si="193"/>
        <v>1927484.20929803</v>
      </c>
      <c r="AP168">
        <f ca="1" t="shared" si="194"/>
        <v>110956</v>
      </c>
      <c r="AQ168" s="170">
        <f ca="1" t="shared" si="277"/>
        <v>248781.45</v>
      </c>
      <c r="AR168">
        <f ca="1" t="shared" si="265"/>
        <v>1880003.18062149</v>
      </c>
      <c r="AS168">
        <f ca="1" t="shared" si="295"/>
        <v>0.8843</v>
      </c>
      <c r="AT168">
        <f ca="1">无穷技能数计算!$AJ160</f>
        <v>6</v>
      </c>
      <c r="AU168">
        <f ca="1" t="shared" si="296"/>
        <v>2.5738578771</v>
      </c>
      <c r="AV168">
        <f ca="1" t="shared" si="297"/>
        <v>1.7995442148</v>
      </c>
      <c r="AW168">
        <f ca="1" t="shared" si="226"/>
        <v>1914021.81664767</v>
      </c>
      <c r="AX168">
        <f ca="1" t="shared" si="298"/>
        <v>0.8743</v>
      </c>
      <c r="AY168">
        <f ca="1">无穷技能数计算!$AJ160</f>
        <v>6</v>
      </c>
      <c r="AZ168" s="170">
        <f ca="1" t="shared" si="227"/>
        <v>1901426.92778652</v>
      </c>
      <c r="BA168">
        <f ca="1" t="shared" si="299"/>
        <v>0.8643</v>
      </c>
      <c r="BB168">
        <f ca="1">无穷技能数计算!$AJ160</f>
        <v>6</v>
      </c>
      <c r="BC168" s="170">
        <f ca="1" t="shared" si="228"/>
        <v>1888832.03892537</v>
      </c>
      <c r="BE168">
        <f ca="1" t="shared" si="200"/>
        <v>105849</v>
      </c>
      <c r="BF168">
        <f ca="1" t="shared" si="266"/>
        <v>239141.9875</v>
      </c>
      <c r="BI168">
        <f ca="1" t="shared" si="300"/>
        <v>0.8543</v>
      </c>
      <c r="BJ168">
        <f ca="1">无穷技能数计算!$AJ160</f>
        <v>6</v>
      </c>
      <c r="BK168">
        <f ca="1" t="shared" si="203"/>
        <v>1882420.85831071</v>
      </c>
      <c r="BM168">
        <f ca="1" t="shared" si="204"/>
        <v>109230</v>
      </c>
      <c r="BN168">
        <f ca="1" t="shared" si="267"/>
        <v>245523.625</v>
      </c>
      <c r="BO168">
        <f ca="1" t="shared" si="268"/>
        <v>1892743.70070518</v>
      </c>
      <c r="BP168">
        <f ca="1" t="shared" si="301"/>
        <v>1805000.51593625</v>
      </c>
      <c r="BR168">
        <f ca="1" t="shared" si="302"/>
        <v>0.8543</v>
      </c>
      <c r="BS168">
        <f ca="1" t="shared" si="208"/>
        <v>1878074.33406416</v>
      </c>
      <c r="BT168">
        <f ca="1" t="shared" si="269"/>
        <v>0.196995876306796</v>
      </c>
      <c r="BU168">
        <f ca="1" t="shared" si="303"/>
        <v>2.5738578771</v>
      </c>
      <c r="BV168">
        <f ca="1" t="shared" si="229"/>
        <v>1900497.10024684</v>
      </c>
      <c r="BW168">
        <f ca="1" t="shared" si="211"/>
        <v>113027</v>
      </c>
      <c r="BX168">
        <f ca="1" t="shared" si="270"/>
        <v>252690.4625</v>
      </c>
      <c r="BY168">
        <f ca="1" t="shared" si="304"/>
        <v>0.8343</v>
      </c>
      <c r="BZ168">
        <f ca="1">无穷技能数计算!$AJ160</f>
        <v>6</v>
      </c>
      <c r="CA168">
        <f ca="1" t="shared" si="305"/>
        <v>2.5777641271</v>
      </c>
      <c r="CB168">
        <f ca="1" t="shared" si="230"/>
        <v>1945039.21199812</v>
      </c>
      <c r="CC168">
        <f ca="1" t="shared" si="215"/>
        <v>114847</v>
      </c>
      <c r="CD168">
        <f ca="1" t="shared" si="271"/>
        <v>256125.7125</v>
      </c>
      <c r="CE168">
        <f ca="1" t="shared" si="217"/>
        <v>1920479.77073708</v>
      </c>
      <c r="CF168">
        <f ca="1" t="shared" si="306"/>
        <v>2.5250297521</v>
      </c>
      <c r="CG168">
        <f ca="1" t="shared" si="307"/>
        <v>0.8343</v>
      </c>
      <c r="CH168">
        <f ca="1" t="shared" si="231"/>
        <v>1818447.10820708</v>
      </c>
      <c r="CJ168">
        <f ca="1" t="shared" si="272"/>
        <v>245523.625</v>
      </c>
      <c r="CK168">
        <f ca="1" t="shared" si="273"/>
        <v>1884169.6748986</v>
      </c>
      <c r="CL168">
        <f ca="1" t="shared" si="278"/>
        <v>2.5476860021</v>
      </c>
      <c r="CM168">
        <f ca="1">IF(G168="恒定伤害",0,(IF(D168="轻剑",$CM$8,$CM$9)+IFERROR(INDEX(技能数据库!$T$2:$W$27,MATCH(E168,技能数据库!$T$2:$T$27,0),4),0)+COUNTIF(G168,"*造化2*")*154+COUNTIF(G168,"*造化1*")*102+COUNTIF(G168,"*碧归*")*307)/1024)</f>
        <v>0.176868146929785</v>
      </c>
      <c r="CN168">
        <f ca="1" t="shared" si="233"/>
        <v>1933022.73759253</v>
      </c>
      <c r="CO168">
        <f ca="1" t="shared" si="279"/>
        <v>2.5762602208</v>
      </c>
      <c r="CP168">
        <f ca="1" t="shared" si="235"/>
        <v>1953135.14433978</v>
      </c>
      <c r="CQ168">
        <f ca="1" t="shared" si="308"/>
        <v>1.8815754648</v>
      </c>
      <c r="CR168">
        <f ca="1">IF(G168="恒定伤害",0,(IF(D168="轻剑",$CR$8,$CR$9)+IFERROR(INDEX(技能数据库!$T$2:$W$27,MATCH(E168,技能数据库!$T$2:$T$27,0),4),0)+COUNTIF(G168,"*造化2*")*154+COUNTIF(G168,"*造化1*")*102+COUNTIF(G168,"*碧归*")*307)/1024)</f>
        <v>0.167102521929785</v>
      </c>
      <c r="CS168">
        <f ca="1" t="shared" si="280"/>
        <v>1849834.86085247</v>
      </c>
    </row>
    <row r="169" spans="4:97">
      <c r="D169" t="s">
        <v>1825</v>
      </c>
      <c r="E169" t="s">
        <v>2801</v>
      </c>
      <c r="G169" t="s">
        <v>3109</v>
      </c>
      <c r="H169">
        <f ca="1">INDEX(技能数据库!$B$2:$I$100,MATCH(无穷阵眼收益计算!$E169,技能数据库!$B$2:$B$100,0),MATCH(H$9,技能数据库!$B$2:$I$2,0))</f>
        <v>291</v>
      </c>
      <c r="I169">
        <f ca="1">INDEX(技能数据库!$B$2:$I$100,MATCH(无穷阵眼收益计算!$E169,技能数据库!$B$2:$B$100,0),MATCH(I$9,技能数据库!$B$2:$I$2,0))</f>
        <v>1.8875</v>
      </c>
      <c r="J169">
        <f ca="1">INDEX(技能数据库!$B$2:$I$100,MATCH(无穷阵眼收益计算!$E169,技能数据库!$B$2:$B$100,0),MATCH(J$9,技能数据库!$B$2:$I$2,0))</f>
        <v>2</v>
      </c>
      <c r="K169">
        <f ca="1">INDEX(技能数据库!$B$2:$I$100,MATCH(无穷阵眼收益计算!$E169,技能数据库!$B$2:$B$100,0),MATCH(K$9,技能数据库!$B$2:$I$2,0))</f>
        <v>0</v>
      </c>
      <c r="L169">
        <f ca="1" t="shared" si="186"/>
        <v>105847</v>
      </c>
      <c r="M169">
        <f ca="1" t="shared" si="309"/>
        <v>19530.5</v>
      </c>
      <c r="N169">
        <f ca="1" t="shared" si="310"/>
        <v>92028</v>
      </c>
      <c r="O169">
        <f ca="1" t="shared" si="274"/>
        <v>239138.2125</v>
      </c>
      <c r="P169">
        <f ca="1">IF(G169="恒定伤害",0,(IF(D169="轻剑",$AZ$2,$AZ$3)+IFERROR(INDEX(技能数据库!$T$2:$W$27,MATCH(E169,技能数据库!$T$2:$T$27,0),4),0)+COUNTIF(G169,"*造化2*")*154+COUNTIF(G169,"*造化1*")*102+COUNTIF(G169,"*碧归*")*307)/1024)</f>
        <v>0.116321271929785</v>
      </c>
      <c r="Q169">
        <f ca="1" t="shared" si="289"/>
        <v>0.448284482196154</v>
      </c>
      <c r="R169">
        <f ca="1" t="shared" si="275"/>
        <v>0.21277697966198</v>
      </c>
      <c r="S169">
        <f ca="1" t="shared" si="311"/>
        <v>304361.588450856</v>
      </c>
      <c r="T169">
        <f t="shared" si="312"/>
        <v>0.8</v>
      </c>
      <c r="U169">
        <f ca="1" t="shared" si="290"/>
        <v>1.7800129648</v>
      </c>
      <c r="V169">
        <f ca="1" t="shared" si="313"/>
        <v>676903.329504402</v>
      </c>
      <c r="W169">
        <f ca="1">IF(G169="恒定伤害",0,MIN(1,IF(COUNTIF(F169,"*内会*")&gt;0,内会2,IF(D169="轻剑",$Y$2,$Y$3)+COUNTIF(G169,"*莺鸣*")*0.2+COUNTIF(G169,"*叠1*")*0.1+COUNTIF(G169,"*叠2*")*0.2+COUNTIF(G169,"*叠3*")*0.3)+IFERROR(INDEX(技能数据库!$T$2:$W$27,MATCH(E169,技能数据库!$T$2:$T$27,0),2),0)+IF((IF(D169="轻剑",$AO$2,$AO$3)+INT(COUNTIF(G169,"*大莺鸣*")*IF(D169="轻剑",$AM$2,$AM$3)*听晓无双率)/无双系数)&gt;0.9,特效裤子会心/会心系数,0)))</f>
        <v>0.9043</v>
      </c>
      <c r="X169">
        <f ca="1">IF(G169="恒定伤害",0,IF(COUNTIF(F169,"*内会*")&gt;0,内会效2,IF(D169="轻剑",$AB$2,$AB$3))+IFERROR(INDEX(技能数据库!$T$2:$W$27,MATCH(E169,技能数据库!$T$2:$T$27,0),3)/1024,0))+COUNTIF(G169,"*叠1*")*0.25+COUNTIF(G169,"*叠2*")*0.5+COUNTIF(G169,"*叠3*")*0.75</f>
        <v>2.6773735021</v>
      </c>
      <c r="Y169">
        <f ca="1" t="shared" si="314"/>
        <v>2.51684885794903</v>
      </c>
      <c r="Z169">
        <f t="shared" si="264"/>
        <v>0.150390625</v>
      </c>
      <c r="AA169">
        <f ca="1" t="shared" si="315"/>
        <v>0.0205078125</v>
      </c>
      <c r="AB169">
        <f ca="1" t="shared" si="316"/>
        <v>2000071.18923734</v>
      </c>
      <c r="AC169">
        <f ca="1">无穷技能数计算!$AJ161</f>
        <v>3</v>
      </c>
      <c r="AD169" s="164">
        <f ca="1" t="shared" si="291"/>
        <v>0.0023515483963867</v>
      </c>
      <c r="AE169" s="168"/>
      <c r="AF169" s="168">
        <f ca="1" t="shared" si="292"/>
        <v>0.9057</v>
      </c>
      <c r="AG169">
        <f ca="1">无穷技能数计算!$AJ161</f>
        <v>3</v>
      </c>
      <c r="AH169">
        <f ca="1" t="shared" si="189"/>
        <v>109879</v>
      </c>
      <c r="AJ169">
        <f ca="1" t="shared" si="293"/>
        <v>2.8765922521</v>
      </c>
      <c r="AK169">
        <f ca="1" t="shared" si="276"/>
        <v>247225.6125</v>
      </c>
      <c r="AL169">
        <f ca="1" t="shared" si="191"/>
        <v>2218484.53202321</v>
      </c>
      <c r="AM169" s="169">
        <f ca="1" t="shared" si="294"/>
        <v>0.9272</v>
      </c>
      <c r="AN169">
        <f ca="1">无穷技能数计算!$AJ161</f>
        <v>3</v>
      </c>
      <c r="AO169" s="170">
        <f ca="1" t="shared" si="193"/>
        <v>2251640.41530432</v>
      </c>
      <c r="AP169">
        <f ca="1" t="shared" si="194"/>
        <v>110956</v>
      </c>
      <c r="AQ169" s="170">
        <f ca="1" t="shared" si="277"/>
        <v>248781.45</v>
      </c>
      <c r="AR169">
        <f ca="1" t="shared" si="265"/>
        <v>2202794.89712593</v>
      </c>
      <c r="AS169">
        <f ca="1" t="shared" si="295"/>
        <v>0.9843</v>
      </c>
      <c r="AT169">
        <f ca="1">无穷技能数计算!$AJ161</f>
        <v>3</v>
      </c>
      <c r="AU169">
        <f ca="1" t="shared" si="296"/>
        <v>2.8238578771</v>
      </c>
      <c r="AV169">
        <f ca="1" t="shared" si="297"/>
        <v>1.7995442148</v>
      </c>
      <c r="AW169">
        <f ca="1" t="shared" si="226"/>
        <v>2236893.64992921</v>
      </c>
      <c r="AX169">
        <f ca="1" t="shared" si="298"/>
        <v>0.9743</v>
      </c>
      <c r="AY169">
        <f ca="1">无穷技能数计算!$AJ161</f>
        <v>3</v>
      </c>
      <c r="AZ169" s="170">
        <f ca="1" t="shared" si="227"/>
        <v>2222298.12158142</v>
      </c>
      <c r="BA169">
        <f ca="1" t="shared" si="299"/>
        <v>0.9643</v>
      </c>
      <c r="BB169">
        <f ca="1">无穷技能数计算!$AJ161</f>
        <v>3</v>
      </c>
      <c r="BC169" s="170">
        <f ca="1" t="shared" si="228"/>
        <v>2207702.59323363</v>
      </c>
      <c r="BE169">
        <f ca="1" t="shared" si="200"/>
        <v>105849</v>
      </c>
      <c r="BF169">
        <f ca="1" t="shared" si="266"/>
        <v>239141.9875</v>
      </c>
      <c r="BI169">
        <f ca="1" t="shared" si="300"/>
        <v>0.9543</v>
      </c>
      <c r="BJ169">
        <f ca="1">无穷技能数计算!$AJ161</f>
        <v>3</v>
      </c>
      <c r="BK169">
        <f ca="1" t="shared" si="203"/>
        <v>2205836.48656791</v>
      </c>
      <c r="BM169">
        <f ca="1" t="shared" si="204"/>
        <v>109230</v>
      </c>
      <c r="BN169">
        <f ca="1" t="shared" si="267"/>
        <v>245523.625</v>
      </c>
      <c r="BO169">
        <f ca="1" t="shared" si="268"/>
        <v>2217722.93177841</v>
      </c>
      <c r="BP169">
        <f ca="1" t="shared" si="301"/>
        <v>2114914.46759129</v>
      </c>
      <c r="BR169">
        <f ca="1" t="shared" si="302"/>
        <v>0.9543</v>
      </c>
      <c r="BS169">
        <f ca="1" t="shared" si="208"/>
        <v>2200743.19314712</v>
      </c>
      <c r="BT169">
        <f ca="1" t="shared" si="269"/>
        <v>0.196995876306796</v>
      </c>
      <c r="BU169">
        <f ca="1" t="shared" si="303"/>
        <v>2.8238578771</v>
      </c>
      <c r="BV169">
        <f ca="1" t="shared" si="229"/>
        <v>2221464.17749149</v>
      </c>
      <c r="BW169">
        <f ca="1" t="shared" si="211"/>
        <v>113027</v>
      </c>
      <c r="BX169">
        <f ca="1" t="shared" si="270"/>
        <v>252690.4625</v>
      </c>
      <c r="BY169">
        <f ca="1" t="shared" si="304"/>
        <v>0.9343</v>
      </c>
      <c r="BZ169">
        <f ca="1">无穷技能数计算!$AJ161</f>
        <v>3</v>
      </c>
      <c r="CA169">
        <f ca="1" t="shared" si="305"/>
        <v>2.8277641271</v>
      </c>
      <c r="CB169">
        <f ca="1" t="shared" si="230"/>
        <v>2273660.0474436</v>
      </c>
      <c r="CC169">
        <f ca="1" t="shared" si="215"/>
        <v>114847</v>
      </c>
      <c r="CD169">
        <f ca="1" t="shared" si="271"/>
        <v>256125.7125</v>
      </c>
      <c r="CE169">
        <f ca="1" t="shared" si="217"/>
        <v>2250350.69381611</v>
      </c>
      <c r="CF169">
        <f ca="1" t="shared" si="306"/>
        <v>2.7750297521</v>
      </c>
      <c r="CG169">
        <f ca="1" t="shared" si="307"/>
        <v>0.9343</v>
      </c>
      <c r="CH169">
        <f ca="1" t="shared" si="231"/>
        <v>2127408.24505807</v>
      </c>
      <c r="CJ169">
        <f ca="1" t="shared" si="272"/>
        <v>245523.625</v>
      </c>
      <c r="CK169">
        <f ca="1" t="shared" si="273"/>
        <v>2207676.76776696</v>
      </c>
      <c r="CL169">
        <f ca="1" t="shared" si="278"/>
        <v>2.7976860021</v>
      </c>
      <c r="CM169">
        <f ca="1">IF(G169="恒定伤害",0,(IF(D169="轻剑",$CM$8,$CM$9)+IFERROR(INDEX(技能数据库!$T$2:$W$27,MATCH(E169,技能数据库!$T$2:$T$27,0),4),0)+COUNTIF(G169,"*造化2*")*154+COUNTIF(G169,"*造化1*")*102+COUNTIF(G169,"*碧归*")*307)/1024)</f>
        <v>0.176868146929785</v>
      </c>
      <c r="CN169">
        <f ca="1" t="shared" si="233"/>
        <v>2260652.68189988</v>
      </c>
      <c r="CO169">
        <f ca="1" t="shared" si="279"/>
        <v>2.8262602208</v>
      </c>
      <c r="CP169">
        <f ca="1" t="shared" si="235"/>
        <v>2283175.78105361</v>
      </c>
      <c r="CQ169">
        <f ca="1" t="shared" si="308"/>
        <v>1.8815754648</v>
      </c>
      <c r="CR169">
        <f ca="1">IF(G169="恒定伤害",0,(IF(D169="轻剑",$CR$8,$CR$9)+IFERROR(INDEX(技能数据库!$T$2:$W$27,MATCH(E169,技能数据库!$T$2:$T$27,0),4),0)+COUNTIF(G169,"*造化2*")*154+COUNTIF(G169,"*造化1*")*102+COUNTIF(G169,"*碧归*")*307)/1024)</f>
        <v>0.167102521929785</v>
      </c>
      <c r="CS169">
        <f ca="1" t="shared" si="280"/>
        <v>2167446.75435306</v>
      </c>
    </row>
    <row r="170" spans="4:97">
      <c r="D170" t="s">
        <v>1825</v>
      </c>
      <c r="E170" t="s">
        <v>2801</v>
      </c>
      <c r="G170" t="s">
        <v>3110</v>
      </c>
      <c r="H170">
        <f ca="1">INDEX(技能数据库!$B$2:$I$100,MATCH(无穷阵眼收益计算!$E170,技能数据库!$B$2:$B$100,0),MATCH(H$9,技能数据库!$B$2:$I$2,0))</f>
        <v>291</v>
      </c>
      <c r="I170">
        <f ca="1">INDEX(技能数据库!$B$2:$I$100,MATCH(无穷阵眼收益计算!$E170,技能数据库!$B$2:$B$100,0),MATCH(I$9,技能数据库!$B$2:$I$2,0))</f>
        <v>1.8875</v>
      </c>
      <c r="J170">
        <f ca="1">INDEX(技能数据库!$B$2:$I$100,MATCH(无穷阵眼收益计算!$E170,技能数据库!$B$2:$B$100,0),MATCH(J$9,技能数据库!$B$2:$I$2,0))</f>
        <v>2</v>
      </c>
      <c r="K170">
        <f ca="1">INDEX(技能数据库!$B$2:$I$100,MATCH(无穷阵眼收益计算!$E170,技能数据库!$B$2:$B$100,0),MATCH(K$9,技能数据库!$B$2:$I$2,0))</f>
        <v>0</v>
      </c>
      <c r="L170">
        <f ca="1" t="shared" si="186"/>
        <v>105847</v>
      </c>
      <c r="M170">
        <f ca="1" t="shared" si="309"/>
        <v>19530.5</v>
      </c>
      <c r="N170">
        <f ca="1" t="shared" si="310"/>
        <v>92028</v>
      </c>
      <c r="O170">
        <f ca="1" t="shared" si="274"/>
        <v>239138.2125</v>
      </c>
      <c r="P170">
        <f ca="1">IF(G170="恒定伤害",0,(IF(D170="轻剑",$AZ$2,$AZ$3)+IFERROR(INDEX(技能数据库!$T$2:$W$27,MATCH(E170,技能数据库!$T$2:$T$27,0),4),0)+COUNTIF(G170,"*造化2*")*154+COUNTIF(G170,"*造化1*")*102+COUNTIF(G170,"*碧归*")*307)/1024)</f>
        <v>0.116321271929785</v>
      </c>
      <c r="Q170">
        <f ca="1" t="shared" si="289"/>
        <v>0.448284482196154</v>
      </c>
      <c r="R170">
        <f ca="1" t="shared" si="275"/>
        <v>0.21277697966198</v>
      </c>
      <c r="S170">
        <f ca="1" t="shared" si="311"/>
        <v>304361.588450856</v>
      </c>
      <c r="T170">
        <f t="shared" si="312"/>
        <v>0.8</v>
      </c>
      <c r="U170">
        <f ca="1" t="shared" si="290"/>
        <v>1.7800129648</v>
      </c>
      <c r="V170">
        <f ca="1" t="shared" si="313"/>
        <v>676903.329504402</v>
      </c>
      <c r="W170">
        <f ca="1">IF(G170="恒定伤害",0,MIN(1,IF(COUNTIF(F170,"*内会*")&gt;0,内会2,IF(D170="轻剑",$Y$2,$Y$3)+COUNTIF(G170,"*莺鸣*")*0.2+COUNTIF(G170,"*叠1*")*0.1+COUNTIF(G170,"*叠2*")*0.2+COUNTIF(G170,"*叠3*")*0.3)+IFERROR(INDEX(技能数据库!$T$2:$W$27,MATCH(E170,技能数据库!$T$2:$T$27,0),2),0)+IF((IF(D170="轻剑",$AO$2,$AO$3)+INT(COUNTIF(G170,"*大莺鸣*")*IF(D170="轻剑",$AM$2,$AM$3)*听晓无双率)/无双系数)&gt;0.9,特效裤子会心/会心系数,0)))</f>
        <v>1</v>
      </c>
      <c r="X170">
        <f ca="1">IF(G170="恒定伤害",0,IF(COUNTIF(F170,"*内会*")&gt;0,内会效2,IF(D170="轻剑",$AB$2,$AB$3))+IFERROR(INDEX(技能数据库!$T$2:$W$27,MATCH(E170,技能数据库!$T$2:$T$27,0),3)/1024,0))+COUNTIF(G170,"*叠1*")*0.25+COUNTIF(G170,"*叠2*")*0.5+COUNTIF(G170,"*叠3*")*0.75</f>
        <v>2.9273735021</v>
      </c>
      <c r="Y170">
        <f ca="1" t="shared" si="314"/>
        <v>2.9273735021</v>
      </c>
      <c r="Z170">
        <f t="shared" ref="Z170:Z215" si="317">IF(G170="恒定伤害",0,非侠士伤害/1024)</f>
        <v>0.150390625</v>
      </c>
      <c r="AA170">
        <f ca="1" t="shared" si="315"/>
        <v>0.0205078125</v>
      </c>
      <c r="AB170">
        <f ca="1" t="shared" si="316"/>
        <v>2326303.93485694</v>
      </c>
      <c r="AC170">
        <f ca="1">无穷技能数计算!$AJ162</f>
        <v>20</v>
      </c>
      <c r="AD170" s="164">
        <f ca="1" t="shared" si="291"/>
        <v>0.0182340719235661</v>
      </c>
      <c r="AE170" s="168"/>
      <c r="AF170" s="168">
        <f ca="1" t="shared" si="292"/>
        <v>1.0014</v>
      </c>
      <c r="AG170">
        <f ca="1">无穷技能数计算!$AJ162</f>
        <v>20</v>
      </c>
      <c r="AH170">
        <f ca="1" t="shared" si="189"/>
        <v>109879</v>
      </c>
      <c r="AJ170">
        <f ca="1" t="shared" si="293"/>
        <v>3.1265922521</v>
      </c>
      <c r="AK170">
        <f ca="1" t="shared" si="276"/>
        <v>247225.6125</v>
      </c>
      <c r="AL170">
        <f ca="1" t="shared" si="191"/>
        <v>2569351.19626074</v>
      </c>
      <c r="AM170" s="169">
        <f ca="1" t="shared" si="294"/>
        <v>1.0229</v>
      </c>
      <c r="AN170">
        <f ca="1">无穷技能数计算!$AJ162</f>
        <v>20</v>
      </c>
      <c r="AO170" s="170">
        <f ca="1" t="shared" si="193"/>
        <v>2569351.19626074</v>
      </c>
      <c r="AP170">
        <f ca="1" t="shared" si="194"/>
        <v>110956</v>
      </c>
      <c r="AQ170" s="170">
        <f ca="1" t="shared" si="277"/>
        <v>248781.45</v>
      </c>
      <c r="AR170">
        <f ca="1" t="shared" ref="AR170:AR215" si="318">IF(COUNTIF(G170,"*恒定伤害*")&gt;0,AB170,((AQ170*(1+P170)*(1+IF(COUNTIF(F170,"*内破*")&gt;0,内破,IF(D170="轻剑",$AQ$8,$AQ$9)/破防系数)+IF((IF(D170="轻剑",$AO$2,$AO$3)+INT(COUNTIF(G170,"*大莺鸣*")*IF(D170="轻剑",$AM$2,$AM$3)*听晓无双率)/无双系数)&gt;0.9,(特效裤子破防+特效裤子破防*IF(D170="轻剑",$AD$2+200,$AD$3+200)/1024)/破防系数,0))*(1-R170))*T170*(1+U170))*Y170*(1+Z170)*(1+AA170))</f>
        <v>2562094.02167372</v>
      </c>
      <c r="AS170">
        <f ca="1" t="shared" si="295"/>
        <v>1.08</v>
      </c>
      <c r="AT170">
        <f ca="1">无穷技能数计算!$AJ162</f>
        <v>20</v>
      </c>
      <c r="AU170">
        <f ca="1" t="shared" si="296"/>
        <v>3.0738578771</v>
      </c>
      <c r="AV170">
        <f ca="1" t="shared" si="297"/>
        <v>1.7995442148</v>
      </c>
      <c r="AW170">
        <f ca="1" t="shared" si="226"/>
        <v>2459872.57809933</v>
      </c>
      <c r="AX170">
        <f ca="1" t="shared" si="298"/>
        <v>1.07</v>
      </c>
      <c r="AY170">
        <f ca="1">无穷技能数计算!$AJ162</f>
        <v>20</v>
      </c>
      <c r="AZ170" s="170">
        <f ca="1" t="shared" si="227"/>
        <v>2459872.57809933</v>
      </c>
      <c r="BA170">
        <f ca="1" t="shared" si="299"/>
        <v>1.06</v>
      </c>
      <c r="BB170">
        <f ca="1">无穷技能数计算!$AJ162</f>
        <v>20</v>
      </c>
      <c r="BC170" s="170">
        <f ca="1" t="shared" si="228"/>
        <v>2459872.57809933</v>
      </c>
      <c r="BE170">
        <f ca="1" t="shared" si="200"/>
        <v>105849</v>
      </c>
      <c r="BF170">
        <f ca="1" t="shared" ref="BF170:BF215" si="319">H170+BE170*I170+J170*M170+IF(K170&gt;0,MAX(1,K170*N170*破招全局系数),0)</f>
        <v>239141.9875</v>
      </c>
      <c r="BI170">
        <f ca="1" t="shared" si="300"/>
        <v>1.05</v>
      </c>
      <c r="BJ170">
        <f ca="1">无穷技能数计算!$AJ162</f>
        <v>20</v>
      </c>
      <c r="BK170">
        <f ca="1" t="shared" si="203"/>
        <v>2482894.50840954</v>
      </c>
      <c r="BM170">
        <f ca="1" t="shared" si="204"/>
        <v>109230</v>
      </c>
      <c r="BN170">
        <f ca="1" t="shared" ref="BN170:BN215" si="320">H170+BM170*I170+J170*M170+IF(K170&gt;0,MAX(1,K170*N170*破招全局系数),0)</f>
        <v>245523.625</v>
      </c>
      <c r="BO170">
        <f ca="1" t="shared" ref="BO170:BO215" si="321">IF(COUNTIF(G170,"*恒定伤害*")&gt;0,AB170,((BN170*(1+P170)*(1+IF(COUNTIF(F170,"*内破*")&gt;0,内破,IF(D170="轻剑",$BM$8,$BM$9)/破防系数)+IF((IF(D170="轻剑",$AO$2,$AO$3)+INT(COUNTIF(G170,"*大莺鸣*")*IF(D170="轻剑",$AM$2,$AM$3)*听晓无双率)/无双系数)&gt;0.9,(特效裤子破防+特效裤子破防*IF(D170="轻剑",$AD$2+102,$AD$3+102)/1024)/破防系数,0))*(1-R170))*T170*(1+U170))*Y170*(1+Z170)*(1+AA170))</f>
        <v>2579456.97652184</v>
      </c>
      <c r="BP170">
        <f ca="1" t="shared" si="301"/>
        <v>2459879.36545376</v>
      </c>
      <c r="BR170">
        <f ca="1" t="shared" si="302"/>
        <v>1.05</v>
      </c>
      <c r="BS170">
        <f ca="1" t="shared" si="208"/>
        <v>2477161.48588444</v>
      </c>
      <c r="BT170">
        <f ca="1" t="shared" ref="BT170:BT215" si="322">IF(G170="恒定伤害",0,(($F$5-IF(D170="轻剑",$BB$2,$BB$3))*(1024-IF(D170="轻剑",$BD$2,$BD$3))/1024*(1024-IF(D170="轻剑",$BT$8,$BT$9)-COUNTIF(G170,"*雾锁*")*461*雾锁)/1024/(($F$5-IF(D170="轻剑",$BB$2,$BB$3))*(1024-IF(D170="轻剑",$BD$2,$BD$3))/1024*(1024-IF(D170="轻剑",$BT$8,$BT$9)-COUNTIF(G170,"*雾锁*")*461*雾锁)/1024+$F$7)))</f>
        <v>0.196995876306796</v>
      </c>
      <c r="BU170">
        <f ca="1" t="shared" si="303"/>
        <v>3.0738578771</v>
      </c>
      <c r="BV170">
        <f ca="1" t="shared" si="229"/>
        <v>2491678.99777192</v>
      </c>
      <c r="BW170">
        <f ca="1" t="shared" si="211"/>
        <v>113027</v>
      </c>
      <c r="BX170">
        <f ca="1" t="shared" ref="BX170:BX215" si="323">H170+BW170*I170+J170*M170+IF(K170&gt;0,MAX(1,K170*N170*破招全局系数),0)</f>
        <v>252690.4625</v>
      </c>
      <c r="BY170">
        <f ca="1" t="shared" si="304"/>
        <v>1.03</v>
      </c>
      <c r="BZ170">
        <f ca="1">无穷技能数计算!$AJ162</f>
        <v>20</v>
      </c>
      <c r="CA170">
        <f ca="1" t="shared" si="305"/>
        <v>3.0777641271</v>
      </c>
      <c r="CB170">
        <f ca="1" t="shared" si="230"/>
        <v>2584422.55707716</v>
      </c>
      <c r="CC170">
        <f ca="1" t="shared" si="215"/>
        <v>114847</v>
      </c>
      <c r="CD170">
        <f ca="1" t="shared" ref="CD170:CD215" si="324">H170+CC170*I170+J170*M170+IF(K170&gt;0,MAX(1,K170*N170*破招全局系数),0)</f>
        <v>256125.7125</v>
      </c>
      <c r="CE170">
        <f ca="1" t="shared" si="217"/>
        <v>2566100.73731557</v>
      </c>
      <c r="CF170">
        <f ca="1" t="shared" si="306"/>
        <v>3.0250297521</v>
      </c>
      <c r="CG170">
        <f ca="1" t="shared" si="307"/>
        <v>1.03</v>
      </c>
      <c r="CH170">
        <f ca="1" t="shared" si="231"/>
        <v>2420797.58812587</v>
      </c>
      <c r="CJ170">
        <f ca="1" t="shared" ref="CJ170:CJ215" si="325">H170+BM170*I170+J170*M170+IF(K170&gt;0,MAX(1,K170*(N170+2667)*破招全局系数),0)</f>
        <v>245523.625</v>
      </c>
      <c r="CK170">
        <f ca="1" t="shared" ref="CK170:CK215" si="326">IF(COUNTIF(G170,"*恒定伤害*")&gt;0,AB170,((CJ170*(1+P170)*(1+IF(COUNTIF(F170,"*内破*")&gt;0,内破,IF(D170="轻剑",$CI$8,$CI$9)/破防系数)+IF((IF(D170="轻剑",$AO$2,$AO$3)+INT(COUNTIF(G170,"*大莺鸣*")*IF(D170="轻剑",$AM$2,$AM$3)*听晓无双率)/无双系数)&gt;0.9,(特效裤子破防+特效裤子破防*IF(D170="轻剑",$AD$2+256,$AD$3+256)/1024)/破防系数,0))*(1-R170))*T170*(1+U170))*Y170*(1+Z170)*(1+AA170))</f>
        <v>2567772.1770028</v>
      </c>
      <c r="CL170">
        <f ca="1" t="shared" si="278"/>
        <v>3.0476860021</v>
      </c>
      <c r="CM170">
        <f ca="1">IF(G170="恒定伤害",0,(IF(D170="轻剑",$CM$8,$CM$9)+IFERROR(INDEX(技能数据库!$T$2:$W$27,MATCH(E170,技能数据库!$T$2:$T$27,0),4),0)+COUNTIF(G170,"*造化2*")*154+COUNTIF(G170,"*造化1*")*102+COUNTIF(G170,"*碧归*")*307)/1024)</f>
        <v>0.176868146929785</v>
      </c>
      <c r="CN170">
        <f ca="1" t="shared" si="233"/>
        <v>2571210.63561845</v>
      </c>
      <c r="CO170">
        <f ca="1" t="shared" si="279"/>
        <v>3.0762602208</v>
      </c>
      <c r="CP170">
        <f ca="1" t="shared" si="235"/>
        <v>2595317.55968323</v>
      </c>
      <c r="CQ170">
        <f ca="1" t="shared" si="308"/>
        <v>1.8815754648</v>
      </c>
      <c r="CR170">
        <f ca="1">IF(G170="恒定伤害",0,(IF(D170="轻剑",$CR$8,$CR$9)+IFERROR(INDEX(技能数据库!$T$2:$W$27,MATCH(E170,技能数据库!$T$2:$T$27,0),4),0)+COUNTIF(G170,"*造化2*")*154+COUNTIF(G170,"*造化1*")*102+COUNTIF(G170,"*碧归*")*307)/1024)</f>
        <v>0.167102521929785</v>
      </c>
      <c r="CS170">
        <f ca="1" t="shared" si="280"/>
        <v>2520980.22329249</v>
      </c>
    </row>
    <row r="171" spans="4:97">
      <c r="D171" t="s">
        <v>1825</v>
      </c>
      <c r="E171" s="161" t="s">
        <v>2772</v>
      </c>
      <c r="G171" t="s">
        <v>3108</v>
      </c>
      <c r="H171">
        <f ca="1">INDEX(技能数据库!$B$2:$I$100,MATCH(无穷阵眼收益计算!$E171,技能数据库!$B$2:$B$100,0),MATCH(H$9,技能数据库!$B$2:$I$2,0))</f>
        <v>0</v>
      </c>
      <c r="I171">
        <f ca="1">INDEX(技能数据库!$B$2:$I$100,MATCH(无穷阵眼收益计算!$E171,技能数据库!$B$2:$B$100,0),MATCH(I$9,技能数据库!$B$2:$I$2,0))</f>
        <v>0</v>
      </c>
      <c r="J171">
        <f ca="1">INDEX(技能数据库!$B$2:$I$100,MATCH(无穷阵眼收益计算!$E171,技能数据库!$B$2:$B$100,0),MATCH(J$9,技能数据库!$B$2:$I$2,0))</f>
        <v>0</v>
      </c>
      <c r="K171">
        <f ca="1">INDEX(技能数据库!$B$2:$I$100,MATCH(无穷阵眼收益计算!$E171,技能数据库!$B$2:$B$100,0),MATCH(K$9,技能数据库!$B$2:$I$2,0))</f>
        <v>0.207999229431152</v>
      </c>
      <c r="L171">
        <f ca="1" t="shared" si="186"/>
        <v>105847</v>
      </c>
      <c r="M171">
        <f ca="1" t="shared" si="309"/>
        <v>19530.5</v>
      </c>
      <c r="N171">
        <f ca="1" t="shared" si="310"/>
        <v>92028</v>
      </c>
      <c r="O171">
        <f ca="1" t="shared" ref="O171:O215" si="327">H171+I171*L171+J171*M171+IF(K171&gt;0,MAX(1,K171*N171*破招全局系数),0)</f>
        <v>163355.720836693</v>
      </c>
      <c r="P171">
        <f ca="1">IF(G171="恒定伤害",0,(IF(D171="轻剑",$AZ$2,$AZ$3)+IFERROR(INDEX(技能数据库!$T$2:$W$27,MATCH(E171,技能数据库!$T$2:$T$27,0),4),0)+COUNTIF(G171,"*造化2*")*154+COUNTIF(G171,"*造化1*")*102+COUNTIF(G171,"*碧归*")*307)/1024)</f>
        <v>0.116321271929785</v>
      </c>
      <c r="Q171">
        <f ca="1" t="shared" si="289"/>
        <v>0.448284482196154</v>
      </c>
      <c r="R171">
        <f ca="1" t="shared" ref="R171:R215" si="328">IF(G171="恒定伤害",0,(($F$5-IF(D171="轻剑",$BB$2,$BB$3))*(1024-IF(D171="轻剑",$BD$2,$BD$3))/1024*(1024-IF(D171="轻剑",$BC$2,$BC$3)-COUNTIF(G171,"*雾锁*")*461*雾锁)/1024/(($F$5-IF(D171="轻剑",$BB$2,$BB$3))*(1024-IF(D171="轻剑",$BD$2,$BD$3))/1024*(1024-IF(D171="轻剑",$BC$2,$BC$3)-COUNTIF(G171,"*雾锁*")*461*雾锁)/1024+$F$7)))</f>
        <v>0.21277697966198</v>
      </c>
      <c r="S171">
        <f ca="1" t="shared" si="311"/>
        <v>207909.920194751</v>
      </c>
      <c r="T171">
        <f t="shared" si="312"/>
        <v>0.8</v>
      </c>
      <c r="U171">
        <f ca="1" t="shared" si="290"/>
        <v>1.7800129648</v>
      </c>
      <c r="V171">
        <f ca="1" t="shared" si="313"/>
        <v>462393.818921554</v>
      </c>
      <c r="W171">
        <f ca="1">IF(G171="恒定伤害",0,MIN(1,IF(COUNTIF(F171,"*内会*")&gt;0,内会2,IF(D171="轻剑",$Y$2,$Y$3)+COUNTIF(G171,"*莺鸣*")*0.2+COUNTIF(G171,"*叠1*")*0.1+COUNTIF(G171,"*叠2*")*0.2+COUNTIF(G171,"*叠3*")*0.3)+IFERROR(INDEX(技能数据库!$T$2:$W$27,MATCH(E171,技能数据库!$T$2:$T$27,0),2),0)+IF((IF(D171="轻剑",$AO$2,$AO$3)+INT(COUNTIF(G171,"*大莺鸣*")*IF(D171="轻剑",$AM$2,$AM$3)*听晓无双率)/无双系数)&gt;0.9,特效裤子会心/会心系数,0)))</f>
        <v>0.8043</v>
      </c>
      <c r="X171">
        <f ca="1">IF(G171="恒定伤害",0,IF(COUNTIF(F171,"*内会*")&gt;0,内会效2,IF(D171="轻剑",$AB$2,$AB$3))+IFERROR(INDEX(技能数据库!$T$2:$W$27,MATCH(E171,技能数据库!$T$2:$T$27,0),3)/1024,0))+COUNTIF(G171,"*叠1*")*0.25+COUNTIF(G171,"*叠2*")*0.5+COUNTIF(G171,"*叠3*")*0.75</f>
        <v>2.4273735021</v>
      </c>
      <c r="Y171">
        <f ca="1" t="shared" si="314"/>
        <v>2.14803650773903</v>
      </c>
      <c r="Z171">
        <f t="shared" si="317"/>
        <v>0.150390625</v>
      </c>
      <c r="AA171">
        <f ca="1" t="shared" si="315"/>
        <v>0.0205078125</v>
      </c>
      <c r="AB171">
        <f ca="1" t="shared" si="316"/>
        <v>1166045.09363896</v>
      </c>
      <c r="AC171">
        <f ca="1">无穷技能数计算!$AJ163</f>
        <v>4</v>
      </c>
      <c r="AD171" s="164">
        <f ca="1" t="shared" si="291"/>
        <v>0.00182794258178837</v>
      </c>
      <c r="AE171" s="168"/>
      <c r="AF171" s="168">
        <f ca="1" t="shared" si="292"/>
        <v>0.8057</v>
      </c>
      <c r="AG171">
        <f ca="1">无穷技能数计算!$AJ163</f>
        <v>4</v>
      </c>
      <c r="AH171">
        <f ca="1" t="shared" si="189"/>
        <v>109879</v>
      </c>
      <c r="AJ171">
        <f ca="1" t="shared" si="293"/>
        <v>2.6265922521</v>
      </c>
      <c r="AK171">
        <f ca="1" t="shared" ref="AK171:AK215" si="329">H171+AH171*I171+J171*(238.5+M171)+IF(K171&gt;0,MAX(1,K171*N171*破招全局系数),0)</f>
        <v>163355.720836693</v>
      </c>
      <c r="AL171">
        <f ca="1" t="shared" si="191"/>
        <v>1254606.72844809</v>
      </c>
      <c r="AM171" s="169">
        <f ca="1" t="shared" si="294"/>
        <v>0.8272</v>
      </c>
      <c r="AN171">
        <f ca="1">无穷技能数计算!$AJ163</f>
        <v>4</v>
      </c>
      <c r="AO171" s="170">
        <f ca="1" t="shared" si="193"/>
        <v>1273596.08588784</v>
      </c>
      <c r="AP171">
        <f ca="1" t="shared" si="194"/>
        <v>110956</v>
      </c>
      <c r="AQ171" s="170">
        <f ca="1" t="shared" ref="AQ171:AQ215" si="330">H171+AP171*I171+J171*M171+IF(K171&gt;0,MAX(1,K171*N171*破招全局系数),0)</f>
        <v>163355.720836693</v>
      </c>
      <c r="AR171">
        <f ca="1" t="shared" si="318"/>
        <v>1234454.07503533</v>
      </c>
      <c r="AS171">
        <f ca="1" t="shared" si="295"/>
        <v>0.8843</v>
      </c>
      <c r="AT171">
        <f ca="1">无穷技能数计算!$AJ163</f>
        <v>4</v>
      </c>
      <c r="AU171">
        <f ca="1" t="shared" si="296"/>
        <v>2.5738578771</v>
      </c>
      <c r="AV171">
        <f ca="1" t="shared" si="297"/>
        <v>1.7995442148</v>
      </c>
      <c r="AW171">
        <f ca="1" t="shared" si="226"/>
        <v>1307471.56753811</v>
      </c>
      <c r="AX171">
        <f ca="1" t="shared" si="298"/>
        <v>0.8743</v>
      </c>
      <c r="AY171">
        <f ca="1">无穷技能数计算!$AJ163</f>
        <v>4</v>
      </c>
      <c r="AZ171" s="170">
        <f ca="1" t="shared" si="227"/>
        <v>1298867.97747502</v>
      </c>
      <c r="BA171">
        <f ca="1" t="shared" si="299"/>
        <v>0.8643</v>
      </c>
      <c r="BB171">
        <f ca="1">无穷技能数计算!$AJ163</f>
        <v>4</v>
      </c>
      <c r="BC171" s="170">
        <f ca="1" t="shared" si="228"/>
        <v>1290264.38741192</v>
      </c>
      <c r="BE171">
        <f ca="1" t="shared" si="200"/>
        <v>105849</v>
      </c>
      <c r="BF171">
        <f ca="1" t="shared" si="319"/>
        <v>163355.720836693</v>
      </c>
      <c r="BI171">
        <f ca="1" t="shared" si="300"/>
        <v>0.8543</v>
      </c>
      <c r="BJ171">
        <f ca="1">无穷技能数计算!$AJ163</f>
        <v>4</v>
      </c>
      <c r="BK171">
        <f ca="1" t="shared" si="203"/>
        <v>1285864.60053307</v>
      </c>
      <c r="BM171">
        <f ca="1" t="shared" si="204"/>
        <v>109230</v>
      </c>
      <c r="BN171">
        <f ca="1" t="shared" si="320"/>
        <v>163355.720836693</v>
      </c>
      <c r="BO171">
        <f ca="1" t="shared" si="321"/>
        <v>1259310.6328884</v>
      </c>
      <c r="BP171">
        <f ca="1" t="shared" si="301"/>
        <v>1200931.92820596</v>
      </c>
      <c r="BR171">
        <f ca="1" t="shared" si="302"/>
        <v>0.8543</v>
      </c>
      <c r="BS171">
        <f ca="1" t="shared" si="208"/>
        <v>1249550.57431212</v>
      </c>
      <c r="BT171">
        <f ca="1" t="shared" si="322"/>
        <v>0.196995876306796</v>
      </c>
      <c r="BU171">
        <f ca="1" t="shared" si="303"/>
        <v>2.5738578771</v>
      </c>
      <c r="BV171">
        <f ca="1" t="shared" si="229"/>
        <v>1298232.81069673</v>
      </c>
      <c r="BW171">
        <f ca="1" t="shared" si="211"/>
        <v>113027</v>
      </c>
      <c r="BX171">
        <f ca="1" t="shared" si="323"/>
        <v>163355.720836693</v>
      </c>
      <c r="BY171">
        <f ca="1" t="shared" si="304"/>
        <v>0.8343</v>
      </c>
      <c r="BZ171">
        <f ca="1">无穷技能数计算!$AJ163</f>
        <v>4</v>
      </c>
      <c r="CA171">
        <f ca="1" t="shared" si="305"/>
        <v>2.5777641271</v>
      </c>
      <c r="CB171">
        <f ca="1" t="shared" si="230"/>
        <v>1257401.16737325</v>
      </c>
      <c r="CC171">
        <f ca="1" t="shared" si="215"/>
        <v>114847</v>
      </c>
      <c r="CD171">
        <f ca="1" t="shared" si="324"/>
        <v>163355.720836693</v>
      </c>
      <c r="CE171">
        <f ca="1" t="shared" si="217"/>
        <v>1224872.56058308</v>
      </c>
      <c r="CF171">
        <f ca="1" t="shared" si="306"/>
        <v>2.5250297521</v>
      </c>
      <c r="CG171">
        <f ca="1" t="shared" si="307"/>
        <v>0.8343</v>
      </c>
      <c r="CH171">
        <f ca="1" t="shared" si="231"/>
        <v>1242184.3211886</v>
      </c>
      <c r="CJ171">
        <f ca="1" t="shared" si="325"/>
        <v>168089.820322409</v>
      </c>
      <c r="CK171">
        <f ca="1" t="shared" si="326"/>
        <v>1289935.91598624</v>
      </c>
      <c r="CL171">
        <f ca="1" t="shared" ref="CL171:CL215" si="331">X171+IF(D171="轻剑",$CL$8-$AB$2,$CL$9-$AB$3)</f>
        <v>2.5476860021</v>
      </c>
      <c r="CM171">
        <f ca="1">IF(G171="恒定伤害",0,(IF(D171="轻剑",$CM$8,$CM$9)+IFERROR(INDEX(技能数据库!$T$2:$W$27,MATCH(E171,技能数据库!$T$2:$T$27,0),4),0)+COUNTIF(G171,"*造化2*")*154+COUNTIF(G171,"*造化1*")*102+COUNTIF(G171,"*碧归*")*307)/1024)</f>
        <v>0.176868146929785</v>
      </c>
      <c r="CN171">
        <f ca="1" t="shared" si="233"/>
        <v>1320451.12904382</v>
      </c>
      <c r="CO171">
        <f ca="1" t="shared" ref="CO171:CO215" si="332">X171+IF(D171="轻剑",$CO$8-$AB$2,$CO$9-$AB$3)</f>
        <v>2.5762602208</v>
      </c>
      <c r="CP171">
        <f ca="1" t="shared" si="235"/>
        <v>1334189.9483969</v>
      </c>
      <c r="CQ171">
        <f ca="1" t="shared" si="308"/>
        <v>1.8815754648</v>
      </c>
      <c r="CR171">
        <f ca="1">IF(G171="恒定伤害",0,(IF(D171="轻剑",$CR$8,$CR$9)+IFERROR(INDEX(技能数据库!$T$2:$W$27,MATCH(E171,技能数据库!$T$2:$T$27,0),4),0)+COUNTIF(G171,"*造化2*")*154+COUNTIF(G171,"*造化1*")*102+COUNTIF(G171,"*碧归*")*307)/1024)</f>
        <v>0.167102521929785</v>
      </c>
      <c r="CS171">
        <f ca="1" t="shared" ref="CS171:CS215" si="333">IF(COUNTIF(G171,"*恒定伤害*")&gt;0,AB171,((O171*(1+CR171)*(1+Q171)*(1-R171))*T171*(1+CQ171))*Y171*(1+Z171)*(1+AA171))</f>
        <v>1263625.34855611</v>
      </c>
    </row>
    <row r="172" spans="4:97">
      <c r="D172" t="s">
        <v>1825</v>
      </c>
      <c r="E172" s="161" t="s">
        <v>2772</v>
      </c>
      <c r="G172" t="s">
        <v>3109</v>
      </c>
      <c r="H172">
        <f ca="1">INDEX(技能数据库!$B$2:$I$100,MATCH(无穷阵眼收益计算!$E172,技能数据库!$B$2:$B$100,0),MATCH(H$9,技能数据库!$B$2:$I$2,0))</f>
        <v>0</v>
      </c>
      <c r="I172">
        <f ca="1">INDEX(技能数据库!$B$2:$I$100,MATCH(无穷阵眼收益计算!$E172,技能数据库!$B$2:$B$100,0),MATCH(I$9,技能数据库!$B$2:$I$2,0))</f>
        <v>0</v>
      </c>
      <c r="J172">
        <f ca="1">INDEX(技能数据库!$B$2:$I$100,MATCH(无穷阵眼收益计算!$E172,技能数据库!$B$2:$B$100,0),MATCH(J$9,技能数据库!$B$2:$I$2,0))</f>
        <v>0</v>
      </c>
      <c r="K172">
        <f ca="1">INDEX(技能数据库!$B$2:$I$100,MATCH(无穷阵眼收益计算!$E172,技能数据库!$B$2:$B$100,0),MATCH(K$9,技能数据库!$B$2:$I$2,0))</f>
        <v>0.207999229431152</v>
      </c>
      <c r="L172">
        <f ca="1" t="shared" si="186"/>
        <v>105847</v>
      </c>
      <c r="M172">
        <f ca="1" t="shared" si="309"/>
        <v>19530.5</v>
      </c>
      <c r="N172">
        <f ca="1" t="shared" si="310"/>
        <v>92028</v>
      </c>
      <c r="O172">
        <f ca="1" t="shared" si="327"/>
        <v>163355.720836693</v>
      </c>
      <c r="P172">
        <f ca="1">IF(G172="恒定伤害",0,(IF(D172="轻剑",$AZ$2,$AZ$3)+IFERROR(INDEX(技能数据库!$T$2:$W$27,MATCH(E172,技能数据库!$T$2:$T$27,0),4),0)+COUNTIF(G172,"*造化2*")*154+COUNTIF(G172,"*造化1*")*102+COUNTIF(G172,"*碧归*")*307)/1024)</f>
        <v>0.116321271929785</v>
      </c>
      <c r="Q172">
        <f ca="1" t="shared" si="289"/>
        <v>0.448284482196154</v>
      </c>
      <c r="R172">
        <f ca="1" t="shared" si="328"/>
        <v>0.21277697966198</v>
      </c>
      <c r="S172">
        <f ca="1" t="shared" si="311"/>
        <v>207909.920194751</v>
      </c>
      <c r="T172">
        <f t="shared" si="312"/>
        <v>0.8</v>
      </c>
      <c r="U172">
        <f ca="1" t="shared" si="290"/>
        <v>1.7800129648</v>
      </c>
      <c r="V172">
        <f ca="1" t="shared" si="313"/>
        <v>462393.818921554</v>
      </c>
      <c r="W172">
        <f ca="1">IF(G172="恒定伤害",0,MIN(1,IF(COUNTIF(F172,"*内会*")&gt;0,内会2,IF(D172="轻剑",$Y$2,$Y$3)+COUNTIF(G172,"*莺鸣*")*0.2+COUNTIF(G172,"*叠1*")*0.1+COUNTIF(G172,"*叠2*")*0.2+COUNTIF(G172,"*叠3*")*0.3)+IFERROR(INDEX(技能数据库!$T$2:$W$27,MATCH(E172,技能数据库!$T$2:$T$27,0),2),0)+IF((IF(D172="轻剑",$AO$2,$AO$3)+INT(COUNTIF(G172,"*大莺鸣*")*IF(D172="轻剑",$AM$2,$AM$3)*听晓无双率)/无双系数)&gt;0.9,特效裤子会心/会心系数,0)))</f>
        <v>0.9043</v>
      </c>
      <c r="X172">
        <f ca="1">IF(G172="恒定伤害",0,IF(COUNTIF(F172,"*内会*")&gt;0,内会效2,IF(D172="轻剑",$AB$2,$AB$3))+IFERROR(INDEX(技能数据库!$T$2:$W$27,MATCH(E172,技能数据库!$T$2:$T$27,0),3)/1024,0))+COUNTIF(G172,"*叠1*")*0.25+COUNTIF(G172,"*叠2*")*0.5+COUNTIF(G172,"*叠3*")*0.75</f>
        <v>2.6773735021</v>
      </c>
      <c r="Y172">
        <f ca="1" t="shared" si="314"/>
        <v>2.51684885794903</v>
      </c>
      <c r="Z172">
        <f t="shared" si="317"/>
        <v>0.150390625</v>
      </c>
      <c r="AA172">
        <f ca="1" t="shared" si="315"/>
        <v>0.0205078125</v>
      </c>
      <c r="AB172">
        <f ca="1" t="shared" si="316"/>
        <v>1366252.04072129</v>
      </c>
      <c r="AC172">
        <f ca="1">无穷技能数计算!$AJ164</f>
        <v>3</v>
      </c>
      <c r="AD172" s="164">
        <f ca="1" t="shared" si="291"/>
        <v>0.00160634672041014</v>
      </c>
      <c r="AE172" s="168"/>
      <c r="AF172" s="168">
        <f ca="1" t="shared" si="292"/>
        <v>0.9057</v>
      </c>
      <c r="AG172">
        <f ca="1">无穷技能数计算!$AJ164</f>
        <v>3</v>
      </c>
      <c r="AH172">
        <f ca="1" t="shared" si="189"/>
        <v>109879</v>
      </c>
      <c r="AJ172">
        <f ca="1" t="shared" si="293"/>
        <v>2.8765922521</v>
      </c>
      <c r="AK172">
        <f ca="1" t="shared" si="329"/>
        <v>163355.720836693</v>
      </c>
      <c r="AL172">
        <f ca="1" t="shared" si="191"/>
        <v>1465876.19393077</v>
      </c>
      <c r="AM172" s="169">
        <f ca="1" t="shared" si="294"/>
        <v>0.9272</v>
      </c>
      <c r="AN172">
        <f ca="1">无穷技能数计算!$AJ164</f>
        <v>3</v>
      </c>
      <c r="AO172" s="170">
        <f ca="1" t="shared" si="193"/>
        <v>1487784.13121362</v>
      </c>
      <c r="AP172">
        <f ca="1" t="shared" si="194"/>
        <v>110956</v>
      </c>
      <c r="AQ172" s="170">
        <f ca="1" t="shared" si="330"/>
        <v>163355.720836693</v>
      </c>
      <c r="AR172">
        <f ca="1" t="shared" si="318"/>
        <v>1446406.66848511</v>
      </c>
      <c r="AS172">
        <f ca="1" t="shared" si="295"/>
        <v>0.9843</v>
      </c>
      <c r="AT172">
        <f ca="1">无穷技能数计算!$AJ164</f>
        <v>3</v>
      </c>
      <c r="AU172">
        <f ca="1" t="shared" si="296"/>
        <v>2.8238578771</v>
      </c>
      <c r="AV172">
        <f ca="1" t="shared" si="297"/>
        <v>1.7995442148</v>
      </c>
      <c r="AW172">
        <f ca="1" t="shared" si="226"/>
        <v>1528025.86754807</v>
      </c>
      <c r="AX172">
        <f ca="1" t="shared" si="298"/>
        <v>0.9743</v>
      </c>
      <c r="AY172">
        <f ca="1">无穷技能数计算!$AJ164</f>
        <v>3</v>
      </c>
      <c r="AZ172" s="170">
        <f ca="1" t="shared" si="227"/>
        <v>1518055.63723933</v>
      </c>
      <c r="BA172">
        <f ca="1" t="shared" si="299"/>
        <v>0.9643</v>
      </c>
      <c r="BB172">
        <f ca="1">无穷技能数计算!$AJ164</f>
        <v>3</v>
      </c>
      <c r="BC172" s="170">
        <f ca="1" t="shared" si="228"/>
        <v>1508085.40693059</v>
      </c>
      <c r="BE172">
        <f ca="1" t="shared" si="200"/>
        <v>105849</v>
      </c>
      <c r="BF172">
        <f ca="1" t="shared" si="319"/>
        <v>163355.720836693</v>
      </c>
      <c r="BI172">
        <f ca="1" t="shared" si="300"/>
        <v>0.9543</v>
      </c>
      <c r="BJ172">
        <f ca="1">无穷技能数计算!$AJ164</f>
        <v>3</v>
      </c>
      <c r="BK172">
        <f ca="1" t="shared" si="203"/>
        <v>1506786.88037239</v>
      </c>
      <c r="BM172">
        <f ca="1" t="shared" si="204"/>
        <v>109230</v>
      </c>
      <c r="BN172">
        <f ca="1" t="shared" si="320"/>
        <v>163355.720836693</v>
      </c>
      <c r="BO172">
        <f ca="1" t="shared" si="321"/>
        <v>1475531.03346664</v>
      </c>
      <c r="BP172">
        <f ca="1" t="shared" si="301"/>
        <v>1407128.8551614</v>
      </c>
      <c r="BR172">
        <f ca="1" t="shared" si="302"/>
        <v>0.9543</v>
      </c>
      <c r="BS172">
        <f ca="1" t="shared" si="208"/>
        <v>1464233.80109753</v>
      </c>
      <c r="BT172">
        <f ca="1" t="shared" si="322"/>
        <v>0.196995876306796</v>
      </c>
      <c r="BU172">
        <f ca="1" t="shared" si="303"/>
        <v>2.8238578771</v>
      </c>
      <c r="BV172">
        <f ca="1" t="shared" si="229"/>
        <v>1517485.96860911</v>
      </c>
      <c r="BW172">
        <f ca="1" t="shared" si="211"/>
        <v>113027</v>
      </c>
      <c r="BX172">
        <f ca="1" t="shared" si="323"/>
        <v>163355.720836693</v>
      </c>
      <c r="BY172">
        <f ca="1" t="shared" si="304"/>
        <v>0.9343</v>
      </c>
      <c r="BZ172">
        <f ca="1">无穷技能数计算!$AJ164</f>
        <v>3</v>
      </c>
      <c r="CA172">
        <f ca="1" t="shared" si="305"/>
        <v>2.8277641271</v>
      </c>
      <c r="CB172">
        <f ca="1" t="shared" si="230"/>
        <v>1469843.2711434</v>
      </c>
      <c r="CC172">
        <f ca="1" t="shared" si="215"/>
        <v>114847</v>
      </c>
      <c r="CD172">
        <f ca="1" t="shared" si="324"/>
        <v>163355.720836693</v>
      </c>
      <c r="CE172">
        <f ca="1" t="shared" si="217"/>
        <v>1435262.61434483</v>
      </c>
      <c r="CF172">
        <f ca="1" t="shared" si="306"/>
        <v>2.7750297521</v>
      </c>
      <c r="CG172">
        <f ca="1" t="shared" si="307"/>
        <v>0.9343</v>
      </c>
      <c r="CH172">
        <f ca="1" t="shared" si="231"/>
        <v>1453236.20074054</v>
      </c>
      <c r="CJ172">
        <f ca="1" t="shared" si="325"/>
        <v>168089.820322409</v>
      </c>
      <c r="CK172">
        <f ca="1" t="shared" si="326"/>
        <v>1511414.59899798</v>
      </c>
      <c r="CL172">
        <f ca="1" t="shared" si="331"/>
        <v>2.7976860021</v>
      </c>
      <c r="CM172">
        <f ca="1">IF(G172="恒定伤害",0,(IF(D172="轻剑",$CM$8,$CM$9)+IFERROR(INDEX(技能数据库!$T$2:$W$27,MATCH(E172,技能数据库!$T$2:$T$27,0),4),0)+COUNTIF(G172,"*造化2*")*154+COUNTIF(G172,"*造化1*")*102+COUNTIF(G172,"*碧归*")*307)/1024)</f>
        <v>0.176868146929785</v>
      </c>
      <c r="CN172">
        <f ca="1" t="shared" si="233"/>
        <v>1544255.70281102</v>
      </c>
      <c r="CO172">
        <f ca="1" t="shared" si="332"/>
        <v>2.8262602208</v>
      </c>
      <c r="CP172">
        <f ca="1" t="shared" si="235"/>
        <v>1559641.27025868</v>
      </c>
      <c r="CQ172">
        <f ca="1" t="shared" si="308"/>
        <v>1.8815754648</v>
      </c>
      <c r="CR172">
        <f ca="1">IF(G172="恒定伤害",0,(IF(D172="轻剑",$CR$8,$CR$9)+IFERROR(INDEX(技能数据库!$T$2:$W$27,MATCH(E172,技能数据库!$T$2:$T$27,0),4),0)+COUNTIF(G172,"*造化2*")*154+COUNTIF(G172,"*造化1*")*102+COUNTIF(G172,"*碧归*")*307)/1024)</f>
        <v>0.167102521929785</v>
      </c>
      <c r="CS172">
        <f ca="1" t="shared" si="333"/>
        <v>1480586.57473027</v>
      </c>
    </row>
    <row r="173" spans="4:97">
      <c r="D173" t="s">
        <v>1825</v>
      </c>
      <c r="E173" s="161" t="s">
        <v>2772</v>
      </c>
      <c r="G173" t="s">
        <v>3110</v>
      </c>
      <c r="H173">
        <f ca="1">INDEX(技能数据库!$B$2:$I$100,MATCH(无穷阵眼收益计算!$E173,技能数据库!$B$2:$B$100,0),MATCH(H$9,技能数据库!$B$2:$I$2,0))</f>
        <v>0</v>
      </c>
      <c r="I173">
        <f ca="1">INDEX(技能数据库!$B$2:$I$100,MATCH(无穷阵眼收益计算!$E173,技能数据库!$B$2:$B$100,0),MATCH(I$9,技能数据库!$B$2:$I$2,0))</f>
        <v>0</v>
      </c>
      <c r="J173">
        <f ca="1">INDEX(技能数据库!$B$2:$I$100,MATCH(无穷阵眼收益计算!$E173,技能数据库!$B$2:$B$100,0),MATCH(J$9,技能数据库!$B$2:$I$2,0))</f>
        <v>0</v>
      </c>
      <c r="K173">
        <f ca="1">INDEX(技能数据库!$B$2:$I$100,MATCH(无穷阵眼收益计算!$E173,技能数据库!$B$2:$B$100,0),MATCH(K$9,技能数据库!$B$2:$I$2,0))</f>
        <v>0.207999229431152</v>
      </c>
      <c r="L173">
        <f ca="1" t="shared" si="186"/>
        <v>105847</v>
      </c>
      <c r="M173">
        <f ca="1" t="shared" si="309"/>
        <v>19530.5</v>
      </c>
      <c r="N173">
        <f ca="1" t="shared" si="310"/>
        <v>92028</v>
      </c>
      <c r="O173">
        <f ca="1" t="shared" si="327"/>
        <v>163355.720836693</v>
      </c>
      <c r="P173">
        <f ca="1">IF(G173="恒定伤害",0,(IF(D173="轻剑",$AZ$2,$AZ$3)+IFERROR(INDEX(技能数据库!$T$2:$W$27,MATCH(E173,技能数据库!$T$2:$T$27,0),4),0)+COUNTIF(G173,"*造化2*")*154+COUNTIF(G173,"*造化1*")*102+COUNTIF(G173,"*碧归*")*307)/1024)</f>
        <v>0.116321271929785</v>
      </c>
      <c r="Q173">
        <f ca="1" t="shared" ref="Q173:Q215" si="334">IF(G173="恒定伤害",0,(IF(COUNTIF(F173,"*内破*")&gt;0,内破,IF(D173="轻剑",$AF$2,$AF$3)/破防系数))+IF((IF(D173="轻剑",$AO$2,$AO$3)+INT(COUNTIF(G173,"*大莺鸣*")*IF(D173="轻剑",$AM$2,$AM$3)*听晓无双率)/无双系数)&gt;0.9,(特效裤子破防+特效裤子破防*IF(D173="轻剑",$AD$2,$AD$3)/1024)/破防系数,0))</f>
        <v>0.448284482196154</v>
      </c>
      <c r="R173">
        <f ca="1" t="shared" si="328"/>
        <v>0.21277697966198</v>
      </c>
      <c r="S173">
        <f ca="1" t="shared" si="311"/>
        <v>207909.920194751</v>
      </c>
      <c r="T173">
        <f t="shared" si="312"/>
        <v>0.8</v>
      </c>
      <c r="U173">
        <f ca="1" t="shared" ref="U173:U215" si="335">IF(G173="恒定伤害",0,(IF(D173="轻剑",$AO$2,$AO$3)+INT(COUNTIF(G173,"*大莺鸣*")*IF(D173="轻剑",$AM$2,$AM$3)*听晓无双率)/无双系数)+IF((IF(D173="轻剑",$AO$2,$AO$3)+INT(COUNTIF(G173,"*大莺鸣*")*IF(D173="轻剑",$AM$2,$AM$3)*听晓无双率)/无双系数)&lt;=0.9,特效裤子无双,0))</f>
        <v>1.7800129648</v>
      </c>
      <c r="V173">
        <f ca="1" t="shared" si="313"/>
        <v>462393.818921554</v>
      </c>
      <c r="W173">
        <f ca="1">IF(G173="恒定伤害",0,MIN(1,IF(COUNTIF(F173,"*内会*")&gt;0,内会2,IF(D173="轻剑",$Y$2,$Y$3)+COUNTIF(G173,"*莺鸣*")*0.2+COUNTIF(G173,"*叠1*")*0.1+COUNTIF(G173,"*叠2*")*0.2+COUNTIF(G173,"*叠3*")*0.3)+IFERROR(INDEX(技能数据库!$T$2:$W$27,MATCH(E173,技能数据库!$T$2:$T$27,0),2),0)+IF((IF(D173="轻剑",$AO$2,$AO$3)+INT(COUNTIF(G173,"*大莺鸣*")*IF(D173="轻剑",$AM$2,$AM$3)*听晓无双率)/无双系数)&gt;0.9,特效裤子会心/会心系数,0)))</f>
        <v>1</v>
      </c>
      <c r="X173">
        <f ca="1">IF(G173="恒定伤害",0,IF(COUNTIF(F173,"*内会*")&gt;0,内会效2,IF(D173="轻剑",$AB$2,$AB$3))+IFERROR(INDEX(技能数据库!$T$2:$W$27,MATCH(E173,技能数据库!$T$2:$T$27,0),3)/1024,0))+COUNTIF(G173,"*叠1*")*0.25+COUNTIF(G173,"*叠2*")*0.5+COUNTIF(G173,"*叠3*")*0.75</f>
        <v>2.9273735021</v>
      </c>
      <c r="Y173">
        <f ca="1" t="shared" si="314"/>
        <v>2.9273735021</v>
      </c>
      <c r="Z173">
        <f t="shared" si="317"/>
        <v>0.150390625</v>
      </c>
      <c r="AA173">
        <f ca="1" t="shared" si="315"/>
        <v>0.0205078125</v>
      </c>
      <c r="AB173">
        <f ca="1" t="shared" si="316"/>
        <v>1589102.18568181</v>
      </c>
      <c r="AC173">
        <f ca="1">无穷技能数计算!$AJ165</f>
        <v>8</v>
      </c>
      <c r="AD173" s="164">
        <f ca="1" t="shared" ref="AD173:AD215" si="336">IFERROR(AB173*AC173/$AD$7,0)</f>
        <v>0.00498229025252456</v>
      </c>
      <c r="AE173" s="168"/>
      <c r="AF173" s="168">
        <f ca="1" t="shared" ref="AF173:AF188" si="337">W173+IF(COUNTIF(F173,"*内会*")&gt;0,0,IF(D173="轻剑",$AF$8-$Y$2,$AF$9-$Y$3))</f>
        <v>1.0014</v>
      </c>
      <c r="AG173">
        <f ca="1">无穷技能数计算!$AJ165</f>
        <v>8</v>
      </c>
      <c r="AH173">
        <f ca="1" t="shared" si="189"/>
        <v>109879</v>
      </c>
      <c r="AJ173">
        <f ca="1" t="shared" ref="AJ173:AJ188" si="338">X173+IF(COUNTIF(F173,"*内会*")&gt;0,0,IF(D173="轻剑",$AJ$8-$AB$2,$AJ$9-$AB$3))</f>
        <v>3.1265922521</v>
      </c>
      <c r="AK173">
        <f ca="1" t="shared" si="329"/>
        <v>163355.720836693</v>
      </c>
      <c r="AL173">
        <f ca="1" t="shared" si="191"/>
        <v>1697713.32550665</v>
      </c>
      <c r="AM173" s="169">
        <f ca="1" t="shared" ref="AM173:AM188" si="339">W173+IF(COUNTIF(F173,"*内会*")&gt;0,0,IF(D173="轻剑",$AN$8-$Y$2,$AN$9-$Y$3))</f>
        <v>1.0229</v>
      </c>
      <c r="AN173">
        <f ca="1">无穷技能数计算!$AJ165</f>
        <v>8</v>
      </c>
      <c r="AO173" s="170">
        <f ca="1" t="shared" si="193"/>
        <v>1697713.32550665</v>
      </c>
      <c r="AP173">
        <f ca="1" t="shared" si="194"/>
        <v>110956</v>
      </c>
      <c r="AQ173" s="170">
        <f ca="1" t="shared" si="330"/>
        <v>163355.720836693</v>
      </c>
      <c r="AR173">
        <f ca="1" t="shared" si="318"/>
        <v>1682330.88022396</v>
      </c>
      <c r="AS173">
        <f ca="1" t="shared" ref="AS173:AS188" si="340">W173+IF(COUNTIF(F173,"*内会*")&gt;0,0,IF(D173="轻剑",$AS$8-$Y$2,$AS$9-$Y$3))</f>
        <v>1.08</v>
      </c>
      <c r="AT173">
        <f ca="1">无穷技能数计算!$AJ165</f>
        <v>8</v>
      </c>
      <c r="AU173">
        <f ca="1" t="shared" ref="AU173:AU188" si="341">X173+IF(COUNTIF(F173,"*内会*")&gt;0,0,IF(D173="轻剑",$AU$8-$AB$2,$AU$9-$AB$3))</f>
        <v>3.0738578771</v>
      </c>
      <c r="AV173">
        <f ca="1" t="shared" ref="AV173:AV215" si="342">IF(G173="恒定伤害",0,(IF(D173="轻剑",$AV$8,$AV$9)+INT(COUNTIF(G173,"*大莺鸣*")*IF(D173="轻剑",$AM$2,$AM$3)*听晓无双率)/无双系数))+IF((IF(G173="恒定伤害",0,(IF(D173="轻剑",$AV$8,$AV$9)+INT(COUNTIF(G173,"*大莺鸣*")*IF(D173="轻剑",$AM$2,$AM$3)*听晓无双率)/无双系数)))&lt;=0.9,特效裤子无双,0)</f>
        <v>1.7995442148</v>
      </c>
      <c r="AW173">
        <f ca="1" t="shared" si="226"/>
        <v>1680343.15369749</v>
      </c>
      <c r="AX173">
        <f ca="1" t="shared" ref="AX173:AX188" si="343">$W173+IF(COUNTIF(F173,"*内会*")&gt;0,0,IF(I173="轻剑",AX$8-$Y$2,AX$9-$Y$3))</f>
        <v>1.07</v>
      </c>
      <c r="AY173">
        <f ca="1">无穷技能数计算!$AJ165</f>
        <v>8</v>
      </c>
      <c r="AZ173" s="170">
        <f ca="1" t="shared" si="227"/>
        <v>1680343.15369749</v>
      </c>
      <c r="BA173">
        <f ca="1" t="shared" ref="BA173:BA188" si="344">$W173+IF(COUNTIF(F173,"*内会*")&gt;0,0,IF(L173="轻剑",BA$8-$Y$2,BA$9-$Y$3))</f>
        <v>1.06</v>
      </c>
      <c r="BB173">
        <f ca="1">无穷技能数计算!$AJ165</f>
        <v>8</v>
      </c>
      <c r="BC173" s="170">
        <f ca="1" t="shared" si="228"/>
        <v>1680343.15369749</v>
      </c>
      <c r="BE173">
        <f ca="1" t="shared" si="200"/>
        <v>105849</v>
      </c>
      <c r="BF173">
        <f ca="1" t="shared" si="319"/>
        <v>163355.720836693</v>
      </c>
      <c r="BI173">
        <f ca="1" t="shared" ref="BI173:BI188" si="345">$W173+IF(COUNTIF(F173,"*内会*")&gt;0,0,IF(T173="轻剑",BI$8-$Y$2,BI$9-$Y$3))</f>
        <v>1.05</v>
      </c>
      <c r="BJ173">
        <f ca="1">无穷技能数计算!$AJ165</f>
        <v>8</v>
      </c>
      <c r="BK173">
        <f ca="1" t="shared" si="203"/>
        <v>1696042.70008296</v>
      </c>
      <c r="BM173">
        <f ca="1" t="shared" si="204"/>
        <v>109230</v>
      </c>
      <c r="BN173">
        <f ca="1" t="shared" si="320"/>
        <v>163355.720836693</v>
      </c>
      <c r="BO173">
        <f ca="1" t="shared" si="321"/>
        <v>1716205.73688972</v>
      </c>
      <c r="BP173">
        <f ca="1" t="shared" ref="BP173:BP215" si="346">IF(COUNTIF(G173,"*恒定伤害*")&gt;0,AB173,((BN173*(1+P173)*(1+IF(COUNTIF(F173,"*内破*")&gt;0,内破,IF(D173="轻剑",$BQ$8,$BQ$9)/破防系数)+IF((IF(D173="轻剑",$AO$2,$AO$3)+INT(COUNTIF(G173,"*大莺鸣*")*IF(D173="轻剑",$AM$2,$AM$3)*听晓无双率)/无双系数)&gt;0.9,(特效裤子破防+特效裤子破防*IF(D173="轻剑",$AD$2+102,$AD$3+102)/1024)/破防系数,0))*(1-R173))*T173*(1+U173))*Y173*(1+Z173)*(1+AA173))</f>
        <v>1636646.4405004</v>
      </c>
      <c r="BR173">
        <f ca="1" t="shared" ref="BR173:BR188" si="347">$W173+IF(T173="轻剑",BI$8-$Y$2,BI$9-$Y$3)</f>
        <v>1.05</v>
      </c>
      <c r="BS173">
        <f ca="1" t="shared" si="208"/>
        <v>1648144.85838398</v>
      </c>
      <c r="BT173">
        <f ca="1" t="shared" si="322"/>
        <v>0.196995876306796</v>
      </c>
      <c r="BU173">
        <f ca="1" t="shared" ref="BU173:BU188" si="348">X173+IF(D173="轻剑",$AU$8-$AB$2,$AU$9-$AB$3)</f>
        <v>3.0738578771</v>
      </c>
      <c r="BV173">
        <f ca="1" t="shared" si="229"/>
        <v>1702070.17322537</v>
      </c>
      <c r="BW173">
        <f ca="1" t="shared" si="211"/>
        <v>113027</v>
      </c>
      <c r="BX173">
        <f ca="1" t="shared" si="323"/>
        <v>163355.720836693</v>
      </c>
      <c r="BY173">
        <f ca="1" t="shared" ref="BY173:BY188" si="349">$W173+IF(COUNTIF(F173,"*内会*")&gt;0,0,IF(AI173="轻剑",BY$8-$Y$2,BY$9-$Y$3))</f>
        <v>1.03</v>
      </c>
      <c r="BZ173">
        <f ca="1">无穷技能数计算!$AJ165</f>
        <v>8</v>
      </c>
      <c r="CA173">
        <f ca="1" t="shared" ref="CA173:CA188" si="350">X173+IF(COUNTIF(F173,"*内会*")&gt;0,0,IF(D173="轻剑",$CA$8-$AB$2,$CA$9-$AB$3))</f>
        <v>3.0777641271</v>
      </c>
      <c r="CB173">
        <f ca="1" t="shared" si="230"/>
        <v>1670740.57952602</v>
      </c>
      <c r="CC173">
        <f ca="1" t="shared" si="215"/>
        <v>114847</v>
      </c>
      <c r="CD173">
        <f ca="1" t="shared" si="324"/>
        <v>163355.720836693</v>
      </c>
      <c r="CE173">
        <f ca="1" t="shared" si="217"/>
        <v>1636646.4405004</v>
      </c>
      <c r="CF173">
        <f ca="1" t="shared" ref="CF173:CF188" si="351">X173+IF(COUNTIF(F173,"*内会*")&gt;0,0,IF(D173="轻剑",$CF$8-$AB$2,$CF$9-$AB$3))</f>
        <v>3.0250297521</v>
      </c>
      <c r="CG173">
        <f ca="1" t="shared" ref="CG173:CG188" si="352">$W173+IF(AI173="轻剑",BY$8-$Y$2,BY$9-$Y$3)</f>
        <v>1.03</v>
      </c>
      <c r="CH173">
        <f ca="1" t="shared" si="231"/>
        <v>1653650.96139969</v>
      </c>
      <c r="CJ173">
        <f ca="1" t="shared" si="325"/>
        <v>168089.820322409</v>
      </c>
      <c r="CK173">
        <f ca="1" t="shared" si="326"/>
        <v>1757942.29113911</v>
      </c>
      <c r="CL173">
        <f ca="1" t="shared" si="331"/>
        <v>3.0476860021</v>
      </c>
      <c r="CM173">
        <f ca="1">IF(G173="恒定伤害",0,(IF(D173="轻剑",$CM$8,$CM$9)+IFERROR(INDEX(技能数据库!$T$2:$W$27,MATCH(E173,技能数据库!$T$2:$T$27,0),4),0)+COUNTIF(G173,"*造化2*")*154+COUNTIF(G173,"*造化1*")*102+COUNTIF(G173,"*碧归*")*307)/1024)</f>
        <v>0.176868146929785</v>
      </c>
      <c r="CN173">
        <f ca="1" t="shared" si="233"/>
        <v>1756398.37068876</v>
      </c>
      <c r="CO173">
        <f ca="1" t="shared" si="332"/>
        <v>3.0762602208</v>
      </c>
      <c r="CP173">
        <f ca="1" t="shared" si="235"/>
        <v>1772865.85163457</v>
      </c>
      <c r="CQ173">
        <f ca="1" t="shared" ref="CQ173:CQ215" si="353">IF(G173="恒定伤害",0,(IF(D173="轻剑",$CQ$8,$CQ$9)+INT(COUNTIF(G173,"*大莺鸣*")*IF(D173="轻剑",$AM$2,$AM$3)*听晓无双率)/无双系数))+IF((IF(G173="恒定伤害",0,(IF(D173="轻剑",$CQ$8,$CQ$9)+INT(COUNTIF(G173,"*大莺鸣*")*IF(D173="轻剑",$AM$2,$AM$3)*听晓无双率)/无双系数)))&lt;=0.9,特效裤子无双,0)</f>
        <v>1.8815754648</v>
      </c>
      <c r="CR173">
        <f ca="1">IF(G173="恒定伤害",0,(IF(D173="轻剑",$CR$8,$CR$9)+IFERROR(INDEX(技能数据库!$T$2:$W$27,MATCH(E173,技能数据库!$T$2:$T$27,0),4),0)+COUNTIF(G173,"*造化2*")*154+COUNTIF(G173,"*造化1*")*102+COUNTIF(G173,"*碧归*")*307)/1024)</f>
        <v>0.167102521929785</v>
      </c>
      <c r="CS173">
        <f ca="1" t="shared" si="333"/>
        <v>1722085.89035511</v>
      </c>
    </row>
    <row r="174" spans="4:97">
      <c r="D174" t="s">
        <v>1825</v>
      </c>
      <c r="E174" s="161" t="s">
        <v>2783</v>
      </c>
      <c r="G174" t="s">
        <v>3108</v>
      </c>
      <c r="H174">
        <f ca="1">INDEX(技能数据库!$B$2:$I$100,MATCH(无穷阵眼收益计算!$E174,技能数据库!$B$2:$B$100,0),MATCH(H$9,技能数据库!$B$2:$I$2,0))</f>
        <v>0</v>
      </c>
      <c r="I174">
        <f ca="1">INDEX(技能数据库!$B$2:$I$100,MATCH(无穷阵眼收益计算!$E174,技能数据库!$B$2:$B$100,0),MATCH(I$9,技能数据库!$B$2:$I$2,0))</f>
        <v>0</v>
      </c>
      <c r="J174">
        <f ca="1">INDEX(技能数据库!$B$2:$I$100,MATCH(无穷阵眼收益计算!$E174,技能数据库!$B$2:$B$100,0),MATCH(J$9,技能数据库!$B$2:$I$2,0))</f>
        <v>0</v>
      </c>
      <c r="K174">
        <f ca="1">INDEX(技能数据库!$B$2:$I$100,MATCH(无穷阵眼收益计算!$E174,技能数据库!$B$2:$B$100,0),MATCH(K$9,技能数据库!$B$2:$I$2,0))</f>
        <v>1.28127956390381</v>
      </c>
      <c r="L174">
        <f ca="1" t="shared" si="186"/>
        <v>105847</v>
      </c>
      <c r="M174">
        <f ca="1" t="shared" si="309"/>
        <v>19530.5</v>
      </c>
      <c r="N174">
        <f ca="1" t="shared" si="310"/>
        <v>92028</v>
      </c>
      <c r="O174">
        <f ca="1" t="shared" si="327"/>
        <v>1006274.62576302</v>
      </c>
      <c r="P174">
        <f ca="1">IF(G174="恒定伤害",0,(IF(D174="轻剑",$AZ$2,$AZ$3)+IFERROR(INDEX(技能数据库!$T$2:$W$27,MATCH(E174,技能数据库!$T$2:$T$27,0),4),0)+COUNTIF(G174,"*造化2*")*154+COUNTIF(G174,"*造化1*")*102+COUNTIF(G174,"*碧归*")*307)/1024)</f>
        <v>0.116321271929785</v>
      </c>
      <c r="Q174">
        <f ca="1" t="shared" si="334"/>
        <v>0.448284482196154</v>
      </c>
      <c r="R174">
        <f ca="1" t="shared" si="328"/>
        <v>0.21277697966198</v>
      </c>
      <c r="S174">
        <f ca="1" t="shared" si="311"/>
        <v>1280729.41715672</v>
      </c>
      <c r="T174">
        <f t="shared" si="312"/>
        <v>0.8</v>
      </c>
      <c r="U174">
        <f ca="1" t="shared" si="335"/>
        <v>1.7800129648</v>
      </c>
      <c r="V174">
        <f ca="1" t="shared" si="313"/>
        <v>2848355.50727714</v>
      </c>
      <c r="W174">
        <f ca="1">IF(G174="恒定伤害",0,MIN(1,IF(COUNTIF(F174,"*内会*")&gt;0,内会2,IF(D174="轻剑",$Y$2,$Y$3)+COUNTIF(G174,"*莺鸣*")*0.2+COUNTIF(G174,"*叠1*")*0.1+COUNTIF(G174,"*叠2*")*0.2+COUNTIF(G174,"*叠3*")*0.3)+IFERROR(INDEX(技能数据库!$T$2:$W$27,MATCH(E174,技能数据库!$T$2:$T$27,0),2),0)+IF((IF(D174="轻剑",$AO$2,$AO$3)+INT(COUNTIF(G174,"*大莺鸣*")*IF(D174="轻剑",$AM$2,$AM$3)*听晓无双率)/无双系数)&gt;0.9,特效裤子会心/会心系数,0)))</f>
        <v>0.8043</v>
      </c>
      <c r="X174">
        <f ca="1">IF(G174="恒定伤害",0,IF(COUNTIF(F174,"*内会*")&gt;0,内会效2,IF(D174="轻剑",$AB$2,$AB$3))+IFERROR(INDEX(技能数据库!$T$2:$W$27,MATCH(E174,技能数据库!$T$2:$T$27,0),3)/1024,0))+COUNTIF(G174,"*叠1*")*0.25+COUNTIF(G174,"*叠2*")*0.5+COUNTIF(G174,"*叠3*")*0.75</f>
        <v>2.4273735021</v>
      </c>
      <c r="Y174">
        <f ca="1" t="shared" si="314"/>
        <v>2.14803650773903</v>
      </c>
      <c r="Z174">
        <f t="shared" si="317"/>
        <v>0.150390625</v>
      </c>
      <c r="AA174">
        <f ca="1" t="shared" si="315"/>
        <v>0.0205078125</v>
      </c>
      <c r="AB174">
        <f ca="1" t="shared" si="316"/>
        <v>7182861.94211324</v>
      </c>
      <c r="AC174">
        <f ca="1">无穷技能数计算!$AJ166</f>
        <v>4</v>
      </c>
      <c r="AD174" s="164">
        <f ca="1" t="shared" si="336"/>
        <v>0.0112601641863786</v>
      </c>
      <c r="AE174" s="168"/>
      <c r="AF174" s="168">
        <f ca="1" t="shared" si="337"/>
        <v>0.8057</v>
      </c>
      <c r="AG174">
        <f ca="1">无穷技能数计算!$AJ166</f>
        <v>4</v>
      </c>
      <c r="AH174">
        <f ca="1" t="shared" si="189"/>
        <v>109879</v>
      </c>
      <c r="AJ174">
        <f ca="1" t="shared" si="338"/>
        <v>2.6265922521</v>
      </c>
      <c r="AK174">
        <f ca="1" t="shared" si="329"/>
        <v>1006274.62576302</v>
      </c>
      <c r="AL174">
        <f ca="1" t="shared" si="191"/>
        <v>7728403.44790239</v>
      </c>
      <c r="AM174" s="169">
        <f ca="1" t="shared" si="339"/>
        <v>0.8272</v>
      </c>
      <c r="AN174">
        <f ca="1">无穷技能数计算!$AJ166</f>
        <v>4</v>
      </c>
      <c r="AO174" s="170">
        <f ca="1" t="shared" si="193"/>
        <v>7845378.28326956</v>
      </c>
      <c r="AP174">
        <f ca="1" t="shared" si="194"/>
        <v>110956</v>
      </c>
      <c r="AQ174" s="170">
        <f ca="1" t="shared" si="330"/>
        <v>1006274.62576302</v>
      </c>
      <c r="AR174">
        <f ca="1" t="shared" si="318"/>
        <v>7604262.6852331</v>
      </c>
      <c r="AS174">
        <f ca="1" t="shared" si="340"/>
        <v>0.8843</v>
      </c>
      <c r="AT174">
        <f ca="1">无穷技能数计算!$AJ166</f>
        <v>4</v>
      </c>
      <c r="AU174">
        <f ca="1" t="shared" si="341"/>
        <v>2.5738578771</v>
      </c>
      <c r="AV174">
        <f ca="1" t="shared" si="342"/>
        <v>1.7995442148</v>
      </c>
      <c r="AW174">
        <f ca="1" t="shared" si="226"/>
        <v>8054051.95227591</v>
      </c>
      <c r="AX174">
        <f ca="1" t="shared" si="343"/>
        <v>0.8743</v>
      </c>
      <c r="AY174">
        <f ca="1">无穷技能数计算!$AJ166</f>
        <v>4</v>
      </c>
      <c r="AZ174" s="170">
        <f ca="1" t="shared" si="227"/>
        <v>8001053.65918514</v>
      </c>
      <c r="BA174">
        <f ca="1" t="shared" si="344"/>
        <v>0.8643</v>
      </c>
      <c r="BB174">
        <f ca="1">无穷技能数计算!$AJ166</f>
        <v>4</v>
      </c>
      <c r="BC174" s="170">
        <f ca="1" t="shared" si="228"/>
        <v>7948055.36609437</v>
      </c>
      <c r="BE174">
        <f ca="1" t="shared" si="200"/>
        <v>105849</v>
      </c>
      <c r="BF174">
        <f ca="1" t="shared" si="319"/>
        <v>1006274.62576302</v>
      </c>
      <c r="BI174">
        <f ca="1" t="shared" si="345"/>
        <v>0.8543</v>
      </c>
      <c r="BJ174">
        <f ca="1">无穷技能数计算!$AJ166</f>
        <v>4</v>
      </c>
      <c r="BK174">
        <f ca="1" t="shared" si="203"/>
        <v>7920952.58773878</v>
      </c>
      <c r="BM174">
        <f ca="1" t="shared" si="204"/>
        <v>109230</v>
      </c>
      <c r="BN174">
        <f ca="1" t="shared" si="320"/>
        <v>1006274.62576302</v>
      </c>
      <c r="BO174">
        <f ca="1" t="shared" si="321"/>
        <v>7757379.59673913</v>
      </c>
      <c r="BP174">
        <f ca="1" t="shared" si="346"/>
        <v>7397765.56604608</v>
      </c>
      <c r="BR174">
        <f ca="1" t="shared" si="347"/>
        <v>0.8543</v>
      </c>
      <c r="BS174">
        <f ca="1" t="shared" si="208"/>
        <v>7697257.43364028</v>
      </c>
      <c r="BT174">
        <f ca="1" t="shared" si="322"/>
        <v>0.196995876306796</v>
      </c>
      <c r="BU174">
        <f ca="1" t="shared" si="348"/>
        <v>2.5738578771</v>
      </c>
      <c r="BV174">
        <f ca="1" t="shared" si="229"/>
        <v>7997141.01866759</v>
      </c>
      <c r="BW174">
        <f ca="1" t="shared" si="211"/>
        <v>113027</v>
      </c>
      <c r="BX174">
        <f ca="1" t="shared" si="323"/>
        <v>1006274.62576302</v>
      </c>
      <c r="BY174">
        <f ca="1" t="shared" si="349"/>
        <v>0.8343</v>
      </c>
      <c r="BZ174">
        <f ca="1">无穷技能数计算!$AJ166</f>
        <v>4</v>
      </c>
      <c r="CA174">
        <f ca="1" t="shared" si="350"/>
        <v>2.5777641271</v>
      </c>
      <c r="CB174">
        <f ca="1" t="shared" si="230"/>
        <v>7745617.2495937</v>
      </c>
      <c r="CC174">
        <f ca="1" t="shared" si="215"/>
        <v>114847</v>
      </c>
      <c r="CD174">
        <f ca="1" t="shared" si="324"/>
        <v>1006274.62576302</v>
      </c>
      <c r="CE174">
        <f ca="1" t="shared" si="217"/>
        <v>7545240.35763847</v>
      </c>
      <c r="CF174">
        <f ca="1" t="shared" si="351"/>
        <v>2.5250297521</v>
      </c>
      <c r="CG174">
        <f ca="1" t="shared" si="352"/>
        <v>0.8343</v>
      </c>
      <c r="CH174">
        <f ca="1" t="shared" si="231"/>
        <v>7651881.16174001</v>
      </c>
      <c r="CJ174">
        <f ca="1" t="shared" si="325"/>
        <v>1035436.77670524</v>
      </c>
      <c r="CK174">
        <f ca="1" t="shared" si="326"/>
        <v>7946031.97530486</v>
      </c>
      <c r="CL174">
        <f ca="1" t="shared" si="331"/>
        <v>2.5476860021</v>
      </c>
      <c r="CM174">
        <f ca="1">IF(G174="恒定伤害",0,(IF(D174="轻剑",$CM$8,$CM$9)+IFERROR(INDEX(技能数据库!$T$2:$W$27,MATCH(E174,技能数据库!$T$2:$T$27,0),4),0)+COUNTIF(G174,"*造化2*")*154+COUNTIF(G174,"*造化1*")*102+COUNTIF(G174,"*碧归*")*307)/1024)</f>
        <v>0.176868146929785</v>
      </c>
      <c r="CN174">
        <f ca="1" t="shared" si="233"/>
        <v>8134006.32014148</v>
      </c>
      <c r="CO174">
        <f ca="1" t="shared" si="332"/>
        <v>2.5762602208</v>
      </c>
      <c r="CP174">
        <f ca="1" t="shared" si="235"/>
        <v>8218637.7320819</v>
      </c>
      <c r="CQ174">
        <f ca="1" t="shared" si="353"/>
        <v>1.8815754648</v>
      </c>
      <c r="CR174">
        <f ca="1">IF(G174="恒定伤害",0,(IF(D174="轻剑",$CR$8,$CR$9)+IFERROR(INDEX(技能数据库!$T$2:$W$27,MATCH(E174,技能数据库!$T$2:$T$27,0),4),0)+COUNTIF(G174,"*造化2*")*154+COUNTIF(G174,"*造化1*")*102+COUNTIF(G174,"*碧归*")*307)/1024)</f>
        <v>0.167102521929785</v>
      </c>
      <c r="CS174">
        <f ca="1" t="shared" si="333"/>
        <v>7783958.33467105</v>
      </c>
    </row>
    <row r="175" spans="4:97">
      <c r="D175" t="s">
        <v>1825</v>
      </c>
      <c r="E175" s="161" t="s">
        <v>2783</v>
      </c>
      <c r="G175" t="s">
        <v>3109</v>
      </c>
      <c r="H175">
        <f ca="1">INDEX(技能数据库!$B$2:$I$100,MATCH(无穷阵眼收益计算!$E175,技能数据库!$B$2:$B$100,0),MATCH(H$9,技能数据库!$B$2:$I$2,0))</f>
        <v>0</v>
      </c>
      <c r="I175">
        <f ca="1">INDEX(技能数据库!$B$2:$I$100,MATCH(无穷阵眼收益计算!$E175,技能数据库!$B$2:$B$100,0),MATCH(I$9,技能数据库!$B$2:$I$2,0))</f>
        <v>0</v>
      </c>
      <c r="J175">
        <f ca="1">INDEX(技能数据库!$B$2:$I$100,MATCH(无穷阵眼收益计算!$E175,技能数据库!$B$2:$B$100,0),MATCH(J$9,技能数据库!$B$2:$I$2,0))</f>
        <v>0</v>
      </c>
      <c r="K175">
        <f ca="1">INDEX(技能数据库!$B$2:$I$100,MATCH(无穷阵眼收益计算!$E175,技能数据库!$B$2:$B$100,0),MATCH(K$9,技能数据库!$B$2:$I$2,0))</f>
        <v>1.28127956390381</v>
      </c>
      <c r="L175">
        <f ca="1" t="shared" si="186"/>
        <v>105847</v>
      </c>
      <c r="M175">
        <f ca="1" t="shared" si="309"/>
        <v>19530.5</v>
      </c>
      <c r="N175">
        <f ca="1" t="shared" si="310"/>
        <v>92028</v>
      </c>
      <c r="O175">
        <f ca="1" t="shared" si="327"/>
        <v>1006274.62576302</v>
      </c>
      <c r="P175">
        <f ca="1">IF(G175="恒定伤害",0,(IF(D175="轻剑",$AZ$2,$AZ$3)+IFERROR(INDEX(技能数据库!$T$2:$W$27,MATCH(E175,技能数据库!$T$2:$T$27,0),4),0)+COUNTIF(G175,"*造化2*")*154+COUNTIF(G175,"*造化1*")*102+COUNTIF(G175,"*碧归*")*307)/1024)</f>
        <v>0.116321271929785</v>
      </c>
      <c r="Q175">
        <f ca="1" t="shared" si="334"/>
        <v>0.448284482196154</v>
      </c>
      <c r="R175">
        <f ca="1" t="shared" si="328"/>
        <v>0.21277697966198</v>
      </c>
      <c r="S175">
        <f ca="1" t="shared" si="311"/>
        <v>1280729.41715672</v>
      </c>
      <c r="T175">
        <f t="shared" si="312"/>
        <v>0.8</v>
      </c>
      <c r="U175">
        <f ca="1" t="shared" si="335"/>
        <v>1.7800129648</v>
      </c>
      <c r="V175">
        <f ca="1" t="shared" si="313"/>
        <v>2848355.50727714</v>
      </c>
      <c r="W175">
        <f ca="1">IF(G175="恒定伤害",0,MIN(1,IF(COUNTIF(F175,"*内会*")&gt;0,内会2,IF(D175="轻剑",$Y$2,$Y$3)+COUNTIF(G175,"*莺鸣*")*0.2+COUNTIF(G175,"*叠1*")*0.1+COUNTIF(G175,"*叠2*")*0.2+COUNTIF(G175,"*叠3*")*0.3)+IFERROR(INDEX(技能数据库!$T$2:$W$27,MATCH(E175,技能数据库!$T$2:$T$27,0),2),0)+IF((IF(D175="轻剑",$AO$2,$AO$3)+INT(COUNTIF(G175,"*大莺鸣*")*IF(D175="轻剑",$AM$2,$AM$3)*听晓无双率)/无双系数)&gt;0.9,特效裤子会心/会心系数,0)))</f>
        <v>0.9043</v>
      </c>
      <c r="X175">
        <f ca="1">IF(G175="恒定伤害",0,IF(COUNTIF(F175,"*内会*")&gt;0,内会效2,IF(D175="轻剑",$AB$2,$AB$3))+IFERROR(INDEX(技能数据库!$T$2:$W$27,MATCH(E175,技能数据库!$T$2:$T$27,0),3)/1024,0))+COUNTIF(G175,"*叠1*")*0.25+COUNTIF(G175,"*叠2*")*0.5+COUNTIF(G175,"*叠3*")*0.75</f>
        <v>2.6773735021</v>
      </c>
      <c r="Y175">
        <f ca="1" t="shared" si="314"/>
        <v>2.51684885794903</v>
      </c>
      <c r="Z175">
        <f t="shared" si="317"/>
        <v>0.150390625</v>
      </c>
      <c r="AA175">
        <f ca="1" t="shared" si="315"/>
        <v>0.0205078125</v>
      </c>
      <c r="AB175">
        <f ca="1" t="shared" si="316"/>
        <v>8416140.88525987</v>
      </c>
      <c r="AC175" s="171">
        <f ca="1">无穷技能数计算!$AJ167</f>
        <v>3</v>
      </c>
      <c r="AD175" s="164">
        <f ca="1" t="shared" si="336"/>
        <v>0.0098951290879021</v>
      </c>
      <c r="AE175" s="168"/>
      <c r="AF175" s="168">
        <f ca="1" t="shared" si="337"/>
        <v>0.9057</v>
      </c>
      <c r="AG175" s="171">
        <f ca="1">无穷技能数计算!$AJ167</f>
        <v>3</v>
      </c>
      <c r="AH175">
        <f ca="1" t="shared" si="189"/>
        <v>109879</v>
      </c>
      <c r="AJ175">
        <f ca="1" t="shared" si="338"/>
        <v>2.8765922521</v>
      </c>
      <c r="AK175">
        <f ca="1" t="shared" si="329"/>
        <v>1006274.62576302</v>
      </c>
      <c r="AL175">
        <f ca="1" t="shared" si="191"/>
        <v>9029827.73365647</v>
      </c>
      <c r="AM175" s="169">
        <f ca="1" t="shared" si="339"/>
        <v>0.9272</v>
      </c>
      <c r="AN175" s="171">
        <f ca="1">无穷技能数计算!$AJ167</f>
        <v>3</v>
      </c>
      <c r="AO175" s="170">
        <f ca="1" t="shared" si="193"/>
        <v>9164781.08134228</v>
      </c>
      <c r="AP175">
        <f ca="1" t="shared" si="194"/>
        <v>110956</v>
      </c>
      <c r="AQ175" s="170">
        <f ca="1" t="shared" si="330"/>
        <v>1006274.62576302</v>
      </c>
      <c r="AR175">
        <f ca="1" t="shared" si="318"/>
        <v>8909895.05342177</v>
      </c>
      <c r="AS175">
        <f ca="1" t="shared" si="340"/>
        <v>0.9843</v>
      </c>
      <c r="AT175" s="171">
        <f ca="1">无穷技能数计算!$AJ167</f>
        <v>3</v>
      </c>
      <c r="AU175">
        <f ca="1" t="shared" si="341"/>
        <v>2.8238578771</v>
      </c>
      <c r="AV175">
        <f ca="1" t="shared" si="342"/>
        <v>1.7995442148</v>
      </c>
      <c r="AW175">
        <f ca="1" t="shared" si="226"/>
        <v>9412671.01113839</v>
      </c>
      <c r="AX175">
        <f ca="1" t="shared" si="343"/>
        <v>0.9743</v>
      </c>
      <c r="AY175" s="171">
        <f ca="1">无穷技能数计算!$AJ167</f>
        <v>3</v>
      </c>
      <c r="AZ175" s="170">
        <f ca="1" t="shared" si="227"/>
        <v>9351254.18581196</v>
      </c>
      <c r="BA175">
        <f ca="1" t="shared" si="344"/>
        <v>0.9643</v>
      </c>
      <c r="BB175" s="171">
        <f ca="1">无穷技能数计算!$AJ167</f>
        <v>3</v>
      </c>
      <c r="BC175" s="170">
        <f ca="1" t="shared" si="228"/>
        <v>9289837.36048555</v>
      </c>
      <c r="BE175">
        <f ca="1" t="shared" si="200"/>
        <v>105849</v>
      </c>
      <c r="BF175">
        <f ca="1" t="shared" si="319"/>
        <v>1006274.62576302</v>
      </c>
      <c r="BI175">
        <f ca="1" t="shared" si="345"/>
        <v>0.9543</v>
      </c>
      <c r="BJ175" s="171">
        <f ca="1">无穷技能数计算!$AJ167</f>
        <v>3</v>
      </c>
      <c r="BK175">
        <f ca="1" t="shared" si="203"/>
        <v>9281838.40997618</v>
      </c>
      <c r="BM175">
        <f ca="1" t="shared" si="204"/>
        <v>109230</v>
      </c>
      <c r="BN175">
        <f ca="1" t="shared" si="320"/>
        <v>1006274.62576302</v>
      </c>
      <c r="BO175">
        <f ca="1" t="shared" si="321"/>
        <v>9089301.7452858</v>
      </c>
      <c r="BP175">
        <f ca="1" t="shared" si="346"/>
        <v>8667942.90934827</v>
      </c>
      <c r="BR175">
        <f ca="1" t="shared" si="347"/>
        <v>0.9543</v>
      </c>
      <c r="BS175">
        <f ca="1" t="shared" si="208"/>
        <v>9019710.55976647</v>
      </c>
      <c r="BT175">
        <f ca="1" t="shared" si="322"/>
        <v>0.196995876306796</v>
      </c>
      <c r="BU175">
        <f ca="1" t="shared" si="348"/>
        <v>2.8238578771</v>
      </c>
      <c r="BV175">
        <f ca="1" t="shared" si="229"/>
        <v>9347745.01524388</v>
      </c>
      <c r="BW175">
        <f ca="1" t="shared" si="211"/>
        <v>113027</v>
      </c>
      <c r="BX175">
        <f ca="1" t="shared" si="323"/>
        <v>1006274.62576302</v>
      </c>
      <c r="BY175">
        <f ca="1" t="shared" si="349"/>
        <v>0.9343</v>
      </c>
      <c r="BZ175" s="171">
        <f ca="1">无穷技能数计算!$AJ167</f>
        <v>3</v>
      </c>
      <c r="CA175">
        <f ca="1" t="shared" si="350"/>
        <v>2.8277641271</v>
      </c>
      <c r="CB175">
        <f ca="1" t="shared" si="230"/>
        <v>9054265.01150056</v>
      </c>
      <c r="CC175">
        <f ca="1" t="shared" si="215"/>
        <v>114847</v>
      </c>
      <c r="CD175">
        <f ca="1" t="shared" si="324"/>
        <v>1006274.62576302</v>
      </c>
      <c r="CE175">
        <f ca="1" t="shared" si="217"/>
        <v>8841247.44896656</v>
      </c>
      <c r="CF175">
        <f ca="1" t="shared" si="351"/>
        <v>2.7750297521</v>
      </c>
      <c r="CG175">
        <f ca="1" t="shared" si="352"/>
        <v>0.9343</v>
      </c>
      <c r="CH175">
        <f ca="1" t="shared" si="231"/>
        <v>8951965.1136515</v>
      </c>
      <c r="CJ175">
        <f ca="1" t="shared" si="325"/>
        <v>1035436.77670524</v>
      </c>
      <c r="CK175">
        <f ca="1" t="shared" si="326"/>
        <v>9310345.25261534</v>
      </c>
      <c r="CL175">
        <f ca="1" t="shared" si="331"/>
        <v>2.7976860021</v>
      </c>
      <c r="CM175">
        <f ca="1">IF(G175="恒定伤害",0,(IF(D175="轻剑",$CM$8,$CM$9)+IFERROR(INDEX(技能数据库!$T$2:$W$27,MATCH(E175,技能数据库!$T$2:$T$27,0),4),0)+COUNTIF(G175,"*造化2*")*154+COUNTIF(G175,"*造化1*")*102+COUNTIF(G175,"*碧归*")*307)/1024)</f>
        <v>0.176868146929785</v>
      </c>
      <c r="CN175">
        <f ca="1" t="shared" si="233"/>
        <v>9512647.13270773</v>
      </c>
      <c r="CO175">
        <f ca="1" t="shared" si="332"/>
        <v>2.8262602208</v>
      </c>
      <c r="CP175">
        <f ca="1" t="shared" si="235"/>
        <v>9607422.54703822</v>
      </c>
      <c r="CQ175">
        <f ca="1" t="shared" si="353"/>
        <v>1.8815754648</v>
      </c>
      <c r="CR175">
        <f ca="1">IF(G175="恒定伤害",0,(IF(D175="轻剑",$CR$8,$CR$9)+IFERROR(INDEX(技能数据库!$T$2:$W$27,MATCH(E175,技能数据库!$T$2:$T$27,0),4),0)+COUNTIF(G175,"*造化2*")*154+COUNTIF(G175,"*造化1*")*102+COUNTIF(G175,"*碧归*")*307)/1024)</f>
        <v>0.167102521929785</v>
      </c>
      <c r="CS175">
        <f ca="1" t="shared" si="333"/>
        <v>9120443.98424155</v>
      </c>
    </row>
    <row r="176" spans="4:97">
      <c r="D176" t="s">
        <v>1825</v>
      </c>
      <c r="E176" s="161" t="s">
        <v>2783</v>
      </c>
      <c r="G176" t="s">
        <v>3110</v>
      </c>
      <c r="H176">
        <f ca="1">INDEX(技能数据库!$B$2:$I$100,MATCH(无穷阵眼收益计算!$E176,技能数据库!$B$2:$B$100,0),MATCH(H$9,技能数据库!$B$2:$I$2,0))</f>
        <v>0</v>
      </c>
      <c r="I176">
        <f ca="1">INDEX(技能数据库!$B$2:$I$100,MATCH(无穷阵眼收益计算!$E176,技能数据库!$B$2:$B$100,0),MATCH(I$9,技能数据库!$B$2:$I$2,0))</f>
        <v>0</v>
      </c>
      <c r="J176">
        <f ca="1">INDEX(技能数据库!$B$2:$I$100,MATCH(无穷阵眼收益计算!$E176,技能数据库!$B$2:$B$100,0),MATCH(J$9,技能数据库!$B$2:$I$2,0))</f>
        <v>0</v>
      </c>
      <c r="K176">
        <f ca="1">INDEX(技能数据库!$B$2:$I$100,MATCH(无穷阵眼收益计算!$E176,技能数据库!$B$2:$B$100,0),MATCH(K$9,技能数据库!$B$2:$I$2,0))</f>
        <v>1.28127956390381</v>
      </c>
      <c r="L176">
        <f ca="1" t="shared" si="186"/>
        <v>105847</v>
      </c>
      <c r="M176">
        <f ca="1" t="shared" ref="M176:M191" si="354">IF(D176="轻剑",$AU$2+$AV$2,$AU$3+$AV$3)/2</f>
        <v>19530.5</v>
      </c>
      <c r="N176">
        <f ca="1" t="shared" ref="N176:N191" si="355">IF(D176="轻剑",$AJ$2,$AJ$3)</f>
        <v>92028</v>
      </c>
      <c r="O176">
        <f ca="1" t="shared" si="327"/>
        <v>1006274.62576302</v>
      </c>
      <c r="P176">
        <f ca="1">IF(G176="恒定伤害",0,(IF(D176="轻剑",$AZ$2,$AZ$3)+IFERROR(INDEX(技能数据库!$T$2:$W$27,MATCH(E176,技能数据库!$T$2:$T$27,0),4),0)+COUNTIF(G176,"*造化2*")*154+COUNTIF(G176,"*造化1*")*102+COUNTIF(G176,"*碧归*")*307)/1024)</f>
        <v>0.116321271929785</v>
      </c>
      <c r="Q176">
        <f ca="1" t="shared" si="334"/>
        <v>0.448284482196154</v>
      </c>
      <c r="R176">
        <f ca="1" t="shared" si="328"/>
        <v>0.21277697966198</v>
      </c>
      <c r="S176">
        <f ca="1" t="shared" ref="S176:S191" si="356">O176*(1+P176)*(1+Q176)*(1-R176)</f>
        <v>1280729.41715672</v>
      </c>
      <c r="T176">
        <f t="shared" ref="T176:T191" si="357">1-($F$6-130)*0.05</f>
        <v>0.8</v>
      </c>
      <c r="U176">
        <f ca="1" t="shared" si="335"/>
        <v>1.7800129648</v>
      </c>
      <c r="V176">
        <f ca="1" t="shared" ref="V176:V191" si="358">S176*T176*(1+U176)</f>
        <v>2848355.50727714</v>
      </c>
      <c r="W176">
        <f ca="1">IF(G176="恒定伤害",0,MIN(1,IF(COUNTIF(F176,"*内会*")&gt;0,内会2,IF(D176="轻剑",$Y$2,$Y$3)+COUNTIF(G176,"*莺鸣*")*0.2+COUNTIF(G176,"*叠1*")*0.1+COUNTIF(G176,"*叠2*")*0.2+COUNTIF(G176,"*叠3*")*0.3)+IFERROR(INDEX(技能数据库!$T$2:$W$27,MATCH(E176,技能数据库!$T$2:$T$27,0),2),0)+IF((IF(D176="轻剑",$AO$2,$AO$3)+INT(COUNTIF(G176,"*大莺鸣*")*IF(D176="轻剑",$AM$2,$AM$3)*听晓无双率)/无双系数)&gt;0.9,特效裤子会心/会心系数,0)))</f>
        <v>1</v>
      </c>
      <c r="X176">
        <f ca="1">IF(G176="恒定伤害",0,IF(COUNTIF(F176,"*内会*")&gt;0,内会效2,IF(D176="轻剑",$AB$2,$AB$3))+IFERROR(INDEX(技能数据库!$T$2:$W$27,MATCH(E176,技能数据库!$T$2:$T$27,0),3)/1024,0))+COUNTIF(G176,"*叠1*")*0.25+COUNTIF(G176,"*叠2*")*0.5+COUNTIF(G176,"*叠3*")*0.75</f>
        <v>2.9273735021</v>
      </c>
      <c r="Y176">
        <f ca="1" t="shared" ref="Y176:Y191" si="359">1+W176*(X176-1)</f>
        <v>2.9273735021</v>
      </c>
      <c r="Z176">
        <f t="shared" si="317"/>
        <v>0.150390625</v>
      </c>
      <c r="AA176">
        <f ca="1" t="shared" ref="AA176:AA191" si="360">IF(D176="轻剑",$BA$2,$BA$3)/1024</f>
        <v>0.0205078125</v>
      </c>
      <c r="AB176">
        <f ca="1" t="shared" ref="AB176:AB191" si="361">V176*Y176*(1+Z176)*(1+AA176)</f>
        <v>9788902.39659719</v>
      </c>
      <c r="AC176">
        <f ca="1">无穷技能数计算!$AJ168</f>
        <v>36</v>
      </c>
      <c r="AD176" s="164">
        <f ca="1" t="shared" si="336"/>
        <v>0.138109550441841</v>
      </c>
      <c r="AE176" s="168"/>
      <c r="AF176" s="168">
        <f ca="1" t="shared" si="337"/>
        <v>1.0014</v>
      </c>
      <c r="AG176">
        <f ca="1">无穷技能数计算!$AJ168</f>
        <v>36</v>
      </c>
      <c r="AH176">
        <f ca="1" t="shared" si="189"/>
        <v>109879</v>
      </c>
      <c r="AJ176">
        <f ca="1" t="shared" si="338"/>
        <v>3.1265922521</v>
      </c>
      <c r="AK176">
        <f ca="1" t="shared" si="329"/>
        <v>1006274.62576302</v>
      </c>
      <c r="AL176">
        <f ca="1" t="shared" si="191"/>
        <v>10457949.2687921</v>
      </c>
      <c r="AM176" s="169">
        <f ca="1" t="shared" si="339"/>
        <v>1.0229</v>
      </c>
      <c r="AN176">
        <f ca="1">无穷技能数计算!$AJ168</f>
        <v>36</v>
      </c>
      <c r="AO176" s="170">
        <f ca="1" t="shared" si="193"/>
        <v>10457949.2687921</v>
      </c>
      <c r="AP176">
        <f ca="1" t="shared" si="194"/>
        <v>110956</v>
      </c>
      <c r="AQ176" s="170">
        <f ca="1" t="shared" si="330"/>
        <v>1006274.62576302</v>
      </c>
      <c r="AR176">
        <f ca="1" t="shared" si="318"/>
        <v>10363193.0870626</v>
      </c>
      <c r="AS176">
        <f ca="1" t="shared" si="340"/>
        <v>1.08</v>
      </c>
      <c r="AT176">
        <f ca="1">无穷技能数计算!$AJ168</f>
        <v>36</v>
      </c>
      <c r="AU176">
        <f ca="1" t="shared" si="341"/>
        <v>3.0738578771</v>
      </c>
      <c r="AV176">
        <f ca="1" t="shared" si="342"/>
        <v>1.7995442148</v>
      </c>
      <c r="AW176">
        <f ca="1" t="shared" si="226"/>
        <v>10350948.6504656</v>
      </c>
      <c r="AX176">
        <f ca="1" t="shared" si="343"/>
        <v>1.07</v>
      </c>
      <c r="AY176">
        <f ca="1">无穷技能数计算!$AJ168</f>
        <v>36</v>
      </c>
      <c r="AZ176" s="170">
        <f ca="1" t="shared" si="227"/>
        <v>10350948.6504656</v>
      </c>
      <c r="BA176">
        <f ca="1" t="shared" si="344"/>
        <v>1.06</v>
      </c>
      <c r="BB176">
        <f ca="1">无穷技能数计算!$AJ168</f>
        <v>36</v>
      </c>
      <c r="BC176" s="170">
        <f ca="1" t="shared" si="228"/>
        <v>10350948.6504656</v>
      </c>
      <c r="BE176">
        <f ca="1" t="shared" si="200"/>
        <v>105849</v>
      </c>
      <c r="BF176">
        <f ca="1" t="shared" si="319"/>
        <v>1006274.62576302</v>
      </c>
      <c r="BI176">
        <f ca="1" t="shared" si="345"/>
        <v>1.05</v>
      </c>
      <c r="BJ176">
        <f ca="1">无穷技能数计算!$AJ168</f>
        <v>36</v>
      </c>
      <c r="BK176">
        <f ca="1" t="shared" si="203"/>
        <v>10447658.1815599</v>
      </c>
      <c r="BM176">
        <f ca="1" t="shared" si="204"/>
        <v>109230</v>
      </c>
      <c r="BN176">
        <f ca="1" t="shared" si="320"/>
        <v>1006274.62576302</v>
      </c>
      <c r="BO176">
        <f ca="1" t="shared" si="321"/>
        <v>10571862.9061514</v>
      </c>
      <c r="BP176">
        <f ca="1" t="shared" si="346"/>
        <v>10081775.9915942</v>
      </c>
      <c r="BR176">
        <f ca="1" t="shared" si="347"/>
        <v>1.05</v>
      </c>
      <c r="BS176">
        <f ca="1" t="shared" si="208"/>
        <v>10152606.4840519</v>
      </c>
      <c r="BT176">
        <f ca="1" t="shared" si="322"/>
        <v>0.196995876306796</v>
      </c>
      <c r="BU176">
        <f ca="1" t="shared" si="348"/>
        <v>3.0738578771</v>
      </c>
      <c r="BV176">
        <f ca="1" t="shared" si="229"/>
        <v>10484787.5410314</v>
      </c>
      <c r="BW176">
        <f ca="1" t="shared" si="211"/>
        <v>113027</v>
      </c>
      <c r="BX176">
        <f ca="1" t="shared" si="323"/>
        <v>1006274.62576302</v>
      </c>
      <c r="BY176">
        <f ca="1" t="shared" si="349"/>
        <v>1.03</v>
      </c>
      <c r="BZ176">
        <f ca="1">无穷技能数计算!$AJ168</f>
        <v>36</v>
      </c>
      <c r="CA176">
        <f ca="1" t="shared" si="350"/>
        <v>3.0777641271</v>
      </c>
      <c r="CB176">
        <f ca="1" t="shared" si="230"/>
        <v>10291796.5945641</v>
      </c>
      <c r="CC176">
        <f ca="1" t="shared" si="215"/>
        <v>114847</v>
      </c>
      <c r="CD176">
        <f ca="1" t="shared" si="324"/>
        <v>1006274.62576302</v>
      </c>
      <c r="CE176">
        <f ca="1" t="shared" si="217"/>
        <v>10081775.9915942</v>
      </c>
      <c r="CF176">
        <f ca="1" t="shared" si="351"/>
        <v>3.0250297521</v>
      </c>
      <c r="CG176">
        <f ca="1" t="shared" si="352"/>
        <v>1.03</v>
      </c>
      <c r="CH176">
        <f ca="1" t="shared" si="231"/>
        <v>10186524.1927381</v>
      </c>
      <c r="CJ176">
        <f ca="1" t="shared" si="325"/>
        <v>1035436.77670524</v>
      </c>
      <c r="CK176">
        <f ca="1" t="shared" si="326"/>
        <v>10828960.9452824</v>
      </c>
      <c r="CL176">
        <f ca="1" t="shared" si="331"/>
        <v>3.0476860021</v>
      </c>
      <c r="CM176">
        <f ca="1">IF(G176="恒定伤害",0,(IF(D176="轻剑",$CM$8,$CM$9)+IFERROR(INDEX(技能数据库!$T$2:$W$27,MATCH(E176,技能数据库!$T$2:$T$27,0),4),0)+COUNTIF(G176,"*造化2*")*154+COUNTIF(G176,"*造化1*")*102+COUNTIF(G176,"*碧归*")*307)/1024)</f>
        <v>0.176868146929785</v>
      </c>
      <c r="CN176">
        <f ca="1" t="shared" si="233"/>
        <v>10819450.3633118</v>
      </c>
      <c r="CO176">
        <f ca="1" t="shared" si="332"/>
        <v>3.0762602208</v>
      </c>
      <c r="CP176">
        <f ca="1" t="shared" si="235"/>
        <v>10920890.3872126</v>
      </c>
      <c r="CQ176">
        <f ca="1" t="shared" si="353"/>
        <v>1.8815754648</v>
      </c>
      <c r="CR176">
        <f ca="1">IF(G176="恒定伤害",0,(IF(D176="轻剑",$CR$8,$CR$9)+IFERROR(INDEX(技能数据库!$T$2:$W$27,MATCH(E176,技能数据库!$T$2:$T$27,0),4),0)+COUNTIF(G176,"*造化2*")*154+COUNTIF(G176,"*造化1*")*102+COUNTIF(G176,"*碧归*")*307)/1024)</f>
        <v>0.167102521929785</v>
      </c>
      <c r="CS176">
        <f ca="1" t="shared" si="333"/>
        <v>10608084.7733594</v>
      </c>
    </row>
    <row r="177" spans="4:97">
      <c r="D177" t="s">
        <v>1825</v>
      </c>
      <c r="E177" s="161" t="s">
        <v>2789</v>
      </c>
      <c r="G177" t="s">
        <v>3108</v>
      </c>
      <c r="H177">
        <f ca="1">INDEX(技能数据库!$B$2:$I$100,MATCH(无穷阵眼收益计算!$E177,技能数据库!$B$2:$B$100,0),MATCH(H$9,技能数据库!$B$2:$I$2,0))</f>
        <v>131</v>
      </c>
      <c r="I177">
        <f ca="1">INDEX(技能数据库!$B$2:$I$100,MATCH(无穷阵眼收益计算!$E177,技能数据库!$B$2:$B$100,0),MATCH(I$9,技能数据库!$B$2:$I$2,0))</f>
        <v>3.425</v>
      </c>
      <c r="J177">
        <f ca="1">INDEX(技能数据库!$B$2:$I$100,MATCH(无穷阵眼收益计算!$E177,技能数据库!$B$2:$B$100,0),MATCH(J$9,技能数据库!$B$2:$I$2,0))</f>
        <v>0</v>
      </c>
      <c r="K177">
        <f ca="1">INDEX(技能数据库!$B$2:$I$100,MATCH(无穷阵眼收益计算!$E177,技能数据库!$B$2:$B$100,0),MATCH(K$9,技能数据库!$B$2:$I$2,0))</f>
        <v>0</v>
      </c>
      <c r="L177">
        <f ca="1" t="shared" si="186"/>
        <v>105847</v>
      </c>
      <c r="M177">
        <f ca="1" t="shared" si="354"/>
        <v>19530.5</v>
      </c>
      <c r="N177">
        <f ca="1" t="shared" si="355"/>
        <v>92028</v>
      </c>
      <c r="O177">
        <f ca="1" t="shared" si="327"/>
        <v>362656.975</v>
      </c>
      <c r="P177">
        <f ca="1">IF(G177="恒定伤害",0,(IF(D177="轻剑",$AZ$2,$AZ$3)+IFERROR(INDEX(技能数据库!$T$2:$W$27,MATCH(E177,技能数据库!$T$2:$T$27,0),4),0)+COUNTIF(G177,"*造化2*")*154+COUNTIF(G177,"*造化1*")*102+COUNTIF(G177,"*碧归*")*307)/1024)</f>
        <v>0.612353986773535</v>
      </c>
      <c r="Q177">
        <f ca="1" t="shared" si="334"/>
        <v>0.448284482196154</v>
      </c>
      <c r="R177">
        <f ca="1" t="shared" si="328"/>
        <v>0.21277697966198</v>
      </c>
      <c r="S177">
        <f ca="1" t="shared" si="356"/>
        <v>666665.672558413</v>
      </c>
      <c r="T177">
        <f t="shared" si="357"/>
        <v>0.8</v>
      </c>
      <c r="U177">
        <f ca="1" t="shared" si="335"/>
        <v>1.7800129648</v>
      </c>
      <c r="V177">
        <f ca="1" t="shared" si="358"/>
        <v>1482671.3703196</v>
      </c>
      <c r="W177">
        <f ca="1">IF(G177="恒定伤害",0,MIN(1,IF(COUNTIF(F177,"*内会*")&gt;0,内会2,IF(D177="轻剑",$Y$2,$Y$3)+COUNTIF(G177,"*莺鸣*")*0.2+COUNTIF(G177,"*叠1*")*0.1+COUNTIF(G177,"*叠2*")*0.2+COUNTIF(G177,"*叠3*")*0.3)+IFERROR(INDEX(技能数据库!$T$2:$W$27,MATCH(E177,技能数据库!$T$2:$T$27,0),2),0)+IF((IF(D177="轻剑",$AO$2,$AO$3)+INT(COUNTIF(G177,"*大莺鸣*")*IF(D177="轻剑",$AM$2,$AM$3)*听晓无双率)/无双系数)&gt;0.9,特效裤子会心/会心系数,0)))</f>
        <v>0.8343</v>
      </c>
      <c r="X177">
        <f ca="1">IF(G177="恒定伤害",0,IF(COUNTIF(F177,"*内会*")&gt;0,内会效2,IF(D177="轻剑",$AB$2,$AB$3))+IFERROR(INDEX(技能数据库!$T$2:$W$27,MATCH(E177,技能数据库!$T$2:$T$27,0),3)/1024,0))+COUNTIF(G177,"*叠1*")*0.25+COUNTIF(G177,"*叠2*")*0.5+COUNTIF(G177,"*叠3*")*0.75</f>
        <v>2.4273735021</v>
      </c>
      <c r="Y177">
        <f ca="1" t="shared" si="359"/>
        <v>2.19085771280203</v>
      </c>
      <c r="Z177">
        <f t="shared" si="317"/>
        <v>0.150390625</v>
      </c>
      <c r="AA177">
        <f ca="1" t="shared" si="360"/>
        <v>0.0205078125</v>
      </c>
      <c r="AB177">
        <f ca="1" t="shared" si="361"/>
        <v>3813473.58141164</v>
      </c>
      <c r="AC177">
        <f ca="1">无穷技能数计算!$AJ169</f>
        <v>0</v>
      </c>
      <c r="AD177" s="164">
        <f ca="1" t="shared" si="336"/>
        <v>0</v>
      </c>
      <c r="AE177" s="168"/>
      <c r="AF177" s="168">
        <f ca="1" t="shared" si="337"/>
        <v>0.8357</v>
      </c>
      <c r="AG177">
        <f ca="1">无穷技能数计算!$AJ169</f>
        <v>0</v>
      </c>
      <c r="AH177">
        <f ca="1" t="shared" si="189"/>
        <v>109879</v>
      </c>
      <c r="AJ177">
        <f ca="1" t="shared" si="338"/>
        <v>2.6265922521</v>
      </c>
      <c r="AK177">
        <f ca="1" t="shared" si="329"/>
        <v>376466.575</v>
      </c>
      <c r="AL177">
        <f ca="1" t="shared" si="191"/>
        <v>4264297.44044434</v>
      </c>
      <c r="AM177" s="169">
        <f ca="1" t="shared" si="339"/>
        <v>0.8572</v>
      </c>
      <c r="AN177">
        <f ca="1">无穷技能数计算!$AJ169</f>
        <v>0</v>
      </c>
      <c r="AO177" s="170">
        <f ca="1" t="shared" si="193"/>
        <v>4327505.65736795</v>
      </c>
      <c r="AP177">
        <f ca="1" t="shared" si="194"/>
        <v>110956</v>
      </c>
      <c r="AQ177" s="170">
        <f ca="1" t="shared" si="330"/>
        <v>380155.3</v>
      </c>
      <c r="AR177">
        <f ca="1" t="shared" si="318"/>
        <v>4231996.97693101</v>
      </c>
      <c r="AS177">
        <f ca="1" t="shared" si="340"/>
        <v>0.9143</v>
      </c>
      <c r="AT177">
        <f ca="1">无穷技能数计算!$AJ169</f>
        <v>0</v>
      </c>
      <c r="AU177">
        <f ca="1" t="shared" si="341"/>
        <v>2.5738578771</v>
      </c>
      <c r="AV177">
        <f ca="1" t="shared" si="342"/>
        <v>1.7995442148</v>
      </c>
      <c r="AW177">
        <f ca="1" t="shared" si="226"/>
        <v>4275185.93417132</v>
      </c>
      <c r="AX177">
        <f ca="1" t="shared" si="343"/>
        <v>0.9043</v>
      </c>
      <c r="AY177">
        <f ca="1">无穷技能数计算!$AJ169</f>
        <v>0</v>
      </c>
      <c r="AZ177" s="170">
        <f ca="1" t="shared" si="227"/>
        <v>4247598.41862393</v>
      </c>
      <c r="BA177">
        <f ca="1" t="shared" si="344"/>
        <v>0.8943</v>
      </c>
      <c r="BB177">
        <f ca="1">无穷技能数计算!$AJ169</f>
        <v>0</v>
      </c>
      <c r="BC177" s="170">
        <f ca="1" t="shared" si="228"/>
        <v>4220010.90307654</v>
      </c>
      <c r="BE177">
        <f ca="1" t="shared" si="200"/>
        <v>105849</v>
      </c>
      <c r="BF177">
        <f ca="1" t="shared" si="319"/>
        <v>362663.825</v>
      </c>
      <c r="BI177">
        <f ca="1" t="shared" si="345"/>
        <v>0.8843</v>
      </c>
      <c r="BJ177">
        <f ca="1">无穷技能数计算!$AJ169</f>
        <v>0</v>
      </c>
      <c r="BK177">
        <f ca="1" t="shared" si="203"/>
        <v>4202771.6419756</v>
      </c>
      <c r="BM177">
        <f ca="1" t="shared" si="204"/>
        <v>109230</v>
      </c>
      <c r="BN177">
        <f ca="1" t="shared" si="320"/>
        <v>374243.75</v>
      </c>
      <c r="BO177">
        <f ca="1" t="shared" si="321"/>
        <v>4250076.89839507</v>
      </c>
      <c r="BP177">
        <f ca="1" t="shared" si="346"/>
        <v>4053053.24303215</v>
      </c>
      <c r="BR177">
        <f ca="1" t="shared" si="347"/>
        <v>0.8843</v>
      </c>
      <c r="BS177">
        <f ca="1" t="shared" si="208"/>
        <v>4214486.9137326</v>
      </c>
      <c r="BT177">
        <f ca="1" t="shared" si="322"/>
        <v>0.196995876306796</v>
      </c>
      <c r="BU177">
        <f ca="1" t="shared" si="348"/>
        <v>2.5738578771</v>
      </c>
      <c r="BV177">
        <f ca="1" t="shared" si="229"/>
        <v>4246631.87739004</v>
      </c>
      <c r="BW177">
        <f ca="1" t="shared" si="211"/>
        <v>113027</v>
      </c>
      <c r="BX177">
        <f ca="1" t="shared" si="323"/>
        <v>387248.475</v>
      </c>
      <c r="BY177">
        <f ca="1" t="shared" si="349"/>
        <v>0.8643</v>
      </c>
      <c r="BZ177">
        <f ca="1">无穷技能数计算!$AJ169</f>
        <v>0</v>
      </c>
      <c r="CA177">
        <f ca="1" t="shared" si="350"/>
        <v>2.5777641271</v>
      </c>
      <c r="CB177">
        <f ca="1" t="shared" si="230"/>
        <v>4393246.16404831</v>
      </c>
      <c r="CC177">
        <f ca="1" t="shared" si="215"/>
        <v>114847</v>
      </c>
      <c r="CD177">
        <f ca="1" t="shared" si="324"/>
        <v>393481.975</v>
      </c>
      <c r="CE177">
        <f ca="1" t="shared" si="217"/>
        <v>4344693.73460387</v>
      </c>
      <c r="CF177">
        <f ca="1" t="shared" si="351"/>
        <v>2.5250297521</v>
      </c>
      <c r="CG177">
        <f ca="1" t="shared" si="352"/>
        <v>0.8643</v>
      </c>
      <c r="CH177">
        <f ca="1" t="shared" si="231"/>
        <v>4063273.92436571</v>
      </c>
      <c r="CJ177">
        <f ca="1" t="shared" si="325"/>
        <v>374243.75</v>
      </c>
      <c r="CK177">
        <f ca="1" t="shared" si="326"/>
        <v>4230824.28168144</v>
      </c>
      <c r="CL177">
        <f ca="1" t="shared" si="331"/>
        <v>2.5476860021</v>
      </c>
      <c r="CM177">
        <f ca="1">IF(G177="恒定伤害",0,(IF(D177="轻剑",$CM$8,$CM$9)+IFERROR(INDEX(技能数据库!$T$2:$W$27,MATCH(E177,技能数据库!$T$2:$T$27,0),4),0)+COUNTIF(G177,"*造化2*")*154+COUNTIF(G177,"*造化1*")*102+COUNTIF(G177,"*碧归*")*307)/1024)</f>
        <v>0.672900861773535</v>
      </c>
      <c r="CN177">
        <f ca="1" t="shared" si="233"/>
        <v>4251470.44843877</v>
      </c>
      <c r="CO177">
        <f ca="1" t="shared" si="332"/>
        <v>2.5762602208</v>
      </c>
      <c r="CP177">
        <f ca="1" t="shared" si="235"/>
        <v>4296385.89949503</v>
      </c>
      <c r="CQ177">
        <f ca="1" t="shared" si="353"/>
        <v>1.8815754648</v>
      </c>
      <c r="CR177">
        <f ca="1">IF(G177="恒定伤害",0,(IF(D177="轻剑",$CR$8,$CR$9)+IFERROR(INDEX(技能数据库!$T$2:$W$27,MATCH(E177,技能数据库!$T$2:$T$27,0),4),0)+COUNTIF(G177,"*造化2*")*154+COUNTIF(G177,"*造化1*")*102+COUNTIF(G177,"*碧归*")*307)/1024)</f>
        <v>0.663135236773535</v>
      </c>
      <c r="CS177">
        <f ca="1" t="shared" si="333"/>
        <v>4077285.17131596</v>
      </c>
    </row>
    <row r="178" spans="4:97">
      <c r="D178" t="s">
        <v>1825</v>
      </c>
      <c r="E178" s="161" t="s">
        <v>2789</v>
      </c>
      <c r="G178" t="s">
        <v>3109</v>
      </c>
      <c r="H178">
        <f ca="1">INDEX(技能数据库!$B$2:$I$100,MATCH(无穷阵眼收益计算!$E178,技能数据库!$B$2:$B$100,0),MATCH(H$9,技能数据库!$B$2:$I$2,0))</f>
        <v>131</v>
      </c>
      <c r="I178">
        <f ca="1">INDEX(技能数据库!$B$2:$I$100,MATCH(无穷阵眼收益计算!$E178,技能数据库!$B$2:$B$100,0),MATCH(I$9,技能数据库!$B$2:$I$2,0))</f>
        <v>3.425</v>
      </c>
      <c r="J178">
        <f ca="1">INDEX(技能数据库!$B$2:$I$100,MATCH(无穷阵眼收益计算!$E178,技能数据库!$B$2:$B$100,0),MATCH(J$9,技能数据库!$B$2:$I$2,0))</f>
        <v>0</v>
      </c>
      <c r="K178">
        <f ca="1">INDEX(技能数据库!$B$2:$I$100,MATCH(无穷阵眼收益计算!$E178,技能数据库!$B$2:$B$100,0),MATCH(K$9,技能数据库!$B$2:$I$2,0))</f>
        <v>0</v>
      </c>
      <c r="L178">
        <f ca="1" t="shared" si="186"/>
        <v>105847</v>
      </c>
      <c r="M178">
        <f ca="1" t="shared" si="354"/>
        <v>19530.5</v>
      </c>
      <c r="N178">
        <f ca="1" t="shared" si="355"/>
        <v>92028</v>
      </c>
      <c r="O178">
        <f ca="1" t="shared" si="327"/>
        <v>362656.975</v>
      </c>
      <c r="P178">
        <f ca="1">IF(G178="恒定伤害",0,(IF(D178="轻剑",$AZ$2,$AZ$3)+IFERROR(INDEX(技能数据库!$T$2:$W$27,MATCH(E178,技能数据库!$T$2:$T$27,0),4),0)+COUNTIF(G178,"*造化2*")*154+COUNTIF(G178,"*造化1*")*102+COUNTIF(G178,"*碧归*")*307)/1024)</f>
        <v>0.612353986773535</v>
      </c>
      <c r="Q178">
        <f ca="1" t="shared" si="334"/>
        <v>0.448284482196154</v>
      </c>
      <c r="R178">
        <f ca="1" t="shared" si="328"/>
        <v>0.21277697966198</v>
      </c>
      <c r="S178">
        <f ca="1" t="shared" si="356"/>
        <v>666665.672558413</v>
      </c>
      <c r="T178">
        <f t="shared" si="357"/>
        <v>0.8</v>
      </c>
      <c r="U178">
        <f ca="1" t="shared" si="335"/>
        <v>1.7800129648</v>
      </c>
      <c r="V178">
        <f ca="1" t="shared" si="358"/>
        <v>1482671.3703196</v>
      </c>
      <c r="W178">
        <f ca="1">IF(G178="恒定伤害",0,MIN(1,IF(COUNTIF(F178,"*内会*")&gt;0,内会2,IF(D178="轻剑",$Y$2,$Y$3)+COUNTIF(G178,"*莺鸣*")*0.2+COUNTIF(G178,"*叠1*")*0.1+COUNTIF(G178,"*叠2*")*0.2+COUNTIF(G178,"*叠3*")*0.3)+IFERROR(INDEX(技能数据库!$T$2:$W$27,MATCH(E178,技能数据库!$T$2:$T$27,0),2),0)+IF((IF(D178="轻剑",$AO$2,$AO$3)+INT(COUNTIF(G178,"*大莺鸣*")*IF(D178="轻剑",$AM$2,$AM$3)*听晓无双率)/无双系数)&gt;0.9,特效裤子会心/会心系数,0)))</f>
        <v>0.9343</v>
      </c>
      <c r="X178">
        <f ca="1">IF(G178="恒定伤害",0,IF(COUNTIF(F178,"*内会*")&gt;0,内会效2,IF(D178="轻剑",$AB$2,$AB$3))+IFERROR(INDEX(技能数据库!$T$2:$W$27,MATCH(E178,技能数据库!$T$2:$T$27,0),3)/1024,0))+COUNTIF(G178,"*叠1*")*0.25+COUNTIF(G178,"*叠2*")*0.5+COUNTIF(G178,"*叠3*")*0.75</f>
        <v>2.6773735021</v>
      </c>
      <c r="Y178">
        <f ca="1" t="shared" si="359"/>
        <v>2.56717006301203</v>
      </c>
      <c r="Z178">
        <f t="shared" si="317"/>
        <v>0.150390625</v>
      </c>
      <c r="AA178">
        <f ca="1" t="shared" si="360"/>
        <v>0.0205078125</v>
      </c>
      <c r="AB178">
        <f ca="1" t="shared" si="361"/>
        <v>4468494.3057148</v>
      </c>
      <c r="AC178">
        <f ca="1">无穷技能数计算!$AJ170</f>
        <v>2</v>
      </c>
      <c r="AD178" s="164">
        <f ca="1" t="shared" si="336"/>
        <v>0.00350250220272528</v>
      </c>
      <c r="AE178" s="168"/>
      <c r="AF178" s="168">
        <f ca="1" t="shared" si="337"/>
        <v>0.9357</v>
      </c>
      <c r="AG178">
        <f ca="1">无穷技能数计算!$AJ170</f>
        <v>2</v>
      </c>
      <c r="AH178">
        <f ca="1" t="shared" si="189"/>
        <v>109879</v>
      </c>
      <c r="AJ178">
        <f ca="1" t="shared" si="338"/>
        <v>2.8765922521</v>
      </c>
      <c r="AK178">
        <f ca="1" t="shared" si="329"/>
        <v>376466.575</v>
      </c>
      <c r="AL178">
        <f ca="1" t="shared" si="191"/>
        <v>4981087.23849056</v>
      </c>
      <c r="AM178" s="169">
        <f ca="1" t="shared" si="339"/>
        <v>0.9572</v>
      </c>
      <c r="AN178">
        <f ca="1">无穷技能数计算!$AJ170</f>
        <v>2</v>
      </c>
      <c r="AO178" s="170">
        <f ca="1" t="shared" si="193"/>
        <v>5054010.27743579</v>
      </c>
      <c r="AP178">
        <f ca="1" t="shared" si="194"/>
        <v>110956</v>
      </c>
      <c r="AQ178" s="170">
        <f ca="1" t="shared" si="330"/>
        <v>380155.3</v>
      </c>
      <c r="AR178">
        <f ca="1" t="shared" si="318"/>
        <v>4958905.31021283</v>
      </c>
      <c r="AS178">
        <f ca="1" t="shared" si="340"/>
        <v>1.0143</v>
      </c>
      <c r="AT178">
        <f ca="1">无穷技能数计算!$AJ170</f>
        <v>2</v>
      </c>
      <c r="AU178">
        <f ca="1" t="shared" si="341"/>
        <v>2.8238578771</v>
      </c>
      <c r="AV178">
        <f ca="1" t="shared" si="342"/>
        <v>1.7995442148</v>
      </c>
      <c r="AW178">
        <f ca="1" t="shared" si="226"/>
        <v>4949825.78933084</v>
      </c>
      <c r="AX178">
        <f ca="1" t="shared" si="343"/>
        <v>1.0043</v>
      </c>
      <c r="AY178">
        <f ca="1">无穷技能数计算!$AJ170</f>
        <v>2</v>
      </c>
      <c r="AZ178" s="170">
        <f ca="1" t="shared" si="227"/>
        <v>4949825.78933084</v>
      </c>
      <c r="BA178">
        <f ca="1" t="shared" si="344"/>
        <v>0.9943</v>
      </c>
      <c r="BB178">
        <f ca="1">无穷技能数计算!$AJ170</f>
        <v>2</v>
      </c>
      <c r="BC178" s="170">
        <f ca="1" t="shared" si="228"/>
        <v>4931603.0808414</v>
      </c>
      <c r="BE178">
        <f ca="1" t="shared" si="200"/>
        <v>105849</v>
      </c>
      <c r="BF178">
        <f ca="1" t="shared" si="319"/>
        <v>362663.825</v>
      </c>
      <c r="BI178">
        <f ca="1" t="shared" si="345"/>
        <v>0.9843</v>
      </c>
      <c r="BJ178">
        <f ca="1">无穷技能数计算!$AJ170</f>
        <v>2</v>
      </c>
      <c r="BK178">
        <f ca="1" t="shared" si="203"/>
        <v>4925108.50810344</v>
      </c>
      <c r="BM178">
        <f ca="1" t="shared" si="204"/>
        <v>109230</v>
      </c>
      <c r="BN178">
        <f ca="1" t="shared" si="320"/>
        <v>374243.75</v>
      </c>
      <c r="BO178">
        <f ca="1" t="shared" si="321"/>
        <v>4980090.72670652</v>
      </c>
      <c r="BP178">
        <f ca="1" t="shared" si="346"/>
        <v>4749225.33239208</v>
      </c>
      <c r="BR178">
        <f ca="1" t="shared" si="347"/>
        <v>0.9843</v>
      </c>
      <c r="BS178">
        <f ca="1" t="shared" si="208"/>
        <v>4938837.30174735</v>
      </c>
      <c r="BT178">
        <f ca="1" t="shared" si="322"/>
        <v>0.196995876306796</v>
      </c>
      <c r="BU178">
        <f ca="1" t="shared" si="348"/>
        <v>2.8238578771</v>
      </c>
      <c r="BV178">
        <f ca="1" t="shared" si="229"/>
        <v>4962986.20919499</v>
      </c>
      <c r="BW178">
        <f ca="1" t="shared" si="211"/>
        <v>113027</v>
      </c>
      <c r="BX178">
        <f ca="1" t="shared" si="323"/>
        <v>387248.475</v>
      </c>
      <c r="BY178">
        <f ca="1" t="shared" si="349"/>
        <v>0.9643</v>
      </c>
      <c r="BZ178">
        <f ca="1">无穷技能数计算!$AJ170</f>
        <v>2</v>
      </c>
      <c r="CA178">
        <f ca="1" t="shared" si="350"/>
        <v>2.8277641271</v>
      </c>
      <c r="CB178">
        <f ca="1" t="shared" si="230"/>
        <v>5134575.83960802</v>
      </c>
      <c r="CC178">
        <f ca="1" t="shared" si="215"/>
        <v>114847</v>
      </c>
      <c r="CD178">
        <f ca="1" t="shared" si="324"/>
        <v>393481.975</v>
      </c>
      <c r="CE178">
        <f ca="1" t="shared" si="217"/>
        <v>5091241.10087209</v>
      </c>
      <c r="CF178">
        <f ca="1" t="shared" si="351"/>
        <v>2.7750297521</v>
      </c>
      <c r="CG178">
        <f ca="1" t="shared" si="352"/>
        <v>0.9643</v>
      </c>
      <c r="CH178">
        <f ca="1" t="shared" si="231"/>
        <v>4753160.77299414</v>
      </c>
      <c r="CJ178">
        <f ca="1" t="shared" si="325"/>
        <v>374243.75</v>
      </c>
      <c r="CK178">
        <f ca="1" t="shared" si="326"/>
        <v>4957531.18713758</v>
      </c>
      <c r="CL178">
        <f ca="1" t="shared" si="331"/>
        <v>2.7976860021</v>
      </c>
      <c r="CM178">
        <f ca="1">IF(G178="恒定伤害",0,(IF(D178="轻剑",$CM$8,$CM$9)+IFERROR(INDEX(技能数据库!$T$2:$W$27,MATCH(E178,技能数据库!$T$2:$T$27,0),4),0)+COUNTIF(G178,"*造化2*")*154+COUNTIF(G178,"*造化1*")*102+COUNTIF(G178,"*碧归*")*307)/1024)</f>
        <v>0.672900861773535</v>
      </c>
      <c r="CN178">
        <f ca="1" t="shared" si="233"/>
        <v>4971384.27703894</v>
      </c>
      <c r="CO178">
        <f ca="1" t="shared" si="332"/>
        <v>2.8262602208</v>
      </c>
      <c r="CP178">
        <f ca="1" t="shared" si="235"/>
        <v>5021496.47124645</v>
      </c>
      <c r="CQ178">
        <f ca="1" t="shared" si="353"/>
        <v>1.8815754648</v>
      </c>
      <c r="CR178">
        <f ca="1">IF(G178="恒定伤害",0,(IF(D178="轻剑",$CR$8,$CR$9)+IFERROR(INDEX(技能数据库!$T$2:$W$27,MATCH(E178,技能数据库!$T$2:$T$27,0),4),0)+COUNTIF(G178,"*造化2*")*154+COUNTIF(G178,"*造化1*")*102+COUNTIF(G178,"*碧归*")*307)/1024)</f>
        <v>0.663135236773535</v>
      </c>
      <c r="CS178">
        <f ca="1" t="shared" si="333"/>
        <v>4777619.45424478</v>
      </c>
    </row>
    <row r="179" spans="4:97">
      <c r="D179" t="s">
        <v>1825</v>
      </c>
      <c r="E179" s="161" t="s">
        <v>2789</v>
      </c>
      <c r="G179" t="s">
        <v>3110</v>
      </c>
      <c r="H179">
        <f ca="1">INDEX(技能数据库!$B$2:$I$100,MATCH(无穷阵眼收益计算!$E179,技能数据库!$B$2:$B$100,0),MATCH(H$9,技能数据库!$B$2:$I$2,0))</f>
        <v>131</v>
      </c>
      <c r="I179">
        <f ca="1">INDEX(技能数据库!$B$2:$I$100,MATCH(无穷阵眼收益计算!$E179,技能数据库!$B$2:$B$100,0),MATCH(I$9,技能数据库!$B$2:$I$2,0))</f>
        <v>3.425</v>
      </c>
      <c r="J179">
        <f ca="1">INDEX(技能数据库!$B$2:$I$100,MATCH(无穷阵眼收益计算!$E179,技能数据库!$B$2:$B$100,0),MATCH(J$9,技能数据库!$B$2:$I$2,0))</f>
        <v>0</v>
      </c>
      <c r="K179">
        <f ca="1">INDEX(技能数据库!$B$2:$I$100,MATCH(无穷阵眼收益计算!$E179,技能数据库!$B$2:$B$100,0),MATCH(K$9,技能数据库!$B$2:$I$2,0))</f>
        <v>0</v>
      </c>
      <c r="L179">
        <f ca="1" t="shared" si="186"/>
        <v>105847</v>
      </c>
      <c r="M179">
        <f ca="1" t="shared" si="354"/>
        <v>19530.5</v>
      </c>
      <c r="N179">
        <f ca="1" t="shared" si="355"/>
        <v>92028</v>
      </c>
      <c r="O179">
        <f ca="1" t="shared" si="327"/>
        <v>362656.975</v>
      </c>
      <c r="P179">
        <f ca="1">IF(G179="恒定伤害",0,(IF(D179="轻剑",$AZ$2,$AZ$3)+IFERROR(INDEX(技能数据库!$T$2:$W$27,MATCH(E179,技能数据库!$T$2:$T$27,0),4),0)+COUNTIF(G179,"*造化2*")*154+COUNTIF(G179,"*造化1*")*102+COUNTIF(G179,"*碧归*")*307)/1024)</f>
        <v>0.612353986773535</v>
      </c>
      <c r="Q179">
        <f ca="1" t="shared" si="334"/>
        <v>0.448284482196154</v>
      </c>
      <c r="R179">
        <f ca="1" t="shared" si="328"/>
        <v>0.21277697966198</v>
      </c>
      <c r="S179">
        <f ca="1" t="shared" si="356"/>
        <v>666665.672558413</v>
      </c>
      <c r="T179">
        <f t="shared" si="357"/>
        <v>0.8</v>
      </c>
      <c r="U179">
        <f ca="1" t="shared" si="335"/>
        <v>1.7800129648</v>
      </c>
      <c r="V179">
        <f ca="1" t="shared" si="358"/>
        <v>1482671.3703196</v>
      </c>
      <c r="W179">
        <f ca="1">IF(G179="恒定伤害",0,MIN(1,IF(COUNTIF(F179,"*内会*")&gt;0,内会2,IF(D179="轻剑",$Y$2,$Y$3)+COUNTIF(G179,"*莺鸣*")*0.2+COUNTIF(G179,"*叠1*")*0.1+COUNTIF(G179,"*叠2*")*0.2+COUNTIF(G179,"*叠3*")*0.3)+IFERROR(INDEX(技能数据库!$T$2:$W$27,MATCH(E179,技能数据库!$T$2:$T$27,0),2),0)+IF((IF(D179="轻剑",$AO$2,$AO$3)+INT(COUNTIF(G179,"*大莺鸣*")*IF(D179="轻剑",$AM$2,$AM$3)*听晓无双率)/无双系数)&gt;0.9,特效裤子会心/会心系数,0)))</f>
        <v>1</v>
      </c>
      <c r="X179">
        <f ca="1">IF(G179="恒定伤害",0,IF(COUNTIF(F179,"*内会*")&gt;0,内会效2,IF(D179="轻剑",$AB$2,$AB$3))+IFERROR(INDEX(技能数据库!$T$2:$W$27,MATCH(E179,技能数据库!$T$2:$T$27,0),3)/1024,0))+COUNTIF(G179,"*叠1*")*0.25+COUNTIF(G179,"*叠2*")*0.5+COUNTIF(G179,"*叠3*")*0.75</f>
        <v>2.9273735021</v>
      </c>
      <c r="Y179">
        <f ca="1" t="shared" si="359"/>
        <v>2.9273735021</v>
      </c>
      <c r="Z179">
        <f t="shared" si="317"/>
        <v>0.150390625</v>
      </c>
      <c r="AA179">
        <f ca="1" t="shared" si="360"/>
        <v>0.0205078125</v>
      </c>
      <c r="AB179">
        <f ca="1" t="shared" si="361"/>
        <v>5095475.36928135</v>
      </c>
      <c r="AC179">
        <f ca="1">无穷技能数计算!$AJ171</f>
        <v>30</v>
      </c>
      <c r="AD179" s="164">
        <f ca="1" t="shared" si="336"/>
        <v>0.0599091522238791</v>
      </c>
      <c r="AE179" s="168"/>
      <c r="AF179" s="168">
        <f ca="1" t="shared" si="337"/>
        <v>1.0014</v>
      </c>
      <c r="AG179">
        <f ca="1">无穷技能数计算!$AJ171</f>
        <v>30</v>
      </c>
      <c r="AH179">
        <f ca="1" t="shared" si="189"/>
        <v>109879</v>
      </c>
      <c r="AJ179">
        <f ca="1" t="shared" si="338"/>
        <v>3.1265922521</v>
      </c>
      <c r="AK179">
        <f ca="1" t="shared" si="329"/>
        <v>376466.575</v>
      </c>
      <c r="AL179">
        <f ca="1" t="shared" si="191"/>
        <v>5651030.18852784</v>
      </c>
      <c r="AM179" s="169">
        <f ca="1" t="shared" si="339"/>
        <v>1.0229</v>
      </c>
      <c r="AN179">
        <f ca="1">无穷技能数计算!$AJ171</f>
        <v>30</v>
      </c>
      <c r="AO179" s="170">
        <f ca="1" t="shared" si="193"/>
        <v>5651030.18852784</v>
      </c>
      <c r="AP179">
        <f ca="1" t="shared" si="194"/>
        <v>110956</v>
      </c>
      <c r="AQ179" s="170">
        <f ca="1" t="shared" si="330"/>
        <v>380155.3</v>
      </c>
      <c r="AR179">
        <f ca="1" t="shared" si="318"/>
        <v>5654696.66918283</v>
      </c>
      <c r="AS179">
        <f ca="1" t="shared" si="340"/>
        <v>1.08</v>
      </c>
      <c r="AT179">
        <f ca="1">无穷技能数计算!$AJ171</f>
        <v>30</v>
      </c>
      <c r="AU179">
        <f ca="1" t="shared" si="341"/>
        <v>3.0738578771</v>
      </c>
      <c r="AV179">
        <f ca="1" t="shared" si="342"/>
        <v>1.7995442148</v>
      </c>
      <c r="AW179">
        <f ca="1" t="shared" si="226"/>
        <v>5388040.63624925</v>
      </c>
      <c r="AX179">
        <f ca="1" t="shared" si="343"/>
        <v>1.07</v>
      </c>
      <c r="AY179">
        <f ca="1">无穷技能数计算!$AJ171</f>
        <v>30</v>
      </c>
      <c r="AZ179" s="170">
        <f ca="1" t="shared" si="227"/>
        <v>5388040.63624925</v>
      </c>
      <c r="BA179">
        <f ca="1" t="shared" si="344"/>
        <v>1.06</v>
      </c>
      <c r="BB179">
        <f ca="1">无穷技能数计算!$AJ171</f>
        <v>30</v>
      </c>
      <c r="BC179" s="170">
        <f ca="1" t="shared" si="228"/>
        <v>5388040.63624925</v>
      </c>
      <c r="BE179">
        <f ca="1" t="shared" si="200"/>
        <v>105849</v>
      </c>
      <c r="BF179">
        <f ca="1" t="shared" si="319"/>
        <v>362663.825</v>
      </c>
      <c r="BI179">
        <f ca="1" t="shared" si="345"/>
        <v>1.05</v>
      </c>
      <c r="BJ179">
        <f ca="1">无穷技能数计算!$AJ171</f>
        <v>30</v>
      </c>
      <c r="BK179">
        <f ca="1" t="shared" si="203"/>
        <v>5438484.14370202</v>
      </c>
      <c r="BM179">
        <f ca="1" t="shared" si="204"/>
        <v>109230</v>
      </c>
      <c r="BN179">
        <f ca="1" t="shared" si="320"/>
        <v>374243.75</v>
      </c>
      <c r="BO179">
        <f ca="1" t="shared" si="321"/>
        <v>5678854.64288631</v>
      </c>
      <c r="BP179">
        <f ca="1" t="shared" si="346"/>
        <v>5415596.18268323</v>
      </c>
      <c r="BR179">
        <f ca="1" t="shared" si="347"/>
        <v>1.05</v>
      </c>
      <c r="BS179">
        <f ca="1" t="shared" si="208"/>
        <v>5453643.97752531</v>
      </c>
      <c r="BT179">
        <f ca="1" t="shared" si="322"/>
        <v>0.196995876306796</v>
      </c>
      <c r="BU179">
        <f ca="1" t="shared" si="348"/>
        <v>3.0738578771</v>
      </c>
      <c r="BV179">
        <f ca="1" t="shared" si="229"/>
        <v>5457708.58702658</v>
      </c>
      <c r="BW179">
        <f ca="1" t="shared" si="211"/>
        <v>113027</v>
      </c>
      <c r="BX179">
        <f ca="1" t="shared" si="323"/>
        <v>387248.475</v>
      </c>
      <c r="BY179">
        <f ca="1" t="shared" si="349"/>
        <v>1.03</v>
      </c>
      <c r="BZ179">
        <f ca="1">无穷技能数计算!$AJ171</f>
        <v>30</v>
      </c>
      <c r="CA179">
        <f ca="1" t="shared" si="350"/>
        <v>3.0777641271</v>
      </c>
      <c r="CB179">
        <f ca="1" t="shared" si="230"/>
        <v>5720520.99875927</v>
      </c>
      <c r="CC179">
        <f ca="1" t="shared" si="215"/>
        <v>114847</v>
      </c>
      <c r="CD179">
        <f ca="1" t="shared" si="324"/>
        <v>393481.975</v>
      </c>
      <c r="CE179">
        <f ca="1" t="shared" si="217"/>
        <v>5693988.1608301</v>
      </c>
      <c r="CF179">
        <f ca="1" t="shared" si="351"/>
        <v>3.0250297521</v>
      </c>
      <c r="CG179">
        <f ca="1" t="shared" si="352"/>
        <v>1.03</v>
      </c>
      <c r="CH179">
        <f ca="1" t="shared" si="231"/>
        <v>5302451.7989605</v>
      </c>
      <c r="CJ179">
        <f ca="1" t="shared" si="325"/>
        <v>374243.75</v>
      </c>
      <c r="CK179">
        <f ca="1" t="shared" si="326"/>
        <v>5653129.74086085</v>
      </c>
      <c r="CL179">
        <f ca="1" t="shared" si="331"/>
        <v>3.0476860021</v>
      </c>
      <c r="CM179">
        <f ca="1">IF(G179="恒定伤害",0,(IF(D179="轻剑",$CM$8,$CM$9)+IFERROR(INDEX(技能数据库!$T$2:$W$27,MATCH(E179,技能数据库!$T$2:$T$27,0),4),0)+COUNTIF(G179,"*造化2*")*154+COUNTIF(G179,"*造化1*")*102+COUNTIF(G179,"*碧归*")*307)/1024)</f>
        <v>0.672900861773535</v>
      </c>
      <c r="CN179">
        <f ca="1" t="shared" si="233"/>
        <v>5542773.19875567</v>
      </c>
      <c r="CO179">
        <f ca="1" t="shared" si="332"/>
        <v>3.0762602208</v>
      </c>
      <c r="CP179">
        <f ca="1" t="shared" si="235"/>
        <v>5594740.63026818</v>
      </c>
      <c r="CQ179">
        <f ca="1" t="shared" si="353"/>
        <v>1.8815754648</v>
      </c>
      <c r="CR179">
        <f ca="1">IF(G179="恒定伤害",0,(IF(D179="轻剑",$CR$8,$CR$9)+IFERROR(INDEX(技能数据库!$T$2:$W$27,MATCH(E179,技能数据库!$T$2:$T$27,0),4),0)+COUNTIF(G179,"*造化2*")*154+COUNTIF(G179,"*造化1*")*102+COUNTIF(G179,"*碧归*")*307)/1024)</f>
        <v>0.663135236773535</v>
      </c>
      <c r="CS179">
        <f ca="1" t="shared" si="333"/>
        <v>5447974.32588637</v>
      </c>
    </row>
    <row r="180" spans="4:97">
      <c r="D180" t="s">
        <v>1825</v>
      </c>
      <c r="E180" t="s">
        <v>2786</v>
      </c>
      <c r="G180" t="s">
        <v>3108</v>
      </c>
      <c r="H180">
        <f ca="1">INDEX(技能数据库!$B$2:$I$100,MATCH(无穷阵眼收益计算!$E180,技能数据库!$B$2:$B$100,0),MATCH(H$9,技能数据库!$B$2:$I$2,0))</f>
        <v>0</v>
      </c>
      <c r="I180">
        <f ca="1">INDEX(技能数据库!$B$2:$I$100,MATCH(无穷阵眼收益计算!$E180,技能数据库!$B$2:$B$100,0),MATCH(I$9,技能数据库!$B$2:$I$2,0))</f>
        <v>0</v>
      </c>
      <c r="J180">
        <f ca="1">INDEX(技能数据库!$B$2:$I$100,MATCH(无穷阵眼收益计算!$E180,技能数据库!$B$2:$B$100,0),MATCH(J$9,技能数据库!$B$2:$I$2,0))</f>
        <v>0</v>
      </c>
      <c r="K180">
        <f ca="1">INDEX(技能数据库!$B$2:$I$100,MATCH(无穷阵眼收益计算!$E180,技能数据库!$B$2:$B$100,0),MATCH(K$9,技能数据库!$B$2:$I$2,0))</f>
        <v>0</v>
      </c>
      <c r="L180">
        <f ca="1" t="shared" si="186"/>
        <v>105847</v>
      </c>
      <c r="M180">
        <f ca="1" t="shared" si="354"/>
        <v>19530.5</v>
      </c>
      <c r="N180">
        <f ca="1" t="shared" si="355"/>
        <v>92028</v>
      </c>
      <c r="O180">
        <f ca="1" t="shared" si="327"/>
        <v>0</v>
      </c>
      <c r="P180">
        <f ca="1">IF(G180="恒定伤害",0,(IF(D180="轻剑",$AZ$2,$AZ$3)+IFERROR(INDEX(技能数据库!$T$2:$W$27,MATCH(E180,技能数据库!$T$2:$T$27,0),4),0)+COUNTIF(G180,"*造化2*")*154+COUNTIF(G180,"*造化1*")*102+COUNTIF(G180,"*碧归*")*307)/1024)</f>
        <v>0.116321271929785</v>
      </c>
      <c r="Q180">
        <f ca="1" t="shared" si="334"/>
        <v>0.448284482196154</v>
      </c>
      <c r="R180">
        <f ca="1" t="shared" si="328"/>
        <v>0.21277697966198</v>
      </c>
      <c r="S180">
        <f ca="1" t="shared" si="356"/>
        <v>0</v>
      </c>
      <c r="T180">
        <f t="shared" si="357"/>
        <v>0.8</v>
      </c>
      <c r="U180">
        <f ca="1" t="shared" si="335"/>
        <v>1.7800129648</v>
      </c>
      <c r="V180">
        <f ca="1" t="shared" si="358"/>
        <v>0</v>
      </c>
      <c r="W180">
        <f ca="1">IF(G180="恒定伤害",0,MIN(1,IF(COUNTIF(F180,"*内会*")&gt;0,内会2,IF(D180="轻剑",$Y$2,$Y$3)+COUNTIF(G180,"*莺鸣*")*0.2+COUNTIF(G180,"*叠1*")*0.1+COUNTIF(G180,"*叠2*")*0.2+COUNTIF(G180,"*叠3*")*0.3)+IFERROR(INDEX(技能数据库!$T$2:$W$27,MATCH(E180,技能数据库!$T$2:$T$27,0),2),0)+IF((IF(D180="轻剑",$AO$2,$AO$3)+INT(COUNTIF(G180,"*大莺鸣*")*IF(D180="轻剑",$AM$2,$AM$3)*听晓无双率)/无双系数)&gt;0.9,特效裤子会心/会心系数,0)))</f>
        <v>0.8043</v>
      </c>
      <c r="X180">
        <f ca="1">IF(G180="恒定伤害",0,IF(COUNTIF(F180,"*内会*")&gt;0,内会效2,IF(D180="轻剑",$AB$2,$AB$3))+IFERROR(INDEX(技能数据库!$T$2:$W$27,MATCH(E180,技能数据库!$T$2:$T$27,0),3)/1024,0))+COUNTIF(G180,"*叠1*")*0.25+COUNTIF(G180,"*叠2*")*0.5+COUNTIF(G180,"*叠3*")*0.75</f>
        <v>2.4273735021</v>
      </c>
      <c r="Y180">
        <f ca="1" t="shared" si="359"/>
        <v>2.14803650773903</v>
      </c>
      <c r="Z180">
        <f t="shared" si="317"/>
        <v>0.150390625</v>
      </c>
      <c r="AA180">
        <f ca="1" t="shared" si="360"/>
        <v>0.0205078125</v>
      </c>
      <c r="AB180">
        <f ca="1" t="shared" si="361"/>
        <v>0</v>
      </c>
      <c r="AC180">
        <f ca="1">无穷技能数计算!$AJ172</f>
        <v>4</v>
      </c>
      <c r="AD180" s="164">
        <f ca="1" t="shared" si="336"/>
        <v>0</v>
      </c>
      <c r="AE180" s="168"/>
      <c r="AF180" s="168">
        <f ca="1" t="shared" si="337"/>
        <v>0.8057</v>
      </c>
      <c r="AG180">
        <f ca="1">无穷技能数计算!$AJ172</f>
        <v>4</v>
      </c>
      <c r="AH180">
        <f ca="1" t="shared" si="189"/>
        <v>109879</v>
      </c>
      <c r="AJ180">
        <f ca="1" t="shared" si="338"/>
        <v>2.6265922521</v>
      </c>
      <c r="AK180">
        <f ca="1" t="shared" si="329"/>
        <v>0</v>
      </c>
      <c r="AL180">
        <f ca="1" t="shared" si="191"/>
        <v>0</v>
      </c>
      <c r="AM180" s="169">
        <f ca="1" t="shared" si="339"/>
        <v>0.8272</v>
      </c>
      <c r="AN180">
        <f ca="1">无穷技能数计算!$AJ172</f>
        <v>4</v>
      </c>
      <c r="AO180" s="170">
        <f ca="1" t="shared" si="193"/>
        <v>0</v>
      </c>
      <c r="AP180">
        <f ca="1" t="shared" si="194"/>
        <v>110956</v>
      </c>
      <c r="AQ180" s="170">
        <f ca="1" t="shared" si="330"/>
        <v>0</v>
      </c>
      <c r="AR180">
        <f ca="1" t="shared" si="318"/>
        <v>0</v>
      </c>
      <c r="AS180">
        <f ca="1" t="shared" si="340"/>
        <v>0.8843</v>
      </c>
      <c r="AT180">
        <f ca="1">无穷技能数计算!$AJ172</f>
        <v>4</v>
      </c>
      <c r="AU180">
        <f ca="1" t="shared" si="341"/>
        <v>2.5738578771</v>
      </c>
      <c r="AV180">
        <f ca="1" t="shared" si="342"/>
        <v>1.7995442148</v>
      </c>
      <c r="AW180">
        <f ca="1" t="shared" si="226"/>
        <v>0</v>
      </c>
      <c r="AX180">
        <f ca="1" t="shared" si="343"/>
        <v>0.8743</v>
      </c>
      <c r="AY180">
        <f ca="1">无穷技能数计算!$AJ172</f>
        <v>4</v>
      </c>
      <c r="AZ180" s="170">
        <f ca="1" t="shared" si="227"/>
        <v>0</v>
      </c>
      <c r="BA180">
        <f ca="1" t="shared" si="344"/>
        <v>0.8643</v>
      </c>
      <c r="BB180">
        <f ca="1">无穷技能数计算!$AJ172</f>
        <v>4</v>
      </c>
      <c r="BC180" s="170">
        <f ca="1" t="shared" si="228"/>
        <v>0</v>
      </c>
      <c r="BE180">
        <f ca="1" t="shared" si="200"/>
        <v>105849</v>
      </c>
      <c r="BF180">
        <f ca="1" t="shared" si="319"/>
        <v>0</v>
      </c>
      <c r="BI180">
        <f ca="1" t="shared" si="345"/>
        <v>0.8543</v>
      </c>
      <c r="BJ180">
        <f ca="1">无穷技能数计算!$AJ172</f>
        <v>4</v>
      </c>
      <c r="BK180">
        <f ca="1" t="shared" si="203"/>
        <v>0</v>
      </c>
      <c r="BM180">
        <f ca="1" t="shared" si="204"/>
        <v>109230</v>
      </c>
      <c r="BN180">
        <f ca="1" t="shared" si="320"/>
        <v>0</v>
      </c>
      <c r="BO180">
        <f ca="1" t="shared" si="321"/>
        <v>0</v>
      </c>
      <c r="BP180">
        <f ca="1" t="shared" si="346"/>
        <v>0</v>
      </c>
      <c r="BR180">
        <f ca="1" t="shared" si="347"/>
        <v>0.8543</v>
      </c>
      <c r="BS180">
        <f ca="1" t="shared" si="208"/>
        <v>0</v>
      </c>
      <c r="BT180">
        <f ca="1" t="shared" si="322"/>
        <v>0.196995876306796</v>
      </c>
      <c r="BU180">
        <f ca="1" t="shared" si="348"/>
        <v>2.5738578771</v>
      </c>
      <c r="BV180">
        <f ca="1" t="shared" si="229"/>
        <v>0</v>
      </c>
      <c r="BW180">
        <f ca="1" t="shared" si="211"/>
        <v>113027</v>
      </c>
      <c r="BX180">
        <f ca="1" t="shared" si="323"/>
        <v>0</v>
      </c>
      <c r="BY180">
        <f ca="1" t="shared" si="349"/>
        <v>0.8343</v>
      </c>
      <c r="BZ180">
        <f ca="1">无穷技能数计算!$AJ172</f>
        <v>4</v>
      </c>
      <c r="CA180">
        <f ca="1" t="shared" si="350"/>
        <v>2.5777641271</v>
      </c>
      <c r="CB180">
        <f ca="1" t="shared" si="230"/>
        <v>0</v>
      </c>
      <c r="CC180">
        <f ca="1" t="shared" si="215"/>
        <v>114847</v>
      </c>
      <c r="CD180">
        <f ca="1" t="shared" si="324"/>
        <v>0</v>
      </c>
      <c r="CE180">
        <f ca="1" t="shared" si="217"/>
        <v>0</v>
      </c>
      <c r="CF180">
        <f ca="1" t="shared" si="351"/>
        <v>2.5250297521</v>
      </c>
      <c r="CG180">
        <f ca="1" t="shared" si="352"/>
        <v>0.8343</v>
      </c>
      <c r="CH180">
        <f ca="1" t="shared" si="231"/>
        <v>0</v>
      </c>
      <c r="CJ180">
        <f ca="1" t="shared" si="325"/>
        <v>0</v>
      </c>
      <c r="CK180">
        <f ca="1" t="shared" si="326"/>
        <v>0</v>
      </c>
      <c r="CL180">
        <f ca="1" t="shared" si="331"/>
        <v>2.5476860021</v>
      </c>
      <c r="CM180">
        <f ca="1">IF(G180="恒定伤害",0,(IF(D180="轻剑",$CM$8,$CM$9)+IFERROR(INDEX(技能数据库!$T$2:$W$27,MATCH(E180,技能数据库!$T$2:$T$27,0),4),0)+COUNTIF(G180,"*造化2*")*154+COUNTIF(G180,"*造化1*")*102+COUNTIF(G180,"*碧归*")*307)/1024)</f>
        <v>0.176868146929785</v>
      </c>
      <c r="CN180">
        <f ca="1" t="shared" si="233"/>
        <v>0</v>
      </c>
      <c r="CO180">
        <f ca="1" t="shared" si="332"/>
        <v>2.5762602208</v>
      </c>
      <c r="CP180">
        <f ca="1" t="shared" si="235"/>
        <v>0</v>
      </c>
      <c r="CQ180">
        <f ca="1" t="shared" si="353"/>
        <v>1.8815754648</v>
      </c>
      <c r="CR180">
        <f ca="1">IF(G180="恒定伤害",0,(IF(D180="轻剑",$CR$8,$CR$9)+IFERROR(INDEX(技能数据库!$T$2:$W$27,MATCH(E180,技能数据库!$T$2:$T$27,0),4),0)+COUNTIF(G180,"*造化2*")*154+COUNTIF(G180,"*造化1*")*102+COUNTIF(G180,"*碧归*")*307)/1024)</f>
        <v>0.167102521929785</v>
      </c>
      <c r="CS180">
        <f ca="1" t="shared" si="333"/>
        <v>0</v>
      </c>
    </row>
    <row r="181" spans="4:97">
      <c r="D181" t="s">
        <v>1825</v>
      </c>
      <c r="E181" t="s">
        <v>2786</v>
      </c>
      <c r="G181" t="s">
        <v>3109</v>
      </c>
      <c r="H181">
        <f ca="1">INDEX(技能数据库!$B$2:$I$100,MATCH(无穷阵眼收益计算!$E181,技能数据库!$B$2:$B$100,0),MATCH(H$9,技能数据库!$B$2:$I$2,0))</f>
        <v>0</v>
      </c>
      <c r="I181">
        <f ca="1">INDEX(技能数据库!$B$2:$I$100,MATCH(无穷阵眼收益计算!$E181,技能数据库!$B$2:$B$100,0),MATCH(I$9,技能数据库!$B$2:$I$2,0))</f>
        <v>0</v>
      </c>
      <c r="J181">
        <f ca="1">INDEX(技能数据库!$B$2:$I$100,MATCH(无穷阵眼收益计算!$E181,技能数据库!$B$2:$B$100,0),MATCH(J$9,技能数据库!$B$2:$I$2,0))</f>
        <v>0</v>
      </c>
      <c r="K181">
        <f ca="1">INDEX(技能数据库!$B$2:$I$100,MATCH(无穷阵眼收益计算!$E181,技能数据库!$B$2:$B$100,0),MATCH(K$9,技能数据库!$B$2:$I$2,0))</f>
        <v>0</v>
      </c>
      <c r="L181">
        <f ca="1" t="shared" si="186"/>
        <v>105847</v>
      </c>
      <c r="M181">
        <f ca="1" t="shared" si="354"/>
        <v>19530.5</v>
      </c>
      <c r="N181">
        <f ca="1" t="shared" si="355"/>
        <v>92028</v>
      </c>
      <c r="O181">
        <f ca="1" t="shared" si="327"/>
        <v>0</v>
      </c>
      <c r="P181">
        <f ca="1">IF(G181="恒定伤害",0,(IF(D181="轻剑",$AZ$2,$AZ$3)+IFERROR(INDEX(技能数据库!$T$2:$W$27,MATCH(E181,技能数据库!$T$2:$T$27,0),4),0)+COUNTIF(G181,"*造化2*")*154+COUNTIF(G181,"*造化1*")*102+COUNTIF(G181,"*碧归*")*307)/1024)</f>
        <v>0.116321271929785</v>
      </c>
      <c r="Q181">
        <f ca="1" t="shared" si="334"/>
        <v>0.448284482196154</v>
      </c>
      <c r="R181">
        <f ca="1" t="shared" si="328"/>
        <v>0.21277697966198</v>
      </c>
      <c r="S181">
        <f ca="1" t="shared" si="356"/>
        <v>0</v>
      </c>
      <c r="T181">
        <f t="shared" si="357"/>
        <v>0.8</v>
      </c>
      <c r="U181">
        <f ca="1" t="shared" si="335"/>
        <v>1.7800129648</v>
      </c>
      <c r="V181">
        <f ca="1" t="shared" si="358"/>
        <v>0</v>
      </c>
      <c r="W181">
        <f ca="1">IF(G181="恒定伤害",0,MIN(1,IF(COUNTIF(F181,"*内会*")&gt;0,内会2,IF(D181="轻剑",$Y$2,$Y$3)+COUNTIF(G181,"*莺鸣*")*0.2+COUNTIF(G181,"*叠1*")*0.1+COUNTIF(G181,"*叠2*")*0.2+COUNTIF(G181,"*叠3*")*0.3)+IFERROR(INDEX(技能数据库!$T$2:$W$27,MATCH(E181,技能数据库!$T$2:$T$27,0),2),0)+IF((IF(D181="轻剑",$AO$2,$AO$3)+INT(COUNTIF(G181,"*大莺鸣*")*IF(D181="轻剑",$AM$2,$AM$3)*听晓无双率)/无双系数)&gt;0.9,特效裤子会心/会心系数,0)))</f>
        <v>0.9043</v>
      </c>
      <c r="X181">
        <f ca="1">IF(G181="恒定伤害",0,IF(COUNTIF(F181,"*内会*")&gt;0,内会效2,IF(D181="轻剑",$AB$2,$AB$3))+IFERROR(INDEX(技能数据库!$T$2:$W$27,MATCH(E181,技能数据库!$T$2:$T$27,0),3)/1024,0))+COUNTIF(G181,"*叠1*")*0.25+COUNTIF(G181,"*叠2*")*0.5+COUNTIF(G181,"*叠3*")*0.75</f>
        <v>2.6773735021</v>
      </c>
      <c r="Y181">
        <f ca="1" t="shared" si="359"/>
        <v>2.51684885794903</v>
      </c>
      <c r="Z181">
        <f t="shared" si="317"/>
        <v>0.150390625</v>
      </c>
      <c r="AA181">
        <f ca="1" t="shared" si="360"/>
        <v>0.0205078125</v>
      </c>
      <c r="AB181">
        <f ca="1" t="shared" si="361"/>
        <v>0</v>
      </c>
      <c r="AC181">
        <f ca="1">无穷技能数计算!$AJ173</f>
        <v>3</v>
      </c>
      <c r="AD181" s="164">
        <f ca="1" t="shared" si="336"/>
        <v>0</v>
      </c>
      <c r="AE181" s="168"/>
      <c r="AF181" s="168">
        <f ca="1" t="shared" si="337"/>
        <v>0.9057</v>
      </c>
      <c r="AG181">
        <f ca="1">无穷技能数计算!$AJ173</f>
        <v>3</v>
      </c>
      <c r="AH181">
        <f ca="1" t="shared" si="189"/>
        <v>109879</v>
      </c>
      <c r="AJ181">
        <f ca="1" t="shared" si="338"/>
        <v>2.8765922521</v>
      </c>
      <c r="AK181">
        <f ca="1" t="shared" si="329"/>
        <v>0</v>
      </c>
      <c r="AL181">
        <f ca="1" t="shared" si="191"/>
        <v>0</v>
      </c>
      <c r="AM181" s="169">
        <f ca="1" t="shared" si="339"/>
        <v>0.9272</v>
      </c>
      <c r="AN181">
        <f ca="1">无穷技能数计算!$AJ173</f>
        <v>3</v>
      </c>
      <c r="AO181" s="170">
        <f ca="1" t="shared" si="193"/>
        <v>0</v>
      </c>
      <c r="AP181">
        <f ca="1" t="shared" si="194"/>
        <v>110956</v>
      </c>
      <c r="AQ181" s="170">
        <f ca="1" t="shared" si="330"/>
        <v>0</v>
      </c>
      <c r="AR181">
        <f ca="1" t="shared" si="318"/>
        <v>0</v>
      </c>
      <c r="AS181">
        <f ca="1" t="shared" si="340"/>
        <v>0.9843</v>
      </c>
      <c r="AT181">
        <f ca="1">无穷技能数计算!$AJ173</f>
        <v>3</v>
      </c>
      <c r="AU181">
        <f ca="1" t="shared" si="341"/>
        <v>2.8238578771</v>
      </c>
      <c r="AV181">
        <f ca="1" t="shared" si="342"/>
        <v>1.7995442148</v>
      </c>
      <c r="AW181">
        <f ca="1" t="shared" si="226"/>
        <v>0</v>
      </c>
      <c r="AX181">
        <f ca="1" t="shared" si="343"/>
        <v>0.9743</v>
      </c>
      <c r="AY181">
        <f ca="1">无穷技能数计算!$AJ173</f>
        <v>3</v>
      </c>
      <c r="AZ181" s="170">
        <f ca="1" t="shared" si="227"/>
        <v>0</v>
      </c>
      <c r="BA181">
        <f ca="1" t="shared" si="344"/>
        <v>0.9643</v>
      </c>
      <c r="BB181">
        <f ca="1">无穷技能数计算!$AJ173</f>
        <v>3</v>
      </c>
      <c r="BC181" s="170">
        <f ca="1" t="shared" si="228"/>
        <v>0</v>
      </c>
      <c r="BE181">
        <f ca="1" t="shared" si="200"/>
        <v>105849</v>
      </c>
      <c r="BF181">
        <f ca="1" t="shared" si="319"/>
        <v>0</v>
      </c>
      <c r="BI181">
        <f ca="1" t="shared" si="345"/>
        <v>0.9543</v>
      </c>
      <c r="BJ181">
        <f ca="1">无穷技能数计算!$AJ173</f>
        <v>3</v>
      </c>
      <c r="BK181">
        <f ca="1" t="shared" si="203"/>
        <v>0</v>
      </c>
      <c r="BM181">
        <f ca="1" t="shared" si="204"/>
        <v>109230</v>
      </c>
      <c r="BN181">
        <f ca="1" t="shared" si="320"/>
        <v>0</v>
      </c>
      <c r="BO181">
        <f ca="1" t="shared" si="321"/>
        <v>0</v>
      </c>
      <c r="BP181">
        <f ca="1" t="shared" si="346"/>
        <v>0</v>
      </c>
      <c r="BR181">
        <f ca="1" t="shared" si="347"/>
        <v>0.9543</v>
      </c>
      <c r="BS181">
        <f ca="1" t="shared" si="208"/>
        <v>0</v>
      </c>
      <c r="BT181">
        <f ca="1" t="shared" si="322"/>
        <v>0.196995876306796</v>
      </c>
      <c r="BU181">
        <f ca="1" t="shared" si="348"/>
        <v>2.8238578771</v>
      </c>
      <c r="BV181">
        <f ca="1" t="shared" si="229"/>
        <v>0</v>
      </c>
      <c r="BW181">
        <f ca="1" t="shared" si="211"/>
        <v>113027</v>
      </c>
      <c r="BX181">
        <f ca="1" t="shared" si="323"/>
        <v>0</v>
      </c>
      <c r="BY181">
        <f ca="1" t="shared" si="349"/>
        <v>0.9343</v>
      </c>
      <c r="BZ181">
        <f ca="1">无穷技能数计算!$AJ173</f>
        <v>3</v>
      </c>
      <c r="CA181">
        <f ca="1" t="shared" si="350"/>
        <v>2.8277641271</v>
      </c>
      <c r="CB181">
        <f ca="1" t="shared" si="230"/>
        <v>0</v>
      </c>
      <c r="CC181">
        <f ca="1" t="shared" si="215"/>
        <v>114847</v>
      </c>
      <c r="CD181">
        <f ca="1" t="shared" si="324"/>
        <v>0</v>
      </c>
      <c r="CE181">
        <f ca="1" t="shared" si="217"/>
        <v>0</v>
      </c>
      <c r="CF181">
        <f ca="1" t="shared" si="351"/>
        <v>2.7750297521</v>
      </c>
      <c r="CG181">
        <f ca="1" t="shared" si="352"/>
        <v>0.9343</v>
      </c>
      <c r="CH181">
        <f ca="1" t="shared" si="231"/>
        <v>0</v>
      </c>
      <c r="CJ181">
        <f ca="1" t="shared" si="325"/>
        <v>0</v>
      </c>
      <c r="CK181">
        <f ca="1" t="shared" si="326"/>
        <v>0</v>
      </c>
      <c r="CL181">
        <f ca="1" t="shared" si="331"/>
        <v>2.7976860021</v>
      </c>
      <c r="CM181">
        <f ca="1">IF(G181="恒定伤害",0,(IF(D181="轻剑",$CM$8,$CM$9)+IFERROR(INDEX(技能数据库!$T$2:$W$27,MATCH(E181,技能数据库!$T$2:$T$27,0),4),0)+COUNTIF(G181,"*造化2*")*154+COUNTIF(G181,"*造化1*")*102+COUNTIF(G181,"*碧归*")*307)/1024)</f>
        <v>0.176868146929785</v>
      </c>
      <c r="CN181">
        <f ca="1" t="shared" si="233"/>
        <v>0</v>
      </c>
      <c r="CO181">
        <f ca="1" t="shared" si="332"/>
        <v>2.8262602208</v>
      </c>
      <c r="CP181">
        <f ca="1" t="shared" si="235"/>
        <v>0</v>
      </c>
      <c r="CQ181">
        <f ca="1" t="shared" si="353"/>
        <v>1.8815754648</v>
      </c>
      <c r="CR181">
        <f ca="1">IF(G181="恒定伤害",0,(IF(D181="轻剑",$CR$8,$CR$9)+IFERROR(INDEX(技能数据库!$T$2:$W$27,MATCH(E181,技能数据库!$T$2:$T$27,0),4),0)+COUNTIF(G181,"*造化2*")*154+COUNTIF(G181,"*造化1*")*102+COUNTIF(G181,"*碧归*")*307)/1024)</f>
        <v>0.167102521929785</v>
      </c>
      <c r="CS181">
        <f ca="1" t="shared" si="333"/>
        <v>0</v>
      </c>
    </row>
    <row r="182" spans="4:97">
      <c r="D182" t="s">
        <v>1825</v>
      </c>
      <c r="E182" t="s">
        <v>2786</v>
      </c>
      <c r="G182" t="s">
        <v>3110</v>
      </c>
      <c r="H182">
        <f ca="1">INDEX(技能数据库!$B$2:$I$100,MATCH(无穷阵眼收益计算!$E182,技能数据库!$B$2:$B$100,0),MATCH(H$9,技能数据库!$B$2:$I$2,0))</f>
        <v>0</v>
      </c>
      <c r="I182">
        <f ca="1">INDEX(技能数据库!$B$2:$I$100,MATCH(无穷阵眼收益计算!$E182,技能数据库!$B$2:$B$100,0),MATCH(I$9,技能数据库!$B$2:$I$2,0))</f>
        <v>0</v>
      </c>
      <c r="J182">
        <f ca="1">INDEX(技能数据库!$B$2:$I$100,MATCH(无穷阵眼收益计算!$E182,技能数据库!$B$2:$B$100,0),MATCH(J$9,技能数据库!$B$2:$I$2,0))</f>
        <v>0</v>
      </c>
      <c r="K182">
        <f ca="1">INDEX(技能数据库!$B$2:$I$100,MATCH(无穷阵眼收益计算!$E182,技能数据库!$B$2:$B$100,0),MATCH(K$9,技能数据库!$B$2:$I$2,0))</f>
        <v>0</v>
      </c>
      <c r="L182">
        <f ca="1" t="shared" si="186"/>
        <v>105847</v>
      </c>
      <c r="M182">
        <f ca="1" t="shared" si="354"/>
        <v>19530.5</v>
      </c>
      <c r="N182">
        <f ca="1" t="shared" si="355"/>
        <v>92028</v>
      </c>
      <c r="O182">
        <f ca="1" t="shared" si="327"/>
        <v>0</v>
      </c>
      <c r="P182">
        <f ca="1">IF(G182="恒定伤害",0,(IF(D182="轻剑",$AZ$2,$AZ$3)+IFERROR(INDEX(技能数据库!$T$2:$W$27,MATCH(E182,技能数据库!$T$2:$T$27,0),4),0)+COUNTIF(G182,"*造化2*")*154+COUNTIF(G182,"*造化1*")*102+COUNTIF(G182,"*碧归*")*307)/1024)</f>
        <v>0.116321271929785</v>
      </c>
      <c r="Q182">
        <f ca="1" t="shared" si="334"/>
        <v>0.448284482196154</v>
      </c>
      <c r="R182">
        <f ca="1" t="shared" si="328"/>
        <v>0.21277697966198</v>
      </c>
      <c r="S182">
        <f ca="1" t="shared" si="356"/>
        <v>0</v>
      </c>
      <c r="T182">
        <f t="shared" si="357"/>
        <v>0.8</v>
      </c>
      <c r="U182">
        <f ca="1" t="shared" si="335"/>
        <v>1.7800129648</v>
      </c>
      <c r="V182">
        <f ca="1" t="shared" si="358"/>
        <v>0</v>
      </c>
      <c r="W182">
        <f ca="1">IF(G182="恒定伤害",0,MIN(1,IF(COUNTIF(F182,"*内会*")&gt;0,内会2,IF(D182="轻剑",$Y$2,$Y$3)+COUNTIF(G182,"*莺鸣*")*0.2+COUNTIF(G182,"*叠1*")*0.1+COUNTIF(G182,"*叠2*")*0.2+COUNTIF(G182,"*叠3*")*0.3)+IFERROR(INDEX(技能数据库!$T$2:$W$27,MATCH(E182,技能数据库!$T$2:$T$27,0),2),0)+IF((IF(D182="轻剑",$AO$2,$AO$3)+INT(COUNTIF(G182,"*大莺鸣*")*IF(D182="轻剑",$AM$2,$AM$3)*听晓无双率)/无双系数)&gt;0.9,特效裤子会心/会心系数,0)))</f>
        <v>1</v>
      </c>
      <c r="X182">
        <f ca="1">IF(G182="恒定伤害",0,IF(COUNTIF(F182,"*内会*")&gt;0,内会效2,IF(D182="轻剑",$AB$2,$AB$3))+IFERROR(INDEX(技能数据库!$T$2:$W$27,MATCH(E182,技能数据库!$T$2:$T$27,0),3)/1024,0))+COUNTIF(G182,"*叠1*")*0.25+COUNTIF(G182,"*叠2*")*0.5+COUNTIF(G182,"*叠3*")*0.75</f>
        <v>2.9273735021</v>
      </c>
      <c r="Y182">
        <f ca="1" t="shared" si="359"/>
        <v>2.9273735021</v>
      </c>
      <c r="Z182">
        <f t="shared" si="317"/>
        <v>0.150390625</v>
      </c>
      <c r="AA182">
        <f ca="1" t="shared" si="360"/>
        <v>0.0205078125</v>
      </c>
      <c r="AB182">
        <f ca="1" t="shared" si="361"/>
        <v>0</v>
      </c>
      <c r="AC182">
        <f ca="1">无穷技能数计算!$AJ174</f>
        <v>36</v>
      </c>
      <c r="AD182" s="164">
        <f ca="1" t="shared" si="336"/>
        <v>0</v>
      </c>
      <c r="AE182" s="168"/>
      <c r="AF182" s="168">
        <f ca="1" t="shared" si="337"/>
        <v>1.0014</v>
      </c>
      <c r="AG182">
        <f ca="1">无穷技能数计算!$AJ174</f>
        <v>36</v>
      </c>
      <c r="AH182">
        <f ca="1" t="shared" si="189"/>
        <v>109879</v>
      </c>
      <c r="AJ182">
        <f ca="1" t="shared" si="338"/>
        <v>3.1265922521</v>
      </c>
      <c r="AK182">
        <f ca="1" t="shared" si="329"/>
        <v>0</v>
      </c>
      <c r="AL182">
        <f ca="1" t="shared" si="191"/>
        <v>0</v>
      </c>
      <c r="AM182" s="169">
        <f ca="1" t="shared" si="339"/>
        <v>1.0229</v>
      </c>
      <c r="AN182">
        <f ca="1">无穷技能数计算!$AJ174</f>
        <v>36</v>
      </c>
      <c r="AO182" s="170">
        <f ca="1" t="shared" si="193"/>
        <v>0</v>
      </c>
      <c r="AP182">
        <f ca="1" t="shared" si="194"/>
        <v>110956</v>
      </c>
      <c r="AQ182" s="170">
        <f ca="1" t="shared" si="330"/>
        <v>0</v>
      </c>
      <c r="AR182">
        <f ca="1" t="shared" si="318"/>
        <v>0</v>
      </c>
      <c r="AS182">
        <f ca="1" t="shared" si="340"/>
        <v>1.08</v>
      </c>
      <c r="AT182">
        <f ca="1">无穷技能数计算!$AJ174</f>
        <v>36</v>
      </c>
      <c r="AU182">
        <f ca="1" t="shared" si="341"/>
        <v>3.0738578771</v>
      </c>
      <c r="AV182">
        <f ca="1" t="shared" si="342"/>
        <v>1.7995442148</v>
      </c>
      <c r="AW182">
        <f ca="1" t="shared" si="226"/>
        <v>0</v>
      </c>
      <c r="AX182">
        <f ca="1" t="shared" si="343"/>
        <v>1.07</v>
      </c>
      <c r="AY182">
        <f ca="1">无穷技能数计算!$AJ174</f>
        <v>36</v>
      </c>
      <c r="AZ182" s="170">
        <f ca="1" t="shared" si="227"/>
        <v>0</v>
      </c>
      <c r="BA182">
        <f ca="1" t="shared" si="344"/>
        <v>1.06</v>
      </c>
      <c r="BB182">
        <f ca="1">无穷技能数计算!$AJ174</f>
        <v>36</v>
      </c>
      <c r="BC182" s="170">
        <f ca="1" t="shared" si="228"/>
        <v>0</v>
      </c>
      <c r="BE182">
        <f ca="1" t="shared" si="200"/>
        <v>105849</v>
      </c>
      <c r="BF182">
        <f ca="1" t="shared" si="319"/>
        <v>0</v>
      </c>
      <c r="BI182">
        <f ca="1" t="shared" si="345"/>
        <v>1.05</v>
      </c>
      <c r="BJ182">
        <f ca="1">无穷技能数计算!$AJ174</f>
        <v>36</v>
      </c>
      <c r="BK182">
        <f ca="1" t="shared" si="203"/>
        <v>0</v>
      </c>
      <c r="BM182">
        <f ca="1" t="shared" si="204"/>
        <v>109230</v>
      </c>
      <c r="BN182">
        <f ca="1" t="shared" si="320"/>
        <v>0</v>
      </c>
      <c r="BO182">
        <f ca="1" t="shared" si="321"/>
        <v>0</v>
      </c>
      <c r="BP182">
        <f ca="1" t="shared" si="346"/>
        <v>0</v>
      </c>
      <c r="BR182">
        <f ca="1" t="shared" si="347"/>
        <v>1.05</v>
      </c>
      <c r="BS182">
        <f ca="1" t="shared" si="208"/>
        <v>0</v>
      </c>
      <c r="BT182">
        <f ca="1" t="shared" si="322"/>
        <v>0.196995876306796</v>
      </c>
      <c r="BU182">
        <f ca="1" t="shared" si="348"/>
        <v>3.0738578771</v>
      </c>
      <c r="BV182">
        <f ca="1" t="shared" si="229"/>
        <v>0</v>
      </c>
      <c r="BW182">
        <f ca="1" t="shared" si="211"/>
        <v>113027</v>
      </c>
      <c r="BX182">
        <f ca="1" t="shared" si="323"/>
        <v>0</v>
      </c>
      <c r="BY182">
        <f ca="1" t="shared" si="349"/>
        <v>1.03</v>
      </c>
      <c r="BZ182">
        <f ca="1">无穷技能数计算!$AJ174</f>
        <v>36</v>
      </c>
      <c r="CA182">
        <f ca="1" t="shared" si="350"/>
        <v>3.0777641271</v>
      </c>
      <c r="CB182">
        <f ca="1" t="shared" si="230"/>
        <v>0</v>
      </c>
      <c r="CC182">
        <f ca="1" t="shared" si="215"/>
        <v>114847</v>
      </c>
      <c r="CD182">
        <f ca="1" t="shared" si="324"/>
        <v>0</v>
      </c>
      <c r="CE182">
        <f ca="1" t="shared" si="217"/>
        <v>0</v>
      </c>
      <c r="CF182">
        <f ca="1" t="shared" si="351"/>
        <v>3.0250297521</v>
      </c>
      <c r="CG182">
        <f ca="1" t="shared" si="352"/>
        <v>1.03</v>
      </c>
      <c r="CH182">
        <f ca="1" t="shared" si="231"/>
        <v>0</v>
      </c>
      <c r="CJ182">
        <f ca="1" t="shared" si="325"/>
        <v>0</v>
      </c>
      <c r="CK182">
        <f ca="1" t="shared" si="326"/>
        <v>0</v>
      </c>
      <c r="CL182">
        <f ca="1" t="shared" si="331"/>
        <v>3.0476860021</v>
      </c>
      <c r="CM182">
        <f ca="1">IF(G182="恒定伤害",0,(IF(D182="轻剑",$CM$8,$CM$9)+IFERROR(INDEX(技能数据库!$T$2:$W$27,MATCH(E182,技能数据库!$T$2:$T$27,0),4),0)+COUNTIF(G182,"*造化2*")*154+COUNTIF(G182,"*造化1*")*102+COUNTIF(G182,"*碧归*")*307)/1024)</f>
        <v>0.176868146929785</v>
      </c>
      <c r="CN182">
        <f ca="1" t="shared" si="233"/>
        <v>0</v>
      </c>
      <c r="CO182">
        <f ca="1" t="shared" si="332"/>
        <v>3.0762602208</v>
      </c>
      <c r="CP182">
        <f ca="1" t="shared" si="235"/>
        <v>0</v>
      </c>
      <c r="CQ182">
        <f ca="1" t="shared" si="353"/>
        <v>1.8815754648</v>
      </c>
      <c r="CR182">
        <f ca="1">IF(G182="恒定伤害",0,(IF(D182="轻剑",$CR$8,$CR$9)+IFERROR(INDEX(技能数据库!$T$2:$W$27,MATCH(E182,技能数据库!$T$2:$T$27,0),4),0)+COUNTIF(G182,"*造化2*")*154+COUNTIF(G182,"*造化1*")*102+COUNTIF(G182,"*碧归*")*307)/1024)</f>
        <v>0.167102521929785</v>
      </c>
      <c r="CS182">
        <f ca="1" t="shared" si="333"/>
        <v>0</v>
      </c>
    </row>
    <row r="183" spans="4:97">
      <c r="D183" t="s">
        <v>1825</v>
      </c>
      <c r="E183" s="161" t="s">
        <v>2859</v>
      </c>
      <c r="F183" t="s">
        <v>3160</v>
      </c>
      <c r="G183" t="s">
        <v>3108</v>
      </c>
      <c r="H183">
        <f ca="1">INDEX(技能数据库!$B$2:$I$100,MATCH(无穷阵眼收益计算!$E183,技能数据库!$B$2:$B$100,0),MATCH(H$9,技能数据库!$B$2:$I$2,0))</f>
        <v>1955936</v>
      </c>
      <c r="I183">
        <f ca="1">INDEX(技能数据库!$B$2:$I$100,MATCH(无穷阵眼收益计算!$E183,技能数据库!$B$2:$B$100,0),MATCH(I$9,技能数据库!$B$2:$I$2,0))</f>
        <v>0</v>
      </c>
      <c r="J183">
        <f ca="1">INDEX(技能数据库!$B$2:$I$100,MATCH(无穷阵眼收益计算!$E183,技能数据库!$B$2:$B$100,0),MATCH(J$9,技能数据库!$B$2:$I$2,0))</f>
        <v>0</v>
      </c>
      <c r="K183">
        <f ca="1">INDEX(技能数据库!$B$2:$I$100,MATCH(无穷阵眼收益计算!$E183,技能数据库!$B$2:$B$100,0),MATCH(K$9,技能数据库!$B$2:$I$2,0))</f>
        <v>0</v>
      </c>
      <c r="L183">
        <f ca="1" t="shared" si="186"/>
        <v>105847</v>
      </c>
      <c r="M183">
        <f ca="1" t="shared" si="354"/>
        <v>19530.5</v>
      </c>
      <c r="N183">
        <f ca="1" t="shared" si="355"/>
        <v>92028</v>
      </c>
      <c r="O183">
        <f ca="1" t="shared" si="327"/>
        <v>1955936</v>
      </c>
      <c r="P183">
        <f ca="1">IF(G183="恒定伤害",0,(IF(D183="轻剑",$AZ$2,$AZ$3)+IFERROR(INDEX(技能数据库!$T$2:$W$27,MATCH(E183,技能数据库!$T$2:$T$27,0),4),0)+COUNTIF(G183,"*造化2*")*154+COUNTIF(G183,"*造化1*")*102+COUNTIF(G183,"*碧归*")*307)/1024)</f>
        <v>0.116321271929785</v>
      </c>
      <c r="Q183">
        <f ca="1" t="shared" si="334"/>
        <v>0.0415122129107408</v>
      </c>
      <c r="R183">
        <f ca="1" t="shared" si="328"/>
        <v>0.21277697966198</v>
      </c>
      <c r="S183">
        <f ca="1" t="shared" si="356"/>
        <v>1790218.30301643</v>
      </c>
      <c r="T183">
        <f t="shared" si="357"/>
        <v>0.8</v>
      </c>
      <c r="U183">
        <f ca="1" t="shared" si="335"/>
        <v>1.7800129648</v>
      </c>
      <c r="V183">
        <f ca="1" t="shared" si="358"/>
        <v>3981464.07376636</v>
      </c>
      <c r="W183">
        <f ca="1">IF(G183="恒定伤害",0,MIN(1,IF(COUNTIF(F183,"*内会*")&gt;0,内会2,IF(D183="轻剑",$Y$2,$Y$3)+COUNTIF(G183,"*莺鸣*")*0.2+COUNTIF(G183,"*叠1*")*0.1+COUNTIF(G183,"*叠2*")*0.2+COUNTIF(G183,"*叠3*")*0.3)+IFERROR(INDEX(技能数据库!$T$2:$W$27,MATCH(E183,技能数据库!$T$2:$T$27,0),2),0)+IF((IF(D183="轻剑",$AO$2,$AO$3)+INT(COUNTIF(G183,"*大莺鸣*")*IF(D183="轻剑",$AM$2,$AM$3)*听晓无双率)/无双系数)&gt;0.9,特效裤子会心/会心系数,0)))</f>
        <v>0.0826138197194782</v>
      </c>
      <c r="X183">
        <f ca="1">IF(G183="恒定伤害",0,IF(COUNTIF(F183,"*内会*")&gt;0,内会效2,IF(D183="轻剑",$AB$2,$AB$3))+IFERROR(INDEX(技能数据库!$T$2:$W$27,MATCH(E183,技能数据库!$T$2:$T$27,0),3)/1024,0))+COUNTIF(G183,"*叠1*")*0.25+COUNTIF(G183,"*叠2*")*0.5+COUNTIF(G183,"*叠3*")*0.75</f>
        <v>2.04000318487951</v>
      </c>
      <c r="Y183">
        <f ca="1" t="shared" si="359"/>
        <v>1.08591863562332</v>
      </c>
      <c r="Z183">
        <f t="shared" si="317"/>
        <v>0.150390625</v>
      </c>
      <c r="AA183">
        <f ca="1" t="shared" si="360"/>
        <v>0.0205078125</v>
      </c>
      <c r="AB183">
        <f ca="1" t="shared" si="361"/>
        <v>5075767.90262155</v>
      </c>
      <c r="AC183">
        <f ca="1">无穷技能数计算!$AJ175</f>
        <v>0</v>
      </c>
      <c r="AD183" s="164">
        <f ca="1" t="shared" si="336"/>
        <v>0</v>
      </c>
      <c r="AE183" s="168"/>
      <c r="AF183" s="168">
        <f ca="1" t="shared" si="337"/>
        <v>0.0826138197194782</v>
      </c>
      <c r="AG183">
        <f ca="1">无穷技能数计算!$AJ175</f>
        <v>0</v>
      </c>
      <c r="AH183">
        <f ca="1" t="shared" si="189"/>
        <v>109879</v>
      </c>
      <c r="AJ183">
        <f ca="1" t="shared" si="338"/>
        <v>2.04000318487951</v>
      </c>
      <c r="AK183">
        <f ca="1" t="shared" si="329"/>
        <v>1955936</v>
      </c>
      <c r="AL183">
        <f ca="1" t="shared" si="191"/>
        <v>5075767.90262155</v>
      </c>
      <c r="AM183" s="169">
        <f ca="1" t="shared" si="339"/>
        <v>0.0826138197194782</v>
      </c>
      <c r="AN183">
        <f ca="1">无穷技能数计算!$AJ175</f>
        <v>0</v>
      </c>
      <c r="AO183" s="170">
        <f ca="1" t="shared" si="193"/>
        <v>5075767.90262155</v>
      </c>
      <c r="AP183">
        <f ca="1" t="shared" si="194"/>
        <v>110956</v>
      </c>
      <c r="AQ183" s="170">
        <f ca="1" t="shared" si="330"/>
        <v>1955936</v>
      </c>
      <c r="AR183">
        <f ca="1" t="shared" si="318"/>
        <v>5075767.90262155</v>
      </c>
      <c r="AS183">
        <f ca="1" t="shared" si="340"/>
        <v>0.0826138197194782</v>
      </c>
      <c r="AT183">
        <f ca="1">无穷技能数计算!$AJ175</f>
        <v>0</v>
      </c>
      <c r="AU183">
        <f ca="1" t="shared" si="341"/>
        <v>2.04000318487951</v>
      </c>
      <c r="AV183">
        <f ca="1" t="shared" si="342"/>
        <v>1.7995442148</v>
      </c>
      <c r="AW183">
        <f ca="1" t="shared" si="226"/>
        <v>5111428.20100983</v>
      </c>
      <c r="AX183">
        <f ca="1" t="shared" si="343"/>
        <v>0.0826138197194782</v>
      </c>
      <c r="AY183">
        <f ca="1">无穷技能数计算!$AJ175</f>
        <v>0</v>
      </c>
      <c r="AZ183" s="170">
        <f ca="1" t="shared" si="227"/>
        <v>5111428.20100983</v>
      </c>
      <c r="BA183">
        <f ca="1" t="shared" si="344"/>
        <v>0.0826138197194782</v>
      </c>
      <c r="BB183">
        <f ca="1">无穷技能数计算!$AJ175</f>
        <v>0</v>
      </c>
      <c r="BC183" s="170">
        <f ca="1" t="shared" si="228"/>
        <v>5111428.20100983</v>
      </c>
      <c r="BE183">
        <f ca="1" t="shared" si="200"/>
        <v>105849</v>
      </c>
      <c r="BF183">
        <f ca="1" t="shared" si="319"/>
        <v>1955936</v>
      </c>
      <c r="BI183">
        <f ca="1" t="shared" si="345"/>
        <v>0.0826138197194782</v>
      </c>
      <c r="BJ183">
        <f ca="1">无穷技能数计算!$AJ175</f>
        <v>0</v>
      </c>
      <c r="BK183">
        <f ca="1" t="shared" si="203"/>
        <v>5111428.20100983</v>
      </c>
      <c r="BM183">
        <f ca="1" t="shared" si="204"/>
        <v>109230</v>
      </c>
      <c r="BN183">
        <f ca="1" t="shared" si="320"/>
        <v>1955936</v>
      </c>
      <c r="BO183">
        <f ca="1" t="shared" si="321"/>
        <v>5075767.90262155</v>
      </c>
      <c r="BP183">
        <f ca="1" t="shared" si="346"/>
        <v>5075767.90262155</v>
      </c>
      <c r="BR183">
        <f ca="1" t="shared" si="347"/>
        <v>0.132613819719478</v>
      </c>
      <c r="BS183">
        <f ca="1" t="shared" si="208"/>
        <v>5356193.39031344</v>
      </c>
      <c r="BT183">
        <f ca="1" t="shared" si="322"/>
        <v>0.196995876306796</v>
      </c>
      <c r="BU183">
        <f ca="1" t="shared" si="348"/>
        <v>2.18648755987951</v>
      </c>
      <c r="BV183">
        <f ca="1" t="shared" si="229"/>
        <v>5518069.50349855</v>
      </c>
      <c r="BW183">
        <f ca="1" t="shared" si="211"/>
        <v>113027</v>
      </c>
      <c r="BX183">
        <f ca="1" t="shared" si="323"/>
        <v>1955936</v>
      </c>
      <c r="BY183">
        <f ca="1" t="shared" si="349"/>
        <v>0.0826138197194782</v>
      </c>
      <c r="BZ183">
        <f ca="1">无穷技能数计算!$AJ175</f>
        <v>0</v>
      </c>
      <c r="CA183">
        <f ca="1" t="shared" si="350"/>
        <v>2.04000318487951</v>
      </c>
      <c r="CB183">
        <f ca="1" t="shared" si="230"/>
        <v>5075767.90262155</v>
      </c>
      <c r="CC183">
        <f ca="1" t="shared" si="215"/>
        <v>114847</v>
      </c>
      <c r="CD183">
        <f ca="1" t="shared" si="324"/>
        <v>1955936</v>
      </c>
      <c r="CE183">
        <f ca="1" t="shared" si="217"/>
        <v>5075767.90262155</v>
      </c>
      <c r="CF183">
        <f ca="1" t="shared" si="351"/>
        <v>2.04000318487951</v>
      </c>
      <c r="CG183">
        <f ca="1" t="shared" si="352"/>
        <v>0.112613819719478</v>
      </c>
      <c r="CH183">
        <f ca="1" t="shared" si="231"/>
        <v>5111428.20100983</v>
      </c>
      <c r="CJ183">
        <f ca="1" t="shared" si="325"/>
        <v>1955936</v>
      </c>
      <c r="CK183">
        <f ca="1" t="shared" si="326"/>
        <v>5075767.90262155</v>
      </c>
      <c r="CL183">
        <f ca="1" t="shared" si="331"/>
        <v>2.16031568487951</v>
      </c>
      <c r="CM183">
        <f ca="1">IF(G183="恒定伤害",0,(IF(D183="轻剑",$CM$8,$CM$9)+IFERROR(INDEX(技能数据库!$T$2:$W$27,MATCH(E183,技能数据库!$T$2:$T$27,0),4),0)+COUNTIF(G183,"*造化2*")*154+COUNTIF(G183,"*造化1*")*102+COUNTIF(G183,"*碧归*")*307)/1024)</f>
        <v>0.176868146929785</v>
      </c>
      <c r="CN183">
        <f ca="1" t="shared" si="233"/>
        <v>5610719.10456566</v>
      </c>
      <c r="CO183">
        <f ca="1" t="shared" si="332"/>
        <v>2.18888990357951</v>
      </c>
      <c r="CP183">
        <f ca="1" t="shared" si="235"/>
        <v>5626687.0720774</v>
      </c>
      <c r="CQ183">
        <f ca="1" t="shared" si="353"/>
        <v>1.8815754648</v>
      </c>
      <c r="CR183">
        <f ca="1">IF(G183="恒定伤害",0,(IF(D183="轻剑",$CR$8,$CR$9)+IFERROR(INDEX(技能数据库!$T$2:$W$27,MATCH(E183,技能数据库!$T$2:$T$27,0),4),0)+COUNTIF(G183,"*造化2*")*154+COUNTIF(G183,"*造化1*")*102+COUNTIF(G183,"*碧归*")*307)/1024)</f>
        <v>0.167102521929785</v>
      </c>
      <c r="CS183">
        <f ca="1" t="shared" si="333"/>
        <v>5500532.54383486</v>
      </c>
    </row>
    <row r="184" spans="4:97">
      <c r="D184" t="s">
        <v>1825</v>
      </c>
      <c r="E184" s="161" t="s">
        <v>2859</v>
      </c>
      <c r="F184" t="s">
        <v>2503</v>
      </c>
      <c r="G184" t="s">
        <v>3108</v>
      </c>
      <c r="H184">
        <f ca="1">INDEX(技能数据库!$B$2:$I$100,MATCH(无穷阵眼收益计算!$E184,技能数据库!$B$2:$B$100,0),MATCH(H$9,技能数据库!$B$2:$I$2,0))</f>
        <v>1955936</v>
      </c>
      <c r="I184">
        <f ca="1">INDEX(技能数据库!$B$2:$I$100,MATCH(无穷阵眼收益计算!$E184,技能数据库!$B$2:$B$100,0),MATCH(I$9,技能数据库!$B$2:$I$2,0))</f>
        <v>0</v>
      </c>
      <c r="J184">
        <f ca="1">INDEX(技能数据库!$B$2:$I$100,MATCH(无穷阵眼收益计算!$E184,技能数据库!$B$2:$B$100,0),MATCH(J$9,技能数据库!$B$2:$I$2,0))</f>
        <v>0</v>
      </c>
      <c r="K184">
        <f ca="1">INDEX(技能数据库!$B$2:$I$100,MATCH(无穷阵眼收益计算!$E184,技能数据库!$B$2:$B$100,0),MATCH(K$9,技能数据库!$B$2:$I$2,0))</f>
        <v>0</v>
      </c>
      <c r="L184">
        <f ca="1" t="shared" si="186"/>
        <v>105847</v>
      </c>
      <c r="M184">
        <f ca="1" t="shared" si="354"/>
        <v>19530.5</v>
      </c>
      <c r="N184">
        <f ca="1" t="shared" si="355"/>
        <v>92028</v>
      </c>
      <c r="O184">
        <f ca="1" t="shared" si="327"/>
        <v>1955936</v>
      </c>
      <c r="P184">
        <f ca="1">IF(G184="恒定伤害",0,(IF(D184="轻剑",$AZ$2,$AZ$3)+IFERROR(INDEX(技能数据库!$T$2:$W$27,MATCH(E184,技能数据库!$T$2:$T$27,0),4),0)+COUNTIF(G184,"*造化2*")*154+COUNTIF(G184,"*造化1*")*102+COUNTIF(G184,"*碧归*")*307)/1024)</f>
        <v>0.116321271929785</v>
      </c>
      <c r="Q184">
        <f ca="1" t="shared" si="334"/>
        <v>0.0415122129107408</v>
      </c>
      <c r="R184">
        <f ca="1" t="shared" si="328"/>
        <v>0.21277697966198</v>
      </c>
      <c r="S184">
        <f ca="1" t="shared" si="356"/>
        <v>1790218.30301643</v>
      </c>
      <c r="T184">
        <f t="shared" si="357"/>
        <v>0.8</v>
      </c>
      <c r="U184">
        <f ca="1" t="shared" si="335"/>
        <v>1.7800129648</v>
      </c>
      <c r="V184">
        <f ca="1" t="shared" si="358"/>
        <v>3981464.07376636</v>
      </c>
      <c r="W184">
        <f ca="1">IF(G184="恒定伤害",0,MIN(1,IF(COUNTIF(F184,"*内会*")&gt;0,内会2,IF(D184="轻剑",$Y$2,$Y$3)+COUNTIF(G184,"*莺鸣*")*0.2+COUNTIF(G184,"*叠1*")*0.1+COUNTIF(G184,"*叠2*")*0.2+COUNTIF(G184,"*叠3*")*0.3)+IFERROR(INDEX(技能数据库!$T$2:$W$27,MATCH(E184,技能数据库!$T$2:$T$27,0),2),0)+IF((IF(D184="轻剑",$AO$2,$AO$3)+INT(COUNTIF(G184,"*大莺鸣*")*IF(D184="轻剑",$AM$2,$AM$3)*听晓无双率)/无双系数)&gt;0.9,特效裤子会心/会心系数,0)))</f>
        <v>0.8043</v>
      </c>
      <c r="X184">
        <f ca="1">IF(G184="恒定伤害",0,IF(COUNTIF(F184,"*内会*")&gt;0,内会效2,IF(D184="轻剑",$AB$2,$AB$3))+IFERROR(INDEX(技能数据库!$T$2:$W$27,MATCH(E184,技能数据库!$T$2:$T$27,0),3)/1024,0))+COUNTIF(G184,"*叠1*")*0.25+COUNTIF(G184,"*叠2*")*0.5+COUNTIF(G184,"*叠3*")*0.75</f>
        <v>2.4273735021</v>
      </c>
      <c r="Y184">
        <f ca="1" t="shared" si="359"/>
        <v>2.14803650773903</v>
      </c>
      <c r="Z184">
        <f t="shared" si="317"/>
        <v>0.150390625</v>
      </c>
      <c r="AA184">
        <f ca="1" t="shared" si="360"/>
        <v>0.0205078125</v>
      </c>
      <c r="AB184">
        <f ca="1" t="shared" si="361"/>
        <v>10040286.9993872</v>
      </c>
      <c r="AC184">
        <f ca="1">无穷技能数计算!$AJ176</f>
        <v>0</v>
      </c>
      <c r="AD184" s="164">
        <f ca="1" t="shared" si="336"/>
        <v>0</v>
      </c>
      <c r="AE184" s="168"/>
      <c r="AF184" s="168">
        <f ca="1" t="shared" si="337"/>
        <v>0.8057</v>
      </c>
      <c r="AG184">
        <f ca="1">无穷技能数计算!$AJ176</f>
        <v>0</v>
      </c>
      <c r="AH184">
        <f ca="1" t="shared" si="189"/>
        <v>109879</v>
      </c>
      <c r="AJ184">
        <f ca="1" t="shared" si="338"/>
        <v>2.6265922521</v>
      </c>
      <c r="AK184">
        <f ca="1" t="shared" si="329"/>
        <v>1955936</v>
      </c>
      <c r="AL184">
        <f ca="1" t="shared" si="191"/>
        <v>10799881.0224115</v>
      </c>
      <c r="AM184" s="169">
        <f ca="1" t="shared" si="339"/>
        <v>0.8272</v>
      </c>
      <c r="AN184">
        <f ca="1">无穷技能数计算!$AJ176</f>
        <v>0</v>
      </c>
      <c r="AO184" s="170">
        <f ca="1" t="shared" si="193"/>
        <v>10963344.8365223</v>
      </c>
      <c r="AP184">
        <f ca="1" t="shared" si="194"/>
        <v>110956</v>
      </c>
      <c r="AQ184" s="170">
        <f ca="1" t="shared" si="330"/>
        <v>1955936</v>
      </c>
      <c r="AR184">
        <f ca="1" t="shared" si="318"/>
        <v>10040286.9993872</v>
      </c>
      <c r="AS184">
        <f ca="1" t="shared" si="340"/>
        <v>0.8843</v>
      </c>
      <c r="AT184">
        <f ca="1">无穷技能数计算!$AJ176</f>
        <v>0</v>
      </c>
      <c r="AU184">
        <f ca="1" t="shared" si="341"/>
        <v>2.5738578771</v>
      </c>
      <c r="AV184">
        <f ca="1" t="shared" si="342"/>
        <v>1.7995442148</v>
      </c>
      <c r="AW184">
        <f ca="1" t="shared" si="226"/>
        <v>11258046.4110986</v>
      </c>
      <c r="AX184">
        <f ca="1" t="shared" si="343"/>
        <v>0.8743</v>
      </c>
      <c r="AY184">
        <f ca="1">无穷技能数计算!$AJ176</f>
        <v>0</v>
      </c>
      <c r="AZ184" s="170">
        <f ca="1" t="shared" si="227"/>
        <v>11183964.7877293</v>
      </c>
      <c r="BA184">
        <f ca="1" t="shared" si="344"/>
        <v>0.8643</v>
      </c>
      <c r="BB184">
        <f ca="1">无穷技能数计算!$AJ176</f>
        <v>0</v>
      </c>
      <c r="BC184" s="170">
        <f ca="1" t="shared" si="228"/>
        <v>11109883.1643601</v>
      </c>
      <c r="BE184">
        <f ca="1" t="shared" si="200"/>
        <v>105849</v>
      </c>
      <c r="BF184">
        <f ca="1" t="shared" si="319"/>
        <v>1955936</v>
      </c>
      <c r="BI184">
        <f ca="1" t="shared" si="345"/>
        <v>0.8543</v>
      </c>
      <c r="BJ184">
        <f ca="1">无穷技能数计算!$AJ176</f>
        <v>0</v>
      </c>
      <c r="BK184">
        <f ca="1" t="shared" si="203"/>
        <v>10446758.9641693</v>
      </c>
      <c r="BM184">
        <f ca="1" t="shared" si="204"/>
        <v>109230</v>
      </c>
      <c r="BN184">
        <f ca="1" t="shared" si="320"/>
        <v>1955936</v>
      </c>
      <c r="BO184">
        <f ca="1" t="shared" si="321"/>
        <v>10040286.9993872</v>
      </c>
      <c r="BP184">
        <f ca="1" t="shared" si="346"/>
        <v>10040286.9993872</v>
      </c>
      <c r="BR184">
        <f ca="1" t="shared" si="347"/>
        <v>0.8543</v>
      </c>
      <c r="BS184">
        <f ca="1" t="shared" si="208"/>
        <v>10446758.9641693</v>
      </c>
      <c r="BT184">
        <f ca="1" t="shared" si="322"/>
        <v>0.196995876306796</v>
      </c>
      <c r="BU184">
        <f ca="1" t="shared" si="348"/>
        <v>2.5738578771</v>
      </c>
      <c r="BV184">
        <f ca="1" t="shared" si="229"/>
        <v>11178495.6538328</v>
      </c>
      <c r="BW184">
        <f ca="1" t="shared" si="211"/>
        <v>113027</v>
      </c>
      <c r="BX184">
        <f ca="1" t="shared" si="323"/>
        <v>1955936</v>
      </c>
      <c r="BY184">
        <f ca="1" t="shared" si="349"/>
        <v>0.8343</v>
      </c>
      <c r="BZ184">
        <f ca="1">无穷技能数计算!$AJ176</f>
        <v>0</v>
      </c>
      <c r="CA184">
        <f ca="1" t="shared" si="350"/>
        <v>2.5777641271</v>
      </c>
      <c r="CB184">
        <f ca="1" t="shared" si="230"/>
        <v>10826912.8378158</v>
      </c>
      <c r="CC184">
        <f ca="1" t="shared" si="215"/>
        <v>114847</v>
      </c>
      <c r="CD184">
        <f ca="1" t="shared" si="324"/>
        <v>1955936</v>
      </c>
      <c r="CE184">
        <f ca="1" t="shared" si="217"/>
        <v>10240440.5754289</v>
      </c>
      <c r="CF184">
        <f ca="1" t="shared" si="351"/>
        <v>2.5250297521</v>
      </c>
      <c r="CG184">
        <f ca="1" t="shared" si="352"/>
        <v>0.8343</v>
      </c>
      <c r="CH184">
        <f ca="1" t="shared" si="231"/>
        <v>10695887.456591</v>
      </c>
      <c r="CJ184">
        <f ca="1" t="shared" si="325"/>
        <v>1955936</v>
      </c>
      <c r="CK184">
        <f ca="1" t="shared" si="326"/>
        <v>10040286.9993872</v>
      </c>
      <c r="CL184">
        <f ca="1" t="shared" si="331"/>
        <v>2.5476860021</v>
      </c>
      <c r="CM184">
        <f ca="1">IF(G184="恒定伤害",0,(IF(D184="轻剑",$CM$8,$CM$9)+IFERROR(INDEX(技能数据库!$T$2:$W$27,MATCH(E184,技能数据库!$T$2:$T$27,0),4),0)+COUNTIF(G184,"*造化2*")*154+COUNTIF(G184,"*造化1*")*102+COUNTIF(G184,"*碧归*")*307)/1024)</f>
        <v>0.176868146929785</v>
      </c>
      <c r="CN184">
        <f ca="1" t="shared" si="233"/>
        <v>11369807.5456845</v>
      </c>
      <c r="CO184">
        <f ca="1" t="shared" si="332"/>
        <v>2.5762602208</v>
      </c>
      <c r="CP184">
        <f ca="1" t="shared" si="235"/>
        <v>11488106.3062473</v>
      </c>
      <c r="CQ184">
        <f ca="1" t="shared" si="353"/>
        <v>1.8815754648</v>
      </c>
      <c r="CR184">
        <f ca="1">IF(G184="恒定伤害",0,(IF(D184="轻剑",$CR$8,$CR$9)+IFERROR(INDEX(技能数据库!$T$2:$W$27,MATCH(E184,技能数据库!$T$2:$T$27,0),4),0)+COUNTIF(G184,"*造化2*")*154+COUNTIF(G184,"*造化1*")*102+COUNTIF(G184,"*碧归*")*307)/1024)</f>
        <v>0.167102521929785</v>
      </c>
      <c r="CS184">
        <f ca="1" t="shared" si="333"/>
        <v>10880506.4473195</v>
      </c>
    </row>
    <row r="185" spans="4:97">
      <c r="D185" t="s">
        <v>1825</v>
      </c>
      <c r="E185" s="161" t="s">
        <v>2861</v>
      </c>
      <c r="F185" t="s">
        <v>3160</v>
      </c>
      <c r="G185" t="s">
        <v>3108</v>
      </c>
      <c r="H185">
        <f ca="1">INDEX(技能数据库!$B$2:$I$100,MATCH(无穷阵眼收益计算!$E185,技能数据库!$B$2:$B$100,0),MATCH(H$9,技能数据库!$B$2:$I$2,0))</f>
        <v>1344706</v>
      </c>
      <c r="I185">
        <f ca="1">INDEX(技能数据库!$B$2:$I$100,MATCH(无穷阵眼收益计算!$E185,技能数据库!$B$2:$B$100,0),MATCH(I$9,技能数据库!$B$2:$I$2,0))</f>
        <v>0</v>
      </c>
      <c r="J185">
        <f ca="1">INDEX(技能数据库!$B$2:$I$100,MATCH(无穷阵眼收益计算!$E185,技能数据库!$B$2:$B$100,0),MATCH(J$9,技能数据库!$B$2:$I$2,0))</f>
        <v>0</v>
      </c>
      <c r="K185">
        <f ca="1">INDEX(技能数据库!$B$2:$I$100,MATCH(无穷阵眼收益计算!$E185,技能数据库!$B$2:$B$100,0),MATCH(K$9,技能数据库!$B$2:$I$2,0))</f>
        <v>0</v>
      </c>
      <c r="L185">
        <f ca="1" t="shared" si="186"/>
        <v>105847</v>
      </c>
      <c r="M185">
        <f ca="1" t="shared" si="354"/>
        <v>19530.5</v>
      </c>
      <c r="N185">
        <f ca="1" t="shared" si="355"/>
        <v>92028</v>
      </c>
      <c r="O185">
        <f ca="1" t="shared" si="327"/>
        <v>1344706</v>
      </c>
      <c r="P185">
        <f ca="1">IF(G185="恒定伤害",0,(IF(D185="轻剑",$AZ$2,$AZ$3)+IFERROR(INDEX(技能数据库!$T$2:$W$27,MATCH(E185,技能数据库!$T$2:$T$27,0),4),0)+COUNTIF(G185,"*造化2*")*154+COUNTIF(G185,"*造化1*")*102+COUNTIF(G185,"*碧归*")*307)/1024)</f>
        <v>0.116321271929785</v>
      </c>
      <c r="Q185">
        <f ca="1" t="shared" si="334"/>
        <v>0.0415122129107408</v>
      </c>
      <c r="R185">
        <f ca="1" t="shared" si="328"/>
        <v>0.21277697966198</v>
      </c>
      <c r="S185">
        <f ca="1" t="shared" si="356"/>
        <v>1230775.0833238</v>
      </c>
      <c r="T185">
        <f t="shared" si="357"/>
        <v>0.8</v>
      </c>
      <c r="U185">
        <f ca="1" t="shared" si="335"/>
        <v>1.7800129648</v>
      </c>
      <c r="V185">
        <f ca="1" t="shared" si="358"/>
        <v>2737256.55071437</v>
      </c>
      <c r="W185">
        <f ca="1">IF(G185="恒定伤害",0,MIN(1,IF(COUNTIF(F185,"*内会*")&gt;0,内会2,IF(D185="轻剑",$Y$2,$Y$3)+COUNTIF(G185,"*莺鸣*")*0.2+COUNTIF(G185,"*叠1*")*0.1+COUNTIF(G185,"*叠2*")*0.2+COUNTIF(G185,"*叠3*")*0.3)+IFERROR(INDEX(技能数据库!$T$2:$W$27,MATCH(E185,技能数据库!$T$2:$T$27,0),2),0)+IF((IF(D185="轻剑",$AO$2,$AO$3)+INT(COUNTIF(G185,"*大莺鸣*")*IF(D185="轻剑",$AM$2,$AM$3)*听晓无双率)/无双系数)&gt;0.9,特效裤子会心/会心系数,0)))</f>
        <v>0.0826138197194782</v>
      </c>
      <c r="X185">
        <f ca="1">IF(G185="恒定伤害",0,IF(COUNTIF(F185,"*内会*")&gt;0,内会效2,IF(D185="轻剑",$AB$2,$AB$3))+IFERROR(INDEX(技能数据库!$T$2:$W$27,MATCH(E185,技能数据库!$T$2:$T$27,0),3)/1024,0))+COUNTIF(G185,"*叠1*")*0.25+COUNTIF(G185,"*叠2*")*0.5+COUNTIF(G185,"*叠3*")*0.75</f>
        <v>2.04000318487951</v>
      </c>
      <c r="Y185">
        <f ca="1" t="shared" si="359"/>
        <v>1.08591863562332</v>
      </c>
      <c r="Z185">
        <f t="shared" si="317"/>
        <v>0.150390625</v>
      </c>
      <c r="AA185">
        <f ca="1" t="shared" si="360"/>
        <v>0.0205078125</v>
      </c>
      <c r="AB185">
        <f ca="1" t="shared" si="361"/>
        <v>3489590.43305231</v>
      </c>
      <c r="AC185">
        <f ca="1">无穷技能数计算!$AJ177</f>
        <v>0</v>
      </c>
      <c r="AD185" s="164">
        <f ca="1" t="shared" si="336"/>
        <v>0</v>
      </c>
      <c r="AE185" s="168"/>
      <c r="AF185" s="168">
        <f ca="1" t="shared" si="337"/>
        <v>0.0826138197194782</v>
      </c>
      <c r="AG185">
        <f ca="1">无穷技能数计算!$AJ177</f>
        <v>0</v>
      </c>
      <c r="AH185">
        <f ca="1" t="shared" si="189"/>
        <v>109879</v>
      </c>
      <c r="AJ185">
        <f ca="1" t="shared" si="338"/>
        <v>2.04000318487951</v>
      </c>
      <c r="AK185">
        <f ca="1" t="shared" si="329"/>
        <v>1344706</v>
      </c>
      <c r="AL185">
        <f ca="1" t="shared" si="191"/>
        <v>3489590.43305231</v>
      </c>
      <c r="AM185" s="169">
        <f ca="1" t="shared" si="339"/>
        <v>0.0826138197194782</v>
      </c>
      <c r="AN185">
        <f ca="1">无穷技能数计算!$AJ177</f>
        <v>0</v>
      </c>
      <c r="AO185" s="170">
        <f ca="1" t="shared" si="193"/>
        <v>3489590.43305231</v>
      </c>
      <c r="AP185">
        <f ca="1" t="shared" si="194"/>
        <v>110956</v>
      </c>
      <c r="AQ185" s="170">
        <f ca="1" t="shared" si="330"/>
        <v>1344706</v>
      </c>
      <c r="AR185">
        <f ca="1" t="shared" si="318"/>
        <v>3489590.43305231</v>
      </c>
      <c r="AS185">
        <f ca="1" t="shared" si="340"/>
        <v>0.0826138197194782</v>
      </c>
      <c r="AT185">
        <f ca="1">无穷技能数计算!$AJ177</f>
        <v>0</v>
      </c>
      <c r="AU185">
        <f ca="1" t="shared" si="341"/>
        <v>2.04000318487951</v>
      </c>
      <c r="AV185">
        <f ca="1" t="shared" si="342"/>
        <v>1.7995442148</v>
      </c>
      <c r="AW185">
        <f ca="1" t="shared" si="226"/>
        <v>3514106.88819426</v>
      </c>
      <c r="AX185">
        <f ca="1" t="shared" si="343"/>
        <v>0.0826138197194782</v>
      </c>
      <c r="AY185">
        <f ca="1">无穷技能数计算!$AJ177</f>
        <v>0</v>
      </c>
      <c r="AZ185" s="170">
        <f ca="1" t="shared" si="227"/>
        <v>3514106.88819426</v>
      </c>
      <c r="BA185">
        <f ca="1" t="shared" si="344"/>
        <v>0.0826138197194782</v>
      </c>
      <c r="BB185">
        <f ca="1">无穷技能数计算!$AJ177</f>
        <v>0</v>
      </c>
      <c r="BC185" s="170">
        <f ca="1" t="shared" si="228"/>
        <v>3514106.88819426</v>
      </c>
      <c r="BE185">
        <f ca="1" t="shared" si="200"/>
        <v>105849</v>
      </c>
      <c r="BF185">
        <f ca="1" t="shared" si="319"/>
        <v>1344706</v>
      </c>
      <c r="BI185">
        <f ca="1" t="shared" si="345"/>
        <v>0.0826138197194782</v>
      </c>
      <c r="BJ185">
        <f ca="1">无穷技能数计算!$AJ177</f>
        <v>0</v>
      </c>
      <c r="BK185">
        <f ca="1" t="shared" si="203"/>
        <v>3514106.88819426</v>
      </c>
      <c r="BM185">
        <f ca="1" t="shared" si="204"/>
        <v>109230</v>
      </c>
      <c r="BN185">
        <f ca="1" t="shared" si="320"/>
        <v>1344706</v>
      </c>
      <c r="BO185">
        <f ca="1" t="shared" si="321"/>
        <v>3489590.43305231</v>
      </c>
      <c r="BP185">
        <f ca="1" t="shared" si="346"/>
        <v>3489590.43305231</v>
      </c>
      <c r="BR185">
        <f ca="1" t="shared" si="347"/>
        <v>0.132613819719478</v>
      </c>
      <c r="BS185">
        <f ca="1" t="shared" si="208"/>
        <v>3682382.95584049</v>
      </c>
      <c r="BT185">
        <f ca="1" t="shared" si="322"/>
        <v>0.196995876306796</v>
      </c>
      <c r="BU185">
        <f ca="1" t="shared" si="348"/>
        <v>2.18648755987951</v>
      </c>
      <c r="BV185">
        <f ca="1" t="shared" si="229"/>
        <v>3793672.78365525</v>
      </c>
      <c r="BW185">
        <f ca="1" t="shared" si="211"/>
        <v>113027</v>
      </c>
      <c r="BX185">
        <f ca="1" t="shared" si="323"/>
        <v>1344706</v>
      </c>
      <c r="BY185">
        <f ca="1" t="shared" si="349"/>
        <v>0.0826138197194782</v>
      </c>
      <c r="BZ185">
        <f ca="1">无穷技能数计算!$AJ177</f>
        <v>0</v>
      </c>
      <c r="CA185">
        <f ca="1" t="shared" si="350"/>
        <v>2.04000318487951</v>
      </c>
      <c r="CB185">
        <f ca="1" t="shared" si="230"/>
        <v>3489590.43305231</v>
      </c>
      <c r="CC185">
        <f ca="1" t="shared" si="215"/>
        <v>114847</v>
      </c>
      <c r="CD185">
        <f ca="1" t="shared" si="324"/>
        <v>1344706</v>
      </c>
      <c r="CE185">
        <f ca="1" t="shared" si="217"/>
        <v>3489590.43305231</v>
      </c>
      <c r="CF185">
        <f ca="1" t="shared" si="351"/>
        <v>2.04000318487951</v>
      </c>
      <c r="CG185">
        <f ca="1" t="shared" si="352"/>
        <v>0.112613819719478</v>
      </c>
      <c r="CH185">
        <f ca="1" t="shared" si="231"/>
        <v>3514106.88819426</v>
      </c>
      <c r="CJ185">
        <f ca="1" t="shared" si="325"/>
        <v>1344706</v>
      </c>
      <c r="CK185">
        <f ca="1" t="shared" si="326"/>
        <v>3489590.43305231</v>
      </c>
      <c r="CL185">
        <f ca="1" t="shared" si="331"/>
        <v>2.16031568487951</v>
      </c>
      <c r="CM185">
        <f ca="1">IF(G185="恒定伤害",0,(IF(D185="轻剑",$CM$8,$CM$9)+IFERROR(INDEX(技能数据库!$T$2:$W$27,MATCH(E185,技能数据库!$T$2:$T$27,0),4),0)+COUNTIF(G185,"*造化2*")*154+COUNTIF(G185,"*造化1*")*102+COUNTIF(G185,"*碧归*")*307)/1024)</f>
        <v>0.176868146929785</v>
      </c>
      <c r="CN185">
        <f ca="1" t="shared" si="233"/>
        <v>3857369.38438889</v>
      </c>
      <c r="CO185">
        <f ca="1" t="shared" si="332"/>
        <v>2.18888990357951</v>
      </c>
      <c r="CP185">
        <f ca="1" t="shared" si="235"/>
        <v>3868347.36205321</v>
      </c>
      <c r="CQ185">
        <f ca="1" t="shared" si="353"/>
        <v>1.8815754648</v>
      </c>
      <c r="CR185">
        <f ca="1">IF(G185="恒定伤害",0,(IF(D185="轻剑",$CR$8,$CR$9)+IFERROR(INDEX(技能数据库!$T$2:$W$27,MATCH(E185,技能数据库!$T$2:$T$27,0),4),0)+COUNTIF(G185,"*造化2*")*154+COUNTIF(G185,"*造化1*")*102+COUNTIF(G185,"*碧归*")*307)/1024)</f>
        <v>0.167102521929785</v>
      </c>
      <c r="CS185">
        <f ca="1" t="shared" si="333"/>
        <v>3781616.12388647</v>
      </c>
    </row>
    <row r="186" spans="4:97">
      <c r="D186" t="s">
        <v>1825</v>
      </c>
      <c r="E186" s="161" t="s">
        <v>2869</v>
      </c>
      <c r="G186" t="s">
        <v>3110</v>
      </c>
      <c r="H186">
        <f ca="1">INDEX(技能数据库!$B$2:$I$100,MATCH(无穷阵眼收益计算!$E186,技能数据库!$B$2:$B$100,0),MATCH(H$9,技能数据库!$B$2:$I$2,0))</f>
        <v>1544889</v>
      </c>
      <c r="I186">
        <f ca="1">INDEX(技能数据库!$B$2:$I$100,MATCH(无穷阵眼收益计算!$E186,技能数据库!$B$2:$B$100,0),MATCH(I$9,技能数据库!$B$2:$I$2,0))</f>
        <v>0</v>
      </c>
      <c r="J186">
        <f ca="1">INDEX(技能数据库!$B$2:$I$100,MATCH(无穷阵眼收益计算!$E186,技能数据库!$B$2:$B$100,0),MATCH(J$9,技能数据库!$B$2:$I$2,0))</f>
        <v>0</v>
      </c>
      <c r="K186">
        <f ca="1">INDEX(技能数据库!$B$2:$I$100,MATCH(无穷阵眼收益计算!$E186,技能数据库!$B$2:$B$100,0),MATCH(K$9,技能数据库!$B$2:$I$2,0))</f>
        <v>0</v>
      </c>
      <c r="L186">
        <f ca="1" t="shared" si="186"/>
        <v>105847</v>
      </c>
      <c r="M186">
        <f ca="1" t="shared" si="354"/>
        <v>19530.5</v>
      </c>
      <c r="N186">
        <f ca="1" t="shared" si="355"/>
        <v>92028</v>
      </c>
      <c r="O186">
        <f ca="1" t="shared" si="327"/>
        <v>1544889</v>
      </c>
      <c r="P186">
        <f ca="1">IF(G186="恒定伤害",0,(IF(D186="轻剑",$AZ$2,$AZ$3)+IFERROR(INDEX(技能数据库!$T$2:$W$27,MATCH(E186,技能数据库!$T$2:$T$27,0),4),0)+COUNTIF(G186,"*造化2*")*154+COUNTIF(G186,"*造化1*")*102+COUNTIF(G186,"*碧归*")*307)/1024)</f>
        <v>0.116321271929785</v>
      </c>
      <c r="Q186">
        <f ca="1" t="shared" si="334"/>
        <v>0.448284482196154</v>
      </c>
      <c r="R186">
        <f ca="1" t="shared" si="328"/>
        <v>0.21277697966198</v>
      </c>
      <c r="S186">
        <f ca="1" t="shared" si="356"/>
        <v>1966247.322436</v>
      </c>
      <c r="T186">
        <f t="shared" si="357"/>
        <v>0.8</v>
      </c>
      <c r="U186">
        <f ca="1" t="shared" si="335"/>
        <v>1.7800129648</v>
      </c>
      <c r="V186">
        <f ca="1" t="shared" si="358"/>
        <v>4372954.43870028</v>
      </c>
      <c r="W186">
        <f ca="1">IF(G186="恒定伤害",0,MIN(1,IF(COUNTIF(F186,"*内会*")&gt;0,内会2,IF(D186="轻剑",$Y$2,$Y$3)+COUNTIF(G186,"*莺鸣*")*0.2+COUNTIF(G186,"*叠1*")*0.1+COUNTIF(G186,"*叠2*")*0.2+COUNTIF(G186,"*叠3*")*0.3)+IFERROR(INDEX(技能数据库!$T$2:$W$27,MATCH(E186,技能数据库!$T$2:$T$27,0),2),0)+IF((IF(D186="轻剑",$AO$2,$AO$3)+INT(COUNTIF(G186,"*大莺鸣*")*IF(D186="轻剑",$AM$2,$AM$3)*听晓无双率)/无双系数)&gt;0.9,特效裤子会心/会心系数,0)))</f>
        <v>1</v>
      </c>
      <c r="X186">
        <f ca="1">IF(G186="恒定伤害",0,IF(COUNTIF(F186,"*内会*")&gt;0,内会效2,IF(D186="轻剑",$AB$2,$AB$3))+IFERROR(INDEX(技能数据库!$T$2:$W$27,MATCH(E186,技能数据库!$T$2:$T$27,0),3)/1024,0))+COUNTIF(G186,"*叠1*")*0.25+COUNTIF(G186,"*叠2*")*0.5+COUNTIF(G186,"*叠3*")*0.75</f>
        <v>2.9273735021</v>
      </c>
      <c r="Y186">
        <f ca="1" t="shared" si="359"/>
        <v>2.9273735021</v>
      </c>
      <c r="Z186">
        <f t="shared" si="317"/>
        <v>0.150390625</v>
      </c>
      <c r="AA186">
        <f ca="1" t="shared" si="360"/>
        <v>0.0205078125</v>
      </c>
      <c r="AB186">
        <f ca="1" t="shared" si="361"/>
        <v>15028469.6119706</v>
      </c>
      <c r="AC186">
        <f ca="1">无穷技能数计算!$AJ178</f>
        <v>0</v>
      </c>
      <c r="AD186" s="164">
        <f ca="1" t="shared" si="336"/>
        <v>0</v>
      </c>
      <c r="AE186" s="168"/>
      <c r="AF186" s="168">
        <f ca="1" t="shared" si="337"/>
        <v>1.0014</v>
      </c>
      <c r="AG186">
        <f ca="1">无穷技能数计算!$AJ178</f>
        <v>0</v>
      </c>
      <c r="AH186">
        <f ca="1" t="shared" si="189"/>
        <v>109879</v>
      </c>
      <c r="AJ186">
        <f ca="1" t="shared" si="338"/>
        <v>3.1265922521</v>
      </c>
      <c r="AK186">
        <f ca="1" t="shared" si="329"/>
        <v>1544889</v>
      </c>
      <c r="AL186">
        <f ca="1" t="shared" si="191"/>
        <v>16055627.7325031</v>
      </c>
      <c r="AM186" s="169">
        <f ca="1" t="shared" si="339"/>
        <v>1.0229</v>
      </c>
      <c r="AN186">
        <f ca="1">无穷技能数计算!$AJ178</f>
        <v>0</v>
      </c>
      <c r="AO186" s="170">
        <f ca="1" t="shared" si="193"/>
        <v>16055627.7325031</v>
      </c>
      <c r="AP186">
        <f ca="1" t="shared" si="194"/>
        <v>110956</v>
      </c>
      <c r="AQ186" s="170">
        <f ca="1" t="shared" si="330"/>
        <v>1544889</v>
      </c>
      <c r="AR186">
        <f ca="1" t="shared" si="318"/>
        <v>15910152.7507356</v>
      </c>
      <c r="AS186">
        <f ca="1" t="shared" si="340"/>
        <v>1.08</v>
      </c>
      <c r="AT186">
        <f ca="1">无穷技能数计算!$AJ178</f>
        <v>0</v>
      </c>
      <c r="AU186">
        <f ca="1" t="shared" si="341"/>
        <v>3.0738578771</v>
      </c>
      <c r="AV186">
        <f ca="1" t="shared" si="342"/>
        <v>1.7995442148</v>
      </c>
      <c r="AW186">
        <f ca="1" t="shared" si="226"/>
        <v>15891354.407892</v>
      </c>
      <c r="AX186">
        <f ca="1" t="shared" si="343"/>
        <v>1.07</v>
      </c>
      <c r="AY186">
        <f ca="1">无穷技能数计算!$AJ178</f>
        <v>0</v>
      </c>
      <c r="AZ186" s="170">
        <f ca="1" t="shared" si="227"/>
        <v>15891354.407892</v>
      </c>
      <c r="BA186">
        <f ca="1" t="shared" si="344"/>
        <v>1.06</v>
      </c>
      <c r="BB186">
        <f ca="1">无穷技能数计算!$AJ178</f>
        <v>0</v>
      </c>
      <c r="BC186" s="170">
        <f ca="1" t="shared" si="228"/>
        <v>15891354.407892</v>
      </c>
      <c r="BE186">
        <f ca="1" t="shared" si="200"/>
        <v>105849</v>
      </c>
      <c r="BF186">
        <f ca="1" t="shared" si="319"/>
        <v>1544889</v>
      </c>
      <c r="BI186">
        <f ca="1" t="shared" si="345"/>
        <v>1.05</v>
      </c>
      <c r="BJ186">
        <f ca="1">无穷技能数计算!$AJ178</f>
        <v>0</v>
      </c>
      <c r="BK186">
        <f ca="1" t="shared" si="203"/>
        <v>16039828.2806874</v>
      </c>
      <c r="BM186">
        <f ca="1" t="shared" si="204"/>
        <v>109230</v>
      </c>
      <c r="BN186">
        <f ca="1" t="shared" si="320"/>
        <v>1544889</v>
      </c>
      <c r="BO186">
        <f ca="1" t="shared" si="321"/>
        <v>16230514.3099848</v>
      </c>
      <c r="BP186">
        <f ca="1" t="shared" si="346"/>
        <v>15478105.5102803</v>
      </c>
      <c r="BR186">
        <f ca="1" t="shared" si="347"/>
        <v>1.05</v>
      </c>
      <c r="BS186">
        <f ca="1" t="shared" si="208"/>
        <v>15586848.4377686</v>
      </c>
      <c r="BT186">
        <f ca="1" t="shared" si="322"/>
        <v>0.196995876306796</v>
      </c>
      <c r="BU186">
        <f ca="1" t="shared" si="348"/>
        <v>3.0738578771</v>
      </c>
      <c r="BV186">
        <f ca="1" t="shared" si="229"/>
        <v>16096831.3468048</v>
      </c>
      <c r="BW186">
        <f ca="1" t="shared" si="211"/>
        <v>113027</v>
      </c>
      <c r="BX186">
        <f ca="1" t="shared" si="323"/>
        <v>1544889</v>
      </c>
      <c r="BY186">
        <f ca="1" t="shared" si="349"/>
        <v>1.03</v>
      </c>
      <c r="BZ186">
        <f ca="1">无穷技能数计算!$AJ178</f>
        <v>0</v>
      </c>
      <c r="CA186">
        <f ca="1" t="shared" si="350"/>
        <v>3.0777641271</v>
      </c>
      <c r="CB186">
        <f ca="1" t="shared" si="230"/>
        <v>15800540.8683772</v>
      </c>
      <c r="CC186">
        <f ca="1" t="shared" si="215"/>
        <v>114847</v>
      </c>
      <c r="CD186">
        <f ca="1" t="shared" si="324"/>
        <v>1544889</v>
      </c>
      <c r="CE186">
        <f ca="1" t="shared" si="217"/>
        <v>15478105.5102803</v>
      </c>
      <c r="CF186">
        <f ca="1" t="shared" si="351"/>
        <v>3.0250297521</v>
      </c>
      <c r="CG186">
        <f ca="1" t="shared" si="352"/>
        <v>1.03</v>
      </c>
      <c r="CH186">
        <f ca="1" t="shared" si="231"/>
        <v>15638920.7982484</v>
      </c>
      <c r="CJ186">
        <f ca="1" t="shared" si="325"/>
        <v>1544889</v>
      </c>
      <c r="CK186">
        <f ca="1" t="shared" si="326"/>
        <v>16156990.96475</v>
      </c>
      <c r="CL186">
        <f ca="1" t="shared" si="331"/>
        <v>3.0476860021</v>
      </c>
      <c r="CM186">
        <f ca="1">IF(G186="恒定伤害",0,(IF(D186="轻剑",$CM$8,$CM$9)+IFERROR(INDEX(技能数据库!$T$2:$W$27,MATCH(E186,技能数据库!$T$2:$T$27,0),4),0)+COUNTIF(G186,"*造化2*")*154+COUNTIF(G186,"*造化1*")*102+COUNTIF(G186,"*碧归*")*307)/1024)</f>
        <v>0.176868146929785</v>
      </c>
      <c r="CN186">
        <f ca="1" t="shared" si="233"/>
        <v>16610624.400523</v>
      </c>
      <c r="CO186">
        <f ca="1" t="shared" si="332"/>
        <v>3.0762602208</v>
      </c>
      <c r="CP186">
        <f ca="1" t="shared" si="235"/>
        <v>16766360.7900451</v>
      </c>
      <c r="CQ186">
        <f ca="1" t="shared" si="353"/>
        <v>1.8815754648</v>
      </c>
      <c r="CR186">
        <f ca="1">IF(G186="恒定伤害",0,(IF(D186="轻剑",$CR$8,$CR$9)+IFERROR(INDEX(技能数据库!$T$2:$W$27,MATCH(E186,技能数据库!$T$2:$T$27,0),4),0)+COUNTIF(G186,"*造化2*")*154+COUNTIF(G186,"*造化1*")*102+COUNTIF(G186,"*碧归*")*307)/1024)</f>
        <v>0.167102521929785</v>
      </c>
      <c r="CS186">
        <f ca="1" t="shared" si="333"/>
        <v>16286124.143301</v>
      </c>
    </row>
    <row r="187" spans="4:97">
      <c r="D187" t="s">
        <v>1825</v>
      </c>
      <c r="E187" s="161" t="s">
        <v>2871</v>
      </c>
      <c r="F187" t="s">
        <v>2503</v>
      </c>
      <c r="G187" t="s">
        <v>3110</v>
      </c>
      <c r="H187">
        <f ca="1">INDEX(技能数据库!$B$2:$I$100,MATCH(无穷阵眼收益计算!$E187,技能数据库!$B$2:$B$100,0),MATCH(H$9,技能数据库!$B$2:$I$2,0))</f>
        <v>2607915</v>
      </c>
      <c r="I187">
        <f ca="1">INDEX(技能数据库!$B$2:$I$100,MATCH(无穷阵眼收益计算!$E187,技能数据库!$B$2:$B$100,0),MATCH(I$9,技能数据库!$B$2:$I$2,0))</f>
        <v>0</v>
      </c>
      <c r="J187">
        <f ca="1">INDEX(技能数据库!$B$2:$I$100,MATCH(无穷阵眼收益计算!$E187,技能数据库!$B$2:$B$100,0),MATCH(J$9,技能数据库!$B$2:$I$2,0))</f>
        <v>0</v>
      </c>
      <c r="K187">
        <f ca="1">INDEX(技能数据库!$B$2:$I$100,MATCH(无穷阵眼收益计算!$E187,技能数据库!$B$2:$B$100,0),MATCH(K$9,技能数据库!$B$2:$I$2,0))</f>
        <v>0</v>
      </c>
      <c r="L187">
        <f ca="1" t="shared" si="186"/>
        <v>105847</v>
      </c>
      <c r="M187">
        <f ca="1" t="shared" si="354"/>
        <v>19530.5</v>
      </c>
      <c r="N187">
        <f ca="1" t="shared" si="355"/>
        <v>92028</v>
      </c>
      <c r="O187">
        <f ca="1" t="shared" si="327"/>
        <v>2607915</v>
      </c>
      <c r="P187">
        <f ca="1">IF(G187="恒定伤害",0,(IF(D187="轻剑",$AZ$2,$AZ$3)+IFERROR(INDEX(技能数据库!$T$2:$W$27,MATCH(E187,技能数据库!$T$2:$T$27,0),4),0)+COUNTIF(G187,"*造化2*")*154+COUNTIF(G187,"*造化1*")*102+COUNTIF(G187,"*碧归*")*307)/1024)</f>
        <v>0.116321271929785</v>
      </c>
      <c r="Q187">
        <f ca="1" t="shared" si="334"/>
        <v>0.0415122129107408</v>
      </c>
      <c r="R187">
        <f ca="1" t="shared" si="328"/>
        <v>0.21277697966198</v>
      </c>
      <c r="S187">
        <f ca="1" t="shared" si="356"/>
        <v>2386958.04244674</v>
      </c>
      <c r="T187">
        <f t="shared" si="357"/>
        <v>0.8</v>
      </c>
      <c r="U187">
        <f ca="1" t="shared" si="335"/>
        <v>1.7800129648</v>
      </c>
      <c r="V187">
        <f ca="1" t="shared" si="358"/>
        <v>5308619.44354845</v>
      </c>
      <c r="W187">
        <f ca="1">IF(G187="恒定伤害",0,MIN(1,IF(COUNTIF(F187,"*内会*")&gt;0,内会2,IF(D187="轻剑",$Y$2,$Y$3)+COUNTIF(G187,"*莺鸣*")*0.2+COUNTIF(G187,"*叠1*")*0.1+COUNTIF(G187,"*叠2*")*0.2+COUNTIF(G187,"*叠3*")*0.3)+IFERROR(INDEX(技能数据库!$T$2:$W$27,MATCH(E187,技能数据库!$T$2:$T$27,0),2),0)+IF((IF(D187="轻剑",$AO$2,$AO$3)+INT(COUNTIF(G187,"*大莺鸣*")*IF(D187="轻剑",$AM$2,$AM$3)*听晓无双率)/无双系数)&gt;0.9,特效裤子会心/会心系数,0)))</f>
        <v>1</v>
      </c>
      <c r="X187">
        <f ca="1">IF(G187="恒定伤害",0,IF(COUNTIF(F187,"*内会*")&gt;0,内会效2,IF(D187="轻剑",$AB$2,$AB$3))+IFERROR(INDEX(技能数据库!$T$2:$W$27,MATCH(E187,技能数据库!$T$2:$T$27,0),3)/1024,0))+COUNTIF(G187,"*叠1*")*0.25+COUNTIF(G187,"*叠2*")*0.5+COUNTIF(G187,"*叠3*")*0.75</f>
        <v>2.9273735021</v>
      </c>
      <c r="Y187">
        <f ca="1" t="shared" si="359"/>
        <v>2.9273735021</v>
      </c>
      <c r="Z187">
        <f t="shared" si="317"/>
        <v>0.150390625</v>
      </c>
      <c r="AA187">
        <f ca="1" t="shared" si="360"/>
        <v>0.0205078125</v>
      </c>
      <c r="AB187">
        <f ca="1" t="shared" si="361"/>
        <v>18244056.0740432</v>
      </c>
      <c r="AC187">
        <f ca="1">无穷技能数计算!$AJ179</f>
        <v>0</v>
      </c>
      <c r="AD187" s="164">
        <f ca="1" t="shared" si="336"/>
        <v>0</v>
      </c>
      <c r="AE187" s="168"/>
      <c r="AF187" s="168">
        <f ca="1" t="shared" si="337"/>
        <v>1.0014</v>
      </c>
      <c r="AG187">
        <f ca="1">无穷技能数计算!$AJ179</f>
        <v>0</v>
      </c>
      <c r="AH187">
        <f ca="1" t="shared" si="189"/>
        <v>109879</v>
      </c>
      <c r="AJ187">
        <f ca="1" t="shared" si="338"/>
        <v>3.1265922521</v>
      </c>
      <c r="AK187">
        <f ca="1" t="shared" si="329"/>
        <v>2607915</v>
      </c>
      <c r="AL187">
        <f ca="1" t="shared" si="191"/>
        <v>19485632.5395654</v>
      </c>
      <c r="AM187" s="169">
        <f ca="1" t="shared" si="339"/>
        <v>1.0229</v>
      </c>
      <c r="AN187">
        <f ca="1">无穷技能数计算!$AJ179</f>
        <v>0</v>
      </c>
      <c r="AO187" s="170">
        <f ca="1" t="shared" si="193"/>
        <v>19485632.5395654</v>
      </c>
      <c r="AP187">
        <f ca="1" t="shared" si="194"/>
        <v>110956</v>
      </c>
      <c r="AQ187" s="170">
        <f ca="1" t="shared" si="330"/>
        <v>2607915</v>
      </c>
      <c r="AR187">
        <f ca="1" t="shared" si="318"/>
        <v>18244056.0740432</v>
      </c>
      <c r="AS187">
        <f ca="1" t="shared" si="340"/>
        <v>1.08</v>
      </c>
      <c r="AT187">
        <f ca="1">无穷技能数计算!$AJ179</f>
        <v>0</v>
      </c>
      <c r="AU187">
        <f ca="1" t="shared" si="341"/>
        <v>3.0738578771</v>
      </c>
      <c r="AV187">
        <f ca="1" t="shared" si="342"/>
        <v>1.7995442148</v>
      </c>
      <c r="AW187">
        <f ca="1" t="shared" si="226"/>
        <v>19291569.1614497</v>
      </c>
      <c r="AX187">
        <f ca="1" t="shared" si="343"/>
        <v>1.07</v>
      </c>
      <c r="AY187">
        <f ca="1">无穷技能数计算!$AJ179</f>
        <v>0</v>
      </c>
      <c r="AZ187" s="170">
        <f ca="1" t="shared" si="227"/>
        <v>19291569.1614497</v>
      </c>
      <c r="BA187">
        <f ca="1" t="shared" si="344"/>
        <v>1.06</v>
      </c>
      <c r="BB187">
        <f ca="1">无穷技能数计算!$AJ179</f>
        <v>0</v>
      </c>
      <c r="BC187" s="170">
        <f ca="1" t="shared" si="228"/>
        <v>19291569.1614497</v>
      </c>
      <c r="BE187">
        <f ca="1" t="shared" si="200"/>
        <v>105849</v>
      </c>
      <c r="BF187">
        <f ca="1" t="shared" si="319"/>
        <v>2607915</v>
      </c>
      <c r="BI187">
        <f ca="1" t="shared" si="345"/>
        <v>1.05</v>
      </c>
      <c r="BJ187">
        <f ca="1">无穷技能数计算!$AJ179</f>
        <v>0</v>
      </c>
      <c r="BK187">
        <f ca="1" t="shared" si="203"/>
        <v>18372231.4547727</v>
      </c>
      <c r="BM187">
        <f ca="1" t="shared" si="204"/>
        <v>109230</v>
      </c>
      <c r="BN187">
        <f ca="1" t="shared" si="320"/>
        <v>2607915</v>
      </c>
      <c r="BO187">
        <f ca="1" t="shared" si="321"/>
        <v>18244056.0740432</v>
      </c>
      <c r="BP187">
        <f ca="1" t="shared" si="346"/>
        <v>18244056.0740432</v>
      </c>
      <c r="BR187">
        <f ca="1" t="shared" si="347"/>
        <v>1.05</v>
      </c>
      <c r="BS187">
        <f ca="1" t="shared" si="208"/>
        <v>18372231.4547727</v>
      </c>
      <c r="BT187">
        <f ca="1" t="shared" si="322"/>
        <v>0.196995876306796</v>
      </c>
      <c r="BU187">
        <f ca="1" t="shared" si="348"/>
        <v>3.0738578771</v>
      </c>
      <c r="BV187">
        <f ca="1" t="shared" si="229"/>
        <v>19541011.2465215</v>
      </c>
      <c r="BW187">
        <f ca="1" t="shared" si="211"/>
        <v>113027</v>
      </c>
      <c r="BX187">
        <f ca="1" t="shared" si="323"/>
        <v>2607915</v>
      </c>
      <c r="BY187">
        <f ca="1" t="shared" si="349"/>
        <v>1.03</v>
      </c>
      <c r="BZ187">
        <f ca="1">无穷技能数计算!$AJ179</f>
        <v>0</v>
      </c>
      <c r="CA187">
        <f ca="1" t="shared" si="350"/>
        <v>3.0777641271</v>
      </c>
      <c r="CB187">
        <f ca="1" t="shared" si="230"/>
        <v>19181324.5823296</v>
      </c>
      <c r="CC187">
        <f ca="1" t="shared" si="215"/>
        <v>114847</v>
      </c>
      <c r="CD187">
        <f ca="1" t="shared" si="324"/>
        <v>2607915</v>
      </c>
      <c r="CE187">
        <f ca="1" t="shared" si="217"/>
        <v>18244056.0740432</v>
      </c>
      <c r="CF187">
        <f ca="1" t="shared" si="351"/>
        <v>3.0250297521</v>
      </c>
      <c r="CG187">
        <f ca="1" t="shared" si="352"/>
        <v>1.03</v>
      </c>
      <c r="CH187">
        <f ca="1" t="shared" si="231"/>
        <v>18985123.259224</v>
      </c>
      <c r="CJ187">
        <f ca="1" t="shared" si="325"/>
        <v>2607915</v>
      </c>
      <c r="CK187">
        <f ca="1" t="shared" si="326"/>
        <v>18244056.0740432</v>
      </c>
      <c r="CL187">
        <f ca="1" t="shared" si="331"/>
        <v>3.0476860021</v>
      </c>
      <c r="CM187">
        <f ca="1">IF(G187="恒定伤害",0,(IF(D187="轻剑",$CM$8,$CM$9)+IFERROR(INDEX(技能数据库!$T$2:$W$27,MATCH(E187,技能数据库!$T$2:$T$27,0),4),0)+COUNTIF(G187,"*造化2*")*154+COUNTIF(G187,"*造化1*")*102+COUNTIF(G187,"*碧归*")*307)/1024)</f>
        <v>0.176868146929785</v>
      </c>
      <c r="CN187">
        <f ca="1" t="shared" si="233"/>
        <v>20164738.7134235</v>
      </c>
      <c r="CO187">
        <f ca="1" t="shared" si="332"/>
        <v>3.0762602208</v>
      </c>
      <c r="CP187">
        <f ca="1" t="shared" si="235"/>
        <v>20353797.4463864</v>
      </c>
      <c r="CQ187">
        <f ca="1" t="shared" si="353"/>
        <v>1.8815754648</v>
      </c>
      <c r="CR187">
        <f ca="1">IF(G187="恒定伤害",0,(IF(D187="轻剑",$CR$8,$CR$9)+IFERROR(INDEX(技能数据库!$T$2:$W$27,MATCH(E187,技能数据库!$T$2:$T$27,0),4),0)+COUNTIF(G187,"*造化2*")*154+COUNTIF(G187,"*造化1*")*102+COUNTIF(G187,"*碧归*")*307)/1024)</f>
        <v>0.167102521929785</v>
      </c>
      <c r="CS187">
        <f ca="1" t="shared" si="333"/>
        <v>19770806.327648</v>
      </c>
    </row>
    <row r="188" spans="4:97">
      <c r="D188" t="s">
        <v>1825</v>
      </c>
      <c r="E188" s="161" t="s">
        <v>2885</v>
      </c>
      <c r="F188" t="s">
        <v>2503</v>
      </c>
      <c r="G188" t="s">
        <v>3110</v>
      </c>
      <c r="H188">
        <f ca="1">INDEX(技能数据库!$B$2:$I$100,MATCH(无穷阵眼收益计算!$E188,技能数据库!$B$2:$B$100,0),MATCH(H$9,技能数据库!$B$2:$I$2,0))</f>
        <v>2133748</v>
      </c>
      <c r="I188">
        <f ca="1">INDEX(技能数据库!$B$2:$I$100,MATCH(无穷阵眼收益计算!$E188,技能数据库!$B$2:$B$100,0),MATCH(I$9,技能数据库!$B$2:$I$2,0))</f>
        <v>0</v>
      </c>
      <c r="J188">
        <f ca="1">INDEX(技能数据库!$B$2:$I$100,MATCH(无穷阵眼收益计算!$E188,技能数据库!$B$2:$B$100,0),MATCH(J$9,技能数据库!$B$2:$I$2,0))</f>
        <v>0</v>
      </c>
      <c r="K188">
        <f ca="1">INDEX(技能数据库!$B$2:$I$100,MATCH(无穷阵眼收益计算!$E188,技能数据库!$B$2:$B$100,0),MATCH(K$9,技能数据库!$B$2:$I$2,0))</f>
        <v>0</v>
      </c>
      <c r="L188">
        <f ca="1" t="shared" si="186"/>
        <v>105847</v>
      </c>
      <c r="M188">
        <f ca="1" t="shared" si="354"/>
        <v>19530.5</v>
      </c>
      <c r="N188">
        <f ca="1" t="shared" si="355"/>
        <v>92028</v>
      </c>
      <c r="O188">
        <f ca="1" t="shared" si="327"/>
        <v>2133748</v>
      </c>
      <c r="P188">
        <f ca="1">IF(G188="恒定伤害",0,(IF(D188="轻剑",$AZ$2,$AZ$3)+IFERROR(INDEX(技能数据库!$T$2:$W$27,MATCH(E188,技能数据库!$T$2:$T$27,0),4),0)+COUNTIF(G188,"*造化2*")*154+COUNTIF(G188,"*造化1*")*102+COUNTIF(G188,"*碧归*")*307)/1024)</f>
        <v>0.116321271929785</v>
      </c>
      <c r="Q188">
        <f ca="1" t="shared" si="334"/>
        <v>0.0415122129107408</v>
      </c>
      <c r="R188">
        <f ca="1" t="shared" si="328"/>
        <v>0.21277697966198</v>
      </c>
      <c r="S188">
        <f ca="1" t="shared" si="356"/>
        <v>1952965.08864539</v>
      </c>
      <c r="T188">
        <f t="shared" si="357"/>
        <v>0.8</v>
      </c>
      <c r="U188">
        <f ca="1" t="shared" si="335"/>
        <v>1.7800129648</v>
      </c>
      <c r="V188">
        <f ca="1" t="shared" si="358"/>
        <v>4343414.61298878</v>
      </c>
      <c r="W188">
        <f ca="1">IF(G188="恒定伤害",0,MIN(1,IF(COUNTIF(F188,"*内会*")&gt;0,内会2,IF(D188="轻剑",$Y$2,$Y$3)+COUNTIF(G188,"*莺鸣*")*0.2+COUNTIF(G188,"*叠1*")*0.1+COUNTIF(G188,"*叠2*")*0.2+COUNTIF(G188,"*叠3*")*0.3)+IFERROR(INDEX(技能数据库!$T$2:$W$27,MATCH(E188,技能数据库!$T$2:$T$27,0),2),0)+IF((IF(D188="轻剑",$AO$2,$AO$3)+INT(COUNTIF(G188,"*大莺鸣*")*IF(D188="轻剑",$AM$2,$AM$3)*听晓无双率)/无双系数)&gt;0.9,特效裤子会心/会心系数,0)))</f>
        <v>1</v>
      </c>
      <c r="X188">
        <f ca="1">IF(G188="恒定伤害",0,IF(COUNTIF(F188,"*内会*")&gt;0,内会效2,IF(D188="轻剑",$AB$2,$AB$3))+IFERROR(INDEX(技能数据库!$T$2:$W$27,MATCH(E188,技能数据库!$T$2:$T$27,0),3)/1024,0))+COUNTIF(G188,"*叠1*")*0.25+COUNTIF(G188,"*叠2*")*0.5+COUNTIF(G188,"*叠3*")*0.75</f>
        <v>2.9273735021</v>
      </c>
      <c r="Y188">
        <f ca="1" t="shared" si="359"/>
        <v>2.9273735021</v>
      </c>
      <c r="Z188">
        <f t="shared" si="317"/>
        <v>0.150390625</v>
      </c>
      <c r="AA188">
        <f ca="1" t="shared" si="360"/>
        <v>0.0205078125</v>
      </c>
      <c r="AB188">
        <f ca="1" t="shared" si="361"/>
        <v>14926950.5178955</v>
      </c>
      <c r="AC188">
        <f ca="1">无穷技能数计算!$AJ180</f>
        <v>0</v>
      </c>
      <c r="AD188" s="164">
        <f ca="1" t="shared" si="336"/>
        <v>0</v>
      </c>
      <c r="AE188" s="168"/>
      <c r="AF188" s="168">
        <f ca="1" t="shared" si="337"/>
        <v>1.0014</v>
      </c>
      <c r="AG188">
        <f ca="1">无穷技能数计算!$AJ180</f>
        <v>0</v>
      </c>
      <c r="AH188">
        <f ca="1" t="shared" si="189"/>
        <v>109879</v>
      </c>
      <c r="AJ188">
        <f ca="1" t="shared" si="338"/>
        <v>3.1265922521</v>
      </c>
      <c r="AK188">
        <f ca="1" t="shared" si="329"/>
        <v>2133748</v>
      </c>
      <c r="AL188">
        <f ca="1" t="shared" si="191"/>
        <v>15942785.5049082</v>
      </c>
      <c r="AM188" s="169">
        <f ca="1" t="shared" si="339"/>
        <v>1.0229</v>
      </c>
      <c r="AN188">
        <f ca="1">无穷技能数计算!$AJ180</f>
        <v>0</v>
      </c>
      <c r="AO188" s="170">
        <f ca="1" t="shared" si="193"/>
        <v>15942785.5049082</v>
      </c>
      <c r="AP188">
        <f ca="1" t="shared" si="194"/>
        <v>110956</v>
      </c>
      <c r="AQ188" s="170">
        <f ca="1" t="shared" si="330"/>
        <v>2133748</v>
      </c>
      <c r="AR188">
        <f ca="1" t="shared" si="318"/>
        <v>14926950.5178955</v>
      </c>
      <c r="AS188">
        <f ca="1" t="shared" si="340"/>
        <v>1.08</v>
      </c>
      <c r="AT188">
        <f ca="1">无穷技能数计算!$AJ180</f>
        <v>0</v>
      </c>
      <c r="AU188">
        <f ca="1" t="shared" si="341"/>
        <v>3.0738578771</v>
      </c>
      <c r="AV188">
        <f ca="1" t="shared" si="342"/>
        <v>1.7995442148</v>
      </c>
      <c r="AW188">
        <f ca="1" t="shared" si="226"/>
        <v>15784006.4247128</v>
      </c>
      <c r="AX188">
        <f ca="1" t="shared" si="343"/>
        <v>1.07</v>
      </c>
      <c r="AY188">
        <f ca="1">无穷技能数计算!$AJ180</f>
        <v>0</v>
      </c>
      <c r="AZ188" s="170">
        <f ca="1" t="shared" si="227"/>
        <v>15784006.4247128</v>
      </c>
      <c r="BA188">
        <f ca="1" t="shared" si="344"/>
        <v>1.06</v>
      </c>
      <c r="BB188">
        <f ca="1">无穷技能数计算!$AJ180</f>
        <v>0</v>
      </c>
      <c r="BC188" s="170">
        <f ca="1" t="shared" si="228"/>
        <v>15784006.4247128</v>
      </c>
      <c r="BE188">
        <f ca="1" t="shared" si="200"/>
        <v>105849</v>
      </c>
      <c r="BF188">
        <f ca="1" t="shared" si="319"/>
        <v>2133748</v>
      </c>
      <c r="BI188">
        <f ca="1" t="shared" si="345"/>
        <v>1.05</v>
      </c>
      <c r="BJ188">
        <f ca="1">无穷技能数计算!$AJ180</f>
        <v>0</v>
      </c>
      <c r="BK188">
        <f ca="1" t="shared" si="203"/>
        <v>15031821.2526705</v>
      </c>
      <c r="BM188">
        <f ca="1" t="shared" si="204"/>
        <v>109230</v>
      </c>
      <c r="BN188">
        <f ca="1" t="shared" si="320"/>
        <v>2133748</v>
      </c>
      <c r="BO188">
        <f ca="1" t="shared" si="321"/>
        <v>14926950.5178955</v>
      </c>
      <c r="BP188">
        <f ca="1" t="shared" si="346"/>
        <v>14926950.5178955</v>
      </c>
      <c r="BR188">
        <f ca="1" t="shared" si="347"/>
        <v>1.05</v>
      </c>
      <c r="BS188">
        <f ca="1" t="shared" si="208"/>
        <v>15031821.2526705</v>
      </c>
      <c r="BT188">
        <f ca="1" t="shared" si="322"/>
        <v>0.196995876306796</v>
      </c>
      <c r="BU188">
        <f ca="1" t="shared" si="348"/>
        <v>3.0738578771</v>
      </c>
      <c r="BV188">
        <f ca="1" t="shared" si="229"/>
        <v>15988095.3425409</v>
      </c>
      <c r="BW188">
        <f ca="1" t="shared" si="211"/>
        <v>113027</v>
      </c>
      <c r="BX188">
        <f ca="1" t="shared" si="323"/>
        <v>2133748</v>
      </c>
      <c r="BY188">
        <f ca="1" t="shared" si="349"/>
        <v>1.03</v>
      </c>
      <c r="BZ188">
        <f ca="1">无穷技能数计算!$AJ180</f>
        <v>0</v>
      </c>
      <c r="CA188">
        <f ca="1" t="shared" si="350"/>
        <v>3.0777641271</v>
      </c>
      <c r="CB188">
        <f ca="1" t="shared" si="230"/>
        <v>15693806.3414247</v>
      </c>
      <c r="CC188">
        <f ca="1" t="shared" si="215"/>
        <v>114847</v>
      </c>
      <c r="CD188">
        <f ca="1" t="shared" si="324"/>
        <v>2133748</v>
      </c>
      <c r="CE188">
        <f ca="1" t="shared" si="217"/>
        <v>14926950.5178955</v>
      </c>
      <c r="CF188">
        <f ca="1" t="shared" si="351"/>
        <v>3.0250297521</v>
      </c>
      <c r="CG188">
        <f ca="1" t="shared" si="352"/>
        <v>1.03</v>
      </c>
      <c r="CH188">
        <f ca="1" t="shared" si="231"/>
        <v>15533278.0340321</v>
      </c>
      <c r="CJ188">
        <f ca="1" t="shared" si="325"/>
        <v>2133748</v>
      </c>
      <c r="CK188">
        <f ca="1" t="shared" si="326"/>
        <v>14926950.5178955</v>
      </c>
      <c r="CL188">
        <f ca="1" t="shared" si="331"/>
        <v>3.0476860021</v>
      </c>
      <c r="CM188">
        <f ca="1">IF(G188="恒定伤害",0,(IF(D188="轻剑",$CM$8,$CM$9)+IFERROR(INDEX(技能数据库!$T$2:$W$27,MATCH(E188,技能数据库!$T$2:$T$27,0),4),0)+COUNTIF(G188,"*造化2*")*154+COUNTIF(G188,"*造化1*")*102+COUNTIF(G188,"*碧归*")*307)/1024)</f>
        <v>0.176868146929785</v>
      </c>
      <c r="CN188">
        <f ca="1" t="shared" si="233"/>
        <v>16498417.6632635</v>
      </c>
      <c r="CO188">
        <f ca="1" t="shared" si="332"/>
        <v>3.0762602208</v>
      </c>
      <c r="CP188">
        <f ca="1" t="shared" si="235"/>
        <v>16653102.0350096</v>
      </c>
      <c r="CQ188">
        <f ca="1" t="shared" si="353"/>
        <v>1.8815754648</v>
      </c>
      <c r="CR188">
        <f ca="1">IF(G188="恒定伤害",0,(IF(D188="轻剑",$CR$8,$CR$9)+IFERROR(INDEX(技能数据库!$T$2:$W$27,MATCH(E188,技能数据库!$T$2:$T$27,0),4),0)+COUNTIF(G188,"*造化2*")*154+COUNTIF(G188,"*造化1*")*102+COUNTIF(G188,"*碧归*")*307)/1024)</f>
        <v>0.167102521929785</v>
      </c>
      <c r="CS188">
        <f ca="1" t="shared" si="333"/>
        <v>16176109.4437534</v>
      </c>
    </row>
    <row r="189" spans="4:97">
      <c r="D189" t="s">
        <v>1825</v>
      </c>
      <c r="E189" s="161" t="s">
        <v>2897</v>
      </c>
      <c r="F189" t="s">
        <v>3160</v>
      </c>
      <c r="G189" t="s">
        <v>3110</v>
      </c>
      <c r="H189">
        <f ca="1">INDEX(技能数据库!$B$2:$I$100,MATCH(无穷阵眼收益计算!$E189,技能数据库!$B$2:$B$100,0),MATCH(H$9,技能数据库!$B$2:$I$2,0))</f>
        <v>4978746</v>
      </c>
      <c r="I189">
        <f ca="1">INDEX(技能数据库!$B$2:$I$100,MATCH(无穷阵眼收益计算!$E189,技能数据库!$B$2:$B$100,0),MATCH(I$9,技能数据库!$B$2:$I$2,0))</f>
        <v>0</v>
      </c>
      <c r="J189">
        <f ca="1">INDEX(技能数据库!$B$2:$I$100,MATCH(无穷阵眼收益计算!$E189,技能数据库!$B$2:$B$100,0),MATCH(J$9,技能数据库!$B$2:$I$2,0))</f>
        <v>0</v>
      </c>
      <c r="K189">
        <f ca="1">INDEX(技能数据库!$B$2:$I$100,MATCH(无穷阵眼收益计算!$E189,技能数据库!$B$2:$B$100,0),MATCH(K$9,技能数据库!$B$2:$I$2,0))</f>
        <v>0</v>
      </c>
      <c r="L189">
        <f ca="1" t="shared" si="186"/>
        <v>105847</v>
      </c>
      <c r="M189">
        <f ca="1" t="shared" si="354"/>
        <v>19530.5</v>
      </c>
      <c r="N189">
        <f ca="1" t="shared" si="355"/>
        <v>92028</v>
      </c>
      <c r="O189">
        <f ca="1" t="shared" si="327"/>
        <v>4978746</v>
      </c>
      <c r="P189">
        <f ca="1">IF(G189="恒定伤害",0,(IF(D189="轻剑",$AZ$2,$AZ$3)+IFERROR(INDEX(技能数据库!$T$2:$W$27,MATCH(E189,技能数据库!$T$2:$T$27,0),4),0)+COUNTIF(G189,"*造化2*")*154+COUNTIF(G189,"*造化1*")*102+COUNTIF(G189,"*碧归*")*307)/1024)</f>
        <v>0.116321271929785</v>
      </c>
      <c r="Q189">
        <f ca="1" t="shared" si="334"/>
        <v>0.0415122129107408</v>
      </c>
      <c r="R189">
        <f ca="1" t="shared" si="328"/>
        <v>0.21277697966198</v>
      </c>
      <c r="S189">
        <f ca="1" t="shared" si="356"/>
        <v>4556919.15035556</v>
      </c>
      <c r="T189">
        <f t="shared" si="357"/>
        <v>0.8</v>
      </c>
      <c r="U189">
        <f ca="1" t="shared" si="335"/>
        <v>1.7800129648</v>
      </c>
      <c r="V189">
        <f ca="1" t="shared" si="358"/>
        <v>10134635.4540271</v>
      </c>
      <c r="W189">
        <f ca="1">IF(G189="恒定伤害",0,MIN(1,IF(COUNTIF(F189,"*内会*")&gt;0,内会2,IF(D189="轻剑",$Y$2,$Y$3)+COUNTIF(G189,"*莺鸣*")*0.2+COUNTIF(G189,"*叠1*")*0.1+COUNTIF(G189,"*叠2*")*0.2+COUNTIF(G189,"*叠3*")*0.3)+IFERROR(INDEX(技能数据库!$T$2:$W$27,MATCH(E189,技能数据库!$T$2:$T$27,0),2),0)+IF((IF(D189="轻剑",$AO$2,$AO$3)+INT(COUNTIF(G189,"*大莺鸣*")*IF(D189="轻剑",$AM$2,$AM$3)*听晓无双率)/无双系数)&gt;0.9,特效裤子会心/会心系数,0)))</f>
        <v>0.0826138197194782</v>
      </c>
      <c r="X189">
        <f ca="1">IF(G189="恒定伤害",0,IF(COUNTIF(F189,"*内会*")&gt;0,内会效2,IF(D189="轻剑",$AB$2,$AB$3))+IFERROR(INDEX(技能数据库!$T$2:$W$27,MATCH(E189,技能数据库!$T$2:$T$27,0),3)/1024,0))+COUNTIF(G189,"*叠1*")*0.25+COUNTIF(G189,"*叠2*")*0.5+COUNTIF(G189,"*叠3*")*0.75</f>
        <v>2.54000318487951</v>
      </c>
      <c r="Y189">
        <f ca="1" t="shared" si="359"/>
        <v>1.12722554548306</v>
      </c>
      <c r="Z189">
        <f t="shared" si="317"/>
        <v>0.150390625</v>
      </c>
      <c r="AA189">
        <f ca="1" t="shared" si="360"/>
        <v>0.0205078125</v>
      </c>
      <c r="AB189">
        <f ca="1" t="shared" si="361"/>
        <v>13411600.9073648</v>
      </c>
      <c r="AC189">
        <f ca="1">无穷技能数计算!$AJ181</f>
        <v>0</v>
      </c>
      <c r="AD189" s="164">
        <f ca="1" t="shared" si="336"/>
        <v>0</v>
      </c>
      <c r="AE189" s="168"/>
      <c r="AF189" s="168">
        <f ca="1" t="shared" ref="AF189:AF204" si="362">W189+IF(COUNTIF(F189,"*内会*")&gt;0,0,IF(D189="轻剑",$AF$8-$Y$2,$AF$9-$Y$3))</f>
        <v>0.0826138197194782</v>
      </c>
      <c r="AG189">
        <f ca="1">无穷技能数计算!$AJ181</f>
        <v>0</v>
      </c>
      <c r="AH189">
        <f ca="1" t="shared" si="189"/>
        <v>109879</v>
      </c>
      <c r="AJ189">
        <f ca="1" t="shared" ref="AJ189:AJ204" si="363">X189+IF(COUNTIF(F189,"*内会*")&gt;0,0,IF(D189="轻剑",$AJ$8-$AB$2,$AJ$9-$AB$3))</f>
        <v>2.54000318487951</v>
      </c>
      <c r="AK189">
        <f ca="1" t="shared" si="329"/>
        <v>4978746</v>
      </c>
      <c r="AL189">
        <f ca="1" t="shared" si="191"/>
        <v>13411600.9073649</v>
      </c>
      <c r="AM189" s="169">
        <f ca="1" t="shared" ref="AM189:AM204" si="364">W189+IF(COUNTIF(F189,"*内会*")&gt;0,0,IF(D189="轻剑",$AN$8-$Y$2,$AN$9-$Y$3))</f>
        <v>0.0826138197194782</v>
      </c>
      <c r="AN189">
        <f ca="1">无穷技能数计算!$AJ181</f>
        <v>0</v>
      </c>
      <c r="AO189" s="170">
        <f ca="1" t="shared" si="193"/>
        <v>13411600.9073649</v>
      </c>
      <c r="AP189">
        <f ca="1" t="shared" si="194"/>
        <v>110956</v>
      </c>
      <c r="AQ189" s="170">
        <f ca="1" t="shared" si="330"/>
        <v>4978746</v>
      </c>
      <c r="AR189">
        <f ca="1" t="shared" si="318"/>
        <v>13411600.9073648</v>
      </c>
      <c r="AS189">
        <f ca="1" t="shared" ref="AS189:AS204" si="365">W189+IF(COUNTIF(F189,"*内会*")&gt;0,0,IF(D189="轻剑",$AS$8-$Y$2,$AS$9-$Y$3))</f>
        <v>0.0826138197194782</v>
      </c>
      <c r="AT189">
        <f ca="1">无穷技能数计算!$AJ181</f>
        <v>0</v>
      </c>
      <c r="AU189">
        <f ca="1" t="shared" ref="AU189:AU204" si="366">X189+IF(COUNTIF(F189,"*内会*")&gt;0,0,IF(D189="轻剑",$AU$8-$AB$2,$AU$9-$AB$3))</f>
        <v>2.54000318487951</v>
      </c>
      <c r="AV189">
        <f ca="1" t="shared" si="342"/>
        <v>1.7995442148</v>
      </c>
      <c r="AW189">
        <f ca="1" t="shared" si="226"/>
        <v>13505825.4068685</v>
      </c>
      <c r="AX189">
        <f ca="1" t="shared" ref="AX189:AX204" si="367">$W189+IF(COUNTIF(F189,"*内会*")&gt;0,0,IF(I189="轻剑",AX$8-$Y$2,AX$9-$Y$3))</f>
        <v>0.0826138197194782</v>
      </c>
      <c r="AY189">
        <f ca="1">无穷技能数计算!$AJ181</f>
        <v>0</v>
      </c>
      <c r="AZ189" s="170">
        <f ca="1" t="shared" si="227"/>
        <v>13505825.4068685</v>
      </c>
      <c r="BA189">
        <f ca="1" t="shared" ref="BA189:BA204" si="368">$W189+IF(COUNTIF(F189,"*内会*")&gt;0,0,IF(L189="轻剑",BA$8-$Y$2,BA$9-$Y$3))</f>
        <v>0.0826138197194782</v>
      </c>
      <c r="BB189">
        <f ca="1">无穷技能数计算!$AJ181</f>
        <v>0</v>
      </c>
      <c r="BC189" s="170">
        <f ca="1" t="shared" si="228"/>
        <v>13505825.4068685</v>
      </c>
      <c r="BE189">
        <f ca="1" t="shared" si="200"/>
        <v>105849</v>
      </c>
      <c r="BF189">
        <f ca="1" t="shared" si="319"/>
        <v>4978746</v>
      </c>
      <c r="BI189">
        <f ca="1" t="shared" ref="BI189:BI204" si="369">$W189+IF(COUNTIF(F189,"*内会*")&gt;0,0,IF(T189="轻剑",BI$8-$Y$2,BI$9-$Y$3))</f>
        <v>0.0826138197194782</v>
      </c>
      <c r="BJ189">
        <f ca="1">无穷技能数计算!$AJ181</f>
        <v>0</v>
      </c>
      <c r="BK189">
        <f ca="1" t="shared" si="203"/>
        <v>13505825.4068685</v>
      </c>
      <c r="BM189">
        <f ca="1" t="shared" si="204"/>
        <v>109230</v>
      </c>
      <c r="BN189">
        <f ca="1" t="shared" si="320"/>
        <v>4978746</v>
      </c>
      <c r="BO189">
        <f ca="1" t="shared" si="321"/>
        <v>13411600.9073648</v>
      </c>
      <c r="BP189">
        <f ca="1" t="shared" si="346"/>
        <v>13411600.9073648</v>
      </c>
      <c r="BR189">
        <f ca="1" t="shared" ref="BR189:BR204" si="370">$W189+IF(T189="轻剑",BI$8-$Y$2,BI$9-$Y$3)</f>
        <v>0.132613819719478</v>
      </c>
      <c r="BS189">
        <f ca="1" t="shared" si="208"/>
        <v>14428400.9386398</v>
      </c>
      <c r="BT189">
        <f ca="1" t="shared" si="322"/>
        <v>0.196995876306796</v>
      </c>
      <c r="BU189">
        <f ca="1" t="shared" ref="BU189:BU204" si="371">X189+IF(D189="轻剑",$AU$8-$AB$2,$AU$9-$AB$3)</f>
        <v>2.68648755987951</v>
      </c>
      <c r="BV189">
        <f ca="1" t="shared" si="229"/>
        <v>14850721.5963075</v>
      </c>
      <c r="BW189">
        <f ca="1" t="shared" si="211"/>
        <v>113027</v>
      </c>
      <c r="BX189">
        <f ca="1" t="shared" si="323"/>
        <v>4978746</v>
      </c>
      <c r="BY189">
        <f ca="1" t="shared" ref="BY189:BY204" si="372">$W189+IF(COUNTIF(F189,"*内会*")&gt;0,0,IF(AI189="轻剑",BY$8-$Y$2,BY$9-$Y$3))</f>
        <v>0.0826138197194782</v>
      </c>
      <c r="BZ189">
        <f ca="1">无穷技能数计算!$AJ181</f>
        <v>0</v>
      </c>
      <c r="CA189">
        <f ca="1" t="shared" ref="CA189:CA204" si="373">X189+IF(COUNTIF(F189,"*内会*")&gt;0,0,IF(D189="轻剑",$CA$8-$AB$2,$CA$9-$AB$3))</f>
        <v>2.54000318487951</v>
      </c>
      <c r="CB189">
        <f ca="1" t="shared" si="230"/>
        <v>13411600.9073648</v>
      </c>
      <c r="CC189">
        <f ca="1" t="shared" si="215"/>
        <v>114847</v>
      </c>
      <c r="CD189">
        <f ca="1" t="shared" si="324"/>
        <v>4978746</v>
      </c>
      <c r="CE189">
        <f ca="1" t="shared" si="217"/>
        <v>13411600.9073648</v>
      </c>
      <c r="CF189">
        <f ca="1" t="shared" ref="CF189:CF204" si="374">X189+IF(COUNTIF(F189,"*内会*")&gt;0,0,IF(D189="轻剑",$CF$8-$AB$2,$CF$9-$AB$3))</f>
        <v>2.54000318487951</v>
      </c>
      <c r="CG189">
        <f ca="1" t="shared" ref="CG189:CG204" si="375">$W189+IF(AI189="轻剑",BY$8-$Y$2,BY$9-$Y$3)</f>
        <v>0.112613819719478</v>
      </c>
      <c r="CH189">
        <f ca="1" t="shared" si="231"/>
        <v>13505825.4068685</v>
      </c>
      <c r="CJ189">
        <f ca="1" t="shared" si="325"/>
        <v>4978746</v>
      </c>
      <c r="CK189">
        <f ca="1" t="shared" si="326"/>
        <v>13411600.9073648</v>
      </c>
      <c r="CL189">
        <f ca="1" t="shared" si="331"/>
        <v>2.66031568487951</v>
      </c>
      <c r="CM189">
        <f ca="1">IF(G189="恒定伤害",0,(IF(D189="轻剑",$CM$8,$CM$9)+IFERROR(INDEX(技能数据库!$T$2:$W$27,MATCH(E189,技能数据库!$T$2:$T$27,0),4),0)+COUNTIF(G189,"*造化2*")*154+COUNTIF(G189,"*造化1*")*102+COUNTIF(G189,"*碧归*")*307)/1024)</f>
        <v>0.176868146929785</v>
      </c>
      <c r="CN189">
        <f ca="1" t="shared" si="233"/>
        <v>14993060.8165338</v>
      </c>
      <c r="CO189">
        <f ca="1" t="shared" si="332"/>
        <v>2.68888990357951</v>
      </c>
      <c r="CP189">
        <f ca="1" t="shared" si="235"/>
        <v>15033706.5505339</v>
      </c>
      <c r="CQ189">
        <f ca="1" t="shared" si="353"/>
        <v>1.8815754648</v>
      </c>
      <c r="CR189">
        <f ca="1">IF(G189="恒定伤害",0,(IF(D189="轻剑",$CR$8,$CR$9)+IFERROR(INDEX(技能数据库!$T$2:$W$27,MATCH(E189,技能数据库!$T$2:$T$27,0),4),0)+COUNTIF(G189,"*造化2*")*154+COUNTIF(G189,"*造化1*")*102+COUNTIF(G189,"*碧归*")*307)/1024)</f>
        <v>0.167102521929785</v>
      </c>
      <c r="CS189">
        <f ca="1" t="shared" si="333"/>
        <v>14533948.0983329</v>
      </c>
    </row>
    <row r="190" spans="4:97">
      <c r="D190" t="s">
        <v>1825</v>
      </c>
      <c r="E190" s="161" t="s">
        <v>2859</v>
      </c>
      <c r="F190" t="s">
        <v>3160</v>
      </c>
      <c r="G190" t="s">
        <v>2750</v>
      </c>
      <c r="H190">
        <f ca="1">INDEX(技能数据库!$B$2:$I$100,MATCH(无穷阵眼收益计算!$E190,技能数据库!$B$2:$B$100,0),MATCH(H$9,技能数据库!$B$2:$I$2,0))</f>
        <v>1955936</v>
      </c>
      <c r="I190">
        <f ca="1">INDEX(技能数据库!$B$2:$I$100,MATCH(无穷阵眼收益计算!$E190,技能数据库!$B$2:$B$100,0),MATCH(I$9,技能数据库!$B$2:$I$2,0))</f>
        <v>0</v>
      </c>
      <c r="J190">
        <f ca="1">INDEX(技能数据库!$B$2:$I$100,MATCH(无穷阵眼收益计算!$E190,技能数据库!$B$2:$B$100,0),MATCH(J$9,技能数据库!$B$2:$I$2,0))</f>
        <v>0</v>
      </c>
      <c r="K190">
        <f ca="1">INDEX(技能数据库!$B$2:$I$100,MATCH(无穷阵眼收益计算!$E190,技能数据库!$B$2:$B$100,0),MATCH(K$9,技能数据库!$B$2:$I$2,0))</f>
        <v>0</v>
      </c>
      <c r="L190">
        <f ca="1" t="shared" si="186"/>
        <v>105847</v>
      </c>
      <c r="M190">
        <f ca="1" t="shared" si="354"/>
        <v>19530.5</v>
      </c>
      <c r="N190">
        <f ca="1" t="shared" si="355"/>
        <v>92028</v>
      </c>
      <c r="O190">
        <f ca="1" t="shared" si="327"/>
        <v>1955936</v>
      </c>
      <c r="P190">
        <f ca="1">IF(G190="恒定伤害",0,(IF(D190="轻剑",$AZ$2,$AZ$3)+IFERROR(INDEX(技能数据库!$T$2:$W$27,MATCH(E190,技能数据库!$T$2:$T$27,0),4),0)+COUNTIF(G190,"*造化2*")*154+COUNTIF(G190,"*造化1*")*102+COUNTIF(G190,"*碧归*")*307)/1024)</f>
        <v>0.116321271929785</v>
      </c>
      <c r="Q190">
        <f ca="1" t="shared" si="334"/>
        <v>0.0415122129107408</v>
      </c>
      <c r="R190">
        <f ca="1" t="shared" si="328"/>
        <v>0.21277697966198</v>
      </c>
      <c r="S190">
        <f ca="1" t="shared" si="356"/>
        <v>1790218.30301643</v>
      </c>
      <c r="T190">
        <f t="shared" si="357"/>
        <v>0.8</v>
      </c>
      <c r="U190">
        <f ca="1" t="shared" si="335"/>
        <v>1.7800129648</v>
      </c>
      <c r="V190">
        <f ca="1" t="shared" si="358"/>
        <v>3981464.07376636</v>
      </c>
      <c r="W190">
        <f ca="1">IF(G190="恒定伤害",0,MIN(1,IF(COUNTIF(F190,"*内会*")&gt;0,内会2,IF(D190="轻剑",$Y$2,$Y$3)+COUNTIF(G190,"*莺鸣*")*0.2+COUNTIF(G190,"*叠1*")*0.1+COUNTIF(G190,"*叠2*")*0.2+COUNTIF(G190,"*叠3*")*0.3)+IFERROR(INDEX(技能数据库!$T$2:$W$27,MATCH(E190,技能数据库!$T$2:$T$27,0),2),0)+IF((IF(D190="轻剑",$AO$2,$AO$3)+INT(COUNTIF(G190,"*大莺鸣*")*IF(D190="轻剑",$AM$2,$AM$3)*听晓无双率)/无双系数)&gt;0.9,特效裤子会心/会心系数,0)))</f>
        <v>0.0826138197194782</v>
      </c>
      <c r="X190">
        <f ca="1">IF(G190="恒定伤害",0,IF(COUNTIF(F190,"*内会*")&gt;0,内会效2,IF(D190="轻剑",$AB$2,$AB$3))+IFERROR(INDEX(技能数据库!$T$2:$W$27,MATCH(E190,技能数据库!$T$2:$T$27,0),3)/1024,0))+COUNTIF(G190,"*叠1*")*0.25+COUNTIF(G190,"*叠2*")*0.5+COUNTIF(G190,"*叠3*")*0.75</f>
        <v>1.79000318487951</v>
      </c>
      <c r="Y190">
        <f ca="1" t="shared" si="359"/>
        <v>1.06526518069345</v>
      </c>
      <c r="Z190">
        <f t="shared" si="317"/>
        <v>0.150390625</v>
      </c>
      <c r="AA190">
        <f ca="1" t="shared" si="360"/>
        <v>0.0205078125</v>
      </c>
      <c r="AB190">
        <f ca="1" t="shared" si="361"/>
        <v>4979230.15092241</v>
      </c>
      <c r="AC190">
        <f ca="1">无穷技能数计算!$AJ182</f>
        <v>0</v>
      </c>
      <c r="AD190" s="164">
        <f ca="1" t="shared" si="336"/>
        <v>0</v>
      </c>
      <c r="AE190" s="168"/>
      <c r="AF190" s="168">
        <f ca="1" t="shared" si="362"/>
        <v>0.0826138197194782</v>
      </c>
      <c r="AG190">
        <f ca="1">无穷技能数计算!$AJ182</f>
        <v>0</v>
      </c>
      <c r="AH190">
        <f ca="1" t="shared" si="189"/>
        <v>109879</v>
      </c>
      <c r="AJ190">
        <f ca="1" t="shared" si="363"/>
        <v>1.79000318487951</v>
      </c>
      <c r="AK190">
        <f ca="1" t="shared" si="329"/>
        <v>1955936</v>
      </c>
      <c r="AL190">
        <f ca="1" t="shared" si="191"/>
        <v>4979230.15092241</v>
      </c>
      <c r="AM190" s="169">
        <f ca="1" t="shared" si="364"/>
        <v>0.0826138197194782</v>
      </c>
      <c r="AN190">
        <f ca="1">无穷技能数计算!$AJ182</f>
        <v>0</v>
      </c>
      <c r="AO190" s="170">
        <f ca="1" t="shared" si="193"/>
        <v>4979230.15092241</v>
      </c>
      <c r="AP190">
        <f ca="1" t="shared" si="194"/>
        <v>110956</v>
      </c>
      <c r="AQ190" s="170">
        <f ca="1" t="shared" si="330"/>
        <v>1955936</v>
      </c>
      <c r="AR190">
        <f ca="1" t="shared" si="318"/>
        <v>4979230.15092241</v>
      </c>
      <c r="AS190">
        <f ca="1" t="shared" si="365"/>
        <v>0.0826138197194782</v>
      </c>
      <c r="AT190">
        <f ca="1">无穷技能数计算!$AJ182</f>
        <v>0</v>
      </c>
      <c r="AU190">
        <f ca="1" t="shared" si="366"/>
        <v>1.79000318487951</v>
      </c>
      <c r="AV190">
        <f ca="1" t="shared" si="342"/>
        <v>1.7995442148</v>
      </c>
      <c r="AW190">
        <f ca="1" t="shared" si="226"/>
        <v>5014212.21399786</v>
      </c>
      <c r="AX190">
        <f ca="1" t="shared" si="367"/>
        <v>0.0826138197194782</v>
      </c>
      <c r="AY190">
        <f ca="1">无穷技能数计算!$AJ182</f>
        <v>0</v>
      </c>
      <c r="AZ190" s="170">
        <f ca="1" t="shared" si="227"/>
        <v>5014212.21399786</v>
      </c>
      <c r="BA190">
        <f ca="1" t="shared" si="368"/>
        <v>0.0826138197194782</v>
      </c>
      <c r="BB190">
        <f ca="1">无穷技能数计算!$AJ182</f>
        <v>0</v>
      </c>
      <c r="BC190" s="170">
        <f ca="1" t="shared" si="228"/>
        <v>5014212.21399786</v>
      </c>
      <c r="BE190">
        <f ca="1" t="shared" si="200"/>
        <v>105849</v>
      </c>
      <c r="BF190">
        <f ca="1" t="shared" si="319"/>
        <v>1955936</v>
      </c>
      <c r="BI190">
        <f ca="1" t="shared" si="369"/>
        <v>0.0826138197194782</v>
      </c>
      <c r="BJ190">
        <f ca="1">无穷技能数计算!$AJ182</f>
        <v>0</v>
      </c>
      <c r="BK190">
        <f ca="1" t="shared" si="203"/>
        <v>5014212.21399786</v>
      </c>
      <c r="BM190">
        <f ca="1" t="shared" si="204"/>
        <v>109230</v>
      </c>
      <c r="BN190">
        <f ca="1" t="shared" si="320"/>
        <v>1955936</v>
      </c>
      <c r="BO190">
        <f ca="1" t="shared" si="321"/>
        <v>4979230.15092241</v>
      </c>
      <c r="BP190">
        <f ca="1" t="shared" si="346"/>
        <v>4979230.15092241</v>
      </c>
      <c r="BR190">
        <f ca="1" t="shared" si="370"/>
        <v>0.132613819719478</v>
      </c>
      <c r="BS190">
        <f ca="1" t="shared" si="208"/>
        <v>5200139.79759453</v>
      </c>
      <c r="BT190">
        <f ca="1" t="shared" si="322"/>
        <v>0.196995876306796</v>
      </c>
      <c r="BU190">
        <f ca="1" t="shared" si="371"/>
        <v>1.93648755987951</v>
      </c>
      <c r="BV190">
        <f ca="1" t="shared" si="229"/>
        <v>5359998.12087229</v>
      </c>
      <c r="BW190">
        <f ca="1" t="shared" si="211"/>
        <v>113027</v>
      </c>
      <c r="BX190">
        <f ca="1" t="shared" si="323"/>
        <v>1955936</v>
      </c>
      <c r="BY190">
        <f ca="1" t="shared" si="372"/>
        <v>0.0826138197194782</v>
      </c>
      <c r="BZ190">
        <f ca="1">无穷技能数计算!$AJ182</f>
        <v>0</v>
      </c>
      <c r="CA190">
        <f ca="1" t="shared" si="373"/>
        <v>1.79000318487951</v>
      </c>
      <c r="CB190">
        <f ca="1" t="shared" si="230"/>
        <v>4979230.15092241</v>
      </c>
      <c r="CC190">
        <f ca="1" t="shared" si="215"/>
        <v>114847</v>
      </c>
      <c r="CD190">
        <f ca="1" t="shared" si="324"/>
        <v>1955936</v>
      </c>
      <c r="CE190">
        <f ca="1" t="shared" si="217"/>
        <v>4979230.15092241</v>
      </c>
      <c r="CF190">
        <f ca="1" t="shared" si="374"/>
        <v>1.79000318487951</v>
      </c>
      <c r="CG190">
        <f ca="1" t="shared" si="375"/>
        <v>0.112613819719478</v>
      </c>
      <c r="CH190">
        <f ca="1" t="shared" si="231"/>
        <v>5014212.21399786</v>
      </c>
      <c r="CJ190">
        <f ca="1" t="shared" si="325"/>
        <v>1955936</v>
      </c>
      <c r="CK190">
        <f ca="1" t="shared" si="326"/>
        <v>4979230.15092241</v>
      </c>
      <c r="CL190">
        <f ca="1" t="shared" si="331"/>
        <v>1.91031568487951</v>
      </c>
      <c r="CM190">
        <f ca="1">IF(G190="恒定伤害",0,(IF(D190="轻剑",$CM$8,$CM$9)+IFERROR(INDEX(技能数据库!$T$2:$W$27,MATCH(E190,技能数据库!$T$2:$T$27,0),4),0)+COUNTIF(G190,"*造化2*")*154+COUNTIF(G190,"*造化1*")*102+COUNTIF(G190,"*碧归*")*307)/1024)</f>
        <v>0.176868146929785</v>
      </c>
      <c r="CN190">
        <f ca="1" t="shared" si="233"/>
        <v>5471013.03176459</v>
      </c>
      <c r="CO190">
        <f ca="1" t="shared" si="332"/>
        <v>1.93888990357951</v>
      </c>
      <c r="CP190">
        <f ca="1" t="shared" si="235"/>
        <v>5486980.99927633</v>
      </c>
      <c r="CQ190">
        <f ca="1" t="shared" si="353"/>
        <v>1.8815754648</v>
      </c>
      <c r="CR190">
        <f ca="1">IF(G190="恒定伤害",0,(IF(D190="轻剑",$CR$8,$CR$9)+IFERROR(INDEX(技能数据库!$T$2:$W$27,MATCH(E190,技能数据库!$T$2:$T$27,0),4),0)+COUNTIF(G190,"*造化2*")*154+COUNTIF(G190,"*造化1*")*102+COUNTIF(G190,"*碧归*")*307)/1024)</f>
        <v>0.167102521929785</v>
      </c>
      <c r="CS190">
        <f ca="1" t="shared" si="333"/>
        <v>5395916.04932267</v>
      </c>
    </row>
    <row r="191" spans="4:97">
      <c r="D191" t="s">
        <v>1825</v>
      </c>
      <c r="E191" s="161" t="s">
        <v>2859</v>
      </c>
      <c r="F191" t="s">
        <v>2503</v>
      </c>
      <c r="G191" t="s">
        <v>2750</v>
      </c>
      <c r="H191">
        <f ca="1">INDEX(技能数据库!$B$2:$I$100,MATCH(无穷阵眼收益计算!$E191,技能数据库!$B$2:$B$100,0),MATCH(H$9,技能数据库!$B$2:$I$2,0))</f>
        <v>1955936</v>
      </c>
      <c r="I191">
        <f ca="1">INDEX(技能数据库!$B$2:$I$100,MATCH(无穷阵眼收益计算!$E191,技能数据库!$B$2:$B$100,0),MATCH(I$9,技能数据库!$B$2:$I$2,0))</f>
        <v>0</v>
      </c>
      <c r="J191">
        <f ca="1">INDEX(技能数据库!$B$2:$I$100,MATCH(无穷阵眼收益计算!$E191,技能数据库!$B$2:$B$100,0),MATCH(J$9,技能数据库!$B$2:$I$2,0))</f>
        <v>0</v>
      </c>
      <c r="K191">
        <f ca="1">INDEX(技能数据库!$B$2:$I$100,MATCH(无穷阵眼收益计算!$E191,技能数据库!$B$2:$B$100,0),MATCH(K$9,技能数据库!$B$2:$I$2,0))</f>
        <v>0</v>
      </c>
      <c r="L191">
        <f ca="1" t="shared" si="186"/>
        <v>105847</v>
      </c>
      <c r="M191">
        <f ca="1" t="shared" si="354"/>
        <v>19530.5</v>
      </c>
      <c r="N191">
        <f ca="1" t="shared" si="355"/>
        <v>92028</v>
      </c>
      <c r="O191">
        <f ca="1" t="shared" si="327"/>
        <v>1955936</v>
      </c>
      <c r="P191">
        <f ca="1">IF(G191="恒定伤害",0,(IF(D191="轻剑",$AZ$2,$AZ$3)+IFERROR(INDEX(技能数据库!$T$2:$W$27,MATCH(E191,技能数据库!$T$2:$T$27,0),4),0)+COUNTIF(G191,"*造化2*")*154+COUNTIF(G191,"*造化1*")*102+COUNTIF(G191,"*碧归*")*307)/1024)</f>
        <v>0.116321271929785</v>
      </c>
      <c r="Q191">
        <f ca="1" t="shared" si="334"/>
        <v>0.0415122129107408</v>
      </c>
      <c r="R191">
        <f ca="1" t="shared" si="328"/>
        <v>0.21277697966198</v>
      </c>
      <c r="S191">
        <f ca="1" t="shared" si="356"/>
        <v>1790218.30301643</v>
      </c>
      <c r="T191">
        <f t="shared" si="357"/>
        <v>0.8</v>
      </c>
      <c r="U191">
        <f ca="1" t="shared" si="335"/>
        <v>1.7800129648</v>
      </c>
      <c r="V191">
        <f ca="1" t="shared" si="358"/>
        <v>3981464.07376636</v>
      </c>
      <c r="W191">
        <f ca="1">IF(G191="恒定伤害",0,MIN(1,IF(COUNTIF(F191,"*内会*")&gt;0,内会2,IF(D191="轻剑",$Y$2,$Y$3)+COUNTIF(G191,"*莺鸣*")*0.2+COUNTIF(G191,"*叠1*")*0.1+COUNTIF(G191,"*叠2*")*0.2+COUNTIF(G191,"*叠3*")*0.3)+IFERROR(INDEX(技能数据库!$T$2:$W$27,MATCH(E191,技能数据库!$T$2:$T$27,0),2),0)+IF((IF(D191="轻剑",$AO$2,$AO$3)+INT(COUNTIF(G191,"*大莺鸣*")*IF(D191="轻剑",$AM$2,$AM$3)*听晓无双率)/无双系数)&gt;0.9,特效裤子会心/会心系数,0)))</f>
        <v>0.7043</v>
      </c>
      <c r="X191">
        <f ca="1">IF(G191="恒定伤害",0,IF(COUNTIF(F191,"*内会*")&gt;0,内会效2,IF(D191="轻剑",$AB$2,$AB$3))+IFERROR(INDEX(技能数据库!$T$2:$W$27,MATCH(E191,技能数据库!$T$2:$T$27,0),3)/1024,0))+COUNTIF(G191,"*叠1*")*0.25+COUNTIF(G191,"*叠2*")*0.5+COUNTIF(G191,"*叠3*")*0.75</f>
        <v>2.1773735021</v>
      </c>
      <c r="Y191">
        <f ca="1" t="shared" si="359"/>
        <v>1.82922415752903</v>
      </c>
      <c r="Z191">
        <f t="shared" si="317"/>
        <v>0.150390625</v>
      </c>
      <c r="AA191">
        <f ca="1" t="shared" si="360"/>
        <v>0.0205078125</v>
      </c>
      <c r="AB191">
        <f ca="1" t="shared" si="361"/>
        <v>8550103.99573477</v>
      </c>
      <c r="AC191" s="171">
        <f ca="1">无穷技能数计算!$AJ183</f>
        <v>0</v>
      </c>
      <c r="AD191" s="164">
        <f ca="1" t="shared" si="336"/>
        <v>0</v>
      </c>
      <c r="AE191" s="168"/>
      <c r="AF191" s="168">
        <f ca="1" t="shared" si="362"/>
        <v>0.7057</v>
      </c>
      <c r="AG191" s="171">
        <f ca="1">无穷技能数计算!$AJ183</f>
        <v>0</v>
      </c>
      <c r="AH191">
        <f ca="1" t="shared" si="189"/>
        <v>109879</v>
      </c>
      <c r="AJ191">
        <f ca="1" t="shared" si="363"/>
        <v>2.3765922521</v>
      </c>
      <c r="AK191">
        <f ca="1" t="shared" si="329"/>
        <v>1955936</v>
      </c>
      <c r="AL191">
        <f ca="1" t="shared" si="191"/>
        <v>9214943.8363779</v>
      </c>
      <c r="AM191" s="169">
        <f ca="1" t="shared" si="364"/>
        <v>0.7272</v>
      </c>
      <c r="AN191" s="171">
        <f ca="1">无穷技能数计算!$AJ183</f>
        <v>0</v>
      </c>
      <c r="AO191" s="170">
        <f ca="1" t="shared" si="193"/>
        <v>9353283.98875057</v>
      </c>
      <c r="AP191">
        <f ca="1" t="shared" si="194"/>
        <v>110956</v>
      </c>
      <c r="AQ191" s="170">
        <f ca="1" t="shared" si="330"/>
        <v>1955936</v>
      </c>
      <c r="AR191">
        <f ca="1" t="shared" si="318"/>
        <v>8550103.99573477</v>
      </c>
      <c r="AS191">
        <f ca="1" t="shared" si="365"/>
        <v>0.7843</v>
      </c>
      <c r="AT191" s="171">
        <f ca="1">无穷技能数计算!$AJ183</f>
        <v>0</v>
      </c>
      <c r="AU191">
        <f ca="1" t="shared" si="366"/>
        <v>2.3238578771</v>
      </c>
      <c r="AV191">
        <f ca="1" t="shared" si="342"/>
        <v>1.7995442148</v>
      </c>
      <c r="AW191">
        <f ca="1" t="shared" si="226"/>
        <v>9594303.49428695</v>
      </c>
      <c r="AX191">
        <f ca="1" t="shared" si="367"/>
        <v>0.7743</v>
      </c>
      <c r="AY191" s="171">
        <f ca="1">无穷技能数计算!$AJ183</f>
        <v>0</v>
      </c>
      <c r="AZ191" s="170">
        <f ca="1" t="shared" si="227"/>
        <v>9531989.39205908</v>
      </c>
      <c r="BA191">
        <f ca="1" t="shared" si="368"/>
        <v>0.7643</v>
      </c>
      <c r="BB191" s="171">
        <f ca="1">无穷技能数计算!$AJ183</f>
        <v>0</v>
      </c>
      <c r="BC191" s="170">
        <f ca="1" t="shared" si="228"/>
        <v>9469675.28983122</v>
      </c>
      <c r="BE191">
        <f ca="1" t="shared" si="200"/>
        <v>105849</v>
      </c>
      <c r="BF191">
        <f ca="1" t="shared" si="319"/>
        <v>1955936</v>
      </c>
      <c r="BI191">
        <f ca="1" t="shared" si="369"/>
        <v>0.7543</v>
      </c>
      <c r="BJ191" s="171">
        <f ca="1">无穷技能数计算!$AJ183</f>
        <v>0</v>
      </c>
      <c r="BK191">
        <f ca="1" t="shared" si="203"/>
        <v>8887268.92996962</v>
      </c>
      <c r="BM191">
        <f ca="1" t="shared" si="204"/>
        <v>109230</v>
      </c>
      <c r="BN191">
        <f ca="1" t="shared" si="320"/>
        <v>1955936</v>
      </c>
      <c r="BO191">
        <f ca="1" t="shared" si="321"/>
        <v>8550103.99573477</v>
      </c>
      <c r="BP191">
        <f ca="1" t="shared" si="346"/>
        <v>8550103.99573477</v>
      </c>
      <c r="BR191">
        <f ca="1" t="shared" si="370"/>
        <v>0.7543</v>
      </c>
      <c r="BS191">
        <f ca="1" t="shared" si="208"/>
        <v>8887268.92996962</v>
      </c>
      <c r="BT191">
        <f ca="1" t="shared" si="322"/>
        <v>0.196995876306796</v>
      </c>
      <c r="BU191">
        <f ca="1" t="shared" si="371"/>
        <v>2.3238578771</v>
      </c>
      <c r="BV191">
        <f ca="1" t="shared" si="229"/>
        <v>9528999.38976412</v>
      </c>
      <c r="BW191">
        <f ca="1" t="shared" si="211"/>
        <v>113027</v>
      </c>
      <c r="BX191">
        <f ca="1" t="shared" si="323"/>
        <v>1955936</v>
      </c>
      <c r="BY191">
        <f ca="1" t="shared" si="372"/>
        <v>0.7343</v>
      </c>
      <c r="BZ191" s="171">
        <f ca="1">无穷技能数计算!$AJ183</f>
        <v>0</v>
      </c>
      <c r="CA191">
        <f ca="1" t="shared" si="373"/>
        <v>2.3277641271</v>
      </c>
      <c r="CB191">
        <f ca="1" t="shared" si="230"/>
        <v>9231378.43283398</v>
      </c>
      <c r="CC191">
        <f ca="1" t="shared" si="215"/>
        <v>114847</v>
      </c>
      <c r="CD191">
        <f ca="1" t="shared" si="324"/>
        <v>1955936</v>
      </c>
      <c r="CE191">
        <f ca="1" t="shared" si="217"/>
        <v>8715201.29958367</v>
      </c>
      <c r="CF191">
        <f ca="1" t="shared" si="374"/>
        <v>2.2750297521</v>
      </c>
      <c r="CG191">
        <f ca="1" t="shared" si="375"/>
        <v>0.7343</v>
      </c>
      <c r="CH191">
        <f ca="1" t="shared" si="231"/>
        <v>9113965.58521555</v>
      </c>
      <c r="CJ191">
        <f ca="1" t="shared" si="325"/>
        <v>1955936</v>
      </c>
      <c r="CK191">
        <f ca="1" t="shared" si="326"/>
        <v>8550103.99573477</v>
      </c>
      <c r="CL191">
        <f ca="1" t="shared" si="331"/>
        <v>2.2976860021</v>
      </c>
      <c r="CM191">
        <f ca="1">IF(G191="恒定伤害",0,(IF(D191="轻剑",$CM$8,$CM$9)+IFERROR(INDEX(技能数据库!$T$2:$W$27,MATCH(E191,技能数据库!$T$2:$T$27,0),4),0)+COUNTIF(G191,"*造化2*")*154+COUNTIF(G191,"*造化1*")*102+COUNTIF(G191,"*碧归*")*307)/1024)</f>
        <v>0.176868146929785</v>
      </c>
      <c r="CN191">
        <f ca="1" t="shared" si="233"/>
        <v>9690842.89426041</v>
      </c>
      <c r="CO191">
        <f ca="1" t="shared" si="332"/>
        <v>2.3262602208</v>
      </c>
      <c r="CP191">
        <f ca="1" t="shared" si="235"/>
        <v>9794962.25166326</v>
      </c>
      <c r="CQ191">
        <f ca="1" t="shared" si="353"/>
        <v>1.8815754648</v>
      </c>
      <c r="CR191">
        <f ca="1">IF(G191="恒定伤害",0,(IF(D191="轻剑",$CR$8,$CR$9)+IFERROR(INDEX(技能数据库!$T$2:$W$27,MATCH(E191,技能数据库!$T$2:$T$27,0),4),0)+COUNTIF(G191,"*造化2*")*154+COUNTIF(G191,"*造化1*")*102+COUNTIF(G191,"*碧归*")*307)/1024)</f>
        <v>0.167102521929785</v>
      </c>
      <c r="CS191">
        <f ca="1" t="shared" si="333"/>
        <v>9265617.77133689</v>
      </c>
    </row>
    <row r="192" spans="4:97">
      <c r="D192" t="s">
        <v>1825</v>
      </c>
      <c r="E192" s="161" t="s">
        <v>2861</v>
      </c>
      <c r="F192" t="s">
        <v>3160</v>
      </c>
      <c r="G192" t="s">
        <v>2750</v>
      </c>
      <c r="H192">
        <f ca="1">INDEX(技能数据库!$B$2:$I$100,MATCH(无穷阵眼收益计算!$E192,技能数据库!$B$2:$B$100,0),MATCH(H$9,技能数据库!$B$2:$I$2,0))</f>
        <v>1344706</v>
      </c>
      <c r="I192">
        <f ca="1">INDEX(技能数据库!$B$2:$I$100,MATCH(无穷阵眼收益计算!$E192,技能数据库!$B$2:$B$100,0),MATCH(I$9,技能数据库!$B$2:$I$2,0))</f>
        <v>0</v>
      </c>
      <c r="J192">
        <f ca="1">INDEX(技能数据库!$B$2:$I$100,MATCH(无穷阵眼收益计算!$E192,技能数据库!$B$2:$B$100,0),MATCH(J$9,技能数据库!$B$2:$I$2,0))</f>
        <v>0</v>
      </c>
      <c r="K192">
        <f ca="1">INDEX(技能数据库!$B$2:$I$100,MATCH(无穷阵眼收益计算!$E192,技能数据库!$B$2:$B$100,0),MATCH(K$9,技能数据库!$B$2:$I$2,0))</f>
        <v>0</v>
      </c>
      <c r="L192">
        <f ca="1" t="shared" si="186"/>
        <v>105847</v>
      </c>
      <c r="M192">
        <f ca="1" t="shared" ref="M192:M207" si="376">IF(D192="轻剑",$AU$2+$AV$2,$AU$3+$AV$3)/2</f>
        <v>19530.5</v>
      </c>
      <c r="N192">
        <f ca="1" t="shared" ref="N192:N207" si="377">IF(D192="轻剑",$AJ$2,$AJ$3)</f>
        <v>92028</v>
      </c>
      <c r="O192">
        <f ca="1" t="shared" si="327"/>
        <v>1344706</v>
      </c>
      <c r="P192">
        <f ca="1">IF(G192="恒定伤害",0,(IF(D192="轻剑",$AZ$2,$AZ$3)+IFERROR(INDEX(技能数据库!$T$2:$W$27,MATCH(E192,技能数据库!$T$2:$T$27,0),4),0)+COUNTIF(G192,"*造化2*")*154+COUNTIF(G192,"*造化1*")*102+COUNTIF(G192,"*碧归*")*307)/1024)</f>
        <v>0.116321271929785</v>
      </c>
      <c r="Q192">
        <f ca="1" t="shared" si="334"/>
        <v>0.0415122129107408</v>
      </c>
      <c r="R192">
        <f ca="1" t="shared" si="328"/>
        <v>0.21277697966198</v>
      </c>
      <c r="S192">
        <f ca="1" t="shared" ref="S192:S207" si="378">O192*(1+P192)*(1+Q192)*(1-R192)</f>
        <v>1230775.0833238</v>
      </c>
      <c r="T192">
        <f t="shared" ref="T192:T207" si="379">1-($F$6-130)*0.05</f>
        <v>0.8</v>
      </c>
      <c r="U192">
        <f ca="1" t="shared" si="335"/>
        <v>1.7800129648</v>
      </c>
      <c r="V192">
        <f ca="1" t="shared" ref="V192:V207" si="380">S192*T192*(1+U192)</f>
        <v>2737256.55071437</v>
      </c>
      <c r="W192">
        <f ca="1">IF(G192="恒定伤害",0,MIN(1,IF(COUNTIF(F192,"*内会*")&gt;0,内会2,IF(D192="轻剑",$Y$2,$Y$3)+COUNTIF(G192,"*莺鸣*")*0.2+COUNTIF(G192,"*叠1*")*0.1+COUNTIF(G192,"*叠2*")*0.2+COUNTIF(G192,"*叠3*")*0.3)+IFERROR(INDEX(技能数据库!$T$2:$W$27,MATCH(E192,技能数据库!$T$2:$T$27,0),2),0)+IF((IF(D192="轻剑",$AO$2,$AO$3)+INT(COUNTIF(G192,"*大莺鸣*")*IF(D192="轻剑",$AM$2,$AM$3)*听晓无双率)/无双系数)&gt;0.9,特效裤子会心/会心系数,0)))</f>
        <v>0.0826138197194782</v>
      </c>
      <c r="X192">
        <f ca="1">IF(G192="恒定伤害",0,IF(COUNTIF(F192,"*内会*")&gt;0,内会效2,IF(D192="轻剑",$AB$2,$AB$3))+IFERROR(INDEX(技能数据库!$T$2:$W$27,MATCH(E192,技能数据库!$T$2:$T$27,0),3)/1024,0))+COUNTIF(G192,"*叠1*")*0.25+COUNTIF(G192,"*叠2*")*0.5+COUNTIF(G192,"*叠3*")*0.75</f>
        <v>1.79000318487951</v>
      </c>
      <c r="Y192">
        <f ca="1" t="shared" ref="Y192:Y207" si="381">1+W192*(X192-1)</f>
        <v>1.06526518069345</v>
      </c>
      <c r="Z192">
        <f t="shared" si="317"/>
        <v>0.150390625</v>
      </c>
      <c r="AA192">
        <f ca="1" t="shared" ref="AA192:AA207" si="382">IF(D192="轻剑",$BA$2,$BA$3)/1024</f>
        <v>0.0205078125</v>
      </c>
      <c r="AB192">
        <f ca="1" t="shared" ref="AB192:AB207" si="383">V192*Y192*(1+Z192)*(1+AA192)</f>
        <v>3423220.72875915</v>
      </c>
      <c r="AC192">
        <f ca="1">无穷技能数计算!$AJ184</f>
        <v>0</v>
      </c>
      <c r="AD192" s="164">
        <f ca="1" t="shared" si="336"/>
        <v>0</v>
      </c>
      <c r="AE192" s="168"/>
      <c r="AF192" s="168">
        <f ca="1" t="shared" si="362"/>
        <v>0.0826138197194782</v>
      </c>
      <c r="AG192">
        <f ca="1">无穷技能数计算!$AJ184</f>
        <v>0</v>
      </c>
      <c r="AH192">
        <f ca="1" t="shared" si="189"/>
        <v>109879</v>
      </c>
      <c r="AJ192">
        <f ca="1" t="shared" si="363"/>
        <v>1.79000318487951</v>
      </c>
      <c r="AK192">
        <f ca="1" t="shared" si="329"/>
        <v>1344706</v>
      </c>
      <c r="AL192">
        <f ca="1" t="shared" si="191"/>
        <v>3423220.72875915</v>
      </c>
      <c r="AM192" s="169">
        <f ca="1" t="shared" si="364"/>
        <v>0.0826138197194782</v>
      </c>
      <c r="AN192">
        <f ca="1">无穷技能数计算!$AJ184</f>
        <v>0</v>
      </c>
      <c r="AO192" s="170">
        <f ca="1" t="shared" si="193"/>
        <v>3423220.72875915</v>
      </c>
      <c r="AP192">
        <f ca="1" t="shared" si="194"/>
        <v>110956</v>
      </c>
      <c r="AQ192" s="170">
        <f ca="1" t="shared" si="330"/>
        <v>1344706</v>
      </c>
      <c r="AR192">
        <f ca="1" t="shared" si="318"/>
        <v>3423220.72875915</v>
      </c>
      <c r="AS192">
        <f ca="1" t="shared" si="365"/>
        <v>0.0826138197194782</v>
      </c>
      <c r="AT192">
        <f ca="1">无穷技能数计算!$AJ184</f>
        <v>0</v>
      </c>
      <c r="AU192">
        <f ca="1" t="shared" si="366"/>
        <v>1.79000318487951</v>
      </c>
      <c r="AV192">
        <f ca="1" t="shared" si="342"/>
        <v>1.7995442148</v>
      </c>
      <c r="AW192">
        <f ca="1" t="shared" si="226"/>
        <v>3447270.89712353</v>
      </c>
      <c r="AX192">
        <f ca="1" t="shared" si="367"/>
        <v>0.0826138197194782</v>
      </c>
      <c r="AY192">
        <f ca="1">无穷技能数计算!$AJ184</f>
        <v>0</v>
      </c>
      <c r="AZ192" s="170">
        <f ca="1" t="shared" si="227"/>
        <v>3447270.89712353</v>
      </c>
      <c r="BA192">
        <f ca="1" t="shared" si="368"/>
        <v>0.0826138197194782</v>
      </c>
      <c r="BB192">
        <f ca="1">无穷技能数计算!$AJ184</f>
        <v>0</v>
      </c>
      <c r="BC192" s="170">
        <f ca="1" t="shared" si="228"/>
        <v>3447270.89712353</v>
      </c>
      <c r="BE192">
        <f ca="1" t="shared" si="200"/>
        <v>105849</v>
      </c>
      <c r="BF192">
        <f ca="1" t="shared" si="319"/>
        <v>1344706</v>
      </c>
      <c r="BI192">
        <f ca="1" t="shared" si="369"/>
        <v>0.0826138197194782</v>
      </c>
      <c r="BJ192">
        <f ca="1">无穷技能数计算!$AJ184</f>
        <v>0</v>
      </c>
      <c r="BK192">
        <f ca="1" t="shared" si="203"/>
        <v>3447270.89712353</v>
      </c>
      <c r="BM192">
        <f ca="1" t="shared" si="204"/>
        <v>109230</v>
      </c>
      <c r="BN192">
        <f ca="1" t="shared" si="320"/>
        <v>1344706</v>
      </c>
      <c r="BO192">
        <f ca="1" t="shared" si="321"/>
        <v>3423220.72875915</v>
      </c>
      <c r="BP192">
        <f ca="1" t="shared" si="346"/>
        <v>3423220.72875915</v>
      </c>
      <c r="BR192">
        <f ca="1" t="shared" si="370"/>
        <v>0.132613819719478</v>
      </c>
      <c r="BS192">
        <f ca="1" t="shared" si="208"/>
        <v>3575096.11084624</v>
      </c>
      <c r="BT192">
        <f ca="1" t="shared" si="322"/>
        <v>0.196995876306796</v>
      </c>
      <c r="BU192">
        <f ca="1" t="shared" si="371"/>
        <v>1.93648755987951</v>
      </c>
      <c r="BV192">
        <f ca="1" t="shared" si="229"/>
        <v>3684998.7080997</v>
      </c>
      <c r="BW192">
        <f ca="1" t="shared" si="211"/>
        <v>113027</v>
      </c>
      <c r="BX192">
        <f ca="1" t="shared" si="323"/>
        <v>1344706</v>
      </c>
      <c r="BY192">
        <f ca="1" t="shared" si="372"/>
        <v>0.0826138197194782</v>
      </c>
      <c r="BZ192">
        <f ca="1">无穷技能数计算!$AJ184</f>
        <v>0</v>
      </c>
      <c r="CA192">
        <f ca="1" t="shared" si="373"/>
        <v>1.79000318487951</v>
      </c>
      <c r="CB192">
        <f ca="1" t="shared" si="230"/>
        <v>3423220.72875915</v>
      </c>
      <c r="CC192">
        <f ca="1" t="shared" si="215"/>
        <v>114847</v>
      </c>
      <c r="CD192">
        <f ca="1" t="shared" si="324"/>
        <v>1344706</v>
      </c>
      <c r="CE192">
        <f ca="1" t="shared" si="217"/>
        <v>3423220.72875915</v>
      </c>
      <c r="CF192">
        <f ca="1" t="shared" si="374"/>
        <v>1.79000318487951</v>
      </c>
      <c r="CG192">
        <f ca="1" t="shared" si="375"/>
        <v>0.112613819719478</v>
      </c>
      <c r="CH192">
        <f ca="1" t="shared" si="231"/>
        <v>3447270.89712353</v>
      </c>
      <c r="CJ192">
        <f ca="1" t="shared" si="325"/>
        <v>1344706</v>
      </c>
      <c r="CK192">
        <f ca="1" t="shared" si="326"/>
        <v>3423220.72875915</v>
      </c>
      <c r="CL192">
        <f ca="1" t="shared" si="331"/>
        <v>1.91031568487951</v>
      </c>
      <c r="CM192">
        <f ca="1">IF(G192="恒定伤害",0,(IF(D192="轻剑",$CM$8,$CM$9)+IFERROR(INDEX(技能数据库!$T$2:$W$27,MATCH(E192,技能数据库!$T$2:$T$27,0),4),0)+COUNTIF(G192,"*造化2*")*154+COUNTIF(G192,"*造化1*")*102+COUNTIF(G192,"*碧归*")*307)/1024)</f>
        <v>0.176868146929785</v>
      </c>
      <c r="CN192">
        <f ca="1" t="shared" si="233"/>
        <v>3761321.45933815</v>
      </c>
      <c r="CO192">
        <f ca="1" t="shared" si="332"/>
        <v>1.93888990357951</v>
      </c>
      <c r="CP192">
        <f ca="1" t="shared" si="235"/>
        <v>3772299.43700248</v>
      </c>
      <c r="CQ192">
        <f ca="1" t="shared" si="353"/>
        <v>1.8815754648</v>
      </c>
      <c r="CR192">
        <f ca="1">IF(G192="恒定伤害",0,(IF(D192="轻剑",$CR$8,$CR$9)+IFERROR(INDEX(技能数据库!$T$2:$W$27,MATCH(E192,技能数据库!$T$2:$T$27,0),4),0)+COUNTIF(G192,"*造化2*")*154+COUNTIF(G192,"*造化1*")*102+COUNTIF(G192,"*碧归*")*307)/1024)</f>
        <v>0.167102521929785</v>
      </c>
      <c r="CS192">
        <f ca="1" t="shared" si="333"/>
        <v>3709692.28390933</v>
      </c>
    </row>
    <row r="193" spans="4:97">
      <c r="D193" t="s">
        <v>1825</v>
      </c>
      <c r="E193" t="s">
        <v>2902</v>
      </c>
      <c r="G193" t="s">
        <v>3110</v>
      </c>
      <c r="H193">
        <f ca="1">INDEX(技能数据库!$B$2:$I$100,MATCH(无穷阵眼收益计算!$E193,技能数据库!$B$2:$B$100,0),MATCH(H$9,技能数据库!$B$2:$I$2,0))</f>
        <v>317.5</v>
      </c>
      <c r="I193">
        <f ca="1">INDEX(技能数据库!$B$2:$I$100,MATCH(无穷阵眼收益计算!$E193,技能数据库!$B$2:$B$100,0),MATCH(I$9,技能数据库!$B$2:$I$2,0))</f>
        <v>2.25</v>
      </c>
      <c r="J193">
        <f ca="1">INDEX(技能数据库!$B$2:$I$100,MATCH(无穷阵眼收益计算!$E193,技能数据库!$B$2:$B$100,0),MATCH(J$9,技能数据库!$B$2:$I$2,0))</f>
        <v>1</v>
      </c>
      <c r="K193">
        <f ca="1">INDEX(技能数据库!$B$2:$I$100,MATCH(无穷阵眼收益计算!$E193,技能数据库!$B$2:$B$100,0),MATCH(K$9,技能数据库!$B$2:$I$2,0))</f>
        <v>0</v>
      </c>
      <c r="L193">
        <f ca="1" t="shared" si="186"/>
        <v>105847</v>
      </c>
      <c r="M193">
        <f ca="1" t="shared" si="376"/>
        <v>19530.5</v>
      </c>
      <c r="N193">
        <f ca="1" t="shared" si="377"/>
        <v>92028</v>
      </c>
      <c r="O193">
        <f ca="1" t="shared" si="327"/>
        <v>258003.75</v>
      </c>
      <c r="P193">
        <f ca="1">IF(G193="恒定伤害",0,(IF(D193="轻剑",$AZ$2,$AZ$3)+IFERROR(INDEX(技能数据库!$T$2:$W$27,MATCH(E193,技能数据库!$T$2:$T$27,0),4),0)+COUNTIF(G193,"*造化2*")*154+COUNTIF(G193,"*造化1*")*102+COUNTIF(G193,"*碧归*")*307)/1024)</f>
        <v>0.116321271929785</v>
      </c>
      <c r="Q193">
        <f ca="1" t="shared" si="334"/>
        <v>0.448284482196154</v>
      </c>
      <c r="R193">
        <f ca="1" t="shared" si="328"/>
        <v>0.21277697966198</v>
      </c>
      <c r="S193">
        <f ca="1" t="shared" si="378"/>
        <v>328372.577328174</v>
      </c>
      <c r="T193">
        <f t="shared" si="379"/>
        <v>0.8</v>
      </c>
      <c r="U193">
        <f ca="1" t="shared" si="335"/>
        <v>1.7800129648</v>
      </c>
      <c r="V193">
        <f ca="1" t="shared" si="380"/>
        <v>730304.017805692</v>
      </c>
      <c r="W193">
        <f ca="1">IF(G193="恒定伤害",0,MIN(1,IF(COUNTIF(F193,"*内会*")&gt;0,内会2,IF(D193="轻剑",$Y$2,$Y$3)+COUNTIF(G193,"*莺鸣*")*0.2+COUNTIF(G193,"*叠1*")*0.1+COUNTIF(G193,"*叠2*")*0.2+COUNTIF(G193,"*叠3*")*0.3)+IFERROR(INDEX(技能数据库!$T$2:$W$27,MATCH(E193,技能数据库!$T$2:$T$27,0),2),0)+IF((IF(D193="轻剑",$AO$2,$AO$3)+INT(COUNTIF(G193,"*大莺鸣*")*IF(D193="轻剑",$AM$2,$AM$3)*听晓无双率)/无双系数)&gt;0.9,特效裤子会心/会心系数,0)))</f>
        <v>1</v>
      </c>
      <c r="X193">
        <f ca="1">IF(G193="恒定伤害",0,IF(COUNTIF(F193,"*内会*")&gt;0,内会效2,IF(D193="轻剑",$AB$2,$AB$3))+IFERROR(INDEX(技能数据库!$T$2:$W$27,MATCH(E193,技能数据库!$T$2:$T$27,0),3)/1024,0))+COUNTIF(G193,"*叠1*")*0.25+COUNTIF(G193,"*叠2*")*0.5+COUNTIF(G193,"*叠3*")*0.75</f>
        <v>2.9273735021</v>
      </c>
      <c r="Y193">
        <f ca="1" t="shared" si="381"/>
        <v>2.9273735021</v>
      </c>
      <c r="Z193">
        <f t="shared" si="317"/>
        <v>0.150390625</v>
      </c>
      <c r="AA193">
        <f ca="1" t="shared" si="382"/>
        <v>0.0205078125</v>
      </c>
      <c r="AB193">
        <f ca="1" t="shared" si="383"/>
        <v>2509825.31214181</v>
      </c>
      <c r="AC193">
        <f ca="1">无穷技能数计算!$AJ185</f>
        <v>20</v>
      </c>
      <c r="AD193" s="164">
        <f ca="1" t="shared" si="336"/>
        <v>0.0196725520562707</v>
      </c>
      <c r="AE193" s="168"/>
      <c r="AF193" s="168">
        <f ca="1" t="shared" si="362"/>
        <v>1.0014</v>
      </c>
      <c r="AG193">
        <f ca="1">无穷技能数计算!$AJ185</f>
        <v>20</v>
      </c>
      <c r="AH193">
        <f ca="1" t="shared" si="189"/>
        <v>109879</v>
      </c>
      <c r="AJ193">
        <f ca="1" t="shared" si="363"/>
        <v>3.1265922521</v>
      </c>
      <c r="AK193">
        <f ca="1" t="shared" si="329"/>
        <v>267314.25</v>
      </c>
      <c r="AL193">
        <f ca="1" t="shared" si="191"/>
        <v>2778127.15709236</v>
      </c>
      <c r="AM193" s="169">
        <f ca="1" t="shared" si="364"/>
        <v>1.0229</v>
      </c>
      <c r="AN193">
        <f ca="1">无穷技能数计算!$AJ185</f>
        <v>20</v>
      </c>
      <c r="AO193" s="170">
        <f ca="1" t="shared" si="193"/>
        <v>2778127.15709236</v>
      </c>
      <c r="AP193">
        <f ca="1" t="shared" si="194"/>
        <v>110956</v>
      </c>
      <c r="AQ193" s="170">
        <f ca="1" t="shared" si="330"/>
        <v>269499</v>
      </c>
      <c r="AR193">
        <f ca="1" t="shared" si="318"/>
        <v>2775455.23087452</v>
      </c>
      <c r="AS193">
        <f ca="1" t="shared" si="365"/>
        <v>1.08</v>
      </c>
      <c r="AT193">
        <f ca="1">无穷技能数计算!$AJ185</f>
        <v>20</v>
      </c>
      <c r="AU193">
        <f ca="1" t="shared" si="366"/>
        <v>3.0738578771</v>
      </c>
      <c r="AV193">
        <f ca="1" t="shared" si="342"/>
        <v>1.7995442148</v>
      </c>
      <c r="AW193">
        <f ca="1" t="shared" si="226"/>
        <v>2653931.14315344</v>
      </c>
      <c r="AX193">
        <f ca="1" t="shared" si="367"/>
        <v>1.07</v>
      </c>
      <c r="AY193">
        <f ca="1">无穷技能数计算!$AJ185</f>
        <v>20</v>
      </c>
      <c r="AZ193" s="170">
        <f ca="1" t="shared" si="227"/>
        <v>2653931.14315344</v>
      </c>
      <c r="BA193">
        <f ca="1" t="shared" si="368"/>
        <v>1.06</v>
      </c>
      <c r="BB193">
        <f ca="1">无穷技能数计算!$AJ185</f>
        <v>20</v>
      </c>
      <c r="BC193" s="170">
        <f ca="1" t="shared" si="228"/>
        <v>2653931.14315344</v>
      </c>
      <c r="BE193">
        <f ca="1" t="shared" si="200"/>
        <v>105849</v>
      </c>
      <c r="BF193">
        <f ca="1" t="shared" si="319"/>
        <v>258008.25</v>
      </c>
      <c r="BI193">
        <f ca="1" t="shared" si="369"/>
        <v>1.05</v>
      </c>
      <c r="BJ193">
        <f ca="1">无穷技能数计算!$AJ185</f>
        <v>20</v>
      </c>
      <c r="BK193">
        <f ca="1" t="shared" si="203"/>
        <v>2678773.70154145</v>
      </c>
      <c r="BM193">
        <f ca="1" t="shared" si="204"/>
        <v>109230</v>
      </c>
      <c r="BN193">
        <f ca="1" t="shared" si="320"/>
        <v>265615.5</v>
      </c>
      <c r="BO193">
        <f ca="1" t="shared" si="321"/>
        <v>2790541.05097763</v>
      </c>
      <c r="BP193">
        <f ca="1" t="shared" si="346"/>
        <v>2661178.07438972</v>
      </c>
      <c r="BR193">
        <f ca="1" t="shared" si="370"/>
        <v>1.05</v>
      </c>
      <c r="BS193">
        <f ca="1" t="shared" si="208"/>
        <v>2679874.43837202</v>
      </c>
      <c r="BT193">
        <f ca="1" t="shared" si="322"/>
        <v>0.196995876306796</v>
      </c>
      <c r="BU193">
        <f ca="1" t="shared" si="371"/>
        <v>3.0738578771</v>
      </c>
      <c r="BV193">
        <f ca="1" t="shared" si="229"/>
        <v>2688246.76115448</v>
      </c>
      <c r="BW193">
        <f ca="1" t="shared" si="211"/>
        <v>113027</v>
      </c>
      <c r="BX193">
        <f ca="1" t="shared" si="323"/>
        <v>274158.75</v>
      </c>
      <c r="BY193">
        <f ca="1" t="shared" si="372"/>
        <v>1.03</v>
      </c>
      <c r="BZ193">
        <f ca="1">无穷技能数计算!$AJ185</f>
        <v>20</v>
      </c>
      <c r="CA193">
        <f ca="1" t="shared" si="373"/>
        <v>3.0777641271</v>
      </c>
      <c r="CB193">
        <f ca="1" t="shared" si="230"/>
        <v>2803992.08862138</v>
      </c>
      <c r="CC193">
        <f ca="1" t="shared" si="215"/>
        <v>114847</v>
      </c>
      <c r="CD193">
        <f ca="1" t="shared" si="324"/>
        <v>278253.75</v>
      </c>
      <c r="CE193">
        <f ca="1" t="shared" si="217"/>
        <v>2787799.57727135</v>
      </c>
      <c r="CF193">
        <f ca="1" t="shared" si="374"/>
        <v>3.0250297521</v>
      </c>
      <c r="CG193">
        <f ca="1" t="shared" si="375"/>
        <v>1.03</v>
      </c>
      <c r="CH193">
        <f ca="1" t="shared" si="231"/>
        <v>2611773.53965306</v>
      </c>
      <c r="CJ193">
        <f ca="1" t="shared" si="325"/>
        <v>265615.5</v>
      </c>
      <c r="CK193">
        <f ca="1" t="shared" si="326"/>
        <v>2777900.05210572</v>
      </c>
      <c r="CL193">
        <f ca="1" t="shared" si="331"/>
        <v>3.0476860021</v>
      </c>
      <c r="CM193">
        <f ca="1">IF(G193="恒定伤害",0,(IF(D193="轻剑",$CM$8,$CM$9)+IFERROR(INDEX(技能数据库!$T$2:$W$27,MATCH(E193,技能数据库!$T$2:$T$27,0),4),0)+COUNTIF(G193,"*造化2*")*154+COUNTIF(G193,"*造化1*")*102+COUNTIF(G193,"*碧归*")*307)/1024)</f>
        <v>0.176868146929785</v>
      </c>
      <c r="CN193">
        <f ca="1" t="shared" si="233"/>
        <v>2774052.62460697</v>
      </c>
      <c r="CO193">
        <f ca="1" t="shared" si="332"/>
        <v>3.0762602208</v>
      </c>
      <c r="CP193">
        <f ca="1" t="shared" si="235"/>
        <v>2800061.33624137</v>
      </c>
      <c r="CQ193">
        <f ca="1" t="shared" si="353"/>
        <v>1.8815754648</v>
      </c>
      <c r="CR193">
        <f ca="1">IF(G193="恒定伤害",0,(IF(D193="轻剑",$CR$8,$CR$9)+IFERROR(INDEX(技能数据库!$T$2:$W$27,MATCH(E193,技能数据库!$T$2:$T$27,0),4),0)+COUNTIF(G193,"*造化2*")*154+COUNTIF(G193,"*造化1*")*102+COUNTIF(G193,"*碧归*")*307)/1024)</f>
        <v>0.167102521929785</v>
      </c>
      <c r="CS193">
        <f ca="1" t="shared" si="333"/>
        <v>2719859.5510339</v>
      </c>
    </row>
    <row r="194" spans="4:97">
      <c r="D194" t="s">
        <v>1825</v>
      </c>
      <c r="E194" t="s">
        <v>2776</v>
      </c>
      <c r="G194" t="s">
        <v>3111</v>
      </c>
      <c r="H194">
        <f ca="1">INDEX(技能数据库!$B$2:$I$100,MATCH(无穷阵眼收益计算!$E194,技能数据库!$B$2:$B$100,0),MATCH(H$9,技能数据库!$B$2:$I$2,0))</f>
        <v>281.5</v>
      </c>
      <c r="I194">
        <f ca="1">INDEX(技能数据库!$B$2:$I$100,MATCH(无穷阵眼收益计算!$E194,技能数据库!$B$2:$B$100,0),MATCH(I$9,技能数据库!$B$2:$I$2,0))</f>
        <v>7.06875</v>
      </c>
      <c r="J194">
        <f ca="1">INDEX(技能数据库!$B$2:$I$100,MATCH(无穷阵眼收益计算!$E194,技能数据库!$B$2:$B$100,0),MATCH(J$9,技能数据库!$B$2:$I$2,0))</f>
        <v>2</v>
      </c>
      <c r="K194">
        <f ca="1">INDEX(技能数据库!$B$2:$I$100,MATCH(无穷阵眼收益计算!$E194,技能数据库!$B$2:$B$100,0),MATCH(K$9,技能数据库!$B$2:$I$2,0))</f>
        <v>0</v>
      </c>
      <c r="L194">
        <f ca="1" t="shared" si="186"/>
        <v>105847</v>
      </c>
      <c r="M194">
        <f ca="1" t="shared" si="376"/>
        <v>19530.5</v>
      </c>
      <c r="N194">
        <f ca="1" t="shared" si="377"/>
        <v>92028</v>
      </c>
      <c r="O194">
        <f ca="1" t="shared" si="327"/>
        <v>787548.48125</v>
      </c>
      <c r="P194">
        <f ca="1">IF(G194="恒定伤害",0,(IF(D194="轻剑",$AZ$2,$AZ$3)+IFERROR(INDEX(技能数据库!$T$2:$W$27,MATCH(E194,技能数据库!$T$2:$T$27,0),4),0)+COUNTIF(G194,"*造化2*")*154+COUNTIF(G194,"*造化1*")*102+COUNTIF(G194,"*碧归*")*307)/1024)</f>
        <v>0.636829084429785</v>
      </c>
      <c r="Q194">
        <f ca="1" t="shared" si="334"/>
        <v>0.448284482196154</v>
      </c>
      <c r="R194">
        <f ca="1" t="shared" si="328"/>
        <v>0.21277697966198</v>
      </c>
      <c r="S194">
        <f ca="1" t="shared" si="378"/>
        <v>1469712.18391797</v>
      </c>
      <c r="T194">
        <f t="shared" si="379"/>
        <v>0.8</v>
      </c>
      <c r="U194">
        <f ca="1" t="shared" si="335"/>
        <v>1.7800129648</v>
      </c>
      <c r="V194">
        <f ca="1" t="shared" si="380"/>
        <v>3268655.14065319</v>
      </c>
      <c r="W194">
        <f ca="1">IF(G194="恒定伤害",0,MIN(1,IF(COUNTIF(F194,"*内会*")&gt;0,内会2,IF(D194="轻剑",$Y$2,$Y$3)+COUNTIF(G194,"*莺鸣*")*0.2+COUNTIF(G194,"*叠1*")*0.1+COUNTIF(G194,"*叠2*")*0.2+COUNTIF(G194,"*叠3*")*0.3)+IFERROR(INDEX(技能数据库!$T$2:$W$27,MATCH(E194,技能数据库!$T$2:$T$27,0),2),0)+IF((IF(D194="轻剑",$AO$2,$AO$3)+INT(COUNTIF(G194,"*大莺鸣*")*IF(D194="轻剑",$AM$2,$AM$3)*听晓无双率)/无双系数)&gt;0.9,特效裤子会心/会心系数,0)))</f>
        <v>0.8043</v>
      </c>
      <c r="X194">
        <f ca="1">IF(G194="恒定伤害",0,IF(COUNTIF(F194,"*内会*")&gt;0,内会效2,IF(D194="轻剑",$AB$2,$AB$3))+IFERROR(INDEX(技能数据库!$T$2:$W$27,MATCH(E194,技能数据库!$T$2:$T$27,0),3)/1024,0))+COUNTIF(G194,"*叠1*")*0.25+COUNTIF(G194,"*叠2*")*0.5+COUNTIF(G194,"*叠3*")*0.75</f>
        <v>2.4273735021</v>
      </c>
      <c r="Y194">
        <f ca="1" t="shared" si="381"/>
        <v>2.14803650773903</v>
      </c>
      <c r="Z194">
        <f t="shared" si="317"/>
        <v>0.150390625</v>
      </c>
      <c r="AA194">
        <f ca="1" t="shared" si="382"/>
        <v>0.0205078125</v>
      </c>
      <c r="AB194">
        <f ca="1" t="shared" si="383"/>
        <v>8242755.70647937</v>
      </c>
      <c r="AC194">
        <f ca="1">无穷技能数计算!$AJ186</f>
        <v>0</v>
      </c>
      <c r="AD194" s="164">
        <f ca="1" t="shared" si="336"/>
        <v>0</v>
      </c>
      <c r="AE194" s="168"/>
      <c r="AF194" s="168">
        <f ca="1" t="shared" si="362"/>
        <v>0.8057</v>
      </c>
      <c r="AG194">
        <f ca="1">无穷技能数计算!$AJ186</f>
        <v>0</v>
      </c>
      <c r="AH194">
        <f ca="1" t="shared" si="189"/>
        <v>109879</v>
      </c>
      <c r="AJ194">
        <f ca="1" t="shared" si="363"/>
        <v>2.6265922521</v>
      </c>
      <c r="AK194">
        <f ca="1" t="shared" si="329"/>
        <v>816526.68125</v>
      </c>
      <c r="AL194">
        <f ca="1" t="shared" si="191"/>
        <v>9195127.96070818</v>
      </c>
      <c r="AM194" s="169">
        <f ca="1" t="shared" si="364"/>
        <v>0.8272</v>
      </c>
      <c r="AN194">
        <f ca="1">无穷技能数计算!$AJ186</f>
        <v>0</v>
      </c>
      <c r="AO194" s="170">
        <f ca="1" t="shared" si="193"/>
        <v>9334302.70574246</v>
      </c>
      <c r="AP194">
        <f ca="1" t="shared" si="194"/>
        <v>110956</v>
      </c>
      <c r="AQ194" s="170">
        <f ca="1" t="shared" si="330"/>
        <v>823662.725</v>
      </c>
      <c r="AR194">
        <f ca="1" t="shared" si="318"/>
        <v>9126497.4013465</v>
      </c>
      <c r="AS194">
        <f ca="1" t="shared" si="365"/>
        <v>0.8843</v>
      </c>
      <c r="AT194">
        <f ca="1">无穷技能数计算!$AJ186</f>
        <v>0</v>
      </c>
      <c r="AU194">
        <f ca="1" t="shared" si="366"/>
        <v>2.5738578771</v>
      </c>
      <c r="AV194">
        <f ca="1" t="shared" si="342"/>
        <v>1.7995442148</v>
      </c>
      <c r="AW194">
        <f ca="1" t="shared" si="226"/>
        <v>9242497.3812558</v>
      </c>
      <c r="AX194">
        <f ca="1" t="shared" si="367"/>
        <v>0.8743</v>
      </c>
      <c r="AY194">
        <f ca="1">无穷技能数计算!$AJ186</f>
        <v>0</v>
      </c>
      <c r="AZ194" s="170">
        <f ca="1" t="shared" si="227"/>
        <v>9181678.72897928</v>
      </c>
      <c r="BA194">
        <f ca="1" t="shared" si="368"/>
        <v>0.8643</v>
      </c>
      <c r="BB194">
        <f ca="1">无穷技能数计算!$AJ186</f>
        <v>0</v>
      </c>
      <c r="BC194" s="170">
        <f ca="1" t="shared" si="228"/>
        <v>9120860.07670276</v>
      </c>
      <c r="BE194">
        <f ca="1" t="shared" si="200"/>
        <v>105849</v>
      </c>
      <c r="BF194">
        <f ca="1" t="shared" si="319"/>
        <v>787562.61875</v>
      </c>
      <c r="BI194">
        <f ca="1" t="shared" si="369"/>
        <v>0.8543</v>
      </c>
      <c r="BJ194">
        <f ca="1">无穷技能数计算!$AJ186</f>
        <v>0</v>
      </c>
      <c r="BK194">
        <f ca="1" t="shared" si="203"/>
        <v>9089921.22038337</v>
      </c>
      <c r="BM194">
        <f ca="1" t="shared" si="204"/>
        <v>109230</v>
      </c>
      <c r="BN194">
        <f ca="1" t="shared" si="320"/>
        <v>811462.0625</v>
      </c>
      <c r="BO194">
        <f ca="1" t="shared" si="321"/>
        <v>9172355.42783112</v>
      </c>
      <c r="BP194">
        <f ca="1" t="shared" si="346"/>
        <v>8747146.41682202</v>
      </c>
      <c r="BR194">
        <f ca="1" t="shared" si="370"/>
        <v>0.8543</v>
      </c>
      <c r="BS194">
        <f ca="1" t="shared" si="208"/>
        <v>9101266.75128054</v>
      </c>
      <c r="BT194">
        <f ca="1" t="shared" si="322"/>
        <v>0.196995876306796</v>
      </c>
      <c r="BU194">
        <f ca="1" t="shared" si="371"/>
        <v>2.5738578771</v>
      </c>
      <c r="BV194">
        <f ca="1" t="shared" si="229"/>
        <v>9177188.74431671</v>
      </c>
      <c r="BW194">
        <f ca="1" t="shared" si="211"/>
        <v>113027</v>
      </c>
      <c r="BX194">
        <f ca="1" t="shared" si="323"/>
        <v>838302.10625</v>
      </c>
      <c r="BY194">
        <f ca="1" t="shared" si="372"/>
        <v>0.8343</v>
      </c>
      <c r="BZ194">
        <f ca="1">无穷技能数计算!$AJ186</f>
        <v>0</v>
      </c>
      <c r="CA194">
        <f ca="1" t="shared" si="373"/>
        <v>2.5777641271</v>
      </c>
      <c r="CB194">
        <f ca="1" t="shared" si="230"/>
        <v>9461373.80161022</v>
      </c>
      <c r="CC194">
        <f ca="1" t="shared" si="215"/>
        <v>114847</v>
      </c>
      <c r="CD194">
        <f ca="1" t="shared" si="324"/>
        <v>851167.23125</v>
      </c>
      <c r="CE194">
        <f ca="1" t="shared" si="217"/>
        <v>9358054.83646153</v>
      </c>
      <c r="CF194">
        <f ca="1" t="shared" si="374"/>
        <v>2.5250297521</v>
      </c>
      <c r="CG194">
        <f ca="1" t="shared" si="375"/>
        <v>0.8343</v>
      </c>
      <c r="CH194">
        <f ca="1" t="shared" si="231"/>
        <v>8780982.79203152</v>
      </c>
      <c r="CJ194">
        <f ca="1" t="shared" si="325"/>
        <v>811462.0625</v>
      </c>
      <c r="CK194">
        <f ca="1" t="shared" si="326"/>
        <v>9130805.15765134</v>
      </c>
      <c r="CL194">
        <f ca="1" t="shared" si="331"/>
        <v>2.5476860021</v>
      </c>
      <c r="CM194">
        <f ca="1">IF(G194="恒定伤害",0,(IF(D194="轻剑",$CM$8,$CM$9)+IFERROR(INDEX(技能数据库!$T$2:$W$27,MATCH(E194,技能数据库!$T$2:$T$27,0),4),0)+COUNTIF(G194,"*造化2*")*154+COUNTIF(G194,"*造化1*")*102+COUNTIF(G194,"*碧归*")*307)/1024)</f>
        <v>0.697375959429785</v>
      </c>
      <c r="CN194">
        <f ca="1" t="shared" si="233"/>
        <v>9181539.78849947</v>
      </c>
      <c r="CO194">
        <f ca="1" t="shared" si="332"/>
        <v>2.5762602208</v>
      </c>
      <c r="CP194">
        <f ca="1" t="shared" si="235"/>
        <v>9277070.40963554</v>
      </c>
      <c r="CQ194">
        <f ca="1" t="shared" si="353"/>
        <v>1.8815754648</v>
      </c>
      <c r="CR194">
        <f ca="1">IF(G194="恒定伤害",0,(IF(D194="轻剑",$CR$8,$CR$9)+IFERROR(INDEX(技能数据库!$T$2:$W$27,MATCH(E194,技能数据库!$T$2:$T$27,0),4),0)+COUNTIF(G194,"*造化2*")*154+COUNTIF(G194,"*造化1*")*102+COUNTIF(G194,"*碧归*")*307)/1024)</f>
        <v>0.687610334429785</v>
      </c>
      <c r="CS194">
        <f ca="1" t="shared" si="333"/>
        <v>8808956.14728825</v>
      </c>
    </row>
    <row r="195" spans="4:97">
      <c r="D195" t="s">
        <v>1825</v>
      </c>
      <c r="E195" t="s">
        <v>2776</v>
      </c>
      <c r="G195" t="s">
        <v>3112</v>
      </c>
      <c r="H195">
        <f ca="1">INDEX(技能数据库!$B$2:$I$100,MATCH(无穷阵眼收益计算!$E195,技能数据库!$B$2:$B$100,0),MATCH(H$9,技能数据库!$B$2:$I$2,0))</f>
        <v>281.5</v>
      </c>
      <c r="I195">
        <f ca="1">INDEX(技能数据库!$B$2:$I$100,MATCH(无穷阵眼收益计算!$E195,技能数据库!$B$2:$B$100,0),MATCH(I$9,技能数据库!$B$2:$I$2,0))</f>
        <v>7.06875</v>
      </c>
      <c r="J195">
        <f ca="1">INDEX(技能数据库!$B$2:$I$100,MATCH(无穷阵眼收益计算!$E195,技能数据库!$B$2:$B$100,0),MATCH(J$9,技能数据库!$B$2:$I$2,0))</f>
        <v>2</v>
      </c>
      <c r="K195">
        <f ca="1">INDEX(技能数据库!$B$2:$I$100,MATCH(无穷阵眼收益计算!$E195,技能数据库!$B$2:$B$100,0),MATCH(K$9,技能数据库!$B$2:$I$2,0))</f>
        <v>0</v>
      </c>
      <c r="L195">
        <f ca="1" t="shared" si="186"/>
        <v>105847</v>
      </c>
      <c r="M195">
        <f ca="1" t="shared" si="376"/>
        <v>19530.5</v>
      </c>
      <c r="N195">
        <f ca="1" t="shared" si="377"/>
        <v>92028</v>
      </c>
      <c r="O195">
        <f ca="1" t="shared" si="327"/>
        <v>787548.48125</v>
      </c>
      <c r="P195">
        <f ca="1">IF(G195="恒定伤害",0,(IF(D195="轻剑",$AZ$2,$AZ$3)+IFERROR(INDEX(技能数据库!$T$2:$W$27,MATCH(E195,技能数据库!$T$2:$T$27,0),4),0)+COUNTIF(G195,"*造化2*")*154+COUNTIF(G195,"*造化1*")*102+COUNTIF(G195,"*碧归*")*307)/1024)</f>
        <v>0.636829084429785</v>
      </c>
      <c r="Q195">
        <f ca="1" t="shared" si="334"/>
        <v>0.448284482196154</v>
      </c>
      <c r="R195">
        <f ca="1" t="shared" si="328"/>
        <v>0.21277697966198</v>
      </c>
      <c r="S195">
        <f ca="1" t="shared" si="378"/>
        <v>1469712.18391797</v>
      </c>
      <c r="T195">
        <f t="shared" si="379"/>
        <v>0.8</v>
      </c>
      <c r="U195">
        <f ca="1" t="shared" si="335"/>
        <v>1.7800129648</v>
      </c>
      <c r="V195">
        <f ca="1" t="shared" si="380"/>
        <v>3268655.14065319</v>
      </c>
      <c r="W195">
        <f ca="1">IF(G195="恒定伤害",0,MIN(1,IF(COUNTIF(F195,"*内会*")&gt;0,内会2,IF(D195="轻剑",$Y$2,$Y$3)+COUNTIF(G195,"*莺鸣*")*0.2+COUNTIF(G195,"*叠1*")*0.1+COUNTIF(G195,"*叠2*")*0.2+COUNTIF(G195,"*叠3*")*0.3)+IFERROR(INDEX(技能数据库!$T$2:$W$27,MATCH(E195,技能数据库!$T$2:$T$27,0),2),0)+IF((IF(D195="轻剑",$AO$2,$AO$3)+INT(COUNTIF(G195,"*大莺鸣*")*IF(D195="轻剑",$AM$2,$AM$3)*听晓无双率)/无双系数)&gt;0.9,特效裤子会心/会心系数,0)))</f>
        <v>0.9043</v>
      </c>
      <c r="X195">
        <f ca="1">IF(G195="恒定伤害",0,IF(COUNTIF(F195,"*内会*")&gt;0,内会效2,IF(D195="轻剑",$AB$2,$AB$3))+IFERROR(INDEX(技能数据库!$T$2:$W$27,MATCH(E195,技能数据库!$T$2:$T$27,0),3)/1024,0))+COUNTIF(G195,"*叠1*")*0.25+COUNTIF(G195,"*叠2*")*0.5+COUNTIF(G195,"*叠3*")*0.75</f>
        <v>2.6773735021</v>
      </c>
      <c r="Y195">
        <f ca="1" t="shared" si="381"/>
        <v>2.51684885794903</v>
      </c>
      <c r="Z195">
        <f t="shared" si="317"/>
        <v>0.150390625</v>
      </c>
      <c r="AA195">
        <f ca="1" t="shared" si="382"/>
        <v>0.0205078125</v>
      </c>
      <c r="AB195">
        <f ca="1" t="shared" si="383"/>
        <v>9658015.68616818</v>
      </c>
      <c r="AC195">
        <f ca="1">无穷技能数计算!$AJ187</f>
        <v>0</v>
      </c>
      <c r="AD195" s="164">
        <f ca="1" t="shared" si="336"/>
        <v>0</v>
      </c>
      <c r="AE195" s="168"/>
      <c r="AF195" s="168">
        <f ca="1" t="shared" si="362"/>
        <v>0.9057</v>
      </c>
      <c r="AG195">
        <f ca="1">无穷技能数计算!$AJ187</f>
        <v>0</v>
      </c>
      <c r="AH195">
        <f ca="1" t="shared" si="189"/>
        <v>109879</v>
      </c>
      <c r="AJ195">
        <f ca="1" t="shared" si="363"/>
        <v>2.8765922521</v>
      </c>
      <c r="AK195">
        <f ca="1" t="shared" si="329"/>
        <v>816526.68125</v>
      </c>
      <c r="AL195">
        <f ca="1" t="shared" si="191"/>
        <v>10743541.2803997</v>
      </c>
      <c r="AM195" s="169">
        <f ca="1" t="shared" si="364"/>
        <v>0.9272</v>
      </c>
      <c r="AN195">
        <f ca="1">无穷技能数计算!$AJ187</f>
        <v>0</v>
      </c>
      <c r="AO195" s="170">
        <f ca="1" t="shared" si="193"/>
        <v>10904106.5652043</v>
      </c>
      <c r="AP195">
        <f ca="1" t="shared" si="194"/>
        <v>110956</v>
      </c>
      <c r="AQ195" s="170">
        <f ca="1" t="shared" si="330"/>
        <v>823662.725</v>
      </c>
      <c r="AR195">
        <f ca="1" t="shared" si="318"/>
        <v>10693493.5597679</v>
      </c>
      <c r="AS195">
        <f ca="1" t="shared" si="365"/>
        <v>0.9843</v>
      </c>
      <c r="AT195">
        <f ca="1">无穷技能数计算!$AJ187</f>
        <v>0</v>
      </c>
      <c r="AU195">
        <f ca="1" t="shared" si="366"/>
        <v>2.8238578771</v>
      </c>
      <c r="AV195">
        <f ca="1" t="shared" si="342"/>
        <v>1.7995442148</v>
      </c>
      <c r="AW195">
        <f ca="1" t="shared" si="226"/>
        <v>10801592.501087</v>
      </c>
      <c r="AX195">
        <f ca="1" t="shared" si="367"/>
        <v>0.9743</v>
      </c>
      <c r="AY195">
        <f ca="1">无穷技能数计算!$AJ187</f>
        <v>0</v>
      </c>
      <c r="AZ195" s="170">
        <f ca="1" t="shared" si="227"/>
        <v>10731113.0889094</v>
      </c>
      <c r="BA195">
        <f ca="1" t="shared" si="368"/>
        <v>0.9643</v>
      </c>
      <c r="BB195">
        <f ca="1">无穷技能数计算!$AJ187</f>
        <v>0</v>
      </c>
      <c r="BC195" s="170">
        <f ca="1" t="shared" si="228"/>
        <v>10660633.6767318</v>
      </c>
      <c r="BE195">
        <f ca="1" t="shared" si="200"/>
        <v>105849</v>
      </c>
      <c r="BF195">
        <f ca="1" t="shared" si="319"/>
        <v>787562.61875</v>
      </c>
      <c r="BI195">
        <f ca="1" t="shared" si="369"/>
        <v>0.9543</v>
      </c>
      <c r="BJ195">
        <f ca="1">无穷技能数计算!$AJ187</f>
        <v>0</v>
      </c>
      <c r="BK195">
        <f ca="1" t="shared" si="203"/>
        <v>10651645.6186866</v>
      </c>
      <c r="BM195">
        <f ca="1" t="shared" si="204"/>
        <v>109230</v>
      </c>
      <c r="BN195">
        <f ca="1" t="shared" si="320"/>
        <v>811462.0625</v>
      </c>
      <c r="BO195">
        <f ca="1" t="shared" si="321"/>
        <v>10747225.2915936</v>
      </c>
      <c r="BP195">
        <f ca="1" t="shared" si="346"/>
        <v>10249008.9857291</v>
      </c>
      <c r="BR195">
        <f ca="1" t="shared" si="370"/>
        <v>0.9543</v>
      </c>
      <c r="BS195">
        <f ca="1" t="shared" si="208"/>
        <v>10664940.4065668</v>
      </c>
      <c r="BT195">
        <f ca="1" t="shared" si="322"/>
        <v>0.196995876306796</v>
      </c>
      <c r="BU195">
        <f ca="1" t="shared" si="371"/>
        <v>2.8238578771</v>
      </c>
      <c r="BV195">
        <f ca="1" t="shared" si="229"/>
        <v>10727086.1096972</v>
      </c>
      <c r="BW195">
        <f ca="1" t="shared" si="211"/>
        <v>113027</v>
      </c>
      <c r="BX195">
        <f ca="1" t="shared" si="323"/>
        <v>838302.10625</v>
      </c>
      <c r="BY195">
        <f ca="1" t="shared" si="372"/>
        <v>0.9343</v>
      </c>
      <c r="BZ195">
        <f ca="1">无穷技能数计算!$AJ187</f>
        <v>0</v>
      </c>
      <c r="CA195">
        <f ca="1" t="shared" si="373"/>
        <v>2.8277641271</v>
      </c>
      <c r="CB195">
        <f ca="1" t="shared" si="230"/>
        <v>11059904.3319809</v>
      </c>
      <c r="CC195">
        <f ca="1" t="shared" si="215"/>
        <v>114847</v>
      </c>
      <c r="CD195">
        <f ca="1" t="shared" si="324"/>
        <v>851167.23125</v>
      </c>
      <c r="CE195">
        <f ca="1" t="shared" si="217"/>
        <v>10965439.7379661</v>
      </c>
      <c r="CF195">
        <f ca="1" t="shared" si="374"/>
        <v>2.7750297521</v>
      </c>
      <c r="CG195">
        <f ca="1" t="shared" si="375"/>
        <v>0.9343</v>
      </c>
      <c r="CH195">
        <f ca="1" t="shared" si="231"/>
        <v>10272905.4406754</v>
      </c>
      <c r="CJ195">
        <f ca="1" t="shared" si="325"/>
        <v>811462.0625</v>
      </c>
      <c r="CK195">
        <f ca="1" t="shared" si="326"/>
        <v>10698540.946764</v>
      </c>
      <c r="CL195">
        <f ca="1" t="shared" si="331"/>
        <v>2.7976860021</v>
      </c>
      <c r="CM195">
        <f ca="1">IF(G195="恒定伤害",0,(IF(D195="轻剑",$CM$8,$CM$9)+IFERROR(INDEX(技能数据库!$T$2:$W$27,MATCH(E195,技能数据库!$T$2:$T$27,0),4),0)+COUNTIF(G195,"*造化2*")*154+COUNTIF(G195,"*造化1*")*102+COUNTIF(G195,"*碧归*")*307)/1024)</f>
        <v>0.697375959429785</v>
      </c>
      <c r="CN195">
        <f ca="1" t="shared" si="233"/>
        <v>10737728.0893719</v>
      </c>
      <c r="CO195">
        <f ca="1" t="shared" si="332"/>
        <v>2.8262602208</v>
      </c>
      <c r="CP195">
        <f ca="1" t="shared" si="235"/>
        <v>10844709.1025894</v>
      </c>
      <c r="CQ195">
        <f ca="1" t="shared" si="353"/>
        <v>1.8815754648</v>
      </c>
      <c r="CR195">
        <f ca="1">IF(G195="恒定伤害",0,(IF(D195="轻剑",$CR$8,$CR$9)+IFERROR(INDEX(技能数据库!$T$2:$W$27,MATCH(E195,技能数据库!$T$2:$T$27,0),4),0)+COUNTIF(G195,"*造化2*")*154+COUNTIF(G195,"*造化1*")*102+COUNTIF(G195,"*碧归*")*307)/1024)</f>
        <v>0.687610334429785</v>
      </c>
      <c r="CS195">
        <f ca="1" t="shared" si="333"/>
        <v>10321431.2881311</v>
      </c>
    </row>
    <row r="196" spans="4:97">
      <c r="D196" t="s">
        <v>1825</v>
      </c>
      <c r="E196" t="s">
        <v>2776</v>
      </c>
      <c r="G196" t="s">
        <v>3113</v>
      </c>
      <c r="H196">
        <f ca="1">INDEX(技能数据库!$B$2:$I$100,MATCH(无穷阵眼收益计算!$E196,技能数据库!$B$2:$B$100,0),MATCH(H$9,技能数据库!$B$2:$I$2,0))</f>
        <v>281.5</v>
      </c>
      <c r="I196">
        <f ca="1">INDEX(技能数据库!$B$2:$I$100,MATCH(无穷阵眼收益计算!$E196,技能数据库!$B$2:$B$100,0),MATCH(I$9,技能数据库!$B$2:$I$2,0))</f>
        <v>7.06875</v>
      </c>
      <c r="J196">
        <f ca="1">INDEX(技能数据库!$B$2:$I$100,MATCH(无穷阵眼收益计算!$E196,技能数据库!$B$2:$B$100,0),MATCH(J$9,技能数据库!$B$2:$I$2,0))</f>
        <v>2</v>
      </c>
      <c r="K196">
        <f ca="1">INDEX(技能数据库!$B$2:$I$100,MATCH(无穷阵眼收益计算!$E196,技能数据库!$B$2:$B$100,0),MATCH(K$9,技能数据库!$B$2:$I$2,0))</f>
        <v>0</v>
      </c>
      <c r="L196">
        <f ca="1" t="shared" si="186"/>
        <v>105847</v>
      </c>
      <c r="M196">
        <f ca="1" t="shared" si="376"/>
        <v>19530.5</v>
      </c>
      <c r="N196">
        <f ca="1" t="shared" si="377"/>
        <v>92028</v>
      </c>
      <c r="O196">
        <f ca="1" t="shared" si="327"/>
        <v>787548.48125</v>
      </c>
      <c r="P196">
        <f ca="1">IF(G196="恒定伤害",0,(IF(D196="轻剑",$AZ$2,$AZ$3)+IFERROR(INDEX(技能数据库!$T$2:$W$27,MATCH(E196,技能数据库!$T$2:$T$27,0),4),0)+COUNTIF(G196,"*造化2*")*154+COUNTIF(G196,"*造化1*")*102+COUNTIF(G196,"*碧归*")*307)/1024)</f>
        <v>0.636829084429785</v>
      </c>
      <c r="Q196">
        <f ca="1" t="shared" si="334"/>
        <v>0.448284482196154</v>
      </c>
      <c r="R196">
        <f ca="1" t="shared" si="328"/>
        <v>0.21277697966198</v>
      </c>
      <c r="S196">
        <f ca="1" t="shared" si="378"/>
        <v>1469712.18391797</v>
      </c>
      <c r="T196">
        <f t="shared" si="379"/>
        <v>0.8</v>
      </c>
      <c r="U196">
        <f ca="1" t="shared" si="335"/>
        <v>1.7800129648</v>
      </c>
      <c r="V196">
        <f ca="1" t="shared" si="380"/>
        <v>3268655.14065319</v>
      </c>
      <c r="W196">
        <f ca="1">IF(G196="恒定伤害",0,MIN(1,IF(COUNTIF(F196,"*内会*")&gt;0,内会2,IF(D196="轻剑",$Y$2,$Y$3)+COUNTIF(G196,"*莺鸣*")*0.2+COUNTIF(G196,"*叠1*")*0.1+COUNTIF(G196,"*叠2*")*0.2+COUNTIF(G196,"*叠3*")*0.3)+IFERROR(INDEX(技能数据库!$T$2:$W$27,MATCH(E196,技能数据库!$T$2:$T$27,0),2),0)+IF((IF(D196="轻剑",$AO$2,$AO$3)+INT(COUNTIF(G196,"*大莺鸣*")*IF(D196="轻剑",$AM$2,$AM$3)*听晓无双率)/无双系数)&gt;0.9,特效裤子会心/会心系数,0)))</f>
        <v>1</v>
      </c>
      <c r="X196">
        <f ca="1">IF(G196="恒定伤害",0,IF(COUNTIF(F196,"*内会*")&gt;0,内会效2,IF(D196="轻剑",$AB$2,$AB$3))+IFERROR(INDEX(技能数据库!$T$2:$W$27,MATCH(E196,技能数据库!$T$2:$T$27,0),3)/1024,0))+COUNTIF(G196,"*叠1*")*0.25+COUNTIF(G196,"*叠2*")*0.5+COUNTIF(G196,"*叠3*")*0.75</f>
        <v>2.9273735021</v>
      </c>
      <c r="Y196">
        <f ca="1" t="shared" si="381"/>
        <v>2.9273735021</v>
      </c>
      <c r="Z196">
        <f t="shared" si="317"/>
        <v>0.150390625</v>
      </c>
      <c r="AA196">
        <f ca="1" t="shared" si="382"/>
        <v>0.0205078125</v>
      </c>
      <c r="AB196">
        <f ca="1" t="shared" si="383"/>
        <v>11233340.1003643</v>
      </c>
      <c r="AC196">
        <f ca="1">无穷技能数计算!$AJ188</f>
        <v>14</v>
      </c>
      <c r="AD196" s="164">
        <f ca="1" t="shared" si="336"/>
        <v>0.0616345395732489</v>
      </c>
      <c r="AE196" s="168"/>
      <c r="AF196" s="168">
        <f ca="1" t="shared" si="362"/>
        <v>1.0014</v>
      </c>
      <c r="AG196">
        <f ca="1">无穷技能数计算!$AJ188</f>
        <v>14</v>
      </c>
      <c r="AH196">
        <f ca="1" t="shared" si="189"/>
        <v>109879</v>
      </c>
      <c r="AJ196">
        <f ca="1" t="shared" si="363"/>
        <v>3.1265922521</v>
      </c>
      <c r="AK196">
        <f ca="1" t="shared" si="329"/>
        <v>816526.68125</v>
      </c>
      <c r="AL196">
        <f ca="1" t="shared" si="191"/>
        <v>12442696.9142298</v>
      </c>
      <c r="AM196" s="169">
        <f ca="1" t="shared" si="364"/>
        <v>1.0229</v>
      </c>
      <c r="AN196">
        <f ca="1">无穷技能数计算!$AJ188</f>
        <v>14</v>
      </c>
      <c r="AO196" s="170">
        <f ca="1" t="shared" si="193"/>
        <v>12442696.9142298</v>
      </c>
      <c r="AP196">
        <f ca="1" t="shared" si="194"/>
        <v>110956</v>
      </c>
      <c r="AQ196" s="170">
        <f ca="1" t="shared" si="330"/>
        <v>823662.725</v>
      </c>
      <c r="AR196">
        <f ca="1" t="shared" si="318"/>
        <v>12437715.3569925</v>
      </c>
      <c r="AS196">
        <f ca="1" t="shared" si="365"/>
        <v>1.08</v>
      </c>
      <c r="AT196">
        <f ca="1">无穷技能数计算!$AJ188</f>
        <v>14</v>
      </c>
      <c r="AU196">
        <f ca="1" t="shared" si="366"/>
        <v>3.0738578771</v>
      </c>
      <c r="AV196">
        <f ca="1" t="shared" si="342"/>
        <v>1.7995442148</v>
      </c>
      <c r="AW196">
        <f ca="1" t="shared" si="226"/>
        <v>11878321.1683167</v>
      </c>
      <c r="AX196">
        <f ca="1" t="shared" si="367"/>
        <v>1.07</v>
      </c>
      <c r="AY196">
        <f ca="1">无穷技能数计算!$AJ188</f>
        <v>14</v>
      </c>
      <c r="AZ196" s="170">
        <f ca="1" t="shared" si="227"/>
        <v>11878321.1683167</v>
      </c>
      <c r="BA196">
        <f ca="1" t="shared" si="368"/>
        <v>1.06</v>
      </c>
      <c r="BB196">
        <f ca="1">无穷技能数计算!$AJ188</f>
        <v>14</v>
      </c>
      <c r="BC196" s="170">
        <f ca="1" t="shared" si="228"/>
        <v>11878321.1683167</v>
      </c>
      <c r="BE196">
        <f ca="1" t="shared" si="200"/>
        <v>105849</v>
      </c>
      <c r="BF196">
        <f ca="1" t="shared" si="319"/>
        <v>787562.61875</v>
      </c>
      <c r="BI196">
        <f ca="1" t="shared" si="369"/>
        <v>1.05</v>
      </c>
      <c r="BJ196">
        <f ca="1">无穷技能数计算!$AJ188</f>
        <v>14</v>
      </c>
      <c r="BK196">
        <f ca="1" t="shared" si="203"/>
        <v>11989516.2552645</v>
      </c>
      <c r="BM196">
        <f ca="1" t="shared" si="204"/>
        <v>109230</v>
      </c>
      <c r="BN196">
        <f ca="1" t="shared" si="320"/>
        <v>811462.0625</v>
      </c>
      <c r="BO196">
        <f ca="1" t="shared" si="321"/>
        <v>12500211.3020595</v>
      </c>
      <c r="BP196">
        <f ca="1" t="shared" si="346"/>
        <v>11920730.652081</v>
      </c>
      <c r="BR196">
        <f ca="1" t="shared" si="370"/>
        <v>1.05</v>
      </c>
      <c r="BS196">
        <f ca="1" t="shared" si="208"/>
        <v>12004480.8983916</v>
      </c>
      <c r="BT196">
        <f ca="1" t="shared" si="322"/>
        <v>0.196995876306796</v>
      </c>
      <c r="BU196">
        <f ca="1" t="shared" si="371"/>
        <v>3.0738578771</v>
      </c>
      <c r="BV196">
        <f ca="1" t="shared" si="229"/>
        <v>12031909.1514704</v>
      </c>
      <c r="BW196">
        <f ca="1" t="shared" si="211"/>
        <v>113027</v>
      </c>
      <c r="BX196">
        <f ca="1" t="shared" si="323"/>
        <v>838302.10625</v>
      </c>
      <c r="BY196">
        <f ca="1" t="shared" si="372"/>
        <v>1.03</v>
      </c>
      <c r="BZ196">
        <f ca="1">无穷技能数计算!$AJ188</f>
        <v>14</v>
      </c>
      <c r="CA196">
        <f ca="1" t="shared" si="373"/>
        <v>3.0777641271</v>
      </c>
      <c r="CB196">
        <f ca="1" t="shared" si="230"/>
        <v>12571565.510343</v>
      </c>
      <c r="CC196">
        <f ca="1" t="shared" si="215"/>
        <v>114847</v>
      </c>
      <c r="CD196">
        <f ca="1" t="shared" si="324"/>
        <v>851167.23125</v>
      </c>
      <c r="CE196">
        <f ca="1" t="shared" si="217"/>
        <v>12504016.8511992</v>
      </c>
      <c r="CF196">
        <f ca="1" t="shared" si="374"/>
        <v>3.0250297521</v>
      </c>
      <c r="CG196">
        <f ca="1" t="shared" si="375"/>
        <v>1.03</v>
      </c>
      <c r="CH196">
        <f ca="1" t="shared" si="231"/>
        <v>11689634.4514982</v>
      </c>
      <c r="CJ196">
        <f ca="1" t="shared" si="325"/>
        <v>811462.0625</v>
      </c>
      <c r="CK196">
        <f ca="1" t="shared" si="326"/>
        <v>12443586.0261431</v>
      </c>
      <c r="CL196">
        <f ca="1" t="shared" si="331"/>
        <v>3.0476860021</v>
      </c>
      <c r="CM196">
        <f ca="1">IF(G196="恒定伤害",0,(IF(D196="轻剑",$CM$8,$CM$9)+IFERROR(INDEX(技能数据库!$T$2:$W$27,MATCH(E196,技能数据库!$T$2:$T$27,0),4),0)+COUNTIF(G196,"*造化2*")*154+COUNTIF(G196,"*造化1*")*102+COUNTIF(G196,"*碧归*")*307)/1024)</f>
        <v>0.697375959429785</v>
      </c>
      <c r="CN196">
        <f ca="1" t="shared" si="233"/>
        <v>12212827.2453462</v>
      </c>
      <c r="CO196">
        <f ca="1" t="shared" si="332"/>
        <v>3.0762602208</v>
      </c>
      <c r="CP196">
        <f ca="1" t="shared" si="235"/>
        <v>12327331.1661614</v>
      </c>
      <c r="CQ196">
        <f ca="1" t="shared" si="353"/>
        <v>1.8815754648</v>
      </c>
      <c r="CR196">
        <f ca="1">IF(G196="恒定伤害",0,(IF(D196="轻剑",$CR$8,$CR$9)+IFERROR(INDEX(技能数据库!$T$2:$W$27,MATCH(E196,技能数据库!$T$2:$T$27,0),4),0)+COUNTIF(G196,"*造化2*")*154+COUNTIF(G196,"*造化1*")*102+COUNTIF(G196,"*碧归*")*307)/1024)</f>
        <v>0.687610334429785</v>
      </c>
      <c r="CS196">
        <f ca="1" t="shared" si="333"/>
        <v>12004965.7972878</v>
      </c>
    </row>
    <row r="197" spans="4:97">
      <c r="D197" t="s">
        <v>1825</v>
      </c>
      <c r="E197" t="s">
        <v>2780</v>
      </c>
      <c r="G197" t="s">
        <v>3111</v>
      </c>
      <c r="H197">
        <f ca="1">INDEX(技能数据库!$B$2:$I$100,MATCH(无穷阵眼收益计算!$E197,技能数据库!$B$2:$B$100,0),MATCH(H$9,技能数据库!$B$2:$I$2,0))</f>
        <v>252.5</v>
      </c>
      <c r="I197">
        <f ca="1">INDEX(技能数据库!$B$2:$I$100,MATCH(无穷阵眼收益计算!$E197,技能数据库!$B$2:$B$100,0),MATCH(I$9,技能数据库!$B$2:$I$2,0))</f>
        <v>2.11875</v>
      </c>
      <c r="J197">
        <f ca="1">INDEX(技能数据库!$B$2:$I$100,MATCH(无穷阵眼收益计算!$E197,技能数据库!$B$2:$B$100,0),MATCH(J$9,技能数据库!$B$2:$I$2,0))</f>
        <v>2</v>
      </c>
      <c r="K197">
        <f ca="1">INDEX(技能数据库!$B$2:$I$100,MATCH(无穷阵眼收益计算!$E197,技能数据库!$B$2:$B$100,0),MATCH(K$9,技能数据库!$B$2:$I$2,0))</f>
        <v>0</v>
      </c>
      <c r="L197">
        <f ca="1" t="shared" si="186"/>
        <v>105847</v>
      </c>
      <c r="M197">
        <f ca="1" t="shared" si="376"/>
        <v>19530.5</v>
      </c>
      <c r="N197">
        <f ca="1" t="shared" si="377"/>
        <v>92028</v>
      </c>
      <c r="O197">
        <f ca="1" t="shared" si="327"/>
        <v>263576.83125</v>
      </c>
      <c r="P197">
        <f ca="1">IF(G197="恒定伤害",0,(IF(D197="轻剑",$AZ$2,$AZ$3)+IFERROR(INDEX(技能数据库!$T$2:$W$27,MATCH(E197,技能数据库!$T$2:$T$27,0),4),0)+COUNTIF(G197,"*造化2*")*154+COUNTIF(G197,"*造化1*")*102+COUNTIF(G197,"*碧归*")*307)/1024)</f>
        <v>0.636829084429785</v>
      </c>
      <c r="Q197">
        <f ca="1" t="shared" si="334"/>
        <v>0.448284482196154</v>
      </c>
      <c r="R197">
        <f ca="1" t="shared" si="328"/>
        <v>0.21277697966198</v>
      </c>
      <c r="S197">
        <f ca="1" t="shared" si="378"/>
        <v>491883.470680767</v>
      </c>
      <c r="T197">
        <f t="shared" si="379"/>
        <v>0.8</v>
      </c>
      <c r="U197">
        <f ca="1" t="shared" si="335"/>
        <v>1.7800129648</v>
      </c>
      <c r="V197">
        <f ca="1" t="shared" si="380"/>
        <v>1093953.94053068</v>
      </c>
      <c r="W197">
        <f ca="1">IF(G197="恒定伤害",0,MIN(1,IF(COUNTIF(F197,"*内会*")&gt;0,内会2,IF(D197="轻剑",$Y$2,$Y$3)+COUNTIF(G197,"*莺鸣*")*0.2+COUNTIF(G197,"*叠1*")*0.1+COUNTIF(G197,"*叠2*")*0.2+COUNTIF(G197,"*叠3*")*0.3)+IFERROR(INDEX(技能数据库!$T$2:$W$27,MATCH(E197,技能数据库!$T$2:$T$27,0),2),0)+IF((IF(D197="轻剑",$AO$2,$AO$3)+INT(COUNTIF(G197,"*大莺鸣*")*IF(D197="轻剑",$AM$2,$AM$3)*听晓无双率)/无双系数)&gt;0.9,特效裤子会心/会心系数,0)))</f>
        <v>0.8043</v>
      </c>
      <c r="X197">
        <f ca="1">IF(G197="恒定伤害",0,IF(COUNTIF(F197,"*内会*")&gt;0,内会效2,IF(D197="轻剑",$AB$2,$AB$3))+IFERROR(INDEX(技能数据库!$T$2:$W$27,MATCH(E197,技能数据库!$T$2:$T$27,0),3)/1024,0))+COUNTIF(G197,"*叠1*")*0.25+COUNTIF(G197,"*叠2*")*0.5+COUNTIF(G197,"*叠3*")*0.75</f>
        <v>2.4273735021</v>
      </c>
      <c r="Y197">
        <f ca="1" t="shared" si="381"/>
        <v>2.14803650773903</v>
      </c>
      <c r="Z197">
        <f t="shared" si="317"/>
        <v>0.150390625</v>
      </c>
      <c r="AA197">
        <f ca="1" t="shared" si="382"/>
        <v>0.0205078125</v>
      </c>
      <c r="AB197">
        <f ca="1" t="shared" si="383"/>
        <v>2758686.58451773</v>
      </c>
      <c r="AC197">
        <f ca="1">无穷技能数计算!$AJ189</f>
        <v>0</v>
      </c>
      <c r="AD197" s="164">
        <f ca="1" t="shared" si="336"/>
        <v>0</v>
      </c>
      <c r="AE197" s="168"/>
      <c r="AF197" s="168">
        <f ca="1" t="shared" si="362"/>
        <v>0.8057</v>
      </c>
      <c r="AG197">
        <f ca="1">无穷技能数计算!$AJ189</f>
        <v>0</v>
      </c>
      <c r="AH197">
        <f ca="1" t="shared" si="189"/>
        <v>109879</v>
      </c>
      <c r="AJ197">
        <f ca="1" t="shared" si="363"/>
        <v>2.6265922521</v>
      </c>
      <c r="AK197">
        <f ca="1" t="shared" si="329"/>
        <v>272596.63125</v>
      </c>
      <c r="AL197">
        <f ca="1" t="shared" si="191"/>
        <v>3069784.44619164</v>
      </c>
      <c r="AM197" s="169">
        <f ca="1" t="shared" si="364"/>
        <v>0.8272</v>
      </c>
      <c r="AN197">
        <f ca="1">无穷技能数计算!$AJ189</f>
        <v>0</v>
      </c>
      <c r="AO197" s="170">
        <f ca="1" t="shared" si="193"/>
        <v>3116247.79824444</v>
      </c>
      <c r="AP197">
        <f ca="1" t="shared" si="194"/>
        <v>110956</v>
      </c>
      <c r="AQ197" s="170">
        <f ca="1" t="shared" si="330"/>
        <v>274401.525</v>
      </c>
      <c r="AR197">
        <f ca="1" t="shared" si="318"/>
        <v>3040473.64148719</v>
      </c>
      <c r="AS197">
        <f ca="1" t="shared" si="365"/>
        <v>0.8843</v>
      </c>
      <c r="AT197">
        <f ca="1">无穷技能数计算!$AJ189</f>
        <v>0</v>
      </c>
      <c r="AU197">
        <f ca="1" t="shared" si="366"/>
        <v>2.5738578771</v>
      </c>
      <c r="AV197">
        <f ca="1" t="shared" si="342"/>
        <v>1.7995442148</v>
      </c>
      <c r="AW197">
        <f ca="1" t="shared" si="226"/>
        <v>3093280.26221475</v>
      </c>
      <c r="AX197">
        <f ca="1" t="shared" si="367"/>
        <v>0.8743</v>
      </c>
      <c r="AY197">
        <f ca="1">无穷技能数计算!$AJ189</f>
        <v>0</v>
      </c>
      <c r="AZ197" s="170">
        <f ca="1" t="shared" si="227"/>
        <v>3072925.46752008</v>
      </c>
      <c r="BA197">
        <f ca="1" t="shared" si="368"/>
        <v>0.8643</v>
      </c>
      <c r="BB197">
        <f ca="1">无穷技能数计算!$AJ189</f>
        <v>0</v>
      </c>
      <c r="BC197" s="170">
        <f ca="1" t="shared" si="228"/>
        <v>3052570.67282541</v>
      </c>
      <c r="BE197">
        <f ca="1" t="shared" si="200"/>
        <v>105849</v>
      </c>
      <c r="BF197">
        <f ca="1" t="shared" si="319"/>
        <v>263581.06875</v>
      </c>
      <c r="BI197">
        <f ca="1" t="shared" si="369"/>
        <v>0.8543</v>
      </c>
      <c r="BJ197">
        <f ca="1">无穷技能数计算!$AJ189</f>
        <v>0</v>
      </c>
      <c r="BK197">
        <f ca="1" t="shared" si="203"/>
        <v>3042210.35011123</v>
      </c>
      <c r="BM197">
        <f ca="1" t="shared" si="204"/>
        <v>109230</v>
      </c>
      <c r="BN197">
        <f ca="1" t="shared" si="320"/>
        <v>270744.5625</v>
      </c>
      <c r="BO197">
        <f ca="1" t="shared" si="321"/>
        <v>3060359.16177244</v>
      </c>
      <c r="BP197">
        <f ca="1" t="shared" si="346"/>
        <v>2918488.04668662</v>
      </c>
      <c r="BR197">
        <f ca="1" t="shared" si="370"/>
        <v>0.8543</v>
      </c>
      <c r="BS197">
        <f ca="1" t="shared" si="208"/>
        <v>3036640.40334756</v>
      </c>
      <c r="BT197">
        <f ca="1" t="shared" si="322"/>
        <v>0.196995876306796</v>
      </c>
      <c r="BU197">
        <f ca="1" t="shared" si="371"/>
        <v>2.5738578771</v>
      </c>
      <c r="BV197">
        <f ca="1" t="shared" si="229"/>
        <v>3071422.75885147</v>
      </c>
      <c r="BW197">
        <f ca="1" t="shared" si="211"/>
        <v>113027</v>
      </c>
      <c r="BX197">
        <f ca="1" t="shared" si="323"/>
        <v>278789.45625</v>
      </c>
      <c r="BY197">
        <f ca="1" t="shared" si="372"/>
        <v>0.8343</v>
      </c>
      <c r="BZ197">
        <f ca="1">无穷技能数计算!$AJ189</f>
        <v>0</v>
      </c>
      <c r="CA197">
        <f ca="1" t="shared" si="373"/>
        <v>2.5777641271</v>
      </c>
      <c r="CB197">
        <f ca="1" t="shared" si="230"/>
        <v>3146516.31895373</v>
      </c>
      <c r="CC197">
        <f ca="1" t="shared" si="215"/>
        <v>114847</v>
      </c>
      <c r="CD197">
        <f ca="1" t="shared" si="324"/>
        <v>282645.58125</v>
      </c>
      <c r="CE197">
        <f ca="1" t="shared" si="217"/>
        <v>3107512.54455209</v>
      </c>
      <c r="CF197">
        <f ca="1" t="shared" si="374"/>
        <v>2.5250297521</v>
      </c>
      <c r="CG197">
        <f ca="1" t="shared" si="375"/>
        <v>0.8343</v>
      </c>
      <c r="CH197">
        <f ca="1" t="shared" si="231"/>
        <v>2938820.49764215</v>
      </c>
      <c r="CJ197">
        <f ca="1" t="shared" si="325"/>
        <v>270744.5625</v>
      </c>
      <c r="CK197">
        <f ca="1" t="shared" si="326"/>
        <v>3046495.90156417</v>
      </c>
      <c r="CL197">
        <f ca="1" t="shared" si="331"/>
        <v>2.5476860021</v>
      </c>
      <c r="CM197">
        <f ca="1">IF(G197="恒定伤害",0,(IF(D197="轻剑",$CM$8,$CM$9)+IFERROR(INDEX(技能数据库!$T$2:$W$27,MATCH(E197,技能数据库!$T$2:$T$27,0),4),0)+COUNTIF(G197,"*造化2*")*154+COUNTIF(G197,"*造化1*")*102+COUNTIF(G197,"*碧归*")*307)/1024)</f>
        <v>0.697375959429785</v>
      </c>
      <c r="CN197">
        <f ca="1" t="shared" si="233"/>
        <v>3072878.96690168</v>
      </c>
      <c r="CO197">
        <f ca="1" t="shared" si="332"/>
        <v>2.5762602208</v>
      </c>
      <c r="CP197">
        <f ca="1" t="shared" si="235"/>
        <v>3104851.16798627</v>
      </c>
      <c r="CQ197">
        <f ca="1" t="shared" si="353"/>
        <v>1.8815754648</v>
      </c>
      <c r="CR197">
        <f ca="1">IF(G197="恒定伤害",0,(IF(D197="轻剑",$CR$8,$CR$9)+IFERROR(INDEX(技能数据库!$T$2:$W$27,MATCH(E197,技能数据库!$T$2:$T$27,0),4),0)+COUNTIF(G197,"*造化2*")*154+COUNTIF(G197,"*造化1*")*102+COUNTIF(G197,"*碧归*")*307)/1024)</f>
        <v>0.687610334429785</v>
      </c>
      <c r="CS197">
        <f ca="1" t="shared" si="333"/>
        <v>2948182.62392839</v>
      </c>
    </row>
    <row r="198" spans="4:97">
      <c r="D198" t="s">
        <v>1825</v>
      </c>
      <c r="E198" t="s">
        <v>2780</v>
      </c>
      <c r="G198" t="s">
        <v>3112</v>
      </c>
      <c r="H198">
        <f ca="1">INDEX(技能数据库!$B$2:$I$100,MATCH(无穷阵眼收益计算!$E198,技能数据库!$B$2:$B$100,0),MATCH(H$9,技能数据库!$B$2:$I$2,0))</f>
        <v>252.5</v>
      </c>
      <c r="I198">
        <f ca="1">INDEX(技能数据库!$B$2:$I$100,MATCH(无穷阵眼收益计算!$E198,技能数据库!$B$2:$B$100,0),MATCH(I$9,技能数据库!$B$2:$I$2,0))</f>
        <v>2.11875</v>
      </c>
      <c r="J198">
        <f ca="1">INDEX(技能数据库!$B$2:$I$100,MATCH(无穷阵眼收益计算!$E198,技能数据库!$B$2:$B$100,0),MATCH(J$9,技能数据库!$B$2:$I$2,0))</f>
        <v>2</v>
      </c>
      <c r="K198">
        <f ca="1">INDEX(技能数据库!$B$2:$I$100,MATCH(无穷阵眼收益计算!$E198,技能数据库!$B$2:$B$100,0),MATCH(K$9,技能数据库!$B$2:$I$2,0))</f>
        <v>0</v>
      </c>
      <c r="L198">
        <f ca="1" t="shared" si="186"/>
        <v>105847</v>
      </c>
      <c r="M198">
        <f ca="1" t="shared" si="376"/>
        <v>19530.5</v>
      </c>
      <c r="N198">
        <f ca="1" t="shared" si="377"/>
        <v>92028</v>
      </c>
      <c r="O198">
        <f ca="1" t="shared" si="327"/>
        <v>263576.83125</v>
      </c>
      <c r="P198">
        <f ca="1">IF(G198="恒定伤害",0,(IF(D198="轻剑",$AZ$2,$AZ$3)+IFERROR(INDEX(技能数据库!$T$2:$W$27,MATCH(E198,技能数据库!$T$2:$T$27,0),4),0)+COUNTIF(G198,"*造化2*")*154+COUNTIF(G198,"*造化1*")*102+COUNTIF(G198,"*碧归*")*307)/1024)</f>
        <v>0.636829084429785</v>
      </c>
      <c r="Q198">
        <f ca="1" t="shared" si="334"/>
        <v>0.448284482196154</v>
      </c>
      <c r="R198">
        <f ca="1" t="shared" si="328"/>
        <v>0.21277697966198</v>
      </c>
      <c r="S198">
        <f ca="1" t="shared" si="378"/>
        <v>491883.470680767</v>
      </c>
      <c r="T198">
        <f t="shared" si="379"/>
        <v>0.8</v>
      </c>
      <c r="U198">
        <f ca="1" t="shared" si="335"/>
        <v>1.7800129648</v>
      </c>
      <c r="V198">
        <f ca="1" t="shared" si="380"/>
        <v>1093953.94053068</v>
      </c>
      <c r="W198">
        <f ca="1">IF(G198="恒定伤害",0,MIN(1,IF(COUNTIF(F198,"*内会*")&gt;0,内会2,IF(D198="轻剑",$Y$2,$Y$3)+COUNTIF(G198,"*莺鸣*")*0.2+COUNTIF(G198,"*叠1*")*0.1+COUNTIF(G198,"*叠2*")*0.2+COUNTIF(G198,"*叠3*")*0.3)+IFERROR(INDEX(技能数据库!$T$2:$W$27,MATCH(E198,技能数据库!$T$2:$T$27,0),2),0)+IF((IF(D198="轻剑",$AO$2,$AO$3)+INT(COUNTIF(G198,"*大莺鸣*")*IF(D198="轻剑",$AM$2,$AM$3)*听晓无双率)/无双系数)&gt;0.9,特效裤子会心/会心系数,0)))</f>
        <v>0.9043</v>
      </c>
      <c r="X198">
        <f ca="1">IF(G198="恒定伤害",0,IF(COUNTIF(F198,"*内会*")&gt;0,内会效2,IF(D198="轻剑",$AB$2,$AB$3))+IFERROR(INDEX(技能数据库!$T$2:$W$27,MATCH(E198,技能数据库!$T$2:$T$27,0),3)/1024,0))+COUNTIF(G198,"*叠1*")*0.25+COUNTIF(G198,"*叠2*")*0.5+COUNTIF(G198,"*叠3*")*0.75</f>
        <v>2.6773735021</v>
      </c>
      <c r="Y198">
        <f ca="1" t="shared" si="381"/>
        <v>2.51684885794903</v>
      </c>
      <c r="Z198">
        <f t="shared" si="317"/>
        <v>0.150390625</v>
      </c>
      <c r="AA198">
        <f ca="1" t="shared" si="382"/>
        <v>0.0205078125</v>
      </c>
      <c r="AB198">
        <f ca="1" t="shared" si="383"/>
        <v>3232345.98418953</v>
      </c>
      <c r="AC198">
        <f ca="1">无穷技能数计算!$AJ190</f>
        <v>0</v>
      </c>
      <c r="AD198" s="164">
        <f ca="1" t="shared" si="336"/>
        <v>0</v>
      </c>
      <c r="AE198" s="168"/>
      <c r="AF198" s="168">
        <f ca="1" t="shared" si="362"/>
        <v>0.9057</v>
      </c>
      <c r="AG198">
        <f ca="1">无穷技能数计算!$AJ190</f>
        <v>0</v>
      </c>
      <c r="AH198">
        <f ca="1" t="shared" si="189"/>
        <v>109879</v>
      </c>
      <c r="AJ198">
        <f ca="1" t="shared" si="363"/>
        <v>2.8765922521</v>
      </c>
      <c r="AK198">
        <f ca="1" t="shared" si="329"/>
        <v>272596.63125</v>
      </c>
      <c r="AL198">
        <f ca="1" t="shared" si="191"/>
        <v>3586720.71346018</v>
      </c>
      <c r="AM198" s="169">
        <f ca="1" t="shared" si="364"/>
        <v>0.9272</v>
      </c>
      <c r="AN198">
        <f ca="1">无穷技能数计算!$AJ190</f>
        <v>0</v>
      </c>
      <c r="AO198" s="170">
        <f ca="1" t="shared" si="193"/>
        <v>3640325.27622402</v>
      </c>
      <c r="AP198">
        <f ca="1" t="shared" si="194"/>
        <v>110956</v>
      </c>
      <c r="AQ198" s="170">
        <f ca="1" t="shared" si="330"/>
        <v>274401.525</v>
      </c>
      <c r="AR198">
        <f ca="1" t="shared" si="318"/>
        <v>3562515.15494768</v>
      </c>
      <c r="AS198">
        <f ca="1" t="shared" si="365"/>
        <v>0.9843</v>
      </c>
      <c r="AT198">
        <f ca="1">无穷技能数计算!$AJ190</f>
        <v>0</v>
      </c>
      <c r="AU198">
        <f ca="1" t="shared" si="366"/>
        <v>2.8238578771</v>
      </c>
      <c r="AV198">
        <f ca="1" t="shared" si="342"/>
        <v>1.7995442148</v>
      </c>
      <c r="AW198">
        <f ca="1" t="shared" si="226"/>
        <v>3615078.42586584</v>
      </c>
      <c r="AX198">
        <f ca="1" t="shared" si="367"/>
        <v>0.9743</v>
      </c>
      <c r="AY198">
        <f ca="1">无穷技能数计算!$AJ190</f>
        <v>0</v>
      </c>
      <c r="AZ198" s="170">
        <f ca="1" t="shared" si="227"/>
        <v>3591490.36675276</v>
      </c>
      <c r="BA198">
        <f ca="1" t="shared" si="368"/>
        <v>0.9643</v>
      </c>
      <c r="BB198">
        <f ca="1">无穷技能数计算!$AJ190</f>
        <v>0</v>
      </c>
      <c r="BC198" s="170">
        <f ca="1" t="shared" si="228"/>
        <v>3567902.30763968</v>
      </c>
      <c r="BE198">
        <f ca="1" t="shared" si="200"/>
        <v>105849</v>
      </c>
      <c r="BF198">
        <f ca="1" t="shared" si="319"/>
        <v>263581.06875</v>
      </c>
      <c r="BI198">
        <f ca="1" t="shared" si="369"/>
        <v>0.9543</v>
      </c>
      <c r="BJ198">
        <f ca="1">无穷技能数计算!$AJ190</f>
        <v>0</v>
      </c>
      <c r="BK198">
        <f ca="1" t="shared" si="203"/>
        <v>3564887.50135929</v>
      </c>
      <c r="BM198">
        <f ca="1" t="shared" si="204"/>
        <v>109230</v>
      </c>
      <c r="BN198">
        <f ca="1" t="shared" si="320"/>
        <v>270744.5625</v>
      </c>
      <c r="BO198">
        <f ca="1" t="shared" si="321"/>
        <v>3585814.96798127</v>
      </c>
      <c r="BP198">
        <f ca="1" t="shared" si="346"/>
        <v>3419584.94689306</v>
      </c>
      <c r="BR198">
        <f ca="1" t="shared" si="370"/>
        <v>0.9543</v>
      </c>
      <c r="BS198">
        <f ca="1" t="shared" si="208"/>
        <v>3558360.59121309</v>
      </c>
      <c r="BT198">
        <f ca="1" t="shared" si="322"/>
        <v>0.196995876306796</v>
      </c>
      <c r="BU198">
        <f ca="1" t="shared" si="371"/>
        <v>2.8238578771</v>
      </c>
      <c r="BV198">
        <f ca="1" t="shared" si="229"/>
        <v>3590142.61681033</v>
      </c>
      <c r="BW198">
        <f ca="1" t="shared" si="211"/>
        <v>113027</v>
      </c>
      <c r="BX198">
        <f ca="1" t="shared" si="323"/>
        <v>278789.45625</v>
      </c>
      <c r="BY198">
        <f ca="1" t="shared" si="372"/>
        <v>0.9343</v>
      </c>
      <c r="BZ198">
        <f ca="1">无穷技能数计算!$AJ190</f>
        <v>0</v>
      </c>
      <c r="CA198">
        <f ca="1" t="shared" si="373"/>
        <v>2.8277641271</v>
      </c>
      <c r="CB198">
        <f ca="1" t="shared" si="230"/>
        <v>3678130.70240628</v>
      </c>
      <c r="CC198">
        <f ca="1" t="shared" si="215"/>
        <v>114847</v>
      </c>
      <c r="CD198">
        <f ca="1" t="shared" si="324"/>
        <v>282645.58125</v>
      </c>
      <c r="CE198">
        <f ca="1" t="shared" si="217"/>
        <v>3641273.976029</v>
      </c>
      <c r="CF198">
        <f ca="1" t="shared" si="374"/>
        <v>2.7750297521</v>
      </c>
      <c r="CG198">
        <f ca="1" t="shared" si="375"/>
        <v>0.9343</v>
      </c>
      <c r="CH198">
        <f ca="1" t="shared" si="231"/>
        <v>3438137.36963396</v>
      </c>
      <c r="CJ198">
        <f ca="1" t="shared" si="325"/>
        <v>270744.5625</v>
      </c>
      <c r="CK198">
        <f ca="1" t="shared" si="326"/>
        <v>3569571.42160906</v>
      </c>
      <c r="CL198">
        <f ca="1" t="shared" si="331"/>
        <v>2.7976860021</v>
      </c>
      <c r="CM198">
        <f ca="1">IF(G198="恒定伤害",0,(IF(D198="轻剑",$CM$8,$CM$9)+IFERROR(INDEX(技能数据库!$T$2:$W$27,MATCH(E198,技能数据库!$T$2:$T$27,0),4),0)+COUNTIF(G198,"*造化2*")*154+COUNTIF(G198,"*造化1*")*102+COUNTIF(G198,"*碧归*")*307)/1024)</f>
        <v>0.697375959429785</v>
      </c>
      <c r="CN198">
        <f ca="1" t="shared" si="233"/>
        <v>3593704.27599406</v>
      </c>
      <c r="CO198">
        <f ca="1" t="shared" si="332"/>
        <v>2.8262602208</v>
      </c>
      <c r="CP198">
        <f ca="1" t="shared" si="235"/>
        <v>3629508.69583504</v>
      </c>
      <c r="CQ198">
        <f ca="1" t="shared" si="353"/>
        <v>1.8815754648</v>
      </c>
      <c r="CR198">
        <f ca="1">IF(G198="恒定伤害",0,(IF(D198="轻剑",$CR$8,$CR$9)+IFERROR(INDEX(技能数据库!$T$2:$W$27,MATCH(E198,技能数据库!$T$2:$T$27,0),4),0)+COUNTIF(G198,"*造化2*")*154+COUNTIF(G198,"*造化1*")*102+COUNTIF(G198,"*碧归*")*307)/1024)</f>
        <v>0.687610334429785</v>
      </c>
      <c r="CS198">
        <f ca="1" t="shared" si="333"/>
        <v>3454378.00676377</v>
      </c>
    </row>
    <row r="199" spans="4:97">
      <c r="D199" t="s">
        <v>1825</v>
      </c>
      <c r="E199" t="s">
        <v>2780</v>
      </c>
      <c r="G199" t="s">
        <v>3113</v>
      </c>
      <c r="H199">
        <f ca="1">INDEX(技能数据库!$B$2:$I$100,MATCH(无穷阵眼收益计算!$E199,技能数据库!$B$2:$B$100,0),MATCH(H$9,技能数据库!$B$2:$I$2,0))</f>
        <v>252.5</v>
      </c>
      <c r="I199">
        <f ca="1">INDEX(技能数据库!$B$2:$I$100,MATCH(无穷阵眼收益计算!$E199,技能数据库!$B$2:$B$100,0),MATCH(I$9,技能数据库!$B$2:$I$2,0))</f>
        <v>2.11875</v>
      </c>
      <c r="J199">
        <f ca="1">INDEX(技能数据库!$B$2:$I$100,MATCH(无穷阵眼收益计算!$E199,技能数据库!$B$2:$B$100,0),MATCH(J$9,技能数据库!$B$2:$I$2,0))</f>
        <v>2</v>
      </c>
      <c r="K199">
        <f ca="1">INDEX(技能数据库!$B$2:$I$100,MATCH(无穷阵眼收益计算!$E199,技能数据库!$B$2:$B$100,0),MATCH(K$9,技能数据库!$B$2:$I$2,0))</f>
        <v>0</v>
      </c>
      <c r="L199">
        <f ca="1" t="shared" si="186"/>
        <v>105847</v>
      </c>
      <c r="M199">
        <f ca="1" t="shared" si="376"/>
        <v>19530.5</v>
      </c>
      <c r="N199">
        <f ca="1" t="shared" si="377"/>
        <v>92028</v>
      </c>
      <c r="O199">
        <f ca="1" t="shared" si="327"/>
        <v>263576.83125</v>
      </c>
      <c r="P199">
        <f ca="1">IF(G199="恒定伤害",0,(IF(D199="轻剑",$AZ$2,$AZ$3)+IFERROR(INDEX(技能数据库!$T$2:$W$27,MATCH(E199,技能数据库!$T$2:$T$27,0),4),0)+COUNTIF(G199,"*造化2*")*154+COUNTIF(G199,"*造化1*")*102+COUNTIF(G199,"*碧归*")*307)/1024)</f>
        <v>0.636829084429785</v>
      </c>
      <c r="Q199">
        <f ca="1" t="shared" si="334"/>
        <v>0.448284482196154</v>
      </c>
      <c r="R199">
        <f ca="1" t="shared" si="328"/>
        <v>0.21277697966198</v>
      </c>
      <c r="S199">
        <f ca="1" t="shared" si="378"/>
        <v>491883.470680767</v>
      </c>
      <c r="T199">
        <f t="shared" si="379"/>
        <v>0.8</v>
      </c>
      <c r="U199">
        <f ca="1" t="shared" si="335"/>
        <v>1.7800129648</v>
      </c>
      <c r="V199">
        <f ca="1" t="shared" si="380"/>
        <v>1093953.94053068</v>
      </c>
      <c r="W199">
        <f ca="1">IF(G199="恒定伤害",0,MIN(1,IF(COUNTIF(F199,"*内会*")&gt;0,内会2,IF(D199="轻剑",$Y$2,$Y$3)+COUNTIF(G199,"*莺鸣*")*0.2+COUNTIF(G199,"*叠1*")*0.1+COUNTIF(G199,"*叠2*")*0.2+COUNTIF(G199,"*叠3*")*0.3)+IFERROR(INDEX(技能数据库!$T$2:$W$27,MATCH(E199,技能数据库!$T$2:$T$27,0),2),0)+IF((IF(D199="轻剑",$AO$2,$AO$3)+INT(COUNTIF(G199,"*大莺鸣*")*IF(D199="轻剑",$AM$2,$AM$3)*听晓无双率)/无双系数)&gt;0.9,特效裤子会心/会心系数,0)))</f>
        <v>1</v>
      </c>
      <c r="X199">
        <f ca="1">IF(G199="恒定伤害",0,IF(COUNTIF(F199,"*内会*")&gt;0,内会效2,IF(D199="轻剑",$AB$2,$AB$3))+IFERROR(INDEX(技能数据库!$T$2:$W$27,MATCH(E199,技能数据库!$T$2:$T$27,0),3)/1024,0))+COUNTIF(G199,"*叠1*")*0.25+COUNTIF(G199,"*叠2*")*0.5+COUNTIF(G199,"*叠3*")*0.75</f>
        <v>2.9273735021</v>
      </c>
      <c r="Y199">
        <f ca="1" t="shared" si="381"/>
        <v>2.9273735021</v>
      </c>
      <c r="Z199">
        <f t="shared" si="317"/>
        <v>0.150390625</v>
      </c>
      <c r="AA199">
        <f ca="1" t="shared" si="382"/>
        <v>0.0205078125</v>
      </c>
      <c r="AB199">
        <f ca="1" t="shared" si="383"/>
        <v>3759575.77025366</v>
      </c>
      <c r="AC199">
        <f ca="1">无穷技能数计算!$AJ191</f>
        <v>14</v>
      </c>
      <c r="AD199" s="164">
        <f ca="1" t="shared" si="336"/>
        <v>0.0206278559644796</v>
      </c>
      <c r="AE199" s="168"/>
      <c r="AF199" s="168">
        <f ca="1" t="shared" si="362"/>
        <v>1.0014</v>
      </c>
      <c r="AG199">
        <f ca="1">无穷技能数计算!$AJ191</f>
        <v>14</v>
      </c>
      <c r="AH199">
        <f ca="1" t="shared" si="189"/>
        <v>109879</v>
      </c>
      <c r="AJ199">
        <f ca="1" t="shared" si="363"/>
        <v>3.1265922521</v>
      </c>
      <c r="AK199">
        <f ca="1" t="shared" si="329"/>
        <v>272596.63125</v>
      </c>
      <c r="AL199">
        <f ca="1" t="shared" si="191"/>
        <v>4153982.15437532</v>
      </c>
      <c r="AM199" s="169">
        <f ca="1" t="shared" si="364"/>
        <v>1.0229</v>
      </c>
      <c r="AN199">
        <f ca="1">无穷技能数计算!$AJ191</f>
        <v>14</v>
      </c>
      <c r="AO199" s="170">
        <f ca="1" t="shared" si="193"/>
        <v>4153982.15437532</v>
      </c>
      <c r="AP199">
        <f ca="1" t="shared" si="194"/>
        <v>110956</v>
      </c>
      <c r="AQ199" s="170">
        <f ca="1" t="shared" si="330"/>
        <v>274401.525</v>
      </c>
      <c r="AR199">
        <f ca="1" t="shared" si="318"/>
        <v>4143599.02164403</v>
      </c>
      <c r="AS199">
        <f ca="1" t="shared" si="365"/>
        <v>1.08</v>
      </c>
      <c r="AT199">
        <f ca="1">无穷技能数计算!$AJ191</f>
        <v>14</v>
      </c>
      <c r="AU199">
        <f ca="1" t="shared" si="366"/>
        <v>3.0738578771</v>
      </c>
      <c r="AV199">
        <f ca="1" t="shared" si="342"/>
        <v>1.7995442148</v>
      </c>
      <c r="AW199">
        <f ca="1" t="shared" si="226"/>
        <v>3975438.1205147</v>
      </c>
      <c r="AX199">
        <f ca="1" t="shared" si="367"/>
        <v>1.07</v>
      </c>
      <c r="AY199">
        <f ca="1">无穷技能数计算!$AJ191</f>
        <v>14</v>
      </c>
      <c r="AZ199" s="170">
        <f ca="1" t="shared" si="227"/>
        <v>3975438.1205147</v>
      </c>
      <c r="BA199">
        <f ca="1" t="shared" si="368"/>
        <v>1.06</v>
      </c>
      <c r="BB199">
        <f ca="1">无穷技能数计算!$AJ191</f>
        <v>14</v>
      </c>
      <c r="BC199" s="170">
        <f ca="1" t="shared" si="228"/>
        <v>3975438.1205147</v>
      </c>
      <c r="BE199">
        <f ca="1" t="shared" si="200"/>
        <v>105849</v>
      </c>
      <c r="BF199">
        <f ca="1" t="shared" si="319"/>
        <v>263581.06875</v>
      </c>
      <c r="BI199">
        <f ca="1" t="shared" si="369"/>
        <v>1.05</v>
      </c>
      <c r="BJ199">
        <f ca="1">无穷技能数计算!$AJ191</f>
        <v>14</v>
      </c>
      <c r="BK199">
        <f ca="1" t="shared" si="203"/>
        <v>4012645.38605695</v>
      </c>
      <c r="BM199">
        <f ca="1" t="shared" si="204"/>
        <v>109230</v>
      </c>
      <c r="BN199">
        <f ca="1" t="shared" si="320"/>
        <v>270744.5625</v>
      </c>
      <c r="BO199">
        <f ca="1" t="shared" si="321"/>
        <v>4170699.28039139</v>
      </c>
      <c r="BP199">
        <f ca="1" t="shared" si="346"/>
        <v>3977355.38631915</v>
      </c>
      <c r="BR199">
        <f ca="1" t="shared" si="370"/>
        <v>1.05</v>
      </c>
      <c r="BS199">
        <f ca="1" t="shared" si="208"/>
        <v>4005298.68132268</v>
      </c>
      <c r="BT199">
        <f ca="1" t="shared" si="322"/>
        <v>0.196995876306796</v>
      </c>
      <c r="BU199">
        <f ca="1" t="shared" si="371"/>
        <v>3.0738578771</v>
      </c>
      <c r="BV199">
        <f ca="1" t="shared" si="229"/>
        <v>4026840.96730005</v>
      </c>
      <c r="BW199">
        <f ca="1" t="shared" si="211"/>
        <v>113027</v>
      </c>
      <c r="BX199">
        <f ca="1" t="shared" si="323"/>
        <v>278789.45625</v>
      </c>
      <c r="BY199">
        <f ca="1" t="shared" si="372"/>
        <v>1.03</v>
      </c>
      <c r="BZ199">
        <f ca="1">无穷技能数计算!$AJ191</f>
        <v>14</v>
      </c>
      <c r="CA199">
        <f ca="1" t="shared" si="373"/>
        <v>3.0777641271</v>
      </c>
      <c r="CB199">
        <f ca="1" t="shared" si="230"/>
        <v>4180855.42993325</v>
      </c>
      <c r="CC199">
        <f ca="1" t="shared" si="215"/>
        <v>114847</v>
      </c>
      <c r="CD199">
        <f ca="1" t="shared" si="324"/>
        <v>282645.58125</v>
      </c>
      <c r="CE199">
        <f ca="1" t="shared" si="217"/>
        <v>4152186.52822988</v>
      </c>
      <c r="CF199">
        <f ca="1" t="shared" si="374"/>
        <v>3.0250297521</v>
      </c>
      <c r="CG199">
        <f ca="1" t="shared" si="375"/>
        <v>1.03</v>
      </c>
      <c r="CH199">
        <f ca="1" t="shared" si="231"/>
        <v>3912288.42484257</v>
      </c>
      <c r="CJ199">
        <f ca="1" t="shared" si="325"/>
        <v>270744.5625</v>
      </c>
      <c r="CK199">
        <f ca="1" t="shared" si="326"/>
        <v>4151806.23996112</v>
      </c>
      <c r="CL199">
        <f ca="1" t="shared" si="331"/>
        <v>3.0476860021</v>
      </c>
      <c r="CM199">
        <f ca="1">IF(G199="恒定伤害",0,(IF(D199="轻剑",$CM$8,$CM$9)+IFERROR(INDEX(技能数据库!$T$2:$W$27,MATCH(E199,技能数据库!$T$2:$T$27,0),4),0)+COUNTIF(G199,"*造化2*")*154+COUNTIF(G199,"*造化1*")*102+COUNTIF(G199,"*碧归*")*307)/1024)</f>
        <v>0.697375959429785</v>
      </c>
      <c r="CN199">
        <f ca="1" t="shared" si="233"/>
        <v>4087390.65920461</v>
      </c>
      <c r="CO199">
        <f ca="1" t="shared" si="332"/>
        <v>3.0762602208</v>
      </c>
      <c r="CP199">
        <f ca="1" t="shared" si="235"/>
        <v>4125712.84676855</v>
      </c>
      <c r="CQ199">
        <f ca="1" t="shared" si="353"/>
        <v>1.8815754648</v>
      </c>
      <c r="CR199">
        <f ca="1">IF(G199="恒定伤害",0,(IF(D199="轻剑",$CR$8,$CR$9)+IFERROR(INDEX(技能数据库!$T$2:$W$27,MATCH(E199,技能数据库!$T$2:$T$27,0),4),0)+COUNTIF(G199,"*造化2*")*154+COUNTIF(G199,"*造化1*")*102+COUNTIF(G199,"*碧归*")*307)/1024)</f>
        <v>0.687610334429785</v>
      </c>
      <c r="CS199">
        <f ca="1" t="shared" si="333"/>
        <v>4017823.56191134</v>
      </c>
    </row>
    <row r="200" spans="4:97">
      <c r="D200" t="s">
        <v>1825</v>
      </c>
      <c r="E200" t="s">
        <v>2808</v>
      </c>
      <c r="G200" t="s">
        <v>3111</v>
      </c>
      <c r="H200">
        <f ca="1">INDEX(技能数据库!$B$2:$I$100,MATCH(无穷阵眼收益计算!$E200,技能数据库!$B$2:$B$100,0),MATCH(H$9,技能数据库!$B$2:$I$2,0))</f>
        <v>535</v>
      </c>
      <c r="I200">
        <f ca="1">INDEX(技能数据库!$B$2:$I$100,MATCH(无穷阵眼收益计算!$E200,技能数据库!$B$2:$B$100,0),MATCH(I$9,技能数据库!$B$2:$I$2,0))</f>
        <v>7.06875</v>
      </c>
      <c r="J200">
        <f ca="1">INDEX(技能数据库!$B$2:$I$100,MATCH(无穷阵眼收益计算!$E200,技能数据库!$B$2:$B$100,0),MATCH(J$9,技能数据库!$B$2:$I$2,0))</f>
        <v>2</v>
      </c>
      <c r="K200">
        <f ca="1">INDEX(技能数据库!$B$2:$I$100,MATCH(无穷阵眼收益计算!$E200,技能数据库!$B$2:$B$100,0),MATCH(K$9,技能数据库!$B$2:$I$2,0))</f>
        <v>0</v>
      </c>
      <c r="L200">
        <f ca="1" t="shared" si="186"/>
        <v>105847</v>
      </c>
      <c r="M200">
        <f ca="1" t="shared" si="376"/>
        <v>19530.5</v>
      </c>
      <c r="N200">
        <f ca="1" t="shared" si="377"/>
        <v>92028</v>
      </c>
      <c r="O200">
        <f ca="1" t="shared" si="327"/>
        <v>787801.98125</v>
      </c>
      <c r="P200">
        <f ca="1">IF(G200="恒定伤害",0,(IF(D200="轻剑",$AZ$2,$AZ$3)+IFERROR(INDEX(技能数据库!$T$2:$W$27,MATCH(E200,技能数据库!$T$2:$T$27,0),4),0)+COUNTIF(G200,"*造化2*")*154+COUNTIF(G200,"*造化1*")*102+COUNTIF(G200,"*碧归*")*307)/1024)</f>
        <v>0.636829084429785</v>
      </c>
      <c r="Q200">
        <f ca="1" t="shared" si="334"/>
        <v>0.448284482196154</v>
      </c>
      <c r="R200">
        <f ca="1" t="shared" si="328"/>
        <v>0.21277697966198</v>
      </c>
      <c r="S200">
        <f ca="1" t="shared" si="378"/>
        <v>1470185.26214426</v>
      </c>
      <c r="T200">
        <f t="shared" si="379"/>
        <v>0.8</v>
      </c>
      <c r="U200">
        <f ca="1" t="shared" si="335"/>
        <v>1.7800129648</v>
      </c>
      <c r="V200">
        <f ca="1" t="shared" si="380"/>
        <v>3269707.27153514</v>
      </c>
      <c r="W200">
        <f ca="1">IF(G200="恒定伤害",0,MIN(1,IF(COUNTIF(F200,"*内会*")&gt;0,内会2,IF(D200="轻剑",$Y$2,$Y$3)+COUNTIF(G200,"*莺鸣*")*0.2+COUNTIF(G200,"*叠1*")*0.1+COUNTIF(G200,"*叠2*")*0.2+COUNTIF(G200,"*叠3*")*0.3)+IFERROR(INDEX(技能数据库!$T$2:$W$27,MATCH(E200,技能数据库!$T$2:$T$27,0),2),0)+IF((IF(D200="轻剑",$AO$2,$AO$3)+INT(COUNTIF(G200,"*大莺鸣*")*IF(D200="轻剑",$AM$2,$AM$3)*听晓无双率)/无双系数)&gt;0.9,特效裤子会心/会心系数,0)))</f>
        <v>0.8043</v>
      </c>
      <c r="X200">
        <f ca="1">IF(G200="恒定伤害",0,IF(COUNTIF(F200,"*内会*")&gt;0,内会效2,IF(D200="轻剑",$AB$2,$AB$3))+IFERROR(INDEX(技能数据库!$T$2:$W$27,MATCH(E200,技能数据库!$T$2:$T$27,0),3)/1024,0))+COUNTIF(G200,"*叠1*")*0.25+COUNTIF(G200,"*叠2*")*0.5+COUNTIF(G200,"*叠3*")*0.75</f>
        <v>2.4273735021</v>
      </c>
      <c r="Y200">
        <f ca="1" t="shared" si="381"/>
        <v>2.14803650773903</v>
      </c>
      <c r="Z200">
        <f t="shared" si="317"/>
        <v>0.150390625</v>
      </c>
      <c r="AA200">
        <f ca="1" t="shared" si="382"/>
        <v>0.0205078125</v>
      </c>
      <c r="AB200">
        <f ca="1" t="shared" si="383"/>
        <v>8245408.92545108</v>
      </c>
      <c r="AC200">
        <f ca="1">无穷技能数计算!$AJ192</f>
        <v>0</v>
      </c>
      <c r="AD200" s="164">
        <f ca="1" t="shared" si="336"/>
        <v>0</v>
      </c>
      <c r="AE200" s="168"/>
      <c r="AF200" s="168">
        <f ca="1" t="shared" si="362"/>
        <v>0.8057</v>
      </c>
      <c r="AG200">
        <f ca="1">无穷技能数计算!$AJ192</f>
        <v>0</v>
      </c>
      <c r="AH200">
        <f ca="1" t="shared" si="189"/>
        <v>109879</v>
      </c>
      <c r="AJ200">
        <f ca="1" t="shared" si="363"/>
        <v>2.6265922521</v>
      </c>
      <c r="AK200">
        <f ca="1" t="shared" si="329"/>
        <v>816780.18125</v>
      </c>
      <c r="AL200">
        <f ca="1" t="shared" si="191"/>
        <v>9197982.69282112</v>
      </c>
      <c r="AM200" s="169">
        <f ca="1" t="shared" si="364"/>
        <v>0.8272</v>
      </c>
      <c r="AN200">
        <f ca="1">无穷技能数计算!$AJ192</f>
        <v>0</v>
      </c>
      <c r="AO200" s="170">
        <f ca="1" t="shared" si="193"/>
        <v>9337200.64623876</v>
      </c>
      <c r="AP200">
        <f ca="1" t="shared" si="194"/>
        <v>110956</v>
      </c>
      <c r="AQ200" s="170">
        <f ca="1" t="shared" si="330"/>
        <v>823916.225</v>
      </c>
      <c r="AR200">
        <f ca="1" t="shared" si="318"/>
        <v>9129306.27811246</v>
      </c>
      <c r="AS200">
        <f ca="1" t="shared" si="365"/>
        <v>0.8843</v>
      </c>
      <c r="AT200">
        <f ca="1">无穷技能数计算!$AJ192</f>
        <v>0</v>
      </c>
      <c r="AU200">
        <f ca="1" t="shared" si="366"/>
        <v>2.5738578771</v>
      </c>
      <c r="AV200">
        <f ca="1" t="shared" si="342"/>
        <v>1.7995442148</v>
      </c>
      <c r="AW200">
        <f ca="1" t="shared" si="226"/>
        <v>9245472.40202205</v>
      </c>
      <c r="AX200">
        <f ca="1" t="shared" si="367"/>
        <v>0.8743</v>
      </c>
      <c r="AY200">
        <f ca="1">无穷技能数计算!$AJ192</f>
        <v>0</v>
      </c>
      <c r="AZ200" s="170">
        <f ca="1" t="shared" si="227"/>
        <v>9184634.17313695</v>
      </c>
      <c r="BA200">
        <f ca="1" t="shared" si="368"/>
        <v>0.8643</v>
      </c>
      <c r="BB200">
        <f ca="1">无穷技能数计算!$AJ192</f>
        <v>0</v>
      </c>
      <c r="BC200" s="170">
        <f ca="1" t="shared" si="228"/>
        <v>9123795.94425186</v>
      </c>
      <c r="BE200">
        <f ca="1" t="shared" si="200"/>
        <v>105849</v>
      </c>
      <c r="BF200">
        <f ca="1" t="shared" si="319"/>
        <v>787816.11875</v>
      </c>
      <c r="BI200">
        <f ca="1" t="shared" si="369"/>
        <v>0.8543</v>
      </c>
      <c r="BJ200">
        <f ca="1">无穷技能数计算!$AJ192</f>
        <v>0</v>
      </c>
      <c r="BK200">
        <f ca="1" t="shared" si="203"/>
        <v>9092847.07665753</v>
      </c>
      <c r="BM200">
        <f ca="1" t="shared" si="204"/>
        <v>109230</v>
      </c>
      <c r="BN200">
        <f ca="1" t="shared" si="320"/>
        <v>811715.5625</v>
      </c>
      <c r="BO200">
        <f ca="1" t="shared" si="321"/>
        <v>9175220.86320809</v>
      </c>
      <c r="BP200">
        <f ca="1" t="shared" si="346"/>
        <v>8749879.01729608</v>
      </c>
      <c r="BR200">
        <f ca="1" t="shared" si="370"/>
        <v>0.8543</v>
      </c>
      <c r="BS200">
        <f ca="1" t="shared" si="208"/>
        <v>9104109.97862051</v>
      </c>
      <c r="BT200">
        <f ca="1" t="shared" si="322"/>
        <v>0.196995876306796</v>
      </c>
      <c r="BU200">
        <f ca="1" t="shared" si="371"/>
        <v>2.5738578771</v>
      </c>
      <c r="BV200">
        <f ca="1" t="shared" si="229"/>
        <v>9180142.74321591</v>
      </c>
      <c r="BW200">
        <f ca="1" t="shared" si="211"/>
        <v>113027</v>
      </c>
      <c r="BX200">
        <f ca="1" t="shared" si="323"/>
        <v>838555.60625</v>
      </c>
      <c r="BY200">
        <f ca="1" t="shared" si="372"/>
        <v>0.8343</v>
      </c>
      <c r="BZ200">
        <f ca="1">无穷技能数计算!$AJ192</f>
        <v>0</v>
      </c>
      <c r="CA200">
        <f ca="1" t="shared" si="373"/>
        <v>2.5777641271</v>
      </c>
      <c r="CB200">
        <f ca="1" t="shared" si="230"/>
        <v>9464234.8921894</v>
      </c>
      <c r="CC200">
        <f ca="1" t="shared" si="215"/>
        <v>114847</v>
      </c>
      <c r="CD200">
        <f ca="1" t="shared" si="324"/>
        <v>851420.73125</v>
      </c>
      <c r="CE200">
        <f ca="1" t="shared" si="217"/>
        <v>9360841.91144979</v>
      </c>
      <c r="CF200">
        <f ca="1" t="shared" si="374"/>
        <v>2.5250297521</v>
      </c>
      <c r="CG200">
        <f ca="1" t="shared" si="375"/>
        <v>0.8343</v>
      </c>
      <c r="CH200">
        <f ca="1" t="shared" si="231"/>
        <v>8783809.25819935</v>
      </c>
      <c r="CJ200">
        <f ca="1" t="shared" si="325"/>
        <v>811715.5625</v>
      </c>
      <c r="CK200">
        <f ca="1" t="shared" si="326"/>
        <v>9133657.61276222</v>
      </c>
      <c r="CL200">
        <f ca="1" t="shared" si="331"/>
        <v>2.5476860021</v>
      </c>
      <c r="CM200">
        <f ca="1">IF(G200="恒定伤害",0,(IF(D200="轻剑",$CM$8,$CM$9)+IFERROR(INDEX(技能数据库!$T$2:$W$27,MATCH(E200,技能数据库!$T$2:$T$27,0),4),0)+COUNTIF(G200,"*造化2*")*154+COUNTIF(G200,"*造化1*")*102+COUNTIF(G200,"*碧归*")*307)/1024)</f>
        <v>0.697375959429785</v>
      </c>
      <c r="CN200">
        <f ca="1" t="shared" si="233"/>
        <v>9184495.1879343</v>
      </c>
      <c r="CO200">
        <f ca="1" t="shared" si="332"/>
        <v>2.5762602208</v>
      </c>
      <c r="CP200">
        <f ca="1" t="shared" si="235"/>
        <v>9280056.55893915</v>
      </c>
      <c r="CQ200">
        <f ca="1" t="shared" si="353"/>
        <v>1.8815754648</v>
      </c>
      <c r="CR200">
        <f ca="1">IF(G200="恒定伤害",0,(IF(D200="轻剑",$CR$8,$CR$9)+IFERROR(INDEX(技能数据库!$T$2:$W$27,MATCH(E200,技能数据库!$T$2:$T$27,0),4),0)+COUNTIF(G200,"*造化2*")*154+COUNTIF(G200,"*造化1*")*102+COUNTIF(G200,"*碧归*")*307)/1024)</f>
        <v>0.687610334429785</v>
      </c>
      <c r="CS200">
        <f ca="1" t="shared" si="333"/>
        <v>8811791.61765802</v>
      </c>
    </row>
    <row r="201" spans="4:97">
      <c r="D201" t="s">
        <v>1825</v>
      </c>
      <c r="E201" t="s">
        <v>2808</v>
      </c>
      <c r="G201" t="s">
        <v>3112</v>
      </c>
      <c r="H201">
        <f ca="1">INDEX(技能数据库!$B$2:$I$100,MATCH(无穷阵眼收益计算!$E201,技能数据库!$B$2:$B$100,0),MATCH(H$9,技能数据库!$B$2:$I$2,0))</f>
        <v>535</v>
      </c>
      <c r="I201">
        <f ca="1">INDEX(技能数据库!$B$2:$I$100,MATCH(无穷阵眼收益计算!$E201,技能数据库!$B$2:$B$100,0),MATCH(I$9,技能数据库!$B$2:$I$2,0))</f>
        <v>7.06875</v>
      </c>
      <c r="J201">
        <f ca="1">INDEX(技能数据库!$B$2:$I$100,MATCH(无穷阵眼收益计算!$E201,技能数据库!$B$2:$B$100,0),MATCH(J$9,技能数据库!$B$2:$I$2,0))</f>
        <v>2</v>
      </c>
      <c r="K201">
        <f ca="1">INDEX(技能数据库!$B$2:$I$100,MATCH(无穷阵眼收益计算!$E201,技能数据库!$B$2:$B$100,0),MATCH(K$9,技能数据库!$B$2:$I$2,0))</f>
        <v>0</v>
      </c>
      <c r="L201">
        <f ca="1" t="shared" si="186"/>
        <v>105847</v>
      </c>
      <c r="M201">
        <f ca="1" t="shared" si="376"/>
        <v>19530.5</v>
      </c>
      <c r="N201">
        <f ca="1" t="shared" si="377"/>
        <v>92028</v>
      </c>
      <c r="O201">
        <f ca="1" t="shared" si="327"/>
        <v>787801.98125</v>
      </c>
      <c r="P201">
        <f ca="1">IF(G201="恒定伤害",0,(IF(D201="轻剑",$AZ$2,$AZ$3)+IFERROR(INDEX(技能数据库!$T$2:$W$27,MATCH(E201,技能数据库!$T$2:$T$27,0),4),0)+COUNTIF(G201,"*造化2*")*154+COUNTIF(G201,"*造化1*")*102+COUNTIF(G201,"*碧归*")*307)/1024)</f>
        <v>0.636829084429785</v>
      </c>
      <c r="Q201">
        <f ca="1" t="shared" si="334"/>
        <v>0.448284482196154</v>
      </c>
      <c r="R201">
        <f ca="1" t="shared" si="328"/>
        <v>0.21277697966198</v>
      </c>
      <c r="S201">
        <f ca="1" t="shared" si="378"/>
        <v>1470185.26214426</v>
      </c>
      <c r="T201">
        <f t="shared" si="379"/>
        <v>0.8</v>
      </c>
      <c r="U201">
        <f ca="1" t="shared" si="335"/>
        <v>1.7800129648</v>
      </c>
      <c r="V201">
        <f ca="1" t="shared" si="380"/>
        <v>3269707.27153514</v>
      </c>
      <c r="W201">
        <f ca="1">IF(G201="恒定伤害",0,MIN(1,IF(COUNTIF(F201,"*内会*")&gt;0,内会2,IF(D201="轻剑",$Y$2,$Y$3)+COUNTIF(G201,"*莺鸣*")*0.2+COUNTIF(G201,"*叠1*")*0.1+COUNTIF(G201,"*叠2*")*0.2+COUNTIF(G201,"*叠3*")*0.3)+IFERROR(INDEX(技能数据库!$T$2:$W$27,MATCH(E201,技能数据库!$T$2:$T$27,0),2),0)+IF((IF(D201="轻剑",$AO$2,$AO$3)+INT(COUNTIF(G201,"*大莺鸣*")*IF(D201="轻剑",$AM$2,$AM$3)*听晓无双率)/无双系数)&gt;0.9,特效裤子会心/会心系数,0)))</f>
        <v>0.9043</v>
      </c>
      <c r="X201">
        <f ca="1">IF(G201="恒定伤害",0,IF(COUNTIF(F201,"*内会*")&gt;0,内会效2,IF(D201="轻剑",$AB$2,$AB$3))+IFERROR(INDEX(技能数据库!$T$2:$W$27,MATCH(E201,技能数据库!$T$2:$T$27,0),3)/1024,0))+COUNTIF(G201,"*叠1*")*0.25+COUNTIF(G201,"*叠2*")*0.5+COUNTIF(G201,"*叠3*")*0.75</f>
        <v>2.6773735021</v>
      </c>
      <c r="Y201">
        <f ca="1" t="shared" si="381"/>
        <v>2.51684885794903</v>
      </c>
      <c r="Z201">
        <f t="shared" si="317"/>
        <v>0.150390625</v>
      </c>
      <c r="AA201">
        <f ca="1" t="shared" si="382"/>
        <v>0.0205078125</v>
      </c>
      <c r="AB201">
        <f ca="1" t="shared" si="383"/>
        <v>9661124.45602138</v>
      </c>
      <c r="AC201">
        <f ca="1">无穷技能数计算!$AJ193</f>
        <v>0</v>
      </c>
      <c r="AD201" s="164">
        <f ca="1" t="shared" si="336"/>
        <v>0</v>
      </c>
      <c r="AE201" s="168"/>
      <c r="AF201" s="168">
        <f ca="1" t="shared" si="362"/>
        <v>0.9057</v>
      </c>
      <c r="AG201">
        <f ca="1">无穷技能数计算!$AJ193</f>
        <v>0</v>
      </c>
      <c r="AH201">
        <f ca="1" t="shared" si="189"/>
        <v>109879</v>
      </c>
      <c r="AJ201">
        <f ca="1" t="shared" si="363"/>
        <v>2.8765922521</v>
      </c>
      <c r="AK201">
        <f ca="1" t="shared" si="329"/>
        <v>816780.18125</v>
      </c>
      <c r="AL201">
        <f ca="1" t="shared" si="191"/>
        <v>10746876.7350482</v>
      </c>
      <c r="AM201" s="169">
        <f ca="1" t="shared" si="364"/>
        <v>0.9272</v>
      </c>
      <c r="AN201">
        <f ca="1">无穷技能数计算!$AJ193</f>
        <v>0</v>
      </c>
      <c r="AO201" s="170">
        <f ca="1" t="shared" si="193"/>
        <v>10907491.8691726</v>
      </c>
      <c r="AP201">
        <f ca="1" t="shared" si="194"/>
        <v>110956</v>
      </c>
      <c r="AQ201" s="170">
        <f ca="1" t="shared" si="330"/>
        <v>823916.225</v>
      </c>
      <c r="AR201">
        <f ca="1" t="shared" si="318"/>
        <v>10696784.7134588</v>
      </c>
      <c r="AS201">
        <f ca="1" t="shared" si="365"/>
        <v>0.9843</v>
      </c>
      <c r="AT201">
        <f ca="1">无穷技能数计算!$AJ193</f>
        <v>0</v>
      </c>
      <c r="AU201">
        <f ca="1" t="shared" si="366"/>
        <v>2.8238578771</v>
      </c>
      <c r="AV201">
        <f ca="1" t="shared" si="342"/>
        <v>1.7995442148</v>
      </c>
      <c r="AW201">
        <f ca="1" t="shared" si="226"/>
        <v>10805069.371101</v>
      </c>
      <c r="AX201">
        <f ca="1" t="shared" si="367"/>
        <v>0.9743</v>
      </c>
      <c r="AY201">
        <f ca="1">无穷技能数计算!$AJ193</f>
        <v>0</v>
      </c>
      <c r="AZ201" s="170">
        <f ca="1" t="shared" si="227"/>
        <v>10734567.2726617</v>
      </c>
      <c r="BA201">
        <f ca="1" t="shared" si="368"/>
        <v>0.9643</v>
      </c>
      <c r="BB201">
        <f ca="1">无穷技能数计算!$AJ193</f>
        <v>0</v>
      </c>
      <c r="BC201" s="170">
        <f ca="1" t="shared" si="228"/>
        <v>10664065.1742223</v>
      </c>
      <c r="BE201">
        <f ca="1" t="shared" si="200"/>
        <v>105849</v>
      </c>
      <c r="BF201">
        <f ca="1" t="shared" si="319"/>
        <v>787816.11875</v>
      </c>
      <c r="BI201">
        <f ca="1" t="shared" si="369"/>
        <v>0.9543</v>
      </c>
      <c r="BJ201">
        <f ca="1">无穷技能数计算!$AJ193</f>
        <v>0</v>
      </c>
      <c r="BK201">
        <f ca="1" t="shared" si="203"/>
        <v>10655074.1615098</v>
      </c>
      <c r="BM201">
        <f ca="1" t="shared" si="204"/>
        <v>109230</v>
      </c>
      <c r="BN201">
        <f ca="1" t="shared" si="320"/>
        <v>811715.5625</v>
      </c>
      <c r="BO201">
        <f ca="1" t="shared" si="321"/>
        <v>10750582.7148637</v>
      </c>
      <c r="BP201">
        <f ca="1" t="shared" si="346"/>
        <v>10252210.7666847</v>
      </c>
      <c r="BR201">
        <f ca="1" t="shared" si="370"/>
        <v>0.9543</v>
      </c>
      <c r="BS201">
        <f ca="1" t="shared" si="208"/>
        <v>10668272.1241146</v>
      </c>
      <c r="BT201">
        <f ca="1" t="shared" si="322"/>
        <v>0.196995876306796</v>
      </c>
      <c r="BU201">
        <f ca="1" t="shared" si="371"/>
        <v>2.8238578771</v>
      </c>
      <c r="BV201">
        <f ca="1" t="shared" si="229"/>
        <v>10730538.9972255</v>
      </c>
      <c r="BW201">
        <f ca="1" t="shared" si="211"/>
        <v>113027</v>
      </c>
      <c r="BX201">
        <f ca="1" t="shared" si="323"/>
        <v>838555.60625</v>
      </c>
      <c r="BY201">
        <f ca="1" t="shared" si="372"/>
        <v>0.9343</v>
      </c>
      <c r="BZ201">
        <f ca="1">无穷技能数计算!$AJ193</f>
        <v>0</v>
      </c>
      <c r="CA201">
        <f ca="1" t="shared" si="373"/>
        <v>2.8277641271</v>
      </c>
      <c r="CB201">
        <f ca="1" t="shared" si="230"/>
        <v>11063248.8133168</v>
      </c>
      <c r="CC201">
        <f ca="1" t="shared" si="215"/>
        <v>114847</v>
      </c>
      <c r="CD201">
        <f ca="1" t="shared" si="324"/>
        <v>851420.73125</v>
      </c>
      <c r="CE201">
        <f ca="1" t="shared" si="217"/>
        <v>10968705.5344765</v>
      </c>
      <c r="CF201">
        <f ca="1" t="shared" si="374"/>
        <v>2.7750297521</v>
      </c>
      <c r="CG201">
        <f ca="1" t="shared" si="375"/>
        <v>0.9343</v>
      </c>
      <c r="CH201">
        <f ca="1" t="shared" si="231"/>
        <v>10276212.1342837</v>
      </c>
      <c r="CJ201">
        <f ca="1" t="shared" si="325"/>
        <v>811715.5625</v>
      </c>
      <c r="CK201">
        <f ca="1" t="shared" si="326"/>
        <v>10701883.1610896</v>
      </c>
      <c r="CL201">
        <f ca="1" t="shared" si="331"/>
        <v>2.7976860021</v>
      </c>
      <c r="CM201">
        <f ca="1">IF(G201="恒定伤害",0,(IF(D201="轻剑",$CM$8,$CM$9)+IFERROR(INDEX(技能数据库!$T$2:$W$27,MATCH(E201,技能数据库!$T$2:$T$27,0),4),0)+COUNTIF(G201,"*造化2*")*154+COUNTIF(G201,"*造化1*")*102+COUNTIF(G201,"*碧归*")*307)/1024)</f>
        <v>0.697375959429785</v>
      </c>
      <c r="CN201">
        <f ca="1" t="shared" si="233"/>
        <v>10741184.4023932</v>
      </c>
      <c r="CO201">
        <f ca="1" t="shared" si="332"/>
        <v>2.8262602208</v>
      </c>
      <c r="CP201">
        <f ca="1" t="shared" si="235"/>
        <v>10848199.8511884</v>
      </c>
      <c r="CQ201">
        <f ca="1" t="shared" si="353"/>
        <v>1.8815754648</v>
      </c>
      <c r="CR201">
        <f ca="1">IF(G201="恒定伤害",0,(IF(D201="轻剑",$CR$8,$CR$9)+IFERROR(INDEX(技能数据库!$T$2:$W$27,MATCH(E201,技能数据库!$T$2:$T$27,0),4),0)+COUNTIF(G201,"*造化2*")*154+COUNTIF(G201,"*造化1*")*102+COUNTIF(G201,"*碧归*")*307)/1024)</f>
        <v>0.687610334429785</v>
      </c>
      <c r="CS201">
        <f ca="1" t="shared" si="333"/>
        <v>10324753.6014792</v>
      </c>
    </row>
    <row r="202" spans="4:97">
      <c r="D202" t="s">
        <v>1825</v>
      </c>
      <c r="E202" t="s">
        <v>2808</v>
      </c>
      <c r="G202" t="s">
        <v>3113</v>
      </c>
      <c r="H202">
        <f ca="1">INDEX(技能数据库!$B$2:$I$100,MATCH(无穷阵眼收益计算!$E202,技能数据库!$B$2:$B$100,0),MATCH(H$9,技能数据库!$B$2:$I$2,0))</f>
        <v>535</v>
      </c>
      <c r="I202">
        <f ca="1">INDEX(技能数据库!$B$2:$I$100,MATCH(无穷阵眼收益计算!$E202,技能数据库!$B$2:$B$100,0),MATCH(I$9,技能数据库!$B$2:$I$2,0))</f>
        <v>7.06875</v>
      </c>
      <c r="J202">
        <f ca="1">INDEX(技能数据库!$B$2:$I$100,MATCH(无穷阵眼收益计算!$E202,技能数据库!$B$2:$B$100,0),MATCH(J$9,技能数据库!$B$2:$I$2,0))</f>
        <v>2</v>
      </c>
      <c r="K202">
        <f ca="1">INDEX(技能数据库!$B$2:$I$100,MATCH(无穷阵眼收益计算!$E202,技能数据库!$B$2:$B$100,0),MATCH(K$9,技能数据库!$B$2:$I$2,0))</f>
        <v>0</v>
      </c>
      <c r="L202">
        <f ca="1" t="shared" ref="L202:L219" si="384">IF(D202="轻剑",$V$2,$V$3)+INT(残雪*(COUNTIF(G202,"*莺鸣*")+COUNTIF(G202,"*叠1*")+COUNTIF(G202,"*叠2*")*2+COUNTIF(G202,"*叠3*")*3)*IF(D202="轻剑",$U$2,$U$3)*154/1024+COUNTIF(G202,"*雾锁*")*205/1024*IF(D202="轻剑",$U$2,$U$3))</f>
        <v>105847</v>
      </c>
      <c r="M202">
        <f ca="1" t="shared" si="376"/>
        <v>19530.5</v>
      </c>
      <c r="N202">
        <f ca="1" t="shared" si="377"/>
        <v>92028</v>
      </c>
      <c r="O202">
        <f ca="1" t="shared" si="327"/>
        <v>787801.98125</v>
      </c>
      <c r="P202">
        <f ca="1">IF(G202="恒定伤害",0,(IF(D202="轻剑",$AZ$2,$AZ$3)+IFERROR(INDEX(技能数据库!$T$2:$W$27,MATCH(E202,技能数据库!$T$2:$T$27,0),4),0)+COUNTIF(G202,"*造化2*")*154+COUNTIF(G202,"*造化1*")*102+COUNTIF(G202,"*碧归*")*307)/1024)</f>
        <v>0.636829084429785</v>
      </c>
      <c r="Q202">
        <f ca="1" t="shared" si="334"/>
        <v>0.448284482196154</v>
      </c>
      <c r="R202">
        <f ca="1" t="shared" si="328"/>
        <v>0.21277697966198</v>
      </c>
      <c r="S202">
        <f ca="1" t="shared" si="378"/>
        <v>1470185.26214426</v>
      </c>
      <c r="T202">
        <f t="shared" si="379"/>
        <v>0.8</v>
      </c>
      <c r="U202">
        <f ca="1" t="shared" si="335"/>
        <v>1.7800129648</v>
      </c>
      <c r="V202">
        <f ca="1" t="shared" si="380"/>
        <v>3269707.27153514</v>
      </c>
      <c r="W202">
        <f ca="1">IF(G202="恒定伤害",0,MIN(1,IF(COUNTIF(F202,"*内会*")&gt;0,内会2,IF(D202="轻剑",$Y$2,$Y$3)+COUNTIF(G202,"*莺鸣*")*0.2+COUNTIF(G202,"*叠1*")*0.1+COUNTIF(G202,"*叠2*")*0.2+COUNTIF(G202,"*叠3*")*0.3)+IFERROR(INDEX(技能数据库!$T$2:$W$27,MATCH(E202,技能数据库!$T$2:$T$27,0),2),0)+IF((IF(D202="轻剑",$AO$2,$AO$3)+INT(COUNTIF(G202,"*大莺鸣*")*IF(D202="轻剑",$AM$2,$AM$3)*听晓无双率)/无双系数)&gt;0.9,特效裤子会心/会心系数,0)))</f>
        <v>1</v>
      </c>
      <c r="X202">
        <f ca="1">IF(G202="恒定伤害",0,IF(COUNTIF(F202,"*内会*")&gt;0,内会效2,IF(D202="轻剑",$AB$2,$AB$3))+IFERROR(INDEX(技能数据库!$T$2:$W$27,MATCH(E202,技能数据库!$T$2:$T$27,0),3)/1024,0))+COUNTIF(G202,"*叠1*")*0.25+COUNTIF(G202,"*叠2*")*0.5+COUNTIF(G202,"*叠3*")*0.75</f>
        <v>2.9273735021</v>
      </c>
      <c r="Y202">
        <f ca="1" t="shared" si="381"/>
        <v>2.9273735021</v>
      </c>
      <c r="Z202">
        <f t="shared" si="317"/>
        <v>0.150390625</v>
      </c>
      <c r="AA202">
        <f ca="1" t="shared" si="382"/>
        <v>0.0205078125</v>
      </c>
      <c r="AB202">
        <f ca="1" t="shared" si="383"/>
        <v>11236955.9434308</v>
      </c>
      <c r="AC202">
        <f ca="1">无穷技能数计算!$AJ194</f>
        <v>0</v>
      </c>
      <c r="AD202" s="164">
        <f ca="1" t="shared" si="336"/>
        <v>0</v>
      </c>
      <c r="AE202" s="168"/>
      <c r="AF202" s="168">
        <f ca="1" t="shared" si="362"/>
        <v>1.0014</v>
      </c>
      <c r="AG202">
        <f ca="1">无穷技能数计算!$AJ194</f>
        <v>0</v>
      </c>
      <c r="AH202">
        <f ca="1" t="shared" ref="AH202:AH219" si="385">IF(D202="轻剑",$AH$8,$AH$9)+INT(残雪*(COUNTIF(G202,"*莺鸣*")+COUNTIF(G202,"*叠1*")+COUNTIF(G202,"*叠2*")*2+COUNTIF(G202,"*叠3*")*3)*IF(D202="轻剑",$U$2,$U$3)*154/1024+COUNTIF(G202,"*雾锁*")*205/1024*IF(D202="轻剑",$U$2,$U$3))</f>
        <v>109879</v>
      </c>
      <c r="AJ202">
        <f ca="1" t="shared" si="363"/>
        <v>3.1265922521</v>
      </c>
      <c r="AK202">
        <f ca="1" t="shared" si="329"/>
        <v>816780.18125</v>
      </c>
      <c r="AL202">
        <f ca="1" t="shared" ref="AL202:AL215" si="386">IF(COUNTIF(G202,"*恒定伤害*")&gt;0,AB202,((AK202*(1+P202)*(1+IF(COUNTIF(F202,"*内破*")&gt;0,内破,IF(D202="轻剑",$AI$8,$AI$9)/破防系数)+IF((IF(D202="轻剑",$AO$2,$AO$3)+INT(COUNTIF(G202,"*大莺鸣*")*IF(D202="轻剑",$AM$2,$AM$3)*听晓无双率)/无双系数)&gt;0.9,(特效裤子破防+特效裤子破防*IF(D202="轻剑",$AD$2,$AD$3)/1024)/破防系数,0))*(1-R202))*T202*(1+U202))*(1+Z202)*(1+AA202)*(1+MIN(1,AF202)*(MIN(3+COUNTIF(G202,"*叠*")*0.75,AJ202)-1)))</f>
        <v>12446559.8910806</v>
      </c>
      <c r="AM202" s="169">
        <f ca="1" t="shared" si="364"/>
        <v>1.0229</v>
      </c>
      <c r="AN202">
        <f ca="1">无穷技能数计算!$AJ194</f>
        <v>0</v>
      </c>
      <c r="AO202" s="170">
        <f ca="1" t="shared" ref="AO202:AO215" si="387">IF(COUNTIF(G202,"*恒定伤害*")&gt;0,AB202,((AK202*(1+P202)*(1+IF(COUNTIF(F202,"*内破*")&gt;0,内破,IF(D202="轻剑",$AI$8,$AI$9)/破防系数)+IF((IF(D202="轻剑",$AO$2,$AO$3)+INT(COUNTIF(G202,"*大莺鸣*")*IF(D202="轻剑",$AM$2,$AM$3)*听晓无双率)/无双系数)&gt;0.9,(特效裤子破防+特效裤子破防*IF(D202="轻剑",$AD$2,$AD$3)/1024)/破防系数,0))*(1-R202))*T202*(1+U202))*(1+Z202)*(1+AA202)*(1+MIN(1,AM202)*(MIN(3+COUNTIF(G202,"*叠*")*0.75,AJ202)-1)))</f>
        <v>12446559.8910806</v>
      </c>
      <c r="AP202">
        <f ca="1" t="shared" ref="AP202:AP219" si="388">IF(D202="轻剑",$AP$8,$AP$9)+INT(残雪*(COUNTIF(G202,"*莺鸣*")+COUNTIF(G202,"*叠1*")+COUNTIF(G202,"*叠2*")*2+COUNTIF(G202,"*叠3*")*3)*IF(D202="轻剑",$U$2,$U$3)*154/1024+COUNTIF(G202,"*雾锁*")*205/1024*IF(D202="轻剑",$U$2,$U$3))</f>
        <v>110956</v>
      </c>
      <c r="AQ202" s="170">
        <f ca="1" t="shared" si="330"/>
        <v>823916.225</v>
      </c>
      <c r="AR202">
        <f ca="1" t="shared" si="318"/>
        <v>12441543.3326278</v>
      </c>
      <c r="AS202">
        <f ca="1" t="shared" si="365"/>
        <v>1.08</v>
      </c>
      <c r="AT202">
        <f ca="1">无穷技能数计算!$AJ194</f>
        <v>0</v>
      </c>
      <c r="AU202">
        <f ca="1" t="shared" si="366"/>
        <v>3.0738578771</v>
      </c>
      <c r="AV202">
        <f ca="1" t="shared" si="342"/>
        <v>1.7995442148</v>
      </c>
      <c r="AW202">
        <f ca="1" t="shared" si="226"/>
        <v>11882144.6210791</v>
      </c>
      <c r="AX202">
        <f ca="1" t="shared" si="367"/>
        <v>1.07</v>
      </c>
      <c r="AY202">
        <f ca="1">无穷技能数计算!$AJ194</f>
        <v>0</v>
      </c>
      <c r="AZ202" s="170">
        <f ca="1" t="shared" si="227"/>
        <v>11882144.6210791</v>
      </c>
      <c r="BA202">
        <f ca="1" t="shared" si="368"/>
        <v>1.06</v>
      </c>
      <c r="BB202">
        <f ca="1">无穷技能数计算!$AJ194</f>
        <v>0</v>
      </c>
      <c r="BC202" s="170">
        <f ca="1" t="shared" si="228"/>
        <v>11882144.6210791</v>
      </c>
      <c r="BE202">
        <f ca="1" t="shared" ref="BE202:BE219" si="389">IF(D202="轻剑",$BF$8,$BF$9)+INT(残雪*(COUNTIF(G202,"*莺鸣*")+COUNTIF(G202,"*叠1*")+COUNTIF(G202,"*叠2*")*2+COUNTIF(G202,"*叠3*")*3)*IF(D202="轻剑",$BE$8,$BE$9)*154/1024+COUNTIF(G202,"*雾锁*")*205/1024*IF(D202="轻剑",$BE$8,$BE$9))</f>
        <v>105849</v>
      </c>
      <c r="BF202">
        <f ca="1" t="shared" si="319"/>
        <v>787816.11875</v>
      </c>
      <c r="BI202">
        <f ca="1" t="shared" si="369"/>
        <v>1.05</v>
      </c>
      <c r="BJ202">
        <f ca="1">无穷技能数计算!$AJ194</f>
        <v>0</v>
      </c>
      <c r="BK202">
        <f ca="1" t="shared" ref="BK202:BK215" si="390">IF(COUNTIF(G202,"*恒定伤害*")&gt;0,AB202,((BF202*(1+P202)*(1+IF(COUNTIF(F202,"*内破*")&gt;0,内破,IF(D202="轻剑",$BH$8,$BH$9)/破防系数)+IF((IF(D202="轻剑",$AO$2,$AO$3)+INT(COUNTIF(G202,"*大莺鸣*")*IF(D202="轻剑",$AM$2,$AM$3)*听晓无双率)/无双系数)&gt;0.9,(特效裤子破防+特效裤子破防*IF(D202="轻剑",$AD$2+204,$AD$3+204)/1024)/破防系数,0))*(1-R202))*T202*(1+AV202))*(1+MIN(1,BI202)*(MIN(3+COUNTIF(G202,"*叠*")*0.75,X202)-1))*(1+Z202)*(1+AA202))</f>
        <v>11993375.4307743</v>
      </c>
      <c r="BM202">
        <f ca="1" t="shared" ref="BM202:BM219" si="391">IF(D202="轻剑",$BN$8,$BN$9)+INT(残雪*(COUNTIF(G202,"*莺鸣*")+COUNTIF(G202,"*叠1*")+COUNTIF(G202,"*叠2*")*2+COUNTIF(G202,"*叠3*")*3)*IF(D202="轻剑",$U$2,$U$3)*154/1024+COUNTIF(G202,"*雾锁*")*205/1024*IF(D202="轻剑",$U$2,$U$3))</f>
        <v>109230</v>
      </c>
      <c r="BN202">
        <f ca="1" t="shared" si="320"/>
        <v>811715.5625</v>
      </c>
      <c r="BO202">
        <f ca="1" t="shared" si="321"/>
        <v>12504116.3565427</v>
      </c>
      <c r="BP202">
        <f ca="1" t="shared" si="346"/>
        <v>11924454.6773435</v>
      </c>
      <c r="BR202">
        <f ca="1" t="shared" si="370"/>
        <v>1.05</v>
      </c>
      <c r="BS202">
        <f ca="1" t="shared" ref="BS202:BS215" si="392">IF(COUNTIF(G202,"*恒定伤害*")&gt;0,AB202,((BN202*(1+P202)*(1+IF(COUNTIF(F202,"*内破*")&gt;0,内破,IF(D202="轻剑",$BQ$8,$BQ$9)/破防系数)+IF((IF(D202="轻剑",$AO$2,$AO$3)+INT(COUNTIF(G202,"*大莺鸣*")*IF(D202="轻剑",$AM$2,$AM$3)*听晓无双率)/无双系数)&gt;0.9,(特效裤子破防+特效裤子破防*IF(D202="轻剑",$AD$2+102,$AD$3+102)/1024)/破防系数,0))*(1-R202))*T202*(1+AV202))*(1+MIN(1,BR202)*(MIN(3+COUNTIF(G202,"*叠*")*0.75,X202)-1))*(1+Z202)*(1+AA202))</f>
        <v>12008231.0871538</v>
      </c>
      <c r="BT202">
        <f ca="1" t="shared" si="322"/>
        <v>0.196995876306796</v>
      </c>
      <c r="BU202">
        <f ca="1" t="shared" si="371"/>
        <v>3.0738578771</v>
      </c>
      <c r="BV202">
        <f ca="1" t="shared" si="229"/>
        <v>12035782.0418924</v>
      </c>
      <c r="BW202">
        <f ca="1" t="shared" ref="BW202:BW219" si="393">IF(D202="轻剑",$BW$8,$BW$9)+INT(残雪*(COUNTIF(G202,"*莺鸣*")+COUNTIF(G202,"*叠1*")+COUNTIF(G202,"*叠2*")*2+COUNTIF(G202,"*叠3*")*3)*IF(D202="轻剑",$U$2,$U$3)*154/1024+COUNTIF(G202,"*雾锁*")*205/1024*IF(D202="轻剑",$U$2,$U$3))</f>
        <v>113027</v>
      </c>
      <c r="BX202">
        <f ca="1" t="shared" si="323"/>
        <v>838555.60625</v>
      </c>
      <c r="BY202">
        <f ca="1" t="shared" si="372"/>
        <v>1.03</v>
      </c>
      <c r="BZ202">
        <f ca="1">无穷技能数计算!$AJ194</f>
        <v>0</v>
      </c>
      <c r="CA202">
        <f ca="1" t="shared" si="373"/>
        <v>3.0777641271</v>
      </c>
      <c r="CB202">
        <f ca="1" t="shared" si="230"/>
        <v>12575367.1134085</v>
      </c>
      <c r="CC202">
        <f ca="1" t="shared" ref="CC202:CC219" si="394">IF(D202="轻剑",$CC$8,$CC$9)+INT(残雪*(COUNTIF(G202,"*莺鸣*")+COUNTIF(G202,"*叠1*")+COUNTIF(G202,"*叠2*")*2+COUNTIF(G202,"*叠3*")*3)*IF(D202="轻剑",$U$2,$U$3)*154/1024+COUNTIF(G202,"*雾锁*")*205/1024*IF(D202="轻剑",$U$2,$U$3))</f>
        <v>114847</v>
      </c>
      <c r="CD202">
        <f ca="1" t="shared" si="324"/>
        <v>851420.73125</v>
      </c>
      <c r="CE202">
        <f ca="1" t="shared" ref="CE202:CE215" si="395">IF(COUNTIF(G202,"*恒定伤害*")&gt;0,AB202,((CD202*(1+P202)*(1+IF(COUNTIF(F202,"*内破*")&gt;0,内破,IF(D202="轻剑",$BQ$8,$BQ$9)/破防系数)+IF((IF(D202="轻剑",$AO$2,$AO$3)+INT(COUNTIF(G202,"*大莺鸣*")*IF(D202="轻剑",$AM$2,$AM$3)*听晓无双率)/无双系数)&gt;0.9,(特效裤子破防+特效裤子破防*IF(D202="轻剑",$AD$2+102,$AD$3+102)/1024)/破防系数,0))*(1-R202))*T202*(1+U202))*(1+MIN(1,BY202)*(MIN(3+COUNTIF(G202,"*叠*")*0.75,X202)-1))*(1+Z202)*(1+AA202))</f>
        <v>12507740.8764616</v>
      </c>
      <c r="CF202">
        <f ca="1" t="shared" si="374"/>
        <v>3.0250297521</v>
      </c>
      <c r="CG202">
        <f ca="1" t="shared" si="375"/>
        <v>1.03</v>
      </c>
      <c r="CH202">
        <f ca="1" t="shared" si="231"/>
        <v>11693397.168847</v>
      </c>
      <c r="CJ202">
        <f ca="1" t="shared" si="325"/>
        <v>811715.5625</v>
      </c>
      <c r="CK202">
        <f ca="1" t="shared" si="326"/>
        <v>12447473.3909422</v>
      </c>
      <c r="CL202">
        <f ca="1" t="shared" si="331"/>
        <v>3.0476860021</v>
      </c>
      <c r="CM202">
        <f ca="1">IF(G202="恒定伤害",0,(IF(D202="轻剑",$CM$8,$CM$9)+IFERROR(INDEX(技能数据库!$T$2:$W$27,MATCH(E202,技能数据库!$T$2:$T$27,0),4),0)+COUNTIF(G202,"*造化2*")*154+COUNTIF(G202,"*造化1*")*102+COUNTIF(G202,"*碧归*")*307)/1024)</f>
        <v>0.697375959429785</v>
      </c>
      <c r="CN202">
        <f ca="1" t="shared" si="233"/>
        <v>12216758.370579</v>
      </c>
      <c r="CO202">
        <f ca="1" t="shared" si="332"/>
        <v>3.0762602208</v>
      </c>
      <c r="CP202">
        <f ca="1" t="shared" si="235"/>
        <v>12331299.1484825</v>
      </c>
      <c r="CQ202">
        <f ca="1" t="shared" si="353"/>
        <v>1.8815754648</v>
      </c>
      <c r="CR202">
        <f ca="1">IF(G202="恒定伤害",0,(IF(D202="轻剑",$CR$8,$CR$9)+IFERROR(INDEX(技能数据库!$T$2:$W$27,MATCH(E202,技能数据库!$T$2:$T$27,0),4),0)+COUNTIF(G202,"*造化2*")*154+COUNTIF(G202,"*造化1*")*102+COUNTIF(G202,"*碧归*")*307)/1024)</f>
        <v>0.687610334429785</v>
      </c>
      <c r="CS202">
        <f ca="1" t="shared" si="333"/>
        <v>12008830.0150497</v>
      </c>
    </row>
    <row r="203" spans="4:97">
      <c r="D203" t="s">
        <v>1825</v>
      </c>
      <c r="E203" t="s">
        <v>2768</v>
      </c>
      <c r="G203" t="s">
        <v>3111</v>
      </c>
      <c r="H203">
        <f ca="1">INDEX(技能数据库!$B$2:$I$100,MATCH(无穷阵眼收益计算!$E203,技能数据库!$B$2:$B$100,0),MATCH(H$9,技能数据库!$B$2:$I$2,0))</f>
        <v>210</v>
      </c>
      <c r="I203">
        <f ca="1">INDEX(技能数据库!$B$2:$I$100,MATCH(无穷阵眼收益计算!$E203,技能数据库!$B$2:$B$100,0),MATCH(I$9,技能数据库!$B$2:$I$2,0))</f>
        <v>5.7875</v>
      </c>
      <c r="J203">
        <f ca="1">INDEX(技能数据库!$B$2:$I$100,MATCH(无穷阵眼收益计算!$E203,技能数据库!$B$2:$B$100,0),MATCH(J$9,技能数据库!$B$2:$I$2,0))</f>
        <v>2</v>
      </c>
      <c r="K203">
        <f ca="1">INDEX(技能数据库!$B$2:$I$100,MATCH(无穷阵眼收益计算!$E203,技能数据库!$B$2:$B$100,0),MATCH(K$9,技能数据库!$B$2:$I$2,0))</f>
        <v>0</v>
      </c>
      <c r="L203">
        <f ca="1" t="shared" si="384"/>
        <v>105847</v>
      </c>
      <c r="M203">
        <f ca="1" t="shared" si="376"/>
        <v>19530.5</v>
      </c>
      <c r="N203">
        <f ca="1" t="shared" si="377"/>
        <v>92028</v>
      </c>
      <c r="O203">
        <f ca="1" t="shared" si="327"/>
        <v>651860.5125</v>
      </c>
      <c r="P203">
        <f ca="1">IF(G203="恒定伤害",0,(IF(D203="轻剑",$AZ$2,$AZ$3)+IFERROR(INDEX(技能数据库!$T$2:$W$27,MATCH(E203,技能数据库!$T$2:$T$27,0),4),0)+COUNTIF(G203,"*造化2*")*154+COUNTIF(G203,"*造化1*")*102+COUNTIF(G203,"*碧归*")*307)/1024)</f>
        <v>0.686633771929785</v>
      </c>
      <c r="Q203">
        <f ca="1" t="shared" si="334"/>
        <v>0.448284482196154</v>
      </c>
      <c r="R203">
        <f ca="1" t="shared" si="328"/>
        <v>0.21277697966198</v>
      </c>
      <c r="S203">
        <f ca="1" t="shared" si="378"/>
        <v>1253508.05389526</v>
      </c>
      <c r="T203">
        <f t="shared" si="379"/>
        <v>0.8</v>
      </c>
      <c r="U203">
        <f ca="1" t="shared" si="335"/>
        <v>1.7800129648</v>
      </c>
      <c r="V203">
        <f ca="1" t="shared" si="380"/>
        <v>2787814.91304804</v>
      </c>
      <c r="W203">
        <f ca="1">IF(G203="恒定伤害",0,MIN(1,IF(COUNTIF(F203,"*内会*")&gt;0,内会2,IF(D203="轻剑",$Y$2,$Y$3)+COUNTIF(G203,"*莺鸣*")*0.2+COUNTIF(G203,"*叠1*")*0.1+COUNTIF(G203,"*叠2*")*0.2+COUNTIF(G203,"*叠3*")*0.3)+IFERROR(INDEX(技能数据库!$T$2:$W$27,MATCH(E203,技能数据库!$T$2:$T$27,0),2),0)+IF((IF(D203="轻剑",$AO$2,$AO$3)+INT(COUNTIF(G203,"*大莺鸣*")*IF(D203="轻剑",$AM$2,$AM$3)*听晓无双率)/无双系数)&gt;0.9,特效裤子会心/会心系数,0)))</f>
        <v>0.8043</v>
      </c>
      <c r="X203">
        <f ca="1">IF(G203="恒定伤害",0,IF(COUNTIF(F203,"*内会*")&gt;0,内会效2,IF(D203="轻剑",$AB$2,$AB$3))+IFERROR(INDEX(技能数据库!$T$2:$W$27,MATCH(E203,技能数据库!$T$2:$T$27,0),3)/1024,0))+COUNTIF(G203,"*叠1*")*0.25+COUNTIF(G203,"*叠2*")*0.5+COUNTIF(G203,"*叠3*")*0.75</f>
        <v>2.4273735021</v>
      </c>
      <c r="Y203">
        <f ca="1" t="shared" si="381"/>
        <v>2.14803650773903</v>
      </c>
      <c r="Z203">
        <f t="shared" si="317"/>
        <v>0.150390625</v>
      </c>
      <c r="AA203">
        <f ca="1" t="shared" si="382"/>
        <v>0.0205078125</v>
      </c>
      <c r="AB203">
        <f ca="1" t="shared" si="383"/>
        <v>7030193.24288305</v>
      </c>
      <c r="AC203">
        <f ca="1">无穷技能数计算!$AJ195</f>
        <v>0</v>
      </c>
      <c r="AD203" s="164">
        <f ca="1" t="shared" si="336"/>
        <v>0</v>
      </c>
      <c r="AE203" s="168"/>
      <c r="AF203" s="168">
        <f ca="1" t="shared" si="362"/>
        <v>0.8057</v>
      </c>
      <c r="AG203">
        <f ca="1">无穷技能数计算!$AJ195</f>
        <v>0</v>
      </c>
      <c r="AH203">
        <f ca="1" t="shared" si="385"/>
        <v>109879</v>
      </c>
      <c r="AJ203">
        <f ca="1" t="shared" si="363"/>
        <v>2.6265922521</v>
      </c>
      <c r="AK203">
        <f ca="1" t="shared" si="329"/>
        <v>675672.7125</v>
      </c>
      <c r="AL203">
        <f ca="1" t="shared" si="386"/>
        <v>7840454.44043336</v>
      </c>
      <c r="AM203" s="169">
        <f ca="1" t="shared" si="364"/>
        <v>0.8272</v>
      </c>
      <c r="AN203">
        <f ca="1">无穷技能数计算!$AJ195</f>
        <v>0</v>
      </c>
      <c r="AO203" s="170">
        <f ca="1" t="shared" si="387"/>
        <v>7959125.24657799</v>
      </c>
      <c r="AP203">
        <f ca="1" t="shared" si="388"/>
        <v>110956</v>
      </c>
      <c r="AQ203" s="170">
        <f ca="1" t="shared" si="330"/>
        <v>681428.85</v>
      </c>
      <c r="AR203">
        <f ca="1" t="shared" si="318"/>
        <v>7780234.68664562</v>
      </c>
      <c r="AS203">
        <f ca="1" t="shared" si="365"/>
        <v>0.8843</v>
      </c>
      <c r="AT203">
        <f ca="1">无穷技能数计算!$AJ195</f>
        <v>0</v>
      </c>
      <c r="AU203">
        <f ca="1" t="shared" si="366"/>
        <v>2.5738578771</v>
      </c>
      <c r="AV203">
        <f ca="1" t="shared" si="342"/>
        <v>1.7995442148</v>
      </c>
      <c r="AW203">
        <f ca="1" t="shared" ref="AW203:AW215" si="396">IF(COUNTIF(G203,"*恒定伤害*")&gt;0,AB203,((O203*(1+P203)*(1+Q203)*(1-R203))*T203*(1+AV203))*(1+MIN(1,AS203)*(MIN(3+COUNTIF(G203,"*叠*")*0.75,AU203)-1))*(1+Z203)*(1+AA203))</f>
        <v>7882866.47704393</v>
      </c>
      <c r="AX203">
        <f ca="1" t="shared" si="367"/>
        <v>0.8743</v>
      </c>
      <c r="AY203">
        <f ca="1">无穷技能数计算!$AJ195</f>
        <v>0</v>
      </c>
      <c r="AZ203" s="170">
        <f ca="1" t="shared" ref="AZ203:AZ215" si="397">IF(COUNTIF(G203,"*恒定伤害*")&gt;0,AB203,((O203*(1+P203)*(1+Q203)*(1-R203))*T203*(1+AV203))*(1+MIN(1,AX203)*(MIN(3+COUNTIF(G203,"*叠*")*0.75,AU203)-1))*(1+Z203)*(1+AA203))</f>
        <v>7830994.64030618</v>
      </c>
      <c r="BA203">
        <f ca="1" t="shared" si="368"/>
        <v>0.8643</v>
      </c>
      <c r="BB203">
        <f ca="1">无穷技能数计算!$AJ195</f>
        <v>0</v>
      </c>
      <c r="BC203" s="170">
        <f ca="1" t="shared" ref="BC203:BC215" si="398">IF(COUNTIF(G203,"*恒定伤害*")&gt;0,AB203,((O203*(1+P203)*(1+Q203)*(1-R203))*T203*(1+AV203))*(1+MIN(1,BA203)*(MIN(3+COUNTIF(G203,"*叠*")*0.75,AU203)-1))*(1+Z203)*(1+AA203))</f>
        <v>7779122.80356843</v>
      </c>
      <c r="BE203">
        <f ca="1" t="shared" si="389"/>
        <v>105849</v>
      </c>
      <c r="BF203">
        <f ca="1" t="shared" si="319"/>
        <v>651872.0875</v>
      </c>
      <c r="BI203">
        <f ca="1" t="shared" si="369"/>
        <v>0.8543</v>
      </c>
      <c r="BJ203">
        <f ca="1">无穷技能数计算!$AJ195</f>
        <v>0</v>
      </c>
      <c r="BK203">
        <f ca="1" t="shared" si="390"/>
        <v>7752733.74514126</v>
      </c>
      <c r="BM203">
        <f ca="1" t="shared" si="391"/>
        <v>109230</v>
      </c>
      <c r="BN203">
        <f ca="1" t="shared" si="320"/>
        <v>671439.625</v>
      </c>
      <c r="BO203">
        <f ca="1" t="shared" si="321"/>
        <v>7820546.1118729</v>
      </c>
      <c r="BP203">
        <f ca="1" t="shared" si="346"/>
        <v>7458003.82881978</v>
      </c>
      <c r="BR203">
        <f ca="1" t="shared" si="370"/>
        <v>0.8543</v>
      </c>
      <c r="BS203">
        <f ca="1" t="shared" si="392"/>
        <v>7759934.38815916</v>
      </c>
      <c r="BT203">
        <f ca="1" t="shared" si="322"/>
        <v>0.196995876306796</v>
      </c>
      <c r="BU203">
        <f ca="1" t="shared" si="371"/>
        <v>2.5738578771</v>
      </c>
      <c r="BV203">
        <f ca="1" t="shared" ref="BV203:BV215" si="399">IF(COUNTIF(G203,"*恒定伤害*")&gt;0,AB203,((O203*(1+P203)*(1+Q203)*(1-BT203))*T203*(1+U203))*(1+MIN(1,BR203)*(MIN(3+COUNTIF(G203,"*叠*")*0.75,BU203)-1))*(1+Z203)*(1+AA203))</f>
        <v>7827165.1613116</v>
      </c>
      <c r="BW203">
        <f ca="1" t="shared" si="393"/>
        <v>113027</v>
      </c>
      <c r="BX203">
        <f ca="1" t="shared" si="323"/>
        <v>693414.7625</v>
      </c>
      <c r="BY203">
        <f ca="1" t="shared" si="372"/>
        <v>0.8343</v>
      </c>
      <c r="BZ203">
        <f ca="1">无穷技能数计算!$AJ195</f>
        <v>0</v>
      </c>
      <c r="CA203">
        <f ca="1" t="shared" si="373"/>
        <v>2.5777641271</v>
      </c>
      <c r="CB203">
        <f ca="1" t="shared" ref="CB203:CB215" si="400">IF(COUNTIF(G203,"*恒定伤害*")&gt;0,AB203,((BX203*(1+P203)*(1+Q203)*(1-R203))*T203*(1+U203))*(1+MIN(1,BY203)*(MIN(3+COUNTIF(G203,"*叠*")*0.75,CA203)-1))*(1+Z203)*(1+AA203))</f>
        <v>8064253.76777175</v>
      </c>
      <c r="CC203">
        <f ca="1" t="shared" si="394"/>
        <v>114847</v>
      </c>
      <c r="CD203">
        <f ca="1" t="shared" si="324"/>
        <v>703948.0125</v>
      </c>
      <c r="CE203">
        <f ca="1" t="shared" si="395"/>
        <v>7974964.08806466</v>
      </c>
      <c r="CF203">
        <f ca="1" t="shared" si="374"/>
        <v>2.5250297521</v>
      </c>
      <c r="CG203">
        <f ca="1" t="shared" si="375"/>
        <v>0.8343</v>
      </c>
      <c r="CH203">
        <f ca="1" t="shared" ref="CH203:CH215" si="401">IF(COUNTIF(G203,"*恒定伤害*")&gt;0,AB203,((O203*(1+P203)*(1+Q203)*(1-R203))*T203*(1+AV203))*(1+MIN(1,BY203)*(MIN(3+COUNTIF(G203,"*叠*")*0.75,CF203)-1))*(1+Z203)*(1+AA203))</f>
        <v>7489243.65693462</v>
      </c>
      <c r="CJ203">
        <f ca="1" t="shared" si="325"/>
        <v>671439.625</v>
      </c>
      <c r="CK203">
        <f ca="1" t="shared" si="326"/>
        <v>7785119.4642186</v>
      </c>
      <c r="CL203">
        <f ca="1" t="shared" si="331"/>
        <v>2.5476860021</v>
      </c>
      <c r="CM203">
        <f ca="1">IF(G203="恒定伤害",0,(IF(D203="轻剑",$CM$8,$CM$9)+IFERROR(INDEX(技能数据库!$T$2:$W$27,MATCH(E203,技能数据库!$T$2:$T$27,0),4),0)+COUNTIF(G203,"*造化2*")*154+COUNTIF(G203,"*造化1*")*102+COUNTIF(G203,"*碧归*")*307)/1024)</f>
        <v>0.747180646929785</v>
      </c>
      <c r="CN203">
        <f ca="1" t="shared" ref="CN203:CN215" si="402">IF(COUNTIF(G203,"*恒定伤害*")&gt;0,AB203,((O203*(1+CM203)*(1+Q203)*(1-R203))*T203*(1+AV203))*(1+MIN(1,CG203)*(MIN(3+COUNTIF(G203,"*叠*")*0.75,CL203)-1))*(1+Z203)*(1+AA203))</f>
        <v>7822627.66755523</v>
      </c>
      <c r="CO203">
        <f ca="1" t="shared" si="332"/>
        <v>2.5762602208</v>
      </c>
      <c r="CP203">
        <f ca="1" t="shared" ref="CP203:CP215" si="403">IF(COUNTIF(G203,"*恒定伤害*")&gt;0,AB203,((O203*(1+CM203)*(1+Q203)*(1-R203))*T203*(1+AV203))*(1+MIN(1,CG203)*(MIN(3+COUNTIF(G203,"*叠*")*0.75,CO203)-1))*(1+Z203)*(1+AA203))</f>
        <v>7904019.29654254</v>
      </c>
      <c r="CQ203">
        <f ca="1" t="shared" si="353"/>
        <v>1.8815754648</v>
      </c>
      <c r="CR203">
        <f ca="1">IF(G203="恒定伤害",0,(IF(D203="轻剑",$CR$8,$CR$9)+IFERROR(INDEX(技能数据库!$T$2:$W$27,MATCH(E203,技能数据库!$T$2:$T$27,0),4),0)+COUNTIF(G203,"*造化2*")*154+COUNTIF(G203,"*造化1*")*102+COUNTIF(G203,"*碧归*")*307)/1024)</f>
        <v>0.737415021929785</v>
      </c>
      <c r="CS203">
        <f ca="1" t="shared" si="333"/>
        <v>7506426.20364574</v>
      </c>
    </row>
    <row r="204" spans="4:97">
      <c r="D204" t="s">
        <v>1825</v>
      </c>
      <c r="E204" t="s">
        <v>2768</v>
      </c>
      <c r="G204" t="s">
        <v>3112</v>
      </c>
      <c r="H204">
        <f ca="1">INDEX(技能数据库!$B$2:$I$100,MATCH(无穷阵眼收益计算!$E204,技能数据库!$B$2:$B$100,0),MATCH(H$9,技能数据库!$B$2:$I$2,0))</f>
        <v>210</v>
      </c>
      <c r="I204">
        <f ca="1">INDEX(技能数据库!$B$2:$I$100,MATCH(无穷阵眼收益计算!$E204,技能数据库!$B$2:$B$100,0),MATCH(I$9,技能数据库!$B$2:$I$2,0))</f>
        <v>5.7875</v>
      </c>
      <c r="J204">
        <f ca="1">INDEX(技能数据库!$B$2:$I$100,MATCH(无穷阵眼收益计算!$E204,技能数据库!$B$2:$B$100,0),MATCH(J$9,技能数据库!$B$2:$I$2,0))</f>
        <v>2</v>
      </c>
      <c r="K204">
        <f ca="1">INDEX(技能数据库!$B$2:$I$100,MATCH(无穷阵眼收益计算!$E204,技能数据库!$B$2:$B$100,0),MATCH(K$9,技能数据库!$B$2:$I$2,0))</f>
        <v>0</v>
      </c>
      <c r="L204">
        <f ca="1" t="shared" si="384"/>
        <v>105847</v>
      </c>
      <c r="M204">
        <f ca="1" t="shared" si="376"/>
        <v>19530.5</v>
      </c>
      <c r="N204">
        <f ca="1" t="shared" si="377"/>
        <v>92028</v>
      </c>
      <c r="O204">
        <f ca="1" t="shared" si="327"/>
        <v>651860.5125</v>
      </c>
      <c r="P204">
        <f ca="1">IF(G204="恒定伤害",0,(IF(D204="轻剑",$AZ$2,$AZ$3)+IFERROR(INDEX(技能数据库!$T$2:$W$27,MATCH(E204,技能数据库!$T$2:$T$27,0),4),0)+COUNTIF(G204,"*造化2*")*154+COUNTIF(G204,"*造化1*")*102+COUNTIF(G204,"*碧归*")*307)/1024)</f>
        <v>0.686633771929785</v>
      </c>
      <c r="Q204">
        <f ca="1" t="shared" si="334"/>
        <v>0.448284482196154</v>
      </c>
      <c r="R204">
        <f ca="1" t="shared" si="328"/>
        <v>0.21277697966198</v>
      </c>
      <c r="S204">
        <f ca="1" t="shared" si="378"/>
        <v>1253508.05389526</v>
      </c>
      <c r="T204">
        <f t="shared" si="379"/>
        <v>0.8</v>
      </c>
      <c r="U204">
        <f ca="1" t="shared" si="335"/>
        <v>1.7800129648</v>
      </c>
      <c r="V204">
        <f ca="1" t="shared" si="380"/>
        <v>2787814.91304804</v>
      </c>
      <c r="W204">
        <f ca="1">IF(G204="恒定伤害",0,MIN(1,IF(COUNTIF(F204,"*内会*")&gt;0,内会2,IF(D204="轻剑",$Y$2,$Y$3)+COUNTIF(G204,"*莺鸣*")*0.2+COUNTIF(G204,"*叠1*")*0.1+COUNTIF(G204,"*叠2*")*0.2+COUNTIF(G204,"*叠3*")*0.3)+IFERROR(INDEX(技能数据库!$T$2:$W$27,MATCH(E204,技能数据库!$T$2:$T$27,0),2),0)+IF((IF(D204="轻剑",$AO$2,$AO$3)+INT(COUNTIF(G204,"*大莺鸣*")*IF(D204="轻剑",$AM$2,$AM$3)*听晓无双率)/无双系数)&gt;0.9,特效裤子会心/会心系数,0)))</f>
        <v>0.9043</v>
      </c>
      <c r="X204">
        <f ca="1">IF(G204="恒定伤害",0,IF(COUNTIF(F204,"*内会*")&gt;0,内会效2,IF(D204="轻剑",$AB$2,$AB$3))+IFERROR(INDEX(技能数据库!$T$2:$W$27,MATCH(E204,技能数据库!$T$2:$T$27,0),3)/1024,0))+COUNTIF(G204,"*叠1*")*0.25+COUNTIF(G204,"*叠2*")*0.5+COUNTIF(G204,"*叠3*")*0.75</f>
        <v>2.6773735021</v>
      </c>
      <c r="Y204">
        <f ca="1" t="shared" si="381"/>
        <v>2.51684885794903</v>
      </c>
      <c r="Z204">
        <f t="shared" si="317"/>
        <v>0.150390625</v>
      </c>
      <c r="AA204">
        <f ca="1" t="shared" si="382"/>
        <v>0.0205078125</v>
      </c>
      <c r="AB204">
        <f ca="1" t="shared" si="383"/>
        <v>8237259.362568</v>
      </c>
      <c r="AC204">
        <f ca="1">无穷技能数计算!$AJ196</f>
        <v>0</v>
      </c>
      <c r="AD204" s="164">
        <f ca="1" t="shared" si="336"/>
        <v>0</v>
      </c>
      <c r="AE204" s="168"/>
      <c r="AF204" s="168">
        <f ca="1" t="shared" si="362"/>
        <v>0.9057</v>
      </c>
      <c r="AG204">
        <f ca="1">无穷技能数计算!$AJ196</f>
        <v>0</v>
      </c>
      <c r="AH204">
        <f ca="1" t="shared" si="385"/>
        <v>109879</v>
      </c>
      <c r="AJ204">
        <f ca="1" t="shared" si="363"/>
        <v>2.8765922521</v>
      </c>
      <c r="AK204">
        <f ca="1" t="shared" si="329"/>
        <v>675672.7125</v>
      </c>
      <c r="AL204">
        <f ca="1" t="shared" si="386"/>
        <v>9160747.54998859</v>
      </c>
      <c r="AM204" s="169">
        <f ca="1" t="shared" si="364"/>
        <v>0.9272</v>
      </c>
      <c r="AN204">
        <f ca="1">无穷技能数计算!$AJ196</f>
        <v>0</v>
      </c>
      <c r="AO204" s="170">
        <f ca="1" t="shared" si="387"/>
        <v>9297657.53162285</v>
      </c>
      <c r="AP204">
        <f ca="1" t="shared" si="388"/>
        <v>110956</v>
      </c>
      <c r="AQ204" s="170">
        <f ca="1" t="shared" si="330"/>
        <v>681428.85</v>
      </c>
      <c r="AR204">
        <f ca="1" t="shared" si="318"/>
        <v>9116080.99541597</v>
      </c>
      <c r="AS204">
        <f ca="1" t="shared" si="365"/>
        <v>0.9843</v>
      </c>
      <c r="AT204">
        <f ca="1">无穷技能数计算!$AJ196</f>
        <v>0</v>
      </c>
      <c r="AU204">
        <f ca="1" t="shared" si="366"/>
        <v>2.8238578771</v>
      </c>
      <c r="AV204">
        <f ca="1" t="shared" si="342"/>
        <v>1.7995442148</v>
      </c>
      <c r="AW204">
        <f ca="1" t="shared" si="396"/>
        <v>9212608.66118189</v>
      </c>
      <c r="AX204">
        <f ca="1" t="shared" si="367"/>
        <v>0.9743</v>
      </c>
      <c r="AY204">
        <f ca="1">无穷技能数计算!$AJ196</f>
        <v>0</v>
      </c>
      <c r="AZ204" s="170">
        <f ca="1" t="shared" si="397"/>
        <v>9152497.22455833</v>
      </c>
      <c r="BA204">
        <f ca="1" t="shared" si="368"/>
        <v>0.9643</v>
      </c>
      <c r="BB204">
        <f ca="1">无穷技能数计算!$AJ196</f>
        <v>0</v>
      </c>
      <c r="BC204" s="170">
        <f ca="1" t="shared" si="398"/>
        <v>9092385.78793477</v>
      </c>
      <c r="BE204">
        <f ca="1" t="shared" si="389"/>
        <v>105849</v>
      </c>
      <c r="BF204">
        <f ca="1" t="shared" si="319"/>
        <v>651872.0875</v>
      </c>
      <c r="BI204">
        <f ca="1" t="shared" si="369"/>
        <v>0.9543</v>
      </c>
      <c r="BJ204">
        <f ca="1">无穷技能数计算!$AJ196</f>
        <v>0</v>
      </c>
      <c r="BK204">
        <f ca="1" t="shared" si="390"/>
        <v>9084718.1650046</v>
      </c>
      <c r="BM204">
        <f ca="1" t="shared" si="391"/>
        <v>109230</v>
      </c>
      <c r="BN204">
        <f ca="1" t="shared" si="320"/>
        <v>671439.625</v>
      </c>
      <c r="BO204">
        <f ca="1" t="shared" si="321"/>
        <v>9163313.78879729</v>
      </c>
      <c r="BP204">
        <f ca="1" t="shared" si="346"/>
        <v>8738523.92709196</v>
      </c>
      <c r="BR204">
        <f ca="1" t="shared" si="370"/>
        <v>0.9543</v>
      </c>
      <c r="BS204">
        <f ca="1" t="shared" si="392"/>
        <v>9093155.93864353</v>
      </c>
      <c r="BT204">
        <f ca="1" t="shared" si="322"/>
        <v>0.196995876306796</v>
      </c>
      <c r="BU204">
        <f ca="1" t="shared" si="371"/>
        <v>2.8238578771</v>
      </c>
      <c r="BV204">
        <f ca="1" t="shared" si="399"/>
        <v>9149062.63992972</v>
      </c>
      <c r="BW204">
        <f ca="1" t="shared" si="393"/>
        <v>113027</v>
      </c>
      <c r="BX204">
        <f ca="1" t="shared" si="323"/>
        <v>693414.7625</v>
      </c>
      <c r="BY204">
        <f ca="1" t="shared" si="372"/>
        <v>0.9343</v>
      </c>
      <c r="BZ204">
        <f ca="1">无穷技能数计算!$AJ196</f>
        <v>0</v>
      </c>
      <c r="CA204">
        <f ca="1" t="shared" si="373"/>
        <v>2.8277641271</v>
      </c>
      <c r="CB204">
        <f ca="1" t="shared" si="400"/>
        <v>9426736.2277974</v>
      </c>
      <c r="CC204">
        <f ca="1" t="shared" si="394"/>
        <v>114847</v>
      </c>
      <c r="CD204">
        <f ca="1" t="shared" si="324"/>
        <v>703948.0125</v>
      </c>
      <c r="CE204">
        <f ca="1" t="shared" si="395"/>
        <v>9344782.61223604</v>
      </c>
      <c r="CF204">
        <f ca="1" t="shared" si="374"/>
        <v>2.7750297521</v>
      </c>
      <c r="CG204">
        <f ca="1" t="shared" si="375"/>
        <v>0.9343</v>
      </c>
      <c r="CH204">
        <f ca="1" t="shared" si="401"/>
        <v>8761694.87311655</v>
      </c>
      <c r="CJ204">
        <f ca="1" t="shared" si="325"/>
        <v>671439.625</v>
      </c>
      <c r="CK204">
        <f ca="1" t="shared" si="326"/>
        <v>9121804.47674955</v>
      </c>
      <c r="CL204">
        <f ca="1" t="shared" si="331"/>
        <v>2.7976860021</v>
      </c>
      <c r="CM204">
        <f ca="1">IF(G204="恒定伤害",0,(IF(D204="轻剑",$CM$8,$CM$9)+IFERROR(INDEX(技能数据库!$T$2:$W$27,MATCH(E204,技能数据库!$T$2:$T$27,0),4),0)+COUNTIF(G204,"*造化2*")*154+COUNTIF(G204,"*造化1*")*102+COUNTIF(G204,"*碧归*")*307)/1024)</f>
        <v>0.747180646929785</v>
      </c>
      <c r="CN204">
        <f ca="1" t="shared" si="402"/>
        <v>9148492.60293113</v>
      </c>
      <c r="CO204">
        <f ca="1" t="shared" si="332"/>
        <v>2.8262602208</v>
      </c>
      <c r="CP204">
        <f ca="1" t="shared" si="403"/>
        <v>9239639.91080939</v>
      </c>
      <c r="CQ204">
        <f ca="1" t="shared" si="353"/>
        <v>1.8815754648</v>
      </c>
      <c r="CR204">
        <f ca="1">IF(G204="恒定伤害",0,(IF(D204="轻剑",$CR$8,$CR$9)+IFERROR(INDEX(技能数据库!$T$2:$W$27,MATCH(E204,技能数据库!$T$2:$T$27,0),4),0)+COUNTIF(G204,"*造化2*")*154+COUNTIF(G204,"*造化1*")*102+COUNTIF(G204,"*碧归*")*307)/1024)</f>
        <v>0.737415021929785</v>
      </c>
      <c r="CS204">
        <f ca="1" t="shared" si="333"/>
        <v>8795260.29928155</v>
      </c>
    </row>
    <row r="205" spans="4:97">
      <c r="D205" t="s">
        <v>1825</v>
      </c>
      <c r="E205" t="s">
        <v>2768</v>
      </c>
      <c r="G205" t="s">
        <v>3113</v>
      </c>
      <c r="H205">
        <f ca="1">INDEX(技能数据库!$B$2:$I$100,MATCH(无穷阵眼收益计算!$E205,技能数据库!$B$2:$B$100,0),MATCH(H$9,技能数据库!$B$2:$I$2,0))</f>
        <v>210</v>
      </c>
      <c r="I205">
        <f ca="1">INDEX(技能数据库!$B$2:$I$100,MATCH(无穷阵眼收益计算!$E205,技能数据库!$B$2:$B$100,0),MATCH(I$9,技能数据库!$B$2:$I$2,0))</f>
        <v>5.7875</v>
      </c>
      <c r="J205">
        <f ca="1">INDEX(技能数据库!$B$2:$I$100,MATCH(无穷阵眼收益计算!$E205,技能数据库!$B$2:$B$100,0),MATCH(J$9,技能数据库!$B$2:$I$2,0))</f>
        <v>2</v>
      </c>
      <c r="K205">
        <f ca="1">INDEX(技能数据库!$B$2:$I$100,MATCH(无穷阵眼收益计算!$E205,技能数据库!$B$2:$B$100,0),MATCH(K$9,技能数据库!$B$2:$I$2,0))</f>
        <v>0</v>
      </c>
      <c r="L205">
        <f ca="1" t="shared" si="384"/>
        <v>105847</v>
      </c>
      <c r="M205">
        <f ca="1" t="shared" si="376"/>
        <v>19530.5</v>
      </c>
      <c r="N205">
        <f ca="1" t="shared" si="377"/>
        <v>92028</v>
      </c>
      <c r="O205">
        <f ca="1" t="shared" si="327"/>
        <v>651860.5125</v>
      </c>
      <c r="P205">
        <f ca="1">IF(G205="恒定伤害",0,(IF(D205="轻剑",$AZ$2,$AZ$3)+IFERROR(INDEX(技能数据库!$T$2:$W$27,MATCH(E205,技能数据库!$T$2:$T$27,0),4),0)+COUNTIF(G205,"*造化2*")*154+COUNTIF(G205,"*造化1*")*102+COUNTIF(G205,"*碧归*")*307)/1024)</f>
        <v>0.686633771929785</v>
      </c>
      <c r="Q205">
        <f ca="1" t="shared" si="334"/>
        <v>0.448284482196154</v>
      </c>
      <c r="R205">
        <f ca="1" t="shared" si="328"/>
        <v>0.21277697966198</v>
      </c>
      <c r="S205">
        <f ca="1" t="shared" si="378"/>
        <v>1253508.05389526</v>
      </c>
      <c r="T205">
        <f t="shared" si="379"/>
        <v>0.8</v>
      </c>
      <c r="U205">
        <f ca="1" t="shared" si="335"/>
        <v>1.7800129648</v>
      </c>
      <c r="V205">
        <f ca="1" t="shared" si="380"/>
        <v>2787814.91304804</v>
      </c>
      <c r="W205">
        <f ca="1">IF(G205="恒定伤害",0,MIN(1,IF(COUNTIF(F205,"*内会*")&gt;0,内会2,IF(D205="轻剑",$Y$2,$Y$3)+COUNTIF(G205,"*莺鸣*")*0.2+COUNTIF(G205,"*叠1*")*0.1+COUNTIF(G205,"*叠2*")*0.2+COUNTIF(G205,"*叠3*")*0.3)+IFERROR(INDEX(技能数据库!$T$2:$W$27,MATCH(E205,技能数据库!$T$2:$T$27,0),2),0)+IF((IF(D205="轻剑",$AO$2,$AO$3)+INT(COUNTIF(G205,"*大莺鸣*")*IF(D205="轻剑",$AM$2,$AM$3)*听晓无双率)/无双系数)&gt;0.9,特效裤子会心/会心系数,0)))</f>
        <v>1</v>
      </c>
      <c r="X205">
        <f ca="1">IF(G205="恒定伤害",0,IF(COUNTIF(F205,"*内会*")&gt;0,内会效2,IF(D205="轻剑",$AB$2,$AB$3))+IFERROR(INDEX(技能数据库!$T$2:$W$27,MATCH(E205,技能数据库!$T$2:$T$27,0),3)/1024,0))+COUNTIF(G205,"*叠1*")*0.25+COUNTIF(G205,"*叠2*")*0.5+COUNTIF(G205,"*叠3*")*0.75</f>
        <v>2.9273735021</v>
      </c>
      <c r="Y205">
        <f ca="1" t="shared" si="381"/>
        <v>2.9273735021</v>
      </c>
      <c r="Z205">
        <f t="shared" si="317"/>
        <v>0.150390625</v>
      </c>
      <c r="AA205">
        <f ca="1" t="shared" si="382"/>
        <v>0.0205078125</v>
      </c>
      <c r="AB205">
        <f ca="1" t="shared" si="383"/>
        <v>9580843.40732193</v>
      </c>
      <c r="AC205">
        <f ca="1">无穷技能数计算!$AJ197</f>
        <v>0</v>
      </c>
      <c r="AD205" s="164">
        <f ca="1" t="shared" si="336"/>
        <v>0</v>
      </c>
      <c r="AE205" s="168"/>
      <c r="AF205" s="168">
        <f ca="1" t="shared" ref="AF205:AF215" si="404">W205+IF(COUNTIF(F205,"*内会*")&gt;0,0,IF(D205="轻剑",$AF$8-$Y$2,$AF$9-$Y$3))</f>
        <v>1.0014</v>
      </c>
      <c r="AG205">
        <f ca="1">无穷技能数计算!$AJ197</f>
        <v>0</v>
      </c>
      <c r="AH205">
        <f ca="1" t="shared" si="385"/>
        <v>109879</v>
      </c>
      <c r="AJ205">
        <f ca="1" t="shared" ref="AJ205:AJ215" si="405">X205+IF(COUNTIF(F205,"*内会*")&gt;0,0,IF(D205="轻剑",$AJ$8-$AB$2,$AJ$9-$AB$3))</f>
        <v>3.1265922521</v>
      </c>
      <c r="AK205">
        <f ca="1" t="shared" si="329"/>
        <v>675672.7125</v>
      </c>
      <c r="AL205">
        <f ca="1" t="shared" si="386"/>
        <v>10609574.8410472</v>
      </c>
      <c r="AM205" s="169">
        <f ca="1" t="shared" ref="AM205:AM215" si="406">W205+IF(COUNTIF(F205,"*内会*")&gt;0,0,IF(D205="轻剑",$AN$8-$Y$2,$AN$9-$Y$3))</f>
        <v>1.0229</v>
      </c>
      <c r="AN205">
        <f ca="1">无穷技能数计算!$AJ197</f>
        <v>0</v>
      </c>
      <c r="AO205" s="170">
        <f ca="1" t="shared" si="387"/>
        <v>10609574.8410472</v>
      </c>
      <c r="AP205">
        <f ca="1" t="shared" si="388"/>
        <v>110956</v>
      </c>
      <c r="AQ205" s="170">
        <f ca="1" t="shared" si="330"/>
        <v>681428.85</v>
      </c>
      <c r="AR205">
        <f ca="1" t="shared" si="318"/>
        <v>10603010.1349529</v>
      </c>
      <c r="AS205">
        <f ca="1" t="shared" ref="AS205:AS215" si="407">W205+IF(COUNTIF(F205,"*内会*")&gt;0,0,IF(D205="轻剑",$AS$8-$Y$2,$AS$9-$Y$3))</f>
        <v>1.08</v>
      </c>
      <c r="AT205">
        <f ca="1">无穷技能数计算!$AJ197</f>
        <v>0</v>
      </c>
      <c r="AU205">
        <f ca="1" t="shared" ref="AU205:AU215" si="408">X205+IF(COUNTIF(F205,"*内会*")&gt;0,0,IF(D205="轻剑",$AU$8-$AB$2,$AU$9-$AB$3))</f>
        <v>3.0738578771</v>
      </c>
      <c r="AV205">
        <f ca="1" t="shared" si="342"/>
        <v>1.7995442148</v>
      </c>
      <c r="AW205">
        <f ca="1" t="shared" si="396"/>
        <v>10130943.6052621</v>
      </c>
      <c r="AX205">
        <f ca="1" t="shared" ref="AX205:AX215" si="409">$W205+IF(COUNTIF(F205,"*内会*")&gt;0,0,IF(I205="轻剑",AX$8-$Y$2,AX$9-$Y$3))</f>
        <v>1.07</v>
      </c>
      <c r="AY205">
        <f ca="1">无穷技能数计算!$AJ197</f>
        <v>0</v>
      </c>
      <c r="AZ205" s="170">
        <f ca="1" t="shared" si="397"/>
        <v>10130943.6052621</v>
      </c>
      <c r="BA205">
        <f ca="1" t="shared" ref="BA205:BA215" si="410">$W205+IF(COUNTIF(F205,"*内会*")&gt;0,0,IF(L205="轻剑",BA$8-$Y$2,BA$9-$Y$3))</f>
        <v>1.06</v>
      </c>
      <c r="BB205">
        <f ca="1">无穷技能数计算!$AJ197</f>
        <v>0</v>
      </c>
      <c r="BC205" s="170">
        <f ca="1" t="shared" si="398"/>
        <v>10130943.6052621</v>
      </c>
      <c r="BE205">
        <f ca="1" t="shared" si="389"/>
        <v>105849</v>
      </c>
      <c r="BF205">
        <f ca="1" t="shared" si="319"/>
        <v>651872.0875</v>
      </c>
      <c r="BI205">
        <f ca="1" t="shared" ref="BI205:BI215" si="411">$W205+IF(COUNTIF(F205,"*内会*")&gt;0,0,IF(T205="轻剑",BI$8-$Y$2,BI$9-$Y$3))</f>
        <v>1.05</v>
      </c>
      <c r="BJ205">
        <f ca="1">无穷技能数计算!$AJ197</f>
        <v>0</v>
      </c>
      <c r="BK205">
        <f ca="1" t="shared" si="390"/>
        <v>10225779.1906571</v>
      </c>
      <c r="BM205">
        <f ca="1" t="shared" si="391"/>
        <v>109230</v>
      </c>
      <c r="BN205">
        <f ca="1" t="shared" si="320"/>
        <v>671439.625</v>
      </c>
      <c r="BO205">
        <f ca="1" t="shared" si="321"/>
        <v>10657947.0960413</v>
      </c>
      <c r="BP205">
        <f ca="1" t="shared" si="346"/>
        <v>10163869.519158</v>
      </c>
      <c r="BR205">
        <f ca="1" t="shared" ref="BR205:BR215" si="412">$W205+IF(T205="轻剑",BI$8-$Y$2,BI$9-$Y$3)</f>
        <v>1.05</v>
      </c>
      <c r="BS205">
        <f ca="1" t="shared" si="392"/>
        <v>10235276.7676348</v>
      </c>
      <c r="BT205">
        <f ca="1" t="shared" si="322"/>
        <v>0.196995876306796</v>
      </c>
      <c r="BU205">
        <f ca="1" t="shared" ref="BU205:BU215" si="413">X205+IF(D205="轻剑",$AU$8-$AB$2,$AU$9-$AB$3)</f>
        <v>3.0738578771</v>
      </c>
      <c r="BV205">
        <f ca="1" t="shared" si="399"/>
        <v>10261937.8066923</v>
      </c>
      <c r="BW205">
        <f ca="1" t="shared" si="393"/>
        <v>113027</v>
      </c>
      <c r="BX205">
        <f ca="1" t="shared" si="323"/>
        <v>693414.7625</v>
      </c>
      <c r="BY205">
        <f ca="1" t="shared" ref="BY205:BY215" si="414">$W205+IF(COUNTIF(F205,"*内会*")&gt;0,0,IF(AI205="轻剑",BY$8-$Y$2,BY$9-$Y$3))</f>
        <v>1.03</v>
      </c>
      <c r="BZ205">
        <f ca="1">无穷技能数计算!$AJ197</f>
        <v>0</v>
      </c>
      <c r="CA205">
        <f ca="1" t="shared" ref="CA205:CA215" si="415">X205+IF(COUNTIF(F205,"*内会*")&gt;0,0,IF(D205="轻剑",$CA$8-$AB$2,$CA$9-$AB$3))</f>
        <v>3.0777641271</v>
      </c>
      <c r="CB205">
        <f ca="1" t="shared" si="400"/>
        <v>10715176.9562597</v>
      </c>
      <c r="CC205">
        <f ca="1" t="shared" si="394"/>
        <v>114847</v>
      </c>
      <c r="CD205">
        <f ca="1" t="shared" si="324"/>
        <v>703948.0125</v>
      </c>
      <c r="CE205">
        <f ca="1" t="shared" si="395"/>
        <v>10655962.9204497</v>
      </c>
      <c r="CF205">
        <f ca="1" t="shared" ref="CF205:CF215" si="416">X205+IF(COUNTIF(F205,"*内会*")&gt;0,0,IF(D205="轻剑",$CF$8-$AB$2,$CF$9-$AB$3))</f>
        <v>3.0250297521</v>
      </c>
      <c r="CG205">
        <f ca="1" t="shared" ref="CG205:CG215" si="417">$W205+IF(AI205="轻剑",BY$8-$Y$2,BY$9-$Y$3)</f>
        <v>1.03</v>
      </c>
      <c r="CH205">
        <f ca="1" t="shared" si="401"/>
        <v>9970013.91999231</v>
      </c>
      <c r="CJ205">
        <f ca="1" t="shared" si="325"/>
        <v>671439.625</v>
      </c>
      <c r="CK205">
        <f ca="1" t="shared" si="326"/>
        <v>10609667.1765717</v>
      </c>
      <c r="CL205">
        <f ca="1" t="shared" si="331"/>
        <v>3.0476860021</v>
      </c>
      <c r="CM205">
        <f ca="1">IF(G205="恒定伤害",0,(IF(D205="轻剑",$CM$8,$CM$9)+IFERROR(INDEX(技能数据库!$T$2:$W$27,MATCH(E205,技能数据库!$T$2:$T$27,0),4),0)+COUNTIF(G205,"*造化2*")*154+COUNTIF(G205,"*造化1*")*102+COUNTIF(G205,"*碧归*")*307)/1024)</f>
        <v>0.747180646929785</v>
      </c>
      <c r="CN205">
        <f ca="1" t="shared" si="402"/>
        <v>10405269.9775025</v>
      </c>
      <c r="CO205">
        <f ca="1" t="shared" si="332"/>
        <v>3.0762602208</v>
      </c>
      <c r="CP205">
        <f ca="1" t="shared" si="403"/>
        <v>10502826.7664121</v>
      </c>
      <c r="CQ205">
        <f ca="1" t="shared" si="353"/>
        <v>1.8815754648</v>
      </c>
      <c r="CR205">
        <f ca="1">IF(G205="恒定伤害",0,(IF(D205="轻剑",$CR$8,$CR$9)+IFERROR(INDEX(技能数据库!$T$2:$W$27,MATCH(E205,技能数据库!$T$2:$T$27,0),4),0)+COUNTIF(G205,"*造化2*")*154+COUNTIF(G205,"*造化1*")*102+COUNTIF(G205,"*碧归*")*307)/1024)</f>
        <v>0.737415021929785</v>
      </c>
      <c r="CS205">
        <f ca="1" t="shared" si="333"/>
        <v>10229860.1931822</v>
      </c>
    </row>
    <row r="206" spans="4:97">
      <c r="D206" t="s">
        <v>1825</v>
      </c>
      <c r="E206" t="s">
        <v>2794</v>
      </c>
      <c r="G206" t="s">
        <v>3114</v>
      </c>
      <c r="H206">
        <f ca="1">INDEX(技能数据库!$B$2:$I$100,MATCH(无穷阵眼收益计算!$E206,技能数据库!$B$2:$B$100,0),MATCH(H$9,技能数据库!$B$2:$I$2,0))</f>
        <v>231.5</v>
      </c>
      <c r="I206">
        <f ca="1">INDEX(技能数据库!$B$2:$I$100,MATCH(无穷阵眼收益计算!$E206,技能数据库!$B$2:$B$100,0),MATCH(I$9,技能数据库!$B$2:$I$2,0))</f>
        <v>2.71875</v>
      </c>
      <c r="J206">
        <f ca="1">INDEX(技能数据库!$B$2:$I$100,MATCH(无穷阵眼收益计算!$E206,技能数据库!$B$2:$B$100,0),MATCH(J$9,技能数据库!$B$2:$I$2,0))</f>
        <v>2</v>
      </c>
      <c r="K206">
        <f ca="1">INDEX(技能数据库!$B$2:$I$100,MATCH(无穷阵眼收益计算!$E206,技能数据库!$B$2:$B$100,0),MATCH(K$9,技能数据库!$B$2:$I$2,0))</f>
        <v>0</v>
      </c>
      <c r="L206">
        <f ca="1" t="shared" si="384"/>
        <v>105847</v>
      </c>
      <c r="M206">
        <f ca="1" t="shared" si="376"/>
        <v>19530.5</v>
      </c>
      <c r="N206">
        <f ca="1" t="shared" si="377"/>
        <v>92028</v>
      </c>
      <c r="O206">
        <f ca="1" t="shared" si="327"/>
        <v>327064.03125</v>
      </c>
      <c r="P206">
        <f ca="1">IF(G206="恒定伤害",0,(IF(D206="轻剑",$AZ$2,$AZ$3)+IFERROR(INDEX(技能数据库!$T$2:$W$27,MATCH(E206,技能数据库!$T$2:$T$27,0),4),0)+COUNTIF(G206,"*造化2*")*154+COUNTIF(G206,"*造化1*")*102+COUNTIF(G206,"*碧归*")*307)/1024)</f>
        <v>0.536243146929785</v>
      </c>
      <c r="Q206">
        <f ca="1" t="shared" si="334"/>
        <v>0.448284482196154</v>
      </c>
      <c r="R206">
        <f ca="1" t="shared" si="328"/>
        <v>0.21277697966198</v>
      </c>
      <c r="S206">
        <f ca="1" t="shared" si="378"/>
        <v>572854.602584295</v>
      </c>
      <c r="T206">
        <f t="shared" si="379"/>
        <v>0.8</v>
      </c>
      <c r="U206">
        <f ca="1" t="shared" si="335"/>
        <v>1.7800129648</v>
      </c>
      <c r="V206">
        <f ca="1" t="shared" si="380"/>
        <v>1274034.57770375</v>
      </c>
      <c r="W206">
        <f ca="1">IF(G206="恒定伤害",0,MIN(1,IF(COUNTIF(F206,"*内会*")&gt;0,内会2,IF(D206="轻剑",$Y$2,$Y$3)+COUNTIF(G206,"*莺鸣*")*0.2+COUNTIF(G206,"*叠1*")*0.1+COUNTIF(G206,"*叠2*")*0.2+COUNTIF(G206,"*叠3*")*0.3)+IFERROR(INDEX(技能数据库!$T$2:$W$27,MATCH(E206,技能数据库!$T$2:$T$27,0),2),0)+IF((IF(D206="轻剑",$AO$2,$AO$3)+INT(COUNTIF(G206,"*大莺鸣*")*IF(D206="轻剑",$AM$2,$AM$3)*听晓无双率)/无双系数)&gt;0.9,特效裤子会心/会心系数,0)))</f>
        <v>0.8043</v>
      </c>
      <c r="X206">
        <f ca="1">IF(G206="恒定伤害",0,IF(COUNTIF(F206,"*内会*")&gt;0,内会效2,IF(D206="轻剑",$AB$2,$AB$3))+IFERROR(INDEX(技能数据库!$T$2:$W$27,MATCH(E206,技能数据库!$T$2:$T$27,0),3)/1024,0))+COUNTIF(G206,"*叠1*")*0.25+COUNTIF(G206,"*叠2*")*0.5+COUNTIF(G206,"*叠3*")*0.75</f>
        <v>2.4273735021</v>
      </c>
      <c r="Y206">
        <f ca="1" t="shared" si="381"/>
        <v>2.14803650773903</v>
      </c>
      <c r="Z206">
        <f t="shared" si="317"/>
        <v>0.150390625</v>
      </c>
      <c r="AA206">
        <f ca="1" t="shared" si="382"/>
        <v>0.0205078125</v>
      </c>
      <c r="AB206">
        <f ca="1" t="shared" si="383"/>
        <v>3212806.28690644</v>
      </c>
      <c r="AC206">
        <f ca="1">无穷技能数计算!$AJ198</f>
        <v>0</v>
      </c>
      <c r="AD206" s="164">
        <f ca="1" t="shared" si="336"/>
        <v>0</v>
      </c>
      <c r="AE206" s="168"/>
      <c r="AF206" s="168">
        <f ca="1" t="shared" si="404"/>
        <v>0.8057</v>
      </c>
      <c r="AG206">
        <f ca="1">无穷技能数计算!$AJ198</f>
        <v>0</v>
      </c>
      <c r="AH206">
        <f ca="1" t="shared" si="385"/>
        <v>109879</v>
      </c>
      <c r="AJ206">
        <f ca="1" t="shared" si="405"/>
        <v>2.6265922521</v>
      </c>
      <c r="AK206">
        <f ca="1" t="shared" si="329"/>
        <v>338503.03125</v>
      </c>
      <c r="AL206">
        <f ca="1" t="shared" si="386"/>
        <v>3577721.93883627</v>
      </c>
      <c r="AM206" s="169">
        <f ca="1" t="shared" si="406"/>
        <v>0.8272</v>
      </c>
      <c r="AN206">
        <f ca="1">无穷技能数计算!$AJ198</f>
        <v>0</v>
      </c>
      <c r="AO206" s="170">
        <f ca="1" t="shared" si="387"/>
        <v>3631873.28297947</v>
      </c>
      <c r="AP206">
        <f ca="1" t="shared" si="388"/>
        <v>110956</v>
      </c>
      <c r="AQ206" s="170">
        <f ca="1" t="shared" si="330"/>
        <v>340954.125</v>
      </c>
      <c r="AR206">
        <f ca="1" t="shared" si="318"/>
        <v>3545743.34491114</v>
      </c>
      <c r="AS206">
        <f ca="1" t="shared" si="407"/>
        <v>0.8843</v>
      </c>
      <c r="AT206">
        <f ca="1">无穷技能数计算!$AJ198</f>
        <v>0</v>
      </c>
      <c r="AU206">
        <f ca="1" t="shared" si="408"/>
        <v>2.5738578771</v>
      </c>
      <c r="AV206">
        <f ca="1" t="shared" si="342"/>
        <v>1.7995442148</v>
      </c>
      <c r="AW206">
        <f ca="1" t="shared" si="396"/>
        <v>3602478.92217322</v>
      </c>
      <c r="AX206">
        <f ca="1" t="shared" si="409"/>
        <v>0.8743</v>
      </c>
      <c r="AY206">
        <f ca="1">无穷技能数计算!$AJ198</f>
        <v>0</v>
      </c>
      <c r="AZ206" s="170">
        <f ca="1" t="shared" si="397"/>
        <v>3578773.43394171</v>
      </c>
      <c r="BA206">
        <f ca="1" t="shared" si="410"/>
        <v>0.8643</v>
      </c>
      <c r="BB206">
        <f ca="1">无穷技能数计算!$AJ198</f>
        <v>0</v>
      </c>
      <c r="BC206" s="170">
        <f ca="1" t="shared" si="398"/>
        <v>3555067.9457102</v>
      </c>
      <c r="BE206">
        <f ca="1" t="shared" si="389"/>
        <v>105849</v>
      </c>
      <c r="BF206">
        <f ca="1" t="shared" si="319"/>
        <v>327069.46875</v>
      </c>
      <c r="BI206">
        <f ca="1" t="shared" si="411"/>
        <v>0.8543</v>
      </c>
      <c r="BJ206">
        <f ca="1">无穷技能数计算!$AJ198</f>
        <v>0</v>
      </c>
      <c r="BK206">
        <f ca="1" t="shared" si="390"/>
        <v>3543004.10658846</v>
      </c>
      <c r="BM206">
        <f ca="1" t="shared" si="391"/>
        <v>109230</v>
      </c>
      <c r="BN206">
        <f ca="1" t="shared" si="320"/>
        <v>336261.5625</v>
      </c>
      <c r="BO206">
        <f ca="1" t="shared" si="321"/>
        <v>3567356.45397937</v>
      </c>
      <c r="BP206">
        <f ca="1" t="shared" si="346"/>
        <v>3401982.12656169</v>
      </c>
      <c r="BR206">
        <f ca="1" t="shared" si="412"/>
        <v>0.8543</v>
      </c>
      <c r="BS206">
        <f ca="1" t="shared" si="392"/>
        <v>3539708.30502866</v>
      </c>
      <c r="BT206">
        <f ca="1" t="shared" si="322"/>
        <v>0.196995876306796</v>
      </c>
      <c r="BU206">
        <f ca="1" t="shared" si="413"/>
        <v>2.5738578771</v>
      </c>
      <c r="BV206">
        <f ca="1" t="shared" si="399"/>
        <v>3577023.3576971</v>
      </c>
      <c r="BW206">
        <f ca="1" t="shared" si="393"/>
        <v>113027</v>
      </c>
      <c r="BX206">
        <f ca="1" t="shared" si="323"/>
        <v>346584.65625</v>
      </c>
      <c r="BY206">
        <f ca="1" t="shared" si="414"/>
        <v>0.8343</v>
      </c>
      <c r="BZ206">
        <f ca="1">无穷技能数计算!$AJ198</f>
        <v>0</v>
      </c>
      <c r="CA206">
        <f ca="1" t="shared" si="415"/>
        <v>2.5777641271</v>
      </c>
      <c r="CB206">
        <f ca="1" t="shared" si="400"/>
        <v>3671297.68909344</v>
      </c>
      <c r="CC206">
        <f ca="1" t="shared" si="394"/>
        <v>114847</v>
      </c>
      <c r="CD206">
        <f ca="1" t="shared" si="324"/>
        <v>351532.78125</v>
      </c>
      <c r="CE206">
        <f ca="1" t="shared" si="395"/>
        <v>3627380.76437917</v>
      </c>
      <c r="CF206">
        <f ca="1" t="shared" si="416"/>
        <v>2.5250297521</v>
      </c>
      <c r="CG206">
        <f ca="1" t="shared" si="417"/>
        <v>0.8343</v>
      </c>
      <c r="CH206">
        <f ca="1" t="shared" si="401"/>
        <v>3422592.84686551</v>
      </c>
      <c r="CJ206">
        <f ca="1" t="shared" si="325"/>
        <v>336261.5625</v>
      </c>
      <c r="CK206">
        <f ca="1" t="shared" si="326"/>
        <v>3551196.52366957</v>
      </c>
      <c r="CL206">
        <f ca="1" t="shared" si="331"/>
        <v>2.5476860021</v>
      </c>
      <c r="CM206">
        <f ca="1">IF(G206="恒定伤害",0,(IF(D206="轻剑",$CM$8,$CM$9)+IFERROR(INDEX(技能数据库!$T$2:$W$27,MATCH(E206,技能数据库!$T$2:$T$27,0),4),0)+COUNTIF(G206,"*造化2*")*154+COUNTIF(G206,"*造化1*")*102+COUNTIF(G206,"*碧归*")*307)/1024)</f>
        <v>0.596790021929785</v>
      </c>
      <c r="CN206">
        <f ca="1" t="shared" si="402"/>
        <v>3587077.59161014</v>
      </c>
      <c r="CO206">
        <f ca="1" t="shared" si="332"/>
        <v>2.5762602208</v>
      </c>
      <c r="CP206">
        <f ca="1" t="shared" si="403"/>
        <v>3624399.84455283</v>
      </c>
      <c r="CQ206">
        <f ca="1" t="shared" si="353"/>
        <v>1.8815754648</v>
      </c>
      <c r="CR206">
        <f ca="1">IF(G206="恒定伤害",0,(IF(D206="轻剑",$CR$8,$CR$9)+IFERROR(INDEX(技能数据库!$T$2:$W$27,MATCH(E206,技能数据库!$T$2:$T$27,0),4),0)+COUNTIF(G206,"*造化2*")*154+COUNTIF(G206,"*造化1*")*102+COUNTIF(G206,"*碧归*")*307)/1024)</f>
        <v>0.587024396929785</v>
      </c>
      <c r="CS206">
        <f ca="1" t="shared" si="333"/>
        <v>3440260.76060918</v>
      </c>
    </row>
    <row r="207" spans="4:97">
      <c r="D207" t="s">
        <v>1825</v>
      </c>
      <c r="E207" t="s">
        <v>2794</v>
      </c>
      <c r="G207" t="s">
        <v>3115</v>
      </c>
      <c r="H207">
        <f ca="1">INDEX(技能数据库!$B$2:$I$100,MATCH(无穷阵眼收益计算!$E207,技能数据库!$B$2:$B$100,0),MATCH(H$9,技能数据库!$B$2:$I$2,0))</f>
        <v>231.5</v>
      </c>
      <c r="I207">
        <f ca="1">INDEX(技能数据库!$B$2:$I$100,MATCH(无穷阵眼收益计算!$E207,技能数据库!$B$2:$B$100,0),MATCH(I$9,技能数据库!$B$2:$I$2,0))</f>
        <v>2.71875</v>
      </c>
      <c r="J207">
        <f ca="1">INDEX(技能数据库!$B$2:$I$100,MATCH(无穷阵眼收益计算!$E207,技能数据库!$B$2:$B$100,0),MATCH(J$9,技能数据库!$B$2:$I$2,0))</f>
        <v>2</v>
      </c>
      <c r="K207">
        <f ca="1">INDEX(技能数据库!$B$2:$I$100,MATCH(无穷阵眼收益计算!$E207,技能数据库!$B$2:$B$100,0),MATCH(K$9,技能数据库!$B$2:$I$2,0))</f>
        <v>0</v>
      </c>
      <c r="L207">
        <f ca="1" t="shared" si="384"/>
        <v>105847</v>
      </c>
      <c r="M207">
        <f ca="1" t="shared" si="376"/>
        <v>19530.5</v>
      </c>
      <c r="N207">
        <f ca="1" t="shared" si="377"/>
        <v>92028</v>
      </c>
      <c r="O207">
        <f ca="1" t="shared" si="327"/>
        <v>327064.03125</v>
      </c>
      <c r="P207">
        <f ca="1">IF(G207="恒定伤害",0,(IF(D207="轻剑",$AZ$2,$AZ$3)+IFERROR(INDEX(技能数据库!$T$2:$W$27,MATCH(E207,技能数据库!$T$2:$T$27,0),4),0)+COUNTIF(G207,"*造化2*")*154+COUNTIF(G207,"*造化1*")*102+COUNTIF(G207,"*碧归*")*307)/1024)</f>
        <v>0.536243146929785</v>
      </c>
      <c r="Q207">
        <f ca="1" t="shared" si="334"/>
        <v>0.448284482196154</v>
      </c>
      <c r="R207">
        <f ca="1" t="shared" si="328"/>
        <v>0.21277697966198</v>
      </c>
      <c r="S207">
        <f ca="1" t="shared" si="378"/>
        <v>572854.602584295</v>
      </c>
      <c r="T207">
        <f t="shared" si="379"/>
        <v>0.8</v>
      </c>
      <c r="U207">
        <f ca="1" t="shared" si="335"/>
        <v>1.7800129648</v>
      </c>
      <c r="V207">
        <f ca="1" t="shared" si="380"/>
        <v>1274034.57770375</v>
      </c>
      <c r="W207">
        <f ca="1">IF(G207="恒定伤害",0,MIN(1,IF(COUNTIF(F207,"*内会*")&gt;0,内会2,IF(D207="轻剑",$Y$2,$Y$3)+COUNTIF(G207,"*莺鸣*")*0.2+COUNTIF(G207,"*叠1*")*0.1+COUNTIF(G207,"*叠2*")*0.2+COUNTIF(G207,"*叠3*")*0.3)+IFERROR(INDEX(技能数据库!$T$2:$W$27,MATCH(E207,技能数据库!$T$2:$T$27,0),2),0)+IF((IF(D207="轻剑",$AO$2,$AO$3)+INT(COUNTIF(G207,"*大莺鸣*")*IF(D207="轻剑",$AM$2,$AM$3)*听晓无双率)/无双系数)&gt;0.9,特效裤子会心/会心系数,0)))</f>
        <v>0.9043</v>
      </c>
      <c r="X207">
        <f ca="1">IF(G207="恒定伤害",0,IF(COUNTIF(F207,"*内会*")&gt;0,内会效2,IF(D207="轻剑",$AB$2,$AB$3))+IFERROR(INDEX(技能数据库!$T$2:$W$27,MATCH(E207,技能数据库!$T$2:$T$27,0),3)/1024,0))+COUNTIF(G207,"*叠1*")*0.25+COUNTIF(G207,"*叠2*")*0.5+COUNTIF(G207,"*叠3*")*0.75</f>
        <v>2.6773735021</v>
      </c>
      <c r="Y207">
        <f ca="1" t="shared" si="381"/>
        <v>2.51684885794903</v>
      </c>
      <c r="Z207">
        <f t="shared" si="317"/>
        <v>0.150390625</v>
      </c>
      <c r="AA207">
        <f ca="1" t="shared" si="382"/>
        <v>0.0205078125</v>
      </c>
      <c r="AB207">
        <f ca="1" t="shared" si="383"/>
        <v>3764436.87287384</v>
      </c>
      <c r="AC207" s="171">
        <f ca="1">无穷技能数计算!$AJ199</f>
        <v>0</v>
      </c>
      <c r="AD207" s="164">
        <f ca="1" t="shared" si="336"/>
        <v>0</v>
      </c>
      <c r="AE207" s="168"/>
      <c r="AF207" s="168">
        <f ca="1" t="shared" si="404"/>
        <v>0.9057</v>
      </c>
      <c r="AG207" s="171">
        <f ca="1">无穷技能数计算!$AJ199</f>
        <v>0</v>
      </c>
      <c r="AH207">
        <f ca="1" t="shared" si="385"/>
        <v>109879</v>
      </c>
      <c r="AJ207">
        <f ca="1" t="shared" si="405"/>
        <v>2.8765922521</v>
      </c>
      <c r="AK207">
        <f ca="1" t="shared" si="329"/>
        <v>338503.03125</v>
      </c>
      <c r="AL207">
        <f ca="1" t="shared" si="386"/>
        <v>4180192.3261891</v>
      </c>
      <c r="AM207" s="169">
        <f ca="1" t="shared" si="406"/>
        <v>0.9272</v>
      </c>
      <c r="AN207" s="171">
        <f ca="1">无穷技能数计算!$AJ199</f>
        <v>0</v>
      </c>
      <c r="AO207" s="170">
        <f ca="1" t="shared" si="387"/>
        <v>4242666.4912595</v>
      </c>
      <c r="AP207">
        <f ca="1" t="shared" si="388"/>
        <v>110956</v>
      </c>
      <c r="AQ207" s="170">
        <f ca="1" t="shared" si="330"/>
        <v>340954.125</v>
      </c>
      <c r="AR207">
        <f ca="1" t="shared" si="318"/>
        <v>4154538.36844388</v>
      </c>
      <c r="AS207">
        <f ca="1" t="shared" si="407"/>
        <v>0.9843</v>
      </c>
      <c r="AT207" s="171">
        <f ca="1">无穷技能数计算!$AJ199</f>
        <v>0</v>
      </c>
      <c r="AU207">
        <f ca="1" t="shared" si="408"/>
        <v>2.8238578771</v>
      </c>
      <c r="AV207">
        <f ca="1" t="shared" si="342"/>
        <v>1.7995442148</v>
      </c>
      <c r="AW207">
        <f ca="1" t="shared" si="396"/>
        <v>4210172.60875688</v>
      </c>
      <c r="AX207">
        <f ca="1" t="shared" si="409"/>
        <v>0.9743</v>
      </c>
      <c r="AY207" s="171">
        <f ca="1">无穷技能数计算!$AJ199</f>
        <v>0</v>
      </c>
      <c r="AZ207" s="170">
        <f ca="1" t="shared" si="397"/>
        <v>4182701.61403072</v>
      </c>
      <c r="BA207">
        <f ca="1" t="shared" si="410"/>
        <v>0.9643</v>
      </c>
      <c r="BB207" s="171">
        <f ca="1">无穷技能数计算!$AJ199</f>
        <v>0</v>
      </c>
      <c r="BC207" s="170">
        <f ca="1" t="shared" si="398"/>
        <v>4155230.61930456</v>
      </c>
      <c r="BE207">
        <f ca="1" t="shared" si="389"/>
        <v>105849</v>
      </c>
      <c r="BF207">
        <f ca="1" t="shared" si="319"/>
        <v>327069.46875</v>
      </c>
      <c r="BI207">
        <f ca="1" t="shared" si="411"/>
        <v>0.9543</v>
      </c>
      <c r="BJ207" s="171">
        <f ca="1">无穷技能数计算!$AJ199</f>
        <v>0</v>
      </c>
      <c r="BK207">
        <f ca="1" t="shared" si="390"/>
        <v>4151721.8085791</v>
      </c>
      <c r="BM207">
        <f ca="1" t="shared" si="391"/>
        <v>109230</v>
      </c>
      <c r="BN207">
        <f ca="1" t="shared" si="320"/>
        <v>336261.5625</v>
      </c>
      <c r="BO207">
        <f ca="1" t="shared" si="321"/>
        <v>4179862.39281642</v>
      </c>
      <c r="BP207">
        <f ca="1" t="shared" si="346"/>
        <v>3986093.71821722</v>
      </c>
      <c r="BR207">
        <f ca="1" t="shared" si="412"/>
        <v>0.9543</v>
      </c>
      <c r="BS207">
        <f ca="1" t="shared" si="392"/>
        <v>4147859.76077984</v>
      </c>
      <c r="BT207">
        <f ca="1" t="shared" si="322"/>
        <v>0.196995876306796</v>
      </c>
      <c r="BU207">
        <f ca="1" t="shared" si="413"/>
        <v>2.8238578771</v>
      </c>
      <c r="BV207">
        <f ca="1" t="shared" si="399"/>
        <v>4181132.00495932</v>
      </c>
      <c r="BW207">
        <f ca="1" t="shared" si="393"/>
        <v>113027</v>
      </c>
      <c r="BX207">
        <f ca="1" t="shared" si="323"/>
        <v>346584.65625</v>
      </c>
      <c r="BY207">
        <f ca="1" t="shared" si="414"/>
        <v>0.9343</v>
      </c>
      <c r="BZ207" s="171">
        <f ca="1">无穷技能数计算!$AJ199</f>
        <v>0</v>
      </c>
      <c r="CA207">
        <f ca="1" t="shared" si="415"/>
        <v>2.8277641271</v>
      </c>
      <c r="CB207">
        <f ca="1" t="shared" si="400"/>
        <v>4291575.62812767</v>
      </c>
      <c r="CC207">
        <f ca="1" t="shared" si="394"/>
        <v>114847</v>
      </c>
      <c r="CD207">
        <f ca="1" t="shared" si="324"/>
        <v>351532.78125</v>
      </c>
      <c r="CE207">
        <f ca="1" t="shared" si="395"/>
        <v>4250437.28355596</v>
      </c>
      <c r="CF207">
        <f ca="1" t="shared" si="416"/>
        <v>2.7750297521</v>
      </c>
      <c r="CG207">
        <f ca="1" t="shared" si="417"/>
        <v>0.9343</v>
      </c>
      <c r="CH207">
        <f ca="1" t="shared" si="401"/>
        <v>4004104.49610355</v>
      </c>
      <c r="CJ207">
        <f ca="1" t="shared" si="325"/>
        <v>336261.5625</v>
      </c>
      <c r="CK207">
        <f ca="1" t="shared" si="326"/>
        <v>4160927.84398626</v>
      </c>
      <c r="CL207">
        <f ca="1" t="shared" si="331"/>
        <v>2.7976860021</v>
      </c>
      <c r="CM207">
        <f ca="1">IF(G207="恒定伤害",0,(IF(D207="轻剑",$CM$8,$CM$9)+IFERROR(INDEX(技能数据库!$T$2:$W$27,MATCH(E207,技能数据库!$T$2:$T$27,0),4),0)+COUNTIF(G207,"*造化2*")*154+COUNTIF(G207,"*造化1*")*102+COUNTIF(G207,"*碧归*")*307)/1024)</f>
        <v>0.596790021929785</v>
      </c>
      <c r="CN207">
        <f ca="1" t="shared" si="402"/>
        <v>4195054.93647524</v>
      </c>
      <c r="CO207">
        <f ca="1" t="shared" si="332"/>
        <v>2.8262602208</v>
      </c>
      <c r="CP207">
        <f ca="1" t="shared" si="403"/>
        <v>4236850.67053296</v>
      </c>
      <c r="CQ207">
        <f ca="1" t="shared" si="353"/>
        <v>1.8815754648</v>
      </c>
      <c r="CR207">
        <f ca="1">IF(G207="恒定伤害",0,(IF(D207="轻剑",$CR$8,$CR$9)+IFERROR(INDEX(技能数据库!$T$2:$W$27,MATCH(E207,技能数据库!$T$2:$T$27,0),4),0)+COUNTIF(G207,"*造化2*")*154+COUNTIF(G207,"*造化1*")*102+COUNTIF(G207,"*碧归*")*307)/1024)</f>
        <v>0.587024396929785</v>
      </c>
      <c r="CS207">
        <f ca="1" t="shared" si="333"/>
        <v>4030944.6953953</v>
      </c>
    </row>
    <row r="208" spans="4:97">
      <c r="D208" t="s">
        <v>1825</v>
      </c>
      <c r="E208" t="s">
        <v>2794</v>
      </c>
      <c r="G208" t="s">
        <v>3116</v>
      </c>
      <c r="H208">
        <f ca="1">INDEX(技能数据库!$B$2:$I$100,MATCH(无穷阵眼收益计算!$E208,技能数据库!$B$2:$B$100,0),MATCH(H$9,技能数据库!$B$2:$I$2,0))</f>
        <v>231.5</v>
      </c>
      <c r="I208">
        <f ca="1">INDEX(技能数据库!$B$2:$I$100,MATCH(无穷阵眼收益计算!$E208,技能数据库!$B$2:$B$100,0),MATCH(I$9,技能数据库!$B$2:$I$2,0))</f>
        <v>2.71875</v>
      </c>
      <c r="J208">
        <f ca="1">INDEX(技能数据库!$B$2:$I$100,MATCH(无穷阵眼收益计算!$E208,技能数据库!$B$2:$B$100,0),MATCH(J$9,技能数据库!$B$2:$I$2,0))</f>
        <v>2</v>
      </c>
      <c r="K208">
        <f ca="1">INDEX(技能数据库!$B$2:$I$100,MATCH(无穷阵眼收益计算!$E208,技能数据库!$B$2:$B$100,0),MATCH(K$9,技能数据库!$B$2:$I$2,0))</f>
        <v>0</v>
      </c>
      <c r="L208">
        <f ca="1" t="shared" si="384"/>
        <v>105847</v>
      </c>
      <c r="M208">
        <f ca="1" t="shared" ref="M208:M215" si="418">IF(D208="轻剑",$AU$2+$AV$2,$AU$3+$AV$3)/2</f>
        <v>19530.5</v>
      </c>
      <c r="N208">
        <f ca="1" t="shared" ref="N208:N215" si="419">IF(D208="轻剑",$AJ$2,$AJ$3)</f>
        <v>92028</v>
      </c>
      <c r="O208">
        <f ca="1" t="shared" si="327"/>
        <v>327064.03125</v>
      </c>
      <c r="P208">
        <f ca="1">IF(G208="恒定伤害",0,(IF(D208="轻剑",$AZ$2,$AZ$3)+IFERROR(INDEX(技能数据库!$T$2:$W$27,MATCH(E208,技能数据库!$T$2:$T$27,0),4),0)+COUNTIF(G208,"*造化2*")*154+COUNTIF(G208,"*造化1*")*102+COUNTIF(G208,"*碧归*")*307)/1024)</f>
        <v>0.536243146929785</v>
      </c>
      <c r="Q208">
        <f ca="1" t="shared" si="334"/>
        <v>0.448284482196154</v>
      </c>
      <c r="R208">
        <f ca="1" t="shared" si="328"/>
        <v>0.21277697966198</v>
      </c>
      <c r="S208">
        <f ca="1" t="shared" ref="S208:S215" si="420">O208*(1+P208)*(1+Q208)*(1-R208)</f>
        <v>572854.602584295</v>
      </c>
      <c r="T208">
        <f t="shared" ref="T208:T219" si="421">1-($F$6-130)*0.05</f>
        <v>0.8</v>
      </c>
      <c r="U208">
        <f ca="1" t="shared" si="335"/>
        <v>1.7800129648</v>
      </c>
      <c r="V208">
        <f ca="1" t="shared" ref="V208:V215" si="422">S208*T208*(1+U208)</f>
        <v>1274034.57770375</v>
      </c>
      <c r="W208">
        <f ca="1">IF(G208="恒定伤害",0,MIN(1,IF(COUNTIF(F208,"*内会*")&gt;0,内会2,IF(D208="轻剑",$Y$2,$Y$3)+COUNTIF(G208,"*莺鸣*")*0.2+COUNTIF(G208,"*叠1*")*0.1+COUNTIF(G208,"*叠2*")*0.2+COUNTIF(G208,"*叠3*")*0.3)+IFERROR(INDEX(技能数据库!$T$2:$W$27,MATCH(E208,技能数据库!$T$2:$T$27,0),2),0)+IF((IF(D208="轻剑",$AO$2,$AO$3)+INT(COUNTIF(G208,"*大莺鸣*")*IF(D208="轻剑",$AM$2,$AM$3)*听晓无双率)/无双系数)&gt;0.9,特效裤子会心/会心系数,0)))</f>
        <v>1</v>
      </c>
      <c r="X208">
        <f ca="1">IF(G208="恒定伤害",0,IF(COUNTIF(F208,"*内会*")&gt;0,内会效2,IF(D208="轻剑",$AB$2,$AB$3))+IFERROR(INDEX(技能数据库!$T$2:$W$27,MATCH(E208,技能数据库!$T$2:$T$27,0),3)/1024,0))+COUNTIF(G208,"*叠1*")*0.25+COUNTIF(G208,"*叠2*")*0.5+COUNTIF(G208,"*叠3*")*0.75</f>
        <v>2.9273735021</v>
      </c>
      <c r="Y208">
        <f ca="1" t="shared" ref="Y208:Y215" si="423">1+W208*(X208-1)</f>
        <v>2.9273735021</v>
      </c>
      <c r="Z208">
        <f t="shared" si="317"/>
        <v>0.150390625</v>
      </c>
      <c r="AA208">
        <f ca="1" t="shared" ref="AA208:AA215" si="424">IF(D208="轻剑",$BA$2,$BA$3)/1024</f>
        <v>0.0205078125</v>
      </c>
      <c r="AB208">
        <f ca="1" t="shared" ref="AB208:AB215" si="425">V208*Y208*(1+Z208)*(1+AA208)</f>
        <v>4378456.30546092</v>
      </c>
      <c r="AC208">
        <f ca="1">无穷技能数计算!$AJ200</f>
        <v>2</v>
      </c>
      <c r="AD208" s="164">
        <f ca="1" t="shared" si="336"/>
        <v>0.00343192847639986</v>
      </c>
      <c r="AE208" s="168"/>
      <c r="AF208" s="168">
        <f ca="1" t="shared" si="404"/>
        <v>1.0014</v>
      </c>
      <c r="AG208">
        <f ca="1">无穷技能数计算!$AJ200</f>
        <v>2</v>
      </c>
      <c r="AH208">
        <f ca="1" t="shared" si="385"/>
        <v>109879</v>
      </c>
      <c r="AJ208">
        <f ca="1" t="shared" si="405"/>
        <v>3.1265922521</v>
      </c>
      <c r="AK208">
        <f ca="1" t="shared" si="329"/>
        <v>338503.03125</v>
      </c>
      <c r="AL208">
        <f ca="1" t="shared" si="386"/>
        <v>4841314.87006535</v>
      </c>
      <c r="AM208" s="169">
        <f ca="1" t="shared" si="406"/>
        <v>1.0229</v>
      </c>
      <c r="AN208">
        <f ca="1">无穷技能数计算!$AJ200</f>
        <v>2</v>
      </c>
      <c r="AO208" s="170">
        <f ca="1" t="shared" si="387"/>
        <v>4841314.87006535</v>
      </c>
      <c r="AP208">
        <f ca="1" t="shared" si="388"/>
        <v>110956</v>
      </c>
      <c r="AQ208" s="170">
        <f ca="1" t="shared" si="330"/>
        <v>340954.125</v>
      </c>
      <c r="AR208">
        <f ca="1" t="shared" si="318"/>
        <v>4832187.47714197</v>
      </c>
      <c r="AS208">
        <f ca="1" t="shared" si="407"/>
        <v>1.08</v>
      </c>
      <c r="AT208">
        <f ca="1">无穷技能数计算!$AJ200</f>
        <v>2</v>
      </c>
      <c r="AU208">
        <f ca="1" t="shared" si="408"/>
        <v>3.0738578771</v>
      </c>
      <c r="AV208">
        <f ca="1" t="shared" si="342"/>
        <v>1.7995442148</v>
      </c>
      <c r="AW208">
        <f ca="1" t="shared" si="396"/>
        <v>4629852.71994209</v>
      </c>
      <c r="AX208">
        <f ca="1" t="shared" si="409"/>
        <v>1.07</v>
      </c>
      <c r="AY208">
        <f ca="1">无穷技能数计算!$AJ200</f>
        <v>2</v>
      </c>
      <c r="AZ208" s="170">
        <f ca="1" t="shared" si="397"/>
        <v>4629852.71994209</v>
      </c>
      <c r="BA208">
        <f ca="1" t="shared" si="410"/>
        <v>1.06</v>
      </c>
      <c r="BB208">
        <f ca="1">无穷技能数计算!$AJ200</f>
        <v>2</v>
      </c>
      <c r="BC208" s="170">
        <f ca="1" t="shared" si="398"/>
        <v>4629852.71994209</v>
      </c>
      <c r="BE208">
        <f ca="1" t="shared" si="389"/>
        <v>105849</v>
      </c>
      <c r="BF208">
        <f ca="1" t="shared" si="319"/>
        <v>327069.46875</v>
      </c>
      <c r="BI208">
        <f ca="1" t="shared" si="411"/>
        <v>1.05</v>
      </c>
      <c r="BJ208">
        <f ca="1">无穷技能数计算!$AJ200</f>
        <v>2</v>
      </c>
      <c r="BK208">
        <f ca="1" t="shared" si="390"/>
        <v>4673187.40157571</v>
      </c>
      <c r="BM208">
        <f ca="1" t="shared" si="391"/>
        <v>109230</v>
      </c>
      <c r="BN208">
        <f ca="1" t="shared" si="320"/>
        <v>336261.5625</v>
      </c>
      <c r="BO208">
        <f ca="1" t="shared" si="321"/>
        <v>4861642.11748741</v>
      </c>
      <c r="BP208">
        <f ca="1" t="shared" si="346"/>
        <v>4636267.72451692</v>
      </c>
      <c r="BR208">
        <f ca="1" t="shared" si="412"/>
        <v>1.05</v>
      </c>
      <c r="BS208">
        <f ca="1" t="shared" si="392"/>
        <v>4668840.27189027</v>
      </c>
      <c r="BT208">
        <f ca="1" t="shared" si="322"/>
        <v>0.196995876306796</v>
      </c>
      <c r="BU208">
        <f ca="1" t="shared" si="413"/>
        <v>3.0738578771</v>
      </c>
      <c r="BV208">
        <f ca="1" t="shared" si="399"/>
        <v>4689717.2185929</v>
      </c>
      <c r="BW208">
        <f ca="1" t="shared" si="393"/>
        <v>113027</v>
      </c>
      <c r="BX208">
        <f ca="1" t="shared" si="323"/>
        <v>346584.65625</v>
      </c>
      <c r="BY208">
        <f ca="1" t="shared" si="414"/>
        <v>1.03</v>
      </c>
      <c r="BZ208">
        <f ca="1">无穷技能数计算!$AJ200</f>
        <v>2</v>
      </c>
      <c r="CA208">
        <f ca="1" t="shared" si="415"/>
        <v>3.0777641271</v>
      </c>
      <c r="CB208">
        <f ca="1" t="shared" si="400"/>
        <v>4878145.64503881</v>
      </c>
      <c r="CC208">
        <f ca="1" t="shared" si="394"/>
        <v>114847</v>
      </c>
      <c r="CD208">
        <f ca="1" t="shared" si="324"/>
        <v>351532.78125</v>
      </c>
      <c r="CE208">
        <f ca="1" t="shared" si="395"/>
        <v>4846822.44292801</v>
      </c>
      <c r="CF208">
        <f ca="1" t="shared" si="416"/>
        <v>3.0250297521</v>
      </c>
      <c r="CG208">
        <f ca="1" t="shared" si="417"/>
        <v>1.03</v>
      </c>
      <c r="CH208">
        <f ca="1" t="shared" si="401"/>
        <v>4556307.67121844</v>
      </c>
      <c r="CJ208">
        <f ca="1" t="shared" si="325"/>
        <v>336261.5625</v>
      </c>
      <c r="CK208">
        <f ca="1" t="shared" si="326"/>
        <v>4839619.14366259</v>
      </c>
      <c r="CL208">
        <f ca="1" t="shared" si="331"/>
        <v>3.0476860021</v>
      </c>
      <c r="CM208">
        <f ca="1">IF(G208="恒定伤害",0,(IF(D208="轻剑",$CM$8,$CM$9)+IFERROR(INDEX(技能数据库!$T$2:$W$27,MATCH(E208,技能数据库!$T$2:$T$27,0),4),0)+COUNTIF(G208,"*造化2*")*154+COUNTIF(G208,"*造化1*")*102+COUNTIF(G208,"*碧归*")*307)/1024)</f>
        <v>0.596790021929785</v>
      </c>
      <c r="CN208">
        <f ca="1" t="shared" si="402"/>
        <v>4771352.07722569</v>
      </c>
      <c r="CO208">
        <f ca="1" t="shared" si="332"/>
        <v>3.0762602208</v>
      </c>
      <c r="CP208">
        <f ca="1" t="shared" si="403"/>
        <v>4816086.88837599</v>
      </c>
      <c r="CQ208">
        <f ca="1" t="shared" si="353"/>
        <v>1.8815754648</v>
      </c>
      <c r="CR208">
        <f ca="1">IF(G208="恒定伤害",0,(IF(D208="轻剑",$CR$8,$CR$9)+IFERROR(INDEX(技能数据库!$T$2:$W$27,MATCH(E208,技能数据库!$T$2:$T$27,0),4),0)+COUNTIF(G208,"*造化2*")*154+COUNTIF(G208,"*造化1*")*102+COUNTIF(G208,"*碧归*")*307)/1024)</f>
        <v>0.587024396929785</v>
      </c>
      <c r="CS208">
        <f ca="1" t="shared" si="333"/>
        <v>4688434.37001083</v>
      </c>
    </row>
    <row r="209" spans="4:97">
      <c r="D209" t="s">
        <v>1825</v>
      </c>
      <c r="E209" t="s">
        <v>2798</v>
      </c>
      <c r="G209" t="s">
        <v>3114</v>
      </c>
      <c r="H209">
        <f ca="1">INDEX(技能数据库!$B$2:$I$100,MATCH(无穷阵眼收益计算!$E209,技能数据库!$B$2:$B$100,0),MATCH(H$9,技能数据库!$B$2:$I$2,0))</f>
        <v>1504.5</v>
      </c>
      <c r="I209">
        <f ca="1">INDEX(技能数据库!$B$2:$I$100,MATCH(无穷阵眼收益计算!$E209,技能数据库!$B$2:$B$100,0),MATCH(I$9,技能数据库!$B$2:$I$2,0))</f>
        <v>2.85625</v>
      </c>
      <c r="J209">
        <f ca="1">INDEX(技能数据库!$B$2:$I$100,MATCH(无穷阵眼收益计算!$E209,技能数据库!$B$2:$B$100,0),MATCH(J$9,技能数据库!$B$2:$I$2,0))</f>
        <v>0</v>
      </c>
      <c r="K209">
        <f ca="1">INDEX(技能数据库!$B$2:$I$100,MATCH(无穷阵眼收益计算!$E209,技能数据库!$B$2:$B$100,0),MATCH(K$9,技能数据库!$B$2:$I$2,0))</f>
        <v>0</v>
      </c>
      <c r="L209">
        <f ca="1" t="shared" si="384"/>
        <v>105847</v>
      </c>
      <c r="M209">
        <f ca="1" t="shared" si="418"/>
        <v>19530.5</v>
      </c>
      <c r="N209">
        <f ca="1" t="shared" si="419"/>
        <v>92028</v>
      </c>
      <c r="O209">
        <f ca="1" t="shared" si="327"/>
        <v>303829.99375</v>
      </c>
      <c r="P209">
        <f ca="1">IF(G209="恒定伤害",0,(IF(D209="轻剑",$AZ$2,$AZ$3)+IFERROR(INDEX(技能数据库!$T$2:$W$27,MATCH(E209,技能数据库!$T$2:$T$27,0),4),0)+COUNTIF(G209,"*造化2*")*154+COUNTIF(G209,"*造化1*")*102+COUNTIF(G209,"*碧归*")*307)/1024)</f>
        <v>0.416125959429785</v>
      </c>
      <c r="Q209">
        <f ca="1" t="shared" si="334"/>
        <v>0.448284482196154</v>
      </c>
      <c r="R209">
        <f ca="1" t="shared" si="328"/>
        <v>0.21277697966198</v>
      </c>
      <c r="S209">
        <f ca="1" t="shared" si="420"/>
        <v>490551.029623256</v>
      </c>
      <c r="T209">
        <f t="shared" si="421"/>
        <v>0.8</v>
      </c>
      <c r="U209">
        <f ca="1" t="shared" si="335"/>
        <v>1.7800129648</v>
      </c>
      <c r="V209">
        <f ca="1" t="shared" si="422"/>
        <v>1090990.57779891</v>
      </c>
      <c r="W209">
        <f ca="1">IF(G209="恒定伤害",0,MIN(1,IF(COUNTIF(F209,"*内会*")&gt;0,内会2,IF(D209="轻剑",$Y$2,$Y$3)+COUNTIF(G209,"*莺鸣*")*0.2+COUNTIF(G209,"*叠1*")*0.1+COUNTIF(G209,"*叠2*")*0.2+COUNTIF(G209,"*叠3*")*0.3)+IFERROR(INDEX(技能数据库!$T$2:$W$27,MATCH(E209,技能数据库!$T$2:$T$27,0),2),0)+IF((IF(D209="轻剑",$AO$2,$AO$3)+INT(COUNTIF(G209,"*大莺鸣*")*IF(D209="轻剑",$AM$2,$AM$3)*听晓无双率)/无双系数)&gt;0.9,特效裤子会心/会心系数,0)))</f>
        <v>0.8043</v>
      </c>
      <c r="X209">
        <f ca="1">IF(G209="恒定伤害",0,IF(COUNTIF(F209,"*内会*")&gt;0,内会效2,IF(D209="轻剑",$AB$2,$AB$3))+IFERROR(INDEX(技能数据库!$T$2:$W$27,MATCH(E209,技能数据库!$T$2:$T$27,0),3)/1024,0))+COUNTIF(G209,"*叠1*")*0.25+COUNTIF(G209,"*叠2*")*0.5+COUNTIF(G209,"*叠3*")*0.75</f>
        <v>2.4273735021</v>
      </c>
      <c r="Y209">
        <f ca="1" t="shared" si="423"/>
        <v>2.14803650773903</v>
      </c>
      <c r="Z209">
        <f t="shared" si="317"/>
        <v>0.150390625</v>
      </c>
      <c r="AA209">
        <f ca="1" t="shared" si="424"/>
        <v>0.0205078125</v>
      </c>
      <c r="AB209">
        <f ca="1" t="shared" si="425"/>
        <v>2751213.70224151</v>
      </c>
      <c r="AC209">
        <f ca="1">无穷技能数计算!$AJ201</f>
        <v>0</v>
      </c>
      <c r="AD209" s="164">
        <f ca="1" t="shared" si="336"/>
        <v>0</v>
      </c>
      <c r="AE209" s="168"/>
      <c r="AF209" s="168">
        <f ca="1" t="shared" si="404"/>
        <v>0.8057</v>
      </c>
      <c r="AG209">
        <f ca="1">无穷技能数计算!$AJ201</f>
        <v>0</v>
      </c>
      <c r="AH209">
        <f ca="1" t="shared" si="385"/>
        <v>109879</v>
      </c>
      <c r="AJ209">
        <f ca="1" t="shared" si="405"/>
        <v>2.6265922521</v>
      </c>
      <c r="AK209">
        <f ca="1" t="shared" si="329"/>
        <v>315346.39375</v>
      </c>
      <c r="AL209">
        <f ca="1" t="shared" si="386"/>
        <v>3072372.12609912</v>
      </c>
      <c r="AM209" s="169">
        <f ca="1" t="shared" si="406"/>
        <v>0.8272</v>
      </c>
      <c r="AN209">
        <f ca="1">无穷技能数计算!$AJ201</f>
        <v>0</v>
      </c>
      <c r="AO209" s="170">
        <f ca="1" t="shared" si="387"/>
        <v>3118874.64451185</v>
      </c>
      <c r="AP209">
        <f ca="1" t="shared" si="388"/>
        <v>110956</v>
      </c>
      <c r="AQ209" s="170">
        <f ca="1" t="shared" si="330"/>
        <v>318422.575</v>
      </c>
      <c r="AR209">
        <f ca="1" t="shared" si="318"/>
        <v>3052510.1935361</v>
      </c>
      <c r="AS209">
        <f ca="1" t="shared" si="407"/>
        <v>0.8843</v>
      </c>
      <c r="AT209">
        <f ca="1">无穷技能数计算!$AJ201</f>
        <v>0</v>
      </c>
      <c r="AU209">
        <f ca="1" t="shared" si="408"/>
        <v>2.5738578771</v>
      </c>
      <c r="AV209">
        <f ca="1" t="shared" si="342"/>
        <v>1.7995442148</v>
      </c>
      <c r="AW209">
        <f ca="1" t="shared" si="396"/>
        <v>3084901.01414191</v>
      </c>
      <c r="AX209">
        <f ca="1" t="shared" si="409"/>
        <v>0.8743</v>
      </c>
      <c r="AY209">
        <f ca="1">无穷技能数计算!$AJ201</f>
        <v>0</v>
      </c>
      <c r="AZ209" s="170">
        <f ca="1" t="shared" si="397"/>
        <v>3064601.35763705</v>
      </c>
      <c r="BA209">
        <f ca="1" t="shared" si="410"/>
        <v>0.8643</v>
      </c>
      <c r="BB209">
        <f ca="1">无穷技能数计算!$AJ201</f>
        <v>0</v>
      </c>
      <c r="BC209" s="170">
        <f ca="1" t="shared" si="398"/>
        <v>3044301.70113219</v>
      </c>
      <c r="BE209">
        <f ca="1" t="shared" si="389"/>
        <v>105849</v>
      </c>
      <c r="BF209">
        <f ca="1" t="shared" si="319"/>
        <v>303835.70625</v>
      </c>
      <c r="BI209">
        <f ca="1" t="shared" si="411"/>
        <v>0.8543</v>
      </c>
      <c r="BJ209">
        <f ca="1">无穷技能数计算!$AJ201</f>
        <v>0</v>
      </c>
      <c r="BK209">
        <f ca="1" t="shared" si="390"/>
        <v>3033977.70963572</v>
      </c>
      <c r="BM209">
        <f ca="1" t="shared" si="391"/>
        <v>109230</v>
      </c>
      <c r="BN209">
        <f ca="1" t="shared" si="320"/>
        <v>313492.6875</v>
      </c>
      <c r="BO209">
        <f ca="1" t="shared" si="321"/>
        <v>3065763.29614902</v>
      </c>
      <c r="BP209">
        <f ca="1" t="shared" si="346"/>
        <v>2923641.65799399</v>
      </c>
      <c r="BR209">
        <f ca="1" t="shared" si="412"/>
        <v>0.8543</v>
      </c>
      <c r="BS209">
        <f ca="1" t="shared" si="392"/>
        <v>3042002.65396115</v>
      </c>
      <c r="BT209">
        <f ca="1" t="shared" si="322"/>
        <v>0.196995876306796</v>
      </c>
      <c r="BU209">
        <f ca="1" t="shared" si="413"/>
        <v>2.5738578771</v>
      </c>
      <c r="BV209">
        <f ca="1" t="shared" si="399"/>
        <v>3063102.71958851</v>
      </c>
      <c r="BW209">
        <f ca="1" t="shared" si="393"/>
        <v>113027</v>
      </c>
      <c r="BX209">
        <f ca="1" t="shared" si="323"/>
        <v>324337.86875</v>
      </c>
      <c r="BY209">
        <f ca="1" t="shared" si="414"/>
        <v>0.8343</v>
      </c>
      <c r="BZ209">
        <f ca="1">无穷技能数计算!$AJ201</f>
        <v>0</v>
      </c>
      <c r="CA209">
        <f ca="1" t="shared" si="415"/>
        <v>2.5777641271</v>
      </c>
      <c r="CB209">
        <f ca="1" t="shared" si="400"/>
        <v>3167013.05049253</v>
      </c>
      <c r="CC209">
        <f ca="1" t="shared" si="394"/>
        <v>114847</v>
      </c>
      <c r="CD209">
        <f ca="1" t="shared" si="324"/>
        <v>329536.24375</v>
      </c>
      <c r="CE209">
        <f ca="1" t="shared" si="395"/>
        <v>3134529.98005702</v>
      </c>
      <c r="CF209">
        <f ca="1" t="shared" si="416"/>
        <v>2.5250297521</v>
      </c>
      <c r="CG209">
        <f ca="1" t="shared" si="417"/>
        <v>0.8343</v>
      </c>
      <c r="CH209">
        <f ca="1" t="shared" si="401"/>
        <v>2930859.65869326</v>
      </c>
      <c r="CJ209">
        <f ca="1" t="shared" si="325"/>
        <v>313492.6875</v>
      </c>
      <c r="CK209">
        <f ca="1" t="shared" si="326"/>
        <v>3051875.55550655</v>
      </c>
      <c r="CL209">
        <f ca="1" t="shared" si="331"/>
        <v>2.5476860021</v>
      </c>
      <c r="CM209">
        <f ca="1">IF(G209="恒定伤害",0,(IF(D209="轻剑",$CM$8,$CM$9)+IFERROR(INDEX(技能数据库!$T$2:$W$27,MATCH(E209,技能数据库!$T$2:$T$27,0),4),0)+COUNTIF(G209,"*造化2*")*154+COUNTIF(G209,"*造化1*")*102+COUNTIF(G209,"*碧归*")*307)/1024)</f>
        <v>0.476672834429785</v>
      </c>
      <c r="CN209">
        <f ca="1" t="shared" si="402"/>
        <v>3081591.77031454</v>
      </c>
      <c r="CO209">
        <f ca="1" t="shared" si="332"/>
        <v>2.5762602208</v>
      </c>
      <c r="CP209">
        <f ca="1" t="shared" si="403"/>
        <v>3113654.62498677</v>
      </c>
      <c r="CQ209">
        <f ca="1" t="shared" si="353"/>
        <v>1.8815754648</v>
      </c>
      <c r="CR209">
        <f ca="1">IF(G209="恒定伤害",0,(IF(D209="轻剑",$CR$8,$CR$9)+IFERROR(INDEX(技能数据库!$T$2:$W$27,MATCH(E209,技能数据库!$T$2:$T$27,0),4),0)+COUNTIF(G209,"*造化2*")*154+COUNTIF(G209,"*造化1*")*102+COUNTIF(G209,"*碧归*")*307)/1024)</f>
        <v>0.466907209429785</v>
      </c>
      <c r="CS209">
        <f ca="1" t="shared" si="333"/>
        <v>2953984.83324418</v>
      </c>
    </row>
    <row r="210" spans="4:97">
      <c r="D210" t="s">
        <v>1825</v>
      </c>
      <c r="E210" t="s">
        <v>2798</v>
      </c>
      <c r="G210" t="s">
        <v>3115</v>
      </c>
      <c r="H210">
        <f ca="1">INDEX(技能数据库!$B$2:$I$100,MATCH(无穷阵眼收益计算!$E210,技能数据库!$B$2:$B$100,0),MATCH(H$9,技能数据库!$B$2:$I$2,0))</f>
        <v>1504.5</v>
      </c>
      <c r="I210">
        <f ca="1">INDEX(技能数据库!$B$2:$I$100,MATCH(无穷阵眼收益计算!$E210,技能数据库!$B$2:$B$100,0),MATCH(I$9,技能数据库!$B$2:$I$2,0))</f>
        <v>2.85625</v>
      </c>
      <c r="J210">
        <f ca="1">INDEX(技能数据库!$B$2:$I$100,MATCH(无穷阵眼收益计算!$E210,技能数据库!$B$2:$B$100,0),MATCH(J$9,技能数据库!$B$2:$I$2,0))</f>
        <v>0</v>
      </c>
      <c r="K210">
        <f ca="1">INDEX(技能数据库!$B$2:$I$100,MATCH(无穷阵眼收益计算!$E210,技能数据库!$B$2:$B$100,0),MATCH(K$9,技能数据库!$B$2:$I$2,0))</f>
        <v>0</v>
      </c>
      <c r="L210">
        <f ca="1" t="shared" si="384"/>
        <v>105847</v>
      </c>
      <c r="M210">
        <f ca="1" t="shared" si="418"/>
        <v>19530.5</v>
      </c>
      <c r="N210">
        <f ca="1" t="shared" si="419"/>
        <v>92028</v>
      </c>
      <c r="O210">
        <f ca="1" t="shared" si="327"/>
        <v>303829.99375</v>
      </c>
      <c r="P210">
        <f ca="1">IF(G210="恒定伤害",0,(IF(D210="轻剑",$AZ$2,$AZ$3)+IFERROR(INDEX(技能数据库!$T$2:$W$27,MATCH(E210,技能数据库!$T$2:$T$27,0),4),0)+COUNTIF(G210,"*造化2*")*154+COUNTIF(G210,"*造化1*")*102+COUNTIF(G210,"*碧归*")*307)/1024)</f>
        <v>0.416125959429785</v>
      </c>
      <c r="Q210">
        <f ca="1" t="shared" si="334"/>
        <v>0.448284482196154</v>
      </c>
      <c r="R210">
        <f ca="1" t="shared" si="328"/>
        <v>0.21277697966198</v>
      </c>
      <c r="S210">
        <f ca="1" t="shared" si="420"/>
        <v>490551.029623256</v>
      </c>
      <c r="T210">
        <f t="shared" si="421"/>
        <v>0.8</v>
      </c>
      <c r="U210">
        <f ca="1" t="shared" si="335"/>
        <v>1.7800129648</v>
      </c>
      <c r="V210">
        <f ca="1" t="shared" si="422"/>
        <v>1090990.57779891</v>
      </c>
      <c r="W210">
        <f ca="1">IF(G210="恒定伤害",0,MIN(1,IF(COUNTIF(F210,"*内会*")&gt;0,内会2,IF(D210="轻剑",$Y$2,$Y$3)+COUNTIF(G210,"*莺鸣*")*0.2+COUNTIF(G210,"*叠1*")*0.1+COUNTIF(G210,"*叠2*")*0.2+COUNTIF(G210,"*叠3*")*0.3)+IFERROR(INDEX(技能数据库!$T$2:$W$27,MATCH(E210,技能数据库!$T$2:$T$27,0),2),0)+IF((IF(D210="轻剑",$AO$2,$AO$3)+INT(COUNTIF(G210,"*大莺鸣*")*IF(D210="轻剑",$AM$2,$AM$3)*听晓无双率)/无双系数)&gt;0.9,特效裤子会心/会心系数,0)))</f>
        <v>0.9043</v>
      </c>
      <c r="X210">
        <f ca="1">IF(G210="恒定伤害",0,IF(COUNTIF(F210,"*内会*")&gt;0,内会效2,IF(D210="轻剑",$AB$2,$AB$3))+IFERROR(INDEX(技能数据库!$T$2:$W$27,MATCH(E210,技能数据库!$T$2:$T$27,0),3)/1024,0))+COUNTIF(G210,"*叠1*")*0.25+COUNTIF(G210,"*叠2*")*0.5+COUNTIF(G210,"*叠3*")*0.75</f>
        <v>2.6773735021</v>
      </c>
      <c r="Y210">
        <f ca="1" t="shared" si="423"/>
        <v>2.51684885794903</v>
      </c>
      <c r="Z210">
        <f t="shared" si="317"/>
        <v>0.150390625</v>
      </c>
      <c r="AA210">
        <f ca="1" t="shared" si="424"/>
        <v>0.0205078125</v>
      </c>
      <c r="AB210">
        <f ca="1" t="shared" si="425"/>
        <v>3223590.02722385</v>
      </c>
      <c r="AC210">
        <f ca="1">无穷技能数计算!$AJ202</f>
        <v>0</v>
      </c>
      <c r="AD210" s="164">
        <f ca="1" t="shared" si="336"/>
        <v>0</v>
      </c>
      <c r="AE210" s="168"/>
      <c r="AF210" s="168">
        <f ca="1" t="shared" si="404"/>
        <v>0.9057</v>
      </c>
      <c r="AG210">
        <f ca="1">无穷技能数计算!$AJ202</f>
        <v>0</v>
      </c>
      <c r="AH210">
        <f ca="1" t="shared" si="385"/>
        <v>109879</v>
      </c>
      <c r="AJ210">
        <f ca="1" t="shared" si="405"/>
        <v>2.8765922521</v>
      </c>
      <c r="AK210">
        <f ca="1" t="shared" si="329"/>
        <v>315346.39375</v>
      </c>
      <c r="AL210">
        <f ca="1" t="shared" si="386"/>
        <v>3589744.1456544</v>
      </c>
      <c r="AM210" s="169">
        <f ca="1" t="shared" si="406"/>
        <v>0.9272</v>
      </c>
      <c r="AN210">
        <f ca="1">无穷技能数计算!$AJ202</f>
        <v>0</v>
      </c>
      <c r="AO210" s="170">
        <f ca="1" t="shared" si="387"/>
        <v>3643393.89447363</v>
      </c>
      <c r="AP210">
        <f ca="1" t="shared" si="388"/>
        <v>110956</v>
      </c>
      <c r="AQ210" s="170">
        <f ca="1" t="shared" si="330"/>
        <v>318422.575</v>
      </c>
      <c r="AR210">
        <f ca="1" t="shared" si="318"/>
        <v>3576618.35206224</v>
      </c>
      <c r="AS210">
        <f ca="1" t="shared" si="407"/>
        <v>0.9843</v>
      </c>
      <c r="AT210">
        <f ca="1">无穷技能数计算!$AJ202</f>
        <v>0</v>
      </c>
      <c r="AU210">
        <f ca="1" t="shared" si="408"/>
        <v>2.8238578771</v>
      </c>
      <c r="AV210">
        <f ca="1" t="shared" si="342"/>
        <v>1.7995442148</v>
      </c>
      <c r="AW210">
        <f ca="1" t="shared" si="396"/>
        <v>3605285.70216631</v>
      </c>
      <c r="AX210">
        <f ca="1" t="shared" si="409"/>
        <v>0.9743</v>
      </c>
      <c r="AY210">
        <f ca="1">无穷技能数计算!$AJ202</f>
        <v>0</v>
      </c>
      <c r="AZ210" s="170">
        <f ca="1" t="shared" si="397"/>
        <v>3581761.5396879</v>
      </c>
      <c r="BA210">
        <f ca="1" t="shared" si="410"/>
        <v>0.9643</v>
      </c>
      <c r="BB210">
        <f ca="1">无穷技能数计算!$AJ202</f>
        <v>0</v>
      </c>
      <c r="BC210" s="170">
        <f ca="1" t="shared" si="398"/>
        <v>3558237.3772095</v>
      </c>
      <c r="BE210">
        <f ca="1" t="shared" si="389"/>
        <v>105849</v>
      </c>
      <c r="BF210">
        <f ca="1" t="shared" si="319"/>
        <v>303835.70625</v>
      </c>
      <c r="BI210">
        <f ca="1" t="shared" si="411"/>
        <v>0.9543</v>
      </c>
      <c r="BJ210">
        <f ca="1">无穷技能数计算!$AJ202</f>
        <v>0</v>
      </c>
      <c r="BK210">
        <f ca="1" t="shared" si="390"/>
        <v>3555240.42447873</v>
      </c>
      <c r="BM210">
        <f ca="1" t="shared" si="391"/>
        <v>109230</v>
      </c>
      <c r="BN210">
        <f ca="1" t="shared" si="320"/>
        <v>313492.6875</v>
      </c>
      <c r="BO210">
        <f ca="1" t="shared" si="321"/>
        <v>3592146.97834742</v>
      </c>
      <c r="BP210">
        <f ca="1" t="shared" si="346"/>
        <v>3425623.4200226</v>
      </c>
      <c r="BR210">
        <f ca="1" t="shared" si="412"/>
        <v>0.9543</v>
      </c>
      <c r="BS210">
        <f ca="1" t="shared" si="392"/>
        <v>3564644.12127564</v>
      </c>
      <c r="BT210">
        <f ca="1" t="shared" si="322"/>
        <v>0.196995876306796</v>
      </c>
      <c r="BU210">
        <f ca="1" t="shared" si="413"/>
        <v>2.8238578771</v>
      </c>
      <c r="BV210">
        <f ca="1" t="shared" si="399"/>
        <v>3580417.44060481</v>
      </c>
      <c r="BW210">
        <f ca="1" t="shared" si="393"/>
        <v>113027</v>
      </c>
      <c r="BX210">
        <f ca="1" t="shared" si="323"/>
        <v>324337.86875</v>
      </c>
      <c r="BY210">
        <f ca="1" t="shared" si="414"/>
        <v>0.9343</v>
      </c>
      <c r="BZ210">
        <f ca="1">无穷技能数计算!$AJ202</f>
        <v>0</v>
      </c>
      <c r="CA210">
        <f ca="1" t="shared" si="415"/>
        <v>2.8277641271</v>
      </c>
      <c r="CB210">
        <f ca="1" t="shared" si="400"/>
        <v>3702090.42481984</v>
      </c>
      <c r="CC210">
        <f ca="1" t="shared" si="394"/>
        <v>114847</v>
      </c>
      <c r="CD210">
        <f ca="1" t="shared" si="324"/>
        <v>329536.24375</v>
      </c>
      <c r="CE210">
        <f ca="1" t="shared" si="395"/>
        <v>3672932.05733768</v>
      </c>
      <c r="CF210">
        <f ca="1" t="shared" si="416"/>
        <v>2.7750297521</v>
      </c>
      <c r="CG210">
        <f ca="1" t="shared" si="417"/>
        <v>0.9343</v>
      </c>
      <c r="CH210">
        <f ca="1" t="shared" si="401"/>
        <v>3428823.95362037</v>
      </c>
      <c r="CJ210">
        <f ca="1" t="shared" si="325"/>
        <v>313492.6875</v>
      </c>
      <c r="CK210">
        <f ca="1" t="shared" si="326"/>
        <v>3575874.74831336</v>
      </c>
      <c r="CL210">
        <f ca="1" t="shared" si="331"/>
        <v>2.7976860021</v>
      </c>
      <c r="CM210">
        <f ca="1">IF(G210="恒定伤害",0,(IF(D210="轻剑",$CM$8,$CM$9)+IFERROR(INDEX(技能数据库!$T$2:$W$27,MATCH(E210,技能数据库!$T$2:$T$27,0),4),0)+COUNTIF(G210,"*造化2*")*154+COUNTIF(G210,"*造化1*")*102+COUNTIF(G210,"*碧归*")*307)/1024)</f>
        <v>0.476672834429785</v>
      </c>
      <c r="CN210">
        <f ca="1" t="shared" si="402"/>
        <v>3603893.82111378</v>
      </c>
      <c r="CO210">
        <f ca="1" t="shared" si="332"/>
        <v>2.8262602208</v>
      </c>
      <c r="CP210">
        <f ca="1" t="shared" si="403"/>
        <v>3639799.76036856</v>
      </c>
      <c r="CQ210">
        <f ca="1" t="shared" si="353"/>
        <v>1.8815754648</v>
      </c>
      <c r="CR210">
        <f ca="1">IF(G210="恒定伤害",0,(IF(D210="轻剑",$CR$8,$CR$9)+IFERROR(INDEX(技能数据库!$T$2:$W$27,MATCH(E210,技能数据库!$T$2:$T$27,0),4),0)+COUNTIF(G210,"*造化2*")*154+COUNTIF(G210,"*造化1*")*102+COUNTIF(G210,"*碧归*")*307)/1024)</f>
        <v>0.466907209429785</v>
      </c>
      <c r="CS210">
        <f ca="1" t="shared" si="333"/>
        <v>3461176.44051357</v>
      </c>
    </row>
    <row r="211" spans="4:97">
      <c r="D211" t="s">
        <v>1825</v>
      </c>
      <c r="E211" t="s">
        <v>2798</v>
      </c>
      <c r="G211" t="s">
        <v>3116</v>
      </c>
      <c r="H211">
        <f ca="1">INDEX(技能数据库!$B$2:$I$100,MATCH(无穷阵眼收益计算!$E211,技能数据库!$B$2:$B$100,0),MATCH(H$9,技能数据库!$B$2:$I$2,0))</f>
        <v>1504.5</v>
      </c>
      <c r="I211">
        <f ca="1">INDEX(技能数据库!$B$2:$I$100,MATCH(无穷阵眼收益计算!$E211,技能数据库!$B$2:$B$100,0),MATCH(I$9,技能数据库!$B$2:$I$2,0))</f>
        <v>2.85625</v>
      </c>
      <c r="J211">
        <f ca="1">INDEX(技能数据库!$B$2:$I$100,MATCH(无穷阵眼收益计算!$E211,技能数据库!$B$2:$B$100,0),MATCH(J$9,技能数据库!$B$2:$I$2,0))</f>
        <v>0</v>
      </c>
      <c r="K211">
        <f ca="1">INDEX(技能数据库!$B$2:$I$100,MATCH(无穷阵眼收益计算!$E211,技能数据库!$B$2:$B$100,0),MATCH(K$9,技能数据库!$B$2:$I$2,0))</f>
        <v>0</v>
      </c>
      <c r="L211">
        <f ca="1" t="shared" si="384"/>
        <v>105847</v>
      </c>
      <c r="M211">
        <f ca="1" t="shared" si="418"/>
        <v>19530.5</v>
      </c>
      <c r="N211">
        <f ca="1" t="shared" si="419"/>
        <v>92028</v>
      </c>
      <c r="O211">
        <f ca="1" t="shared" si="327"/>
        <v>303829.99375</v>
      </c>
      <c r="P211">
        <f ca="1">IF(G211="恒定伤害",0,(IF(D211="轻剑",$AZ$2,$AZ$3)+IFERROR(INDEX(技能数据库!$T$2:$W$27,MATCH(E211,技能数据库!$T$2:$T$27,0),4),0)+COUNTIF(G211,"*造化2*")*154+COUNTIF(G211,"*造化1*")*102+COUNTIF(G211,"*碧归*")*307)/1024)</f>
        <v>0.416125959429785</v>
      </c>
      <c r="Q211">
        <f ca="1" t="shared" si="334"/>
        <v>0.448284482196154</v>
      </c>
      <c r="R211">
        <f ca="1" t="shared" si="328"/>
        <v>0.21277697966198</v>
      </c>
      <c r="S211">
        <f ca="1" t="shared" si="420"/>
        <v>490551.029623256</v>
      </c>
      <c r="T211">
        <f t="shared" si="421"/>
        <v>0.8</v>
      </c>
      <c r="U211">
        <f ca="1" t="shared" si="335"/>
        <v>1.7800129648</v>
      </c>
      <c r="V211">
        <f ca="1" t="shared" si="422"/>
        <v>1090990.57779891</v>
      </c>
      <c r="W211">
        <f ca="1">IF(G211="恒定伤害",0,MIN(1,IF(COUNTIF(F211,"*内会*")&gt;0,内会2,IF(D211="轻剑",$Y$2,$Y$3)+COUNTIF(G211,"*莺鸣*")*0.2+COUNTIF(G211,"*叠1*")*0.1+COUNTIF(G211,"*叠2*")*0.2+COUNTIF(G211,"*叠3*")*0.3)+IFERROR(INDEX(技能数据库!$T$2:$W$27,MATCH(E211,技能数据库!$T$2:$T$27,0),2),0)+IF((IF(D211="轻剑",$AO$2,$AO$3)+INT(COUNTIF(G211,"*大莺鸣*")*IF(D211="轻剑",$AM$2,$AM$3)*听晓无双率)/无双系数)&gt;0.9,特效裤子会心/会心系数,0)))</f>
        <v>1</v>
      </c>
      <c r="X211">
        <f ca="1">IF(G211="恒定伤害",0,IF(COUNTIF(F211,"*内会*")&gt;0,内会效2,IF(D211="轻剑",$AB$2,$AB$3))+IFERROR(INDEX(技能数据库!$T$2:$W$27,MATCH(E211,技能数据库!$T$2:$T$27,0),3)/1024,0))+COUNTIF(G211,"*叠1*")*0.25+COUNTIF(G211,"*叠2*")*0.5+COUNTIF(G211,"*叠3*")*0.75</f>
        <v>2.9273735021</v>
      </c>
      <c r="Y211">
        <f ca="1" t="shared" si="423"/>
        <v>2.9273735021</v>
      </c>
      <c r="Z211">
        <f t="shared" si="317"/>
        <v>0.150390625</v>
      </c>
      <c r="AA211">
        <f ca="1" t="shared" si="424"/>
        <v>0.0205078125</v>
      </c>
      <c r="AB211">
        <f ca="1" t="shared" si="425"/>
        <v>3749391.6241831</v>
      </c>
      <c r="AC211">
        <f ca="1">无穷技能数计算!$AJ203</f>
        <v>2</v>
      </c>
      <c r="AD211" s="164">
        <f ca="1" t="shared" si="336"/>
        <v>0.00293885401303657</v>
      </c>
      <c r="AE211" s="168"/>
      <c r="AF211" s="168">
        <f ca="1" t="shared" si="404"/>
        <v>1.0014</v>
      </c>
      <c r="AG211">
        <f ca="1">无穷技能数计算!$AJ203</f>
        <v>2</v>
      </c>
      <c r="AH211">
        <f ca="1" t="shared" si="385"/>
        <v>109879</v>
      </c>
      <c r="AJ211">
        <f ca="1" t="shared" si="405"/>
        <v>3.1265922521</v>
      </c>
      <c r="AK211">
        <f ca="1" t="shared" si="329"/>
        <v>315346.39375</v>
      </c>
      <c r="AL211">
        <f ca="1" t="shared" si="386"/>
        <v>4157483.76054516</v>
      </c>
      <c r="AM211" s="169">
        <f ca="1" t="shared" si="406"/>
        <v>1.0229</v>
      </c>
      <c r="AN211">
        <f ca="1">无穷技能数计算!$AJ203</f>
        <v>2</v>
      </c>
      <c r="AO211" s="170">
        <f ca="1" t="shared" si="387"/>
        <v>4157483.76054516</v>
      </c>
      <c r="AP211">
        <f ca="1" t="shared" si="388"/>
        <v>110956</v>
      </c>
      <c r="AQ211" s="170">
        <f ca="1" t="shared" si="330"/>
        <v>318422.575</v>
      </c>
      <c r="AR211">
        <f ca="1" t="shared" si="318"/>
        <v>4160002.59923578</v>
      </c>
      <c r="AS211">
        <f ca="1" t="shared" si="407"/>
        <v>1.08</v>
      </c>
      <c r="AT211">
        <f ca="1">无穷技能数计算!$AJ203</f>
        <v>2</v>
      </c>
      <c r="AU211">
        <f ca="1" t="shared" si="408"/>
        <v>3.0738578771</v>
      </c>
      <c r="AV211">
        <f ca="1" t="shared" si="342"/>
        <v>1.7995442148</v>
      </c>
      <c r="AW211">
        <f ca="1" t="shared" si="396"/>
        <v>3964669.23461163</v>
      </c>
      <c r="AX211">
        <f ca="1" t="shared" si="409"/>
        <v>1.07</v>
      </c>
      <c r="AY211">
        <f ca="1">无穷技能数计算!$AJ203</f>
        <v>2</v>
      </c>
      <c r="AZ211" s="170">
        <f ca="1" t="shared" si="397"/>
        <v>3964669.23461163</v>
      </c>
      <c r="BA211">
        <f ca="1" t="shared" si="410"/>
        <v>1.06</v>
      </c>
      <c r="BB211">
        <f ca="1">无穷技能数计算!$AJ203</f>
        <v>2</v>
      </c>
      <c r="BC211" s="170">
        <f ca="1" t="shared" si="398"/>
        <v>3964669.23461163</v>
      </c>
      <c r="BE211">
        <f ca="1" t="shared" si="389"/>
        <v>105849</v>
      </c>
      <c r="BF211">
        <f ca="1" t="shared" si="319"/>
        <v>303835.70625</v>
      </c>
      <c r="BI211">
        <f ca="1" t="shared" si="411"/>
        <v>1.05</v>
      </c>
      <c r="BJ211">
        <f ca="1">无穷技能数计算!$AJ203</f>
        <v>2</v>
      </c>
      <c r="BK211">
        <f ca="1" t="shared" si="390"/>
        <v>4001786.61463178</v>
      </c>
      <c r="BM211">
        <f ca="1" t="shared" si="391"/>
        <v>109230</v>
      </c>
      <c r="BN211">
        <f ca="1" t="shared" si="320"/>
        <v>313492.6875</v>
      </c>
      <c r="BO211">
        <f ca="1" t="shared" si="321"/>
        <v>4178064.10855831</v>
      </c>
      <c r="BP211">
        <f ca="1" t="shared" si="346"/>
        <v>3984378.79822437</v>
      </c>
      <c r="BR211">
        <f ca="1" t="shared" si="412"/>
        <v>1.05</v>
      </c>
      <c r="BS211">
        <f ca="1" t="shared" si="392"/>
        <v>4012371.43688763</v>
      </c>
      <c r="BT211">
        <f ca="1" t="shared" si="322"/>
        <v>0.196995876306796</v>
      </c>
      <c r="BU211">
        <f ca="1" t="shared" si="413"/>
        <v>3.0738578771</v>
      </c>
      <c r="BV211">
        <f ca="1" t="shared" si="399"/>
        <v>4015932.83853234</v>
      </c>
      <c r="BW211">
        <f ca="1" t="shared" si="393"/>
        <v>113027</v>
      </c>
      <c r="BX211">
        <f ca="1" t="shared" si="323"/>
        <v>324337.86875</v>
      </c>
      <c r="BY211">
        <f ca="1" t="shared" si="414"/>
        <v>1.03</v>
      </c>
      <c r="BZ211">
        <f ca="1">无穷技能数计算!$AJ203</f>
        <v>2</v>
      </c>
      <c r="CA211">
        <f ca="1" t="shared" si="415"/>
        <v>3.0777641271</v>
      </c>
      <c r="CB211">
        <f ca="1" t="shared" si="400"/>
        <v>4208089.95302588</v>
      </c>
      <c r="CC211">
        <f ca="1" t="shared" si="394"/>
        <v>114847</v>
      </c>
      <c r="CD211">
        <f ca="1" t="shared" si="324"/>
        <v>329536.24375</v>
      </c>
      <c r="CE211">
        <f ca="1" t="shared" si="395"/>
        <v>4188286.60188126</v>
      </c>
      <c r="CF211">
        <f ca="1" t="shared" si="416"/>
        <v>3.0250297521</v>
      </c>
      <c r="CG211">
        <f ca="1" t="shared" si="417"/>
        <v>1.03</v>
      </c>
      <c r="CH211">
        <f ca="1" t="shared" si="401"/>
        <v>3901690.60231589</v>
      </c>
      <c r="CJ211">
        <f ca="1" t="shared" si="325"/>
        <v>313492.6875</v>
      </c>
      <c r="CK211">
        <f ca="1" t="shared" si="326"/>
        <v>4159137.70585784</v>
      </c>
      <c r="CL211">
        <f ca="1" t="shared" si="331"/>
        <v>3.0476860021</v>
      </c>
      <c r="CM211">
        <f ca="1">IF(G211="恒定伤害",0,(IF(D211="轻剑",$CM$8,$CM$9)+IFERROR(INDEX(技能数据库!$T$2:$W$27,MATCH(E211,技能数据库!$T$2:$T$27,0),4),0)+COUNTIF(G211,"*造化2*")*154+COUNTIF(G211,"*造化1*")*102+COUNTIF(G211,"*碧归*")*307)/1024)</f>
        <v>0.476672834429785</v>
      </c>
      <c r="CN211">
        <f ca="1" t="shared" si="402"/>
        <v>4098979.99665291</v>
      </c>
      <c r="CO211">
        <f ca="1" t="shared" si="332"/>
        <v>3.0762602208</v>
      </c>
      <c r="CP211">
        <f ca="1" t="shared" si="403"/>
        <v>4137410.84247843</v>
      </c>
      <c r="CQ211">
        <f ca="1" t="shared" si="353"/>
        <v>1.8815754648</v>
      </c>
      <c r="CR211">
        <f ca="1">IF(G211="恒定伤害",0,(IF(D211="轻剑",$CR$8,$CR$9)+IFERROR(INDEX(技能数据库!$T$2:$W$27,MATCH(E211,技能数据库!$T$2:$T$27,0),4),0)+COUNTIF(G211,"*造化2*")*154+COUNTIF(G211,"*造化1*")*102+COUNTIF(G211,"*碧归*")*307)/1024)</f>
        <v>0.466907209429785</v>
      </c>
      <c r="CS211">
        <f ca="1" t="shared" si="333"/>
        <v>4025730.89204445</v>
      </c>
    </row>
    <row r="212" spans="4:97">
      <c r="D212" t="s">
        <v>1825</v>
      </c>
      <c r="E212" s="161" t="s">
        <v>2859</v>
      </c>
      <c r="G212" t="s">
        <v>3109</v>
      </c>
      <c r="H212">
        <f ca="1">INDEX(技能数据库!$B$2:$I$100,MATCH(无穷阵眼收益计算!$E212,技能数据库!$B$2:$B$100,0),MATCH(H$9,技能数据库!$B$2:$I$2,0))</f>
        <v>1955936</v>
      </c>
      <c r="I212">
        <f ca="1">INDEX(技能数据库!$B$2:$I$100,MATCH(无穷阵眼收益计算!$E212,技能数据库!$B$2:$B$100,0),MATCH(I$9,技能数据库!$B$2:$I$2,0))</f>
        <v>0</v>
      </c>
      <c r="J212">
        <f ca="1">INDEX(技能数据库!$B$2:$I$100,MATCH(无穷阵眼收益计算!$E212,技能数据库!$B$2:$B$100,0),MATCH(J$9,技能数据库!$B$2:$I$2,0))</f>
        <v>0</v>
      </c>
      <c r="K212">
        <f ca="1">INDEX(技能数据库!$B$2:$I$100,MATCH(无穷阵眼收益计算!$E212,技能数据库!$B$2:$B$100,0),MATCH(K$9,技能数据库!$B$2:$I$2,0))</f>
        <v>0</v>
      </c>
      <c r="L212">
        <f ca="1" t="shared" si="384"/>
        <v>105847</v>
      </c>
      <c r="M212">
        <f ca="1" t="shared" si="418"/>
        <v>19530.5</v>
      </c>
      <c r="N212">
        <f ca="1" t="shared" si="419"/>
        <v>92028</v>
      </c>
      <c r="O212">
        <f ca="1" t="shared" si="327"/>
        <v>1955936</v>
      </c>
      <c r="P212">
        <f ca="1">IF(G212="恒定伤害",0,(IF(D212="轻剑",$AZ$2,$AZ$3)+IFERROR(INDEX(技能数据库!$T$2:$W$27,MATCH(E212,技能数据库!$T$2:$T$27,0),4),0)+COUNTIF(G212,"*造化2*")*154+COUNTIF(G212,"*造化1*")*102+COUNTIF(G212,"*碧归*")*307)/1024)</f>
        <v>0.116321271929785</v>
      </c>
      <c r="Q212">
        <f ca="1" t="shared" si="334"/>
        <v>0.448284482196154</v>
      </c>
      <c r="R212">
        <f ca="1" t="shared" si="328"/>
        <v>0.21277697966198</v>
      </c>
      <c r="S212">
        <f ca="1" t="shared" si="420"/>
        <v>2489404.69047043</v>
      </c>
      <c r="T212">
        <f t="shared" si="421"/>
        <v>0.8</v>
      </c>
      <c r="U212">
        <f ca="1" t="shared" si="335"/>
        <v>1.7800129648</v>
      </c>
      <c r="V212">
        <f ca="1" t="shared" si="422"/>
        <v>5536461.85131338</v>
      </c>
      <c r="W212">
        <f ca="1">IF(G212="恒定伤害",0,MIN(1,IF(COUNTIF(F212,"*内会*")&gt;0,内会2,IF(D212="轻剑",$Y$2,$Y$3)+COUNTIF(G212,"*莺鸣*")*0.2+COUNTIF(G212,"*叠1*")*0.1+COUNTIF(G212,"*叠2*")*0.2+COUNTIF(G212,"*叠3*")*0.3)+IFERROR(INDEX(技能数据库!$T$2:$W$27,MATCH(E212,技能数据库!$T$2:$T$27,0),2),0)+IF((IF(D212="轻剑",$AO$2,$AO$3)+INT(COUNTIF(G212,"*大莺鸣*")*IF(D212="轻剑",$AM$2,$AM$3)*听晓无双率)/无双系数)&gt;0.9,特效裤子会心/会心系数,0)))</f>
        <v>0.9043</v>
      </c>
      <c r="X212">
        <f ca="1">IF(G212="恒定伤害",0,IF(COUNTIF(F212,"*内会*")&gt;0,内会效2,IF(D212="轻剑",$AB$2,$AB$3))+IFERROR(INDEX(技能数据库!$T$2:$W$27,MATCH(E212,技能数据库!$T$2:$T$27,0),3)/1024,0))+COUNTIF(G212,"*叠1*")*0.25+COUNTIF(G212,"*叠2*")*0.5+COUNTIF(G212,"*叠3*")*0.75</f>
        <v>2.6773735021</v>
      </c>
      <c r="Y212">
        <f ca="1" t="shared" si="423"/>
        <v>2.51684885794903</v>
      </c>
      <c r="Z212">
        <f t="shared" si="317"/>
        <v>0.150390625</v>
      </c>
      <c r="AA212">
        <f ca="1" t="shared" si="424"/>
        <v>0.0205078125</v>
      </c>
      <c r="AB212">
        <f ca="1" t="shared" si="425"/>
        <v>16358787.6679982</v>
      </c>
      <c r="AC212">
        <f ca="1">无穷技能数计算!$AJ204</f>
        <v>0</v>
      </c>
      <c r="AD212" s="164">
        <f ca="1" t="shared" si="336"/>
        <v>0</v>
      </c>
      <c r="AE212" s="168"/>
      <c r="AF212" s="168">
        <f ca="1" t="shared" si="404"/>
        <v>0.9057</v>
      </c>
      <c r="AG212">
        <f ca="1">无穷技能数计算!$AJ204</f>
        <v>0</v>
      </c>
      <c r="AH212">
        <f ca="1" t="shared" si="385"/>
        <v>109879</v>
      </c>
      <c r="AJ212">
        <f ca="1" t="shared" si="405"/>
        <v>2.8765922521</v>
      </c>
      <c r="AK212">
        <f ca="1" t="shared" si="329"/>
        <v>1955936</v>
      </c>
      <c r="AL212">
        <f ca="1" t="shared" si="386"/>
        <v>17551635.1956751</v>
      </c>
      <c r="AM212" s="169">
        <f ca="1" t="shared" si="406"/>
        <v>0.9272</v>
      </c>
      <c r="AN212">
        <f ca="1">无穷技能数计算!$AJ204</f>
        <v>0</v>
      </c>
      <c r="AO212" s="170">
        <f ca="1" t="shared" si="387"/>
        <v>17813949.3833742</v>
      </c>
      <c r="AP212">
        <f ca="1" t="shared" si="388"/>
        <v>110956</v>
      </c>
      <c r="AQ212" s="170">
        <f ca="1" t="shared" si="330"/>
        <v>1955936</v>
      </c>
      <c r="AR212">
        <f ca="1" t="shared" si="318"/>
        <v>17318517.2765289</v>
      </c>
      <c r="AS212">
        <f ca="1" t="shared" si="407"/>
        <v>0.9843</v>
      </c>
      <c r="AT212">
        <f ca="1">无穷技能数计算!$AJ204</f>
        <v>0</v>
      </c>
      <c r="AU212">
        <f ca="1" t="shared" si="408"/>
        <v>2.8238578771</v>
      </c>
      <c r="AV212">
        <f ca="1" t="shared" si="342"/>
        <v>1.7995442148</v>
      </c>
      <c r="AW212">
        <f ca="1" t="shared" si="396"/>
        <v>18295782.8961272</v>
      </c>
      <c r="AX212">
        <f ca="1" t="shared" si="409"/>
        <v>0.9743</v>
      </c>
      <c r="AY212">
        <f ca="1">无穷技能数计算!$AJ204</f>
        <v>0</v>
      </c>
      <c r="AZ212" s="170">
        <f ca="1" t="shared" si="397"/>
        <v>18176404.5707814</v>
      </c>
      <c r="BA212">
        <f ca="1" t="shared" si="410"/>
        <v>0.9643</v>
      </c>
      <c r="BB212">
        <f ca="1">无穷技能数计算!$AJ204</f>
        <v>0</v>
      </c>
      <c r="BC212" s="170">
        <f ca="1" t="shared" si="398"/>
        <v>18057026.2454355</v>
      </c>
      <c r="BE212">
        <f ca="1" t="shared" si="389"/>
        <v>105849</v>
      </c>
      <c r="BF212">
        <f ca="1" t="shared" si="319"/>
        <v>1955936</v>
      </c>
      <c r="BI212">
        <f ca="1" t="shared" si="411"/>
        <v>0.9543</v>
      </c>
      <c r="BJ212">
        <f ca="1">无穷技能数计算!$AJ204</f>
        <v>0</v>
      </c>
      <c r="BK212">
        <f ca="1" t="shared" si="390"/>
        <v>18041478.3672888</v>
      </c>
      <c r="BM212">
        <f ca="1" t="shared" si="391"/>
        <v>109230</v>
      </c>
      <c r="BN212">
        <f ca="1" t="shared" si="320"/>
        <v>1955936</v>
      </c>
      <c r="BO212">
        <f ca="1" t="shared" si="321"/>
        <v>17667237.1967909</v>
      </c>
      <c r="BP212">
        <f ca="1" t="shared" si="346"/>
        <v>16848225.2739737</v>
      </c>
      <c r="BR212">
        <f ca="1" t="shared" si="412"/>
        <v>0.9543</v>
      </c>
      <c r="BS212">
        <f ca="1" t="shared" si="392"/>
        <v>17531970.042522</v>
      </c>
      <c r="BT212">
        <f ca="1" t="shared" si="322"/>
        <v>0.196995876306796</v>
      </c>
      <c r="BU212">
        <f ca="1" t="shared" si="413"/>
        <v>2.8238578771</v>
      </c>
      <c r="BV212">
        <f ca="1" t="shared" si="399"/>
        <v>18169583.6564221</v>
      </c>
      <c r="BW212">
        <f ca="1" t="shared" si="393"/>
        <v>113027</v>
      </c>
      <c r="BX212">
        <f ca="1" t="shared" si="323"/>
        <v>1955936</v>
      </c>
      <c r="BY212">
        <f ca="1" t="shared" si="414"/>
        <v>0.9343</v>
      </c>
      <c r="BZ212">
        <f ca="1">无穷技能数计算!$AJ204</f>
        <v>0</v>
      </c>
      <c r="CA212">
        <f ca="1" t="shared" si="415"/>
        <v>2.8277641271</v>
      </c>
      <c r="CB212">
        <f ca="1" t="shared" si="400"/>
        <v>17599134.9042572</v>
      </c>
      <c r="CC212">
        <f ca="1" t="shared" si="394"/>
        <v>114847</v>
      </c>
      <c r="CD212">
        <f ca="1" t="shared" si="324"/>
        <v>1955936</v>
      </c>
      <c r="CE212">
        <f ca="1" t="shared" si="395"/>
        <v>17185084.1982915</v>
      </c>
      <c r="CF212">
        <f ca="1" t="shared" si="416"/>
        <v>2.7750297521</v>
      </c>
      <c r="CG212">
        <f ca="1" t="shared" si="417"/>
        <v>0.9343</v>
      </c>
      <c r="CH212">
        <f ca="1" t="shared" si="401"/>
        <v>17400290.5253208</v>
      </c>
      <c r="CJ212">
        <f ca="1" t="shared" si="325"/>
        <v>1955936</v>
      </c>
      <c r="CK212">
        <f ca="1" t="shared" si="326"/>
        <v>17587205.5751826</v>
      </c>
      <c r="CL212">
        <f ca="1" t="shared" si="331"/>
        <v>2.7976860021</v>
      </c>
      <c r="CM212">
        <f ca="1">IF(G212="恒定伤害",0,(IF(D212="轻剑",$CM$8,$CM$9)+IFERROR(INDEX(技能数据库!$T$2:$W$27,MATCH(E212,技能数据库!$T$2:$T$27,0),4),0)+COUNTIF(G212,"*造化2*")*154+COUNTIF(G212,"*造化1*")*102+COUNTIF(G212,"*碧归*")*307)/1024)</f>
        <v>0.176868146929785</v>
      </c>
      <c r="CN212">
        <f ca="1" t="shared" si="402"/>
        <v>18490110.4587144</v>
      </c>
      <c r="CO212">
        <f ca="1" t="shared" si="332"/>
        <v>2.8262602208</v>
      </c>
      <c r="CP212">
        <f ca="1" t="shared" si="403"/>
        <v>18674329.1998591</v>
      </c>
      <c r="CQ212">
        <f ca="1" t="shared" si="353"/>
        <v>1.8815754648</v>
      </c>
      <c r="CR212">
        <f ca="1">IF(G212="恒定伤害",0,(IF(D212="轻剑",$CR$8,$CR$9)+IFERROR(INDEX(技能数据库!$T$2:$W$27,MATCH(E212,技能数据库!$T$2:$T$27,0),4),0)+COUNTIF(G212,"*造化2*")*154+COUNTIF(G212,"*造化1*")*102+COUNTIF(G212,"*碧归*")*307)/1024)</f>
        <v>0.167102521929785</v>
      </c>
      <c r="CS212">
        <f ca="1" t="shared" si="333"/>
        <v>17727769.6048778</v>
      </c>
    </row>
    <row r="213" spans="4:97">
      <c r="D213" t="s">
        <v>1825</v>
      </c>
      <c r="E213" s="161" t="s">
        <v>2859</v>
      </c>
      <c r="G213" t="s">
        <v>3109</v>
      </c>
      <c r="H213">
        <f ca="1">INDEX(技能数据库!$B$2:$I$100,MATCH(无穷阵眼收益计算!$E213,技能数据库!$B$2:$B$100,0),MATCH(H$9,技能数据库!$B$2:$I$2,0))</f>
        <v>1955936</v>
      </c>
      <c r="I213">
        <f ca="1">INDEX(技能数据库!$B$2:$I$100,MATCH(无穷阵眼收益计算!$E213,技能数据库!$B$2:$B$100,0),MATCH(I$9,技能数据库!$B$2:$I$2,0))</f>
        <v>0</v>
      </c>
      <c r="J213">
        <f ca="1">INDEX(技能数据库!$B$2:$I$100,MATCH(无穷阵眼收益计算!$E213,技能数据库!$B$2:$B$100,0),MATCH(J$9,技能数据库!$B$2:$I$2,0))</f>
        <v>0</v>
      </c>
      <c r="K213">
        <f ca="1">INDEX(技能数据库!$B$2:$I$100,MATCH(无穷阵眼收益计算!$E213,技能数据库!$B$2:$B$100,0),MATCH(K$9,技能数据库!$B$2:$I$2,0))</f>
        <v>0</v>
      </c>
      <c r="L213">
        <f ca="1" t="shared" si="384"/>
        <v>105847</v>
      </c>
      <c r="M213">
        <f ca="1" t="shared" si="418"/>
        <v>19530.5</v>
      </c>
      <c r="N213">
        <f ca="1" t="shared" si="419"/>
        <v>92028</v>
      </c>
      <c r="O213">
        <f ca="1" t="shared" si="327"/>
        <v>1955936</v>
      </c>
      <c r="P213">
        <f ca="1">IF(G213="恒定伤害",0,(IF(D213="轻剑",$AZ$2,$AZ$3)+IFERROR(INDEX(技能数据库!$T$2:$W$27,MATCH(E213,技能数据库!$T$2:$T$27,0),4),0)+COUNTIF(G213,"*造化2*")*154+COUNTIF(G213,"*造化1*")*102+COUNTIF(G213,"*碧归*")*307)/1024)</f>
        <v>0.116321271929785</v>
      </c>
      <c r="Q213">
        <f ca="1" t="shared" si="334"/>
        <v>0.448284482196154</v>
      </c>
      <c r="R213">
        <f ca="1" t="shared" si="328"/>
        <v>0.21277697966198</v>
      </c>
      <c r="S213">
        <f ca="1" t="shared" si="420"/>
        <v>2489404.69047043</v>
      </c>
      <c r="T213">
        <f t="shared" si="421"/>
        <v>0.8</v>
      </c>
      <c r="U213">
        <f ca="1" t="shared" si="335"/>
        <v>1.7800129648</v>
      </c>
      <c r="V213">
        <f ca="1" t="shared" si="422"/>
        <v>5536461.85131338</v>
      </c>
      <c r="W213">
        <f ca="1">IF(G213="恒定伤害",0,MIN(1,IF(COUNTIF(F213,"*内会*")&gt;0,内会2,IF(D213="轻剑",$Y$2,$Y$3)+COUNTIF(G213,"*莺鸣*")*0.2+COUNTIF(G213,"*叠1*")*0.1+COUNTIF(G213,"*叠2*")*0.2+COUNTIF(G213,"*叠3*")*0.3)+IFERROR(INDEX(技能数据库!$T$2:$W$27,MATCH(E213,技能数据库!$T$2:$T$27,0),2),0)+IF((IF(D213="轻剑",$AO$2,$AO$3)+INT(COUNTIF(G213,"*大莺鸣*")*IF(D213="轻剑",$AM$2,$AM$3)*听晓无双率)/无双系数)&gt;0.9,特效裤子会心/会心系数,0)))</f>
        <v>0.9043</v>
      </c>
      <c r="X213">
        <f ca="1">IF(G213="恒定伤害",0,IF(COUNTIF(F213,"*内会*")&gt;0,内会效2,IF(D213="轻剑",$AB$2,$AB$3))+IFERROR(INDEX(技能数据库!$T$2:$W$27,MATCH(E213,技能数据库!$T$2:$T$27,0),3)/1024,0))+COUNTIF(G213,"*叠1*")*0.25+COUNTIF(G213,"*叠2*")*0.5+COUNTIF(G213,"*叠3*")*0.75</f>
        <v>2.6773735021</v>
      </c>
      <c r="Y213">
        <f ca="1" t="shared" si="423"/>
        <v>2.51684885794903</v>
      </c>
      <c r="Z213">
        <f t="shared" si="317"/>
        <v>0.150390625</v>
      </c>
      <c r="AA213">
        <f ca="1" t="shared" si="424"/>
        <v>0.0205078125</v>
      </c>
      <c r="AB213">
        <f ca="1" t="shared" si="425"/>
        <v>16358787.6679982</v>
      </c>
      <c r="AC213">
        <f ca="1">无穷技能数计算!$AJ205</f>
        <v>0</v>
      </c>
      <c r="AD213" s="164">
        <f ca="1" t="shared" si="336"/>
        <v>0</v>
      </c>
      <c r="AE213" s="168"/>
      <c r="AF213" s="168">
        <f ca="1" t="shared" si="404"/>
        <v>0.9057</v>
      </c>
      <c r="AG213">
        <f ca="1">无穷技能数计算!$AJ205</f>
        <v>0</v>
      </c>
      <c r="AH213">
        <f ca="1" t="shared" si="385"/>
        <v>109879</v>
      </c>
      <c r="AJ213">
        <f ca="1" t="shared" si="405"/>
        <v>2.8765922521</v>
      </c>
      <c r="AK213">
        <f ca="1" t="shared" si="329"/>
        <v>1955936</v>
      </c>
      <c r="AL213">
        <f ca="1" t="shared" si="386"/>
        <v>17551635.1956751</v>
      </c>
      <c r="AM213" s="169">
        <f ca="1" t="shared" si="406"/>
        <v>0.9272</v>
      </c>
      <c r="AN213">
        <f ca="1">无穷技能数计算!$AJ205</f>
        <v>0</v>
      </c>
      <c r="AO213" s="170">
        <f ca="1" t="shared" si="387"/>
        <v>17813949.3833742</v>
      </c>
      <c r="AP213">
        <f ca="1" t="shared" si="388"/>
        <v>110956</v>
      </c>
      <c r="AQ213" s="170">
        <f ca="1" t="shared" si="330"/>
        <v>1955936</v>
      </c>
      <c r="AR213">
        <f ca="1" t="shared" si="318"/>
        <v>17318517.2765289</v>
      </c>
      <c r="AS213">
        <f ca="1" t="shared" si="407"/>
        <v>0.9843</v>
      </c>
      <c r="AT213">
        <f ca="1">无穷技能数计算!$AJ205</f>
        <v>0</v>
      </c>
      <c r="AU213">
        <f ca="1" t="shared" si="408"/>
        <v>2.8238578771</v>
      </c>
      <c r="AV213">
        <f ca="1" t="shared" si="342"/>
        <v>1.7995442148</v>
      </c>
      <c r="AW213">
        <f ca="1" t="shared" si="396"/>
        <v>18295782.8961272</v>
      </c>
      <c r="AX213">
        <f ca="1" t="shared" si="409"/>
        <v>0.9743</v>
      </c>
      <c r="AY213">
        <f ca="1">无穷技能数计算!$AJ205</f>
        <v>0</v>
      </c>
      <c r="AZ213" s="170">
        <f ca="1" t="shared" si="397"/>
        <v>18176404.5707814</v>
      </c>
      <c r="BA213">
        <f ca="1" t="shared" si="410"/>
        <v>0.9643</v>
      </c>
      <c r="BB213">
        <f ca="1">无穷技能数计算!$AJ205</f>
        <v>0</v>
      </c>
      <c r="BC213" s="170">
        <f ca="1" t="shared" si="398"/>
        <v>18057026.2454355</v>
      </c>
      <c r="BE213">
        <f ca="1" t="shared" si="389"/>
        <v>105849</v>
      </c>
      <c r="BF213">
        <f ca="1" t="shared" si="319"/>
        <v>1955936</v>
      </c>
      <c r="BI213">
        <f ca="1" t="shared" si="411"/>
        <v>0.9543</v>
      </c>
      <c r="BJ213">
        <f ca="1">无穷技能数计算!$AJ205</f>
        <v>0</v>
      </c>
      <c r="BK213">
        <f ca="1" t="shared" si="390"/>
        <v>18041478.3672888</v>
      </c>
      <c r="BM213">
        <f ca="1" t="shared" si="391"/>
        <v>109230</v>
      </c>
      <c r="BN213">
        <f ca="1" t="shared" si="320"/>
        <v>1955936</v>
      </c>
      <c r="BO213">
        <f ca="1" t="shared" si="321"/>
        <v>17667237.1967909</v>
      </c>
      <c r="BP213">
        <f ca="1" t="shared" si="346"/>
        <v>16848225.2739737</v>
      </c>
      <c r="BR213">
        <f ca="1" t="shared" si="412"/>
        <v>0.9543</v>
      </c>
      <c r="BS213">
        <f ca="1" t="shared" si="392"/>
        <v>17531970.042522</v>
      </c>
      <c r="BT213">
        <f ca="1" t="shared" si="322"/>
        <v>0.196995876306796</v>
      </c>
      <c r="BU213">
        <f ca="1" t="shared" si="413"/>
        <v>2.8238578771</v>
      </c>
      <c r="BV213">
        <f ca="1" t="shared" si="399"/>
        <v>18169583.6564221</v>
      </c>
      <c r="BW213">
        <f ca="1" t="shared" si="393"/>
        <v>113027</v>
      </c>
      <c r="BX213">
        <f ca="1" t="shared" si="323"/>
        <v>1955936</v>
      </c>
      <c r="BY213">
        <f ca="1" t="shared" si="414"/>
        <v>0.9343</v>
      </c>
      <c r="BZ213">
        <f ca="1">无穷技能数计算!$AJ205</f>
        <v>0</v>
      </c>
      <c r="CA213">
        <f ca="1" t="shared" si="415"/>
        <v>2.8277641271</v>
      </c>
      <c r="CB213">
        <f ca="1" t="shared" si="400"/>
        <v>17599134.9042572</v>
      </c>
      <c r="CC213">
        <f ca="1" t="shared" si="394"/>
        <v>114847</v>
      </c>
      <c r="CD213">
        <f ca="1" t="shared" si="324"/>
        <v>1955936</v>
      </c>
      <c r="CE213">
        <f ca="1" t="shared" si="395"/>
        <v>17185084.1982915</v>
      </c>
      <c r="CF213">
        <f ca="1" t="shared" si="416"/>
        <v>2.7750297521</v>
      </c>
      <c r="CG213">
        <f ca="1" t="shared" si="417"/>
        <v>0.9343</v>
      </c>
      <c r="CH213">
        <f ca="1" t="shared" si="401"/>
        <v>17400290.5253208</v>
      </c>
      <c r="CJ213">
        <f ca="1" t="shared" si="325"/>
        <v>1955936</v>
      </c>
      <c r="CK213">
        <f ca="1" t="shared" si="326"/>
        <v>17587205.5751826</v>
      </c>
      <c r="CL213">
        <f ca="1" t="shared" si="331"/>
        <v>2.7976860021</v>
      </c>
      <c r="CM213">
        <f ca="1">IF(G213="恒定伤害",0,(IF(D213="轻剑",$CM$8,$CM$9)+IFERROR(INDEX(技能数据库!$T$2:$W$27,MATCH(E213,技能数据库!$T$2:$T$27,0),4),0)+COUNTIF(G213,"*造化2*")*154+COUNTIF(G213,"*造化1*")*102+COUNTIF(G213,"*碧归*")*307)/1024)</f>
        <v>0.176868146929785</v>
      </c>
      <c r="CN213">
        <f ca="1" t="shared" si="402"/>
        <v>18490110.4587144</v>
      </c>
      <c r="CO213">
        <f ca="1" t="shared" si="332"/>
        <v>2.8262602208</v>
      </c>
      <c r="CP213">
        <f ca="1" t="shared" si="403"/>
        <v>18674329.1998591</v>
      </c>
      <c r="CQ213">
        <f ca="1" t="shared" si="353"/>
        <v>1.8815754648</v>
      </c>
      <c r="CR213">
        <f ca="1">IF(G213="恒定伤害",0,(IF(D213="轻剑",$CR$8,$CR$9)+IFERROR(INDEX(技能数据库!$T$2:$W$27,MATCH(E213,技能数据库!$T$2:$T$27,0),4),0)+COUNTIF(G213,"*造化2*")*154+COUNTIF(G213,"*造化1*")*102+COUNTIF(G213,"*碧归*")*307)/1024)</f>
        <v>0.167102521929785</v>
      </c>
      <c r="CS213">
        <f ca="1" t="shared" si="333"/>
        <v>17727769.6048778</v>
      </c>
    </row>
    <row r="214" spans="4:97">
      <c r="D214" t="s">
        <v>1825</v>
      </c>
      <c r="E214" s="161" t="s">
        <v>2861</v>
      </c>
      <c r="G214" t="s">
        <v>3109</v>
      </c>
      <c r="H214">
        <f ca="1">INDEX(技能数据库!$B$2:$I$100,MATCH(无穷阵眼收益计算!$E214,技能数据库!$B$2:$B$100,0),MATCH(H$9,技能数据库!$B$2:$I$2,0))</f>
        <v>1344706</v>
      </c>
      <c r="I214">
        <f ca="1">INDEX(技能数据库!$B$2:$I$100,MATCH(无穷阵眼收益计算!$E214,技能数据库!$B$2:$B$100,0),MATCH(I$9,技能数据库!$B$2:$I$2,0))</f>
        <v>0</v>
      </c>
      <c r="J214">
        <f ca="1">INDEX(技能数据库!$B$2:$I$100,MATCH(无穷阵眼收益计算!$E214,技能数据库!$B$2:$B$100,0),MATCH(J$9,技能数据库!$B$2:$I$2,0))</f>
        <v>0</v>
      </c>
      <c r="K214">
        <f ca="1">INDEX(技能数据库!$B$2:$I$100,MATCH(无穷阵眼收益计算!$E214,技能数据库!$B$2:$B$100,0),MATCH(K$9,技能数据库!$B$2:$I$2,0))</f>
        <v>0</v>
      </c>
      <c r="L214">
        <f ca="1" t="shared" si="384"/>
        <v>105847</v>
      </c>
      <c r="M214">
        <f ca="1" t="shared" si="418"/>
        <v>19530.5</v>
      </c>
      <c r="N214">
        <f ca="1" t="shared" si="419"/>
        <v>92028</v>
      </c>
      <c r="O214">
        <f ca="1" t="shared" si="327"/>
        <v>1344706</v>
      </c>
      <c r="P214">
        <f ca="1">IF(G214="恒定伤害",0,(IF(D214="轻剑",$AZ$2,$AZ$3)+IFERROR(INDEX(技能数据库!$T$2:$W$27,MATCH(E214,技能数据库!$T$2:$T$27,0),4),0)+COUNTIF(G214,"*造化2*")*154+COUNTIF(G214,"*造化1*")*102+COUNTIF(G214,"*碧归*")*307)/1024)</f>
        <v>0.116321271929785</v>
      </c>
      <c r="Q214">
        <f ca="1" t="shared" si="334"/>
        <v>0.448284482196154</v>
      </c>
      <c r="R214">
        <f ca="1" t="shared" si="328"/>
        <v>0.21277697966198</v>
      </c>
      <c r="S214">
        <f ca="1" t="shared" si="420"/>
        <v>1711465.72469842</v>
      </c>
      <c r="T214">
        <f t="shared" si="421"/>
        <v>0.8</v>
      </c>
      <c r="U214">
        <f ca="1" t="shared" si="335"/>
        <v>1.7800129648</v>
      </c>
      <c r="V214">
        <f ca="1" t="shared" si="422"/>
        <v>3806317.52277795</v>
      </c>
      <c r="W214">
        <f ca="1">IF(G214="恒定伤害",0,MIN(1,IF(COUNTIF(F214,"*内会*")&gt;0,内会2,IF(D214="轻剑",$Y$2,$Y$3)+COUNTIF(G214,"*莺鸣*")*0.2+COUNTIF(G214,"*叠1*")*0.1+COUNTIF(G214,"*叠2*")*0.2+COUNTIF(G214,"*叠3*")*0.3)+IFERROR(INDEX(技能数据库!$T$2:$W$27,MATCH(E214,技能数据库!$T$2:$T$27,0),2),0)+IF((IF(D214="轻剑",$AO$2,$AO$3)+INT(COUNTIF(G214,"*大莺鸣*")*IF(D214="轻剑",$AM$2,$AM$3)*听晓无双率)/无双系数)&gt;0.9,特效裤子会心/会心系数,0)))</f>
        <v>0.9043</v>
      </c>
      <c r="X214">
        <f ca="1">IF(G214="恒定伤害",0,IF(COUNTIF(F214,"*内会*")&gt;0,内会效2,IF(D214="轻剑",$AB$2,$AB$3))+IFERROR(INDEX(技能数据库!$T$2:$W$27,MATCH(E214,技能数据库!$T$2:$T$27,0),3)/1024,0))+COUNTIF(G214,"*叠1*")*0.25+COUNTIF(G214,"*叠2*")*0.5+COUNTIF(G214,"*叠3*")*0.75</f>
        <v>2.6773735021</v>
      </c>
      <c r="Y214">
        <f ca="1" t="shared" si="423"/>
        <v>2.51684885794903</v>
      </c>
      <c r="Z214">
        <f t="shared" si="317"/>
        <v>0.150390625</v>
      </c>
      <c r="AA214">
        <f ca="1" t="shared" si="424"/>
        <v>0.0205078125</v>
      </c>
      <c r="AB214">
        <f ca="1" t="shared" si="425"/>
        <v>11246666.5217488</v>
      </c>
      <c r="AC214">
        <f ca="1">无穷技能数计算!$AJ206</f>
        <v>0</v>
      </c>
      <c r="AD214" s="164">
        <f ca="1" t="shared" si="336"/>
        <v>0</v>
      </c>
      <c r="AE214" s="168"/>
      <c r="AF214" s="168">
        <f ca="1" t="shared" si="404"/>
        <v>0.9057</v>
      </c>
      <c r="AG214">
        <f ca="1">无穷技能数计算!$AJ206</f>
        <v>0</v>
      </c>
      <c r="AH214">
        <f ca="1" t="shared" si="385"/>
        <v>109879</v>
      </c>
      <c r="AJ214">
        <f ca="1" t="shared" si="405"/>
        <v>2.8765922521</v>
      </c>
      <c r="AK214">
        <f ca="1" t="shared" si="329"/>
        <v>1344706</v>
      </c>
      <c r="AL214">
        <f ca="1" t="shared" si="386"/>
        <v>12066749.1970266</v>
      </c>
      <c r="AM214" s="169">
        <f ca="1" t="shared" si="406"/>
        <v>0.9272</v>
      </c>
      <c r="AN214">
        <f ca="1">无穷技能数计算!$AJ206</f>
        <v>0</v>
      </c>
      <c r="AO214" s="170">
        <f ca="1" t="shared" si="387"/>
        <v>12247090.2010697</v>
      </c>
      <c r="AP214">
        <f ca="1" t="shared" si="388"/>
        <v>110956</v>
      </c>
      <c r="AQ214" s="170">
        <f ca="1" t="shared" si="330"/>
        <v>1344706</v>
      </c>
      <c r="AR214">
        <f ca="1" t="shared" si="318"/>
        <v>11906480.6276136</v>
      </c>
      <c r="AS214">
        <f ca="1" t="shared" si="407"/>
        <v>0.9843</v>
      </c>
      <c r="AT214">
        <f ca="1">无穷技能数计算!$AJ206</f>
        <v>0</v>
      </c>
      <c r="AU214">
        <f ca="1" t="shared" si="408"/>
        <v>2.8238578771</v>
      </c>
      <c r="AV214">
        <f ca="1" t="shared" si="342"/>
        <v>1.7995442148</v>
      </c>
      <c r="AW214">
        <f ca="1" t="shared" si="396"/>
        <v>12578350.7410875</v>
      </c>
      <c r="AX214">
        <f ca="1" t="shared" si="409"/>
        <v>0.9743</v>
      </c>
      <c r="AY214">
        <f ca="1">无穷技能数计算!$AJ206</f>
        <v>0</v>
      </c>
      <c r="AZ214" s="170">
        <f ca="1" t="shared" si="397"/>
        <v>12496278.1424122</v>
      </c>
      <c r="BA214">
        <f ca="1" t="shared" si="410"/>
        <v>0.9643</v>
      </c>
      <c r="BB214">
        <f ca="1">无穷技能数计算!$AJ206</f>
        <v>0</v>
      </c>
      <c r="BC214" s="170">
        <f ca="1" t="shared" si="398"/>
        <v>12414205.5437369</v>
      </c>
      <c r="BE214">
        <f ca="1" t="shared" si="389"/>
        <v>105849</v>
      </c>
      <c r="BF214">
        <f ca="1" t="shared" si="319"/>
        <v>1344706</v>
      </c>
      <c r="BI214">
        <f ca="1" t="shared" si="411"/>
        <v>0.9543</v>
      </c>
      <c r="BJ214">
        <f ca="1">无穷技能数计算!$AJ206</f>
        <v>0</v>
      </c>
      <c r="BK214">
        <f ca="1" t="shared" si="390"/>
        <v>12403516.377511</v>
      </c>
      <c r="BM214">
        <f ca="1" t="shared" si="391"/>
        <v>109230</v>
      </c>
      <c r="BN214">
        <f ca="1" t="shared" si="320"/>
        <v>1344706</v>
      </c>
      <c r="BO214">
        <f ca="1" t="shared" si="321"/>
        <v>12146225.5727937</v>
      </c>
      <c r="BP214">
        <f ca="1" t="shared" si="346"/>
        <v>11583154.8758569</v>
      </c>
      <c r="BR214">
        <f ca="1" t="shared" si="412"/>
        <v>0.9543</v>
      </c>
      <c r="BS214">
        <f ca="1" t="shared" si="392"/>
        <v>12053229.4042339</v>
      </c>
      <c r="BT214">
        <f ca="1" t="shared" si="322"/>
        <v>0.196995876306796</v>
      </c>
      <c r="BU214">
        <f ca="1" t="shared" si="413"/>
        <v>2.8238578771</v>
      </c>
      <c r="BV214">
        <f ca="1" t="shared" si="399"/>
        <v>12491588.7637902</v>
      </c>
      <c r="BW214">
        <f ca="1" t="shared" si="393"/>
        <v>113027</v>
      </c>
      <c r="BX214">
        <f ca="1" t="shared" si="323"/>
        <v>1344706</v>
      </c>
      <c r="BY214">
        <f ca="1" t="shared" si="414"/>
        <v>0.9343</v>
      </c>
      <c r="BZ214">
        <f ca="1">无穷技能数计算!$AJ206</f>
        <v>0</v>
      </c>
      <c r="CA214">
        <f ca="1" t="shared" si="415"/>
        <v>2.8277641271</v>
      </c>
      <c r="CB214">
        <f ca="1" t="shared" si="400"/>
        <v>12099405.2466768</v>
      </c>
      <c r="CC214">
        <f ca="1" t="shared" si="394"/>
        <v>114847</v>
      </c>
      <c r="CD214">
        <f ca="1" t="shared" si="324"/>
        <v>1344706</v>
      </c>
      <c r="CE214">
        <f ca="1" t="shared" si="395"/>
        <v>11814745.3863254</v>
      </c>
      <c r="CF214">
        <f ca="1" t="shared" si="416"/>
        <v>2.7750297521</v>
      </c>
      <c r="CG214">
        <f ca="1" t="shared" si="417"/>
        <v>0.9343</v>
      </c>
      <c r="CH214">
        <f ca="1" t="shared" si="401"/>
        <v>11962699.736158</v>
      </c>
      <c r="CJ214">
        <f ca="1" t="shared" si="325"/>
        <v>1344706</v>
      </c>
      <c r="CK214">
        <f ca="1" t="shared" si="326"/>
        <v>12091203.832938</v>
      </c>
      <c r="CL214">
        <f ca="1" t="shared" si="331"/>
        <v>2.7976860021</v>
      </c>
      <c r="CM214">
        <f ca="1">IF(G214="恒定伤害",0,(IF(D214="轻剑",$CM$8,$CM$9)+IFERROR(INDEX(技能数据库!$T$2:$W$27,MATCH(E214,技能数据库!$T$2:$T$27,0),4),0)+COUNTIF(G214,"*造化2*")*154+COUNTIF(G214,"*造化1*")*102+COUNTIF(G214,"*碧归*")*307)/1024)</f>
        <v>0.176868146929785</v>
      </c>
      <c r="CN214">
        <f ca="1" t="shared" si="402"/>
        <v>12711950.9403662</v>
      </c>
      <c r="CO214">
        <f ca="1" t="shared" si="332"/>
        <v>2.8262602208</v>
      </c>
      <c r="CP214">
        <f ca="1" t="shared" si="403"/>
        <v>12838601.3249031</v>
      </c>
      <c r="CQ214">
        <f ca="1" t="shared" si="353"/>
        <v>1.8815754648</v>
      </c>
      <c r="CR214">
        <f ca="1">IF(G214="恒定伤害",0,(IF(D214="轻剑",$CR$8,$CR$9)+IFERROR(INDEX(技能数据库!$T$2:$W$27,MATCH(E214,技能数据库!$T$2:$T$27,0),4),0)+COUNTIF(G214,"*造化2*")*154+COUNTIF(G214,"*造化1*")*102+COUNTIF(G214,"*碧归*")*307)/1024)</f>
        <v>0.167102521929785</v>
      </c>
      <c r="CS214">
        <f ca="1" t="shared" si="333"/>
        <v>12187841.6033535</v>
      </c>
    </row>
    <row r="215" spans="4:97">
      <c r="D215" t="s">
        <v>1028</v>
      </c>
      <c r="E215" t="s">
        <v>2726</v>
      </c>
      <c r="G215" t="s">
        <v>3108</v>
      </c>
      <c r="H215">
        <f ca="1">INDEX(技能数据库!$B$2:$I$100,MATCH(无穷阵眼收益计算!$E215,技能数据库!$B$2:$B$100,0),MATCH(H$9,技能数据库!$B$2:$I$2,0))</f>
        <v>122</v>
      </c>
      <c r="I215">
        <f ca="1">INDEX(技能数据库!$B$2:$I$100,MATCH(无穷阵眼收益计算!$E215,技能数据库!$B$2:$B$100,0),MATCH(I$9,技能数据库!$B$2:$I$2,0))</f>
        <v>0.7</v>
      </c>
      <c r="J215">
        <f ca="1">INDEX(技能数据库!$B$2:$I$100,MATCH(无穷阵眼收益计算!$E215,技能数据库!$B$2:$B$100,0),MATCH(J$9,技能数据库!$B$2:$I$2,0))</f>
        <v>1</v>
      </c>
      <c r="K215">
        <f ca="1">INDEX(技能数据库!$B$2:$I$100,MATCH(无穷阵眼收益计算!$E215,技能数据库!$B$2:$B$100,0),MATCH(K$9,技能数据库!$B$2:$I$2,0))</f>
        <v>0</v>
      </c>
      <c r="L215">
        <f ca="1" t="shared" si="384"/>
        <v>105847</v>
      </c>
      <c r="M215">
        <f ca="1" t="shared" si="418"/>
        <v>12694.5</v>
      </c>
      <c r="N215">
        <f ca="1" t="shared" si="419"/>
        <v>92028</v>
      </c>
      <c r="O215">
        <f ca="1" t="shared" si="327"/>
        <v>86909.4</v>
      </c>
      <c r="P215">
        <f ca="1">IF(G215="恒定伤害",0,(IF(D215="轻剑",$AZ$2,$AZ$3)+IFERROR(INDEX(技能数据库!$T$2:$W$27,MATCH(E215,技能数据库!$T$2:$T$27,0),4),0)+COUNTIF(G215,"*造化2*")*154+COUNTIF(G215,"*造化1*")*102+COUNTIF(G215,"*碧归*")*307)/1024)</f>
        <v>0.136829084429785</v>
      </c>
      <c r="Q215">
        <f ca="1" t="shared" si="334"/>
        <v>0.448284482196154</v>
      </c>
      <c r="R215">
        <f ca="1" t="shared" si="328"/>
        <v>0.21277697966198</v>
      </c>
      <c r="S215">
        <f ca="1" t="shared" si="420"/>
        <v>112645.43345495</v>
      </c>
      <c r="T215">
        <f t="shared" si="421"/>
        <v>0.8</v>
      </c>
      <c r="U215">
        <f ca="1" t="shared" si="335"/>
        <v>1.7800129648</v>
      </c>
      <c r="V215">
        <f ca="1" t="shared" si="422"/>
        <v>250524.612344221</v>
      </c>
      <c r="W215">
        <f ca="1">IF(G215="恒定伤害",0,MIN(1,IF(COUNTIF(F215,"*内会*")&gt;0,内会2,IF(D215="轻剑",$Y$2,$Y$3)+COUNTIF(G215,"*莺鸣*")*0.2+COUNTIF(G215,"*叠1*")*0.1+COUNTIF(G215,"*叠2*")*0.2+COUNTIF(G215,"*叠3*")*0.3)+IFERROR(INDEX(技能数据库!$T$2:$W$27,MATCH(E215,技能数据库!$T$2:$T$27,0),2),0)+IF((IF(D215="轻剑",$AO$2,$AO$3)+INT(COUNTIF(G215,"*大莺鸣*")*IF(D215="轻剑",$AM$2,$AM$3)*听晓无双率)/无双系数)&gt;0.9,特效裤子会心/会心系数,0)))</f>
        <v>0.8443</v>
      </c>
      <c r="X215">
        <f ca="1">IF(G215="恒定伤害",0,IF(COUNTIF(F215,"*内会*")&gt;0,内会效2,IF(D215="轻剑",$AB$2,$AB$3))+IFERROR(INDEX(技能数据库!$T$2:$W$27,MATCH(E215,技能数据库!$T$2:$T$27,0),3)/1024,0))+COUNTIF(G215,"*叠1*")*0.25+COUNTIF(G215,"*叠2*")*0.5+COUNTIF(G215,"*叠3*")*0.75</f>
        <v>2.4273735021</v>
      </c>
      <c r="Y215">
        <f ca="1" t="shared" si="423"/>
        <v>2.20513144782303</v>
      </c>
      <c r="Z215">
        <f t="shared" si="317"/>
        <v>0.150390625</v>
      </c>
      <c r="AA215">
        <f ca="1" t="shared" si="424"/>
        <v>0.0205078125</v>
      </c>
      <c r="AB215">
        <f ca="1" t="shared" si="425"/>
        <v>648554.607861385</v>
      </c>
      <c r="AC215">
        <f ca="1">无穷技能数计算!$AJ207</f>
        <v>0</v>
      </c>
      <c r="AD215" s="164">
        <f ca="1" t="shared" si="336"/>
        <v>0</v>
      </c>
      <c r="AE215" s="168"/>
      <c r="AF215" s="168">
        <f ca="1" t="shared" si="404"/>
        <v>0.8457</v>
      </c>
      <c r="AG215">
        <f ca="1">无穷技能数计算!$AJ207</f>
        <v>0</v>
      </c>
      <c r="AH215">
        <f ca="1" t="shared" si="385"/>
        <v>109879</v>
      </c>
      <c r="AJ215">
        <f ca="1" t="shared" si="405"/>
        <v>2.6265922521</v>
      </c>
      <c r="AK215">
        <f ca="1" t="shared" si="329"/>
        <v>89970.3</v>
      </c>
      <c r="AL215">
        <f ca="1" t="shared" si="386"/>
        <v>723500.574252751</v>
      </c>
      <c r="AM215" s="169">
        <f ca="1" t="shared" si="406"/>
        <v>0.8672</v>
      </c>
      <c r="AN215">
        <f ca="1">无穷技能数计算!$AJ207</f>
        <v>0</v>
      </c>
      <c r="AO215" s="170">
        <f ca="1" t="shared" si="387"/>
        <v>734151.345693712</v>
      </c>
      <c r="AP215">
        <f ca="1" t="shared" si="388"/>
        <v>110956</v>
      </c>
      <c r="AQ215" s="170">
        <f ca="1" t="shared" si="330"/>
        <v>90485.7</v>
      </c>
      <c r="AR215">
        <f ca="1" t="shared" si="318"/>
        <v>714857.27253878</v>
      </c>
      <c r="AS215">
        <f ca="1" t="shared" si="407"/>
        <v>0.9243</v>
      </c>
      <c r="AT215">
        <f ca="1">无穷技能数计算!$AJ207</f>
        <v>0</v>
      </c>
      <c r="AU215">
        <f ca="1" t="shared" si="408"/>
        <v>2.5738578771</v>
      </c>
      <c r="AV215">
        <f ca="1" t="shared" si="342"/>
        <v>1.7995442148</v>
      </c>
      <c r="AW215">
        <f ca="1" t="shared" si="396"/>
        <v>727032.754576913</v>
      </c>
      <c r="AX215">
        <f ca="1" t="shared" si="409"/>
        <v>0.9143</v>
      </c>
      <c r="AY215">
        <f ca="1">无穷技能数计算!$AJ207</f>
        <v>0</v>
      </c>
      <c r="AZ215" s="170">
        <f ca="1" t="shared" si="397"/>
        <v>722371.33615581</v>
      </c>
      <c r="BA215">
        <f ca="1" t="shared" si="410"/>
        <v>0.9043</v>
      </c>
      <c r="BB215">
        <f ca="1">无穷技能数计算!$AJ207</f>
        <v>0</v>
      </c>
      <c r="BC215" s="170">
        <f ca="1" t="shared" si="398"/>
        <v>717709.917734707</v>
      </c>
      <c r="BE215">
        <f ca="1" t="shared" si="389"/>
        <v>105849</v>
      </c>
      <c r="BF215">
        <f ca="1" t="shared" si="319"/>
        <v>86910.8</v>
      </c>
      <c r="BI215">
        <f ca="1" t="shared" si="411"/>
        <v>0.8943</v>
      </c>
      <c r="BJ215">
        <f ca="1">无穷技能数计算!$AJ207</f>
        <v>0</v>
      </c>
      <c r="BK215">
        <f ca="1" t="shared" si="390"/>
        <v>714614.291510167</v>
      </c>
      <c r="BM215">
        <f ca="1" t="shared" si="391"/>
        <v>109230</v>
      </c>
      <c r="BN215">
        <f ca="1" t="shared" si="320"/>
        <v>89277.5</v>
      </c>
      <c r="BO215">
        <f ca="1" t="shared" si="321"/>
        <v>719514.155245839</v>
      </c>
      <c r="BP215">
        <f ca="1" t="shared" si="346"/>
        <v>686159.156656183</v>
      </c>
      <c r="BR215">
        <f ca="1" t="shared" si="412"/>
        <v>0.8943</v>
      </c>
      <c r="BS215">
        <f ca="1" t="shared" si="392"/>
        <v>713343.269860499</v>
      </c>
      <c r="BT215">
        <f ca="1" t="shared" si="322"/>
        <v>0.196995876306796</v>
      </c>
      <c r="BU215">
        <f ca="1" t="shared" si="413"/>
        <v>2.5738578771</v>
      </c>
      <c r="BV215">
        <f ca="1" t="shared" si="399"/>
        <v>722268.29387451</v>
      </c>
      <c r="BW215">
        <f ca="1" t="shared" si="393"/>
        <v>113027</v>
      </c>
      <c r="BX215">
        <f ca="1" t="shared" si="323"/>
        <v>91935.4</v>
      </c>
      <c r="BY215">
        <f ca="1" t="shared" si="414"/>
        <v>0.8743</v>
      </c>
      <c r="BZ215">
        <f ca="1">无穷技能数计算!$AJ207</f>
        <v>0</v>
      </c>
      <c r="CA215">
        <f ca="1" t="shared" si="415"/>
        <v>2.5777641271</v>
      </c>
      <c r="CB215">
        <f ca="1" t="shared" si="400"/>
        <v>740291.380005935</v>
      </c>
      <c r="CC215">
        <f ca="1" t="shared" si="394"/>
        <v>114847</v>
      </c>
      <c r="CD215">
        <f ca="1" t="shared" si="324"/>
        <v>93209.4</v>
      </c>
      <c r="CE215">
        <f ca="1" t="shared" si="395"/>
        <v>730289.795430792</v>
      </c>
      <c r="CF215">
        <f ca="1" t="shared" si="416"/>
        <v>2.5250297521</v>
      </c>
      <c r="CG215">
        <f ca="1" t="shared" si="417"/>
        <v>0.8743</v>
      </c>
      <c r="CH215">
        <f ca="1" t="shared" si="401"/>
        <v>691081.702794634</v>
      </c>
      <c r="CJ215">
        <f ca="1" t="shared" si="325"/>
        <v>89277.5</v>
      </c>
      <c r="CK215">
        <f ca="1" t="shared" si="326"/>
        <v>716254.795337267</v>
      </c>
      <c r="CL215">
        <f ca="1" t="shared" si="331"/>
        <v>2.5476860021</v>
      </c>
      <c r="CM215">
        <f ca="1">IF(G215="恒定伤害",0,(IF(D215="轻剑",$CM$8,$CM$9)+IFERROR(INDEX(技能数据库!$T$2:$W$27,MATCH(E215,技能数据库!$T$2:$T$27,0),4),0)+COUNTIF(G215,"*造化2*")*154+COUNTIF(G215,"*造化1*")*102+COUNTIF(G215,"*碧归*")*307)/1024)</f>
        <v>0.197375959429785</v>
      </c>
      <c r="CN215">
        <f ca="1" t="shared" si="402"/>
        <v>734067.58358983</v>
      </c>
      <c r="CO215">
        <f ca="1" t="shared" si="332"/>
        <v>2.5762602208</v>
      </c>
      <c r="CP215">
        <f ca="1" t="shared" si="403"/>
        <v>741860.908399734</v>
      </c>
      <c r="CQ215">
        <f ca="1" t="shared" si="353"/>
        <v>1.8815754648</v>
      </c>
      <c r="CR215">
        <f ca="1">IF(G215="恒定伤害",0,(IF(D215="轻剑",$CR$8,$CR$9)+IFERROR(INDEX(技能数据库!$T$2:$W$27,MATCH(E215,技能数据库!$T$2:$T$27,0),4),0)+COUNTIF(G215,"*造化2*")*154+COUNTIF(G215,"*造化1*")*102+COUNTIF(G215,"*碧归*")*307)/1024)</f>
        <v>0.187610334429785</v>
      </c>
      <c r="CS215">
        <f ca="1" t="shared" si="333"/>
        <v>702277.117337981</v>
      </c>
    </row>
    <row r="216" spans="4:97">
      <c r="D216" t="s">
        <v>1825</v>
      </c>
      <c r="E216" t="s">
        <v>2820</v>
      </c>
      <c r="G216" t="s">
        <v>2750</v>
      </c>
      <c r="H216">
        <f ca="1">INDEX(技能数据库!$B$2:$I$100,MATCH(无穷阵眼收益计算!$E216,技能数据库!$B$2:$B$100,0),MATCH(H$9,技能数据库!$B$2:$I$2,0))</f>
        <v>31590</v>
      </c>
      <c r="I216">
        <f ca="1">INDEX(技能数据库!$B$2:$I$100,MATCH(无穷阵眼收益计算!$E216,技能数据库!$B$2:$B$100,0),MATCH(I$9,技能数据库!$B$2:$I$2,0))</f>
        <v>0</v>
      </c>
      <c r="J216">
        <f ca="1">INDEX(技能数据库!$B$2:$I$100,MATCH(无穷阵眼收益计算!$E216,技能数据库!$B$2:$B$100,0),MATCH(J$9,技能数据库!$B$2:$I$2,0))</f>
        <v>0</v>
      </c>
      <c r="K216">
        <f ca="1">INDEX(技能数据库!$B$2:$I$100,MATCH(无穷阵眼收益计算!$E216,技能数据库!$B$2:$B$100,0),MATCH(K$9,技能数据库!$B$2:$I$2,0))</f>
        <v>0</v>
      </c>
      <c r="L216">
        <f ca="1" t="shared" si="384"/>
        <v>105847</v>
      </c>
      <c r="M216">
        <f ca="1" t="shared" ref="M216:M219" si="426">IF(D216="轻剑",$AU$2+$AV$2,$AU$3+$AV$3)/2</f>
        <v>19530.5</v>
      </c>
      <c r="N216">
        <f ca="1" t="shared" ref="N216:N219" si="427">IF(D216="轻剑",$AJ$2,$AJ$3)</f>
        <v>92028</v>
      </c>
      <c r="O216">
        <f ca="1" t="shared" ref="O216:O219" si="428">H216+I216*L216+J216*M216+IF(K216&gt;0,MAX(1,K216*N216*破招全局系数),0)</f>
        <v>31590</v>
      </c>
      <c r="P216">
        <f ca="1">IF(G216="恒定伤害",0,(IF(D216="轻剑",$AZ$2,$AZ$3)+IFERROR(INDEX(技能数据库!$T$2:$W$27,MATCH(E216,技能数据库!$T$2:$T$27,0),4),0)+COUNTIF(G216,"*造化2*")*154+COUNTIF(G216,"*造化1*")*102+COUNTIF(G216,"*碧归*")*307)/1024)</f>
        <v>0.116321271929785</v>
      </c>
      <c r="Q216">
        <f ca="1" t="shared" ref="Q216:Q219" si="429">IF(G216="恒定伤害",0,(IF(COUNTIF(F216,"*内破*")&gt;0,内破,IF(D216="轻剑",$AF$2,$AF$3)/破防系数))+IF((IF(D216="轻剑",$AO$2,$AO$3)+INT(COUNTIF(G216,"*大莺鸣*")*IF(D216="轻剑",$AM$2,$AM$3)*听晓无双率)/无双系数)&gt;0.9,(特效裤子破防+特效裤子破防*IF(D216="轻剑",$AD$2,$AD$3)/1024)/破防系数,0))</f>
        <v>0.448284482196154</v>
      </c>
      <c r="R216">
        <f ca="1" t="shared" ref="R216:R219" si="430">IF(G216="恒定伤害",0,(($F$5-IF(D216="轻剑",$BB$2,$BB$3))*(1024-IF(D216="轻剑",$BD$2,$BD$3))/1024*(1024-IF(D216="轻剑",$BC$2,$BC$3)-COUNTIF(G216,"*雾锁*")*461*雾锁)/1024/(($F$5-IF(D216="轻剑",$BB$2,$BB$3))*(1024-IF(D216="轻剑",$BD$2,$BD$3))/1024*(1024-IF(D216="轻剑",$BC$2,$BC$3)-COUNTIF(G216,"*雾锁*")*461*雾锁)/1024+$F$7)))</f>
        <v>0.21277697966198</v>
      </c>
      <c r="S216">
        <f ca="1" t="shared" ref="S216:S219" si="431">O216*(1+P216)*(1+Q216)*(1-R216)</f>
        <v>40205.9649047621</v>
      </c>
      <c r="T216">
        <f t="shared" si="421"/>
        <v>0.8</v>
      </c>
      <c r="U216">
        <f ca="1" t="shared" ref="U216:U219" si="432">IF(G216="恒定伤害",0,(IF(D216="轻剑",$AO$2,$AO$3)+INT(COUNTIF(G216,"*大莺鸣*")*IF(D216="轻剑",$AM$2,$AM$3)*听晓无双率)/无双系数)+IF((IF(D216="轻剑",$AO$2,$AO$3)+INT(COUNTIF(G216,"*大莺鸣*")*IF(D216="轻剑",$AM$2,$AM$3)*听晓无双率)/无双系数)&lt;=0.9,特效裤子无双,0))</f>
        <v>1.7800129648</v>
      </c>
      <c r="V216">
        <f ca="1" t="shared" ref="V216:V219" si="433">S216*T216*(1+U216)</f>
        <v>89418.4829580261</v>
      </c>
      <c r="W216">
        <f ca="1">IF(G216="恒定伤害",0,MIN(1,IF(COUNTIF(F216,"*内会*")&gt;0,内会2,IF(D216="轻剑",$Y$2,$Y$3)+COUNTIF(G216,"*莺鸣*")*0.2+COUNTIF(G216,"*叠1*")*0.1+COUNTIF(G216,"*叠2*")*0.2+COUNTIF(G216,"*叠3*")*0.3)+IFERROR(INDEX(技能数据库!$T$2:$W$27,MATCH(E216,技能数据库!$T$2:$T$27,0),2),0)+IF((IF(D216="轻剑",$AO$2,$AO$3)+INT(COUNTIF(G216,"*大莺鸣*")*IF(D216="轻剑",$AM$2,$AM$3)*听晓无双率)/无双系数)&gt;0.9,特效裤子会心/会心系数,0)))</f>
        <v>0.7043</v>
      </c>
      <c r="X216">
        <f ca="1">IF(G216="恒定伤害",0,IF(COUNTIF(F216,"*内会*")&gt;0,内会效2,IF(D216="轻剑",$AB$2,$AB$3))+IFERROR(INDEX(技能数据库!$T$2:$W$27,MATCH(E216,技能数据库!$T$2:$T$27,0),3)/1024,0))+COUNTIF(G216,"*叠1*")*0.25+COUNTIF(G216,"*叠2*")*0.5+COUNTIF(G216,"*叠3*")*0.75</f>
        <v>2.1773735021</v>
      </c>
      <c r="Y216">
        <f ca="1" t="shared" ref="Y216:Y219" si="434">1+W216*(X216-1)</f>
        <v>1.82922415752903</v>
      </c>
      <c r="Z216">
        <f t="shared" ref="Z216:Z219" si="435">IF(G216="恒定伤害",0,非侠士伤害/1024)</f>
        <v>0.150390625</v>
      </c>
      <c r="AA216">
        <f ca="1" t="shared" ref="AA216:AA219" si="436">IF(D216="轻剑",$BA$2,$BA$3)/1024</f>
        <v>0.0205078125</v>
      </c>
      <c r="AB216">
        <f ca="1" t="shared" ref="AB216:AB219" si="437">V216*Y216*(1+Z216)*(1+AA216)</f>
        <v>192024.168563884</v>
      </c>
      <c r="AC216">
        <f ca="1">无穷技能数计算!$AJ208</f>
        <v>0</v>
      </c>
      <c r="AD216" s="164">
        <f ca="1" t="shared" ref="AD216:AD219" si="438">IFERROR(AB216*AC216/$AD$7,0)</f>
        <v>0</v>
      </c>
      <c r="AE216" s="168"/>
      <c r="AF216" s="168">
        <f ca="1" t="shared" ref="AF216:AF219" si="439">W216+IF(COUNTIF(F216,"*内会*")&gt;0,0,IF(D216="轻剑",$AF$8-$Y$2,$AF$9-$Y$3))</f>
        <v>0.7057</v>
      </c>
      <c r="AG216">
        <f ca="1">无穷技能数计算!$AJ208</f>
        <v>0</v>
      </c>
      <c r="AH216">
        <f ca="1" t="shared" si="385"/>
        <v>109879</v>
      </c>
      <c r="AJ216">
        <f ca="1" t="shared" ref="AJ216:AJ219" si="440">X216+IF(COUNTIF(F216,"*内会*")&gt;0,0,IF(D216="轻剑",$AJ$8-$AB$2,$AJ$9-$AB$3))</f>
        <v>2.3765922521</v>
      </c>
      <c r="AK216">
        <f ca="1" t="shared" ref="AK216:AK219" si="441">H216+AH216*I216+J216*(238.5+M216)+IF(K216&gt;0,MAX(1,K216*N216*破招全局系数),0)</f>
        <v>31590</v>
      </c>
      <c r="AL216">
        <f ca="1" t="shared" ref="AL216:AL219" si="442">IF(COUNTIF(G216,"*恒定伤害*")&gt;0,AB216,((AK216*(1+P216)*(1+IF(COUNTIF(F216,"*内破*")&gt;0,内破,IF(D216="轻剑",$AI$8,$AI$9)/破防系数)+IF((IF(D216="轻剑",$AO$2,$AO$3)+INT(COUNTIF(G216,"*大莺鸣*")*IF(D216="轻剑",$AM$2,$AM$3)*听晓无双率)/无双系数)&gt;0.9,(特效裤子破防+特效裤子破防*IF(D216="轻剑",$AD$2,$AD$3)/1024)/破防系数,0))*(1-R216))*T216*(1+U216))*(1+Z216)*(1+AA216)*(1+MIN(1,AF216)*(MIN(3+COUNTIF(G216,"*叠*")*0.75,AJ216)-1)))</f>
        <v>207012.519635349</v>
      </c>
      <c r="AM216" s="169">
        <f ca="1" t="shared" ref="AM216:AM219" si="443">W216+IF(COUNTIF(F216,"*内会*")&gt;0,0,IF(D216="轻剑",$AN$8-$Y$2,$AN$9-$Y$3))</f>
        <v>0.7272</v>
      </c>
      <c r="AN216">
        <f ca="1">无穷技能数计算!$AJ208</f>
        <v>0</v>
      </c>
      <c r="AO216" s="170">
        <f ca="1" t="shared" ref="AO216:AO219" si="444">IF(COUNTIF(G216,"*恒定伤害*")&gt;0,AB216,((AK216*(1+P216)*(1+IF(COUNTIF(F216,"*内破*")&gt;0,内破,IF(D216="轻剑",$AI$8,$AI$9)/破防系数)+IF((IF(D216="轻剑",$AO$2,$AO$3)+INT(COUNTIF(G216,"*大莺鸣*")*IF(D216="轻剑",$AM$2,$AM$3)*听晓无双率)/无双系数)&gt;0.9,(特效裤子破防+特效裤子破防*IF(D216="轻剑",$AD$2,$AD$3)/1024)/破防系数,0))*(1-R216))*T216*(1+U216))*(1+Z216)*(1+AA216)*(1+MIN(1,AM216)*(MIN(3+COUNTIF(G216,"*叠*")*0.75,AJ216)-1)))</f>
        <v>210120.313238642</v>
      </c>
      <c r="AP216">
        <f ca="1" t="shared" si="388"/>
        <v>110956</v>
      </c>
      <c r="AQ216" s="170">
        <f ca="1" t="shared" ref="AQ216:AQ219" si="445">H216+AP216*I216+J216*M216+IF(K216&gt;0,MAX(1,K216*N216*破招全局系数),0)</f>
        <v>31590</v>
      </c>
      <c r="AR216">
        <f ca="1" t="shared" ref="AR216:AR219" si="446">IF(COUNTIF(G216,"*恒定伤害*")&gt;0,AB216,((AQ216*(1+P216)*(1+IF(COUNTIF(F216,"*内破*")&gt;0,内破,IF(D216="轻剑",$AQ$8,$AQ$9)/破防系数)+IF((IF(D216="轻剑",$AO$2,$AO$3)+INT(COUNTIF(G216,"*大莺鸣*")*IF(D216="轻剑",$AM$2,$AM$3)*听晓无双率)/无双系数)&gt;0.9,(特效裤子破防+特效裤子破防*IF(D216="轻剑",$AD$2+200,$AD$3+200)/1024)/破防系数,0))*(1-R216))*T216*(1+U216))*Y216*(1+Z216)*(1+AA216))</f>
        <v>203289.751556001</v>
      </c>
      <c r="AS216">
        <f ca="1" t="shared" ref="AS216:AS219" si="447">W216+IF(COUNTIF(F216,"*内会*")&gt;0,0,IF(D216="轻剑",$AS$8-$Y$2,$AS$9-$Y$3))</f>
        <v>0.7843</v>
      </c>
      <c r="AT216">
        <f ca="1">无穷技能数计算!$AJ208</f>
        <v>0</v>
      </c>
      <c r="AU216">
        <f ca="1" t="shared" ref="AU216:AU219" si="448">X216+IF(COUNTIF(F216,"*内会*")&gt;0,0,IF(D216="轻剑",$AU$8-$AB$2,$AU$9-$AB$3))</f>
        <v>2.3238578771</v>
      </c>
      <c r="AV216">
        <f ca="1" t="shared" ref="AV216:AV219" si="449">IF(G216="恒定伤害",0,(IF(D216="轻剑",$AV$8,$AV$9)+INT(COUNTIF(G216,"*大莺鸣*")*IF(D216="轻剑",$AM$2,$AM$3)*听晓无双率)/无双系数))+IF((IF(G216="恒定伤害",0,(IF(D216="轻剑",$AV$8,$AV$9)+INT(COUNTIF(G216,"*大莺鸣*")*IF(D216="轻剑",$AM$2,$AM$3)*听晓无双率)/无双系数)))&lt;=0.9,特效裤子无双,0)</f>
        <v>1.7995442148</v>
      </c>
      <c r="AW216">
        <f ca="1" t="shared" ref="AW216:AW219" si="450">IF(COUNTIF(G216,"*恒定伤害*")&gt;0,AB216,((O216*(1+P216)*(1+Q216)*(1-R216))*T216*(1+AV216))*(1+MIN(1,AS216)*(MIN(3+COUNTIF(G216,"*叠*")*0.75,AU216)-1))*(1+Z216)*(1+AA216))</f>
        <v>215475.525485898</v>
      </c>
      <c r="AX216">
        <f ca="1" t="shared" ref="AX216:AX219" si="451">$W216+IF(COUNTIF(F216,"*内会*")&gt;0,0,IF(I216="轻剑",AX$8-$Y$2,AX$9-$Y$3))</f>
        <v>0.7743</v>
      </c>
      <c r="AY216">
        <f ca="1">无穷技能数计算!$AJ208</f>
        <v>0</v>
      </c>
      <c r="AZ216" s="170">
        <f ca="1" t="shared" ref="AZ216:AZ219" si="452">IF(COUNTIF(G216,"*恒定伤害*")&gt;0,AB216,((O216*(1+P216)*(1+Q216)*(1-R216))*T216*(1+AV216))*(1+MIN(1,AX216)*(MIN(3+COUNTIF(G216,"*叠*")*0.75,AU216)-1))*(1+Z216)*(1+AA216))</f>
        <v>214076.032137503</v>
      </c>
      <c r="BA216">
        <f ca="1" t="shared" ref="BA216:BA219" si="453">$W216+IF(COUNTIF(F216,"*内会*")&gt;0,0,IF(L216="轻剑",BA$8-$Y$2,BA$9-$Y$3))</f>
        <v>0.7643</v>
      </c>
      <c r="BB216">
        <f ca="1">无穷技能数计算!$AJ208</f>
        <v>0</v>
      </c>
      <c r="BC216" s="170">
        <f ca="1" t="shared" ref="BC216:BC219" si="454">IF(COUNTIF(G216,"*恒定伤害*")&gt;0,AB216,((O216*(1+P216)*(1+Q216)*(1-R216))*T216*(1+AV216))*(1+MIN(1,BA216)*(MIN(3+COUNTIF(G216,"*叠*")*0.75,AU216)-1))*(1+Z216)*(1+AA216))</f>
        <v>212676.538789109</v>
      </c>
      <c r="BE216">
        <f ca="1" t="shared" si="389"/>
        <v>105849</v>
      </c>
      <c r="BF216">
        <f ca="1" t="shared" ref="BF216:BF219" si="455">H216+BE216*I216+J216*M216+IF(K216&gt;0,MAX(1,K216*N216*破招全局系数),0)</f>
        <v>31590</v>
      </c>
      <c r="BI216">
        <f ca="1" t="shared" ref="BI216:BI219" si="456">$W216+IF(COUNTIF(F216,"*内会*")&gt;0,0,IF(T216="轻剑",BI$8-$Y$2,BI$9-$Y$3))</f>
        <v>0.7543</v>
      </c>
      <c r="BJ216">
        <f ca="1">无穷技能数计算!$AJ208</f>
        <v>0</v>
      </c>
      <c r="BK216">
        <f ca="1" t="shared" ref="BK216:BK219" si="457">IF(COUNTIF(G216,"*恒定伤害*")&gt;0,AB216,((BF216*(1+P216)*(1+IF(COUNTIF(F216,"*内破*")&gt;0,内破,IF(D216="轻剑",$BH$8,$BH$9)/破防系数)+IF((IF(D216="轻剑",$AO$2,$AO$3)+INT(COUNTIF(G216,"*大莺鸣*")*IF(D216="轻剑",$AM$2,$AM$3)*听晓无双率)/无双系数)&gt;0.9,(特效裤子破防+特效裤子破防*IF(D216="轻剑",$AD$2+204,$AD$3+204)/1024)/破防系数,0))*(1-R216))*T216*(1+AV216))*(1+MIN(1,BI216)*(MIN(3+COUNTIF(G216,"*叠*")*0.75,X216)-1))*(1+Z216)*(1+AA216))</f>
        <v>211542.321345443</v>
      </c>
      <c r="BM216">
        <f ca="1" t="shared" si="391"/>
        <v>109230</v>
      </c>
      <c r="BN216">
        <f ca="1" t="shared" ref="BN216:BN219" si="458">H216+BM216*I216+J216*M216+IF(K216&gt;0,MAX(1,K216*N216*破招全局系数),0)</f>
        <v>31590</v>
      </c>
      <c r="BO216">
        <f ca="1" t="shared" ref="BO216:BO219" si="459">IF(COUNTIF(G216,"*恒定伤害*")&gt;0,AB216,((BN216*(1+P216)*(1+IF(COUNTIF(F216,"*内破*")&gt;0,内破,IF(D216="轻剑",$BM$8,$BM$9)/破防系数)+IF((IF(D216="轻剑",$AO$2,$AO$3)+INT(COUNTIF(G216,"*大莺鸣*")*IF(D216="轻剑",$AM$2,$AM$3)*听晓无双率)/无双系数)&gt;0.9,(特效裤子破防+特效裤子破防*IF(D216="轻剑",$AD$2+102,$AD$3+102)/1024)/破防系数,0))*(1-R216))*T216*(1+U216))*Y216*(1+Z216)*(1+AA216))</f>
        <v>207383.126573086</v>
      </c>
      <c r="BP216">
        <f ca="1" t="shared" ref="BP216:BP219" si="460">IF(COUNTIF(G216,"*恒定伤害*")&gt;0,AB216,((BN216*(1+P216)*(1+IF(COUNTIF(F216,"*内破*")&gt;0,内破,IF(D216="轻剑",$BQ$8,$BQ$9)/破防系数)+IF((IF(D216="轻剑",$AO$2,$AO$3)+INT(COUNTIF(G216,"*大莺鸣*")*IF(D216="轻剑",$AM$2,$AM$3)*听晓无双率)/无双系数)&gt;0.9,(特效裤子破防+特效裤子破防*IF(D216="轻剑",$AD$2+102,$AD$3+102)/1024)/破防系数,0))*(1-R216))*T216*(1+U216))*Y216*(1+Z216)*(1+AA216))</f>
        <v>197769.328367823</v>
      </c>
      <c r="BR216">
        <f ca="1" t="shared" ref="BR216:BR219" si="461">$W216+IF(T216="轻剑",BI$8-$Y$2,BI$9-$Y$3)</f>
        <v>0.7543</v>
      </c>
      <c r="BS216">
        <f ca="1" t="shared" ref="BS216:BS219" si="462">IF(COUNTIF(G216,"*恒定伤害*")&gt;0,AB216,((BN216*(1+P216)*(1+IF(COUNTIF(F216,"*内破*")&gt;0,内破,IF(D216="轻剑",$BQ$8,$BQ$9)/破防系数)+IF((IF(D216="轻剑",$AO$2,$AO$3)+INT(COUNTIF(G216,"*大莺鸣*")*IF(D216="轻剑",$AM$2,$AM$3)*听晓无双率)/无双系数)&gt;0.9,(特效裤子破防+特效裤子破防*IF(D216="轻剑",$AD$2+102,$AD$3+102)/1024)/破防系数,0))*(1-R216))*T216*(1+AV216))*(1+MIN(1,BR216)*(MIN(3+COUNTIF(G216,"*叠*")*0.75,X216)-1))*(1+Z216)*(1+AA216))</f>
        <v>205568.167145231</v>
      </c>
      <c r="BT216">
        <f ca="1" t="shared" ref="BT216:BT219" si="463">IF(G216="恒定伤害",0,(($F$5-IF(D216="轻剑",$BB$2,$BB$3))*(1024-IF(D216="轻剑",$BD$2,$BD$3))/1024*(1024-IF(D216="轻剑",$BT$8,$BT$9)-COUNTIF(G216,"*雾锁*")*461*雾锁)/1024/(($F$5-IF(D216="轻剑",$BB$2,$BB$3))*(1024-IF(D216="轻剑",$BD$2,$BD$3))/1024*(1024-IF(D216="轻剑",$BT$8,$BT$9)-COUNTIF(G216,"*雾锁*")*461*雾锁)/1024+$F$7)))</f>
        <v>0.196995876306796</v>
      </c>
      <c r="BU216">
        <f ca="1" t="shared" ref="BU216:BU219" si="464">X216+IF(D216="轻剑",$AU$8-$AB$2,$AU$9-$AB$3)</f>
        <v>2.3238578771</v>
      </c>
      <c r="BV216">
        <f ca="1" t="shared" ref="BV216:BV219" si="465">IF(COUNTIF(G216,"*恒定伤害*")&gt;0,AB216,((O216*(1+P216)*(1+Q216)*(1-BT216))*T216*(1+U216))*(1+MIN(1,BR216)*(MIN(3+COUNTIF(G216,"*叠*")*0.75,BU216)-1))*(1+Z216)*(1+AA216))</f>
        <v>214008.880591162</v>
      </c>
      <c r="BW216">
        <f ca="1" t="shared" si="393"/>
        <v>113027</v>
      </c>
      <c r="BX216">
        <f ca="1" t="shared" ref="BX216:BX219" si="466">H216+BW216*I216+J216*M216+IF(K216&gt;0,MAX(1,K216*N216*破招全局系数),0)</f>
        <v>31590</v>
      </c>
      <c r="BY216">
        <f ca="1" t="shared" ref="BY216:BY219" si="467">$W216+IF(COUNTIF(F216,"*内会*")&gt;0,0,IF(AI216="轻剑",BY$8-$Y$2,BY$9-$Y$3))</f>
        <v>0.7343</v>
      </c>
      <c r="BZ216">
        <f ca="1">无穷技能数计算!$AJ208</f>
        <v>0</v>
      </c>
      <c r="CA216">
        <f ca="1" t="shared" ref="CA216:CA219" si="468">X216+IF(COUNTIF(F216,"*内会*")&gt;0,0,IF(D216="轻剑",$CA$8-$AB$2,$CA$9-$AB$3))</f>
        <v>2.3277641271</v>
      </c>
      <c r="CB216">
        <f ca="1" t="shared" ref="CB216:CB219" si="469">IF(COUNTIF(G216,"*恒定伤害*")&gt;0,AB216,((BX216*(1+P216)*(1+Q216)*(1-R216))*T216*(1+U216))*(1+MIN(1,BY216)*(MIN(3+COUNTIF(G216,"*叠*")*0.75,CA216)-1))*(1+Z216)*(1+AA216))</f>
        <v>207324.702617396</v>
      </c>
      <c r="CC216">
        <f ca="1" t="shared" si="394"/>
        <v>114847</v>
      </c>
      <c r="CD216">
        <f ca="1" t="shared" ref="CD216:CD219" si="470">H216+CC216*I216+J216*M216+IF(K216&gt;0,MAX(1,K216*N216*破招全局系数),0)</f>
        <v>31590</v>
      </c>
      <c r="CE216">
        <f ca="1" t="shared" ref="CE216:CE219" si="471">IF(COUNTIF(G216,"*恒定伤害*")&gt;0,AB216,((CD216*(1+P216)*(1+IF(COUNTIF(F216,"*内破*")&gt;0,内破,IF(D216="轻剑",$BQ$8,$BQ$9)/破防系数)+IF((IF(D216="轻剑",$AO$2,$AO$3)+INT(COUNTIF(G216,"*大莺鸣*")*IF(D216="轻剑",$AM$2,$AM$3)*听晓无双率)/无双系数)&gt;0.9,(特效裤子破防+特效裤子破防*IF(D216="轻剑",$AD$2+102,$AD$3+102)/1024)/破防系数,0))*(1-R216))*T216*(1+U216))*(1+MIN(1,BY216)*(MIN(3+COUNTIF(G216,"*叠*")*0.75,X216)-1))*(1+Z216)*(1+AA216))</f>
        <v>201588.133719644</v>
      </c>
      <c r="CF216">
        <f ca="1" t="shared" ref="CF216:CF219" si="472">X216+IF(COUNTIF(F216,"*内会*")&gt;0,0,IF(D216="轻剑",$CF$8-$AB$2,$CF$9-$AB$3))</f>
        <v>2.2750297521</v>
      </c>
      <c r="CG216">
        <f ca="1" t="shared" ref="CG216:CG219" si="473">$W216+IF(AI216="轻剑",BY$8-$Y$2,BY$9-$Y$3)</f>
        <v>0.7343</v>
      </c>
      <c r="CH216">
        <f ca="1" t="shared" ref="CH216:CH219" si="474">IF(COUNTIF(G216,"*恒定伤害*")&gt;0,AB216,((O216*(1+P216)*(1+Q216)*(1-R216))*T216*(1+AV216))*(1+MIN(1,BY216)*(MIN(3+COUNTIF(G216,"*叠*")*0.75,CF216)-1))*(1+Z216)*(1+AA216))</f>
        <v>204687.763411289</v>
      </c>
      <c r="CJ216">
        <f ca="1" t="shared" ref="CJ216:CJ219" si="475">H216+BM216*I216+J216*M216+IF(K216&gt;0,MAX(1,K216*(N216+2667)*破招全局系数),0)</f>
        <v>31590</v>
      </c>
      <c r="CK216">
        <f ca="1" t="shared" ref="CK216:CK219" si="476">IF(COUNTIF(G216,"*恒定伤害*")&gt;0,AB216,((CJ216*(1+P216)*(1+IF(COUNTIF(F216,"*内破*")&gt;0,内破,IF(D216="轻剑",$CI$8,$CI$9)/破防系数)+IF((IF(D216="轻剑",$AO$2,$AO$3)+INT(COUNTIF(G216,"*大莺鸣*")*IF(D216="轻剑",$AM$2,$AM$3)*听晓无双率)/无双系数)&gt;0.9,(特效裤子破防+特效裤子破防*IF(D216="轻剑",$AD$2+256,$AD$3+256)/1024)/破防系数,0))*(1-R216))*T216*(1+U216))*Y216*(1+Z216)*(1+AA216))</f>
        <v>206443.692312427</v>
      </c>
      <c r="CL216">
        <f ca="1" t="shared" ref="CL216:CL219" si="477">X216+IF(D216="轻剑",$CL$8-$AB$2,$CL$9-$AB$3)</f>
        <v>2.2976860021</v>
      </c>
      <c r="CM216">
        <f ca="1">IF(G216="恒定伤害",0,(IF(D216="轻剑",$CM$8,$CM$9)+IFERROR(INDEX(技能数据库!$T$2:$W$27,MATCH(E216,技能数据库!$T$2:$T$27,0),4),0)+COUNTIF(G216,"*造化2*")*154+COUNTIF(G216,"*造化1*")*102+COUNTIF(G216,"*碧归*")*307)/1024)</f>
        <v>0.176868146929785</v>
      </c>
      <c r="CN216">
        <f ca="1" t="shared" ref="CN216:CN219" si="478">IF(COUNTIF(G216,"*恒定伤害*")&gt;0,AB216,((O216*(1+CM216)*(1+Q216)*(1-R216))*T216*(1+AV216))*(1+MIN(1,CG216)*(MIN(3+COUNTIF(G216,"*叠*")*0.75,CL216)-1))*(1+Z216)*(1+AA216))</f>
        <v>217643.674320439</v>
      </c>
      <c r="CO216">
        <f ca="1" t="shared" ref="CO216:CO219" si="479">X216+IF(D216="轻剑",$CO$8-$AB$2,$CO$9-$AB$3)</f>
        <v>2.3262602208</v>
      </c>
      <c r="CP216">
        <f ca="1" t="shared" ref="CP216:CP219" si="480">IF(COUNTIF(G216,"*恒定伤害*")&gt;0,AB216,((O216*(1+CM216)*(1+Q216)*(1-R216))*T216*(1+AV216))*(1+MIN(1,CG216)*(MIN(3+COUNTIF(G216,"*叠*")*0.75,CO216)-1))*(1+Z216)*(1+AA216))</f>
        <v>219982.05909876</v>
      </c>
      <c r="CQ216">
        <f ca="1" t="shared" ref="CQ216:CQ219" si="481">IF(G216="恒定伤害",0,(IF(D216="轻剑",$CQ$8,$CQ$9)+INT(COUNTIF(G216,"*大莺鸣*")*IF(D216="轻剑",$AM$2,$AM$3)*听晓无双率)/无双系数))+IF((IF(G216="恒定伤害",0,(IF(D216="轻剑",$CQ$8,$CQ$9)+INT(COUNTIF(G216,"*大莺鸣*")*IF(D216="轻剑",$AM$2,$AM$3)*听晓无双率)/无双系数)))&lt;=0.9,特效裤子无双,0)</f>
        <v>1.8815754648</v>
      </c>
      <c r="CR216">
        <f ca="1">IF(G216="恒定伤害",0,(IF(D216="轻剑",$CR$8,$CR$9)+IFERROR(INDEX(技能数据库!$T$2:$W$27,MATCH(E216,技能数据库!$T$2:$T$27,0),4),0)+COUNTIF(G216,"*造化2*")*154+COUNTIF(G216,"*造化1*")*102+COUNTIF(G216,"*碧归*")*307)/1024)</f>
        <v>0.167102521929785</v>
      </c>
      <c r="CS216">
        <f ca="1" t="shared" ref="CS216:CS219" si="482">IF(COUNTIF(G216,"*恒定伤害*")&gt;0,AB216,((O216*(1+CR216)*(1+Q216)*(1-R216))*T216*(1+CQ216))*Y216*(1+Z216)*(1+AA216))</f>
        <v>208093.673440614</v>
      </c>
    </row>
    <row r="217" spans="4:97">
      <c r="D217" t="s">
        <v>1825</v>
      </c>
      <c r="E217" t="s">
        <v>2820</v>
      </c>
      <c r="G217" t="s">
        <v>3096</v>
      </c>
      <c r="H217">
        <f ca="1">INDEX(技能数据库!$B$2:$I$100,MATCH(无穷阵眼收益计算!$E217,技能数据库!$B$2:$B$100,0),MATCH(H$9,技能数据库!$B$2:$I$2,0))</f>
        <v>31590</v>
      </c>
      <c r="I217">
        <f ca="1">INDEX(技能数据库!$B$2:$I$100,MATCH(无穷阵眼收益计算!$E217,技能数据库!$B$2:$B$100,0),MATCH(I$9,技能数据库!$B$2:$I$2,0))</f>
        <v>0</v>
      </c>
      <c r="J217">
        <f ca="1">INDEX(技能数据库!$B$2:$I$100,MATCH(无穷阵眼收益计算!$E217,技能数据库!$B$2:$B$100,0),MATCH(J$9,技能数据库!$B$2:$I$2,0))</f>
        <v>0</v>
      </c>
      <c r="K217">
        <f ca="1">INDEX(技能数据库!$B$2:$I$100,MATCH(无穷阵眼收益计算!$E217,技能数据库!$B$2:$B$100,0),MATCH(K$9,技能数据库!$B$2:$I$2,0))</f>
        <v>0</v>
      </c>
      <c r="L217">
        <f ca="1" t="shared" si="384"/>
        <v>105847</v>
      </c>
      <c r="M217">
        <f ca="1" t="shared" si="426"/>
        <v>19530.5</v>
      </c>
      <c r="N217">
        <f ca="1" t="shared" si="427"/>
        <v>92028</v>
      </c>
      <c r="O217">
        <f ca="1" t="shared" si="428"/>
        <v>31590</v>
      </c>
      <c r="P217">
        <f ca="1">IF(G217="恒定伤害",0,(IF(D217="轻剑",$AZ$2,$AZ$3)+IFERROR(INDEX(技能数据库!$T$2:$W$27,MATCH(E217,技能数据库!$T$2:$T$27,0),4),0)+COUNTIF(G217,"*造化2*")*154+COUNTIF(G217,"*造化1*")*102+COUNTIF(G217,"*碧归*")*307)/1024)</f>
        <v>0.116321271929785</v>
      </c>
      <c r="Q217">
        <f ca="1" t="shared" si="429"/>
        <v>0.448284482196154</v>
      </c>
      <c r="R217">
        <f ca="1" t="shared" si="430"/>
        <v>0.21277697966198</v>
      </c>
      <c r="S217">
        <f ca="1" t="shared" si="431"/>
        <v>40205.9649047621</v>
      </c>
      <c r="T217">
        <f t="shared" si="421"/>
        <v>0.8</v>
      </c>
      <c r="U217">
        <f ca="1" t="shared" si="432"/>
        <v>1.7800129648</v>
      </c>
      <c r="V217">
        <f ca="1" t="shared" si="433"/>
        <v>89418.4829580261</v>
      </c>
      <c r="W217">
        <f ca="1">IF(G217="恒定伤害",0,MIN(1,IF(COUNTIF(F217,"*内会*")&gt;0,内会2,IF(D217="轻剑",$Y$2,$Y$3)+COUNTIF(G217,"*莺鸣*")*0.2+COUNTIF(G217,"*叠1*")*0.1+COUNTIF(G217,"*叠2*")*0.2+COUNTIF(G217,"*叠3*")*0.3)+IFERROR(INDEX(技能数据库!$T$2:$W$27,MATCH(E217,技能数据库!$T$2:$T$27,0),2),0)+IF((IF(D217="轻剑",$AO$2,$AO$3)+INT(COUNTIF(G217,"*大莺鸣*")*IF(D217="轻剑",$AM$2,$AM$3)*听晓无双率)/无双系数)&gt;0.9,特效裤子会心/会心系数,0)))</f>
        <v>0.8043</v>
      </c>
      <c r="X217">
        <f ca="1">IF(G217="恒定伤害",0,IF(COUNTIF(F217,"*内会*")&gt;0,内会效2,IF(D217="轻剑",$AB$2,$AB$3))+IFERROR(INDEX(技能数据库!$T$2:$W$27,MATCH(E217,技能数据库!$T$2:$T$27,0),3)/1024,0))+COUNTIF(G217,"*叠1*")*0.25+COUNTIF(G217,"*叠2*")*0.5+COUNTIF(G217,"*叠3*")*0.75</f>
        <v>2.4273735021</v>
      </c>
      <c r="Y217">
        <f ca="1" t="shared" si="434"/>
        <v>2.14803650773903</v>
      </c>
      <c r="Z217">
        <f t="shared" si="435"/>
        <v>0.150390625</v>
      </c>
      <c r="AA217">
        <f ca="1" t="shared" si="436"/>
        <v>0.0205078125</v>
      </c>
      <c r="AB217">
        <f ca="1" t="shared" si="437"/>
        <v>225491.732517156</v>
      </c>
      <c r="AC217">
        <f ca="1">无穷技能数计算!$AJ209</f>
        <v>0</v>
      </c>
      <c r="AD217" s="164">
        <f ca="1" t="shared" si="438"/>
        <v>0</v>
      </c>
      <c r="AE217" s="168"/>
      <c r="AF217" s="168">
        <f ca="1" t="shared" si="439"/>
        <v>0.8057</v>
      </c>
      <c r="AG217">
        <f ca="1">无穷技能数计算!$AJ209</f>
        <v>0</v>
      </c>
      <c r="AH217">
        <f ca="1" t="shared" si="385"/>
        <v>109879</v>
      </c>
      <c r="AJ217">
        <f ca="1" t="shared" si="440"/>
        <v>2.6265922521</v>
      </c>
      <c r="AK217">
        <f ca="1" t="shared" si="441"/>
        <v>31590</v>
      </c>
      <c r="AL217">
        <f ca="1" t="shared" si="442"/>
        <v>242617.928216279</v>
      </c>
      <c r="AM217" s="169">
        <f ca="1" t="shared" si="443"/>
        <v>0.8272</v>
      </c>
      <c r="AN217">
        <f ca="1">无穷技能数计算!$AJ209</f>
        <v>0</v>
      </c>
      <c r="AO217" s="170">
        <f ca="1" t="shared" si="444"/>
        <v>246290.121626152</v>
      </c>
      <c r="AP217">
        <f ca="1" t="shared" si="388"/>
        <v>110956</v>
      </c>
      <c r="AQ217" s="170">
        <f ca="1" t="shared" si="445"/>
        <v>31590</v>
      </c>
      <c r="AR217">
        <f ca="1" t="shared" si="446"/>
        <v>238720.774703391</v>
      </c>
      <c r="AS217">
        <f ca="1" t="shared" si="447"/>
        <v>0.8843</v>
      </c>
      <c r="AT217">
        <f ca="1">无穷技能数计算!$AJ209</f>
        <v>0</v>
      </c>
      <c r="AU217">
        <f ca="1" t="shared" si="448"/>
        <v>2.5738578771</v>
      </c>
      <c r="AV217">
        <f ca="1" t="shared" si="449"/>
        <v>1.7995442148</v>
      </c>
      <c r="AW217">
        <f ca="1" t="shared" si="450"/>
        <v>252841.018404367</v>
      </c>
      <c r="AX217">
        <f ca="1" t="shared" si="451"/>
        <v>0.8743</v>
      </c>
      <c r="AY217">
        <f ca="1">无穷技能数计算!$AJ209</f>
        <v>0</v>
      </c>
      <c r="AZ217" s="170">
        <f ca="1" t="shared" si="452"/>
        <v>251177.241900544</v>
      </c>
      <c r="BA217">
        <f ca="1" t="shared" si="453"/>
        <v>0.8643</v>
      </c>
      <c r="BB217">
        <f ca="1">无穷技能数计算!$AJ209</f>
        <v>0</v>
      </c>
      <c r="BC217" s="170">
        <f ca="1" t="shared" si="454"/>
        <v>249513.465396721</v>
      </c>
      <c r="BE217">
        <f ca="1" t="shared" si="389"/>
        <v>105849</v>
      </c>
      <c r="BF217">
        <f ca="1" t="shared" si="455"/>
        <v>31590</v>
      </c>
      <c r="BI217">
        <f ca="1" t="shared" si="456"/>
        <v>0.8543</v>
      </c>
      <c r="BJ217">
        <f ca="1">无穷技能数计算!$AJ209</f>
        <v>0</v>
      </c>
      <c r="BK217">
        <f ca="1" t="shared" si="457"/>
        <v>248662.627318991</v>
      </c>
      <c r="BM217">
        <f ca="1" t="shared" si="391"/>
        <v>109230</v>
      </c>
      <c r="BN217">
        <f ca="1" t="shared" si="458"/>
        <v>31590</v>
      </c>
      <c r="BO217">
        <f ca="1" t="shared" si="459"/>
        <v>243527.577052012</v>
      </c>
      <c r="BP217">
        <f ca="1" t="shared" si="460"/>
        <v>232238.20639837</v>
      </c>
      <c r="BR217">
        <f ca="1" t="shared" si="461"/>
        <v>0.8543</v>
      </c>
      <c r="BS217">
        <f ca="1" t="shared" si="462"/>
        <v>241640.160750669</v>
      </c>
      <c r="BT217">
        <f ca="1" t="shared" si="463"/>
        <v>0.196995876306796</v>
      </c>
      <c r="BU217">
        <f ca="1" t="shared" si="464"/>
        <v>2.5738578771</v>
      </c>
      <c r="BV217">
        <f ca="1" t="shared" si="465"/>
        <v>251054.412296393</v>
      </c>
      <c r="BW217">
        <f ca="1" t="shared" si="393"/>
        <v>113027</v>
      </c>
      <c r="BX217">
        <f ca="1" t="shared" si="466"/>
        <v>31590</v>
      </c>
      <c r="BY217">
        <f ca="1" t="shared" si="467"/>
        <v>0.8343</v>
      </c>
      <c r="BZ217">
        <f ca="1">无穷技能数计算!$AJ209</f>
        <v>0</v>
      </c>
      <c r="CA217">
        <f ca="1" t="shared" si="468"/>
        <v>2.5777641271</v>
      </c>
      <c r="CB217">
        <f ca="1" t="shared" si="469"/>
        <v>243158.321446424</v>
      </c>
      <c r="CC217">
        <f ca="1" t="shared" si="394"/>
        <v>114847</v>
      </c>
      <c r="CD217">
        <f ca="1" t="shared" si="470"/>
        <v>31590</v>
      </c>
      <c r="CE217">
        <f ca="1" t="shared" si="471"/>
        <v>236867.885560628</v>
      </c>
      <c r="CF217">
        <f ca="1" t="shared" si="472"/>
        <v>2.5250297521</v>
      </c>
      <c r="CG217">
        <f ca="1" t="shared" si="473"/>
        <v>0.8343</v>
      </c>
      <c r="CH217">
        <f ca="1" t="shared" si="474"/>
        <v>240215.662514671</v>
      </c>
      <c r="CJ217">
        <f ca="1" t="shared" si="475"/>
        <v>31590</v>
      </c>
      <c r="CK217">
        <f ca="1" t="shared" si="476"/>
        <v>242424.410400615</v>
      </c>
      <c r="CL217">
        <f ca="1" t="shared" si="477"/>
        <v>2.5476860021</v>
      </c>
      <c r="CM217">
        <f ca="1">IF(G217="恒定伤害",0,(IF(D217="轻剑",$CM$8,$CM$9)+IFERROR(INDEX(技能数据库!$T$2:$W$27,MATCH(E217,技能数据库!$T$2:$T$27,0),4),0)+COUNTIF(G217,"*造化2*")*154+COUNTIF(G217,"*造化1*")*102+COUNTIF(G217,"*碧归*")*307)/1024)</f>
        <v>0.176868146929785</v>
      </c>
      <c r="CN217">
        <f ca="1" t="shared" si="478"/>
        <v>255351.027517394</v>
      </c>
      <c r="CO217">
        <f ca="1" t="shared" si="479"/>
        <v>2.5762602208</v>
      </c>
      <c r="CP217">
        <f ca="1" t="shared" si="480"/>
        <v>258007.863171151</v>
      </c>
      <c r="CQ217">
        <f ca="1" t="shared" si="481"/>
        <v>1.8815754648</v>
      </c>
      <c r="CR217">
        <f ca="1">IF(G217="恒定伤害",0,(IF(D217="轻剑",$CR$8,$CR$9)+IFERROR(INDEX(技能数据库!$T$2:$W$27,MATCH(E217,技能数据库!$T$2:$T$27,0),4),0)+COUNTIF(G217,"*造化2*")*154+COUNTIF(G217,"*造化1*")*102+COUNTIF(G217,"*碧归*")*307)/1024)</f>
        <v>0.167102521929785</v>
      </c>
      <c r="CS217">
        <f ca="1" t="shared" si="482"/>
        <v>244361.963917956</v>
      </c>
    </row>
    <row r="218" spans="4:97">
      <c r="D218" t="s">
        <v>1825</v>
      </c>
      <c r="E218" t="s">
        <v>2820</v>
      </c>
      <c r="G218" t="s">
        <v>3097</v>
      </c>
      <c r="H218">
        <f ca="1">INDEX(技能数据库!$B$2:$I$100,MATCH(无穷阵眼收益计算!$E218,技能数据库!$B$2:$B$100,0),MATCH(H$9,技能数据库!$B$2:$I$2,0))</f>
        <v>31590</v>
      </c>
      <c r="I218">
        <f ca="1">INDEX(技能数据库!$B$2:$I$100,MATCH(无穷阵眼收益计算!$E218,技能数据库!$B$2:$B$100,0),MATCH(I$9,技能数据库!$B$2:$I$2,0))</f>
        <v>0</v>
      </c>
      <c r="J218">
        <f ca="1">INDEX(技能数据库!$B$2:$I$100,MATCH(无穷阵眼收益计算!$E218,技能数据库!$B$2:$B$100,0),MATCH(J$9,技能数据库!$B$2:$I$2,0))</f>
        <v>0</v>
      </c>
      <c r="K218">
        <f ca="1">INDEX(技能数据库!$B$2:$I$100,MATCH(无穷阵眼收益计算!$E218,技能数据库!$B$2:$B$100,0),MATCH(K$9,技能数据库!$B$2:$I$2,0))</f>
        <v>0</v>
      </c>
      <c r="L218">
        <f ca="1" t="shared" si="384"/>
        <v>105847</v>
      </c>
      <c r="M218">
        <f ca="1" t="shared" si="426"/>
        <v>19530.5</v>
      </c>
      <c r="N218">
        <f ca="1" t="shared" si="427"/>
        <v>92028</v>
      </c>
      <c r="O218">
        <f ca="1" t="shared" si="428"/>
        <v>31590</v>
      </c>
      <c r="P218">
        <f ca="1">IF(G218="恒定伤害",0,(IF(D218="轻剑",$AZ$2,$AZ$3)+IFERROR(INDEX(技能数据库!$T$2:$W$27,MATCH(E218,技能数据库!$T$2:$T$27,0),4),0)+COUNTIF(G218,"*造化2*")*154+COUNTIF(G218,"*造化1*")*102+COUNTIF(G218,"*碧归*")*307)/1024)</f>
        <v>0.116321271929785</v>
      </c>
      <c r="Q218">
        <f ca="1" t="shared" si="429"/>
        <v>0.448284482196154</v>
      </c>
      <c r="R218">
        <f ca="1" t="shared" si="430"/>
        <v>0.21277697966198</v>
      </c>
      <c r="S218">
        <f ca="1" t="shared" si="431"/>
        <v>40205.9649047621</v>
      </c>
      <c r="T218">
        <f t="shared" si="421"/>
        <v>0.8</v>
      </c>
      <c r="U218">
        <f ca="1" t="shared" si="432"/>
        <v>1.7800129648</v>
      </c>
      <c r="V218">
        <f ca="1" t="shared" si="433"/>
        <v>89418.4829580261</v>
      </c>
      <c r="W218">
        <f ca="1">IF(G218="恒定伤害",0,MIN(1,IF(COUNTIF(F218,"*内会*")&gt;0,内会2,IF(D218="轻剑",$Y$2,$Y$3)+COUNTIF(G218,"*莺鸣*")*0.2+COUNTIF(G218,"*叠1*")*0.1+COUNTIF(G218,"*叠2*")*0.2+COUNTIF(G218,"*叠3*")*0.3)+IFERROR(INDEX(技能数据库!$T$2:$W$27,MATCH(E218,技能数据库!$T$2:$T$27,0),2),0)+IF((IF(D218="轻剑",$AO$2,$AO$3)+INT(COUNTIF(G218,"*大莺鸣*")*IF(D218="轻剑",$AM$2,$AM$3)*听晓无双率)/无双系数)&gt;0.9,特效裤子会心/会心系数,0)))</f>
        <v>0.9043</v>
      </c>
      <c r="X218">
        <f ca="1">IF(G218="恒定伤害",0,IF(COUNTIF(F218,"*内会*")&gt;0,内会效2,IF(D218="轻剑",$AB$2,$AB$3))+IFERROR(INDEX(技能数据库!$T$2:$W$27,MATCH(E218,技能数据库!$T$2:$T$27,0),3)/1024,0))+COUNTIF(G218,"*叠1*")*0.25+COUNTIF(G218,"*叠2*")*0.5+COUNTIF(G218,"*叠3*")*0.75</f>
        <v>2.6773735021</v>
      </c>
      <c r="Y218">
        <f ca="1" t="shared" si="434"/>
        <v>2.51684885794903</v>
      </c>
      <c r="Z218">
        <f t="shared" si="435"/>
        <v>0.150390625</v>
      </c>
      <c r="AA218">
        <f ca="1" t="shared" si="436"/>
        <v>0.0205078125</v>
      </c>
      <c r="AB218">
        <f ca="1" t="shared" si="437"/>
        <v>264208.083716473</v>
      </c>
      <c r="AC218">
        <f ca="1">无穷技能数计算!$AJ210</f>
        <v>0</v>
      </c>
      <c r="AD218" s="164">
        <f ca="1" t="shared" si="438"/>
        <v>0</v>
      </c>
      <c r="AE218" s="168"/>
      <c r="AF218" s="168">
        <f ca="1" t="shared" si="439"/>
        <v>0.9057</v>
      </c>
      <c r="AG218">
        <f ca="1">无穷技能数计算!$AJ210</f>
        <v>0</v>
      </c>
      <c r="AH218">
        <f ca="1" t="shared" si="385"/>
        <v>109879</v>
      </c>
      <c r="AJ218">
        <f ca="1" t="shared" si="440"/>
        <v>2.8765922521</v>
      </c>
      <c r="AK218">
        <f ca="1" t="shared" si="441"/>
        <v>31590</v>
      </c>
      <c r="AL218">
        <f ca="1" t="shared" si="442"/>
        <v>283473.567556084</v>
      </c>
      <c r="AM218" s="169">
        <f ca="1" t="shared" si="443"/>
        <v>0.9272</v>
      </c>
      <c r="AN218">
        <f ca="1">无穷技能数计算!$AJ210</f>
        <v>0</v>
      </c>
      <c r="AO218" s="170">
        <f ca="1" t="shared" si="444"/>
        <v>287710.160772536</v>
      </c>
      <c r="AP218">
        <f ca="1" t="shared" si="388"/>
        <v>110956</v>
      </c>
      <c r="AQ218" s="170">
        <f ca="1" t="shared" si="445"/>
        <v>31590</v>
      </c>
      <c r="AR218">
        <f ca="1" t="shared" si="446"/>
        <v>279708.518461518</v>
      </c>
      <c r="AS218">
        <f ca="1" t="shared" si="447"/>
        <v>0.9843</v>
      </c>
      <c r="AT218">
        <f ca="1">无穷技能数计算!$AJ210</f>
        <v>0</v>
      </c>
      <c r="AU218">
        <f ca="1" t="shared" si="448"/>
        <v>2.8238578771</v>
      </c>
      <c r="AV218">
        <f ca="1" t="shared" si="449"/>
        <v>1.7995442148</v>
      </c>
      <c r="AW218">
        <f ca="1" t="shared" si="450"/>
        <v>295492.174431402</v>
      </c>
      <c r="AX218">
        <f ca="1" t="shared" si="451"/>
        <v>0.9743</v>
      </c>
      <c r="AY218">
        <f ca="1">无穷技能数计算!$AJ210</f>
        <v>0</v>
      </c>
      <c r="AZ218" s="170">
        <f ca="1" t="shared" si="452"/>
        <v>293564.114772151</v>
      </c>
      <c r="BA218">
        <f ca="1" t="shared" si="453"/>
        <v>0.9643</v>
      </c>
      <c r="BB218">
        <f ca="1">无穷技能数计算!$AJ210</f>
        <v>0</v>
      </c>
      <c r="BC218" s="170">
        <f ca="1" t="shared" si="454"/>
        <v>291636.0551129</v>
      </c>
      <c r="BE218">
        <f ca="1" t="shared" si="389"/>
        <v>105849</v>
      </c>
      <c r="BF218">
        <f ca="1" t="shared" si="455"/>
        <v>31590</v>
      </c>
      <c r="BI218">
        <f ca="1" t="shared" si="456"/>
        <v>0.9543</v>
      </c>
      <c r="BJ218">
        <f ca="1">无穷技能数计算!$AJ210</f>
        <v>0</v>
      </c>
      <c r="BK218">
        <f ca="1" t="shared" si="457"/>
        <v>291384.943895225</v>
      </c>
      <c r="BM218">
        <f ca="1" t="shared" si="391"/>
        <v>109230</v>
      </c>
      <c r="BN218">
        <f ca="1" t="shared" si="458"/>
        <v>31590</v>
      </c>
      <c r="BO218">
        <f ca="1" t="shared" si="459"/>
        <v>285340.636425028</v>
      </c>
      <c r="BP218">
        <f ca="1" t="shared" si="460"/>
        <v>272112.90983183</v>
      </c>
      <c r="BR218">
        <f ca="1" t="shared" si="461"/>
        <v>0.9543</v>
      </c>
      <c r="BS218">
        <f ca="1" t="shared" si="462"/>
        <v>283155.958908303</v>
      </c>
      <c r="BT218">
        <f ca="1" t="shared" si="463"/>
        <v>0.196995876306796</v>
      </c>
      <c r="BU218">
        <f ca="1" t="shared" si="464"/>
        <v>2.8238578771</v>
      </c>
      <c r="BV218">
        <f ca="1" t="shared" si="465"/>
        <v>293453.951308414</v>
      </c>
      <c r="BW218">
        <f ca="1" t="shared" si="393"/>
        <v>113027</v>
      </c>
      <c r="BX218">
        <f ca="1" t="shared" si="466"/>
        <v>31590</v>
      </c>
      <c r="BY218">
        <f ca="1" t="shared" si="467"/>
        <v>0.9343</v>
      </c>
      <c r="BZ218">
        <f ca="1">无穷技能数计算!$AJ210</f>
        <v>0</v>
      </c>
      <c r="CA218">
        <f ca="1" t="shared" si="468"/>
        <v>2.8277641271</v>
      </c>
      <c r="CB218">
        <f ca="1" t="shared" si="469"/>
        <v>284240.727521496</v>
      </c>
      <c r="CC218">
        <f ca="1" t="shared" si="394"/>
        <v>114847</v>
      </c>
      <c r="CD218">
        <f ca="1" t="shared" si="470"/>
        <v>31590</v>
      </c>
      <c r="CE218">
        <f ca="1" t="shared" si="471"/>
        <v>277553.462804524</v>
      </c>
      <c r="CF218">
        <f ca="1" t="shared" si="472"/>
        <v>2.7750297521</v>
      </c>
      <c r="CG218">
        <f ca="1" t="shared" si="473"/>
        <v>0.9343</v>
      </c>
      <c r="CH218">
        <f ca="1" t="shared" si="474"/>
        <v>281029.224726619</v>
      </c>
      <c r="CJ218">
        <f ca="1" t="shared" si="475"/>
        <v>31590</v>
      </c>
      <c r="CK218">
        <f ca="1" t="shared" si="476"/>
        <v>284048.058893552</v>
      </c>
      <c r="CL218">
        <f ca="1" t="shared" si="477"/>
        <v>2.7976860021</v>
      </c>
      <c r="CM218">
        <f ca="1">IF(G218="恒定伤害",0,(IF(D218="轻剑",$CM$8,$CM$9)+IFERROR(INDEX(技能数据库!$T$2:$W$27,MATCH(E218,技能数据库!$T$2:$T$27,0),4),0)+COUNTIF(G218,"*造化2*")*154+COUNTIF(G218,"*造化1*")*102+COUNTIF(G218,"*碧归*")*307)/1024)</f>
        <v>0.176868146929785</v>
      </c>
      <c r="CN218">
        <f ca="1" t="shared" si="478"/>
        <v>298630.726869789</v>
      </c>
      <c r="CO218">
        <f ca="1" t="shared" si="479"/>
        <v>2.8262602208</v>
      </c>
      <c r="CP218">
        <f ca="1" t="shared" si="480"/>
        <v>301606.013398981</v>
      </c>
      <c r="CQ218">
        <f ca="1" t="shared" si="481"/>
        <v>1.8815754648</v>
      </c>
      <c r="CR218">
        <f ca="1">IF(G218="恒定伤害",0,(IF(D218="轻剑",$CR$8,$CR$9)+IFERROR(INDEX(技能数据库!$T$2:$W$27,MATCH(E218,技能数据库!$T$2:$T$27,0),4),0)+COUNTIF(G218,"*造化2*")*154+COUNTIF(G218,"*造化1*")*102+COUNTIF(G218,"*碧归*")*307)/1024)</f>
        <v>0.167102521929785</v>
      </c>
      <c r="CS218">
        <f ca="1" t="shared" si="482"/>
        <v>286318.285372368</v>
      </c>
    </row>
    <row r="219" spans="4:97">
      <c r="D219" t="s">
        <v>1825</v>
      </c>
      <c r="E219" t="s">
        <v>2820</v>
      </c>
      <c r="G219" t="s">
        <v>3099</v>
      </c>
      <c r="H219">
        <f ca="1">INDEX(技能数据库!$B$2:$I$100,MATCH(无穷阵眼收益计算!$E219,技能数据库!$B$2:$B$100,0),MATCH(H$9,技能数据库!$B$2:$I$2,0))</f>
        <v>31590</v>
      </c>
      <c r="I219">
        <f ca="1">INDEX(技能数据库!$B$2:$I$100,MATCH(无穷阵眼收益计算!$E219,技能数据库!$B$2:$B$100,0),MATCH(I$9,技能数据库!$B$2:$I$2,0))</f>
        <v>0</v>
      </c>
      <c r="J219">
        <f ca="1">INDEX(技能数据库!$B$2:$I$100,MATCH(无穷阵眼收益计算!$E219,技能数据库!$B$2:$B$100,0),MATCH(J$9,技能数据库!$B$2:$I$2,0))</f>
        <v>0</v>
      </c>
      <c r="K219">
        <f ca="1">INDEX(技能数据库!$B$2:$I$100,MATCH(无穷阵眼收益计算!$E219,技能数据库!$B$2:$B$100,0),MATCH(K$9,技能数据库!$B$2:$I$2,0))</f>
        <v>0</v>
      </c>
      <c r="L219">
        <f ca="1" t="shared" si="384"/>
        <v>105847</v>
      </c>
      <c r="M219">
        <f ca="1" t="shared" si="426"/>
        <v>19530.5</v>
      </c>
      <c r="N219">
        <f ca="1" t="shared" si="427"/>
        <v>92028</v>
      </c>
      <c r="O219">
        <f ca="1" t="shared" si="428"/>
        <v>31590</v>
      </c>
      <c r="P219">
        <f ca="1">IF(G219="恒定伤害",0,(IF(D219="轻剑",$AZ$2,$AZ$3)+IFERROR(INDEX(技能数据库!$T$2:$W$27,MATCH(E219,技能数据库!$T$2:$T$27,0),4),0)+COUNTIF(G219,"*造化2*")*154+COUNTIF(G219,"*造化1*")*102+COUNTIF(G219,"*碧归*")*307)/1024)</f>
        <v>0.116321271929785</v>
      </c>
      <c r="Q219">
        <f ca="1" t="shared" si="429"/>
        <v>0.448284482196154</v>
      </c>
      <c r="R219">
        <f ca="1" t="shared" si="430"/>
        <v>0.21277697966198</v>
      </c>
      <c r="S219">
        <f ca="1" t="shared" si="431"/>
        <v>40205.9649047621</v>
      </c>
      <c r="T219">
        <f t="shared" si="421"/>
        <v>0.8</v>
      </c>
      <c r="U219">
        <f ca="1" t="shared" si="432"/>
        <v>1.7800129648</v>
      </c>
      <c r="V219">
        <f ca="1" t="shared" si="433"/>
        <v>89418.4829580261</v>
      </c>
      <c r="W219">
        <f ca="1">IF(G219="恒定伤害",0,MIN(1,IF(COUNTIF(F219,"*内会*")&gt;0,内会2,IF(D219="轻剑",$Y$2,$Y$3)+COUNTIF(G219,"*莺鸣*")*0.2+COUNTIF(G219,"*叠1*")*0.1+COUNTIF(G219,"*叠2*")*0.2+COUNTIF(G219,"*叠3*")*0.3)+IFERROR(INDEX(技能数据库!$T$2:$W$27,MATCH(E219,技能数据库!$T$2:$T$27,0),2),0)+IF((IF(D219="轻剑",$AO$2,$AO$3)+INT(COUNTIF(G219,"*大莺鸣*")*IF(D219="轻剑",$AM$2,$AM$3)*听晓无双率)/无双系数)&gt;0.9,特效裤子会心/会心系数,0)))</f>
        <v>1</v>
      </c>
      <c r="X219">
        <f ca="1">IF(G219="恒定伤害",0,IF(COUNTIF(F219,"*内会*")&gt;0,内会效2,IF(D219="轻剑",$AB$2,$AB$3))+IFERROR(INDEX(技能数据库!$T$2:$W$27,MATCH(E219,技能数据库!$T$2:$T$27,0),3)/1024,0))+COUNTIF(G219,"*叠1*")*0.25+COUNTIF(G219,"*叠2*")*0.5+COUNTIF(G219,"*叠3*")*0.75</f>
        <v>2.9273735021</v>
      </c>
      <c r="Y219">
        <f ca="1" t="shared" si="434"/>
        <v>2.9273735021</v>
      </c>
      <c r="Z219">
        <f t="shared" si="435"/>
        <v>0.150390625</v>
      </c>
      <c r="AA219">
        <f ca="1" t="shared" si="436"/>
        <v>0.0205078125</v>
      </c>
      <c r="AB219">
        <f ca="1" t="shared" si="437"/>
        <v>307303.214044601</v>
      </c>
      <c r="AC219">
        <f ca="1">无穷技能数计算!$AJ211</f>
        <v>0</v>
      </c>
      <c r="AD219" s="164">
        <f ca="1" t="shared" si="438"/>
        <v>0</v>
      </c>
      <c r="AE219" s="168"/>
      <c r="AF219" s="168">
        <f ca="1" t="shared" si="439"/>
        <v>1.0014</v>
      </c>
      <c r="AG219">
        <f ca="1">无穷技能数计算!$AJ211</f>
        <v>0</v>
      </c>
      <c r="AH219">
        <f ca="1" t="shared" si="385"/>
        <v>109879</v>
      </c>
      <c r="AJ219">
        <f ca="1" t="shared" si="440"/>
        <v>3.1265922521</v>
      </c>
      <c r="AK219">
        <f ca="1" t="shared" si="441"/>
        <v>31590</v>
      </c>
      <c r="AL219">
        <f ca="1" t="shared" si="442"/>
        <v>328306.616248657</v>
      </c>
      <c r="AM219" s="169">
        <f ca="1" t="shared" si="443"/>
        <v>1.0229</v>
      </c>
      <c r="AN219">
        <f ca="1">无穷技能数计算!$AJ211</f>
        <v>0</v>
      </c>
      <c r="AO219" s="170">
        <f ca="1" t="shared" si="444"/>
        <v>328306.616248657</v>
      </c>
      <c r="AP219">
        <f ca="1" t="shared" si="388"/>
        <v>110956</v>
      </c>
      <c r="AQ219" s="170">
        <f ca="1" t="shared" si="445"/>
        <v>31590</v>
      </c>
      <c r="AR219">
        <f ca="1" t="shared" si="446"/>
        <v>325331.933488903</v>
      </c>
      <c r="AS219">
        <f ca="1" t="shared" si="447"/>
        <v>1.08</v>
      </c>
      <c r="AT219">
        <f ca="1">无穷技能数计算!$AJ211</f>
        <v>0</v>
      </c>
      <c r="AU219">
        <f ca="1" t="shared" si="448"/>
        <v>3.0738578771</v>
      </c>
      <c r="AV219">
        <f ca="1" t="shared" si="449"/>
        <v>1.7995442148</v>
      </c>
      <c r="AW219">
        <f ca="1" t="shared" si="450"/>
        <v>324947.543639257</v>
      </c>
      <c r="AX219">
        <f ca="1" t="shared" si="451"/>
        <v>1.07</v>
      </c>
      <c r="AY219">
        <f ca="1">无穷技能数计算!$AJ211</f>
        <v>0</v>
      </c>
      <c r="AZ219" s="170">
        <f ca="1" t="shared" si="452"/>
        <v>324947.543639257</v>
      </c>
      <c r="BA219">
        <f ca="1" t="shared" si="453"/>
        <v>1.06</v>
      </c>
      <c r="BB219">
        <f ca="1">无穷技能数计算!$AJ211</f>
        <v>0</v>
      </c>
      <c r="BC219" s="170">
        <f ca="1" t="shared" si="454"/>
        <v>324947.543639257</v>
      </c>
      <c r="BE219">
        <f ca="1" t="shared" si="389"/>
        <v>105849</v>
      </c>
      <c r="BF219">
        <f ca="1" t="shared" si="455"/>
        <v>31590</v>
      </c>
      <c r="BI219">
        <f ca="1" t="shared" si="456"/>
        <v>1.05</v>
      </c>
      <c r="BJ219">
        <f ca="1">无穷技能数计算!$AJ211</f>
        <v>0</v>
      </c>
      <c r="BK219">
        <f ca="1" t="shared" si="457"/>
        <v>327983.547935752</v>
      </c>
      <c r="BM219">
        <f ca="1" t="shared" si="391"/>
        <v>109230</v>
      </c>
      <c r="BN219">
        <f ca="1" t="shared" si="458"/>
        <v>31590</v>
      </c>
      <c r="BO219">
        <f ca="1" t="shared" si="459"/>
        <v>331882.709406579</v>
      </c>
      <c r="BP219">
        <f ca="1" t="shared" si="460"/>
        <v>316497.400829286</v>
      </c>
      <c r="BR219">
        <f ca="1" t="shared" si="461"/>
        <v>1.05</v>
      </c>
      <c r="BS219">
        <f ca="1" t="shared" si="462"/>
        <v>318720.983934191</v>
      </c>
      <c r="BT219">
        <f ca="1" t="shared" si="463"/>
        <v>0.196995876306796</v>
      </c>
      <c r="BU219">
        <f ca="1" t="shared" si="464"/>
        <v>3.0738578771</v>
      </c>
      <c r="BV219">
        <f ca="1" t="shared" si="465"/>
        <v>329149.150680446</v>
      </c>
      <c r="BW219">
        <f ca="1" t="shared" si="393"/>
        <v>113027</v>
      </c>
      <c r="BX219">
        <f ca="1" t="shared" si="466"/>
        <v>31590</v>
      </c>
      <c r="BY219">
        <f ca="1" t="shared" si="467"/>
        <v>1.03</v>
      </c>
      <c r="BZ219">
        <f ca="1">无穷技能数计算!$AJ211</f>
        <v>0</v>
      </c>
      <c r="CA219">
        <f ca="1" t="shared" si="468"/>
        <v>3.0777641271</v>
      </c>
      <c r="CB219">
        <f ca="1" t="shared" si="469"/>
        <v>323090.581933093</v>
      </c>
      <c r="CC219">
        <f ca="1" t="shared" si="394"/>
        <v>114847</v>
      </c>
      <c r="CD219">
        <f ca="1" t="shared" si="470"/>
        <v>31590</v>
      </c>
      <c r="CE219">
        <f ca="1" t="shared" si="471"/>
        <v>316497.400829286</v>
      </c>
      <c r="CF219">
        <f ca="1" t="shared" si="472"/>
        <v>3.0250297521</v>
      </c>
      <c r="CG219">
        <f ca="1" t="shared" si="473"/>
        <v>1.03</v>
      </c>
      <c r="CH219">
        <f ca="1" t="shared" si="474"/>
        <v>319785.763259798</v>
      </c>
      <c r="CJ219">
        <f ca="1" t="shared" si="475"/>
        <v>31590</v>
      </c>
      <c r="CK219">
        <f ca="1" t="shared" si="476"/>
        <v>330379.298821115</v>
      </c>
      <c r="CL219">
        <f ca="1" t="shared" si="477"/>
        <v>3.0476860021</v>
      </c>
      <c r="CM219">
        <f ca="1">IF(G219="恒定伤害",0,(IF(D219="轻剑",$CM$8,$CM$9)+IFERROR(INDEX(技能数据库!$T$2:$W$27,MATCH(E219,技能数据库!$T$2:$T$27,0),4),0)+COUNTIF(G219,"*造化2*")*154+COUNTIF(G219,"*造化1*")*102+COUNTIF(G219,"*碧归*")*307)/1024)</f>
        <v>0.176868146929785</v>
      </c>
      <c r="CN219">
        <f ca="1" t="shared" si="478"/>
        <v>339655.227535778</v>
      </c>
      <c r="CO219">
        <f ca="1" t="shared" si="479"/>
        <v>3.0762602208</v>
      </c>
      <c r="CP219">
        <f ca="1" t="shared" si="480"/>
        <v>342839.736290131</v>
      </c>
      <c r="CQ219">
        <f ca="1" t="shared" si="481"/>
        <v>1.8815754648</v>
      </c>
      <c r="CR219">
        <f ca="1">IF(G219="恒定伤害",0,(IF(D219="轻剑",$CR$8,$CR$9)+IFERROR(INDEX(技能数据库!$T$2:$W$27,MATCH(E219,技能数据库!$T$2:$T$27,0),4),0)+COUNTIF(G219,"*造化2*")*154+COUNTIF(G219,"*造化1*")*102+COUNTIF(G219,"*碧归*")*307)/1024)</f>
        <v>0.167102521929785</v>
      </c>
      <c r="CS219">
        <f ca="1" t="shared" si="482"/>
        <v>333019.823227999</v>
      </c>
    </row>
  </sheetData>
  <mergeCells count="2">
    <mergeCell ref="CV8:CY8"/>
    <mergeCell ref="CZ8:DC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68"/>
  <sheetViews>
    <sheetView showGridLines="0" workbookViewId="0">
      <selection activeCell="H28" sqref="H28"/>
    </sheetView>
  </sheetViews>
  <sheetFormatPr defaultColWidth="9" defaultRowHeight="16.8"/>
  <cols>
    <col min="1" max="1" width="3.75" style="152" customWidth="1"/>
    <col min="2" max="13" width="14" style="1" customWidth="1"/>
    <col min="14" max="16384" width="9" style="1"/>
  </cols>
  <sheetData>
    <row r="1" ht="19.5" customHeight="1" spans="2:13">
      <c r="E1" s="153" t="s">
        <v>3237</v>
      </c>
      <c r="F1" s="153"/>
      <c r="G1" s="153"/>
      <c r="H1" s="153"/>
      <c r="I1" s="153"/>
      <c r="J1" s="153"/>
      <c r="M1" s="154" t="s">
        <v>3238</v>
      </c>
    </row>
    <row r="2" ht="16.5" customHeight="1" spans="2:13">
      <c r="E2" s="155" t="s">
        <v>3239</v>
      </c>
      <c r="F2" s="155"/>
      <c r="G2" s="155"/>
      <c r="H2" s="155"/>
      <c r="I2" s="155"/>
      <c r="J2" s="155"/>
    </row>
    <row r="3" spans="2:13">
      <c r="B3" s="1" t="s">
        <v>3240</v>
      </c>
    </row>
    <row r="4" spans="2:13">
      <c r="B4" s="156" t="s">
        <v>3241</v>
      </c>
      <c r="C4" s="157" t="s">
        <v>3242</v>
      </c>
      <c r="D4" s="157" t="s">
        <v>3243</v>
      </c>
      <c r="E4" s="157" t="s">
        <v>3244</v>
      </c>
      <c r="F4" s="157" t="s">
        <v>3243</v>
      </c>
      <c r="G4" s="157" t="s">
        <v>3245</v>
      </c>
      <c r="H4" s="156" t="s">
        <v>3243</v>
      </c>
      <c r="I4" s="156" t="s">
        <v>3242</v>
      </c>
      <c r="J4" s="156" t="s">
        <v>3243</v>
      </c>
      <c r="K4" s="156" t="s">
        <v>3243</v>
      </c>
      <c r="L4" s="156" t="s">
        <v>3243</v>
      </c>
      <c r="M4" s="156" t="s">
        <v>3242</v>
      </c>
    </row>
    <row r="5" spans="2:13">
      <c r="B5" s="156" t="s">
        <v>3241</v>
      </c>
      <c r="C5" s="158" t="s">
        <v>3243</v>
      </c>
      <c r="D5" s="158" t="s">
        <v>3242</v>
      </c>
      <c r="E5" s="158" t="s">
        <v>3243</v>
      </c>
      <c r="F5" s="158" t="s">
        <v>3242</v>
      </c>
      <c r="G5" s="158" t="s">
        <v>3243</v>
      </c>
      <c r="H5" s="159" t="s">
        <v>3242</v>
      </c>
      <c r="I5" s="159" t="s">
        <v>3246</v>
      </c>
      <c r="J5" s="159" t="s">
        <v>3243</v>
      </c>
      <c r="K5" s="159" t="s">
        <v>3243</v>
      </c>
      <c r="L5" s="159" t="s">
        <v>3242</v>
      </c>
      <c r="M5" s="159" t="s">
        <v>3243</v>
      </c>
    </row>
    <row r="6" spans="2:13">
      <c r="B6" s="159" t="s">
        <v>3243</v>
      </c>
      <c r="C6" s="159" t="s">
        <v>3243</v>
      </c>
      <c r="D6" s="159" t="s">
        <v>3242</v>
      </c>
      <c r="E6" s="159" t="s">
        <v>3243</v>
      </c>
      <c r="F6" s="159" t="s">
        <v>3247</v>
      </c>
      <c r="G6" s="156" t="s">
        <v>3248</v>
      </c>
      <c r="H6" s="156" t="s">
        <v>3242</v>
      </c>
      <c r="I6" s="156" t="s">
        <v>3243</v>
      </c>
      <c r="J6" s="156" t="s">
        <v>3249</v>
      </c>
    </row>
    <row r="9" spans="2:13">
      <c r="B9" s="1" t="s">
        <v>3250</v>
      </c>
    </row>
    <row r="10" spans="2:13">
      <c r="B10" s="156" t="s">
        <v>3241</v>
      </c>
      <c r="C10" s="157" t="s">
        <v>3242</v>
      </c>
      <c r="D10" s="157" t="s">
        <v>3243</v>
      </c>
      <c r="E10" s="157" t="s">
        <v>3244</v>
      </c>
      <c r="F10" s="157" t="s">
        <v>3243</v>
      </c>
      <c r="G10" s="157" t="s">
        <v>3245</v>
      </c>
      <c r="H10" s="156" t="s">
        <v>3243</v>
      </c>
      <c r="I10" s="156" t="s">
        <v>3242</v>
      </c>
      <c r="J10" s="156" t="s">
        <v>3249</v>
      </c>
      <c r="K10" s="156" t="s">
        <v>3243</v>
      </c>
      <c r="L10" s="156" t="s">
        <v>3243</v>
      </c>
      <c r="M10" s="156" t="s">
        <v>3242</v>
      </c>
    </row>
    <row r="11" spans="2:13">
      <c r="B11" s="156" t="s">
        <v>3241</v>
      </c>
      <c r="C11" s="157" t="s">
        <v>3243</v>
      </c>
      <c r="D11" s="157" t="s">
        <v>3242</v>
      </c>
      <c r="E11" s="157" t="s">
        <v>3251</v>
      </c>
      <c r="F11" s="157" t="s">
        <v>3245</v>
      </c>
      <c r="G11" s="158" t="s">
        <v>3243</v>
      </c>
      <c r="H11" s="159" t="s">
        <v>3242</v>
      </c>
      <c r="I11" s="159" t="s">
        <v>3243</v>
      </c>
      <c r="J11" s="159" t="s">
        <v>3243</v>
      </c>
      <c r="K11" s="159" t="s">
        <v>3243</v>
      </c>
      <c r="L11" s="159" t="s">
        <v>3242</v>
      </c>
      <c r="M11" s="159" t="s">
        <v>3246</v>
      </c>
    </row>
    <row r="12" spans="2:13">
      <c r="B12" s="159" t="s">
        <v>3243</v>
      </c>
      <c r="C12" s="159" t="s">
        <v>3243</v>
      </c>
      <c r="D12" s="159" t="s">
        <v>3242</v>
      </c>
      <c r="E12" s="159" t="s">
        <v>3243</v>
      </c>
      <c r="F12" s="159" t="s">
        <v>3243</v>
      </c>
      <c r="G12" s="159" t="s">
        <v>3243</v>
      </c>
      <c r="H12" s="159" t="s">
        <v>3242</v>
      </c>
      <c r="I12" s="159" t="s">
        <v>3247</v>
      </c>
      <c r="J12" s="156" t="s">
        <v>3248</v>
      </c>
    </row>
    <row r="15" spans="2:13">
      <c r="B15" s="1" t="s">
        <v>3252</v>
      </c>
    </row>
    <row r="16" spans="2:13">
      <c r="B16" s="156" t="s">
        <v>3241</v>
      </c>
      <c r="C16" s="157" t="s">
        <v>3242</v>
      </c>
      <c r="D16" s="157" t="s">
        <v>3243</v>
      </c>
      <c r="E16" s="157" t="s">
        <v>3244</v>
      </c>
      <c r="F16" s="157" t="s">
        <v>3243</v>
      </c>
      <c r="G16" s="157" t="s">
        <v>3245</v>
      </c>
      <c r="H16" s="156" t="s">
        <v>3243</v>
      </c>
      <c r="I16" s="156" t="s">
        <v>3242</v>
      </c>
      <c r="J16" s="156" t="s">
        <v>3249</v>
      </c>
      <c r="K16" s="156" t="s">
        <v>3243</v>
      </c>
      <c r="L16" s="156" t="s">
        <v>3243</v>
      </c>
      <c r="M16" s="156" t="s">
        <v>3242</v>
      </c>
    </row>
    <row r="17" spans="2:13">
      <c r="B17" s="156" t="s">
        <v>3241</v>
      </c>
      <c r="C17" s="157" t="s">
        <v>3243</v>
      </c>
      <c r="D17" s="157" t="s">
        <v>3242</v>
      </c>
      <c r="E17" s="157" t="s">
        <v>3251</v>
      </c>
      <c r="F17" s="157" t="s">
        <v>3245</v>
      </c>
      <c r="G17" s="158" t="s">
        <v>3243</v>
      </c>
      <c r="H17" s="159" t="s">
        <v>3242</v>
      </c>
      <c r="I17" s="159" t="s">
        <v>3243</v>
      </c>
      <c r="J17" s="159" t="s">
        <v>3243</v>
      </c>
      <c r="K17" s="159" t="s">
        <v>3243</v>
      </c>
      <c r="L17" s="159" t="s">
        <v>3242</v>
      </c>
      <c r="M17" s="159" t="s">
        <v>3243</v>
      </c>
    </row>
    <row r="18" spans="2:13">
      <c r="B18" s="159" t="s">
        <v>3246</v>
      </c>
      <c r="C18" s="159" t="s">
        <v>3243</v>
      </c>
      <c r="D18" s="159" t="s">
        <v>3242</v>
      </c>
      <c r="E18" s="159" t="s">
        <v>3243</v>
      </c>
      <c r="F18" s="159" t="s">
        <v>3246</v>
      </c>
      <c r="G18" s="159" t="s">
        <v>3243</v>
      </c>
      <c r="H18" s="159" t="s">
        <v>3242</v>
      </c>
      <c r="I18" s="159" t="s">
        <v>3243</v>
      </c>
      <c r="J18" s="159" t="s">
        <v>3247</v>
      </c>
      <c r="K18" s="156" t="s">
        <v>3248</v>
      </c>
    </row>
    <row r="21" spans="2:13">
      <c r="B21" s="1" t="s">
        <v>3253</v>
      </c>
    </row>
    <row r="22" spans="2:13">
      <c r="B22" s="156" t="s">
        <v>3242</v>
      </c>
      <c r="C22" s="156" t="s">
        <v>3243</v>
      </c>
      <c r="D22" s="156" t="s">
        <v>3254</v>
      </c>
      <c r="E22" s="156" t="s">
        <v>3241</v>
      </c>
      <c r="F22" s="157" t="s">
        <v>3242</v>
      </c>
      <c r="G22" s="157" t="s">
        <v>3243</v>
      </c>
      <c r="H22" s="157" t="s">
        <v>3242</v>
      </c>
      <c r="I22" s="157" t="s">
        <v>3243</v>
      </c>
      <c r="J22" s="157" t="s">
        <v>3242</v>
      </c>
      <c r="K22" s="156" t="s">
        <v>3243</v>
      </c>
      <c r="L22" s="156" t="s">
        <v>3243</v>
      </c>
      <c r="M22" s="156" t="s">
        <v>3242</v>
      </c>
    </row>
    <row r="23" spans="2:13">
      <c r="B23" s="156" t="s">
        <v>3243</v>
      </c>
      <c r="C23" s="156" t="s">
        <v>3243</v>
      </c>
      <c r="D23" s="156" t="s">
        <v>3243</v>
      </c>
      <c r="E23" s="156" t="s">
        <v>3242</v>
      </c>
      <c r="F23" s="156" t="s">
        <v>3241</v>
      </c>
      <c r="G23" s="158" t="s">
        <v>3243</v>
      </c>
      <c r="H23" s="158" t="s">
        <v>3242</v>
      </c>
      <c r="I23" s="158" t="s">
        <v>3243</v>
      </c>
      <c r="J23" s="158" t="s">
        <v>3242</v>
      </c>
      <c r="K23" s="158" t="s">
        <v>3243</v>
      </c>
      <c r="L23" s="159" t="s">
        <v>3242</v>
      </c>
      <c r="M23" s="159" t="s">
        <v>3243</v>
      </c>
    </row>
    <row r="24" spans="2:13">
      <c r="B24" s="159" t="s">
        <v>3246</v>
      </c>
      <c r="C24" s="159" t="s">
        <v>3243</v>
      </c>
      <c r="D24" s="159" t="s">
        <v>3242</v>
      </c>
      <c r="E24" s="159" t="s">
        <v>3243</v>
      </c>
      <c r="F24" s="159" t="s">
        <v>3246</v>
      </c>
      <c r="G24" s="159" t="s">
        <v>3243</v>
      </c>
      <c r="H24" s="159" t="s">
        <v>3242</v>
      </c>
      <c r="I24" s="159" t="s">
        <v>3243</v>
      </c>
      <c r="J24" s="159" t="s">
        <v>3247</v>
      </c>
      <c r="K24" s="156" t="s">
        <v>3248</v>
      </c>
    </row>
    <row r="25" spans="2:13">
      <c r="B25" s="156" t="s">
        <v>3241</v>
      </c>
      <c r="C25" s="157" t="s">
        <v>3242</v>
      </c>
      <c r="D25" s="157" t="s">
        <v>3243</v>
      </c>
      <c r="E25" s="157" t="s">
        <v>3244</v>
      </c>
      <c r="F25" s="157" t="s">
        <v>3243</v>
      </c>
      <c r="G25" s="157" t="s">
        <v>3245</v>
      </c>
      <c r="H25" s="156" t="s">
        <v>3243</v>
      </c>
      <c r="I25" s="156" t="s">
        <v>3242</v>
      </c>
      <c r="J25" s="156" t="s">
        <v>3243</v>
      </c>
      <c r="K25" s="156" t="s">
        <v>3243</v>
      </c>
      <c r="L25" s="156" t="s">
        <v>3243</v>
      </c>
      <c r="M25" s="156" t="s">
        <v>3242</v>
      </c>
    </row>
    <row r="26" spans="2:13">
      <c r="B26" s="156" t="s">
        <v>3241</v>
      </c>
      <c r="C26" s="157" t="s">
        <v>3243</v>
      </c>
      <c r="D26" s="157" t="s">
        <v>3242</v>
      </c>
      <c r="E26" s="157" t="s">
        <v>3251</v>
      </c>
      <c r="F26" s="157" t="s">
        <v>3245</v>
      </c>
      <c r="G26" s="158" t="s">
        <v>3243</v>
      </c>
      <c r="H26" s="159" t="s">
        <v>3242</v>
      </c>
      <c r="I26" s="159" t="s">
        <v>3243</v>
      </c>
      <c r="J26" s="159" t="s">
        <v>3246</v>
      </c>
      <c r="K26" s="159" t="s">
        <v>3243</v>
      </c>
      <c r="L26" s="159" t="s">
        <v>3242</v>
      </c>
      <c r="M26" s="159" t="s">
        <v>3246</v>
      </c>
    </row>
    <row r="27" spans="2:13">
      <c r="B27" s="159" t="s">
        <v>3241</v>
      </c>
      <c r="C27" s="158" t="s">
        <v>3243</v>
      </c>
      <c r="D27" s="158" t="s">
        <v>3242</v>
      </c>
      <c r="E27" s="158" t="s">
        <v>3243</v>
      </c>
      <c r="F27" s="158" t="s">
        <v>3242</v>
      </c>
      <c r="G27" s="158" t="s">
        <v>3243</v>
      </c>
      <c r="H27" s="159" t="s">
        <v>3242</v>
      </c>
      <c r="I27" s="159" t="s">
        <v>3243</v>
      </c>
      <c r="J27" s="159" t="s">
        <v>3247</v>
      </c>
      <c r="K27" s="156" t="s">
        <v>3248</v>
      </c>
    </row>
    <row r="30" spans="2:13">
      <c r="B30" s="1" t="s">
        <v>3255</v>
      </c>
    </row>
    <row r="31" spans="2:13">
      <c r="B31" s="156" t="s">
        <v>3241</v>
      </c>
      <c r="C31" s="157" t="s">
        <v>3242</v>
      </c>
      <c r="D31" s="157" t="s">
        <v>3243</v>
      </c>
      <c r="E31" s="157" t="s">
        <v>3244</v>
      </c>
      <c r="F31" s="157" t="s">
        <v>3243</v>
      </c>
      <c r="G31" s="157" t="s">
        <v>3245</v>
      </c>
      <c r="H31" s="156" t="s">
        <v>3243</v>
      </c>
      <c r="I31" s="156" t="s">
        <v>3242</v>
      </c>
      <c r="J31" s="156" t="s">
        <v>3243</v>
      </c>
      <c r="K31" s="156" t="s">
        <v>3243</v>
      </c>
      <c r="L31" s="156" t="s">
        <v>3243</v>
      </c>
      <c r="M31" s="156" t="s">
        <v>3242</v>
      </c>
    </row>
    <row r="32" spans="2:13">
      <c r="B32" s="156" t="s">
        <v>3256</v>
      </c>
      <c r="C32" s="158" t="s">
        <v>3243</v>
      </c>
      <c r="D32" s="158" t="s">
        <v>3242</v>
      </c>
      <c r="E32" s="158" t="s">
        <v>3243</v>
      </c>
      <c r="F32" s="158" t="s">
        <v>3242</v>
      </c>
      <c r="G32" s="158" t="s">
        <v>3243</v>
      </c>
      <c r="H32" s="159" t="s">
        <v>3242</v>
      </c>
      <c r="I32" s="159" t="s">
        <v>3243</v>
      </c>
      <c r="J32" s="159" t="s">
        <v>3243</v>
      </c>
      <c r="K32" s="159" t="s">
        <v>3257</v>
      </c>
      <c r="L32" s="159" t="s">
        <v>3242</v>
      </c>
      <c r="M32" s="159" t="s">
        <v>3243</v>
      </c>
    </row>
    <row r="33" spans="2:13">
      <c r="B33" s="159" t="s">
        <v>3243</v>
      </c>
      <c r="C33" s="159" t="s">
        <v>3241</v>
      </c>
      <c r="D33" s="158" t="s">
        <v>3242</v>
      </c>
      <c r="E33" s="158" t="s">
        <v>3243</v>
      </c>
      <c r="F33" s="158" t="s">
        <v>3242</v>
      </c>
      <c r="G33" s="158" t="s">
        <v>3243</v>
      </c>
      <c r="H33" s="158" t="s">
        <v>3242</v>
      </c>
      <c r="I33" s="159" t="s">
        <v>3247</v>
      </c>
      <c r="J33" s="156" t="s">
        <v>3248</v>
      </c>
      <c r="K33" s="156" t="s">
        <v>3243</v>
      </c>
      <c r="L33" s="156" t="s">
        <v>3242</v>
      </c>
      <c r="M33" s="156" t="s">
        <v>3249</v>
      </c>
    </row>
    <row r="34" spans="2:13">
      <c r="B34" s="156" t="s">
        <v>3243</v>
      </c>
    </row>
    <row r="37" spans="2:13">
      <c r="B37" s="1" t="s">
        <v>3258</v>
      </c>
    </row>
    <row r="38" spans="2:13">
      <c r="B38" s="156" t="s">
        <v>3241</v>
      </c>
      <c r="C38" s="157" t="s">
        <v>3242</v>
      </c>
      <c r="D38" s="157" t="s">
        <v>3243</v>
      </c>
      <c r="E38" s="157" t="s">
        <v>3244</v>
      </c>
      <c r="F38" s="157" t="s">
        <v>3243</v>
      </c>
      <c r="G38" s="157" t="s">
        <v>3245</v>
      </c>
      <c r="H38" s="156" t="s">
        <v>3243</v>
      </c>
      <c r="I38" s="156" t="s">
        <v>3242</v>
      </c>
      <c r="J38" s="156" t="s">
        <v>3249</v>
      </c>
      <c r="K38" s="156" t="s">
        <v>3243</v>
      </c>
      <c r="L38" s="156" t="s">
        <v>3243</v>
      </c>
      <c r="M38" s="156" t="s">
        <v>3242</v>
      </c>
    </row>
    <row r="39" spans="2:13">
      <c r="B39" s="156" t="s">
        <v>3241</v>
      </c>
      <c r="C39" s="157" t="s">
        <v>3243</v>
      </c>
      <c r="D39" s="157" t="s">
        <v>3242</v>
      </c>
      <c r="E39" s="157" t="s">
        <v>3251</v>
      </c>
      <c r="F39" s="157" t="s">
        <v>3245</v>
      </c>
      <c r="G39" s="158" t="s">
        <v>3243</v>
      </c>
      <c r="H39" s="159" t="s">
        <v>3242</v>
      </c>
      <c r="I39" s="159" t="s">
        <v>3243</v>
      </c>
      <c r="J39" s="159" t="s">
        <v>3243</v>
      </c>
      <c r="K39" s="159" t="s">
        <v>3243</v>
      </c>
      <c r="L39" s="159" t="s">
        <v>3242</v>
      </c>
      <c r="M39" s="159" t="s">
        <v>3243</v>
      </c>
    </row>
    <row r="40" spans="2:13">
      <c r="B40" s="159" t="s">
        <v>3257</v>
      </c>
      <c r="C40" s="159" t="s">
        <v>3241</v>
      </c>
      <c r="D40" s="158" t="s">
        <v>3242</v>
      </c>
      <c r="E40" s="158" t="s">
        <v>3243</v>
      </c>
      <c r="F40" s="158" t="s">
        <v>3242</v>
      </c>
      <c r="G40" s="158" t="s">
        <v>3243</v>
      </c>
      <c r="H40" s="158" t="s">
        <v>3242</v>
      </c>
      <c r="I40" s="159" t="s">
        <v>3243</v>
      </c>
      <c r="J40" s="159" t="s">
        <v>3243</v>
      </c>
      <c r="K40" s="159" t="s">
        <v>3242</v>
      </c>
      <c r="L40" s="159" t="s">
        <v>3243</v>
      </c>
      <c r="M40" s="159" t="s">
        <v>3247</v>
      </c>
    </row>
    <row r="41" spans="2:13">
      <c r="B41" s="156" t="s">
        <v>3248</v>
      </c>
    </row>
    <row r="44" hidden="1" spans="2:13">
      <c r="B44" s="1" t="s">
        <v>3259</v>
      </c>
    </row>
    <row r="45" hidden="1" spans="2:13">
      <c r="B45" s="156" t="s">
        <v>3241</v>
      </c>
      <c r="C45" s="157" t="s">
        <v>3242</v>
      </c>
      <c r="D45" s="157" t="s">
        <v>3243</v>
      </c>
      <c r="E45" s="157" t="s">
        <v>3244</v>
      </c>
      <c r="F45" s="157" t="s">
        <v>3243</v>
      </c>
      <c r="G45" s="157" t="s">
        <v>3245</v>
      </c>
      <c r="H45" s="156" t="s">
        <v>3243</v>
      </c>
      <c r="I45" s="156" t="s">
        <v>3242</v>
      </c>
      <c r="J45" s="156" t="s">
        <v>3249</v>
      </c>
      <c r="K45" s="156" t="s">
        <v>3243</v>
      </c>
      <c r="L45" s="156" t="s">
        <v>3243</v>
      </c>
      <c r="M45" s="156" t="s">
        <v>3242</v>
      </c>
    </row>
    <row r="46" hidden="1" spans="2:13">
      <c r="B46" s="156" t="s">
        <v>3241</v>
      </c>
      <c r="C46" s="157" t="s">
        <v>3243</v>
      </c>
      <c r="D46" s="157" t="s">
        <v>3242</v>
      </c>
      <c r="E46" s="157" t="s">
        <v>3243</v>
      </c>
      <c r="F46" s="158" t="s">
        <v>3242</v>
      </c>
      <c r="G46" s="158" t="s">
        <v>3251</v>
      </c>
      <c r="H46" s="159" t="s">
        <v>3260</v>
      </c>
      <c r="I46" s="159" t="s">
        <v>3243</v>
      </c>
      <c r="J46" s="159" t="s">
        <v>3243</v>
      </c>
      <c r="K46" s="159" t="s">
        <v>3242</v>
      </c>
      <c r="L46" s="159" t="s">
        <v>3243</v>
      </c>
      <c r="M46" s="159" t="s">
        <v>3243</v>
      </c>
    </row>
    <row r="47" hidden="1" spans="2:13">
      <c r="B47" s="159" t="s">
        <v>3257</v>
      </c>
      <c r="C47" s="159" t="s">
        <v>3242</v>
      </c>
      <c r="D47" s="159" t="s">
        <v>3241</v>
      </c>
      <c r="E47" s="158" t="s">
        <v>3243</v>
      </c>
      <c r="F47" s="158" t="s">
        <v>3242</v>
      </c>
      <c r="G47" s="158" t="s">
        <v>3243</v>
      </c>
      <c r="H47" s="158" t="s">
        <v>3242</v>
      </c>
      <c r="I47" s="158" t="s">
        <v>3251</v>
      </c>
      <c r="J47" s="159" t="s">
        <v>3245</v>
      </c>
      <c r="K47" s="159" t="s">
        <v>3243</v>
      </c>
      <c r="L47" s="159" t="s">
        <v>3243</v>
      </c>
      <c r="M47" s="159" t="s">
        <v>3242</v>
      </c>
    </row>
    <row r="48" hidden="1" spans="2:13">
      <c r="B48" s="159" t="s">
        <v>3247</v>
      </c>
      <c r="C48" s="156" t="s">
        <v>3248</v>
      </c>
    </row>
    <row r="49" hidden="1"/>
    <row r="50" hidden="1"/>
    <row r="51" hidden="1" spans="2:13">
      <c r="B51" s="1" t="s">
        <v>3261</v>
      </c>
    </row>
    <row r="52" hidden="1" spans="2:13">
      <c r="B52" s="156" t="s">
        <v>3241</v>
      </c>
      <c r="C52" s="157" t="s">
        <v>3242</v>
      </c>
      <c r="D52" s="157" t="s">
        <v>3243</v>
      </c>
      <c r="E52" s="157" t="s">
        <v>3244</v>
      </c>
      <c r="F52" s="157" t="s">
        <v>3243</v>
      </c>
      <c r="G52" s="157" t="s">
        <v>3245</v>
      </c>
      <c r="H52" s="156" t="s">
        <v>3243</v>
      </c>
      <c r="I52" s="156" t="s">
        <v>3242</v>
      </c>
      <c r="J52" s="156" t="s">
        <v>3243</v>
      </c>
      <c r="K52" s="156" t="s">
        <v>3243</v>
      </c>
      <c r="L52" s="156" t="s">
        <v>3243</v>
      </c>
      <c r="M52" s="156" t="s">
        <v>3242</v>
      </c>
    </row>
    <row r="53" hidden="1" spans="2:13">
      <c r="B53" s="156" t="s">
        <v>3241</v>
      </c>
      <c r="C53" s="158" t="s">
        <v>3243</v>
      </c>
      <c r="D53" s="158" t="s">
        <v>3242</v>
      </c>
      <c r="E53" s="158" t="s">
        <v>3251</v>
      </c>
      <c r="F53" s="158" t="s">
        <v>3260</v>
      </c>
      <c r="G53" s="158" t="s">
        <v>3243</v>
      </c>
      <c r="H53" s="159" t="s">
        <v>3242</v>
      </c>
      <c r="I53" s="159" t="s">
        <v>3243</v>
      </c>
      <c r="J53" s="159" t="s">
        <v>3243</v>
      </c>
      <c r="K53" s="159" t="s">
        <v>3243</v>
      </c>
      <c r="L53" s="159" t="s">
        <v>3242</v>
      </c>
      <c r="M53" s="159" t="s">
        <v>3243</v>
      </c>
    </row>
    <row r="54" hidden="1" spans="2:13">
      <c r="B54" s="159" t="s">
        <v>3257</v>
      </c>
      <c r="C54" s="159" t="s">
        <v>3241</v>
      </c>
      <c r="D54" s="158" t="s">
        <v>3242</v>
      </c>
      <c r="E54" s="158" t="s">
        <v>3243</v>
      </c>
      <c r="F54" s="158" t="s">
        <v>3244</v>
      </c>
      <c r="G54" s="158" t="s">
        <v>3243</v>
      </c>
      <c r="H54" s="158" t="s">
        <v>3245</v>
      </c>
      <c r="I54" s="159" t="s">
        <v>3243</v>
      </c>
      <c r="J54" s="159" t="s">
        <v>3242</v>
      </c>
      <c r="K54" s="159" t="s">
        <v>3247</v>
      </c>
      <c r="L54" s="156" t="s">
        <v>3248</v>
      </c>
      <c r="M54" s="156" t="s">
        <v>3243</v>
      </c>
    </row>
    <row r="55" hidden="1" spans="2:13">
      <c r="B55" s="156" t="s">
        <v>3242</v>
      </c>
      <c r="C55" s="156" t="s">
        <v>3243</v>
      </c>
      <c r="D55" s="156" t="s">
        <v>3249</v>
      </c>
    </row>
    <row r="56" hidden="1"/>
    <row r="57" hidden="1"/>
    <row r="58" hidden="1" spans="2:13">
      <c r="B58" s="1" t="s">
        <v>3262</v>
      </c>
    </row>
    <row r="59" hidden="1" spans="2:13">
      <c r="B59" s="156" t="s">
        <v>3241</v>
      </c>
      <c r="C59" s="157" t="s">
        <v>3242</v>
      </c>
      <c r="D59" s="157" t="s">
        <v>3243</v>
      </c>
      <c r="E59" s="157" t="s">
        <v>3244</v>
      </c>
      <c r="F59" s="157" t="s">
        <v>3243</v>
      </c>
      <c r="G59" s="157" t="s">
        <v>3245</v>
      </c>
      <c r="H59" s="156" t="s">
        <v>3243</v>
      </c>
      <c r="I59" s="156" t="s">
        <v>3242</v>
      </c>
      <c r="J59" s="156" t="s">
        <v>3243</v>
      </c>
      <c r="K59" s="156" t="s">
        <v>3243</v>
      </c>
      <c r="L59" s="156" t="s">
        <v>3243</v>
      </c>
      <c r="M59" s="156" t="s">
        <v>3243</v>
      </c>
    </row>
    <row r="60" hidden="1" spans="2:13">
      <c r="B60" s="156" t="s">
        <v>3242</v>
      </c>
      <c r="C60" s="156" t="s">
        <v>3241</v>
      </c>
      <c r="D60" s="158" t="s">
        <v>3243</v>
      </c>
      <c r="E60" s="158" t="s">
        <v>3242</v>
      </c>
      <c r="F60" s="158" t="s">
        <v>3251</v>
      </c>
      <c r="G60" s="158" t="s">
        <v>3260</v>
      </c>
      <c r="H60" s="158" t="s">
        <v>3243</v>
      </c>
      <c r="I60" s="159" t="s">
        <v>3242</v>
      </c>
      <c r="J60" s="159" t="s">
        <v>3243</v>
      </c>
      <c r="K60" s="159" t="s">
        <v>3243</v>
      </c>
      <c r="L60" s="159" t="s">
        <v>3243</v>
      </c>
      <c r="M60" s="159" t="s">
        <v>3242</v>
      </c>
    </row>
    <row r="61" hidden="1" spans="2:13">
      <c r="B61" s="159" t="s">
        <v>3243</v>
      </c>
      <c r="C61" s="159" t="s">
        <v>3257</v>
      </c>
      <c r="D61" s="159" t="s">
        <v>3241</v>
      </c>
      <c r="E61" s="158" t="s">
        <v>3242</v>
      </c>
      <c r="F61" s="158" t="s">
        <v>3243</v>
      </c>
      <c r="G61" s="158" t="s">
        <v>3244</v>
      </c>
      <c r="H61" s="158" t="s">
        <v>3243</v>
      </c>
      <c r="I61" s="158" t="s">
        <v>3245</v>
      </c>
      <c r="J61" s="159" t="s">
        <v>3243</v>
      </c>
      <c r="K61" s="159" t="s">
        <v>3242</v>
      </c>
      <c r="L61" s="159" t="s">
        <v>3247</v>
      </c>
      <c r="M61" s="156" t="s">
        <v>3248</v>
      </c>
    </row>
    <row r="62" hidden="1" spans="2:13">
      <c r="B62" s="156" t="s">
        <v>3243</v>
      </c>
      <c r="C62" s="156" t="s">
        <v>3242</v>
      </c>
      <c r="D62" s="156" t="s">
        <v>3243</v>
      </c>
      <c r="E62" s="156" t="s">
        <v>3249</v>
      </c>
    </row>
    <row r="63" hidden="1"/>
    <row r="64" hidden="1" spans="2:13">
      <c r="B64" s="1" t="s">
        <v>3263</v>
      </c>
    </row>
    <row r="65" hidden="1" spans="2:13">
      <c r="B65" s="156" t="s">
        <v>3241</v>
      </c>
      <c r="C65" s="157" t="s">
        <v>3242</v>
      </c>
      <c r="D65" s="157" t="s">
        <v>3243</v>
      </c>
      <c r="E65" s="157" t="s">
        <v>3242</v>
      </c>
      <c r="F65" s="157" t="s">
        <v>3243</v>
      </c>
      <c r="G65" s="157" t="s">
        <v>3242</v>
      </c>
      <c r="H65" s="156" t="s">
        <v>3243</v>
      </c>
      <c r="I65" s="156" t="s">
        <v>3243</v>
      </c>
      <c r="J65" s="156" t="s">
        <v>3242</v>
      </c>
      <c r="K65" s="156" t="s">
        <v>3243</v>
      </c>
      <c r="L65" s="156" t="s">
        <v>3243</v>
      </c>
      <c r="M65" s="156" t="s">
        <v>3243</v>
      </c>
    </row>
    <row r="66" hidden="1" spans="2:13">
      <c r="B66" s="159" t="s">
        <v>3242</v>
      </c>
      <c r="C66" s="159" t="s">
        <v>3241</v>
      </c>
      <c r="D66" s="158" t="s">
        <v>3243</v>
      </c>
      <c r="E66" s="158" t="s">
        <v>3242</v>
      </c>
      <c r="F66" s="158" t="s">
        <v>3243</v>
      </c>
      <c r="G66" s="158" t="s">
        <v>3242</v>
      </c>
      <c r="H66" s="158" t="s">
        <v>3243</v>
      </c>
      <c r="I66" s="159" t="s">
        <v>3242</v>
      </c>
      <c r="J66" s="159" t="s">
        <v>3243</v>
      </c>
      <c r="K66" s="159" t="s">
        <v>3243</v>
      </c>
      <c r="L66" s="159" t="s">
        <v>3257</v>
      </c>
      <c r="M66" s="159" t="s">
        <v>3242</v>
      </c>
    </row>
    <row r="67" hidden="1" spans="2:13">
      <c r="B67" s="159" t="s">
        <v>3243</v>
      </c>
      <c r="C67" s="159" t="s">
        <v>3243</v>
      </c>
      <c r="D67" s="159" t="s">
        <v>3241</v>
      </c>
      <c r="E67" s="158" t="s">
        <v>3242</v>
      </c>
      <c r="F67" s="158" t="s">
        <v>3243</v>
      </c>
      <c r="G67" s="158" t="s">
        <v>3242</v>
      </c>
      <c r="H67" s="158" t="s">
        <v>3243</v>
      </c>
      <c r="I67" s="158" t="s">
        <v>3242</v>
      </c>
      <c r="J67" s="159" t="s">
        <v>3247</v>
      </c>
      <c r="K67" s="156" t="s">
        <v>3248</v>
      </c>
      <c r="L67" s="156" t="s">
        <v>3243</v>
      </c>
      <c r="M67" s="156" t="s">
        <v>3242</v>
      </c>
    </row>
    <row r="68" hidden="1" spans="2:13">
      <c r="B68" s="156" t="s">
        <v>3243</v>
      </c>
      <c r="C68" s="156" t="s">
        <v>3249</v>
      </c>
    </row>
  </sheetData>
  <sheetProtection algorithmName="SHA-512" hashValue="kZVc1y/hCgBePolNRC0Kcf0SNmh6iwTue1I8Vz853IoA7DQuokNCFjJy8TqOqKNz9YoehGff9p2E8aQV/kNjvw==" saltValue="aNUapFPZZDXuxrS54K8fuA==" spinCount="100000" sheet="1" objects="1" scenarios="1"/>
  <mergeCells count="2">
    <mergeCell ref="E1:J1"/>
    <mergeCell ref="E2:J2"/>
  </mergeCells>
  <hyperlinks>
    <hyperlink ref="M1" location="配装计算器!A1" display="返回计算器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34"/>
  <sheetViews>
    <sheetView showGridLines="0" tabSelected="1" workbookViewId="0">
      <selection activeCell="H39" sqref="H39"/>
    </sheetView>
  </sheetViews>
  <sheetFormatPr defaultColWidth="9" defaultRowHeight="16.8"/>
  <cols>
    <col min="1" max="1" width="0.5" style="5" customWidth="1"/>
    <col min="2" max="2" width="11.75" style="5" customWidth="1"/>
    <col min="3" max="3" width="10.625" style="5" customWidth="1"/>
    <col min="4" max="4" width="13.125" style="5" customWidth="1"/>
    <col min="5" max="5" width="12.5" style="5" customWidth="1"/>
    <col min="6" max="6" width="11.25" style="5" customWidth="1"/>
    <col min="7" max="7" width="13.625" style="5" customWidth="1"/>
    <col min="8" max="8" width="11.75" style="5" customWidth="1"/>
    <col min="9" max="9" width="10" style="5" customWidth="1"/>
    <col min="10" max="10" width="13.125" style="5" customWidth="1"/>
    <col min="11" max="11" width="12.5" style="5" customWidth="1"/>
    <col min="12" max="12" width="0.75" style="5" customWidth="1"/>
    <col min="13" max="13" width="12.5" style="5" customWidth="1"/>
    <col min="14" max="14" width="8.375" style="5" customWidth="1"/>
    <col min="15" max="15" width="6.75" style="5" customWidth="1"/>
    <col min="16" max="16" width="0.75" style="5" customWidth="1"/>
    <col min="17" max="17" width="9.25" style="5" customWidth="1"/>
    <col min="18" max="18" width="20.125" style="5" customWidth="1"/>
    <col min="19" max="19" width="13.875" style="5" customWidth="1"/>
    <col min="20" max="20" width="11.25" style="5" customWidth="1"/>
    <col min="21" max="21" width="9.25" style="5" customWidth="1"/>
    <col min="22" max="22" width="18" style="5" customWidth="1"/>
    <col min="23" max="23" width="2.875" style="5" customWidth="1"/>
    <col min="24" max="24" width="23.125" style="5" customWidth="1"/>
    <col min="25" max="25" width="18.375" style="5" customWidth="1"/>
    <col min="26" max="26" width="3.125" style="5" customWidth="1"/>
    <col min="27" max="27" width="13.25" style="5" hidden="1" customWidth="1"/>
    <col min="28" max="28" width="13.875" style="5" hidden="1" customWidth="1"/>
    <col min="29" max="29" width="14.5" style="5" hidden="1" customWidth="1"/>
    <col min="30" max="30" width="9.25" style="5" hidden="1" customWidth="1"/>
    <col min="31" max="31" width="6.625" style="5" hidden="1" customWidth="1"/>
    <col min="32" max="32" width="21.25" style="5" hidden="1" customWidth="1"/>
    <col min="33" max="33" width="9" style="5" hidden="1" customWidth="1"/>
    <col min="34" max="16384" width="9" style="5"/>
  </cols>
  <sheetData>
    <row r="1" ht="3" customHeight="1"/>
    <row r="2" spans="2:32">
      <c r="B2" s="6" t="s">
        <v>901</v>
      </c>
      <c r="C2" s="7" t="s">
        <v>1019</v>
      </c>
      <c r="D2" s="7"/>
      <c r="E2" s="8"/>
      <c r="F2" s="9" t="s">
        <v>3264</v>
      </c>
      <c r="G2" s="10"/>
      <c r="H2" s="11" t="s">
        <v>2064</v>
      </c>
      <c r="I2" s="7" t="s">
        <v>439</v>
      </c>
      <c r="J2" s="7"/>
      <c r="K2" s="12"/>
      <c r="M2" s="13" t="s">
        <v>3265</v>
      </c>
      <c r="N2" s="14" t="s">
        <v>44</v>
      </c>
      <c r="O2" s="15"/>
      <c r="Q2" s="16" t="s">
        <v>3266</v>
      </c>
      <c r="R2" s="17"/>
      <c r="S2" s="17"/>
      <c r="T2" s="17"/>
      <c r="U2" s="17"/>
      <c r="V2" s="18"/>
      <c r="X2" s="19" t="s">
        <v>3267</v>
      </c>
      <c r="Y2" s="20"/>
      <c r="AA2" s="21" t="s">
        <v>56</v>
      </c>
      <c r="AB2" s="22" t="s">
        <v>3268</v>
      </c>
      <c r="AC2" s="23" t="s">
        <v>3269</v>
      </c>
    </row>
    <row r="3" ht="18.35" spans="2:32">
      <c r="B3" s="24" t="s">
        <v>1960</v>
      </c>
      <c r="C3" s="25">
        <v>6</v>
      </c>
      <c r="D3" s="26" t="str">
        <f>REPT("★ ",装备选择!Q2)&amp;REPT("☆ ",MAX(0,装备选择!P2-装备选择!Q2))</f>
        <v>★ ★ ★ ★ ★ ★ </v>
      </c>
      <c r="E3" s="27"/>
      <c r="F3" s="28" t="s">
        <v>3270</v>
      </c>
      <c r="G3" s="29" t="s">
        <v>3269</v>
      </c>
      <c r="H3" s="30" t="s">
        <v>1960</v>
      </c>
      <c r="I3" s="25">
        <v>6</v>
      </c>
      <c r="J3" s="26" t="str">
        <f>REPT("★ ",装备选择!Q5)&amp;REPT("☆ ",MAX(0,装备选择!P5-装备选择!Q5))</f>
        <v>★ ★ ★ ★ ★ ★ </v>
      </c>
      <c r="K3" s="27"/>
      <c r="M3" s="24" t="s">
        <v>66</v>
      </c>
      <c r="N3" s="31">
        <f ca="1">IF($K$30="∞",无穷伤害与收益计算!AE8,伤害与收益计算!AE8)</f>
        <v>0.00308535572982006</v>
      </c>
      <c r="O3" s="32"/>
      <c r="Q3" s="33" t="s">
        <v>2044</v>
      </c>
      <c r="R3" s="34" t="s">
        <v>3271</v>
      </c>
      <c r="S3" s="35" t="s">
        <v>3272</v>
      </c>
      <c r="T3" s="36"/>
      <c r="U3" s="36"/>
      <c r="V3" s="37"/>
      <c r="X3" s="38" t="str">
        <f ca="1">阵眼收益计算!DA10</f>
        <v>万灵阵(96%)</v>
      </c>
      <c r="Y3" s="39">
        <f ca="1">IF($K$30="∞",无穷阵眼收益计算!DB10,阵眼收益计算!DB10)</f>
        <v>0.116823574350334</v>
      </c>
      <c r="AA3" s="40" t="s">
        <v>63</v>
      </c>
      <c r="AB3" s="41">
        <v>99090</v>
      </c>
      <c r="AC3" s="42">
        <v>99090</v>
      </c>
    </row>
    <row r="4" spans="2:32">
      <c r="B4" s="24" t="str">
        <f>装备选择!R2</f>
        <v>攻击孔</v>
      </c>
      <c r="C4" s="41" t="s">
        <v>3273</v>
      </c>
      <c r="D4" s="43" t="s">
        <v>45</v>
      </c>
      <c r="E4" s="44" t="s">
        <v>3274</v>
      </c>
      <c r="F4" s="24" t="s">
        <v>229</v>
      </c>
      <c r="G4" s="45">
        <f ca="1">额外属性!L2</f>
        <v>3039434</v>
      </c>
      <c r="H4" s="30" t="str">
        <f>装备选择!R5</f>
        <v>破招孔</v>
      </c>
      <c r="I4" s="41" t="s">
        <v>3273</v>
      </c>
      <c r="J4" s="43" t="s">
        <v>45</v>
      </c>
      <c r="K4" s="46" t="s">
        <v>3275</v>
      </c>
      <c r="M4" s="24" t="s">
        <v>64</v>
      </c>
      <c r="N4" s="31">
        <f ca="1">IF($K$30="∞",无穷伤害与收益计算!AG8,伤害与收益计算!AG8)</f>
        <v>0.00251559120622175</v>
      </c>
      <c r="O4" s="32"/>
      <c r="Q4" s="33" t="s">
        <v>3276</v>
      </c>
      <c r="R4" s="47" t="s">
        <v>57</v>
      </c>
      <c r="S4" s="48" t="s">
        <v>3277</v>
      </c>
      <c r="T4" s="49"/>
      <c r="U4" s="49" t="s">
        <v>3278</v>
      </c>
      <c r="V4" s="50"/>
      <c r="X4" s="38" t="str">
        <f ca="1">阵眼收益计算!DA11</f>
        <v>凌雪阵(55%)</v>
      </c>
      <c r="Y4" s="39">
        <f ca="1">IF($K$30="∞",无穷阵眼收益计算!DB11,阵眼收益计算!DB11)</f>
        <v>0.109369401004999</v>
      </c>
      <c r="AA4" s="40" t="s">
        <v>64</v>
      </c>
      <c r="AB4" s="41">
        <v>8420</v>
      </c>
      <c r="AC4" s="42">
        <v>8420</v>
      </c>
    </row>
    <row r="5" spans="2:32">
      <c r="B5" s="24" t="str">
        <f>装备选择!S2</f>
        <v>无双孔</v>
      </c>
      <c r="C5" s="41" t="s">
        <v>3273</v>
      </c>
      <c r="D5" s="43" t="s">
        <v>2195</v>
      </c>
      <c r="E5" s="51" t="s">
        <v>2210</v>
      </c>
      <c r="F5" s="24" t="s">
        <v>63</v>
      </c>
      <c r="G5" s="45">
        <f ca="1">额外属性!E2</f>
        <v>217750</v>
      </c>
      <c r="H5" s="30" t="str">
        <f>装备选择!S5</f>
        <v>无双孔</v>
      </c>
      <c r="I5" s="41" t="s">
        <v>3273</v>
      </c>
      <c r="J5" s="43" t="s">
        <v>2195</v>
      </c>
      <c r="K5" s="52" t="s">
        <v>2211</v>
      </c>
      <c r="M5" s="24" t="s">
        <v>2657</v>
      </c>
      <c r="N5" s="31">
        <f ca="1">IF($K$30="∞",无穷伤害与收益计算!AF8,伤害与收益计算!AF8)</f>
        <v>0.00183902368432838</v>
      </c>
      <c r="O5" s="32"/>
      <c r="Q5" s="21" t="s">
        <v>3279</v>
      </c>
      <c r="R5" s="53"/>
      <c r="S5" s="24" t="s">
        <v>2604</v>
      </c>
      <c r="T5" s="41" t="s">
        <v>2606</v>
      </c>
      <c r="U5" s="43" t="s">
        <v>2618</v>
      </c>
      <c r="V5" s="42">
        <v>100</v>
      </c>
      <c r="X5" s="38" t="str">
        <f ca="1">阵眼收益计算!DA12</f>
        <v>万灵阵(80%)</v>
      </c>
      <c r="Y5" s="39">
        <f ca="1">IF($K$30="∞",无穷阵眼收益计算!DB12,阵眼收益计算!DB12)</f>
        <v>0.107791146097338</v>
      </c>
      <c r="AA5" s="40" t="s">
        <v>65</v>
      </c>
      <c r="AB5" s="41">
        <v>44</v>
      </c>
      <c r="AC5" s="42">
        <v>44</v>
      </c>
    </row>
    <row r="6" ht="17.55" spans="2:32">
      <c r="B6" s="54" t="s">
        <v>1963</v>
      </c>
      <c r="C6" s="55" t="str">
        <f>装备选择!U2</f>
        <v>活动</v>
      </c>
      <c r="D6" s="55"/>
      <c r="E6" s="56"/>
      <c r="F6" s="24" t="s">
        <v>64</v>
      </c>
      <c r="G6" s="45">
        <f ca="1">额外属性!O2</f>
        <v>8141</v>
      </c>
      <c r="H6" s="57" t="s">
        <v>1963</v>
      </c>
      <c r="I6" s="55" t="str">
        <f>装备选择!U5</f>
        <v>副本</v>
      </c>
      <c r="J6" s="55"/>
      <c r="K6" s="58"/>
      <c r="M6" s="24" t="s">
        <v>7</v>
      </c>
      <c r="N6" s="31">
        <f ca="1">IF($K$30="∞",无穷伤害与收益计算!AL8,伤害与收益计算!AL8)</f>
        <v>0.00218981028372108</v>
      </c>
      <c r="O6" s="32"/>
      <c r="Q6" s="24" t="s">
        <v>2515</v>
      </c>
      <c r="R6" s="59" t="s">
        <v>2516</v>
      </c>
      <c r="S6" s="24" t="s">
        <v>2611</v>
      </c>
      <c r="T6" s="41" t="s">
        <v>2611</v>
      </c>
      <c r="U6" s="43" t="s">
        <v>2617</v>
      </c>
      <c r="V6" s="42">
        <v>100</v>
      </c>
      <c r="X6" s="38" t="str">
        <f ca="1">阵眼收益计算!DA13</f>
        <v>藏剑阵(阵眼&amp;T闪避15%)</v>
      </c>
      <c r="Y6" s="39">
        <f ca="1">IF($K$30="∞",无穷阵眼收益计算!DB13,阵眼收益计算!DB13)</f>
        <v>0.105087572945626</v>
      </c>
      <c r="AA6" s="40" t="s">
        <v>3280</v>
      </c>
      <c r="AB6" s="41">
        <v>30224</v>
      </c>
      <c r="AC6" s="42">
        <v>30876</v>
      </c>
    </row>
    <row r="7" spans="2:32">
      <c r="B7" s="6" t="s">
        <v>2053</v>
      </c>
      <c r="C7" s="7" t="s">
        <v>1236</v>
      </c>
      <c r="D7" s="7"/>
      <c r="E7" s="8"/>
      <c r="F7" s="24" t="s">
        <v>3280</v>
      </c>
      <c r="G7" s="45">
        <f ca="1">额外属性!U2</f>
        <v>66566</v>
      </c>
      <c r="H7" s="11" t="s">
        <v>2070</v>
      </c>
      <c r="I7" s="7" t="s">
        <v>888</v>
      </c>
      <c r="J7" s="7"/>
      <c r="K7" s="12"/>
      <c r="M7" s="24" t="s">
        <v>9</v>
      </c>
      <c r="N7" s="31">
        <f ca="1">IF($K$30="∞",无穷伤害与收益计算!AN8,伤害与收益计算!AN8)</f>
        <v>0.00675038509460929</v>
      </c>
      <c r="O7" s="32"/>
      <c r="Q7" s="24" t="s">
        <v>2519</v>
      </c>
      <c r="R7" s="59" t="s">
        <v>2524</v>
      </c>
      <c r="S7" s="24" t="s">
        <v>2038</v>
      </c>
      <c r="T7" s="41" t="s">
        <v>2594</v>
      </c>
      <c r="U7" s="43" t="s">
        <v>2621</v>
      </c>
      <c r="V7" s="42">
        <v>100</v>
      </c>
      <c r="X7" s="38" t="str">
        <f ca="1">阵眼收益计算!DA14</f>
        <v>刀宗阵</v>
      </c>
      <c r="Y7" s="39">
        <f ca="1">IF($K$30="∞",无穷阵眼收益计算!DB14,阵眼收益计算!DB14)</f>
        <v>0.103251273837351</v>
      </c>
      <c r="AA7" s="40" t="s">
        <v>3281</v>
      </c>
      <c r="AB7" s="41">
        <v>4794</v>
      </c>
      <c r="AC7" s="42">
        <v>5862</v>
      </c>
    </row>
    <row r="8" ht="17.6" spans="2:32">
      <c r="B8" s="24" t="s">
        <v>1960</v>
      </c>
      <c r="C8" s="25">
        <v>6</v>
      </c>
      <c r="D8" s="26" t="str">
        <f>REPT("★ ",装备选择!Q3)&amp;REPT("☆ ",MAX(0,装备选择!P3-装备选择!Q3))</f>
        <v>★ ★ ★ ★ ★ ★ </v>
      </c>
      <c r="E8" s="27"/>
      <c r="F8" s="24" t="s">
        <v>2007</v>
      </c>
      <c r="G8" s="45">
        <f ca="1">额外属性!V2</f>
        <v>81218</v>
      </c>
      <c r="H8" s="30" t="s">
        <v>1960</v>
      </c>
      <c r="I8" s="25">
        <v>6</v>
      </c>
      <c r="J8" s="26" t="str">
        <f>REPT("★ ",装备选择!Q6)&amp;REPT("☆ ",MAX(0,装备选择!P6-装备选择!Q6))</f>
        <v>★ ★ ★ ★ ★ ★ </v>
      </c>
      <c r="K8" s="27"/>
      <c r="M8" s="24" t="s">
        <v>28</v>
      </c>
      <c r="N8" s="31">
        <f ca="1">IF($K$30="∞",无穷伤害与收益计算!AO8,伤害与收益计算!AO8)</f>
        <v>0.00434867011673728</v>
      </c>
      <c r="O8" s="32"/>
      <c r="Q8" s="24" t="s">
        <v>2531</v>
      </c>
      <c r="R8" s="59" t="s">
        <v>2532</v>
      </c>
      <c r="S8" s="24" t="s">
        <v>3282</v>
      </c>
      <c r="T8" s="41">
        <v>100</v>
      </c>
      <c r="U8" s="43" t="s">
        <v>2623</v>
      </c>
      <c r="V8" s="42">
        <v>100</v>
      </c>
      <c r="X8" s="38" t="str">
        <f ca="1">阵眼收益计算!DA15</f>
        <v>丐帮阵(5层)</v>
      </c>
      <c r="Y8" s="39">
        <f ca="1">IF($K$30="∞",无穷阵眼收益计算!DB15,阵眼收益计算!DB15)</f>
        <v>0.10025232834519</v>
      </c>
      <c r="AA8" s="40" t="s">
        <v>3283</v>
      </c>
      <c r="AB8" s="41">
        <v>7334</v>
      </c>
      <c r="AC8" s="42">
        <v>9770</v>
      </c>
    </row>
    <row r="9" spans="2:32">
      <c r="B9" s="24" t="str">
        <f>装备选择!R3</f>
        <v>会心孔</v>
      </c>
      <c r="C9" s="41" t="s">
        <v>3273</v>
      </c>
      <c r="D9" s="43" t="s">
        <v>45</v>
      </c>
      <c r="E9" s="44" t="s">
        <v>3284</v>
      </c>
      <c r="F9" s="24" t="s">
        <v>69</v>
      </c>
      <c r="G9" s="45" t="str">
        <f ca="1">额外属性!AX2&amp;"~"&amp;额外属性!AY2</f>
        <v>14648~24413</v>
      </c>
      <c r="H9" s="30" t="str">
        <f>装备选择!R6</f>
        <v>会心孔</v>
      </c>
      <c r="I9" s="41" t="s">
        <v>3273</v>
      </c>
      <c r="J9" s="43" t="s">
        <v>45</v>
      </c>
      <c r="K9" s="46" t="s">
        <v>3275</v>
      </c>
      <c r="M9" s="24" t="s">
        <v>34</v>
      </c>
      <c r="N9" s="31">
        <f ca="1">IF($K$30="∞",无穷伤害与收益计算!AP8,伤害与收益计算!AP8)</f>
        <v>0.00403739031299974</v>
      </c>
      <c r="O9" s="32"/>
      <c r="Q9" s="24" t="s">
        <v>2535</v>
      </c>
      <c r="R9" s="59" t="s">
        <v>2540</v>
      </c>
      <c r="S9" s="24" t="s">
        <v>2609</v>
      </c>
      <c r="T9" s="41">
        <v>100</v>
      </c>
      <c r="U9" s="43" t="s">
        <v>2625</v>
      </c>
      <c r="V9" s="42">
        <v>100</v>
      </c>
      <c r="X9" s="38" t="str">
        <f ca="1">阵眼收益计算!DA16</f>
        <v>藏剑阵</v>
      </c>
      <c r="Y9" s="39">
        <f ca="1">IF($K$30="∞",无穷阵眼收益计算!DB16,阵眼收益计算!DB16)</f>
        <v>0.0978994559977795</v>
      </c>
      <c r="AA9" s="40" t="s">
        <v>3285</v>
      </c>
      <c r="AB9" s="41">
        <v>52905</v>
      </c>
      <c r="AC9" s="42">
        <f>52905</f>
        <v>52905</v>
      </c>
    </row>
    <row r="10" ht="17.55" spans="2:32">
      <c r="B10" s="24" t="str">
        <f>装备选择!S3</f>
        <v>会效孔</v>
      </c>
      <c r="C10" s="41" t="s">
        <v>3273</v>
      </c>
      <c r="D10" s="43" t="s">
        <v>2195</v>
      </c>
      <c r="E10" s="51" t="s">
        <v>2210</v>
      </c>
      <c r="F10" s="24" t="s">
        <v>7</v>
      </c>
      <c r="G10" s="60">
        <f ca="1">额外属性!Y2</f>
        <v>0.6517</v>
      </c>
      <c r="H10" s="30" t="str">
        <f>装备选择!S6</f>
        <v>无双孔</v>
      </c>
      <c r="I10" s="41" t="s">
        <v>3273</v>
      </c>
      <c r="J10" s="43" t="s">
        <v>3286</v>
      </c>
      <c r="K10" s="61"/>
      <c r="M10" s="54" t="s">
        <v>21</v>
      </c>
      <c r="N10" s="62">
        <f ca="1">IF($K$30="∞",无穷伤害与收益计算!AQ8,伤害与收益计算!AQ8)</f>
        <v>0.00390633035250588</v>
      </c>
      <c r="O10" s="63"/>
      <c r="Q10" s="24" t="s">
        <v>2547</v>
      </c>
      <c r="R10" s="59" t="s">
        <v>2548</v>
      </c>
      <c r="S10" s="24" t="s">
        <v>3287</v>
      </c>
      <c r="T10" s="41">
        <v>100</v>
      </c>
      <c r="U10" s="64"/>
      <c r="V10" s="65"/>
      <c r="X10" s="38" t="str">
        <f ca="1">阵眼收益计算!DA17</f>
        <v>蓬莱阵</v>
      </c>
      <c r="Y10" s="39">
        <f ca="1">IF($K$30="∞",无穷阵眼收益计算!DB17,阵眼收益计算!DB17)</f>
        <v>0.0957798817245905</v>
      </c>
      <c r="AA10" s="40" t="s">
        <v>3288</v>
      </c>
      <c r="AB10" s="41">
        <v>1463</v>
      </c>
      <c r="AC10" s="42">
        <v>1463</v>
      </c>
    </row>
    <row r="11" ht="17.55" spans="2:32">
      <c r="B11" s="54" t="s">
        <v>1963</v>
      </c>
      <c r="C11" s="55" t="str">
        <f>装备选择!U3</f>
        <v>兑换牌</v>
      </c>
      <c r="D11" s="55"/>
      <c r="E11" s="56"/>
      <c r="F11" s="24" t="s">
        <v>3289</v>
      </c>
      <c r="G11" s="60">
        <f ca="1">额外属性!AB2</f>
        <v>1.9371</v>
      </c>
      <c r="H11" s="57" t="s">
        <v>1963</v>
      </c>
      <c r="I11" s="55" t="str">
        <f>装备选择!U6</f>
        <v>副本</v>
      </c>
      <c r="J11" s="55"/>
      <c r="K11" s="58"/>
      <c r="Q11" s="24" t="s">
        <v>2550</v>
      </c>
      <c r="R11" s="66" t="s">
        <v>2552</v>
      </c>
      <c r="S11" s="24" t="s">
        <v>3290</v>
      </c>
      <c r="T11" s="41">
        <v>100</v>
      </c>
      <c r="U11" s="64"/>
      <c r="V11" s="65"/>
      <c r="X11" s="38" t="str">
        <f ca="1">阵眼收益计算!DA18</f>
        <v>天策阵</v>
      </c>
      <c r="Y11" s="39">
        <f ca="1">IF($K$30="∞",无穷阵眼收益计算!DB18,阵眼收益计算!DB18)</f>
        <v>0.0904900996586133</v>
      </c>
      <c r="AA11" s="40" t="s">
        <v>3291</v>
      </c>
      <c r="AB11" s="41">
        <v>18115</v>
      </c>
      <c r="AC11" s="42">
        <v>18115</v>
      </c>
    </row>
    <row r="12" spans="2:32">
      <c r="B12" s="6" t="s">
        <v>1471</v>
      </c>
      <c r="C12" s="7" t="s">
        <v>1645</v>
      </c>
      <c r="D12" s="7"/>
      <c r="E12" s="8"/>
      <c r="F12" s="24" t="s">
        <v>28</v>
      </c>
      <c r="G12" s="60">
        <f ca="1">额外属性!AF2/破防系数</f>
        <v>0.376464434035412</v>
      </c>
      <c r="H12" s="11" t="s">
        <v>1353</v>
      </c>
      <c r="I12" s="7" t="s">
        <v>1449</v>
      </c>
      <c r="J12" s="7"/>
      <c r="K12" s="12"/>
      <c r="M12" s="48" t="s">
        <v>3292</v>
      </c>
      <c r="N12" s="49"/>
      <c r="O12" s="50"/>
      <c r="Q12" s="24" t="s">
        <v>2553</v>
      </c>
      <c r="R12" s="66" t="s">
        <v>2152</v>
      </c>
      <c r="S12" s="24" t="s">
        <v>2615</v>
      </c>
      <c r="T12" s="41">
        <v>1</v>
      </c>
      <c r="U12" s="67"/>
      <c r="V12" s="68"/>
      <c r="X12" s="38" t="str">
        <f ca="1">阵眼收益计算!DA19</f>
        <v>天罗阵</v>
      </c>
      <c r="Y12" s="39">
        <f ca="1">IF($K$30="∞",无穷阵眼收益计算!DB19,阵眼收益计算!DB19)</f>
        <v>0.0875617019736379</v>
      </c>
      <c r="AA12" s="40" t="s">
        <v>3293</v>
      </c>
      <c r="AB12" s="41">
        <v>25498</v>
      </c>
      <c r="AC12" s="42">
        <v>25498</v>
      </c>
    </row>
    <row r="13" ht="17.6" spans="2:32">
      <c r="B13" s="24" t="s">
        <v>1960</v>
      </c>
      <c r="C13" s="25">
        <v>6</v>
      </c>
      <c r="D13" s="26" t="str">
        <f>REPT("★ ",装备选择!Q4)&amp;REPT("☆ ",MAX(0,装备选择!P4-装备选择!Q4))</f>
        <v>★ ★ ★ ★ ★ ★ </v>
      </c>
      <c r="E13" s="27"/>
      <c r="F13" s="24" t="s">
        <v>3294</v>
      </c>
      <c r="G13" s="45">
        <f ca="1">额外属性!AF2</f>
        <v>85065</v>
      </c>
      <c r="H13" s="30" t="s">
        <v>1960</v>
      </c>
      <c r="I13" s="25">
        <v>6</v>
      </c>
      <c r="J13" s="26" t="str">
        <f>REPT("★ ",装备选择!Q7)&amp;REPT("☆ ",MAX(0,装备选择!P7-装备选择!Q7))</f>
        <v>★ ★ ★ ★ ★ ★ </v>
      </c>
      <c r="K13" s="27"/>
      <c r="M13" s="24" t="s">
        <v>3295</v>
      </c>
      <c r="N13" s="69" t="str">
        <f>技能数据库!AA26</f>
        <v>叠峰意</v>
      </c>
      <c r="O13" s="70"/>
      <c r="Q13" s="24" t="s">
        <v>2568</v>
      </c>
      <c r="R13" s="66" t="s">
        <v>2567</v>
      </c>
      <c r="S13" s="24" t="s">
        <v>2598</v>
      </c>
      <c r="T13" s="66">
        <v>1</v>
      </c>
      <c r="U13" s="21" t="s">
        <v>3296</v>
      </c>
      <c r="V13" s="23"/>
      <c r="X13" s="38" t="str">
        <f ca="1">阵眼收益计算!DA20</f>
        <v>剑纯阵(5层)</v>
      </c>
      <c r="Y13" s="39">
        <f ca="1">IF($K$30="∞",无穷阵眼收益计算!DB20,阵眼收益计算!DB20)</f>
        <v>0.0834927554354592</v>
      </c>
      <c r="AA13" s="40" t="s">
        <v>3297</v>
      </c>
      <c r="AB13" s="41">
        <v>70991</v>
      </c>
      <c r="AC13" s="42">
        <v>70991</v>
      </c>
    </row>
    <row r="14" ht="17.55" spans="2:32">
      <c r="B14" s="24" t="str">
        <f>装备选择!R4</f>
        <v>破防孔</v>
      </c>
      <c r="C14" s="41" t="s">
        <v>3273</v>
      </c>
      <c r="D14" s="43" t="s">
        <v>45</v>
      </c>
      <c r="E14" s="44" t="s">
        <v>3284</v>
      </c>
      <c r="F14" s="24" t="s">
        <v>34</v>
      </c>
      <c r="G14" s="45">
        <f ca="1">额外属性!AJ2</f>
        <v>72512</v>
      </c>
      <c r="H14" s="30" t="str">
        <f>装备选择!R7</f>
        <v>攻击孔</v>
      </c>
      <c r="I14" s="41" t="s">
        <v>3273</v>
      </c>
      <c r="J14" s="43" t="s">
        <v>45</v>
      </c>
      <c r="K14" s="46" t="s">
        <v>3274</v>
      </c>
      <c r="M14" s="24" t="s">
        <v>3298</v>
      </c>
      <c r="N14" s="69" t="str">
        <f>技能数据库!AB26</f>
        <v>怜光</v>
      </c>
      <c r="O14" s="70"/>
      <c r="Q14" s="24"/>
      <c r="R14" s="66" t="s">
        <v>2570</v>
      </c>
      <c r="S14" s="54" t="s">
        <v>2597</v>
      </c>
      <c r="T14" s="71">
        <v>0</v>
      </c>
      <c r="U14" s="54" t="s">
        <v>1886</v>
      </c>
      <c r="V14" s="72" t="s">
        <v>3299</v>
      </c>
      <c r="X14" s="38" t="str">
        <f ca="1">阵眼收益计算!DA21</f>
        <v>剑纯阵(4层)</v>
      </c>
      <c r="Y14" s="39">
        <f ca="1">IF($K$30="∞",无穷阵眼收益计算!DB21,阵眼收益计算!DB21)</f>
        <v>0.0803691415278334</v>
      </c>
      <c r="AA14" s="40" t="s">
        <v>3300</v>
      </c>
      <c r="AB14" s="41">
        <v>7203</v>
      </c>
      <c r="AC14" s="42">
        <f>7203</f>
        <v>7203</v>
      </c>
    </row>
    <row r="15" ht="17.55" spans="2:32">
      <c r="B15" s="24" t="str">
        <f>装备选择!S4</f>
        <v>攻击孔</v>
      </c>
      <c r="C15" s="41" t="s">
        <v>3273</v>
      </c>
      <c r="D15" s="43" t="s">
        <v>2195</v>
      </c>
      <c r="E15" s="51" t="s">
        <v>2211</v>
      </c>
      <c r="F15" s="24" t="s">
        <v>21</v>
      </c>
      <c r="G15" s="60">
        <f ca="1">额外属性!AO2</f>
        <v>0.8566</v>
      </c>
      <c r="H15" s="30" t="str">
        <f>装备选择!S7</f>
        <v>破防孔</v>
      </c>
      <c r="I15" s="41" t="s">
        <v>3273</v>
      </c>
      <c r="J15" s="43" t="s">
        <v>2195</v>
      </c>
      <c r="K15" s="52" t="s">
        <v>2211</v>
      </c>
      <c r="M15" s="24" t="s">
        <v>3301</v>
      </c>
      <c r="N15" s="69" t="str">
        <f>技能数据库!AC26</f>
        <v>层云</v>
      </c>
      <c r="O15" s="70"/>
      <c r="Q15" s="24"/>
      <c r="R15" s="42" t="s">
        <v>2311</v>
      </c>
      <c r="S15" s="73" t="s">
        <v>3302</v>
      </c>
      <c r="T15" s="74"/>
      <c r="U15" s="21" t="s">
        <v>3303</v>
      </c>
      <c r="V15" s="23"/>
      <c r="X15" s="38" t="str">
        <f ca="1">阵眼收益计算!DA22</f>
        <v>惊羽阵</v>
      </c>
      <c r="Y15" s="39">
        <f ca="1">IF($K$30="∞",无穷阵眼收益计算!DB22,阵眼收益计算!DB22)</f>
        <v>0.0802392855640719</v>
      </c>
      <c r="AA15" s="75" t="s">
        <v>1978</v>
      </c>
      <c r="AB15" s="76">
        <v>377994</v>
      </c>
      <c r="AC15" s="77"/>
    </row>
    <row r="16" ht="17.55" spans="2:32">
      <c r="B16" s="54" t="s">
        <v>1963</v>
      </c>
      <c r="C16" s="55" t="str">
        <f>装备选择!U4</f>
        <v>副本</v>
      </c>
      <c r="D16" s="55"/>
      <c r="E16" s="56"/>
      <c r="F16" s="24" t="s">
        <v>3297</v>
      </c>
      <c r="G16" s="45">
        <f ca="1">额外属性!AM2</f>
        <v>114219</v>
      </c>
      <c r="H16" s="57" t="s">
        <v>1963</v>
      </c>
      <c r="I16" s="55" t="str">
        <f>装备选择!U7</f>
        <v>兑换牌</v>
      </c>
      <c r="J16" s="55"/>
      <c r="K16" s="58"/>
      <c r="M16" s="24" t="s">
        <v>3304</v>
      </c>
      <c r="N16" s="69" t="str">
        <f>技能数据库!AD26</f>
        <v>岱宗</v>
      </c>
      <c r="O16" s="70"/>
      <c r="Q16" s="24" t="s">
        <v>2572</v>
      </c>
      <c r="R16" s="42" t="s">
        <v>2576</v>
      </c>
      <c r="S16" s="24" t="s">
        <v>2589</v>
      </c>
      <c r="T16" s="66">
        <v>1</v>
      </c>
      <c r="U16" s="24" t="s">
        <v>2601</v>
      </c>
      <c r="V16" s="42">
        <v>0</v>
      </c>
      <c r="X16" s="38" t="str">
        <f ca="1">阵眼收益计算!DA23</f>
        <v>剑纯阵(3层)</v>
      </c>
      <c r="Y16" s="39">
        <f ca="1">IF($K$30="∞",无穷阵眼收益计算!DB23,阵眼收益计算!DB23)</f>
        <v>0.0772258940442259</v>
      </c>
      <c r="AA16" s="78" t="s">
        <v>3305</v>
      </c>
      <c r="AB16" s="79"/>
      <c r="AC16" s="79"/>
      <c r="AD16" s="79"/>
      <c r="AE16" s="79"/>
      <c r="AF16" s="80"/>
    </row>
    <row r="17" spans="2:32">
      <c r="B17" s="6" t="s">
        <v>1252</v>
      </c>
      <c r="C17" s="7" t="s">
        <v>1314</v>
      </c>
      <c r="D17" s="7"/>
      <c r="E17" s="8"/>
      <c r="F17" s="81" t="s">
        <v>67</v>
      </c>
      <c r="G17" s="82">
        <f ca="1">ROUND(INT(G18*1024/急速系数)/1024,4)</f>
        <v>0.0684</v>
      </c>
      <c r="H17" s="11" t="s">
        <v>1980</v>
      </c>
      <c r="I17" s="7" t="s">
        <v>578</v>
      </c>
      <c r="J17" s="7"/>
      <c r="K17" s="12"/>
      <c r="M17" s="24" t="s">
        <v>3306</v>
      </c>
      <c r="N17" s="69" t="str">
        <f>技能数据库!AF26</f>
        <v>造化</v>
      </c>
      <c r="O17" s="70"/>
      <c r="Q17" s="24" t="s">
        <v>2581</v>
      </c>
      <c r="R17" s="42" t="s">
        <v>2582</v>
      </c>
      <c r="S17" s="24" t="s">
        <v>2591</v>
      </c>
      <c r="T17" s="66">
        <v>1</v>
      </c>
      <c r="U17" s="24" t="s">
        <v>2602</v>
      </c>
      <c r="V17" s="42">
        <v>0</v>
      </c>
      <c r="X17" s="38" t="str">
        <f ca="1">阵眼收益计算!DA24</f>
        <v>无界阵</v>
      </c>
      <c r="Y17" s="39">
        <f ca="1">IF($K$30="∞",无穷阵眼收益计算!DB24,阵眼收益计算!DB24)</f>
        <v>0.0759218461934861</v>
      </c>
      <c r="AA17" s="75" t="s">
        <v>3307</v>
      </c>
      <c r="AB17" s="83" t="s">
        <v>3308</v>
      </c>
      <c r="AC17" s="66" t="s">
        <v>2152</v>
      </c>
      <c r="AD17" s="83" t="s">
        <v>3309</v>
      </c>
      <c r="AE17" s="84" t="s">
        <v>1471</v>
      </c>
      <c r="AF17" s="42" t="s">
        <v>3310</v>
      </c>
    </row>
    <row r="18" ht="17.6" spans="2:32">
      <c r="B18" s="24" t="s">
        <v>1960</v>
      </c>
      <c r="C18" s="25">
        <v>6</v>
      </c>
      <c r="D18" s="26" t="str">
        <f>REPT("★ ",装备选择!Q8)&amp;REPT("☆ ",MAX(0,装备选择!P8-装备选择!Q8))</f>
        <v>★ ★ ★ ★ ★ ★ </v>
      </c>
      <c r="E18" s="27"/>
      <c r="F18" s="24" t="s">
        <v>3300</v>
      </c>
      <c r="G18" s="45">
        <f ca="1">额外属性!AR2</f>
        <v>14505</v>
      </c>
      <c r="H18" s="30" t="s">
        <v>1960</v>
      </c>
      <c r="I18" s="25">
        <v>6</v>
      </c>
      <c r="J18" s="26" t="str">
        <f>REPT("★ ",装备选择!Q10)&amp;REPT("☆ ",MAX(0,装备选择!P10-装备选择!Q10))</f>
        <v>★ ★ ★ ★ ★ ★ </v>
      </c>
      <c r="K18" s="27"/>
      <c r="M18" s="24" t="s">
        <v>3311</v>
      </c>
      <c r="N18" s="69" t="str">
        <f>技能数据库!AG26</f>
        <v>雾锁</v>
      </c>
      <c r="O18" s="70"/>
      <c r="Q18" s="24" t="s">
        <v>2584</v>
      </c>
      <c r="R18" s="42">
        <v>1</v>
      </c>
      <c r="S18" s="24" t="s">
        <v>2595</v>
      </c>
      <c r="T18" s="66">
        <v>0</v>
      </c>
      <c r="U18" s="85"/>
      <c r="V18" s="65"/>
      <c r="X18" s="38" t="str">
        <f ca="1">阵眼收益计算!DA25</f>
        <v>霸刀阵</v>
      </c>
      <c r="Y18" s="39">
        <f ca="1">IF($K$30="∞",无穷阵眼收益计算!DB25,阵眼收益计算!DB25)</f>
        <v>0.0726983798937471</v>
      </c>
      <c r="AA18" s="40" t="s">
        <v>3312</v>
      </c>
      <c r="AB18" s="83" t="s">
        <v>2627</v>
      </c>
      <c r="AC18" s="66">
        <v>35300</v>
      </c>
      <c r="AD18" s="83"/>
      <c r="AE18" s="84" t="s">
        <v>2064</v>
      </c>
      <c r="AF18" s="42" t="s">
        <v>3313</v>
      </c>
    </row>
    <row r="19" ht="17.55" spans="2:32">
      <c r="B19" s="24" t="str">
        <f>装备选择!R8</f>
        <v>破招孔</v>
      </c>
      <c r="C19" s="41" t="s">
        <v>3273</v>
      </c>
      <c r="D19" s="43" t="s">
        <v>45</v>
      </c>
      <c r="E19" s="44" t="s">
        <v>3314</v>
      </c>
      <c r="F19" s="24" t="s">
        <v>1978</v>
      </c>
      <c r="G19" s="45">
        <f>装备选择!BS14</f>
        <v>798631</v>
      </c>
      <c r="H19" s="30" t="s">
        <v>3286</v>
      </c>
      <c r="I19" s="86"/>
      <c r="J19" s="43" t="s">
        <v>45</v>
      </c>
      <c r="K19" s="46" t="s">
        <v>3315</v>
      </c>
      <c r="M19" s="81" t="s">
        <v>3316</v>
      </c>
      <c r="N19" s="69" t="str">
        <f>技能数据库!AH26</f>
        <v>山倾</v>
      </c>
      <c r="O19" s="70"/>
      <c r="Q19" s="24" t="s">
        <v>2585</v>
      </c>
      <c r="R19" s="42" t="s">
        <v>2586</v>
      </c>
      <c r="S19" s="87" t="s">
        <v>2653</v>
      </c>
      <c r="T19" s="66" t="s">
        <v>2283</v>
      </c>
      <c r="U19" s="85"/>
      <c r="V19" s="65"/>
      <c r="X19" s="38" t="str">
        <f ca="1">阵眼收益计算!DA26</f>
        <v>丐帮阵(0层)</v>
      </c>
      <c r="Y19" s="39">
        <f ca="1">IF($K$30="∞",无穷阵眼收益计算!DB26,阵眼收益计算!DB26)</f>
        <v>0.0506581641081691</v>
      </c>
      <c r="AA19" s="75" t="s">
        <v>3317</v>
      </c>
      <c r="AB19" s="83" t="s">
        <v>2629</v>
      </c>
      <c r="AC19" s="66">
        <v>35300</v>
      </c>
      <c r="AD19" s="83"/>
      <c r="AE19" s="84" t="s">
        <v>2070</v>
      </c>
      <c r="AF19" s="42" t="s">
        <v>3318</v>
      </c>
    </row>
    <row r="20" ht="17.55" spans="2:32">
      <c r="B20" s="54" t="s">
        <v>1963</v>
      </c>
      <c r="C20" s="55" t="str">
        <f>装备选择!U8</f>
        <v>活动</v>
      </c>
      <c r="D20" s="55"/>
      <c r="E20" s="56"/>
      <c r="F20" s="21" t="s">
        <v>3319</v>
      </c>
      <c r="G20" s="23"/>
      <c r="H20" s="57" t="s">
        <v>1963</v>
      </c>
      <c r="I20" s="55" t="str">
        <f>装备选择!U10</f>
        <v>副本</v>
      </c>
      <c r="J20" s="55"/>
      <c r="K20" s="58"/>
      <c r="M20" s="88"/>
      <c r="N20" s="69" t="str">
        <f>技能数据库!AI26</f>
        <v>如风</v>
      </c>
      <c r="O20" s="70"/>
      <c r="Q20" s="81" t="s">
        <v>2588</v>
      </c>
      <c r="R20" s="89">
        <v>1</v>
      </c>
      <c r="S20" s="81" t="str">
        <f>附魔库!E199</f>
        <v>五重覆盖率</v>
      </c>
      <c r="T20" s="90" t="s">
        <v>3320</v>
      </c>
      <c r="U20" s="91"/>
      <c r="V20" s="68"/>
      <c r="X20" s="92" t="str">
        <f ca="1">阵眼收益计算!DA27</f>
        <v>苍云阵(5层)</v>
      </c>
      <c r="Y20" s="93">
        <f ca="1">IF($K$30="∞",无穷阵眼收益计算!DB27,阵眼收益计算!DB27)</f>
        <v>0.0502649884267807</v>
      </c>
      <c r="AA20" s="94"/>
      <c r="AB20" s="83" t="s">
        <v>3321</v>
      </c>
      <c r="AC20" s="66" t="s">
        <v>2152</v>
      </c>
      <c r="AD20" s="83"/>
      <c r="AE20" s="84" t="s">
        <v>1980</v>
      </c>
      <c r="AF20" s="42" t="s">
        <v>2324</v>
      </c>
    </row>
    <row r="21" spans="2:32">
      <c r="B21" s="6" t="s">
        <v>1688</v>
      </c>
      <c r="C21" s="7" t="s">
        <v>1785</v>
      </c>
      <c r="D21" s="7"/>
      <c r="E21" s="8"/>
      <c r="F21" s="40"/>
      <c r="G21" s="95"/>
      <c r="H21" s="11" t="s">
        <v>1981</v>
      </c>
      <c r="I21" s="7" t="s">
        <v>662</v>
      </c>
      <c r="J21" s="7"/>
      <c r="K21" s="12"/>
      <c r="M21" s="96"/>
      <c r="N21" s="97" t="str">
        <f>技能数据库!AJ26</f>
        <v>碧归</v>
      </c>
      <c r="O21" s="98"/>
      <c r="Q21" s="48" t="s">
        <v>3322</v>
      </c>
      <c r="R21" s="49"/>
      <c r="S21" s="49"/>
      <c r="T21" s="49"/>
      <c r="U21" s="49"/>
      <c r="V21" s="50"/>
      <c r="AA21" s="94"/>
      <c r="AB21" s="83" t="s">
        <v>3323</v>
      </c>
      <c r="AC21" s="66" t="s">
        <v>3324</v>
      </c>
      <c r="AD21" s="83"/>
      <c r="AE21" s="84" t="s">
        <v>1981</v>
      </c>
      <c r="AF21" s="42" t="s">
        <v>2324</v>
      </c>
    </row>
    <row r="22" ht="18.35" spans="2:32">
      <c r="B22" s="24" t="s">
        <v>1960</v>
      </c>
      <c r="C22" s="25">
        <v>8</v>
      </c>
      <c r="D22" s="26" t="str">
        <f>REPT("★ ",装备选择!Q9)&amp;REPT("☆ ",MAX(0,装备选择!P9-装备选择!Q9))</f>
        <v>★ ★ ★ ★ ★ ★ ★ ★ </v>
      </c>
      <c r="E22" s="27"/>
      <c r="F22" s="99">
        <f ca="1">IF(K30="∞",ROUND(无穷伤害与收益计算!AD8,0),ROUND(伤害与收益计算!AD8,0))</f>
        <v>14891457</v>
      </c>
      <c r="G22" s="100"/>
      <c r="H22" s="30" t="s">
        <v>1960</v>
      </c>
      <c r="I22" s="25">
        <v>6</v>
      </c>
      <c r="J22" s="26" t="str">
        <f>REPT("★ ",装备选择!Q11)&amp;REPT("☆ ",MAX(0,装备选择!P11-装备选择!Q11))</f>
        <v>★ ★ ★ ★ ★ ★ </v>
      </c>
      <c r="K22" s="27"/>
      <c r="Q22" s="24" t="str">
        <f>IF(SUM(听雷秘籍)&gt;3,"超过上限","听雷")</f>
        <v>听雷</v>
      </c>
      <c r="R22" s="86"/>
      <c r="S22" s="86"/>
      <c r="T22" s="43" t="s">
        <v>2768</v>
      </c>
      <c r="U22" s="86"/>
      <c r="V22" s="61"/>
      <c r="AA22" s="73"/>
      <c r="AB22" s="83" t="s">
        <v>3325</v>
      </c>
      <c r="AC22" s="66" t="s">
        <v>2152</v>
      </c>
      <c r="AD22" s="64"/>
      <c r="AE22" s="101"/>
      <c r="AF22" s="65"/>
    </row>
    <row r="23" spans="2:32">
      <c r="B23" s="24" t="str">
        <f>装备选择!R9</f>
        <v>破防孔</v>
      </c>
      <c r="C23" s="41" t="s">
        <v>3273</v>
      </c>
      <c r="D23" s="43" t="s">
        <v>45</v>
      </c>
      <c r="E23" s="44" t="s">
        <v>3326</v>
      </c>
      <c r="F23" s="99"/>
      <c r="G23" s="100"/>
      <c r="H23" s="30" t="s">
        <v>3286</v>
      </c>
      <c r="I23" s="86"/>
      <c r="J23" s="43" t="s">
        <v>45</v>
      </c>
      <c r="K23" s="46" t="s">
        <v>3315</v>
      </c>
      <c r="M23" s="48" t="str">
        <f ca="1">"循环选择"&amp;IF(AND(技能数计算!AN11&gt;0,COUNTIF(技能数计算!B:B,"*玉山揽云*")=0),"(该循环暂不支持CW)","")</f>
        <v>循环选择</v>
      </c>
      <c r="N23" s="49"/>
      <c r="O23" s="50"/>
      <c r="Q23" s="24"/>
      <c r="R23" s="86"/>
      <c r="S23" s="86"/>
      <c r="T23" s="43"/>
      <c r="U23" s="86"/>
      <c r="V23" s="61"/>
      <c r="AA23" s="75" t="s">
        <v>3327</v>
      </c>
      <c r="AB23" s="83" t="s">
        <v>3328</v>
      </c>
      <c r="AC23" s="66" t="s">
        <v>2209</v>
      </c>
      <c r="AD23" s="64"/>
      <c r="AE23" s="101"/>
      <c r="AF23" s="65"/>
    </row>
    <row r="24" spans="2:32">
      <c r="B24" s="81" t="s">
        <v>1963</v>
      </c>
      <c r="C24" s="102" t="str">
        <f>装备选择!U9</f>
        <v>副本</v>
      </c>
      <c r="D24" s="102"/>
      <c r="E24" s="103"/>
      <c r="F24" s="104"/>
      <c r="G24" s="105"/>
      <c r="H24" s="57" t="s">
        <v>1963</v>
      </c>
      <c r="I24" s="55" t="str">
        <f>装备选择!U11</f>
        <v>副本</v>
      </c>
      <c r="J24" s="55"/>
      <c r="K24" s="58"/>
      <c r="M24" s="54" t="s">
        <v>3237</v>
      </c>
      <c r="N24" s="106" t="s">
        <v>2846</v>
      </c>
      <c r="O24" s="107"/>
      <c r="Q24" s="24" t="str">
        <f>IF(SUM(云飞秘籍)&gt;4,"超过上限","云飞玉皇")</f>
        <v>云飞玉皇</v>
      </c>
      <c r="R24" s="86"/>
      <c r="S24" s="86"/>
      <c r="T24" s="43" t="str">
        <f>IF(SUM(黄龙秘籍)&gt;4,"超过上限","黄龙吐翠")</f>
        <v>黄龙吐翠</v>
      </c>
      <c r="U24" s="86"/>
      <c r="V24" s="61"/>
      <c r="AA24" s="94"/>
      <c r="AB24" s="83" t="s">
        <v>3329</v>
      </c>
      <c r="AC24" s="66" t="s">
        <v>2209</v>
      </c>
      <c r="AD24" s="64"/>
      <c r="AE24" s="101"/>
      <c r="AF24" s="65"/>
    </row>
    <row r="25" ht="18.35" spans="2:32">
      <c r="B25" s="6" t="s">
        <v>1028</v>
      </c>
      <c r="C25" s="7" t="s">
        <v>1166</v>
      </c>
      <c r="D25" s="7"/>
      <c r="E25" s="7"/>
      <c r="F25" s="108" t="str">
        <f>REPT("★ ",装备选择!Q13)&amp;REPT("☆ ",MAX(0,装备选择!P13-装备选择!Q13))</f>
        <v>★ ★ ★ ★ ★ ★ ★ ★ </v>
      </c>
      <c r="G25" s="109"/>
      <c r="H25" s="11" t="s">
        <v>82</v>
      </c>
      <c r="I25" s="7" t="s">
        <v>197</v>
      </c>
      <c r="J25" s="7"/>
      <c r="K25" s="12"/>
      <c r="Q25" s="24"/>
      <c r="R25" s="86"/>
      <c r="S25" s="86"/>
      <c r="T25" s="43"/>
      <c r="U25" s="86"/>
      <c r="V25" s="61"/>
      <c r="AA25" s="73"/>
      <c r="AB25" s="83" t="s">
        <v>3330</v>
      </c>
      <c r="AC25" s="66" t="s">
        <v>2209</v>
      </c>
      <c r="AD25" s="64"/>
      <c r="AE25" s="101"/>
      <c r="AF25" s="65"/>
    </row>
    <row r="26" ht="17.6" spans="2:32">
      <c r="B26" s="24" t="s">
        <v>1825</v>
      </c>
      <c r="C26" s="110" t="s">
        <v>1958</v>
      </c>
      <c r="D26" s="110"/>
      <c r="E26" s="110"/>
      <c r="F26" s="26" t="str">
        <f>REPT("★ ",装备选择!Q14)&amp;REPT("☆ ",MAX(0,装备选择!P14-装备选择!Q14))</f>
        <v>★ ★ ★ ★ ★ ★ ★ ★ </v>
      </c>
      <c r="G26" s="27"/>
      <c r="H26" s="30" t="s">
        <v>1960</v>
      </c>
      <c r="I26" s="25">
        <v>6</v>
      </c>
      <c r="J26" s="26" t="str">
        <f>REPT("★ ",装备选择!Q12)&amp;REPT("☆ ",MAX(0,装备选择!P12-装备选择!Q12))</f>
        <v>★ ★ ★ ★ ★ ★ </v>
      </c>
      <c r="K26" s="27"/>
      <c r="M26" s="48" t="s">
        <v>3331</v>
      </c>
      <c r="N26" s="49"/>
      <c r="O26" s="50"/>
      <c r="Q26" s="24" t="str">
        <f>IF(SUM(风来秘籍)&gt;4,"超过上限","风来吴山")</f>
        <v>风来吴山</v>
      </c>
      <c r="R26" s="86"/>
      <c r="S26" s="86"/>
      <c r="T26" s="43" t="str">
        <f>IF(SUM(鹤归秘籍)&gt;4,"超过上限","鹤归孤山")</f>
        <v>鹤归孤山</v>
      </c>
      <c r="U26" s="86"/>
      <c r="V26" s="61"/>
      <c r="AA26" s="75" t="s">
        <v>2217</v>
      </c>
      <c r="AB26" s="83" t="s">
        <v>3332</v>
      </c>
      <c r="AC26" s="66">
        <v>30200</v>
      </c>
      <c r="AD26" s="64"/>
      <c r="AE26" s="101"/>
      <c r="AF26" s="65"/>
    </row>
    <row r="27" spans="2:32">
      <c r="B27" s="24" t="s">
        <v>1960</v>
      </c>
      <c r="C27" s="25">
        <v>8</v>
      </c>
      <c r="D27" s="43" t="s">
        <v>3333</v>
      </c>
      <c r="E27" s="111" t="s">
        <v>3334</v>
      </c>
      <c r="F27" s="43" t="s">
        <v>3335</v>
      </c>
      <c r="G27" s="61" t="str">
        <f>装备选择!U13</f>
        <v>任务</v>
      </c>
      <c r="H27" s="30" t="str">
        <f>装备选择!R12</f>
        <v>破招孔</v>
      </c>
      <c r="I27" s="41" t="s">
        <v>3273</v>
      </c>
      <c r="J27" s="43" t="s">
        <v>45</v>
      </c>
      <c r="K27" s="46" t="s">
        <v>3336</v>
      </c>
      <c r="M27" s="112" t="str">
        <f ca="1">IF($K$30="∞",无穷伤害与收益计算!BI10,伤害与收益计算!BI10)</f>
        <v>云飞玉皇</v>
      </c>
      <c r="N27" s="113" t="str">
        <f ca="1">IF($K$30="∞",无穷伤害与收益计算!BJ10,伤害与收益计算!BJ10)</f>
        <v>29.6%</v>
      </c>
      <c r="O27" s="114" t="str">
        <f ca="1">IF($K$30="∞","/",伤害与收益计算!BK10)</f>
        <v>154</v>
      </c>
      <c r="Q27" s="24"/>
      <c r="R27" s="86"/>
      <c r="S27" s="86"/>
      <c r="T27" s="43"/>
      <c r="U27" s="86"/>
      <c r="V27" s="61"/>
      <c r="AA27" s="94"/>
      <c r="AB27" s="83" t="s">
        <v>3337</v>
      </c>
      <c r="AC27" s="66" t="s">
        <v>2152</v>
      </c>
      <c r="AD27" s="64"/>
      <c r="AE27" s="101"/>
      <c r="AF27" s="65"/>
    </row>
    <row r="28" ht="17.55" spans="2:32">
      <c r="B28" s="24" t="str">
        <f>IF(装备选择!R13&lt;&gt;"","轻剑:"&amp;装备选择!R13,"")</f>
        <v>轻剑:攻击孔</v>
      </c>
      <c r="C28" s="76" t="s">
        <v>3338</v>
      </c>
      <c r="D28" s="115" t="s">
        <v>3339</v>
      </c>
      <c r="E28" s="116" t="s">
        <v>3334</v>
      </c>
      <c r="F28" s="115" t="s">
        <v>3340</v>
      </c>
      <c r="G28" s="117" t="str">
        <f>装备选择!U14</f>
        <v>任务</v>
      </c>
      <c r="H28" s="118" t="s">
        <v>1963</v>
      </c>
      <c r="I28" s="102" t="str">
        <f>装备选择!U12</f>
        <v>活动</v>
      </c>
      <c r="J28" s="102"/>
      <c r="K28" s="117"/>
      <c r="M28" s="112" t="str">
        <f ca="1">IF($K$30="∞",无穷伤害与收益计算!BI11,伤害与收益计算!BI11)</f>
        <v>破</v>
      </c>
      <c r="N28" s="113" t="str">
        <f ca="1">IF($K$30="∞",无穷伤害与收益计算!BJ11,伤害与收益计算!BJ11)</f>
        <v>25.4%</v>
      </c>
      <c r="O28" s="114" t="str">
        <f ca="1">IF($K$30="∞","/",伤害与收益计算!BK11)</f>
        <v>142</v>
      </c>
      <c r="Q28" s="54"/>
      <c r="R28" s="55"/>
      <c r="S28" s="55"/>
      <c r="T28" s="119"/>
      <c r="U28" s="55"/>
      <c r="V28" s="58"/>
      <c r="AA28" s="94"/>
      <c r="AB28" s="83" t="s">
        <v>3341</v>
      </c>
      <c r="AC28" s="66" t="s">
        <v>3342</v>
      </c>
      <c r="AD28" s="64"/>
      <c r="AE28" s="101"/>
      <c r="AF28" s="65"/>
    </row>
    <row r="29" spans="2:32">
      <c r="B29" s="24" t="str">
        <f>IF(装备选择!R14&lt;&gt;"","重剑:"&amp;装备选择!R14,"")</f>
        <v>重剑:攻击孔</v>
      </c>
      <c r="C29" s="120"/>
      <c r="D29" s="6" t="s">
        <v>3343</v>
      </c>
      <c r="E29" s="121"/>
      <c r="F29" s="121"/>
      <c r="G29" s="122"/>
      <c r="H29" s="6" t="s">
        <v>2204</v>
      </c>
      <c r="I29" s="123">
        <v>0</v>
      </c>
      <c r="J29" s="6" t="s">
        <v>3344</v>
      </c>
      <c r="K29" s="124">
        <v>40</v>
      </c>
      <c r="M29" s="112" t="str">
        <f ca="1">IF($K$30="∞",无穷伤害与收益计算!BI12,伤害与收益计算!BI12)</f>
        <v>夕照雷峰</v>
      </c>
      <c r="N29" s="113" t="str">
        <f ca="1">IF($K$30="∞",无穷伤害与收益计算!BJ12,伤害与收益计算!BJ12)</f>
        <v>12.5%</v>
      </c>
      <c r="O29" s="114" t="str">
        <f ca="1">IF($K$30="∞","/",伤害与收益计算!BK12)</f>
        <v>65</v>
      </c>
      <c r="Q29" s="125" t="s">
        <v>3345</v>
      </c>
      <c r="R29" s="126"/>
      <c r="S29" s="126"/>
      <c r="T29" s="126"/>
      <c r="U29" s="126"/>
      <c r="V29" s="127"/>
      <c r="AA29" s="94"/>
      <c r="AB29" s="83" t="s">
        <v>3346</v>
      </c>
      <c r="AC29" s="66" t="s">
        <v>3342</v>
      </c>
      <c r="AD29" s="64"/>
      <c r="AE29" s="101"/>
      <c r="AF29" s="65"/>
    </row>
    <row r="30" ht="17.55" spans="2:32">
      <c r="B30" s="24" t="str">
        <f>IF(装备选择!S13&lt;&gt;"","轻剑:"&amp;装备选择!S13,"")</f>
        <v>轻剑:身法孔</v>
      </c>
      <c r="C30" s="89" t="s">
        <v>3338</v>
      </c>
      <c r="D30" s="24" t="s">
        <v>3347</v>
      </c>
      <c r="E30" s="41" t="s">
        <v>3348</v>
      </c>
      <c r="F30" s="43" t="s">
        <v>3349</v>
      </c>
      <c r="G30" s="42" t="s">
        <v>3348</v>
      </c>
      <c r="H30" s="24" t="s">
        <v>2205</v>
      </c>
      <c r="I30" s="51">
        <v>43000</v>
      </c>
      <c r="J30" s="24" t="s">
        <v>3350</v>
      </c>
      <c r="K30" s="42" t="s">
        <v>3351</v>
      </c>
      <c r="M30" s="112" t="str">
        <f ca="1">IF($K$30="∞",无穷伤害与收益计算!BI13,伤害与收益计算!BI13)</f>
        <v>断潮</v>
      </c>
      <c r="N30" s="113" t="str">
        <f ca="1">IF($K$30="∞",无穷伤害与收益计算!BJ13,伤害与收益计算!BJ13)</f>
        <v>12.1%</v>
      </c>
      <c r="O30" s="114" t="str">
        <f ca="1">IF($K$30="∞","/",伤害与收益计算!BK13)</f>
        <v>146</v>
      </c>
      <c r="Q30" s="24" t="s">
        <v>1991</v>
      </c>
      <c r="R30" s="41">
        <v>0</v>
      </c>
      <c r="S30" s="43" t="s">
        <v>69</v>
      </c>
      <c r="T30" s="41">
        <v>0</v>
      </c>
      <c r="U30" s="43" t="s">
        <v>2019</v>
      </c>
      <c r="V30" s="42">
        <v>0</v>
      </c>
      <c r="AA30" s="94"/>
      <c r="AB30" s="128" t="s">
        <v>3352</v>
      </c>
      <c r="AC30" s="76">
        <v>30200</v>
      </c>
      <c r="AD30" s="129"/>
      <c r="AE30" s="130"/>
      <c r="AF30" s="131"/>
    </row>
    <row r="31" ht="17.55" spans="2:32">
      <c r="B31" s="24" t="str">
        <f>IF(装备选择!S14&lt;&gt;"","重剑:"&amp;装备选择!S14,"")</f>
        <v>重剑:身法孔</v>
      </c>
      <c r="C31" s="132"/>
      <c r="D31" s="24" t="s">
        <v>2376</v>
      </c>
      <c r="E31" s="41" t="s">
        <v>28</v>
      </c>
      <c r="F31" s="43" t="s">
        <v>2376</v>
      </c>
      <c r="G31" s="41" t="s">
        <v>28</v>
      </c>
      <c r="H31" s="133"/>
      <c r="I31" s="134"/>
      <c r="J31" s="81" t="s">
        <v>3353</v>
      </c>
      <c r="K31" s="89" t="s">
        <v>2809</v>
      </c>
      <c r="M31" s="112" t="str">
        <f ca="1">IF($K$30="∞",无穷伤害与收益计算!BI14,伤害与收益计算!BI14)</f>
        <v>风来吴山</v>
      </c>
      <c r="N31" s="113" t="str">
        <f ca="1">IF($K$30="∞",无穷伤害与收益计算!BJ14,伤害与收益计算!BJ14)</f>
        <v>7.6%</v>
      </c>
      <c r="O31" s="114" t="str">
        <f ca="1">IF($K$30="∞","/",伤害与收益计算!BK14)</f>
        <v>43</v>
      </c>
      <c r="Q31" s="24" t="s">
        <v>3280</v>
      </c>
      <c r="R31" s="41">
        <v>0</v>
      </c>
      <c r="S31" s="43" t="s">
        <v>2008</v>
      </c>
      <c r="T31" s="41">
        <v>0</v>
      </c>
      <c r="U31" s="43" t="s">
        <v>2022</v>
      </c>
      <c r="V31" s="42">
        <v>0</v>
      </c>
      <c r="AA31" s="21" t="s">
        <v>3319</v>
      </c>
      <c r="AB31" s="135">
        <f ca="1">IF(K30="∞",ROUND(无穷伤害与收益计算!AD8,0),ROUND(伤害与收益计算!AD8,0))</f>
        <v>14891457</v>
      </c>
      <c r="AC31" s="136"/>
    </row>
    <row r="32" ht="16.5" customHeight="1" spans="2:32">
      <c r="B32" s="24" t="str">
        <f>IF(装备选择!T13&lt;&gt;"","轻剑:"&amp;装备选择!T13,"")</f>
        <v>轻剑:破防孔</v>
      </c>
      <c r="C32" s="89" t="s">
        <v>3338</v>
      </c>
      <c r="D32" s="24" t="s">
        <v>3354</v>
      </c>
      <c r="E32" s="41" t="s">
        <v>21</v>
      </c>
      <c r="F32" s="43" t="s">
        <v>3354</v>
      </c>
      <c r="G32" s="41" t="s">
        <v>21</v>
      </c>
      <c r="H32" s="137"/>
      <c r="I32" s="138"/>
      <c r="J32" s="6" t="s">
        <v>2364</v>
      </c>
      <c r="K32" s="15" t="s">
        <v>3338</v>
      </c>
      <c r="M32" s="112" t="str">
        <f ca="1">IF($K$30="∞",无穷伤害与收益计算!BI15,伤害与收益计算!BI15)</f>
        <v>九皋鹤野·落剑</v>
      </c>
      <c r="N32" s="113" t="str">
        <f ca="1">IF($K$30="∞",无穷伤害与收益计算!BJ15,伤害与收益计算!BJ15)</f>
        <v>3.9%</v>
      </c>
      <c r="O32" s="114" t="str">
        <f ca="1">IF($K$30="∞","/",伤害与收益计算!BK15)</f>
        <v>60</v>
      </c>
      <c r="Q32" s="24" t="s">
        <v>64</v>
      </c>
      <c r="R32" s="41">
        <v>0</v>
      </c>
      <c r="S32" s="43" t="s">
        <v>2011</v>
      </c>
      <c r="T32" s="41">
        <v>0</v>
      </c>
      <c r="U32" s="43" t="s">
        <v>2027</v>
      </c>
      <c r="V32" s="42">
        <v>0</v>
      </c>
      <c r="AA32" s="40"/>
      <c r="AB32" s="139"/>
      <c r="AC32" s="100"/>
    </row>
    <row r="33" ht="17.25" customHeight="1" spans="2:29">
      <c r="B33" s="54" t="str">
        <f>IF(装备选择!T14&lt;&gt;"","重剑:"&amp;装备选择!T14,"")</f>
        <v>重剑:破防孔</v>
      </c>
      <c r="C33" s="140"/>
      <c r="D33" s="54" t="s">
        <v>2405</v>
      </c>
      <c r="E33" s="141" t="s">
        <v>9</v>
      </c>
      <c r="F33" s="119" t="s">
        <v>2405</v>
      </c>
      <c r="G33" s="141" t="s">
        <v>9</v>
      </c>
      <c r="H33" s="142"/>
      <c r="I33" s="143"/>
      <c r="J33" s="54" t="s">
        <v>3355</v>
      </c>
      <c r="K33" s="144" t="s">
        <v>3356</v>
      </c>
      <c r="M33" s="145" t="str">
        <f ca="1">IF($K$30="∞",无穷伤害与收益计算!BI16,伤害与收益计算!BI16)</f>
        <v>玉山揽云</v>
      </c>
      <c r="N33" s="146" t="str">
        <f ca="1">IF($K$30="∞",无穷伤害与收益计算!BJ16,伤害与收益计算!BJ16)</f>
        <v>2.1%</v>
      </c>
      <c r="O33" s="147" t="str">
        <f ca="1">IF($K$30="∞","/",伤害与收益计算!BK16)</f>
        <v>23</v>
      </c>
      <c r="Q33" s="54" t="s">
        <v>65</v>
      </c>
      <c r="R33" s="141">
        <v>0</v>
      </c>
      <c r="S33" s="119" t="s">
        <v>2014</v>
      </c>
      <c r="T33" s="141">
        <v>0</v>
      </c>
      <c r="U33" s="119" t="s">
        <v>2018</v>
      </c>
      <c r="V33" s="144">
        <v>0</v>
      </c>
      <c r="AA33" s="148"/>
      <c r="AB33" s="149"/>
      <c r="AC33" s="105"/>
    </row>
    <row r="34" ht="17.25" hidden="1" customHeight="1" spans="2:29">
      <c r="B34" s="150" t="s">
        <v>3357</v>
      </c>
      <c r="C34" s="150"/>
      <c r="D34" s="150"/>
      <c r="AA34" s="151" t="s">
        <v>3358</v>
      </c>
      <c r="AB34" s="151"/>
      <c r="AC34" s="151"/>
    </row>
  </sheetData>
  <sheetProtection algorithmName="SHA-512" hashValue="H1BdEkcfs3cI41KLm9xaYK2WC+MdbDszax9Khkjt/wmtwxbqW7xhdMfusySS8cfTqfd5BD52h90Lus2ewdEWSA==" saltValue="0EBmaqHGNve0TaIy2KIr2Q==" spinCount="100000" sheet="1" objects="1" scenarios="1"/>
  <customSheetViews>
    <customSheetView guid="{8E53DF33-FD66-42DA-A21D-B11FBF5F6988}" showGridLines="0">
      <selection activeCell="Q32" sqref="Q32"/>
      <pageMargins left="0.7" right="0.7" top="0.75" bottom="0.75" header="0.3" footer="0.3"/>
      <pageSetup paperSize="9" orientation="portrait"/>
      <headerFooter/>
    </customSheetView>
  </customSheetViews>
  <mergeCells count="102">
    <mergeCell ref="C2:E2"/>
    <mergeCell ref="F2:G2"/>
    <mergeCell ref="I2:K2"/>
    <mergeCell ref="N2:O2"/>
    <mergeCell ref="Q2:V2"/>
    <mergeCell ref="X2:Y2"/>
    <mergeCell ref="D3:E3"/>
    <mergeCell ref="J3:K3"/>
    <mergeCell ref="N3:O3"/>
    <mergeCell ref="S3:V3"/>
    <mergeCell ref="N4:O4"/>
    <mergeCell ref="S4:T4"/>
    <mergeCell ref="U4:V4"/>
    <mergeCell ref="N5:O5"/>
    <mergeCell ref="Q5:R5"/>
    <mergeCell ref="C6:E6"/>
    <mergeCell ref="I6:K6"/>
    <mergeCell ref="N6:O6"/>
    <mergeCell ref="C7:E7"/>
    <mergeCell ref="I7:K7"/>
    <mergeCell ref="N7:O7"/>
    <mergeCell ref="D8:E8"/>
    <mergeCell ref="J8:K8"/>
    <mergeCell ref="N8:O8"/>
    <mergeCell ref="N9:O9"/>
    <mergeCell ref="N10:O10"/>
    <mergeCell ref="C11:E11"/>
    <mergeCell ref="I11:K11"/>
    <mergeCell ref="C12:E12"/>
    <mergeCell ref="I12:K12"/>
    <mergeCell ref="M12:O12"/>
    <mergeCell ref="D13:E13"/>
    <mergeCell ref="J13:K13"/>
    <mergeCell ref="N13:O13"/>
    <mergeCell ref="U13:V13"/>
    <mergeCell ref="N14:O14"/>
    <mergeCell ref="N15:O15"/>
    <mergeCell ref="S15:T15"/>
    <mergeCell ref="U15:V15"/>
    <mergeCell ref="AB15:AC15"/>
    <mergeCell ref="C16:E16"/>
    <mergeCell ref="I16:K16"/>
    <mergeCell ref="N16:O16"/>
    <mergeCell ref="AA16:AF16"/>
    <mergeCell ref="C17:E17"/>
    <mergeCell ref="I17:K17"/>
    <mergeCell ref="N17:O17"/>
    <mergeCell ref="D18:E18"/>
    <mergeCell ref="J18:K18"/>
    <mergeCell ref="N18:O18"/>
    <mergeCell ref="N19:O19"/>
    <mergeCell ref="C20:E20"/>
    <mergeCell ref="I20:K20"/>
    <mergeCell ref="N20:O20"/>
    <mergeCell ref="C21:E21"/>
    <mergeCell ref="I21:K21"/>
    <mergeCell ref="N21:O21"/>
    <mergeCell ref="Q21:V21"/>
    <mergeCell ref="D22:E22"/>
    <mergeCell ref="J22:K22"/>
    <mergeCell ref="M23:O23"/>
    <mergeCell ref="C24:E24"/>
    <mergeCell ref="I24:K24"/>
    <mergeCell ref="N24:O24"/>
    <mergeCell ref="C25:E25"/>
    <mergeCell ref="F25:G25"/>
    <mergeCell ref="I25:K25"/>
    <mergeCell ref="C26:E26"/>
    <mergeCell ref="F26:G26"/>
    <mergeCell ref="J26:K26"/>
    <mergeCell ref="M26:O26"/>
    <mergeCell ref="I28:K28"/>
    <mergeCell ref="D29:G29"/>
    <mergeCell ref="Q29:V29"/>
    <mergeCell ref="B34:D34"/>
    <mergeCell ref="AA34:AC34"/>
    <mergeCell ref="C28:C29"/>
    <mergeCell ref="C30:C31"/>
    <mergeCell ref="C32:C33"/>
    <mergeCell ref="M19:M21"/>
    <mergeCell ref="Q13:Q15"/>
    <mergeCell ref="Q22:Q23"/>
    <mergeCell ref="Q24:Q25"/>
    <mergeCell ref="Q26:Q28"/>
    <mergeCell ref="T22:T23"/>
    <mergeCell ref="T24:T25"/>
    <mergeCell ref="T26:T28"/>
    <mergeCell ref="AA19:AA22"/>
    <mergeCell ref="AA23:AA25"/>
    <mergeCell ref="AA26:AA30"/>
    <mergeCell ref="AA31:AA33"/>
    <mergeCell ref="AD17:AD21"/>
    <mergeCell ref="R24:S25"/>
    <mergeCell ref="U26:V28"/>
    <mergeCell ref="R22:S23"/>
    <mergeCell ref="U24:V25"/>
    <mergeCell ref="R26:S28"/>
    <mergeCell ref="U22:V23"/>
    <mergeCell ref="F20:G21"/>
    <mergeCell ref="F22:G24"/>
    <mergeCell ref="H31:I33"/>
    <mergeCell ref="AB31:AC33"/>
  </mergeCells>
  <conditionalFormatting sqref="C3">
    <cfRule type="expression" dxfId="6" priority="85">
      <formula>IF($C$3&lt;&gt;装备选择!$P$2,1,0)=1</formula>
    </cfRule>
  </conditionalFormatting>
  <conditionalFormatting sqref="I3">
    <cfRule type="expression" dxfId="6" priority="82">
      <formula>IF($I$3&lt;&gt;装备选择!$P$5,1,0)=1</formula>
    </cfRule>
  </conditionalFormatting>
  <conditionalFormatting sqref="E4">
    <cfRule type="expression" dxfId="7" priority="64">
      <formula>IF(附魔库!$Y$5="紫",1,0)=1</formula>
    </cfRule>
  </conditionalFormatting>
  <conditionalFormatting sqref="K4">
    <cfRule type="expression" dxfId="7" priority="61">
      <formula>IF(附魔库!$Y$8="紫",1,0)=1</formula>
    </cfRule>
  </conditionalFormatting>
  <conditionalFormatting sqref="E5">
    <cfRule type="expression" dxfId="6" priority="24">
      <formula>IF(附魔库!$E$63=0,1,0)</formula>
    </cfRule>
  </conditionalFormatting>
  <conditionalFormatting sqref="K5">
    <cfRule type="expression" dxfId="6" priority="21">
      <formula>IF(附魔库!$H$63=0,1,0)</formula>
    </cfRule>
  </conditionalFormatting>
  <conditionalFormatting sqref="C8">
    <cfRule type="expression" dxfId="6" priority="84">
      <formula>IF($C$8&lt;&gt;装备选择!$P$3,1,0)=1</formula>
    </cfRule>
  </conditionalFormatting>
  <conditionalFormatting sqref="I8">
    <cfRule type="expression" dxfId="6" priority="81">
      <formula>IF($I$8&lt;&gt;装备选择!$P$6,1,0)=1</formula>
    </cfRule>
  </conditionalFormatting>
  <conditionalFormatting sqref="S8:T8">
    <cfRule type="expression" dxfId="8" priority="12">
      <formula>IF($K$30="∞",1,0)=1</formula>
    </cfRule>
  </conditionalFormatting>
  <conditionalFormatting sqref="E9">
    <cfRule type="expression" dxfId="7" priority="63">
      <formula>IF(附魔库!$Y$6="紫",1,0)=1</formula>
    </cfRule>
  </conditionalFormatting>
  <conditionalFormatting sqref="K9">
    <cfRule type="expression" dxfId="7" priority="60">
      <formula>IF(附魔库!$Y$9="紫",1,0)=1</formula>
    </cfRule>
  </conditionalFormatting>
  <conditionalFormatting sqref="N9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{762185ba-f0f6-456d-9a51-f94681bb0f37}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{8a2b4d7f-003b-4f3a-b84c-2c22658a40c0}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{247b7799-b1bf-4a38-99f1-721730ea78a5}</x14:id>
        </ext>
      </extLst>
    </cfRule>
  </conditionalFormatting>
  <conditionalFormatting sqref="S9:T9">
    <cfRule type="expression" dxfId="8" priority="105">
      <formula>IF(AND($K$30="∞",COUNTIF(#REF!,"*保持*")=0),1,0)=1</formula>
    </cfRule>
  </conditionalFormatting>
  <conditionalFormatting sqref="E10">
    <cfRule type="expression" dxfId="6" priority="23">
      <formula>IF(附魔库!$F$63=0,1,0)</formula>
    </cfRule>
  </conditionalFormatting>
  <conditionalFormatting sqref="R12">
    <cfRule type="expression" dxfId="9" priority="27">
      <formula>IF(附魔库!$J$212=0,1,0)=0</formula>
    </cfRule>
  </conditionalFormatting>
  <conditionalFormatting sqref="C13">
    <cfRule type="expression" dxfId="6" priority="83">
      <formula>IF($C$13&lt;&gt;装备选择!$P$4,1,0)=1</formula>
    </cfRule>
  </conditionalFormatting>
  <conditionalFormatting sqref="I13">
    <cfRule type="expression" dxfId="6" priority="80">
      <formula>IF($I$13&lt;&gt;装备选择!$P$7,1,0)=1</formula>
    </cfRule>
  </conditionalFormatting>
  <conditionalFormatting sqref="E14">
    <cfRule type="expression" dxfId="7" priority="62">
      <formula>IF(附魔库!$Y$7="紫",1,0)=1</formula>
    </cfRule>
  </conditionalFormatting>
  <conditionalFormatting sqref="K14">
    <cfRule type="expression" dxfId="7" priority="59">
      <formula>IF(附魔库!$Y$10="紫",1,0)=1</formula>
    </cfRule>
  </conditionalFormatting>
  <conditionalFormatting sqref="E15">
    <cfRule type="expression" dxfId="6" priority="22">
      <formula>IF(附魔库!$G$63=0,1,0)</formula>
    </cfRule>
  </conditionalFormatting>
  <conditionalFormatting sqref="K15">
    <cfRule type="expression" dxfId="6" priority="20">
      <formula>IF(附魔库!$I$63=0,1,0)</formula>
    </cfRule>
  </conditionalFormatting>
  <conditionalFormatting sqref="C18">
    <cfRule type="expression" dxfId="6" priority="79">
      <formula>IF($C$18&lt;&gt;装备选择!$P$8,1,0)=1</formula>
    </cfRule>
  </conditionalFormatting>
  <conditionalFormatting sqref="I18">
    <cfRule type="expression" dxfId="6" priority="77">
      <formula>IF($I$18&lt;&gt;装备选择!$P$10,1,0)=1</formula>
    </cfRule>
  </conditionalFormatting>
  <conditionalFormatting sqref="E19">
    <cfRule type="expression" dxfId="7" priority="57">
      <formula>IF(附魔库!$Y$11="紫",1,0)=1</formula>
    </cfRule>
  </conditionalFormatting>
  <conditionalFormatting sqref="K19">
    <cfRule type="expression" dxfId="7" priority="55">
      <formula>IF(附魔库!$Y$13="紫",1,0)=1</formula>
    </cfRule>
  </conditionalFormatting>
  <conditionalFormatting sqref="T20">
    <cfRule type="expression" dxfId="10" priority="15">
      <formula>IF($R$3="不计算增益",1,0)=1</formula>
    </cfRule>
    <cfRule type="expression" dxfId="11" priority="25">
      <formula>IF(附魔库!$N$192=0,1,0)=1</formula>
    </cfRule>
  </conditionalFormatting>
  <conditionalFormatting sqref="C21:E21">
    <cfRule type="containsText" dxfId="1" priority="1" operator="between" text="橙·">
      <formula>NOT(ISERROR(SEARCH("橙·",C21)))</formula>
    </cfRule>
  </conditionalFormatting>
  <conditionalFormatting sqref="C22">
    <cfRule type="expression" dxfId="6" priority="78">
      <formula>IF($C$22&lt;&gt;装备选择!$P$9,1,0)=1</formula>
    </cfRule>
  </conditionalFormatting>
  <conditionalFormatting sqref="I22">
    <cfRule type="expression" dxfId="6" priority="76">
      <formula>IF($I$22&lt;&gt;装备选择!$P$11,1,0)=1</formula>
    </cfRule>
  </conditionalFormatting>
  <conditionalFormatting sqref="E23">
    <cfRule type="expression" dxfId="7" priority="56">
      <formula>IF(附魔库!$Y$12="紫",1,0)=1</formula>
    </cfRule>
  </conditionalFormatting>
  <conditionalFormatting sqref="K23">
    <cfRule type="expression" dxfId="7" priority="54">
      <formula>IF(附魔库!$Y$14="紫",1,0)=1</formula>
    </cfRule>
  </conditionalFormatting>
  <conditionalFormatting sqref="M23">
    <cfRule type="containsText" dxfId="5" priority="7" operator="between" text="该循环暂不支持">
      <formula>NOT(ISERROR(SEARCH("该循环暂不支持",M23)))</formula>
    </cfRule>
  </conditionalFormatting>
  <conditionalFormatting sqref="N24:O24">
    <cfRule type="expression" dxfId="8" priority="4">
      <formula>IF(金蛇*秋2=1,1,0)=1</formula>
    </cfRule>
  </conditionalFormatting>
  <conditionalFormatting sqref="C25:E25">
    <cfRule type="containsText" dxfId="12" priority="8" operator="between" text="白板">
      <formula>NOT(ISERROR(SEARCH("白板",C25)))</formula>
    </cfRule>
  </conditionalFormatting>
  <conditionalFormatting sqref="I26">
    <cfRule type="expression" dxfId="6" priority="75">
      <formula>IF($I$26&lt;&gt;装备选择!$P$12,1,0)=1</formula>
    </cfRule>
  </conditionalFormatting>
  <conditionalFormatting sqref="C27">
    <cfRule type="expression" dxfId="6" priority="74">
      <formula>IF($C$27&lt;&gt;MAX(装备选择!$P$13,装备选择!$P$14),1,0)=1</formula>
    </cfRule>
  </conditionalFormatting>
  <conditionalFormatting sqref="E27">
    <cfRule type="expression" dxfId="7" priority="52">
      <formula>IF(附魔库!$Y$16="紫",1,0)=1</formula>
    </cfRule>
  </conditionalFormatting>
  <conditionalFormatting sqref="K27">
    <cfRule type="expression" dxfId="7" priority="53">
      <formula>IF(附魔库!$Y$15="紫",1,0)=1</formula>
    </cfRule>
  </conditionalFormatting>
  <conditionalFormatting sqref="E28">
    <cfRule type="expression" dxfId="7" priority="51">
      <formula>IF(附魔库!$Y$17="紫",1,0)=1</formula>
    </cfRule>
  </conditionalFormatting>
  <conditionalFormatting sqref="E30:E33">
    <cfRule type="expression" dxfId="2" priority="71">
      <formula>IF(OR($E$30="伍",$E$30="陆"),1,0)=1</formula>
    </cfRule>
    <cfRule type="expression" dxfId="3" priority="70">
      <formula>IF(OR($E$30="叁",$E$30="肆"),1,0)=1</formula>
    </cfRule>
  </conditionalFormatting>
  <conditionalFormatting sqref="E31:E33">
    <cfRule type="expression" dxfId="13" priority="50">
      <formula>IF($E$30="无",1,0)=1</formula>
    </cfRule>
    <cfRule type="expression" dxfId="9" priority="68">
      <formula>IF(镶嵌库!R17=0,1,0)=1</formula>
    </cfRule>
    <cfRule type="expression" dxfId="6" priority="65">
      <formula>IF(镶嵌库!$R$16=0,1,0)=1</formula>
    </cfRule>
  </conditionalFormatting>
  <conditionalFormatting sqref="G30:G33">
    <cfRule type="expression" dxfId="2" priority="69">
      <formula>IF(OR($G$30="伍",$G$30="陆"),1,0)=1</formula>
    </cfRule>
    <cfRule type="expression" dxfId="3" priority="67">
      <formula>IF(OR($G$30="叁",$G$30="肆"),1,0)=1</formula>
    </cfRule>
  </conditionalFormatting>
  <conditionalFormatting sqref="G31:G33">
    <cfRule type="expression" dxfId="13" priority="49">
      <formula>IF($G$30="无",1,0)=1</formula>
    </cfRule>
    <cfRule type="expression" dxfId="6" priority="66">
      <formula>IF(镶嵌库!$U$16=0,1,0)=1</formula>
    </cfRule>
    <cfRule type="expression" dxfId="9" priority="48">
      <formula>IF(镶嵌库!U17=0,1,0)=1</formula>
    </cfRule>
  </conditionalFormatting>
  <conditionalFormatting sqref="K32:K33">
    <cfRule type="containsText" dxfId="8" priority="16" operator="between" text="不使用">
      <formula>NOT(ISERROR(SEARCH("不使用",K32)))</formula>
    </cfRule>
  </conditionalFormatting>
  <conditionalFormatting sqref="N3:N1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{f5e64aac-5a4d-4b07-9ddd-5b15194798a2}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{1e6ab7b1-9782-4e84-9fc2-90926f517101}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{8e1180c6-7ae6-49a0-829e-65a16c0a9a64}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{045b0691-9020-4427-b8c0-192d28b1f7b1}</x14:id>
        </ext>
      </extLst>
    </cfRule>
  </conditionalFormatting>
  <conditionalFormatting sqref="R6:R9">
    <cfRule type="expression" dxfId="14" priority="32">
      <formula>IF(COUNTIF(R6,"*八段锦*")&gt;0,1,0)</formula>
    </cfRule>
  </conditionalFormatting>
  <conditionalFormatting sqref="R6:R10">
    <cfRule type="expression" dxfId="14" priority="34">
      <formula>IF(COUNTIF(R6,"*蓝*")&gt;0,1,0)</formula>
    </cfRule>
    <cfRule type="expression" dxfId="15" priority="33">
      <formula>IF(COUNTIF(R6,"*紫*")&gt;0,1,0)</formula>
    </cfRule>
  </conditionalFormatting>
  <conditionalFormatting sqref="R13:R15">
    <cfRule type="expression" dxfId="9" priority="28">
      <formula>IF(附魔库!$J$212=0,1,0)=1</formula>
    </cfRule>
  </conditionalFormatting>
  <conditionalFormatting sqref="Y3:Y2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{eb0cb4ce-6e32-416a-ba7f-85edd0cc45cd}</x14:id>
        </ext>
      </extLst>
    </cfRule>
  </conditionalFormatting>
  <conditionalFormatting sqref="B2:K28 B29:I31 B32:K33">
    <cfRule type="expression" dxfId="16" priority="10">
      <formula>IF(内置配装器=1,1,0)=0</formula>
    </cfRule>
  </conditionalFormatting>
  <conditionalFormatting sqref="AA2:AC15 AA16 AA31:AB31">
    <cfRule type="expression" dxfId="16" priority="9">
      <formula>IF(内置配装器=1,1,0)=1</formula>
    </cfRule>
  </conditionalFormatting>
  <conditionalFormatting sqref="C3 I3 C8 I8 C13 I13 C18 I18 C22 I22 I26 C27">
    <cfRule type="expression" dxfId="17" priority="19">
      <formula>IF($K$33&lt;&gt;"不使用",1,0)=1</formula>
    </cfRule>
  </conditionalFormatting>
  <conditionalFormatting sqref="S3:V12">
    <cfRule type="expression" dxfId="8" priority="3">
      <formula>IF($R$3="不计算增益",1,0)=1</formula>
    </cfRule>
  </conditionalFormatting>
  <conditionalFormatting sqref="C4:C5 I4:I5 C9:C10 I9:I10 C14:C15 I14:I15 C19 C23 I27 C28:C33">
    <cfRule type="expression" dxfId="17" priority="18">
      <formula>IF($K$32&lt;&gt;"不使用",1,0)=1</formula>
    </cfRule>
    <cfRule type="expression" dxfId="1" priority="90">
      <formula>IF(1*(LEFT(C4,1))&lt;=8,1,0)=1</formula>
    </cfRule>
    <cfRule type="expression" dxfId="2" priority="89">
      <formula>IF(1*(LEFT(C4,1))&lt;=6,1,0)=1</formula>
    </cfRule>
    <cfRule type="expression" dxfId="3" priority="88">
      <formula>IF(1*(LEFT(C4,1))&lt;=4,1,0)=1</formula>
    </cfRule>
    <cfRule type="expression" dxfId="4" priority="87">
      <formula>IF(1*(LEFT(C4,1))&lt;=2,1,0)=1</formula>
    </cfRule>
  </conditionalFormatting>
  <conditionalFormatting sqref="E19 E23 K19 K23 K27 E27:E28 E4 K4 E9 K9 E14 K14">
    <cfRule type="cellIs" dxfId="12" priority="58" operator="equal">
      <formula>"无"</formula>
    </cfRule>
  </conditionalFormatting>
  <conditionalFormatting sqref="N4 N10 N6 N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{8cb6e32f-682d-4061-85bf-e24c5cee4195}</x14:id>
        </ext>
      </extLst>
    </cfRule>
  </conditionalFormatting>
  <conditionalFormatting sqref="E5 E10 E15 K5 K15">
    <cfRule type="containsText" dxfId="12" priority="26" operator="between" text="无">
      <formula>NOT(ISERROR(SEARCH("无",E5)))</formula>
    </cfRule>
  </conditionalFormatting>
  <conditionalFormatting sqref="Q5 Q6:R20 S13:T14">
    <cfRule type="expression" dxfId="8" priority="98">
      <formula>IF($R$3="不计算增益",1,0)=1</formula>
    </cfRule>
  </conditionalFormatting>
  <conditionalFormatting sqref="U13:V14">
    <cfRule type="expression" dxfId="8" priority="5">
      <formula>IF(金蛇=1,1,0)=0</formula>
    </cfRule>
  </conditionalFormatting>
  <conditionalFormatting sqref="S15:V20">
    <cfRule type="expression" dxfId="8" priority="2">
      <formula>IF($R$3="不计算增益",1,0)=1</formula>
    </cfRule>
  </conditionalFormatting>
  <conditionalFormatting sqref="C25:C26 I17 I21">
    <cfRule type="expression" dxfId="1" priority="86">
      <formula>IF(COUNTIF(C17,"*橙武*")+COUNTIF(C17,"*橙戒*")&gt;0,1,0)=1</formula>
    </cfRule>
  </conditionalFormatting>
  <conditionalFormatting sqref="AA17:AF30">
    <cfRule type="expression" dxfId="16" priority="6">
      <formula>IF(内置配装器=1,1,0)=1</formula>
    </cfRule>
  </conditionalFormatting>
  <conditionalFormatting sqref="Q22 Q24 T24 Q26 T26">
    <cfRule type="cellIs" dxfId="18" priority="30" operator="equal">
      <formula>"超过上限"</formula>
    </cfRule>
  </conditionalFormatting>
  <conditionalFormatting sqref="H29:I30 H31">
    <cfRule type="expression" dxfId="19" priority="91">
      <formula>IF(COUNTIF($U$28,"*导出*")&gt;0,1,0)=1</formula>
    </cfRule>
  </conditionalFormatting>
  <dataValidations count="97">
    <dataValidation type="list" allowBlank="1" showInputMessage="1" showErrorMessage="1" sqref="C2:E2">
      <formula1>OFFSET(装备选择!$C$1,装备选择!$I$5,0,装备选择!$J$5,1)</formula1>
    </dataValidation>
    <dataValidation type="list" allowBlank="1" showInputMessage="1" showErrorMessage="1" sqref="F2:G2">
      <formula1>"无增益面板,增益面板"</formula1>
    </dataValidation>
    <dataValidation type="list" allowBlank="1" showInputMessage="1" showErrorMessage="1" sqref="I2:K2">
      <formula1>OFFSET(装备选择!$C$1,装备选择!$I$2,0,装备选择!$J$2,1)</formula1>
    </dataValidation>
    <dataValidation type="list" allowBlank="1" showInputMessage="1" showErrorMessage="1" sqref="M2">
      <formula1>"轻剑属性收益,重剑属性收益,综合属性收益"</formula1>
    </dataValidation>
    <dataValidation type="list" allowBlank="1" showInputMessage="1" showErrorMessage="1" sqref="N2">
      <formula1>"陆级五彩石1,附魔,8级五行石,同分"</formula1>
    </dataValidation>
    <dataValidation type="list" allowBlank="1" showInputMessage="1" showErrorMessage="1" sqref="C3">
      <formula1>OFFSET(装备选择!$E$1,0,0,装备选择!$P$2+1,1)</formula1>
    </dataValidation>
    <dataValidation type="list" allowBlank="1" showInputMessage="1" showErrorMessage="1" sqref="G3">
      <formula1>"问水诀,山居剑意"</formula1>
    </dataValidation>
    <dataValidation type="list" allowBlank="1" showInputMessage="1" showErrorMessage="1" sqref="I3">
      <formula1>OFFSET(装备选择!$E$1,0,0,装备选择!$P$5+1,1)</formula1>
    </dataValidation>
    <dataValidation type="list" allowBlank="1" showInputMessage="1" showErrorMessage="1" sqref="R3">
      <formula1>"计算增益,不计算增益"</formula1>
    </dataValidation>
    <dataValidation type="list" allowBlank="1" showInputMessage="1" showErrorMessage="1" sqref="E4 K14">
      <formula1>附魔库!$M$2:$M$11</formula1>
    </dataValidation>
    <dataValidation type="list" allowBlank="1" showInputMessage="1" showErrorMessage="1" sqref="K4 K9">
      <formula1>附魔库!$O$2:$O$14</formula1>
    </dataValidation>
    <dataValidation type="list" allowBlank="1" showInputMessage="1" showErrorMessage="1" sqref="R4">
      <formula1>"内置配装器,自输入属性"</formula1>
    </dataValidation>
    <dataValidation type="list" allowBlank="1" showInputMessage="1" showErrorMessage="1" sqref="E5">
      <formula1>OFFSET(附魔库!$N$54,0,0,附魔库!$G$52,1)</formula1>
    </dataValidation>
    <dataValidation type="list" allowBlank="1" showInputMessage="1" showErrorMessage="1" sqref="K5">
      <formula1>OFFSET(附魔库!$Q$54,0,0,附魔库!$J$52,1)</formula1>
    </dataValidation>
    <dataValidation type="list" allowBlank="1" showInputMessage="1" showErrorMessage="1" sqref="T5">
      <formula1>"破风,劲风破风,无"</formula1>
    </dataValidation>
    <dataValidation type="list" allowBlank="1" showInputMessage="1" showErrorMessage="1" sqref="R6">
      <formula1>INDIRECT($Q$6)</formula1>
    </dataValidation>
    <dataValidation type="list" allowBlank="1" showInputMessage="1" showErrorMessage="1" sqref="T6">
      <formula1>"无,朝圣言,月尽天明"</formula1>
    </dataValidation>
    <dataValidation type="list" allowBlank="1" showInputMessage="1" showErrorMessage="1" sqref="C7:E7">
      <formula1>OFFSET(装备选择!$C$1,装备选择!$I$7,0,装备选择!$J$7,1)</formula1>
    </dataValidation>
    <dataValidation type="list" allowBlank="1" showInputMessage="1" showErrorMessage="1" sqref="I7:K7">
      <formula1>OFFSET(装备选择!$C$1,装备选择!$I$4,0,装备选择!$J$4,1)</formula1>
    </dataValidation>
    <dataValidation type="list" allowBlank="1" showInputMessage="1" showErrorMessage="1" sqref="R7">
      <formula1>INDIRECT($Q$7)</formula1>
    </dataValidation>
    <dataValidation type="list" allowBlank="1" showInputMessage="1" showErrorMessage="1" sqref="T7">
      <formula1>INDIRECT($S$7)</formula1>
    </dataValidation>
    <dataValidation type="list" allowBlank="1" showInputMessage="1" showErrorMessage="1" sqref="C8">
      <formula1>OFFSET(装备选择!$E$1,0,0,装备选择!$P$3+1,1)</formula1>
    </dataValidation>
    <dataValidation type="list" allowBlank="1" showInputMessage="1" showErrorMessage="1" sqref="I8">
      <formula1>OFFSET(装备选择!$E$1,0,0,装备选择!$P$6+1,1)</formula1>
    </dataValidation>
    <dataValidation type="list" allowBlank="1" showInputMessage="1" showErrorMessage="1" sqref="R8">
      <formula1>INDIRECT($Q$8)</formula1>
    </dataValidation>
    <dataValidation type="list" allowBlank="1" showInputMessage="1" showErrorMessage="1" sqref="E9 E14">
      <formula1>附魔库!$N$2:$N$12</formula1>
    </dataValidation>
    <dataValidation type="list" allowBlank="1" showInputMessage="1" showErrorMessage="1" sqref="R9">
      <formula1>INDIRECT($Q$9)</formula1>
    </dataValidation>
    <dataValidation type="list" allowBlank="1" showInputMessage="1" showErrorMessage="1" sqref="E10">
      <formula1>OFFSET(附魔库!$O$54,0,0,附魔库!$H$52,1)</formula1>
    </dataValidation>
    <dataValidation type="list" allowBlank="1" showInputMessage="1" showErrorMessage="1" sqref="R10">
      <formula1>INDIRECT($Q$10)</formula1>
    </dataValidation>
    <dataValidation type="list" allowBlank="1" showInputMessage="1" showErrorMessage="1" sqref="R11">
      <formula1>INDIRECT($Q$11)</formula1>
    </dataValidation>
    <dataValidation type="list" allowBlank="1" showInputMessage="1" showErrorMessage="1" sqref="C12:E12">
      <formula1>OFFSET(装备选择!$C$1,装备选择!$I$10,0,装备选择!$J$10,1)</formula1>
    </dataValidation>
    <dataValidation type="list" allowBlank="1" showInputMessage="1" showErrorMessage="1" sqref="I12:K12">
      <formula1>OFFSET(装备选择!$C$1,装备选择!$I$9,0,装备选择!$J$9,1)</formula1>
    </dataValidation>
    <dataValidation type="list" allowBlank="1" showInputMessage="1" showErrorMessage="1" sqref="R12">
      <formula1>INDIRECT($Q$12)</formula1>
    </dataValidation>
    <dataValidation type="list" allowBlank="1" showInputMessage="1" showErrorMessage="1" sqref="T12">
      <formula1>"0,1,2"</formula1>
    </dataValidation>
    <dataValidation type="list" allowBlank="1" showInputMessage="1" showErrorMessage="1" sqref="C13">
      <formula1>OFFSET(装备选择!$E$1,0,0,装备选择!$P$4+1,1)</formula1>
    </dataValidation>
    <dataValidation type="list" allowBlank="1" showInputMessage="1" showErrorMessage="1" sqref="I13">
      <formula1>OFFSET(装备选择!$E$1,0,0,装备选择!$P$7+1,1)</formula1>
    </dataValidation>
    <dataValidation type="list" allowBlank="1" showInputMessage="1" showErrorMessage="1" sqref="R13">
      <formula1>INDIRECT("创意食品减益")</formula1>
    </dataValidation>
    <dataValidation type="list" allowBlank="1" showInputMessage="1" showErrorMessage="1" sqref="T13">
      <formula1>附魔库!$D$218:$D$221</formula1>
    </dataValidation>
    <dataValidation type="list" allowBlank="1" showInputMessage="1" showErrorMessage="1" sqref="R14">
      <formula1>INDIRECT($Q$13)</formula1>
    </dataValidation>
    <dataValidation type="list" allowBlank="1" showInputMessage="1" showErrorMessage="1" sqref="T14 R18 R20 T16:T17 V16:V17">
      <formula1>"0,1"</formula1>
    </dataValidation>
    <dataValidation type="list" allowBlank="1" showInputMessage="1" sqref="V14">
      <formula1>"暂不支持"</formula1>
    </dataValidation>
    <dataValidation type="list" allowBlank="1" showInputMessage="1" showErrorMessage="1" sqref="E15">
      <formula1>OFFSET(附魔库!$P$54,0,0,附魔库!$I$52,1)</formula1>
    </dataValidation>
    <dataValidation type="list" allowBlank="1" showInputMessage="1" showErrorMessage="1" sqref="K15">
      <formula1>OFFSET(附魔库!$R$54,0,0,附魔库!$K$52,1)</formula1>
    </dataValidation>
    <dataValidation type="list" allowBlank="1" showInputMessage="1" showErrorMessage="1" sqref="R15">
      <formula1>"初,次,升,盛,无"</formula1>
    </dataValidation>
    <dataValidation type="list" allowBlank="1" showInputMessage="1" showErrorMessage="1" sqref="R16">
      <formula1>INDIRECT($Q$16)</formula1>
    </dataValidation>
    <dataValidation type="list" allowBlank="1" showInputMessage="1" showErrorMessage="1" sqref="C17:E17">
      <formula1>OFFSET(装备选择!$C$1,装备选择!$I$8,0,装备选择!$J$8,1)</formula1>
    </dataValidation>
    <dataValidation type="list" allowBlank="1" showInputMessage="1" showErrorMessage="1" sqref="I17:K17 I21:K21">
      <formula1>OFFSET(装备选择!$C$1,装备选择!$I$3,0,装备选择!$J$3,1)</formula1>
    </dataValidation>
    <dataValidation type="list" allowBlank="1" showInputMessage="1" showErrorMessage="1" sqref="R17">
      <formula1>INDIRECT($Q$17)</formula1>
    </dataValidation>
    <dataValidation type="list" allowBlank="1" showInputMessage="1" showErrorMessage="1" sqref="AC17">
      <formula1>"有,无"</formula1>
    </dataValidation>
    <dataValidation type="list" allowBlank="1" showInputMessage="1" showErrorMessage="1" sqref="AF17">
      <formula1>"35300破防/会心,35300破防/会心/破招,30200破防/会心,30200破防/会心/破招,无"</formula1>
    </dataValidation>
    <dataValidation type="list" allowBlank="1" showInputMessage="1" showErrorMessage="1" sqref="C18">
      <formula1>OFFSET(装备选择!$E$1,0,0,装备选择!$P$8+1,1)</formula1>
    </dataValidation>
    <dataValidation type="list" allowBlank="1" showInputMessage="1" showErrorMessage="1" sqref="I18">
      <formula1>OFFSET(装备选择!$E$1,0,0,装备选择!$P$10+1,1)</formula1>
    </dataValidation>
    <dataValidation type="list" allowBlank="1" showInputMessage="1" showErrorMessage="1" sqref="T18">
      <formula1>"0,1,2,3,4,5,6"</formula1>
    </dataValidation>
    <dataValidation type="list" allowBlank="1" showInputMessage="1" showErrorMessage="1" sqref="AF18">
      <formula1>"35300额外伤害,35300额外DOT,30200额外伤害,无"</formula1>
    </dataValidation>
    <dataValidation type="list" allowBlank="1" showInputMessage="1" showErrorMessage="1" sqref="C19 C23 I27 C4:C5 C9:C10 C14:C15 C28:C33 I4:I5 I9:I10 I14:I15">
      <formula1>"无,1级,2级,3级,4级,5级,6级,7级,8级"</formula1>
    </dataValidation>
    <dataValidation type="list" allowBlank="1" showInputMessage="1" showErrorMessage="1" sqref="E19">
      <formula1>附魔库!$Q$2:$Q$9</formula1>
    </dataValidation>
    <dataValidation type="list" allowBlank="1" showInputMessage="1" showErrorMessage="1" sqref="K19 K23">
      <formula1>附魔库!$R$2:$R$15</formula1>
    </dataValidation>
    <dataValidation type="list" allowBlank="1" showInputMessage="1" showErrorMessage="1" sqref="R19">
      <formula1>INDIRECT($Q$19)</formula1>
    </dataValidation>
    <dataValidation type="list" allowBlank="1" showInputMessage="1" showErrorMessage="1" sqref="T19">
      <formula1>"藏剑阵,藏剑(阵眼)阵,天策阵,剑纯阵,惊羽阵,丐帮阵,霸刀阵,天罗阵,凌雪阵,蓬莱阵,苍云阵,刀宗阵,万灵阵,无界阵,无 "</formula1>
    </dataValidation>
    <dataValidation type="list" allowBlank="1" showInputMessage="1" showErrorMessage="1" sqref="AF19">
      <formula1>"35300无双,35300无双/会心,35300无双/破防,30200无双,30200无双/会心,30200无双/破防,无"</formula1>
    </dataValidation>
    <dataValidation type="list" allowBlank="1" showInputMessage="1" showErrorMessage="1" sqref="T20">
      <formula1>OFFSET(附魔库!$N$194,0,0,附魔库!$N$193,1)</formula1>
    </dataValidation>
    <dataValidation type="list" allowBlank="1" showInputMessage="1" showErrorMessage="1" sqref="AC20">
      <formula1>"大橙武,小橙武,无"</formula1>
    </dataValidation>
    <dataValidation type="list" allowBlank="1" showInputMessage="1" showErrorMessage="1" sqref="C21:E21">
      <formula1>OFFSET(装备选择!$C$1,装备选择!$I$11,0,装备选择!$J$11,1)</formula1>
    </dataValidation>
    <dataValidation type="list" allowBlank="1" showInputMessage="1" showErrorMessage="1" sqref="AC21">
      <formula1>" 29700大橙武,27500大橙武,25300大橙武,23650大橙武,22000大橙武,20750大橙武,19500大橙武,18300大橙武,17100大橙武,19600小橙武,21600小橙武,23600小橙武,25600小橙武,28000小橙武,31800小橙武,无"</formula1>
    </dataValidation>
    <dataValidation type="list" allowBlank="1" showInputMessage="1" showErrorMessage="1" sqref="C22">
      <formula1>OFFSET(装备选择!$E$1,0,0,装备选择!$P$9+1,1)</formula1>
    </dataValidation>
    <dataValidation type="list" allowBlank="1" showInputMessage="1" showErrorMessage="1" sqref="I22">
      <formula1>OFFSET(装备选择!$E$1,0,0,装备选择!$P$11+1,1)</formula1>
    </dataValidation>
    <dataValidation type="list" allowBlank="1" showInputMessage="1" showErrorMessage="1" sqref="AC22">
      <formula1>"33400,24500,无"</formula1>
    </dataValidation>
    <dataValidation type="list" allowBlank="1" showInputMessage="1" showErrorMessage="1" sqref="E23">
      <formula1>附魔库!$Q$10:$Q$17</formula1>
    </dataValidation>
    <dataValidation type="list" allowBlank="1" showInputMessage="1" showErrorMessage="1" sqref="AC23">
      <formula1>"于阗玉邑,于阗玉镇,于阗玉川,于阗玉邦,无"</formula1>
    </dataValidation>
    <dataValidation type="list" allowBlank="1" showInputMessage="1" sqref="N24:O24">
      <formula1>技能数计算!$AP$2:$AP$3</formula1>
    </dataValidation>
    <dataValidation type="list" allowBlank="1" showInputMessage="1" showErrorMessage="1" sqref="C25:E25">
      <formula1>OFFSET(装备选择!$C$1,装备选择!$I$6,0,装备选择!$J$6,1)</formula1>
    </dataValidation>
    <dataValidation type="list" allowBlank="1" showInputMessage="1" showErrorMessage="1" sqref="I25:K25">
      <formula1>OFFSET(装备选择!$C$1,装备选择!$I$1,0,装备选择!$J$1,1)</formula1>
    </dataValidation>
    <dataValidation type="list" allowBlank="1" showInputMessage="1" showErrorMessage="1" sqref="C26:E26">
      <formula1>OFFSET(装备选择!$C$1,装备选择!$I$12,0,装备选择!$J$12,1)</formula1>
    </dataValidation>
    <dataValidation type="list" allowBlank="1" showInputMessage="1" showErrorMessage="1" sqref="I26">
      <formula1>OFFSET(装备选择!$E$1,0,0,装备选择!$P$12+1,1)</formula1>
    </dataValidation>
    <dataValidation type="list" allowBlank="1" showInputMessage="1" showErrorMessage="1" sqref="AC26 AC30">
      <formula1>"24500,25500,28000,30200,32500,35300,无"</formula1>
    </dataValidation>
    <dataValidation type="list" allowBlank="1" showInputMessage="1" showErrorMessage="1" sqref="C27">
      <formula1>OFFSET(装备选择!$E$1,0,0,MAX(装备选择!$P$13,装备选择!$P$14)+1,1)</formula1>
    </dataValidation>
    <dataValidation type="list" allowBlank="1" showInputMessage="1" showErrorMessage="1" sqref="K27">
      <formula1>附魔库!$S$2:$S$17</formula1>
    </dataValidation>
    <dataValidation type="list" allowBlank="1" showInputMessage="1" showErrorMessage="1" sqref="AC27">
      <formula1>" 24500会心,24500破防,25500会心,25500破防,28000会心,28000破防,30200会心,30200破防,32500会心,32500破防,35300会心,35300破防,无"</formula1>
    </dataValidation>
    <dataValidation type="list" allowBlank="1" showInputMessage="1" showErrorMessage="1" sqref="AC28">
      <formula1>"24500会效,24500攻击,25500会效,25500攻击,28000会效,28000攻击,30200会效,30200攻击,32500会效,32500攻击,35300会效,35300攻击,无"</formula1>
    </dataValidation>
    <dataValidation allowBlank="1" showInputMessage="1" sqref="K29"/>
    <dataValidation type="list" allowBlank="1" showInputMessage="1" showErrorMessage="1" sqref="AC29">
      <formula1>"24500破防,24500会效,25500破防,25500会效,28000破防,28000会效,30200破防,30200会效,32500破防,32500会效,35300破防,35300会效,无"</formula1>
    </dataValidation>
    <dataValidation type="list" allowBlank="1" showInputMessage="1" showErrorMessage="1" sqref="E30 G30">
      <formula1>"无,肆,伍,陆"</formula1>
    </dataValidation>
    <dataValidation type="list" allowBlank="1" sqref="K30">
      <formula1>"210s,220s,240s,300s,310s,360s,420s,480s,540s,600s,∞"</formula1>
    </dataValidation>
    <dataValidation type="list" allowBlank="1" showInputMessage="1" showErrorMessage="1" sqref="E31">
      <formula1>INDIRECT("第一属性")</formula1>
    </dataValidation>
    <dataValidation type="list" allowBlank="1" showInputMessage="1" sqref="G31">
      <formula1>INDIRECT("第一属性")</formula1>
    </dataValidation>
    <dataValidation type="list" allowBlank="1" sqref="K31">
      <formula1>技能数据库!$Z$16:$Z$23</formula1>
    </dataValidation>
    <dataValidation type="list" allowBlank="1" showInputMessage="1" showErrorMessage="1" sqref="E32">
      <formula1>INDIRECT("二属性"&amp;$E$31)</formula1>
    </dataValidation>
    <dataValidation type="list" allowBlank="1" showInputMessage="1" showErrorMessage="1" sqref="G32">
      <formula1>INDIRECT("二属性"&amp;$G$31)</formula1>
    </dataValidation>
    <dataValidation type="list" allowBlank="1" showInputMessage="1" showErrorMessage="1" sqref="K32">
      <formula1>"无,1级,2级,3级,4级,5级,6级,7级,8级,不使用"</formula1>
    </dataValidation>
    <dataValidation type="list" allowBlank="1" showInputMessage="1" showErrorMessage="1" sqref="E33">
      <formula1>OFFSET(轻剑第三属性,1,0,镶嵌库!$G$47,1)</formula1>
    </dataValidation>
    <dataValidation type="list" allowBlank="1" showInputMessage="1" sqref="G33">
      <formula1>OFFSET(重剑第三属性,1,0,镶嵌库!$K$47,1)</formula1>
    </dataValidation>
    <dataValidation type="list" allowBlank="1" showInputMessage="1" showErrorMessage="1" sqref="K33">
      <formula1>"0,1,2,3,4,5,6,7,8,不使用"</formula1>
    </dataValidation>
    <dataValidation type="list" allowBlank="1" showInputMessage="1" showErrorMessage="1" sqref="E27:E28">
      <formula1>附魔库!$P$2:$P$9</formula1>
    </dataValidation>
    <dataValidation type="whole" operator="between" allowBlank="1" showInputMessage="1" sqref="I29:I30">
      <formula1>5000</formula1>
      <formula2>12000</formula2>
    </dataValidation>
    <dataValidation type="list" allowBlank="1" showInputMessage="1" showErrorMessage="1" sqref="T8:T11 V5:V9">
      <formula1>附魔库!$D$218:$D$318</formula1>
    </dataValidation>
    <dataValidation type="list" allowBlank="1" showInputMessage="1" showErrorMessage="1" sqref="AC18:AC19">
      <formula1>"35300,30200,25900,无"</formula1>
    </dataValidation>
    <dataValidation type="list" allowBlank="1" showInputMessage="1" showErrorMessage="1" sqref="AC24:AC25">
      <formula1>" 天堑奇珵,于阗玉邑,于阗玉镇,于阗玉川,无"</formula1>
    </dataValidation>
    <dataValidation type="list" allowBlank="1" showInputMessage="1" showErrorMessage="1" sqref="AF20:AF21">
      <formula1>"1650会心,1650破防,1650破招,1650无双,1412会心,1412破防,1412破招,无"</formula1>
    </dataValidation>
  </dataValidations>
  <hyperlinks>
    <hyperlink ref="S19" location="配装计算器!X2" display="阵法"/>
    <hyperlink ref="B34" location="配装计算器!AF1" display="※如需使用自输入属性计算器请点击此处"/>
    <hyperlink ref="B34:D34" location="配装计算器!AF1" display="※如需使用自输入属性计算器请点击此处"/>
    <hyperlink ref="AA34" location="配装计算器!AF1" display="※如需使用内置配装器计算请点击此处"/>
    <hyperlink ref="AA34:AC34" location="配装计算器!A1" display="※如需使用内置配装器计算请点击此处"/>
  </hyperlinks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name="Check Box 8" r:id="rId4">
              <controlPr defaultSize="0">
                <anchor moveWithCells="1">
                  <from>
                    <xdr:col>7</xdr:col>
                    <xdr:colOff>28575</xdr:colOff>
                    <xdr:row>30</xdr:row>
                    <xdr:rowOff>9525</xdr:rowOff>
                  </from>
                  <to>
                    <xdr:col>7</xdr:col>
                    <xdr:colOff>552450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name="Check Box 9" r:id="rId5">
              <controlPr defaultSize="0">
                <anchor moveWithCells="1">
                  <from>
                    <xdr:col>7</xdr:col>
                    <xdr:colOff>628650</xdr:colOff>
                    <xdr:row>30</xdr:row>
                    <xdr:rowOff>9525</xdr:rowOff>
                  </from>
                  <to>
                    <xdr:col>8</xdr:col>
                    <xdr:colOff>257175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name="Check Box 10" r:id="rId6">
              <controlPr defaultSize="0">
                <anchor moveWithCells="1">
                  <from>
                    <xdr:col>8</xdr:col>
                    <xdr:colOff>219075</xdr:colOff>
                    <xdr:row>30</xdr:row>
                    <xdr:rowOff>9525</xdr:rowOff>
                  </from>
                  <to>
                    <xdr:col>9</xdr:col>
                    <xdr:colOff>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name="Check Box 11" r:id="rId7">
              <controlPr defaultSize="0">
                <anchor moveWithCells="1">
                  <from>
                    <xdr:col>7</xdr:col>
                    <xdr:colOff>28575</xdr:colOff>
                    <xdr:row>31</xdr:row>
                    <xdr:rowOff>19050</xdr:rowOff>
                  </from>
                  <to>
                    <xdr:col>7</xdr:col>
                    <xdr:colOff>552450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name="Check Box 12" r:id="rId8">
              <controlPr defaultSize="0">
                <anchor moveWithCells="1">
                  <from>
                    <xdr:col>7</xdr:col>
                    <xdr:colOff>628650</xdr:colOff>
                    <xdr:row>31</xdr:row>
                    <xdr:rowOff>19050</xdr:rowOff>
                  </from>
                  <to>
                    <xdr:col>8</xdr:col>
                    <xdr:colOff>257175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name="Check Box 13" r:id="rId9">
              <controlPr defaultSize="0">
                <anchor moveWithCells="1">
                  <from>
                    <xdr:col>8</xdr:col>
                    <xdr:colOff>219075</xdr:colOff>
                    <xdr:row>31</xdr:row>
                    <xdr:rowOff>19050</xdr:rowOff>
                  </from>
                  <to>
                    <xdr:col>9</xdr:col>
                    <xdr:colOff>0</xdr:colOff>
                    <xdr:row>31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name="Check Box 14" r:id="rId10">
              <controlPr defaultSize="0">
                <anchor moveWithCells="1">
                  <from>
                    <xdr:col>7</xdr:col>
                    <xdr:colOff>28575</xdr:colOff>
                    <xdr:row>32</xdr:row>
                    <xdr:rowOff>19050</xdr:rowOff>
                  </from>
                  <to>
                    <xdr:col>7</xdr:col>
                    <xdr:colOff>552450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name="Check Box 15" r:id="rId11">
              <controlPr defaultSize="0">
                <anchor moveWithCells="1">
                  <from>
                    <xdr:col>7</xdr:col>
                    <xdr:colOff>628650</xdr:colOff>
                    <xdr:row>32</xdr:row>
                    <xdr:rowOff>19050</xdr:rowOff>
                  </from>
                  <to>
                    <xdr:col>8</xdr:col>
                    <xdr:colOff>257175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name="Check Box 90" r:id="rId12">
              <controlPr defaultSize="0">
                <anchor moveWithCells="1">
                  <from>
                    <xdr:col>17</xdr:col>
                    <xdr:colOff>28575</xdr:colOff>
                    <xdr:row>21</xdr:row>
                    <xdr:rowOff>0</xdr:rowOff>
                  </from>
                  <to>
                    <xdr:col>17</xdr:col>
                    <xdr:colOff>819150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name="Check Box 91" r:id="rId13">
              <controlPr defaultSize="0">
                <anchor moveWithCells="1">
                  <from>
                    <xdr:col>17</xdr:col>
                    <xdr:colOff>771525</xdr:colOff>
                    <xdr:row>21</xdr:row>
                    <xdr:rowOff>0</xdr:rowOff>
                  </from>
                  <to>
                    <xdr:col>18</xdr:col>
                    <xdr:colOff>28575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name="Check Box 92" r:id="rId14">
              <controlPr defaultSize="0">
                <anchor moveWithCells="1">
                  <from>
                    <xdr:col>17</xdr:col>
                    <xdr:colOff>1524000</xdr:colOff>
                    <xdr:row>21</xdr:row>
                    <xdr:rowOff>0</xdr:rowOff>
                  </from>
                  <to>
                    <xdr:col>18</xdr:col>
                    <xdr:colOff>781050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name="Check Box 93" r:id="rId15">
              <controlPr defaultSize="0">
                <anchor moveWithCells="1">
                  <from>
                    <xdr:col>17</xdr:col>
                    <xdr:colOff>28575</xdr:colOff>
                    <xdr:row>22</xdr:row>
                    <xdr:rowOff>0</xdr:rowOff>
                  </from>
                  <to>
                    <xdr:col>17</xdr:col>
                    <xdr:colOff>819150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name="Check Box 94" r:id="rId16">
              <controlPr defaultSize="0">
                <anchor moveWithCells="1">
                  <from>
                    <xdr:col>17</xdr:col>
                    <xdr:colOff>771525</xdr:colOff>
                    <xdr:row>22</xdr:row>
                    <xdr:rowOff>0</xdr:rowOff>
                  </from>
                  <to>
                    <xdr:col>18</xdr:col>
                    <xdr:colOff>28575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name="Check Box 95" r:id="rId17">
              <controlPr defaultSize="0">
                <anchor moveWithCells="1">
                  <from>
                    <xdr:col>17</xdr:col>
                    <xdr:colOff>28575</xdr:colOff>
                    <xdr:row>22</xdr:row>
                    <xdr:rowOff>200025</xdr:rowOff>
                  </from>
                  <to>
                    <xdr:col>17</xdr:col>
                    <xdr:colOff>819150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name="Check Box 96" r:id="rId18">
              <controlPr defaultSize="0">
                <anchor moveWithCells="1">
                  <from>
                    <xdr:col>17</xdr:col>
                    <xdr:colOff>771525</xdr:colOff>
                    <xdr:row>22</xdr:row>
                    <xdr:rowOff>200025</xdr:rowOff>
                  </from>
                  <to>
                    <xdr:col>18</xdr:col>
                    <xdr:colOff>28575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name="Check Box 97" r:id="rId19">
              <controlPr defaultSize="0">
                <anchor moveWithCells="1">
                  <from>
                    <xdr:col>17</xdr:col>
                    <xdr:colOff>28575</xdr:colOff>
                    <xdr:row>23</xdr:row>
                    <xdr:rowOff>200025</xdr:rowOff>
                  </from>
                  <to>
                    <xdr:col>17</xdr:col>
                    <xdr:colOff>819150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name="Check Box 98" r:id="rId20">
              <controlPr defaultSize="0">
                <anchor moveWithCells="1">
                  <from>
                    <xdr:col>17</xdr:col>
                    <xdr:colOff>1524000</xdr:colOff>
                    <xdr:row>22</xdr:row>
                    <xdr:rowOff>200025</xdr:rowOff>
                  </from>
                  <to>
                    <xdr:col>18</xdr:col>
                    <xdr:colOff>781050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name="Check Box 99" r:id="rId21">
              <controlPr defaultSize="0">
                <anchor moveWithCells="1">
                  <from>
                    <xdr:col>20</xdr:col>
                    <xdr:colOff>28575</xdr:colOff>
                    <xdr:row>20</xdr:row>
                    <xdr:rowOff>200025</xdr:rowOff>
                  </from>
                  <to>
                    <xdr:col>21</xdr:col>
                    <xdr:colOff>114300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name="Check Box 100" r:id="rId22">
              <controlPr defaultSize="0">
                <anchor moveWithCells="1">
                  <from>
                    <xdr:col>20</xdr:col>
                    <xdr:colOff>771525</xdr:colOff>
                    <xdr:row>20</xdr:row>
                    <xdr:rowOff>200025</xdr:rowOff>
                  </from>
                  <to>
                    <xdr:col>21</xdr:col>
                    <xdr:colOff>790575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name="Check Box 101" r:id="rId23">
              <controlPr defaultSize="0">
                <anchor moveWithCells="1">
                  <from>
                    <xdr:col>20</xdr:col>
                    <xdr:colOff>28575</xdr:colOff>
                    <xdr:row>22</xdr:row>
                    <xdr:rowOff>0</xdr:rowOff>
                  </from>
                  <to>
                    <xdr:col>21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name="Check Box 102" r:id="rId24">
              <controlPr defaultSize="0">
                <anchor moveWithCells="1">
                  <from>
                    <xdr:col>17</xdr:col>
                    <xdr:colOff>28575</xdr:colOff>
                    <xdr:row>25</xdr:row>
                    <xdr:rowOff>19050</xdr:rowOff>
                  </from>
                  <to>
                    <xdr:col>17</xdr:col>
                    <xdr:colOff>819150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name="Check Box 103" r:id="rId25">
              <controlPr defaultSize="0">
                <anchor moveWithCells="1">
                  <from>
                    <xdr:col>17</xdr:col>
                    <xdr:colOff>771525</xdr:colOff>
                    <xdr:row>25</xdr:row>
                    <xdr:rowOff>19050</xdr:rowOff>
                  </from>
                  <to>
                    <xdr:col>18</xdr:col>
                    <xdr:colOff>28575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name="Check Box 104" r:id="rId26">
              <controlPr defaultSize="0">
                <anchor moveWithCells="1">
                  <from>
                    <xdr:col>17</xdr:col>
                    <xdr:colOff>1524000</xdr:colOff>
                    <xdr:row>25</xdr:row>
                    <xdr:rowOff>19050</xdr:rowOff>
                  </from>
                  <to>
                    <xdr:col>18</xdr:col>
                    <xdr:colOff>781050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name="Check Box 105" r:id="rId27">
              <controlPr defaultSize="0">
                <anchor moveWithCells="1">
                  <from>
                    <xdr:col>17</xdr:col>
                    <xdr:colOff>28575</xdr:colOff>
                    <xdr:row>26</xdr:row>
                    <xdr:rowOff>19050</xdr:rowOff>
                  </from>
                  <to>
                    <xdr:col>17</xdr:col>
                    <xdr:colOff>819150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name="Check Box 106" r:id="rId28">
              <controlPr defaultSize="0">
                <anchor moveWithCells="1">
                  <from>
                    <xdr:col>17</xdr:col>
                    <xdr:colOff>771525</xdr:colOff>
                    <xdr:row>26</xdr:row>
                    <xdr:rowOff>19050</xdr:rowOff>
                  </from>
                  <to>
                    <xdr:col>18</xdr:col>
                    <xdr:colOff>28575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name="Check Box 112" r:id="rId29">
              <controlPr defaultSize="0">
                <anchor moveWithCells="1">
                  <from>
                    <xdr:col>20</xdr:col>
                    <xdr:colOff>9525</xdr:colOff>
                    <xdr:row>22</xdr:row>
                    <xdr:rowOff>200025</xdr:rowOff>
                  </from>
                  <to>
                    <xdr:col>21</xdr:col>
                    <xdr:colOff>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name="Check Box 113" r:id="rId30">
              <controlPr defaultSize="0">
                <anchor moveWithCells="1">
                  <from>
                    <xdr:col>20</xdr:col>
                    <xdr:colOff>714375</xdr:colOff>
                    <xdr:row>22</xdr:row>
                    <xdr:rowOff>200025</xdr:rowOff>
                  </from>
                  <to>
                    <xdr:col>21</xdr:col>
                    <xdr:colOff>695325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name="Check Box 114" r:id="rId31">
              <controlPr defaultSize="0">
                <anchor moveWithCells="1">
                  <from>
                    <xdr:col>21</xdr:col>
                    <xdr:colOff>723900</xdr:colOff>
                    <xdr:row>22</xdr:row>
                    <xdr:rowOff>200025</xdr:rowOff>
                  </from>
                  <to>
                    <xdr:col>22</xdr:col>
                    <xdr:colOff>47625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name="Check Box 115" r:id="rId32">
              <controlPr defaultSize="0">
                <anchor moveWithCells="1">
                  <from>
                    <xdr:col>20</xdr:col>
                    <xdr:colOff>714375</xdr:colOff>
                    <xdr:row>23</xdr:row>
                    <xdr:rowOff>200025</xdr:rowOff>
                  </from>
                  <to>
                    <xdr:col>21</xdr:col>
                    <xdr:colOff>695325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name="Check Box 116" r:id="rId33">
              <controlPr defaultSize="0">
                <anchor moveWithCells="1">
                  <from>
                    <xdr:col>21</xdr:col>
                    <xdr:colOff>723900</xdr:colOff>
                    <xdr:row>23</xdr:row>
                    <xdr:rowOff>200025</xdr:rowOff>
                  </from>
                  <to>
                    <xdr:col>22</xdr:col>
                    <xdr:colOff>47625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name="Check Box 117" r:id="rId34">
              <controlPr defaultSize="0">
                <anchor moveWithCells="1">
                  <from>
                    <xdr:col>20</xdr:col>
                    <xdr:colOff>9525</xdr:colOff>
                    <xdr:row>23</xdr:row>
                    <xdr:rowOff>200025</xdr:rowOff>
                  </from>
                  <to>
                    <xdr:col>21</xdr:col>
                    <xdr:colOff>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name="Check Box 118" r:id="rId35">
              <controlPr defaultSize="0">
                <anchor moveWithCells="1">
                  <from>
                    <xdr:col>17</xdr:col>
                    <xdr:colOff>771525</xdr:colOff>
                    <xdr:row>23</xdr:row>
                    <xdr:rowOff>200025</xdr:rowOff>
                  </from>
                  <to>
                    <xdr:col>18</xdr:col>
                    <xdr:colOff>28575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name="Check Box 119" r:id="rId36">
              <controlPr defaultSize="0">
                <anchor moveWithCells="1">
                  <from>
                    <xdr:col>17</xdr:col>
                    <xdr:colOff>1524000</xdr:colOff>
                    <xdr:row>23</xdr:row>
                    <xdr:rowOff>200025</xdr:rowOff>
                  </from>
                  <to>
                    <xdr:col>18</xdr:col>
                    <xdr:colOff>781050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name="Check Box 120" r:id="rId37">
              <controlPr defaultSize="0">
                <anchor moveWithCells="1">
                  <from>
                    <xdr:col>20</xdr:col>
                    <xdr:colOff>9525</xdr:colOff>
                    <xdr:row>24</xdr:row>
                    <xdr:rowOff>200025</xdr:rowOff>
                  </from>
                  <to>
                    <xdr:col>21</xdr:col>
                    <xdr:colOff>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name="Check Box 121" r:id="rId38">
              <controlPr defaultSize="0">
                <anchor moveWithCells="1">
                  <from>
                    <xdr:col>20</xdr:col>
                    <xdr:colOff>714375</xdr:colOff>
                    <xdr:row>24</xdr:row>
                    <xdr:rowOff>200025</xdr:rowOff>
                  </from>
                  <to>
                    <xdr:col>21</xdr:col>
                    <xdr:colOff>695325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name="Check Box 122" r:id="rId39">
              <controlPr defaultSize="0">
                <anchor moveWithCells="1">
                  <from>
                    <xdr:col>21</xdr:col>
                    <xdr:colOff>723900</xdr:colOff>
                    <xdr:row>24</xdr:row>
                    <xdr:rowOff>200025</xdr:rowOff>
                  </from>
                  <to>
                    <xdr:col>22</xdr:col>
                    <xdr:colOff>47625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name="Check Box 123" r:id="rId40">
              <controlPr defaultSize="0">
                <anchor moveWithCells="1">
                  <from>
                    <xdr:col>20</xdr:col>
                    <xdr:colOff>9525</xdr:colOff>
                    <xdr:row>25</xdr:row>
                    <xdr:rowOff>200025</xdr:rowOff>
                  </from>
                  <to>
                    <xdr:col>21</xdr:col>
                    <xdr:colOff>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name="Check Box 124" r:id="rId41">
              <controlPr defaultSize="0">
                <anchor moveWithCells="1">
                  <from>
                    <xdr:col>20</xdr:col>
                    <xdr:colOff>714375</xdr:colOff>
                    <xdr:row>25</xdr:row>
                    <xdr:rowOff>200025</xdr:rowOff>
                  </from>
                  <to>
                    <xdr:col>21</xdr:col>
                    <xdr:colOff>695325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name="Check Box 125" r:id="rId42">
              <controlPr defaultSize="0">
                <anchor moveWithCells="1">
                  <from>
                    <xdr:col>21</xdr:col>
                    <xdr:colOff>723900</xdr:colOff>
                    <xdr:row>25</xdr:row>
                    <xdr:rowOff>200025</xdr:rowOff>
                  </from>
                  <to>
                    <xdr:col>22</xdr:col>
                    <xdr:colOff>47625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name="Check Box 126" r:id="rId43">
              <controlPr defaultSize="0">
                <anchor moveWithCells="1">
                  <from>
                    <xdr:col>20</xdr:col>
                    <xdr:colOff>9525</xdr:colOff>
                    <xdr:row>26</xdr:row>
                    <xdr:rowOff>200025</xdr:rowOff>
                  </from>
                  <to>
                    <xdr:col>21</xdr:col>
                    <xdr:colOff>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703" name="Check Box 30943" r:id="rId44">
              <controlPr defaultSize="0">
                <anchor moveWithCells="1">
                  <from>
                    <xdr:col>21</xdr:col>
                    <xdr:colOff>723900</xdr:colOff>
                    <xdr:row>20</xdr:row>
                    <xdr:rowOff>200025</xdr:rowOff>
                  </from>
                  <to>
                    <xdr:col>22</xdr:col>
                    <xdr:colOff>142875</xdr:colOff>
                    <xdr:row>22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2185ba-f0f6-456d-9a51-f94681bb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a2b4d7f-003b-4f3a-b84c-2c22658a4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b7799-b1bf-4a38-99f1-721730ea78a5}">
            <x14:dataBar minLength="0" maxLength="100" border="1" negativeBarBorderColorSameAsPositive="0">
              <x14:cfvo type="auto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f5e64aac-5a4d-4b07-9ddd-5b15194798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e6ab7b1-9782-4e84-9fc2-90926f517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80c6-7ae6-49a0-829e-65a16c0a9a64}">
            <x14:dataBar minLength="0" maxLength="100" border="1" negativeBarBorderColorSameAsPositive="0">
              <x14:cfvo type="auto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5b0691-9020-4427-b8c0-192d28b1f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N3:N10</xm:sqref>
        </x14:conditionalFormatting>
        <x14:conditionalFormatting xmlns:xm="http://schemas.microsoft.com/office/excel/2006/main">
          <x14:cfRule type="dataBar" id="{eb0cb4ce-6e32-416a-ba7f-85edd0cc45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Y3:Y20</xm:sqref>
        </x14:conditionalFormatting>
        <x14:conditionalFormatting xmlns:xm="http://schemas.microsoft.com/office/excel/2006/main">
          <x14:cfRule type="dataBar" id="{8cb6e32f-682d-4061-85bf-e24c5cee4195}">
            <x14:dataBar minLength="0" maxLength="100" border="1" negativeBarBorderColorSameAsPositive="0">
              <x14:cfvo type="autoMin"/>
              <x14:cfvo type="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 N10 N6 N8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4"/>
  <sheetViews>
    <sheetView showGridLines="0" workbookViewId="0">
      <selection activeCell="B2" sqref="B2:K2"/>
    </sheetView>
  </sheetViews>
  <sheetFormatPr defaultColWidth="10" defaultRowHeight="16.5" customHeight="1"/>
  <cols>
    <col min="1" max="16384" width="10" style="1"/>
  </cols>
  <sheetData>
    <row r="1" customFormat="1" customHeight="1" spans="2:11">
      <c r="B1" s="2" t="s">
        <v>3359</v>
      </c>
      <c r="D1" s="2" t="s">
        <v>3238</v>
      </c>
    </row>
    <row r="2" ht="23.2" spans="2:11">
      <c r="B2" s="3" t="s">
        <v>3360</v>
      </c>
      <c r="C2" s="3"/>
      <c r="D2" s="3"/>
      <c r="E2" s="3"/>
      <c r="F2" s="3"/>
      <c r="G2" s="3"/>
      <c r="H2" s="3"/>
      <c r="I2" s="3"/>
      <c r="J2" s="3"/>
      <c r="K2" s="3"/>
    </row>
    <row r="3" customHeight="1" spans="2:11">
      <c r="B3" s="4" t="s">
        <v>3361</v>
      </c>
      <c r="F3" s="3"/>
      <c r="G3" s="3"/>
      <c r="H3" s="3"/>
      <c r="I3" s="3"/>
      <c r="J3" s="3"/>
      <c r="K3" s="3"/>
    </row>
    <row r="4" customHeight="1" spans="2:11">
      <c r="B4" s="1" t="s">
        <v>3362</v>
      </c>
    </row>
    <row r="5" customHeight="1" spans="2:11">
      <c r="B5" s="1" t="s">
        <v>3363</v>
      </c>
      <c r="F5" s="3"/>
      <c r="G5" s="3"/>
      <c r="H5" s="3"/>
      <c r="I5" s="3"/>
      <c r="J5" s="3"/>
      <c r="K5" s="3"/>
    </row>
    <row r="6" customHeight="1" spans="2:11">
      <c r="B6" s="1" t="s">
        <v>3364</v>
      </c>
      <c r="E6" s="2"/>
      <c r="F6" s="3"/>
      <c r="G6" s="3"/>
      <c r="H6" s="3"/>
      <c r="I6" s="3"/>
      <c r="J6" s="3"/>
      <c r="K6" s="3"/>
    </row>
    <row r="7" customHeight="1" spans="2:11">
      <c r="B7" s="1" t="s">
        <v>3365</v>
      </c>
      <c r="E7" s="2"/>
      <c r="F7" s="3"/>
      <c r="G7" s="3"/>
      <c r="H7" s="3"/>
      <c r="I7" s="3"/>
      <c r="J7" s="3"/>
      <c r="K7" s="3"/>
    </row>
    <row r="8" customHeight="1" spans="2:11">
      <c r="E8" s="2"/>
      <c r="F8" s="3"/>
      <c r="G8" s="3"/>
      <c r="H8" s="3"/>
      <c r="I8" s="3"/>
      <c r="J8" s="3"/>
      <c r="K8" s="3"/>
    </row>
    <row r="9" customHeight="1" spans="2:11">
      <c r="B9" s="4" t="s">
        <v>3366</v>
      </c>
      <c r="F9" s="3"/>
      <c r="G9" s="3"/>
      <c r="H9" s="3"/>
      <c r="I9" s="3"/>
      <c r="J9" s="3"/>
      <c r="K9" s="3"/>
    </row>
    <row r="10" customHeight="1" spans="2:11">
      <c r="B10" s="1" t="s">
        <v>3367</v>
      </c>
    </row>
    <row r="11" customHeight="1" spans="2:11">
      <c r="B11" s="1" t="s">
        <v>3368</v>
      </c>
      <c r="F11" s="3"/>
      <c r="G11" s="3"/>
      <c r="H11" s="3"/>
      <c r="I11" s="3"/>
      <c r="J11" s="3"/>
      <c r="K11" s="3"/>
    </row>
    <row r="12" customHeight="1" spans="2:11">
      <c r="B12" s="1" t="s">
        <v>3369</v>
      </c>
      <c r="F12" s="3"/>
      <c r="G12" s="3"/>
      <c r="H12" s="3"/>
      <c r="I12" s="3"/>
      <c r="J12" s="3"/>
      <c r="K12" s="3"/>
    </row>
    <row r="13" customHeight="1" spans="2:11">
      <c r="B13" s="1" t="s">
        <v>3370</v>
      </c>
      <c r="F13" s="3"/>
      <c r="G13" s="3"/>
      <c r="H13" s="3"/>
      <c r="I13" s="3"/>
      <c r="J13" s="3"/>
      <c r="K13" s="3"/>
    </row>
    <row r="14" customHeight="1" spans="2:11">
      <c r="B14" s="1" t="s">
        <v>3371</v>
      </c>
      <c r="E14" s="2" t="s">
        <v>3372</v>
      </c>
      <c r="F14" s="3"/>
      <c r="G14" s="3"/>
      <c r="H14" s="3"/>
      <c r="I14" s="3"/>
      <c r="J14" s="3"/>
      <c r="K14" s="3"/>
    </row>
  </sheetData>
  <sheetProtection algorithmName="SHA-512" hashValue="sS95P5DPWyE8icCO89f54CDsIJwF+TtlfylGAtFEHIAEuPnlB+o4OJTwJFnVXFRYWIIvCMniBre+NUwjQao7eQ==" saltValue="RBO2tLVo1dThVOvxlFMqGQ==" spinCount="100000" sheet="1" objects="1" scenarios="1"/>
  <customSheetViews>
    <customSheetView guid="{8E53DF33-FD66-42DA-A21D-B11FBF5F6988}" showGridLines="0">
      <selection activeCell="J10" sqref="J10"/>
      <pageMargins left="0.7" right="0.7" top="0.75" bottom="0.75" header="0.3" footer="0.3"/>
      <headerFooter/>
    </customSheetView>
  </customSheetViews>
  <mergeCells count="1">
    <mergeCell ref="B2:K2"/>
  </mergeCells>
  <hyperlinks>
    <hyperlink ref="D1" location="配装计算器!A1" display="返回计算器"/>
    <hyperlink ref="E14" r:id="rId1" location="/article-details?kid=1335467" display="https://jx3.xoyo.com/index/index.html#/article-details?kid=1335467"/>
    <hyperlink ref="B1" r:id="rId2" display="获取最新版本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8" master="" otherUserPermission="visible"/>
  <rangeList sheetStid="13" master="" otherUserPermission="visible"/>
  <rangeList sheetStid="10" master="" otherUserPermission="visible"/>
  <rangeList sheetStid="11" master="" otherUserPermission="visible"/>
  <rangeList sheetStid="15" master="" otherUserPermission="visible"/>
  <rangeList sheetStid="16" master="" otherUserPermission="visible"/>
  <rangeList sheetStid="17" master="" otherUserPermission="visible"/>
  <rangeList sheetStid="20" master="" otherUserPermission="visible"/>
  <rangeList sheetStid="19" master="" otherUserPermission="visible"/>
  <rangeList sheetStid="1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属性常数</vt:lpstr>
      <vt:lpstr>装备库</vt:lpstr>
      <vt:lpstr>装备选择</vt:lpstr>
      <vt:lpstr>基础面板属性</vt:lpstr>
      <vt:lpstr>附魔库</vt:lpstr>
      <vt:lpstr>镶嵌库</vt:lpstr>
      <vt:lpstr>额外属性</vt:lpstr>
      <vt:lpstr>技能数据库</vt:lpstr>
      <vt:lpstr>加速</vt:lpstr>
      <vt:lpstr>技能数计算</vt:lpstr>
      <vt:lpstr>伤害与收益计算</vt:lpstr>
      <vt:lpstr>阵眼收益计算</vt:lpstr>
      <vt:lpstr>无穷技能数计算</vt:lpstr>
      <vt:lpstr>无穷伤害与收益计算</vt:lpstr>
      <vt:lpstr>无穷阵眼收益计算</vt:lpstr>
      <vt:lpstr>循环手法</vt:lpstr>
      <vt:lpstr>配装计算器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zs</cp:lastModifiedBy>
  <dcterms:created xsi:type="dcterms:W3CDTF">2024-09-03T16:11:00Z</dcterms:created>
  <dcterms:modified xsi:type="dcterms:W3CDTF">2026-06-24T11:36:25Z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54CED98D1B39991FB9503B6A95DAF314_42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